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1730" tabRatio="926" activeTab="13"/>
  </bookViews>
  <sheets>
    <sheet name="Checklist" sheetId="57" r:id="rId1"/>
    <sheet name="Status - Formats" sheetId="194" state="hidden" r:id="rId2"/>
    <sheet name="F1" sheetId="58" r:id="rId3"/>
    <sheet name="F2x" sheetId="178" state="hidden" r:id="rId4"/>
    <sheet name="F3x" sheetId="179" state="hidden" r:id="rId5"/>
    <sheet name="F4x" sheetId="180" state="hidden" r:id="rId6"/>
    <sheet name="F4Ax" sheetId="181" state="hidden" r:id="rId7"/>
    <sheet name="F4Bx" sheetId="182" state="hidden" r:id="rId8"/>
    <sheet name="F2" sheetId="220" r:id="rId9"/>
    <sheet name="F2_working" sheetId="236" state="hidden" r:id="rId10"/>
    <sheet name="F3" sheetId="221" r:id="rId11"/>
    <sheet name="F3_working" sheetId="237" state="hidden" r:id="rId12"/>
    <sheet name="F4" sheetId="222" r:id="rId13"/>
    <sheet name="F4A" sheetId="223" r:id="rId14"/>
    <sheet name="F4B" sheetId="224" r:id="rId15"/>
    <sheet name="F5" sheetId="71" r:id="rId16"/>
    <sheet name="F6" sheetId="119" r:id="rId17"/>
    <sheet name="F7" sheetId="137" r:id="rId18"/>
    <sheet name="F7-Working" sheetId="235" state="hidden" r:id="rId19"/>
    <sheet name="F8" sheetId="124" r:id="rId20"/>
    <sheet name="F9-Year(n-1)" sheetId="125" state="hidden" r:id="rId21"/>
    <sheet name="F9-Year(n)" sheetId="131" state="hidden" r:id="rId22"/>
    <sheet name="F9-Year(n+1)" sheetId="132" r:id="rId23"/>
    <sheet name="F9-Year(n+2)" sheetId="133" state="hidden" r:id="rId24"/>
    <sheet name="F9-Year(n+3)" sheetId="134" state="hidden" r:id="rId25"/>
    <sheet name="F9-Year(n+4)" sheetId="135" state="hidden" r:id="rId26"/>
    <sheet name="F9-Year(n+5)" sheetId="136" state="hidden" r:id="rId27"/>
    <sheet name="F10" sheetId="138" r:id="rId28"/>
    <sheet name="F11-Year(n-1)" sheetId="139" state="hidden" r:id="rId29"/>
    <sheet name="F11-Year(n)" sheetId="140" state="hidden" r:id="rId30"/>
    <sheet name="F11-Year(n+1)" sheetId="141" r:id="rId31"/>
    <sheet name="F11-Year(n+2)" sheetId="195" state="hidden" r:id="rId32"/>
    <sheet name="F11-Year(n+3) " sheetId="197" state="hidden" r:id="rId33"/>
    <sheet name="F11-Year(n+4)" sheetId="198" state="hidden" r:id="rId34"/>
    <sheet name="F11-Year(n+5)" sheetId="199" state="hidden" r:id="rId35"/>
    <sheet name="F12" sheetId="212" r:id="rId36"/>
    <sheet name="F13-Year(n-1)" sheetId="213" state="hidden" r:id="rId37"/>
    <sheet name="F13-Year(n)" sheetId="214" state="hidden" r:id="rId38"/>
    <sheet name="F13-Year(n+1)" sheetId="215" r:id="rId39"/>
    <sheet name="F13-Year(n+2)" sheetId="216" state="hidden" r:id="rId40"/>
    <sheet name="F13-Year(n+3)" sheetId="217" state="hidden" r:id="rId41"/>
    <sheet name="F13-Year(n+4)" sheetId="218" state="hidden" r:id="rId42"/>
    <sheet name="F13-Year(n+5)" sheetId="219" state="hidden" r:id="rId43"/>
    <sheet name="F14" sheetId="158" r:id="rId44"/>
    <sheet name="F15x" sheetId="66" state="hidden" r:id="rId45"/>
    <sheet name="F15.1x" sheetId="67" state="hidden" r:id="rId46"/>
    <sheet name="F15.2x" sheetId="68" state="hidden" r:id="rId47"/>
    <sheet name="F15.3x" sheetId="69" state="hidden" r:id="rId48"/>
    <sheet name="F16x" sheetId="93" state="hidden" r:id="rId49"/>
    <sheet name="F16.1x" sheetId="101" state="hidden" r:id="rId50"/>
    <sheet name="F16.2x" sheetId="109" state="hidden" r:id="rId51"/>
    <sheet name="F17x" sheetId="102" state="hidden" r:id="rId52"/>
    <sheet name="F18x" sheetId="103" state="hidden" r:id="rId53"/>
    <sheet name="F19x" sheetId="104" state="hidden" r:id="rId54"/>
    <sheet name="F20x" sheetId="105" state="hidden" r:id="rId55"/>
    <sheet name="F21x" sheetId="106" state="hidden" r:id="rId56"/>
    <sheet name="F22x" sheetId="116" state="hidden" r:id="rId57"/>
    <sheet name="F23x" sheetId="115" state="hidden" r:id="rId58"/>
    <sheet name="F15-x" sheetId="200" state="hidden" r:id="rId59"/>
    <sheet name="F15.1-x" sheetId="201" state="hidden" r:id="rId60"/>
    <sheet name="F15.2-x" sheetId="202" state="hidden" r:id="rId61"/>
    <sheet name="F15.3-x" sheetId="203" state="hidden" r:id="rId62"/>
    <sheet name="F16-x" sheetId="204" state="hidden" r:id="rId63"/>
    <sheet name="F17-x" sheetId="205" state="hidden" r:id="rId64"/>
    <sheet name="F18-x" sheetId="206" state="hidden" r:id="rId65"/>
    <sheet name="F19-x" sheetId="207" state="hidden" r:id="rId66"/>
    <sheet name="F20-x" sheetId="208" state="hidden" r:id="rId67"/>
    <sheet name="F21-x" sheetId="209" state="hidden" r:id="rId68"/>
    <sheet name="F22-x" sheetId="210" state="hidden" r:id="rId69"/>
    <sheet name="F15" sheetId="238" r:id="rId70"/>
    <sheet name="F15.1" sheetId="239" r:id="rId71"/>
    <sheet name="F15.2" sheetId="240" r:id="rId72"/>
    <sheet name="F15.3" sheetId="241" r:id="rId73"/>
    <sheet name="F16" sheetId="242" r:id="rId74"/>
    <sheet name="F17" sheetId="243" r:id="rId75"/>
    <sheet name="F18" sheetId="244" r:id="rId76"/>
    <sheet name="F19" sheetId="245" r:id="rId77"/>
    <sheet name="F20" sheetId="246" r:id="rId78"/>
    <sheet name="F21" sheetId="247" r:id="rId79"/>
    <sheet name="F22" sheetId="248" r:id="rId80"/>
    <sheet name="F23" sheetId="211" state="hidden" r:id="rId81"/>
    <sheet name="F24" sheetId="159" r:id="rId82"/>
    <sheet name="F24.1" sheetId="160" r:id="rId83"/>
    <sheet name="F24.2" sheetId="161" r:id="rId84"/>
    <sheet name="F24.3" sheetId="162" r:id="rId85"/>
    <sheet name="F24.4" sheetId="163" r:id="rId86"/>
    <sheet name="F24.5" sheetId="165" r:id="rId87"/>
    <sheet name="F24.6" sheetId="164" r:id="rId88"/>
    <sheet name="F24.7" sheetId="166" r:id="rId89"/>
    <sheet name="F24.8" sheetId="167" r:id="rId90"/>
    <sheet name="F25" sheetId="225" state="hidden" r:id="rId91"/>
    <sheet name="F26-Year(n-1)" sheetId="226" state="hidden" r:id="rId92"/>
    <sheet name="F26-Year(n+1)(Current Tariff)xx" sheetId="227" state="hidden" r:id="rId93"/>
    <sheet name="F 25" sheetId="254" r:id="rId94"/>
    <sheet name="F26-Year(n+1)(Current Tariff)" sheetId="252" r:id="rId95"/>
    <sheet name="F26-Year(n+1)(Proposed Tariff)" sheetId="233" r:id="rId96"/>
    <sheet name="F26-Year(n+2)(Proposed Tariff)x" sheetId="232" state="hidden" r:id="rId97"/>
    <sheet name="F26-Year(n+2)(Current Tariff)" sheetId="250" r:id="rId98"/>
    <sheet name="F26-Year(n+2)(Proposed Tariff)" sheetId="251" r:id="rId99"/>
    <sheet name="F 27 (n+2)" sheetId="253" r:id="rId100"/>
    <sheet name="Sheet1" sheetId="255" r:id="rId101"/>
    <sheet name="F27" sheetId="234" state="hidden" r:id="rId102"/>
    <sheet name="F27 (n+2)" sheetId="229" state="hidden" r:id="rId103"/>
    <sheet name="F28" sheetId="230" state="hidden" r:id="rId104"/>
    <sheet name="F29" sheetId="231" state="hidden" r:id="rId105"/>
    <sheet name="F25x" sheetId="183" state="hidden" r:id="rId106"/>
    <sheet name="F26-Year(n-1)x" sheetId="184" state="hidden" r:id="rId107"/>
    <sheet name="F26-Year(n+1)(Current Tariff)x" sheetId="185" state="hidden" r:id="rId108"/>
    <sheet name="F26-Year(n+1)(Proposed Tariff)x" sheetId="186" state="hidden" r:id="rId109"/>
    <sheet name="F27x" sheetId="187" state="hidden" r:id="rId110"/>
    <sheet name="F28x" sheetId="193" state="hidden" r:id="rId111"/>
    <sheet name="F29x" sheetId="188" state="hidden" r:id="rId112"/>
  </sheets>
  <externalReferences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</externalReferences>
  <definedNames>
    <definedName name="__123Graph_A" localSheetId="73" hidden="1">[1]CE!#REF!</definedName>
    <definedName name="__123Graph_A" localSheetId="49" hidden="1">[1]CE!#REF!</definedName>
    <definedName name="__123Graph_A" localSheetId="48" hidden="1">[1]CE!#REF!</definedName>
    <definedName name="__123Graph_A" localSheetId="62" hidden="1">[1]CE!#REF!</definedName>
    <definedName name="__123Graph_A" localSheetId="74" hidden="1">[1]CE!#REF!</definedName>
    <definedName name="__123Graph_A" localSheetId="51" hidden="1">[1]CE!#REF!</definedName>
    <definedName name="__123Graph_A" localSheetId="63" hidden="1">[1]CE!#REF!</definedName>
    <definedName name="__123Graph_A" localSheetId="75" hidden="1">[1]CE!#REF!</definedName>
    <definedName name="__123Graph_A" localSheetId="52" hidden="1">[1]CE!#REF!</definedName>
    <definedName name="__123Graph_A" localSheetId="64" hidden="1">[1]CE!#REF!</definedName>
    <definedName name="__123Graph_A" localSheetId="76" hidden="1">[1]CE!#REF!</definedName>
    <definedName name="__123Graph_A" localSheetId="53" hidden="1">[1]CE!#REF!</definedName>
    <definedName name="__123Graph_A" localSheetId="65" hidden="1">[1]CE!#REF!</definedName>
    <definedName name="__123Graph_A" localSheetId="77" hidden="1">[1]CE!#REF!</definedName>
    <definedName name="__123Graph_A" localSheetId="54" hidden="1">[1]CE!#REF!</definedName>
    <definedName name="__123Graph_A" localSheetId="66" hidden="1">[1]CE!#REF!</definedName>
    <definedName name="__123Graph_A" localSheetId="78" hidden="1">[1]CE!#REF!</definedName>
    <definedName name="__123Graph_A" localSheetId="55" hidden="1">[1]CE!#REF!</definedName>
    <definedName name="__123Graph_A" localSheetId="67" hidden="1">[1]CE!#REF!</definedName>
    <definedName name="__123Graph_A" localSheetId="79" hidden="1">[1]CE!#REF!</definedName>
    <definedName name="__123Graph_A" localSheetId="56" hidden="1">[1]CE!#REF!</definedName>
    <definedName name="__123Graph_A" localSheetId="68" hidden="1">[1]CE!#REF!</definedName>
    <definedName name="__123Graph_A" localSheetId="80" hidden="1">[1]CE!#REF!</definedName>
    <definedName name="__123Graph_A" localSheetId="57" hidden="1">[1]CE!#REF!</definedName>
    <definedName name="__123Graph_A" localSheetId="13" hidden="1">[1]CE!#REF!</definedName>
    <definedName name="__123Graph_A" localSheetId="6" hidden="1">[1]CE!#REF!</definedName>
    <definedName name="__123Graph_A" localSheetId="14" hidden="1">[1]CE!#REF!</definedName>
    <definedName name="__123Graph_A" localSheetId="7" hidden="1">[1]CE!#REF!</definedName>
    <definedName name="__123Graph_A" hidden="1">[1]CE!#REF!</definedName>
    <definedName name="__123Graph_ASTNPLF" localSheetId="73" hidden="1">[1]CE!#REF!</definedName>
    <definedName name="__123Graph_ASTNPLF" localSheetId="49" hidden="1">[1]CE!#REF!</definedName>
    <definedName name="__123Graph_ASTNPLF" localSheetId="48" hidden="1">[1]CE!#REF!</definedName>
    <definedName name="__123Graph_ASTNPLF" localSheetId="62" hidden="1">[1]CE!#REF!</definedName>
    <definedName name="__123Graph_ASTNPLF" localSheetId="74" hidden="1">[1]CE!#REF!</definedName>
    <definedName name="__123Graph_ASTNPLF" localSheetId="51" hidden="1">[1]CE!#REF!</definedName>
    <definedName name="__123Graph_ASTNPLF" localSheetId="63" hidden="1">[1]CE!#REF!</definedName>
    <definedName name="__123Graph_ASTNPLF" localSheetId="75" hidden="1">[1]CE!#REF!</definedName>
    <definedName name="__123Graph_ASTNPLF" localSheetId="52" hidden="1">[1]CE!#REF!</definedName>
    <definedName name="__123Graph_ASTNPLF" localSheetId="64" hidden="1">[1]CE!#REF!</definedName>
    <definedName name="__123Graph_ASTNPLF" localSheetId="76" hidden="1">[1]CE!#REF!</definedName>
    <definedName name="__123Graph_ASTNPLF" localSheetId="53" hidden="1">[1]CE!#REF!</definedName>
    <definedName name="__123Graph_ASTNPLF" localSheetId="65" hidden="1">[1]CE!#REF!</definedName>
    <definedName name="__123Graph_ASTNPLF" localSheetId="77" hidden="1">[1]CE!#REF!</definedName>
    <definedName name="__123Graph_ASTNPLF" localSheetId="54" hidden="1">[1]CE!#REF!</definedName>
    <definedName name="__123Graph_ASTNPLF" localSheetId="66" hidden="1">[1]CE!#REF!</definedName>
    <definedName name="__123Graph_ASTNPLF" localSheetId="78" hidden="1">[1]CE!#REF!</definedName>
    <definedName name="__123Graph_ASTNPLF" localSheetId="55" hidden="1">[1]CE!#REF!</definedName>
    <definedName name="__123Graph_ASTNPLF" localSheetId="67" hidden="1">[1]CE!#REF!</definedName>
    <definedName name="__123Graph_ASTNPLF" localSheetId="79" hidden="1">[1]CE!#REF!</definedName>
    <definedName name="__123Graph_ASTNPLF" localSheetId="56" hidden="1">[1]CE!#REF!</definedName>
    <definedName name="__123Graph_ASTNPLF" localSheetId="68" hidden="1">[1]CE!#REF!</definedName>
    <definedName name="__123Graph_ASTNPLF" localSheetId="80" hidden="1">[1]CE!#REF!</definedName>
    <definedName name="__123Graph_ASTNPLF" localSheetId="57" hidden="1">[1]CE!#REF!</definedName>
    <definedName name="__123Graph_ASTNPLF" localSheetId="13" hidden="1">[1]CE!#REF!</definedName>
    <definedName name="__123Graph_ASTNPLF" localSheetId="6" hidden="1">[1]CE!#REF!</definedName>
    <definedName name="__123Graph_ASTNPLF" localSheetId="14" hidden="1">[1]CE!#REF!</definedName>
    <definedName name="__123Graph_ASTNPLF" localSheetId="7" hidden="1">[1]CE!#REF!</definedName>
    <definedName name="__123Graph_ASTNPLF" hidden="1">[1]CE!#REF!</definedName>
    <definedName name="__123Graph_B" localSheetId="73" hidden="1">[1]CE!#REF!</definedName>
    <definedName name="__123Graph_B" localSheetId="49" hidden="1">[1]CE!#REF!</definedName>
    <definedName name="__123Graph_B" localSheetId="48" hidden="1">[1]CE!#REF!</definedName>
    <definedName name="__123Graph_B" localSheetId="62" hidden="1">[1]CE!#REF!</definedName>
    <definedName name="__123Graph_B" localSheetId="74" hidden="1">[1]CE!#REF!</definedName>
    <definedName name="__123Graph_B" localSheetId="51" hidden="1">[1]CE!#REF!</definedName>
    <definedName name="__123Graph_B" localSheetId="63" hidden="1">[1]CE!#REF!</definedName>
    <definedName name="__123Graph_B" localSheetId="75" hidden="1">[1]CE!#REF!</definedName>
    <definedName name="__123Graph_B" localSheetId="52" hidden="1">[1]CE!#REF!</definedName>
    <definedName name="__123Graph_B" localSheetId="64" hidden="1">[1]CE!#REF!</definedName>
    <definedName name="__123Graph_B" localSheetId="76" hidden="1">[1]CE!#REF!</definedName>
    <definedName name="__123Graph_B" localSheetId="53" hidden="1">[1]CE!#REF!</definedName>
    <definedName name="__123Graph_B" localSheetId="65" hidden="1">[1]CE!#REF!</definedName>
    <definedName name="__123Graph_B" localSheetId="77" hidden="1">[1]CE!#REF!</definedName>
    <definedName name="__123Graph_B" localSheetId="54" hidden="1">[1]CE!#REF!</definedName>
    <definedName name="__123Graph_B" localSheetId="66" hidden="1">[1]CE!#REF!</definedName>
    <definedName name="__123Graph_B" localSheetId="78" hidden="1">[1]CE!#REF!</definedName>
    <definedName name="__123Graph_B" localSheetId="55" hidden="1">[1]CE!#REF!</definedName>
    <definedName name="__123Graph_B" localSheetId="67" hidden="1">[1]CE!#REF!</definedName>
    <definedName name="__123Graph_B" localSheetId="79" hidden="1">[1]CE!#REF!</definedName>
    <definedName name="__123Graph_B" localSheetId="56" hidden="1">[1]CE!#REF!</definedName>
    <definedName name="__123Graph_B" localSheetId="68" hidden="1">[1]CE!#REF!</definedName>
    <definedName name="__123Graph_B" localSheetId="80" hidden="1">[1]CE!#REF!</definedName>
    <definedName name="__123Graph_B" localSheetId="57" hidden="1">[1]CE!#REF!</definedName>
    <definedName name="__123Graph_B" localSheetId="13" hidden="1">[1]CE!#REF!</definedName>
    <definedName name="__123Graph_B" localSheetId="6" hidden="1">[1]CE!#REF!</definedName>
    <definedName name="__123Graph_B" localSheetId="14" hidden="1">[1]CE!#REF!</definedName>
    <definedName name="__123Graph_B" localSheetId="7" hidden="1">[1]CE!#REF!</definedName>
    <definedName name="__123Graph_B" hidden="1">[1]CE!#REF!</definedName>
    <definedName name="__123Graph_BSTNPLF" localSheetId="73" hidden="1">[1]CE!#REF!</definedName>
    <definedName name="__123Graph_BSTNPLF" localSheetId="49" hidden="1">[1]CE!#REF!</definedName>
    <definedName name="__123Graph_BSTNPLF" localSheetId="48" hidden="1">[1]CE!#REF!</definedName>
    <definedName name="__123Graph_BSTNPLF" localSheetId="62" hidden="1">[1]CE!#REF!</definedName>
    <definedName name="__123Graph_BSTNPLF" localSheetId="74" hidden="1">[1]CE!#REF!</definedName>
    <definedName name="__123Graph_BSTNPLF" localSheetId="51" hidden="1">[1]CE!#REF!</definedName>
    <definedName name="__123Graph_BSTNPLF" localSheetId="63" hidden="1">[1]CE!#REF!</definedName>
    <definedName name="__123Graph_BSTNPLF" localSheetId="75" hidden="1">[1]CE!#REF!</definedName>
    <definedName name="__123Graph_BSTNPLF" localSheetId="52" hidden="1">[1]CE!#REF!</definedName>
    <definedName name="__123Graph_BSTNPLF" localSheetId="64" hidden="1">[1]CE!#REF!</definedName>
    <definedName name="__123Graph_BSTNPLF" localSheetId="76" hidden="1">[1]CE!#REF!</definedName>
    <definedName name="__123Graph_BSTNPLF" localSheetId="53" hidden="1">[1]CE!#REF!</definedName>
    <definedName name="__123Graph_BSTNPLF" localSheetId="65" hidden="1">[1]CE!#REF!</definedName>
    <definedName name="__123Graph_BSTNPLF" localSheetId="77" hidden="1">[1]CE!#REF!</definedName>
    <definedName name="__123Graph_BSTNPLF" localSheetId="54" hidden="1">[1]CE!#REF!</definedName>
    <definedName name="__123Graph_BSTNPLF" localSheetId="66" hidden="1">[1]CE!#REF!</definedName>
    <definedName name="__123Graph_BSTNPLF" localSheetId="78" hidden="1">[1]CE!#REF!</definedName>
    <definedName name="__123Graph_BSTNPLF" localSheetId="55" hidden="1">[1]CE!#REF!</definedName>
    <definedName name="__123Graph_BSTNPLF" localSheetId="67" hidden="1">[1]CE!#REF!</definedName>
    <definedName name="__123Graph_BSTNPLF" localSheetId="79" hidden="1">[1]CE!#REF!</definedName>
    <definedName name="__123Graph_BSTNPLF" localSheetId="56" hidden="1">[1]CE!#REF!</definedName>
    <definedName name="__123Graph_BSTNPLF" localSheetId="68" hidden="1">[1]CE!#REF!</definedName>
    <definedName name="__123Graph_BSTNPLF" localSheetId="80" hidden="1">[1]CE!#REF!</definedName>
    <definedName name="__123Graph_BSTNPLF" localSheetId="57" hidden="1">[1]CE!#REF!</definedName>
    <definedName name="__123Graph_BSTNPLF" localSheetId="13" hidden="1">[1]CE!#REF!</definedName>
    <definedName name="__123Graph_BSTNPLF" localSheetId="6" hidden="1">[1]CE!#REF!</definedName>
    <definedName name="__123Graph_BSTNPLF" localSheetId="14" hidden="1">[1]CE!#REF!</definedName>
    <definedName name="__123Graph_BSTNPLF" localSheetId="7" hidden="1">[1]CE!#REF!</definedName>
    <definedName name="__123Graph_BSTNPLF" hidden="1">[1]CE!#REF!</definedName>
    <definedName name="__123Graph_C" localSheetId="73" hidden="1">[1]CE!#REF!</definedName>
    <definedName name="__123Graph_C" localSheetId="49" hidden="1">[1]CE!#REF!</definedName>
    <definedName name="__123Graph_C" localSheetId="48" hidden="1">[1]CE!#REF!</definedName>
    <definedName name="__123Graph_C" localSheetId="62" hidden="1">[1]CE!#REF!</definedName>
    <definedName name="__123Graph_C" localSheetId="74" hidden="1">[1]CE!#REF!</definedName>
    <definedName name="__123Graph_C" localSheetId="51" hidden="1">[1]CE!#REF!</definedName>
    <definedName name="__123Graph_C" localSheetId="63" hidden="1">[1]CE!#REF!</definedName>
    <definedName name="__123Graph_C" localSheetId="75" hidden="1">[1]CE!#REF!</definedName>
    <definedName name="__123Graph_C" localSheetId="52" hidden="1">[1]CE!#REF!</definedName>
    <definedName name="__123Graph_C" localSheetId="64" hidden="1">[1]CE!#REF!</definedName>
    <definedName name="__123Graph_C" localSheetId="76" hidden="1">[1]CE!#REF!</definedName>
    <definedName name="__123Graph_C" localSheetId="53" hidden="1">[1]CE!#REF!</definedName>
    <definedName name="__123Graph_C" localSheetId="65" hidden="1">[1]CE!#REF!</definedName>
    <definedName name="__123Graph_C" localSheetId="77" hidden="1">[1]CE!#REF!</definedName>
    <definedName name="__123Graph_C" localSheetId="54" hidden="1">[1]CE!#REF!</definedName>
    <definedName name="__123Graph_C" localSheetId="66" hidden="1">[1]CE!#REF!</definedName>
    <definedName name="__123Graph_C" localSheetId="78" hidden="1">[1]CE!#REF!</definedName>
    <definedName name="__123Graph_C" localSheetId="55" hidden="1">[1]CE!#REF!</definedName>
    <definedName name="__123Graph_C" localSheetId="67" hidden="1">[1]CE!#REF!</definedName>
    <definedName name="__123Graph_C" localSheetId="79" hidden="1">[1]CE!#REF!</definedName>
    <definedName name="__123Graph_C" localSheetId="56" hidden="1">[1]CE!#REF!</definedName>
    <definedName name="__123Graph_C" localSheetId="68" hidden="1">[1]CE!#REF!</definedName>
    <definedName name="__123Graph_C" localSheetId="80" hidden="1">[1]CE!#REF!</definedName>
    <definedName name="__123Graph_C" localSheetId="57" hidden="1">[1]CE!#REF!</definedName>
    <definedName name="__123Graph_C" localSheetId="13" hidden="1">[1]CE!#REF!</definedName>
    <definedName name="__123Graph_C" localSheetId="6" hidden="1">[1]CE!#REF!</definedName>
    <definedName name="__123Graph_C" localSheetId="14" hidden="1">[1]CE!#REF!</definedName>
    <definedName name="__123Graph_C" localSheetId="7" hidden="1">[1]CE!#REF!</definedName>
    <definedName name="__123Graph_C" hidden="1">[1]CE!#REF!</definedName>
    <definedName name="__123Graph_CSTNPLF" localSheetId="73" hidden="1">[1]CE!#REF!</definedName>
    <definedName name="__123Graph_CSTNPLF" localSheetId="49" hidden="1">[1]CE!#REF!</definedName>
    <definedName name="__123Graph_CSTNPLF" localSheetId="48" hidden="1">[1]CE!#REF!</definedName>
    <definedName name="__123Graph_CSTNPLF" localSheetId="62" hidden="1">[1]CE!#REF!</definedName>
    <definedName name="__123Graph_CSTNPLF" localSheetId="74" hidden="1">[1]CE!#REF!</definedName>
    <definedName name="__123Graph_CSTNPLF" localSheetId="51" hidden="1">[1]CE!#REF!</definedName>
    <definedName name="__123Graph_CSTNPLF" localSheetId="63" hidden="1">[1]CE!#REF!</definedName>
    <definedName name="__123Graph_CSTNPLF" localSheetId="75" hidden="1">[1]CE!#REF!</definedName>
    <definedName name="__123Graph_CSTNPLF" localSheetId="52" hidden="1">[1]CE!#REF!</definedName>
    <definedName name="__123Graph_CSTNPLF" localSheetId="64" hidden="1">[1]CE!#REF!</definedName>
    <definedName name="__123Graph_CSTNPLF" localSheetId="76" hidden="1">[1]CE!#REF!</definedName>
    <definedName name="__123Graph_CSTNPLF" localSheetId="53" hidden="1">[1]CE!#REF!</definedName>
    <definedName name="__123Graph_CSTNPLF" localSheetId="65" hidden="1">[1]CE!#REF!</definedName>
    <definedName name="__123Graph_CSTNPLF" localSheetId="77" hidden="1">[1]CE!#REF!</definedName>
    <definedName name="__123Graph_CSTNPLF" localSheetId="54" hidden="1">[1]CE!#REF!</definedName>
    <definedName name="__123Graph_CSTNPLF" localSheetId="66" hidden="1">[1]CE!#REF!</definedName>
    <definedName name="__123Graph_CSTNPLF" localSheetId="78" hidden="1">[1]CE!#REF!</definedName>
    <definedName name="__123Graph_CSTNPLF" localSheetId="55" hidden="1">[1]CE!#REF!</definedName>
    <definedName name="__123Graph_CSTNPLF" localSheetId="67" hidden="1">[1]CE!#REF!</definedName>
    <definedName name="__123Graph_CSTNPLF" localSheetId="79" hidden="1">[1]CE!#REF!</definedName>
    <definedName name="__123Graph_CSTNPLF" localSheetId="56" hidden="1">[1]CE!#REF!</definedName>
    <definedName name="__123Graph_CSTNPLF" localSheetId="68" hidden="1">[1]CE!#REF!</definedName>
    <definedName name="__123Graph_CSTNPLF" localSheetId="80" hidden="1">[1]CE!#REF!</definedName>
    <definedName name="__123Graph_CSTNPLF" localSheetId="57" hidden="1">[1]CE!#REF!</definedName>
    <definedName name="__123Graph_CSTNPLF" localSheetId="13" hidden="1">[1]CE!#REF!</definedName>
    <definedName name="__123Graph_CSTNPLF" localSheetId="6" hidden="1">[1]CE!#REF!</definedName>
    <definedName name="__123Graph_CSTNPLF" localSheetId="14" hidden="1">[1]CE!#REF!</definedName>
    <definedName name="__123Graph_CSTNPLF" localSheetId="7" hidden="1">[1]CE!#REF!</definedName>
    <definedName name="__123Graph_CSTNPLF" hidden="1">[1]CE!#REF!</definedName>
    <definedName name="__123Graph_X" localSheetId="73" hidden="1">[1]CE!#REF!</definedName>
    <definedName name="__123Graph_X" localSheetId="49" hidden="1">[1]CE!#REF!</definedName>
    <definedName name="__123Graph_X" localSheetId="48" hidden="1">[1]CE!#REF!</definedName>
    <definedName name="__123Graph_X" localSheetId="62" hidden="1">[1]CE!#REF!</definedName>
    <definedName name="__123Graph_X" localSheetId="74" hidden="1">[1]CE!#REF!</definedName>
    <definedName name="__123Graph_X" localSheetId="51" hidden="1">[1]CE!#REF!</definedName>
    <definedName name="__123Graph_X" localSheetId="63" hidden="1">[1]CE!#REF!</definedName>
    <definedName name="__123Graph_X" localSheetId="75" hidden="1">[1]CE!#REF!</definedName>
    <definedName name="__123Graph_X" localSheetId="52" hidden="1">[1]CE!#REF!</definedName>
    <definedName name="__123Graph_X" localSheetId="64" hidden="1">[1]CE!#REF!</definedName>
    <definedName name="__123Graph_X" localSheetId="76" hidden="1">[1]CE!#REF!</definedName>
    <definedName name="__123Graph_X" localSheetId="53" hidden="1">[1]CE!#REF!</definedName>
    <definedName name="__123Graph_X" localSheetId="65" hidden="1">[1]CE!#REF!</definedName>
    <definedName name="__123Graph_X" localSheetId="77" hidden="1">[1]CE!#REF!</definedName>
    <definedName name="__123Graph_X" localSheetId="54" hidden="1">[1]CE!#REF!</definedName>
    <definedName name="__123Graph_X" localSheetId="66" hidden="1">[1]CE!#REF!</definedName>
    <definedName name="__123Graph_X" localSheetId="78" hidden="1">[1]CE!#REF!</definedName>
    <definedName name="__123Graph_X" localSheetId="55" hidden="1">[1]CE!#REF!</definedName>
    <definedName name="__123Graph_X" localSheetId="67" hidden="1">[1]CE!#REF!</definedName>
    <definedName name="__123Graph_X" localSheetId="79" hidden="1">[1]CE!#REF!</definedName>
    <definedName name="__123Graph_X" localSheetId="56" hidden="1">[1]CE!#REF!</definedName>
    <definedName name="__123Graph_X" localSheetId="68" hidden="1">[1]CE!#REF!</definedName>
    <definedName name="__123Graph_X" localSheetId="80" hidden="1">[1]CE!#REF!</definedName>
    <definedName name="__123Graph_X" localSheetId="57" hidden="1">[1]CE!#REF!</definedName>
    <definedName name="__123Graph_X" localSheetId="13" hidden="1">[1]CE!#REF!</definedName>
    <definedName name="__123Graph_X" localSheetId="6" hidden="1">[1]CE!#REF!</definedName>
    <definedName name="__123Graph_X" localSheetId="14" hidden="1">[1]CE!#REF!</definedName>
    <definedName name="__123Graph_X" localSheetId="7" hidden="1">[1]CE!#REF!</definedName>
    <definedName name="__123Graph_X" hidden="1">[1]CE!#REF!</definedName>
    <definedName name="__123Graph_XSTNPLF" localSheetId="73" hidden="1">[1]CE!#REF!</definedName>
    <definedName name="__123Graph_XSTNPLF" localSheetId="49" hidden="1">[1]CE!#REF!</definedName>
    <definedName name="__123Graph_XSTNPLF" localSheetId="48" hidden="1">[1]CE!#REF!</definedName>
    <definedName name="__123Graph_XSTNPLF" localSheetId="62" hidden="1">[1]CE!#REF!</definedName>
    <definedName name="__123Graph_XSTNPLF" localSheetId="74" hidden="1">[1]CE!#REF!</definedName>
    <definedName name="__123Graph_XSTNPLF" localSheetId="51" hidden="1">[1]CE!#REF!</definedName>
    <definedName name="__123Graph_XSTNPLF" localSheetId="63" hidden="1">[1]CE!#REF!</definedName>
    <definedName name="__123Graph_XSTNPLF" localSheetId="75" hidden="1">[1]CE!#REF!</definedName>
    <definedName name="__123Graph_XSTNPLF" localSheetId="52" hidden="1">[1]CE!#REF!</definedName>
    <definedName name="__123Graph_XSTNPLF" localSheetId="64" hidden="1">[1]CE!#REF!</definedName>
    <definedName name="__123Graph_XSTNPLF" localSheetId="76" hidden="1">[1]CE!#REF!</definedName>
    <definedName name="__123Graph_XSTNPLF" localSheetId="53" hidden="1">[1]CE!#REF!</definedName>
    <definedName name="__123Graph_XSTNPLF" localSheetId="65" hidden="1">[1]CE!#REF!</definedName>
    <definedName name="__123Graph_XSTNPLF" localSheetId="77" hidden="1">[1]CE!#REF!</definedName>
    <definedName name="__123Graph_XSTNPLF" localSheetId="54" hidden="1">[1]CE!#REF!</definedName>
    <definedName name="__123Graph_XSTNPLF" localSheetId="66" hidden="1">[1]CE!#REF!</definedName>
    <definedName name="__123Graph_XSTNPLF" localSheetId="78" hidden="1">[1]CE!#REF!</definedName>
    <definedName name="__123Graph_XSTNPLF" localSheetId="55" hidden="1">[1]CE!#REF!</definedName>
    <definedName name="__123Graph_XSTNPLF" localSheetId="67" hidden="1">[1]CE!#REF!</definedName>
    <definedName name="__123Graph_XSTNPLF" localSheetId="79" hidden="1">[1]CE!#REF!</definedName>
    <definedName name="__123Graph_XSTNPLF" localSheetId="56" hidden="1">[1]CE!#REF!</definedName>
    <definedName name="__123Graph_XSTNPLF" localSheetId="68" hidden="1">[1]CE!#REF!</definedName>
    <definedName name="__123Graph_XSTNPLF" localSheetId="80" hidden="1">[1]CE!#REF!</definedName>
    <definedName name="__123Graph_XSTNPLF" localSheetId="57" hidden="1">[1]CE!#REF!</definedName>
    <definedName name="__123Graph_XSTNPLF" localSheetId="13" hidden="1">[1]CE!#REF!</definedName>
    <definedName name="__123Graph_XSTNPLF" localSheetId="6" hidden="1">[1]CE!#REF!</definedName>
    <definedName name="__123Graph_XSTNPLF" localSheetId="14" hidden="1">[1]CE!#REF!</definedName>
    <definedName name="__123Graph_XSTNPLF" localSheetId="7" hidden="1">[1]CE!#REF!</definedName>
    <definedName name="__123Graph_XSTNPLF" hidden="1">[1]CE!#REF!</definedName>
    <definedName name="_Fill" localSheetId="35" hidden="1">#REF!</definedName>
    <definedName name="_Fill" localSheetId="38" hidden="1">#REF!</definedName>
    <definedName name="_Fill" localSheetId="39" hidden="1">#REF!</definedName>
    <definedName name="_Fill" localSheetId="73" hidden="1">#REF!</definedName>
    <definedName name="_Fill" localSheetId="49" hidden="1">#REF!</definedName>
    <definedName name="_Fill" localSheetId="48" hidden="1">#REF!</definedName>
    <definedName name="_Fill" localSheetId="62" hidden="1">#REF!</definedName>
    <definedName name="_Fill" localSheetId="74" hidden="1">#REF!</definedName>
    <definedName name="_Fill" localSheetId="51" hidden="1">#REF!</definedName>
    <definedName name="_Fill" localSheetId="63" hidden="1">#REF!</definedName>
    <definedName name="_Fill" localSheetId="75" hidden="1">#REF!</definedName>
    <definedName name="_Fill" localSheetId="52" hidden="1">#REF!</definedName>
    <definedName name="_Fill" localSheetId="64" hidden="1">#REF!</definedName>
    <definedName name="_Fill" localSheetId="76" hidden="1">#REF!</definedName>
    <definedName name="_Fill" localSheetId="53" hidden="1">#REF!</definedName>
    <definedName name="_Fill" localSheetId="65" hidden="1">#REF!</definedName>
    <definedName name="_Fill" localSheetId="77" hidden="1">#REF!</definedName>
    <definedName name="_Fill" localSheetId="54" hidden="1">#REF!</definedName>
    <definedName name="_Fill" localSheetId="66" hidden="1">#REF!</definedName>
    <definedName name="_Fill" localSheetId="78" hidden="1">#REF!</definedName>
    <definedName name="_Fill" localSheetId="55" hidden="1">#REF!</definedName>
    <definedName name="_Fill" localSheetId="67" hidden="1">#REF!</definedName>
    <definedName name="_Fill" localSheetId="79" hidden="1">#REF!</definedName>
    <definedName name="_Fill" localSheetId="56" hidden="1">#REF!</definedName>
    <definedName name="_Fill" localSheetId="68" hidden="1">#REF!</definedName>
    <definedName name="_Fill" localSheetId="80" hidden="1">#REF!</definedName>
    <definedName name="_Fill" localSheetId="57" hidden="1">#REF!</definedName>
    <definedName name="_Fill" localSheetId="13" hidden="1">#REF!</definedName>
    <definedName name="_Fill" localSheetId="6" hidden="1">#REF!</definedName>
    <definedName name="_Fill" localSheetId="14" hidden="1">#REF!</definedName>
    <definedName name="_Fill" localSheetId="7" hidden="1">#REF!</definedName>
    <definedName name="_Fill" hidden="1">#REF!</definedName>
    <definedName name="_Order1" hidden="1">255</definedName>
    <definedName name="new" localSheetId="73" hidden="1">[2]CE!#REF!</definedName>
    <definedName name="new" localSheetId="49" hidden="1">[2]CE!#REF!</definedName>
    <definedName name="new" localSheetId="48" hidden="1">[2]CE!#REF!</definedName>
    <definedName name="new" localSheetId="62" hidden="1">[2]CE!#REF!</definedName>
    <definedName name="new" localSheetId="74" hidden="1">[2]CE!#REF!</definedName>
    <definedName name="new" localSheetId="51" hidden="1">[2]CE!#REF!</definedName>
    <definedName name="new" localSheetId="63" hidden="1">[2]CE!#REF!</definedName>
    <definedName name="new" localSheetId="75" hidden="1">[2]CE!#REF!</definedName>
    <definedName name="new" localSheetId="52" hidden="1">[2]CE!#REF!</definedName>
    <definedName name="new" localSheetId="64" hidden="1">[2]CE!#REF!</definedName>
    <definedName name="new" localSheetId="76" hidden="1">[2]CE!#REF!</definedName>
    <definedName name="new" localSheetId="53" hidden="1">[2]CE!#REF!</definedName>
    <definedName name="new" localSheetId="65" hidden="1">[2]CE!#REF!</definedName>
    <definedName name="new" localSheetId="77" hidden="1">[2]CE!#REF!</definedName>
    <definedName name="new" localSheetId="54" hidden="1">[2]CE!#REF!</definedName>
    <definedName name="new" localSheetId="66" hidden="1">[2]CE!#REF!</definedName>
    <definedName name="new" localSheetId="78" hidden="1">[2]CE!#REF!</definedName>
    <definedName name="new" localSheetId="55" hidden="1">[2]CE!#REF!</definedName>
    <definedName name="new" localSheetId="67" hidden="1">[2]CE!#REF!</definedName>
    <definedName name="new" localSheetId="79" hidden="1">[2]CE!#REF!</definedName>
    <definedName name="new" localSheetId="56" hidden="1">[2]CE!#REF!</definedName>
    <definedName name="new" localSheetId="68" hidden="1">[2]CE!#REF!</definedName>
    <definedName name="new" localSheetId="80" hidden="1">[2]CE!#REF!</definedName>
    <definedName name="new" localSheetId="57" hidden="1">[2]CE!#REF!</definedName>
    <definedName name="new" localSheetId="13" hidden="1">[2]CE!#REF!</definedName>
    <definedName name="new" localSheetId="6" hidden="1">[2]CE!#REF!</definedName>
    <definedName name="new" localSheetId="14" hidden="1">[2]CE!#REF!</definedName>
    <definedName name="new" localSheetId="7" hidden="1">[2]CE!#REF!</definedName>
    <definedName name="new" hidden="1">[2]CE!#REF!</definedName>
    <definedName name="_xlnm.Print_Area" localSheetId="0">Checklist!$A$1:$E$48</definedName>
    <definedName name="_xlnm.Print_Area" localSheetId="99">'F 27 (n+2)'!$A$1:$M$224</definedName>
    <definedName name="_xlnm.Print_Area" localSheetId="2">'F1'!$B$3:$P$57</definedName>
    <definedName name="_xlnm.Print_Area" localSheetId="27">'F10'!$C$1:$P$158</definedName>
    <definedName name="_xlnm.Print_Area" localSheetId="30">'F11-Year(n+1)'!$C$1:$Q$158</definedName>
    <definedName name="_xlnm.Print_Area" localSheetId="38">'F13-Year(n+1)'!$A$1:$Q$527</definedName>
    <definedName name="_xlnm.Print_Area" localSheetId="74">'F17'!$A$2:$O$858</definedName>
    <definedName name="_xlnm.Print_Area" localSheetId="63">'F17-x'!$A$2:$O$50</definedName>
    <definedName name="_xlnm.Print_Area" localSheetId="8">'F2'!$A$5:$N$78</definedName>
    <definedName name="_xlnm.Print_Area" localSheetId="77">'F20'!$B$1:$O$59</definedName>
    <definedName name="_xlnm.Print_Area" localSheetId="82">F24.1!$A$1:$E$33</definedName>
    <definedName name="_xlnm.Print_Area" localSheetId="83">F24.2!$B$1:$J$52</definedName>
    <definedName name="_xlnm.Print_Area" localSheetId="85">F24.4!$A$1:$F$52</definedName>
    <definedName name="_xlnm.Print_Area" localSheetId="86">F24.5!$B$1:$F$52</definedName>
    <definedName name="_xlnm.Print_Area" localSheetId="87">F24.6!$A$1:$G$52</definedName>
    <definedName name="_xlnm.Print_Area" localSheetId="88">F24.7!$A$1:$E$51</definedName>
    <definedName name="_xlnm.Print_Area" localSheetId="89">F24.8!$B$1:$F$52</definedName>
    <definedName name="_xlnm.Print_Area" localSheetId="97">'F26-Year(n+2)(Current Tariff)'!$B$1:$N$225</definedName>
    <definedName name="_xlnm.Print_Area" localSheetId="10">'F3'!$C$5:$K$78</definedName>
    <definedName name="_xlnm.Print_Area" localSheetId="12">'F4'!$A$1:$Q$825</definedName>
    <definedName name="_xlnm.Print_Area" localSheetId="13">F4A!$A$1:$Q$824</definedName>
    <definedName name="_xlnm.Print_Area" localSheetId="14">F4B!$A$1:$Q$823</definedName>
    <definedName name="_xlnm.Print_Area" localSheetId="16">'F6'!$B$5:$L$41</definedName>
    <definedName name="_xlnm.Print_Area" localSheetId="17">'F7'!$B$1:$Q$114</definedName>
    <definedName name="_xlnm.Print_Area" localSheetId="19">'F8'!$C$1:$P$157</definedName>
    <definedName name="_xlnm.Print_Area" localSheetId="22">'F9-Year(n+1)'!$A$1:$U$158</definedName>
    <definedName name="xxxx" localSheetId="73" hidden="1">[3]CE!#REF!</definedName>
    <definedName name="xxxx" localSheetId="49" hidden="1">[3]CE!#REF!</definedName>
    <definedName name="xxxx" localSheetId="48" hidden="1">[3]CE!#REF!</definedName>
    <definedName name="xxxx" localSheetId="62" hidden="1">[3]CE!#REF!</definedName>
    <definedName name="xxxx" localSheetId="74" hidden="1">[3]CE!#REF!</definedName>
    <definedName name="xxxx" localSheetId="51" hidden="1">[3]CE!#REF!</definedName>
    <definedName name="xxxx" localSheetId="63" hidden="1">[3]CE!#REF!</definedName>
    <definedName name="xxxx" localSheetId="75" hidden="1">[3]CE!#REF!</definedName>
    <definedName name="xxxx" localSheetId="52" hidden="1">[3]CE!#REF!</definedName>
    <definedName name="xxxx" localSheetId="64" hidden="1">[3]CE!#REF!</definedName>
    <definedName name="xxxx" localSheetId="76" hidden="1">[3]CE!#REF!</definedName>
    <definedName name="xxxx" localSheetId="53" hidden="1">[3]CE!#REF!</definedName>
    <definedName name="xxxx" localSheetId="65" hidden="1">[3]CE!#REF!</definedName>
    <definedName name="xxxx" localSheetId="77" hidden="1">[3]CE!#REF!</definedName>
    <definedName name="xxxx" localSheetId="54" hidden="1">[3]CE!#REF!</definedName>
    <definedName name="xxxx" localSheetId="66" hidden="1">[3]CE!#REF!</definedName>
    <definedName name="xxxx" localSheetId="78" hidden="1">[3]CE!#REF!</definedName>
    <definedName name="xxxx" localSheetId="55" hidden="1">[3]CE!#REF!</definedName>
    <definedName name="xxxx" localSheetId="67" hidden="1">[3]CE!#REF!</definedName>
    <definedName name="xxxx" localSheetId="79" hidden="1">[3]CE!#REF!</definedName>
    <definedName name="xxxx" localSheetId="56" hidden="1">[3]CE!#REF!</definedName>
    <definedName name="xxxx" localSheetId="68" hidden="1">[3]CE!#REF!</definedName>
    <definedName name="xxxx" localSheetId="80" hidden="1">[3]CE!#REF!</definedName>
    <definedName name="xxxx" localSheetId="57" hidden="1">[3]CE!#REF!</definedName>
    <definedName name="xxxx" localSheetId="13" hidden="1">[3]CE!#REF!</definedName>
    <definedName name="xxxx" localSheetId="6" hidden="1">[3]CE!#REF!</definedName>
    <definedName name="xxxx" localSheetId="14" hidden="1">[3]CE!#REF!</definedName>
    <definedName name="xxxx" localSheetId="7" hidden="1">[3]CE!#REF!</definedName>
    <definedName name="xxxx" hidden="1">[3]CE!#REF!</definedName>
    <definedName name="_xlnm.Print_Area" localSheetId="35">'F12'!$C$1:$L$513</definedName>
    <definedName name="_xlnm.Print_Area" localSheetId="43">'F14'!$C$1:$O$19</definedName>
    <definedName name="_xlnm.Print_Area" localSheetId="69">'F15'!$B$1:$Q$34</definedName>
    <definedName name="_xlnm.Print_Area" localSheetId="70">F15.1!$B$1:$P$101</definedName>
    <definedName name="_xlnm.Print_Area" localSheetId="75">'F18'!$B$1:$O$106</definedName>
    <definedName name="_xlnm.Print_Area" localSheetId="76">'F19'!$B$1:$O$17</definedName>
    <definedName name="_xlnm.Print_Area" localSheetId="78">'F21'!$B$1:$O$49</definedName>
    <definedName name="_xlnm.Print_Area" localSheetId="81">'F24'!$B$1:$AE$53</definedName>
    <definedName name="_xlnm.Print_Area" localSheetId="94">'F26-Year(n+1)(Current Tariff)'!$B$1:$O$222</definedName>
    <definedName name="_xlnm.Print_Area" localSheetId="84">F24.3!$B$1:$AE$53</definedName>
    <definedName name="_xlnm.Print_Area" localSheetId="93">'F 25'!$A$1:$O$130</definedName>
    <definedName name="_xlnm.Print_Area" localSheetId="95">'F26-Year(n+1)(Proposed Tariff)'!$B$1:$O$225</definedName>
    <definedName name="_xlnm.Print_Area" localSheetId="98">'F26-Year(n+2)(Proposed Tariff)'!$B$1:$O$225</definedName>
  </definedNames>
  <calcPr calcId="191029" iterate="1" iterateCount="500" iterateDelta="0.0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tc={601001C5-E7D4-477F-8F50-7F193FCA3776}</author>
  </authors>
  <commentList>
    <comment ref="E29" authorId="0">
      <text>
        <r>
          <rPr>
            <sz val="10"/>
            <rFont val="SimSun"/>
            <charset val="134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Values taken from harsha's sheet</t>
        </r>
      </text>
    </comment>
  </commentList>
</comments>
</file>

<file path=xl/comments2.xml><?xml version="1.0" encoding="utf-8"?>
<comments xmlns="http://schemas.openxmlformats.org/spreadsheetml/2006/main">
  <authors>
    <author>tc={15729D3B-6144-4D18-8449-497EA691568A}</author>
  </authors>
  <commentList>
    <comment ref="E29" authorId="0">
      <text>
        <r>
          <rPr>
            <sz val="10"/>
            <rFont val="SimSun"/>
            <charset val="134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Values taken from harsha's sheet</t>
        </r>
      </text>
    </comment>
  </commentList>
</comments>
</file>

<file path=xl/comments3.xml><?xml version="1.0" encoding="utf-8"?>
<comments xmlns="http://schemas.openxmlformats.org/spreadsheetml/2006/main">
  <authors>
    <author>tc={F2E3A611-6862-45C3-AD75-ADB8B0710A76}</author>
  </authors>
  <commentList>
    <comment ref="E29" authorId="0">
      <text>
        <r>
          <rPr>
            <sz val="10"/>
            <rFont val="SimSun"/>
            <charset val="134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Values taken from harsha's sheet</t>
        </r>
      </text>
    </comment>
  </commentList>
</comments>
</file>

<file path=xl/comments4.xml><?xml version="1.0" encoding="utf-8"?>
<comments xmlns="http://schemas.openxmlformats.org/spreadsheetml/2006/main">
  <authors>
    <author>tc={AA78EF82-3FB4-49F4-A2E3-C03643B4ECCD}</author>
  </authors>
  <commentList>
    <comment ref="E29" authorId="0">
      <text>
        <r>
          <rPr>
            <sz val="10"/>
            <rFont val="SimSun"/>
            <charset val="134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Values taken from harsha's sheet</t>
        </r>
      </text>
    </comment>
  </commentList>
</comments>
</file>

<file path=xl/comments5.xml><?xml version="1.0" encoding="utf-8"?>
<comments xmlns="http://schemas.openxmlformats.org/spreadsheetml/2006/main">
  <authors>
    <author>tc={138860E6-181F-476F-B265-6E4F57A5CE69}</author>
  </authors>
  <commentList>
    <comment ref="E29" authorId="0">
      <text>
        <r>
          <rPr>
            <sz val="10"/>
            <rFont val="SimSun"/>
            <charset val="134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Values taken from harsha's sheet</t>
        </r>
      </text>
    </comment>
  </commentList>
</comments>
</file>

<file path=xl/comments6.xml><?xml version="1.0" encoding="utf-8"?>
<comments xmlns="http://schemas.openxmlformats.org/spreadsheetml/2006/main">
  <authors>
    <author>H S, Prajwal</author>
  </authors>
  <commentList>
    <comment ref="L22" authorId="0">
      <text>
        <r>
          <rPr>
            <b/>
            <sz val="9"/>
            <rFont val="Tahoma"/>
            <charset val="134"/>
          </rPr>
          <t>H S, Prajwal:</t>
        </r>
        <r>
          <rPr>
            <sz val="9"/>
            <rFont val="Tahoma"/>
            <charset val="134"/>
          </rPr>
          <t xml:space="preserve">
Contract demand is basis of allocation</t>
        </r>
      </text>
    </comment>
    <comment ref="O22" authorId="0">
      <text>
        <r>
          <rPr>
            <b/>
            <sz val="9"/>
            <rFont val="Tahoma"/>
            <charset val="134"/>
          </rPr>
          <t>H S, Prajwal:</t>
        </r>
        <r>
          <rPr>
            <sz val="9"/>
            <rFont val="Tahoma"/>
            <charset val="134"/>
          </rPr>
          <t xml:space="preserve">
Contract demand is basis of allocation in model</t>
        </r>
      </text>
    </comment>
  </commentList>
</comments>
</file>

<file path=xl/sharedStrings.xml><?xml version="1.0" encoding="utf-8"?>
<sst xmlns="http://schemas.openxmlformats.org/spreadsheetml/2006/main" count="28790" uniqueCount="1237">
  <si>
    <t>TGSPDCL</t>
  </si>
  <si>
    <t xml:space="preserve"> Tariff Filing Formats - Wheeling and Retail Supply</t>
  </si>
  <si>
    <t>Checklist</t>
  </si>
  <si>
    <t>S. No.</t>
  </si>
  <si>
    <t>Form</t>
  </si>
  <si>
    <t>Title</t>
  </si>
  <si>
    <t>Tick</t>
  </si>
  <si>
    <t>Form 1</t>
  </si>
  <si>
    <t>Aggregate Revenue Requirement</t>
  </si>
  <si>
    <t>Form 2</t>
  </si>
  <si>
    <t>Number of Retail Supply Consumers</t>
  </si>
  <si>
    <t>Form 3</t>
  </si>
  <si>
    <t>Contract Demand</t>
  </si>
  <si>
    <t>Form 4</t>
  </si>
  <si>
    <t>Consumer Sales (Total)</t>
  </si>
  <si>
    <t>Form 4A</t>
  </si>
  <si>
    <t>Consumer Sales (Metered)</t>
  </si>
  <si>
    <t>Form 4B</t>
  </si>
  <si>
    <t>Consumer Sales (Assessed)</t>
  </si>
  <si>
    <t>Form 5</t>
  </si>
  <si>
    <t>Distribution Loss</t>
  </si>
  <si>
    <t>Form 6</t>
  </si>
  <si>
    <t>Energy Balance</t>
  </si>
  <si>
    <t>Form 7</t>
  </si>
  <si>
    <t>Month wise Energy Balance</t>
  </si>
  <si>
    <t>Form 8</t>
  </si>
  <si>
    <t>Energy Availability</t>
  </si>
  <si>
    <t>Form 9</t>
  </si>
  <si>
    <t>Month Wise Energy Availability</t>
  </si>
  <si>
    <t>Form 10</t>
  </si>
  <si>
    <t>Energy Despatch</t>
  </si>
  <si>
    <t>Form 11</t>
  </si>
  <si>
    <t>Month Wise Energy Despatch</t>
  </si>
  <si>
    <t>Form 12</t>
  </si>
  <si>
    <t>Power Purchase Expenses</t>
  </si>
  <si>
    <t>Form 13</t>
  </si>
  <si>
    <t>Month Wise Power Purchase Expenses</t>
  </si>
  <si>
    <t>Form 14</t>
  </si>
  <si>
    <t>Transmission and SLDC Charges</t>
  </si>
  <si>
    <t>Form 15</t>
  </si>
  <si>
    <t>Operation and Maintenance Expenses</t>
  </si>
  <si>
    <t>Form 15.1</t>
  </si>
  <si>
    <t>Employee Expenses</t>
  </si>
  <si>
    <t>Form 15.2</t>
  </si>
  <si>
    <t>Administration &amp; General Expenses</t>
  </si>
  <si>
    <t>Form 15.3</t>
  </si>
  <si>
    <t>Repair &amp; Maintenance Expenses</t>
  </si>
  <si>
    <t>Form 16</t>
  </si>
  <si>
    <t>Summary of Capital Expenditure and Capitalisation</t>
  </si>
  <si>
    <t>Form 16.1</t>
  </si>
  <si>
    <t>Statement of Capitalisation</t>
  </si>
  <si>
    <t>Form 16.2</t>
  </si>
  <si>
    <t>Financing of Capitalisation</t>
  </si>
  <si>
    <t>Form 17</t>
  </si>
  <si>
    <t>Fixed Assets &amp; Depreciation</t>
  </si>
  <si>
    <t>Form 18</t>
  </si>
  <si>
    <t>Interest and finance charges on loan</t>
  </si>
  <si>
    <t>Form 19</t>
  </si>
  <si>
    <t>Interest on working capital</t>
  </si>
  <si>
    <t>Form 20</t>
  </si>
  <si>
    <t>Return on Equity</t>
  </si>
  <si>
    <t>Form 21</t>
  </si>
  <si>
    <t>Non-Tariff Income</t>
  </si>
  <si>
    <t>Form 22</t>
  </si>
  <si>
    <t>Income from Other Businesses</t>
  </si>
  <si>
    <t>Form 23</t>
  </si>
  <si>
    <t>Receipts on account of Cross Subsidy Surcharge and Additional Surcharge</t>
  </si>
  <si>
    <t>Form 24</t>
  </si>
  <si>
    <t>Cost of Service: Embedded Cost Method</t>
  </si>
  <si>
    <t>Form 24.1</t>
  </si>
  <si>
    <t>Cost of Service: Embedded Cost Method-Losses</t>
  </si>
  <si>
    <t>Form 24.2</t>
  </si>
  <si>
    <t>Cost of Service: Embedded Cost Method-Class Factors</t>
  </si>
  <si>
    <t>Form 24.3</t>
  </si>
  <si>
    <t>Cost of Service: Embedded Cost Method-Allocation Factors</t>
  </si>
  <si>
    <t>Form 24.4</t>
  </si>
  <si>
    <t>Cost of Service: Embedded Cost Method-Capacity Allocation</t>
  </si>
  <si>
    <t>Form 24.5</t>
  </si>
  <si>
    <t>Cost of Service: Embedded Cost Method-Power Purchase Expenses Allocation</t>
  </si>
  <si>
    <t>Form 24.6</t>
  </si>
  <si>
    <t>Cost of Service: Embedded Cost Method-Transmission and SLDC Charges Allocation</t>
  </si>
  <si>
    <t>Form 24.7</t>
  </si>
  <si>
    <t>Cost of Service: Embedded Cost Method-Distribution Cost Allocation</t>
  </si>
  <si>
    <t>Form 24.8</t>
  </si>
  <si>
    <t>Cost of Service: Embedded Cost Method-Retail Supply Cost Allocation</t>
  </si>
  <si>
    <t>Form 25</t>
  </si>
  <si>
    <t>Retail Supply Tariff</t>
  </si>
  <si>
    <t>Form 26</t>
  </si>
  <si>
    <t>Revenue from Sale of Power</t>
  </si>
  <si>
    <t>Form 27</t>
  </si>
  <si>
    <t>Revenue Summary</t>
  </si>
  <si>
    <t>Form 28</t>
  </si>
  <si>
    <t>Summary of true-up -Year (n-1)</t>
  </si>
  <si>
    <t>Form 29</t>
  </si>
  <si>
    <t>Revenue Gap/(Surplus) -Year (n+1)</t>
  </si>
  <si>
    <t>TGNPDCL</t>
  </si>
  <si>
    <t>Name</t>
  </si>
  <si>
    <t>Total</t>
  </si>
  <si>
    <t>Completed</t>
  </si>
  <si>
    <t>Pending</t>
  </si>
  <si>
    <t>Harsha</t>
  </si>
  <si>
    <t>Pranav</t>
  </si>
  <si>
    <t>Arun</t>
  </si>
  <si>
    <t>Prajwal</t>
  </si>
  <si>
    <t>All inputs</t>
  </si>
  <si>
    <t>&lt;Name of the Distribution Licensee&gt;</t>
  </si>
  <si>
    <t>Form 1:  Aggregate Revenue Requirement</t>
  </si>
  <si>
    <t>A)</t>
  </si>
  <si>
    <t>Wheeling Business + Retail Supply Business</t>
  </si>
  <si>
    <t>(Rs. Crore)</t>
  </si>
  <si>
    <t>Particulars</t>
  </si>
  <si>
    <t>Reference</t>
  </si>
  <si>
    <t>Year (n-1)</t>
  </si>
  <si>
    <t>Current Year 'n' 2023-24</t>
  </si>
  <si>
    <t>Control Period</t>
  </si>
  <si>
    <t>Remarks</t>
  </si>
  <si>
    <t>MYT/Tariff Order</t>
  </si>
  <si>
    <t xml:space="preserve">April-March     </t>
  </si>
  <si>
    <t>True-Up requirement</t>
  </si>
  <si>
    <t>Apr-Sep</t>
  </si>
  <si>
    <t xml:space="preserve">Oct-Mar        </t>
  </si>
  <si>
    <t>April - March</t>
  </si>
  <si>
    <t>n+1
2024-25</t>
  </si>
  <si>
    <t>n+2
2025-26</t>
  </si>
  <si>
    <t>n+3
2026-27</t>
  </si>
  <si>
    <t>n+4
2027-28</t>
  </si>
  <si>
    <t>n+5
2028-29</t>
  </si>
  <si>
    <t>Approved</t>
  </si>
  <si>
    <t>Audited</t>
  </si>
  <si>
    <t>Claimed</t>
  </si>
  <si>
    <t>Actual</t>
  </si>
  <si>
    <t>Estimated</t>
  </si>
  <si>
    <t>Projected</t>
  </si>
  <si>
    <t>Power purchase expenses</t>
  </si>
  <si>
    <t>Inter-State Transmission Charges</t>
  </si>
  <si>
    <t>Intra-State Transmission Charges</t>
  </si>
  <si>
    <t>SLDC Charges</t>
  </si>
  <si>
    <t>Distribution Cost</t>
  </si>
  <si>
    <t>Operation &amp; Maintenance Expenses</t>
  </si>
  <si>
    <t xml:space="preserve">Depreciation </t>
  </si>
  <si>
    <t>Interest on Working Capital</t>
  </si>
  <si>
    <t>Interest on Consumer Security Deposits</t>
  </si>
  <si>
    <t>Less: Non-Tariff Income</t>
  </si>
  <si>
    <t>B)</t>
  </si>
  <si>
    <t>Wheeling Business</t>
  </si>
  <si>
    <t>this will be linked to 90% dist ARR formats</t>
  </si>
  <si>
    <t>90% t</t>
  </si>
  <si>
    <t>Less:</t>
  </si>
  <si>
    <t>Income from Open Access charges</t>
  </si>
  <si>
    <t>Income from Other Business</t>
  </si>
  <si>
    <t>Add:</t>
  </si>
  <si>
    <t>Impact of true-up for prior period</t>
  </si>
  <si>
    <t>C)</t>
  </si>
  <si>
    <t>Retail Supply Business</t>
  </si>
  <si>
    <t>Year (n-1) 2022-23</t>
  </si>
  <si>
    <t>10% t</t>
  </si>
  <si>
    <t>TSSPDCL</t>
  </si>
  <si>
    <t>Form 2:  Number of Retail Supply Consumers</t>
  </si>
  <si>
    <t>(No.)</t>
  </si>
  <si>
    <t>Consumer Category</t>
  </si>
  <si>
    <t>Year (n-4) FY 2019-20</t>
  </si>
  <si>
    <t>Year (n-3) FY 2020-21</t>
  </si>
  <si>
    <t>Year (n-2) FY 2021-22</t>
  </si>
  <si>
    <t>Year (n-1) FY 2022-23</t>
  </si>
  <si>
    <t>Current Year 'n' FY 2023-24</t>
  </si>
  <si>
    <t>n+1             FY 2024-25</t>
  </si>
  <si>
    <t>n+2                  FY 2025-26</t>
  </si>
  <si>
    <t>n+3                  FY 2026-27</t>
  </si>
  <si>
    <t>n+4                  FY 2027-28</t>
  </si>
  <si>
    <t>n+5                 FY 2028-29</t>
  </si>
  <si>
    <t>LT Category</t>
  </si>
  <si>
    <t>Category I (A&amp;B)</t>
  </si>
  <si>
    <t>Domestic</t>
  </si>
  <si>
    <t>Category II (A, B &amp; C)</t>
  </si>
  <si>
    <t>Non-Domestic/Commercial</t>
  </si>
  <si>
    <t xml:space="preserve">Category LT-III </t>
  </si>
  <si>
    <t xml:space="preserve"> Industrial</t>
  </si>
  <si>
    <t xml:space="preserve">Category LT-IV </t>
  </si>
  <si>
    <t>Cottage Industries</t>
  </si>
  <si>
    <t xml:space="preserve">Category LT-V </t>
  </si>
  <si>
    <t>Agricultural</t>
  </si>
  <si>
    <t xml:space="preserve">Category LT-VI </t>
  </si>
  <si>
    <t>Street Lighting &amp; PWS</t>
  </si>
  <si>
    <t xml:space="preserve">Category LT-VII </t>
  </si>
  <si>
    <t>General Purpose</t>
  </si>
  <si>
    <t xml:space="preserve">Category LT-VIII </t>
  </si>
  <si>
    <t>Temporary Supply</t>
  </si>
  <si>
    <t xml:space="preserve">Category LT-IX </t>
  </si>
  <si>
    <t>EV Charging Stations</t>
  </si>
  <si>
    <t>Sub-total (LT)</t>
  </si>
  <si>
    <t>HT Category at 11 kV</t>
  </si>
  <si>
    <t>HT-I</t>
  </si>
  <si>
    <t xml:space="preserve">Industry </t>
  </si>
  <si>
    <t>HT-I(B)</t>
  </si>
  <si>
    <t>Ferro Alloys</t>
  </si>
  <si>
    <t xml:space="preserve">HT-II(A) </t>
  </si>
  <si>
    <t>Others (Commercial)</t>
  </si>
  <si>
    <t>HT-II(B)</t>
  </si>
  <si>
    <t>Wholly Religious Places</t>
  </si>
  <si>
    <t xml:space="preserve">HT-III </t>
  </si>
  <si>
    <t>Airports, Bus Stations and Railway Stations</t>
  </si>
  <si>
    <t xml:space="preserve">HT-IV(A) </t>
  </si>
  <si>
    <t>Irrigation &amp; Agriculture</t>
  </si>
  <si>
    <t xml:space="preserve">HT-IV(B) </t>
  </si>
  <si>
    <t>CPWS Schemes</t>
  </si>
  <si>
    <t xml:space="preserve">HT-VI </t>
  </si>
  <si>
    <t>Townships and Residential Colonies</t>
  </si>
  <si>
    <t xml:space="preserve">HT-VII </t>
  </si>
  <si>
    <t>HT-VIII</t>
  </si>
  <si>
    <t>RESCOs</t>
  </si>
  <si>
    <t xml:space="preserve">HT-IX </t>
  </si>
  <si>
    <t>Sub-total</t>
  </si>
  <si>
    <t>HT Category at 33 kV</t>
  </si>
  <si>
    <t>HT-V(A)</t>
  </si>
  <si>
    <t>Railway traction</t>
  </si>
  <si>
    <t>HT-V(B)</t>
  </si>
  <si>
    <t>HMR traction</t>
  </si>
  <si>
    <t>HT-VI</t>
  </si>
  <si>
    <t>HT-VII</t>
  </si>
  <si>
    <t>HT Category at 132 kV and above</t>
  </si>
  <si>
    <t>CPWS</t>
  </si>
  <si>
    <t>HT-V</t>
  </si>
  <si>
    <t>Railway Traction &amp; HMR</t>
  </si>
  <si>
    <t>Sub-total (HT)</t>
  </si>
  <si>
    <t>Grand Total</t>
  </si>
  <si>
    <t>Note:</t>
  </si>
  <si>
    <t>Licensee is required to provide the details for the customer categories applicable to its licence area</t>
  </si>
  <si>
    <t>Form 3:  Contract Demand</t>
  </si>
  <si>
    <t>Category II (A,B,C&amp;D)</t>
  </si>
  <si>
    <t>Railway Traction</t>
  </si>
  <si>
    <t>HMR Traction</t>
  </si>
  <si>
    <t xml:space="preserve">HT-VIII </t>
  </si>
  <si>
    <t>Railway Traction &amp;HMR</t>
  </si>
  <si>
    <t>Licensee should furnish separate data for all sub-categories and consumption slabs within each category</t>
  </si>
  <si>
    <t>Form 4:  Consumer Sales (Total)</t>
  </si>
  <si>
    <t>A) Consumer Sales</t>
  </si>
  <si>
    <t>(MU)</t>
  </si>
  <si>
    <t>Apr-Mar</t>
  </si>
  <si>
    <t>Apr - Mar</t>
  </si>
  <si>
    <t>HT-II(A)</t>
  </si>
  <si>
    <t xml:space="preserve">Irrigation &amp; Agriculture </t>
  </si>
  <si>
    <t xml:space="preserve">HT-VA </t>
  </si>
  <si>
    <t>HT- VB</t>
  </si>
  <si>
    <t>HMR</t>
  </si>
  <si>
    <t>B) Month wise Consumer Sales</t>
  </si>
  <si>
    <t>Year (n-4) FY 2019-20 (Audited)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</si>
  <si>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</si>
  <si>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</si>
  <si>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</si>
  <si>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</si>
  <si>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</si>
  <si>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</si>
  <si>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</si>
  <si>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</si>
  <si>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</si>
  <si>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</si>
  <si>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</si>
  <si>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</si>
  <si>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……...</t>
  </si>
  <si>
    <t>HT-VB</t>
  </si>
  <si>
    <t>Year (n-3) FY 2020-21 (Audited)</t>
  </si>
  <si>
    <t>Year (n-2) FY 2021-22 (Audited)</t>
  </si>
  <si>
    <t>Year (n-1) FY 2022-23 (Audited)</t>
  </si>
  <si>
    <t>Year (n+1)FY 2024-25 (Projected)</t>
  </si>
  <si>
    <t>Year (n+2) FY 2025-26(Projected)</t>
  </si>
  <si>
    <t>Year (n+3) FY 2026-27(Projected)</t>
  </si>
  <si>
    <t>Year (n+4) FY 2027-28 (Projected)</t>
  </si>
  <si>
    <t>Year (n+5) FY 2028-29(Projected)</t>
  </si>
  <si>
    <t>Form 4A:  Consumer Sales (Metered)</t>
  </si>
  <si>
    <t xml:space="preserve">HT-V(A) </t>
  </si>
  <si>
    <t>RAILWAY Traction</t>
  </si>
  <si>
    <t>Form 4B:  Consumer Sales (Assessed)</t>
  </si>
  <si>
    <t>Year 'n' FY 2023-24</t>
  </si>
  <si>
    <t>Year (n+1)FY 2024-25</t>
  </si>
  <si>
    <t>Form 5: Distribution Loss</t>
  </si>
  <si>
    <t>Year (n-1) FY 2022-23 - Audited</t>
  </si>
  <si>
    <t>Name of the Distribution Circle</t>
  </si>
  <si>
    <t>Energy Input</t>
  </si>
  <si>
    <t>Energy Sent to Lower network</t>
  </si>
  <si>
    <t xml:space="preserve">Direct Sale </t>
  </si>
  <si>
    <t>Total Output</t>
  </si>
  <si>
    <t>Total Losses</t>
  </si>
  <si>
    <t>Total Losses (% of Energy Input)</t>
  </si>
  <si>
    <t>A</t>
  </si>
  <si>
    <t>33 kV Level</t>
  </si>
  <si>
    <t>B</t>
  </si>
  <si>
    <t>11 kV Level</t>
  </si>
  <si>
    <t>C</t>
  </si>
  <si>
    <t>LT Level</t>
  </si>
  <si>
    <t>Total Licence Area</t>
  </si>
  <si>
    <t>Current Year 'n' FY 2023-24- Estimated</t>
  </si>
  <si>
    <t>Year (n+2) FY 2025-26 - Projected</t>
  </si>
  <si>
    <t>Year (n+2)FY 2025-26 - Projected</t>
  </si>
  <si>
    <t>Year (n+3) - Projected</t>
  </si>
  <si>
    <t>Year (n+4) - Projected</t>
  </si>
  <si>
    <t>Year (n+5) - Projected</t>
  </si>
  <si>
    <t>Form 6: Energy Balance</t>
  </si>
  <si>
    <t>Units</t>
  </si>
  <si>
    <t>n+2            FY 2025-26</t>
  </si>
  <si>
    <t>n+2                   FY 2025-26</t>
  </si>
  <si>
    <t>n+3            FY 2026-27</t>
  </si>
  <si>
    <t>n+4           FY 2027-28</t>
  </si>
  <si>
    <t>n+5                     FY 2028-29</t>
  </si>
  <si>
    <t>Inter-State purchases</t>
  </si>
  <si>
    <t>MU</t>
  </si>
  <si>
    <t>Inter-State Transmission Losses</t>
  </si>
  <si>
    <t>%</t>
  </si>
  <si>
    <t>Energy available at State boundary from Inter-State purchases (1-3)</t>
  </si>
  <si>
    <t>Purchase from sources connected to Intra State Transmission network</t>
  </si>
  <si>
    <t>EHT Sales</t>
  </si>
  <si>
    <t>Intra State Transmission Losses</t>
  </si>
  <si>
    <t>Energy input into Distribution System (4+5-6-8)</t>
  </si>
  <si>
    <t>33 kV Distribution System</t>
  </si>
  <si>
    <t>Purchase from sources connected to 33 kV Distribution System</t>
  </si>
  <si>
    <t>33 kV Sales</t>
  </si>
  <si>
    <t>33 kV Losses</t>
  </si>
  <si>
    <t>Energy input into 11 kV System (9+10-11-13)</t>
  </si>
  <si>
    <t>11 kV Distribution System</t>
  </si>
  <si>
    <t>Purchase from sources connected to 11 kV Distribution System</t>
  </si>
  <si>
    <t>Net Metering purchases</t>
  </si>
  <si>
    <t>11 kV Sales</t>
  </si>
  <si>
    <t>11 kV Losses</t>
  </si>
  <si>
    <t>Energy input into LT System (14+15+16-17-19)</t>
  </si>
  <si>
    <t>LT Distribution System</t>
  </si>
  <si>
    <t>Purchase from sources connected to LT Distribution System</t>
  </si>
  <si>
    <t>LT Sales</t>
  </si>
  <si>
    <t>LT Losses</t>
  </si>
  <si>
    <t>Total Purchases (1+5+21)</t>
  </si>
  <si>
    <t>Total Sales (6+11+17+22)</t>
  </si>
  <si>
    <t>Total input into Distribution System (9+6)</t>
  </si>
  <si>
    <t>Distribution System Losses (27-26)</t>
  </si>
  <si>
    <t>Distribution System Losses</t>
  </si>
  <si>
    <t>Form 7: Month wise Energy Balance</t>
  </si>
  <si>
    <t>Year (n-1)  FY 2022-23 (Audited)</t>
  </si>
  <si>
    <t>Total Purchases (1+5+10+15+16+21)</t>
  </si>
  <si>
    <t>Total input into Distribution System (9+10+15+16+21)</t>
  </si>
  <si>
    <t>Current Year 'n'  FY 2023-24</t>
  </si>
  <si>
    <t>Energy input into 11 kV System (10-11-13)</t>
  </si>
  <si>
    <t>Energy input into LT System (15+16-17-19)</t>
  </si>
  <si>
    <t>Year (n+2)  FY 2025-26 (Projected)</t>
  </si>
  <si>
    <t>Year (n+2)  FY 2025-26(Projected)</t>
  </si>
  <si>
    <t>Year (n+3) FY 2026-27 (Projected)</t>
  </si>
  <si>
    <t>Year (n+5) FY 2028-29 (Projected)</t>
  </si>
  <si>
    <t>Year (n+1)  FY 2025-26 (Projected)</t>
  </si>
  <si>
    <t>Form 8:  Energy Availability</t>
  </si>
  <si>
    <t>Generating Company</t>
  </si>
  <si>
    <t>Generating Station</t>
  </si>
  <si>
    <t>Year (n-1)  FY 2022-23</t>
  </si>
  <si>
    <t>n+2              FY 2025-26</t>
  </si>
  <si>
    <t>A) State Generating Stations</t>
  </si>
  <si>
    <t>Thermal Generating Stations</t>
  </si>
  <si>
    <t>TSGENCO</t>
  </si>
  <si>
    <t>KTPS-V</t>
  </si>
  <si>
    <t>KTPS-VI</t>
  </si>
  <si>
    <t>KTPS-VII</t>
  </si>
  <si>
    <t>RTS-B</t>
  </si>
  <si>
    <t>KTPP-I</t>
  </si>
  <si>
    <t>KTPP-II</t>
  </si>
  <si>
    <t>BTPS</t>
  </si>
  <si>
    <t>YTPS</t>
  </si>
  <si>
    <t>Hydel Generating Stations</t>
  </si>
  <si>
    <t>PJHES (Inter State)</t>
  </si>
  <si>
    <t>Nagarjuna sagar complex</t>
  </si>
  <si>
    <t>SLBHES</t>
  </si>
  <si>
    <t>LJHES</t>
  </si>
  <si>
    <t>PCHES</t>
  </si>
  <si>
    <t>Pochampad-II</t>
  </si>
  <si>
    <t>Small Hydel</t>
  </si>
  <si>
    <t>Mini Hydel</t>
  </si>
  <si>
    <t>Total (A)</t>
  </si>
  <si>
    <t>B) Central Generating Stations</t>
  </si>
  <si>
    <t>NTPC</t>
  </si>
  <si>
    <t>Ramagundam Stage I&amp;II</t>
  </si>
  <si>
    <t>Ramagundam Stage III</t>
  </si>
  <si>
    <t>Talcher TPS II</t>
  </si>
  <si>
    <t>Simhadri Stage I</t>
  </si>
  <si>
    <t>Simhadri Stage II</t>
  </si>
  <si>
    <t>NTPC Kudgi</t>
  </si>
  <si>
    <t>JNNSM Phase-1 Bundled Power(Coal)</t>
  </si>
  <si>
    <t>NTPC Bundled Power(Coal)</t>
  </si>
  <si>
    <t>TSTPP Unit 1</t>
  </si>
  <si>
    <t>NLC TPS II Stage I</t>
  </si>
  <si>
    <t>NLC TPS II Stage II</t>
  </si>
  <si>
    <t>NNTPP</t>
  </si>
  <si>
    <t>Neyveil New unit -1</t>
  </si>
  <si>
    <t>Neyveil New unit -2</t>
  </si>
  <si>
    <t>NTECL Vallur TPS</t>
  </si>
  <si>
    <t>NLC TamilNadu Power Ltd</t>
  </si>
  <si>
    <t>Nuclear Power Stations</t>
  </si>
  <si>
    <t>NPC</t>
  </si>
  <si>
    <t>NPC Madras APS</t>
  </si>
  <si>
    <t>NPC Kaiga APS Units 1 &amp; 2</t>
  </si>
  <si>
    <t>NPC Kaiga APS Units 3 &amp; 4</t>
  </si>
  <si>
    <t>NPC Kundankulam NPP Unit 2</t>
  </si>
  <si>
    <t>NPC Kundankulam</t>
  </si>
  <si>
    <t>Total (B)</t>
  </si>
  <si>
    <t>C) Independent Power Projects-Conventional</t>
  </si>
  <si>
    <t>SEIL (LT 1)</t>
  </si>
  <si>
    <t>SEIL (LT 2)</t>
  </si>
  <si>
    <t>Total (C)</t>
  </si>
  <si>
    <t>D) Others-Conventional</t>
  </si>
  <si>
    <t>STPP</t>
  </si>
  <si>
    <t>CSPDCL</t>
  </si>
  <si>
    <t>PTC(MT)</t>
  </si>
  <si>
    <t>Total (D)</t>
  </si>
  <si>
    <t>E) Non-Conventional Energy</t>
  </si>
  <si>
    <t>Biomass</t>
  </si>
  <si>
    <t>Bagasse</t>
  </si>
  <si>
    <t>Municipal Waste</t>
  </si>
  <si>
    <t>Industrial Waste</t>
  </si>
  <si>
    <t>Wind</t>
  </si>
  <si>
    <t>Solar</t>
  </si>
  <si>
    <t>Solar(JNNSM Phase I)</t>
  </si>
  <si>
    <t>Solar(NTPC)</t>
  </si>
  <si>
    <t>Solar(SECI)</t>
  </si>
  <si>
    <t>Solar(NTPC,NHPC CPSU) Tr-III 1545MW</t>
  </si>
  <si>
    <t>Solar(PM KUSUM)</t>
  </si>
  <si>
    <t>Solar (NTPC CPSU) Tr-I&amp;II 1692MW</t>
  </si>
  <si>
    <t>Solar(SECI ISTS-IX)</t>
  </si>
  <si>
    <t>NVVNL B.P-Solar</t>
  </si>
  <si>
    <t>NGEL</t>
  </si>
  <si>
    <t>Total (E)</t>
  </si>
  <si>
    <t>F) Short-term Sources</t>
  </si>
  <si>
    <t>Bi-lateral Sales( PTC etc.)</t>
  </si>
  <si>
    <t>Total (F)</t>
  </si>
  <si>
    <t>G) Discom-to-Discom</t>
  </si>
  <si>
    <t>D-D</t>
  </si>
  <si>
    <t>Purchase</t>
  </si>
  <si>
    <t>Sale</t>
  </si>
  <si>
    <t>Total (G)</t>
  </si>
  <si>
    <t>Form 9:  Month Wise Energy Availability-Year (n-1) FY 2022-23</t>
  </si>
  <si>
    <t>Installed Capacity (MW)</t>
  </si>
  <si>
    <t>Ex-Bus Capacity (MW)</t>
  </si>
  <si>
    <t>Telangana State Share (MW)</t>
  </si>
  <si>
    <t>Licensee Share (MW)</t>
  </si>
  <si>
    <t>Trading</t>
  </si>
  <si>
    <t>Form 9:  Month Wise Energy Availability-Current Year 'n' FY 2023-24</t>
  </si>
  <si>
    <t>Total Hydel</t>
  </si>
  <si>
    <t>NPC Kudankulam</t>
  </si>
  <si>
    <t>NGEL (Solar)</t>
  </si>
  <si>
    <t>Others</t>
  </si>
  <si>
    <t xml:space="preserve">Total NCE </t>
  </si>
  <si>
    <t>Form 9:  Month Wise Energy Availability-Year (n+2) FY 2025-26</t>
  </si>
  <si>
    <t>Year (n+2) (Projected)</t>
  </si>
  <si>
    <t>TGGENCO</t>
  </si>
  <si>
    <t>NSPH</t>
  </si>
  <si>
    <t>SINGUR</t>
  </si>
  <si>
    <t>SSLM LCPH</t>
  </si>
  <si>
    <t>POCHAMPAD PH</t>
  </si>
  <si>
    <t>NIZAMSAGAR PH</t>
  </si>
  <si>
    <t>TSTPP Unit 2</t>
  </si>
  <si>
    <t>Bi-lateral Purchases( PTC etc.)</t>
  </si>
  <si>
    <t>generation</t>
  </si>
  <si>
    <t>installed capacity X PLF X no. of days X no. of hours</t>
  </si>
  <si>
    <t>Form 9:  Month Wise Energy Availability-Year (n+2)</t>
  </si>
  <si>
    <t>Thermal PLF</t>
  </si>
  <si>
    <t>formula</t>
  </si>
  <si>
    <t>equal to despatch</t>
  </si>
  <si>
    <t>Form 9:  Month Wise Energy Availability-Year (n+3)</t>
  </si>
  <si>
    <t>Year (n+3) (Projected)</t>
  </si>
  <si>
    <t>Form 9:  Month Wise Energy Availability-Year (n+4)</t>
  </si>
  <si>
    <t>Year (n+4) (Projected)</t>
  </si>
  <si>
    <t>Form 9:  Month Wise Energy Availability-Year (n+5)</t>
  </si>
  <si>
    <t>Year (n+5) (Projected)</t>
  </si>
  <si>
    <t>Form 10:  Energy Despatch</t>
  </si>
  <si>
    <t>n+2    FY 2025-26</t>
  </si>
  <si>
    <t>total Hydel</t>
  </si>
  <si>
    <t>NTPC(ER) - Farakka-1</t>
  </si>
  <si>
    <t>NTPC(ER)-Kahalgaon</t>
  </si>
  <si>
    <t>NTPC(ER)-Talcher-I</t>
  </si>
  <si>
    <t>NTPC FGTPS 2 Pushp</t>
  </si>
  <si>
    <t>NTPC NSTPS 1 Pushp</t>
  </si>
  <si>
    <t>NTPC(NER)-Bongaigaon TPS</t>
  </si>
  <si>
    <t>NTPC(NR)-National Capital Therm Pwr_2</t>
  </si>
  <si>
    <t>Bi-lateral sales (PTC etc.)</t>
  </si>
  <si>
    <t>Form 11:  Month Wise Energy Despatch-Year (n-1)</t>
  </si>
  <si>
    <t>Year (n-1) (Audited) FY 2022-23</t>
  </si>
  <si>
    <t>Sale of surplus power</t>
  </si>
  <si>
    <t>Form 11:  Month Wise Energy Despatch-Current Year 'n' FY 2023-24</t>
  </si>
  <si>
    <t>TOTAL Hydel</t>
  </si>
  <si>
    <t>total NCE</t>
  </si>
  <si>
    <t>Bi-lateral Sales/Trading( PTC etc.)</t>
  </si>
  <si>
    <t>Form 11:  Month Wise Energy Despatch-Year (n+2) FY 2025-26</t>
  </si>
  <si>
    <t>Bi-lateral Purchases (PTC etc.)</t>
  </si>
  <si>
    <t>Bi-lateral Sales (PTC etc.)</t>
  </si>
  <si>
    <t>Form 11:  Month Wise Energy Despatch-Year (n+3) FY 2026-27</t>
  </si>
  <si>
    <t>Form 11:  Month Wise Energy Despatch-Year (n+4) FY 2027-28</t>
  </si>
  <si>
    <t>Form 11:  Month Wise Energy Despatch-Year (n+5) FY 2028-29</t>
  </si>
  <si>
    <t>Form 12:  Power Purchase Expenses</t>
  </si>
  <si>
    <t>A) Fixed Charges + Variable Charges + Other Charges</t>
  </si>
  <si>
    <t>n+3               FY 2026-27</t>
  </si>
  <si>
    <t xml:space="preserve"> </t>
  </si>
  <si>
    <t>Thermal Incentive 2021-22</t>
  </si>
  <si>
    <t>Interest on Pension bonds</t>
  </si>
  <si>
    <t>As per MTR Order and Provision-2022-23</t>
  </si>
  <si>
    <t>Water Charges</t>
  </si>
  <si>
    <t>HYDEL TOTAL FOR ALL STATIONS</t>
  </si>
  <si>
    <t>TS GENCO Other Cost</t>
  </si>
  <si>
    <t>NTPC Aravali</t>
  </si>
  <si>
    <t>NCE TOTAL</t>
  </si>
  <si>
    <t>Bilateral purchases (only from FY 25 to FY 29)</t>
  </si>
  <si>
    <t>Bilateral sales (only from FY 25 to FY 29)</t>
  </si>
  <si>
    <t>PGCIL POC</t>
  </si>
  <si>
    <t>PGCIL Non POC</t>
  </si>
  <si>
    <t>UI-SRPC/Deviation charges</t>
  </si>
  <si>
    <t>Reactive</t>
  </si>
  <si>
    <t>SCED benefit receivable</t>
  </si>
  <si>
    <t>POSOCO</t>
  </si>
  <si>
    <t>TSTRANSCO-TR TSNPDCL</t>
  </si>
  <si>
    <t>TSTRANSCO-SLDC TSNPDCL</t>
  </si>
  <si>
    <t>Wheeling KPTCL</t>
  </si>
  <si>
    <t>STOA</t>
  </si>
  <si>
    <t>LTOA</t>
  </si>
  <si>
    <t>B) Fixed Charges</t>
  </si>
  <si>
    <t>n+1</t>
  </si>
  <si>
    <t>n+2</t>
  </si>
  <si>
    <t>n+3</t>
  </si>
  <si>
    <t>n+4</t>
  </si>
  <si>
    <t>n+5</t>
  </si>
  <si>
    <t>C) Variable Charges and other charges</t>
  </si>
  <si>
    <t>Sale of excess power</t>
  </si>
  <si>
    <t>Form 13:  Month Wise Power Purchase Expenses-Year (n-1)</t>
  </si>
  <si>
    <t>A) Fixed Charges + Variable Charges</t>
  </si>
  <si>
    <t>Year (n-1) (Audited)</t>
  </si>
  <si>
    <t>C) Variable Charges</t>
  </si>
  <si>
    <t>Form 13:  Month Wise Power Purchase Expenses-Current Year 'n'</t>
  </si>
  <si>
    <t>Current Year 'n'</t>
  </si>
  <si>
    <t>TSTRANSCO-TR TGSPDCL</t>
  </si>
  <si>
    <t>Solar(JNNSM Phase II)</t>
  </si>
  <si>
    <t>TOTAL NCE</t>
  </si>
  <si>
    <t>TSTRANSCO-SLDC TGSPDCL</t>
  </si>
  <si>
    <t>Form 13:  Month Wise Power Purchase Expenses-Year (n+2) FY 25-26</t>
  </si>
  <si>
    <t>Year (n+2) FY 25-26 (Projected)</t>
  </si>
  <si>
    <t>Additional Pension Liabilities
As per MTR Order and Provision-2022-23</t>
  </si>
  <si>
    <t>SINGARENI CCCL unit 1&amp;2</t>
  </si>
  <si>
    <t>Chatthisgarh</t>
  </si>
  <si>
    <t>Neyveil New unit -1 &amp; 2</t>
  </si>
  <si>
    <t>NPC Kundankulam NPP Unit 1 &amp; 2</t>
  </si>
  <si>
    <t>Form 13:  Month Wise Power Purchase Expenses-Year (n+2)</t>
  </si>
  <si>
    <t>Bi-lateral Purchases ( PTC etc.)</t>
  </si>
  <si>
    <t>Form 13:  Month Wise Power Purchase Expenses-Year (n+3)</t>
  </si>
  <si>
    <t>Form 13:  Month Wise Power Purchase Expenses-Year (n+4)</t>
  </si>
  <si>
    <t>Form 13:  Month Wise Power Purchase Expenses-Year (n+5)</t>
  </si>
  <si>
    <t>Form 14:  Transmission and SLDC Charges</t>
  </si>
  <si>
    <t>n+1
FY 2024-25</t>
  </si>
  <si>
    <t>n+2
FY 2025-26</t>
  </si>
  <si>
    <t>n+3
FY 2026-27</t>
  </si>
  <si>
    <t>n+4
FY 2027-28</t>
  </si>
  <si>
    <t>n+5
FY 2028-29</t>
  </si>
  <si>
    <t>Total Inter-State Transmission Charges</t>
  </si>
  <si>
    <t>Rs. Crore</t>
  </si>
  <si>
    <t>Contracted Capacity</t>
  </si>
  <si>
    <t>MW</t>
  </si>
  <si>
    <t>Transmission Rate</t>
  </si>
  <si>
    <t>Rs./kW/month</t>
  </si>
  <si>
    <t>Generation Capacity</t>
  </si>
  <si>
    <t>Form 15:  Operation and Maintenance Expenses</t>
  </si>
  <si>
    <t>n+1              FY 2024-25</t>
  </si>
  <si>
    <t xml:space="preserve">Employee Expenses </t>
  </si>
  <si>
    <t>A&amp;G Expenses</t>
  </si>
  <si>
    <t>R &amp; M Expenses</t>
  </si>
  <si>
    <t>Total O&amp;M Expenses</t>
  </si>
  <si>
    <t>The projections for the Control Period to be supported by detailed computations</t>
  </si>
  <si>
    <t>Form 15.1: Employee Expenses</t>
  </si>
  <si>
    <t>S.No.</t>
  </si>
  <si>
    <t>Year (n-4)</t>
  </si>
  <si>
    <t>Year (n-3)</t>
  </si>
  <si>
    <t>Year (n-2)</t>
  </si>
  <si>
    <t>Basic Salary</t>
  </si>
  <si>
    <t>Dearness Allowance (DA)</t>
  </si>
  <si>
    <t>House Rent Allowance</t>
  </si>
  <si>
    <t>Conveyance Allowance</t>
  </si>
  <si>
    <t>Leave Travel Allowance</t>
  </si>
  <si>
    <t>Earned Leave Encashment</t>
  </si>
  <si>
    <t>Other Allowances</t>
  </si>
  <si>
    <t>Medical Reimbursement</t>
  </si>
  <si>
    <t>Overtime Payment</t>
  </si>
  <si>
    <t>Bonus/Ex-Gratia Payments</t>
  </si>
  <si>
    <t xml:space="preserve">Interim Relief / Wage Revision </t>
  </si>
  <si>
    <t>Staff welfare expenses</t>
  </si>
  <si>
    <t>VRS Expenses/Retrenchment Compensation</t>
  </si>
  <si>
    <t>Commission to Directors</t>
  </si>
  <si>
    <t>Training Expenses</t>
  </si>
  <si>
    <t>Payment under Workmen's Compensation Act</t>
  </si>
  <si>
    <t>Net Employee Costs</t>
  </si>
  <si>
    <t>Terminal Benefits</t>
  </si>
  <si>
    <t>Provident Fund Contribution</t>
  </si>
  <si>
    <t>Provision for PF Fund</t>
  </si>
  <si>
    <t>Pension Payments</t>
  </si>
  <si>
    <t>Gratuity Payment</t>
  </si>
  <si>
    <t>Unfunded past liabilities of pension and
gratuity</t>
  </si>
  <si>
    <t xml:space="preserve">Gross Employee Expenses </t>
  </si>
  <si>
    <t>Less: Expenses Capitalised</t>
  </si>
  <si>
    <t xml:space="preserve">Net Employee Expenses </t>
  </si>
  <si>
    <t>Form 15.2: Administration &amp; General Expenses</t>
  </si>
  <si>
    <t>Rent Rates &amp; Taxes</t>
  </si>
  <si>
    <t>Insurance</t>
  </si>
  <si>
    <t>Telephone &amp; Postage, etc.</t>
  </si>
  <si>
    <t>Legal charges &amp; Audit fee</t>
  </si>
  <si>
    <t>Professional, Consultancy, Technical fee</t>
  </si>
  <si>
    <t>Conveyance &amp; Travel</t>
  </si>
  <si>
    <t>Electricity charges</t>
  </si>
  <si>
    <t>Water charges</t>
  </si>
  <si>
    <t>Security arrangements</t>
  </si>
  <si>
    <t>Fees &amp; subscription</t>
  </si>
  <si>
    <t>Books &amp; periodicals</t>
  </si>
  <si>
    <t>Computer Stationery</t>
  </si>
  <si>
    <t>Printing &amp; Stationery</t>
  </si>
  <si>
    <t xml:space="preserve">Advertisements </t>
  </si>
  <si>
    <t>Purchase Related Advertisement Expenses</t>
  </si>
  <si>
    <t>Contribution/Donations</t>
  </si>
  <si>
    <t>License Fee  and other related fee</t>
  </si>
  <si>
    <t>Vehicle Running Expenses Truck / Delivery Van</t>
  </si>
  <si>
    <t>Vehicle Hiring Expenses Truck / Delivery Van</t>
  </si>
  <si>
    <t>Cost of services procured</t>
  </si>
  <si>
    <t>Outsourcing of metering and billing system</t>
  </si>
  <si>
    <t>Freight On Capital Equipments</t>
  </si>
  <si>
    <t>V-sat, Internet and related charges</t>
  </si>
  <si>
    <t>Training</t>
  </si>
  <si>
    <t>Bank Charges</t>
  </si>
  <si>
    <t>Miscellaneous Expenses</t>
  </si>
  <si>
    <t>Office Expenses</t>
  </si>
  <si>
    <t>Gross A &amp;G Expenses</t>
  </si>
  <si>
    <t xml:space="preserve">Net A &amp;G Expenses </t>
  </si>
  <si>
    <t>Form 15.3: Repair &amp; Maintenance Expenses</t>
  </si>
  <si>
    <t>Plant &amp; Machinery</t>
  </si>
  <si>
    <t>Buildings</t>
  </si>
  <si>
    <t>Civil Works</t>
  </si>
  <si>
    <t>Hydraulic Works</t>
  </si>
  <si>
    <t>Lines &amp; Cable Networks</t>
  </si>
  <si>
    <t>Vehicles</t>
  </si>
  <si>
    <t>Furniture &amp; Fixtures</t>
  </si>
  <si>
    <t>Office Equipment</t>
  </si>
  <si>
    <t>Gross R&amp;M Expenses</t>
  </si>
  <si>
    <t>Gross Fixed Assets at beginning of year</t>
  </si>
  <si>
    <t>R&amp;M Expenses as % of GFA at beginning of year</t>
  </si>
  <si>
    <t>Form 16:  Summary of Capital Expenditure and Capitalisation</t>
  </si>
  <si>
    <t>Opening Capital Works in Progress</t>
  </si>
  <si>
    <t>Capital Expenditure during the year</t>
  </si>
  <si>
    <t>Capitalisation during the year</t>
  </si>
  <si>
    <t>Closing Capital Works in Progress</t>
  </si>
  <si>
    <t>Form 16.1:  Statement of Capitalisation</t>
  </si>
  <si>
    <t>FY</t>
  </si>
  <si>
    <t>Name of the Scheme</t>
  </si>
  <si>
    <t>Name of the work</t>
  </si>
  <si>
    <t>Total estimated cost* (Rs. Crore)</t>
  </si>
  <si>
    <t>Capital expenditure during the year (Rs. Crore)</t>
  </si>
  <si>
    <t>Capitalisation during the year (Rs. Crore)</t>
  </si>
  <si>
    <t>Asset group under which the capitalisation has been accounted (Land, Buldings, etc.)</t>
  </si>
  <si>
    <t>Scope of work</t>
  </si>
  <si>
    <t>Relevant Clause of the TSERC MYT Regulation, 2023 under which the capitalisation has been claimed</t>
  </si>
  <si>
    <t>Justification</t>
  </si>
  <si>
    <t>…</t>
  </si>
  <si>
    <t>Year (n+1)</t>
  </si>
  <si>
    <t>Year (n+2)</t>
  </si>
  <si>
    <t>Year (n+3)</t>
  </si>
  <si>
    <t>Year (n+4)</t>
  </si>
  <si>
    <t>Year (n+5)</t>
  </si>
  <si>
    <t>*</t>
  </si>
  <si>
    <t>Total estimated cost to be supported by documentary evidences like work orders, investment approvals etc.</t>
  </si>
  <si>
    <t>Form 16.2:  Financing of Capitalisation</t>
  </si>
  <si>
    <t>Capitalisation</t>
  </si>
  <si>
    <t>Financing Details</t>
  </si>
  <si>
    <t>Loan 1</t>
  </si>
  <si>
    <t>Loan 2</t>
  </si>
  <si>
    <t>Total Loan</t>
  </si>
  <si>
    <t>Equity</t>
  </si>
  <si>
    <t>Internal Resources</t>
  </si>
  <si>
    <t>Others (Please Specify)</t>
  </si>
  <si>
    <t>Total (2+3+4+5)</t>
  </si>
  <si>
    <t>Form 17:  Fixed Assets &amp; Depreciation</t>
  </si>
  <si>
    <t xml:space="preserve">Asset Group                                                                                                                                                </t>
  </si>
  <si>
    <t>A/c Code</t>
  </si>
  <si>
    <t>Rate of Depriciation</t>
  </si>
  <si>
    <t xml:space="preserve">Gross fixed Assets </t>
  </si>
  <si>
    <t>Provisions for depreciation</t>
  </si>
  <si>
    <t xml:space="preserve">Net fixed Assets </t>
  </si>
  <si>
    <t>At the beginning of the year</t>
  </si>
  <si>
    <t>Additions during the year</t>
  </si>
  <si>
    <t>Adjust. &amp; deductions</t>
  </si>
  <si>
    <t>At the end of the year</t>
  </si>
  <si>
    <t>Cumulative upto the beginning of the year</t>
  </si>
  <si>
    <t>Adjust. during the year</t>
  </si>
  <si>
    <t>Cumulative at the end of the year</t>
  </si>
  <si>
    <t>Land</t>
  </si>
  <si>
    <t>Civil works</t>
  </si>
  <si>
    <t>Form 18:  Interest and finance charges on loan</t>
  </si>
  <si>
    <t>A.</t>
  </si>
  <si>
    <t>Normative Loan</t>
  </si>
  <si>
    <t>Opening Balance of Gross Normative Loan</t>
  </si>
  <si>
    <t>Cumulative Repayment till the year</t>
  </si>
  <si>
    <t>Opening Balance of Net Normative Loan</t>
  </si>
  <si>
    <t>Less: Reduction of Normative Loan due to retirement or replacement of assets</t>
  </si>
  <si>
    <t>Addition of Normative Loan due to capitalisation during the year</t>
  </si>
  <si>
    <t>Repayment of Normative loan during the year</t>
  </si>
  <si>
    <t>Closing Balance of Net Normative Loan</t>
  </si>
  <si>
    <t>Closing Balance of Gross Normative Loan</t>
  </si>
  <si>
    <t>Average Balance of Net Normative Loan</t>
  </si>
  <si>
    <t>Weighted average Rate of Interest on actual Loans (%)</t>
  </si>
  <si>
    <t>Interest</t>
  </si>
  <si>
    <t>Finance charges</t>
  </si>
  <si>
    <t>Total Interest &amp; Finance charges</t>
  </si>
  <si>
    <t>B.</t>
  </si>
  <si>
    <t>Actual loan portfolio</t>
  </si>
  <si>
    <t>Opening Balance of Loan</t>
  </si>
  <si>
    <t>Addition of Loan during the year</t>
  </si>
  <si>
    <t>Loan Repayment during the year</t>
  </si>
  <si>
    <t>Closing Balance of Loan</t>
  </si>
  <si>
    <t>Average Loan Balance</t>
  </si>
  <si>
    <t>Applicable Interest Rate (%)</t>
  </si>
  <si>
    <t>…......</t>
  </si>
  <si>
    <t>Form 19:  Interest on working capital</t>
  </si>
  <si>
    <t>O&amp;M expenses</t>
  </si>
  <si>
    <t>Maintenance spares</t>
  </si>
  <si>
    <t>Receivables</t>
  </si>
  <si>
    <t>Security Deposits</t>
  </si>
  <si>
    <t>Power purchase cost including transmission charges and SLDC charges</t>
  </si>
  <si>
    <t>Total Working Capital requirement</t>
  </si>
  <si>
    <t>Interest rate</t>
  </si>
  <si>
    <t>Form 20:  Return on Equity</t>
  </si>
  <si>
    <t>Regulatory Equity at the beginning of the year</t>
  </si>
  <si>
    <t>Equity portion of capitalisation during the year</t>
  </si>
  <si>
    <t>Reduction in Equity Capital on account of retirement / replacement of assets</t>
  </si>
  <si>
    <t>Regulatory Equity at the end of the year</t>
  </si>
  <si>
    <t>Rate of Return on Equity</t>
  </si>
  <si>
    <t>Base rate of Return on Equity</t>
  </si>
  <si>
    <t>Effective Income Tax rate</t>
  </si>
  <si>
    <t>Return on Equity Computation</t>
  </si>
  <si>
    <t>Return on Regulatory Equity at the beginning of the year</t>
  </si>
  <si>
    <t>Return on Regulatory Equity addition during the year</t>
  </si>
  <si>
    <t>Total Return on Equity</t>
  </si>
  <si>
    <t>Form 21:  Non-Tariff Income</t>
  </si>
  <si>
    <t>Income from rent of land or buildings</t>
  </si>
  <si>
    <t>Net income from sale of de-capitalised assets</t>
  </si>
  <si>
    <t>Income from sale of scrap</t>
  </si>
  <si>
    <t>Income from statutory investments</t>
  </si>
  <si>
    <t>Interest income on advances to suppliers/ contractors</t>
  </si>
  <si>
    <t>Income from rental from staff quarters</t>
  </si>
  <si>
    <t>Income from rental from contractors</t>
  </si>
  <si>
    <t>Income from hire charges from contactors and others</t>
  </si>
  <si>
    <t>Income from consumer charges levied in accordance with Schedule of Charges approved by the Commission</t>
  </si>
  <si>
    <t>Supervision charges for capital works</t>
  </si>
  <si>
    <t>Income from advertisements</t>
  </si>
  <si>
    <t>Income from sale of tender documents</t>
  </si>
  <si>
    <t>Form 22:  Income from Other Businesses</t>
  </si>
  <si>
    <t>Form 23:  Receipts on account of Cross Subsidy Surcharge and Additional Surcharge</t>
  </si>
  <si>
    <t>Receipts on account of Cross Subsidy Surcharge</t>
  </si>
  <si>
    <t>Receipts on account of Additional Surcharge</t>
  </si>
  <si>
    <t>Name of Open Access Consumer</t>
  </si>
  <si>
    <t>Voltage level</t>
  </si>
  <si>
    <t>Open Access Consumption</t>
  </si>
  <si>
    <t>Cross Subsidy Surcharge</t>
  </si>
  <si>
    <t>Additional Surcharge</t>
  </si>
  <si>
    <t>11 kV/33 kV/ 132 kV</t>
  </si>
  <si>
    <t>Rs./kWh</t>
  </si>
  <si>
    <t>Current Year 'n' (Estimated)</t>
  </si>
  <si>
    <t>Year (n+1) (Projected)</t>
  </si>
  <si>
    <t>x</t>
  </si>
  <si>
    <t>Southern Power Distribution Company of Telangana</t>
  </si>
  <si>
    <t>A) Wire Business + Retail Supply Business</t>
  </si>
  <si>
    <t>Base Year 'n'</t>
  </si>
  <si>
    <t>B) Wire Business</t>
  </si>
  <si>
    <t>C) Retail Supply</t>
  </si>
  <si>
    <t>A) Distribution Wire Business + Retail Supply Business</t>
  </si>
  <si>
    <t>Distribution Wire Business</t>
  </si>
  <si>
    <t xml:space="preserve">Distribution Wire Business </t>
  </si>
  <si>
    <t>Computer &amp; IT Equipment, Air Conditioners</t>
  </si>
  <si>
    <t>Air Conditioners</t>
  </si>
  <si>
    <t>B) Distribution Wire Business</t>
  </si>
  <si>
    <t>C) Retail Supply Business</t>
  </si>
  <si>
    <t>Land held under lease</t>
  </si>
  <si>
    <t>Buildings &amp; Civili engineering works</t>
  </si>
  <si>
    <t>a.)office and showrooms</t>
  </si>
  <si>
    <t>b.)Temporary erection such as wooden structures</t>
  </si>
  <si>
    <t>c.)Road other than Kutcha roads</t>
  </si>
  <si>
    <t>d.)others</t>
  </si>
  <si>
    <t>Transformer</t>
  </si>
  <si>
    <t>i)Power Transformer</t>
  </si>
  <si>
    <t>ii)Distribution Transformer</t>
  </si>
  <si>
    <t>&lt;100kVA</t>
  </si>
  <si>
    <t>.&gt;=100kVA</t>
  </si>
  <si>
    <t>Switchgear</t>
  </si>
  <si>
    <t>Circuit breaker(33kV S/s)</t>
  </si>
  <si>
    <t>Circuit breaker(V)</t>
  </si>
  <si>
    <t>Isolators</t>
  </si>
  <si>
    <t>Bus couplers</t>
  </si>
  <si>
    <t>Lighting Arrestors</t>
  </si>
  <si>
    <t>Batteries</t>
  </si>
  <si>
    <t>Overhead lines including supports:</t>
  </si>
  <si>
    <t>i)11kV and above</t>
  </si>
  <si>
    <t>ii)LT Lines</t>
  </si>
  <si>
    <t>Underground lines including joint box and 
disconnected boxes</t>
  </si>
  <si>
    <t>Meters</t>
  </si>
  <si>
    <t>Self-propelled vehicles</t>
  </si>
  <si>
    <t>Air conditioning plants:</t>
  </si>
  <si>
    <t>i.)Static</t>
  </si>
  <si>
    <t>ii)Portable</t>
  </si>
  <si>
    <t>i.)Office furniture and fittings</t>
  </si>
  <si>
    <t>ii.)Office equipment</t>
  </si>
  <si>
    <t>iii.)Internal wiring including fittings and apparatus</t>
  </si>
  <si>
    <t>iv.)Street light fittings</t>
  </si>
  <si>
    <t>Communication equipment:</t>
  </si>
  <si>
    <t>i.)Radio and high frequency carrier system</t>
  </si>
  <si>
    <t>ii.)Telephone lines and telephones</t>
  </si>
  <si>
    <t>iii.)Fibre Optic</t>
  </si>
  <si>
    <t>I.T. equipment</t>
  </si>
  <si>
    <t>Software</t>
  </si>
  <si>
    <t>Any other assets not covered above</t>
  </si>
  <si>
    <t>ii.)LT Lines</t>
  </si>
  <si>
    <t>A) Distribution Wire Business</t>
  </si>
  <si>
    <t>A) Retail Supply Business</t>
  </si>
  <si>
    <t>Distribution Wire Business + Retail Supply Business</t>
  </si>
  <si>
    <t>Loan 1 - REC Ltd</t>
  </si>
  <si>
    <t>Loan 2 - PFC Ltd</t>
  </si>
  <si>
    <t>Loan 3 - Transco</t>
  </si>
  <si>
    <t>Loan 4 - PFS Ltd</t>
  </si>
  <si>
    <t>Loan 5 - IREDA</t>
  </si>
  <si>
    <t>Loan 6 - FRP Bonds</t>
  </si>
  <si>
    <t>B) Retail Supply Business</t>
  </si>
  <si>
    <t>C) Interest on CSD - Retail Supply Business</t>
  </si>
  <si>
    <t>FY 2023-24</t>
  </si>
  <si>
    <t>FY 2024-25</t>
  </si>
  <si>
    <t>FY 2025-26</t>
  </si>
  <si>
    <t>FY 2026-27</t>
  </si>
  <si>
    <t>FY 2027-28</t>
  </si>
  <si>
    <t>FY 2028-29</t>
  </si>
  <si>
    <t>Opening Balance</t>
  </si>
  <si>
    <t>Additions during the Year</t>
  </si>
  <si>
    <t>D</t>
  </si>
  <si>
    <t>Closing Balance</t>
  </si>
  <si>
    <t>E</t>
  </si>
  <si>
    <t>Average Balance ((A+D)/2)</t>
  </si>
  <si>
    <t>F</t>
  </si>
  <si>
    <r>
      <rPr>
        <sz val="11"/>
        <rFont val="Arial"/>
        <charset val="134"/>
      </rPr>
      <t xml:space="preserve">Interest @ % p.a. </t>
    </r>
    <r>
      <rPr>
        <vertAlign val="superscript"/>
        <sz val="11"/>
        <rFont val="Arial"/>
        <charset val="134"/>
      </rPr>
      <t>#</t>
    </r>
  </si>
  <si>
    <t>G</t>
  </si>
  <si>
    <t>Interest Cost (E*F)</t>
  </si>
  <si>
    <t>Incidental Charges-Work</t>
  </si>
  <si>
    <t>Sale of Scrap</t>
  </si>
  <si>
    <t>Penalities from Suppliers</t>
  </si>
  <si>
    <t>SDs &amp; BGs forfeited</t>
  </si>
  <si>
    <t>Miscellaneous income</t>
  </si>
  <si>
    <t>Sale of Tender Schedule</t>
  </si>
  <si>
    <t>Rent from Fixed Assets</t>
  </si>
  <si>
    <t>Meter Testing Charges</t>
  </si>
  <si>
    <t>Registration Fees</t>
  </si>
  <si>
    <t>Interest  on  Staff loans &amp; advances</t>
  </si>
  <si>
    <t>Penalty from employees</t>
  </si>
  <si>
    <t>C) Retail Supply Business (Shown as a part of Revenue for Retail Supply Business)</t>
  </si>
  <si>
    <t>Base Year 'n' FY 2023-24</t>
  </si>
  <si>
    <t>Non-Tariff Income for Retail Supply Business</t>
  </si>
  <si>
    <t>NIL</t>
  </si>
  <si>
    <t>Rs Cr</t>
  </si>
  <si>
    <t>Employee Expense</t>
  </si>
  <si>
    <t>Total Capital Expenditure during the year</t>
  </si>
  <si>
    <t>d) Interest on CSD - Retail Supply Business</t>
  </si>
  <si>
    <t>Interest income on advances to suppliers/contractors</t>
  </si>
  <si>
    <t>Any other Non-Tariff Income</t>
  </si>
  <si>
    <t>Base Year 'n' (Estimated)</t>
  </si>
  <si>
    <t>Open Access Consumption
(H1 of FY 2024-25)</t>
  </si>
  <si>
    <t>Cross Subsidy Surcharge for H1 (FY 2024-25)</t>
  </si>
  <si>
    <t>Open Access Consumption
(H2 of FY 2024-25)</t>
  </si>
  <si>
    <t>Cross Subsidy Surcharge for H2 (FY 2024-25)</t>
  </si>
  <si>
    <t>HT-I Industry Segregated (Poultry Included)</t>
  </si>
  <si>
    <t>11 kV</t>
  </si>
  <si>
    <t>Rs 1.40/unit  in H1 &amp; 1.60/unit in H2</t>
  </si>
  <si>
    <t>HT-II - Others</t>
  </si>
  <si>
    <t>33 kV</t>
  </si>
  <si>
    <t>HT-I Industry Segregated</t>
  </si>
  <si>
    <t>132 kV</t>
  </si>
  <si>
    <t>Note: Income from CSS and AS are shown as part of revenue for Retail Supply Business
Receipt on account of Additional Surcharge has been computed by assuming that 50% consumers will be Green Energy Open Access and hence only the balance 50% of the consumers will contribute to revenue from additional surcharge</t>
  </si>
  <si>
    <t xml:space="preserve">                          </t>
  </si>
  <si>
    <t>Form 24:  Cost of Service: Embedded Cost Method</t>
  </si>
  <si>
    <t>Generation Cost</t>
  </si>
  <si>
    <t>Transmission - Inter-State</t>
  </si>
  <si>
    <t>Transmission - Intra-State</t>
  </si>
  <si>
    <t>Distribution</t>
  </si>
  <si>
    <t>Retail Supply</t>
  </si>
  <si>
    <t>Cost Allocation</t>
  </si>
  <si>
    <t>Total Cost</t>
  </si>
  <si>
    <t>Sales</t>
  </si>
  <si>
    <t>CoS</t>
  </si>
  <si>
    <t>Demand</t>
  </si>
  <si>
    <t>Energy</t>
  </si>
  <si>
    <t>Demand - G</t>
  </si>
  <si>
    <t>Demand - T</t>
  </si>
  <si>
    <t>Demand - D</t>
  </si>
  <si>
    <t>Cost</t>
  </si>
  <si>
    <t>Rate Basis - Contracts/ NCP G-T interface</t>
  </si>
  <si>
    <t>Recovery Basis - Energy Sales</t>
  </si>
  <si>
    <t>Rs./kVA/Month</t>
  </si>
  <si>
    <t>LT Categories</t>
  </si>
  <si>
    <t>Category II (A, B, C &amp; D)</t>
  </si>
  <si>
    <t>Category III</t>
  </si>
  <si>
    <t>Industry</t>
  </si>
  <si>
    <t>Category IV (A&amp;B)</t>
  </si>
  <si>
    <t>Cottage Industries &amp; Dhobighats</t>
  </si>
  <si>
    <t>Category V (A&amp;B)</t>
  </si>
  <si>
    <t>Category VI (A&amp;B)</t>
  </si>
  <si>
    <t>Local Bodies, Street Lighting &amp; PWS</t>
  </si>
  <si>
    <t>Category VII (A&amp;B)</t>
  </si>
  <si>
    <t xml:space="preserve">Others( General Purpose &amp; Temporary) </t>
  </si>
  <si>
    <t>Category IX</t>
  </si>
  <si>
    <t>EVs</t>
  </si>
  <si>
    <t>Category X</t>
  </si>
  <si>
    <t>CPWS  (Carved out of LT -VI CPWS sales &amp; LT: III Industry Category) </t>
  </si>
  <si>
    <t>Category XI</t>
  </si>
  <si>
    <t>Others 2</t>
  </si>
  <si>
    <t>HT Categories</t>
  </si>
  <si>
    <t>HT category 11 kV</t>
  </si>
  <si>
    <t>HT 11kV- I-A</t>
  </si>
  <si>
    <t>Industry General</t>
  </si>
  <si>
    <t>HT 11kV- I-B</t>
  </si>
  <si>
    <t>Ferro Alloy Units</t>
  </si>
  <si>
    <t>HT 11kV- II</t>
  </si>
  <si>
    <t>HT 11kV- III</t>
  </si>
  <si>
    <t>Airports, Bus Stations and Railways Stations</t>
  </si>
  <si>
    <t>HT 11kV- IV-A</t>
  </si>
  <si>
    <t>Lift Irrigation &amp; Agriculture</t>
  </si>
  <si>
    <t>HT 11kV VI</t>
  </si>
  <si>
    <t>HT VI: Townships &amp; Residential Colonies</t>
  </si>
  <si>
    <t>HT 11k VII&amp;IX</t>
  </si>
  <si>
    <t>HT VII: Temporary &amp; EVs</t>
  </si>
  <si>
    <t>HT 11kV- II B</t>
  </si>
  <si>
    <t>HT 11kV - IX</t>
  </si>
  <si>
    <t>HT category 33 kV</t>
  </si>
  <si>
    <t>HT 33kV- I-A</t>
  </si>
  <si>
    <t>HT 33kV- I-B</t>
  </si>
  <si>
    <t>HT 33kV- II</t>
  </si>
  <si>
    <t>HT 33kV- III</t>
  </si>
  <si>
    <t>HT 33kV- IV-A</t>
  </si>
  <si>
    <t>HT 33kV- V</t>
  </si>
  <si>
    <t>HT 33kV- VI</t>
  </si>
  <si>
    <t>Townships &amp; Residential Colonies</t>
  </si>
  <si>
    <t>HT 33kV- VII</t>
  </si>
  <si>
    <t>Temporary</t>
  </si>
  <si>
    <t>HT 33kV- II B</t>
  </si>
  <si>
    <t>HT 33kV - X</t>
  </si>
  <si>
    <t>HT category 132 kV</t>
  </si>
  <si>
    <t>HT 132kV- I-A</t>
  </si>
  <si>
    <t>HT 132kV- I-B</t>
  </si>
  <si>
    <t>HT 132kV- II</t>
  </si>
  <si>
    <t>HT 132kV- III</t>
  </si>
  <si>
    <t>HT 132kV- IV-A-i</t>
  </si>
  <si>
    <t>HT 132kV- V-A-i</t>
  </si>
  <si>
    <t xml:space="preserve">Railway Traction </t>
  </si>
  <si>
    <t>HT 132kV- V-B-i</t>
  </si>
  <si>
    <t xml:space="preserve">HMR Traction </t>
  </si>
  <si>
    <t>HT 132kV- VI</t>
  </si>
  <si>
    <t>HT 132kV- II B</t>
  </si>
  <si>
    <t>HT 132kV - IX</t>
  </si>
  <si>
    <t>Form 24.1:  Cost of Service: Embedded Cost Method-Losses</t>
  </si>
  <si>
    <t>(%)</t>
  </si>
  <si>
    <t>Energy Loss</t>
  </si>
  <si>
    <t>Technical Loss</t>
  </si>
  <si>
    <t>HT</t>
  </si>
  <si>
    <t>LT</t>
  </si>
  <si>
    <t>Total Technical Loss</t>
  </si>
  <si>
    <t>Commercial Loss</t>
  </si>
  <si>
    <t>Total Commercial Loss</t>
  </si>
  <si>
    <t>Total Energy Loss</t>
  </si>
  <si>
    <t>Demand Loss</t>
  </si>
  <si>
    <t>Total Demand Loss</t>
  </si>
  <si>
    <t>Form 24.2:  Cost of Service: Embedded Cost Method-Class Factors</t>
  </si>
  <si>
    <t>Energy Data</t>
  </si>
  <si>
    <t>Factors</t>
  </si>
  <si>
    <t>Class Load Factor</t>
  </si>
  <si>
    <t>Class Coincidence Factor - Morning</t>
  </si>
  <si>
    <t>Class Coincidence Factor - Evening</t>
  </si>
  <si>
    <t>Commercial Loss - Non-coincident Demand</t>
  </si>
  <si>
    <t>Commercial Loss - Coincident Demand Evening</t>
  </si>
  <si>
    <t>Commercial Loss - Coincident Demand Morning</t>
  </si>
  <si>
    <t>HT 11kV- VI</t>
  </si>
  <si>
    <t>HT 11kV- VII &amp;IX</t>
  </si>
  <si>
    <t>HT VII &amp; IX: Temporary &amp; EVs</t>
  </si>
  <si>
    <t>Form 24.3:  Cost of Service: Embedded Cost Method-Allocation Factors</t>
  </si>
  <si>
    <t>Demand Data</t>
  </si>
  <si>
    <t>Input</t>
  </si>
  <si>
    <t>Non-coincident Demand</t>
  </si>
  <si>
    <t>Coincident Demand - Morning</t>
  </si>
  <si>
    <t>Coincident Demand - Evening</t>
  </si>
  <si>
    <t>HT 11kV- VII &amp; IX</t>
  </si>
  <si>
    <t>Form 24.4:  Cost of Service: Embedded Cost Method-Capacity Allocation</t>
  </si>
  <si>
    <t>(MW)</t>
  </si>
  <si>
    <t>Non-Coincident Demand/Contract Demand</t>
  </si>
  <si>
    <t>Non-Coincident Demand/Contract Demand at G-T interface</t>
  </si>
  <si>
    <t>Form 24.6:  Cost of Service: Embedded Cost Method-Power Purchase Expenses Allocation</t>
  </si>
  <si>
    <t>Form 24.5:  Cost of Service: Embedded Cost Method-Transmission and SLDC Charges Allocation</t>
  </si>
  <si>
    <t>Intra State Transmission Charges + SLDC Charges</t>
  </si>
  <si>
    <t>Form 24.7:  Cost of Service: Embedded Cost Method-Distribution Cost Allocation</t>
  </si>
  <si>
    <t>Form 24.7:  Cost of Service: Embedded Cost Method-Retail Supply Cost Allocation</t>
  </si>
  <si>
    <t>Form 25:  Retail Supply Tariff</t>
  </si>
  <si>
    <t>Year (n-1)-Approved Tariff - 2022-23</t>
  </si>
  <si>
    <t>Current Year 'n'-Current Tariff - 2023-24</t>
  </si>
  <si>
    <t>Year (n+1)-Full Cost Recovery Tariff - 2024-25</t>
  </si>
  <si>
    <t>Year (n+1)-Proposed Tariff - 2024-25</t>
  </si>
  <si>
    <t>Fixed/Demand Charge</t>
  </si>
  <si>
    <t>Energy Charge</t>
  </si>
  <si>
    <t>Unit</t>
  </si>
  <si>
    <t>Rs./Unit/Month</t>
  </si>
  <si>
    <t>Rs./kWh / Rs./kVAh</t>
  </si>
  <si>
    <t>LT I: Domestic</t>
  </si>
  <si>
    <t>LT I (A): Upto 100 Units/Month</t>
  </si>
  <si>
    <t>0-50</t>
  </si>
  <si>
    <t>kW</t>
  </si>
  <si>
    <t xml:space="preserve">51-100 </t>
  </si>
  <si>
    <t>LT I (B): Above 100 Units/Month and Upto 200 Units/Month</t>
  </si>
  <si>
    <t>0-100</t>
  </si>
  <si>
    <t xml:space="preserve">100-200 </t>
  </si>
  <si>
    <t xml:space="preserve">LT I (C): Above 200 Units/Month </t>
  </si>
  <si>
    <t>0-200</t>
  </si>
  <si>
    <t>201-300</t>
  </si>
  <si>
    <t>301-400</t>
  </si>
  <si>
    <t>401-800</t>
  </si>
  <si>
    <t>Above 800 units</t>
  </si>
  <si>
    <t>LT II: Non-Domestic/Commercial</t>
  </si>
  <si>
    <t>LT II (A): Upto 50 Units/Month</t>
  </si>
  <si>
    <t>LT II (B): Above 50 Units/Month</t>
  </si>
  <si>
    <t>101-300</t>
  </si>
  <si>
    <t>301-500</t>
  </si>
  <si>
    <t>Above 500</t>
  </si>
  <si>
    <t>LT II (C): Advertisement Hoardings</t>
  </si>
  <si>
    <t>LT II (D): Hair cutting Salons: Upto 200 units/month</t>
  </si>
  <si>
    <t>51-100</t>
  </si>
  <si>
    <t>100-200</t>
  </si>
  <si>
    <t>LT III: Industry</t>
  </si>
  <si>
    <t>Industries</t>
  </si>
  <si>
    <t>Seasonal Industries (off season)</t>
  </si>
  <si>
    <t>Pisciculture/Prawn culture</t>
  </si>
  <si>
    <t>Sugarcane crushing</t>
  </si>
  <si>
    <t>Poultry farms</t>
  </si>
  <si>
    <t>Mushroom, Rabbit, Sheep &amp; Goat farms</t>
  </si>
  <si>
    <t>LT IV: Cottage Industries</t>
  </si>
  <si>
    <t>20/kW subject to a minimum of Rs.30/month</t>
  </si>
  <si>
    <t>Agro Based Activities</t>
  </si>
  <si>
    <t>LT V: Agriculture</t>
  </si>
  <si>
    <t>LT V (A): Agriculture (DSM Measures Mandatory)</t>
  </si>
  <si>
    <t>Corporate Farmers</t>
  </si>
  <si>
    <t>HP</t>
  </si>
  <si>
    <t>Other than Corporate Farmers (i+ii)</t>
  </si>
  <si>
    <t>LT V (B): Others</t>
  </si>
  <si>
    <t>Horticulture Nurseries upto 15 HP</t>
  </si>
  <si>
    <t>LT VI : Street Lighting &amp; PWS schemes</t>
  </si>
  <si>
    <t>LT VI (A): Street Lighting</t>
  </si>
  <si>
    <t xml:space="preserve">Panchayats </t>
  </si>
  <si>
    <t xml:space="preserve">Municipalities </t>
  </si>
  <si>
    <t>Municipal Corporations</t>
  </si>
  <si>
    <t>LT VI (B): CPWS Schemes</t>
  </si>
  <si>
    <t>32/HP subject to minimum of Rs.50/month</t>
  </si>
  <si>
    <t>32/HP subject to minimum of Rs.100/month</t>
  </si>
  <si>
    <t>LT VII: General</t>
  </si>
  <si>
    <t>LT VII (A): General Purpose</t>
  </si>
  <si>
    <t>LT VII (B): Religious Places</t>
  </si>
  <si>
    <t xml:space="preserve">       Connected Load upto 2 kW</t>
  </si>
  <si>
    <t xml:space="preserve">       Connected Load above 2 kW</t>
  </si>
  <si>
    <t>LT VIII: Temporary Supply</t>
  </si>
  <si>
    <t>LT IX: EVs Charging Station</t>
  </si>
  <si>
    <t>HT-I(A):Industry General</t>
  </si>
  <si>
    <t>11kV</t>
  </si>
  <si>
    <t>kVA</t>
  </si>
  <si>
    <t>33kV</t>
  </si>
  <si>
    <t>132 kV and above</t>
  </si>
  <si>
    <t>HT-I(A): Lights and Fans</t>
  </si>
  <si>
    <t>HT-I(A): Poultry Farms</t>
  </si>
  <si>
    <t>HT-I(A): Industrial Colonies</t>
  </si>
  <si>
    <t>HT-I(A): Seasonal Industries</t>
  </si>
  <si>
    <t>HT-I(A): Optional Category with CMD upto 150kVA</t>
  </si>
  <si>
    <t>HT-I(B): Ferro Alloys</t>
  </si>
  <si>
    <t>HT-II: Others</t>
  </si>
  <si>
    <t>HT-II(B): Wholly religious places</t>
  </si>
  <si>
    <t>HT-III AIRPORTS, RAILWAY STATIONS AND BUS STATIONS</t>
  </si>
  <si>
    <t>HT-IV(A) IRRIGATION AND AGRICULTURE</t>
  </si>
  <si>
    <t>HT-IV(B) CPWS Schemes</t>
  </si>
  <si>
    <t>HT-V(A) Railway Traction</t>
  </si>
  <si>
    <t>HT-V(B) HMR</t>
  </si>
  <si>
    <t>HT-VI Townships &amp; Residential Colonies</t>
  </si>
  <si>
    <t>HT-VII: Temporary</t>
  </si>
  <si>
    <t>HT-VIII: RESCO</t>
  </si>
  <si>
    <t>HT-IX: Electric Vehicle Charging Station</t>
  </si>
  <si>
    <t>During the Period</t>
  </si>
  <si>
    <t>Current ToD charges over Energy Charges - 2023-24</t>
  </si>
  <si>
    <t>Proposed ToD charges over Energy Charges - 2024-25</t>
  </si>
  <si>
    <t>6am to 10am and 6pm to 10pm</t>
  </si>
  <si>
    <t>Plus Rs.1/unit</t>
  </si>
  <si>
    <t>10pm to 6am</t>
  </si>
  <si>
    <t>Less Rs.1/unit</t>
  </si>
  <si>
    <t>Form 26:  Revenue from Sale of Power at approved Tariffs-Year (n-1) - 2022-23</t>
  </si>
  <si>
    <t>No. of consumers</t>
  </si>
  <si>
    <t>Connected Load/Contract Demand</t>
  </si>
  <si>
    <t>Tariff</t>
  </si>
  <si>
    <t>Customer Charges</t>
  </si>
  <si>
    <t>FCA</t>
  </si>
  <si>
    <t>Revenue</t>
  </si>
  <si>
    <t>Fixed/Demand Charges</t>
  </si>
  <si>
    <t>Energy Charges</t>
  </si>
  <si>
    <t>Number</t>
  </si>
  <si>
    <t>MVA</t>
  </si>
  <si>
    <t>MUs</t>
  </si>
  <si>
    <t>Rupees</t>
  </si>
  <si>
    <t>(Rs/kWh or Rs/kVAh)</t>
  </si>
  <si>
    <t>i Others</t>
  </si>
  <si>
    <t>ii Poly houses and Green houses</t>
  </si>
  <si>
    <t>LT IX: EVs</t>
  </si>
  <si>
    <t>LT Total</t>
  </si>
  <si>
    <t>HT I(A) - Total (without HMWS&amp;SB)</t>
  </si>
  <si>
    <t>HT (I) A</t>
  </si>
  <si>
    <t>HT I (A): General</t>
  </si>
  <si>
    <t>HT I (A): Optional category (with contract max demand up to 150 kVA)</t>
  </si>
  <si>
    <t>HT I (A): :Lights and Fans</t>
  </si>
  <si>
    <t>HT I (A): Industrial Colonies</t>
  </si>
  <si>
    <t xml:space="preserve">HT I (A):Seasonal Industries </t>
  </si>
  <si>
    <t>HT I: Time of Day Tariffs (6 PM to 10 PM) - Peak Charges</t>
  </si>
  <si>
    <t>HT I: Time of Day Tariffs (6 AM to 10 AM) - Peak Charges</t>
  </si>
  <si>
    <t>HT I: Time of Day Tariffs (10 PM to 06 AM) - Incentives</t>
  </si>
  <si>
    <t>HT I (A): Poultry Farms</t>
  </si>
  <si>
    <t>HT I (A): Poultry Farms -  Normal Timings</t>
  </si>
  <si>
    <t>HT I (A): Poultry Farms-Time of Day Tariffs (6 PM to 10 PM) - Peak Charges</t>
  </si>
  <si>
    <t>HT I (A): Poultry Farms-Time of Day Tariffs (6 AM to 10 AM) - Peak Charges</t>
  </si>
  <si>
    <t>HT I (A):Poultry Farms-Time of Day Tariffs (10 PM to 06 AM) - Incentives</t>
  </si>
  <si>
    <t>HT I(A) :HMWS &amp;SB</t>
  </si>
  <si>
    <t>Normal Timings</t>
  </si>
  <si>
    <t>Time of Day Tariffs (6 PM to 10 PM) - Peak Charges</t>
  </si>
  <si>
    <t>Time of Day Tariffs (6 AM to 10 AM) - Peak Charges</t>
  </si>
  <si>
    <t>Time of Day Tariffs (10 PM to 06 AM) - Incentives</t>
  </si>
  <si>
    <t>HT I (B): Ferro Alloy Units</t>
  </si>
  <si>
    <t>HT II (A): Others</t>
  </si>
  <si>
    <t>HT II (B) : Wholly Religious places</t>
  </si>
  <si>
    <t>HT III: Airports, Bus Stations and Railway Stations</t>
  </si>
  <si>
    <t xml:space="preserve">HT IV: LIS </t>
  </si>
  <si>
    <t>Government LIS</t>
  </si>
  <si>
    <t>HT IV B: CPWS</t>
  </si>
  <si>
    <t>HT IV C Industrial PWW</t>
  </si>
  <si>
    <t>HT V(A): Railway Traction</t>
  </si>
  <si>
    <t>HT V(B): HMR Traction</t>
  </si>
  <si>
    <t>HT VII: Temporary</t>
  </si>
  <si>
    <t>HT VIII: RESCOS</t>
  </si>
  <si>
    <t>HT-IX (EV)</t>
  </si>
  <si>
    <t>HT - 11kV Total</t>
  </si>
  <si>
    <t>HT I (A) Total (without HMWS&amp;SB)</t>
  </si>
  <si>
    <t>HT I (A)</t>
  </si>
  <si>
    <t>Lights and Fans</t>
  </si>
  <si>
    <t>Industrial Colonies</t>
  </si>
  <si>
    <t xml:space="preserve">Seasonal Industries </t>
  </si>
  <si>
    <t>HT I (A): Normal timings</t>
  </si>
  <si>
    <t>HT I (A): Poultry Farms-Time of Day Tariffs (10 PM to 06 AM) - Incentives</t>
  </si>
  <si>
    <t>HT I(A) :HMWS&amp;SB</t>
  </si>
  <si>
    <t>HT II: Normal timings</t>
  </si>
  <si>
    <t>Additional Loads</t>
  </si>
  <si>
    <t xml:space="preserve">HT IV : Govt LIS </t>
  </si>
  <si>
    <t>HT IV(B) : CPWS</t>
  </si>
  <si>
    <t>HT IV B    CPWS</t>
  </si>
  <si>
    <t>HT IV C Industrial Loads</t>
  </si>
  <si>
    <t>HT - 33kV Total</t>
  </si>
  <si>
    <t>HT Category at 132 kV</t>
  </si>
  <si>
    <t>HT I (B): Ferro Alloy units</t>
  </si>
  <si>
    <t>HT II(A) : Others</t>
  </si>
  <si>
    <t xml:space="preserve">HT IV: Government LIS </t>
  </si>
  <si>
    <t>HT IV(A): UpcomingLiftirrigation projects</t>
  </si>
  <si>
    <t>HT IV B : CPWS</t>
  </si>
  <si>
    <t>HT IV C  PWW</t>
  </si>
  <si>
    <t>HT V: Railway Traction &amp; HMR</t>
  </si>
  <si>
    <t xml:space="preserve">HT V (A): Railway Traction </t>
  </si>
  <si>
    <t>HT V (A): Additional Loads</t>
  </si>
  <si>
    <t xml:space="preserve">HT V (B): HMR Traction </t>
  </si>
  <si>
    <t>HT V (B): Additional loads expected in HMR Traction</t>
  </si>
  <si>
    <t>HT - 132kV Total</t>
  </si>
  <si>
    <t>HT Total</t>
  </si>
  <si>
    <t>LT+HT Total</t>
  </si>
  <si>
    <t>Form 26:  Revenue from Sale of Power at Current Tariffs-Year (n+1) - 2024-25</t>
  </si>
  <si>
    <t>LT VI (C): PWW</t>
  </si>
  <si>
    <t>HT revenue for write-up</t>
  </si>
  <si>
    <t>Category</t>
  </si>
  <si>
    <t>HT-I (B) Ferro-Alloys</t>
  </si>
  <si>
    <t>HT-II – Others</t>
  </si>
  <si>
    <t>HT-III Airports, Railways and Bus stations</t>
  </si>
  <si>
    <t>HT-IVA  Lift Irrigation &amp; Agriculture</t>
  </si>
  <si>
    <t xml:space="preserve"> HT - IV (B) Composite P.W.S Schemes </t>
  </si>
  <si>
    <t>HT-V Railway Traction&amp; HMR</t>
  </si>
  <si>
    <t>HT-VI Townships and Residential Colonies</t>
  </si>
  <si>
    <t>HT-VII Temporary Supply</t>
  </si>
  <si>
    <t xml:space="preserve">HT IX-Electric Vehicle Charging Stations </t>
  </si>
  <si>
    <t>Year 'n+1'-Current Tariff - 2024-25</t>
  </si>
  <si>
    <t>Year (n+2)-Full Cost Recovery Tariff - 2025-26</t>
  </si>
  <si>
    <t>Year (n+2)-Proposed Tariff - 2025-26</t>
  </si>
  <si>
    <t>32/HP subject to a minimum of Rs. 50/month</t>
  </si>
  <si>
    <t>32/HP subject to a minimum of Rs. 100/month</t>
  </si>
  <si>
    <t>Form 26:  Revenue from Sale of Power at current Tariffs-Year (n+1) - 2024-25</t>
  </si>
  <si>
    <t>Form 26:  Revenue from Sale of Power at proposed Tariffs-Year (n+1) - 2024-25</t>
  </si>
  <si>
    <t>Form 26:  Revenue from Sale of Power at Current Tariffs-Year (n+2) - 2025-26</t>
  </si>
  <si>
    <t>Form 26:  Revenue from Sale of Power at proposed Tariffs-Year (n+2) - 2025-26</t>
  </si>
  <si>
    <t>Form 27:  Revenue Summary-Year (n+2) - FY 2025-26</t>
  </si>
  <si>
    <t>Revenue at Current Tariffs</t>
  </si>
  <si>
    <t>Revenue at proposed Tariffs</t>
  </si>
  <si>
    <t>Average Billing Rate</t>
  </si>
  <si>
    <t>Form 27:  Revenue Summary-Year (n+1) - FY 2024-25</t>
  </si>
  <si>
    <t>Form 28:  Summary of true-up</t>
  </si>
  <si>
    <t>Previous Year (n-1) - FY 2022-23- Actuals- PP True up (by considering minimum of approved and actual agricultural sales)</t>
  </si>
  <si>
    <t>Normative claimed in true-up</t>
  </si>
  <si>
    <t>Deviation</t>
  </si>
  <si>
    <t>Controllable</t>
  </si>
  <si>
    <t>Uncontrollable</t>
  </si>
  <si>
    <t>Net Entitlement after sharing of gains/(losses)</t>
  </si>
  <si>
    <t>Expenses side summary</t>
  </si>
  <si>
    <t>Genco Thermal</t>
  </si>
  <si>
    <t>Genco Hydel</t>
  </si>
  <si>
    <t>CGS</t>
  </si>
  <si>
    <t>NCE</t>
  </si>
  <si>
    <t>Market</t>
  </si>
  <si>
    <t>Interstate Sale/UI/Sale/Purchase in 33kV &amp; below</t>
  </si>
  <si>
    <t>D-D purchase/UI</t>
  </si>
  <si>
    <t>Interest on Pension Bonds</t>
  </si>
  <si>
    <t>Transmission Charges (Inter and Intra-State, SLDC charges)</t>
  </si>
  <si>
    <t>Miscellaneous Charges</t>
  </si>
  <si>
    <t>Provisional True up approved for FY 2022-23</t>
  </si>
  <si>
    <t>Net true up To be done for FY 2022-23</t>
  </si>
  <si>
    <t>Previous Year (n-1) - FY 2022-23- Actuals- PP True up (by considering actual agricultural sales)</t>
  </si>
  <si>
    <t>Current Year (n) - FY 2023-24 - Provisional- PP True up (by considering minimum of approved and actual agricultural sales)</t>
  </si>
  <si>
    <t>Provisional true-up for FY 2023-24</t>
  </si>
  <si>
    <t>Current Year (n) - FY 2023-24 - Provisional- PP True up (by considering  actual agricultural sales)</t>
  </si>
  <si>
    <t>Form 29:  Revenue Gap/(Surplus)-Year (n+1) - FY 2024-25</t>
  </si>
  <si>
    <t>Revenue from Sale of Power at Current Tariffs</t>
  </si>
  <si>
    <t>Revenue from Sale of Power at Proposed Tariffs</t>
  </si>
  <si>
    <t>GoTS Subsidy</t>
  </si>
  <si>
    <t>Residual Revenue Gap/(Surplus) at Proposed Tariffs</t>
  </si>
  <si>
    <t>Licensee should submit the proposed measures to bridge the residual revenue gap, if any, at Proposed Tariffs</t>
  </si>
  <si>
    <t>LT IX: Evs Charging Station</t>
  </si>
  <si>
    <t>k</t>
  </si>
  <si>
    <t>Previous Year (n-1)</t>
  </si>
  <si>
    <t>Reasons for Deviation</t>
  </si>
  <si>
    <t>Higher market purchases</t>
  </si>
  <si>
    <t>NO</t>
  </si>
  <si>
    <t>Yes</t>
  </si>
  <si>
    <t>DD Purchase / UI</t>
  </si>
  <si>
    <t>Revenue side summary</t>
  </si>
  <si>
    <t>Revenue for true-up</t>
  </si>
  <si>
    <t>Revenue Gap/(Surplus)</t>
  </si>
  <si>
    <t>Form 29:  Revenue Gap/(Surplus)-Year (n+1)</t>
  </si>
  <si>
    <t>Residual Revenue Gap/(Surplus) at Proposed Tariffs (1-2-3)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</si>
</sst>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35">
    <numFmt numFmtId="176" formatCode="_(* #,##0.00_);_(* \(#,##0.00\);_(* &quot;-&quot;??_);_(@_)"/>
    <numFmt numFmtId="177" formatCode="_ &quot;₹&quot;* #,##0.00_ ;_ &quot;₹&quot;* \-#,##0.00_ ;_ &quot;₹&quot;* &quot;-&quot;??_ ;_ @_ "/>
    <numFmt numFmtId="178" formatCode="_ * #,##0_ ;_ * \-#,##0_ ;_ * &quot;-&quot;_ ;_ @_ "/>
    <numFmt numFmtId="179" formatCode="_ &quot;₹&quot;* #,##0_ ;_ &quot;₹&quot;* \-#,##0_ ;_ &quot;₹&quot;* &quot;-&quot;_ ;_ @_ "/>
    <numFmt numFmtId="180" formatCode="_-* #,##0.00_-;\-* #,##0.00_-;_-* &quot;-&quot;??_-;_-@_-"/>
    <numFmt numFmtId="181" formatCode="_ * #,##0.00_ ;_ * \-#,##0.00_ ;_ * &quot;-&quot;??_ ;_ @_ "/>
    <numFmt numFmtId="182" formatCode="&quot;ß&quot;#,##0.00_);\(&quot;ß&quot;#,##0.00\)"/>
    <numFmt numFmtId="183" formatCode="_ &quot;₹&quot;\ * #,##0.00_ ;_ &quot;₹&quot;\ * \-#,##0.00_ ;_ &quot;₹&quot;\ * &quot;-&quot;??_ ;_ @_ "/>
    <numFmt numFmtId="184" formatCode="_(&quot;₹&quot;* #,##0.00_);_(&quot;₹&quot;* \(#,##0.00\);_(&quot;₹&quot;* &quot;-&quot;??_);_(@_)"/>
    <numFmt numFmtId="185" formatCode="dd\ mmm\ yyyy_);\(###0\);&quot;-  &quot;;&quot; &quot;@&quot; &quot;"/>
    <numFmt numFmtId="186" formatCode="dd\ mmm\ yy_);\(###0\);&quot;-  &quot;;&quot; &quot;@&quot; &quot;"/>
    <numFmt numFmtId="187" formatCode="#,##0.0000_);\(#,##0.0000\);&quot;-  &quot;;&quot; &quot;@&quot; &quot;"/>
    <numFmt numFmtId="188" formatCode="#,##0_);\(#,##0\);&quot;-  &quot;;&quot; &quot;@&quot; &quot;"/>
    <numFmt numFmtId="189" formatCode="0.00_)"/>
    <numFmt numFmtId="190" formatCode="_(* #,##0_);_(* \(#,##0\);_(* &quot;-&quot;_);@_)"/>
    <numFmt numFmtId="191" formatCode="0.00%_);\-0.00%_);&quot;-  &quot;;&quot; &quot;@&quot; &quot;"/>
    <numFmt numFmtId="192" formatCode="###0_);\(###0\);&quot;-  &quot;;&quot; &quot;@&quot; &quot;"/>
    <numFmt numFmtId="193" formatCode="_(* #,##0_);_(* \(#,##0\);_(* &quot;-&quot;??_);_(@_)"/>
    <numFmt numFmtId="194" formatCode="#,##0.0"/>
    <numFmt numFmtId="195" formatCode="0.000"/>
    <numFmt numFmtId="196" formatCode="_(* #,##0.0_);_(* \(#,##0.0\);_(* &quot;-&quot;??_);_(@_)"/>
    <numFmt numFmtId="197" formatCode="0.0%"/>
    <numFmt numFmtId="198" formatCode="_(* #,##0.000_);_(* \(#,##0.000\);_(* &quot;-&quot;??_);_(@_)"/>
    <numFmt numFmtId="199" formatCode="_(* #,##0.0000_);_(* \(#,##0.0000\);_(* &quot;-&quot;????_);_(@_)"/>
    <numFmt numFmtId="200" formatCode="_(* #,##0.00000000_);_(* \(#,##0.00000000\);_(* &quot;-&quot;??_);_(@_)"/>
    <numFmt numFmtId="201" formatCode="_ * #,##0_ ;_ * \-#,##0_ ;_ * &quot;-&quot;??_ ;_ @_ "/>
    <numFmt numFmtId="202" formatCode="0.000000"/>
    <numFmt numFmtId="203" formatCode="#,##0.0000"/>
    <numFmt numFmtId="204" formatCode="0.00000"/>
    <numFmt numFmtId="205" formatCode="#,##0.000"/>
    <numFmt numFmtId="206" formatCode="0.0000%"/>
    <numFmt numFmtId="207" formatCode="0.000%"/>
    <numFmt numFmtId="208" formatCode="0.0"/>
    <numFmt numFmtId="209" formatCode="&quot;$&quot;#,##0.00_);[Red]\(&quot;$&quot;#,##0.00\)"/>
    <numFmt numFmtId="210" formatCode="0.0000"/>
  </numFmts>
  <fonts count="64">
    <font>
      <sz val="10"/>
      <name val="Arial"/>
      <charset val="134"/>
    </font>
    <font>
      <sz val="11"/>
      <name val="Arial"/>
      <charset val="134"/>
    </font>
    <font>
      <b/>
      <sz val="11"/>
      <name val="Arial"/>
      <charset val="134"/>
    </font>
    <font>
      <b/>
      <sz val="11"/>
      <color theme="1"/>
      <name val="Arial"/>
      <charset val="134"/>
    </font>
    <font>
      <sz val="11"/>
      <color theme="1"/>
      <name val="Arial"/>
      <charset val="134"/>
    </font>
    <font>
      <i/>
      <sz val="10"/>
      <name val="Arial"/>
      <charset val="134"/>
    </font>
    <font>
      <i/>
      <sz val="11"/>
      <name val="Arial"/>
      <charset val="134"/>
    </font>
    <font>
      <b/>
      <sz val="10"/>
      <color theme="1"/>
      <name val="Arial"/>
      <charset val="134"/>
    </font>
    <font>
      <b/>
      <sz val="10"/>
      <name val="Arial"/>
      <charset val="134"/>
    </font>
    <font>
      <i/>
      <sz val="10"/>
      <color theme="1"/>
      <name val="Arial"/>
      <charset val="134"/>
    </font>
    <font>
      <b/>
      <i/>
      <sz val="11"/>
      <name val="Arial"/>
      <charset val="134"/>
    </font>
    <font>
      <sz val="10"/>
      <color theme="1"/>
      <name val="Arial"/>
      <charset val="134"/>
    </font>
    <font>
      <b/>
      <sz val="12"/>
      <name val="Arial"/>
      <charset val="134"/>
    </font>
    <font>
      <b/>
      <sz val="11"/>
      <color rgb="FF000000"/>
      <name val="Arial"/>
      <charset val="134"/>
    </font>
    <font>
      <sz val="13"/>
      <name val="Arial"/>
      <charset val="134"/>
    </font>
    <font>
      <b/>
      <sz val="13"/>
      <name val="Arial"/>
      <charset val="134"/>
    </font>
    <font>
      <b/>
      <sz val="12"/>
      <color theme="1"/>
      <name val="Arial"/>
      <charset val="134"/>
    </font>
    <font>
      <sz val="12"/>
      <name val="Arial"/>
      <charset val="134"/>
    </font>
    <font>
      <sz val="10"/>
      <name val="Georgia"/>
      <charset val="134"/>
    </font>
    <font>
      <sz val="11"/>
      <color indexed="8"/>
      <name val="Arial"/>
      <charset val="134"/>
    </font>
    <font>
      <sz val="12"/>
      <color rgb="FF000000"/>
      <name val="Calibri"/>
      <charset val="134"/>
      <scheme val="minor"/>
    </font>
    <font>
      <sz val="12"/>
      <color theme="1"/>
      <name val="Calibri"/>
      <charset val="134"/>
      <scheme val="minor"/>
    </font>
    <font>
      <b/>
      <u/>
      <sz val="11"/>
      <name val="Arial"/>
      <charset val="134"/>
    </font>
    <font>
      <b/>
      <sz val="20"/>
      <name val="Arial"/>
      <charset val="134"/>
    </font>
    <font>
      <b/>
      <sz val="18"/>
      <name val="Arial"/>
      <charset val="134"/>
    </font>
    <font>
      <b/>
      <sz val="11"/>
      <color rgb="FF4D5156"/>
      <name val="Arial"/>
      <charset val="134"/>
    </font>
    <font>
      <b/>
      <sz val="9"/>
      <color theme="1"/>
      <name val="Arial"/>
      <charset val="134"/>
    </font>
    <font>
      <sz val="11"/>
      <color rgb="FFFF0000"/>
      <name val="Arial"/>
      <charset val="134"/>
    </font>
    <font>
      <b/>
      <sz val="11"/>
      <color indexed="9"/>
      <name val="Arial"/>
      <charset val="134"/>
    </font>
    <font>
      <sz val="11"/>
      <color theme="0"/>
      <name val="Arial"/>
      <charset val="134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2"/>
      <name val="Tms Rmn"/>
      <charset val="134"/>
    </font>
    <font>
      <sz val="10"/>
      <name val="Helv"/>
      <charset val="134"/>
    </font>
    <font>
      <sz val="11"/>
      <color indexed="8"/>
      <name val="Calibri"/>
      <charset val="134"/>
    </font>
    <font>
      <sz val="8"/>
      <name val="Arial"/>
      <charset val="134"/>
    </font>
    <font>
      <u/>
      <sz val="10"/>
      <color theme="10"/>
      <name val="Arial"/>
      <charset val="134"/>
    </font>
    <font>
      <sz val="7"/>
      <name val="Small Fonts"/>
      <charset val="134"/>
    </font>
    <font>
      <b/>
      <i/>
      <sz val="16"/>
      <name val="Helv"/>
      <charset val="134"/>
    </font>
    <font>
      <sz val="10"/>
      <name val="Times New Roman"/>
      <charset val="134"/>
    </font>
    <font>
      <sz val="9"/>
      <color theme="1"/>
      <name val="Calibri"/>
      <charset val="134"/>
      <scheme val="minor"/>
    </font>
    <font>
      <sz val="11"/>
      <color theme="1"/>
      <name val="Calibri"/>
      <charset val="134"/>
    </font>
    <font>
      <vertAlign val="superscript"/>
      <sz val="11"/>
      <name val="Arial"/>
      <charset val="134"/>
    </font>
    <font>
      <sz val="10"/>
      <name val="SimSun"/>
      <charset val="134"/>
    </font>
    <font>
      <b/>
      <sz val="9"/>
      <name val="Tahoma"/>
      <charset val="134"/>
    </font>
    <font>
      <sz val="9"/>
      <name val="Tahoma"/>
      <charset val="134"/>
    </font>
  </fonts>
  <fills count="4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2" tint="-0.0999786370433668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5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0" tint="-0.249946592608417"/>
      </left>
      <right style="thin">
        <color theme="0" tint="-0.249946592608417"/>
      </right>
      <top style="hair">
        <color theme="0" tint="-0.249946592608417"/>
      </top>
      <bottom style="hair">
        <color theme="0" tint="-0.249946592608417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8"/>
      </right>
      <top/>
      <bottom/>
      <diagonal/>
    </border>
  </borders>
  <cellStyleXfs count="449">
    <xf numFmtId="0" fontId="0" fillId="0" borderId="0"/>
    <xf numFmtId="176" fontId="0" fillId="0" borderId="0" applyFont="0" applyFill="0" applyBorder="0" applyAlignment="0" applyProtection="0"/>
    <xf numFmtId="177" fontId="3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178" fontId="30" fillId="0" borderId="0" applyFont="0" applyFill="0" applyBorder="0" applyAlignment="0" applyProtection="0">
      <alignment vertical="center"/>
    </xf>
    <xf numFmtId="179" fontId="3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0" fillId="17" borderId="42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43" applyNumberFormat="0" applyFill="0" applyAlignment="0" applyProtection="0">
      <alignment vertical="center"/>
    </xf>
    <xf numFmtId="0" fontId="37" fillId="0" borderId="43" applyNumberFormat="0" applyFill="0" applyAlignment="0" applyProtection="0">
      <alignment vertical="center"/>
    </xf>
    <xf numFmtId="0" fontId="38" fillId="0" borderId="44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18" borderId="45" applyNumberFormat="0" applyAlignment="0" applyProtection="0">
      <alignment vertical="center"/>
    </xf>
    <xf numFmtId="0" fontId="40" fillId="19" borderId="46" applyNumberFormat="0" applyAlignment="0" applyProtection="0">
      <alignment vertical="center"/>
    </xf>
    <xf numFmtId="0" fontId="41" fillId="19" borderId="45" applyNumberFormat="0" applyAlignment="0" applyProtection="0">
      <alignment vertical="center"/>
    </xf>
    <xf numFmtId="0" fontId="42" fillId="20" borderId="47" applyNumberFormat="0" applyAlignment="0" applyProtection="0">
      <alignment vertical="center"/>
    </xf>
    <xf numFmtId="0" fontId="43" fillId="0" borderId="48" applyNumberFormat="0" applyFill="0" applyAlignment="0" applyProtection="0">
      <alignment vertical="center"/>
    </xf>
    <xf numFmtId="0" fontId="44" fillId="0" borderId="49" applyNumberFormat="0" applyFill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9" fillId="44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/>
    <xf numFmtId="0" fontId="51" fillId="0" borderId="50"/>
    <xf numFmtId="176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80" fontId="0" fillId="0" borderId="0" applyFont="0" applyFill="0" applyBorder="0" applyAlignment="0" applyProtection="0"/>
    <xf numFmtId="181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30" fillId="0" borderId="0" applyFont="0" applyFill="0" applyBorder="0" applyAlignment="0" applyProtection="0"/>
    <xf numFmtId="181" fontId="30" fillId="0" borderId="0" applyFont="0" applyFill="0" applyBorder="0" applyAlignment="0" applyProtection="0"/>
    <xf numFmtId="181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181" fontId="30" fillId="0" borderId="0" applyFont="0" applyFill="0" applyBorder="0" applyAlignment="0" applyProtection="0"/>
    <xf numFmtId="181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182" fontId="52" fillId="0" borderId="0" applyFont="0" applyFill="0" applyBorder="0" applyAlignment="0" applyProtection="0"/>
    <xf numFmtId="181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30" fillId="0" borderId="0" applyFont="0" applyFill="0" applyBorder="0" applyAlignment="0" applyProtection="0"/>
    <xf numFmtId="181" fontId="30" fillId="0" borderId="0" applyFont="0" applyFill="0" applyBorder="0" applyAlignment="0" applyProtection="0"/>
    <xf numFmtId="181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181" fontId="30" fillId="0" borderId="0" applyFont="0" applyFill="0" applyBorder="0" applyAlignment="0" applyProtection="0"/>
    <xf numFmtId="181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30" fillId="0" borderId="0" applyFont="0" applyFill="0" applyBorder="0" applyAlignment="0" applyProtection="0"/>
    <xf numFmtId="181" fontId="30" fillId="0" borderId="0" applyFont="0" applyFill="0" applyBorder="0" applyAlignment="0" applyProtection="0"/>
    <xf numFmtId="181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181" fontId="30" fillId="0" borderId="0" applyFont="0" applyFill="0" applyBorder="0" applyAlignment="0" applyProtection="0"/>
    <xf numFmtId="181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181" fontId="52" fillId="0" borderId="0" applyFont="0" applyFill="0" applyBorder="0" applyAlignment="0" applyProtection="0"/>
    <xf numFmtId="181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82" fontId="0" fillId="0" borderId="0" applyFont="0" applyFill="0" applyBorder="0" applyAlignment="0" applyProtection="0"/>
    <xf numFmtId="181" fontId="30" fillId="0" borderId="0" applyFont="0" applyFill="0" applyBorder="0" applyAlignment="0" applyProtection="0"/>
    <xf numFmtId="181" fontId="30" fillId="0" borderId="0" applyFont="0" applyFill="0" applyBorder="0" applyAlignment="0" applyProtection="0"/>
    <xf numFmtId="182" fontId="0" fillId="0" borderId="0" applyFont="0" applyFill="0" applyBorder="0" applyAlignment="0" applyProtection="0"/>
    <xf numFmtId="176" fontId="30" fillId="0" borderId="0" applyFont="0" applyFill="0" applyBorder="0" applyAlignment="0" applyProtection="0"/>
    <xf numFmtId="182" fontId="0" fillId="0" borderId="0" applyFont="0" applyFill="0" applyBorder="0" applyAlignment="0" applyProtection="0"/>
    <xf numFmtId="176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180" fontId="52" fillId="0" borderId="0" applyFont="0" applyFill="0" applyBorder="0" applyAlignment="0" applyProtection="0"/>
    <xf numFmtId="181" fontId="30" fillId="0" borderId="0" applyFont="0" applyFill="0" applyBorder="0" applyAlignment="0" applyProtection="0"/>
    <xf numFmtId="181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181" fontId="30" fillId="0" borderId="0" applyFont="0" applyFill="0" applyBorder="0" applyAlignment="0" applyProtection="0"/>
    <xf numFmtId="181" fontId="11" fillId="0" borderId="0" applyFont="0" applyFill="0" applyBorder="0" applyAlignment="0" applyProtection="0"/>
    <xf numFmtId="176" fontId="30" fillId="0" borderId="0" applyFont="0" applyFill="0" applyBorder="0" applyAlignment="0" applyProtection="0"/>
    <xf numFmtId="181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0" fontId="51" fillId="0" borderId="5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4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4" fontId="30" fillId="0" borderId="0" applyFont="0" applyFill="0" applyBorder="0" applyAlignment="0" applyProtection="0"/>
    <xf numFmtId="185" fontId="11" fillId="0" borderId="0" applyFont="0" applyFill="0" applyBorder="0" applyProtection="0">
      <alignment vertical="top"/>
    </xf>
    <xf numFmtId="186" fontId="11" fillId="0" borderId="0" applyFont="0" applyFill="0" applyBorder="0" applyProtection="0">
      <alignment vertical="top"/>
    </xf>
    <xf numFmtId="187" fontId="11" fillId="0" borderId="0" applyFont="0" applyFill="0" applyBorder="0" applyProtection="0">
      <alignment vertical="top"/>
    </xf>
    <xf numFmtId="38" fontId="53" fillId="46" borderId="0" applyNumberFormat="0" applyBorder="0" applyAlignment="0" applyProtection="0"/>
    <xf numFmtId="0" fontId="12" fillId="0" borderId="36" applyNumberFormat="0" applyAlignment="0" applyProtection="0">
      <alignment horizontal="left" vertical="center"/>
    </xf>
    <xf numFmtId="0" fontId="12" fillId="0" borderId="14">
      <alignment horizontal="left" vertical="center"/>
    </xf>
    <xf numFmtId="188" fontId="54" fillId="0" borderId="0" applyNumberFormat="0" applyFill="0" applyBorder="0" applyAlignment="0" applyProtection="0">
      <alignment vertical="top"/>
    </xf>
    <xf numFmtId="10" fontId="53" fillId="47" borderId="1" applyNumberFormat="0" applyBorder="0" applyAlignment="0" applyProtection="0"/>
    <xf numFmtId="37" fontId="55" fillId="0" borderId="0"/>
    <xf numFmtId="189" fontId="56" fillId="0" borderId="0"/>
    <xf numFmtId="0" fontId="30" fillId="0" borderId="0"/>
    <xf numFmtId="0" fontId="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88" fontId="11" fillId="0" borderId="0" applyFont="0" applyFill="0" applyBorder="0" applyProtection="0">
      <alignment vertical="top"/>
    </xf>
    <xf numFmtId="0" fontId="0" fillId="0" borderId="0"/>
    <xf numFmtId="0" fontId="30" fillId="0" borderId="0"/>
    <xf numFmtId="0" fontId="11" fillId="0" borderId="0" applyFont="0" applyFill="0" applyBorder="0" applyProtection="0">
      <alignment vertical="top"/>
    </xf>
    <xf numFmtId="188" fontId="11" fillId="0" borderId="0" applyFont="0" applyFill="0" applyBorder="0" applyProtection="0">
      <alignment vertical="top"/>
    </xf>
    <xf numFmtId="188" fontId="11" fillId="0" borderId="0" applyFont="0" applyFill="0" applyBorder="0" applyProtection="0">
      <alignment vertical="top"/>
    </xf>
    <xf numFmtId="0" fontId="11" fillId="0" borderId="0" applyFont="0" applyFill="0" applyBorder="0" applyProtection="0">
      <alignment vertical="top"/>
    </xf>
    <xf numFmtId="0" fontId="57" fillId="0" borderId="0"/>
    <xf numFmtId="0" fontId="0" fillId="0" borderId="0"/>
    <xf numFmtId="0" fontId="0" fillId="0" borderId="0"/>
    <xf numFmtId="188" fontId="30" fillId="0" borderId="0" applyFont="0" applyFill="0" applyBorder="0" applyProtection="0">
      <alignment vertical="top"/>
    </xf>
    <xf numFmtId="188" fontId="30" fillId="0" borderId="0" applyFont="0" applyFill="0" applyBorder="0" applyProtection="0">
      <alignment vertical="top"/>
    </xf>
    <xf numFmtId="188" fontId="30" fillId="0" borderId="0" applyFont="0" applyFill="0" applyBorder="0" applyProtection="0">
      <alignment vertical="top"/>
    </xf>
    <xf numFmtId="188" fontId="30" fillId="0" borderId="0" applyFont="0" applyFill="0" applyBorder="0" applyProtection="0">
      <alignment vertical="top"/>
    </xf>
    <xf numFmtId="188" fontId="30" fillId="0" borderId="0" applyFont="0" applyFill="0" applyBorder="0" applyProtection="0">
      <alignment vertical="top"/>
    </xf>
    <xf numFmtId="188" fontId="30" fillId="0" borderId="0" applyFont="0" applyFill="0" applyBorder="0" applyProtection="0">
      <alignment vertical="top"/>
    </xf>
    <xf numFmtId="188" fontId="30" fillId="0" borderId="0" applyFont="0" applyFill="0" applyBorder="0" applyProtection="0">
      <alignment vertical="top"/>
    </xf>
    <xf numFmtId="188" fontId="30" fillId="0" borderId="0" applyFont="0" applyFill="0" applyBorder="0" applyProtection="0">
      <alignment vertical="top"/>
    </xf>
    <xf numFmtId="188" fontId="30" fillId="0" borderId="0" applyFont="0" applyFill="0" applyBorder="0" applyProtection="0">
      <alignment vertical="top"/>
    </xf>
    <xf numFmtId="188" fontId="30" fillId="0" borderId="0" applyFont="0" applyFill="0" applyBorder="0" applyProtection="0">
      <alignment vertical="top"/>
    </xf>
    <xf numFmtId="190" fontId="58" fillId="0" borderId="0"/>
    <xf numFmtId="0" fontId="59" fillId="0" borderId="0"/>
    <xf numFmtId="0" fontId="0" fillId="0" borderId="0"/>
    <xf numFmtId="0" fontId="0" fillId="0" borderId="0"/>
    <xf numFmtId="188" fontId="58" fillId="0" borderId="0"/>
    <xf numFmtId="0" fontId="30" fillId="0" borderId="0"/>
    <xf numFmtId="0" fontId="52" fillId="0" borderId="0"/>
    <xf numFmtId="0" fontId="0" fillId="0" borderId="0"/>
    <xf numFmtId="0" fontId="0" fillId="0" borderId="0"/>
    <xf numFmtId="0" fontId="5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0" fillId="0" borderId="0">
      <alignment vertical="center"/>
    </xf>
    <xf numFmtId="182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91" fontId="11" fillId="0" borderId="0" applyFont="0" applyFill="0" applyBorder="0" applyProtection="0">
      <alignment vertical="top"/>
    </xf>
    <xf numFmtId="9" fontId="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8" fillId="0" borderId="0" applyFont="0" applyFill="0" applyBorder="0" applyAlignment="0" applyProtection="0"/>
    <xf numFmtId="191" fontId="11" fillId="0" borderId="0" applyFont="0" applyFill="0" applyBorder="0" applyProtection="0">
      <alignment vertical="top"/>
    </xf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0" fontId="38" fillId="0" borderId="0" applyAlignment="0" applyProtection="0"/>
    <xf numFmtId="0" fontId="0" fillId="0" borderId="0"/>
    <xf numFmtId="0" fontId="0" fillId="0" borderId="0" applyBorder="0" applyProtection="0"/>
    <xf numFmtId="192" fontId="11" fillId="0" borderId="0" applyFont="0" applyFill="0" applyBorder="0" applyProtection="0">
      <alignment vertical="top"/>
    </xf>
  </cellStyleXfs>
  <cellXfs count="976">
    <xf numFmtId="0" fontId="0" fillId="0" borderId="0" xfId="0"/>
    <xf numFmtId="0" fontId="1" fillId="0" borderId="0" xfId="0" applyFont="1" applyAlignment="1">
      <alignment vertical="center"/>
    </xf>
    <xf numFmtId="0" fontId="2" fillId="0" borderId="0" xfId="327" applyFont="1" applyAlignment="1">
      <alignment horizontal="center" vertical="center"/>
    </xf>
    <xf numFmtId="0" fontId="2" fillId="0" borderId="0" xfId="227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1" xfId="327" applyFont="1" applyBorder="1" applyAlignment="1">
      <alignment horizontal="center" vertical="center" wrapText="1"/>
    </xf>
    <xf numFmtId="0" fontId="2" fillId="0" borderId="1" xfId="327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1" fontId="1" fillId="2" borderId="1" xfId="85" applyNumberFormat="1" applyFont="1" applyFill="1" applyBorder="1" applyAlignment="1">
      <alignment vertical="center"/>
    </xf>
    <xf numFmtId="2" fontId="1" fillId="0" borderId="1" xfId="85" applyNumberFormat="1" applyFont="1" applyFill="1" applyBorder="1" applyAlignment="1">
      <alignment vertical="center"/>
    </xf>
    <xf numFmtId="0" fontId="2" fillId="0" borderId="0" xfId="227" applyFont="1" applyAlignment="1">
      <alignment vertical="center"/>
    </xf>
    <xf numFmtId="0" fontId="1" fillId="0" borderId="0" xfId="227" applyFont="1" applyAlignment="1">
      <alignment vertical="center"/>
    </xf>
    <xf numFmtId="0" fontId="1" fillId="0" borderId="0" xfId="227" applyFont="1" applyAlignment="1">
      <alignment horizontal="center" vertical="center"/>
    </xf>
    <xf numFmtId="0" fontId="2" fillId="0" borderId="0" xfId="227" applyFont="1" applyAlignment="1">
      <alignment horizontal="left" vertical="center"/>
    </xf>
    <xf numFmtId="0" fontId="1" fillId="0" borderId="0" xfId="327" applyFont="1">
      <alignment vertical="center"/>
    </xf>
    <xf numFmtId="0" fontId="2" fillId="0" borderId="2" xfId="327" applyFont="1" applyBorder="1" applyAlignment="1">
      <alignment horizontal="center" vertical="center" wrapText="1"/>
    </xf>
    <xf numFmtId="0" fontId="2" fillId="0" borderId="2" xfId="327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2" fillId="0" borderId="1" xfId="327" applyFont="1" applyBorder="1">
      <alignment vertical="center"/>
    </xf>
    <xf numFmtId="0" fontId="1" fillId="0" borderId="1" xfId="327" applyFont="1" applyBorder="1" applyAlignment="1">
      <alignment horizontal="center" vertical="center"/>
    </xf>
    <xf numFmtId="0" fontId="1" fillId="0" borderId="1" xfId="327" applyFont="1" applyBorder="1">
      <alignment vertical="center"/>
    </xf>
    <xf numFmtId="1" fontId="1" fillId="0" borderId="1" xfId="327" applyNumberFormat="1" applyFont="1" applyBorder="1">
      <alignment vertical="center"/>
    </xf>
    <xf numFmtId="0" fontId="1" fillId="0" borderId="2" xfId="327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vertical="center"/>
    </xf>
    <xf numFmtId="1" fontId="1" fillId="0" borderId="0" xfId="0" applyNumberFormat="1" applyFont="1" applyAlignment="1">
      <alignment vertical="center"/>
    </xf>
    <xf numFmtId="0" fontId="1" fillId="0" borderId="3" xfId="327" applyFont="1" applyBorder="1" applyAlignment="1">
      <alignment horizontal="center" vertical="center" wrapText="1"/>
    </xf>
    <xf numFmtId="0" fontId="1" fillId="0" borderId="4" xfId="327" applyFont="1" applyBorder="1" applyAlignment="1">
      <alignment horizontal="center" vertical="center" wrapText="1"/>
    </xf>
    <xf numFmtId="0" fontId="1" fillId="0" borderId="1" xfId="327" applyFont="1" applyBorder="1" applyAlignment="1">
      <alignment vertical="top" wrapText="1"/>
    </xf>
    <xf numFmtId="0" fontId="2" fillId="0" borderId="1" xfId="327" applyFont="1" applyBorder="1" applyAlignment="1">
      <alignment horizontal="center" vertical="top" wrapText="1"/>
    </xf>
    <xf numFmtId="2" fontId="2" fillId="2" borderId="1" xfId="327" applyNumberFormat="1" applyFont="1" applyFill="1" applyBorder="1">
      <alignment vertical="center"/>
    </xf>
    <xf numFmtId="0" fontId="1" fillId="0" borderId="1" xfId="327" applyFont="1" applyBorder="1" applyAlignment="1">
      <alignment horizontal="center" vertical="top" wrapText="1"/>
    </xf>
    <xf numFmtId="0" fontId="4" fillId="0" borderId="1" xfId="0" applyFont="1" applyBorder="1" applyAlignment="1">
      <alignment vertical="center"/>
    </xf>
    <xf numFmtId="0" fontId="2" fillId="0" borderId="0" xfId="327" applyFont="1" applyAlignment="1">
      <alignment horizontal="right" vertical="center"/>
    </xf>
    <xf numFmtId="0" fontId="2" fillId="0" borderId="0" xfId="327" applyFont="1">
      <alignment vertical="center"/>
    </xf>
    <xf numFmtId="0" fontId="1" fillId="0" borderId="0" xfId="0" applyFont="1" applyAlignment="1">
      <alignment horizontal="center" vertical="center"/>
    </xf>
    <xf numFmtId="0" fontId="3" fillId="0" borderId="5" xfId="243" applyFont="1" applyBorder="1" applyAlignment="1">
      <alignment horizontal="center" vertical="center"/>
    </xf>
    <xf numFmtId="0" fontId="3" fillId="0" borderId="6" xfId="243" applyFont="1" applyBorder="1" applyAlignment="1">
      <alignment horizontal="center" vertical="center"/>
    </xf>
    <xf numFmtId="0" fontId="3" fillId="0" borderId="1" xfId="243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7" xfId="243" applyFont="1" applyBorder="1" applyAlignment="1">
      <alignment horizontal="center" vertical="center"/>
    </xf>
    <xf numFmtId="0" fontId="3" fillId="0" borderId="8" xfId="243" applyFont="1" applyBorder="1" applyAlignment="1">
      <alignment horizontal="center" vertical="center"/>
    </xf>
    <xf numFmtId="0" fontId="3" fillId="0" borderId="9" xfId="243" applyFont="1" applyBorder="1" applyAlignment="1">
      <alignment horizontal="center" vertical="center"/>
    </xf>
    <xf numFmtId="0" fontId="3" fillId="0" borderId="10" xfId="243" applyFont="1" applyBorder="1" applyAlignment="1">
      <alignment horizontal="center" vertical="center"/>
    </xf>
    <xf numFmtId="0" fontId="2" fillId="3" borderId="11" xfId="227" applyFont="1" applyFill="1" applyBorder="1" applyAlignment="1">
      <alignment horizontal="center" vertical="center"/>
    </xf>
    <xf numFmtId="0" fontId="2" fillId="3" borderId="12" xfId="227" applyFont="1" applyFill="1" applyBorder="1" applyAlignment="1">
      <alignment horizontal="center" vertical="center"/>
    </xf>
    <xf numFmtId="0" fontId="2" fillId="3" borderId="1" xfId="227" applyFont="1" applyFill="1" applyBorder="1" applyAlignment="1">
      <alignment vertical="center"/>
    </xf>
    <xf numFmtId="0" fontId="1" fillId="3" borderId="1" xfId="227" applyFont="1" applyFill="1" applyBorder="1" applyAlignment="1">
      <alignment vertical="center"/>
    </xf>
    <xf numFmtId="1" fontId="2" fillId="0" borderId="1" xfId="0" applyNumberFormat="1" applyFont="1" applyBorder="1" applyAlignment="1">
      <alignment horizontal="left" vertical="center"/>
    </xf>
    <xf numFmtId="2" fontId="1" fillId="0" borderId="1" xfId="0" applyNumberFormat="1" applyFont="1" applyBorder="1" applyAlignment="1">
      <alignment vertical="center"/>
    </xf>
    <xf numFmtId="0" fontId="5" fillId="3" borderId="1" xfId="227" applyFont="1" applyFill="1" applyBorder="1" applyAlignment="1">
      <alignment vertical="center"/>
    </xf>
    <xf numFmtId="1" fontId="1" fillId="0" borderId="1" xfId="0" applyNumberFormat="1" applyFont="1" applyBorder="1" applyAlignment="1">
      <alignment horizontal="left" vertical="center"/>
    </xf>
    <xf numFmtId="0" fontId="5" fillId="3" borderId="1" xfId="227" applyFont="1" applyFill="1" applyBorder="1" applyAlignment="1">
      <alignment horizontal="left" vertical="center" indent="1"/>
    </xf>
    <xf numFmtId="1" fontId="6" fillId="0" borderId="1" xfId="0" applyNumberFormat="1" applyFont="1" applyBorder="1" applyAlignment="1">
      <alignment horizontal="right" vertical="center"/>
    </xf>
    <xf numFmtId="0" fontId="2" fillId="0" borderId="1" xfId="227" applyFont="1" applyBorder="1" applyAlignment="1">
      <alignment vertical="center"/>
    </xf>
    <xf numFmtId="0" fontId="1" fillId="0" borderId="1" xfId="227" applyFont="1" applyBorder="1" applyAlignment="1">
      <alignment vertical="center"/>
    </xf>
    <xf numFmtId="0" fontId="5" fillId="0" borderId="1" xfId="227" applyFont="1" applyBorder="1" applyAlignment="1">
      <alignment vertical="center"/>
    </xf>
    <xf numFmtId="0" fontId="0" fillId="0" borderId="13" xfId="0" applyBorder="1" applyAlignment="1">
      <alignment horizontal="left" vertical="top" indent="1"/>
    </xf>
    <xf numFmtId="0" fontId="5" fillId="0" borderId="1" xfId="227" applyFont="1" applyBorder="1" applyAlignment="1">
      <alignment horizontal="left" vertical="center" indent="1"/>
    </xf>
    <xf numFmtId="0" fontId="1" fillId="0" borderId="11" xfId="0" applyFont="1" applyBorder="1" applyAlignment="1">
      <alignment vertical="center"/>
    </xf>
    <xf numFmtId="2" fontId="1" fillId="0" borderId="1" xfId="0" applyNumberFormat="1" applyFont="1" applyBorder="1" applyAlignment="1">
      <alignment horizontal="center" vertical="center"/>
    </xf>
    <xf numFmtId="2" fontId="1" fillId="0" borderId="11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vertical="center"/>
    </xf>
    <xf numFmtId="1" fontId="2" fillId="2" borderId="1" xfId="0" applyNumberFormat="1" applyFont="1" applyFill="1" applyBorder="1" applyAlignment="1">
      <alignment horizontal="center" vertical="center"/>
    </xf>
    <xf numFmtId="2" fontId="2" fillId="2" borderId="1" xfId="0" applyNumberFormat="1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vertical="center"/>
    </xf>
    <xf numFmtId="0" fontId="2" fillId="0" borderId="11" xfId="227" applyFont="1" applyBorder="1" applyAlignment="1">
      <alignment vertical="center"/>
    </xf>
    <xf numFmtId="0" fontId="1" fillId="0" borderId="12" xfId="227" applyFont="1" applyBorder="1" applyAlignment="1">
      <alignment vertical="center"/>
    </xf>
    <xf numFmtId="1" fontId="2" fillId="0" borderId="1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2" fillId="3" borderId="1" xfId="227" applyFont="1" applyFill="1" applyBorder="1" applyAlignment="1">
      <alignment horizontal="center" vertical="center"/>
    </xf>
    <xf numFmtId="0" fontId="7" fillId="0" borderId="1" xfId="0" applyFont="1" applyBorder="1" applyAlignment="1">
      <alignment vertical="top"/>
    </xf>
    <xf numFmtId="0" fontId="1" fillId="0" borderId="1" xfId="227" applyFont="1" applyBorder="1" applyAlignment="1">
      <alignment horizontal="left" vertical="center" indent="1"/>
    </xf>
    <xf numFmtId="0" fontId="0" fillId="0" borderId="1" xfId="0" applyBorder="1" applyAlignment="1">
      <alignment vertical="top"/>
    </xf>
    <xf numFmtId="0" fontId="0" fillId="0" borderId="1" xfId="0" applyBorder="1" applyAlignment="1">
      <alignment horizontal="left" vertical="top" indent="1"/>
    </xf>
    <xf numFmtId="0" fontId="0" fillId="0" borderId="1" xfId="0" applyBorder="1" applyAlignment="1">
      <alignment horizontal="left" vertical="top" wrapText="1" indent="1"/>
    </xf>
    <xf numFmtId="0" fontId="0" fillId="0" borderId="1" xfId="0" applyBorder="1" applyAlignment="1">
      <alignment horizontal="left" vertical="top" indent="2"/>
    </xf>
    <xf numFmtId="0" fontId="8" fillId="0" borderId="1" xfId="0" applyFont="1" applyBorder="1" applyAlignment="1">
      <alignment horizontal="left" vertical="top"/>
    </xf>
    <xf numFmtId="1" fontId="2" fillId="4" borderId="1" xfId="0" applyNumberFormat="1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2" fontId="2" fillId="4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vertical="top"/>
    </xf>
    <xf numFmtId="0" fontId="0" fillId="0" borderId="1" xfId="0" applyBorder="1" applyAlignment="1">
      <alignment horizontal="left" vertical="top"/>
    </xf>
    <xf numFmtId="0" fontId="7" fillId="0" borderId="1" xfId="0" applyFont="1" applyBorder="1" applyAlignment="1">
      <alignment horizontal="left" vertical="top"/>
    </xf>
    <xf numFmtId="193" fontId="6" fillId="0" borderId="1" xfId="0" applyNumberFormat="1" applyFont="1" applyBorder="1" applyAlignment="1">
      <alignment horizontal="right" vertical="center"/>
    </xf>
    <xf numFmtId="176" fontId="6" fillId="0" borderId="1" xfId="0" applyNumberFormat="1" applyFont="1" applyBorder="1" applyAlignment="1">
      <alignment horizontal="right" vertical="center"/>
    </xf>
    <xf numFmtId="0" fontId="6" fillId="0" borderId="1" xfId="0" applyFont="1" applyBorder="1" applyAlignment="1">
      <alignment horizontal="right" vertical="center"/>
    </xf>
    <xf numFmtId="0" fontId="2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vertical="top"/>
    </xf>
    <xf numFmtId="0" fontId="0" fillId="0" borderId="1" xfId="0" applyFont="1" applyBorder="1" applyAlignment="1">
      <alignment horizontal="left" vertical="top" indent="1"/>
    </xf>
    <xf numFmtId="0" fontId="3" fillId="0" borderId="1" xfId="243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0" fontId="3" fillId="0" borderId="2" xfId="243" applyFont="1" applyBorder="1" applyAlignment="1">
      <alignment horizontal="center" vertical="center"/>
    </xf>
    <xf numFmtId="0" fontId="3" fillId="0" borderId="4" xfId="243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2" fontId="6" fillId="0" borderId="1" xfId="0" applyNumberFormat="1" applyFont="1" applyBorder="1" applyAlignment="1">
      <alignment horizontal="right" vertical="center"/>
    </xf>
    <xf numFmtId="0" fontId="6" fillId="0" borderId="1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1" fillId="0" borderId="1" xfId="227" applyFont="1" applyBorder="1" applyAlignment="1">
      <alignment horizontal="center" vertical="center"/>
    </xf>
    <xf numFmtId="2" fontId="1" fillId="0" borderId="1" xfId="227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right" vertical="center"/>
    </xf>
    <xf numFmtId="1" fontId="10" fillId="0" borderId="1" xfId="0" applyNumberFormat="1" applyFont="1" applyBorder="1" applyAlignment="1">
      <alignment vertical="center"/>
    </xf>
    <xf numFmtId="1" fontId="10" fillId="0" borderId="1" xfId="0" applyNumberFormat="1" applyFont="1" applyBorder="1" applyAlignment="1">
      <alignment horizontal="right" vertical="center"/>
    </xf>
    <xf numFmtId="2" fontId="2" fillId="0" borderId="1" xfId="0" applyNumberFormat="1" applyFont="1" applyBorder="1" applyAlignment="1">
      <alignment horizontal="left" vertical="center"/>
    </xf>
    <xf numFmtId="193" fontId="1" fillId="0" borderId="1" xfId="0" applyNumberFormat="1" applyFont="1" applyBorder="1" applyAlignment="1">
      <alignment horizontal="center" vertical="center"/>
    </xf>
    <xf numFmtId="193" fontId="1" fillId="0" borderId="1" xfId="0" applyNumberFormat="1" applyFont="1" applyBorder="1" applyAlignment="1">
      <alignment horizontal="left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1" xfId="243" applyFont="1" applyBorder="1" applyAlignment="1">
      <alignment horizontal="center" vertical="center" wrapText="1"/>
    </xf>
    <xf numFmtId="0" fontId="3" fillId="0" borderId="12" xfId="243" applyFont="1" applyBorder="1" applyAlignment="1">
      <alignment horizontal="center" vertical="center" wrapText="1"/>
    </xf>
    <xf numFmtId="2" fontId="3" fillId="0" borderId="1" xfId="243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vertical="top"/>
    </xf>
    <xf numFmtId="0" fontId="2" fillId="0" borderId="0" xfId="227" applyFont="1" applyAlignment="1">
      <alignment horizontal="right" vertical="center"/>
    </xf>
    <xf numFmtId="2" fontId="2" fillId="2" borderId="1" xfId="85" applyNumberFormat="1" applyFont="1" applyFill="1" applyBorder="1" applyAlignment="1">
      <alignment vertical="center"/>
    </xf>
    <xf numFmtId="2" fontId="1" fillId="0" borderId="0" xfId="227" applyNumberFormat="1" applyFont="1" applyAlignment="1">
      <alignment vertical="center"/>
    </xf>
    <xf numFmtId="1" fontId="1" fillId="0" borderId="1" xfId="85" applyNumberFormat="1" applyFont="1" applyFill="1" applyBorder="1" applyAlignment="1">
      <alignment vertical="center"/>
    </xf>
    <xf numFmtId="0" fontId="3" fillId="0" borderId="1" xfId="227" applyFont="1" applyBorder="1" applyAlignment="1">
      <alignment vertical="center"/>
    </xf>
    <xf numFmtId="2" fontId="4" fillId="0" borderId="1" xfId="227" applyNumberFormat="1" applyFont="1" applyBorder="1" applyAlignment="1">
      <alignment horizontal="left" vertical="center" wrapText="1"/>
    </xf>
    <xf numFmtId="3" fontId="1" fillId="0" borderId="1" xfId="327" applyNumberFormat="1" applyFont="1" applyBorder="1" applyAlignment="1">
      <alignment horizontal="center" vertical="center"/>
    </xf>
    <xf numFmtId="3" fontId="1" fillId="0" borderId="1" xfId="327" applyNumberFormat="1" applyFont="1" applyBorder="1">
      <alignment vertical="center"/>
    </xf>
    <xf numFmtId="3" fontId="2" fillId="0" borderId="1" xfId="327" applyNumberFormat="1" applyFont="1" applyBorder="1">
      <alignment vertical="center"/>
    </xf>
    <xf numFmtId="3" fontId="1" fillId="0" borderId="1" xfId="227" applyNumberFormat="1" applyFont="1" applyBorder="1" applyAlignment="1">
      <alignment horizontal="center" vertical="center"/>
    </xf>
    <xf numFmtId="3" fontId="1" fillId="0" borderId="1" xfId="227" applyNumberFormat="1" applyFont="1" applyBorder="1" applyAlignment="1">
      <alignment vertical="center"/>
    </xf>
    <xf numFmtId="0" fontId="2" fillId="4" borderId="1" xfId="227" applyFont="1" applyFill="1" applyBorder="1" applyAlignment="1">
      <alignment vertical="center"/>
    </xf>
    <xf numFmtId="3" fontId="2" fillId="4" borderId="1" xfId="227" applyNumberFormat="1" applyFont="1" applyFill="1" applyBorder="1" applyAlignment="1">
      <alignment horizontal="center" vertical="center"/>
    </xf>
    <xf numFmtId="3" fontId="2" fillId="4" borderId="1" xfId="227" applyNumberFormat="1" applyFont="1" applyFill="1" applyBorder="1" applyAlignment="1">
      <alignment vertical="center"/>
    </xf>
    <xf numFmtId="4" fontId="2" fillId="4" borderId="1" xfId="227" applyNumberFormat="1" applyFont="1" applyFill="1" applyBorder="1" applyAlignment="1">
      <alignment horizontal="center" vertical="center"/>
    </xf>
    <xf numFmtId="194" fontId="2" fillId="4" borderId="1" xfId="327" applyNumberFormat="1" applyFont="1" applyFill="1" applyBorder="1" applyAlignment="1">
      <alignment horizontal="center" vertical="center"/>
    </xf>
    <xf numFmtId="4" fontId="2" fillId="4" borderId="1" xfId="327" applyNumberFormat="1" applyFont="1" applyFill="1" applyBorder="1" applyAlignment="1">
      <alignment horizontal="center" vertical="center"/>
    </xf>
    <xf numFmtId="3" fontId="2" fillId="4" borderId="1" xfId="327" applyNumberFormat="1" applyFont="1" applyFill="1" applyBorder="1" applyAlignment="1">
      <alignment horizontal="center" vertical="center"/>
    </xf>
    <xf numFmtId="0" fontId="2" fillId="0" borderId="1" xfId="227" applyFont="1" applyBorder="1" applyAlignment="1">
      <alignment horizontal="center" vertical="center"/>
    </xf>
    <xf numFmtId="1" fontId="2" fillId="0" borderId="1" xfId="227" applyNumberFormat="1" applyFont="1" applyBorder="1" applyAlignment="1">
      <alignment horizontal="left" vertical="center"/>
    </xf>
    <xf numFmtId="2" fontId="2" fillId="0" borderId="1" xfId="227" applyNumberFormat="1" applyFont="1" applyBorder="1" applyAlignment="1">
      <alignment horizontal="center" vertical="center"/>
    </xf>
    <xf numFmtId="1" fontId="1" fillId="0" borderId="1" xfId="227" applyNumberFormat="1" applyFont="1" applyBorder="1" applyAlignment="1">
      <alignment horizontal="left" vertical="center"/>
    </xf>
    <xf numFmtId="1" fontId="6" fillId="0" borderId="1" xfId="227" applyNumberFormat="1" applyFont="1" applyBorder="1" applyAlignment="1">
      <alignment horizontal="right" vertical="center"/>
    </xf>
    <xf numFmtId="0" fontId="0" fillId="0" borderId="13" xfId="227" applyBorder="1" applyAlignment="1">
      <alignment horizontal="left" vertical="top" indent="1"/>
    </xf>
    <xf numFmtId="0" fontId="1" fillId="0" borderId="11" xfId="227" applyFont="1" applyBorder="1" applyAlignment="1">
      <alignment vertical="center"/>
    </xf>
    <xf numFmtId="2" fontId="2" fillId="0" borderId="11" xfId="227" applyNumberFormat="1" applyFont="1" applyBorder="1" applyAlignment="1">
      <alignment horizontal="center" vertical="center"/>
    </xf>
    <xf numFmtId="2" fontId="1" fillId="0" borderId="11" xfId="227" applyNumberFormat="1" applyFont="1" applyBorder="1" applyAlignment="1">
      <alignment horizontal="center" vertical="center"/>
    </xf>
    <xf numFmtId="1" fontId="1" fillId="0" borderId="1" xfId="227" applyNumberFormat="1" applyFont="1" applyBorder="1" applyAlignment="1">
      <alignment horizontal="right" vertical="center"/>
    </xf>
    <xf numFmtId="1" fontId="6" fillId="0" borderId="1" xfId="227" applyNumberFormat="1" applyFont="1" applyBorder="1" applyAlignment="1">
      <alignment vertical="center"/>
    </xf>
    <xf numFmtId="1" fontId="1" fillId="0" borderId="1" xfId="227" applyNumberFormat="1" applyFont="1" applyBorder="1" applyAlignment="1">
      <alignment vertical="center"/>
    </xf>
    <xf numFmtId="2" fontId="1" fillId="0" borderId="1" xfId="227" applyNumberFormat="1" applyFont="1" applyBorder="1" applyAlignment="1">
      <alignment vertical="center"/>
    </xf>
    <xf numFmtId="1" fontId="2" fillId="4" borderId="1" xfId="227" applyNumberFormat="1" applyFont="1" applyFill="1" applyBorder="1" applyAlignment="1">
      <alignment horizontal="center" vertical="center"/>
    </xf>
    <xf numFmtId="2" fontId="2" fillId="4" borderId="1" xfId="227" applyNumberFormat="1" applyFont="1" applyFill="1" applyBorder="1" applyAlignment="1">
      <alignment horizontal="center" vertical="center"/>
    </xf>
    <xf numFmtId="1" fontId="2" fillId="0" borderId="1" xfId="227" applyNumberFormat="1" applyFont="1" applyBorder="1" applyAlignment="1">
      <alignment horizontal="center" vertical="center"/>
    </xf>
    <xf numFmtId="0" fontId="7" fillId="0" borderId="1" xfId="227" applyFont="1" applyBorder="1" applyAlignment="1">
      <alignment vertical="top"/>
    </xf>
    <xf numFmtId="0" fontId="0" fillId="0" borderId="1" xfId="227" applyBorder="1" applyAlignment="1">
      <alignment vertical="top"/>
    </xf>
    <xf numFmtId="1" fontId="1" fillId="0" borderId="1" xfId="227" applyNumberFormat="1" applyFont="1" applyBorder="1" applyAlignment="1">
      <alignment horizontal="center" vertical="center"/>
    </xf>
    <xf numFmtId="0" fontId="0" fillId="0" borderId="1" xfId="227" applyBorder="1" applyAlignment="1">
      <alignment horizontal="left" vertical="top" indent="1"/>
    </xf>
    <xf numFmtId="0" fontId="0" fillId="0" borderId="1" xfId="227" applyBorder="1" applyAlignment="1">
      <alignment horizontal="left" vertical="top" wrapText="1" indent="1"/>
    </xf>
    <xf numFmtId="0" fontId="0" fillId="0" borderId="1" xfId="227" applyBorder="1" applyAlignment="1">
      <alignment horizontal="left" vertical="top" indent="2"/>
    </xf>
    <xf numFmtId="0" fontId="8" fillId="0" borderId="1" xfId="227" applyFont="1" applyBorder="1" applyAlignment="1">
      <alignment horizontal="left" vertical="top"/>
    </xf>
    <xf numFmtId="1" fontId="2" fillId="0" borderId="1" xfId="227" applyNumberFormat="1" applyFont="1" applyBorder="1" applyAlignment="1">
      <alignment vertical="center"/>
    </xf>
    <xf numFmtId="0" fontId="9" fillId="0" borderId="1" xfId="227" applyFont="1" applyBorder="1" applyAlignment="1">
      <alignment vertical="top"/>
    </xf>
    <xf numFmtId="0" fontId="0" fillId="0" borderId="1" xfId="227" applyBorder="1" applyAlignment="1">
      <alignment horizontal="left" vertical="top"/>
    </xf>
    <xf numFmtId="0" fontId="7" fillId="0" borderId="1" xfId="227" applyFont="1" applyBorder="1" applyAlignment="1">
      <alignment horizontal="left" vertical="top"/>
    </xf>
    <xf numFmtId="2" fontId="2" fillId="0" borderId="1" xfId="227" applyNumberFormat="1" applyFont="1" applyBorder="1" applyAlignment="1">
      <alignment horizontal="left" vertical="center"/>
    </xf>
    <xf numFmtId="195" fontId="1" fillId="0" borderId="1" xfId="227" applyNumberFormat="1" applyFont="1" applyBorder="1" applyAlignment="1">
      <alignment horizontal="left" vertical="center"/>
    </xf>
    <xf numFmtId="193" fontId="6" fillId="0" borderId="1" xfId="227" applyNumberFormat="1" applyFont="1" applyBorder="1" applyAlignment="1">
      <alignment horizontal="right" vertical="center"/>
    </xf>
    <xf numFmtId="176" fontId="6" fillId="0" borderId="1" xfId="227" applyNumberFormat="1" applyFont="1" applyBorder="1" applyAlignment="1">
      <alignment horizontal="right" vertical="center"/>
    </xf>
    <xf numFmtId="0" fontId="6" fillId="0" borderId="1" xfId="227" applyFont="1" applyBorder="1" applyAlignment="1">
      <alignment horizontal="right" vertical="center"/>
    </xf>
    <xf numFmtId="0" fontId="2" fillId="0" borderId="1" xfId="227" applyFont="1" applyBorder="1" applyAlignment="1">
      <alignment horizontal="left" vertical="center"/>
    </xf>
    <xf numFmtId="0" fontId="8" fillId="0" borderId="1" xfId="227" applyFont="1" applyBorder="1" applyAlignment="1">
      <alignment vertical="top"/>
    </xf>
    <xf numFmtId="2" fontId="2" fillId="0" borderId="11" xfId="0" applyNumberFormat="1" applyFont="1" applyBorder="1" applyAlignment="1">
      <alignment horizontal="center" vertical="center"/>
    </xf>
    <xf numFmtId="2" fontId="1" fillId="4" borderId="1" xfId="0" applyNumberFormat="1" applyFont="1" applyFill="1" applyBorder="1" applyAlignment="1">
      <alignment vertical="center"/>
    </xf>
    <xf numFmtId="195" fontId="1" fillId="0" borderId="1" xfId="0" applyNumberFormat="1" applyFont="1" applyBorder="1" applyAlignment="1">
      <alignment horizontal="left" vertical="center"/>
    </xf>
    <xf numFmtId="1" fontId="2" fillId="0" borderId="1" xfId="0" applyNumberFormat="1" applyFont="1" applyBorder="1" applyAlignment="1">
      <alignment vertical="center"/>
    </xf>
    <xf numFmtId="2" fontId="1" fillId="0" borderId="0" xfId="0" applyNumberFormat="1" applyFont="1" applyAlignment="1">
      <alignment vertical="center"/>
    </xf>
    <xf numFmtId="1" fontId="6" fillId="0" borderId="1" xfId="227" applyNumberFormat="1" applyFont="1" applyBorder="1" applyAlignment="1">
      <alignment horizontal="center" vertical="center"/>
    </xf>
    <xf numFmtId="0" fontId="2" fillId="0" borderId="1" xfId="227" applyFont="1" applyBorder="1" applyAlignment="1">
      <alignment horizontal="center" vertical="center" wrapText="1"/>
    </xf>
    <xf numFmtId="195" fontId="1" fillId="0" borderId="1" xfId="227" applyNumberFormat="1" applyFont="1" applyBorder="1" applyAlignment="1">
      <alignment horizontal="center" vertical="center"/>
    </xf>
    <xf numFmtId="193" fontId="6" fillId="0" borderId="1" xfId="227" applyNumberFormat="1" applyFont="1" applyBorder="1" applyAlignment="1">
      <alignment horizontal="center" vertical="center"/>
    </xf>
    <xf numFmtId="176" fontId="6" fillId="0" borderId="1" xfId="227" applyNumberFormat="1" applyFont="1" applyBorder="1" applyAlignment="1">
      <alignment horizontal="center" vertical="center"/>
    </xf>
    <xf numFmtId="0" fontId="6" fillId="0" borderId="1" xfId="227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193" fontId="6" fillId="0" borderId="1" xfId="0" applyNumberFormat="1" applyFont="1" applyBorder="1" applyAlignment="1">
      <alignment horizontal="center" vertical="center"/>
    </xf>
    <xf numFmtId="2" fontId="6" fillId="0" borderId="1" xfId="227" applyNumberFormat="1" applyFont="1" applyBorder="1" applyAlignment="1">
      <alignment horizontal="center" vertical="center"/>
    </xf>
    <xf numFmtId="0" fontId="0" fillId="0" borderId="13" xfId="227" applyFont="1" applyBorder="1" applyAlignment="1">
      <alignment horizontal="left" vertical="top" indent="1"/>
    </xf>
    <xf numFmtId="1" fontId="2" fillId="2" borderId="1" xfId="227" applyNumberFormat="1" applyFont="1" applyFill="1" applyBorder="1" applyAlignment="1">
      <alignment horizontal="center" vertical="center"/>
    </xf>
    <xf numFmtId="2" fontId="2" fillId="2" borderId="1" xfId="227" applyNumberFormat="1" applyFont="1" applyFill="1" applyBorder="1" applyAlignment="1">
      <alignment horizontal="center" vertical="center"/>
    </xf>
    <xf numFmtId="0" fontId="0" fillId="0" borderId="1" xfId="227" applyFont="1" applyBorder="1" applyAlignment="1">
      <alignment vertical="top"/>
    </xf>
    <xf numFmtId="0" fontId="0" fillId="0" borderId="1" xfId="227" applyFont="1" applyBorder="1" applyAlignment="1">
      <alignment horizontal="left" vertical="top" indent="1"/>
    </xf>
    <xf numFmtId="0" fontId="0" fillId="0" borderId="1" xfId="227" applyFont="1" applyBorder="1" applyAlignment="1">
      <alignment horizontal="left" vertical="top" wrapText="1" indent="1"/>
    </xf>
    <xf numFmtId="0" fontId="0" fillId="0" borderId="1" xfId="227" applyFont="1" applyBorder="1" applyAlignment="1">
      <alignment horizontal="left" vertical="top" indent="2"/>
    </xf>
    <xf numFmtId="0" fontId="1" fillId="4" borderId="1" xfId="227" applyFont="1" applyFill="1" applyBorder="1" applyAlignment="1">
      <alignment horizontal="center" vertical="center"/>
    </xf>
    <xf numFmtId="0" fontId="1" fillId="2" borderId="1" xfId="227" applyFont="1" applyFill="1" applyBorder="1" applyAlignment="1">
      <alignment horizontal="center" vertical="center"/>
    </xf>
    <xf numFmtId="0" fontId="1" fillId="0" borderId="1" xfId="227" applyFont="1" applyBorder="1" applyAlignment="1">
      <alignment horizontal="justify" vertical="center"/>
    </xf>
    <xf numFmtId="0" fontId="0" fillId="0" borderId="1" xfId="227" applyFont="1" applyBorder="1" applyAlignment="1">
      <alignment horizontal="left" vertical="top"/>
    </xf>
    <xf numFmtId="0" fontId="2" fillId="4" borderId="1" xfId="227" applyFont="1" applyFill="1" applyBorder="1" applyAlignment="1">
      <alignment horizontal="center" vertical="center"/>
    </xf>
    <xf numFmtId="0" fontId="1" fillId="4" borderId="1" xfId="227" applyFont="1" applyFill="1" applyBorder="1" applyAlignment="1">
      <alignment vertical="center"/>
    </xf>
    <xf numFmtId="0" fontId="1" fillId="2" borderId="1" xfId="227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3" fillId="0" borderId="2" xfId="243" applyFont="1" applyBorder="1" applyAlignment="1">
      <alignment horizontal="center" vertical="center" wrapText="1"/>
    </xf>
    <xf numFmtId="0" fontId="3" fillId="0" borderId="4" xfId="243" applyFont="1" applyBorder="1" applyAlignment="1">
      <alignment horizontal="center" vertical="center" wrapText="1"/>
    </xf>
    <xf numFmtId="0" fontId="3" fillId="0" borderId="5" xfId="227" applyFont="1" applyBorder="1" applyAlignment="1">
      <alignment horizontal="center" vertical="center"/>
    </xf>
    <xf numFmtId="0" fontId="3" fillId="0" borderId="6" xfId="227" applyFont="1" applyBorder="1" applyAlignment="1">
      <alignment horizontal="center" vertical="center"/>
    </xf>
    <xf numFmtId="0" fontId="3" fillId="0" borderId="7" xfId="227" applyFont="1" applyBorder="1" applyAlignment="1">
      <alignment horizontal="center" vertical="center"/>
    </xf>
    <xf numFmtId="0" fontId="3" fillId="0" borderId="8" xfId="227" applyFont="1" applyBorder="1" applyAlignment="1">
      <alignment horizontal="center" vertical="center"/>
    </xf>
    <xf numFmtId="0" fontId="5" fillId="3" borderId="1" xfId="227" applyFont="1" applyFill="1" applyBorder="1" applyAlignment="1">
      <alignment vertical="center" wrapText="1"/>
    </xf>
    <xf numFmtId="0" fontId="1" fillId="0" borderId="1" xfId="227" applyFont="1" applyBorder="1" applyAlignment="1">
      <alignment horizontal="center" vertical="center" wrapText="1"/>
    </xf>
    <xf numFmtId="0" fontId="12" fillId="0" borderId="0" xfId="227" applyFont="1" applyAlignment="1">
      <alignment vertical="center"/>
    </xf>
    <xf numFmtId="0" fontId="11" fillId="0" borderId="1" xfId="227" applyFont="1" applyBorder="1" applyAlignment="1">
      <alignment vertical="top"/>
    </xf>
    <xf numFmtId="0" fontId="2" fillId="0" borderId="1" xfId="227" applyFont="1" applyBorder="1" applyAlignment="1">
      <alignment vertical="center" wrapText="1"/>
    </xf>
    <xf numFmtId="0" fontId="13" fillId="0" borderId="0" xfId="227" applyFont="1" applyAlignment="1">
      <alignment horizontal="center" vertical="center" wrapText="1"/>
    </xf>
    <xf numFmtId="0" fontId="13" fillId="0" borderId="1" xfId="227" applyFont="1" applyBorder="1" applyAlignment="1">
      <alignment horizontal="center" vertical="center" wrapText="1"/>
    </xf>
    <xf numFmtId="0" fontId="1" fillId="0" borderId="0" xfId="227" applyFont="1" applyAlignment="1">
      <alignment horizontal="center" vertical="center" wrapText="1"/>
    </xf>
    <xf numFmtId="9" fontId="1" fillId="0" borderId="0" xfId="378" applyFont="1" applyAlignment="1">
      <alignment vertical="center"/>
    </xf>
    <xf numFmtId="1" fontId="10" fillId="0" borderId="1" xfId="227" applyNumberFormat="1" applyFont="1" applyBorder="1" applyAlignment="1">
      <alignment vertical="center"/>
    </xf>
    <xf numFmtId="1" fontId="10" fillId="0" borderId="1" xfId="227" applyNumberFormat="1" applyFont="1" applyBorder="1" applyAlignment="1">
      <alignment horizontal="right" vertical="center"/>
    </xf>
    <xf numFmtId="0" fontId="2" fillId="0" borderId="0" xfId="227" applyFont="1" applyAlignment="1">
      <alignment horizontal="center" vertical="center" wrapText="1"/>
    </xf>
    <xf numFmtId="1" fontId="1" fillId="0" borderId="0" xfId="227" applyNumberFormat="1" applyFont="1" applyAlignment="1">
      <alignment horizontal="center" vertical="center"/>
    </xf>
    <xf numFmtId="0" fontId="1" fillId="0" borderId="0" xfId="227" applyFont="1" applyAlignment="1">
      <alignment horizontal="justify" vertical="center"/>
    </xf>
    <xf numFmtId="193" fontId="1" fillId="0" borderId="1" xfId="227" applyNumberFormat="1" applyFont="1" applyBorder="1" applyAlignment="1">
      <alignment horizontal="center" vertical="center"/>
    </xf>
    <xf numFmtId="193" fontId="1" fillId="0" borderId="1" xfId="227" applyNumberFormat="1" applyFont="1" applyBorder="1" applyAlignment="1">
      <alignment horizontal="left" vertical="center"/>
    </xf>
    <xf numFmtId="2" fontId="6" fillId="0" borderId="1" xfId="227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176" fontId="1" fillId="0" borderId="1" xfId="1" applyFont="1" applyBorder="1" applyAlignment="1">
      <alignment vertical="center"/>
    </xf>
    <xf numFmtId="0" fontId="2" fillId="0" borderId="1" xfId="227" applyFont="1" applyBorder="1" applyAlignment="1">
      <alignment horizontal="left" vertical="center" indent="1"/>
    </xf>
    <xf numFmtId="176" fontId="1" fillId="0" borderId="1" xfId="0" applyNumberFormat="1" applyFont="1" applyBorder="1" applyAlignment="1">
      <alignment vertical="center"/>
    </xf>
    <xf numFmtId="176" fontId="1" fillId="0" borderId="0" xfId="0" applyNumberFormat="1" applyFont="1" applyAlignment="1">
      <alignment vertical="center"/>
    </xf>
    <xf numFmtId="0" fontId="2" fillId="0" borderId="11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9" fontId="1" fillId="0" borderId="1" xfId="3" applyFont="1" applyBorder="1" applyAlignment="1">
      <alignment vertical="center"/>
    </xf>
    <xf numFmtId="196" fontId="1" fillId="0" borderId="1" xfId="1" applyNumberFormat="1" applyFont="1" applyBorder="1" applyAlignment="1">
      <alignment vertical="center"/>
    </xf>
    <xf numFmtId="10" fontId="1" fillId="0" borderId="1" xfId="3" applyNumberFormat="1" applyFont="1" applyBorder="1" applyAlignment="1">
      <alignment vertical="center"/>
    </xf>
    <xf numFmtId="197" fontId="1" fillId="0" borderId="1" xfId="3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227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0" fontId="1" fillId="0" borderId="1" xfId="1" applyNumberFormat="1" applyFont="1" applyBorder="1" applyAlignment="1">
      <alignment vertical="center"/>
    </xf>
    <xf numFmtId="198" fontId="1" fillId="0" borderId="0" xfId="0" applyNumberFormat="1" applyFont="1" applyAlignment="1">
      <alignment vertical="center"/>
    </xf>
    <xf numFmtId="199" fontId="1" fillId="0" borderId="0" xfId="0" applyNumberFormat="1" applyFont="1" applyAlignment="1">
      <alignment vertical="center"/>
    </xf>
    <xf numFmtId="0" fontId="16" fillId="0" borderId="1" xfId="0" applyFont="1" applyBorder="1" applyAlignment="1">
      <alignment horizontal="center" vertical="center" wrapText="1"/>
    </xf>
    <xf numFmtId="0" fontId="12" fillId="3" borderId="11" xfId="227" applyFont="1" applyFill="1" applyBorder="1" applyAlignment="1">
      <alignment horizontal="center" vertical="center"/>
    </xf>
    <xf numFmtId="0" fontId="12" fillId="3" borderId="12" xfId="227" applyFont="1" applyFill="1" applyBorder="1" applyAlignment="1">
      <alignment horizontal="center" vertical="center"/>
    </xf>
    <xf numFmtId="0" fontId="17" fillId="0" borderId="1" xfId="0" applyFont="1" applyBorder="1" applyAlignment="1">
      <alignment vertical="center"/>
    </xf>
    <xf numFmtId="0" fontId="17" fillId="3" borderId="1" xfId="227" applyFont="1" applyFill="1" applyBorder="1" applyAlignment="1">
      <alignment vertical="center"/>
    </xf>
    <xf numFmtId="9" fontId="17" fillId="0" borderId="1" xfId="3" applyFont="1" applyBorder="1" applyAlignment="1">
      <alignment vertical="center"/>
    </xf>
    <xf numFmtId="0" fontId="17" fillId="0" borderId="1" xfId="227" applyFont="1" applyBorder="1" applyAlignment="1">
      <alignment vertical="center"/>
    </xf>
    <xf numFmtId="0" fontId="17" fillId="0" borderId="1" xfId="227" applyFont="1" applyBorder="1" applyAlignment="1">
      <alignment vertical="center" wrapText="1"/>
    </xf>
    <xf numFmtId="176" fontId="17" fillId="0" borderId="1" xfId="1" applyFont="1" applyBorder="1" applyAlignment="1">
      <alignment vertical="center"/>
    </xf>
    <xf numFmtId="9" fontId="17" fillId="0" borderId="1" xfId="1" applyNumberFormat="1" applyFont="1" applyBorder="1" applyAlignment="1">
      <alignment vertical="center"/>
    </xf>
    <xf numFmtId="0" fontId="17" fillId="0" borderId="12" xfId="227" applyFont="1" applyBorder="1" applyAlignment="1">
      <alignment vertical="center"/>
    </xf>
    <xf numFmtId="0" fontId="12" fillId="0" borderId="1" xfId="227" applyFont="1" applyBorder="1" applyAlignment="1">
      <alignment vertical="center"/>
    </xf>
    <xf numFmtId="0" fontId="17" fillId="0" borderId="1" xfId="227" applyFont="1" applyBorder="1" applyAlignment="1">
      <alignment horizontal="left" vertical="center" indent="1"/>
    </xf>
    <xf numFmtId="0" fontId="17" fillId="0" borderId="1" xfId="227" applyFont="1" applyBorder="1" applyAlignment="1">
      <alignment horizontal="left" vertical="center" wrapText="1" indent="1"/>
    </xf>
    <xf numFmtId="0" fontId="12" fillId="0" borderId="1" xfId="227" applyFont="1" applyBorder="1" applyAlignment="1">
      <alignment horizontal="left" vertical="center" indent="1"/>
    </xf>
    <xf numFmtId="10" fontId="17" fillId="0" borderId="1" xfId="1" applyNumberFormat="1" applyFont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9" fontId="17" fillId="0" borderId="1" xfId="0" applyNumberFormat="1" applyFont="1" applyBorder="1" applyAlignment="1">
      <alignment vertical="center"/>
    </xf>
    <xf numFmtId="197" fontId="17" fillId="0" borderId="1" xfId="3" applyNumberFormat="1" applyFont="1" applyBorder="1" applyAlignment="1">
      <alignment vertical="center"/>
    </xf>
    <xf numFmtId="10" fontId="17" fillId="0" borderId="1" xfId="3" applyNumberFormat="1" applyFont="1" applyBorder="1" applyAlignment="1">
      <alignment vertical="center"/>
    </xf>
    <xf numFmtId="0" fontId="2" fillId="0" borderId="11" xfId="327" applyFont="1" applyBorder="1" applyAlignment="1">
      <alignment horizontal="center" vertical="center"/>
    </xf>
    <xf numFmtId="0" fontId="2" fillId="0" borderId="12" xfId="327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10" fontId="1" fillId="0" borderId="0" xfId="3" applyNumberFormat="1" applyFont="1" applyAlignment="1">
      <alignment vertical="center"/>
    </xf>
    <xf numFmtId="0" fontId="3" fillId="0" borderId="1" xfId="0" applyFont="1" applyBorder="1" applyAlignment="1">
      <alignment horizontal="left" vertical="center"/>
    </xf>
    <xf numFmtId="197" fontId="2" fillId="0" borderId="1" xfId="3" applyNumberFormat="1" applyFont="1" applyFill="1" applyBorder="1" applyAlignment="1">
      <alignment vertical="center"/>
    </xf>
    <xf numFmtId="10" fontId="2" fillId="0" borderId="1" xfId="3" applyNumberFormat="1" applyFont="1" applyBorder="1" applyAlignment="1">
      <alignment vertical="center"/>
    </xf>
    <xf numFmtId="10" fontId="2" fillId="4" borderId="1" xfId="3" applyNumberFormat="1" applyFont="1" applyFill="1" applyBorder="1" applyAlignment="1">
      <alignment vertical="center"/>
    </xf>
    <xf numFmtId="176" fontId="1" fillId="0" borderId="0" xfId="1" applyFont="1" applyAlignment="1">
      <alignment vertical="center"/>
    </xf>
    <xf numFmtId="197" fontId="2" fillId="4" borderId="1" xfId="3" applyNumberFormat="1" applyFont="1" applyFill="1" applyBorder="1" applyAlignment="1">
      <alignment vertical="center"/>
    </xf>
    <xf numFmtId="200" fontId="1" fillId="0" borderId="0" xfId="1" applyNumberFormat="1" applyFont="1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327" applyFont="1" applyFill="1" applyAlignment="1">
      <alignment horizontal="center" vertical="center"/>
    </xf>
    <xf numFmtId="0" fontId="12" fillId="0" borderId="0" xfId="227" applyFont="1" applyFill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2" fillId="0" borderId="11" xfId="227" applyFont="1" applyFill="1" applyBorder="1" applyAlignment="1">
      <alignment horizontal="center" vertical="center"/>
    </xf>
    <xf numFmtId="0" fontId="2" fillId="0" borderId="12" xfId="227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1" fillId="0" borderId="1" xfId="227" applyFont="1" applyFill="1" applyBorder="1" applyAlignment="1">
      <alignment vertical="center" wrapText="1"/>
    </xf>
    <xf numFmtId="176" fontId="1" fillId="0" borderId="1" xfId="1" applyFont="1" applyFill="1" applyBorder="1" applyAlignment="1">
      <alignment vertical="center"/>
    </xf>
    <xf numFmtId="0" fontId="1" fillId="0" borderId="12" xfId="227" applyFont="1" applyFill="1" applyBorder="1" applyAlignment="1">
      <alignment vertical="center" wrapText="1"/>
    </xf>
    <xf numFmtId="0" fontId="2" fillId="0" borderId="11" xfId="227" applyFont="1" applyFill="1" applyBorder="1" applyAlignment="1">
      <alignment horizontal="center" vertical="center" wrapText="1"/>
    </xf>
    <xf numFmtId="0" fontId="2" fillId="0" borderId="12" xfId="227" applyFont="1" applyFill="1" applyBorder="1" applyAlignment="1">
      <alignment horizontal="center" vertical="center" wrapText="1"/>
    </xf>
    <xf numFmtId="0" fontId="2" fillId="0" borderId="1" xfId="227" applyFont="1" applyFill="1" applyBorder="1" applyAlignment="1">
      <alignment vertical="center" wrapText="1"/>
    </xf>
    <xf numFmtId="0" fontId="1" fillId="0" borderId="1" xfId="227" applyFont="1" applyFill="1" applyBorder="1" applyAlignment="1">
      <alignment horizontal="left" vertical="center" wrapText="1" indent="1"/>
    </xf>
    <xf numFmtId="0" fontId="2" fillId="0" borderId="1" xfId="227" applyFont="1" applyFill="1" applyBorder="1" applyAlignment="1">
      <alignment horizontal="left" vertical="center" wrapText="1" indent="1"/>
    </xf>
    <xf numFmtId="0" fontId="1" fillId="0" borderId="1" xfId="227" applyFont="1" applyFill="1" applyBorder="1" applyAlignment="1">
      <alignment vertical="center"/>
    </xf>
    <xf numFmtId="0" fontId="1" fillId="0" borderId="1" xfId="227" applyFont="1" applyFill="1" applyBorder="1" applyAlignment="1">
      <alignment horizontal="left" vertical="center" indent="1"/>
    </xf>
    <xf numFmtId="0" fontId="2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vertical="center"/>
    </xf>
    <xf numFmtId="176" fontId="2" fillId="0" borderId="1" xfId="1" applyFont="1" applyFill="1" applyBorder="1" applyAlignment="1">
      <alignment vertical="center"/>
    </xf>
    <xf numFmtId="176" fontId="1" fillId="0" borderId="0" xfId="0" applyNumberFormat="1" applyFont="1" applyFill="1" applyAlignment="1">
      <alignment vertical="center"/>
    </xf>
    <xf numFmtId="176" fontId="1" fillId="0" borderId="1" xfId="0" applyNumberFormat="1" applyFont="1" applyFill="1" applyBorder="1" applyAlignment="1">
      <alignment vertical="center"/>
    </xf>
    <xf numFmtId="193" fontId="1" fillId="0" borderId="1" xfId="1" applyNumberFormat="1" applyFont="1" applyFill="1" applyBorder="1" applyAlignment="1">
      <alignment vertical="center"/>
    </xf>
    <xf numFmtId="197" fontId="1" fillId="0" borderId="0" xfId="3" applyNumberFormat="1" applyFont="1" applyFill="1" applyAlignment="1">
      <alignment vertical="center"/>
    </xf>
    <xf numFmtId="2" fontId="1" fillId="0" borderId="1" xfId="0" applyNumberFormat="1" applyFont="1" applyFill="1" applyBorder="1" applyAlignment="1">
      <alignment vertical="center"/>
    </xf>
    <xf numFmtId="0" fontId="2" fillId="0" borderId="11" xfId="327" applyFont="1" applyBorder="1" applyAlignment="1">
      <alignment horizontal="center" vertical="center" wrapText="1"/>
    </xf>
    <xf numFmtId="0" fontId="2" fillId="0" borderId="14" xfId="327" applyFont="1" applyBorder="1" applyAlignment="1">
      <alignment horizontal="center" vertical="center" wrapText="1"/>
    </xf>
    <xf numFmtId="0" fontId="2" fillId="0" borderId="12" xfId="327" applyFont="1" applyBorder="1" applyAlignment="1">
      <alignment horizontal="center" vertical="center" wrapText="1"/>
    </xf>
    <xf numFmtId="0" fontId="2" fillId="0" borderId="3" xfId="327" applyFont="1" applyBorder="1" applyAlignment="1">
      <alignment horizontal="center" vertical="center" wrapText="1"/>
    </xf>
    <xf numFmtId="0" fontId="1" fillId="0" borderId="4" xfId="227" applyFont="1" applyBorder="1" applyAlignment="1">
      <alignment horizontal="center" vertical="center" wrapText="1"/>
    </xf>
    <xf numFmtId="0" fontId="1" fillId="0" borderId="4" xfId="227" applyFont="1" applyBorder="1" applyAlignment="1">
      <alignment horizontal="center" vertical="center"/>
    </xf>
    <xf numFmtId="0" fontId="1" fillId="0" borderId="1" xfId="227" applyFont="1" applyBorder="1" applyAlignment="1">
      <alignment vertical="center" wrapText="1"/>
    </xf>
    <xf numFmtId="2" fontId="1" fillId="2" borderId="11" xfId="227" applyNumberFormat="1" applyFont="1" applyFill="1" applyBorder="1" applyAlignment="1">
      <alignment horizontal="center" vertical="center"/>
    </xf>
    <xf numFmtId="2" fontId="1" fillId="2" borderId="14" xfId="227" applyNumberFormat="1" applyFont="1" applyFill="1" applyBorder="1" applyAlignment="1">
      <alignment horizontal="center" vertical="center"/>
    </xf>
    <xf numFmtId="2" fontId="1" fillId="2" borderId="12" xfId="227" applyNumberFormat="1" applyFont="1" applyFill="1" applyBorder="1" applyAlignment="1">
      <alignment horizontal="center" vertical="center"/>
    </xf>
    <xf numFmtId="2" fontId="2" fillId="2" borderId="1" xfId="227" applyNumberFormat="1" applyFont="1" applyFill="1" applyBorder="1" applyAlignment="1">
      <alignment vertical="center"/>
    </xf>
    <xf numFmtId="0" fontId="18" fillId="5" borderId="14" xfId="227" applyFont="1" applyFill="1" applyBorder="1" applyAlignment="1">
      <alignment readingOrder="1"/>
    </xf>
    <xf numFmtId="4" fontId="1" fillId="0" borderId="1" xfId="227" applyNumberFormat="1" applyFont="1" applyBorder="1" applyAlignment="1">
      <alignment horizontal="center" vertical="center"/>
    </xf>
    <xf numFmtId="0" fontId="6" fillId="0" borderId="0" xfId="227" applyFont="1" applyAlignment="1">
      <alignment vertical="center" wrapText="1"/>
    </xf>
    <xf numFmtId="2" fontId="1" fillId="2" borderId="1" xfId="227" applyNumberFormat="1" applyFont="1" applyFill="1" applyBorder="1" applyAlignment="1">
      <alignment horizontal="center" vertical="center"/>
    </xf>
    <xf numFmtId="2" fontId="1" fillId="6" borderId="1" xfId="227" applyNumberFormat="1" applyFont="1" applyFill="1" applyBorder="1" applyAlignment="1">
      <alignment horizontal="center" vertical="center"/>
    </xf>
    <xf numFmtId="0" fontId="2" fillId="0" borderId="0" xfId="327" applyFont="1" applyAlignment="1">
      <alignment horizontal="left" vertical="center"/>
    </xf>
    <xf numFmtId="2" fontId="2" fillId="2" borderId="12" xfId="327" applyNumberFormat="1" applyFont="1" applyFill="1" applyBorder="1" applyAlignment="1">
      <alignment horizontal="center" vertical="center"/>
    </xf>
    <xf numFmtId="2" fontId="2" fillId="2" borderId="12" xfId="327" applyNumberFormat="1" applyFont="1" applyFill="1" applyBorder="1">
      <alignment vertical="center"/>
    </xf>
    <xf numFmtId="4" fontId="1" fillId="0" borderId="1" xfId="227" applyNumberFormat="1" applyFont="1" applyBorder="1" applyAlignment="1">
      <alignment horizontal="center" vertical="center" wrapText="1"/>
    </xf>
    <xf numFmtId="4" fontId="2" fillId="2" borderId="12" xfId="327" applyNumberFormat="1" applyFont="1" applyFill="1" applyBorder="1" applyAlignment="1">
      <alignment horizontal="center" vertical="center"/>
    </xf>
    <xf numFmtId="0" fontId="0" fillId="0" borderId="1" xfId="229" applyBorder="1"/>
    <xf numFmtId="2" fontId="1" fillId="6" borderId="1" xfId="327" applyNumberFormat="1" applyFont="1" applyFill="1" applyBorder="1" applyAlignment="1">
      <alignment horizontal="right" vertical="center"/>
    </xf>
    <xf numFmtId="0" fontId="0" fillId="0" borderId="1" xfId="229" applyBorder="1" applyAlignment="1">
      <alignment wrapText="1"/>
    </xf>
    <xf numFmtId="2" fontId="1" fillId="6" borderId="12" xfId="327" applyNumberFormat="1" applyFont="1" applyFill="1" applyBorder="1" applyAlignment="1">
      <alignment horizontal="right" vertical="center"/>
    </xf>
    <xf numFmtId="2" fontId="2" fillId="6" borderId="12" xfId="327" applyNumberFormat="1" applyFont="1" applyFill="1" applyBorder="1">
      <alignment vertical="center"/>
    </xf>
    <xf numFmtId="0" fontId="0" fillId="0" borderId="1" xfId="0" applyBorder="1"/>
    <xf numFmtId="0" fontId="1" fillId="0" borderId="12" xfId="327" applyFont="1" applyBorder="1">
      <alignment vertical="center"/>
    </xf>
    <xf numFmtId="0" fontId="1" fillId="0" borderId="1" xfId="227" applyFont="1" applyBorder="1" applyAlignment="1">
      <alignment horizontal="left" vertical="center"/>
    </xf>
    <xf numFmtId="0" fontId="0" fillId="0" borderId="1" xfId="0" applyFont="1" applyBorder="1"/>
    <xf numFmtId="0" fontId="1" fillId="0" borderId="7" xfId="327" applyFont="1" applyBorder="1">
      <alignment vertical="center"/>
    </xf>
    <xf numFmtId="2" fontId="1" fillId="0" borderId="1" xfId="327" applyNumberFormat="1" applyFont="1" applyBorder="1" applyAlignment="1">
      <alignment horizontal="right" vertical="center"/>
    </xf>
    <xf numFmtId="2" fontId="1" fillId="0" borderId="12" xfId="327" applyNumberFormat="1" applyFont="1" applyBorder="1" applyAlignment="1">
      <alignment horizontal="right" vertical="center"/>
    </xf>
    <xf numFmtId="0" fontId="1" fillId="0" borderId="7" xfId="227" applyFont="1" applyBorder="1" applyAlignment="1">
      <alignment vertical="center"/>
    </xf>
    <xf numFmtId="2" fontId="1" fillId="0" borderId="1" xfId="227" applyNumberFormat="1" applyFont="1" applyBorder="1" applyAlignment="1">
      <alignment horizontal="center" vertical="center" wrapText="1"/>
    </xf>
    <xf numFmtId="2" fontId="1" fillId="2" borderId="1" xfId="227" applyNumberFormat="1" applyFont="1" applyFill="1" applyBorder="1" applyAlignment="1">
      <alignment vertical="center"/>
    </xf>
    <xf numFmtId="0" fontId="1" fillId="0" borderId="1" xfId="227" applyFont="1" applyBorder="1" applyAlignment="1">
      <alignment horizontal="left" vertical="center" wrapText="1"/>
    </xf>
    <xf numFmtId="0" fontId="2" fillId="0" borderId="1" xfId="227" applyFont="1" applyBorder="1" applyAlignment="1">
      <alignment horizontal="left" vertical="center" wrapText="1"/>
    </xf>
    <xf numFmtId="2" fontId="1" fillId="0" borderId="1" xfId="227" applyNumberFormat="1" applyFont="1" applyBorder="1" applyAlignment="1">
      <alignment horizontal="right" vertical="center" wrapText="1"/>
    </xf>
    <xf numFmtId="0" fontId="1" fillId="0" borderId="1" xfId="227" applyFont="1" applyBorder="1" applyAlignment="1">
      <alignment horizontal="right" vertical="center"/>
    </xf>
    <xf numFmtId="9" fontId="1" fillId="0" borderId="1" xfId="227" applyNumberFormat="1" applyFont="1" applyBorder="1" applyAlignment="1">
      <alignment vertical="center"/>
    </xf>
    <xf numFmtId="2" fontId="1" fillId="2" borderId="1" xfId="227" applyNumberFormat="1" applyFont="1" applyFill="1" applyBorder="1" applyAlignment="1">
      <alignment horizontal="right" vertical="center"/>
    </xf>
    <xf numFmtId="4" fontId="1" fillId="0" borderId="1" xfId="227" applyNumberFormat="1" applyFont="1" applyBorder="1" applyAlignment="1">
      <alignment horizontal="right" vertical="center" wrapText="1"/>
    </xf>
    <xf numFmtId="9" fontId="1" fillId="0" borderId="1" xfId="227" applyNumberFormat="1" applyFont="1" applyBorder="1" applyAlignment="1">
      <alignment horizontal="right" vertical="center"/>
    </xf>
    <xf numFmtId="2" fontId="1" fillId="0" borderId="1" xfId="227" applyNumberFormat="1" applyFont="1" applyBorder="1" applyAlignment="1">
      <alignment horizontal="right" vertical="center"/>
    </xf>
    <xf numFmtId="2" fontId="1" fillId="0" borderId="1" xfId="327" applyNumberFormat="1" applyFont="1" applyBorder="1">
      <alignment vertical="center"/>
    </xf>
    <xf numFmtId="2" fontId="1" fillId="2" borderId="1" xfId="327" applyNumberFormat="1" applyFont="1" applyFill="1" applyBorder="1">
      <alignment vertical="center"/>
    </xf>
    <xf numFmtId="0" fontId="1" fillId="0" borderId="1" xfId="227" applyFont="1" applyBorder="1" applyAlignment="1">
      <alignment horizontal="center"/>
    </xf>
    <xf numFmtId="0" fontId="1" fillId="0" borderId="1" xfId="227" applyFont="1" applyBorder="1"/>
    <xf numFmtId="176" fontId="1" fillId="0" borderId="1" xfId="227" applyNumberFormat="1" applyFont="1" applyBorder="1" applyAlignment="1">
      <alignment horizontal="center" vertical="center"/>
    </xf>
    <xf numFmtId="197" fontId="1" fillId="0" borderId="1" xfId="378" applyNumberFormat="1" applyFont="1" applyBorder="1" applyAlignment="1">
      <alignment horizontal="center" vertical="center"/>
    </xf>
    <xf numFmtId="0" fontId="2" fillId="0" borderId="1" xfId="227" applyFont="1" applyBorder="1" applyAlignment="1">
      <alignment horizontal="center"/>
    </xf>
    <xf numFmtId="0" fontId="2" fillId="0" borderId="1" xfId="227" applyFont="1" applyBorder="1"/>
    <xf numFmtId="176" fontId="2" fillId="0" borderId="1" xfId="227" applyNumberFormat="1" applyFont="1" applyBorder="1" applyAlignment="1">
      <alignment horizontal="center" vertical="center"/>
    </xf>
    <xf numFmtId="4" fontId="1" fillId="0" borderId="1" xfId="327" applyNumberFormat="1" applyFont="1" applyBorder="1" applyAlignment="1">
      <alignment horizontal="right" vertical="center"/>
    </xf>
    <xf numFmtId="4" fontId="1" fillId="0" borderId="1" xfId="227" applyNumberFormat="1" applyFont="1" applyBorder="1" applyAlignment="1">
      <alignment horizontal="right" vertical="center"/>
    </xf>
    <xf numFmtId="10" fontId="1" fillId="0" borderId="1" xfId="227" applyNumberFormat="1" applyFont="1" applyBorder="1" applyAlignment="1">
      <alignment horizontal="right" vertical="center"/>
    </xf>
    <xf numFmtId="4" fontId="1" fillId="2" borderId="1" xfId="327" applyNumberFormat="1" applyFont="1" applyFill="1" applyBorder="1" applyAlignment="1">
      <alignment horizontal="right" vertical="center"/>
    </xf>
    <xf numFmtId="10" fontId="1" fillId="0" borderId="1" xfId="227" applyNumberFormat="1" applyFont="1" applyBorder="1" applyAlignment="1">
      <alignment vertical="center"/>
    </xf>
    <xf numFmtId="2" fontId="1" fillId="2" borderId="1" xfId="327" applyNumberFormat="1" applyFont="1" applyFill="1" applyBorder="1" applyAlignment="1">
      <alignment horizontal="right" vertical="center"/>
    </xf>
    <xf numFmtId="0" fontId="1" fillId="0" borderId="0" xfId="327" applyFont="1" applyFill="1">
      <alignment vertical="center"/>
    </xf>
    <xf numFmtId="0" fontId="2" fillId="0" borderId="0" xfId="227" applyFont="1" applyFill="1" applyAlignment="1">
      <alignment vertical="center"/>
    </xf>
    <xf numFmtId="0" fontId="1" fillId="0" borderId="0" xfId="227" applyFont="1" applyFill="1" applyAlignment="1">
      <alignment vertical="center"/>
    </xf>
    <xf numFmtId="0" fontId="2" fillId="0" borderId="0" xfId="227" applyFont="1" applyFill="1" applyAlignment="1">
      <alignment horizontal="left" vertical="center"/>
    </xf>
    <xf numFmtId="0" fontId="2" fillId="0" borderId="0" xfId="227" applyFont="1" applyFill="1" applyAlignment="1">
      <alignment horizontal="center" vertical="center"/>
    </xf>
    <xf numFmtId="0" fontId="2" fillId="0" borderId="0" xfId="227" applyFont="1" applyFill="1" applyAlignment="1">
      <alignment horizontal="right" vertical="center"/>
    </xf>
    <xf numFmtId="0" fontId="2" fillId="0" borderId="2" xfId="327" applyFont="1" applyFill="1" applyBorder="1" applyAlignment="1">
      <alignment horizontal="center" vertical="center" wrapText="1"/>
    </xf>
    <xf numFmtId="0" fontId="2" fillId="0" borderId="2" xfId="327" applyFont="1" applyFill="1" applyBorder="1" applyAlignment="1">
      <alignment horizontal="center" vertical="center"/>
    </xf>
    <xf numFmtId="0" fontId="2" fillId="0" borderId="11" xfId="327" applyFont="1" applyFill="1" applyBorder="1" applyAlignment="1">
      <alignment horizontal="center" vertical="center" wrapText="1"/>
    </xf>
    <xf numFmtId="0" fontId="2" fillId="0" borderId="14" xfId="327" applyFont="1" applyFill="1" applyBorder="1" applyAlignment="1">
      <alignment horizontal="center" vertical="center" wrapText="1"/>
    </xf>
    <xf numFmtId="0" fontId="2" fillId="0" borderId="12" xfId="327" applyFont="1" applyFill="1" applyBorder="1" applyAlignment="1">
      <alignment horizontal="center" vertical="center" wrapText="1"/>
    </xf>
    <xf numFmtId="0" fontId="2" fillId="0" borderId="3" xfId="327" applyFont="1" applyFill="1" applyBorder="1" applyAlignment="1">
      <alignment horizontal="center" vertical="center" wrapText="1"/>
    </xf>
    <xf numFmtId="0" fontId="2" fillId="0" borderId="3" xfId="327" applyFont="1" applyFill="1" applyBorder="1" applyAlignment="1">
      <alignment horizontal="center" vertical="center"/>
    </xf>
    <xf numFmtId="0" fontId="2" fillId="0" borderId="1" xfId="327" applyFont="1" applyFill="1" applyBorder="1" applyAlignment="1">
      <alignment horizontal="center" vertical="center" wrapText="1"/>
    </xf>
    <xf numFmtId="0" fontId="2" fillId="0" borderId="4" xfId="327" applyFont="1" applyFill="1" applyBorder="1" applyAlignment="1">
      <alignment horizontal="center" vertical="center" wrapText="1"/>
    </xf>
    <xf numFmtId="0" fontId="2" fillId="0" borderId="4" xfId="327" applyFont="1" applyFill="1" applyBorder="1" applyAlignment="1">
      <alignment horizontal="center" vertical="center"/>
    </xf>
    <xf numFmtId="0" fontId="1" fillId="0" borderId="4" xfId="227" applyFont="1" applyFill="1" applyBorder="1" applyAlignment="1">
      <alignment horizontal="center" vertical="center"/>
    </xf>
    <xf numFmtId="0" fontId="1" fillId="0" borderId="1" xfId="327" applyFont="1" applyFill="1" applyBorder="1" applyAlignment="1">
      <alignment horizontal="center" vertical="center"/>
    </xf>
    <xf numFmtId="2" fontId="1" fillId="0" borderId="1" xfId="227" applyNumberFormat="1" applyFont="1" applyFill="1" applyBorder="1" applyAlignment="1">
      <alignment vertical="center"/>
    </xf>
    <xf numFmtId="0" fontId="1" fillId="0" borderId="1" xfId="227" applyFont="1" applyFill="1" applyBorder="1" applyAlignment="1">
      <alignment horizontal="center" vertical="center" wrapText="1"/>
    </xf>
    <xf numFmtId="0" fontId="1" fillId="0" borderId="1" xfId="227" applyFont="1" applyFill="1" applyBorder="1" applyAlignment="1">
      <alignment horizontal="center" vertical="center"/>
    </xf>
    <xf numFmtId="0" fontId="1" fillId="0" borderId="1" xfId="227" applyFont="1" applyFill="1" applyBorder="1" applyAlignment="1">
      <alignment horizontal="left" vertical="center"/>
    </xf>
    <xf numFmtId="0" fontId="1" fillId="0" borderId="12" xfId="327" applyFont="1" applyFill="1" applyBorder="1">
      <alignment vertical="center"/>
    </xf>
    <xf numFmtId="0" fontId="1" fillId="0" borderId="1" xfId="227" applyFont="1" applyFill="1" applyBorder="1" applyAlignment="1">
      <alignment horizontal="left" vertical="center" wrapText="1"/>
    </xf>
    <xf numFmtId="0" fontId="2" fillId="0" borderId="1" xfId="227" applyFont="1" applyFill="1" applyBorder="1" applyAlignment="1">
      <alignment vertical="center"/>
    </xf>
    <xf numFmtId="181" fontId="1" fillId="0" borderId="1" xfId="227" applyNumberFormat="1" applyFont="1" applyFill="1" applyBorder="1" applyAlignment="1">
      <alignment vertical="center"/>
    </xf>
    <xf numFmtId="9" fontId="1" fillId="0" borderId="1" xfId="227" applyNumberFormat="1" applyFont="1" applyFill="1" applyBorder="1" applyAlignment="1">
      <alignment vertical="center"/>
    </xf>
    <xf numFmtId="0" fontId="2" fillId="0" borderId="0" xfId="327" applyFont="1" applyFill="1" applyAlignment="1">
      <alignment horizontal="right" vertical="center"/>
    </xf>
    <xf numFmtId="0" fontId="2" fillId="0" borderId="14" xfId="227" applyFont="1" applyFill="1" applyBorder="1" applyAlignment="1">
      <alignment horizontal="center" vertical="center"/>
    </xf>
    <xf numFmtId="0" fontId="1" fillId="0" borderId="7" xfId="327" applyFont="1" applyFill="1" applyBorder="1">
      <alignment vertical="center"/>
    </xf>
    <xf numFmtId="1" fontId="1" fillId="0" borderId="1" xfId="227" applyNumberFormat="1" applyFont="1" applyFill="1" applyBorder="1" applyAlignment="1">
      <alignment horizontal="center" vertical="center" wrapText="1"/>
    </xf>
    <xf numFmtId="1" fontId="1" fillId="0" borderId="1" xfId="227" applyNumberFormat="1" applyFont="1" applyFill="1" applyBorder="1" applyAlignment="1">
      <alignment horizontal="center" vertical="center"/>
    </xf>
    <xf numFmtId="10" fontId="1" fillId="0" borderId="1" xfId="227" applyNumberFormat="1" applyFont="1" applyFill="1" applyBorder="1" applyAlignment="1">
      <alignment horizontal="center" vertical="center" wrapText="1"/>
    </xf>
    <xf numFmtId="2" fontId="1" fillId="0" borderId="1" xfId="227" applyNumberFormat="1" applyFont="1" applyFill="1" applyBorder="1" applyAlignment="1">
      <alignment horizontal="left" vertical="center"/>
    </xf>
    <xf numFmtId="2" fontId="1" fillId="0" borderId="1" xfId="227" applyNumberFormat="1" applyFont="1" applyFill="1" applyBorder="1" applyAlignment="1">
      <alignment horizontal="center" vertical="center" wrapText="1"/>
    </xf>
    <xf numFmtId="0" fontId="2" fillId="0" borderId="1" xfId="327" applyFont="1" applyFill="1" applyBorder="1" applyAlignment="1">
      <alignment horizontal="center" vertical="center"/>
    </xf>
    <xf numFmtId="0" fontId="1" fillId="0" borderId="4" xfId="227" applyFont="1" applyFill="1" applyBorder="1" applyAlignment="1">
      <alignment horizontal="center" vertical="center" wrapText="1"/>
    </xf>
    <xf numFmtId="0" fontId="2" fillId="0" borderId="1" xfId="227" applyFont="1" applyFill="1" applyBorder="1" applyAlignment="1">
      <alignment horizontal="center" vertical="center"/>
    </xf>
    <xf numFmtId="0" fontId="2" fillId="3" borderId="15" xfId="176" applyFont="1" applyFill="1" applyBorder="1" applyAlignment="1">
      <alignment horizontal="center" vertical="center"/>
    </xf>
    <xf numFmtId="0" fontId="2" fillId="3" borderId="16" xfId="176" applyFont="1" applyFill="1" applyBorder="1" applyAlignment="1">
      <alignment horizontal="center" vertical="center"/>
    </xf>
    <xf numFmtId="0" fontId="2" fillId="3" borderId="17" xfId="176" applyFont="1" applyFill="1" applyBorder="1" applyAlignment="1">
      <alignment horizontal="center" vertical="center" wrapText="1"/>
    </xf>
    <xf numFmtId="0" fontId="2" fillId="3" borderId="2" xfId="176" applyFont="1" applyFill="1" applyBorder="1" applyAlignment="1">
      <alignment horizontal="center" vertical="center" wrapText="1"/>
    </xf>
    <xf numFmtId="0" fontId="2" fillId="3" borderId="1" xfId="176" applyFont="1" applyFill="1" applyBorder="1" applyAlignment="1">
      <alignment horizontal="center" vertical="center" wrapText="1"/>
    </xf>
    <xf numFmtId="0" fontId="2" fillId="3" borderId="4" xfId="176" applyFont="1" applyFill="1" applyBorder="1" applyAlignment="1">
      <alignment horizontal="center" vertical="center" wrapText="1"/>
    </xf>
    <xf numFmtId="0" fontId="1" fillId="3" borderId="17" xfId="176" applyFont="1" applyFill="1" applyBorder="1" applyAlignment="1">
      <alignment horizontal="center" vertical="center"/>
    </xf>
    <xf numFmtId="0" fontId="2" fillId="3" borderId="1" xfId="176" applyFont="1" applyFill="1" applyBorder="1" applyAlignment="1">
      <alignment horizontal="left" vertical="center"/>
    </xf>
    <xf numFmtId="0" fontId="2" fillId="3" borderId="1" xfId="176" applyFont="1" applyFill="1" applyBorder="1" applyAlignment="1">
      <alignment horizontal="center" vertical="center"/>
    </xf>
    <xf numFmtId="10" fontId="1" fillId="3" borderId="1" xfId="176" applyNumberFormat="1" applyFont="1" applyFill="1" applyBorder="1" applyAlignment="1">
      <alignment horizontal="center" vertical="center"/>
    </xf>
    <xf numFmtId="2" fontId="1" fillId="3" borderId="1" xfId="176" applyNumberFormat="1" applyFont="1" applyFill="1" applyBorder="1" applyAlignment="1">
      <alignment horizontal="center" vertical="center"/>
    </xf>
    <xf numFmtId="0" fontId="2" fillId="3" borderId="1" xfId="176" applyFont="1" applyFill="1" applyBorder="1" applyAlignment="1">
      <alignment horizontal="left" vertical="center" wrapText="1"/>
    </xf>
    <xf numFmtId="10" fontId="1" fillId="3" borderId="1" xfId="378" applyNumberFormat="1" applyFont="1" applyFill="1" applyBorder="1" applyAlignment="1">
      <alignment horizontal="center" vertical="center"/>
    </xf>
    <xf numFmtId="0" fontId="1" fillId="3" borderId="1" xfId="176" applyFont="1" applyFill="1" applyBorder="1" applyAlignment="1">
      <alignment horizontal="left" vertical="center" wrapText="1"/>
    </xf>
    <xf numFmtId="0" fontId="1" fillId="3" borderId="1" xfId="176" applyFont="1" applyFill="1" applyBorder="1" applyAlignment="1">
      <alignment horizontal="left" vertical="center"/>
    </xf>
    <xf numFmtId="2" fontId="2" fillId="3" borderId="1" xfId="176" applyNumberFormat="1" applyFont="1" applyFill="1" applyBorder="1" applyAlignment="1">
      <alignment horizontal="center" vertical="center"/>
    </xf>
    <xf numFmtId="0" fontId="1" fillId="3" borderId="18" xfId="176" applyFont="1" applyFill="1" applyBorder="1" applyAlignment="1">
      <alignment horizontal="center" vertical="center"/>
    </xf>
    <xf numFmtId="0" fontId="2" fillId="3" borderId="2" xfId="176" applyFont="1" applyFill="1" applyBorder="1" applyAlignment="1">
      <alignment horizontal="left" vertical="center" wrapText="1"/>
    </xf>
    <xf numFmtId="0" fontId="1" fillId="3" borderId="19" xfId="176" applyFont="1" applyFill="1" applyBorder="1" applyAlignment="1">
      <alignment horizontal="center" vertical="center"/>
    </xf>
    <xf numFmtId="0" fontId="2" fillId="0" borderId="1" xfId="0" applyFont="1" applyBorder="1" applyAlignment="1">
      <alignment horizontal="justify" vertical="center" wrapText="1"/>
    </xf>
    <xf numFmtId="0" fontId="2" fillId="3" borderId="12" xfId="176" applyFont="1" applyFill="1" applyBorder="1" applyAlignment="1">
      <alignment horizontal="center" vertical="center"/>
    </xf>
    <xf numFmtId="0" fontId="1" fillId="0" borderId="1" xfId="0" applyFont="1" applyBorder="1" applyAlignment="1">
      <alignment horizontal="justify" vertical="center" wrapText="1"/>
    </xf>
    <xf numFmtId="10" fontId="19" fillId="0" borderId="1" xfId="378" applyNumberFormat="1" applyFont="1" applyFill="1" applyBorder="1" applyAlignment="1">
      <alignment horizontal="center" vertical="center"/>
    </xf>
    <xf numFmtId="0" fontId="1" fillId="3" borderId="20" xfId="176" applyFont="1" applyFill="1" applyBorder="1" applyAlignment="1">
      <alignment horizontal="center" vertical="center"/>
    </xf>
    <xf numFmtId="0" fontId="2" fillId="3" borderId="21" xfId="176" applyFont="1" applyFill="1" applyBorder="1" applyAlignment="1">
      <alignment horizontal="center" vertical="center"/>
    </xf>
    <xf numFmtId="0" fontId="1" fillId="3" borderId="21" xfId="176" applyFont="1" applyFill="1" applyBorder="1" applyAlignment="1">
      <alignment horizontal="center" vertical="center"/>
    </xf>
    <xf numFmtId="2" fontId="2" fillId="2" borderId="21" xfId="53" applyNumberFormat="1" applyFont="1" applyFill="1" applyBorder="1" applyAlignment="1">
      <alignment horizontal="center" vertical="center"/>
    </xf>
    <xf numFmtId="0" fontId="2" fillId="3" borderId="22" xfId="176" applyFont="1" applyFill="1" applyBorder="1" applyAlignment="1">
      <alignment horizontal="center" vertical="center"/>
    </xf>
    <xf numFmtId="0" fontId="2" fillId="3" borderId="23" xfId="176" applyFont="1" applyFill="1" applyBorder="1" applyAlignment="1">
      <alignment horizontal="center" vertical="center"/>
    </xf>
    <xf numFmtId="0" fontId="2" fillId="3" borderId="20" xfId="176" applyFont="1" applyFill="1" applyBorder="1" applyAlignment="1">
      <alignment horizontal="center" vertical="center" wrapText="1"/>
    </xf>
    <xf numFmtId="0" fontId="2" fillId="3" borderId="24" xfId="176" applyFont="1" applyFill="1" applyBorder="1" applyAlignment="1">
      <alignment horizontal="center" vertical="center" wrapText="1"/>
    </xf>
    <xf numFmtId="0" fontId="2" fillId="3" borderId="21" xfId="176" applyFont="1" applyFill="1" applyBorder="1" applyAlignment="1">
      <alignment horizontal="center" vertical="center" wrapText="1"/>
    </xf>
    <xf numFmtId="0" fontId="2" fillId="0" borderId="1" xfId="176" applyFont="1" applyBorder="1" applyAlignment="1">
      <alignment horizontal="left" vertical="center"/>
    </xf>
    <xf numFmtId="10" fontId="1" fillId="3" borderId="16" xfId="176" applyNumberFormat="1" applyFont="1" applyFill="1" applyBorder="1" applyAlignment="1">
      <alignment horizontal="center" vertical="center"/>
    </xf>
    <xf numFmtId="0" fontId="2" fillId="0" borderId="1" xfId="176" applyFont="1" applyBorder="1" applyAlignment="1">
      <alignment horizontal="left" vertical="center" wrapText="1"/>
    </xf>
    <xf numFmtId="0" fontId="2" fillId="3" borderId="25" xfId="176" applyFont="1" applyFill="1" applyBorder="1" applyAlignment="1">
      <alignment horizontal="center" vertical="center"/>
    </xf>
    <xf numFmtId="0" fontId="2" fillId="3" borderId="26" xfId="176" applyFont="1" applyFill="1" applyBorder="1" applyAlignment="1">
      <alignment horizontal="center" vertical="center" wrapText="1"/>
    </xf>
    <xf numFmtId="2" fontId="2" fillId="2" borderId="27" xfId="53" applyNumberFormat="1" applyFont="1" applyFill="1" applyBorder="1" applyAlignment="1">
      <alignment horizontal="center" vertical="center"/>
    </xf>
    <xf numFmtId="0" fontId="2" fillId="3" borderId="28" xfId="176" applyFont="1" applyFill="1" applyBorder="1" applyAlignment="1">
      <alignment horizontal="center" vertical="center"/>
    </xf>
    <xf numFmtId="0" fontId="2" fillId="3" borderId="27" xfId="176" applyFont="1" applyFill="1" applyBorder="1" applyAlignment="1">
      <alignment horizontal="center" vertical="center" wrapText="1"/>
    </xf>
    <xf numFmtId="1" fontId="2" fillId="2" borderId="21" xfId="53" applyNumberFormat="1" applyFont="1" applyFill="1" applyBorder="1" applyAlignment="1">
      <alignment horizontal="center" vertical="center"/>
    </xf>
    <xf numFmtId="0" fontId="2" fillId="0" borderId="22" xfId="176" applyFont="1" applyBorder="1" applyAlignment="1">
      <alignment horizontal="center" vertical="center"/>
    </xf>
    <xf numFmtId="0" fontId="2" fillId="0" borderId="23" xfId="176" applyFont="1" applyBorder="1" applyAlignment="1">
      <alignment horizontal="center" vertical="center"/>
    </xf>
    <xf numFmtId="0" fontId="2" fillId="0" borderId="17" xfId="176" applyFont="1" applyBorder="1" applyAlignment="1">
      <alignment horizontal="center" vertical="center" wrapText="1"/>
    </xf>
    <xf numFmtId="0" fontId="2" fillId="0" borderId="2" xfId="176" applyFont="1" applyBorder="1" applyAlignment="1">
      <alignment horizontal="center" vertical="center" wrapText="1"/>
    </xf>
    <xf numFmtId="0" fontId="2" fillId="0" borderId="1" xfId="176" applyFont="1" applyBorder="1" applyAlignment="1">
      <alignment horizontal="center" vertical="center" wrapText="1"/>
    </xf>
    <xf numFmtId="0" fontId="2" fillId="0" borderId="20" xfId="176" applyFont="1" applyBorder="1" applyAlignment="1">
      <alignment horizontal="center" vertical="center" wrapText="1"/>
    </xf>
    <xf numFmtId="0" fontId="2" fillId="0" borderId="24" xfId="176" applyFont="1" applyBorder="1" applyAlignment="1">
      <alignment horizontal="center" vertical="center" wrapText="1"/>
    </xf>
    <xf numFmtId="0" fontId="2" fillId="0" borderId="21" xfId="176" applyFont="1" applyBorder="1" applyAlignment="1">
      <alignment horizontal="center" vertical="center" wrapText="1"/>
    </xf>
    <xf numFmtId="0" fontId="1" fillId="0" borderId="17" xfId="176" applyFont="1" applyBorder="1" applyAlignment="1">
      <alignment horizontal="center" vertical="center"/>
    </xf>
    <xf numFmtId="0" fontId="2" fillId="0" borderId="16" xfId="176" applyFont="1" applyBorder="1" applyAlignment="1">
      <alignment horizontal="center" vertical="center"/>
    </xf>
    <xf numFmtId="10" fontId="1" fillId="0" borderId="16" xfId="176" applyNumberFormat="1" applyFont="1" applyBorder="1" applyAlignment="1">
      <alignment horizontal="center" vertical="center"/>
    </xf>
    <xf numFmtId="2" fontId="1" fillId="0" borderId="1" xfId="176" applyNumberFormat="1" applyFont="1" applyBorder="1" applyAlignment="1">
      <alignment horizontal="center" vertical="center"/>
    </xf>
    <xf numFmtId="0" fontId="2" fillId="0" borderId="1" xfId="176" applyFont="1" applyBorder="1" applyAlignment="1">
      <alignment horizontal="center" vertical="center"/>
    </xf>
    <xf numFmtId="10" fontId="1" fillId="0" borderId="1" xfId="176" applyNumberFormat="1" applyFont="1" applyBorder="1" applyAlignment="1">
      <alignment horizontal="center" vertical="center"/>
    </xf>
    <xf numFmtId="10" fontId="1" fillId="0" borderId="1" xfId="378" applyNumberFormat="1" applyFont="1" applyFill="1" applyBorder="1" applyAlignment="1">
      <alignment horizontal="center" vertical="center"/>
    </xf>
    <xf numFmtId="0" fontId="1" fillId="0" borderId="1" xfId="176" applyFont="1" applyBorder="1" applyAlignment="1">
      <alignment horizontal="left" vertical="center" wrapText="1"/>
    </xf>
    <xf numFmtId="0" fontId="1" fillId="0" borderId="1" xfId="176" applyFont="1" applyBorder="1" applyAlignment="1">
      <alignment horizontal="left" vertical="center"/>
    </xf>
    <xf numFmtId="2" fontId="2" fillId="0" borderId="1" xfId="176" applyNumberFormat="1" applyFont="1" applyBorder="1" applyAlignment="1">
      <alignment horizontal="center" vertical="center"/>
    </xf>
    <xf numFmtId="0" fontId="1" fillId="0" borderId="18" xfId="176" applyFont="1" applyBorder="1" applyAlignment="1">
      <alignment horizontal="center" vertical="center"/>
    </xf>
    <xf numFmtId="0" fontId="2" fillId="0" borderId="2" xfId="176" applyFont="1" applyBorder="1" applyAlignment="1">
      <alignment horizontal="left" vertical="center" wrapText="1"/>
    </xf>
    <xf numFmtId="0" fontId="1" fillId="0" borderId="19" xfId="176" applyFont="1" applyBorder="1" applyAlignment="1">
      <alignment horizontal="center" vertical="center"/>
    </xf>
    <xf numFmtId="0" fontId="2" fillId="0" borderId="12" xfId="176" applyFont="1" applyBorder="1" applyAlignment="1">
      <alignment horizontal="center" vertical="center"/>
    </xf>
    <xf numFmtId="0" fontId="2" fillId="0" borderId="28" xfId="176" applyFont="1" applyBorder="1" applyAlignment="1">
      <alignment horizontal="center" vertical="center"/>
    </xf>
    <xf numFmtId="0" fontId="2" fillId="0" borderId="26" xfId="176" applyFont="1" applyBorder="1" applyAlignment="1">
      <alignment horizontal="center" vertical="center" wrapText="1"/>
    </xf>
    <xf numFmtId="0" fontId="2" fillId="0" borderId="27" xfId="176" applyFont="1" applyBorder="1" applyAlignment="1">
      <alignment horizontal="center" vertical="center" wrapText="1"/>
    </xf>
    <xf numFmtId="0" fontId="1" fillId="0" borderId="20" xfId="176" applyFont="1" applyBorder="1" applyAlignment="1">
      <alignment horizontal="center" vertical="center"/>
    </xf>
    <xf numFmtId="0" fontId="2" fillId="0" borderId="21" xfId="176" applyFont="1" applyBorder="1" applyAlignment="1">
      <alignment horizontal="center" vertical="center"/>
    </xf>
    <xf numFmtId="0" fontId="1" fillId="0" borderId="21" xfId="176" applyFont="1" applyBorder="1" applyAlignment="1">
      <alignment horizontal="center" vertical="center"/>
    </xf>
    <xf numFmtId="1" fontId="2" fillId="0" borderId="21" xfId="53" applyNumberFormat="1" applyFont="1" applyFill="1" applyBorder="1" applyAlignment="1">
      <alignment horizontal="center" vertical="center"/>
    </xf>
    <xf numFmtId="2" fontId="2" fillId="0" borderId="21" xfId="53" applyNumberFormat="1" applyFont="1" applyFill="1" applyBorder="1" applyAlignment="1">
      <alignment horizontal="center" vertical="center"/>
    </xf>
    <xf numFmtId="4" fontId="2" fillId="0" borderId="21" xfId="53" applyNumberFormat="1" applyFont="1" applyFill="1" applyBorder="1" applyAlignment="1">
      <alignment horizontal="center" vertical="center"/>
    </xf>
    <xf numFmtId="0" fontId="2" fillId="3" borderId="4" xfId="176" applyFont="1" applyFill="1" applyBorder="1" applyAlignment="1">
      <alignment horizontal="center" vertical="center"/>
    </xf>
    <xf numFmtId="10" fontId="1" fillId="3" borderId="4" xfId="176" applyNumberFormat="1" applyFont="1" applyFill="1" applyBorder="1" applyAlignment="1">
      <alignment horizontal="center" vertical="center"/>
    </xf>
    <xf numFmtId="10" fontId="2" fillId="3" borderId="1" xfId="378" applyNumberFormat="1" applyFont="1" applyFill="1" applyBorder="1" applyAlignment="1">
      <alignment horizontal="center" vertical="center"/>
    </xf>
    <xf numFmtId="0" fontId="1" fillId="0" borderId="0" xfId="227" applyFont="1"/>
    <xf numFmtId="0" fontId="2" fillId="0" borderId="0" xfId="227" applyFont="1" applyAlignment="1">
      <alignment horizontal="left"/>
    </xf>
    <xf numFmtId="0" fontId="2" fillId="0" borderId="0" xfId="227" applyFont="1" applyAlignment="1">
      <alignment horizontal="right"/>
    </xf>
    <xf numFmtId="0" fontId="6" fillId="0" borderId="0" xfId="227" applyFont="1" applyAlignment="1">
      <alignment horizontal="right" vertical="center"/>
    </xf>
    <xf numFmtId="0" fontId="6" fillId="0" borderId="0" xfId="227" applyFont="1" applyAlignment="1">
      <alignment horizontal="left" vertical="center"/>
    </xf>
    <xf numFmtId="0" fontId="2" fillId="0" borderId="0" xfId="227" applyFont="1" applyAlignment="1">
      <alignment horizontal="left" vertical="center" wrapText="1"/>
    </xf>
    <xf numFmtId="0" fontId="1" fillId="0" borderId="0" xfId="227" applyFont="1" applyAlignment="1">
      <alignment horizontal="center"/>
    </xf>
    <xf numFmtId="0" fontId="1" fillId="0" borderId="0" xfId="327" applyFont="1" applyAlignment="1">
      <alignment horizontal="center" vertical="center"/>
    </xf>
    <xf numFmtId="0" fontId="1" fillId="0" borderId="1" xfId="227" applyFont="1" applyBorder="1" applyAlignment="1">
      <alignment horizontal="left"/>
    </xf>
    <xf numFmtId="4" fontId="1" fillId="0" borderId="1" xfId="327" applyNumberFormat="1" applyFont="1" applyBorder="1">
      <alignment vertical="center"/>
    </xf>
    <xf numFmtId="0" fontId="20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2" fillId="0" borderId="1" xfId="227" applyFont="1" applyBorder="1" applyAlignment="1">
      <alignment horizontal="left"/>
    </xf>
    <xf numFmtId="4" fontId="2" fillId="2" borderId="1" xfId="327" applyNumberFormat="1" applyFont="1" applyFill="1" applyBorder="1">
      <alignment vertical="center"/>
    </xf>
    <xf numFmtId="0" fontId="1" fillId="0" borderId="1" xfId="227" applyFont="1" applyBorder="1" applyAlignment="1">
      <alignment horizontal="left" vertical="top" wrapText="1"/>
    </xf>
    <xf numFmtId="4" fontId="1" fillId="2" borderId="1" xfId="327" applyNumberFormat="1" applyFont="1" applyFill="1" applyBorder="1">
      <alignment vertical="center"/>
    </xf>
    <xf numFmtId="1" fontId="2" fillId="2" borderId="1" xfId="327" applyNumberFormat="1" applyFont="1" applyFill="1" applyBorder="1">
      <alignment vertical="center"/>
    </xf>
    <xf numFmtId="197" fontId="1" fillId="2" borderId="1" xfId="327" applyNumberFormat="1" applyFont="1" applyFill="1" applyBorder="1">
      <alignment vertical="center"/>
    </xf>
    <xf numFmtId="2" fontId="2" fillId="0" borderId="1" xfId="327" applyNumberFormat="1" applyFont="1" applyBorder="1">
      <alignment vertical="center"/>
    </xf>
    <xf numFmtId="4" fontId="2" fillId="5" borderId="1" xfId="327" applyNumberFormat="1" applyFont="1" applyFill="1" applyBorder="1">
      <alignment vertical="center"/>
    </xf>
    <xf numFmtId="4" fontId="2" fillId="0" borderId="1" xfId="327" applyNumberFormat="1" applyFont="1" applyBorder="1">
      <alignment vertical="center"/>
    </xf>
    <xf numFmtId="0" fontId="22" fillId="0" borderId="0" xfId="227" applyFont="1" applyAlignment="1">
      <alignment vertical="center"/>
    </xf>
    <xf numFmtId="0" fontId="2" fillId="0" borderId="0" xfId="227" applyFont="1" applyAlignment="1">
      <alignment horizontal="centerContinuous"/>
    </xf>
    <xf numFmtId="0" fontId="1" fillId="0" borderId="0" xfId="227" applyFont="1" applyAlignment="1">
      <alignment horizontal="centerContinuous"/>
    </xf>
    <xf numFmtId="0" fontId="2" fillId="0" borderId="0" xfId="227" applyFont="1"/>
    <xf numFmtId="2" fontId="1" fillId="0" borderId="1" xfId="227" applyNumberFormat="1" applyFont="1" applyBorder="1"/>
    <xf numFmtId="0" fontId="1" fillId="0" borderId="1" xfId="227" applyFont="1" applyBorder="1" applyAlignment="1">
      <alignment wrapText="1"/>
    </xf>
    <xf numFmtId="2" fontId="2" fillId="2" borderId="1" xfId="227" applyNumberFormat="1" applyFont="1" applyFill="1" applyBorder="1"/>
    <xf numFmtId="2" fontId="2" fillId="0" borderId="0" xfId="327" applyNumberFormat="1" applyFont="1">
      <alignment vertical="center"/>
    </xf>
    <xf numFmtId="0" fontId="1" fillId="0" borderId="0" xfId="227" applyFont="1" applyAlignment="1">
      <alignment horizontal="right"/>
    </xf>
    <xf numFmtId="4" fontId="1" fillId="0" borderId="1" xfId="227" applyNumberFormat="1" applyFont="1" applyBorder="1"/>
    <xf numFmtId="0" fontId="1" fillId="0" borderId="0" xfId="327" applyFont="1" applyAlignment="1">
      <alignment horizontal="right" vertical="center"/>
    </xf>
    <xf numFmtId="0" fontId="1" fillId="0" borderId="0" xfId="227" applyFont="1" applyAlignment="1">
      <alignment horizontal="right" wrapText="1"/>
    </xf>
    <xf numFmtId="4" fontId="2" fillId="2" borderId="1" xfId="227" applyNumberFormat="1" applyFont="1" applyFill="1" applyBorder="1"/>
    <xf numFmtId="0" fontId="2" fillId="0" borderId="2" xfId="227" applyFont="1" applyBorder="1" applyAlignment="1">
      <alignment horizontal="center" vertical="center" wrapText="1"/>
    </xf>
    <xf numFmtId="0" fontId="2" fillId="0" borderId="3" xfId="227" applyFont="1" applyBorder="1" applyAlignment="1">
      <alignment horizontal="center" vertical="center" wrapText="1"/>
    </xf>
    <xf numFmtId="0" fontId="2" fillId="0" borderId="4" xfId="227" applyFont="1" applyBorder="1" applyAlignment="1">
      <alignment horizontal="center" vertical="center" wrapText="1"/>
    </xf>
    <xf numFmtId="2" fontId="2" fillId="0" borderId="1" xfId="227" applyNumberFormat="1" applyFont="1" applyBorder="1" applyAlignment="1">
      <alignment horizontal="right" vertical="center"/>
    </xf>
    <xf numFmtId="2" fontId="2" fillId="2" borderId="1" xfId="227" applyNumberFormat="1" applyFont="1" applyFill="1" applyBorder="1" applyAlignment="1">
      <alignment horizontal="right" vertical="center"/>
    </xf>
    <xf numFmtId="0" fontId="1" fillId="0" borderId="0" xfId="227" applyFont="1" applyAlignment="1">
      <alignment horizontal="left" vertical="center"/>
    </xf>
    <xf numFmtId="2" fontId="1" fillId="0" borderId="0" xfId="227" applyNumberFormat="1" applyFont="1" applyAlignment="1">
      <alignment horizontal="right" vertical="center"/>
    </xf>
    <xf numFmtId="2" fontId="2" fillId="0" borderId="0" xfId="227" applyNumberFormat="1" applyFont="1" applyAlignment="1">
      <alignment horizontal="right" vertical="center"/>
    </xf>
    <xf numFmtId="0" fontId="1" fillId="0" borderId="0" xfId="227" applyFont="1" applyAlignment="1">
      <alignment horizontal="right" vertical="center"/>
    </xf>
    <xf numFmtId="0" fontId="6" fillId="0" borderId="0" xfId="227" applyFont="1" applyAlignment="1">
      <alignment vertical="center"/>
    </xf>
    <xf numFmtId="0" fontId="6" fillId="0" borderId="0" xfId="227" applyFont="1" applyAlignment="1">
      <alignment horizontal="center" vertical="center"/>
    </xf>
    <xf numFmtId="3" fontId="1" fillId="0" borderId="1" xfId="227" applyNumberFormat="1" applyFont="1" applyBorder="1" applyAlignment="1">
      <alignment horizontal="right" vertical="center"/>
    </xf>
    <xf numFmtId="4" fontId="2" fillId="2" borderId="1" xfId="227" applyNumberFormat="1" applyFont="1" applyFill="1" applyBorder="1" applyAlignment="1">
      <alignment horizontal="right" vertical="center"/>
    </xf>
    <xf numFmtId="3" fontId="2" fillId="2" borderId="1" xfId="227" applyNumberFormat="1" applyFont="1" applyFill="1" applyBorder="1" applyAlignment="1">
      <alignment horizontal="right" vertical="center"/>
    </xf>
    <xf numFmtId="0" fontId="0" fillId="0" borderId="1" xfId="227" applyBorder="1"/>
    <xf numFmtId="0" fontId="0" fillId="0" borderId="0" xfId="227"/>
    <xf numFmtId="0" fontId="23" fillId="0" borderId="0" xfId="227" applyFont="1" applyAlignment="1">
      <alignment horizontal="center" vertical="center"/>
    </xf>
    <xf numFmtId="10" fontId="1" fillId="0" borderId="1" xfId="3" applyNumberFormat="1" applyFont="1" applyBorder="1" applyAlignment="1">
      <alignment horizontal="center" vertical="center"/>
    </xf>
    <xf numFmtId="176" fontId="2" fillId="0" borderId="1" xfId="227" applyNumberFormat="1" applyFont="1" applyBorder="1" applyAlignment="1">
      <alignment vertical="center"/>
    </xf>
    <xf numFmtId="0" fontId="24" fillId="0" borderId="0" xfId="227" applyFont="1" applyAlignment="1">
      <alignment horizontal="center" vertical="center"/>
    </xf>
    <xf numFmtId="0" fontId="24" fillId="0" borderId="0" xfId="227" applyFont="1" applyAlignment="1">
      <alignment horizontal="center" vertical="center" wrapText="1"/>
    </xf>
    <xf numFmtId="0" fontId="2" fillId="0" borderId="3" xfId="327" applyFont="1" applyBorder="1" applyAlignment="1">
      <alignment horizontal="center" vertical="center"/>
    </xf>
    <xf numFmtId="0" fontId="2" fillId="0" borderId="4" xfId="327" applyFont="1" applyBorder="1" applyAlignment="1">
      <alignment horizontal="center" vertical="center" wrapText="1"/>
    </xf>
    <xf numFmtId="0" fontId="2" fillId="0" borderId="4" xfId="327" applyFont="1" applyBorder="1" applyAlignment="1">
      <alignment horizontal="center" vertical="center"/>
    </xf>
    <xf numFmtId="0" fontId="2" fillId="0" borderId="11" xfId="227" applyFont="1" applyBorder="1" applyAlignment="1">
      <alignment horizontal="center" vertical="center"/>
    </xf>
    <xf numFmtId="181" fontId="1" fillId="0" borderId="1" xfId="227" applyNumberFormat="1" applyFont="1" applyBorder="1" applyAlignment="1">
      <alignment vertical="center"/>
    </xf>
    <xf numFmtId="0" fontId="2" fillId="0" borderId="14" xfId="227" applyFont="1" applyBorder="1" applyAlignment="1">
      <alignment horizontal="center" vertical="center"/>
    </xf>
    <xf numFmtId="0" fontId="2" fillId="0" borderId="12" xfId="227" applyFont="1" applyBorder="1" applyAlignment="1">
      <alignment horizontal="center" vertical="center"/>
    </xf>
    <xf numFmtId="1" fontId="1" fillId="0" borderId="1" xfId="227" applyNumberFormat="1" applyFont="1" applyBorder="1" applyAlignment="1">
      <alignment horizontal="center" vertical="center" wrapText="1"/>
    </xf>
    <xf numFmtId="10" fontId="1" fillId="0" borderId="1" xfId="227" applyNumberFormat="1" applyFont="1" applyBorder="1" applyAlignment="1">
      <alignment horizontal="center" vertical="center" wrapText="1"/>
    </xf>
    <xf numFmtId="2" fontId="1" fillId="0" borderId="1" xfId="227" applyNumberFormat="1" applyFont="1" applyBorder="1" applyAlignment="1">
      <alignment horizontal="left" vertical="center"/>
    </xf>
    <xf numFmtId="2" fontId="1" fillId="2" borderId="1" xfId="227" applyNumberFormat="1" applyFont="1" applyFill="1" applyBorder="1" applyAlignment="1">
      <alignment horizontal="center" vertical="center" wrapText="1"/>
    </xf>
    <xf numFmtId="0" fontId="2" fillId="3" borderId="15" xfId="174" applyFont="1" applyFill="1" applyBorder="1" applyAlignment="1">
      <alignment horizontal="center" vertical="center"/>
    </xf>
    <xf numFmtId="0" fontId="2" fillId="3" borderId="16" xfId="174" applyFont="1" applyFill="1" applyBorder="1" applyAlignment="1">
      <alignment horizontal="center" vertical="center"/>
    </xf>
    <xf numFmtId="0" fontId="2" fillId="3" borderId="17" xfId="174" applyFont="1" applyFill="1" applyBorder="1" applyAlignment="1">
      <alignment horizontal="center" vertical="center" wrapText="1"/>
    </xf>
    <xf numFmtId="0" fontId="2" fillId="3" borderId="2" xfId="174" applyFont="1" applyFill="1" applyBorder="1" applyAlignment="1">
      <alignment horizontal="center" vertical="center" wrapText="1"/>
    </xf>
    <xf numFmtId="0" fontId="2" fillId="3" borderId="1" xfId="174" applyFont="1" applyFill="1" applyBorder="1" applyAlignment="1">
      <alignment horizontal="center" vertical="center" wrapText="1"/>
    </xf>
    <xf numFmtId="0" fontId="2" fillId="3" borderId="4" xfId="174" applyFont="1" applyFill="1" applyBorder="1" applyAlignment="1">
      <alignment horizontal="center" vertical="center" wrapText="1"/>
    </xf>
    <xf numFmtId="0" fontId="1" fillId="3" borderId="17" xfId="174" applyFont="1" applyFill="1" applyBorder="1" applyAlignment="1">
      <alignment horizontal="center" vertical="center"/>
    </xf>
    <xf numFmtId="0" fontId="2" fillId="3" borderId="1" xfId="174" applyFont="1" applyFill="1" applyBorder="1" applyAlignment="1">
      <alignment horizontal="left" vertical="center"/>
    </xf>
    <xf numFmtId="0" fontId="2" fillId="3" borderId="1" xfId="174" applyFont="1" applyFill="1" applyBorder="1" applyAlignment="1">
      <alignment horizontal="center" vertical="center"/>
    </xf>
    <xf numFmtId="10" fontId="1" fillId="3" borderId="1" xfId="174" applyNumberFormat="1" applyFont="1" applyFill="1" applyBorder="1" applyAlignment="1">
      <alignment horizontal="center" vertical="center"/>
    </xf>
    <xf numFmtId="2" fontId="1" fillId="3" borderId="1" xfId="174" applyNumberFormat="1" applyFont="1" applyFill="1" applyBorder="1" applyAlignment="1">
      <alignment horizontal="center" vertical="center"/>
    </xf>
    <xf numFmtId="0" fontId="2" fillId="3" borderId="1" xfId="174" applyFont="1" applyFill="1" applyBorder="1" applyAlignment="1">
      <alignment horizontal="left" vertical="center" wrapText="1"/>
    </xf>
    <xf numFmtId="0" fontId="1" fillId="3" borderId="1" xfId="174" applyFont="1" applyFill="1" applyBorder="1" applyAlignment="1">
      <alignment horizontal="left" vertical="center" wrapText="1"/>
    </xf>
    <xf numFmtId="0" fontId="1" fillId="3" borderId="1" xfId="174" applyFont="1" applyFill="1" applyBorder="1" applyAlignment="1">
      <alignment horizontal="left" vertical="center"/>
    </xf>
    <xf numFmtId="2" fontId="2" fillId="3" borderId="1" xfId="174" applyNumberFormat="1" applyFont="1" applyFill="1" applyBorder="1" applyAlignment="1">
      <alignment horizontal="center" vertical="center"/>
    </xf>
    <xf numFmtId="0" fontId="1" fillId="3" borderId="18" xfId="174" applyFont="1" applyFill="1" applyBorder="1" applyAlignment="1">
      <alignment horizontal="center" vertical="center"/>
    </xf>
    <xf numFmtId="0" fontId="2" fillId="3" borderId="2" xfId="174" applyFont="1" applyFill="1" applyBorder="1" applyAlignment="1">
      <alignment horizontal="left" vertical="center" wrapText="1"/>
    </xf>
    <xf numFmtId="0" fontId="1" fillId="3" borderId="19" xfId="174" applyFont="1" applyFill="1" applyBorder="1" applyAlignment="1">
      <alignment horizontal="center" vertical="center"/>
    </xf>
    <xf numFmtId="0" fontId="2" fillId="0" borderId="1" xfId="227" applyFont="1" applyBorder="1" applyAlignment="1">
      <alignment horizontal="justify" vertical="center" wrapText="1"/>
    </xf>
    <xf numFmtId="0" fontId="2" fillId="3" borderId="12" xfId="174" applyFont="1" applyFill="1" applyBorder="1" applyAlignment="1">
      <alignment horizontal="center" vertical="center"/>
    </xf>
    <xf numFmtId="0" fontId="1" fillId="0" borderId="1" xfId="227" applyFont="1" applyBorder="1" applyAlignment="1">
      <alignment horizontal="justify" vertical="center" wrapText="1"/>
    </xf>
    <xf numFmtId="0" fontId="1" fillId="3" borderId="20" xfId="174" applyFont="1" applyFill="1" applyBorder="1" applyAlignment="1">
      <alignment horizontal="center" vertical="center"/>
    </xf>
    <xf numFmtId="0" fontId="2" fillId="3" borderId="21" xfId="174" applyFont="1" applyFill="1" applyBorder="1" applyAlignment="1">
      <alignment horizontal="center" vertical="center"/>
    </xf>
    <xf numFmtId="0" fontId="1" fillId="3" borderId="21" xfId="174" applyFont="1" applyFill="1" applyBorder="1" applyAlignment="1">
      <alignment horizontal="center" vertical="center"/>
    </xf>
    <xf numFmtId="2" fontId="2" fillId="2" borderId="21" xfId="52" applyNumberFormat="1" applyFont="1" applyFill="1" applyBorder="1" applyAlignment="1">
      <alignment horizontal="center" vertical="center"/>
    </xf>
    <xf numFmtId="0" fontId="2" fillId="3" borderId="22" xfId="174" applyFont="1" applyFill="1" applyBorder="1" applyAlignment="1">
      <alignment horizontal="center" vertical="center"/>
    </xf>
    <xf numFmtId="0" fontId="2" fillId="3" borderId="23" xfId="174" applyFont="1" applyFill="1" applyBorder="1" applyAlignment="1">
      <alignment horizontal="center" vertical="center"/>
    </xf>
    <xf numFmtId="0" fontId="2" fillId="3" borderId="20" xfId="174" applyFont="1" applyFill="1" applyBorder="1" applyAlignment="1">
      <alignment horizontal="center" vertical="center" wrapText="1"/>
    </xf>
    <xf numFmtId="0" fontId="2" fillId="3" borderId="24" xfId="174" applyFont="1" applyFill="1" applyBorder="1" applyAlignment="1">
      <alignment horizontal="center" vertical="center" wrapText="1"/>
    </xf>
    <xf numFmtId="0" fontId="2" fillId="3" borderId="21" xfId="174" applyFont="1" applyFill="1" applyBorder="1" applyAlignment="1">
      <alignment horizontal="center" vertical="center" wrapText="1"/>
    </xf>
    <xf numFmtId="0" fontId="2" fillId="0" borderId="1" xfId="174" applyFont="1" applyBorder="1" applyAlignment="1">
      <alignment horizontal="left" vertical="center"/>
    </xf>
    <xf numFmtId="10" fontId="1" fillId="3" borderId="16" xfId="174" applyNumberFormat="1" applyFont="1" applyFill="1" applyBorder="1" applyAlignment="1">
      <alignment horizontal="center" vertical="center"/>
    </xf>
    <xf numFmtId="0" fontId="2" fillId="0" borderId="1" xfId="174" applyFont="1" applyBorder="1" applyAlignment="1">
      <alignment horizontal="left" vertical="center" wrapText="1"/>
    </xf>
    <xf numFmtId="0" fontId="2" fillId="3" borderId="25" xfId="174" applyFont="1" applyFill="1" applyBorder="1" applyAlignment="1">
      <alignment horizontal="center" vertical="center"/>
    </xf>
    <xf numFmtId="0" fontId="2" fillId="3" borderId="26" xfId="174" applyFont="1" applyFill="1" applyBorder="1" applyAlignment="1">
      <alignment horizontal="center" vertical="center" wrapText="1"/>
    </xf>
    <xf numFmtId="2" fontId="2" fillId="2" borderId="27" xfId="52" applyNumberFormat="1" applyFont="1" applyFill="1" applyBorder="1" applyAlignment="1">
      <alignment horizontal="center" vertical="center"/>
    </xf>
    <xf numFmtId="0" fontId="2" fillId="3" borderId="28" xfId="174" applyFont="1" applyFill="1" applyBorder="1" applyAlignment="1">
      <alignment horizontal="center" vertical="center"/>
    </xf>
    <xf numFmtId="0" fontId="2" fillId="3" borderId="27" xfId="174" applyFont="1" applyFill="1" applyBorder="1" applyAlignment="1">
      <alignment horizontal="center" vertical="center" wrapText="1"/>
    </xf>
    <xf numFmtId="1" fontId="2" fillId="2" borderId="21" xfId="52" applyNumberFormat="1" applyFont="1" applyFill="1" applyBorder="1" applyAlignment="1">
      <alignment horizontal="center" vertical="center"/>
    </xf>
    <xf numFmtId="0" fontId="2" fillId="0" borderId="22" xfId="174" applyFont="1" applyBorder="1" applyAlignment="1">
      <alignment horizontal="center" vertical="center"/>
    </xf>
    <xf numFmtId="0" fontId="2" fillId="0" borderId="23" xfId="174" applyFont="1" applyBorder="1" applyAlignment="1">
      <alignment horizontal="center" vertical="center"/>
    </xf>
    <xf numFmtId="0" fontId="2" fillId="0" borderId="17" xfId="174" applyFont="1" applyBorder="1" applyAlignment="1">
      <alignment horizontal="center" vertical="center" wrapText="1"/>
    </xf>
    <xf numFmtId="0" fontId="2" fillId="0" borderId="2" xfId="174" applyFont="1" applyBorder="1" applyAlignment="1">
      <alignment horizontal="center" vertical="center" wrapText="1"/>
    </xf>
    <xf numFmtId="0" fontId="2" fillId="0" borderId="1" xfId="174" applyFont="1" applyBorder="1" applyAlignment="1">
      <alignment horizontal="center" vertical="center" wrapText="1"/>
    </xf>
    <xf numFmtId="0" fontId="2" fillId="0" borderId="20" xfId="174" applyFont="1" applyBorder="1" applyAlignment="1">
      <alignment horizontal="center" vertical="center" wrapText="1"/>
    </xf>
    <xf numFmtId="0" fontId="2" fillId="0" borderId="24" xfId="174" applyFont="1" applyBorder="1" applyAlignment="1">
      <alignment horizontal="center" vertical="center" wrapText="1"/>
    </xf>
    <xf numFmtId="0" fontId="2" fillId="0" borderId="21" xfId="174" applyFont="1" applyBorder="1" applyAlignment="1">
      <alignment horizontal="center" vertical="center" wrapText="1"/>
    </xf>
    <xf numFmtId="0" fontId="1" fillId="0" borderId="17" xfId="174" applyFont="1" applyBorder="1" applyAlignment="1">
      <alignment horizontal="center" vertical="center"/>
    </xf>
    <xf numFmtId="0" fontId="2" fillId="0" borderId="16" xfId="174" applyFont="1" applyBorder="1" applyAlignment="1">
      <alignment horizontal="center" vertical="center"/>
    </xf>
    <xf numFmtId="10" fontId="1" fillId="0" borderId="16" xfId="174" applyNumberFormat="1" applyFont="1" applyBorder="1" applyAlignment="1">
      <alignment horizontal="center" vertical="center"/>
    </xf>
    <xf numFmtId="2" fontId="1" fillId="0" borderId="1" xfId="174" applyNumberFormat="1" applyFont="1" applyBorder="1" applyAlignment="1">
      <alignment horizontal="center" vertical="center"/>
    </xf>
    <xf numFmtId="0" fontId="2" fillId="0" borderId="1" xfId="174" applyFont="1" applyBorder="1" applyAlignment="1">
      <alignment horizontal="center" vertical="center"/>
    </xf>
    <xf numFmtId="10" fontId="1" fillId="0" borderId="1" xfId="174" applyNumberFormat="1" applyFont="1" applyBorder="1" applyAlignment="1">
      <alignment horizontal="center" vertical="center"/>
    </xf>
    <xf numFmtId="0" fontId="1" fillId="0" borderId="1" xfId="174" applyFont="1" applyBorder="1" applyAlignment="1">
      <alignment horizontal="left" vertical="center" wrapText="1"/>
    </xf>
    <xf numFmtId="0" fontId="1" fillId="0" borderId="1" xfId="174" applyFont="1" applyBorder="1" applyAlignment="1">
      <alignment horizontal="left" vertical="center"/>
    </xf>
    <xf numFmtId="2" fontId="2" fillId="0" borderId="1" xfId="174" applyNumberFormat="1" applyFont="1" applyBorder="1" applyAlignment="1">
      <alignment horizontal="center" vertical="center"/>
    </xf>
    <xf numFmtId="0" fontId="1" fillId="0" borderId="18" xfId="174" applyFont="1" applyBorder="1" applyAlignment="1">
      <alignment horizontal="center" vertical="center"/>
    </xf>
    <xf numFmtId="0" fontId="2" fillId="0" borderId="2" xfId="174" applyFont="1" applyBorder="1" applyAlignment="1">
      <alignment horizontal="left" vertical="center" wrapText="1"/>
    </xf>
    <xf numFmtId="0" fontId="1" fillId="0" borderId="19" xfId="174" applyFont="1" applyBorder="1" applyAlignment="1">
      <alignment horizontal="center" vertical="center"/>
    </xf>
    <xf numFmtId="0" fontId="2" fillId="0" borderId="12" xfId="174" applyFont="1" applyBorder="1" applyAlignment="1">
      <alignment horizontal="center" vertical="center"/>
    </xf>
    <xf numFmtId="0" fontId="2" fillId="0" borderId="28" xfId="174" applyFont="1" applyBorder="1" applyAlignment="1">
      <alignment horizontal="center" vertical="center"/>
    </xf>
    <xf numFmtId="0" fontId="2" fillId="0" borderId="26" xfId="174" applyFont="1" applyBorder="1" applyAlignment="1">
      <alignment horizontal="center" vertical="center" wrapText="1"/>
    </xf>
    <xf numFmtId="0" fontId="2" fillId="0" borderId="27" xfId="174" applyFont="1" applyBorder="1" applyAlignment="1">
      <alignment horizontal="center" vertical="center" wrapText="1"/>
    </xf>
    <xf numFmtId="0" fontId="1" fillId="0" borderId="20" xfId="174" applyFont="1" applyBorder="1" applyAlignment="1">
      <alignment horizontal="center" vertical="center"/>
    </xf>
    <xf numFmtId="0" fontId="2" fillId="0" borderId="21" xfId="174" applyFont="1" applyBorder="1" applyAlignment="1">
      <alignment horizontal="center" vertical="center"/>
    </xf>
    <xf numFmtId="0" fontId="1" fillId="0" borderId="21" xfId="174" applyFont="1" applyBorder="1" applyAlignment="1">
      <alignment horizontal="center" vertical="center"/>
    </xf>
    <xf numFmtId="1" fontId="2" fillId="0" borderId="21" xfId="52" applyNumberFormat="1" applyFont="1" applyFill="1" applyBorder="1" applyAlignment="1">
      <alignment horizontal="center" vertical="center"/>
    </xf>
    <xf numFmtId="2" fontId="2" fillId="0" borderId="21" xfId="52" applyNumberFormat="1" applyFont="1" applyFill="1" applyBorder="1" applyAlignment="1">
      <alignment horizontal="center" vertical="center"/>
    </xf>
    <xf numFmtId="4" fontId="2" fillId="0" borderId="21" xfId="52" applyNumberFormat="1" applyFont="1" applyFill="1" applyBorder="1" applyAlignment="1">
      <alignment horizontal="center" vertical="center"/>
    </xf>
    <xf numFmtId="0" fontId="2" fillId="3" borderId="4" xfId="174" applyFont="1" applyFill="1" applyBorder="1" applyAlignment="1">
      <alignment horizontal="center" vertical="center"/>
    </xf>
    <xf numFmtId="10" fontId="1" fillId="3" borderId="4" xfId="174" applyNumberFormat="1" applyFont="1" applyFill="1" applyBorder="1" applyAlignment="1">
      <alignment horizontal="center" vertical="center"/>
    </xf>
    <xf numFmtId="0" fontId="20" fillId="0" borderId="1" xfId="227" applyFont="1" applyBorder="1" applyAlignment="1">
      <alignment horizontal="center" vertical="center"/>
    </xf>
    <xf numFmtId="0" fontId="21" fillId="0" borderId="1" xfId="227" applyFont="1" applyBorder="1" applyAlignment="1">
      <alignment vertical="center"/>
    </xf>
    <xf numFmtId="0" fontId="25" fillId="0" borderId="0" xfId="227" applyFont="1"/>
    <xf numFmtId="2" fontId="1" fillId="2" borderId="1" xfId="227" applyNumberFormat="1" applyFont="1" applyFill="1" applyBorder="1" applyAlignment="1">
      <alignment horizontal="left" vertical="center"/>
    </xf>
    <xf numFmtId="0" fontId="2" fillId="3" borderId="22" xfId="173" applyFont="1" applyFill="1" applyBorder="1" applyAlignment="1">
      <alignment horizontal="center" vertical="center"/>
    </xf>
    <xf numFmtId="0" fontId="2" fillId="3" borderId="23" xfId="173" applyFont="1" applyFill="1" applyBorder="1" applyAlignment="1">
      <alignment horizontal="center" vertical="center"/>
    </xf>
    <xf numFmtId="0" fontId="2" fillId="3" borderId="17" xfId="173" applyFont="1" applyFill="1" applyBorder="1" applyAlignment="1">
      <alignment horizontal="center" vertical="center" wrapText="1"/>
    </xf>
    <xf numFmtId="0" fontId="2" fillId="3" borderId="1" xfId="173" applyFont="1" applyFill="1" applyBorder="1" applyAlignment="1">
      <alignment horizontal="center" vertical="center" wrapText="1"/>
    </xf>
    <xf numFmtId="0" fontId="2" fillId="3" borderId="20" xfId="173" applyFont="1" applyFill="1" applyBorder="1" applyAlignment="1">
      <alignment horizontal="center" vertical="center" wrapText="1"/>
    </xf>
    <xf numFmtId="0" fontId="2" fillId="3" borderId="21" xfId="173" applyFont="1" applyFill="1" applyBorder="1" applyAlignment="1">
      <alignment horizontal="center" vertical="center" wrapText="1"/>
    </xf>
    <xf numFmtId="0" fontId="1" fillId="3" borderId="15" xfId="173" applyFont="1" applyFill="1" applyBorder="1" applyAlignment="1">
      <alignment horizontal="center" vertical="center"/>
    </xf>
    <xf numFmtId="0" fontId="1" fillId="3" borderId="16" xfId="173" applyFont="1" applyFill="1" applyBorder="1" applyAlignment="1">
      <alignment horizontal="left" vertical="center"/>
    </xf>
    <xf numFmtId="0" fontId="2" fillId="3" borderId="16" xfId="173" applyFont="1" applyFill="1" applyBorder="1" applyAlignment="1">
      <alignment horizontal="center" vertical="center"/>
    </xf>
    <xf numFmtId="10" fontId="1" fillId="3" borderId="16" xfId="173" applyNumberFormat="1" applyFont="1" applyFill="1" applyBorder="1" applyAlignment="1">
      <alignment horizontal="center" vertical="center"/>
    </xf>
    <xf numFmtId="2" fontId="1" fillId="3" borderId="16" xfId="173" applyNumberFormat="1" applyFont="1" applyFill="1" applyBorder="1" applyAlignment="1">
      <alignment horizontal="center" vertical="center"/>
    </xf>
    <xf numFmtId="2" fontId="1" fillId="0" borderId="16" xfId="173" applyNumberFormat="1" applyFont="1" applyBorder="1" applyAlignment="1">
      <alignment horizontal="center" vertical="center"/>
    </xf>
    <xf numFmtId="0" fontId="1" fillId="3" borderId="17" xfId="173" applyFont="1" applyFill="1" applyBorder="1" applyAlignment="1">
      <alignment horizontal="center" vertical="center"/>
    </xf>
    <xf numFmtId="0" fontId="1" fillId="3" borderId="1" xfId="173" applyFont="1" applyFill="1" applyBorder="1" applyAlignment="1">
      <alignment horizontal="left" vertical="center" wrapText="1"/>
    </xf>
    <xf numFmtId="0" fontId="2" fillId="3" borderId="1" xfId="173" applyFont="1" applyFill="1" applyBorder="1" applyAlignment="1">
      <alignment horizontal="center" vertical="center"/>
    </xf>
    <xf numFmtId="2" fontId="1" fillId="3" borderId="1" xfId="173" applyNumberFormat="1" applyFont="1" applyFill="1" applyBorder="1" applyAlignment="1">
      <alignment horizontal="center" vertical="center"/>
    </xf>
    <xf numFmtId="2" fontId="1" fillId="0" borderId="1" xfId="173" applyNumberFormat="1" applyFont="1" applyBorder="1" applyAlignment="1">
      <alignment horizontal="center" vertical="center"/>
    </xf>
    <xf numFmtId="0" fontId="1" fillId="3" borderId="1" xfId="173" applyFont="1" applyFill="1" applyBorder="1" applyAlignment="1">
      <alignment horizontal="left" vertical="center"/>
    </xf>
    <xf numFmtId="2" fontId="1" fillId="3" borderId="1" xfId="51" applyNumberFormat="1" applyFont="1" applyFill="1" applyBorder="1" applyAlignment="1">
      <alignment horizontal="center" vertical="center"/>
    </xf>
    <xf numFmtId="0" fontId="1" fillId="3" borderId="20" xfId="173" applyFont="1" applyFill="1" applyBorder="1" applyAlignment="1">
      <alignment horizontal="center" vertical="center"/>
    </xf>
    <xf numFmtId="0" fontId="2" fillId="3" borderId="21" xfId="173" applyFont="1" applyFill="1" applyBorder="1" applyAlignment="1">
      <alignment horizontal="center" vertical="center"/>
    </xf>
    <xf numFmtId="0" fontId="1" fillId="3" borderId="21" xfId="173" applyFont="1" applyFill="1" applyBorder="1" applyAlignment="1">
      <alignment horizontal="center" vertical="center"/>
    </xf>
    <xf numFmtId="2" fontId="2" fillId="2" borderId="21" xfId="51" applyNumberFormat="1" applyFont="1" applyFill="1" applyBorder="1" applyAlignment="1">
      <alignment horizontal="center" vertical="center"/>
    </xf>
    <xf numFmtId="0" fontId="2" fillId="3" borderId="28" xfId="173" applyFont="1" applyFill="1" applyBorder="1" applyAlignment="1">
      <alignment horizontal="center" vertical="center"/>
    </xf>
    <xf numFmtId="0" fontId="2" fillId="3" borderId="26" xfId="173" applyFont="1" applyFill="1" applyBorder="1" applyAlignment="1">
      <alignment horizontal="center" vertical="center" wrapText="1"/>
    </xf>
    <xf numFmtId="0" fontId="2" fillId="3" borderId="27" xfId="173" applyFont="1" applyFill="1" applyBorder="1" applyAlignment="1">
      <alignment horizontal="center" vertical="center" wrapText="1"/>
    </xf>
    <xf numFmtId="2" fontId="1" fillId="3" borderId="16" xfId="51" applyNumberFormat="1" applyFont="1" applyFill="1" applyBorder="1" applyAlignment="1">
      <alignment horizontal="center" vertical="center"/>
    </xf>
    <xf numFmtId="2" fontId="1" fillId="3" borderId="25" xfId="173" applyNumberFormat="1" applyFont="1" applyFill="1" applyBorder="1" applyAlignment="1">
      <alignment horizontal="center" vertical="center"/>
    </xf>
    <xf numFmtId="2" fontId="1" fillId="3" borderId="26" xfId="173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2" fontId="2" fillId="2" borderId="1" xfId="0" applyNumberFormat="1" applyFont="1" applyFill="1" applyBorder="1" applyAlignment="1">
      <alignment vertical="center"/>
    </xf>
    <xf numFmtId="0" fontId="1" fillId="2" borderId="1" xfId="327" applyFont="1" applyFill="1" applyBorder="1">
      <alignment vertical="center"/>
    </xf>
    <xf numFmtId="0" fontId="1" fillId="0" borderId="1" xfId="227" applyFont="1" applyBorder="1" applyAlignment="1">
      <alignment vertical="top" wrapText="1"/>
    </xf>
    <xf numFmtId="0" fontId="2" fillId="0" borderId="0" xfId="227" applyFont="1" applyAlignment="1">
      <alignment horizontal="justify" vertical="top" wrapText="1"/>
    </xf>
    <xf numFmtId="0" fontId="1" fillId="0" borderId="0" xfId="227" applyFont="1" applyAlignment="1">
      <alignment horizontal="left"/>
    </xf>
    <xf numFmtId="0" fontId="1" fillId="0" borderId="0" xfId="227" applyFont="1" applyAlignment="1">
      <alignment horizontal="centerContinuous" vertical="center"/>
    </xf>
    <xf numFmtId="0" fontId="1" fillId="3" borderId="0" xfId="227" applyFont="1" applyFill="1" applyAlignment="1">
      <alignment vertical="center"/>
    </xf>
    <xf numFmtId="0" fontId="2" fillId="3" borderId="2" xfId="227" applyFont="1" applyFill="1" applyBorder="1" applyAlignment="1">
      <alignment horizontal="center" vertical="center"/>
    </xf>
    <xf numFmtId="0" fontId="2" fillId="0" borderId="5" xfId="327" applyFont="1" applyBorder="1" applyAlignment="1">
      <alignment horizontal="center" vertical="center"/>
    </xf>
    <xf numFmtId="0" fontId="2" fillId="3" borderId="3" xfId="227" applyFont="1" applyFill="1" applyBorder="1" applyAlignment="1">
      <alignment horizontal="center" vertical="center"/>
    </xf>
    <xf numFmtId="0" fontId="2" fillId="0" borderId="7" xfId="327" applyFont="1" applyBorder="1" applyAlignment="1">
      <alignment horizontal="center" vertical="center"/>
    </xf>
    <xf numFmtId="0" fontId="2" fillId="3" borderId="4" xfId="227" applyFont="1" applyFill="1" applyBorder="1" applyAlignment="1">
      <alignment horizontal="center" vertical="center"/>
    </xf>
    <xf numFmtId="0" fontId="2" fillId="0" borderId="9" xfId="327" applyFont="1" applyBorder="1" applyAlignment="1">
      <alignment horizontal="center" vertical="center"/>
    </xf>
    <xf numFmtId="0" fontId="2" fillId="3" borderId="11" xfId="227" applyFont="1" applyFill="1" applyBorder="1" applyAlignment="1">
      <alignment horizontal="left" vertical="center"/>
    </xf>
    <xf numFmtId="0" fontId="1" fillId="0" borderId="11" xfId="227" applyFont="1" applyBorder="1" applyAlignment="1">
      <alignment horizontal="center" vertical="center"/>
    </xf>
    <xf numFmtId="0" fontId="1" fillId="3" borderId="11" xfId="227" applyFont="1" applyFill="1" applyBorder="1" applyAlignment="1">
      <alignment horizontal="left" vertical="center"/>
    </xf>
    <xf numFmtId="0" fontId="1" fillId="3" borderId="1" xfId="227" applyFont="1" applyFill="1" applyBorder="1" applyAlignment="1">
      <alignment horizontal="center" vertical="center"/>
    </xf>
    <xf numFmtId="0" fontId="1" fillId="3" borderId="1" xfId="227" applyFont="1" applyFill="1" applyBorder="1" applyAlignment="1">
      <alignment horizontal="left" vertical="center"/>
    </xf>
    <xf numFmtId="0" fontId="2" fillId="3" borderId="1" xfId="227" applyFont="1" applyFill="1" applyBorder="1" applyAlignment="1">
      <alignment horizontal="left" vertical="center"/>
    </xf>
    <xf numFmtId="0" fontId="2" fillId="0" borderId="1" xfId="327" applyFont="1" applyBorder="1" applyAlignment="1">
      <alignment vertical="center" wrapText="1"/>
    </xf>
    <xf numFmtId="181" fontId="1" fillId="0" borderId="1" xfId="227" applyNumberFormat="1" applyFont="1" applyBorder="1" applyAlignment="1">
      <alignment horizontal="center" vertical="center"/>
    </xf>
    <xf numFmtId="201" fontId="2" fillId="0" borderId="1" xfId="227" applyNumberFormat="1" applyFont="1" applyBorder="1" applyAlignment="1">
      <alignment vertical="center"/>
    </xf>
    <xf numFmtId="201" fontId="2" fillId="0" borderId="1" xfId="227" applyNumberFormat="1" applyFont="1" applyBorder="1" applyAlignment="1">
      <alignment horizontal="center" vertical="center"/>
    </xf>
    <xf numFmtId="0" fontId="2" fillId="0" borderId="5" xfId="327" applyFont="1" applyBorder="1" applyAlignment="1">
      <alignment horizontal="center" vertical="center" wrapText="1"/>
    </xf>
    <xf numFmtId="0" fontId="2" fillId="0" borderId="7" xfId="327" applyFont="1" applyBorder="1" applyAlignment="1">
      <alignment horizontal="center" vertical="center" wrapText="1"/>
    </xf>
    <xf numFmtId="0" fontId="2" fillId="0" borderId="9" xfId="327" applyFont="1" applyBorder="1" applyAlignment="1">
      <alignment horizontal="center" vertical="center" wrapText="1"/>
    </xf>
    <xf numFmtId="0" fontId="2" fillId="3" borderId="12" xfId="227" applyFont="1" applyFill="1" applyBorder="1" applyAlignment="1">
      <alignment horizontal="left" vertical="center"/>
    </xf>
    <xf numFmtId="0" fontId="1" fillId="3" borderId="2" xfId="227" applyFont="1" applyFill="1" applyBorder="1" applyAlignment="1">
      <alignment horizontal="left" vertical="center"/>
    </xf>
    <xf numFmtId="0" fontId="1" fillId="3" borderId="3" xfId="227" applyFont="1" applyFill="1" applyBorder="1" applyAlignment="1">
      <alignment horizontal="left" vertical="center"/>
    </xf>
    <xf numFmtId="1" fontId="4" fillId="5" borderId="1" xfId="227" applyNumberFormat="1" applyFont="1" applyFill="1" applyBorder="1"/>
    <xf numFmtId="0" fontId="1" fillId="3" borderId="4" xfId="227" applyFont="1" applyFill="1" applyBorder="1" applyAlignment="1">
      <alignment horizontal="left" vertical="center"/>
    </xf>
    <xf numFmtId="2" fontId="2" fillId="0" borderId="1" xfId="227" applyNumberFormat="1" applyFont="1" applyBorder="1" applyAlignment="1">
      <alignment vertical="center"/>
    </xf>
    <xf numFmtId="0" fontId="1" fillId="0" borderId="2" xfId="227" applyFont="1" applyBorder="1" applyAlignment="1">
      <alignment horizontal="left" vertical="center"/>
    </xf>
    <xf numFmtId="0" fontId="1" fillId="0" borderId="3" xfId="227" applyFont="1" applyBorder="1" applyAlignment="1">
      <alignment horizontal="left" vertical="center"/>
    </xf>
    <xf numFmtId="0" fontId="1" fillId="0" borderId="4" xfId="227" applyFont="1" applyBorder="1" applyAlignment="1">
      <alignment horizontal="left" vertical="center"/>
    </xf>
    <xf numFmtId="0" fontId="1" fillId="7" borderId="1" xfId="227" applyFont="1" applyFill="1" applyBorder="1" applyAlignment="1">
      <alignment vertical="center"/>
    </xf>
    <xf numFmtId="0" fontId="1" fillId="8" borderId="0" xfId="227" applyFont="1" applyFill="1" applyAlignment="1">
      <alignment vertical="center"/>
    </xf>
    <xf numFmtId="1" fontId="4" fillId="0" borderId="1" xfId="227" applyNumberFormat="1" applyFont="1" applyBorder="1"/>
    <xf numFmtId="1" fontId="1" fillId="5" borderId="1" xfId="227" applyNumberFormat="1" applyFont="1" applyFill="1" applyBorder="1"/>
    <xf numFmtId="0" fontId="1" fillId="7" borderId="2" xfId="227" applyFont="1" applyFill="1" applyBorder="1" applyAlignment="1">
      <alignment horizontal="left" vertical="center"/>
    </xf>
    <xf numFmtId="4" fontId="1" fillId="0" borderId="1" xfId="227" applyNumberFormat="1" applyFont="1" applyBorder="1" applyAlignment="1">
      <alignment vertical="center"/>
    </xf>
    <xf numFmtId="0" fontId="1" fillId="7" borderId="3" xfId="227" applyFont="1" applyFill="1" applyBorder="1" applyAlignment="1">
      <alignment horizontal="left" vertical="center"/>
    </xf>
    <xf numFmtId="0" fontId="1" fillId="7" borderId="4" xfId="227" applyFont="1" applyFill="1" applyBorder="1" applyAlignment="1">
      <alignment horizontal="left" vertical="center"/>
    </xf>
    <xf numFmtId="4" fontId="2" fillId="2" borderId="1" xfId="227" applyNumberFormat="1" applyFont="1" applyFill="1" applyBorder="1" applyAlignment="1">
      <alignment vertical="center"/>
    </xf>
    <xf numFmtId="0" fontId="1" fillId="0" borderId="2" xfId="227" applyFont="1" applyBorder="1" applyAlignment="1">
      <alignment horizontal="center" vertical="center"/>
    </xf>
    <xf numFmtId="0" fontId="1" fillId="0" borderId="3" xfId="227" applyFont="1" applyBorder="1" applyAlignment="1">
      <alignment horizontal="center" vertical="center"/>
    </xf>
    <xf numFmtId="10" fontId="1" fillId="0" borderId="0" xfId="378" applyNumberFormat="1" applyFont="1" applyAlignment="1">
      <alignment vertical="center"/>
    </xf>
    <xf numFmtId="1" fontId="4" fillId="7" borderId="1" xfId="227" applyNumberFormat="1" applyFont="1" applyFill="1" applyBorder="1"/>
    <xf numFmtId="0" fontId="2" fillId="9" borderId="11" xfId="227" applyFont="1" applyFill="1" applyBorder="1" applyAlignment="1">
      <alignment horizontal="center" vertical="center"/>
    </xf>
    <xf numFmtId="0" fontId="2" fillId="9" borderId="12" xfId="227" applyFont="1" applyFill="1" applyBorder="1" applyAlignment="1">
      <alignment horizontal="center" vertical="center"/>
    </xf>
    <xf numFmtId="4" fontId="2" fillId="0" borderId="1" xfId="227" applyNumberFormat="1" applyFont="1" applyBorder="1" applyAlignment="1">
      <alignment vertical="center"/>
    </xf>
    <xf numFmtId="195" fontId="2" fillId="0" borderId="1" xfId="227" applyNumberFormat="1" applyFont="1" applyBorder="1" applyAlignment="1">
      <alignment vertical="center"/>
    </xf>
    <xf numFmtId="0" fontId="2" fillId="0" borderId="5" xfId="327" applyFont="1" applyFill="1" applyBorder="1" applyAlignment="1">
      <alignment horizontal="center" vertical="center" wrapText="1"/>
    </xf>
    <xf numFmtId="0" fontId="2" fillId="0" borderId="5" xfId="327" applyFont="1" applyFill="1" applyBorder="1" applyAlignment="1">
      <alignment horizontal="center" vertical="center"/>
    </xf>
    <xf numFmtId="0" fontId="2" fillId="0" borderId="7" xfId="327" applyFont="1" applyFill="1" applyBorder="1" applyAlignment="1">
      <alignment horizontal="center" vertical="center" wrapText="1"/>
    </xf>
    <xf numFmtId="0" fontId="2" fillId="0" borderId="7" xfId="327" applyFont="1" applyFill="1" applyBorder="1" applyAlignment="1">
      <alignment horizontal="center" vertical="center"/>
    </xf>
    <xf numFmtId="0" fontId="2" fillId="0" borderId="9" xfId="327" applyFont="1" applyFill="1" applyBorder="1" applyAlignment="1">
      <alignment horizontal="center" vertical="center" wrapText="1"/>
    </xf>
    <xf numFmtId="0" fontId="2" fillId="0" borderId="9" xfId="327" applyFont="1" applyFill="1" applyBorder="1" applyAlignment="1">
      <alignment horizontal="center" vertical="center"/>
    </xf>
    <xf numFmtId="0" fontId="2" fillId="0" borderId="11" xfId="227" applyFont="1" applyFill="1" applyBorder="1" applyAlignment="1">
      <alignment horizontal="left" vertical="center"/>
    </xf>
    <xf numFmtId="0" fontId="2" fillId="0" borderId="12" xfId="227" applyFont="1" applyFill="1" applyBorder="1" applyAlignment="1">
      <alignment horizontal="left" vertical="center"/>
    </xf>
    <xf numFmtId="0" fontId="1" fillId="0" borderId="2" xfId="227" applyFont="1" applyFill="1" applyBorder="1" applyAlignment="1">
      <alignment horizontal="left" vertical="center"/>
    </xf>
    <xf numFmtId="0" fontId="1" fillId="0" borderId="3" xfId="227" applyFont="1" applyFill="1" applyBorder="1" applyAlignment="1">
      <alignment horizontal="left" vertical="center"/>
    </xf>
    <xf numFmtId="1" fontId="4" fillId="0" borderId="1" xfId="227" applyNumberFormat="1" applyFont="1" applyFill="1" applyBorder="1"/>
    <xf numFmtId="0" fontId="1" fillId="0" borderId="4" xfId="227" applyFont="1" applyFill="1" applyBorder="1" applyAlignment="1">
      <alignment horizontal="left" vertical="center"/>
    </xf>
    <xf numFmtId="0" fontId="1" fillId="0" borderId="4" xfId="0" applyFont="1" applyFill="1" applyBorder="1" applyAlignment="1">
      <alignment vertical="center"/>
    </xf>
    <xf numFmtId="1" fontId="4" fillId="0" borderId="1" xfId="227" applyNumberFormat="1" applyFont="1" applyFill="1" applyBorder="1" applyAlignment="1">
      <alignment wrapText="1"/>
    </xf>
    <xf numFmtId="0" fontId="1" fillId="0" borderId="12" xfId="227" applyFont="1" applyFill="1" applyBorder="1" applyAlignment="1">
      <alignment vertical="center"/>
    </xf>
    <xf numFmtId="1" fontId="1" fillId="0" borderId="1" xfId="227" applyNumberFormat="1" applyFont="1" applyFill="1" applyBorder="1"/>
    <xf numFmtId="4" fontId="1" fillId="0" borderId="1" xfId="227" applyNumberFormat="1" applyFont="1" applyFill="1" applyBorder="1" applyAlignment="1">
      <alignment vertical="center"/>
    </xf>
    <xf numFmtId="202" fontId="2" fillId="0" borderId="1" xfId="227" applyNumberFormat="1" applyFont="1" applyFill="1" applyBorder="1" applyAlignment="1">
      <alignment vertical="center"/>
    </xf>
    <xf numFmtId="2" fontId="1" fillId="0" borderId="0" xfId="227" applyNumberFormat="1" applyFont="1" applyFill="1" applyAlignment="1">
      <alignment vertical="center"/>
    </xf>
    <xf numFmtId="4" fontId="2" fillId="0" borderId="1" xfId="227" applyNumberFormat="1" applyFont="1" applyFill="1" applyBorder="1" applyAlignment="1">
      <alignment vertical="center"/>
    </xf>
    <xf numFmtId="2" fontId="2" fillId="0" borderId="1" xfId="227" applyNumberFormat="1" applyFont="1" applyFill="1" applyBorder="1" applyAlignment="1">
      <alignment vertical="center"/>
    </xf>
    <xf numFmtId="203" fontId="1" fillId="0" borderId="1" xfId="227" applyNumberFormat="1" applyFont="1" applyFill="1" applyBorder="1" applyAlignment="1">
      <alignment vertical="center"/>
    </xf>
    <xf numFmtId="0" fontId="1" fillId="0" borderId="2" xfId="227" applyFont="1" applyFill="1" applyBorder="1" applyAlignment="1">
      <alignment horizontal="center" vertical="center"/>
    </xf>
    <xf numFmtId="0" fontId="1" fillId="0" borderId="3" xfId="227" applyFont="1" applyFill="1" applyBorder="1" applyAlignment="1">
      <alignment horizontal="center" vertical="center"/>
    </xf>
    <xf numFmtId="188" fontId="7" fillId="0" borderId="0" xfId="0" applyNumberFormat="1" applyFont="1" applyFill="1" applyAlignment="1">
      <alignment vertical="center"/>
    </xf>
    <xf numFmtId="10" fontId="1" fillId="0" borderId="0" xfId="378" applyNumberFormat="1" applyFont="1" applyFill="1" applyAlignment="1">
      <alignment vertical="center"/>
    </xf>
    <xf numFmtId="0" fontId="1" fillId="0" borderId="0" xfId="227" applyFont="1" applyFill="1" applyAlignment="1">
      <alignment horizontal="center" vertical="center"/>
    </xf>
    <xf numFmtId="4" fontId="1" fillId="0" borderId="0" xfId="227" applyNumberFormat="1" applyFont="1" applyFill="1" applyAlignment="1">
      <alignment vertical="center"/>
    </xf>
    <xf numFmtId="4" fontId="2" fillId="10" borderId="1" xfId="227" applyNumberFormat="1" applyFont="1" applyFill="1" applyBorder="1" applyAlignment="1">
      <alignment vertical="center"/>
    </xf>
    <xf numFmtId="1" fontId="0" fillId="0" borderId="1" xfId="227" applyNumberFormat="1" applyBorder="1"/>
    <xf numFmtId="0" fontId="2" fillId="4" borderId="11" xfId="227" applyFont="1" applyFill="1" applyBorder="1" applyAlignment="1">
      <alignment horizontal="center" vertical="center"/>
    </xf>
    <xf numFmtId="4" fontId="2" fillId="4" borderId="1" xfId="227" applyNumberFormat="1" applyFont="1" applyFill="1" applyBorder="1" applyAlignment="1">
      <alignment vertical="center"/>
    </xf>
    <xf numFmtId="203" fontId="1" fillId="0" borderId="0" xfId="227" applyNumberFormat="1" applyFont="1" applyAlignment="1">
      <alignment vertical="center"/>
    </xf>
    <xf numFmtId="4" fontId="1" fillId="0" borderId="0" xfId="227" applyNumberFormat="1" applyFont="1" applyAlignment="1">
      <alignment vertical="center"/>
    </xf>
    <xf numFmtId="202" fontId="1" fillId="0" borderId="1" xfId="227" applyNumberFormat="1" applyFont="1" applyBorder="1" applyAlignment="1">
      <alignment vertical="center"/>
    </xf>
    <xf numFmtId="0" fontId="2" fillId="0" borderId="5" xfId="327" applyFont="1" applyBorder="1">
      <alignment vertical="center"/>
    </xf>
    <xf numFmtId="0" fontId="2" fillId="0" borderId="7" xfId="327" applyFont="1" applyBorder="1">
      <alignment vertical="center"/>
    </xf>
    <xf numFmtId="0" fontId="2" fillId="0" borderId="9" xfId="327" applyFont="1" applyBorder="1">
      <alignment vertical="center"/>
    </xf>
    <xf numFmtId="4" fontId="1" fillId="0" borderId="1" xfId="85" applyNumberFormat="1" applyFont="1" applyBorder="1" applyAlignment="1">
      <alignment vertical="center"/>
    </xf>
    <xf numFmtId="2" fontId="1" fillId="0" borderId="2" xfId="227" applyNumberFormat="1" applyFont="1" applyBorder="1" applyAlignment="1">
      <alignment vertical="center"/>
    </xf>
    <xf numFmtId="2" fontId="1" fillId="0" borderId="4" xfId="227" applyNumberFormat="1" applyFont="1" applyBorder="1" applyAlignment="1">
      <alignment vertical="center"/>
    </xf>
    <xf numFmtId="4" fontId="2" fillId="2" borderId="1" xfId="85" applyNumberFormat="1" applyFont="1" applyFill="1" applyBorder="1" applyAlignment="1">
      <alignment vertical="center"/>
    </xf>
    <xf numFmtId="4" fontId="1" fillId="0" borderId="12" xfId="227" applyNumberFormat="1" applyFont="1" applyBorder="1" applyAlignment="1">
      <alignment vertical="center"/>
    </xf>
    <xf numFmtId="0" fontId="1" fillId="0" borderId="11" xfId="227" applyFont="1" applyBorder="1" applyAlignment="1">
      <alignment horizontal="left" vertical="center" wrapText="1"/>
    </xf>
    <xf numFmtId="0" fontId="26" fillId="0" borderId="17" xfId="227" applyFont="1" applyBorder="1" applyAlignment="1">
      <alignment horizontal="left" vertical="center" wrapText="1"/>
    </xf>
    <xf numFmtId="204" fontId="1" fillId="0" borderId="0" xfId="227" applyNumberFormat="1" applyFont="1" applyAlignment="1">
      <alignment vertical="center"/>
    </xf>
    <xf numFmtId="0" fontId="1" fillId="5" borderId="0" xfId="227" applyFont="1" applyFill="1" applyAlignment="1">
      <alignment vertical="center"/>
    </xf>
    <xf numFmtId="0" fontId="1" fillId="3" borderId="1" xfId="227" applyFont="1" applyFill="1" applyBorder="1" applyAlignment="1">
      <alignment vertical="center" wrapText="1"/>
    </xf>
    <xf numFmtId="0" fontId="1" fillId="5" borderId="1" xfId="227" applyFont="1" applyFill="1" applyBorder="1" applyAlignment="1">
      <alignment vertical="center"/>
    </xf>
    <xf numFmtId="2" fontId="1" fillId="5" borderId="1" xfId="227" applyNumberFormat="1" applyFont="1" applyFill="1" applyBorder="1" applyAlignment="1">
      <alignment vertical="center"/>
    </xf>
    <xf numFmtId="2" fontId="1" fillId="3" borderId="1" xfId="227" applyNumberFormat="1" applyFont="1" applyFill="1" applyBorder="1" applyAlignment="1">
      <alignment vertical="center"/>
    </xf>
    <xf numFmtId="2" fontId="1" fillId="7" borderId="1" xfId="227" applyNumberFormat="1" applyFont="1" applyFill="1" applyBorder="1" applyAlignment="1">
      <alignment vertical="center"/>
    </xf>
    <xf numFmtId="0" fontId="1" fillId="11" borderId="2" xfId="227" applyFont="1" applyFill="1" applyBorder="1" applyAlignment="1">
      <alignment horizontal="left" vertical="center"/>
    </xf>
    <xf numFmtId="0" fontId="1" fillId="11" borderId="3" xfId="227" applyFont="1" applyFill="1" applyBorder="1" applyAlignment="1">
      <alignment horizontal="left" vertical="center"/>
    </xf>
    <xf numFmtId="0" fontId="1" fillId="11" borderId="4" xfId="227" applyFont="1" applyFill="1" applyBorder="1" applyAlignment="1">
      <alignment horizontal="left" vertical="center"/>
    </xf>
    <xf numFmtId="0" fontId="1" fillId="11" borderId="1" xfId="227" applyFont="1" applyFill="1" applyBorder="1" applyAlignment="1">
      <alignment vertical="center"/>
    </xf>
    <xf numFmtId="0" fontId="26" fillId="0" borderId="17" xfId="0" applyFont="1" applyBorder="1" applyAlignment="1">
      <alignment horizontal="left" vertical="center" wrapText="1"/>
    </xf>
    <xf numFmtId="4" fontId="1" fillId="0" borderId="1" xfId="1" applyNumberFormat="1" applyFont="1" applyBorder="1" applyAlignment="1">
      <alignment vertical="center"/>
    </xf>
    <xf numFmtId="4" fontId="2" fillId="2" borderId="1" xfId="1" applyNumberFormat="1" applyFont="1" applyFill="1" applyBorder="1" applyAlignment="1">
      <alignment vertical="center"/>
    </xf>
    <xf numFmtId="4" fontId="1" fillId="5" borderId="1" xfId="227" applyNumberFormat="1" applyFont="1" applyFill="1" applyBorder="1" applyAlignment="1">
      <alignment vertical="center"/>
    </xf>
    <xf numFmtId="4" fontId="1" fillId="0" borderId="2" xfId="227" applyNumberFormat="1" applyFont="1" applyBorder="1" applyAlignment="1">
      <alignment vertical="center"/>
    </xf>
    <xf numFmtId="0" fontId="1" fillId="3" borderId="11" xfId="227" applyFont="1" applyFill="1" applyBorder="1" applyAlignment="1">
      <alignment vertical="center"/>
    </xf>
    <xf numFmtId="4" fontId="1" fillId="0" borderId="4" xfId="227" applyNumberFormat="1" applyFont="1" applyBorder="1" applyAlignment="1">
      <alignment vertical="center"/>
    </xf>
    <xf numFmtId="1" fontId="0" fillId="0" borderId="11" xfId="0" applyNumberFormat="1" applyBorder="1"/>
    <xf numFmtId="1" fontId="0" fillId="0" borderId="1" xfId="0" applyNumberFormat="1" applyBorder="1"/>
    <xf numFmtId="1" fontId="4" fillId="0" borderId="1" xfId="0" applyNumberFormat="1" applyFont="1" applyBorder="1"/>
    <xf numFmtId="2" fontId="1" fillId="0" borderId="12" xfId="227" applyNumberFormat="1" applyFont="1" applyBorder="1" applyAlignment="1">
      <alignment vertical="center"/>
    </xf>
    <xf numFmtId="2" fontId="1" fillId="0" borderId="11" xfId="227" applyNumberFormat="1" applyFont="1" applyBorder="1" applyAlignment="1">
      <alignment vertical="center"/>
    </xf>
    <xf numFmtId="0" fontId="1" fillId="0" borderId="0" xfId="227" applyFont="1" applyFill="1" applyAlignment="1">
      <alignment horizontal="centerContinuous" vertical="center"/>
    </xf>
    <xf numFmtId="2" fontId="1" fillId="0" borderId="1" xfId="227" applyNumberFormat="1" applyFont="1" applyFill="1" applyBorder="1" applyAlignment="1">
      <alignment horizontal="center" vertical="center"/>
    </xf>
    <xf numFmtId="1" fontId="0" fillId="0" borderId="1" xfId="0" applyNumberFormat="1" applyFill="1" applyBorder="1"/>
    <xf numFmtId="1" fontId="4" fillId="0" borderId="1" xfId="0" applyNumberFormat="1" applyFont="1" applyFill="1" applyBorder="1"/>
    <xf numFmtId="2" fontId="1" fillId="0" borderId="1" xfId="227" applyNumberFormat="1" applyFont="1" applyFill="1" applyBorder="1" applyAlignment="1">
      <alignment horizontal="right" vertical="center"/>
    </xf>
    <xf numFmtId="0" fontId="1" fillId="0" borderId="11" xfId="227" applyFont="1" applyFill="1" applyBorder="1" applyAlignment="1">
      <alignment vertical="center"/>
    </xf>
    <xf numFmtId="0" fontId="26" fillId="0" borderId="17" xfId="0" applyFont="1" applyFill="1" applyBorder="1" applyAlignment="1">
      <alignment horizontal="left" vertical="center" wrapText="1"/>
    </xf>
    <xf numFmtId="2" fontId="1" fillId="0" borderId="0" xfId="227" applyNumberFormat="1" applyFont="1" applyFill="1" applyAlignment="1">
      <alignment horizontal="center" vertical="center"/>
    </xf>
    <xf numFmtId="2" fontId="2" fillId="0" borderId="1" xfId="227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vertical="top" wrapText="1"/>
    </xf>
    <xf numFmtId="1" fontId="0" fillId="0" borderId="1" xfId="0" applyNumberFormat="1" applyBorder="1" applyAlignment="1">
      <alignment wrapText="1"/>
    </xf>
    <xf numFmtId="0" fontId="1" fillId="3" borderId="8" xfId="227" applyFont="1" applyFill="1" applyBorder="1" applyAlignment="1">
      <alignment horizontal="center" vertical="center" wrapText="1"/>
    </xf>
    <xf numFmtId="0" fontId="1" fillId="0" borderId="8" xfId="227" applyFont="1" applyBorder="1" applyAlignment="1">
      <alignment horizontal="center" vertical="center" wrapText="1"/>
    </xf>
    <xf numFmtId="0" fontId="1" fillId="0" borderId="8" xfId="227" applyFont="1" applyBorder="1" applyAlignment="1">
      <alignment horizontal="center" vertical="center"/>
    </xf>
    <xf numFmtId="9" fontId="1" fillId="0" borderId="0" xfId="227" applyNumberFormat="1" applyFont="1" applyAlignment="1">
      <alignment vertical="center"/>
    </xf>
    <xf numFmtId="0" fontId="1" fillId="0" borderId="0" xfId="227" applyFont="1" applyFill="1" applyAlignment="1">
      <alignment vertical="center" wrapText="1"/>
    </xf>
    <xf numFmtId="0" fontId="2" fillId="0" borderId="29" xfId="227" applyFont="1" applyFill="1" applyBorder="1" applyAlignment="1">
      <alignment horizontal="center" vertical="center"/>
    </xf>
    <xf numFmtId="1" fontId="1" fillId="0" borderId="1" xfId="227" applyNumberFormat="1" applyFont="1" applyFill="1" applyBorder="1" applyAlignment="1">
      <alignment vertical="center"/>
    </xf>
    <xf numFmtId="0" fontId="11" fillId="0" borderId="1" xfId="0" applyFont="1" applyFill="1" applyBorder="1" applyAlignment="1">
      <alignment vertical="top" wrapText="1"/>
    </xf>
    <xf numFmtId="0" fontId="1" fillId="0" borderId="7" xfId="227" applyFont="1" applyFill="1" applyBorder="1" applyAlignment="1">
      <alignment horizontal="left" vertical="center"/>
    </xf>
    <xf numFmtId="1" fontId="0" fillId="0" borderId="1" xfId="0" applyNumberFormat="1" applyFill="1" applyBorder="1" applyAlignment="1">
      <alignment wrapText="1"/>
    </xf>
    <xf numFmtId="1" fontId="4" fillId="0" borderId="1" xfId="0" applyNumberFormat="1" applyFont="1" applyFill="1" applyBorder="1" applyAlignment="1">
      <alignment wrapText="1"/>
    </xf>
    <xf numFmtId="0" fontId="2" fillId="0" borderId="11" xfId="227" applyFont="1" applyFill="1" applyBorder="1" applyAlignment="1">
      <alignment vertical="center"/>
    </xf>
    <xf numFmtId="0" fontId="2" fillId="0" borderId="12" xfId="227" applyFont="1" applyFill="1" applyBorder="1" applyAlignment="1">
      <alignment vertical="center"/>
    </xf>
    <xf numFmtId="0" fontId="27" fillId="0" borderId="1" xfId="227" applyFont="1" applyFill="1" applyBorder="1" applyAlignment="1">
      <alignment vertical="center"/>
    </xf>
    <xf numFmtId="0" fontId="2" fillId="0" borderId="0" xfId="227" applyFont="1" applyFill="1" applyAlignment="1">
      <alignment vertical="center" wrapText="1"/>
    </xf>
    <xf numFmtId="0" fontId="1" fillId="0" borderId="0" xfId="227" applyFont="1" applyFill="1" applyAlignment="1">
      <alignment horizontal="center" vertical="center" wrapText="1"/>
    </xf>
    <xf numFmtId="3" fontId="8" fillId="0" borderId="0" xfId="0" applyNumberFormat="1" applyFont="1" applyFill="1"/>
    <xf numFmtId="205" fontId="1" fillId="0" borderId="0" xfId="227" applyNumberFormat="1" applyFont="1" applyFill="1" applyAlignment="1">
      <alignment vertical="center"/>
    </xf>
    <xf numFmtId="188" fontId="7" fillId="0" borderId="0" xfId="260" applyNumberFormat="1" applyFont="1" applyFill="1" applyAlignment="1">
      <alignment vertical="center"/>
    </xf>
    <xf numFmtId="0" fontId="2" fillId="0" borderId="29" xfId="227" applyFont="1" applyBorder="1" applyAlignment="1">
      <alignment horizontal="center" vertical="center"/>
    </xf>
    <xf numFmtId="1" fontId="0" fillId="7" borderId="1" xfId="0" applyNumberFormat="1" applyFill="1" applyBorder="1" applyAlignment="1">
      <alignment wrapText="1"/>
    </xf>
    <xf numFmtId="2" fontId="4" fillId="0" borderId="1" xfId="0" applyNumberFormat="1" applyFont="1" applyBorder="1"/>
    <xf numFmtId="0" fontId="1" fillId="0" borderId="2" xfId="227" applyFont="1" applyBorder="1" applyAlignment="1">
      <alignment horizontal="center" vertical="center" wrapText="1"/>
    </xf>
    <xf numFmtId="0" fontId="1" fillId="0" borderId="3" xfId="227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206" fontId="1" fillId="0" borderId="1" xfId="3" applyNumberFormat="1" applyFont="1" applyBorder="1" applyAlignment="1">
      <alignment vertical="center"/>
    </xf>
    <xf numFmtId="195" fontId="1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207" fontId="1" fillId="0" borderId="1" xfId="3" applyNumberFormat="1" applyFont="1" applyBorder="1" applyAlignment="1">
      <alignment vertical="center"/>
    </xf>
    <xf numFmtId="2" fontId="2" fillId="0" borderId="1" xfId="0" applyNumberFormat="1" applyFont="1" applyBorder="1" applyAlignment="1">
      <alignment vertical="center"/>
    </xf>
    <xf numFmtId="0" fontId="2" fillId="8" borderId="1" xfId="227" applyFont="1" applyFill="1" applyBorder="1" applyAlignment="1">
      <alignment horizontal="center" vertical="center"/>
    </xf>
    <xf numFmtId="10" fontId="1" fillId="0" borderId="1" xfId="378" applyNumberFormat="1" applyFont="1" applyBorder="1" applyAlignment="1">
      <alignment vertical="center"/>
    </xf>
    <xf numFmtId="0" fontId="4" fillId="7" borderId="1" xfId="0" applyFont="1" applyFill="1" applyBorder="1" applyAlignment="1">
      <alignment vertical="center" wrapText="1"/>
    </xf>
    <xf numFmtId="1" fontId="1" fillId="7" borderId="1" xfId="0" applyNumberFormat="1" applyFont="1" applyFill="1" applyBorder="1" applyAlignment="1">
      <alignment vertical="center"/>
    </xf>
    <xf numFmtId="0" fontId="3" fillId="7" borderId="1" xfId="0" applyFont="1" applyFill="1" applyBorder="1" applyAlignment="1">
      <alignment vertical="center"/>
    </xf>
    <xf numFmtId="0" fontId="1" fillId="12" borderId="1" xfId="0" applyFont="1" applyFill="1" applyBorder="1" applyAlignment="1">
      <alignment horizontal="center" vertical="center"/>
    </xf>
    <xf numFmtId="2" fontId="2" fillId="7" borderId="1" xfId="0" applyNumberFormat="1" applyFont="1" applyFill="1" applyBorder="1" applyAlignment="1">
      <alignment vertical="center"/>
    </xf>
    <xf numFmtId="1" fontId="2" fillId="2" borderId="1" xfId="0" applyNumberFormat="1" applyFont="1" applyFill="1" applyBorder="1" applyAlignment="1">
      <alignment vertical="center"/>
    </xf>
    <xf numFmtId="0" fontId="1" fillId="8" borderId="0" xfId="0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206" fontId="1" fillId="0" borderId="1" xfId="3" applyNumberFormat="1" applyFont="1" applyFill="1" applyBorder="1" applyAlignment="1">
      <alignment vertical="center"/>
    </xf>
    <xf numFmtId="195" fontId="1" fillId="0" borderId="1" xfId="0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vertical="center" wrapText="1"/>
    </xf>
    <xf numFmtId="207" fontId="1" fillId="0" borderId="1" xfId="3" applyNumberFormat="1" applyFont="1" applyFill="1" applyBorder="1" applyAlignment="1">
      <alignment vertical="center"/>
    </xf>
    <xf numFmtId="10" fontId="1" fillId="0" borderId="1" xfId="3" applyNumberFormat="1" applyFont="1" applyFill="1" applyBorder="1" applyAlignment="1">
      <alignment vertical="center"/>
    </xf>
    <xf numFmtId="2" fontId="2" fillId="0" borderId="1" xfId="0" applyNumberFormat="1" applyFont="1" applyFill="1" applyBorder="1" applyAlignment="1">
      <alignment vertical="center"/>
    </xf>
    <xf numFmtId="10" fontId="1" fillId="0" borderId="1" xfId="378" applyNumberFormat="1" applyFont="1" applyFill="1" applyBorder="1" applyAlignment="1">
      <alignment vertical="center"/>
    </xf>
    <xf numFmtId="1" fontId="1" fillId="0" borderId="1" xfId="0" applyNumberFormat="1" applyFont="1" applyFill="1" applyBorder="1" applyAlignment="1">
      <alignment vertical="center"/>
    </xf>
    <xf numFmtId="1" fontId="2" fillId="0" borderId="1" xfId="0" applyNumberFormat="1" applyFont="1" applyFill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0" fontId="1" fillId="0" borderId="1" xfId="0" applyNumberFormat="1" applyFont="1" applyBorder="1" applyAlignment="1">
      <alignment vertical="center"/>
    </xf>
    <xf numFmtId="10" fontId="2" fillId="2" borderId="1" xfId="3" applyNumberFormat="1" applyFont="1" applyFill="1" applyBorder="1" applyAlignment="1">
      <alignment vertical="center"/>
    </xf>
    <xf numFmtId="2" fontId="2" fillId="5" borderId="1" xfId="0" applyNumberFormat="1" applyFont="1" applyFill="1" applyBorder="1" applyAlignment="1">
      <alignment vertical="center"/>
    </xf>
    <xf numFmtId="207" fontId="1" fillId="0" borderId="0" xfId="3" applyNumberFormat="1" applyFont="1" applyAlignment="1">
      <alignment vertical="center"/>
    </xf>
    <xf numFmtId="0" fontId="28" fillId="0" borderId="0" xfId="227" applyFont="1" applyAlignment="1">
      <alignment vertical="center"/>
    </xf>
    <xf numFmtId="0" fontId="2" fillId="0" borderId="0" xfId="227" applyFont="1" applyAlignment="1">
      <alignment horizontal="centerContinuous" vertical="center"/>
    </xf>
    <xf numFmtId="0" fontId="2" fillId="7" borderId="1" xfId="327" applyFont="1" applyFill="1" applyBorder="1" applyAlignment="1">
      <alignment horizontal="center" vertical="center" wrapText="1"/>
    </xf>
    <xf numFmtId="3" fontId="2" fillId="0" borderId="1" xfId="327" applyNumberFormat="1" applyFont="1" applyBorder="1" applyAlignment="1">
      <alignment horizontal="center" vertical="center" wrapText="1"/>
    </xf>
    <xf numFmtId="10" fontId="2" fillId="0" borderId="1" xfId="3" applyNumberFormat="1" applyFont="1" applyBorder="1" applyAlignment="1">
      <alignment horizontal="center" vertical="center" wrapText="1"/>
    </xf>
    <xf numFmtId="10" fontId="1" fillId="0" borderId="1" xfId="3" applyNumberFormat="1" applyFont="1" applyBorder="1" applyAlignment="1">
      <alignment horizontal="center" vertical="center" wrapText="1"/>
    </xf>
    <xf numFmtId="0" fontId="2" fillId="0" borderId="6" xfId="327" applyFont="1" applyFill="1" applyBorder="1" applyAlignment="1">
      <alignment horizontal="center" vertical="center"/>
    </xf>
    <xf numFmtId="0" fontId="2" fillId="0" borderId="8" xfId="327" applyFont="1" applyFill="1" applyBorder="1" applyAlignment="1">
      <alignment horizontal="center" vertical="center"/>
    </xf>
    <xf numFmtId="0" fontId="2" fillId="0" borderId="10" xfId="327" applyFont="1" applyFill="1" applyBorder="1" applyAlignment="1">
      <alignment horizontal="center" vertical="center"/>
    </xf>
    <xf numFmtId="2" fontId="2" fillId="0" borderId="12" xfId="227" applyNumberFormat="1" applyFont="1" applyFill="1" applyBorder="1" applyAlignment="1">
      <alignment horizontal="center" vertical="center"/>
    </xf>
    <xf numFmtId="208" fontId="1" fillId="0" borderId="12" xfId="227" applyNumberFormat="1" applyFont="1" applyFill="1" applyBorder="1" applyAlignment="1">
      <alignment horizontal="center" vertical="center"/>
    </xf>
    <xf numFmtId="208" fontId="1" fillId="0" borderId="1" xfId="227" applyNumberFormat="1" applyFont="1" applyFill="1" applyBorder="1" applyAlignment="1">
      <alignment vertical="center"/>
    </xf>
    <xf numFmtId="208" fontId="2" fillId="0" borderId="12" xfId="227" applyNumberFormat="1" applyFont="1" applyFill="1" applyBorder="1" applyAlignment="1">
      <alignment horizontal="center" vertical="center"/>
    </xf>
    <xf numFmtId="208" fontId="1" fillId="0" borderId="1" xfId="227" applyNumberFormat="1" applyFont="1" applyFill="1" applyBorder="1" applyAlignment="1">
      <alignment horizontal="center" vertical="center"/>
    </xf>
    <xf numFmtId="208" fontId="1" fillId="0" borderId="0" xfId="227" applyNumberFormat="1" applyFont="1" applyFill="1" applyAlignment="1">
      <alignment vertical="center"/>
    </xf>
    <xf numFmtId="208" fontId="2" fillId="0" borderId="1" xfId="227" applyNumberFormat="1" applyFont="1" applyFill="1" applyBorder="1" applyAlignment="1">
      <alignment horizontal="center" vertical="center"/>
    </xf>
    <xf numFmtId="208" fontId="2" fillId="0" borderId="1" xfId="227" applyNumberFormat="1" applyFont="1" applyFill="1" applyBorder="1" applyAlignment="1">
      <alignment vertical="center"/>
    </xf>
    <xf numFmtId="208" fontId="2" fillId="0" borderId="0" xfId="227" applyNumberFormat="1" applyFont="1" applyFill="1" applyAlignment="1">
      <alignment horizontal="center" vertical="center"/>
    </xf>
    <xf numFmtId="208" fontId="2" fillId="0" borderId="0" xfId="227" applyNumberFormat="1" applyFont="1" applyFill="1" applyAlignment="1">
      <alignment vertical="center"/>
    </xf>
    <xf numFmtId="208" fontId="1" fillId="0" borderId="0" xfId="227" applyNumberFormat="1" applyFont="1" applyFill="1" applyAlignment="1">
      <alignment horizontal="center" vertical="center"/>
    </xf>
    <xf numFmtId="209" fontId="1" fillId="0" borderId="0" xfId="227" applyNumberFormat="1" applyFont="1" applyFill="1" applyAlignment="1">
      <alignment vertical="center"/>
    </xf>
    <xf numFmtId="1" fontId="2" fillId="0" borderId="12" xfId="227" applyNumberFormat="1" applyFont="1" applyFill="1" applyBorder="1" applyAlignment="1">
      <alignment horizontal="center" vertical="center"/>
    </xf>
    <xf numFmtId="1" fontId="1" fillId="0" borderId="12" xfId="227" applyNumberFormat="1" applyFont="1" applyFill="1" applyBorder="1" applyAlignment="1">
      <alignment horizontal="center" vertical="center"/>
    </xf>
    <xf numFmtId="1" fontId="1" fillId="0" borderId="0" xfId="227" applyNumberFormat="1" applyFont="1" applyFill="1" applyAlignment="1">
      <alignment vertical="center"/>
    </xf>
    <xf numFmtId="1" fontId="2" fillId="0" borderId="1" xfId="227" applyNumberFormat="1" applyFont="1" applyFill="1" applyBorder="1" applyAlignment="1">
      <alignment horizontal="center" vertical="center"/>
    </xf>
    <xf numFmtId="1" fontId="4" fillId="0" borderId="1" xfId="227" applyNumberFormat="1" applyFont="1" applyFill="1" applyBorder="1" applyAlignment="1">
      <alignment vertical="center"/>
    </xf>
    <xf numFmtId="1" fontId="2" fillId="0" borderId="1" xfId="227" applyNumberFormat="1" applyFont="1" applyFill="1" applyBorder="1" applyAlignment="1">
      <alignment vertical="center"/>
    </xf>
    <xf numFmtId="210" fontId="1" fillId="0" borderId="0" xfId="227" applyNumberFormat="1" applyFont="1" applyFill="1" applyAlignment="1">
      <alignment vertical="center"/>
    </xf>
    <xf numFmtId="9" fontId="1" fillId="0" borderId="0" xfId="378" applyFont="1" applyFill="1" applyAlignment="1">
      <alignment vertical="center"/>
    </xf>
    <xf numFmtId="2" fontId="1" fillId="0" borderId="0" xfId="378" applyNumberFormat="1" applyFont="1" applyFill="1" applyAlignment="1">
      <alignment vertical="center"/>
    </xf>
    <xf numFmtId="1" fontId="2" fillId="0" borderId="0" xfId="227" applyNumberFormat="1" applyFont="1" applyFill="1" applyAlignment="1">
      <alignment horizontal="center" vertical="center"/>
    </xf>
    <xf numFmtId="1" fontId="2" fillId="0" borderId="0" xfId="227" applyNumberFormat="1" applyFont="1" applyFill="1" applyAlignment="1">
      <alignment vertical="center"/>
    </xf>
    <xf numFmtId="1" fontId="1" fillId="0" borderId="0" xfId="227" applyNumberFormat="1" applyFont="1" applyFill="1" applyAlignment="1">
      <alignment horizontal="center" vertical="center"/>
    </xf>
    <xf numFmtId="0" fontId="2" fillId="0" borderId="6" xfId="327" applyFont="1" applyBorder="1" applyAlignment="1">
      <alignment horizontal="center" vertical="center"/>
    </xf>
    <xf numFmtId="0" fontId="2" fillId="0" borderId="8" xfId="327" applyFont="1" applyBorder="1" applyAlignment="1">
      <alignment horizontal="center" vertical="center"/>
    </xf>
    <xf numFmtId="0" fontId="2" fillId="0" borderId="10" xfId="327" applyFont="1" applyBorder="1" applyAlignment="1">
      <alignment horizontal="center" vertical="center"/>
    </xf>
    <xf numFmtId="1" fontId="2" fillId="3" borderId="12" xfId="227" applyNumberFormat="1" applyFont="1" applyFill="1" applyBorder="1" applyAlignment="1">
      <alignment horizontal="center" vertical="center"/>
    </xf>
    <xf numFmtId="1" fontId="2" fillId="2" borderId="12" xfId="227" applyNumberFormat="1" applyFont="1" applyFill="1" applyBorder="1" applyAlignment="1">
      <alignment horizontal="center" vertical="center"/>
    </xf>
    <xf numFmtId="2" fontId="2" fillId="2" borderId="12" xfId="227" applyNumberFormat="1" applyFont="1" applyFill="1" applyBorder="1" applyAlignment="1">
      <alignment horizontal="center" vertical="center"/>
    </xf>
    <xf numFmtId="4" fontId="2" fillId="3" borderId="12" xfId="227" applyNumberFormat="1" applyFont="1" applyFill="1" applyBorder="1" applyAlignment="1">
      <alignment horizontal="center" vertical="center"/>
    </xf>
    <xf numFmtId="2" fontId="2" fillId="3" borderId="12" xfId="227" applyNumberFormat="1" applyFont="1" applyFill="1" applyBorder="1" applyAlignment="1">
      <alignment horizontal="center" vertical="center"/>
    </xf>
    <xf numFmtId="0" fontId="2" fillId="9" borderId="1" xfId="227" applyFont="1" applyFill="1" applyBorder="1" applyAlignment="1">
      <alignment horizontal="center" vertical="center"/>
    </xf>
    <xf numFmtId="1" fontId="1" fillId="3" borderId="1" xfId="227" applyNumberFormat="1" applyFont="1" applyFill="1" applyBorder="1" applyAlignment="1">
      <alignment horizontal="center" vertical="center"/>
    </xf>
    <xf numFmtId="2" fontId="1" fillId="3" borderId="1" xfId="227" applyNumberFormat="1" applyFont="1" applyFill="1" applyBorder="1" applyAlignment="1">
      <alignment horizontal="center" vertical="center"/>
    </xf>
    <xf numFmtId="0" fontId="2" fillId="0" borderId="11" xfId="227" applyFont="1" applyBorder="1" applyAlignment="1">
      <alignment horizontal="center" vertical="center" wrapText="1"/>
    </xf>
    <xf numFmtId="0" fontId="2" fillId="0" borderId="14" xfId="227" applyFont="1" applyBorder="1" applyAlignment="1">
      <alignment horizontal="center" vertical="center" wrapText="1"/>
    </xf>
    <xf numFmtId="0" fontId="2" fillId="0" borderId="12" xfId="227" applyFont="1" applyBorder="1" applyAlignment="1">
      <alignment horizontal="center" vertical="center" wrapText="1"/>
    </xf>
    <xf numFmtId="1" fontId="1" fillId="0" borderId="0" xfId="227" applyNumberFormat="1" applyFont="1" applyAlignment="1">
      <alignment vertical="center"/>
    </xf>
    <xf numFmtId="0" fontId="2" fillId="5" borderId="11" xfId="227" applyFont="1" applyFill="1" applyBorder="1" applyAlignment="1">
      <alignment horizontal="center" vertical="center" wrapText="1"/>
    </xf>
    <xf numFmtId="0" fontId="2" fillId="5" borderId="14" xfId="227" applyFont="1" applyFill="1" applyBorder="1" applyAlignment="1">
      <alignment horizontal="center" vertical="center" wrapText="1"/>
    </xf>
    <xf numFmtId="0" fontId="2" fillId="5" borderId="1" xfId="327" applyFont="1" applyFill="1" applyBorder="1" applyAlignment="1">
      <alignment horizontal="center" vertical="center" wrapText="1"/>
    </xf>
    <xf numFmtId="1" fontId="1" fillId="5" borderId="1" xfId="227" applyNumberFormat="1" applyFont="1" applyFill="1" applyBorder="1" applyAlignment="1">
      <alignment horizontal="center" vertical="center"/>
    </xf>
    <xf numFmtId="2" fontId="1" fillId="5" borderId="1" xfId="227" applyNumberFormat="1" applyFont="1" applyFill="1" applyBorder="1" applyAlignment="1">
      <alignment horizontal="center" vertical="center"/>
    </xf>
    <xf numFmtId="2" fontId="2" fillId="5" borderId="12" xfId="227" applyNumberFormat="1" applyFont="1" applyFill="1" applyBorder="1" applyAlignment="1">
      <alignment horizontal="center" vertical="center"/>
    </xf>
    <xf numFmtId="0" fontId="29" fillId="0" borderId="0" xfId="227" applyFont="1" applyAlignment="1">
      <alignment vertical="center"/>
    </xf>
    <xf numFmtId="1" fontId="1" fillId="0" borderId="12" xfId="227" applyNumberFormat="1" applyFont="1" applyBorder="1" applyAlignment="1">
      <alignment vertical="center"/>
    </xf>
    <xf numFmtId="1" fontId="1" fillId="5" borderId="12" xfId="227" applyNumberFormat="1" applyFont="1" applyFill="1" applyBorder="1" applyAlignment="1">
      <alignment vertical="center"/>
    </xf>
    <xf numFmtId="1" fontId="2" fillId="5" borderId="12" xfId="227" applyNumberFormat="1" applyFont="1" applyFill="1" applyBorder="1" applyAlignment="1">
      <alignment horizontal="center" vertical="center"/>
    </xf>
    <xf numFmtId="1" fontId="1" fillId="5" borderId="1" xfId="227" applyNumberFormat="1" applyFont="1" applyFill="1" applyBorder="1" applyAlignment="1">
      <alignment vertical="center"/>
    </xf>
    <xf numFmtId="208" fontId="1" fillId="3" borderId="12" xfId="227" applyNumberFormat="1" applyFont="1" applyFill="1" applyBorder="1" applyAlignment="1">
      <alignment horizontal="center" vertical="center"/>
    </xf>
    <xf numFmtId="208" fontId="1" fillId="3" borderId="1" xfId="227" applyNumberFormat="1" applyFont="1" applyFill="1" applyBorder="1" applyAlignment="1">
      <alignment vertical="center"/>
    </xf>
    <xf numFmtId="208" fontId="1" fillId="0" borderId="1" xfId="227" applyNumberFormat="1" applyFont="1" applyBorder="1" applyAlignment="1">
      <alignment vertical="center"/>
    </xf>
    <xf numFmtId="208" fontId="2" fillId="3" borderId="12" xfId="227" applyNumberFormat="1" applyFont="1" applyFill="1" applyBorder="1" applyAlignment="1">
      <alignment horizontal="center" vertical="center"/>
    </xf>
    <xf numFmtId="208" fontId="2" fillId="2" borderId="12" xfId="227" applyNumberFormat="1" applyFont="1" applyFill="1" applyBorder="1" applyAlignment="1">
      <alignment horizontal="center" vertical="center"/>
    </xf>
    <xf numFmtId="208" fontId="2" fillId="0" borderId="12" xfId="227" applyNumberFormat="1" applyFont="1" applyBorder="1" applyAlignment="1">
      <alignment horizontal="center" vertical="center"/>
    </xf>
    <xf numFmtId="208" fontId="1" fillId="0" borderId="1" xfId="227" applyNumberFormat="1" applyFont="1" applyBorder="1" applyAlignment="1">
      <alignment horizontal="center" vertical="center"/>
    </xf>
    <xf numFmtId="208" fontId="1" fillId="0" borderId="0" xfId="227" applyNumberFormat="1" applyFont="1" applyAlignment="1">
      <alignment vertical="center"/>
    </xf>
    <xf numFmtId="208" fontId="2" fillId="0" borderId="1" xfId="227" applyNumberFormat="1" applyFont="1" applyBorder="1" applyAlignment="1">
      <alignment horizontal="center" vertical="center"/>
    </xf>
    <xf numFmtId="208" fontId="2" fillId="2" borderId="1" xfId="227" applyNumberFormat="1" applyFont="1" applyFill="1" applyBorder="1" applyAlignment="1">
      <alignment vertical="center"/>
    </xf>
    <xf numFmtId="208" fontId="2" fillId="0" borderId="0" xfId="227" applyNumberFormat="1" applyFont="1" applyAlignment="1">
      <alignment horizontal="center" vertical="center"/>
    </xf>
    <xf numFmtId="208" fontId="2" fillId="0" borderId="1" xfId="227" applyNumberFormat="1" applyFont="1" applyBorder="1" applyAlignment="1">
      <alignment vertical="center"/>
    </xf>
    <xf numFmtId="208" fontId="2" fillId="0" borderId="0" xfId="227" applyNumberFormat="1" applyFont="1" applyAlignment="1">
      <alignment vertical="center"/>
    </xf>
    <xf numFmtId="208" fontId="1" fillId="0" borderId="0" xfId="227" applyNumberFormat="1" applyFont="1" applyAlignment="1">
      <alignment horizontal="center" vertical="center"/>
    </xf>
    <xf numFmtId="209" fontId="1" fillId="0" borderId="0" xfId="227" applyNumberFormat="1" applyFont="1" applyAlignment="1">
      <alignment vertical="center"/>
    </xf>
    <xf numFmtId="1" fontId="1" fillId="3" borderId="1" xfId="227" applyNumberFormat="1" applyFont="1" applyFill="1" applyBorder="1" applyAlignment="1">
      <alignment vertical="center"/>
    </xf>
    <xf numFmtId="1" fontId="2" fillId="0" borderId="12" xfId="227" applyNumberFormat="1" applyFont="1" applyBorder="1" applyAlignment="1">
      <alignment horizontal="center" vertical="center"/>
    </xf>
    <xf numFmtId="1" fontId="2" fillId="2" borderId="1" xfId="227" applyNumberFormat="1" applyFont="1" applyFill="1" applyBorder="1" applyAlignment="1">
      <alignment vertical="center"/>
    </xf>
    <xf numFmtId="210" fontId="1" fillId="0" borderId="0" xfId="227" applyNumberFormat="1" applyFont="1" applyAlignment="1">
      <alignment vertical="center"/>
    </xf>
    <xf numFmtId="1" fontId="2" fillId="0" borderId="0" xfId="227" applyNumberFormat="1" applyFont="1" applyAlignment="1">
      <alignment horizontal="center" vertical="center"/>
    </xf>
    <xf numFmtId="1" fontId="2" fillId="0" borderId="0" xfId="227" applyNumberFormat="1" applyFont="1" applyAlignment="1">
      <alignment vertical="center"/>
    </xf>
    <xf numFmtId="197" fontId="1" fillId="0" borderId="0" xfId="378" applyNumberFormat="1" applyFont="1" applyAlignment="1">
      <alignment vertical="center"/>
    </xf>
    <xf numFmtId="0" fontId="1" fillId="5" borderId="1" xfId="327" applyFont="1" applyFill="1" applyBorder="1" applyAlignment="1">
      <alignment horizontal="center" vertical="center"/>
    </xf>
    <xf numFmtId="0" fontId="1" fillId="0" borderId="4" xfId="327" applyFont="1" applyBorder="1" applyAlignment="1">
      <alignment horizontal="center" vertical="center"/>
    </xf>
    <xf numFmtId="3" fontId="1" fillId="0" borderId="2" xfId="327" applyNumberFormat="1" applyFont="1" applyBorder="1" applyAlignment="1">
      <alignment horizontal="center" vertical="center"/>
    </xf>
    <xf numFmtId="3" fontId="1" fillId="0" borderId="3" xfId="327" applyNumberFormat="1" applyFont="1" applyBorder="1" applyAlignment="1">
      <alignment horizontal="center" vertical="center"/>
    </xf>
    <xf numFmtId="3" fontId="1" fillId="0" borderId="4" xfId="327" applyNumberFormat="1" applyFont="1" applyBorder="1" applyAlignment="1">
      <alignment horizontal="center" vertical="center"/>
    </xf>
    <xf numFmtId="0" fontId="1" fillId="0" borderId="1" xfId="327" applyFont="1" applyBorder="1" applyAlignment="1">
      <alignment vertical="top"/>
    </xf>
    <xf numFmtId="3" fontId="2" fillId="2" borderId="1" xfId="327" applyNumberFormat="1" applyFont="1" applyFill="1" applyBorder="1" applyAlignment="1">
      <alignment horizontal="center" vertical="center"/>
    </xf>
    <xf numFmtId="0" fontId="2" fillId="0" borderId="0" xfId="327" applyFont="1" applyAlignment="1">
      <alignment horizontal="left" vertical="center" wrapText="1"/>
    </xf>
    <xf numFmtId="0" fontId="1" fillId="0" borderId="0" xfId="327" applyFont="1" applyAlignment="1">
      <alignment horizontal="left" vertical="center"/>
    </xf>
    <xf numFmtId="0" fontId="2" fillId="5" borderId="0" xfId="327" applyFont="1" applyFill="1">
      <alignment vertical="center"/>
    </xf>
    <xf numFmtId="3" fontId="2" fillId="0" borderId="1" xfId="327" applyNumberFormat="1" applyFont="1" applyBorder="1" applyAlignment="1">
      <alignment horizontal="center" vertical="center"/>
    </xf>
    <xf numFmtId="0" fontId="1" fillId="0" borderId="1" xfId="327" applyFont="1" applyBorder="1" applyAlignment="1">
      <alignment horizontal="left" vertical="center"/>
    </xf>
    <xf numFmtId="3" fontId="4" fillId="0" borderId="1" xfId="327" applyNumberFormat="1" applyFont="1" applyBorder="1" applyAlignment="1">
      <alignment horizontal="center" vertical="center"/>
    </xf>
    <xf numFmtId="3" fontId="2" fillId="5" borderId="1" xfId="327" applyNumberFormat="1" applyFont="1" applyFill="1" applyBorder="1" applyAlignment="1">
      <alignment horizontal="center" vertical="center"/>
    </xf>
    <xf numFmtId="3" fontId="1" fillId="0" borderId="0" xfId="327" applyNumberFormat="1" applyFont="1" applyAlignment="1">
      <alignment horizontal="center" vertical="center"/>
    </xf>
    <xf numFmtId="3" fontId="1" fillId="0" borderId="0" xfId="327" applyNumberFormat="1" applyFont="1">
      <alignment vertical="center"/>
    </xf>
    <xf numFmtId="3" fontId="1" fillId="5" borderId="1" xfId="327" applyNumberFormat="1" applyFont="1" applyFill="1" applyBorder="1" applyAlignment="1">
      <alignment horizontal="center" vertical="center"/>
    </xf>
    <xf numFmtId="3" fontId="2" fillId="0" borderId="0" xfId="327" applyNumberFormat="1" applyFont="1" applyAlignment="1">
      <alignment horizontal="center" vertical="center"/>
    </xf>
    <xf numFmtId="3" fontId="1" fillId="5" borderId="0" xfId="327" applyNumberFormat="1" applyFont="1" applyFill="1" applyAlignment="1">
      <alignment horizontal="center" vertical="center"/>
    </xf>
    <xf numFmtId="0" fontId="0" fillId="5" borderId="0" xfId="0" applyFill="1"/>
    <xf numFmtId="0" fontId="0" fillId="5" borderId="30" xfId="0" applyFill="1" applyBorder="1"/>
    <xf numFmtId="0" fontId="8" fillId="5" borderId="31" xfId="0" applyFont="1" applyFill="1" applyBorder="1" applyAlignment="1">
      <alignment horizontal="center"/>
    </xf>
    <xf numFmtId="0" fontId="8" fillId="5" borderId="32" xfId="0" applyFont="1" applyFill="1" applyBorder="1" applyAlignment="1">
      <alignment horizontal="center"/>
    </xf>
    <xf numFmtId="0" fontId="8" fillId="5" borderId="33" xfId="0" applyFont="1" applyFill="1" applyBorder="1" applyAlignment="1">
      <alignment horizontal="center"/>
    </xf>
    <xf numFmtId="0" fontId="1" fillId="5" borderId="34" xfId="327" applyFont="1" applyFill="1" applyBorder="1">
      <alignment vertical="center"/>
    </xf>
    <xf numFmtId="0" fontId="1" fillId="5" borderId="35" xfId="327" applyFont="1" applyFill="1" applyBorder="1" applyAlignment="1">
      <alignment horizontal="center" vertical="center"/>
    </xf>
    <xf numFmtId="0" fontId="1" fillId="5" borderId="36" xfId="327" applyFont="1" applyFill="1" applyBorder="1" applyAlignment="1">
      <alignment horizontal="center" vertical="center"/>
    </xf>
    <xf numFmtId="0" fontId="1" fillId="5" borderId="37" xfId="327" applyFont="1" applyFill="1" applyBorder="1" applyAlignment="1">
      <alignment horizontal="center" vertical="center"/>
    </xf>
    <xf numFmtId="0" fontId="1" fillId="5" borderId="38" xfId="327" applyFont="1" applyFill="1" applyBorder="1">
      <alignment vertical="center"/>
    </xf>
    <xf numFmtId="0" fontId="1" fillId="13" borderId="15" xfId="327" applyFont="1" applyFill="1" applyBorder="1" applyAlignment="1">
      <alignment horizontal="center" vertical="center"/>
    </xf>
    <xf numFmtId="0" fontId="1" fillId="13" borderId="16" xfId="327" applyFont="1" applyFill="1" applyBorder="1" applyAlignment="1">
      <alignment horizontal="center" vertical="center"/>
    </xf>
    <xf numFmtId="0" fontId="1" fillId="13" borderId="25" xfId="327" applyFont="1" applyFill="1" applyBorder="1" applyAlignment="1">
      <alignment horizontal="center" vertical="center"/>
    </xf>
    <xf numFmtId="0" fontId="1" fillId="14" borderId="17" xfId="327" applyFont="1" applyFill="1" applyBorder="1" applyAlignment="1">
      <alignment horizontal="center" vertical="center"/>
    </xf>
    <xf numFmtId="0" fontId="1" fillId="14" borderId="1" xfId="327" applyFont="1" applyFill="1" applyBorder="1" applyAlignment="1">
      <alignment horizontal="center" vertical="center"/>
    </xf>
    <xf numFmtId="0" fontId="1" fillId="14" borderId="26" xfId="327" applyFont="1" applyFill="1" applyBorder="1" applyAlignment="1">
      <alignment horizontal="center" vertical="center"/>
    </xf>
    <xf numFmtId="0" fontId="1" fillId="15" borderId="17" xfId="327" applyFont="1" applyFill="1" applyBorder="1" applyAlignment="1">
      <alignment horizontal="center" vertical="center"/>
    </xf>
    <xf numFmtId="0" fontId="1" fillId="15" borderId="1" xfId="327" applyFont="1" applyFill="1" applyBorder="1" applyAlignment="1">
      <alignment horizontal="center" vertical="center"/>
    </xf>
    <xf numFmtId="0" fontId="1" fillId="15" borderId="26" xfId="327" applyFont="1" applyFill="1" applyBorder="1" applyAlignment="1">
      <alignment horizontal="center" vertical="center"/>
    </xf>
    <xf numFmtId="0" fontId="1" fillId="16" borderId="17" xfId="327" applyFont="1" applyFill="1" applyBorder="1" applyAlignment="1">
      <alignment horizontal="center" vertical="center"/>
    </xf>
    <xf numFmtId="0" fontId="1" fillId="16" borderId="1" xfId="327" applyFont="1" applyFill="1" applyBorder="1" applyAlignment="1">
      <alignment horizontal="center" vertical="center"/>
    </xf>
    <xf numFmtId="0" fontId="1" fillId="16" borderId="26" xfId="327" applyFont="1" applyFill="1" applyBorder="1" applyAlignment="1">
      <alignment horizontal="center" vertical="center"/>
    </xf>
    <xf numFmtId="0" fontId="1" fillId="10" borderId="20" xfId="327" applyFont="1" applyFill="1" applyBorder="1" applyAlignment="1">
      <alignment horizontal="center" vertical="center"/>
    </xf>
    <xf numFmtId="0" fontId="1" fillId="10" borderId="21" xfId="327" applyFont="1" applyFill="1" applyBorder="1" applyAlignment="1">
      <alignment horizontal="center" vertical="center"/>
    </xf>
    <xf numFmtId="0" fontId="1" fillId="10" borderId="27" xfId="327" applyFont="1" applyFill="1" applyBorder="1" applyAlignment="1">
      <alignment horizontal="center" vertical="center"/>
    </xf>
    <xf numFmtId="0" fontId="1" fillId="5" borderId="39" xfId="327" applyFont="1" applyFill="1" applyBorder="1" applyAlignment="1">
      <alignment horizontal="center" vertical="center"/>
    </xf>
    <xf numFmtId="0" fontId="1" fillId="5" borderId="40" xfId="327" applyFont="1" applyFill="1" applyBorder="1" applyAlignment="1">
      <alignment horizontal="center" vertical="center"/>
    </xf>
    <xf numFmtId="0" fontId="1" fillId="5" borderId="41" xfId="327" applyFont="1" applyFill="1" applyBorder="1" applyAlignment="1">
      <alignment horizontal="center" vertical="center"/>
    </xf>
    <xf numFmtId="0" fontId="2" fillId="0" borderId="0" xfId="227" applyFont="1" applyAlignment="1">
      <alignment vertical="center" wrapText="1"/>
    </xf>
    <xf numFmtId="0" fontId="1" fillId="0" borderId="0" xfId="227" applyFont="1" applyAlignment="1">
      <alignment vertical="center" wrapText="1"/>
    </xf>
    <xf numFmtId="0" fontId="1" fillId="10" borderId="1" xfId="327" applyFont="1" applyFill="1" applyBorder="1" applyAlignment="1">
      <alignment horizontal="center" vertical="center"/>
    </xf>
    <xf numFmtId="0" fontId="1" fillId="13" borderId="1" xfId="327" applyFont="1" applyFill="1" applyBorder="1" applyAlignment="1">
      <alignment horizontal="center" vertical="center"/>
    </xf>
    <xf numFmtId="0" fontId="1" fillId="0" borderId="1" xfId="327" applyFont="1" applyBorder="1" applyAlignment="1">
      <alignment horizontal="center" vertical="center" wrapText="1"/>
    </xf>
    <xf numFmtId="0" fontId="1" fillId="10" borderId="1" xfId="327" applyFont="1" applyFill="1" applyBorder="1" applyAlignment="1">
      <alignment vertical="top" wrapText="1"/>
    </xf>
    <xf numFmtId="0" fontId="1" fillId="10" borderId="0" xfId="327" applyFont="1" applyFill="1">
      <alignment vertical="center"/>
    </xf>
    <xf numFmtId="0" fontId="1" fillId="10" borderId="1" xfId="327" applyFont="1" applyFill="1" applyBorder="1">
      <alignment vertical="center"/>
    </xf>
    <xf numFmtId="0" fontId="1" fillId="0" borderId="1" xfId="227" applyFont="1" applyBorder="1" applyAlignment="1" quotePrefix="1">
      <alignment horizontal="left" vertical="top" wrapText="1"/>
    </xf>
    <xf numFmtId="0" fontId="2" fillId="3" borderId="1" xfId="173" applyFont="1" applyFill="1" applyBorder="1" applyAlignment="1" quotePrefix="1">
      <alignment horizontal="center" vertical="center" wrapText="1"/>
    </xf>
    <xf numFmtId="0" fontId="2" fillId="3" borderId="2" xfId="174" applyFont="1" applyFill="1" applyBorder="1" applyAlignment="1" quotePrefix="1">
      <alignment horizontal="center" vertical="center" wrapText="1"/>
    </xf>
    <xf numFmtId="0" fontId="2" fillId="0" borderId="2" xfId="174" applyFont="1" applyBorder="1" applyAlignment="1" quotePrefix="1">
      <alignment horizontal="center" vertical="center" wrapText="1"/>
    </xf>
    <xf numFmtId="0" fontId="2" fillId="3" borderId="2" xfId="176" applyFont="1" applyFill="1" applyBorder="1" applyAlignment="1" quotePrefix="1">
      <alignment horizontal="center" vertical="center" wrapText="1"/>
    </xf>
    <xf numFmtId="0" fontId="2" fillId="0" borderId="2" xfId="176" applyFont="1" applyBorder="1" applyAlignment="1" quotePrefix="1">
      <alignment horizontal="center" vertical="center" wrapText="1"/>
    </xf>
  </cellXfs>
  <cellStyles count="4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  <cellStyle name="Body" xfId="49"/>
    <cellStyle name="Comma  - Style1" xfId="50"/>
    <cellStyle name="Comma 11 2" xfId="51"/>
    <cellStyle name="Comma 11 2 2" xfId="52"/>
    <cellStyle name="Comma 11 2 3" xfId="53"/>
    <cellStyle name="Comma 2" xfId="54"/>
    <cellStyle name="Comma 2 2" xfId="55"/>
    <cellStyle name="Comma 2 2 2" xfId="56"/>
    <cellStyle name="Comma 2 2 2 2" xfId="57"/>
    <cellStyle name="Comma 2 2 3" xfId="58"/>
    <cellStyle name="Comma 2 3" xfId="59"/>
    <cellStyle name="Comma 2 3 2" xfId="60"/>
    <cellStyle name="Comma 2 3 2 2" xfId="61"/>
    <cellStyle name="Comma 2 3 2 2 2" xfId="62"/>
    <cellStyle name="Comma 2 3 2 3" xfId="63"/>
    <cellStyle name="Comma 2 3 2 4" xfId="64"/>
    <cellStyle name="Comma 2 3 3" xfId="65"/>
    <cellStyle name="Comma 2 3 3 2" xfId="66"/>
    <cellStyle name="Comma 2 3 4" xfId="67"/>
    <cellStyle name="Comma 2 3 5" xfId="68"/>
    <cellStyle name="Comma 2 3 6" xfId="69"/>
    <cellStyle name="Comma 2 4" xfId="70"/>
    <cellStyle name="Comma 2 4 2" xfId="71"/>
    <cellStyle name="Comma 2 5" xfId="72"/>
    <cellStyle name="Comma 3" xfId="73"/>
    <cellStyle name="Comma 3 2" xfId="74"/>
    <cellStyle name="Comma 3 2 2" xfId="75"/>
    <cellStyle name="Comma 3 2 2 2" xfId="76"/>
    <cellStyle name="Comma 3 2 3" xfId="77"/>
    <cellStyle name="Comma 3 2 4" xfId="78"/>
    <cellStyle name="Comma 3 2 5" xfId="79"/>
    <cellStyle name="Comma 3 3" xfId="80"/>
    <cellStyle name="Comma 3 3 2" xfId="81"/>
    <cellStyle name="Comma 3 4" xfId="82"/>
    <cellStyle name="Comma 3 5" xfId="83"/>
    <cellStyle name="Comma 3 6" xfId="84"/>
    <cellStyle name="Comma 4" xfId="85"/>
    <cellStyle name="Comma 4 2" xfId="86"/>
    <cellStyle name="Comma 4 2 2" xfId="87"/>
    <cellStyle name="Comma 4 2 2 2" xfId="88"/>
    <cellStyle name="Comma 4 2 3" xfId="89"/>
    <cellStyle name="Comma 4 2 4" xfId="90"/>
    <cellStyle name="Comma 4 2 5" xfId="91"/>
    <cellStyle name="Comma 4 3" xfId="92"/>
    <cellStyle name="Comma 4 3 2" xfId="93"/>
    <cellStyle name="Comma 4 4" xfId="94"/>
    <cellStyle name="Comma 4 5" xfId="95"/>
    <cellStyle name="Comma 4 6" xfId="96"/>
    <cellStyle name="Comma 5" xfId="97"/>
    <cellStyle name="Comma 5 2" xfId="98"/>
    <cellStyle name="Comma 5 3" xfId="99"/>
    <cellStyle name="Comma 5 4" xfId="100"/>
    <cellStyle name="Comma 5 5" xfId="101"/>
    <cellStyle name="Comma 6" xfId="102"/>
    <cellStyle name="Comma 6 2" xfId="103"/>
    <cellStyle name="Comma 6 2 2" xfId="104"/>
    <cellStyle name="Comma 6 2 3" xfId="105"/>
    <cellStyle name="Comma 6 3" xfId="106"/>
    <cellStyle name="Comma 6 3 2" xfId="107"/>
    <cellStyle name="Comma 6 4" xfId="108"/>
    <cellStyle name="Comma 6 4 2" xfId="109"/>
    <cellStyle name="Comma 6 5" xfId="110"/>
    <cellStyle name="Comma 7" xfId="111"/>
    <cellStyle name="Comma 7 2" xfId="112"/>
    <cellStyle name="Comma 7 2 2" xfId="113"/>
    <cellStyle name="Comma 7 3" xfId="114"/>
    <cellStyle name="Comma 7 4" xfId="115"/>
    <cellStyle name="Comma 7 5" xfId="116"/>
    <cellStyle name="Comma 8" xfId="117"/>
    <cellStyle name="Comma 8 2" xfId="118"/>
    <cellStyle name="Comma 8 3" xfId="119"/>
    <cellStyle name="Comma 8 4" xfId="120"/>
    <cellStyle name="Comma 9" xfId="121"/>
    <cellStyle name="Curren - Style2" xfId="122"/>
    <cellStyle name="Currency 2" xfId="123"/>
    <cellStyle name="Currency 2 2" xfId="124"/>
    <cellStyle name="Currency 2 2 2" xfId="125"/>
    <cellStyle name="Currency 2 2 2 2" xfId="126"/>
    <cellStyle name="Currency 2 2 3" xfId="127"/>
    <cellStyle name="Currency 2 2 4" xfId="128"/>
    <cellStyle name="Currency 2 3" xfId="129"/>
    <cellStyle name="Currency 2 3 2" xfId="130"/>
    <cellStyle name="Currency 2 4" xfId="131"/>
    <cellStyle name="Currency 2 5" xfId="132"/>
    <cellStyle name="DateLong" xfId="133"/>
    <cellStyle name="DateShort" xfId="134"/>
    <cellStyle name="Factor" xfId="135"/>
    <cellStyle name="Grey" xfId="136"/>
    <cellStyle name="Header1" xfId="137"/>
    <cellStyle name="Header2" xfId="138"/>
    <cellStyle name="Hyperlink 2" xfId="139"/>
    <cellStyle name="Input [yellow]" xfId="140"/>
    <cellStyle name="no dec" xfId="141"/>
    <cellStyle name="Normal - Style1" xfId="142"/>
    <cellStyle name="Normal 10" xfId="143"/>
    <cellStyle name="Normal 10 2" xfId="144"/>
    <cellStyle name="Normal 10 3" xfId="145"/>
    <cellStyle name="Normal 10 3 2" xfId="146"/>
    <cellStyle name="Normal 10 3 2 2" xfId="147"/>
    <cellStyle name="Normal 10 3 3" xfId="148"/>
    <cellStyle name="Normal 10 3 4" xfId="149"/>
    <cellStyle name="Normal 10 4" xfId="150"/>
    <cellStyle name="Normal 10 4 2" xfId="151"/>
    <cellStyle name="Normal 10 5" xfId="152"/>
    <cellStyle name="Normal 10 6" xfId="153"/>
    <cellStyle name="Normal 10 7" xfId="154"/>
    <cellStyle name="Normal 11" xfId="155"/>
    <cellStyle name="Normal 11 2" xfId="156"/>
    <cellStyle name="Normal 11 2 2" xfId="157"/>
    <cellStyle name="Normal 11 2 2 2" xfId="158"/>
    <cellStyle name="Normal 11 2 3" xfId="159"/>
    <cellStyle name="Normal 11 2 4" xfId="160"/>
    <cellStyle name="Normal 11 3" xfId="161"/>
    <cellStyle name="Normal 11 3 2" xfId="162"/>
    <cellStyle name="Normal 11 4" xfId="163"/>
    <cellStyle name="Normal 11 5" xfId="164"/>
    <cellStyle name="Normal 11 6" xfId="165"/>
    <cellStyle name="Normal 12" xfId="166"/>
    <cellStyle name="Normal 12 2" xfId="167"/>
    <cellStyle name="Normal 12 3" xfId="168"/>
    <cellStyle name="Normal 13" xfId="169"/>
    <cellStyle name="Normal 13 2" xfId="170"/>
    <cellStyle name="Normal 13 3" xfId="171"/>
    <cellStyle name="Normal 14" xfId="172"/>
    <cellStyle name="Normal 14 2" xfId="173"/>
    <cellStyle name="Normal 14 2 2" xfId="174"/>
    <cellStyle name="Normal 14 2 2 2" xfId="175"/>
    <cellStyle name="Normal 14 2 3" xfId="176"/>
    <cellStyle name="Normal 14 2 4" xfId="177"/>
    <cellStyle name="Normal 14 3" xfId="178"/>
    <cellStyle name="Normal 14 4" xfId="179"/>
    <cellStyle name="Normal 15" xfId="180"/>
    <cellStyle name="Normal 15 2" xfId="181"/>
    <cellStyle name="Normal 15 2 2" xfId="182"/>
    <cellStyle name="Normal 15 2 2 2" xfId="183"/>
    <cellStyle name="Normal 15 2 3" xfId="184"/>
    <cellStyle name="Normal 15 2 4" xfId="185"/>
    <cellStyle name="Normal 15 3" xfId="186"/>
    <cellStyle name="Normal 15 3 2" xfId="187"/>
    <cellStyle name="Normal 15 4" xfId="188"/>
    <cellStyle name="Normal 15 5" xfId="189"/>
    <cellStyle name="Normal 15 6" xfId="190"/>
    <cellStyle name="Normal 16" xfId="191"/>
    <cellStyle name="Normal 16 2" xfId="192"/>
    <cellStyle name="Normal 16 2 2" xfId="193"/>
    <cellStyle name="Normal 16 3" xfId="194"/>
    <cellStyle name="Normal 16 4" xfId="195"/>
    <cellStyle name="Normal 17" xfId="196"/>
    <cellStyle name="Normal 17 2" xfId="197"/>
    <cellStyle name="Normal 17 2 2" xfId="198"/>
    <cellStyle name="Normal 17 2 2 2" xfId="199"/>
    <cellStyle name="Normal 17 2 3" xfId="200"/>
    <cellStyle name="Normal 17 2 4" xfId="201"/>
    <cellStyle name="Normal 17 3" xfId="202"/>
    <cellStyle name="Normal 17 3 2" xfId="203"/>
    <cellStyle name="Normal 17 4" xfId="204"/>
    <cellStyle name="Normal 17 5" xfId="205"/>
    <cellStyle name="Normal 18" xfId="206"/>
    <cellStyle name="Normal 18 2" xfId="207"/>
    <cellStyle name="Normal 18 2 2" xfId="208"/>
    <cellStyle name="Normal 18 3" xfId="209"/>
    <cellStyle name="Normal 18 4" xfId="210"/>
    <cellStyle name="Normal 18 5" xfId="211"/>
    <cellStyle name="Normal 183" xfId="212"/>
    <cellStyle name="Normal 183 2" xfId="213"/>
    <cellStyle name="Normal 183 2 2" xfId="214"/>
    <cellStyle name="Normal 183 2 2 2" xfId="215"/>
    <cellStyle name="Normal 183 2 3" xfId="216"/>
    <cellStyle name="Normal 183 2 4" xfId="217"/>
    <cellStyle name="Normal 183 3" xfId="218"/>
    <cellStyle name="Normal 183 3 2" xfId="219"/>
    <cellStyle name="Normal 183 4" xfId="220"/>
    <cellStyle name="Normal 183 5" xfId="221"/>
    <cellStyle name="Normal 19" xfId="222"/>
    <cellStyle name="Normal 19 2" xfId="223"/>
    <cellStyle name="Normal 19 2 2" xfId="224"/>
    <cellStyle name="Normal 19 3" xfId="225"/>
    <cellStyle name="Normal 19 4" xfId="226"/>
    <cellStyle name="Normal 2" xfId="227"/>
    <cellStyle name="Normal 2 2" xfId="228"/>
    <cellStyle name="Normal 2 2 2" xfId="229"/>
    <cellStyle name="Normal 2 2 2 2" xfId="230"/>
    <cellStyle name="Normal 2 2_Working APR 2007-08 Mahagenco_Bhushan_1.3" xfId="231"/>
    <cellStyle name="Normal 2 3" xfId="232"/>
    <cellStyle name="Normal 2 3 2" xfId="233"/>
    <cellStyle name="Normal 2 3 2 2" xfId="234"/>
    <cellStyle name="Normal 2 3 2 2 2" xfId="235"/>
    <cellStyle name="Normal 2 3 2 3" xfId="236"/>
    <cellStyle name="Normal 2 3 2 4" xfId="237"/>
    <cellStyle name="Normal 2 3 3" xfId="238"/>
    <cellStyle name="Normal 2 3 3 2" xfId="239"/>
    <cellStyle name="Normal 2 3 4" xfId="240"/>
    <cellStyle name="Normal 2 3 5" xfId="241"/>
    <cellStyle name="Normal 2 3 6" xfId="242"/>
    <cellStyle name="Normal 2 4" xfId="243"/>
    <cellStyle name="Normal 2 4 2" xfId="244"/>
    <cellStyle name="Normal 2 4 2 2" xfId="245"/>
    <cellStyle name="Normal 2 4 2 2 2" xfId="246"/>
    <cellStyle name="Normal 2 4 2 3" xfId="247"/>
    <cellStyle name="Normal 2 4 2 4" xfId="248"/>
    <cellStyle name="Normal 2 4 3" xfId="249"/>
    <cellStyle name="Normal 2 4 3 2" xfId="250"/>
    <cellStyle name="Normal 2 4 4" xfId="251"/>
    <cellStyle name="Normal 2 4 5" xfId="252"/>
    <cellStyle name="Normal 2 4 6" xfId="253"/>
    <cellStyle name="Normal 2 5" xfId="254"/>
    <cellStyle name="Normal 2_ARR FINAL" xfId="255"/>
    <cellStyle name="Normal 20" xfId="256"/>
    <cellStyle name="Normal 21" xfId="257"/>
    <cellStyle name="Normal 22" xfId="258"/>
    <cellStyle name="Normal 23" xfId="259"/>
    <cellStyle name="Normal 24" xfId="260"/>
    <cellStyle name="Normal 3" xfId="261"/>
    <cellStyle name="Normal 3 2" xfId="262"/>
    <cellStyle name="Normal 3 2 2" xfId="263"/>
    <cellStyle name="Normal 3 2 2 2" xfId="264"/>
    <cellStyle name="Normal 3 2 2 2 2" xfId="265"/>
    <cellStyle name="Normal 3 2 2 3" xfId="266"/>
    <cellStyle name="Normal 3 2 2 4" xfId="267"/>
    <cellStyle name="Normal 3 2 2 5" xfId="268"/>
    <cellStyle name="Normal 3 2 3" xfId="269"/>
    <cellStyle name="Normal 3 2 3 2" xfId="270"/>
    <cellStyle name="Normal 3 2 4" xfId="271"/>
    <cellStyle name="Normal 3 2 5" xfId="272"/>
    <cellStyle name="Normal 3 2 6" xfId="273"/>
    <cellStyle name="Normal 3 3" xfId="274"/>
    <cellStyle name="Normal 39" xfId="275"/>
    <cellStyle name="Normal 4" xfId="276"/>
    <cellStyle name="Normal 4 2" xfId="277"/>
    <cellStyle name="Normal 4 3" xfId="278"/>
    <cellStyle name="Normal 5" xfId="279"/>
    <cellStyle name="Normal 5 2" xfId="280"/>
    <cellStyle name="Normal 5 2 2" xfId="281"/>
    <cellStyle name="Normal 5 3" xfId="282"/>
    <cellStyle name="Normal 6" xfId="283"/>
    <cellStyle name="Normal 6 2" xfId="284"/>
    <cellStyle name="Normal 6 2 2" xfId="285"/>
    <cellStyle name="Normal 6 2 2 2" xfId="286"/>
    <cellStyle name="Normal 6 2 3" xfId="287"/>
    <cellStyle name="Normal 6 2 4" xfId="288"/>
    <cellStyle name="Normal 6 3" xfId="289"/>
    <cellStyle name="Normal 6 3 2" xfId="290"/>
    <cellStyle name="Normal 6 4" xfId="291"/>
    <cellStyle name="Normal 6 5" xfId="292"/>
    <cellStyle name="Normal 6 6" xfId="293"/>
    <cellStyle name="Normal 7" xfId="294"/>
    <cellStyle name="Normal 7 2" xfId="295"/>
    <cellStyle name="Normal 7 2 2" xfId="296"/>
    <cellStyle name="Normal 7 2 2 2" xfId="297"/>
    <cellStyle name="Normal 7 2 3" xfId="298"/>
    <cellStyle name="Normal 7 2 4" xfId="299"/>
    <cellStyle name="Normal 7 3" xfId="300"/>
    <cellStyle name="Normal 7 3 2" xfId="301"/>
    <cellStyle name="Normal 7 4" xfId="302"/>
    <cellStyle name="Normal 7 5" xfId="303"/>
    <cellStyle name="Normal 7 6" xfId="304"/>
    <cellStyle name="Normal 8" xfId="305"/>
    <cellStyle name="Normal 8 2" xfId="306"/>
    <cellStyle name="Normal 8 2 2" xfId="307"/>
    <cellStyle name="Normal 8 2 2 2" xfId="308"/>
    <cellStyle name="Normal 8 2 3" xfId="309"/>
    <cellStyle name="Normal 8 2 4" xfId="310"/>
    <cellStyle name="Normal 8 3" xfId="311"/>
    <cellStyle name="Normal 8 3 2" xfId="312"/>
    <cellStyle name="Normal 8 4" xfId="313"/>
    <cellStyle name="Normal 8 5" xfId="314"/>
    <cellStyle name="Normal 8 6" xfId="315"/>
    <cellStyle name="Normal 9" xfId="316"/>
    <cellStyle name="Normal 9 2" xfId="317"/>
    <cellStyle name="Normal 9 2 2" xfId="318"/>
    <cellStyle name="Normal 9 2 2 2" xfId="319"/>
    <cellStyle name="Normal 9 2 3" xfId="320"/>
    <cellStyle name="Normal 9 2 4" xfId="321"/>
    <cellStyle name="Normal 9 3" xfId="322"/>
    <cellStyle name="Normal 9 3 2" xfId="323"/>
    <cellStyle name="Normal 9 4" xfId="324"/>
    <cellStyle name="Normal 9 5" xfId="325"/>
    <cellStyle name="Normal 9 6" xfId="326"/>
    <cellStyle name="Normal_FORMATS 5 YEAR ALOKE 2" xfId="327"/>
    <cellStyle name="Percent [0]_#6 Temps &amp; Contractors" xfId="328"/>
    <cellStyle name="Percent [2]" xfId="329"/>
    <cellStyle name="Percent 10" xfId="330"/>
    <cellStyle name="Percent 11" xfId="331"/>
    <cellStyle name="Percent 11 2" xfId="332"/>
    <cellStyle name="Percent 11 2 2" xfId="333"/>
    <cellStyle name="Percent 11 2 2 2" xfId="334"/>
    <cellStyle name="Percent 11 2 3" xfId="335"/>
    <cellStyle name="Percent 11 2 4" xfId="336"/>
    <cellStyle name="Percent 11 3" xfId="337"/>
    <cellStyle name="Percent 11 3 2" xfId="338"/>
    <cellStyle name="Percent 11 4" xfId="339"/>
    <cellStyle name="Percent 11 5" xfId="340"/>
    <cellStyle name="Percent 12" xfId="341"/>
    <cellStyle name="Percent 12 2" xfId="342"/>
    <cellStyle name="Percent 12 2 2" xfId="343"/>
    <cellStyle name="Percent 12 3" xfId="344"/>
    <cellStyle name="Percent 12 4" xfId="345"/>
    <cellStyle name="Percent 13" xfId="346"/>
    <cellStyle name="Percent 13 2" xfId="347"/>
    <cellStyle name="Percent 13 2 2" xfId="348"/>
    <cellStyle name="Percent 13 2 2 2" xfId="349"/>
    <cellStyle name="Percent 13 2 3" xfId="350"/>
    <cellStyle name="Percent 13 2 4" xfId="351"/>
    <cellStyle name="Percent 13 3" xfId="352"/>
    <cellStyle name="Percent 13 3 2" xfId="353"/>
    <cellStyle name="Percent 13 4" xfId="354"/>
    <cellStyle name="Percent 13 5" xfId="355"/>
    <cellStyle name="Percent 14" xfId="356"/>
    <cellStyle name="Percent 14 2" xfId="357"/>
    <cellStyle name="Percent 14 2 2" xfId="358"/>
    <cellStyle name="Percent 14 3" xfId="359"/>
    <cellStyle name="Percent 14 4" xfId="360"/>
    <cellStyle name="Percent 15" xfId="361"/>
    <cellStyle name="Percent 15 2" xfId="362"/>
    <cellStyle name="Percent 15 2 2" xfId="363"/>
    <cellStyle name="Percent 15 3" xfId="364"/>
    <cellStyle name="Percent 15 4" xfId="365"/>
    <cellStyle name="Percent 16" xfId="366"/>
    <cellStyle name="Percent 17" xfId="367"/>
    <cellStyle name="Percent 17 2" xfId="368"/>
    <cellStyle name="Percent 17 2 2" xfId="369"/>
    <cellStyle name="Percent 17 3" xfId="370"/>
    <cellStyle name="Percent 17 4" xfId="371"/>
    <cellStyle name="Percent 18" xfId="372"/>
    <cellStyle name="Percent 18 2" xfId="373"/>
    <cellStyle name="Percent 18 2 2" xfId="374"/>
    <cellStyle name="Percent 18 3" xfId="375"/>
    <cellStyle name="Percent 18 4" xfId="376"/>
    <cellStyle name="Percent 19" xfId="377"/>
    <cellStyle name="Percent 2" xfId="378"/>
    <cellStyle name="Percent 2 2" xfId="379"/>
    <cellStyle name="Percent 2 2 2" xfId="380"/>
    <cellStyle name="Percent 2 3" xfId="381"/>
    <cellStyle name="Percent 2 3 2" xfId="382"/>
    <cellStyle name="Percent 2 3 2 2" xfId="383"/>
    <cellStyle name="Percent 2 3 2 2 2" xfId="384"/>
    <cellStyle name="Percent 2 3 2 3" xfId="385"/>
    <cellStyle name="Percent 2 3 2 4" xfId="386"/>
    <cellStyle name="Percent 2 3 3" xfId="387"/>
    <cellStyle name="Percent 2 3 3 2" xfId="388"/>
    <cellStyle name="Percent 2 3 4" xfId="389"/>
    <cellStyle name="Percent 2 3 5" xfId="390"/>
    <cellStyle name="Percent 2 3 6" xfId="391"/>
    <cellStyle name="Percent 2 4" xfId="392"/>
    <cellStyle name="Percent 20" xfId="393"/>
    <cellStyle name="Percent 3" xfId="394"/>
    <cellStyle name="Percent 3 2" xfId="395"/>
    <cellStyle name="Percent 3 3" xfId="396"/>
    <cellStyle name="Percent 4" xfId="397"/>
    <cellStyle name="Percent 4 2" xfId="398"/>
    <cellStyle name="Percent 4 3" xfId="399"/>
    <cellStyle name="Percent 41" xfId="400"/>
    <cellStyle name="Percent 5" xfId="401"/>
    <cellStyle name="Percent 5 2" xfId="402"/>
    <cellStyle name="Percent 5 2 2" xfId="403"/>
    <cellStyle name="Percent 5 2 2 2" xfId="404"/>
    <cellStyle name="Percent 5 2 3" xfId="405"/>
    <cellStyle name="Percent 5 2 4" xfId="406"/>
    <cellStyle name="Percent 5 2 5" xfId="407"/>
    <cellStyle name="Percent 5 3" xfId="408"/>
    <cellStyle name="Percent 5 3 2" xfId="409"/>
    <cellStyle name="Percent 5 3 3" xfId="410"/>
    <cellStyle name="Percent 5 4" xfId="411"/>
    <cellStyle name="Percent 5 5" xfId="412"/>
    <cellStyle name="Percent 5 6" xfId="413"/>
    <cellStyle name="Percent 6" xfId="414"/>
    <cellStyle name="Percent 6 2" xfId="415"/>
    <cellStyle name="Percent 7" xfId="416"/>
    <cellStyle name="Percent 7 2" xfId="417"/>
    <cellStyle name="Percent 7 2 2" xfId="418"/>
    <cellStyle name="Percent 7 2 2 2" xfId="419"/>
    <cellStyle name="Percent 7 2 3" xfId="420"/>
    <cellStyle name="Percent 7 2 4" xfId="421"/>
    <cellStyle name="Percent 7 3" xfId="422"/>
    <cellStyle name="Percent 7 3 2" xfId="423"/>
    <cellStyle name="Percent 7 4" xfId="424"/>
    <cellStyle name="Percent 7 5" xfId="425"/>
    <cellStyle name="Percent 7 6" xfId="426"/>
    <cellStyle name="Percent 8" xfId="427"/>
    <cellStyle name="Percent 8 2" xfId="428"/>
    <cellStyle name="Percent 8 2 2" xfId="429"/>
    <cellStyle name="Percent 8 2 2 2" xfId="430"/>
    <cellStyle name="Percent 8 2 3" xfId="431"/>
    <cellStyle name="Percent 8 2 4" xfId="432"/>
    <cellStyle name="Percent 8 3" xfId="433"/>
    <cellStyle name="Percent 8 3 2" xfId="434"/>
    <cellStyle name="Percent 8 4" xfId="435"/>
    <cellStyle name="Percent 8 5" xfId="436"/>
    <cellStyle name="Percent 9" xfId="437"/>
    <cellStyle name="Percent 9 2" xfId="438"/>
    <cellStyle name="Percent 9 2 2" xfId="439"/>
    <cellStyle name="Percent 9 2 2 2" xfId="440"/>
    <cellStyle name="Percent 9 2 3" xfId="441"/>
    <cellStyle name="Percent 9 2 4" xfId="442"/>
    <cellStyle name="Percent 9 3" xfId="443"/>
    <cellStyle name="Percent 9 4" xfId="444"/>
    <cellStyle name="Smart Title" xfId="445"/>
    <cellStyle name="Style 1" xfId="446"/>
    <cellStyle name="Style 2" xfId="447"/>
    <cellStyle name="Year" xfId="448"/>
  </cellStyles>
  <tableStyles count="0" defaultTableStyle="TableStyleMedium9" defaultPivotStyle="PivotStyleLight16"/>
  <colors>
    <mruColors>
      <color rgb="004B06BA"/>
      <color rgb="00FBCBA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worksheet" Target="worksheets/sheet99.xml"/><Relationship Id="rId98" Type="http://schemas.openxmlformats.org/officeDocument/2006/relationships/worksheet" Target="worksheets/sheet98.xml"/><Relationship Id="rId97" Type="http://schemas.openxmlformats.org/officeDocument/2006/relationships/worksheet" Target="worksheets/sheet97.xml"/><Relationship Id="rId96" Type="http://schemas.openxmlformats.org/officeDocument/2006/relationships/worksheet" Target="worksheets/sheet96.xml"/><Relationship Id="rId95" Type="http://schemas.openxmlformats.org/officeDocument/2006/relationships/worksheet" Target="worksheets/sheet95.xml"/><Relationship Id="rId94" Type="http://schemas.openxmlformats.org/officeDocument/2006/relationships/worksheet" Target="worksheets/sheet94.xml"/><Relationship Id="rId93" Type="http://schemas.openxmlformats.org/officeDocument/2006/relationships/worksheet" Target="worksheets/sheet93.xml"/><Relationship Id="rId92" Type="http://schemas.openxmlformats.org/officeDocument/2006/relationships/worksheet" Target="worksheets/sheet92.xml"/><Relationship Id="rId91" Type="http://schemas.openxmlformats.org/officeDocument/2006/relationships/worksheet" Target="worksheets/sheet91.xml"/><Relationship Id="rId90" Type="http://schemas.openxmlformats.org/officeDocument/2006/relationships/worksheet" Target="worksheets/sheet90.xml"/><Relationship Id="rId9" Type="http://schemas.openxmlformats.org/officeDocument/2006/relationships/worksheet" Target="worksheets/sheet9.xml"/><Relationship Id="rId89" Type="http://schemas.openxmlformats.org/officeDocument/2006/relationships/worksheet" Target="worksheets/sheet89.xml"/><Relationship Id="rId88" Type="http://schemas.openxmlformats.org/officeDocument/2006/relationships/worksheet" Target="worksheets/sheet88.xml"/><Relationship Id="rId87" Type="http://schemas.openxmlformats.org/officeDocument/2006/relationships/worksheet" Target="worksheets/sheet87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6" Type="http://schemas.openxmlformats.org/officeDocument/2006/relationships/styles" Target="styles.xml"/><Relationship Id="rId185" Type="http://schemas.openxmlformats.org/officeDocument/2006/relationships/sharedStrings" Target="sharedStrings.xml"/><Relationship Id="rId184" Type="http://schemas.openxmlformats.org/officeDocument/2006/relationships/theme" Target="theme/theme1.xml"/><Relationship Id="rId183" Type="http://schemas.openxmlformats.org/officeDocument/2006/relationships/externalLink" Target="externalLinks/externalLink71.xml"/><Relationship Id="rId182" Type="http://schemas.openxmlformats.org/officeDocument/2006/relationships/externalLink" Target="externalLinks/externalLink70.xml"/><Relationship Id="rId181" Type="http://schemas.openxmlformats.org/officeDocument/2006/relationships/externalLink" Target="externalLinks/externalLink69.xml"/><Relationship Id="rId180" Type="http://schemas.openxmlformats.org/officeDocument/2006/relationships/externalLink" Target="externalLinks/externalLink68.xml"/><Relationship Id="rId18" Type="http://schemas.openxmlformats.org/officeDocument/2006/relationships/worksheet" Target="worksheets/sheet18.xml"/><Relationship Id="rId179" Type="http://schemas.openxmlformats.org/officeDocument/2006/relationships/externalLink" Target="externalLinks/externalLink67.xml"/><Relationship Id="rId178" Type="http://schemas.openxmlformats.org/officeDocument/2006/relationships/externalLink" Target="externalLinks/externalLink66.xml"/><Relationship Id="rId177" Type="http://schemas.openxmlformats.org/officeDocument/2006/relationships/externalLink" Target="externalLinks/externalLink65.xml"/><Relationship Id="rId176" Type="http://schemas.openxmlformats.org/officeDocument/2006/relationships/externalLink" Target="externalLinks/externalLink64.xml"/><Relationship Id="rId175" Type="http://schemas.openxmlformats.org/officeDocument/2006/relationships/externalLink" Target="externalLinks/externalLink63.xml"/><Relationship Id="rId174" Type="http://schemas.openxmlformats.org/officeDocument/2006/relationships/externalLink" Target="externalLinks/externalLink62.xml"/><Relationship Id="rId173" Type="http://schemas.openxmlformats.org/officeDocument/2006/relationships/externalLink" Target="externalLinks/externalLink61.xml"/><Relationship Id="rId172" Type="http://schemas.openxmlformats.org/officeDocument/2006/relationships/externalLink" Target="externalLinks/externalLink60.xml"/><Relationship Id="rId171" Type="http://schemas.openxmlformats.org/officeDocument/2006/relationships/externalLink" Target="externalLinks/externalLink59.xml"/><Relationship Id="rId170" Type="http://schemas.openxmlformats.org/officeDocument/2006/relationships/externalLink" Target="externalLinks/externalLink58.xml"/><Relationship Id="rId17" Type="http://schemas.openxmlformats.org/officeDocument/2006/relationships/worksheet" Target="worksheets/sheet17.xml"/><Relationship Id="rId169" Type="http://schemas.openxmlformats.org/officeDocument/2006/relationships/externalLink" Target="externalLinks/externalLink57.xml"/><Relationship Id="rId168" Type="http://schemas.openxmlformats.org/officeDocument/2006/relationships/externalLink" Target="externalLinks/externalLink56.xml"/><Relationship Id="rId167" Type="http://schemas.openxmlformats.org/officeDocument/2006/relationships/externalLink" Target="externalLinks/externalLink55.xml"/><Relationship Id="rId166" Type="http://schemas.openxmlformats.org/officeDocument/2006/relationships/externalLink" Target="externalLinks/externalLink54.xml"/><Relationship Id="rId165" Type="http://schemas.openxmlformats.org/officeDocument/2006/relationships/externalLink" Target="externalLinks/externalLink53.xml"/><Relationship Id="rId164" Type="http://schemas.openxmlformats.org/officeDocument/2006/relationships/externalLink" Target="externalLinks/externalLink52.xml"/><Relationship Id="rId163" Type="http://schemas.openxmlformats.org/officeDocument/2006/relationships/externalLink" Target="externalLinks/externalLink51.xml"/><Relationship Id="rId162" Type="http://schemas.openxmlformats.org/officeDocument/2006/relationships/externalLink" Target="externalLinks/externalLink50.xml"/><Relationship Id="rId161" Type="http://schemas.openxmlformats.org/officeDocument/2006/relationships/externalLink" Target="externalLinks/externalLink49.xml"/><Relationship Id="rId160" Type="http://schemas.openxmlformats.org/officeDocument/2006/relationships/externalLink" Target="externalLinks/externalLink48.xml"/><Relationship Id="rId16" Type="http://schemas.openxmlformats.org/officeDocument/2006/relationships/worksheet" Target="worksheets/sheet16.xml"/><Relationship Id="rId159" Type="http://schemas.openxmlformats.org/officeDocument/2006/relationships/externalLink" Target="externalLinks/externalLink47.xml"/><Relationship Id="rId158" Type="http://schemas.openxmlformats.org/officeDocument/2006/relationships/externalLink" Target="externalLinks/externalLink46.xml"/><Relationship Id="rId157" Type="http://schemas.openxmlformats.org/officeDocument/2006/relationships/externalLink" Target="externalLinks/externalLink45.xml"/><Relationship Id="rId156" Type="http://schemas.openxmlformats.org/officeDocument/2006/relationships/externalLink" Target="externalLinks/externalLink44.xml"/><Relationship Id="rId155" Type="http://schemas.openxmlformats.org/officeDocument/2006/relationships/externalLink" Target="externalLinks/externalLink43.xml"/><Relationship Id="rId154" Type="http://schemas.openxmlformats.org/officeDocument/2006/relationships/externalLink" Target="externalLinks/externalLink42.xml"/><Relationship Id="rId153" Type="http://schemas.openxmlformats.org/officeDocument/2006/relationships/externalLink" Target="externalLinks/externalLink41.xml"/><Relationship Id="rId152" Type="http://schemas.openxmlformats.org/officeDocument/2006/relationships/externalLink" Target="externalLinks/externalLink40.xml"/><Relationship Id="rId151" Type="http://schemas.openxmlformats.org/officeDocument/2006/relationships/externalLink" Target="externalLinks/externalLink39.xml"/><Relationship Id="rId150" Type="http://schemas.openxmlformats.org/officeDocument/2006/relationships/externalLink" Target="externalLinks/externalLink38.xml"/><Relationship Id="rId15" Type="http://schemas.openxmlformats.org/officeDocument/2006/relationships/worksheet" Target="worksheets/sheet15.xml"/><Relationship Id="rId149" Type="http://schemas.openxmlformats.org/officeDocument/2006/relationships/externalLink" Target="externalLinks/externalLink37.xml"/><Relationship Id="rId148" Type="http://schemas.openxmlformats.org/officeDocument/2006/relationships/externalLink" Target="externalLinks/externalLink36.xml"/><Relationship Id="rId147" Type="http://schemas.openxmlformats.org/officeDocument/2006/relationships/externalLink" Target="externalLinks/externalLink35.xml"/><Relationship Id="rId146" Type="http://schemas.openxmlformats.org/officeDocument/2006/relationships/externalLink" Target="externalLinks/externalLink34.xml"/><Relationship Id="rId145" Type="http://schemas.openxmlformats.org/officeDocument/2006/relationships/externalLink" Target="externalLinks/externalLink33.xml"/><Relationship Id="rId144" Type="http://schemas.openxmlformats.org/officeDocument/2006/relationships/externalLink" Target="externalLinks/externalLink32.xml"/><Relationship Id="rId143" Type="http://schemas.openxmlformats.org/officeDocument/2006/relationships/externalLink" Target="externalLinks/externalLink31.xml"/><Relationship Id="rId142" Type="http://schemas.openxmlformats.org/officeDocument/2006/relationships/externalLink" Target="externalLinks/externalLink30.xml"/><Relationship Id="rId141" Type="http://schemas.openxmlformats.org/officeDocument/2006/relationships/externalLink" Target="externalLinks/externalLink29.xml"/><Relationship Id="rId140" Type="http://schemas.openxmlformats.org/officeDocument/2006/relationships/externalLink" Target="externalLinks/externalLink28.xml"/><Relationship Id="rId14" Type="http://schemas.openxmlformats.org/officeDocument/2006/relationships/worksheet" Target="worksheets/sheet14.xml"/><Relationship Id="rId139" Type="http://schemas.openxmlformats.org/officeDocument/2006/relationships/externalLink" Target="externalLinks/externalLink27.xml"/><Relationship Id="rId138" Type="http://schemas.openxmlformats.org/officeDocument/2006/relationships/externalLink" Target="externalLinks/externalLink26.xml"/><Relationship Id="rId137" Type="http://schemas.openxmlformats.org/officeDocument/2006/relationships/externalLink" Target="externalLinks/externalLink25.xml"/><Relationship Id="rId136" Type="http://schemas.openxmlformats.org/officeDocument/2006/relationships/externalLink" Target="externalLinks/externalLink24.xml"/><Relationship Id="rId135" Type="http://schemas.openxmlformats.org/officeDocument/2006/relationships/externalLink" Target="externalLinks/externalLink23.xml"/><Relationship Id="rId134" Type="http://schemas.openxmlformats.org/officeDocument/2006/relationships/externalLink" Target="externalLinks/externalLink22.xml"/><Relationship Id="rId133" Type="http://schemas.openxmlformats.org/officeDocument/2006/relationships/externalLink" Target="externalLinks/externalLink21.xml"/><Relationship Id="rId132" Type="http://schemas.openxmlformats.org/officeDocument/2006/relationships/externalLink" Target="externalLinks/externalLink20.xml"/><Relationship Id="rId131" Type="http://schemas.openxmlformats.org/officeDocument/2006/relationships/externalLink" Target="externalLinks/externalLink19.xml"/><Relationship Id="rId130" Type="http://schemas.openxmlformats.org/officeDocument/2006/relationships/externalLink" Target="externalLinks/externalLink18.xml"/><Relationship Id="rId13" Type="http://schemas.openxmlformats.org/officeDocument/2006/relationships/worksheet" Target="worksheets/sheet13.xml"/><Relationship Id="rId129" Type="http://schemas.openxmlformats.org/officeDocument/2006/relationships/externalLink" Target="externalLinks/externalLink17.xml"/><Relationship Id="rId128" Type="http://schemas.openxmlformats.org/officeDocument/2006/relationships/externalLink" Target="externalLinks/externalLink16.xml"/><Relationship Id="rId127" Type="http://schemas.openxmlformats.org/officeDocument/2006/relationships/externalLink" Target="externalLinks/externalLink15.xml"/><Relationship Id="rId126" Type="http://schemas.openxmlformats.org/officeDocument/2006/relationships/externalLink" Target="externalLinks/externalLink14.xml"/><Relationship Id="rId125" Type="http://schemas.openxmlformats.org/officeDocument/2006/relationships/externalLink" Target="externalLinks/externalLink13.xml"/><Relationship Id="rId124" Type="http://schemas.openxmlformats.org/officeDocument/2006/relationships/externalLink" Target="externalLinks/externalLink12.xml"/><Relationship Id="rId123" Type="http://schemas.openxmlformats.org/officeDocument/2006/relationships/externalLink" Target="externalLinks/externalLink11.xml"/><Relationship Id="rId122" Type="http://schemas.openxmlformats.org/officeDocument/2006/relationships/externalLink" Target="externalLinks/externalLink10.xml"/><Relationship Id="rId121" Type="http://schemas.openxmlformats.org/officeDocument/2006/relationships/externalLink" Target="externalLinks/externalLink9.xml"/><Relationship Id="rId120" Type="http://schemas.openxmlformats.org/officeDocument/2006/relationships/externalLink" Target="externalLinks/externalLink8.xml"/><Relationship Id="rId12" Type="http://schemas.openxmlformats.org/officeDocument/2006/relationships/worksheet" Target="worksheets/sheet12.xml"/><Relationship Id="rId119" Type="http://schemas.openxmlformats.org/officeDocument/2006/relationships/externalLink" Target="externalLinks/externalLink7.xml"/><Relationship Id="rId118" Type="http://schemas.openxmlformats.org/officeDocument/2006/relationships/externalLink" Target="externalLinks/externalLink6.xml"/><Relationship Id="rId117" Type="http://schemas.openxmlformats.org/officeDocument/2006/relationships/externalLink" Target="externalLinks/externalLink5.xml"/><Relationship Id="rId116" Type="http://schemas.openxmlformats.org/officeDocument/2006/relationships/externalLink" Target="externalLinks/externalLink4.xml"/><Relationship Id="rId115" Type="http://schemas.openxmlformats.org/officeDocument/2006/relationships/externalLink" Target="externalLinks/externalLink3.xml"/><Relationship Id="rId114" Type="http://schemas.openxmlformats.org/officeDocument/2006/relationships/externalLink" Target="externalLinks/externalLink2.xml"/><Relationship Id="rId113" Type="http://schemas.openxmlformats.org/officeDocument/2006/relationships/externalLink" Target="externalLinks/externalLink1.xml"/><Relationship Id="rId112" Type="http://schemas.openxmlformats.org/officeDocument/2006/relationships/worksheet" Target="worksheets/sheet112.xml"/><Relationship Id="rId111" Type="http://schemas.openxmlformats.org/officeDocument/2006/relationships/worksheet" Target="worksheets/sheet111.xml"/><Relationship Id="rId110" Type="http://schemas.openxmlformats.org/officeDocument/2006/relationships/worksheet" Target="worksheets/sheet110.xml"/><Relationship Id="rId11" Type="http://schemas.openxmlformats.org/officeDocument/2006/relationships/worksheet" Target="worksheets/sheet11.xml"/><Relationship Id="rId109" Type="http://schemas.openxmlformats.org/officeDocument/2006/relationships/worksheet" Target="worksheets/sheet109.xml"/><Relationship Id="rId108" Type="http://schemas.openxmlformats.org/officeDocument/2006/relationships/worksheet" Target="worksheets/sheet108.xml"/><Relationship Id="rId107" Type="http://schemas.openxmlformats.org/officeDocument/2006/relationships/worksheet" Target="worksheets/sheet107.xml"/><Relationship Id="rId106" Type="http://schemas.openxmlformats.org/officeDocument/2006/relationships/worksheet" Target="worksheets/sheet106.xml"/><Relationship Id="rId105" Type="http://schemas.openxmlformats.org/officeDocument/2006/relationships/worksheet" Target="worksheets/sheet105.xml"/><Relationship Id="rId104" Type="http://schemas.openxmlformats.org/officeDocument/2006/relationships/worksheet" Target="worksheets/sheet104.xml"/><Relationship Id="rId103" Type="http://schemas.openxmlformats.org/officeDocument/2006/relationships/worksheet" Target="worksheets/sheet103.xml"/><Relationship Id="rId102" Type="http://schemas.openxmlformats.org/officeDocument/2006/relationships/worksheet" Target="worksheets/sheet102.xml"/><Relationship Id="rId101" Type="http://schemas.openxmlformats.org/officeDocument/2006/relationships/worksheet" Target="worksheets/sheet101.xml"/><Relationship Id="rId100" Type="http://schemas.openxmlformats.org/officeDocument/2006/relationships/worksheet" Target="worksheets/sheet100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h1\EMAIL\Performance\PERFORMANCE\ocm\Yearly_perf\OCMJAN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Data%20received%20from%20Previous%20Consultant\Sales%20model_revised\Final%20Sales%20and%20Revenue_FY24_v75_VB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Data%20received%20from%20Previous%20Consultant\Sales%20model_revised\Sales%20&amp;%20Revenue%20Worksheet%20v6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Tariff%20Order%20for%20FY%202022-23%20Analysi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Tariff%20Order%20for%20FY%202023-24%20Analysi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hp\Desktop\ARR%20for%20FY%202024-25%20with%20a%20gap%20of%2016500\ARR%20Filings%202024-25\Models\Sales%20&amp;%20Revenue\Sales%20&amp;%20Revenue%20Worksheet%20v5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Sales%20and%20Revenue%20%20FY%202024-25(PWC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SSPDCL\Downloads\Final%20Sales%20and%20Revenue_FY24%20Final%20(1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Data%20received%20from%20Previous%20Consultant\Sales%20model_revised\Final%20Sales%20and%20Revenue_FY24_v84_VB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Data%20received%20from%20Previous%20Consultant\Sales%20model_revised\Final%20Sales%20and%20Revenue_FY25_v91_VB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Data%20received%20from%20Previous%20Consultant\Sales%20model_revised\Revenue_FY27_v84_VB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21\shared%20doc\ARR%202.6%20REV\Performance\PERFORMANCE\ocm\Yearly_perf\OCMJAN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Data%20received%20from%20Previous%20Consultant\Sales%20model_revised\Revenue_FY28_v84_VB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Data%20received%20from%20Previous%20Consultant\Sales%20model_revised\Revenue_FY29_v84_VB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Tariff%20Order%20for%20FY%202023-24%20Analysi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Actual%20Sales%20&amp;%20Revenue%20Worksheet%20for%2024-25%20TSNPDCL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Format%20-%204%20and%20AGL%20sales%20from-4-22\Form-4%20-%204-22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Format%20-%204%20and%20AGL%20sales%20from-4-22\Form-4%20-%205-22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Format%20-%204%20and%20AGL%20sales%20from-4-22\Form-4%20-%206-2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Format%20-%204%20and%20AGL%20sales%20from-4-22\Form-4%20-%207-22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Format%20-%204%20and%20AGL%20sales%20from-4-22\Form-4%20-%208-22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Format%20-%204%20and%20AGL%20sales%20from-4-22\Form-4%20-%209-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erformance\PERFORMANCE\ocm\Yearly_perf\OCMJAN200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Format%20-%204%20and%20AGL%20sales%20from-4-22\Form-4%20-%2010-2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Format%20-%204%20and%20AGL%20sales%20from-4-22\Form-4%20-%2011-22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Format%20-%204%20and%20AGL%20sales%20from-4-22\Form-4%20-%2012-2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Format%20-%204%20and%20AGL%20sales%20from-4-22\Form-4%20-%201-23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Format%20-%204%20and%20AGL%20sales%20from-4-22\Form-4%20-%202-23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Format%20-%204%20and%20AGL%20sales%20from-4-22\Form-4%20-%203-23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\Desktop\EA-LOSSES%20(APRIL-2022-MAR-2023)\Format%20-%204%20and%20AGL%20sales%20from-4-22\Form-4%20-%204-22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TSNPDCL%20PP%20MODEL%202023-24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SSPDCL\Desktop\ARR%20for%20FY%202025-26%20FINAL\5%20years%20PP%20cost%20model\RAC%20models\ARR%20FY%2026%20KPMG%2021052024_FINAL.xlsb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SSPDCL\Desktop\ARR%20for%20FY%202025-26%20FINAL\5%20years%20PP%20cost%20model\RAC%20models\ARR%20FY%2027%20KPMG%2021052024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Network%20cost%20growth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SSPDCL\Desktop\ARR%20for%20FY%202025-26%20FINAL\5%20years%20PP%20cost%20model\RAC%20models\ARR%20FY%2028%20KPMG%2021052024_FINAL.xlsb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SSPDCL\Desktop\ARR%20for%20FY%202025-26%20FINAL\5%20years%20PP%20cost%20model\RAC%20models\ARR%20FY%2029%20KPMG%2021052024.xlsb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SSPDCL\Desktop\ARR%20for%20FY%202025-26%20FINAL\5%20years%20PP%20cost%20model\RAC%20models\ARR%20FY%2025%20KPMG%2021052024%20-%20Target.xlsb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divyakalavakuri_kpmg_com\Documents\Documents\work\24%20June\RSB%20new%20formats%20dvya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Tariff%20Order%20for%20FY%202022-23%20Analysi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TSNPDCL%20PP%20MODEL%202024-25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SSPDCL\Desktop\ARR%20for%20FY%202025-26%20FINAL\PP%20True-up\FY%202023-24\FC%20VC%202023-24%20up%20to%20March'24-Provisional%20-%20Dt-24-05-2024%20-%20FSA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venkatasaik\AppData\Local\Microsoft\Windows\INetCache\Content.Outlook\LB28R32G\Tariff%20Order%20for%20FY%202022-23%20Analysi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venkatasaik\AppData\Local\Microsoft\Windows\INetCache\Content.Outlook\LB28R32G\Tariff%20Order%20for%20FY%202023-24%20Analysi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venkatasaik\AppData\Local\Microsoft\Windows\INetCache\Content.Outlook\LB28R32G\FC%20VC%202022-23%20up%20to%20March'23-Provisional%20-Dt-10-07-2023-Update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_Writeup_Affidavit_RSB\@%20FY%2026\DB\ARR\Formats%20-%20SPDCL\TSSPDCL%20DB%20MYT%20FORMATS%205TH%20CP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\corporateoffice\DE%20RAC\FC%20VC%202023-24%20up%20to%20March'24-Provisional%20-%20Dt-24-05-2024%20-%20FSA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\corporateoffice\DE%20RAC\FC%20VC%202023-24%20up%20to%20March'24-Provisional%20-TSPCC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SSPDCL\Desktop\ARR%20for%20FY%202025-26%20FINAL\PP%20True-up\FY%202022-23\PP%20True%20Up%20FY%202022-23%2022%20Jan%20%202024%20acc%20to%20Regulations_V2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RSB%20Total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sreeharshac_kpmg_com\Documents\Desktop\New%20Microsoft%20Excel%20Worksheet%20(8)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\corporateoffice\DE%20RAC\TSSPDCL%20O&amp;M%20Workbook%2018.01.23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\corporateoffice\DE%20RAC\TSSPDCL%20DB%20MYT%20FORMATS%205TH%20CP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SSPDCL\Desktop\ARR%20for%20FY%202025-26%20FINAL\DBMYT%20DATA\Workings%20for%205th%20CP\RAC\2023-24%20Quarterly%20Financials\DBMYT%20Formats_Accts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Data%20received%20from%20Previous%20Consultant\Sales%20model_revised\Int.%20on%20CSD_TGSPDCL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_Writeup_Affidavit_RSB\@%20FY%2026\DB\ARR\Formats%20-%20SPDCL\TSSPDCL%20O&amp;M%20Workbook%2018.01.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corporateoffice\DE%20RAC\SPDCL-Distribution-MYT%20formats%205th%20CP-VBR_M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_Writeup_Affidavit_RSB\@%20FY%2026\DB\ARR\Formats%20-%20SPDCL\SPDCL-Distribution-MYT%20formats%205th%20CP-VBR_M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arshanand\AppData\Local\Microsoft\Windows\INetCache\Content.Outlook\W5ZJ0XHZ\TSSPDCL%20DB%20MYT%20FORMATS%205TH%20CP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CSS%20Model\CSS%20Model_2024-25%20-%20New%20100%20percent%20load%20factor.xlsm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CSS%20Model\CSS%20Model_2024-25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_Writeup_Affidavit_RSB\@%20FY%2026\GDC_CoS_Model_22.12_v2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\corporateoffice\DE%20RAC\GDC_CoS_Model_22.12_v2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Data%20received%20from%20Previous%20Consultant\Sales%20model_revised\FY%202022-23_Actual%20revenue\LT%20Revenue%20Format%207%20%202022-23%20final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Data%20received%20from%20Previous%20Consultant\Sales%20model_revised\Final%20Sales%20and%20Revenue_FY24_v89_VB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SSPDCL\Desktop\ARR%20for%20FY%202025-26%20FINAL\PP%20True-up\FY%202022-23\PP%20True%20Up%20FY%202022-23%2022%20Jan%20%202024%20actual%20sales_V3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SSPDCL\Desktop\ARR%20for%20FY%202025-26%20FINAL\PP%20True-up\FY%202023-24\PP%20True%20Up%20FY%202023-24%20acc%20to%20Regulations_V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_Writeup_Affidavit_RSB\5%20years%20PP%20cost%20model\RAC%20models\ARR%20FY%2026%20KPMG%2021052024_FY26%20Filing.xlsb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SSPDCL\Desktop\ARR%20for%20FY%202025-26%20FINAL\PP%20True-up\FY%202023-24\PP%20True%20Up%20FY%202023-24%20acc%20to%20sales_V2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venkatasaik\OneDrive%20-%20KPMG\35.%20Telanga%20Power%20Utilities\ARR%20Filing\True-up%20model\PP%20True%20Up%20FY%202022-23%20V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SSPDCL\Desktop\ARR%20for%20FY%202025-26%20FINAL\petition_13,000%20Cr.%20gap\Corrigendum%20petition\Corrigendum%20petition%20data\TGSPDCL\schedule%201%20%20RSB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Data%20received%20from%20Previous%20Consultant\Sales%20model_revised\Int.%20on%20CSD_FY%2025-2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2000-01"/>
      <sheetName val="04REL"/>
      <sheetName val="Inputs &amp; Assumptions"/>
      <sheetName val="Daily_input"/>
      <sheetName val="Daily_report"/>
      <sheetName val="Title"/>
      <sheetName val="CAPI_01-02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tate Sales"/>
      <sheetName val="Sales_SP"/>
      <sheetName val="Sales_NP"/>
      <sheetName val="Scenarios"/>
      <sheetName val="LIS"/>
      <sheetName val="Rev_NP-12me existing Cl"/>
      <sheetName val="Rev_NP-12me"/>
      <sheetName val="Summary"/>
      <sheetName val="PPT Slides(correct)"/>
      <sheetName val="Rev_SP-12me existing Cl"/>
      <sheetName val="Rev_SP-12me"/>
      <sheetName val="Total Rev Current_SP"/>
      <sheetName val="Rev SP FY24"/>
      <sheetName val="Rev NP FY24"/>
      <sheetName val="EV Stations_NPDCL"/>
      <sheetName val="Additional Loads_NPDCL"/>
      <sheetName val="Additional Loads_SPDCL 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  <sheetName val="OUTPUT"/>
    </sheetNames>
    <sheetDataSet>
      <sheetData sheetId="0"/>
      <sheetData sheetId="1"/>
      <sheetData sheetId="2">
        <row r="10">
          <cell r="CG10">
            <v>884.884793</v>
          </cell>
          <cell r="CH10">
            <v>1043.906337</v>
          </cell>
          <cell r="CI10">
            <v>792.471829</v>
          </cell>
          <cell r="CJ10">
            <v>709.51629</v>
          </cell>
          <cell r="CK10">
            <v>712.021638</v>
          </cell>
          <cell r="CL10">
            <v>683.041211</v>
          </cell>
          <cell r="CM10">
            <v>670.673864</v>
          </cell>
          <cell r="CN10">
            <v>623.023792</v>
          </cell>
          <cell r="CO10">
            <v>587.786236</v>
          </cell>
          <cell r="CP10">
            <v>604.0984</v>
          </cell>
          <cell r="CQ10">
            <v>620.276841</v>
          </cell>
          <cell r="CR10">
            <v>777.946403</v>
          </cell>
        </row>
        <row r="10">
          <cell r="CT10">
            <v>889.482661</v>
          </cell>
          <cell r="CU10">
            <v>1007.1437855</v>
          </cell>
          <cell r="CV10">
            <v>774.11618395</v>
          </cell>
          <cell r="CW10">
            <v>787.64137773</v>
          </cell>
          <cell r="CX10">
            <v>711.48126579</v>
          </cell>
          <cell r="CY10">
            <v>733.62959309</v>
          </cell>
          <cell r="CZ10">
            <v>716.03611939</v>
          </cell>
          <cell r="DA10">
            <v>619.75025767</v>
          </cell>
          <cell r="DB10">
            <v>597.95278521</v>
          </cell>
          <cell r="DC10">
            <v>616.09748825</v>
          </cell>
          <cell r="DD10">
            <v>615.98324113</v>
          </cell>
          <cell r="DE10">
            <v>842.5288991</v>
          </cell>
        </row>
        <row r="10">
          <cell r="DG10">
            <v>958.6312096</v>
          </cell>
          <cell r="DH10">
            <v>947.77734622</v>
          </cell>
          <cell r="DI10">
            <v>817.066939</v>
          </cell>
          <cell r="DJ10">
            <v>781.51773</v>
          </cell>
          <cell r="DK10">
            <v>783.46889321</v>
          </cell>
          <cell r="DL10">
            <v>744.23774119</v>
          </cell>
          <cell r="DM10">
            <v>770.82084596</v>
          </cell>
          <cell r="DN10">
            <v>678.15063825</v>
          </cell>
          <cell r="DO10">
            <v>642.3749949</v>
          </cell>
          <cell r="DP10">
            <v>634.498739</v>
          </cell>
          <cell r="DQ10">
            <v>652.04275759</v>
          </cell>
          <cell r="DR10">
            <v>924.62434831</v>
          </cell>
        </row>
        <row r="10">
          <cell r="DV10">
            <v>1054.49917709</v>
          </cell>
          <cell r="DW10">
            <v>1071.68560656</v>
          </cell>
          <cell r="DX10">
            <v>919.87931851</v>
          </cell>
          <cell r="DY10">
            <v>782.42434202</v>
          </cell>
          <cell r="DZ10">
            <v>835.5457414</v>
          </cell>
          <cell r="EA10">
            <v>808.12435736</v>
          </cell>
          <cell r="EB10">
            <v>747.661322</v>
          </cell>
          <cell r="EC10">
            <v>713.3555715</v>
          </cell>
          <cell r="ED10">
            <v>720.93670168</v>
          </cell>
          <cell r="EE10">
            <v>682.8638952</v>
          </cell>
          <cell r="EF10">
            <v>721.0716355</v>
          </cell>
          <cell r="EG10">
            <v>894.06128425</v>
          </cell>
        </row>
        <row r="10">
          <cell r="FE10">
            <v>979.833323</v>
          </cell>
          <cell r="FF10">
            <v>1179.125271</v>
          </cell>
          <cell r="FG10">
            <v>1050.9543275</v>
          </cell>
          <cell r="FH10">
            <v>823.852195</v>
          </cell>
          <cell r="FI10">
            <v>942.718718</v>
          </cell>
          <cell r="FJ10">
            <v>873.6558675</v>
          </cell>
          <cell r="FK10">
            <v>789.934703276466</v>
          </cell>
          <cell r="FL10">
            <v>753.689277647917</v>
          </cell>
          <cell r="FM10">
            <v>761.699051114891</v>
          </cell>
          <cell r="FN10">
            <v>721.473577087118</v>
          </cell>
          <cell r="FO10">
            <v>761.841614203187</v>
          </cell>
          <cell r="FP10">
            <v>944.612238862077</v>
          </cell>
        </row>
        <row r="10">
          <cell r="FZ10">
            <v>1163.81</v>
          </cell>
          <cell r="GA10">
            <v>1167.31</v>
          </cell>
          <cell r="GB10">
            <v>1004.03</v>
          </cell>
          <cell r="GC10">
            <v>904.57</v>
          </cell>
          <cell r="GD10">
            <v>936.12</v>
          </cell>
          <cell r="GE10">
            <v>874.14</v>
          </cell>
          <cell r="GF10">
            <v>905.14</v>
          </cell>
          <cell r="GG10">
            <v>790.06</v>
          </cell>
          <cell r="GH10">
            <v>755.06</v>
          </cell>
          <cell r="GI10">
            <v>761.42</v>
          </cell>
          <cell r="GJ10">
            <v>771.96</v>
          </cell>
          <cell r="GK10">
            <v>1075.7</v>
          </cell>
        </row>
        <row r="23">
          <cell r="CG23">
            <v>256.562792</v>
          </cell>
          <cell r="CH23">
            <v>285.334947</v>
          </cell>
          <cell r="CI23">
            <v>241.302582</v>
          </cell>
          <cell r="CJ23">
            <v>229.495392</v>
          </cell>
          <cell r="CK23">
            <v>218.639599</v>
          </cell>
          <cell r="CL23">
            <v>213.824873</v>
          </cell>
          <cell r="CM23">
            <v>209.363924</v>
          </cell>
          <cell r="CN23">
            <v>206.508438</v>
          </cell>
          <cell r="CO23">
            <v>194.340244</v>
          </cell>
          <cell r="CP23">
            <v>196.372163</v>
          </cell>
          <cell r="CQ23">
            <v>205.114459</v>
          </cell>
          <cell r="CR23">
            <v>125.227008</v>
          </cell>
        </row>
        <row r="23">
          <cell r="CT23">
            <v>157.241375</v>
          </cell>
          <cell r="CU23">
            <v>245.755592</v>
          </cell>
          <cell r="CV23">
            <v>166.2556645</v>
          </cell>
          <cell r="CW23">
            <v>165.3770375</v>
          </cell>
          <cell r="CX23">
            <v>155.674095</v>
          </cell>
          <cell r="CY23">
            <v>171.68024801</v>
          </cell>
          <cell r="CZ23">
            <v>177.68252325</v>
          </cell>
          <cell r="DA23">
            <v>167.36727319</v>
          </cell>
          <cell r="DB23">
            <v>169.94316952</v>
          </cell>
          <cell r="DC23">
            <v>173.3462431</v>
          </cell>
          <cell r="DD23">
            <v>180.2769248</v>
          </cell>
          <cell r="DE23">
            <v>229.97228746</v>
          </cell>
        </row>
        <row r="23">
          <cell r="DG23">
            <v>216.622602</v>
          </cell>
          <cell r="DH23">
            <v>164.782805</v>
          </cell>
          <cell r="DI23">
            <v>187.96645104</v>
          </cell>
          <cell r="DJ23">
            <v>203.2554</v>
          </cell>
          <cell r="DK23">
            <v>208.33792147</v>
          </cell>
          <cell r="DL23">
            <v>202.38050946</v>
          </cell>
          <cell r="DM23">
            <v>219.36207261</v>
          </cell>
          <cell r="DN23">
            <v>206.03346725</v>
          </cell>
          <cell r="DO23">
            <v>200.8110605</v>
          </cell>
          <cell r="DP23">
            <v>188.034485</v>
          </cell>
          <cell r="DQ23">
            <v>203.62566825</v>
          </cell>
          <cell r="DR23">
            <v>267.1268865</v>
          </cell>
        </row>
        <row r="23">
          <cell r="DV23">
            <v>287.3821605</v>
          </cell>
          <cell r="DW23">
            <v>294.66361475</v>
          </cell>
          <cell r="DX23">
            <v>268.698341</v>
          </cell>
          <cell r="DY23">
            <v>231.91902975</v>
          </cell>
          <cell r="DZ23">
            <v>252.08797125</v>
          </cell>
          <cell r="EA23">
            <v>251.81102075</v>
          </cell>
          <cell r="EB23">
            <v>239.37629918</v>
          </cell>
          <cell r="EC23">
            <v>240.630599</v>
          </cell>
          <cell r="ED23">
            <v>244.72922025</v>
          </cell>
          <cell r="EE23">
            <v>231.475063</v>
          </cell>
          <cell r="EF23">
            <v>247.637579</v>
          </cell>
          <cell r="EG23">
            <v>286.55679</v>
          </cell>
        </row>
        <row r="23">
          <cell r="FE23">
            <v>299.95327925</v>
          </cell>
          <cell r="FF23">
            <v>344.29363547</v>
          </cell>
          <cell r="FG23">
            <v>316.5308635</v>
          </cell>
          <cell r="FH23">
            <v>269.099578</v>
          </cell>
          <cell r="FI23">
            <v>304.82621735</v>
          </cell>
          <cell r="FJ23">
            <v>282.151531</v>
          </cell>
          <cell r="FK23">
            <v>253.784563417527</v>
          </cell>
          <cell r="FL23">
            <v>255.114360616764</v>
          </cell>
          <cell r="FM23">
            <v>259.459681386232</v>
          </cell>
          <cell r="FN23">
            <v>245.407745072231</v>
          </cell>
          <cell r="FO23">
            <v>262.543096737537</v>
          </cell>
          <cell r="FP23">
            <v>303.804888343574</v>
          </cell>
        </row>
        <row r="23">
          <cell r="FZ23">
            <v>309.37</v>
          </cell>
          <cell r="GA23">
            <v>276.9</v>
          </cell>
          <cell r="GB23">
            <v>279.01</v>
          </cell>
          <cell r="GC23">
            <v>269.66</v>
          </cell>
          <cell r="GD23">
            <v>284.25</v>
          </cell>
          <cell r="GE23">
            <v>284.23</v>
          </cell>
          <cell r="GF23">
            <v>303.63</v>
          </cell>
          <cell r="GG23">
            <v>293.03</v>
          </cell>
          <cell r="GH23">
            <v>280.08</v>
          </cell>
          <cell r="GI23">
            <v>273.72</v>
          </cell>
          <cell r="GJ23">
            <v>290.42</v>
          </cell>
          <cell r="GK23">
            <v>266.48</v>
          </cell>
        </row>
        <row r="36">
          <cell r="CG36">
            <v>76.251569</v>
          </cell>
          <cell r="CH36">
            <v>79.648053</v>
          </cell>
          <cell r="CI36">
            <v>71.291729</v>
          </cell>
          <cell r="CJ36">
            <v>75.360349</v>
          </cell>
          <cell r="CK36">
            <v>68.289691</v>
          </cell>
          <cell r="CL36">
            <v>65.419105</v>
          </cell>
          <cell r="CM36">
            <v>63.78829</v>
          </cell>
          <cell r="CN36">
            <v>74.435213</v>
          </cell>
          <cell r="CO36">
            <v>81.513021</v>
          </cell>
          <cell r="CP36">
            <v>76.33141</v>
          </cell>
          <cell r="CQ36">
            <v>74.669941</v>
          </cell>
          <cell r="CR36">
            <v>39.821633</v>
          </cell>
        </row>
        <row r="36">
          <cell r="CT36">
            <v>81.518555</v>
          </cell>
          <cell r="CU36">
            <v>63.440446</v>
          </cell>
          <cell r="CV36">
            <v>63.1360545</v>
          </cell>
          <cell r="CW36">
            <v>66.772574</v>
          </cell>
          <cell r="CX36">
            <v>64.056426</v>
          </cell>
          <cell r="CY36">
            <v>70.532176</v>
          </cell>
          <cell r="CZ36">
            <v>69.908382</v>
          </cell>
          <cell r="DA36">
            <v>77.5692</v>
          </cell>
          <cell r="DB36">
            <v>87.046812</v>
          </cell>
          <cell r="DC36">
            <v>78.657146</v>
          </cell>
          <cell r="DD36">
            <v>76.932426</v>
          </cell>
          <cell r="DE36">
            <v>80.436896</v>
          </cell>
        </row>
        <row r="36">
          <cell r="DG36">
            <v>72.129595</v>
          </cell>
          <cell r="DH36">
            <v>62.519583</v>
          </cell>
          <cell r="DI36">
            <v>70.313388</v>
          </cell>
          <cell r="DJ36">
            <v>75.565589</v>
          </cell>
          <cell r="DK36">
            <v>74.327884</v>
          </cell>
          <cell r="DL36">
            <v>69.495636</v>
          </cell>
          <cell r="DM36">
            <v>71.286587</v>
          </cell>
          <cell r="DN36">
            <v>75.917098</v>
          </cell>
          <cell r="DO36">
            <v>85.897062</v>
          </cell>
          <cell r="DP36">
            <v>79.088023</v>
          </cell>
          <cell r="DQ36">
            <v>76.008109</v>
          </cell>
          <cell r="DR36">
            <v>79.632552</v>
          </cell>
        </row>
        <row r="36">
          <cell r="DV36">
            <v>80.540946</v>
          </cell>
          <cell r="DW36">
            <v>80.615591</v>
          </cell>
          <cell r="DX36">
            <v>77.60986</v>
          </cell>
          <cell r="DY36">
            <v>71.092956</v>
          </cell>
          <cell r="DZ36">
            <v>73.4384755</v>
          </cell>
          <cell r="EA36">
            <v>73.916187</v>
          </cell>
          <cell r="EB36">
            <v>69.627046</v>
          </cell>
          <cell r="EC36">
            <v>83.492833</v>
          </cell>
          <cell r="ED36">
            <v>84.7954</v>
          </cell>
          <cell r="EE36">
            <v>78.695625</v>
          </cell>
          <cell r="EF36">
            <v>78.388408</v>
          </cell>
          <cell r="EG36">
            <v>80.8559589999999</v>
          </cell>
        </row>
        <row r="36">
          <cell r="FE36">
            <v>79.7589609999999</v>
          </cell>
          <cell r="FF36">
            <v>86.3580349999999</v>
          </cell>
          <cell r="FG36">
            <v>81.628037</v>
          </cell>
          <cell r="FH36">
            <v>76.706924</v>
          </cell>
          <cell r="FI36">
            <v>82.06121</v>
          </cell>
          <cell r="FJ36">
            <v>76.1152520000001</v>
          </cell>
          <cell r="FK36">
            <v>71.91490294798</v>
          </cell>
          <cell r="FL36">
            <v>86.2363022272538</v>
          </cell>
          <cell r="FM36">
            <v>87.5816699366385</v>
          </cell>
          <cell r="FN36">
            <v>81.2814640205421</v>
          </cell>
          <cell r="FO36">
            <v>80.9641522572516</v>
          </cell>
          <cell r="FP36">
            <v>83.5127838721011</v>
          </cell>
        </row>
        <row r="36">
          <cell r="FZ36">
            <v>85.07</v>
          </cell>
          <cell r="GA36">
            <v>79.49</v>
          </cell>
          <cell r="GB36">
            <v>82.44</v>
          </cell>
          <cell r="GC36">
            <v>82.04</v>
          </cell>
          <cell r="GD36">
            <v>82.57</v>
          </cell>
          <cell r="GE36">
            <v>75.84</v>
          </cell>
          <cell r="GF36">
            <v>81.68</v>
          </cell>
          <cell r="GG36">
            <v>88.75</v>
          </cell>
          <cell r="GH36">
            <v>99.94</v>
          </cell>
          <cell r="GI36">
            <v>91.3</v>
          </cell>
          <cell r="GJ36">
            <v>88.45</v>
          </cell>
          <cell r="GK36">
            <v>91.13</v>
          </cell>
        </row>
        <row r="43">
          <cell r="CG43">
            <v>0.850626</v>
          </cell>
          <cell r="CH43">
            <v>0.84115</v>
          </cell>
          <cell r="CI43">
            <v>0.808885</v>
          </cell>
          <cell r="CJ43">
            <v>0.811432</v>
          </cell>
          <cell r="CK43">
            <v>0.772806</v>
          </cell>
          <cell r="CL43">
            <v>0.781606</v>
          </cell>
          <cell r="CM43">
            <v>0.766743</v>
          </cell>
          <cell r="CN43">
            <v>0.78723</v>
          </cell>
          <cell r="CO43">
            <v>0.822177</v>
          </cell>
          <cell r="CP43">
            <v>0.653015</v>
          </cell>
          <cell r="CQ43">
            <v>0.764459</v>
          </cell>
          <cell r="CR43">
            <v>0.417</v>
          </cell>
        </row>
        <row r="43">
          <cell r="CT43">
            <v>1.115069</v>
          </cell>
          <cell r="CU43">
            <v>0.815745</v>
          </cell>
          <cell r="CV43">
            <v>0.760655</v>
          </cell>
          <cell r="CW43">
            <v>0.807323</v>
          </cell>
          <cell r="CX43">
            <v>0.67538</v>
          </cell>
          <cell r="CY43">
            <v>0.80567</v>
          </cell>
          <cell r="CZ43">
            <v>0.767763</v>
          </cell>
          <cell r="DA43">
            <v>0.727058</v>
          </cell>
          <cell r="DB43">
            <v>0.813521</v>
          </cell>
          <cell r="DC43">
            <v>0.735393</v>
          </cell>
          <cell r="DD43">
            <v>0.738009</v>
          </cell>
          <cell r="DE43">
            <v>0.817645</v>
          </cell>
        </row>
        <row r="43">
          <cell r="DG43">
            <v>0.811382</v>
          </cell>
          <cell r="DH43">
            <v>0.687753</v>
          </cell>
          <cell r="DI43">
            <v>0.782228</v>
          </cell>
          <cell r="DJ43">
            <v>0.806994</v>
          </cell>
          <cell r="DK43">
            <v>0.767551</v>
          </cell>
          <cell r="DL43">
            <v>0.730633</v>
          </cell>
          <cell r="DM43">
            <v>0.782965</v>
          </cell>
          <cell r="DN43">
            <v>0.753787</v>
          </cell>
          <cell r="DO43">
            <v>0.764057</v>
          </cell>
          <cell r="DP43">
            <v>0.648226</v>
          </cell>
          <cell r="DQ43">
            <v>0.627256</v>
          </cell>
          <cell r="DR43">
            <v>0.818623</v>
          </cell>
        </row>
        <row r="43">
          <cell r="DV43">
            <v>0.879329</v>
          </cell>
          <cell r="DW43">
            <v>0.879206</v>
          </cell>
          <cell r="DX43">
            <v>0.813468</v>
          </cell>
          <cell r="DY43">
            <v>0.740623</v>
          </cell>
          <cell r="DZ43">
            <v>0.756743</v>
          </cell>
          <cell r="EA43">
            <v>0.790529</v>
          </cell>
          <cell r="EB43">
            <v>0.736981</v>
          </cell>
          <cell r="EC43">
            <v>0.80415</v>
          </cell>
          <cell r="ED43">
            <v>0.844049</v>
          </cell>
          <cell r="EE43">
            <v>0.746537</v>
          </cell>
          <cell r="EF43">
            <v>0.71819</v>
          </cell>
          <cell r="EG43">
            <v>0.816185</v>
          </cell>
        </row>
        <row r="43">
          <cell r="FE43">
            <v>0.848615</v>
          </cell>
          <cell r="FF43">
            <v>0.886062</v>
          </cell>
          <cell r="FG43">
            <v>0.782066</v>
          </cell>
          <cell r="FH43">
            <v>0.757177</v>
          </cell>
          <cell r="FI43">
            <v>0.804778</v>
          </cell>
          <cell r="FJ43">
            <v>0.754882</v>
          </cell>
          <cell r="FK43">
            <v>0.744512991342507</v>
          </cell>
          <cell r="FL43">
            <v>0.812368462671462</v>
          </cell>
          <cell r="FM43">
            <v>0.85267523291598</v>
          </cell>
          <cell r="FN43">
            <v>0.754166654252771</v>
          </cell>
          <cell r="FO43">
            <v>0.725529946161808</v>
          </cell>
          <cell r="FP43">
            <v>0.824526461114851</v>
          </cell>
        </row>
        <row r="43">
          <cell r="FZ43">
            <v>0.93</v>
          </cell>
          <cell r="GA43">
            <v>0.87</v>
          </cell>
          <cell r="GB43">
            <v>0.88</v>
          </cell>
          <cell r="GC43">
            <v>0.85</v>
          </cell>
          <cell r="GD43">
            <v>0.84</v>
          </cell>
          <cell r="GE43">
            <v>0.83</v>
          </cell>
          <cell r="GF43">
            <v>0.91</v>
          </cell>
          <cell r="GG43">
            <v>0.87</v>
          </cell>
          <cell r="GH43">
            <v>0.93</v>
          </cell>
          <cell r="GI43">
            <v>0.81</v>
          </cell>
          <cell r="GJ43">
            <v>0.8</v>
          </cell>
          <cell r="GK43">
            <v>0.96</v>
          </cell>
        </row>
        <row r="48">
          <cell r="CG48">
            <v>0.561626</v>
          </cell>
          <cell r="CH48">
            <v>0.512848</v>
          </cell>
          <cell r="CI48">
            <v>0.395442</v>
          </cell>
          <cell r="CJ48">
            <v>0.404279</v>
          </cell>
          <cell r="CK48">
            <v>0.454657</v>
          </cell>
          <cell r="CL48">
            <v>0.50261323</v>
          </cell>
          <cell r="CM48">
            <v>0.45</v>
          </cell>
          <cell r="CN48">
            <v>0.48</v>
          </cell>
          <cell r="CO48">
            <v>0.4</v>
          </cell>
          <cell r="CP48">
            <v>0.45</v>
          </cell>
          <cell r="CQ48">
            <v>0.51</v>
          </cell>
          <cell r="CR48">
            <v>0.880809</v>
          </cell>
        </row>
        <row r="48">
          <cell r="CT48">
            <v>2.426566</v>
          </cell>
          <cell r="CU48">
            <v>2.467308</v>
          </cell>
          <cell r="CV48">
            <v>1.831744</v>
          </cell>
          <cell r="CW48">
            <v>1.87861</v>
          </cell>
          <cell r="CX48">
            <v>1.79</v>
          </cell>
          <cell r="CY48">
            <v>1.76</v>
          </cell>
          <cell r="CZ48">
            <v>1.82</v>
          </cell>
          <cell r="DA48">
            <v>1.83</v>
          </cell>
          <cell r="DB48">
            <v>1.86</v>
          </cell>
          <cell r="DC48">
            <v>2.32</v>
          </cell>
          <cell r="DD48">
            <v>2.05</v>
          </cell>
        </row>
        <row r="48">
          <cell r="DG48">
            <v>2.207933</v>
          </cell>
          <cell r="DH48">
            <v>2.126259</v>
          </cell>
          <cell r="DI48">
            <v>2.032112</v>
          </cell>
          <cell r="DJ48">
            <v>2.13346</v>
          </cell>
          <cell r="DK48">
            <v>2.132128</v>
          </cell>
          <cell r="DL48">
            <v>2.17037</v>
          </cell>
          <cell r="DM48">
            <v>2.265053</v>
          </cell>
          <cell r="DN48">
            <v>2.285138</v>
          </cell>
          <cell r="DO48">
            <v>2.494125</v>
          </cell>
          <cell r="DP48">
            <v>2.600662</v>
          </cell>
          <cell r="DQ48">
            <v>2.713984</v>
          </cell>
          <cell r="DR48">
            <v>3.048172</v>
          </cell>
        </row>
        <row r="48">
          <cell r="DV48">
            <v>2.821369</v>
          </cell>
          <cell r="DW48">
            <v>2.750428</v>
          </cell>
          <cell r="DX48">
            <v>2.720289</v>
          </cell>
          <cell r="DY48">
            <v>2.66169</v>
          </cell>
          <cell r="DZ48">
            <v>2.74371</v>
          </cell>
          <cell r="EA48">
            <v>2.89251</v>
          </cell>
          <cell r="EB48">
            <v>2.873174</v>
          </cell>
          <cell r="EC48">
            <v>3.127769</v>
          </cell>
          <cell r="ED48">
            <v>2.957556</v>
          </cell>
          <cell r="EE48">
            <v>3.031003</v>
          </cell>
          <cell r="EF48">
            <v>3.0623364</v>
          </cell>
          <cell r="EG48">
            <v>3.085385</v>
          </cell>
        </row>
        <row r="48">
          <cell r="FE48">
            <v>2.976536</v>
          </cell>
          <cell r="FF48">
            <v>2.971791</v>
          </cell>
          <cell r="FG48">
            <v>2.959678</v>
          </cell>
          <cell r="FH48">
            <v>2.911135</v>
          </cell>
          <cell r="FI48">
            <v>2.950639</v>
          </cell>
          <cell r="FJ48">
            <v>3.06794</v>
          </cell>
          <cell r="FK48">
            <v>2.9719006214706</v>
          </cell>
          <cell r="FL48">
            <v>3.23524389226566</v>
          </cell>
          <cell r="FM48">
            <v>3.0591821151222</v>
          </cell>
          <cell r="FN48">
            <v>3.13515286556932</v>
          </cell>
          <cell r="FO48">
            <v>3.16756292877217</v>
          </cell>
          <cell r="FP48">
            <v>3.19140351366679</v>
          </cell>
        </row>
        <row r="48">
          <cell r="FZ48">
            <v>2.821369</v>
          </cell>
          <cell r="GA48">
            <v>2.750428</v>
          </cell>
          <cell r="GB48">
            <v>2.720289</v>
          </cell>
          <cell r="GC48">
            <v>2.66169</v>
          </cell>
          <cell r="GD48">
            <v>2.74371</v>
          </cell>
          <cell r="GE48">
            <v>2.89251</v>
          </cell>
          <cell r="GF48">
            <v>2.873174</v>
          </cell>
          <cell r="GG48">
            <v>3.127769</v>
          </cell>
          <cell r="GH48">
            <v>2.957556</v>
          </cell>
          <cell r="GI48">
            <v>3.031003</v>
          </cell>
          <cell r="GJ48">
            <v>3.0623364</v>
          </cell>
          <cell r="GK48">
            <v>3.085385</v>
          </cell>
        </row>
        <row r="49">
          <cell r="DV49">
            <v>1251.18063758848</v>
          </cell>
          <cell r="DW49">
            <v>590.251484162004</v>
          </cell>
          <cell r="DX49">
            <v>540.590557148526</v>
          </cell>
          <cell r="DY49">
            <v>777.719655</v>
          </cell>
          <cell r="DZ49">
            <v>958.649791</v>
          </cell>
          <cell r="EA49">
            <v>1040.701889</v>
          </cell>
          <cell r="EB49">
            <v>698.01559578761</v>
          </cell>
          <cell r="EC49">
            <v>590.561511158625</v>
          </cell>
          <cell r="ED49">
            <v>1038.27985912042</v>
          </cell>
          <cell r="EE49">
            <v>1395.44374725091</v>
          </cell>
          <cell r="EF49">
            <v>1485.08742749008</v>
          </cell>
          <cell r="EG49">
            <v>1723.66</v>
          </cell>
        </row>
        <row r="49">
          <cell r="FE49">
            <v>1263.75544428518</v>
          </cell>
          <cell r="FF49">
            <v>488.999782403279</v>
          </cell>
          <cell r="FG49">
            <v>631.266541266266</v>
          </cell>
          <cell r="FH49">
            <v>976.774006825415</v>
          </cell>
          <cell r="FI49">
            <v>1637.25784552728</v>
          </cell>
          <cell r="FJ49">
            <v>1234.58</v>
          </cell>
          <cell r="FK49">
            <v>722.000471575119</v>
          </cell>
          <cell r="FL49">
            <v>610.8541014324</v>
          </cell>
          <cell r="FM49">
            <v>1073.95673167737</v>
          </cell>
          <cell r="FN49">
            <v>1443.39331334693</v>
          </cell>
          <cell r="FO49">
            <v>1536.11728656041</v>
          </cell>
          <cell r="FP49">
            <v>1782.88757492725</v>
          </cell>
        </row>
        <row r="49">
          <cell r="FZ49">
            <v>1251.18063758848</v>
          </cell>
          <cell r="GA49">
            <v>590.251484162004</v>
          </cell>
          <cell r="GB49">
            <v>540.590557148526</v>
          </cell>
          <cell r="GC49">
            <v>777.719655</v>
          </cell>
          <cell r="GD49">
            <v>958.649791</v>
          </cell>
          <cell r="GE49">
            <v>1040.701889</v>
          </cell>
          <cell r="GF49">
            <v>698.01559578761</v>
          </cell>
          <cell r="GG49">
            <v>590.561511158625</v>
          </cell>
          <cell r="GH49">
            <v>1038.27985912042</v>
          </cell>
          <cell r="GI49">
            <v>1395.44374725091</v>
          </cell>
          <cell r="GJ49">
            <v>1485.08742749008</v>
          </cell>
          <cell r="GK49">
            <v>1723.66</v>
          </cell>
        </row>
        <row r="50">
          <cell r="CG50">
            <v>802.377567767668</v>
          </cell>
          <cell r="CH50">
            <v>648.463570739027</v>
          </cell>
          <cell r="CI50">
            <v>572.828362114617</v>
          </cell>
          <cell r="CJ50">
            <v>775.777760796966</v>
          </cell>
          <cell r="CK50">
            <v>1062.65022473165</v>
          </cell>
          <cell r="CL50">
            <v>817.341928974418</v>
          </cell>
          <cell r="CM50">
            <v>677.255958547175</v>
          </cell>
          <cell r="CN50">
            <v>638.082519</v>
          </cell>
          <cell r="CO50">
            <v>1026.65</v>
          </cell>
          <cell r="CP50">
            <v>1220.51768290285</v>
          </cell>
          <cell r="CQ50">
            <v>1210.22</v>
          </cell>
          <cell r="CR50">
            <v>1359.58592944303</v>
          </cell>
        </row>
        <row r="50">
          <cell r="CT50">
            <v>698.392580121226</v>
          </cell>
          <cell r="CU50">
            <v>649.929131899179</v>
          </cell>
          <cell r="CV50">
            <v>555.860327512743</v>
          </cell>
          <cell r="CW50">
            <v>1003.79557287347</v>
          </cell>
          <cell r="CX50">
            <v>935.45656875768</v>
          </cell>
          <cell r="CY50">
            <v>741.91</v>
          </cell>
          <cell r="CZ50">
            <v>611.16</v>
          </cell>
          <cell r="DA50">
            <v>503.074009414208</v>
          </cell>
          <cell r="DB50">
            <v>1078.51</v>
          </cell>
          <cell r="DC50">
            <v>1493.8831956607</v>
          </cell>
          <cell r="DD50">
            <v>1387.12311687039</v>
          </cell>
          <cell r="DE50">
            <v>2063.07707424606</v>
          </cell>
        </row>
        <row r="50">
          <cell r="DG50">
            <v>1070.32382417063</v>
          </cell>
          <cell r="DH50">
            <v>554.053225937373</v>
          </cell>
          <cell r="DI50">
            <v>543.294797946933</v>
          </cell>
          <cell r="DJ50">
            <v>933.235051580384</v>
          </cell>
          <cell r="DK50">
            <v>1426.45524215359</v>
          </cell>
          <cell r="DL50">
            <v>869.256606885458</v>
          </cell>
          <cell r="DM50">
            <v>1002.08512667881</v>
          </cell>
          <cell r="DN50">
            <v>392.484269219235</v>
          </cell>
          <cell r="DO50">
            <v>879.60843068295</v>
          </cell>
          <cell r="DP50">
            <v>1163.68503778621</v>
          </cell>
          <cell r="DQ50">
            <v>1194.89266866097</v>
          </cell>
          <cell r="DR50">
            <v>1665.47949984963</v>
          </cell>
        </row>
        <row r="52">
          <cell r="CG52">
            <v>0.063603</v>
          </cell>
          <cell r="CH52">
            <v>0.06262</v>
          </cell>
          <cell r="CI52">
            <v>0.065151</v>
          </cell>
          <cell r="CJ52">
            <v>0.052746</v>
          </cell>
          <cell r="CK52">
            <v>0.055187</v>
          </cell>
          <cell r="CL52">
            <v>0.0527028232341239</v>
          </cell>
          <cell r="CM52">
            <v>0.049483</v>
          </cell>
          <cell r="CN52">
            <v>0.057481</v>
          </cell>
          <cell r="CO52">
            <v>0.06</v>
          </cell>
          <cell r="CP52">
            <v>0.06</v>
          </cell>
          <cell r="CQ52">
            <v>0.06</v>
          </cell>
          <cell r="CR52">
            <v>0</v>
          </cell>
        </row>
        <row r="52">
          <cell r="DG52">
            <v>0.06018</v>
          </cell>
          <cell r="DH52">
            <v>0.059605</v>
          </cell>
          <cell r="DI52">
            <v>0.062273</v>
          </cell>
          <cell r="DJ52">
            <v>0.068654</v>
          </cell>
          <cell r="DK52">
            <v>0.078288</v>
          </cell>
          <cell r="DL52">
            <v>0.080422</v>
          </cell>
          <cell r="DM52">
            <v>0.095008</v>
          </cell>
          <cell r="DN52">
            <v>0.113386</v>
          </cell>
          <cell r="DO52">
            <v>0.130928</v>
          </cell>
          <cell r="DP52">
            <v>0.149546</v>
          </cell>
          <cell r="DQ52">
            <v>0.160696</v>
          </cell>
          <cell r="DR52">
            <v>0.235475</v>
          </cell>
        </row>
        <row r="52">
          <cell r="DV52">
            <v>0.200104</v>
          </cell>
          <cell r="DW52">
            <v>0.191694</v>
          </cell>
          <cell r="DX52">
            <v>0.163287</v>
          </cell>
          <cell r="DY52">
            <v>0.138655</v>
          </cell>
          <cell r="DZ52">
            <v>0.166499</v>
          </cell>
          <cell r="EA52">
            <v>0.145601</v>
          </cell>
          <cell r="EB52">
            <v>0.138765</v>
          </cell>
          <cell r="EC52">
            <v>0.18583</v>
          </cell>
          <cell r="ED52">
            <v>0.301748</v>
          </cell>
          <cell r="EE52">
            <v>0.242912</v>
          </cell>
          <cell r="EF52">
            <v>0.243592</v>
          </cell>
          <cell r="EG52">
            <v>0.236309</v>
          </cell>
        </row>
        <row r="52">
          <cell r="FE52">
            <v>0.218129</v>
          </cell>
          <cell r="FF52">
            <v>0.221664</v>
          </cell>
          <cell r="FG52">
            <v>0.227616</v>
          </cell>
          <cell r="FH52">
            <v>0.20883</v>
          </cell>
          <cell r="FI52">
            <v>0.233254</v>
          </cell>
          <cell r="FJ52">
            <v>0.191262</v>
          </cell>
          <cell r="FK52">
            <v>0.14353317611059</v>
          </cell>
          <cell r="FL52">
            <v>0.192215400977415</v>
          </cell>
          <cell r="FM52">
            <v>0.312116519475504</v>
          </cell>
          <cell r="FN52">
            <v>0.25125882517476</v>
          </cell>
          <cell r="FO52">
            <v>0.25196219100732</v>
          </cell>
          <cell r="FP52">
            <v>0.244428936068298</v>
          </cell>
        </row>
        <row r="53">
          <cell r="CT53">
            <v>0.064045</v>
          </cell>
          <cell r="CU53">
            <v>0.119402</v>
          </cell>
          <cell r="CV53">
            <v>0.052005</v>
          </cell>
          <cell r="CW53">
            <v>0.051616</v>
          </cell>
          <cell r="CX53">
            <v>0.05</v>
          </cell>
          <cell r="CY53">
            <v>0.05</v>
          </cell>
          <cell r="CZ53">
            <v>0.05</v>
          </cell>
          <cell r="DA53">
            <v>0.05</v>
          </cell>
          <cell r="DB53">
            <v>0.05</v>
          </cell>
          <cell r="DC53">
            <v>0.05</v>
          </cell>
          <cell r="DD53">
            <v>0.05</v>
          </cell>
        </row>
        <row r="53">
          <cell r="FZ53">
            <v>0.200104</v>
          </cell>
          <cell r="GA53">
            <v>0.191694</v>
          </cell>
          <cell r="GB53">
            <v>0.163287</v>
          </cell>
          <cell r="GC53">
            <v>0.138655</v>
          </cell>
          <cell r="GD53">
            <v>0.166499</v>
          </cell>
          <cell r="GE53">
            <v>0.145601</v>
          </cell>
          <cell r="GF53">
            <v>0.138765</v>
          </cell>
          <cell r="GG53">
            <v>0.18583</v>
          </cell>
          <cell r="GH53">
            <v>0.301748</v>
          </cell>
          <cell r="GI53">
            <v>0.242912</v>
          </cell>
          <cell r="GJ53">
            <v>0.243592</v>
          </cell>
          <cell r="GK53">
            <v>0.236309</v>
          </cell>
        </row>
        <row r="54">
          <cell r="CG54">
            <v>39.596774</v>
          </cell>
          <cell r="CH54">
            <v>40.309135</v>
          </cell>
          <cell r="CI54">
            <v>38.952576</v>
          </cell>
          <cell r="CJ54">
            <v>39.0937444</v>
          </cell>
          <cell r="CK54">
            <v>40.184036</v>
          </cell>
          <cell r="CL54">
            <v>39.51</v>
          </cell>
          <cell r="CM54">
            <v>42.541449</v>
          </cell>
          <cell r="CN54">
            <v>41.050427</v>
          </cell>
          <cell r="CO54">
            <v>41.551359</v>
          </cell>
          <cell r="CP54">
            <v>43.003093</v>
          </cell>
          <cell r="CQ54">
            <v>41.037552</v>
          </cell>
          <cell r="CR54">
            <v>37.20007</v>
          </cell>
        </row>
        <row r="54">
          <cell r="CT54">
            <v>45.4151409</v>
          </cell>
          <cell r="CU54">
            <v>41.22368106</v>
          </cell>
          <cell r="CV54">
            <v>40.33599186</v>
          </cell>
          <cell r="CW54">
            <v>44.05345225</v>
          </cell>
          <cell r="CX54">
            <v>36.911133</v>
          </cell>
          <cell r="CY54">
            <v>36.38</v>
          </cell>
          <cell r="CZ54">
            <v>38.78735625</v>
          </cell>
          <cell r="DA54">
            <v>39.129566</v>
          </cell>
          <cell r="DB54">
            <v>39.831662</v>
          </cell>
          <cell r="DC54">
            <v>38.81545775</v>
          </cell>
          <cell r="DD54">
            <v>36.45786175</v>
          </cell>
          <cell r="DE54">
            <v>40.8764126</v>
          </cell>
        </row>
        <row r="54">
          <cell r="DG54">
            <v>39.974317</v>
          </cell>
          <cell r="DH54">
            <v>37.89918</v>
          </cell>
          <cell r="DI54">
            <v>36.7185941</v>
          </cell>
          <cell r="DJ54">
            <v>37.23527875</v>
          </cell>
          <cell r="DK54">
            <v>37.20049</v>
          </cell>
          <cell r="DL54">
            <v>36.156446</v>
          </cell>
          <cell r="DM54">
            <v>39.504069</v>
          </cell>
          <cell r="DN54">
            <v>37.812615</v>
          </cell>
          <cell r="DO54">
            <v>39.7390975</v>
          </cell>
          <cell r="DP54">
            <v>38.91495325</v>
          </cell>
          <cell r="DQ54">
            <v>38.393703</v>
          </cell>
          <cell r="DR54">
            <v>42.636841</v>
          </cell>
        </row>
        <row r="54">
          <cell r="DV54">
            <v>40.484487</v>
          </cell>
          <cell r="DW54">
            <v>39.110261</v>
          </cell>
          <cell r="DX54">
            <v>36.011614</v>
          </cell>
          <cell r="DY54">
            <v>33.568339</v>
          </cell>
          <cell r="DZ54">
            <v>36.34499075</v>
          </cell>
          <cell r="EA54">
            <v>37.490599</v>
          </cell>
          <cell r="EB54">
            <v>39.630035</v>
          </cell>
          <cell r="EC54">
            <v>39.282273</v>
          </cell>
          <cell r="ED54">
            <v>41.373676</v>
          </cell>
          <cell r="EE54">
            <v>41.1030005</v>
          </cell>
          <cell r="EF54">
            <v>39.504416</v>
          </cell>
          <cell r="EG54">
            <v>42.763264</v>
          </cell>
        </row>
        <row r="54">
          <cell r="FE54">
            <v>40.720597</v>
          </cell>
          <cell r="FF54">
            <v>42.393444</v>
          </cell>
          <cell r="FG54">
            <v>39.64402</v>
          </cell>
          <cell r="FH54">
            <v>39.430268</v>
          </cell>
          <cell r="FI54">
            <v>41.998558</v>
          </cell>
          <cell r="FJ54">
            <v>40.215241</v>
          </cell>
          <cell r="FK54">
            <v>41.61153675</v>
          </cell>
          <cell r="FL54">
            <v>41.24638665</v>
          </cell>
          <cell r="FM54">
            <v>43.4423598</v>
          </cell>
          <cell r="FN54">
            <v>43.158150525</v>
          </cell>
          <cell r="FO54">
            <v>41.4796368</v>
          </cell>
          <cell r="FP54">
            <v>44.9014272</v>
          </cell>
        </row>
        <row r="54">
          <cell r="FZ54">
            <v>41.83</v>
          </cell>
          <cell r="GA54">
            <v>40.02</v>
          </cell>
          <cell r="GB54">
            <v>37.83</v>
          </cell>
          <cell r="GC54">
            <v>36.89</v>
          </cell>
          <cell r="GD54">
            <v>38.26</v>
          </cell>
          <cell r="GE54">
            <v>37.43</v>
          </cell>
          <cell r="GF54">
            <v>42.1</v>
          </cell>
          <cell r="GG54">
            <v>41.4</v>
          </cell>
          <cell r="GH54">
            <v>42.8</v>
          </cell>
          <cell r="GI54">
            <v>41.81</v>
          </cell>
          <cell r="GJ54">
            <v>40.24</v>
          </cell>
          <cell r="GK54">
            <v>44.9</v>
          </cell>
        </row>
        <row r="64">
          <cell r="CG64">
            <v>6.699668</v>
          </cell>
          <cell r="CH64">
            <v>7.455792</v>
          </cell>
          <cell r="CI64">
            <v>6.460264</v>
          </cell>
          <cell r="CJ64">
            <v>7.08003</v>
          </cell>
          <cell r="CK64">
            <v>6.986888</v>
          </cell>
          <cell r="CL64">
            <v>6.41</v>
          </cell>
          <cell r="CM64">
            <v>5.88161</v>
          </cell>
          <cell r="CN64">
            <v>6.689935</v>
          </cell>
          <cell r="CO64">
            <v>6.17857472</v>
          </cell>
          <cell r="CP64">
            <v>5.9845786</v>
          </cell>
          <cell r="CQ64">
            <v>6.680032</v>
          </cell>
          <cell r="CR64">
            <v>4.02</v>
          </cell>
        </row>
        <row r="64">
          <cell r="CT64">
            <v>2.141105</v>
          </cell>
          <cell r="CU64">
            <v>6.077554</v>
          </cell>
          <cell r="CV64">
            <v>3.59016925</v>
          </cell>
          <cell r="CW64">
            <v>3.49083375</v>
          </cell>
          <cell r="CX64">
            <v>3.271898</v>
          </cell>
          <cell r="CY64">
            <v>3.65</v>
          </cell>
          <cell r="CZ64">
            <v>3.649295</v>
          </cell>
          <cell r="DA64">
            <v>3.419242</v>
          </cell>
          <cell r="DB64">
            <v>3.638594</v>
          </cell>
          <cell r="DC64">
            <v>3.606449</v>
          </cell>
          <cell r="DD64">
            <v>4.993773</v>
          </cell>
          <cell r="DE64">
            <v>6.1809067</v>
          </cell>
        </row>
        <row r="64">
          <cell r="DG64">
            <v>4.9724112</v>
          </cell>
          <cell r="DH64">
            <v>3.9698763</v>
          </cell>
          <cell r="DI64">
            <v>3.8782</v>
          </cell>
          <cell r="DJ64">
            <v>4.268814</v>
          </cell>
          <cell r="DK64">
            <v>4.424712</v>
          </cell>
          <cell r="DL64">
            <v>4.478792</v>
          </cell>
          <cell r="DM64">
            <v>5.1390957</v>
          </cell>
          <cell r="DN64">
            <v>6.1701034</v>
          </cell>
          <cell r="DO64">
            <v>5.851374</v>
          </cell>
          <cell r="DP64">
            <v>4.0501452</v>
          </cell>
          <cell r="DQ64">
            <v>5.9031316</v>
          </cell>
          <cell r="DR64">
            <v>8.2073661</v>
          </cell>
        </row>
        <row r="64">
          <cell r="DV64">
            <v>9.374641</v>
          </cell>
          <cell r="DW64">
            <v>7.187622</v>
          </cell>
          <cell r="DX64">
            <v>6.765159</v>
          </cell>
          <cell r="DY64">
            <v>6.72374275</v>
          </cell>
          <cell r="DZ64">
            <v>7.564866</v>
          </cell>
          <cell r="EA64">
            <v>6.704741</v>
          </cell>
          <cell r="EB64">
            <v>7.054721</v>
          </cell>
          <cell r="EC64">
            <v>7.1476982</v>
          </cell>
          <cell r="ED64">
            <v>7.117874</v>
          </cell>
          <cell r="EE64">
            <v>6.315293</v>
          </cell>
          <cell r="EF64">
            <v>7.218932</v>
          </cell>
          <cell r="EG64">
            <v>8.8987295</v>
          </cell>
        </row>
        <row r="64">
          <cell r="FE64">
            <v>7.871618</v>
          </cell>
          <cell r="FF64">
            <v>6.438644</v>
          </cell>
          <cell r="FG64">
            <v>7.633369</v>
          </cell>
          <cell r="FH64">
            <v>7.744419</v>
          </cell>
          <cell r="FI64">
            <v>8.981126</v>
          </cell>
          <cell r="FJ64">
            <v>8.335953</v>
          </cell>
          <cell r="FK64">
            <v>7.37461911968932</v>
          </cell>
          <cell r="FL64">
            <v>7.47181239449284</v>
          </cell>
          <cell r="FM64">
            <v>7.44063580855139</v>
          </cell>
          <cell r="FN64">
            <v>6.60166156879062</v>
          </cell>
          <cell r="FO64">
            <v>7.54627630928807</v>
          </cell>
          <cell r="FP64">
            <v>9.30224465455733</v>
          </cell>
        </row>
        <row r="64">
          <cell r="FZ64">
            <v>9.37</v>
          </cell>
          <cell r="GA64">
            <v>7.32</v>
          </cell>
          <cell r="GB64">
            <v>7</v>
          </cell>
          <cell r="GC64">
            <v>7.3</v>
          </cell>
          <cell r="GD64">
            <v>7.9</v>
          </cell>
          <cell r="GE64">
            <v>7.26</v>
          </cell>
          <cell r="GF64">
            <v>7.23</v>
          </cell>
          <cell r="GG64">
            <v>7.76</v>
          </cell>
          <cell r="GH64">
            <v>7.74</v>
          </cell>
          <cell r="GI64">
            <v>6.4</v>
          </cell>
          <cell r="GJ64">
            <v>9.07</v>
          </cell>
          <cell r="GK64">
            <v>11.88</v>
          </cell>
        </row>
        <row r="69">
          <cell r="CG69">
            <v>3.306331</v>
          </cell>
          <cell r="CH69">
            <v>3.702237</v>
          </cell>
          <cell r="CI69">
            <v>3.389874</v>
          </cell>
          <cell r="CJ69">
            <v>3.622246</v>
          </cell>
          <cell r="CK69">
            <v>3.36</v>
          </cell>
          <cell r="CL69">
            <v>3.57</v>
          </cell>
          <cell r="CM69">
            <v>3.481424</v>
          </cell>
          <cell r="CN69">
            <v>3.64040799</v>
          </cell>
          <cell r="CO69">
            <v>3.87637443</v>
          </cell>
          <cell r="CP69">
            <v>4.161525</v>
          </cell>
          <cell r="CQ69">
            <v>4.474799</v>
          </cell>
          <cell r="CR69">
            <v>2.28412</v>
          </cell>
        </row>
        <row r="69">
          <cell r="CT69">
            <v>3.94086732</v>
          </cell>
          <cell r="CU69">
            <v>4.516936</v>
          </cell>
          <cell r="CV69">
            <v>3.017399</v>
          </cell>
          <cell r="CW69">
            <v>3.306336</v>
          </cell>
          <cell r="CX69">
            <v>3.423059</v>
          </cell>
          <cell r="CY69">
            <v>3.922136</v>
          </cell>
          <cell r="CZ69">
            <v>4.317746</v>
          </cell>
          <cell r="DA69">
            <v>4.214107</v>
          </cell>
          <cell r="DB69">
            <v>5.094679</v>
          </cell>
          <cell r="DC69">
            <v>5.290805</v>
          </cell>
          <cell r="DD69">
            <v>5.583481</v>
          </cell>
          <cell r="DE69">
            <v>6.801739</v>
          </cell>
        </row>
        <row r="69">
          <cell r="DG69">
            <v>6.329285</v>
          </cell>
          <cell r="DH69">
            <v>5.696465</v>
          </cell>
          <cell r="DI69">
            <v>5.892033</v>
          </cell>
          <cell r="DJ69">
            <v>6.324905</v>
          </cell>
          <cell r="DK69">
            <v>6.69901</v>
          </cell>
          <cell r="DL69">
            <v>6.614965</v>
          </cell>
          <cell r="DM69">
            <v>7.313747</v>
          </cell>
          <cell r="DN69">
            <v>6.741851</v>
          </cell>
          <cell r="DO69">
            <v>7.121061</v>
          </cell>
          <cell r="DP69">
            <v>7.045018</v>
          </cell>
          <cell r="DQ69">
            <v>7.455261</v>
          </cell>
          <cell r="DR69">
            <v>9.054385</v>
          </cell>
        </row>
        <row r="69">
          <cell r="DV69">
            <v>9.1814284</v>
          </cell>
          <cell r="DW69">
            <v>8.863599</v>
          </cell>
          <cell r="DX69">
            <v>8.21191</v>
          </cell>
          <cell r="DY69">
            <v>7.270117</v>
          </cell>
          <cell r="DZ69">
            <v>7.527117</v>
          </cell>
          <cell r="EA69">
            <v>7.597726</v>
          </cell>
          <cell r="EB69">
            <v>7.181891</v>
          </cell>
          <cell r="EC69">
            <v>7.709997</v>
          </cell>
          <cell r="ED69">
            <v>8.04304</v>
          </cell>
          <cell r="EE69">
            <v>7.992419</v>
          </cell>
          <cell r="EF69">
            <v>8.073885</v>
          </cell>
          <cell r="EG69">
            <v>8.685037</v>
          </cell>
        </row>
        <row r="69">
          <cell r="FE69">
            <v>8.949712</v>
          </cell>
          <cell r="FF69">
            <v>10.139776</v>
          </cell>
          <cell r="FG69">
            <v>9.548661</v>
          </cell>
          <cell r="FH69">
            <v>8.274876</v>
          </cell>
          <cell r="FI69">
            <v>9.496726</v>
          </cell>
          <cell r="FJ69">
            <v>8.88412</v>
          </cell>
          <cell r="FK69">
            <v>7.54098555</v>
          </cell>
          <cell r="FL69">
            <v>8.09549685</v>
          </cell>
          <cell r="FM69">
            <v>8.445192</v>
          </cell>
          <cell r="FN69">
            <v>8.39203995</v>
          </cell>
          <cell r="FO69">
            <v>8.47757925</v>
          </cell>
          <cell r="FP69">
            <v>9.11928885</v>
          </cell>
        </row>
        <row r="69">
          <cell r="FZ69">
            <v>9.98</v>
          </cell>
          <cell r="GA69">
            <v>9.37</v>
          </cell>
          <cell r="GB69">
            <v>9.07</v>
          </cell>
          <cell r="GC69">
            <v>8.73</v>
          </cell>
          <cell r="GD69">
            <v>9.14</v>
          </cell>
          <cell r="GE69">
            <v>9.16</v>
          </cell>
          <cell r="GF69">
            <v>7.78</v>
          </cell>
          <cell r="GG69">
            <v>7.33</v>
          </cell>
          <cell r="GH69">
            <v>8.15</v>
          </cell>
          <cell r="GI69">
            <v>8.23</v>
          </cell>
          <cell r="GJ69">
            <v>8.7</v>
          </cell>
          <cell r="GK69">
            <v>10.58</v>
          </cell>
        </row>
        <row r="70">
          <cell r="CL70">
            <v>0</v>
          </cell>
          <cell r="CM70">
            <v>0</v>
          </cell>
          <cell r="CN70">
            <v>0</v>
          </cell>
          <cell r="CO70">
            <v>2.5e-5</v>
          </cell>
          <cell r="CP70">
            <v>8.3e-5</v>
          </cell>
          <cell r="CQ70">
            <v>0</v>
          </cell>
          <cell r="CR70">
            <v>0</v>
          </cell>
        </row>
        <row r="70">
          <cell r="CT70">
            <v>5.2e-5</v>
          </cell>
          <cell r="CU70">
            <v>0.000643</v>
          </cell>
          <cell r="CV70">
            <v>0.0004393</v>
          </cell>
          <cell r="CW70">
            <v>0.000616</v>
          </cell>
          <cell r="CX70">
            <v>0.00096</v>
          </cell>
          <cell r="CY70">
            <v>0.00159</v>
          </cell>
          <cell r="CZ70">
            <v>0.000971</v>
          </cell>
          <cell r="DA70">
            <v>0.006312</v>
          </cell>
          <cell r="DB70">
            <v>0.002167</v>
          </cell>
          <cell r="DC70">
            <v>0.001029</v>
          </cell>
          <cell r="DD70">
            <v>0.003907</v>
          </cell>
          <cell r="DE70">
            <v>0.000816</v>
          </cell>
        </row>
        <row r="70">
          <cell r="DG70">
            <v>0.002711</v>
          </cell>
          <cell r="DH70">
            <v>0.001399</v>
          </cell>
          <cell r="DI70">
            <v>0.002161</v>
          </cell>
          <cell r="DJ70">
            <v>0.004707</v>
          </cell>
          <cell r="DK70">
            <v>0.0063</v>
          </cell>
          <cell r="DL70">
            <v>0.009721</v>
          </cell>
          <cell r="DM70">
            <v>0.012039</v>
          </cell>
          <cell r="DN70">
            <v>0.012754</v>
          </cell>
          <cell r="DO70">
            <v>0.01836</v>
          </cell>
          <cell r="DP70">
            <v>0.017074</v>
          </cell>
          <cell r="DQ70">
            <v>0.020971</v>
          </cell>
          <cell r="DR70">
            <v>0.02218</v>
          </cell>
        </row>
        <row r="70">
          <cell r="DV70">
            <v>0.025866</v>
          </cell>
          <cell r="DW70">
            <v>0.027789</v>
          </cell>
          <cell r="DX70">
            <v>0.030726</v>
          </cell>
          <cell r="DY70">
            <v>0.030687</v>
          </cell>
          <cell r="DZ70">
            <v>0.033495</v>
          </cell>
          <cell r="EA70">
            <v>0.043436</v>
          </cell>
          <cell r="EB70">
            <v>0.043189</v>
          </cell>
          <cell r="EC70">
            <v>0.053362</v>
          </cell>
          <cell r="ED70">
            <v>0.056037</v>
          </cell>
          <cell r="EE70">
            <v>0.05953</v>
          </cell>
          <cell r="EF70">
            <v>0.059889</v>
          </cell>
          <cell r="EG70">
            <v>0.068201</v>
          </cell>
        </row>
        <row r="70">
          <cell r="FE70">
            <v>0.075772</v>
          </cell>
          <cell r="FF70">
            <v>0.091755</v>
          </cell>
          <cell r="FG70">
            <v>0.094195</v>
          </cell>
          <cell r="FH70">
            <v>0.127181</v>
          </cell>
          <cell r="FI70">
            <v>0.152761</v>
          </cell>
          <cell r="FJ70">
            <v>0.148528</v>
          </cell>
          <cell r="FK70">
            <v>0.07097024</v>
          </cell>
          <cell r="FL70">
            <v>0.08175362</v>
          </cell>
          <cell r="FM70">
            <v>0.08458912</v>
          </cell>
          <cell r="FN70">
            <v>0.0882917</v>
          </cell>
          <cell r="FO70">
            <v>0.08867224</v>
          </cell>
          <cell r="FP70">
            <v>0.09748296</v>
          </cell>
        </row>
        <row r="70">
          <cell r="FZ70">
            <v>0.13</v>
          </cell>
          <cell r="GA70">
            <v>0.13</v>
          </cell>
          <cell r="GB70">
            <v>0.13</v>
          </cell>
          <cell r="GC70">
            <v>0.14</v>
          </cell>
          <cell r="GD70">
            <v>0.16</v>
          </cell>
          <cell r="GE70">
            <v>0.17</v>
          </cell>
          <cell r="GF70">
            <v>0.14</v>
          </cell>
          <cell r="GG70">
            <v>0.19</v>
          </cell>
          <cell r="GH70">
            <v>0.19</v>
          </cell>
          <cell r="GI70">
            <v>0.23</v>
          </cell>
          <cell r="GJ70">
            <v>0.28</v>
          </cell>
          <cell r="GK70">
            <v>0.31</v>
          </cell>
        </row>
        <row r="89">
          <cell r="CG89">
            <v>306.4062041324</v>
          </cell>
          <cell r="CH89">
            <v>303.426912033253</v>
          </cell>
          <cell r="CI89">
            <v>313.617830779067</v>
          </cell>
          <cell r="CJ89">
            <v>302.286195540025</v>
          </cell>
          <cell r="CK89">
            <v>300.537060824971</v>
          </cell>
          <cell r="CL89">
            <v>298.376113303519</v>
          </cell>
          <cell r="CM89">
            <v>270.034982081941</v>
          </cell>
          <cell r="CN89">
            <v>302.381370717692</v>
          </cell>
          <cell r="CO89">
            <v>311.846913116749</v>
          </cell>
          <cell r="CP89">
            <v>316.216871389554</v>
          </cell>
          <cell r="CQ89">
            <v>328.230280838616</v>
          </cell>
          <cell r="CR89">
            <v>307.763601589577</v>
          </cell>
        </row>
        <row r="89">
          <cell r="CT89">
            <v>179.85</v>
          </cell>
          <cell r="CU89">
            <v>226.56</v>
          </cell>
          <cell r="CV89">
            <v>284.68</v>
          </cell>
          <cell r="CW89">
            <v>284.77</v>
          </cell>
          <cell r="CX89">
            <v>286.1</v>
          </cell>
          <cell r="CY89">
            <v>302.35</v>
          </cell>
          <cell r="CZ89">
            <v>296.49</v>
          </cell>
          <cell r="DA89">
            <v>312.36</v>
          </cell>
          <cell r="DB89">
            <v>321.46</v>
          </cell>
          <cell r="DC89">
            <v>328.87</v>
          </cell>
          <cell r="DD89">
            <v>328.01</v>
          </cell>
          <cell r="DE89">
            <v>308.7168271</v>
          </cell>
        </row>
        <row r="89">
          <cell r="DG89">
            <v>332.544070280001</v>
          </cell>
          <cell r="DH89">
            <v>296.7444354</v>
          </cell>
          <cell r="DI89">
            <v>301.99576105</v>
          </cell>
          <cell r="DJ89">
            <v>321.228852779999</v>
          </cell>
          <cell r="DK89">
            <v>326.266262549999</v>
          </cell>
          <cell r="DL89">
            <v>320.032160720001</v>
          </cell>
          <cell r="DM89">
            <v>309.161398929999</v>
          </cell>
          <cell r="DN89">
            <v>330.646328459999</v>
          </cell>
          <cell r="DO89">
            <v>334.94531104</v>
          </cell>
          <cell r="DP89">
            <v>337.16304669</v>
          </cell>
          <cell r="DQ89">
            <v>334.920558119999</v>
          </cell>
          <cell r="DR89">
            <v>315.07038202</v>
          </cell>
        </row>
        <row r="89">
          <cell r="DV89">
            <v>357.57</v>
          </cell>
          <cell r="DW89">
            <v>327.5</v>
          </cell>
          <cell r="DX89">
            <v>348.82</v>
          </cell>
          <cell r="DY89">
            <v>312.31955297</v>
          </cell>
          <cell r="DZ89">
            <v>327.19917946</v>
          </cell>
          <cell r="EA89">
            <v>333.60409199</v>
          </cell>
          <cell r="EB89">
            <v>317.66043277</v>
          </cell>
          <cell r="EC89">
            <v>339.20359666</v>
          </cell>
          <cell r="ED89">
            <v>342.10168914</v>
          </cell>
          <cell r="EE89">
            <v>353.62049077</v>
          </cell>
          <cell r="EF89">
            <v>353.18132207</v>
          </cell>
          <cell r="EG89">
            <v>484.70135107</v>
          </cell>
        </row>
        <row r="89">
          <cell r="FE89">
            <v>357.79890948</v>
          </cell>
          <cell r="FF89">
            <v>328.15855754</v>
          </cell>
          <cell r="FG89">
            <v>349.37869325</v>
          </cell>
          <cell r="FH89">
            <v>312.61987757</v>
          </cell>
          <cell r="FI89">
            <v>327.34099446</v>
          </cell>
          <cell r="FJ89">
            <v>333.82003499</v>
          </cell>
          <cell r="FK89">
            <v>333.118946261743</v>
          </cell>
          <cell r="FL89">
            <v>355.706881043454</v>
          </cell>
          <cell r="FM89">
            <v>358.747961046979</v>
          </cell>
          <cell r="FN89">
            <v>370.825016901845</v>
          </cell>
          <cell r="FO89">
            <v>370.366777739465</v>
          </cell>
          <cell r="FP89">
            <v>508.26995089411</v>
          </cell>
        </row>
        <row r="89">
          <cell r="FZ89">
            <v>373.6</v>
          </cell>
          <cell r="GA89">
            <v>338.39</v>
          </cell>
          <cell r="GB89">
            <v>352.73</v>
          </cell>
          <cell r="GC89">
            <v>343.59</v>
          </cell>
          <cell r="GD89">
            <v>354.56</v>
          </cell>
          <cell r="GE89">
            <v>354.31</v>
          </cell>
          <cell r="GF89">
            <v>361.34</v>
          </cell>
          <cell r="GG89">
            <v>395.43</v>
          </cell>
          <cell r="GH89">
            <v>404.25</v>
          </cell>
          <cell r="GI89">
            <v>408.44</v>
          </cell>
          <cell r="GJ89">
            <v>415.03</v>
          </cell>
          <cell r="GK89">
            <v>389.75</v>
          </cell>
        </row>
        <row r="104">
          <cell r="CG104">
            <v>0</v>
          </cell>
          <cell r="CH104">
            <v>0</v>
          </cell>
          <cell r="CI104">
            <v>0</v>
          </cell>
        </row>
        <row r="104"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</row>
        <row r="104">
          <cell r="DZ104">
            <v>0.4101</v>
          </cell>
          <cell r="EA104">
            <v>0.0015</v>
          </cell>
          <cell r="EB104">
            <v>0</v>
          </cell>
          <cell r="EC104">
            <v>0</v>
          </cell>
          <cell r="ED104">
            <v>0</v>
          </cell>
        </row>
        <row r="104">
          <cell r="EG104">
            <v>0.001803</v>
          </cell>
        </row>
        <row r="104">
          <cell r="FE104">
            <v>0.02</v>
          </cell>
          <cell r="FF104">
            <v>0.01</v>
          </cell>
          <cell r="FG104">
            <v>0</v>
          </cell>
          <cell r="FH104">
            <v>0</v>
          </cell>
          <cell r="FI104">
            <v>0.01</v>
          </cell>
          <cell r="FJ104">
            <v>0.03</v>
          </cell>
          <cell r="FK104">
            <v>0.02</v>
          </cell>
          <cell r="FL104">
            <v>0.01</v>
          </cell>
          <cell r="FM104">
            <v>0</v>
          </cell>
          <cell r="FN104">
            <v>0</v>
          </cell>
          <cell r="FO104">
            <v>0.01</v>
          </cell>
          <cell r="FP104">
            <v>0.03</v>
          </cell>
        </row>
        <row r="104">
          <cell r="FZ104">
            <v>0.02</v>
          </cell>
          <cell r="GA104">
            <v>0.01</v>
          </cell>
          <cell r="GB104">
            <v>0</v>
          </cell>
          <cell r="GC104">
            <v>0</v>
          </cell>
          <cell r="GD104">
            <v>0.01</v>
          </cell>
          <cell r="GE104">
            <v>0.03</v>
          </cell>
          <cell r="GF104">
            <v>0.02</v>
          </cell>
          <cell r="GG104">
            <v>0.01</v>
          </cell>
          <cell r="GH104">
            <v>0</v>
          </cell>
          <cell r="GI104">
            <v>0</v>
          </cell>
          <cell r="GJ104">
            <v>0.01</v>
          </cell>
          <cell r="GK104">
            <v>0.03</v>
          </cell>
        </row>
        <row r="110">
          <cell r="CG110">
            <v>153.17</v>
          </cell>
          <cell r="CH110">
            <v>160.67</v>
          </cell>
          <cell r="CI110">
            <v>171.93</v>
          </cell>
          <cell r="CJ110">
            <v>143.08</v>
          </cell>
          <cell r="CK110">
            <v>138.64</v>
          </cell>
          <cell r="CL110">
            <v>136.23</v>
          </cell>
          <cell r="CM110">
            <v>128.39563286</v>
          </cell>
          <cell r="CN110">
            <v>136.43721588</v>
          </cell>
          <cell r="CO110">
            <v>122.81</v>
          </cell>
          <cell r="CP110">
            <v>117.4</v>
          </cell>
          <cell r="CQ110">
            <v>128.05227648</v>
          </cell>
          <cell r="CR110">
            <v>127.30796073</v>
          </cell>
        </row>
        <row r="110">
          <cell r="CT110">
            <v>82.26</v>
          </cell>
          <cell r="CU110">
            <v>85.21</v>
          </cell>
          <cell r="CV110">
            <v>106.06</v>
          </cell>
          <cell r="CW110">
            <v>96.06</v>
          </cell>
          <cell r="CX110">
            <v>97.93</v>
          </cell>
          <cell r="CY110">
            <v>100.08</v>
          </cell>
          <cell r="CZ110">
            <v>101.43</v>
          </cell>
          <cell r="DA110">
            <v>102.75</v>
          </cell>
          <cell r="DB110">
            <v>96.2</v>
          </cell>
          <cell r="DC110">
            <v>98.12473311</v>
          </cell>
          <cell r="DD110">
            <v>105.462729</v>
          </cell>
          <cell r="DE110">
            <v>110.210156</v>
          </cell>
        </row>
        <row r="110">
          <cell r="DG110">
            <v>135.33931926</v>
          </cell>
        </row>
        <row r="110">
          <cell r="DV110">
            <v>171.84</v>
          </cell>
          <cell r="DW110">
            <v>174.25</v>
          </cell>
          <cell r="DX110">
            <v>179.79</v>
          </cell>
          <cell r="DY110">
            <v>144.86727249</v>
          </cell>
          <cell r="DZ110">
            <v>147.16457658</v>
          </cell>
          <cell r="EA110">
            <v>156.13046103</v>
          </cell>
          <cell r="EB110">
            <v>146.79458573</v>
          </cell>
          <cell r="EC110">
            <v>138.89520262</v>
          </cell>
          <cell r="ED110">
            <v>135.99557205</v>
          </cell>
          <cell r="EE110">
            <v>138.72055816</v>
          </cell>
          <cell r="EF110">
            <v>140.38698099</v>
          </cell>
          <cell r="EG110">
            <v>215.39694602</v>
          </cell>
        </row>
        <row r="110">
          <cell r="FE110">
            <v>178.14854454</v>
          </cell>
          <cell r="FF110">
            <v>196.79013864</v>
          </cell>
          <cell r="FG110">
            <v>197.6070147</v>
          </cell>
          <cell r="FH110">
            <v>168.573436515</v>
          </cell>
          <cell r="FI110">
            <v>181.96917251</v>
          </cell>
          <cell r="FJ110">
            <v>169.63353952</v>
          </cell>
          <cell r="FK110">
            <v>161.474044303</v>
          </cell>
          <cell r="FL110">
            <v>152.784722882</v>
          </cell>
          <cell r="FM110">
            <v>149.595129255</v>
          </cell>
          <cell r="FN110">
            <v>152.592613976</v>
          </cell>
          <cell r="FO110">
            <v>154.425679089</v>
          </cell>
          <cell r="FP110">
            <v>236.936640622</v>
          </cell>
        </row>
        <row r="110">
          <cell r="FZ110">
            <v>197.968530831982</v>
          </cell>
          <cell r="GA110">
            <v>218.684102805204</v>
          </cell>
          <cell r="GB110">
            <v>219.591860732094</v>
          </cell>
          <cell r="GC110">
            <v>187.328140402965</v>
          </cell>
          <cell r="GD110">
            <v>202.214224267365</v>
          </cell>
          <cell r="GE110">
            <v>188.50618558415</v>
          </cell>
          <cell r="GF110">
            <v>179.438902522079</v>
          </cell>
          <cell r="GG110">
            <v>169.782847233589</v>
          </cell>
          <cell r="GH110">
            <v>166.23839411488</v>
          </cell>
          <cell r="GI110">
            <v>169.5693651758</v>
          </cell>
          <cell r="GJ110">
            <v>171.606368667897</v>
          </cell>
          <cell r="GK110">
            <v>263.297119633053</v>
          </cell>
        </row>
        <row r="115">
          <cell r="DV115">
            <v>0.032178</v>
          </cell>
          <cell r="DW115">
            <v>0.074464</v>
          </cell>
          <cell r="DX115">
            <v>0.00743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0.032196</v>
          </cell>
          <cell r="EE115">
            <v>0.028971</v>
          </cell>
          <cell r="EF115">
            <v>0.033588</v>
          </cell>
          <cell r="EG115">
            <v>0.034469</v>
          </cell>
        </row>
        <row r="115">
          <cell r="FE115">
            <v>0</v>
          </cell>
          <cell r="FF115">
            <v>0.047229</v>
          </cell>
          <cell r="FG115">
            <v>0.036666</v>
          </cell>
          <cell r="FH115">
            <v>0.027436</v>
          </cell>
          <cell r="FI115">
            <v>0.024931</v>
          </cell>
          <cell r="FJ115">
            <v>0.029947</v>
          </cell>
          <cell r="FK115">
            <v>0</v>
          </cell>
          <cell r="FL115">
            <v>0</v>
          </cell>
          <cell r="FM115">
            <v>0.03283992</v>
          </cell>
          <cell r="FN115">
            <v>0.02955042</v>
          </cell>
          <cell r="FO115">
            <v>0.03425976</v>
          </cell>
          <cell r="FP115">
            <v>0.03515838</v>
          </cell>
        </row>
        <row r="115">
          <cell r="FZ115">
            <v>0.0229412896748741</v>
          </cell>
          <cell r="GA115">
            <v>0.0215886982102555</v>
          </cell>
          <cell r="GB115">
            <v>0.0210520372771004</v>
          </cell>
          <cell r="GC115">
            <v>0.0197792371262841</v>
          </cell>
          <cell r="GD115">
            <v>0.0203995502432643</v>
          </cell>
          <cell r="GE115">
            <v>0.0208667155160108</v>
          </cell>
          <cell r="GF115">
            <v>0.0239309593573592</v>
          </cell>
          <cell r="GG115">
            <v>0.0242578463526143</v>
          </cell>
          <cell r="GH115">
            <v>0.0226066809395736</v>
          </cell>
          <cell r="GI115">
            <v>0.0213724894889843</v>
          </cell>
          <cell r="GJ115">
            <v>0.0221086287066455</v>
          </cell>
          <cell r="GK115">
            <v>0.0232746114535004</v>
          </cell>
        </row>
        <row r="120">
          <cell r="CG120">
            <v>0.41</v>
          </cell>
          <cell r="CH120">
            <v>0.45</v>
          </cell>
          <cell r="CI120">
            <v>0.47</v>
          </cell>
          <cell r="CJ120">
            <v>0.39</v>
          </cell>
          <cell r="CK120">
            <v>0.36</v>
          </cell>
          <cell r="CL120">
            <v>0.36</v>
          </cell>
          <cell r="CM120">
            <v>0.332443</v>
          </cell>
          <cell r="CN120">
            <v>0.332566</v>
          </cell>
          <cell r="CO120">
            <v>0.302489</v>
          </cell>
          <cell r="CP120">
            <v>0.304442</v>
          </cell>
          <cell r="CQ120">
            <v>0.317742</v>
          </cell>
          <cell r="CR120">
            <v>0.305947</v>
          </cell>
        </row>
        <row r="120">
          <cell r="CT120">
            <v>0.16</v>
          </cell>
          <cell r="CU120">
            <v>0.13</v>
          </cell>
          <cell r="CV120">
            <v>0.18</v>
          </cell>
          <cell r="CW120">
            <v>0.19</v>
          </cell>
          <cell r="CX120">
            <v>0.19</v>
          </cell>
          <cell r="CY120">
            <v>0.18</v>
          </cell>
          <cell r="CZ120">
            <v>0.2</v>
          </cell>
          <cell r="DA120">
            <v>0.22</v>
          </cell>
          <cell r="DB120">
            <v>0.22</v>
          </cell>
          <cell r="DC120">
            <v>0.215848</v>
          </cell>
          <cell r="DD120">
            <v>0.218184</v>
          </cell>
          <cell r="DE120">
            <v>0.241401</v>
          </cell>
        </row>
        <row r="120">
          <cell r="DG120">
            <v>0.292469</v>
          </cell>
          <cell r="DH120">
            <v>0.270392</v>
          </cell>
          <cell r="DI120">
            <v>0.234387</v>
          </cell>
          <cell r="DJ120">
            <v>0.262396</v>
          </cell>
          <cell r="DK120">
            <v>0.285778</v>
          </cell>
          <cell r="DL120">
            <v>0.295408</v>
          </cell>
          <cell r="DM120">
            <v>0.300113</v>
          </cell>
          <cell r="DN120">
            <v>0.305227</v>
          </cell>
          <cell r="DO120">
            <v>0.305084</v>
          </cell>
          <cell r="DP120">
            <v>0.2911648</v>
          </cell>
          <cell r="DQ120">
            <v>0.269018</v>
          </cell>
          <cell r="DR120">
            <v>0.276124</v>
          </cell>
        </row>
        <row r="120">
          <cell r="DV120">
            <v>0.37</v>
          </cell>
          <cell r="DW120">
            <v>0.36</v>
          </cell>
          <cell r="DX120">
            <v>0.38</v>
          </cell>
          <cell r="DY120">
            <v>0.322311</v>
          </cell>
          <cell r="DZ120">
            <v>0.347776</v>
          </cell>
          <cell r="EA120">
            <v>0.361763</v>
          </cell>
          <cell r="EB120">
            <v>0.353814</v>
          </cell>
          <cell r="EC120">
            <v>0.346308</v>
          </cell>
          <cell r="ED120">
            <v>0.334942</v>
          </cell>
          <cell r="EE120">
            <v>0.343065</v>
          </cell>
          <cell r="EF120">
            <v>0.335306</v>
          </cell>
          <cell r="EG120">
            <v>0.492824</v>
          </cell>
        </row>
        <row r="120">
          <cell r="FE120">
            <v>0.381373</v>
          </cell>
          <cell r="FF120">
            <v>0.438194</v>
          </cell>
          <cell r="FG120">
            <v>0.444743</v>
          </cell>
          <cell r="FH120">
            <v>0.400546</v>
          </cell>
          <cell r="FI120">
            <v>0.396768</v>
          </cell>
          <cell r="FJ120">
            <v>0.395706</v>
          </cell>
          <cell r="FK120">
            <v>0.37504284</v>
          </cell>
          <cell r="FL120">
            <v>0.36708648</v>
          </cell>
          <cell r="FM120">
            <v>0.35503852</v>
          </cell>
          <cell r="FN120">
            <v>0.3636489</v>
          </cell>
          <cell r="FO120">
            <v>0.35542436</v>
          </cell>
          <cell r="FP120">
            <v>0.52239344</v>
          </cell>
        </row>
        <row r="120">
          <cell r="FZ120">
            <v>0.53</v>
          </cell>
          <cell r="GA120">
            <v>0.14</v>
          </cell>
          <cell r="GB120">
            <v>0.09</v>
          </cell>
          <cell r="GC120">
            <v>0.11</v>
          </cell>
          <cell r="GD120">
            <v>0.32</v>
          </cell>
          <cell r="GE120">
            <v>0.44</v>
          </cell>
          <cell r="GF120">
            <v>0.41</v>
          </cell>
          <cell r="GG120">
            <v>0.54</v>
          </cell>
          <cell r="GH120">
            <v>0.31</v>
          </cell>
          <cell r="GI120">
            <v>0.72</v>
          </cell>
          <cell r="GJ120">
            <v>0.82</v>
          </cell>
          <cell r="GK120">
            <v>0.84</v>
          </cell>
        </row>
        <row r="126">
          <cell r="CG126">
            <v>3.71</v>
          </cell>
          <cell r="CH126">
            <v>0.84</v>
          </cell>
          <cell r="CI126">
            <v>0.76</v>
          </cell>
          <cell r="CJ126">
            <v>0.74</v>
          </cell>
          <cell r="CK126">
            <v>1.63</v>
          </cell>
          <cell r="CL126">
            <v>5.26</v>
          </cell>
          <cell r="CM126">
            <v>4.03</v>
          </cell>
          <cell r="CN126">
            <v>4.24</v>
          </cell>
          <cell r="CO126">
            <v>2.29</v>
          </cell>
          <cell r="CP126">
            <v>5.98</v>
          </cell>
          <cell r="CQ126">
            <v>5.99</v>
          </cell>
          <cell r="CR126">
            <v>6.42</v>
          </cell>
        </row>
        <row r="126">
          <cell r="CT126">
            <v>3.91</v>
          </cell>
          <cell r="CU126">
            <v>1.12</v>
          </cell>
          <cell r="CV126">
            <v>1.39</v>
          </cell>
          <cell r="CW126">
            <v>1.09</v>
          </cell>
          <cell r="CX126">
            <v>1.49</v>
          </cell>
          <cell r="CY126">
            <v>3.87</v>
          </cell>
          <cell r="CZ126">
            <v>3.19</v>
          </cell>
          <cell r="DA126">
            <v>4.29</v>
          </cell>
          <cell r="DB126">
            <v>2.37</v>
          </cell>
          <cell r="DC126">
            <v>5.82</v>
          </cell>
          <cell r="DD126">
            <v>6.69</v>
          </cell>
          <cell r="DE126">
            <v>6.89</v>
          </cell>
        </row>
        <row r="126">
          <cell r="DG126">
            <v>5.098911</v>
          </cell>
          <cell r="DH126">
            <v>1.125737</v>
          </cell>
          <cell r="DI126">
            <v>0.655789</v>
          </cell>
          <cell r="DJ126">
            <v>0.850232</v>
          </cell>
          <cell r="DK126">
            <v>2.978438</v>
          </cell>
          <cell r="DL126">
            <v>4.169779</v>
          </cell>
          <cell r="DM126">
            <v>5.090822</v>
          </cell>
          <cell r="DN126">
            <v>3.925507</v>
          </cell>
          <cell r="DO126">
            <v>1.892511</v>
          </cell>
          <cell r="DP126">
            <v>4.936936</v>
          </cell>
          <cell r="DQ126">
            <v>5.117686</v>
          </cell>
          <cell r="DR126">
            <v>5.834378</v>
          </cell>
        </row>
        <row r="126">
          <cell r="DV126">
            <v>4.08</v>
          </cell>
          <cell r="DW126">
            <v>0.78</v>
          </cell>
          <cell r="DX126">
            <v>0.69</v>
          </cell>
          <cell r="DY126">
            <v>1.062505</v>
          </cell>
          <cell r="DZ126">
            <v>2.095463</v>
          </cell>
          <cell r="EA126">
            <v>4.22927425</v>
          </cell>
          <cell r="EB126">
            <v>3.46676966</v>
          </cell>
          <cell r="EC126">
            <v>4.40827641</v>
          </cell>
          <cell r="ED126">
            <v>6.371162</v>
          </cell>
          <cell r="EE126">
            <v>5.678977</v>
          </cell>
          <cell r="EF126">
            <v>5.911532</v>
          </cell>
          <cell r="EG126">
            <v>8.304356</v>
          </cell>
        </row>
        <row r="126">
          <cell r="FE126">
            <v>2.107807</v>
          </cell>
          <cell r="FF126">
            <v>0.385051</v>
          </cell>
          <cell r="FG126">
            <v>0.628657</v>
          </cell>
          <cell r="FH126">
            <v>1.04366312</v>
          </cell>
          <cell r="FI126">
            <v>1.80848832</v>
          </cell>
          <cell r="FJ126">
            <v>1.690687</v>
          </cell>
          <cell r="FK126">
            <v>3.5361050532</v>
          </cell>
          <cell r="FL126">
            <v>4.4964419382</v>
          </cell>
          <cell r="FM126">
            <v>6.49858524</v>
          </cell>
          <cell r="FN126">
            <v>5.79255654</v>
          </cell>
          <cell r="FO126">
            <v>6.02976264</v>
          </cell>
          <cell r="FP126">
            <v>8.47044312</v>
          </cell>
        </row>
        <row r="126">
          <cell r="FZ126">
            <v>8.16763135</v>
          </cell>
          <cell r="GA126">
            <v>3.9381189</v>
          </cell>
          <cell r="GB126">
            <v>3.5725566535</v>
          </cell>
          <cell r="GC126">
            <v>4.1136285</v>
          </cell>
          <cell r="GD126">
            <v>5.66707195</v>
          </cell>
          <cell r="GE126">
            <v>8.25390845</v>
          </cell>
          <cell r="GF126">
            <v>7.370902408</v>
          </cell>
          <cell r="GG126">
            <v>4.66359656399999</v>
          </cell>
          <cell r="GH126">
            <v>5.893385067</v>
          </cell>
          <cell r="GI126">
            <v>9.550915866</v>
          </cell>
          <cell r="GJ126">
            <v>10.23269688</v>
          </cell>
          <cell r="GK126">
            <v>5.623100366</v>
          </cell>
        </row>
        <row r="127">
          <cell r="CG127">
            <v>8.63</v>
          </cell>
          <cell r="CH127">
            <v>7.57</v>
          </cell>
          <cell r="CI127">
            <v>7.77</v>
          </cell>
          <cell r="CJ127">
            <v>8.25</v>
          </cell>
          <cell r="CK127">
            <v>7.21</v>
          </cell>
          <cell r="CL127">
            <v>7.25</v>
          </cell>
          <cell r="CM127">
            <v>7.04</v>
          </cell>
          <cell r="CN127">
            <v>8.16</v>
          </cell>
          <cell r="CO127">
            <v>8.35</v>
          </cell>
          <cell r="CP127">
            <v>8.5</v>
          </cell>
          <cell r="CQ127">
            <v>8.5</v>
          </cell>
          <cell r="CR127">
            <v>8.25</v>
          </cell>
        </row>
        <row r="127">
          <cell r="CT127">
            <v>9.29</v>
          </cell>
          <cell r="CU127">
            <v>9.21</v>
          </cell>
          <cell r="CV127">
            <v>8.94</v>
          </cell>
          <cell r="CW127">
            <v>8.9</v>
          </cell>
          <cell r="CX127">
            <v>8.82</v>
          </cell>
          <cell r="CY127">
            <v>9.34</v>
          </cell>
          <cell r="CZ127">
            <v>8.56</v>
          </cell>
          <cell r="DA127">
            <v>8.18</v>
          </cell>
          <cell r="DB127">
            <v>10.08</v>
          </cell>
          <cell r="DC127">
            <v>10.47</v>
          </cell>
          <cell r="DD127">
            <v>10.72</v>
          </cell>
          <cell r="DE127">
            <v>10.05</v>
          </cell>
        </row>
        <row r="127">
          <cell r="DG127">
            <v>11.473512</v>
          </cell>
          <cell r="DH127">
            <v>10.681545</v>
          </cell>
          <cell r="DI127">
            <v>10.455111</v>
          </cell>
          <cell r="DJ127">
            <v>10.456347</v>
          </cell>
          <cell r="DK127">
            <v>10.8146315</v>
          </cell>
          <cell r="DL127">
            <v>10.613011</v>
          </cell>
          <cell r="DM127">
            <v>10.948582</v>
          </cell>
          <cell r="DN127">
            <v>11.269684</v>
          </cell>
          <cell r="DO127">
            <v>10.916776</v>
          </cell>
          <cell r="DP127">
            <v>11.1741985</v>
          </cell>
          <cell r="DQ127">
            <v>10.960835</v>
          </cell>
          <cell r="DR127">
            <v>10.458047</v>
          </cell>
        </row>
        <row r="127">
          <cell r="DV127">
            <v>11.07</v>
          </cell>
          <cell r="DW127">
            <v>11.09</v>
          </cell>
          <cell r="DX127">
            <v>11.15</v>
          </cell>
          <cell r="DY127">
            <v>10.38198541</v>
          </cell>
          <cell r="DZ127">
            <v>10.94462091</v>
          </cell>
          <cell r="EA127">
            <v>11.4960205</v>
          </cell>
          <cell r="EB127">
            <v>10.825784</v>
          </cell>
          <cell r="EC127">
            <v>11.524172</v>
          </cell>
          <cell r="ED127">
            <v>11.066141</v>
          </cell>
          <cell r="EE127">
            <v>11.445718</v>
          </cell>
          <cell r="EF127">
            <v>11.37224</v>
          </cell>
          <cell r="EG127">
            <v>15.289218</v>
          </cell>
        </row>
        <row r="127">
          <cell r="FE127">
            <v>11.145113</v>
          </cell>
          <cell r="FF127">
            <v>10.677982</v>
          </cell>
          <cell r="FG127">
            <v>10.63566033</v>
          </cell>
          <cell r="FH127">
            <v>10.51083</v>
          </cell>
          <cell r="FI127">
            <v>10.583741</v>
          </cell>
          <cell r="FJ127">
            <v>10.129611</v>
          </cell>
          <cell r="FK127">
            <v>11.47533104</v>
          </cell>
          <cell r="FL127">
            <v>12.21562232</v>
          </cell>
          <cell r="FM127">
            <v>11.73010946</v>
          </cell>
          <cell r="FN127">
            <v>12.13246108</v>
          </cell>
          <cell r="FO127">
            <v>12.0545744</v>
          </cell>
          <cell r="FP127">
            <v>16.20657108</v>
          </cell>
        </row>
        <row r="127">
          <cell r="FZ127">
            <v>11.70236865</v>
          </cell>
          <cell r="GA127">
            <v>11.2118811</v>
          </cell>
          <cell r="GB127">
            <v>11.1674433465</v>
          </cell>
          <cell r="GC127">
            <v>11.0363715</v>
          </cell>
          <cell r="GD127">
            <v>11.11292805</v>
          </cell>
          <cell r="GE127">
            <v>10.63609155</v>
          </cell>
          <cell r="GF127">
            <v>12.049097592</v>
          </cell>
          <cell r="GG127">
            <v>12.826403436</v>
          </cell>
          <cell r="GH127">
            <v>12.316614933</v>
          </cell>
          <cell r="GI127">
            <v>12.739084134</v>
          </cell>
          <cell r="GJ127">
            <v>12.65730312</v>
          </cell>
          <cell r="GK127">
            <v>17.016899634</v>
          </cell>
        </row>
        <row r="131">
          <cell r="CG131">
            <v>11.59</v>
          </cell>
          <cell r="CH131">
            <v>12.5</v>
          </cell>
          <cell r="CI131">
            <v>13.82</v>
          </cell>
          <cell r="CJ131">
            <v>9.76</v>
          </cell>
          <cell r="CK131">
            <v>9.09</v>
          </cell>
          <cell r="CL131">
            <v>8.85</v>
          </cell>
          <cell r="CM131">
            <v>8.74</v>
          </cell>
          <cell r="CN131">
            <v>9.1</v>
          </cell>
          <cell r="CO131">
            <v>8.32</v>
          </cell>
          <cell r="CP131">
            <v>8.49</v>
          </cell>
          <cell r="CQ131">
            <v>8.76</v>
          </cell>
          <cell r="CR131">
            <v>9.47</v>
          </cell>
        </row>
        <row r="131">
          <cell r="CT131">
            <v>11.64</v>
          </cell>
          <cell r="CU131">
            <v>13.6</v>
          </cell>
          <cell r="CV131">
            <v>13.89</v>
          </cell>
          <cell r="CW131">
            <v>10.1</v>
          </cell>
          <cell r="CX131">
            <v>10.44</v>
          </cell>
          <cell r="CY131">
            <v>10.38</v>
          </cell>
          <cell r="CZ131">
            <v>10.01</v>
          </cell>
          <cell r="DA131">
            <v>9.76</v>
          </cell>
          <cell r="DB131">
            <v>9.04</v>
          </cell>
          <cell r="DC131">
            <v>9.14</v>
          </cell>
          <cell r="DD131">
            <v>9.49</v>
          </cell>
          <cell r="DE131">
            <v>10.1</v>
          </cell>
        </row>
        <row r="131">
          <cell r="DG131">
            <v>14.581323</v>
          </cell>
          <cell r="DH131">
            <v>14.678289</v>
          </cell>
          <cell r="DI131">
            <v>14.124176</v>
          </cell>
          <cell r="DJ131">
            <v>12.035335</v>
          </cell>
          <cell r="DK131">
            <v>12.083102</v>
          </cell>
          <cell r="DL131">
            <v>11.7113118</v>
          </cell>
          <cell r="DM131">
            <v>11.8348675</v>
          </cell>
          <cell r="DN131">
            <v>11.489955</v>
          </cell>
          <cell r="DO131">
            <v>10.88195575</v>
          </cell>
          <cell r="DP131">
            <v>11.005298</v>
          </cell>
          <cell r="DQ131">
            <v>10.857859</v>
          </cell>
          <cell r="DR131">
            <v>11.39923</v>
          </cell>
        </row>
        <row r="131">
          <cell r="DV131">
            <v>18.59</v>
          </cell>
          <cell r="DW131">
            <v>19.69</v>
          </cell>
          <cell r="DX131">
            <v>18.81</v>
          </cell>
          <cell r="DY131">
            <v>13.691047</v>
          </cell>
          <cell r="DZ131">
            <v>13.597374</v>
          </cell>
          <cell r="EA131">
            <v>14.135622</v>
          </cell>
          <cell r="EB131">
            <v>13.1151365</v>
          </cell>
          <cell r="EC131">
            <v>12.810408</v>
          </cell>
          <cell r="ED131">
            <v>12.637645</v>
          </cell>
          <cell r="EE131">
            <v>12.884047</v>
          </cell>
          <cell r="EF131">
            <v>13.51772</v>
          </cell>
          <cell r="EG131">
            <v>20.510695</v>
          </cell>
        </row>
        <row r="131">
          <cell r="FE131">
            <v>19.40127</v>
          </cell>
          <cell r="FF131">
            <v>22.259069</v>
          </cell>
          <cell r="FG131">
            <v>22.27492</v>
          </cell>
          <cell r="FH131">
            <v>17.129661</v>
          </cell>
          <cell r="FI131">
            <v>17.85232084</v>
          </cell>
          <cell r="FJ131">
            <v>16.918639</v>
          </cell>
          <cell r="FK131">
            <v>13.90204469</v>
          </cell>
          <cell r="FL131">
            <v>13.57903248</v>
          </cell>
          <cell r="FM131">
            <v>13.3959037</v>
          </cell>
          <cell r="FN131">
            <v>13.65708982</v>
          </cell>
          <cell r="FO131">
            <v>14.3287832</v>
          </cell>
          <cell r="FP131">
            <v>21.7413367</v>
          </cell>
        </row>
        <row r="131">
          <cell r="FZ131">
            <v>21.31</v>
          </cell>
          <cell r="GA131">
            <v>21.63</v>
          </cell>
          <cell r="GB131">
            <v>21.15</v>
          </cell>
          <cell r="GC131">
            <v>17.51</v>
          </cell>
          <cell r="GD131">
            <v>18.13</v>
          </cell>
          <cell r="GE131">
            <v>18.51</v>
          </cell>
          <cell r="GF131">
            <v>17.45</v>
          </cell>
          <cell r="GG131">
            <v>17.68</v>
          </cell>
          <cell r="GH131">
            <v>16.88</v>
          </cell>
          <cell r="GI131">
            <v>17.49</v>
          </cell>
          <cell r="GJ131">
            <v>17.66</v>
          </cell>
          <cell r="GK131">
            <v>17.24</v>
          </cell>
        </row>
        <row r="132">
          <cell r="CG132">
            <v>7.52</v>
          </cell>
          <cell r="CH132">
            <v>7.25</v>
          </cell>
          <cell r="CI132">
            <v>7.44</v>
          </cell>
          <cell r="CJ132">
            <v>7.2</v>
          </cell>
          <cell r="CK132">
            <v>6.97</v>
          </cell>
          <cell r="CL132">
            <v>8</v>
          </cell>
          <cell r="CM132">
            <v>7.91</v>
          </cell>
          <cell r="CN132">
            <v>8.53</v>
          </cell>
          <cell r="CO132">
            <v>7.71</v>
          </cell>
          <cell r="CP132">
            <v>7.85</v>
          </cell>
          <cell r="CQ132">
            <v>8.03</v>
          </cell>
          <cell r="CR132">
            <v>7.42</v>
          </cell>
        </row>
        <row r="132">
          <cell r="CT132">
            <v>4.92</v>
          </cell>
          <cell r="CU132">
            <v>5.26</v>
          </cell>
          <cell r="CV132">
            <v>5.93</v>
          </cell>
          <cell r="CW132">
            <v>5.85</v>
          </cell>
          <cell r="CX132">
            <v>6.77</v>
          </cell>
          <cell r="CY132">
            <v>7.14</v>
          </cell>
          <cell r="CZ132">
            <v>7.73</v>
          </cell>
          <cell r="DA132">
            <v>8.32</v>
          </cell>
          <cell r="DB132">
            <v>8.04</v>
          </cell>
          <cell r="DC132">
            <v>8.59</v>
          </cell>
          <cell r="DD132">
            <v>8.93</v>
          </cell>
          <cell r="DE132">
            <v>7.92</v>
          </cell>
        </row>
        <row r="132">
          <cell r="DG132">
            <v>8.710615</v>
          </cell>
          <cell r="DH132">
            <v>7.95727</v>
          </cell>
          <cell r="DI132">
            <v>8.22206250000001</v>
          </cell>
          <cell r="DJ132">
            <v>8.76820200000001</v>
          </cell>
          <cell r="DK132">
            <v>9.743914</v>
          </cell>
          <cell r="DL132">
            <v>9.652652</v>
          </cell>
          <cell r="DM132">
            <v>10.108731</v>
          </cell>
          <cell r="DN132">
            <v>9.71765939</v>
          </cell>
          <cell r="DO132">
            <v>9.73335603999999</v>
          </cell>
          <cell r="DP132">
            <v>10.3633035</v>
          </cell>
          <cell r="DQ132">
            <v>9.914018</v>
          </cell>
          <cell r="DR132">
            <v>9.59293350000001</v>
          </cell>
        </row>
        <row r="132">
          <cell r="DV132">
            <v>11.76</v>
          </cell>
          <cell r="DW132">
            <v>11.23</v>
          </cell>
          <cell r="DX132">
            <v>11.95</v>
          </cell>
          <cell r="DY132">
            <v>10.432735</v>
          </cell>
          <cell r="DZ132">
            <v>11.5848855</v>
          </cell>
          <cell r="EA132">
            <v>12.576347</v>
          </cell>
          <cell r="EB132">
            <v>12.446289</v>
          </cell>
          <cell r="EC132">
            <v>14.1603415</v>
          </cell>
          <cell r="ED132">
            <v>13.573868</v>
          </cell>
          <cell r="EE132">
            <v>13.565659</v>
          </cell>
          <cell r="EF132">
            <v>13.264512</v>
          </cell>
          <cell r="EG132">
            <v>17.394279</v>
          </cell>
        </row>
        <row r="132">
          <cell r="FE132">
            <v>13.721471</v>
          </cell>
          <cell r="FF132">
            <v>14.987717</v>
          </cell>
          <cell r="FG132">
            <v>14.88942761</v>
          </cell>
          <cell r="FH132">
            <v>14.0200989</v>
          </cell>
          <cell r="FI132">
            <v>15.85269281</v>
          </cell>
          <cell r="FJ132">
            <v>15.430845</v>
          </cell>
          <cell r="FK132">
            <v>13.19306634</v>
          </cell>
          <cell r="FL132">
            <v>15.00996199</v>
          </cell>
          <cell r="FM132">
            <v>14.38830008</v>
          </cell>
          <cell r="FN132">
            <v>14.37959854</v>
          </cell>
          <cell r="FO132">
            <v>14.06038272</v>
          </cell>
          <cell r="FP132">
            <v>18.43793574</v>
          </cell>
        </row>
        <row r="132">
          <cell r="FZ132">
            <v>13.65</v>
          </cell>
          <cell r="GA132">
            <v>13.09</v>
          </cell>
          <cell r="GB132">
            <v>13.9</v>
          </cell>
          <cell r="GC132">
            <v>12.12</v>
          </cell>
          <cell r="GD132">
            <v>13.46</v>
          </cell>
          <cell r="GE132">
            <v>14.61</v>
          </cell>
          <cell r="GF132">
            <v>15.12</v>
          </cell>
          <cell r="GG132">
            <v>14.53</v>
          </cell>
          <cell r="GH132">
            <v>14.56</v>
          </cell>
          <cell r="GI132">
            <v>15.5</v>
          </cell>
          <cell r="GJ132">
            <v>14.83</v>
          </cell>
          <cell r="GK132">
            <v>14.35</v>
          </cell>
        </row>
        <row r="133"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</row>
        <row r="133"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</row>
        <row r="133"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</row>
        <row r="134"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0.19</v>
          </cell>
          <cell r="CM134">
            <v>0.36</v>
          </cell>
          <cell r="CN134">
            <v>0.33</v>
          </cell>
          <cell r="CO134">
            <v>0.37</v>
          </cell>
          <cell r="CP134">
            <v>0.39</v>
          </cell>
          <cell r="CQ134">
            <v>0.4</v>
          </cell>
          <cell r="CR134">
            <v>0.39</v>
          </cell>
        </row>
        <row r="134">
          <cell r="CT134">
            <v>0.03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0.11</v>
          </cell>
          <cell r="DA134">
            <v>0.17</v>
          </cell>
          <cell r="DB134">
            <v>0.3</v>
          </cell>
          <cell r="DC134">
            <v>0.32</v>
          </cell>
          <cell r="DD134">
            <v>0.33</v>
          </cell>
          <cell r="DE134">
            <v>0.34</v>
          </cell>
        </row>
        <row r="134">
          <cell r="DG134">
            <v>0.368187</v>
          </cell>
          <cell r="DH134">
            <v>0.131025</v>
          </cell>
          <cell r="DI134">
            <v>0.026748</v>
          </cell>
          <cell r="DJ134">
            <v>0.186214</v>
          </cell>
          <cell r="DK134">
            <v>0.254198</v>
          </cell>
          <cell r="DL134">
            <v>0.288007</v>
          </cell>
          <cell r="DM134">
            <v>0.35733</v>
          </cell>
          <cell r="DN134">
            <v>0.383213</v>
          </cell>
          <cell r="DO134">
            <v>0.385307</v>
          </cell>
          <cell r="DP134">
            <v>0.361173</v>
          </cell>
          <cell r="DQ134">
            <v>0.336359</v>
          </cell>
          <cell r="DR134">
            <v>0.35051</v>
          </cell>
        </row>
        <row r="134">
          <cell r="DV134">
            <v>0.45</v>
          </cell>
          <cell r="DW134">
            <v>0.44</v>
          </cell>
          <cell r="DX134">
            <v>0.47</v>
          </cell>
          <cell r="DY134">
            <v>0.416371</v>
          </cell>
          <cell r="DZ134">
            <v>0.40566</v>
          </cell>
          <cell r="EA134">
            <v>0.43609</v>
          </cell>
          <cell r="EB134">
            <v>0.426135</v>
          </cell>
          <cell r="EC134">
            <v>0.436821</v>
          </cell>
          <cell r="ED134">
            <v>0.432815</v>
          </cell>
          <cell r="EE134">
            <v>0.441702</v>
          </cell>
          <cell r="EF134">
            <v>0.478036</v>
          </cell>
          <cell r="EG134">
            <v>0.706229</v>
          </cell>
        </row>
        <row r="134">
          <cell r="FE134">
            <v>0.6</v>
          </cell>
          <cell r="FF134">
            <v>0.74</v>
          </cell>
          <cell r="FG134">
            <v>0.8</v>
          </cell>
          <cell r="FH134">
            <v>0.76</v>
          </cell>
          <cell r="FI134">
            <v>0.8</v>
          </cell>
          <cell r="FJ134">
            <v>0.93</v>
          </cell>
          <cell r="FK134">
            <v>0.870070783333333</v>
          </cell>
          <cell r="FL134">
            <v>0.881397943333333</v>
          </cell>
        </row>
        <row r="134">
          <cell r="FZ134">
            <v>0.51</v>
          </cell>
          <cell r="GA134">
            <v>0.5</v>
          </cell>
          <cell r="GB134">
            <v>0.53</v>
          </cell>
          <cell r="GC134">
            <v>0.47</v>
          </cell>
          <cell r="GD134">
            <v>0.46</v>
          </cell>
          <cell r="GE134">
            <v>0.49</v>
          </cell>
          <cell r="GF134">
            <v>1.5</v>
          </cell>
          <cell r="GG134">
            <v>0.47</v>
          </cell>
          <cell r="GH134">
            <v>0.48</v>
          </cell>
          <cell r="GI134">
            <v>0.45</v>
          </cell>
          <cell r="GJ134">
            <v>0.42</v>
          </cell>
          <cell r="GK134">
            <v>0.43</v>
          </cell>
        </row>
        <row r="152">
          <cell r="CG152">
            <v>392.07</v>
          </cell>
          <cell r="CH152">
            <v>360.78</v>
          </cell>
          <cell r="CI152">
            <v>401.21</v>
          </cell>
          <cell r="CJ152">
            <v>381.48</v>
          </cell>
          <cell r="CK152">
            <v>367.95</v>
          </cell>
          <cell r="CL152">
            <v>359.49</v>
          </cell>
          <cell r="CM152">
            <v>315.49885033</v>
          </cell>
          <cell r="CN152">
            <v>329.63431352</v>
          </cell>
          <cell r="CO152">
            <v>322.74</v>
          </cell>
          <cell r="CP152">
            <v>327.06</v>
          </cell>
          <cell r="CQ152">
            <v>339.78558844</v>
          </cell>
          <cell r="CR152">
            <v>321.22522553</v>
          </cell>
        </row>
        <row r="152">
          <cell r="CT152">
            <v>174.4</v>
          </cell>
          <cell r="CU152">
            <v>221.27</v>
          </cell>
          <cell r="CV152">
            <v>284.78</v>
          </cell>
          <cell r="CW152">
            <v>280.18</v>
          </cell>
          <cell r="CX152">
            <v>287.25</v>
          </cell>
          <cell r="CY152">
            <v>307.8</v>
          </cell>
          <cell r="CZ152">
            <v>311.07</v>
          </cell>
          <cell r="DA152">
            <v>319.32</v>
          </cell>
          <cell r="DB152">
            <v>312.07</v>
          </cell>
          <cell r="DC152">
            <v>339.89907744</v>
          </cell>
          <cell r="DD152">
            <v>367.04454</v>
          </cell>
          <cell r="DE152">
            <v>370.775284</v>
          </cell>
        </row>
        <row r="152">
          <cell r="DG152">
            <v>405.53433667</v>
          </cell>
          <cell r="DH152">
            <v>340.25796541</v>
          </cell>
          <cell r="DI152">
            <v>340.75413179</v>
          </cell>
          <cell r="DJ152">
            <v>358.81999154</v>
          </cell>
          <cell r="DK152">
            <v>375.50052967</v>
          </cell>
          <cell r="DL152">
            <v>417.45251747</v>
          </cell>
          <cell r="DM152">
            <v>419.33088867</v>
          </cell>
          <cell r="DN152">
            <v>374.86296477</v>
          </cell>
          <cell r="DO152">
            <v>381.64778267</v>
          </cell>
          <cell r="DP152">
            <v>384.62622567</v>
          </cell>
          <cell r="DQ152">
            <v>400.06796117</v>
          </cell>
          <cell r="DR152">
            <v>391.53892767</v>
          </cell>
        </row>
        <row r="152">
          <cell r="DV152">
            <v>462.3</v>
          </cell>
          <cell r="DW152">
            <v>443.32</v>
          </cell>
          <cell r="DX152">
            <v>456.09</v>
          </cell>
          <cell r="DY152">
            <v>435.480396</v>
          </cell>
          <cell r="DZ152">
            <v>436.032314</v>
          </cell>
          <cell r="EA152">
            <v>443.44037523</v>
          </cell>
          <cell r="EB152">
            <v>422.064112</v>
          </cell>
          <cell r="EC152">
            <v>438.8500435</v>
          </cell>
          <cell r="ED152">
            <v>440.6811815</v>
          </cell>
          <cell r="EE152">
            <v>443.1017745</v>
          </cell>
          <cell r="EF152">
            <v>447.9502955</v>
          </cell>
          <cell r="EG152">
            <v>629.4306135</v>
          </cell>
        </row>
        <row r="152">
          <cell r="FE152">
            <v>446.8735394</v>
          </cell>
          <cell r="FF152">
            <v>478.19689172</v>
          </cell>
          <cell r="FG152">
            <v>465.79658126</v>
          </cell>
          <cell r="FH152">
            <v>468.67898969</v>
          </cell>
          <cell r="FI152">
            <v>480.15873</v>
          </cell>
          <cell r="FJ152">
            <v>474.035000388</v>
          </cell>
          <cell r="FK152">
            <v>463.369662211213</v>
          </cell>
          <cell r="FL152">
            <v>481.627199894214</v>
          </cell>
          <cell r="FM152">
            <v>483.612075018539</v>
          </cell>
          <cell r="FN152">
            <v>486.253746414662</v>
          </cell>
          <cell r="FO152">
            <v>491.521394378129</v>
          </cell>
          <cell r="FP152">
            <v>688.977799601793</v>
          </cell>
        </row>
        <row r="152">
          <cell r="FZ152">
            <v>471.139963686684</v>
          </cell>
          <cell r="GA152">
            <v>451.049963686684</v>
          </cell>
          <cell r="GB152">
            <v>464.319963686683</v>
          </cell>
          <cell r="GC152">
            <v>444.329963686683</v>
          </cell>
          <cell r="GD152">
            <v>444.819963686684</v>
          </cell>
          <cell r="GE152">
            <v>462.079963686683</v>
          </cell>
          <cell r="GF152">
            <v>587.269963686683</v>
          </cell>
          <cell r="GG152">
            <v>537.399963686684</v>
          </cell>
          <cell r="GH152">
            <v>543.759963686683</v>
          </cell>
          <cell r="GI152">
            <v>547.099963686684</v>
          </cell>
          <cell r="GJ152">
            <v>564.129963686683</v>
          </cell>
          <cell r="GK152">
            <v>554.739963686683</v>
          </cell>
        </row>
        <row r="168">
          <cell r="CG168">
            <v>4.55</v>
          </cell>
          <cell r="CH168">
            <v>4.88</v>
          </cell>
          <cell r="CI168">
            <v>4.47</v>
          </cell>
          <cell r="CJ168">
            <v>4.65</v>
          </cell>
          <cell r="CK168">
            <v>4.91</v>
          </cell>
          <cell r="CL168">
            <v>4.04</v>
          </cell>
          <cell r="CM168">
            <v>3.85</v>
          </cell>
          <cell r="CN168">
            <v>2.92</v>
          </cell>
          <cell r="CO168">
            <v>2.46</v>
          </cell>
          <cell r="CP168">
            <v>2.58</v>
          </cell>
          <cell r="CQ168">
            <v>2.3955</v>
          </cell>
          <cell r="CR168">
            <v>2.342</v>
          </cell>
        </row>
        <row r="168">
          <cell r="CT168">
            <v>0.26</v>
          </cell>
          <cell r="CU168">
            <v>1.42</v>
          </cell>
          <cell r="CV168">
            <v>2.36</v>
          </cell>
          <cell r="CW168">
            <v>2.55</v>
          </cell>
          <cell r="CX168">
            <v>2.36</v>
          </cell>
          <cell r="CY168">
            <v>1.72</v>
          </cell>
          <cell r="CZ168">
            <v>2.3</v>
          </cell>
          <cell r="DA168">
            <v>2.58</v>
          </cell>
          <cell r="DB168">
            <v>2.38</v>
          </cell>
          <cell r="DC168">
            <v>2.6814</v>
          </cell>
          <cell r="DD168">
            <v>2.5048</v>
          </cell>
          <cell r="DE168">
            <v>2.37</v>
          </cell>
        </row>
        <row r="168">
          <cell r="DG168">
            <v>2.7233</v>
          </cell>
          <cell r="DH168">
            <v>2.0101</v>
          </cell>
          <cell r="DI168">
            <v>2.51</v>
          </cell>
          <cell r="DJ168">
            <v>2.4058</v>
          </cell>
          <cell r="DK168">
            <v>2.3152</v>
          </cell>
          <cell r="DL168">
            <v>2.4022</v>
          </cell>
          <cell r="DM168">
            <v>2.213</v>
          </cell>
          <cell r="DN168">
            <v>2.3597</v>
          </cell>
          <cell r="DO168">
            <v>3.812</v>
          </cell>
          <cell r="DP168">
            <v>5.0228</v>
          </cell>
          <cell r="DQ168">
            <v>4.4858</v>
          </cell>
          <cell r="DR168">
            <v>4.823</v>
          </cell>
        </row>
        <row r="168">
          <cell r="DV168">
            <v>6.85</v>
          </cell>
          <cell r="DW168">
            <v>6.48</v>
          </cell>
          <cell r="DX168">
            <v>6.48</v>
          </cell>
          <cell r="DY168">
            <v>4.8932</v>
          </cell>
          <cell r="DZ168">
            <v>2.7269</v>
          </cell>
          <cell r="EA168">
            <v>2.4399</v>
          </cell>
          <cell r="EB168">
            <v>1.3661</v>
          </cell>
          <cell r="EC168">
            <v>1.5926</v>
          </cell>
          <cell r="ED168">
            <v>3.4797</v>
          </cell>
          <cell r="EE168">
            <v>4.5297</v>
          </cell>
          <cell r="EF168">
            <v>2.4428</v>
          </cell>
          <cell r="EG168">
            <v>0.0011</v>
          </cell>
        </row>
        <row r="168"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</row>
        <row r="168"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</row>
        <row r="174">
          <cell r="CG174">
            <v>71.36</v>
          </cell>
          <cell r="CH174">
            <v>74.91</v>
          </cell>
          <cell r="CI174">
            <v>83.57</v>
          </cell>
          <cell r="CJ174">
            <v>73.96</v>
          </cell>
          <cell r="CK174">
            <v>73.49</v>
          </cell>
          <cell r="CL174">
            <v>75.21</v>
          </cell>
          <cell r="CM174">
            <v>71.14057271</v>
          </cell>
          <cell r="CN174">
            <v>74.09192839</v>
          </cell>
          <cell r="CO174">
            <v>66.06916142</v>
          </cell>
          <cell r="CP174">
            <v>64.17145726</v>
          </cell>
          <cell r="CQ174">
            <v>70.43499459</v>
          </cell>
          <cell r="CR174">
            <v>69.55196737</v>
          </cell>
        </row>
        <row r="174">
          <cell r="CT174">
            <v>45.01</v>
          </cell>
          <cell r="CU174">
            <v>45.26</v>
          </cell>
          <cell r="CV174">
            <v>54.52</v>
          </cell>
          <cell r="CW174">
            <v>51.01</v>
          </cell>
          <cell r="CX174">
            <v>50.42</v>
          </cell>
          <cell r="CY174">
            <v>53.13</v>
          </cell>
          <cell r="CZ174">
            <v>53.19</v>
          </cell>
          <cell r="DA174">
            <v>53.73</v>
          </cell>
          <cell r="DB174">
            <v>51.79</v>
          </cell>
          <cell r="DC174">
            <v>54.133897</v>
          </cell>
          <cell r="DD174">
            <v>56.294178</v>
          </cell>
          <cell r="DE174">
            <v>57.692249</v>
          </cell>
        </row>
        <row r="174">
          <cell r="DG174">
            <v>67.697895</v>
          </cell>
          <cell r="DH174">
            <v>60.464027</v>
          </cell>
          <cell r="DI174">
            <v>58.28261515</v>
          </cell>
          <cell r="DJ174">
            <v>62.643967</v>
          </cell>
          <cell r="DK174">
            <v>63.271288</v>
          </cell>
          <cell r="DL174">
            <v>66.10577</v>
          </cell>
          <cell r="DM174">
            <v>69.941145</v>
          </cell>
          <cell r="DN174">
            <v>68.049809</v>
          </cell>
          <cell r="DO174">
            <v>66.49284</v>
          </cell>
          <cell r="DP174">
            <v>64.091723</v>
          </cell>
          <cell r="DQ174">
            <v>62.346976</v>
          </cell>
          <cell r="DR174">
            <v>63.312877</v>
          </cell>
        </row>
        <row r="174">
          <cell r="DV174">
            <v>88.62</v>
          </cell>
          <cell r="DW174">
            <v>95.12</v>
          </cell>
          <cell r="DX174">
            <v>102.2</v>
          </cell>
          <cell r="DY174">
            <v>91.70565</v>
          </cell>
          <cell r="DZ174">
            <v>95.851009</v>
          </cell>
          <cell r="EA174">
            <v>100.436035</v>
          </cell>
          <cell r="EB174">
            <v>97.008417</v>
          </cell>
          <cell r="EC174">
            <v>95.453312</v>
          </cell>
          <cell r="ED174">
            <v>92.87741</v>
          </cell>
          <cell r="EE174">
            <v>95.297907</v>
          </cell>
          <cell r="EF174">
            <v>97.874269</v>
          </cell>
          <cell r="EG174">
            <v>145.338513</v>
          </cell>
        </row>
        <row r="174">
          <cell r="FE174">
            <v>118.556838</v>
          </cell>
          <cell r="FF174">
            <v>127.87955064</v>
          </cell>
          <cell r="FG174">
            <v>127.2081355</v>
          </cell>
          <cell r="FH174">
            <v>118.45971402</v>
          </cell>
          <cell r="FI174">
            <v>120.0907365</v>
          </cell>
          <cell r="FJ174">
            <v>113.460328095</v>
          </cell>
          <cell r="FK174">
            <v>109.288951415196</v>
          </cell>
          <cell r="FL174">
            <v>107.536981843417</v>
          </cell>
          <cell r="FM174">
            <v>104.634990065442</v>
          </cell>
          <cell r="FN174">
            <v>107.361903741743</v>
          </cell>
          <cell r="FO174">
            <v>110.264413752251</v>
          </cell>
          <cell r="FP174">
            <v>163.737273292625</v>
          </cell>
        </row>
        <row r="174">
          <cell r="FZ174">
            <v>134.282740817244</v>
          </cell>
          <cell r="GA174">
            <v>144.842059252767</v>
          </cell>
          <cell r="GB174">
            <v>144.081584642054</v>
          </cell>
          <cell r="GC174">
            <v>134.172733883409</v>
          </cell>
          <cell r="GD174">
            <v>136.020102391575</v>
          </cell>
          <cell r="GE174">
            <v>128.510207320309</v>
          </cell>
          <cell r="GF174">
            <v>123.785520807118</v>
          </cell>
          <cell r="GG174">
            <v>121.801162250533</v>
          </cell>
          <cell r="GH174">
            <v>118.514237461129</v>
          </cell>
          <cell r="GI174">
            <v>121.602861015898</v>
          </cell>
          <cell r="GJ174">
            <v>124.890372778488</v>
          </cell>
          <cell r="GK174">
            <v>185.456108669798</v>
          </cell>
        </row>
        <row r="180"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0.2272</v>
          </cell>
          <cell r="EB180">
            <v>0.2887</v>
          </cell>
          <cell r="EC180">
            <v>0.2863</v>
          </cell>
          <cell r="ED180">
            <v>0.2918</v>
          </cell>
          <cell r="EE180">
            <v>0.251</v>
          </cell>
          <cell r="EF180">
            <v>0.2549</v>
          </cell>
          <cell r="EG180">
            <v>0.2434</v>
          </cell>
        </row>
        <row r="180">
          <cell r="FE180">
            <v>0</v>
          </cell>
          <cell r="FF180">
            <v>0.4269</v>
          </cell>
          <cell r="FG180">
            <v>0.41395</v>
          </cell>
          <cell r="FH180">
            <v>0.34735</v>
          </cell>
          <cell r="FI180">
            <v>0.36855</v>
          </cell>
          <cell r="FJ180">
            <v>0.33543</v>
          </cell>
          <cell r="FK180">
            <v>0.294474</v>
          </cell>
          <cell r="FL180">
            <v>0.292026</v>
          </cell>
          <cell r="FM180">
            <v>0.297636</v>
          </cell>
          <cell r="FN180">
            <v>0.25602</v>
          </cell>
          <cell r="FO180">
            <v>0.259998</v>
          </cell>
          <cell r="FP180">
            <v>0.248268</v>
          </cell>
        </row>
        <row r="180">
          <cell r="FZ180">
            <v>0.188444019671994</v>
          </cell>
          <cell r="GA180">
            <v>0.201919672415988</v>
          </cell>
          <cell r="GB180">
            <v>0.216670671998923</v>
          </cell>
          <cell r="GC180">
            <v>0.1948207538667</v>
          </cell>
          <cell r="GD180">
            <v>0.203425503623412</v>
          </cell>
          <cell r="GE180">
            <v>0.217193103234152</v>
          </cell>
          <cell r="GF180">
            <v>0.175921035651065</v>
          </cell>
          <cell r="GG180">
            <v>0.171403542028791</v>
          </cell>
          <cell r="GH180">
            <v>0.167700426508492</v>
          </cell>
          <cell r="GI180">
            <v>0.161969048545539</v>
          </cell>
          <cell r="GJ180">
            <v>0.157804964288273</v>
          </cell>
          <cell r="GK180">
            <v>0.160109807973106</v>
          </cell>
        </row>
        <row r="185"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</row>
        <row r="185"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</row>
        <row r="185"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</row>
        <row r="185"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</row>
        <row r="191">
          <cell r="CG191">
            <v>0.94</v>
          </cell>
          <cell r="CH191">
            <v>0.59</v>
          </cell>
          <cell r="CI191">
            <v>0.19</v>
          </cell>
          <cell r="CJ191">
            <v>0.22</v>
          </cell>
          <cell r="CK191">
            <v>0.93</v>
          </cell>
          <cell r="CL191">
            <v>2.2</v>
          </cell>
          <cell r="CM191">
            <v>1.64</v>
          </cell>
          <cell r="CN191">
            <v>1.47</v>
          </cell>
          <cell r="CO191">
            <v>1.63</v>
          </cell>
          <cell r="CP191">
            <v>2.47</v>
          </cell>
          <cell r="CQ191">
            <v>2.97</v>
          </cell>
          <cell r="CR191">
            <v>2.34</v>
          </cell>
        </row>
        <row r="191">
          <cell r="CT191">
            <v>1.96</v>
          </cell>
          <cell r="CU191">
            <v>0.23</v>
          </cell>
          <cell r="CV191">
            <v>0.07</v>
          </cell>
          <cell r="CW191">
            <v>0.08</v>
          </cell>
          <cell r="CX191">
            <v>0.41</v>
          </cell>
          <cell r="CY191">
            <v>0.84</v>
          </cell>
          <cell r="CZ191">
            <v>0.69</v>
          </cell>
          <cell r="DA191">
            <v>1.36</v>
          </cell>
          <cell r="DB191">
            <v>0.82</v>
          </cell>
          <cell r="DC191">
            <v>1.39</v>
          </cell>
          <cell r="DD191">
            <v>2.93</v>
          </cell>
          <cell r="DE191">
            <v>3.73</v>
          </cell>
        </row>
        <row r="191">
          <cell r="DG191">
            <v>2.00429</v>
          </cell>
          <cell r="DH191">
            <v>0.41722</v>
          </cell>
          <cell r="DI191">
            <v>0.06461</v>
          </cell>
          <cell r="DJ191">
            <v>0.22211</v>
          </cell>
          <cell r="DK191">
            <v>0.96775</v>
          </cell>
          <cell r="DL191">
            <v>1.50842</v>
          </cell>
          <cell r="DM191">
            <v>1.69882</v>
          </cell>
          <cell r="DN191">
            <v>1.70025</v>
          </cell>
          <cell r="DO191">
            <v>1.41856</v>
          </cell>
          <cell r="DP191">
            <v>1.8518</v>
          </cell>
          <cell r="DQ191">
            <v>1.69385</v>
          </cell>
          <cell r="DR191">
            <v>1.84071</v>
          </cell>
        </row>
        <row r="191">
          <cell r="DV191">
            <v>0.84</v>
          </cell>
          <cell r="DW191">
            <v>0.39</v>
          </cell>
          <cell r="DX191">
            <v>0.07</v>
          </cell>
          <cell r="DY191">
            <v>0.53411</v>
          </cell>
          <cell r="DZ191">
            <v>1.15526</v>
          </cell>
          <cell r="EA191">
            <v>1.76723</v>
          </cell>
          <cell r="EB191">
            <v>1.29062</v>
          </cell>
          <cell r="EC191">
            <v>1.64535</v>
          </cell>
          <cell r="ED191">
            <v>1.27887</v>
          </cell>
          <cell r="EE191">
            <v>2.62074</v>
          </cell>
          <cell r="EF191">
            <v>2.2689</v>
          </cell>
          <cell r="EG191">
            <v>3.1821</v>
          </cell>
        </row>
        <row r="191">
          <cell r="FE191">
            <v>1.30048</v>
          </cell>
          <cell r="FF191">
            <v>2.080615</v>
          </cell>
          <cell r="FG191">
            <v>1.95454</v>
          </cell>
          <cell r="FH191">
            <v>2.213195</v>
          </cell>
          <cell r="FI191">
            <v>3.7451</v>
          </cell>
          <cell r="FJ191">
            <v>3.529655</v>
          </cell>
          <cell r="FK191">
            <v>1.3680572</v>
          </cell>
          <cell r="FL191">
            <v>1.744071</v>
          </cell>
          <cell r="FM191">
            <v>1.3556022</v>
          </cell>
          <cell r="FN191">
            <v>2.7779844</v>
          </cell>
          <cell r="FO191">
            <v>2.405034</v>
          </cell>
          <cell r="FP191">
            <v>3.373026</v>
          </cell>
        </row>
        <row r="191">
          <cell r="FZ191">
            <v>6.79046315485667</v>
          </cell>
          <cell r="GA191">
            <v>3.40113948189211</v>
          </cell>
          <cell r="GB191">
            <v>3.23818773340856</v>
          </cell>
          <cell r="GC191">
            <v>4.7221664565431</v>
          </cell>
          <cell r="GD191">
            <v>3.17033804946783</v>
          </cell>
          <cell r="GE191">
            <v>7.3763809922646</v>
          </cell>
          <cell r="GF191">
            <v>6.01735159180814</v>
          </cell>
          <cell r="GG191">
            <v>-4.22503826467746</v>
          </cell>
          <cell r="GH191">
            <v>4.19794994446079</v>
          </cell>
          <cell r="GI191">
            <v>11.6679318056761</v>
          </cell>
          <cell r="GJ191">
            <v>8.22187962063716</v>
          </cell>
          <cell r="GK191">
            <v>-0.584243698115751</v>
          </cell>
        </row>
        <row r="192">
          <cell r="CG192">
            <v>14.27</v>
          </cell>
          <cell r="CH192">
            <v>13.8</v>
          </cell>
          <cell r="CI192">
            <v>13.72</v>
          </cell>
          <cell r="CJ192">
            <v>11.95</v>
          </cell>
          <cell r="CK192">
            <v>12.4</v>
          </cell>
          <cell r="CL192">
            <v>12.75</v>
          </cell>
          <cell r="CM192">
            <v>12.18</v>
          </cell>
          <cell r="CN192">
            <v>13.12</v>
          </cell>
          <cell r="CO192">
            <v>13.06</v>
          </cell>
          <cell r="CP192">
            <v>13.79</v>
          </cell>
          <cell r="CQ192">
            <v>13.73</v>
          </cell>
          <cell r="CR192">
            <v>13.95</v>
          </cell>
        </row>
        <row r="192">
          <cell r="CT192">
            <v>16.08</v>
          </cell>
          <cell r="CU192">
            <v>15.72</v>
          </cell>
          <cell r="CV192">
            <v>15.83</v>
          </cell>
          <cell r="CW192">
            <v>15.79</v>
          </cell>
          <cell r="CX192">
            <v>16.24</v>
          </cell>
          <cell r="CY192">
            <v>17.09</v>
          </cell>
          <cell r="CZ192">
            <v>16.09</v>
          </cell>
          <cell r="DA192">
            <v>9.85</v>
          </cell>
          <cell r="DB192">
            <v>15.23</v>
          </cell>
          <cell r="DC192">
            <v>18.59</v>
          </cell>
          <cell r="DD192">
            <v>18.31</v>
          </cell>
          <cell r="DE192">
            <v>16.58</v>
          </cell>
        </row>
        <row r="192">
          <cell r="DG192">
            <v>19.86252</v>
          </cell>
          <cell r="DH192">
            <v>18.37851</v>
          </cell>
          <cell r="DI192">
            <v>17.73945</v>
          </cell>
          <cell r="DJ192">
            <v>18.48545</v>
          </cell>
          <cell r="DK192">
            <v>18.04961</v>
          </cell>
          <cell r="DL192">
            <v>19.54697</v>
          </cell>
          <cell r="DM192">
            <v>19.29402</v>
          </cell>
          <cell r="DN192">
            <v>20.541525</v>
          </cell>
          <cell r="DO192">
            <v>19.324575</v>
          </cell>
          <cell r="DP192">
            <v>19.159135</v>
          </cell>
          <cell r="DQ192">
            <v>19.925975</v>
          </cell>
          <cell r="DR192">
            <v>19.37655</v>
          </cell>
        </row>
        <row r="192">
          <cell r="DV192">
            <v>19.47</v>
          </cell>
          <cell r="DW192">
            <v>20.99</v>
          </cell>
          <cell r="DX192">
            <v>21.1</v>
          </cell>
          <cell r="DY192">
            <v>20.4317</v>
          </cell>
          <cell r="DZ192">
            <v>20.10299</v>
          </cell>
          <cell r="EA192">
            <v>20.61542</v>
          </cell>
          <cell r="EB192">
            <v>19.67954</v>
          </cell>
          <cell r="EC192">
            <v>20.0456</v>
          </cell>
          <cell r="ED192">
            <v>19.76087</v>
          </cell>
          <cell r="EE192">
            <v>18.31444</v>
          </cell>
          <cell r="EF192">
            <v>20.85805</v>
          </cell>
          <cell r="EG192">
            <v>26.558435</v>
          </cell>
        </row>
        <row r="192">
          <cell r="FE192">
            <v>20.413735</v>
          </cell>
          <cell r="FF192">
            <v>21.165235</v>
          </cell>
          <cell r="FG192">
            <v>20.078425</v>
          </cell>
          <cell r="FH192">
            <v>20.20959</v>
          </cell>
          <cell r="FI192">
            <v>21.91816</v>
          </cell>
          <cell r="FJ192">
            <v>20.591245</v>
          </cell>
          <cell r="FK192">
            <v>20.8603124</v>
          </cell>
          <cell r="FL192">
            <v>21.248336</v>
          </cell>
          <cell r="FM192">
            <v>20.9465222</v>
          </cell>
          <cell r="FN192">
            <v>19.4133064</v>
          </cell>
          <cell r="FO192">
            <v>22.109533</v>
          </cell>
          <cell r="FP192">
            <v>28.1519411</v>
          </cell>
        </row>
        <row r="192">
          <cell r="FZ192">
            <v>21.1695368451433</v>
          </cell>
          <cell r="GA192">
            <v>21.9488605181079</v>
          </cell>
          <cell r="GB192">
            <v>20.8218122665914</v>
          </cell>
          <cell r="GC192">
            <v>20.9578335434569</v>
          </cell>
          <cell r="GD192">
            <v>22.7296619505322</v>
          </cell>
          <cell r="GE192">
            <v>21.3536190077354</v>
          </cell>
          <cell r="GF192">
            <v>21.6326484081919</v>
          </cell>
          <cell r="GG192">
            <v>22.0350382646775</v>
          </cell>
          <cell r="GH192">
            <v>21.7220500555392</v>
          </cell>
          <cell r="GI192">
            <v>20.1320681943239</v>
          </cell>
          <cell r="GJ192">
            <v>22.9281203793628</v>
          </cell>
          <cell r="GK192">
            <v>29.1942436981157</v>
          </cell>
        </row>
        <row r="194">
          <cell r="EC194">
            <v>0.2742</v>
          </cell>
          <cell r="ED194">
            <v>0.30885</v>
          </cell>
          <cell r="EE194">
            <v>0.4818</v>
          </cell>
          <cell r="EF194">
            <v>0.45825</v>
          </cell>
          <cell r="EG194">
            <v>1.4277</v>
          </cell>
        </row>
        <row r="194">
          <cell r="FE194">
            <v>0.88884</v>
          </cell>
          <cell r="FF194">
            <v>1.564635</v>
          </cell>
          <cell r="FG194">
            <v>1.47231</v>
          </cell>
          <cell r="FH194">
            <v>1.735515</v>
          </cell>
          <cell r="FI194">
            <v>1.8249</v>
          </cell>
          <cell r="FJ194">
            <v>1.6791</v>
          </cell>
          <cell r="FK194">
            <v>0</v>
          </cell>
          <cell r="FL194">
            <v>0.290652</v>
          </cell>
          <cell r="FM194">
            <v>0.327381</v>
          </cell>
          <cell r="FN194">
            <v>0.510708</v>
          </cell>
          <cell r="FO194">
            <v>0.485745</v>
          </cell>
          <cell r="FP194">
            <v>1.513362</v>
          </cell>
        </row>
        <row r="196">
          <cell r="CG196">
            <v>7.54</v>
          </cell>
          <cell r="CH196">
            <v>8.99</v>
          </cell>
          <cell r="CI196">
            <v>9.43</v>
          </cell>
          <cell r="CJ196">
            <v>5.96</v>
          </cell>
          <cell r="CK196">
            <v>5.81</v>
          </cell>
          <cell r="CL196">
            <v>5.8</v>
          </cell>
          <cell r="CM196">
            <v>5.29</v>
          </cell>
          <cell r="CN196">
            <v>5.58</v>
          </cell>
          <cell r="CO196">
            <v>5.26</v>
          </cell>
          <cell r="CP196">
            <v>5.38</v>
          </cell>
          <cell r="CQ196">
            <v>5.58</v>
          </cell>
          <cell r="CR196">
            <v>5.98</v>
          </cell>
        </row>
        <row r="196">
          <cell r="CT196">
            <v>7.42</v>
          </cell>
          <cell r="CU196">
            <v>8.82</v>
          </cell>
          <cell r="CV196">
            <v>9.12</v>
          </cell>
          <cell r="CW196">
            <v>6.89</v>
          </cell>
          <cell r="CX196">
            <v>6.47</v>
          </cell>
          <cell r="CY196">
            <v>6.75</v>
          </cell>
          <cell r="CZ196">
            <v>6.51</v>
          </cell>
          <cell r="DA196">
            <v>6.49</v>
          </cell>
          <cell r="DB196">
            <v>6.26</v>
          </cell>
          <cell r="DC196">
            <v>6.47</v>
          </cell>
          <cell r="DD196">
            <v>6.63</v>
          </cell>
          <cell r="DE196">
            <v>7.33</v>
          </cell>
        </row>
        <row r="196">
          <cell r="DG196">
            <v>9.878352</v>
          </cell>
          <cell r="DH196">
            <v>9.848847</v>
          </cell>
          <cell r="DI196">
            <v>9.124203</v>
          </cell>
          <cell r="DJ196">
            <v>8.125513</v>
          </cell>
          <cell r="DK196">
            <v>8.1839</v>
          </cell>
          <cell r="DL196">
            <v>8.074923</v>
          </cell>
          <cell r="DM196">
            <v>7.995032</v>
          </cell>
          <cell r="DN196">
            <v>7.964878</v>
          </cell>
          <cell r="DO196">
            <v>7.558957</v>
          </cell>
          <cell r="DP196">
            <v>7.39315</v>
          </cell>
          <cell r="DQ196">
            <v>7.478686</v>
          </cell>
          <cell r="DR196">
            <v>7.958275</v>
          </cell>
        </row>
        <row r="196">
          <cell r="DV196">
            <v>12.56</v>
          </cell>
          <cell r="DW196">
            <v>13.27</v>
          </cell>
          <cell r="DX196">
            <v>12.7</v>
          </cell>
          <cell r="DY196">
            <v>9.095474</v>
          </cell>
          <cell r="DZ196">
            <v>9.241715</v>
          </cell>
          <cell r="EA196">
            <v>9.654017</v>
          </cell>
          <cell r="EB196">
            <v>8.91257</v>
          </cell>
          <cell r="EC196">
            <v>8.87118</v>
          </cell>
          <cell r="ED196">
            <v>8.849315</v>
          </cell>
          <cell r="EE196">
            <v>8.862205</v>
          </cell>
          <cell r="EF196">
            <v>9.168395</v>
          </cell>
          <cell r="EG196">
            <v>12.887882</v>
          </cell>
        </row>
        <row r="196">
          <cell r="FE196">
            <v>12.783713</v>
          </cell>
          <cell r="FF196">
            <v>14.111778</v>
          </cell>
          <cell r="FG196">
            <v>14.555582</v>
          </cell>
          <cell r="FH196">
            <v>10.694777</v>
          </cell>
          <cell r="FI196">
            <v>11.019239</v>
          </cell>
          <cell r="FJ196">
            <v>10.064751</v>
          </cell>
          <cell r="FK196">
            <v>9.4473242</v>
          </cell>
          <cell r="FL196">
            <v>9.4034508</v>
          </cell>
          <cell r="FM196">
            <v>9.3802739</v>
          </cell>
          <cell r="FN196">
            <v>9.3939373</v>
          </cell>
          <cell r="FO196">
            <v>9.7184987</v>
          </cell>
          <cell r="FP196">
            <v>13.66115492</v>
          </cell>
        </row>
        <row r="196">
          <cell r="FZ196">
            <v>15.1</v>
          </cell>
          <cell r="GA196">
            <v>15.71</v>
          </cell>
          <cell r="GB196">
            <v>15.85</v>
          </cell>
          <cell r="GC196">
            <v>12.47</v>
          </cell>
          <cell r="GD196">
            <v>13</v>
          </cell>
          <cell r="GE196">
            <v>13.9</v>
          </cell>
          <cell r="GF196">
            <v>11.52</v>
          </cell>
          <cell r="GG196">
            <v>10.85</v>
          </cell>
          <cell r="GH196">
            <v>10.48</v>
          </cell>
          <cell r="GI196">
            <v>10.2</v>
          </cell>
          <cell r="GJ196">
            <v>10.15</v>
          </cell>
          <cell r="GK196">
            <v>10.89</v>
          </cell>
        </row>
        <row r="197">
          <cell r="CG197">
            <v>2.36</v>
          </cell>
          <cell r="CH197">
            <v>2.99</v>
          </cell>
          <cell r="CI197">
            <v>4.03</v>
          </cell>
          <cell r="CJ197">
            <v>4.12</v>
          </cell>
          <cell r="CK197">
            <v>4.58</v>
          </cell>
          <cell r="CL197">
            <v>4.27</v>
          </cell>
          <cell r="CM197">
            <v>3.27</v>
          </cell>
          <cell r="CN197">
            <v>3.72</v>
          </cell>
          <cell r="CO197">
            <v>4.74</v>
          </cell>
          <cell r="CP197">
            <v>4.9</v>
          </cell>
          <cell r="CQ197">
            <v>2.85</v>
          </cell>
          <cell r="CR197">
            <v>2.3</v>
          </cell>
        </row>
        <row r="197">
          <cell r="CT197">
            <v>2.09</v>
          </cell>
          <cell r="CU197">
            <v>2.1</v>
          </cell>
          <cell r="CV197">
            <v>1.6</v>
          </cell>
          <cell r="CW197">
            <v>1.56</v>
          </cell>
          <cell r="CX197">
            <v>1.77</v>
          </cell>
          <cell r="CY197">
            <v>1.95</v>
          </cell>
          <cell r="CZ197">
            <v>1.79</v>
          </cell>
          <cell r="DA197">
            <v>1.09</v>
          </cell>
          <cell r="DB197">
            <v>1.23</v>
          </cell>
          <cell r="DC197">
            <v>1.15</v>
          </cell>
          <cell r="DD197">
            <v>0.98</v>
          </cell>
          <cell r="DE197">
            <v>1.14</v>
          </cell>
        </row>
        <row r="197">
          <cell r="DG197">
            <v>2.072329</v>
          </cell>
          <cell r="DH197">
            <v>2.074251</v>
          </cell>
          <cell r="DI197">
            <v>2.907319</v>
          </cell>
          <cell r="DJ197">
            <v>3.338448</v>
          </cell>
          <cell r="DK197">
            <v>3.765689</v>
          </cell>
          <cell r="DL197">
            <v>4.298725</v>
          </cell>
          <cell r="DM197">
            <v>4.023692</v>
          </cell>
          <cell r="DN197">
            <v>3.825091</v>
          </cell>
          <cell r="DO197">
            <v>4.259647</v>
          </cell>
          <cell r="DP197">
            <v>3.945143</v>
          </cell>
          <cell r="DQ197">
            <v>3.627512</v>
          </cell>
          <cell r="DR197">
            <v>3.104159</v>
          </cell>
        </row>
        <row r="197">
          <cell r="DV197">
            <v>3.15</v>
          </cell>
          <cell r="DW197">
            <v>2.06</v>
          </cell>
          <cell r="DX197">
            <v>2.31</v>
          </cell>
          <cell r="DY197">
            <v>2.8021</v>
          </cell>
          <cell r="DZ197">
            <v>3.0558</v>
          </cell>
          <cell r="EA197">
            <v>3.727714</v>
          </cell>
          <cell r="EB197">
            <v>3.933598</v>
          </cell>
          <cell r="EC197">
            <v>3.694535</v>
          </cell>
          <cell r="ED197">
            <v>3.718147</v>
          </cell>
          <cell r="EE197">
            <v>3.890713</v>
          </cell>
          <cell r="EF197">
            <v>3.335858</v>
          </cell>
          <cell r="EG197">
            <v>4.635101</v>
          </cell>
        </row>
        <row r="197">
          <cell r="FE197">
            <v>3.632685</v>
          </cell>
          <cell r="FF197">
            <v>3.6248</v>
          </cell>
          <cell r="FG197">
            <v>3.567235</v>
          </cell>
          <cell r="FH197">
            <v>3.836725</v>
          </cell>
          <cell r="FI197">
            <v>4.10413</v>
          </cell>
          <cell r="FJ197">
            <v>4.09011</v>
          </cell>
          <cell r="FK197">
            <v>4.1302779</v>
          </cell>
          <cell r="FL197">
            <v>3.87926175</v>
          </cell>
          <cell r="FM197">
            <v>3.90405435</v>
          </cell>
          <cell r="FN197">
            <v>4.08524865</v>
          </cell>
          <cell r="FO197">
            <v>3.5026509</v>
          </cell>
          <cell r="FP197">
            <v>4.86685605</v>
          </cell>
        </row>
        <row r="197">
          <cell r="FZ197">
            <v>3.41</v>
          </cell>
          <cell r="GA197">
            <v>2.23</v>
          </cell>
          <cell r="GB197">
            <v>2.51</v>
          </cell>
          <cell r="GC197">
            <v>3.04</v>
          </cell>
          <cell r="GD197">
            <v>3.31</v>
          </cell>
          <cell r="GE197">
            <v>4.04</v>
          </cell>
          <cell r="GF197">
            <v>4.58</v>
          </cell>
          <cell r="GG197">
            <v>4.35</v>
          </cell>
          <cell r="GH197">
            <v>4.84</v>
          </cell>
          <cell r="GI197">
            <v>4.49</v>
          </cell>
          <cell r="GJ197">
            <v>4.13</v>
          </cell>
          <cell r="GK197">
            <v>3.53</v>
          </cell>
        </row>
        <row r="212">
          <cell r="CG212">
            <v>232.58</v>
          </cell>
          <cell r="CH212">
            <v>211.74</v>
          </cell>
          <cell r="CI212">
            <v>225.03</v>
          </cell>
          <cell r="CJ212">
            <v>213.29</v>
          </cell>
          <cell r="CK212">
            <v>211.73</v>
          </cell>
          <cell r="CL212">
            <v>195.46</v>
          </cell>
          <cell r="CM212">
            <v>189.71196556</v>
          </cell>
          <cell r="CN212">
            <v>208.85335118</v>
          </cell>
          <cell r="CO212">
            <v>209.16</v>
          </cell>
          <cell r="CP212">
            <v>201.8</v>
          </cell>
          <cell r="CQ212">
            <v>209.46616522</v>
          </cell>
          <cell r="CR212">
            <v>195.10790705</v>
          </cell>
        </row>
        <row r="212">
          <cell r="CT212">
            <v>130.49</v>
          </cell>
          <cell r="CU212">
            <v>165.04</v>
          </cell>
          <cell r="CV212">
            <v>166.32</v>
          </cell>
          <cell r="CW212">
            <v>166.16</v>
          </cell>
          <cell r="CX212">
            <v>165.1</v>
          </cell>
          <cell r="CY212">
            <v>177.75</v>
          </cell>
          <cell r="CZ212">
            <v>196.87</v>
          </cell>
          <cell r="DA212">
            <v>187.39</v>
          </cell>
          <cell r="DB212">
            <v>200.39</v>
          </cell>
          <cell r="DC212">
            <v>213.25353935</v>
          </cell>
          <cell r="DD212">
            <v>223.17034719</v>
          </cell>
          <cell r="DE212">
            <v>245.787624</v>
          </cell>
        </row>
        <row r="212">
          <cell r="DG212">
            <v>246.88802</v>
          </cell>
          <cell r="DH212">
            <v>219.117628</v>
          </cell>
          <cell r="DI212">
            <v>214.363429</v>
          </cell>
          <cell r="DJ212">
            <v>234.271289</v>
          </cell>
          <cell r="DK212">
            <v>235.319246</v>
          </cell>
          <cell r="DL212">
            <v>266.180269</v>
          </cell>
          <cell r="DM212">
            <v>277.71949</v>
          </cell>
          <cell r="DN212">
            <v>269.053504</v>
          </cell>
          <cell r="DO212">
            <v>279.214718</v>
          </cell>
          <cell r="DP212">
            <v>285.376775</v>
          </cell>
          <cell r="DQ212">
            <v>311.642486</v>
          </cell>
          <cell r="DR212">
            <v>321.546853</v>
          </cell>
        </row>
        <row r="212">
          <cell r="DV212">
            <v>355.61</v>
          </cell>
          <cell r="DW212">
            <v>344.54</v>
          </cell>
          <cell r="DX212">
            <v>351.58</v>
          </cell>
          <cell r="DY212">
            <v>334.120885</v>
          </cell>
          <cell r="DZ212">
            <v>318.724166</v>
          </cell>
          <cell r="EA212">
            <v>332.409625</v>
          </cell>
          <cell r="EB212">
            <v>321.745552</v>
          </cell>
          <cell r="EC212">
            <v>344.509495</v>
          </cell>
          <cell r="ED212">
            <v>371.668269</v>
          </cell>
          <cell r="EE212">
            <v>377.86533</v>
          </cell>
          <cell r="EF212">
            <v>369.931735</v>
          </cell>
          <cell r="EG212">
            <v>488.370188</v>
          </cell>
        </row>
        <row r="212">
          <cell r="FE212">
            <v>353.248623</v>
          </cell>
          <cell r="FF212">
            <v>342.816285</v>
          </cell>
          <cell r="FG212">
            <v>354.392897</v>
          </cell>
          <cell r="FH212">
            <v>343.430364</v>
          </cell>
          <cell r="FI212">
            <v>370.206155</v>
          </cell>
          <cell r="FJ212">
            <v>368.659577</v>
          </cell>
          <cell r="FK212">
            <v>377.589284862308</v>
          </cell>
          <cell r="FL212">
            <v>401.704933312308</v>
          </cell>
          <cell r="FM212">
            <v>430.481533752308</v>
          </cell>
          <cell r="FN212">
            <v>437.017671612308</v>
          </cell>
          <cell r="FO212">
            <v>428.647659312308</v>
          </cell>
          <cell r="FP212">
            <v>554.257254692308</v>
          </cell>
        </row>
        <row r="212">
          <cell r="FZ212">
            <v>520.51195123821</v>
          </cell>
          <cell r="GA212">
            <v>499.25195123821</v>
          </cell>
          <cell r="GB212">
            <v>509.90195123821</v>
          </cell>
          <cell r="GC212">
            <v>495.29195123821</v>
          </cell>
          <cell r="GD212">
            <v>472.47195123821</v>
          </cell>
          <cell r="GE212">
            <v>497.88195123821</v>
          </cell>
          <cell r="GF212">
            <v>505.60891123821</v>
          </cell>
          <cell r="GG212">
            <v>499.47467123821</v>
          </cell>
          <cell r="GH212">
            <v>501.59885123821</v>
          </cell>
          <cell r="GI212">
            <v>514.13998123821</v>
          </cell>
          <cell r="GJ212">
            <v>559.29778123821</v>
          </cell>
          <cell r="GK212">
            <v>565.44501123821</v>
          </cell>
        </row>
        <row r="222">
          <cell r="CG222">
            <v>26.34</v>
          </cell>
          <cell r="CH222">
            <v>20.22</v>
          </cell>
          <cell r="CI222">
            <v>23.21</v>
          </cell>
          <cell r="CJ222">
            <v>21.26</v>
          </cell>
          <cell r="CK222">
            <v>17.96</v>
          </cell>
          <cell r="CL222">
            <v>13.3</v>
          </cell>
          <cell r="CM222">
            <v>13.13</v>
          </cell>
          <cell r="CN222">
            <v>10.95</v>
          </cell>
          <cell r="CO222">
            <v>6.61</v>
          </cell>
          <cell r="CP222">
            <v>9.99</v>
          </cell>
          <cell r="CQ222">
            <v>14.964</v>
          </cell>
          <cell r="CR222">
            <v>16.02</v>
          </cell>
        </row>
        <row r="222">
          <cell r="CT222">
            <v>1.38</v>
          </cell>
          <cell r="CU222">
            <v>5.99</v>
          </cell>
          <cell r="CV222">
            <v>9.52</v>
          </cell>
          <cell r="CW222">
            <v>4.83</v>
          </cell>
          <cell r="CX222">
            <v>2.41</v>
          </cell>
          <cell r="CY222">
            <v>3.92</v>
          </cell>
          <cell r="CZ222">
            <v>11.11</v>
          </cell>
          <cell r="DA222">
            <v>13.99</v>
          </cell>
          <cell r="DB222">
            <v>14.54</v>
          </cell>
          <cell r="DC222">
            <v>14.26</v>
          </cell>
          <cell r="DD222">
            <v>11.71</v>
          </cell>
          <cell r="DE222">
            <v>10.87</v>
          </cell>
        </row>
        <row r="222">
          <cell r="DG222">
            <v>12.909</v>
          </cell>
          <cell r="DH222">
            <v>8.193</v>
          </cell>
          <cell r="DI222">
            <v>14.817</v>
          </cell>
          <cell r="DJ222">
            <v>15.5985</v>
          </cell>
          <cell r="DK222">
            <v>12.1635</v>
          </cell>
          <cell r="DL222">
            <v>14.256</v>
          </cell>
          <cell r="DM222">
            <v>15.2805</v>
          </cell>
          <cell r="DN222">
            <v>18.7237</v>
          </cell>
          <cell r="DO222">
            <v>17.944</v>
          </cell>
          <cell r="DP222">
            <v>25.1596</v>
          </cell>
          <cell r="DQ222">
            <v>29.5004</v>
          </cell>
          <cell r="DR222">
            <v>26.6861</v>
          </cell>
        </row>
        <row r="222">
          <cell r="DV222">
            <v>23.48</v>
          </cell>
          <cell r="DW222">
            <v>21.87</v>
          </cell>
          <cell r="DX222">
            <v>4.11</v>
          </cell>
          <cell r="DY222">
            <v>9.1813</v>
          </cell>
          <cell r="DZ222">
            <v>13.3907</v>
          </cell>
          <cell r="EA222">
            <v>21.5588</v>
          </cell>
          <cell r="EB222">
            <v>16.9256</v>
          </cell>
          <cell r="EC222">
            <v>11.7192</v>
          </cell>
          <cell r="ED222">
            <v>15.059</v>
          </cell>
          <cell r="EE222">
            <v>21.8133</v>
          </cell>
          <cell r="EF222">
            <v>22.0713</v>
          </cell>
          <cell r="EG222">
            <v>28.2966</v>
          </cell>
        </row>
        <row r="222">
          <cell r="FE222">
            <v>14.86</v>
          </cell>
          <cell r="FF222">
            <v>16.88</v>
          </cell>
          <cell r="FG222">
            <v>8.17</v>
          </cell>
          <cell r="FH222">
            <v>9.31</v>
          </cell>
          <cell r="FI222">
            <v>14.86</v>
          </cell>
          <cell r="FJ222">
            <v>12.83</v>
          </cell>
          <cell r="FK222">
            <v>15.23304</v>
          </cell>
          <cell r="FL222">
            <v>10.54728</v>
          </cell>
          <cell r="FM222">
            <v>13.5531</v>
          </cell>
          <cell r="FN222">
            <v>19.63197</v>
          </cell>
          <cell r="FO222">
            <v>19.86417</v>
          </cell>
          <cell r="FP222">
            <v>25.46694</v>
          </cell>
        </row>
        <row r="222">
          <cell r="FZ222">
            <v>14.86</v>
          </cell>
          <cell r="GA222">
            <v>16.88</v>
          </cell>
          <cell r="GB222">
            <v>8.17</v>
          </cell>
          <cell r="GC222">
            <v>9.31</v>
          </cell>
          <cell r="GD222">
            <v>14.86</v>
          </cell>
          <cell r="GE222">
            <v>12.83</v>
          </cell>
          <cell r="GF222">
            <v>15.23304</v>
          </cell>
          <cell r="GG222">
            <v>10.54728</v>
          </cell>
          <cell r="GH222">
            <v>13.5531</v>
          </cell>
          <cell r="GI222">
            <v>19.63197</v>
          </cell>
          <cell r="GJ222">
            <v>19.86417</v>
          </cell>
          <cell r="GK222">
            <v>25.46694</v>
          </cell>
        </row>
        <row r="228">
          <cell r="CG228">
            <v>4.83</v>
          </cell>
          <cell r="CH228">
            <v>5.09</v>
          </cell>
          <cell r="CI228">
            <v>5.51</v>
          </cell>
          <cell r="CJ228">
            <v>4.76</v>
          </cell>
          <cell r="CK228">
            <v>4.06</v>
          </cell>
          <cell r="CL228">
            <v>4.23</v>
          </cell>
          <cell r="CM228">
            <v>3.826916</v>
          </cell>
          <cell r="CN228">
            <v>4.24071</v>
          </cell>
          <cell r="CO228">
            <v>3.455934</v>
          </cell>
          <cell r="CP228">
            <v>3.31506</v>
          </cell>
          <cell r="CQ228">
            <v>3.781275</v>
          </cell>
          <cell r="CR228">
            <v>3.724072</v>
          </cell>
        </row>
        <row r="228">
          <cell r="CT228">
            <v>1.88</v>
          </cell>
          <cell r="CU228">
            <v>2.51</v>
          </cell>
          <cell r="CV228">
            <v>3.66</v>
          </cell>
          <cell r="CW228">
            <v>3.29</v>
          </cell>
          <cell r="CX228">
            <v>3.34</v>
          </cell>
          <cell r="CY228">
            <v>3.46</v>
          </cell>
          <cell r="CZ228">
            <v>3.39</v>
          </cell>
          <cell r="DA228">
            <v>3.19</v>
          </cell>
          <cell r="DB228">
            <v>2.97</v>
          </cell>
          <cell r="DC228">
            <v>2.95766</v>
          </cell>
          <cell r="DD228">
            <v>3.088329</v>
          </cell>
          <cell r="DE228">
            <v>3.284371</v>
          </cell>
        </row>
        <row r="228">
          <cell r="DG228">
            <v>3.909173</v>
          </cell>
          <cell r="DH228">
            <v>3.285101</v>
          </cell>
          <cell r="DI228">
            <v>3.560676</v>
          </cell>
          <cell r="DJ228">
            <v>3.938138</v>
          </cell>
          <cell r="DK228">
            <v>3.593856</v>
          </cell>
          <cell r="DL228">
            <v>3.650065</v>
          </cell>
          <cell r="DM228">
            <v>3.6716</v>
          </cell>
          <cell r="DN228">
            <v>3.307266</v>
          </cell>
          <cell r="DO228">
            <v>3.122177</v>
          </cell>
          <cell r="DP228">
            <v>2.854174</v>
          </cell>
          <cell r="DQ228">
            <v>2.76787</v>
          </cell>
          <cell r="DR228">
            <v>3.148361</v>
          </cell>
        </row>
        <row r="228">
          <cell r="DV228">
            <v>4.44</v>
          </cell>
          <cell r="DW228">
            <v>4.5</v>
          </cell>
          <cell r="DX228">
            <v>4.76</v>
          </cell>
          <cell r="DY228">
            <v>3.749087</v>
          </cell>
          <cell r="DZ228">
            <v>3.763473</v>
          </cell>
          <cell r="EA228">
            <v>3.895418</v>
          </cell>
          <cell r="EB228">
            <v>3.525431</v>
          </cell>
          <cell r="EC228">
            <v>3.251987</v>
          </cell>
          <cell r="ED228">
            <v>3.171337</v>
          </cell>
          <cell r="EE228">
            <v>3.256324</v>
          </cell>
          <cell r="EF228">
            <v>3.282163</v>
          </cell>
          <cell r="EG228">
            <v>4.647133</v>
          </cell>
        </row>
        <row r="228">
          <cell r="FE228">
            <v>4.175645</v>
          </cell>
          <cell r="FF228">
            <v>4.948725</v>
          </cell>
          <cell r="FG228">
            <v>5.0636</v>
          </cell>
          <cell r="FH228">
            <v>4.392</v>
          </cell>
          <cell r="FI228">
            <v>6.144615</v>
          </cell>
          <cell r="FJ228">
            <v>6.96166</v>
          </cell>
          <cell r="FK228">
            <v>3.73695686</v>
          </cell>
          <cell r="FL228">
            <v>3.44710622</v>
          </cell>
          <cell r="FM228">
            <v>3.36161722</v>
          </cell>
          <cell r="FN228">
            <v>3.45170344</v>
          </cell>
          <cell r="FO228">
            <v>3.47909278</v>
          </cell>
          <cell r="FP228">
            <v>4.92596098</v>
          </cell>
        </row>
        <row r="228">
          <cell r="FZ228">
            <v>4.73818657255976</v>
          </cell>
          <cell r="GA228">
            <v>5.61541566543391</v>
          </cell>
          <cell r="GB228">
            <v>5.74576658906914</v>
          </cell>
          <cell r="GC228">
            <v>4.98368884967052</v>
          </cell>
          <cell r="GD228">
            <v>6.97241558766353</v>
          </cell>
          <cell r="GE228">
            <v>7.89953263142014</v>
          </cell>
          <cell r="GF228">
            <v>4.24039850520987</v>
          </cell>
          <cell r="GG228">
            <v>3.91149927874406</v>
          </cell>
          <cell r="GH228">
            <v>3.81449322772641</v>
          </cell>
          <cell r="GI228">
            <v>3.91671583476716</v>
          </cell>
          <cell r="GJ228">
            <v>3.94779505798161</v>
          </cell>
          <cell r="GK228">
            <v>5.58958488386568</v>
          </cell>
        </row>
        <row r="233"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</row>
        <row r="233"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</row>
        <row r="233"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</row>
        <row r="238">
          <cell r="CG238">
            <v>7.01</v>
          </cell>
          <cell r="CH238">
            <v>7.37</v>
          </cell>
          <cell r="CI238">
            <v>8.5</v>
          </cell>
          <cell r="CJ238">
            <v>7.68</v>
          </cell>
          <cell r="CK238">
            <v>7.11</v>
          </cell>
          <cell r="CL238">
            <v>7.46</v>
          </cell>
          <cell r="CM238">
            <v>7.354</v>
          </cell>
          <cell r="CN238">
            <v>7.307</v>
          </cell>
          <cell r="CO238">
            <v>6.691</v>
          </cell>
          <cell r="CP238">
            <v>6.449</v>
          </cell>
          <cell r="CQ238">
            <v>7.028</v>
          </cell>
          <cell r="CR238">
            <v>6.455</v>
          </cell>
        </row>
        <row r="238">
          <cell r="CT238">
            <v>3.49</v>
          </cell>
          <cell r="CU238">
            <v>4.01</v>
          </cell>
          <cell r="CV238">
            <v>6.41</v>
          </cell>
          <cell r="CW238">
            <v>5.7</v>
          </cell>
          <cell r="CX238">
            <v>4.09</v>
          </cell>
          <cell r="CY238">
            <v>4.11</v>
          </cell>
          <cell r="CZ238">
            <v>4.05</v>
          </cell>
          <cell r="DA238">
            <v>3.99</v>
          </cell>
          <cell r="DB238">
            <v>3.47</v>
          </cell>
          <cell r="DC238">
            <v>3.525</v>
          </cell>
          <cell r="DD238">
            <v>3.846</v>
          </cell>
          <cell r="DE238">
            <v>3.675</v>
          </cell>
        </row>
        <row r="238">
          <cell r="DG238">
            <v>4.783</v>
          </cell>
          <cell r="DH238">
            <v>4.198</v>
          </cell>
          <cell r="DI238">
            <v>4.096</v>
          </cell>
          <cell r="DJ238">
            <v>4.265</v>
          </cell>
          <cell r="DK238">
            <v>3.896</v>
          </cell>
          <cell r="DL238">
            <v>4.037</v>
          </cell>
          <cell r="DM238">
            <v>4.089</v>
          </cell>
          <cell r="DN238">
            <v>4.066</v>
          </cell>
          <cell r="DO238">
            <v>3.77</v>
          </cell>
          <cell r="DP238">
            <v>3.490574</v>
          </cell>
          <cell r="DQ238">
            <v>3.33</v>
          </cell>
          <cell r="DR238">
            <v>3.38709</v>
          </cell>
        </row>
        <row r="238">
          <cell r="DV238">
            <v>3.57</v>
          </cell>
          <cell r="DW238">
            <v>5.83</v>
          </cell>
          <cell r="DX238">
            <v>5.74</v>
          </cell>
          <cell r="DY238">
            <v>5.25716</v>
          </cell>
          <cell r="DZ238">
            <v>5.4137</v>
          </cell>
          <cell r="EA238">
            <v>5.14825</v>
          </cell>
          <cell r="EB238">
            <v>5.00233</v>
          </cell>
          <cell r="EC238">
            <v>4.48875</v>
          </cell>
          <cell r="ED238">
            <v>4.48381</v>
          </cell>
          <cell r="EE238">
            <v>4.56061</v>
          </cell>
          <cell r="EF238">
            <v>4.524071</v>
          </cell>
          <cell r="EG238">
            <v>6.913269</v>
          </cell>
        </row>
        <row r="238">
          <cell r="FE238">
            <v>6.46275</v>
          </cell>
          <cell r="FF238">
            <v>7.64446</v>
          </cell>
          <cell r="FG238">
            <v>7.34827</v>
          </cell>
          <cell r="FH238">
            <v>7.04593</v>
          </cell>
          <cell r="FI238">
            <v>7.2425</v>
          </cell>
          <cell r="FJ238">
            <v>7.24163</v>
          </cell>
          <cell r="FK238">
            <v>5.3024698</v>
          </cell>
          <cell r="FL238">
            <v>4.758075</v>
          </cell>
          <cell r="FM238">
            <v>4.7528386</v>
          </cell>
          <cell r="FN238">
            <v>4.8342466</v>
          </cell>
          <cell r="FO238">
            <v>4.79551526</v>
          </cell>
          <cell r="FP238">
            <v>7.32806514</v>
          </cell>
        </row>
        <row r="238">
          <cell r="FZ238">
            <v>2.15</v>
          </cell>
          <cell r="GA238">
            <v>3.54</v>
          </cell>
          <cell r="GB238">
            <v>2.94</v>
          </cell>
          <cell r="GC238">
            <v>4.45</v>
          </cell>
          <cell r="GD238">
            <v>7.13</v>
          </cell>
          <cell r="GE238">
            <v>10.14</v>
          </cell>
          <cell r="GF238">
            <v>9.08</v>
          </cell>
          <cell r="GG238">
            <v>9.48</v>
          </cell>
          <cell r="GH238">
            <v>11.37</v>
          </cell>
          <cell r="GI238">
            <v>8.04</v>
          </cell>
          <cell r="GJ238">
            <v>2.79</v>
          </cell>
          <cell r="GK238">
            <v>2.62</v>
          </cell>
        </row>
        <row r="244">
          <cell r="CG244">
            <v>50.56</v>
          </cell>
          <cell r="CH244">
            <v>24.21</v>
          </cell>
          <cell r="CI244">
            <v>34.28</v>
          </cell>
          <cell r="CJ244">
            <v>24.28</v>
          </cell>
          <cell r="CK244">
            <v>130.01</v>
          </cell>
          <cell r="CL244">
            <v>301.46</v>
          </cell>
          <cell r="CM244">
            <v>226.43</v>
          </cell>
          <cell r="CN244">
            <v>224.67</v>
          </cell>
          <cell r="CO244">
            <v>192.1</v>
          </cell>
          <cell r="CP244">
            <v>207.44</v>
          </cell>
          <cell r="CQ244">
            <v>231.59</v>
          </cell>
          <cell r="CR244">
            <v>214.54</v>
          </cell>
        </row>
        <row r="244">
          <cell r="CT244">
            <v>185.9</v>
          </cell>
          <cell r="CU244">
            <v>56.15</v>
          </cell>
          <cell r="CV244">
            <v>122.98</v>
          </cell>
          <cell r="CW244">
            <v>86.59</v>
          </cell>
          <cell r="CX244">
            <v>144.21</v>
          </cell>
          <cell r="CY244">
            <v>189.87</v>
          </cell>
          <cell r="CZ244">
            <v>54</v>
          </cell>
          <cell r="DA244">
            <v>47.46</v>
          </cell>
          <cell r="DB244">
            <v>95.07</v>
          </cell>
          <cell r="DC244">
            <v>163.05</v>
          </cell>
          <cell r="DD244">
            <v>211.66</v>
          </cell>
          <cell r="DE244">
            <v>203.84</v>
          </cell>
        </row>
        <row r="244">
          <cell r="DG244">
            <v>265.57071494</v>
          </cell>
          <cell r="DH244">
            <v>46.37728272</v>
          </cell>
          <cell r="DI244">
            <v>44.59254952</v>
          </cell>
          <cell r="DJ244">
            <v>132.90736653</v>
          </cell>
          <cell r="DK244">
            <v>115.38506575</v>
          </cell>
          <cell r="DL244">
            <v>227.75544887</v>
          </cell>
          <cell r="DM244">
            <v>246.0922826</v>
          </cell>
          <cell r="DN244">
            <v>173.78894969</v>
          </cell>
          <cell r="DO244">
            <v>118.1355829</v>
          </cell>
          <cell r="DP244">
            <v>175.08176514</v>
          </cell>
          <cell r="DQ244">
            <v>164.23623184</v>
          </cell>
          <cell r="DR244">
            <v>167.81001683</v>
          </cell>
        </row>
        <row r="244">
          <cell r="DV244">
            <v>58.74</v>
          </cell>
          <cell r="DW244">
            <v>42.43</v>
          </cell>
          <cell r="DX244">
            <v>27.15</v>
          </cell>
          <cell r="DY244">
            <v>32.4930164</v>
          </cell>
          <cell r="DZ244">
            <v>257.61023215</v>
          </cell>
          <cell r="EA244">
            <v>145.6663161</v>
          </cell>
          <cell r="EB244">
            <v>165.33804903</v>
          </cell>
          <cell r="EC244">
            <v>143.7146327</v>
          </cell>
          <cell r="ED244">
            <v>135.38569923</v>
          </cell>
          <cell r="EE244">
            <v>199.60889899</v>
          </cell>
          <cell r="EF244">
            <v>202.17613159</v>
          </cell>
          <cell r="EG244">
            <v>232.03714568</v>
          </cell>
        </row>
        <row r="244">
          <cell r="FE244">
            <v>51.47840647</v>
          </cell>
          <cell r="FF244">
            <v>29.94577976</v>
          </cell>
          <cell r="FG244">
            <v>50.68736743</v>
          </cell>
          <cell r="FH244">
            <v>71.81653812</v>
          </cell>
          <cell r="FI244">
            <v>182.16534286</v>
          </cell>
          <cell r="FJ244">
            <v>241.63227312</v>
          </cell>
          <cell r="FK244">
            <v>169.603510265268</v>
          </cell>
          <cell r="FL244">
            <v>147.422243853748</v>
          </cell>
          <cell r="FM244">
            <v>138.878437019414</v>
          </cell>
          <cell r="FN244">
            <v>204.758494173029</v>
          </cell>
          <cell r="FO244">
            <v>207.391957330372</v>
          </cell>
          <cell r="FP244">
            <v>238.023338548773</v>
          </cell>
        </row>
        <row r="244">
          <cell r="FZ244">
            <v>166.864288090117</v>
          </cell>
          <cell r="GA244">
            <v>166.355029193091</v>
          </cell>
          <cell r="GB244">
            <v>163.506631972434</v>
          </cell>
          <cell r="GC244">
            <v>165.957979883545</v>
          </cell>
          <cell r="GD244">
            <v>166.441344260383</v>
          </cell>
          <cell r="GE244">
            <v>166.303240152715</v>
          </cell>
          <cell r="GF244">
            <v>167.364915480415</v>
          </cell>
          <cell r="GG244">
            <v>156.411533440979</v>
          </cell>
          <cell r="GH244">
            <v>165.137986744265</v>
          </cell>
          <cell r="GI244">
            <v>167.330389453498</v>
          </cell>
          <cell r="GJ244">
            <v>168.728693543638</v>
          </cell>
          <cell r="GK244">
            <v>166.838393569929</v>
          </cell>
        </row>
        <row r="246">
          <cell r="CG246">
            <v>15.33</v>
          </cell>
          <cell r="CH246">
            <v>16.25</v>
          </cell>
          <cell r="CI246">
            <v>16.82</v>
          </cell>
          <cell r="CJ246">
            <v>15.02</v>
          </cell>
          <cell r="CK246">
            <v>17.5</v>
          </cell>
          <cell r="CL246">
            <v>16.47</v>
          </cell>
          <cell r="CM246">
            <v>18.22</v>
          </cell>
          <cell r="CN246">
            <v>17.79</v>
          </cell>
          <cell r="CO246">
            <v>17.12</v>
          </cell>
          <cell r="CP246">
            <v>18.2</v>
          </cell>
          <cell r="CQ246">
            <v>17.93</v>
          </cell>
          <cell r="CR246">
            <v>18.14</v>
          </cell>
        </row>
        <row r="246">
          <cell r="CT246">
            <v>20.34</v>
          </cell>
          <cell r="CU246">
            <v>19.3</v>
          </cell>
          <cell r="CV246">
            <v>20.1</v>
          </cell>
          <cell r="CW246">
            <v>18.29</v>
          </cell>
          <cell r="CX246">
            <v>20.23</v>
          </cell>
          <cell r="CY246">
            <v>19.57</v>
          </cell>
          <cell r="CZ246">
            <v>18.35</v>
          </cell>
          <cell r="DA246">
            <v>0.74</v>
          </cell>
          <cell r="DB246">
            <v>14.76</v>
          </cell>
          <cell r="DC246">
            <v>18.29</v>
          </cell>
          <cell r="DD246">
            <v>20.54</v>
          </cell>
          <cell r="DE246">
            <v>17.5</v>
          </cell>
        </row>
        <row r="246">
          <cell r="DG246">
            <v>21.048</v>
          </cell>
          <cell r="DH246">
            <v>20.058</v>
          </cell>
          <cell r="DI246">
            <v>14.568</v>
          </cell>
          <cell r="DJ246">
            <v>19.296</v>
          </cell>
          <cell r="DK246">
            <v>20.226</v>
          </cell>
          <cell r="DL246">
            <v>19.962</v>
          </cell>
          <cell r="DM246">
            <v>21.72</v>
          </cell>
          <cell r="DN246">
            <v>19.58</v>
          </cell>
          <cell r="DO246">
            <v>20.538</v>
          </cell>
          <cell r="DP246">
            <v>19.658</v>
          </cell>
          <cell r="DQ246">
            <v>21.082</v>
          </cell>
          <cell r="DR246">
            <v>21.012</v>
          </cell>
        </row>
        <row r="246">
          <cell r="DV246">
            <v>20.48</v>
          </cell>
          <cell r="DW246">
            <v>19.62</v>
          </cell>
          <cell r="DX246">
            <v>22.14</v>
          </cell>
          <cell r="DY246">
            <v>20.938</v>
          </cell>
          <cell r="DZ246">
            <v>21.114</v>
          </cell>
          <cell r="EA246">
            <v>22.678</v>
          </cell>
          <cell r="EB246">
            <v>20.778</v>
          </cell>
          <cell r="EC246">
            <v>22.356</v>
          </cell>
          <cell r="ED246">
            <v>20.248</v>
          </cell>
          <cell r="EE246">
            <v>18.81</v>
          </cell>
          <cell r="EF246">
            <v>20.632</v>
          </cell>
          <cell r="EG246">
            <v>30.5945</v>
          </cell>
        </row>
        <row r="246">
          <cell r="FE246">
            <v>21.2335</v>
          </cell>
          <cell r="FF246">
            <v>23.23506</v>
          </cell>
          <cell r="FG246">
            <v>21.48016</v>
          </cell>
          <cell r="FH246">
            <v>20.95078</v>
          </cell>
          <cell r="FI246">
            <v>23.5218</v>
          </cell>
          <cell r="FJ246">
            <v>22.61348</v>
          </cell>
          <cell r="FK246">
            <v>22.02468</v>
          </cell>
          <cell r="FL246">
            <v>23.69736</v>
          </cell>
          <cell r="FM246">
            <v>21.46288</v>
          </cell>
          <cell r="FN246">
            <v>19.9386</v>
          </cell>
          <cell r="FO246">
            <v>21.86992</v>
          </cell>
          <cell r="FP246">
            <v>32.43017</v>
          </cell>
        </row>
        <row r="246">
          <cell r="FZ246">
            <v>26.4557119098827</v>
          </cell>
          <cell r="GA246">
            <v>26.3749708069092</v>
          </cell>
          <cell r="GB246">
            <v>25.9233680275661</v>
          </cell>
          <cell r="GC246">
            <v>26.3120201164554</v>
          </cell>
          <cell r="GD246">
            <v>26.3886557396166</v>
          </cell>
          <cell r="GE246">
            <v>26.3667598472848</v>
          </cell>
          <cell r="GF246">
            <v>26.5350845195854</v>
          </cell>
          <cell r="GG246">
            <v>24.7984665590205</v>
          </cell>
          <cell r="GH246">
            <v>26.1820132557354</v>
          </cell>
          <cell r="GI246">
            <v>26.5296105465025</v>
          </cell>
          <cell r="GJ246">
            <v>26.7513064563619</v>
          </cell>
          <cell r="GK246">
            <v>26.4516064300705</v>
          </cell>
        </row>
        <row r="249">
          <cell r="CG249">
            <v>18.49</v>
          </cell>
          <cell r="CH249">
            <v>18.61</v>
          </cell>
          <cell r="CI249">
            <v>18.85</v>
          </cell>
          <cell r="CJ249">
            <v>20.85</v>
          </cell>
          <cell r="CK249">
            <v>18.32</v>
          </cell>
          <cell r="CL249">
            <v>20.49</v>
          </cell>
          <cell r="CM249">
            <v>18.43</v>
          </cell>
          <cell r="CN249">
            <v>19.86</v>
          </cell>
          <cell r="CO249">
            <v>25.18</v>
          </cell>
          <cell r="CP249">
            <v>23.59</v>
          </cell>
          <cell r="CQ249">
            <v>24.66</v>
          </cell>
          <cell r="CR249">
            <v>22.67</v>
          </cell>
        </row>
        <row r="249">
          <cell r="CT249">
            <v>13.32</v>
          </cell>
          <cell r="CU249">
            <v>12.71</v>
          </cell>
          <cell r="CV249">
            <v>15.97</v>
          </cell>
          <cell r="CW249">
            <v>13.3</v>
          </cell>
          <cell r="CX249">
            <v>13.76</v>
          </cell>
          <cell r="CY249">
            <v>14.21</v>
          </cell>
          <cell r="CZ249">
            <v>13.86</v>
          </cell>
          <cell r="DA249">
            <v>15.4</v>
          </cell>
          <cell r="DB249">
            <v>16.67</v>
          </cell>
          <cell r="DC249">
            <v>19.74</v>
          </cell>
          <cell r="DD249">
            <v>22.96</v>
          </cell>
          <cell r="DE249">
            <v>20.41</v>
          </cell>
        </row>
        <row r="249">
          <cell r="DG249">
            <v>23.554072</v>
          </cell>
          <cell r="DH249">
            <v>21.396363</v>
          </cell>
          <cell r="DI249">
            <v>21.488154</v>
          </cell>
          <cell r="DJ249">
            <v>21.570796</v>
          </cell>
          <cell r="DK249">
            <v>24.503117</v>
          </cell>
          <cell r="DL249">
            <v>25.06973</v>
          </cell>
          <cell r="DM249">
            <v>25.336347</v>
          </cell>
          <cell r="DN249">
            <v>26.244343</v>
          </cell>
          <cell r="DO249">
            <v>26.003648</v>
          </cell>
          <cell r="DP249">
            <v>28.885992</v>
          </cell>
          <cell r="DQ249">
            <v>27.529892</v>
          </cell>
          <cell r="DR249">
            <v>27.027574</v>
          </cell>
        </row>
        <row r="249">
          <cell r="DV249">
            <v>29.55</v>
          </cell>
          <cell r="DW249">
            <v>30.79</v>
          </cell>
          <cell r="DX249">
            <v>31.11</v>
          </cell>
          <cell r="DY249">
            <v>27.46177</v>
          </cell>
          <cell r="DZ249">
            <v>28.1507</v>
          </cell>
          <cell r="EA249">
            <v>32.712257</v>
          </cell>
          <cell r="EB249">
            <v>29.063232</v>
          </cell>
          <cell r="EC249">
            <v>30.706796</v>
          </cell>
          <cell r="ED249">
            <v>31.742884</v>
          </cell>
          <cell r="EE249">
            <v>33.435977</v>
          </cell>
          <cell r="EF249">
            <v>33.870729</v>
          </cell>
          <cell r="EG249">
            <v>47.679836</v>
          </cell>
        </row>
        <row r="249">
          <cell r="FE249">
            <v>35.659178</v>
          </cell>
          <cell r="FF249">
            <v>38.505745</v>
          </cell>
          <cell r="FG249">
            <v>36.94497</v>
          </cell>
          <cell r="FH249">
            <v>38.45358</v>
          </cell>
          <cell r="FI249">
            <v>40.649315</v>
          </cell>
          <cell r="FJ249">
            <v>40.313665</v>
          </cell>
          <cell r="FK249">
            <v>30.80702592</v>
          </cell>
          <cell r="FL249">
            <v>32.54920376</v>
          </cell>
          <cell r="FM249">
            <v>33.64745704</v>
          </cell>
          <cell r="FN249">
            <v>35.44213562</v>
          </cell>
          <cell r="FO249">
            <v>35.90297274</v>
          </cell>
          <cell r="FP249">
            <v>50.54062616</v>
          </cell>
        </row>
        <row r="249">
          <cell r="FZ249">
            <v>39.8434262923387</v>
          </cell>
          <cell r="GA249">
            <v>37.3135558193054</v>
          </cell>
          <cell r="GB249">
            <v>36.443150222474</v>
          </cell>
          <cell r="GC249">
            <v>38.7371163748708</v>
          </cell>
          <cell r="GD249">
            <v>39.1763864891595</v>
          </cell>
          <cell r="GE249">
            <v>39.3960215463039</v>
          </cell>
          <cell r="GF249">
            <v>39.7864838701161</v>
          </cell>
          <cell r="GG249">
            <v>40.046792085991</v>
          </cell>
          <cell r="GH249">
            <v>39.9247726097996</v>
          </cell>
          <cell r="GI249">
            <v>39.9735804002762</v>
          </cell>
          <cell r="GJ249">
            <v>40.0630613494831</v>
          </cell>
          <cell r="GK249">
            <v>39.59125270821</v>
          </cell>
        </row>
        <row r="251">
          <cell r="CG251">
            <v>6.79</v>
          </cell>
          <cell r="CH251">
            <v>7.17</v>
          </cell>
          <cell r="CI251">
            <v>6.92</v>
          </cell>
          <cell r="CJ251">
            <v>6.32</v>
          </cell>
          <cell r="CK251">
            <v>6.4</v>
          </cell>
          <cell r="CL251">
            <v>6.52</v>
          </cell>
          <cell r="CM251">
            <v>6.65</v>
          </cell>
          <cell r="CN251">
            <v>6.95</v>
          </cell>
          <cell r="CO251">
            <v>6.53</v>
          </cell>
          <cell r="CP251">
            <v>6.69</v>
          </cell>
          <cell r="CQ251">
            <v>7.19</v>
          </cell>
          <cell r="CR251">
            <v>6.88</v>
          </cell>
        </row>
        <row r="251">
          <cell r="CT251">
            <v>1.76</v>
          </cell>
          <cell r="CU251">
            <v>1.69</v>
          </cell>
          <cell r="CV251">
            <v>2</v>
          </cell>
          <cell r="CW251">
            <v>1.77</v>
          </cell>
          <cell r="CX251">
            <v>1.74</v>
          </cell>
          <cell r="CY251">
            <v>3.57</v>
          </cell>
          <cell r="CZ251">
            <v>5.66</v>
          </cell>
          <cell r="DA251">
            <v>5.88</v>
          </cell>
          <cell r="DB251">
            <v>5.78</v>
          </cell>
          <cell r="DC251">
            <v>5.82</v>
          </cell>
          <cell r="DD251">
            <v>5.89</v>
          </cell>
          <cell r="DE251">
            <v>5.5</v>
          </cell>
        </row>
        <row r="251">
          <cell r="DG251">
            <v>6.285889</v>
          </cell>
          <cell r="DH251">
            <v>3.958795</v>
          </cell>
          <cell r="DI251">
            <v>3.15885</v>
          </cell>
          <cell r="DJ251">
            <v>5.271632</v>
          </cell>
          <cell r="DK251">
            <v>5.673988</v>
          </cell>
          <cell r="DL251">
            <v>5.871838</v>
          </cell>
          <cell r="DM251">
            <v>6.053575</v>
          </cell>
          <cell r="DN251">
            <v>6.110538</v>
          </cell>
          <cell r="DO251">
            <v>6.256292</v>
          </cell>
          <cell r="DP251">
            <v>5.786496</v>
          </cell>
          <cell r="DQ251">
            <v>5.533106</v>
          </cell>
          <cell r="DR251">
            <v>5.622332</v>
          </cell>
        </row>
        <row r="251">
          <cell r="DV251">
            <v>7.07</v>
          </cell>
          <cell r="DW251">
            <v>6.94</v>
          </cell>
          <cell r="DX251">
            <v>7.36</v>
          </cell>
          <cell r="DY251">
            <v>6.929584</v>
          </cell>
          <cell r="DZ251">
            <v>7.084346</v>
          </cell>
          <cell r="EA251">
            <v>7.562948</v>
          </cell>
          <cell r="EB251">
            <v>7.142887</v>
          </cell>
          <cell r="EC251">
            <v>7.093945</v>
          </cell>
          <cell r="ED251">
            <v>7.170892</v>
          </cell>
          <cell r="EE251">
            <v>7.373449</v>
          </cell>
          <cell r="EF251">
            <v>7.508761</v>
          </cell>
          <cell r="EG251">
            <v>9.340473</v>
          </cell>
        </row>
        <row r="251">
          <cell r="FE251">
            <v>7.640682</v>
          </cell>
          <cell r="FF251">
            <v>8.254045</v>
          </cell>
          <cell r="FG251">
            <v>8.191949</v>
          </cell>
          <cell r="FH251">
            <v>8.098411</v>
          </cell>
          <cell r="FI251">
            <v>7.530217</v>
          </cell>
          <cell r="FJ251">
            <v>7.587986</v>
          </cell>
          <cell r="FK251">
            <v>7.57146022</v>
          </cell>
          <cell r="FL251">
            <v>7.5195817</v>
          </cell>
          <cell r="FM251">
            <v>7.60114552</v>
          </cell>
          <cell r="FN251">
            <v>7.81585594</v>
          </cell>
          <cell r="FO251">
            <v>7.95928666</v>
          </cell>
          <cell r="FP251">
            <v>9.90090138</v>
          </cell>
        </row>
        <row r="251">
          <cell r="FZ251">
            <v>9.13657370766125</v>
          </cell>
          <cell r="GA251">
            <v>8.5564441806946</v>
          </cell>
          <cell r="GB251">
            <v>8.35684977752601</v>
          </cell>
          <cell r="GC251">
            <v>8.88288362512921</v>
          </cell>
          <cell r="GD251">
            <v>8.98361351084046</v>
          </cell>
          <cell r="GE251">
            <v>9.03397845369609</v>
          </cell>
          <cell r="GF251">
            <v>9.12351612988386</v>
          </cell>
          <cell r="GG251">
            <v>9.18320791400905</v>
          </cell>
          <cell r="GH251">
            <v>9.15522739020037</v>
          </cell>
          <cell r="GI251">
            <v>9.16641959972384</v>
          </cell>
          <cell r="GJ251">
            <v>9.18693865051688</v>
          </cell>
          <cell r="GK251">
            <v>9.07874729178998</v>
          </cell>
        </row>
        <row r="253"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</row>
        <row r="253"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P253">
            <v>0</v>
          </cell>
        </row>
        <row r="253"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</row>
        <row r="254"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</row>
        <row r="254"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P254">
            <v>0</v>
          </cell>
        </row>
        <row r="254">
          <cell r="FZ254">
            <v>0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0">
          <cell r="AJ10">
            <v>8309136</v>
          </cell>
        </row>
        <row r="10">
          <cell r="AL10">
            <v>12920</v>
          </cell>
        </row>
        <row r="10">
          <cell r="AQ10">
            <v>11109.32</v>
          </cell>
        </row>
        <row r="10">
          <cell r="AT10">
            <v>155.04</v>
          </cell>
          <cell r="AU10">
            <v>5195.81179599001</v>
          </cell>
        </row>
        <row r="10">
          <cell r="AW10">
            <v>715.728977938821</v>
          </cell>
        </row>
        <row r="11">
          <cell r="AJ11">
            <v>4531836</v>
          </cell>
        </row>
        <row r="11">
          <cell r="AL11">
            <v>4841.16426945736</v>
          </cell>
        </row>
        <row r="11">
          <cell r="AQ11">
            <v>2492.02805980674</v>
          </cell>
        </row>
        <row r="11">
          <cell r="AT11">
            <v>58.0939712334883</v>
          </cell>
          <cell r="AU11">
            <v>558.202623924158</v>
          </cell>
        </row>
        <row r="11">
          <cell r="AW11">
            <v>284.721250714718</v>
          </cell>
        </row>
        <row r="12">
          <cell r="O12">
            <v>10</v>
          </cell>
          <cell r="P12">
            <v>1.95</v>
          </cell>
        </row>
        <row r="12">
          <cell r="AA12">
            <v>40</v>
          </cell>
        </row>
        <row r="12">
          <cell r="AJ12">
            <v>2447853</v>
          </cell>
        </row>
        <row r="12">
          <cell r="AL12">
            <v>2562.35803949017</v>
          </cell>
        </row>
        <row r="12">
          <cell r="AQ12">
            <v>1863.70499666027</v>
          </cell>
        </row>
        <row r="12">
          <cell r="AT12">
            <v>30.7482964738821</v>
          </cell>
          <cell r="AU12">
            <v>363.422474348752</v>
          </cell>
        </row>
        <row r="12">
          <cell r="AW12">
            <v>114.35208850819</v>
          </cell>
        </row>
        <row r="13">
          <cell r="O13">
            <v>10</v>
          </cell>
          <cell r="P13">
            <v>3.1</v>
          </cell>
        </row>
        <row r="13">
          <cell r="AA13">
            <v>70</v>
          </cell>
        </row>
        <row r="13">
          <cell r="AJ13">
            <v>2083983</v>
          </cell>
        </row>
        <row r="13">
          <cell r="AL13">
            <v>2278.80622996719</v>
          </cell>
        </row>
        <row r="13">
          <cell r="AQ13">
            <v>628.32306314647</v>
          </cell>
        </row>
        <row r="13">
          <cell r="AT13">
            <v>27.3456747596062</v>
          </cell>
          <cell r="AU13">
            <v>194.780149575406</v>
          </cell>
        </row>
        <row r="13">
          <cell r="AW13">
            <v>170.369162206528</v>
          </cell>
        </row>
        <row r="14">
          <cell r="AJ14">
            <v>2439619</v>
          </cell>
        </row>
        <row r="14">
          <cell r="AL14">
            <v>3981.35685802091</v>
          </cell>
        </row>
        <row r="14">
          <cell r="AQ14">
            <v>3825.08595019733</v>
          </cell>
        </row>
        <row r="14">
          <cell r="AT14">
            <v>47.7762822962509</v>
          </cell>
          <cell r="AU14">
            <v>1458.00880922852</v>
          </cell>
        </row>
        <row r="14">
          <cell r="AW14">
            <v>256.426728885309</v>
          </cell>
        </row>
        <row r="15">
          <cell r="O15">
            <v>10</v>
          </cell>
          <cell r="P15">
            <v>3.4</v>
          </cell>
        </row>
        <row r="15">
          <cell r="AJ15">
            <v>0</v>
          </cell>
        </row>
        <row r="15">
          <cell r="AQ15">
            <v>2700.23176332995</v>
          </cell>
        </row>
        <row r="15">
          <cell r="AT15">
            <v>0</v>
          </cell>
          <cell r="AU15">
            <v>918.078799532183</v>
          </cell>
        </row>
        <row r="15">
          <cell r="AW15">
            <v>0</v>
          </cell>
        </row>
        <row r="16">
          <cell r="O16">
            <v>10</v>
          </cell>
          <cell r="P16">
            <v>4.8</v>
          </cell>
        </row>
        <row r="16">
          <cell r="AA16">
            <v>90</v>
          </cell>
        </row>
        <row r="16">
          <cell r="AJ16">
            <v>2439619</v>
          </cell>
        </row>
        <row r="16">
          <cell r="AL16">
            <v>3981.35685802091</v>
          </cell>
        </row>
        <row r="16">
          <cell r="AQ16">
            <v>1124.85418686738</v>
          </cell>
        </row>
        <row r="16">
          <cell r="AT16">
            <v>47.7762822962509</v>
          </cell>
          <cell r="AU16">
            <v>539.93000969634</v>
          </cell>
        </row>
        <row r="16">
          <cell r="AW16">
            <v>256.426728885309</v>
          </cell>
        </row>
        <row r="17">
          <cell r="AJ17">
            <v>1337681</v>
          </cell>
        </row>
        <row r="17">
          <cell r="AL17">
            <v>4097.47887252173</v>
          </cell>
        </row>
        <row r="17">
          <cell r="AQ17">
            <v>4792.20598999594</v>
          </cell>
        </row>
        <row r="17">
          <cell r="AT17">
            <v>49.1697464702608</v>
          </cell>
          <cell r="AU17">
            <v>3179.60036283733</v>
          </cell>
        </row>
        <row r="17">
          <cell r="AW17">
            <v>174.580998338794</v>
          </cell>
        </row>
        <row r="18">
          <cell r="O18">
            <v>10</v>
          </cell>
          <cell r="P18">
            <v>5.1</v>
          </cell>
        </row>
        <row r="18">
          <cell r="AJ18">
            <v>0</v>
          </cell>
        </row>
        <row r="18">
          <cell r="AQ18">
            <v>2748.206488247</v>
          </cell>
        </row>
        <row r="18">
          <cell r="AT18">
            <v>0</v>
          </cell>
          <cell r="AU18">
            <v>1401.58530900597</v>
          </cell>
        </row>
        <row r="18">
          <cell r="AW18">
            <v>0</v>
          </cell>
        </row>
        <row r="19">
          <cell r="O19">
            <v>10</v>
          </cell>
          <cell r="P19">
            <v>7.7</v>
          </cell>
        </row>
        <row r="19">
          <cell r="AA19">
            <v>100</v>
          </cell>
        </row>
        <row r="19">
          <cell r="AJ19">
            <v>825845</v>
          </cell>
        </row>
        <row r="19">
          <cell r="AL19">
            <v>2035.62338463807</v>
          </cell>
        </row>
        <row r="19">
          <cell r="AQ19">
            <v>883.956084710964</v>
          </cell>
        </row>
        <row r="19">
          <cell r="AT19">
            <v>24.4274806156568</v>
          </cell>
          <cell r="AU19">
            <v>680.646185227442</v>
          </cell>
        </row>
        <row r="19">
          <cell r="AW19">
            <v>96.4489090378857</v>
          </cell>
        </row>
        <row r="20">
          <cell r="O20">
            <v>10</v>
          </cell>
          <cell r="P20">
            <v>9</v>
          </cell>
        </row>
        <row r="20">
          <cell r="AA20">
            <v>120</v>
          </cell>
        </row>
        <row r="20">
          <cell r="AJ20">
            <v>275619</v>
          </cell>
        </row>
        <row r="20">
          <cell r="AL20">
            <v>871.523539925073</v>
          </cell>
        </row>
        <row r="20">
          <cell r="AQ20">
            <v>389.807814263622</v>
          </cell>
        </row>
        <row r="20">
          <cell r="AT20">
            <v>10.4582824791009</v>
          </cell>
          <cell r="AU20">
            <v>350.82703283726</v>
          </cell>
        </row>
        <row r="20">
          <cell r="AW20">
            <v>38.6268394579317</v>
          </cell>
        </row>
        <row r="21">
          <cell r="O21">
            <v>10</v>
          </cell>
          <cell r="P21">
            <v>9.5</v>
          </cell>
        </row>
        <row r="21">
          <cell r="AA21">
            <v>140</v>
          </cell>
        </row>
        <row r="21">
          <cell r="AJ21">
            <v>198415</v>
          </cell>
        </row>
        <row r="21">
          <cell r="AL21">
            <v>827.61209487966</v>
          </cell>
        </row>
        <row r="21">
          <cell r="AQ21">
            <v>473.875340153904</v>
          </cell>
        </row>
        <row r="21">
          <cell r="AT21">
            <v>9.93134513855592</v>
          </cell>
          <cell r="AU21">
            <v>450.181573146209</v>
          </cell>
        </row>
        <row r="21">
          <cell r="AW21">
            <v>32.4415288600802</v>
          </cell>
        </row>
        <row r="22">
          <cell r="O22">
            <v>10</v>
          </cell>
          <cell r="P22">
            <v>10</v>
          </cell>
        </row>
        <row r="22">
          <cell r="AA22">
            <v>160</v>
          </cell>
        </row>
        <row r="22">
          <cell r="AJ22">
            <v>37802</v>
          </cell>
        </row>
        <row r="22">
          <cell r="AL22">
            <v>362.719853078931</v>
          </cell>
        </row>
        <row r="22">
          <cell r="AQ22">
            <v>296.36026262045</v>
          </cell>
        </row>
        <row r="22">
          <cell r="AT22">
            <v>4.35263823694717</v>
          </cell>
          <cell r="AU22">
            <v>296.36026262045</v>
          </cell>
        </row>
        <row r="22">
          <cell r="AW22">
            <v>7.0637209828966</v>
          </cell>
        </row>
        <row r="23">
          <cell r="AJ23">
            <v>1238732</v>
          </cell>
        </row>
        <row r="23">
          <cell r="AL23">
            <v>4240</v>
          </cell>
        </row>
        <row r="23">
          <cell r="AQ23">
            <v>3410.78</v>
          </cell>
        </row>
        <row r="23">
          <cell r="AT23">
            <v>343.825130439376</v>
          </cell>
          <cell r="AU23">
            <v>3462.99295905309</v>
          </cell>
        </row>
        <row r="23">
          <cell r="AW23">
            <v>119.384742599093</v>
          </cell>
        </row>
        <row r="24">
          <cell r="AJ24">
            <v>571811</v>
          </cell>
        </row>
        <row r="24">
          <cell r="AL24">
            <v>1013.52178667271</v>
          </cell>
        </row>
        <row r="24">
          <cell r="AQ24">
            <v>99.3520991458572</v>
          </cell>
        </row>
        <row r="24">
          <cell r="AT24">
            <v>72.9735686404349</v>
          </cell>
          <cell r="AU24">
            <v>69.5464694021</v>
          </cell>
        </row>
        <row r="24">
          <cell r="AW24">
            <v>33.2257464690419</v>
          </cell>
        </row>
        <row r="25">
          <cell r="O25">
            <v>60</v>
          </cell>
          <cell r="P25">
            <v>7</v>
          </cell>
        </row>
        <row r="25">
          <cell r="AA25">
            <v>50</v>
          </cell>
        </row>
        <row r="25">
          <cell r="AJ25">
            <v>571811</v>
          </cell>
        </row>
        <row r="25">
          <cell r="AL25">
            <v>1013.52178667271</v>
          </cell>
        </row>
        <row r="25">
          <cell r="AQ25">
            <v>99.3520991458572</v>
          </cell>
        </row>
        <row r="25">
          <cell r="AT25">
            <v>72.9735686404349</v>
          </cell>
          <cell r="AU25">
            <v>69.5464694021</v>
          </cell>
        </row>
        <row r="25">
          <cell r="AW25">
            <v>33.2257464690419</v>
          </cell>
        </row>
        <row r="26">
          <cell r="AJ26">
            <v>650970</v>
          </cell>
        </row>
        <row r="26">
          <cell r="AL26">
            <v>3204.78930983204</v>
          </cell>
        </row>
        <row r="26">
          <cell r="AQ26">
            <v>3302.21707574396</v>
          </cell>
        </row>
        <row r="26">
          <cell r="AT26">
            <v>269.202302025892</v>
          </cell>
          <cell r="AU26">
            <v>3384.85923095971</v>
          </cell>
        </row>
        <row r="26">
          <cell r="AW26">
            <v>84.9502541755017</v>
          </cell>
        </row>
        <row r="27">
          <cell r="O27">
            <v>70</v>
          </cell>
          <cell r="P27">
            <v>8.5</v>
          </cell>
        </row>
        <row r="27">
          <cell r="AA27">
            <v>90</v>
          </cell>
        </row>
        <row r="27">
          <cell r="AJ27">
            <v>206445</v>
          </cell>
        </row>
        <row r="27">
          <cell r="AL27">
            <v>358.570178296888</v>
          </cell>
        </row>
        <row r="27">
          <cell r="AQ27">
            <v>644.868811282196</v>
          </cell>
        </row>
        <row r="27">
          <cell r="AT27">
            <v>30.1198949769386</v>
          </cell>
          <cell r="AU27">
            <v>548.138489589867</v>
          </cell>
        </row>
        <row r="27">
          <cell r="AW27">
            <v>21.5923104201256</v>
          </cell>
        </row>
        <row r="28">
          <cell r="O28">
            <v>70</v>
          </cell>
          <cell r="P28">
            <v>9.9</v>
          </cell>
        </row>
        <row r="28">
          <cell r="AA28">
            <v>105</v>
          </cell>
        </row>
        <row r="28">
          <cell r="AJ28">
            <v>252600</v>
          </cell>
        </row>
        <row r="28">
          <cell r="AL28">
            <v>657.90534263401</v>
          </cell>
        </row>
        <row r="28">
          <cell r="AQ28">
            <v>606.948489546929</v>
          </cell>
        </row>
        <row r="28">
          <cell r="AT28">
            <v>55.2640487812568</v>
          </cell>
          <cell r="AU28">
            <v>600.87900465146</v>
          </cell>
        </row>
        <row r="28">
          <cell r="AW28">
            <v>30.8229982843421</v>
          </cell>
        </row>
        <row r="29">
          <cell r="O29">
            <v>70</v>
          </cell>
          <cell r="P29">
            <v>10.4</v>
          </cell>
        </row>
        <row r="29">
          <cell r="AA29">
            <v>120</v>
          </cell>
        </row>
        <row r="29">
          <cell r="AJ29">
            <v>67797</v>
          </cell>
        </row>
        <row r="29">
          <cell r="AL29">
            <v>312.8876478247</v>
          </cell>
        </row>
        <row r="29">
          <cell r="AQ29">
            <v>326.633594798886</v>
          </cell>
        </row>
        <row r="29">
          <cell r="AT29">
            <v>26.2825624172748</v>
          </cell>
          <cell r="AU29">
            <v>339.698938590842</v>
          </cell>
        </row>
        <row r="29">
          <cell r="AW29">
            <v>9.45461741741225</v>
          </cell>
        </row>
        <row r="30">
          <cell r="O30">
            <v>70</v>
          </cell>
          <cell r="P30">
            <v>11</v>
          </cell>
        </row>
        <row r="30">
          <cell r="AA30">
            <v>160</v>
          </cell>
        </row>
        <row r="30">
          <cell r="AJ30">
            <v>124128</v>
          </cell>
        </row>
        <row r="30">
          <cell r="AL30">
            <v>1875.42614107644</v>
          </cell>
        </row>
        <row r="30">
          <cell r="AQ30">
            <v>1723.76618011594</v>
          </cell>
        </row>
        <row r="30">
          <cell r="AT30">
            <v>157.535795850421</v>
          </cell>
          <cell r="AU30">
            <v>1896.14279812754</v>
          </cell>
        </row>
        <row r="30">
          <cell r="AW30">
            <v>23.0803280536218</v>
          </cell>
        </row>
        <row r="31">
          <cell r="O31">
            <v>70</v>
          </cell>
          <cell r="P31">
            <v>13</v>
          </cell>
        </row>
        <row r="31">
          <cell r="AA31">
            <v>160</v>
          </cell>
        </row>
        <row r="31">
          <cell r="AJ31">
            <v>2386</v>
          </cell>
        </row>
        <row r="31">
          <cell r="AL31">
            <v>7.30489344929642</v>
          </cell>
        </row>
        <row r="31">
          <cell r="AQ31">
            <v>4.51304749649662</v>
          </cell>
        </row>
        <row r="31">
          <cell r="AT31">
            <v>0.613611049740899</v>
          </cell>
          <cell r="AU31">
            <v>5.8669617454456</v>
          </cell>
        </row>
        <row r="31">
          <cell r="AW31">
            <v>0.443652219772667</v>
          </cell>
        </row>
        <row r="32">
          <cell r="AJ32">
            <v>13565</v>
          </cell>
        </row>
        <row r="32">
          <cell r="AL32">
            <v>14.3840100459541</v>
          </cell>
        </row>
        <row r="32">
          <cell r="AQ32">
            <v>4.6977776136899</v>
          </cell>
        </row>
        <row r="32">
          <cell r="AT32">
            <v>1.0356487233087</v>
          </cell>
          <cell r="AU32">
            <v>2.72029694584036</v>
          </cell>
        </row>
        <row r="32">
          <cell r="AW32">
            <v>0.765089734776913</v>
          </cell>
        </row>
        <row r="33">
          <cell r="O33">
            <v>60</v>
          </cell>
          <cell r="P33">
            <v>5.3</v>
          </cell>
        </row>
        <row r="33">
          <cell r="AA33">
            <v>45</v>
          </cell>
        </row>
        <row r="33">
          <cell r="AJ33">
            <v>9975</v>
          </cell>
        </row>
        <row r="33">
          <cell r="AL33">
            <v>10.513363667707</v>
          </cell>
        </row>
        <row r="33">
          <cell r="AQ33">
            <v>3.20186274428528</v>
          </cell>
        </row>
        <row r="33">
          <cell r="AT33">
            <v>0.756962184074905</v>
          </cell>
          <cell r="AU33">
            <v>1.6969872544712</v>
          </cell>
        </row>
        <row r="33">
          <cell r="AW33">
            <v>0.521648130109115</v>
          </cell>
        </row>
        <row r="34">
          <cell r="O34">
            <v>60</v>
          </cell>
          <cell r="P34">
            <v>6.6</v>
          </cell>
        </row>
        <row r="34">
          <cell r="AA34">
            <v>55</v>
          </cell>
        </row>
        <row r="34">
          <cell r="AJ34">
            <v>2387</v>
          </cell>
        </row>
        <row r="34">
          <cell r="AL34">
            <v>2.49512428630846</v>
          </cell>
        </row>
        <row r="34">
          <cell r="AQ34">
            <v>1.09584956315888</v>
          </cell>
        </row>
        <row r="34">
          <cell r="AT34">
            <v>0.179648948614209</v>
          </cell>
          <cell r="AU34">
            <v>0.72326071168486</v>
          </cell>
        </row>
        <row r="34">
          <cell r="AW34">
            <v>0.152569367332498</v>
          </cell>
        </row>
        <row r="35">
          <cell r="O35">
            <v>60</v>
          </cell>
          <cell r="P35">
            <v>7.5</v>
          </cell>
        </row>
        <row r="35">
          <cell r="AA35">
            <v>65</v>
          </cell>
        </row>
        <row r="35">
          <cell r="AJ35">
            <v>1203</v>
          </cell>
        </row>
        <row r="35">
          <cell r="AL35">
            <v>1.37552209193867</v>
          </cell>
        </row>
        <row r="35">
          <cell r="AQ35">
            <v>0.400065306245742</v>
          </cell>
        </row>
        <row r="35">
          <cell r="AT35">
            <v>0.099037590619584</v>
          </cell>
          <cell r="AU35">
            <v>0.300048979684306</v>
          </cell>
        </row>
        <row r="35">
          <cell r="AW35">
            <v>0.0908722373352989</v>
          </cell>
        </row>
        <row r="36">
          <cell r="AJ36">
            <v>49847</v>
          </cell>
        </row>
        <row r="36">
          <cell r="AN36">
            <v>1728577.47401</v>
          </cell>
        </row>
        <row r="36">
          <cell r="AQ36">
            <v>1028.7</v>
          </cell>
        </row>
        <row r="36">
          <cell r="AT36">
            <v>154.742359604397</v>
          </cell>
          <cell r="AU36">
            <v>789.189759046206</v>
          </cell>
        </row>
        <row r="36">
          <cell r="AW36">
            <v>21.03579005</v>
          </cell>
        </row>
        <row r="37">
          <cell r="O37">
            <v>75</v>
          </cell>
          <cell r="P37">
            <v>7.7</v>
          </cell>
        </row>
        <row r="37">
          <cell r="AA37">
            <v>360.25</v>
          </cell>
        </row>
        <row r="37">
          <cell r="AJ37">
            <v>45803.0569747639</v>
          </cell>
        </row>
        <row r="37">
          <cell r="AN37">
            <v>1659443.05263472</v>
          </cell>
        </row>
        <row r="37">
          <cell r="AQ37">
            <v>987.139414945795</v>
          </cell>
        </row>
        <row r="37">
          <cell r="AT37">
            <v>149.349874737124</v>
          </cell>
          <cell r="AU37">
            <v>760.097349508262</v>
          </cell>
        </row>
        <row r="37">
          <cell r="AW37">
            <v>19.329217208043</v>
          </cell>
        </row>
        <row r="38">
          <cell r="O38">
            <v>75</v>
          </cell>
          <cell r="P38">
            <v>8.4</v>
          </cell>
        </row>
        <row r="38">
          <cell r="AA38">
            <v>360.25</v>
          </cell>
        </row>
        <row r="38">
          <cell r="AN38">
            <v>0</v>
          </cell>
        </row>
        <row r="38">
          <cell r="AQ38">
            <v>0</v>
          </cell>
        </row>
        <row r="38">
          <cell r="AT38">
            <v>0</v>
          </cell>
          <cell r="AU38">
            <v>0</v>
          </cell>
        </row>
        <row r="38">
          <cell r="AW38">
            <v>0</v>
          </cell>
        </row>
        <row r="39">
          <cell r="O39">
            <v>36</v>
          </cell>
          <cell r="P39">
            <v>6.2</v>
          </cell>
        </row>
        <row r="39">
          <cell r="AA39">
            <v>360.25</v>
          </cell>
        </row>
        <row r="39">
          <cell r="AN39">
            <v>0</v>
          </cell>
        </row>
        <row r="39">
          <cell r="AQ39">
            <v>0</v>
          </cell>
        </row>
        <row r="39">
          <cell r="AT39">
            <v>0</v>
          </cell>
          <cell r="AU39">
            <v>0</v>
          </cell>
        </row>
        <row r="39">
          <cell r="AW39">
            <v>0</v>
          </cell>
        </row>
        <row r="40">
          <cell r="O40">
            <v>36</v>
          </cell>
          <cell r="P40">
            <v>6.2</v>
          </cell>
        </row>
        <row r="40">
          <cell r="AA40">
            <v>360.25</v>
          </cell>
        </row>
        <row r="40">
          <cell r="AN40">
            <v>0</v>
          </cell>
        </row>
        <row r="40">
          <cell r="AQ40">
            <v>0</v>
          </cell>
        </row>
        <row r="40">
          <cell r="AT40">
            <v>0</v>
          </cell>
          <cell r="AU40">
            <v>0</v>
          </cell>
        </row>
        <row r="40">
          <cell r="AW40">
            <v>0</v>
          </cell>
        </row>
        <row r="41">
          <cell r="O41">
            <v>65</v>
          </cell>
          <cell r="P41">
            <v>7</v>
          </cell>
        </row>
        <row r="41">
          <cell r="AA41">
            <v>360.25</v>
          </cell>
        </row>
        <row r="41">
          <cell r="AJ41">
            <v>4043.9430252361</v>
          </cell>
        </row>
        <row r="41">
          <cell r="AN41">
            <v>69134.4213752839</v>
          </cell>
        </row>
        <row r="41">
          <cell r="AQ41">
            <v>41.5605850542054</v>
          </cell>
        </row>
        <row r="41">
          <cell r="AT41">
            <v>5.39248486727215</v>
          </cell>
          <cell r="AU41">
            <v>29.0924095379438</v>
          </cell>
        </row>
        <row r="41">
          <cell r="AW41">
            <v>1.70657284195696</v>
          </cell>
        </row>
        <row r="42">
          <cell r="O42">
            <v>75</v>
          </cell>
          <cell r="P42">
            <v>7.3</v>
          </cell>
        </row>
        <row r="42">
          <cell r="AA42">
            <v>360.25</v>
          </cell>
        </row>
        <row r="42">
          <cell r="AN42">
            <v>0</v>
          </cell>
        </row>
        <row r="42">
          <cell r="AQ42">
            <v>0</v>
          </cell>
        </row>
        <row r="42">
          <cell r="AT42">
            <v>0</v>
          </cell>
          <cell r="AU42">
            <v>0</v>
          </cell>
        </row>
        <row r="42">
          <cell r="AW42">
            <v>0</v>
          </cell>
        </row>
        <row r="43">
          <cell r="AJ43">
            <v>4866</v>
          </cell>
        </row>
        <row r="43">
          <cell r="AN43">
            <v>21456.35344</v>
          </cell>
        </row>
        <row r="43">
          <cell r="AQ43">
            <v>10.48</v>
          </cell>
        </row>
        <row r="43">
          <cell r="AT43">
            <v>0.51495248256</v>
          </cell>
          <cell r="AU43">
            <v>4.192</v>
          </cell>
        </row>
        <row r="43">
          <cell r="AW43">
            <v>0.287571346470208</v>
          </cell>
        </row>
        <row r="44">
          <cell r="O44">
            <v>20</v>
          </cell>
          <cell r="P44">
            <v>4</v>
          </cell>
        </row>
        <row r="44">
          <cell r="AA44">
            <v>50</v>
          </cell>
        </row>
        <row r="44">
          <cell r="AJ44">
            <v>4788</v>
          </cell>
        </row>
        <row r="44">
          <cell r="AN44">
            <v>21456.35344</v>
          </cell>
        </row>
        <row r="44">
          <cell r="AQ44">
            <v>10.4708555688175</v>
          </cell>
        </row>
        <row r="44">
          <cell r="AT44">
            <v>0.51495248256</v>
          </cell>
          <cell r="AU44">
            <v>4.18834222752701</v>
          </cell>
        </row>
        <row r="44">
          <cell r="AW44">
            <v>0.282961694800526</v>
          </cell>
        </row>
        <row r="45">
          <cell r="O45">
            <v>20</v>
          </cell>
          <cell r="P45">
            <v>4</v>
          </cell>
        </row>
        <row r="45">
          <cell r="AA45">
            <v>50</v>
          </cell>
        </row>
        <row r="45">
          <cell r="AJ45">
            <v>78</v>
          </cell>
        </row>
        <row r="45">
          <cell r="AN45">
            <v>0</v>
          </cell>
        </row>
        <row r="45">
          <cell r="AQ45">
            <v>0.00914443118248077</v>
          </cell>
        </row>
        <row r="45">
          <cell r="AT45">
            <v>0</v>
          </cell>
          <cell r="AU45">
            <v>0.00365777247299231</v>
          </cell>
        </row>
        <row r="45">
          <cell r="AW45">
            <v>0.00460965166968275</v>
          </cell>
        </row>
        <row r="46">
          <cell r="AJ46">
            <v>1421589.06964707</v>
          </cell>
        </row>
        <row r="46">
          <cell r="AN46">
            <v>8154755.32929</v>
          </cell>
        </row>
        <row r="46">
          <cell r="AQ46">
            <v>12127.2243701067</v>
          </cell>
        </row>
        <row r="46">
          <cell r="AT46">
            <v>0.0473311198610199</v>
          </cell>
          <cell r="AU46">
            <v>9.62380325</v>
          </cell>
        </row>
        <row r="46">
          <cell r="AW46">
            <v>50.1555072080802</v>
          </cell>
        </row>
        <row r="47">
          <cell r="AJ47">
            <v>1421274.37706827</v>
          </cell>
        </row>
        <row r="47">
          <cell r="AN47">
            <v>8152783.19929579</v>
          </cell>
        </row>
        <row r="47">
          <cell r="AQ47">
            <v>12124.8693741067</v>
          </cell>
        </row>
        <row r="47">
          <cell r="AT47">
            <v>0</v>
          </cell>
          <cell r="AU47">
            <v>8.68180485</v>
          </cell>
        </row>
        <row r="47">
          <cell r="AW47">
            <v>50.1444044455161</v>
          </cell>
        </row>
        <row r="48">
          <cell r="P48">
            <v>2.5</v>
          </cell>
        </row>
        <row r="48">
          <cell r="AA48">
            <v>30</v>
          </cell>
        </row>
        <row r="48">
          <cell r="AJ48">
            <v>2183.91710885706</v>
          </cell>
        </row>
        <row r="48">
          <cell r="AN48">
            <v>14432.6198373193</v>
          </cell>
        </row>
        <row r="48">
          <cell r="AQ48">
            <v>34.7272194</v>
          </cell>
        </row>
        <row r="48">
          <cell r="AT48">
            <v>0</v>
          </cell>
          <cell r="AU48">
            <v>8.68180485</v>
          </cell>
        </row>
        <row r="48">
          <cell r="AW48">
            <v>0.0770514297231648</v>
          </cell>
        </row>
        <row r="49">
          <cell r="AJ49">
            <v>1419090.45995941</v>
          </cell>
        </row>
        <row r="49">
          <cell r="AN49">
            <v>8138350.57945847</v>
          </cell>
        </row>
        <row r="49">
          <cell r="AQ49">
            <v>12090.1421547067</v>
          </cell>
        </row>
        <row r="50">
          <cell r="AA50">
            <v>30</v>
          </cell>
        </row>
        <row r="50">
          <cell r="AJ50">
            <v>1419090.45995941</v>
          </cell>
        </row>
        <row r="50">
          <cell r="AN50">
            <v>8138350.57945847</v>
          </cell>
        </row>
        <row r="50">
          <cell r="AQ50">
            <v>12090.1421547067</v>
          </cell>
        </row>
        <row r="50">
          <cell r="AT50">
            <v>0</v>
          </cell>
          <cell r="AU50">
            <v>0</v>
          </cell>
        </row>
        <row r="50">
          <cell r="AW50">
            <v>50.067353015793</v>
          </cell>
        </row>
        <row r="51">
          <cell r="AA51">
            <v>30</v>
          </cell>
        </row>
        <row r="51">
          <cell r="AN51">
            <v>0</v>
          </cell>
        </row>
        <row r="51">
          <cell r="AQ51">
            <v>0</v>
          </cell>
        </row>
        <row r="51">
          <cell r="AT51">
            <v>0</v>
          </cell>
          <cell r="AU51">
            <v>0</v>
          </cell>
        </row>
        <row r="52">
          <cell r="AJ52">
            <v>314.692578793215</v>
          </cell>
        </row>
        <row r="52">
          <cell r="AN52">
            <v>1972.12999420916</v>
          </cell>
        </row>
        <row r="52">
          <cell r="AQ52">
            <v>2.354996</v>
          </cell>
        </row>
        <row r="52">
          <cell r="AT52">
            <v>0.0473311198610199</v>
          </cell>
          <cell r="AU52">
            <v>0.9419984</v>
          </cell>
        </row>
        <row r="52">
          <cell r="AW52">
            <v>0.0111027625640868</v>
          </cell>
        </row>
        <row r="53">
          <cell r="O53">
            <v>20</v>
          </cell>
          <cell r="P53">
            <v>4</v>
          </cell>
        </row>
        <row r="53">
          <cell r="AA53">
            <v>30</v>
          </cell>
        </row>
        <row r="53">
          <cell r="AJ53">
            <v>314.692578793215</v>
          </cell>
        </row>
        <row r="53">
          <cell r="AN53">
            <v>1972.12999420916</v>
          </cell>
        </row>
        <row r="53">
          <cell r="AQ53">
            <v>2.354996</v>
          </cell>
        </row>
        <row r="53">
          <cell r="AT53">
            <v>0.0473311198610199</v>
          </cell>
          <cell r="AU53">
            <v>0.9419984</v>
          </cell>
        </row>
        <row r="53">
          <cell r="AW53">
            <v>0.0111027625640868</v>
          </cell>
        </row>
        <row r="54">
          <cell r="AJ54">
            <v>81362.3767917837</v>
          </cell>
        </row>
        <row r="54">
          <cell r="AL54">
            <v>200.052230407724</v>
          </cell>
        </row>
        <row r="54">
          <cell r="AQ54">
            <v>250.249341207125</v>
          </cell>
        </row>
        <row r="54">
          <cell r="AT54">
            <v>7.68200564765661</v>
          </cell>
          <cell r="AU54">
            <v>192.616496550317</v>
          </cell>
        </row>
        <row r="54">
          <cell r="AW54">
            <v>11.4372255375879</v>
          </cell>
        </row>
        <row r="55">
          <cell r="O55">
            <v>32</v>
          </cell>
          <cell r="P55">
            <v>7.1</v>
          </cell>
        </row>
        <row r="55">
          <cell r="AA55">
            <v>120</v>
          </cell>
        </row>
        <row r="55">
          <cell r="AJ55">
            <v>37769.4829688193</v>
          </cell>
        </row>
        <row r="55">
          <cell r="AL55">
            <v>72.3378310620829</v>
          </cell>
        </row>
        <row r="55">
          <cell r="AQ55">
            <v>76.8083636342387</v>
          </cell>
        </row>
        <row r="55">
          <cell r="AT55">
            <v>2.77777271278398</v>
          </cell>
          <cell r="AU55">
            <v>54.5339381803095</v>
          </cell>
        </row>
        <row r="55">
          <cell r="AW55">
            <v>5.30931017733116</v>
          </cell>
        </row>
        <row r="56">
          <cell r="O56">
            <v>32</v>
          </cell>
          <cell r="P56">
            <v>7.6</v>
          </cell>
        </row>
        <row r="56">
          <cell r="AA56">
            <v>120</v>
          </cell>
        </row>
        <row r="56">
          <cell r="AJ56">
            <v>12523.3100894045</v>
          </cell>
        </row>
        <row r="56">
          <cell r="AL56">
            <v>35.007723596682</v>
          </cell>
        </row>
        <row r="56">
          <cell r="AQ56">
            <v>48.0926692806154</v>
          </cell>
        </row>
        <row r="56">
          <cell r="AT56">
            <v>1.34429658611259</v>
          </cell>
          <cell r="AU56">
            <v>36.5504286532677</v>
          </cell>
        </row>
        <row r="56">
          <cell r="AW56">
            <v>1.76041958971057</v>
          </cell>
        </row>
        <row r="57">
          <cell r="O57">
            <v>32</v>
          </cell>
          <cell r="P57">
            <v>8.1</v>
          </cell>
        </row>
        <row r="57">
          <cell r="AA57">
            <v>120</v>
          </cell>
        </row>
        <row r="57">
          <cell r="AJ57">
            <v>31069.5837335599</v>
          </cell>
        </row>
        <row r="57">
          <cell r="AL57">
            <v>92.7066757489594</v>
          </cell>
        </row>
        <row r="57">
          <cell r="AQ57">
            <v>125.348308292271</v>
          </cell>
        </row>
        <row r="57">
          <cell r="AT57">
            <v>3.55993634876004</v>
          </cell>
          <cell r="AU57">
            <v>101.53212971674</v>
          </cell>
        </row>
        <row r="57">
          <cell r="AW57">
            <v>4.36749577054614</v>
          </cell>
        </row>
        <row r="58">
          <cell r="AJ58">
            <v>25868.7978783707</v>
          </cell>
        </row>
        <row r="58">
          <cell r="AL58">
            <v>82</v>
          </cell>
        </row>
        <row r="58">
          <cell r="AQ58">
            <v>96.23</v>
          </cell>
        </row>
        <row r="58">
          <cell r="AT58">
            <v>2.15091423766816</v>
          </cell>
          <cell r="AU58">
            <v>76.470783352218</v>
          </cell>
        </row>
        <row r="58">
          <cell r="AW58">
            <v>3.06873041691491</v>
          </cell>
        </row>
        <row r="59">
          <cell r="O59">
            <v>21</v>
          </cell>
          <cell r="P59">
            <v>8.3</v>
          </cell>
        </row>
        <row r="59">
          <cell r="AA59">
            <v>100</v>
          </cell>
        </row>
        <row r="59">
          <cell r="AJ59">
            <v>21092.7978783707</v>
          </cell>
        </row>
        <row r="59">
          <cell r="AL59">
            <v>74.1746076233184</v>
          </cell>
        </row>
        <row r="59">
          <cell r="AQ59">
            <v>85.9266162188423</v>
          </cell>
        </row>
        <row r="59">
          <cell r="AT59">
            <v>1.86920011210762</v>
          </cell>
          <cell r="AU59">
            <v>71.3190914616391</v>
          </cell>
        </row>
        <row r="59">
          <cell r="AW59">
            <v>2.50216924387177</v>
          </cell>
        </row>
        <row r="60">
          <cell r="O60">
            <v>30</v>
          </cell>
          <cell r="P60">
            <v>5</v>
          </cell>
        </row>
        <row r="60">
          <cell r="AA60">
            <v>100</v>
          </cell>
        </row>
        <row r="60">
          <cell r="AJ60">
            <v>4776</v>
          </cell>
        </row>
        <row r="60">
          <cell r="AL60">
            <v>7.82539237668161</v>
          </cell>
        </row>
        <row r="60">
          <cell r="AQ60">
            <v>10.3033837811577</v>
          </cell>
        </row>
        <row r="60">
          <cell r="AT60">
            <v>0.281714125560538</v>
          </cell>
          <cell r="AU60">
            <v>5.15169189057886</v>
          </cell>
        </row>
        <row r="60">
          <cell r="AW60">
            <v>0.56656117304314</v>
          </cell>
        </row>
        <row r="61">
          <cell r="O61">
            <v>30</v>
          </cell>
          <cell r="P61">
            <v>5</v>
          </cell>
        </row>
        <row r="61">
          <cell r="AA61">
            <v>100</v>
          </cell>
        </row>
        <row r="61">
          <cell r="AJ61">
            <v>4776</v>
          </cell>
        </row>
        <row r="61">
          <cell r="AL61">
            <v>7.82539237668161</v>
          </cell>
        </row>
        <row r="61">
          <cell r="AQ61">
            <v>10.3033837811577</v>
          </cell>
        </row>
        <row r="62">
          <cell r="O62">
            <v>30</v>
          </cell>
          <cell r="P62">
            <v>5</v>
          </cell>
        </row>
        <row r="62">
          <cell r="AA62">
            <v>100</v>
          </cell>
        </row>
        <row r="62">
          <cell r="AQ62">
            <v>0</v>
          </cell>
        </row>
        <row r="63">
          <cell r="O63">
            <v>21</v>
          </cell>
          <cell r="P63">
            <v>12</v>
          </cell>
        </row>
        <row r="63">
          <cell r="AA63">
            <v>100</v>
          </cell>
        </row>
        <row r="63">
          <cell r="AJ63">
            <v>14038</v>
          </cell>
        </row>
        <row r="63">
          <cell r="AL63">
            <v>113</v>
          </cell>
        </row>
        <row r="63">
          <cell r="AQ63">
            <v>106.22</v>
          </cell>
        </row>
        <row r="63">
          <cell r="AT63">
            <v>2.8476</v>
          </cell>
          <cell r="AU63">
            <v>127.464</v>
          </cell>
        </row>
        <row r="63">
          <cell r="AW63">
            <v>1.64445142857143</v>
          </cell>
        </row>
        <row r="64">
          <cell r="O64">
            <v>50</v>
          </cell>
          <cell r="P64">
            <v>6</v>
          </cell>
        </row>
        <row r="64">
          <cell r="AA64">
            <v>120</v>
          </cell>
        </row>
        <row r="64">
          <cell r="AJ64">
            <v>58</v>
          </cell>
        </row>
        <row r="64">
          <cell r="AL64">
            <v>2</v>
          </cell>
        </row>
        <row r="64">
          <cell r="AQ64">
            <v>2.2</v>
          </cell>
        </row>
        <row r="64">
          <cell r="AT64">
            <v>0.12</v>
          </cell>
          <cell r="AU64">
            <v>1.32</v>
          </cell>
        </row>
        <row r="64">
          <cell r="AW64">
            <v>0.00815314285714286</v>
          </cell>
        </row>
        <row r="65">
          <cell r="AA65">
            <v>120</v>
          </cell>
        </row>
        <row r="65">
          <cell r="AJ65">
            <v>38007.6232082163</v>
          </cell>
        </row>
        <row r="65">
          <cell r="AN65">
            <v>178285.895839472</v>
          </cell>
        </row>
        <row r="65">
          <cell r="AQ65">
            <v>235.260658792875</v>
          </cell>
        </row>
        <row r="65">
          <cell r="AT65">
            <v>6.84617840023572</v>
          </cell>
          <cell r="AU65">
            <v>148.695311667648</v>
          </cell>
        </row>
        <row r="65">
          <cell r="AW65">
            <v>5.34278589098355</v>
          </cell>
        </row>
        <row r="66">
          <cell r="O66">
            <v>32</v>
          </cell>
          <cell r="P66">
            <v>6</v>
          </cell>
        </row>
        <row r="66">
          <cell r="AA66">
            <v>120</v>
          </cell>
        </row>
        <row r="66">
          <cell r="AJ66">
            <v>27444.5600894045</v>
          </cell>
        </row>
        <row r="66">
          <cell r="AN66">
            <v>123319.93314546</v>
          </cell>
        </row>
        <row r="66">
          <cell r="AQ66">
            <v>173.479212502121</v>
          </cell>
        </row>
        <row r="66">
          <cell r="AT66">
            <v>4.73548543278567</v>
          </cell>
          <cell r="AU66">
            <v>104.087527501273</v>
          </cell>
        </row>
        <row r="66">
          <cell r="AW66">
            <v>3.857921018282</v>
          </cell>
        </row>
        <row r="67">
          <cell r="O67">
            <v>32</v>
          </cell>
          <cell r="P67">
            <v>7.1</v>
          </cell>
        </row>
        <row r="67">
          <cell r="AA67">
            <v>120</v>
          </cell>
        </row>
        <row r="67">
          <cell r="AJ67">
            <v>6492.62902689523</v>
          </cell>
        </row>
        <row r="67">
          <cell r="AN67">
            <v>32184.8962494777</v>
          </cell>
        </row>
        <row r="67">
          <cell r="AQ67">
            <v>46.9223002919489</v>
          </cell>
        </row>
        <row r="67">
          <cell r="AT67">
            <v>1.23590001597994</v>
          </cell>
          <cell r="AU67">
            <v>33.3148332072837</v>
          </cell>
        </row>
        <row r="67">
          <cell r="AW67">
            <v>0.912678137494986</v>
          </cell>
        </row>
        <row r="68">
          <cell r="O68">
            <v>32</v>
          </cell>
          <cell r="P68">
            <v>7.6</v>
          </cell>
        </row>
        <row r="68">
          <cell r="AA68">
            <v>120</v>
          </cell>
        </row>
        <row r="68">
          <cell r="AJ68">
            <v>4070.43409191665</v>
          </cell>
        </row>
        <row r="68">
          <cell r="AN68">
            <v>22781.0664445342</v>
          </cell>
        </row>
        <row r="68">
          <cell r="AQ68">
            <v>14.8591459988049</v>
          </cell>
        </row>
        <row r="68">
          <cell r="AT68">
            <v>0.874792951470112</v>
          </cell>
          <cell r="AU68">
            <v>11.2929509590917</v>
          </cell>
        </row>
        <row r="68">
          <cell r="AW68">
            <v>0.57218673520657</v>
          </cell>
        </row>
        <row r="69">
          <cell r="AQ69">
            <v>0</v>
          </cell>
        </row>
        <row r="69">
          <cell r="AT69">
            <v>0</v>
          </cell>
          <cell r="AU69">
            <v>0</v>
          </cell>
        </row>
        <row r="69">
          <cell r="AW69">
            <v>0</v>
          </cell>
        </row>
        <row r="84">
          <cell r="AJ84">
            <v>6123.6103208733</v>
          </cell>
        </row>
        <row r="84">
          <cell r="AL84">
            <v>2135.11947075882</v>
          </cell>
        </row>
        <row r="84">
          <cell r="AT84">
            <v>973.614478666021</v>
          </cell>
          <cell r="AU84">
            <v>3422.78983277438</v>
          </cell>
        </row>
        <row r="84">
          <cell r="AW84">
            <v>14.3707876274232</v>
          </cell>
        </row>
        <row r="85">
          <cell r="AJ85">
            <v>5906.50744293748</v>
          </cell>
        </row>
        <row r="85">
          <cell r="AL85">
            <v>2135.11947075882</v>
          </cell>
        </row>
        <row r="85">
          <cell r="AQ85">
            <v>4300.84260643587</v>
          </cell>
        </row>
        <row r="85">
          <cell r="AT85">
            <v>973.614478666021</v>
          </cell>
          <cell r="AU85">
            <v>3308.68703768747</v>
          </cell>
        </row>
        <row r="85">
          <cell r="AW85">
            <v>13.8612941768874</v>
          </cell>
        </row>
        <row r="86">
          <cell r="O86">
            <v>475</v>
          </cell>
          <cell r="P86">
            <v>7.65</v>
          </cell>
        </row>
        <row r="86">
          <cell r="AA86">
            <v>2000</v>
          </cell>
        </row>
        <row r="86">
          <cell r="AJ86">
            <v>4427.15315911346</v>
          </cell>
        </row>
        <row r="86">
          <cell r="AL86">
            <v>2135.11947075882</v>
          </cell>
        </row>
        <row r="86">
          <cell r="AQ86">
            <v>1395.13532380973</v>
          </cell>
        </row>
        <row r="86">
          <cell r="AT86">
            <v>973.614478666021</v>
          </cell>
          <cell r="AU86">
            <v>1067.27852271445</v>
          </cell>
        </row>
        <row r="86">
          <cell r="AW86">
            <v>10.3895699611764</v>
          </cell>
        </row>
        <row r="87">
          <cell r="O87">
            <v>100</v>
          </cell>
          <cell r="P87">
            <v>8</v>
          </cell>
        </row>
        <row r="87">
          <cell r="AA87">
            <v>2000</v>
          </cell>
        </row>
        <row r="87">
          <cell r="AJ87">
            <v>1274.25206748263</v>
          </cell>
        </row>
        <row r="87">
          <cell r="AQ87">
            <v>229.738568745072</v>
          </cell>
        </row>
        <row r="87">
          <cell r="AT87">
            <v>0</v>
          </cell>
          <cell r="AU87">
            <v>183.790854996057</v>
          </cell>
        </row>
        <row r="87">
          <cell r="AW87">
            <v>2.99039371972747</v>
          </cell>
        </row>
        <row r="88">
          <cell r="P88">
            <v>7.65</v>
          </cell>
        </row>
        <row r="88">
          <cell r="AA88">
            <v>2000</v>
          </cell>
        </row>
        <row r="88">
          <cell r="AQ88">
            <v>0.201155178571006</v>
          </cell>
        </row>
        <row r="88">
          <cell r="AT88">
            <v>0</v>
          </cell>
          <cell r="AU88">
            <v>0.15388371160682</v>
          </cell>
        </row>
        <row r="88">
          <cell r="AW88">
            <v>0</v>
          </cell>
        </row>
        <row r="89">
          <cell r="P89">
            <v>7.3</v>
          </cell>
        </row>
        <row r="89">
          <cell r="AA89">
            <v>2000</v>
          </cell>
        </row>
        <row r="89">
          <cell r="AQ89">
            <v>1.11045818108816</v>
          </cell>
        </row>
        <row r="89">
          <cell r="AT89">
            <v>0</v>
          </cell>
          <cell r="AU89">
            <v>0.810634472194357</v>
          </cell>
        </row>
        <row r="89">
          <cell r="AW89">
            <v>0</v>
          </cell>
        </row>
        <row r="90">
          <cell r="O90">
            <v>475</v>
          </cell>
          <cell r="P90">
            <v>8.6</v>
          </cell>
        </row>
        <row r="90">
          <cell r="AA90">
            <v>2000</v>
          </cell>
        </row>
        <row r="90">
          <cell r="AJ90">
            <v>205.102216341383</v>
          </cell>
        </row>
        <row r="90">
          <cell r="AQ90">
            <v>52.3274411007893</v>
          </cell>
        </row>
        <row r="90">
          <cell r="AT90">
            <v>0</v>
          </cell>
          <cell r="AU90">
            <v>45.0015993466788</v>
          </cell>
        </row>
        <row r="90">
          <cell r="AW90">
            <v>0.481330495983531</v>
          </cell>
        </row>
        <row r="91">
          <cell r="P91">
            <v>8.65</v>
          </cell>
        </row>
        <row r="91">
          <cell r="AA91">
            <v>2000</v>
          </cell>
        </row>
        <row r="91">
          <cell r="AJ91">
            <v>0</v>
          </cell>
        </row>
        <row r="91">
          <cell r="AQ91">
            <v>689.060946288132</v>
          </cell>
        </row>
        <row r="91">
          <cell r="AT91">
            <v>0</v>
          </cell>
          <cell r="AU91">
            <v>596.037718539234</v>
          </cell>
        </row>
        <row r="91">
          <cell r="AW91">
            <v>0</v>
          </cell>
        </row>
        <row r="92">
          <cell r="O92">
            <v>0</v>
          </cell>
          <cell r="P92">
            <v>8.65</v>
          </cell>
        </row>
        <row r="92">
          <cell r="AA92">
            <v>2000</v>
          </cell>
        </row>
        <row r="92">
          <cell r="AJ92">
            <v>0</v>
          </cell>
        </row>
        <row r="92">
          <cell r="AQ92">
            <v>649.95064837077</v>
          </cell>
        </row>
        <row r="92">
          <cell r="AU92">
            <v>562.207310840716</v>
          </cell>
        </row>
        <row r="92">
          <cell r="AW92">
            <v>0</v>
          </cell>
        </row>
        <row r="93">
          <cell r="P93">
            <v>6.65</v>
          </cell>
        </row>
        <row r="93">
          <cell r="AA93">
            <v>2000</v>
          </cell>
        </row>
        <row r="93">
          <cell r="AJ93">
            <v>0</v>
          </cell>
        </row>
        <row r="93">
          <cell r="AQ93">
            <v>1283.31806476171</v>
          </cell>
        </row>
        <row r="93">
          <cell r="AT93">
            <v>0</v>
          </cell>
          <cell r="AU93">
            <v>853.406513066539</v>
          </cell>
        </row>
        <row r="93">
          <cell r="AW93">
            <v>0</v>
          </cell>
        </row>
        <row r="94">
          <cell r="AJ94">
            <v>217.102877935825</v>
          </cell>
        </row>
        <row r="94">
          <cell r="AL94">
            <v>0</v>
          </cell>
        </row>
        <row r="94">
          <cell r="AQ94">
            <v>148.370105212614</v>
          </cell>
        </row>
        <row r="94">
          <cell r="AT94">
            <v>0</v>
          </cell>
          <cell r="AU94">
            <v>114.102795086903</v>
          </cell>
        </row>
        <row r="94">
          <cell r="AW94">
            <v>0.509493450535759</v>
          </cell>
        </row>
        <row r="95">
          <cell r="O95">
            <v>475</v>
          </cell>
          <cell r="P95">
            <v>7.65</v>
          </cell>
        </row>
        <row r="95">
          <cell r="AA95">
            <v>2000</v>
          </cell>
        </row>
        <row r="95">
          <cell r="AJ95">
            <v>217.102877935825</v>
          </cell>
        </row>
        <row r="95">
          <cell r="AQ95">
            <v>53.9790632276775</v>
          </cell>
        </row>
        <row r="95">
          <cell r="AT95">
            <v>0</v>
          </cell>
          <cell r="AU95">
            <v>41.2939833691733</v>
          </cell>
        </row>
        <row r="95">
          <cell r="AW95">
            <v>0.509493450535759</v>
          </cell>
        </row>
        <row r="96">
          <cell r="P96">
            <v>8.65</v>
          </cell>
        </row>
        <row r="96">
          <cell r="AA96">
            <v>2000</v>
          </cell>
        </row>
        <row r="96">
          <cell r="AQ96">
            <v>23.5773530924783</v>
          </cell>
        </row>
        <row r="96">
          <cell r="AT96">
            <v>0</v>
          </cell>
          <cell r="AU96">
            <v>20.3944104249938</v>
          </cell>
        </row>
        <row r="96">
          <cell r="AW96">
            <v>0</v>
          </cell>
        </row>
        <row r="97">
          <cell r="P97">
            <v>8.65</v>
          </cell>
        </row>
        <row r="97">
          <cell r="AA97">
            <v>2000</v>
          </cell>
        </row>
        <row r="97">
          <cell r="AQ97">
            <v>26.6164908962548</v>
          </cell>
        </row>
        <row r="97">
          <cell r="AT97">
            <v>0</v>
          </cell>
          <cell r="AU97">
            <v>23.0232646252604</v>
          </cell>
        </row>
        <row r="97">
          <cell r="AW97">
            <v>0</v>
          </cell>
        </row>
        <row r="98">
          <cell r="P98">
            <v>6.65</v>
          </cell>
        </row>
        <row r="98">
          <cell r="AA98">
            <v>2000</v>
          </cell>
        </row>
        <row r="98">
          <cell r="AQ98">
            <v>44.1971979962031</v>
          </cell>
        </row>
        <row r="98">
          <cell r="AT98">
            <v>0</v>
          </cell>
          <cell r="AU98">
            <v>29.3911366674751</v>
          </cell>
        </row>
        <row r="98">
          <cell r="AW98">
            <v>0</v>
          </cell>
        </row>
        <row r="99">
          <cell r="O99">
            <v>475</v>
          </cell>
          <cell r="P99">
            <v>7.65</v>
          </cell>
        </row>
        <row r="99">
          <cell r="AA99">
            <v>2000</v>
          </cell>
        </row>
        <row r="99">
          <cell r="AJ99">
            <v>0</v>
          </cell>
        </row>
        <row r="99">
          <cell r="AL99">
            <v>0</v>
          </cell>
        </row>
        <row r="99">
          <cell r="AQ99">
            <v>0.14</v>
          </cell>
        </row>
        <row r="99">
          <cell r="AT99">
            <v>0</v>
          </cell>
          <cell r="AU99">
            <v>0.1071</v>
          </cell>
        </row>
        <row r="99">
          <cell r="AW99">
            <v>0</v>
          </cell>
        </row>
        <row r="100">
          <cell r="AA100">
            <v>8000</v>
          </cell>
        </row>
        <row r="100">
          <cell r="AJ100">
            <v>0</v>
          </cell>
        </row>
        <row r="100">
          <cell r="AL100">
            <v>14.7137145555292</v>
          </cell>
        </row>
        <row r="100">
          <cell r="AQ100">
            <v>42.2072883515179</v>
          </cell>
        </row>
        <row r="100">
          <cell r="AT100">
            <v>6.70945383732131</v>
          </cell>
          <cell r="AU100">
            <v>32.5242010155615</v>
          </cell>
        </row>
        <row r="100">
          <cell r="AW100">
            <v>0</v>
          </cell>
        </row>
        <row r="101">
          <cell r="O101">
            <v>475</v>
          </cell>
          <cell r="P101">
            <v>7.65</v>
          </cell>
        </row>
        <row r="101">
          <cell r="AA101">
            <v>2000</v>
          </cell>
        </row>
        <row r="101">
          <cell r="AJ101">
            <v>0</v>
          </cell>
        </row>
        <row r="101">
          <cell r="AL101">
            <v>14.7137145555292</v>
          </cell>
        </row>
        <row r="101">
          <cell r="AQ101">
            <v>18.3314016804679</v>
          </cell>
        </row>
        <row r="101">
          <cell r="AT101">
            <v>6.70945383732131</v>
          </cell>
          <cell r="AU101">
            <v>14.023522285558</v>
          </cell>
        </row>
        <row r="101">
          <cell r="AW101">
            <v>0</v>
          </cell>
        </row>
        <row r="102">
          <cell r="P102">
            <v>8.65</v>
          </cell>
        </row>
        <row r="102">
          <cell r="AA102">
            <v>2000</v>
          </cell>
        </row>
        <row r="102">
          <cell r="AQ102">
            <v>6.1282942365454</v>
          </cell>
        </row>
        <row r="102">
          <cell r="AT102">
            <v>0</v>
          </cell>
          <cell r="AU102">
            <v>5.30097451461177</v>
          </cell>
        </row>
        <row r="102">
          <cell r="AW102">
            <v>0</v>
          </cell>
        </row>
        <row r="103">
          <cell r="P103">
            <v>8.65</v>
          </cell>
        </row>
        <row r="103">
          <cell r="AA103">
            <v>2000</v>
          </cell>
        </row>
        <row r="103">
          <cell r="AQ103">
            <v>6.98777623223095</v>
          </cell>
        </row>
        <row r="103">
          <cell r="AT103">
            <v>0</v>
          </cell>
          <cell r="AU103">
            <v>6.04442644087977</v>
          </cell>
        </row>
        <row r="103">
          <cell r="AW103">
            <v>0</v>
          </cell>
        </row>
        <row r="104">
          <cell r="P104">
            <v>6.65</v>
          </cell>
        </row>
        <row r="104">
          <cell r="AA104">
            <v>2000</v>
          </cell>
        </row>
        <row r="104">
          <cell r="AQ104">
            <v>10.7598162022737</v>
          </cell>
        </row>
        <row r="104">
          <cell r="AT104">
            <v>0</v>
          </cell>
          <cell r="AU104">
            <v>7.155277774512</v>
          </cell>
        </row>
        <row r="104">
          <cell r="AW104">
            <v>0</v>
          </cell>
        </row>
        <row r="105">
          <cell r="AJ105">
            <v>4829.02148835105</v>
          </cell>
        </row>
        <row r="105">
          <cell r="AL105">
            <v>1086.972639034</v>
          </cell>
        </row>
        <row r="105">
          <cell r="AQ105">
            <v>2334.22604197106</v>
          </cell>
        </row>
        <row r="105">
          <cell r="AT105">
            <v>495.659523399504</v>
          </cell>
          <cell r="AU105">
            <v>2076.0340338904</v>
          </cell>
        </row>
        <row r="105">
          <cell r="AW105">
            <v>11.2323057629155</v>
          </cell>
        </row>
        <row r="106">
          <cell r="O106">
            <v>475</v>
          </cell>
          <cell r="P106">
            <v>8.8</v>
          </cell>
        </row>
        <row r="106">
          <cell r="AA106">
            <v>2000</v>
          </cell>
        </row>
        <row r="106">
          <cell r="AJ106">
            <v>4829.02148835105</v>
          </cell>
        </row>
        <row r="106">
          <cell r="AL106">
            <v>1086.972639034</v>
          </cell>
        </row>
        <row r="106">
          <cell r="AQ106">
            <v>1029.39774207224</v>
          </cell>
        </row>
        <row r="106">
          <cell r="AT106">
            <v>495.659523399504</v>
          </cell>
          <cell r="AU106">
            <v>905.870013023574</v>
          </cell>
        </row>
        <row r="106">
          <cell r="AW106">
            <v>11.2323057629155</v>
          </cell>
        </row>
        <row r="107">
          <cell r="P107">
            <v>9.8</v>
          </cell>
        </row>
        <row r="107">
          <cell r="AA107">
            <v>2000</v>
          </cell>
        </row>
        <row r="107">
          <cell r="AQ107">
            <v>447.684689089997</v>
          </cell>
        </row>
        <row r="107">
          <cell r="AT107">
            <v>0</v>
          </cell>
          <cell r="AU107">
            <v>438.730995308197</v>
          </cell>
        </row>
        <row r="107">
          <cell r="AW107">
            <v>0</v>
          </cell>
        </row>
        <row r="108">
          <cell r="P108">
            <v>9.8</v>
          </cell>
        </row>
        <row r="108">
          <cell r="AA108">
            <v>2000</v>
          </cell>
        </row>
        <row r="108">
          <cell r="AQ108">
            <v>314.305045638752</v>
          </cell>
        </row>
        <row r="108">
          <cell r="AT108">
            <v>0</v>
          </cell>
          <cell r="AU108">
            <v>308.018944725977</v>
          </cell>
        </row>
        <row r="108">
          <cell r="AW108">
            <v>0</v>
          </cell>
        </row>
        <row r="109">
          <cell r="P109">
            <v>7.8</v>
          </cell>
        </row>
        <row r="109">
          <cell r="AA109">
            <v>2000</v>
          </cell>
        </row>
        <row r="109">
          <cell r="AQ109">
            <v>542.838565170065</v>
          </cell>
        </row>
        <row r="109">
          <cell r="AT109">
            <v>0</v>
          </cell>
          <cell r="AU109">
            <v>423.41408083265</v>
          </cell>
        </row>
        <row r="109">
          <cell r="AW109">
            <v>0</v>
          </cell>
        </row>
        <row r="110">
          <cell r="AA110">
            <v>8000</v>
          </cell>
        </row>
        <row r="110">
          <cell r="AJ110">
            <v>0</v>
          </cell>
        </row>
        <row r="110">
          <cell r="AL110">
            <v>0</v>
          </cell>
        </row>
        <row r="110">
          <cell r="AQ110">
            <v>0.264178744346467</v>
          </cell>
        </row>
        <row r="110">
          <cell r="AT110">
            <v>0</v>
          </cell>
          <cell r="AU110">
            <v>0.132249098158426</v>
          </cell>
        </row>
        <row r="110">
          <cell r="AW110">
            <v>0</v>
          </cell>
        </row>
        <row r="111">
          <cell r="O111">
            <v>260</v>
          </cell>
          <cell r="P111">
            <v>5</v>
          </cell>
        </row>
        <row r="111">
          <cell r="AA111">
            <v>2000</v>
          </cell>
        </row>
        <row r="111">
          <cell r="AQ111">
            <v>0.148723242786164</v>
          </cell>
        </row>
        <row r="111">
          <cell r="AT111">
            <v>0</v>
          </cell>
          <cell r="AU111">
            <v>0.0743616213930819</v>
          </cell>
        </row>
        <row r="111">
          <cell r="AW111">
            <v>0</v>
          </cell>
        </row>
        <row r="112">
          <cell r="P112">
            <v>6</v>
          </cell>
        </row>
        <row r="112">
          <cell r="AA112">
            <v>2000</v>
          </cell>
        </row>
        <row r="112">
          <cell r="AQ112">
            <v>0.0294488677389703</v>
          </cell>
        </row>
        <row r="112">
          <cell r="AT112">
            <v>0</v>
          </cell>
          <cell r="AU112">
            <v>0.0176693206433822</v>
          </cell>
        </row>
        <row r="112">
          <cell r="AW112">
            <v>0</v>
          </cell>
        </row>
        <row r="113">
          <cell r="P113">
            <v>6</v>
          </cell>
        </row>
        <row r="113">
          <cell r="AA113">
            <v>2000</v>
          </cell>
        </row>
        <row r="113">
          <cell r="AQ113">
            <v>0.029077512967143</v>
          </cell>
        </row>
        <row r="113">
          <cell r="AT113">
            <v>0</v>
          </cell>
          <cell r="AU113">
            <v>0.0174465077802858</v>
          </cell>
        </row>
        <row r="113">
          <cell r="AW113">
            <v>0</v>
          </cell>
        </row>
        <row r="114">
          <cell r="P114">
            <v>4</v>
          </cell>
        </row>
        <row r="114">
          <cell r="AA114">
            <v>2000</v>
          </cell>
        </row>
        <row r="114">
          <cell r="AQ114">
            <v>0.0569291208541895</v>
          </cell>
        </row>
        <row r="114">
          <cell r="AT114">
            <v>0</v>
          </cell>
          <cell r="AU114">
            <v>0.0227716483416758</v>
          </cell>
        </row>
        <row r="114">
          <cell r="AW114">
            <v>0</v>
          </cell>
        </row>
        <row r="115">
          <cell r="AJ115">
            <v>11.9166666666667</v>
          </cell>
        </row>
        <row r="115">
          <cell r="AL115">
            <v>1.40321141837645</v>
          </cell>
        </row>
        <row r="115">
          <cell r="AQ115">
            <v>5.27</v>
          </cell>
        </row>
        <row r="115">
          <cell r="AT115">
            <v>0.639864406779661</v>
          </cell>
          <cell r="AU115">
            <v>3.97531840363979</v>
          </cell>
        </row>
        <row r="115">
          <cell r="AW115">
            <v>0.0280374461277258</v>
          </cell>
        </row>
        <row r="116">
          <cell r="O116">
            <v>475</v>
          </cell>
          <cell r="P116">
            <v>8.5</v>
          </cell>
        </row>
        <row r="116">
          <cell r="AA116">
            <v>2000</v>
          </cell>
        </row>
        <row r="116">
          <cell r="AJ116">
            <v>11.9166666666667</v>
          </cell>
        </row>
        <row r="116">
          <cell r="AL116">
            <v>1.40321141837645</v>
          </cell>
        </row>
        <row r="116">
          <cell r="AQ116">
            <v>1.42423027803581</v>
          </cell>
        </row>
        <row r="116">
          <cell r="AT116">
            <v>0.639864406779661</v>
          </cell>
          <cell r="AU116">
            <v>1.21059573633044</v>
          </cell>
        </row>
        <row r="116">
          <cell r="AW116">
            <v>0.0280374461277258</v>
          </cell>
        </row>
        <row r="117">
          <cell r="P117">
            <v>9.5</v>
          </cell>
        </row>
        <row r="117">
          <cell r="AA117">
            <v>2000</v>
          </cell>
        </row>
        <row r="117">
          <cell r="AQ117">
            <v>1.19485043038249</v>
          </cell>
        </row>
        <row r="117">
          <cell r="AT117">
            <v>0</v>
          </cell>
          <cell r="AU117">
            <v>1.13510790886337</v>
          </cell>
        </row>
        <row r="117">
          <cell r="AW117">
            <v>0</v>
          </cell>
        </row>
        <row r="118">
          <cell r="P118">
            <v>9.5</v>
          </cell>
        </row>
        <row r="118">
          <cell r="AA118">
            <v>2000</v>
          </cell>
        </row>
        <row r="118">
          <cell r="AQ118">
            <v>0.626778549019815</v>
          </cell>
        </row>
        <row r="118">
          <cell r="AT118">
            <v>0</v>
          </cell>
          <cell r="AU118">
            <v>1.07258483970737</v>
          </cell>
        </row>
        <row r="118">
          <cell r="AW118">
            <v>0</v>
          </cell>
        </row>
        <row r="119">
          <cell r="P119">
            <v>7.5</v>
          </cell>
        </row>
        <row r="119">
          <cell r="AA119">
            <v>2000</v>
          </cell>
        </row>
        <row r="119">
          <cell r="AQ119">
            <v>2.02414074256188</v>
          </cell>
        </row>
        <row r="119">
          <cell r="AT119">
            <v>0</v>
          </cell>
          <cell r="AU119">
            <v>0.557029918738616</v>
          </cell>
        </row>
        <row r="119">
          <cell r="AW119">
            <v>0</v>
          </cell>
        </row>
        <row r="120">
          <cell r="AJ120">
            <v>134.722972972973</v>
          </cell>
        </row>
        <row r="120">
          <cell r="AL120">
            <v>51.510819358386</v>
          </cell>
        </row>
        <row r="120">
          <cell r="AQ120">
            <v>77.0475129545</v>
          </cell>
        </row>
        <row r="120">
          <cell r="AT120">
            <v>8.14514831104479</v>
          </cell>
          <cell r="AU120">
            <v>48.539933161335</v>
          </cell>
        </row>
        <row r="120">
          <cell r="AW120">
            <v>0.320295660854646</v>
          </cell>
        </row>
        <row r="121">
          <cell r="O121">
            <v>275</v>
          </cell>
          <cell r="P121">
            <v>6.3</v>
          </cell>
        </row>
        <row r="121">
          <cell r="AA121">
            <v>2000</v>
          </cell>
        </row>
        <row r="121">
          <cell r="AJ121">
            <v>134.722972972973</v>
          </cell>
        </row>
        <row r="121">
          <cell r="AL121">
            <v>51.510819358386</v>
          </cell>
        </row>
        <row r="121">
          <cell r="AQ121">
            <v>77.0475129545</v>
          </cell>
        </row>
        <row r="121">
          <cell r="AT121">
            <v>8.14514831104479</v>
          </cell>
          <cell r="AU121">
            <v>48.539933161335</v>
          </cell>
        </row>
        <row r="121">
          <cell r="AW121">
            <v>0.320295660854646</v>
          </cell>
        </row>
        <row r="124">
          <cell r="O124">
            <v>260</v>
          </cell>
          <cell r="P124">
            <v>7.3</v>
          </cell>
        </row>
        <row r="124">
          <cell r="AA124">
            <v>2000</v>
          </cell>
        </row>
        <row r="124">
          <cell r="AJ124">
            <v>230.093023255814</v>
          </cell>
        </row>
        <row r="124">
          <cell r="AL124">
            <v>98.017351997667</v>
          </cell>
        </row>
        <row r="124">
          <cell r="AQ124">
            <v>222.64</v>
          </cell>
        </row>
        <row r="124">
          <cell r="AT124">
            <v>24.4651310586177</v>
          </cell>
          <cell r="AU124">
            <v>162.5272</v>
          </cell>
        </row>
        <row r="124">
          <cell r="AW124">
            <v>0.5301892080099</v>
          </cell>
        </row>
        <row r="125">
          <cell r="O125">
            <v>500</v>
          </cell>
          <cell r="P125">
            <v>11.8</v>
          </cell>
        </row>
        <row r="125">
          <cell r="AA125">
            <v>2000</v>
          </cell>
        </row>
        <row r="125">
          <cell r="AJ125">
            <v>533.186991869919</v>
          </cell>
        </row>
        <row r="125">
          <cell r="AL125">
            <v>114.091646539519</v>
          </cell>
        </row>
        <row r="125">
          <cell r="AQ125">
            <v>169.72</v>
          </cell>
        </row>
        <row r="125">
          <cell r="AT125">
            <v>54.763990338969</v>
          </cell>
          <cell r="AU125">
            <v>200.2696</v>
          </cell>
        </row>
        <row r="125">
          <cell r="AW125">
            <v>1.24918095238095</v>
          </cell>
        </row>
        <row r="126">
          <cell r="P126">
            <v>4.84</v>
          </cell>
        </row>
        <row r="126">
          <cell r="AA126">
            <v>2000</v>
          </cell>
        </row>
        <row r="126">
          <cell r="AJ126">
            <v>0</v>
          </cell>
        </row>
        <row r="126">
          <cell r="AQ126">
            <v>0</v>
          </cell>
        </row>
        <row r="127">
          <cell r="O127">
            <v>100</v>
          </cell>
          <cell r="P127">
            <v>6</v>
          </cell>
        </row>
        <row r="127">
          <cell r="AA127">
            <v>2000</v>
          </cell>
        </row>
        <row r="127">
          <cell r="AJ127">
            <v>3</v>
          </cell>
        </row>
        <row r="127">
          <cell r="AL127">
            <v>3</v>
          </cell>
        </row>
        <row r="127">
          <cell r="AQ127">
            <v>6.71</v>
          </cell>
        </row>
        <row r="127">
          <cell r="AT127">
            <v>0.288</v>
          </cell>
          <cell r="AU127">
            <v>4.026</v>
          </cell>
        </row>
        <row r="127">
          <cell r="AW127">
            <v>0.0970285714285714</v>
          </cell>
        </row>
        <row r="128">
          <cell r="O128">
            <v>100</v>
          </cell>
          <cell r="P128">
            <v>6</v>
          </cell>
        </row>
        <row r="128">
          <cell r="AA128">
            <v>2000</v>
          </cell>
        </row>
        <row r="128">
          <cell r="AJ128">
            <v>3</v>
          </cell>
        </row>
        <row r="128">
          <cell r="AL128">
            <v>3</v>
          </cell>
        </row>
        <row r="128">
          <cell r="AQ128">
            <v>6.71</v>
          </cell>
        </row>
        <row r="128">
          <cell r="AT128">
            <v>0.288</v>
          </cell>
          <cell r="AU128">
            <v>4.026</v>
          </cell>
        </row>
        <row r="128">
          <cell r="AW128">
            <v>0.00702857142857143</v>
          </cell>
        </row>
        <row r="129">
          <cell r="P129">
            <v>7</v>
          </cell>
        </row>
        <row r="129">
          <cell r="AA129">
            <v>2000</v>
          </cell>
        </row>
        <row r="129">
          <cell r="AQ129">
            <v>0</v>
          </cell>
        </row>
        <row r="129">
          <cell r="AU129">
            <v>0</v>
          </cell>
        </row>
        <row r="129">
          <cell r="AW129">
            <v>0.03</v>
          </cell>
        </row>
        <row r="130">
          <cell r="P130">
            <v>7</v>
          </cell>
        </row>
        <row r="130">
          <cell r="AA130">
            <v>2000</v>
          </cell>
        </row>
        <row r="130">
          <cell r="AQ130">
            <v>0</v>
          </cell>
        </row>
        <row r="130">
          <cell r="AU130">
            <v>0</v>
          </cell>
        </row>
        <row r="130">
          <cell r="AW130">
            <v>0.03</v>
          </cell>
        </row>
        <row r="131">
          <cell r="P131">
            <v>5</v>
          </cell>
        </row>
        <row r="131">
          <cell r="AA131">
            <v>2000</v>
          </cell>
        </row>
        <row r="131">
          <cell r="AQ131">
            <v>0</v>
          </cell>
        </row>
        <row r="131">
          <cell r="AU131">
            <v>0</v>
          </cell>
        </row>
        <row r="131">
          <cell r="AW131">
            <v>0.03</v>
          </cell>
        </row>
        <row r="132">
          <cell r="AJ132">
            <v>123</v>
          </cell>
        </row>
        <row r="132">
          <cell r="AL132">
            <v>40.3104272844545</v>
          </cell>
        </row>
        <row r="132">
          <cell r="AQ132">
            <v>146.4724870455</v>
          </cell>
        </row>
        <row r="132">
          <cell r="AT132">
            <v>0</v>
          </cell>
          <cell r="AU132">
            <v>89.348217097755</v>
          </cell>
        </row>
        <row r="132">
          <cell r="AW132">
            <v>0.29242500678058</v>
          </cell>
        </row>
        <row r="133">
          <cell r="O133">
            <v>0</v>
          </cell>
          <cell r="P133">
            <v>6.1</v>
          </cell>
        </row>
        <row r="133">
          <cell r="AA133">
            <v>2000</v>
          </cell>
        </row>
        <row r="133">
          <cell r="AJ133">
            <v>123</v>
          </cell>
        </row>
        <row r="133">
          <cell r="AL133">
            <v>40.3104272844545</v>
          </cell>
        </row>
        <row r="133">
          <cell r="AQ133">
            <v>146.4724870455</v>
          </cell>
        </row>
        <row r="133">
          <cell r="AT133">
            <v>0</v>
          </cell>
          <cell r="AU133">
            <v>89.348217097755</v>
          </cell>
        </row>
        <row r="133">
          <cell r="AW133">
            <v>0.29242500678058</v>
          </cell>
        </row>
        <row r="134">
          <cell r="AA134">
            <v>2000</v>
          </cell>
        </row>
        <row r="149">
          <cell r="AJ149">
            <v>424.296063513067</v>
          </cell>
        </row>
        <row r="149">
          <cell r="AL149">
            <v>1574.66954189788</v>
          </cell>
        </row>
        <row r="149">
          <cell r="AT149">
            <v>718.049311105433</v>
          </cell>
          <cell r="AU149">
            <v>4307.23589877194</v>
          </cell>
        </row>
        <row r="149">
          <cell r="AW149">
            <v>1.75710405386135</v>
          </cell>
        </row>
        <row r="150">
          <cell r="AJ150">
            <v>419.932186569633</v>
          </cell>
        </row>
        <row r="150">
          <cell r="AL150">
            <v>1574.66954189788</v>
          </cell>
        </row>
        <row r="150">
          <cell r="AQ150">
            <v>5981.55826312116</v>
          </cell>
        </row>
        <row r="150">
          <cell r="AT150">
            <v>718.049311105433</v>
          </cell>
          <cell r="AU150">
            <v>4286.78988040776</v>
          </cell>
        </row>
        <row r="150">
          <cell r="AW150">
            <v>1.75710405386135</v>
          </cell>
        </row>
        <row r="151">
          <cell r="O151">
            <v>475</v>
          </cell>
          <cell r="P151">
            <v>7.15</v>
          </cell>
        </row>
        <row r="151">
          <cell r="AA151">
            <v>3500</v>
          </cell>
        </row>
        <row r="151">
          <cell r="AJ151">
            <v>418.932186569633</v>
          </cell>
        </row>
        <row r="151">
          <cell r="AL151">
            <v>1574.66954189788</v>
          </cell>
        </row>
        <row r="151">
          <cell r="AQ151">
            <v>2130.59613139861</v>
          </cell>
        </row>
        <row r="151">
          <cell r="AT151">
            <v>718.049311105433</v>
          </cell>
          <cell r="AU151">
            <v>1523.37623395</v>
          </cell>
        </row>
        <row r="151">
          <cell r="AW151">
            <v>1.75293980041808</v>
          </cell>
        </row>
        <row r="152">
          <cell r="O152">
            <v>0</v>
          </cell>
          <cell r="P152">
            <v>7.15</v>
          </cell>
        </row>
        <row r="152">
          <cell r="AA152">
            <v>3500</v>
          </cell>
        </row>
        <row r="152">
          <cell r="AJ152">
            <v>0</v>
          </cell>
        </row>
        <row r="152">
          <cell r="AQ152">
            <v>0.126241052534123</v>
          </cell>
        </row>
        <row r="152">
          <cell r="AT152">
            <v>0</v>
          </cell>
          <cell r="AU152">
            <v>0.0902623525618976</v>
          </cell>
        </row>
        <row r="152">
          <cell r="AW152">
            <v>0</v>
          </cell>
        </row>
        <row r="153">
          <cell r="O153">
            <v>0</v>
          </cell>
          <cell r="P153">
            <v>7.3</v>
          </cell>
        </row>
        <row r="153">
          <cell r="AA153">
            <v>3500</v>
          </cell>
        </row>
        <row r="153">
          <cell r="AJ153">
            <v>0</v>
          </cell>
        </row>
        <row r="153">
          <cell r="AQ153">
            <v>1.8422782671044</v>
          </cell>
        </row>
        <row r="153">
          <cell r="AT153">
            <v>0</v>
          </cell>
          <cell r="AU153">
            <v>1.34486313498621</v>
          </cell>
        </row>
        <row r="153">
          <cell r="AW153">
            <v>0</v>
          </cell>
        </row>
        <row r="154">
          <cell r="O154">
            <v>475</v>
          </cell>
          <cell r="P154">
            <v>7.9</v>
          </cell>
        </row>
        <row r="154">
          <cell r="AA154">
            <v>3500</v>
          </cell>
        </row>
        <row r="154">
          <cell r="AJ154">
            <v>1</v>
          </cell>
        </row>
        <row r="154">
          <cell r="AQ154">
            <v>2.67129740182411</v>
          </cell>
        </row>
        <row r="154">
          <cell r="AT154">
            <v>0</v>
          </cell>
          <cell r="AU154">
            <v>2.11032494744105</v>
          </cell>
        </row>
        <row r="154">
          <cell r="AW154">
            <v>0.00416425344326727</v>
          </cell>
        </row>
        <row r="155">
          <cell r="O155">
            <v>0</v>
          </cell>
          <cell r="P155">
            <v>8.15</v>
          </cell>
        </row>
        <row r="155">
          <cell r="AA155">
            <v>3500</v>
          </cell>
        </row>
        <row r="155">
          <cell r="AQ155">
            <v>1020.27061010427</v>
          </cell>
        </row>
        <row r="155">
          <cell r="AT155">
            <v>0</v>
          </cell>
          <cell r="AU155">
            <v>831.520547234984</v>
          </cell>
        </row>
        <row r="155">
          <cell r="AW155">
            <v>0</v>
          </cell>
        </row>
        <row r="156">
          <cell r="O156">
            <v>0</v>
          </cell>
          <cell r="P156">
            <v>8.15</v>
          </cell>
        </row>
        <row r="156">
          <cell r="AA156">
            <v>3500</v>
          </cell>
        </row>
        <row r="156">
          <cell r="AQ156">
            <v>951.629251381201</v>
          </cell>
        </row>
        <row r="156">
          <cell r="AT156">
            <v>0</v>
          </cell>
          <cell r="AU156">
            <v>775.577839875679</v>
          </cell>
        </row>
        <row r="156">
          <cell r="AW156">
            <v>0</v>
          </cell>
        </row>
        <row r="157">
          <cell r="P157">
            <v>6.15</v>
          </cell>
        </row>
        <row r="157">
          <cell r="AA157">
            <v>3500</v>
          </cell>
        </row>
        <row r="157">
          <cell r="AQ157">
            <v>1874.42245351562</v>
          </cell>
        </row>
        <row r="157">
          <cell r="AT157">
            <v>0</v>
          </cell>
          <cell r="AU157">
            <v>1152.7698089121</v>
          </cell>
        </row>
        <row r="157">
          <cell r="AW157">
            <v>0</v>
          </cell>
        </row>
        <row r="158">
          <cell r="AJ158">
            <v>4.36387694343367</v>
          </cell>
        </row>
        <row r="158">
          <cell r="AL158">
            <v>0</v>
          </cell>
        </row>
        <row r="158">
          <cell r="AQ158">
            <v>28.720649037328</v>
          </cell>
        </row>
        <row r="158">
          <cell r="AT158">
            <v>0</v>
          </cell>
          <cell r="AU158">
            <v>20.4460183641736</v>
          </cell>
        </row>
        <row r="158">
          <cell r="AW158">
            <v>0</v>
          </cell>
        </row>
        <row r="159">
          <cell r="O159">
            <v>475</v>
          </cell>
          <cell r="P159">
            <v>7.15</v>
          </cell>
        </row>
        <row r="159">
          <cell r="AA159">
            <v>3500</v>
          </cell>
        </row>
        <row r="159">
          <cell r="AJ159">
            <v>4.36387694343367</v>
          </cell>
        </row>
        <row r="159">
          <cell r="AQ159">
            <v>9.31672225348729</v>
          </cell>
        </row>
        <row r="159">
          <cell r="AT159">
            <v>0</v>
          </cell>
          <cell r="AU159">
            <v>6.66145641124341</v>
          </cell>
        </row>
        <row r="159">
          <cell r="AW159">
            <v>0.0181722895876883</v>
          </cell>
        </row>
        <row r="160">
          <cell r="P160">
            <v>8.15</v>
          </cell>
        </row>
        <row r="160">
          <cell r="AA160">
            <v>3500</v>
          </cell>
        </row>
        <row r="160">
          <cell r="AQ160">
            <v>4.6946360047211</v>
          </cell>
        </row>
        <row r="160">
          <cell r="AT160">
            <v>0</v>
          </cell>
          <cell r="AU160">
            <v>3.8261283438477</v>
          </cell>
        </row>
        <row r="160">
          <cell r="AW160">
            <v>0</v>
          </cell>
        </row>
        <row r="161">
          <cell r="P161">
            <v>8.15</v>
          </cell>
        </row>
        <row r="161">
          <cell r="AA161">
            <v>3500</v>
          </cell>
        </row>
        <row r="161">
          <cell r="AQ161">
            <v>4.56109889961993</v>
          </cell>
        </row>
        <row r="161">
          <cell r="AT161">
            <v>0</v>
          </cell>
          <cell r="AU161">
            <v>3.71729560319025</v>
          </cell>
        </row>
        <row r="161">
          <cell r="AW161">
            <v>0</v>
          </cell>
        </row>
        <row r="162">
          <cell r="P162">
            <v>6.15</v>
          </cell>
        </row>
        <row r="162">
          <cell r="AA162">
            <v>3500</v>
          </cell>
        </row>
        <row r="162">
          <cell r="AQ162">
            <v>10.1481918794996</v>
          </cell>
        </row>
        <row r="162">
          <cell r="AT162">
            <v>0</v>
          </cell>
          <cell r="AU162">
            <v>6.24113800589227</v>
          </cell>
        </row>
        <row r="162">
          <cell r="AW162">
            <v>0</v>
          </cell>
        </row>
        <row r="163">
          <cell r="O163">
            <v>475</v>
          </cell>
          <cell r="P163">
            <v>7.15</v>
          </cell>
        </row>
        <row r="163">
          <cell r="AA163">
            <v>3500</v>
          </cell>
        </row>
        <row r="163">
          <cell r="AJ163">
            <v>1</v>
          </cell>
        </row>
        <row r="163">
          <cell r="AL163">
            <v>15.5503512880562</v>
          </cell>
        </row>
        <row r="163">
          <cell r="AQ163">
            <v>0</v>
          </cell>
        </row>
        <row r="163">
          <cell r="AT163">
            <v>7.09096018735363</v>
          </cell>
          <cell r="AU163">
            <v>0</v>
          </cell>
        </row>
        <row r="163">
          <cell r="AW163">
            <v>0.0042</v>
          </cell>
        </row>
        <row r="164">
          <cell r="AA164">
            <v>14000</v>
          </cell>
        </row>
        <row r="164">
          <cell r="AJ164">
            <v>0</v>
          </cell>
        </row>
        <row r="164">
          <cell r="AL164">
            <v>12.1559149244853</v>
          </cell>
        </row>
        <row r="164">
          <cell r="AQ164">
            <v>61.8606520817098</v>
          </cell>
        </row>
        <row r="164">
          <cell r="AT164">
            <v>5.54309720556531</v>
          </cell>
          <cell r="AU164">
            <v>44.3494567464979</v>
          </cell>
        </row>
        <row r="164">
          <cell r="AW164">
            <v>0</v>
          </cell>
        </row>
        <row r="165">
          <cell r="O165">
            <v>475</v>
          </cell>
          <cell r="P165">
            <v>7.15</v>
          </cell>
        </row>
        <row r="165">
          <cell r="AA165">
            <v>3500</v>
          </cell>
        </row>
        <row r="165">
          <cell r="AJ165">
            <v>0</v>
          </cell>
        </row>
        <row r="165">
          <cell r="AL165">
            <v>12.1559149244853</v>
          </cell>
        </row>
        <row r="165">
          <cell r="AQ165">
            <v>24.630820364244</v>
          </cell>
        </row>
        <row r="165">
          <cell r="AT165">
            <v>5.54309720556531</v>
          </cell>
          <cell r="AU165">
            <v>17.6110365604345</v>
          </cell>
        </row>
        <row r="165">
          <cell r="AW165">
            <v>0</v>
          </cell>
        </row>
        <row r="166">
          <cell r="P166">
            <v>8.15</v>
          </cell>
        </row>
        <row r="166">
          <cell r="AA166">
            <v>3500</v>
          </cell>
        </row>
        <row r="166">
          <cell r="AQ166">
            <v>9.48843594821208</v>
          </cell>
        </row>
        <row r="166">
          <cell r="AT166">
            <v>0</v>
          </cell>
          <cell r="AU166">
            <v>7.73307529779285</v>
          </cell>
        </row>
        <row r="166">
          <cell r="AW166">
            <v>0</v>
          </cell>
        </row>
        <row r="167">
          <cell r="P167">
            <v>8.15</v>
          </cell>
        </row>
        <row r="167">
          <cell r="AA167">
            <v>3500</v>
          </cell>
        </row>
        <row r="167">
          <cell r="AQ167">
            <v>9.72193245089741</v>
          </cell>
        </row>
        <row r="167">
          <cell r="AT167">
            <v>0</v>
          </cell>
          <cell r="AU167">
            <v>7.92337494748139</v>
          </cell>
        </row>
        <row r="167">
          <cell r="AW167">
            <v>0</v>
          </cell>
        </row>
        <row r="168">
          <cell r="P168">
            <v>6.15</v>
          </cell>
        </row>
        <row r="168">
          <cell r="AA168">
            <v>3500</v>
          </cell>
        </row>
        <row r="168">
          <cell r="AQ168">
            <v>18.0194633183564</v>
          </cell>
        </row>
        <row r="168">
          <cell r="AT168">
            <v>0</v>
          </cell>
          <cell r="AU168">
            <v>11.0819699407892</v>
          </cell>
        </row>
        <row r="168">
          <cell r="AW168">
            <v>0</v>
          </cell>
        </row>
        <row r="169">
          <cell r="AA169">
            <v>3500</v>
          </cell>
        </row>
        <row r="169">
          <cell r="AJ169">
            <v>174</v>
          </cell>
        </row>
        <row r="169">
          <cell r="AL169">
            <v>515.939730389015</v>
          </cell>
        </row>
        <row r="169">
          <cell r="AQ169">
            <v>1617.95969129032</v>
          </cell>
        </row>
        <row r="169">
          <cell r="AT169">
            <v>235.268517057391</v>
          </cell>
          <cell r="AU169">
            <v>1308.13940559309</v>
          </cell>
        </row>
        <row r="169">
          <cell r="AW169">
            <v>0.721828301069792</v>
          </cell>
        </row>
        <row r="170">
          <cell r="O170">
            <v>475</v>
          </cell>
          <cell r="P170">
            <v>8</v>
          </cell>
        </row>
        <row r="170">
          <cell r="AA170">
            <v>3500</v>
          </cell>
        </row>
        <row r="170">
          <cell r="AJ170">
            <v>174</v>
          </cell>
        </row>
        <row r="170">
          <cell r="AL170">
            <v>515.939730389015</v>
          </cell>
        </row>
        <row r="170">
          <cell r="AQ170">
            <v>679.093682823812</v>
          </cell>
        </row>
        <row r="170">
          <cell r="AT170">
            <v>235.268517057391</v>
          </cell>
          <cell r="AU170">
            <v>543.27494625905</v>
          </cell>
        </row>
        <row r="170">
          <cell r="AW170">
            <v>0.721828301069792</v>
          </cell>
        </row>
        <row r="171">
          <cell r="P171">
            <v>9</v>
          </cell>
        </row>
        <row r="171">
          <cell r="AA171">
            <v>3500</v>
          </cell>
        </row>
        <row r="171">
          <cell r="AQ171">
            <v>291.176663041176</v>
          </cell>
        </row>
        <row r="171">
          <cell r="AT171">
            <v>0</v>
          </cell>
          <cell r="AU171">
            <v>262.058996737059</v>
          </cell>
        </row>
        <row r="171">
          <cell r="AW171">
            <v>0</v>
          </cell>
        </row>
        <row r="172">
          <cell r="P172">
            <v>9</v>
          </cell>
        </row>
        <row r="172">
          <cell r="AA172">
            <v>3500</v>
          </cell>
        </row>
        <row r="172">
          <cell r="AQ172">
            <v>247.114603996214</v>
          </cell>
        </row>
        <row r="172">
          <cell r="AT172">
            <v>0</v>
          </cell>
          <cell r="AU172">
            <v>222.403143596592</v>
          </cell>
        </row>
        <row r="172">
          <cell r="AW172">
            <v>0</v>
          </cell>
        </row>
        <row r="173">
          <cell r="P173">
            <v>7</v>
          </cell>
        </row>
        <row r="173">
          <cell r="AA173">
            <v>3500</v>
          </cell>
        </row>
        <row r="173">
          <cell r="AQ173">
            <v>400.574741429121</v>
          </cell>
        </row>
        <row r="173">
          <cell r="AT173">
            <v>0</v>
          </cell>
          <cell r="AU173">
            <v>280.402319000385</v>
          </cell>
        </row>
        <row r="173">
          <cell r="AW173">
            <v>0</v>
          </cell>
        </row>
        <row r="174">
          <cell r="O174">
            <v>475</v>
          </cell>
          <cell r="P174">
            <v>8</v>
          </cell>
        </row>
        <row r="174">
          <cell r="AA174">
            <v>3500</v>
          </cell>
        </row>
        <row r="174">
          <cell r="AJ174">
            <v>0</v>
          </cell>
        </row>
        <row r="174">
          <cell r="AQ174">
            <v>0</v>
          </cell>
        </row>
        <row r="174">
          <cell r="AT174">
            <v>0</v>
          </cell>
          <cell r="AU174">
            <v>0</v>
          </cell>
        </row>
        <row r="174">
          <cell r="AW174">
            <v>0</v>
          </cell>
        </row>
        <row r="175">
          <cell r="AA175">
            <v>14000</v>
          </cell>
        </row>
        <row r="175">
          <cell r="AJ175">
            <v>0</v>
          </cell>
        </row>
        <row r="175">
          <cell r="AL175">
            <v>0</v>
          </cell>
        </row>
        <row r="175">
          <cell r="AQ175">
            <v>2.21738254980643</v>
          </cell>
        </row>
        <row r="175">
          <cell r="AT175">
            <v>0</v>
          </cell>
          <cell r="AU175">
            <v>1.13243734528415</v>
          </cell>
        </row>
        <row r="175">
          <cell r="AW175">
            <v>0</v>
          </cell>
        </row>
        <row r="176">
          <cell r="O176">
            <v>260</v>
          </cell>
          <cell r="P176">
            <v>5</v>
          </cell>
        </row>
        <row r="176">
          <cell r="AA176">
            <v>3500</v>
          </cell>
        </row>
        <row r="176">
          <cell r="AQ176">
            <v>0.905694852573789</v>
          </cell>
        </row>
        <row r="176">
          <cell r="AT176">
            <v>0</v>
          </cell>
          <cell r="AU176">
            <v>0.452847426286894</v>
          </cell>
        </row>
        <row r="176">
          <cell r="AW176">
            <v>0</v>
          </cell>
        </row>
        <row r="177">
          <cell r="P177">
            <v>6</v>
          </cell>
        </row>
        <row r="177">
          <cell r="AA177">
            <v>3500</v>
          </cell>
        </row>
        <row r="177">
          <cell r="AQ177">
            <v>0.385663128881866</v>
          </cell>
        </row>
        <row r="177">
          <cell r="AT177">
            <v>0</v>
          </cell>
          <cell r="AU177">
            <v>0.231397877329119</v>
          </cell>
        </row>
        <row r="177">
          <cell r="AW177">
            <v>0</v>
          </cell>
        </row>
        <row r="178">
          <cell r="P178">
            <v>6</v>
          </cell>
        </row>
        <row r="178">
          <cell r="AA178">
            <v>3500</v>
          </cell>
        </row>
        <row r="178">
          <cell r="AQ178">
            <v>0.388911071639136</v>
          </cell>
        </row>
        <row r="178">
          <cell r="AT178">
            <v>0</v>
          </cell>
          <cell r="AU178">
            <v>0.233346642983482</v>
          </cell>
        </row>
        <row r="178">
          <cell r="AW178">
            <v>0</v>
          </cell>
        </row>
        <row r="179">
          <cell r="P179">
            <v>4</v>
          </cell>
        </row>
        <row r="179">
          <cell r="AA179">
            <v>3500</v>
          </cell>
        </row>
        <row r="179">
          <cell r="AQ179">
            <v>0.537113496711644</v>
          </cell>
        </row>
        <row r="179">
          <cell r="AT179">
            <v>0</v>
          </cell>
          <cell r="AU179">
            <v>0.214845398684658</v>
          </cell>
        </row>
        <row r="179">
          <cell r="AW179">
            <v>0</v>
          </cell>
        </row>
        <row r="180">
          <cell r="AQ180">
            <v>0</v>
          </cell>
        </row>
        <row r="180">
          <cell r="AT180">
            <v>0</v>
          </cell>
          <cell r="AU180">
            <v>0</v>
          </cell>
        </row>
        <row r="180">
          <cell r="AW180">
            <v>0</v>
          </cell>
        </row>
        <row r="181">
          <cell r="O181">
            <v>475</v>
          </cell>
          <cell r="P181">
            <v>7.85</v>
          </cell>
        </row>
        <row r="181">
          <cell r="AA181">
            <v>3500</v>
          </cell>
        </row>
        <row r="181">
          <cell r="AT181">
            <v>0</v>
          </cell>
          <cell r="AU181">
            <v>0</v>
          </cell>
        </row>
        <row r="181">
          <cell r="AW181">
            <v>0</v>
          </cell>
        </row>
        <row r="182">
          <cell r="P182">
            <v>8.85</v>
          </cell>
        </row>
        <row r="182">
          <cell r="AA182">
            <v>3500</v>
          </cell>
        </row>
        <row r="182">
          <cell r="AT182">
            <v>0</v>
          </cell>
          <cell r="AU182">
            <v>0</v>
          </cell>
        </row>
        <row r="182">
          <cell r="AW182">
            <v>0</v>
          </cell>
        </row>
        <row r="183">
          <cell r="P183">
            <v>8.85</v>
          </cell>
        </row>
        <row r="183">
          <cell r="AA183">
            <v>3500</v>
          </cell>
        </row>
        <row r="183">
          <cell r="AT183">
            <v>0</v>
          </cell>
          <cell r="AU183">
            <v>0</v>
          </cell>
        </row>
        <row r="183">
          <cell r="AW183">
            <v>0</v>
          </cell>
        </row>
        <row r="184">
          <cell r="P184">
            <v>6.85</v>
          </cell>
        </row>
        <row r="184">
          <cell r="AA184">
            <v>3500</v>
          </cell>
        </row>
        <row r="184">
          <cell r="AT184">
            <v>0</v>
          </cell>
          <cell r="AU184">
            <v>0</v>
          </cell>
        </row>
        <row r="184">
          <cell r="AW184">
            <v>0</v>
          </cell>
        </row>
        <row r="185">
          <cell r="AJ185">
            <v>20.1554054054054</v>
          </cell>
        </row>
        <row r="185">
          <cell r="AL185">
            <v>47.7301768985133</v>
          </cell>
        </row>
        <row r="185">
          <cell r="AQ185">
            <v>53.9945068682218</v>
          </cell>
        </row>
        <row r="185">
          <cell r="AT185">
            <v>7.54733422207742</v>
          </cell>
          <cell r="AU185">
            <v>34.0165393269798</v>
          </cell>
        </row>
        <row r="185">
          <cell r="AW185">
            <v>0.0822861310608423</v>
          </cell>
        </row>
        <row r="186">
          <cell r="O186">
            <v>275</v>
          </cell>
          <cell r="P186">
            <v>6.3</v>
          </cell>
        </row>
        <row r="186">
          <cell r="AA186">
            <v>3500</v>
          </cell>
        </row>
        <row r="186">
          <cell r="AJ186">
            <v>20.1554054054054</v>
          </cell>
        </row>
        <row r="186">
          <cell r="AL186">
            <v>47.7301768985133</v>
          </cell>
        </row>
        <row r="186">
          <cell r="AQ186">
            <v>53.9945068682218</v>
          </cell>
        </row>
        <row r="186">
          <cell r="AT186">
            <v>7.54733422207742</v>
          </cell>
          <cell r="AU186">
            <v>34.0165393269798</v>
          </cell>
        </row>
        <row r="186">
          <cell r="AW186">
            <v>0.0822861310608423</v>
          </cell>
        </row>
        <row r="187">
          <cell r="AJ187">
            <v>1</v>
          </cell>
        </row>
        <row r="187">
          <cell r="AL187">
            <v>4.44293015332198</v>
          </cell>
        </row>
        <row r="187">
          <cell r="AQ187">
            <v>0</v>
          </cell>
        </row>
        <row r="188">
          <cell r="AQ188">
            <v>0</v>
          </cell>
        </row>
        <row r="189">
          <cell r="O189">
            <v>260</v>
          </cell>
          <cell r="P189">
            <v>7.3</v>
          </cell>
        </row>
        <row r="189">
          <cell r="AA189">
            <v>3500</v>
          </cell>
        </row>
        <row r="189">
          <cell r="AJ189">
            <v>24.906976744186</v>
          </cell>
        </row>
        <row r="189">
          <cell r="AL189">
            <v>62.9826480023331</v>
          </cell>
        </row>
        <row r="189">
          <cell r="AQ189">
            <v>150.12</v>
          </cell>
        </row>
        <row r="189">
          <cell r="AT189">
            <v>15.7204689413823</v>
          </cell>
          <cell r="AU189">
            <v>109.5876</v>
          </cell>
        </row>
        <row r="189">
          <cell r="AW189">
            <v>0.0990709176701364</v>
          </cell>
        </row>
        <row r="190">
          <cell r="O190">
            <v>500</v>
          </cell>
          <cell r="P190">
            <v>11</v>
          </cell>
        </row>
        <row r="190">
          <cell r="AA190">
            <v>3500</v>
          </cell>
        </row>
        <row r="190">
          <cell r="AJ190">
            <v>8.8130081300813</v>
          </cell>
        </row>
        <row r="190">
          <cell r="AL190">
            <v>23.9083534604814</v>
          </cell>
        </row>
        <row r="190">
          <cell r="AQ190">
            <v>44.46</v>
          </cell>
        </row>
        <row r="190">
          <cell r="AT190">
            <v>11.4760096610311</v>
          </cell>
          <cell r="AU190">
            <v>48.906</v>
          </cell>
        </row>
        <row r="190">
          <cell r="AW190">
            <v>0.0361333333333333</v>
          </cell>
        </row>
        <row r="191">
          <cell r="AJ191">
            <v>13.7905405405405</v>
          </cell>
        </row>
        <row r="191">
          <cell r="AL191">
            <v>47.4859633725971</v>
          </cell>
        </row>
        <row r="191">
          <cell r="AQ191">
            <v>266.625493131778</v>
          </cell>
        </row>
        <row r="191">
          <cell r="AT191">
            <v>0</v>
          </cell>
          <cell r="AU191">
            <v>162.641550810385</v>
          </cell>
        </row>
        <row r="191">
          <cell r="AW191">
            <v>0.0563010370416289</v>
          </cell>
        </row>
        <row r="192">
          <cell r="O192">
            <v>0</v>
          </cell>
          <cell r="P192">
            <v>6.1</v>
          </cell>
        </row>
        <row r="192">
          <cell r="AA192">
            <v>3500</v>
          </cell>
        </row>
        <row r="192">
          <cell r="AJ192">
            <v>13.7905405405405</v>
          </cell>
        </row>
        <row r="192">
          <cell r="AL192">
            <v>47.4859633725971</v>
          </cell>
        </row>
        <row r="192">
          <cell r="AQ192">
            <v>266.625493131778</v>
          </cell>
        </row>
        <row r="192">
          <cell r="AT192">
            <v>0</v>
          </cell>
          <cell r="AU192">
            <v>162.641550810385</v>
          </cell>
        </row>
        <row r="192">
          <cell r="AW192">
            <v>0.0563010370416289</v>
          </cell>
        </row>
        <row r="193">
          <cell r="AA193">
            <v>3500</v>
          </cell>
        </row>
        <row r="208">
          <cell r="AJ208">
            <v>48.0026463777704</v>
          </cell>
        </row>
        <row r="208">
          <cell r="AL208">
            <v>675.417012004775</v>
          </cell>
        </row>
        <row r="208">
          <cell r="AQ208">
            <v>4759.99343954088</v>
          </cell>
        </row>
        <row r="208">
          <cell r="AT208">
            <v>307.990157474177</v>
          </cell>
          <cell r="AU208">
            <v>3155.61119090431</v>
          </cell>
        </row>
        <row r="208">
          <cell r="AW208">
            <v>0.304110858558894</v>
          </cell>
        </row>
        <row r="209">
          <cell r="O209">
            <v>475</v>
          </cell>
          <cell r="P209">
            <v>6.65</v>
          </cell>
        </row>
        <row r="209">
          <cell r="AA209">
            <v>5000</v>
          </cell>
        </row>
        <row r="209">
          <cell r="AJ209">
            <v>48.0026463777704</v>
          </cell>
        </row>
        <row r="209">
          <cell r="AL209">
            <v>675.417012004775</v>
          </cell>
        </row>
        <row r="209">
          <cell r="AQ209">
            <v>2201.19698734249</v>
          </cell>
        </row>
        <row r="209">
          <cell r="AT209">
            <v>307.990157474177</v>
          </cell>
          <cell r="AU209">
            <v>1463.79599658275</v>
          </cell>
        </row>
        <row r="209">
          <cell r="AW209">
            <v>0.304110858558894</v>
          </cell>
        </row>
        <row r="210">
          <cell r="P210">
            <v>6.65</v>
          </cell>
        </row>
        <row r="210">
          <cell r="AA210">
            <v>5000</v>
          </cell>
        </row>
        <row r="210">
          <cell r="AQ210">
            <v>0</v>
          </cell>
        </row>
        <row r="210">
          <cell r="AT210">
            <v>0</v>
          </cell>
          <cell r="AU210">
            <v>0</v>
          </cell>
        </row>
        <row r="210">
          <cell r="AW210">
            <v>0</v>
          </cell>
        </row>
        <row r="211">
          <cell r="P211">
            <v>7.3</v>
          </cell>
        </row>
        <row r="211">
          <cell r="AA211">
            <v>5000</v>
          </cell>
        </row>
        <row r="211">
          <cell r="AQ211">
            <v>0</v>
          </cell>
        </row>
        <row r="211">
          <cell r="AT211">
            <v>0</v>
          </cell>
          <cell r="AU211">
            <v>0</v>
          </cell>
        </row>
        <row r="211">
          <cell r="AW211">
            <v>0</v>
          </cell>
        </row>
        <row r="212">
          <cell r="O212">
            <v>475</v>
          </cell>
          <cell r="P212">
            <v>7.7</v>
          </cell>
        </row>
        <row r="212">
          <cell r="AA212">
            <v>5000</v>
          </cell>
        </row>
        <row r="212">
          <cell r="AT212">
            <v>0</v>
          </cell>
          <cell r="AU212">
            <v>0</v>
          </cell>
        </row>
        <row r="212">
          <cell r="AW212">
            <v>0</v>
          </cell>
        </row>
        <row r="213">
          <cell r="P213">
            <v>7.65</v>
          </cell>
        </row>
        <row r="213">
          <cell r="AA213">
            <v>5000</v>
          </cell>
        </row>
        <row r="213">
          <cell r="AQ213">
            <v>648.11135665373</v>
          </cell>
        </row>
        <row r="213">
          <cell r="AT213">
            <v>0</v>
          </cell>
          <cell r="AU213">
            <v>495.805187840103</v>
          </cell>
        </row>
        <row r="213">
          <cell r="AW213">
            <v>0</v>
          </cell>
        </row>
        <row r="214">
          <cell r="P214">
            <v>7.65</v>
          </cell>
        </row>
        <row r="214">
          <cell r="AA214">
            <v>5000</v>
          </cell>
        </row>
        <row r="214">
          <cell r="AQ214">
            <v>582.364637493587</v>
          </cell>
        </row>
        <row r="214">
          <cell r="AT214">
            <v>0</v>
          </cell>
          <cell r="AU214">
            <v>445.508947682594</v>
          </cell>
        </row>
        <row r="214">
          <cell r="AW214">
            <v>0</v>
          </cell>
        </row>
        <row r="215">
          <cell r="P215">
            <v>5.65</v>
          </cell>
        </row>
        <row r="215">
          <cell r="AA215">
            <v>5000</v>
          </cell>
        </row>
        <row r="215">
          <cell r="AQ215">
            <v>1328.32045805108</v>
          </cell>
        </row>
        <row r="215">
          <cell r="AT215">
            <v>0</v>
          </cell>
          <cell r="AU215">
            <v>750.501058798861</v>
          </cell>
        </row>
        <row r="215">
          <cell r="AW215">
            <v>0</v>
          </cell>
        </row>
        <row r="216">
          <cell r="O216">
            <v>475</v>
          </cell>
          <cell r="P216">
            <v>6.65</v>
          </cell>
        </row>
        <row r="216">
          <cell r="AA216">
            <v>5000</v>
          </cell>
        </row>
        <row r="216">
          <cell r="AJ216">
            <v>2</v>
          </cell>
        </row>
        <row r="216">
          <cell r="AL216">
            <v>67.4496487119438</v>
          </cell>
        </row>
        <row r="216">
          <cell r="AQ216">
            <v>181.2065</v>
          </cell>
        </row>
        <row r="216">
          <cell r="AT216">
            <v>30.7570398126464</v>
          </cell>
          <cell r="AU216">
            <v>120.5023225</v>
          </cell>
        </row>
        <row r="216">
          <cell r="AW216">
            <v>0.012</v>
          </cell>
        </row>
        <row r="217">
          <cell r="AA217">
            <v>20000</v>
          </cell>
        </row>
        <row r="217">
          <cell r="AJ217">
            <v>0</v>
          </cell>
        </row>
        <row r="217">
          <cell r="AL217">
            <v>150.924345858515</v>
          </cell>
        </row>
        <row r="217">
          <cell r="AQ217">
            <v>1380.88347531764</v>
          </cell>
        </row>
        <row r="217">
          <cell r="AT217">
            <v>68.821501711483</v>
          </cell>
          <cell r="AU217">
            <v>919.034650156581</v>
          </cell>
        </row>
        <row r="217">
          <cell r="AW217">
            <v>0</v>
          </cell>
        </row>
        <row r="218">
          <cell r="O218">
            <v>475</v>
          </cell>
          <cell r="P218">
            <v>6.65</v>
          </cell>
        </row>
        <row r="218">
          <cell r="AA218">
            <v>5000</v>
          </cell>
        </row>
        <row r="218">
          <cell r="AJ218">
            <v>0</v>
          </cell>
        </row>
        <row r="218">
          <cell r="AL218">
            <v>150.924345858515</v>
          </cell>
        </row>
        <row r="218">
          <cell r="AQ218">
            <v>468.058543847866</v>
          </cell>
        </row>
        <row r="218">
          <cell r="AT218">
            <v>68.821501711483</v>
          </cell>
          <cell r="AU218">
            <v>311.258931658831</v>
          </cell>
        </row>
        <row r="218">
          <cell r="AW218">
            <v>0</v>
          </cell>
        </row>
        <row r="219">
          <cell r="P219">
            <v>7.65</v>
          </cell>
        </row>
        <row r="219">
          <cell r="AA219">
            <v>5000</v>
          </cell>
        </row>
        <row r="219">
          <cell r="AQ219">
            <v>228.715826918976</v>
          </cell>
        </row>
        <row r="219">
          <cell r="AT219">
            <v>0</v>
          </cell>
          <cell r="AU219">
            <v>174.967607593016</v>
          </cell>
        </row>
        <row r="219">
          <cell r="AW219">
            <v>0</v>
          </cell>
        </row>
        <row r="220">
          <cell r="P220">
            <v>7.65</v>
          </cell>
        </row>
        <row r="220">
          <cell r="AA220">
            <v>5000</v>
          </cell>
        </row>
        <row r="220">
          <cell r="AQ220">
            <v>231.432334167668</v>
          </cell>
        </row>
        <row r="220">
          <cell r="AT220">
            <v>0</v>
          </cell>
          <cell r="AU220">
            <v>177.045735638266</v>
          </cell>
        </row>
        <row r="220">
          <cell r="AW220">
            <v>0</v>
          </cell>
        </row>
        <row r="221">
          <cell r="P221">
            <v>5.65</v>
          </cell>
        </row>
        <row r="221">
          <cell r="AA221">
            <v>5000</v>
          </cell>
        </row>
        <row r="221">
          <cell r="AQ221">
            <v>452.67677038313</v>
          </cell>
        </row>
        <row r="221">
          <cell r="AT221">
            <v>0</v>
          </cell>
          <cell r="AU221">
            <v>255.762375266468</v>
          </cell>
        </row>
        <row r="221">
          <cell r="AW221">
            <v>0</v>
          </cell>
        </row>
        <row r="222">
          <cell r="AJ222">
            <v>4.53110156073287</v>
          </cell>
        </row>
        <row r="222">
          <cell r="AL222">
            <v>20.0876305769858</v>
          </cell>
        </row>
        <row r="222">
          <cell r="AQ222">
            <v>61.3754926841118</v>
          </cell>
        </row>
        <row r="222">
          <cell r="AT222">
            <v>9.15995954310553</v>
          </cell>
          <cell r="AU222">
            <v>48.3289618582509</v>
          </cell>
        </row>
        <row r="222">
          <cell r="AW222">
            <v>0.0271866093643972</v>
          </cell>
        </row>
        <row r="223">
          <cell r="O223">
            <v>475</v>
          </cell>
          <cell r="P223">
            <v>7.8</v>
          </cell>
        </row>
        <row r="223">
          <cell r="AA223">
            <v>5000</v>
          </cell>
        </row>
        <row r="223">
          <cell r="AJ223">
            <v>4.53110156073287</v>
          </cell>
        </row>
        <row r="223">
          <cell r="AL223">
            <v>20.0876305769858</v>
          </cell>
        </row>
        <row r="223">
          <cell r="AQ223">
            <v>28.6437601284902</v>
          </cell>
        </row>
        <row r="223">
          <cell r="AT223">
            <v>9.15995954310553</v>
          </cell>
          <cell r="AU223">
            <v>22.3421329002223</v>
          </cell>
        </row>
        <row r="223">
          <cell r="AW223">
            <v>0.0271866093643972</v>
          </cell>
        </row>
        <row r="224">
          <cell r="P224">
            <v>8.8</v>
          </cell>
        </row>
        <row r="224">
          <cell r="AA224">
            <v>5000</v>
          </cell>
        </row>
        <row r="224">
          <cell r="AQ224">
            <v>8.93540127772087</v>
          </cell>
        </row>
        <row r="224">
          <cell r="AT224">
            <v>0</v>
          </cell>
          <cell r="AU224">
            <v>7.86315312439437</v>
          </cell>
        </row>
        <row r="224">
          <cell r="AW224">
            <v>0</v>
          </cell>
        </row>
        <row r="225">
          <cell r="P225">
            <v>8.8</v>
          </cell>
        </row>
        <row r="225">
          <cell r="AA225">
            <v>5000</v>
          </cell>
        </row>
        <row r="225">
          <cell r="AQ225">
            <v>9.71085282330852</v>
          </cell>
        </row>
        <row r="225">
          <cell r="AT225">
            <v>0</v>
          </cell>
          <cell r="AU225">
            <v>8.5455504845115</v>
          </cell>
        </row>
        <row r="225">
          <cell r="AW225">
            <v>0</v>
          </cell>
        </row>
        <row r="226">
          <cell r="P226">
            <v>6.8</v>
          </cell>
        </row>
        <row r="226">
          <cell r="AA226">
            <v>5000</v>
          </cell>
        </row>
        <row r="226">
          <cell r="AQ226">
            <v>14.0854784545922</v>
          </cell>
        </row>
        <row r="226">
          <cell r="AT226">
            <v>0</v>
          </cell>
          <cell r="AU226">
            <v>9.57812534912273</v>
          </cell>
        </row>
        <row r="226">
          <cell r="AW226">
            <v>0</v>
          </cell>
        </row>
        <row r="227">
          <cell r="AQ227">
            <v>0</v>
          </cell>
        </row>
        <row r="227">
          <cell r="AT227">
            <v>0</v>
          </cell>
          <cell r="AU227">
            <v>0</v>
          </cell>
        </row>
        <row r="227">
          <cell r="AW227">
            <v>0</v>
          </cell>
        </row>
        <row r="228">
          <cell r="O228">
            <v>260</v>
          </cell>
          <cell r="P228">
            <v>5</v>
          </cell>
        </row>
        <row r="228">
          <cell r="AA228">
            <v>5000</v>
          </cell>
        </row>
        <row r="228">
          <cell r="AQ228">
            <v>0</v>
          </cell>
        </row>
        <row r="228">
          <cell r="AT228">
            <v>0</v>
          </cell>
          <cell r="AU228">
            <v>0</v>
          </cell>
        </row>
        <row r="228">
          <cell r="AW228">
            <v>0</v>
          </cell>
        </row>
        <row r="229">
          <cell r="P229">
            <v>6</v>
          </cell>
        </row>
        <row r="229">
          <cell r="AA229">
            <v>5000</v>
          </cell>
        </row>
        <row r="229">
          <cell r="AQ229">
            <v>0</v>
          </cell>
        </row>
        <row r="229">
          <cell r="AT229">
            <v>0</v>
          </cell>
          <cell r="AU229">
            <v>0</v>
          </cell>
        </row>
        <row r="229">
          <cell r="AW229">
            <v>0</v>
          </cell>
        </row>
        <row r="230">
          <cell r="P230">
            <v>6</v>
          </cell>
        </row>
        <row r="230">
          <cell r="AA230">
            <v>5000</v>
          </cell>
        </row>
        <row r="230">
          <cell r="AQ230">
            <v>0</v>
          </cell>
        </row>
        <row r="230">
          <cell r="AT230">
            <v>0</v>
          </cell>
          <cell r="AU230">
            <v>0</v>
          </cell>
        </row>
        <row r="230">
          <cell r="AW230">
            <v>0</v>
          </cell>
        </row>
        <row r="231">
          <cell r="P231">
            <v>4</v>
          </cell>
        </row>
        <row r="231">
          <cell r="AA231">
            <v>5000</v>
          </cell>
        </row>
        <row r="231">
          <cell r="AQ231">
            <v>0</v>
          </cell>
        </row>
        <row r="231">
          <cell r="AT231">
            <v>0</v>
          </cell>
          <cell r="AU231">
            <v>0</v>
          </cell>
        </row>
        <row r="231">
          <cell r="AW231">
            <v>0</v>
          </cell>
        </row>
        <row r="232">
          <cell r="AJ232">
            <v>1</v>
          </cell>
        </row>
        <row r="232">
          <cell r="AL232">
            <v>11.5967885816235</v>
          </cell>
        </row>
        <row r="232">
          <cell r="AQ232">
            <v>73.73</v>
          </cell>
        </row>
        <row r="232">
          <cell r="AT232">
            <v>5.28813559322034</v>
          </cell>
          <cell r="AU232">
            <v>54.871054814338</v>
          </cell>
        </row>
        <row r="232">
          <cell r="AW232">
            <v>0.006</v>
          </cell>
        </row>
        <row r="233">
          <cell r="O233">
            <v>475</v>
          </cell>
          <cell r="P233">
            <v>7.45</v>
          </cell>
        </row>
        <row r="233">
          <cell r="AA233">
            <v>5000</v>
          </cell>
        </row>
        <row r="233">
          <cell r="AJ233">
            <v>1</v>
          </cell>
        </row>
        <row r="233">
          <cell r="AL233">
            <v>11.5967885816235</v>
          </cell>
        </row>
        <row r="233">
          <cell r="AQ233">
            <v>21.5140316157615</v>
          </cell>
        </row>
        <row r="233">
          <cell r="AT233">
            <v>5.28813559322034</v>
          </cell>
          <cell r="AU233">
            <v>16.0279535537423</v>
          </cell>
        </row>
        <row r="233">
          <cell r="AW233">
            <v>0.006</v>
          </cell>
        </row>
        <row r="234">
          <cell r="P234">
            <v>8.45</v>
          </cell>
        </row>
        <row r="234">
          <cell r="AA234">
            <v>5000</v>
          </cell>
        </row>
        <row r="234">
          <cell r="AQ234">
            <v>15.3401143396855</v>
          </cell>
        </row>
        <row r="234">
          <cell r="AT234">
            <v>0</v>
          </cell>
          <cell r="AU234">
            <v>12.9623966170342</v>
          </cell>
        </row>
        <row r="234">
          <cell r="AW234">
            <v>0</v>
          </cell>
        </row>
        <row r="235">
          <cell r="P235">
            <v>8.45</v>
          </cell>
        </row>
        <row r="235">
          <cell r="AA235">
            <v>5000</v>
          </cell>
        </row>
        <row r="235">
          <cell r="AQ235">
            <v>10.4788939241235</v>
          </cell>
        </row>
        <row r="235">
          <cell r="AT235">
            <v>0</v>
          </cell>
          <cell r="AU235">
            <v>8.8546653658844</v>
          </cell>
        </row>
        <row r="235">
          <cell r="AW235">
            <v>0</v>
          </cell>
        </row>
        <row r="236">
          <cell r="P236">
            <v>6.45</v>
          </cell>
        </row>
        <row r="236">
          <cell r="AA236">
            <v>5000</v>
          </cell>
        </row>
        <row r="236">
          <cell r="AQ236">
            <v>26.3969601204294</v>
          </cell>
        </row>
        <row r="236">
          <cell r="AT236">
            <v>0</v>
          </cell>
          <cell r="AU236">
            <v>17.026039277677</v>
          </cell>
        </row>
        <row r="236">
          <cell r="AW236">
            <v>0</v>
          </cell>
        </row>
        <row r="237">
          <cell r="AJ237">
            <v>20.1554054054054</v>
          </cell>
        </row>
        <row r="237">
          <cell r="AL237">
            <v>1795.6833872946</v>
          </cell>
        </row>
        <row r="237">
          <cell r="AQ237">
            <v>1987.24042578501</v>
          </cell>
        </row>
        <row r="237">
          <cell r="AT237">
            <v>283.942435615959</v>
          </cell>
          <cell r="AU237">
            <v>1251.96146824456</v>
          </cell>
        </row>
        <row r="237">
          <cell r="AW237">
            <v>0.115402288294932</v>
          </cell>
        </row>
        <row r="238">
          <cell r="O238">
            <v>275</v>
          </cell>
          <cell r="P238">
            <v>6.3</v>
          </cell>
        </row>
        <row r="238">
          <cell r="AA238">
            <v>5000</v>
          </cell>
        </row>
        <row r="238">
          <cell r="AJ238">
            <v>20.1554054054054</v>
          </cell>
        </row>
        <row r="238">
          <cell r="AL238">
            <v>1795.6833872946</v>
          </cell>
        </row>
        <row r="238">
          <cell r="AQ238">
            <v>1987.24042578501</v>
          </cell>
        </row>
        <row r="238">
          <cell r="AT238">
            <v>283.942435615959</v>
          </cell>
          <cell r="AU238">
            <v>1251.96146824456</v>
          </cell>
        </row>
        <row r="238">
          <cell r="AW238">
            <v>0.115402288294932</v>
          </cell>
        </row>
        <row r="239">
          <cell r="O239">
            <v>275</v>
          </cell>
          <cell r="P239">
            <v>6.3</v>
          </cell>
        </row>
        <row r="239">
          <cell r="AA239">
            <v>5000</v>
          </cell>
        </row>
        <row r="239">
          <cell r="AJ239">
            <v>0</v>
          </cell>
        </row>
        <row r="239">
          <cell r="AU239">
            <v>0</v>
          </cell>
        </row>
        <row r="239">
          <cell r="AW239">
            <v>0</v>
          </cell>
        </row>
        <row r="240">
          <cell r="AJ240">
            <v>18.75</v>
          </cell>
        </row>
        <row r="240">
          <cell r="AL240">
            <v>158.557069846678</v>
          </cell>
        </row>
        <row r="240">
          <cell r="AQ240">
            <v>578.14</v>
          </cell>
        </row>
        <row r="240">
          <cell r="AT240">
            <v>72.3020238500852</v>
          </cell>
          <cell r="AU240">
            <v>290.882255997683</v>
          </cell>
        </row>
        <row r="240">
          <cell r="AW240">
            <v>0.106953064811212</v>
          </cell>
        </row>
        <row r="241">
          <cell r="O241">
            <v>475</v>
          </cell>
          <cell r="P241">
            <v>5.05</v>
          </cell>
        </row>
        <row r="241">
          <cell r="AA241">
            <v>5000</v>
          </cell>
        </row>
        <row r="241">
          <cell r="AJ241">
            <v>13.75</v>
          </cell>
        </row>
        <row r="241">
          <cell r="AL241">
            <v>134.954003407155</v>
          </cell>
        </row>
        <row r="241">
          <cell r="AQ241">
            <v>470.295599768328</v>
          </cell>
        </row>
        <row r="241">
          <cell r="AT241">
            <v>61.5390255536627</v>
          </cell>
          <cell r="AU241">
            <v>237.499277883006</v>
          </cell>
        </row>
        <row r="241">
          <cell r="AW241">
            <v>0.0784322475282224</v>
          </cell>
        </row>
        <row r="242">
          <cell r="AA242">
            <v>5000</v>
          </cell>
        </row>
        <row r="242">
          <cell r="AT242">
            <v>0</v>
          </cell>
          <cell r="AU242">
            <v>0</v>
          </cell>
        </row>
        <row r="242">
          <cell r="AW242">
            <v>0</v>
          </cell>
        </row>
        <row r="243">
          <cell r="O243">
            <v>475</v>
          </cell>
          <cell r="P243">
            <v>4.95</v>
          </cell>
        </row>
        <row r="243">
          <cell r="AA243">
            <v>5000</v>
          </cell>
        </row>
        <row r="243">
          <cell r="AJ243">
            <v>5</v>
          </cell>
        </row>
        <row r="243">
          <cell r="AL243">
            <v>23.603066439523</v>
          </cell>
        </row>
        <row r="243">
          <cell r="AQ243">
            <v>107.844400231672</v>
          </cell>
        </row>
        <row r="243">
          <cell r="AT243">
            <v>10.7629982964225</v>
          </cell>
          <cell r="AU243">
            <v>53.3829781146774</v>
          </cell>
        </row>
        <row r="243">
          <cell r="AW243">
            <v>0.02852081728299</v>
          </cell>
        </row>
        <row r="244">
          <cell r="O244">
            <v>475</v>
          </cell>
          <cell r="P244">
            <v>4.95</v>
          </cell>
        </row>
        <row r="244">
          <cell r="AA244">
            <v>5000</v>
          </cell>
        </row>
        <row r="244">
          <cell r="AT244">
            <v>0</v>
          </cell>
          <cell r="AU244">
            <v>0</v>
          </cell>
        </row>
        <row r="244">
          <cell r="AW244">
            <v>0</v>
          </cell>
        </row>
        <row r="245">
          <cell r="O245">
            <v>260</v>
          </cell>
          <cell r="P245">
            <v>7.3</v>
          </cell>
        </row>
        <row r="245">
          <cell r="AA245">
            <v>5000</v>
          </cell>
        </row>
        <row r="245">
          <cell r="AJ245">
            <v>0</v>
          </cell>
        </row>
        <row r="245">
          <cell r="AL245">
            <v>0</v>
          </cell>
        </row>
        <row r="245">
          <cell r="AQ245">
            <v>0</v>
          </cell>
        </row>
        <row r="245">
          <cell r="AT245">
            <v>0</v>
          </cell>
          <cell r="AU245">
            <v>0</v>
          </cell>
        </row>
        <row r="245">
          <cell r="AW245">
            <v>0</v>
          </cell>
        </row>
        <row r="246">
          <cell r="O246">
            <v>500</v>
          </cell>
          <cell r="P246">
            <v>10.8</v>
          </cell>
        </row>
        <row r="246">
          <cell r="AA246">
            <v>5000</v>
          </cell>
        </row>
        <row r="246">
          <cell r="AJ246">
            <v>0</v>
          </cell>
        </row>
        <row r="246">
          <cell r="AL246">
            <v>0</v>
          </cell>
        </row>
        <row r="246">
          <cell r="AQ246">
            <v>0</v>
          </cell>
        </row>
        <row r="246">
          <cell r="AT246">
            <v>0</v>
          </cell>
          <cell r="AU246">
            <v>0</v>
          </cell>
        </row>
        <row r="246">
          <cell r="AW246">
            <v>0</v>
          </cell>
        </row>
        <row r="247">
          <cell r="AJ247">
            <v>2</v>
          </cell>
        </row>
        <row r="247">
          <cell r="AL247">
            <v>70.2792257914437</v>
          </cell>
        </row>
        <row r="247">
          <cell r="AQ247">
            <v>315.069574214991</v>
          </cell>
        </row>
        <row r="247">
          <cell r="AT247">
            <v>0</v>
          </cell>
          <cell r="AU247">
            <v>192.192440271145</v>
          </cell>
        </row>
        <row r="247">
          <cell r="AW247">
            <v>0.0114512495257458</v>
          </cell>
        </row>
        <row r="248">
          <cell r="O248">
            <v>0</v>
          </cell>
          <cell r="P248">
            <v>6.1</v>
          </cell>
        </row>
        <row r="248">
          <cell r="AA248">
            <v>5000</v>
          </cell>
        </row>
        <row r="248">
          <cell r="AJ248">
            <v>2</v>
          </cell>
        </row>
        <row r="248">
          <cell r="AL248">
            <v>70.2792257914437</v>
          </cell>
        </row>
        <row r="248">
          <cell r="AQ248">
            <v>315.069574214991</v>
          </cell>
        </row>
        <row r="248">
          <cell r="AT248">
            <v>0</v>
          </cell>
          <cell r="AU248">
            <v>192.192440271145</v>
          </cell>
        </row>
        <row r="248">
          <cell r="AW248">
            <v>0.0114512495257458</v>
          </cell>
        </row>
      </sheetData>
      <sheetData sheetId="12"/>
      <sheetData sheetId="13">
        <row r="10">
          <cell r="AI10">
            <v>7864340.90844773</v>
          </cell>
        </row>
        <row r="10">
          <cell r="AK10">
            <v>11855.6050362866</v>
          </cell>
        </row>
        <row r="23">
          <cell r="AI23">
            <v>1160533.68831829</v>
          </cell>
        </row>
        <row r="23">
          <cell r="AK23">
            <v>3896.66042509697</v>
          </cell>
        </row>
        <row r="36">
          <cell r="AI36">
            <v>47473.3333333333</v>
          </cell>
        </row>
        <row r="36">
          <cell r="AM36">
            <v>1670394.85243255</v>
          </cell>
        </row>
        <row r="43">
          <cell r="AI43">
            <v>4719.71154900694</v>
          </cell>
        </row>
        <row r="43">
          <cell r="AM43">
            <v>21035.640627451</v>
          </cell>
        </row>
        <row r="46">
          <cell r="AI46">
            <v>1364827.9974685</v>
          </cell>
        </row>
        <row r="46">
          <cell r="AM46">
            <v>7894037.32739744</v>
          </cell>
        </row>
        <row r="54">
          <cell r="AI54">
            <v>77487.9778969368</v>
          </cell>
        </row>
        <row r="54">
          <cell r="AK54">
            <v>190.595125864255</v>
          </cell>
        </row>
        <row r="58">
          <cell r="AI58">
            <v>25276.7090702111</v>
          </cell>
        </row>
        <row r="58">
          <cell r="AK58">
            <v>76.271974700028</v>
          </cell>
        </row>
        <row r="63">
          <cell r="AI63">
            <v>13369.5238095238</v>
          </cell>
        </row>
        <row r="63">
          <cell r="AK63">
            <v>107.619047619048</v>
          </cell>
        </row>
        <row r="64">
          <cell r="AI64">
            <v>55.2380952380952</v>
          </cell>
        </row>
        <row r="64">
          <cell r="AK64">
            <v>1.9047619047619</v>
          </cell>
        </row>
        <row r="65">
          <cell r="AI65">
            <v>36197.7363887775</v>
          </cell>
        </row>
        <row r="65">
          <cell r="AM65">
            <v>169857.755087711</v>
          </cell>
        </row>
        <row r="84">
          <cell r="AK84">
            <v>1997.36609222792</v>
          </cell>
        </row>
        <row r="85">
          <cell r="AI85">
            <v>5644.57103780205</v>
          </cell>
        </row>
        <row r="94">
          <cell r="AI94">
            <v>207.474997510641</v>
          </cell>
        </row>
        <row r="99">
          <cell r="AI99">
            <v>0</v>
          </cell>
        </row>
        <row r="99">
          <cell r="AK99">
            <v>0</v>
          </cell>
        </row>
        <row r="100">
          <cell r="AK100">
            <v>13.7644169080102</v>
          </cell>
        </row>
        <row r="105">
          <cell r="AI105">
            <v>4531.23331407853</v>
          </cell>
        </row>
        <row r="105">
          <cell r="AK105">
            <v>1024.37162655513</v>
          </cell>
        </row>
        <row r="110">
          <cell r="AI110">
            <v>0</v>
          </cell>
        </row>
        <row r="110">
          <cell r="AK110">
            <v>0</v>
          </cell>
        </row>
        <row r="115">
          <cell r="AI115">
            <v>11.4478717731049</v>
          </cell>
        </row>
        <row r="115">
          <cell r="AK115">
            <v>1.36192061771592</v>
          </cell>
        </row>
        <row r="120">
          <cell r="AI120">
            <v>132.190077739232</v>
          </cell>
        </row>
        <row r="120">
          <cell r="AK120">
            <v>48.2202444151422</v>
          </cell>
        </row>
        <row r="124">
          <cell r="AI124">
            <v>211.731316752436</v>
          </cell>
        </row>
        <row r="124">
          <cell r="AK124">
            <v>93.3498590453971</v>
          </cell>
        </row>
        <row r="125">
          <cell r="AI125">
            <v>507.797135114208</v>
          </cell>
        </row>
        <row r="125">
          <cell r="AK125">
            <v>108.658710990018</v>
          </cell>
        </row>
        <row r="126">
          <cell r="AI126">
            <v>0</v>
          </cell>
        </row>
        <row r="126">
          <cell r="AK126">
            <v>0</v>
          </cell>
        </row>
        <row r="127">
          <cell r="AI127">
            <v>2.85714285714286</v>
          </cell>
        </row>
        <row r="127">
          <cell r="AK127">
            <v>2.85714285714286</v>
          </cell>
        </row>
        <row r="132">
          <cell r="AI132">
            <v>120.687505650483</v>
          </cell>
        </row>
        <row r="132">
          <cell r="AK132">
            <v>37.7353472599881</v>
          </cell>
        </row>
        <row r="149">
          <cell r="AI149">
            <v>421.073623843617</v>
          </cell>
        </row>
        <row r="149">
          <cell r="AK149">
            <v>1529.79666913212</v>
          </cell>
        </row>
        <row r="163">
          <cell r="AI163">
            <v>1</v>
          </cell>
        </row>
        <row r="163">
          <cell r="AK163">
            <v>15.5503512880562</v>
          </cell>
        </row>
        <row r="164">
          <cell r="AK164">
            <v>11.695260580612</v>
          </cell>
        </row>
        <row r="169">
          <cell r="AI169">
            <v>169.727762414186</v>
          </cell>
        </row>
        <row r="169">
          <cell r="AK169">
            <v>480.543647371744</v>
          </cell>
        </row>
        <row r="180">
          <cell r="AI180">
            <v>0</v>
          </cell>
        </row>
        <row r="180">
          <cell r="AK180">
            <v>0</v>
          </cell>
        </row>
        <row r="185">
          <cell r="AI185">
            <v>19.028466528329</v>
          </cell>
        </row>
        <row r="185">
          <cell r="AK185">
            <v>45.4573113319174</v>
          </cell>
        </row>
        <row r="187">
          <cell r="AI187">
            <v>1</v>
          </cell>
        </row>
        <row r="187">
          <cell r="AK187">
            <v>4.44293015332198</v>
          </cell>
        </row>
        <row r="188">
          <cell r="AI188">
            <v>0</v>
          </cell>
        </row>
        <row r="188">
          <cell r="AK188">
            <v>0</v>
          </cell>
        </row>
        <row r="189">
          <cell r="AI189">
            <v>22.2696507177837</v>
          </cell>
        </row>
        <row r="189">
          <cell r="AK189">
            <v>59.9834742879362</v>
          </cell>
        </row>
        <row r="190">
          <cell r="AI190">
            <v>8.3933410762679</v>
          </cell>
        </row>
        <row r="190">
          <cell r="AK190">
            <v>22.7698604385537</v>
          </cell>
        </row>
        <row r="191">
          <cell r="AI191">
            <v>13.0194770983304</v>
          </cell>
        </row>
        <row r="191">
          <cell r="AK191">
            <v>45.224727021521</v>
          </cell>
        </row>
        <row r="208">
          <cell r="AI208">
            <v>53.3676398085277</v>
          </cell>
        </row>
        <row r="208">
          <cell r="AK208">
            <v>755.835930459964</v>
          </cell>
        </row>
        <row r="216">
          <cell r="AI216">
            <v>2</v>
          </cell>
        </row>
        <row r="216">
          <cell r="AK216">
            <v>67.4496487119438</v>
          </cell>
        </row>
        <row r="217">
          <cell r="AK217">
            <v>137.163833043146</v>
          </cell>
        </row>
        <row r="222">
          <cell r="AI222">
            <v>4.53110156073287</v>
          </cell>
        </row>
        <row r="222">
          <cell r="AK222">
            <v>19.6689020141194</v>
          </cell>
        </row>
        <row r="227">
          <cell r="AK227">
            <v>0</v>
          </cell>
        </row>
        <row r="232">
          <cell r="AI232">
            <v>1</v>
          </cell>
        </row>
        <row r="232">
          <cell r="AK232">
            <v>11.5967885816235</v>
          </cell>
        </row>
        <row r="237">
          <cell r="AI237">
            <v>18.3120240262386</v>
          </cell>
        </row>
        <row r="237">
          <cell r="AK237">
            <v>1710.17465456629</v>
          </cell>
        </row>
        <row r="240">
          <cell r="AI240">
            <v>16.9010216037375</v>
          </cell>
        </row>
        <row r="240">
          <cell r="AK240">
            <v>144.755108619325</v>
          </cell>
        </row>
        <row r="247">
          <cell r="AI247">
            <v>1.81708317524861</v>
          </cell>
        </row>
        <row r="247">
          <cell r="AK247">
            <v>66.9325959918511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Addl.loads TSSPDCL"/>
      <sheetName val="Consumers&amp;Connected load"/>
      <sheetName val="CAGR-Sales"/>
      <sheetName val="FY12-13 Actual Sales"/>
      <sheetName val="FY13-14 Actual Sales"/>
      <sheetName val="FY14-15 Actual Sales"/>
      <sheetName val="FY15-16 Actual Sales"/>
      <sheetName val="FY16-17 Actual Sales"/>
      <sheetName val="FY17-18 Actual Sales"/>
      <sheetName val="FY18-19 Actual Sales "/>
      <sheetName val="FY19-20 Actual Sales"/>
      <sheetName val="FY20-21 Actual Sales "/>
      <sheetName val="FY21-22 Actual Sales "/>
      <sheetName val="FY22-23 Actual Sales"/>
      <sheetName val="HMR Loads"/>
      <sheetName val="FY23-24 H1 Actual Sales "/>
      <sheetName val="FY23-24 Projections"/>
      <sheetName val="FY24-25 Projections"/>
      <sheetName val="Deration_COVID"/>
      <sheetName val="Abstract of Load Derated&amp;Restor"/>
      <sheetName val="FY21-22 Actual (Rev)"/>
      <sheetName val="FY22-23 Rev(Current Tariff) (F)"/>
      <sheetName val="FY22-23 proj Rev"/>
      <sheetName val="FY23-24 Rev(Current Tariff)"/>
      <sheetName val="EV"/>
      <sheetName val="Industrial Loads 23-24"/>
      <sheetName val="Additional Loads "/>
      <sheetName val="Railway Traction"/>
      <sheetName val="Industrial Loads"/>
      <sheetName val="LIS Loads"/>
      <sheetName val="SPDCL LIS 22-23"/>
      <sheetName val="LIS Revised"/>
      <sheetName val="Existing LIS"/>
      <sheetName val="Existing EV Services"/>
      <sheetName val="Existing Services"/>
      <sheetName val="Agl Projection"/>
      <sheetName val="Form 4a"/>
      <sheetName val="HMWSSB Sales"/>
      <sheetName val="FY21-22 Rev(Proposed Tariff)"/>
      <sheetName val="CSS"/>
      <sheetName val="AS"/>
      <sheetName val="OA Sales excl. captive 20-21"/>
      <sheetName val="OA Sales 19-20"/>
      <sheetName val="Weighted Average PP cost"/>
      <sheetName val="CSS SPDCL (CT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E8">
            <v>8636.2</v>
          </cell>
        </row>
        <row r="21">
          <cell r="E21">
            <v>2724.92024</v>
          </cell>
        </row>
        <row r="34">
          <cell r="F34">
            <v>1251270</v>
          </cell>
        </row>
        <row r="41">
          <cell r="F41">
            <v>16360</v>
          </cell>
        </row>
        <row r="44">
          <cell r="F44">
            <v>5668800</v>
          </cell>
        </row>
        <row r="52">
          <cell r="E52">
            <v>163.49172</v>
          </cell>
          <cell r="F52">
            <v>161360</v>
          </cell>
        </row>
        <row r="61">
          <cell r="E61">
            <v>58.88</v>
          </cell>
        </row>
        <row r="66">
          <cell r="E66">
            <v>37.65</v>
          </cell>
        </row>
        <row r="67">
          <cell r="E67">
            <v>0.05</v>
          </cell>
        </row>
        <row r="76">
          <cell r="E76">
            <v>1254.01879</v>
          </cell>
        </row>
        <row r="77">
          <cell r="E77">
            <v>100.24211</v>
          </cell>
        </row>
        <row r="80">
          <cell r="E80">
            <v>44.99</v>
          </cell>
        </row>
        <row r="84">
          <cell r="E84">
            <v>42.07666</v>
          </cell>
        </row>
        <row r="88">
          <cell r="E88">
            <v>15.2845</v>
          </cell>
        </row>
        <row r="93">
          <cell r="E93">
            <v>850.20017</v>
          </cell>
        </row>
        <row r="97">
          <cell r="E97">
            <v>1.69</v>
          </cell>
        </row>
        <row r="101">
          <cell r="E101">
            <v>47.5072</v>
          </cell>
        </row>
        <row r="102">
          <cell r="E102">
            <v>40.22</v>
          </cell>
        </row>
        <row r="103">
          <cell r="E103">
            <v>65.856</v>
          </cell>
        </row>
        <row r="104">
          <cell r="E104">
            <v>54.888</v>
          </cell>
        </row>
        <row r="105">
          <cell r="E105">
            <v>2.5</v>
          </cell>
        </row>
        <row r="108">
          <cell r="E108">
            <v>1125.117</v>
          </cell>
        </row>
        <row r="111">
          <cell r="E111">
            <v>2.55</v>
          </cell>
        </row>
        <row r="115">
          <cell r="E115">
            <v>3.351</v>
          </cell>
        </row>
        <row r="119">
          <cell r="E119">
            <v>10.65</v>
          </cell>
        </row>
        <row r="123">
          <cell r="E123">
            <v>8</v>
          </cell>
        </row>
        <row r="124">
          <cell r="E124">
            <v>338.432</v>
          </cell>
        </row>
        <row r="132">
          <cell r="E132">
            <v>42.91</v>
          </cell>
        </row>
        <row r="133">
          <cell r="E133">
            <v>43.75</v>
          </cell>
        </row>
        <row r="134">
          <cell r="E134">
            <v>43.805</v>
          </cell>
        </row>
        <row r="135">
          <cell r="E135">
            <v>12.352</v>
          </cell>
        </row>
        <row r="138">
          <cell r="E138">
            <v>460.144</v>
          </cell>
        </row>
        <row r="145">
          <cell r="E145">
            <v>136.9</v>
          </cell>
        </row>
        <row r="149">
          <cell r="E149">
            <v>45.2</v>
          </cell>
        </row>
        <row r="150">
          <cell r="E150">
            <v>17.07</v>
          </cell>
        </row>
        <row r="154">
          <cell r="E154">
            <v>15</v>
          </cell>
        </row>
        <row r="158">
          <cell r="E158">
            <v>960.4078</v>
          </cell>
        </row>
        <row r="159">
          <cell r="E159">
            <v>64.75</v>
          </cell>
        </row>
        <row r="160">
          <cell r="E160">
            <v>96</v>
          </cell>
        </row>
        <row r="161">
          <cell r="E161">
            <v>17.25</v>
          </cell>
        </row>
      </sheetData>
      <sheetData sheetId="11">
        <row r="8">
          <cell r="E8">
            <v>9301.48</v>
          </cell>
        </row>
        <row r="21">
          <cell r="E21">
            <v>2860.64</v>
          </cell>
        </row>
        <row r="34">
          <cell r="F34">
            <v>1286350</v>
          </cell>
        </row>
        <row r="41">
          <cell r="F41">
            <v>16740</v>
          </cell>
        </row>
        <row r="44">
          <cell r="F44">
            <v>5898650</v>
          </cell>
        </row>
        <row r="52">
          <cell r="E52">
            <v>162.25022</v>
          </cell>
          <cell r="F52">
            <v>145659.85</v>
          </cell>
        </row>
        <row r="61">
          <cell r="E61">
            <v>62.42</v>
          </cell>
        </row>
        <row r="66">
          <cell r="E66">
            <v>59.95</v>
          </cell>
        </row>
        <row r="67">
          <cell r="E67">
            <v>0.38</v>
          </cell>
        </row>
        <row r="76">
          <cell r="E76">
            <v>1334.44138</v>
          </cell>
        </row>
        <row r="77">
          <cell r="E77">
            <v>118.58802</v>
          </cell>
        </row>
        <row r="80">
          <cell r="E80">
            <v>47.304</v>
          </cell>
        </row>
        <row r="84">
          <cell r="E84">
            <v>46.59491</v>
          </cell>
        </row>
        <row r="88">
          <cell r="E88">
            <v>12.4695</v>
          </cell>
        </row>
        <row r="90">
          <cell r="E90">
            <v>829.75967</v>
          </cell>
        </row>
        <row r="94">
          <cell r="E94">
            <v>1.935</v>
          </cell>
        </row>
        <row r="98">
          <cell r="E98">
            <v>48.1282</v>
          </cell>
        </row>
        <row r="99">
          <cell r="E99">
            <v>39.385</v>
          </cell>
        </row>
        <row r="100">
          <cell r="E100">
            <v>77.136</v>
          </cell>
        </row>
        <row r="101">
          <cell r="E101">
            <v>65.217</v>
          </cell>
        </row>
        <row r="102">
          <cell r="E102">
            <v>2.6</v>
          </cell>
        </row>
        <row r="105">
          <cell r="E105">
            <v>1140.275</v>
          </cell>
        </row>
        <row r="108">
          <cell r="E108">
            <v>1.55</v>
          </cell>
        </row>
        <row r="112">
          <cell r="E112">
            <v>3.151</v>
          </cell>
        </row>
        <row r="116">
          <cell r="E116">
            <v>8.15</v>
          </cell>
        </row>
        <row r="117">
          <cell r="E117">
            <v>4</v>
          </cell>
        </row>
        <row r="118">
          <cell r="E118">
            <v>360.123</v>
          </cell>
        </row>
        <row r="126">
          <cell r="E126">
            <v>42.91</v>
          </cell>
        </row>
        <row r="127">
          <cell r="E127">
            <v>43.75</v>
          </cell>
        </row>
        <row r="128">
          <cell r="E128">
            <v>51.705</v>
          </cell>
        </row>
        <row r="129">
          <cell r="E129">
            <v>15.402</v>
          </cell>
        </row>
        <row r="132">
          <cell r="E132">
            <v>497.172</v>
          </cell>
        </row>
        <row r="139">
          <cell r="E139">
            <v>136.9</v>
          </cell>
        </row>
        <row r="140">
          <cell r="E140">
            <v>25.2</v>
          </cell>
        </row>
        <row r="141">
          <cell r="E141">
            <v>17.07</v>
          </cell>
        </row>
        <row r="145">
          <cell r="E145">
            <v>11</v>
          </cell>
        </row>
        <row r="149">
          <cell r="E149">
            <v>1450.4078</v>
          </cell>
        </row>
        <row r="150">
          <cell r="E150">
            <v>64.75</v>
          </cell>
        </row>
        <row r="151">
          <cell r="E151">
            <v>95.5</v>
          </cell>
        </row>
        <row r="152">
          <cell r="E152">
            <v>18.25</v>
          </cell>
        </row>
      </sheetData>
      <sheetData sheetId="12">
        <row r="8">
          <cell r="E8">
            <v>10066.61028</v>
          </cell>
        </row>
        <row r="21">
          <cell r="E21">
            <v>3227.92177</v>
          </cell>
        </row>
        <row r="34">
          <cell r="E34">
            <v>0</v>
          </cell>
          <cell r="F34">
            <v>1323170</v>
          </cell>
        </row>
        <row r="41">
          <cell r="E41">
            <v>0</v>
          </cell>
          <cell r="F41">
            <v>17150</v>
          </cell>
        </row>
        <row r="44">
          <cell r="E44">
            <v>0</v>
          </cell>
          <cell r="F44">
            <v>6257330</v>
          </cell>
        </row>
        <row r="52">
          <cell r="E52">
            <v>166.69863</v>
          </cell>
          <cell r="F52">
            <v>147940</v>
          </cell>
        </row>
        <row r="61">
          <cell r="E61">
            <v>65.41</v>
          </cell>
        </row>
        <row r="66">
          <cell r="E66">
            <v>87.51</v>
          </cell>
        </row>
        <row r="67">
          <cell r="E67">
            <v>0.87</v>
          </cell>
        </row>
        <row r="76">
          <cell r="E76">
            <v>1578.9538</v>
          </cell>
        </row>
        <row r="88">
          <cell r="E88">
            <v>12.4495</v>
          </cell>
        </row>
        <row r="93">
          <cell r="E93">
            <v>884.88667</v>
          </cell>
        </row>
        <row r="97">
          <cell r="E97">
            <v>1.815</v>
          </cell>
        </row>
        <row r="101">
          <cell r="E101">
            <v>46.9432</v>
          </cell>
        </row>
        <row r="102">
          <cell r="E102">
            <v>38.317</v>
          </cell>
        </row>
        <row r="103">
          <cell r="E103">
            <v>85.437</v>
          </cell>
        </row>
        <row r="104">
          <cell r="E104">
            <v>76.162</v>
          </cell>
        </row>
        <row r="105">
          <cell r="E105">
            <v>2.6</v>
          </cell>
        </row>
        <row r="108">
          <cell r="E108">
            <v>1185.015</v>
          </cell>
        </row>
        <row r="119">
          <cell r="E119">
            <v>10.15</v>
          </cell>
        </row>
        <row r="123">
          <cell r="E123">
            <v>8</v>
          </cell>
        </row>
        <row r="124">
          <cell r="E124">
            <v>384.044</v>
          </cell>
        </row>
        <row r="132">
          <cell r="E132">
            <v>44.91</v>
          </cell>
        </row>
        <row r="133">
          <cell r="E133">
            <v>43.75</v>
          </cell>
        </row>
        <row r="134">
          <cell r="E134">
            <v>53.205</v>
          </cell>
        </row>
        <row r="135">
          <cell r="E135">
            <v>17.802</v>
          </cell>
        </row>
        <row r="138">
          <cell r="E138">
            <v>550.994</v>
          </cell>
        </row>
        <row r="145">
          <cell r="E145">
            <v>143.2</v>
          </cell>
        </row>
        <row r="149">
          <cell r="E149">
            <v>53.7</v>
          </cell>
        </row>
        <row r="150">
          <cell r="E150">
            <v>17.57</v>
          </cell>
        </row>
        <row r="154">
          <cell r="E154">
            <v>11</v>
          </cell>
        </row>
        <row r="158">
          <cell r="E158">
            <v>1450.4078</v>
          </cell>
        </row>
        <row r="159">
          <cell r="E159">
            <v>64.75</v>
          </cell>
        </row>
        <row r="160">
          <cell r="E160">
            <v>107</v>
          </cell>
        </row>
        <row r="161">
          <cell r="E161">
            <v>18.25</v>
          </cell>
        </row>
      </sheetData>
      <sheetData sheetId="13">
        <row r="8">
          <cell r="D8">
            <v>7443356</v>
          </cell>
          <cell r="E8">
            <v>10879.19117</v>
          </cell>
        </row>
        <row r="8">
          <cell r="S8">
            <v>9952.10895307</v>
          </cell>
        </row>
        <row r="9">
          <cell r="D9">
            <v>4059636</v>
          </cell>
          <cell r="E9">
            <v>4076.46684</v>
          </cell>
        </row>
        <row r="9">
          <cell r="S9">
            <v>2232.44399885</v>
          </cell>
        </row>
        <row r="10">
          <cell r="D10">
            <v>2192796</v>
          </cell>
          <cell r="E10">
            <v>2157.61478</v>
          </cell>
        </row>
        <row r="10">
          <cell r="S10">
            <v>1669.57070128</v>
          </cell>
        </row>
        <row r="11">
          <cell r="D11">
            <v>1866840</v>
          </cell>
          <cell r="E11">
            <v>1918.85206</v>
          </cell>
        </row>
        <row r="11">
          <cell r="S11">
            <v>562.87329757</v>
          </cell>
        </row>
        <row r="12">
          <cell r="D12">
            <v>2185420</v>
          </cell>
          <cell r="E12">
            <v>3352.47232</v>
          </cell>
        </row>
        <row r="12">
          <cell r="S12">
            <v>3426.64286664</v>
          </cell>
        </row>
        <row r="13">
          <cell r="S13">
            <v>2418.96</v>
          </cell>
        </row>
        <row r="14">
          <cell r="D14">
            <v>2185420</v>
          </cell>
          <cell r="E14">
            <v>3352.47232</v>
          </cell>
        </row>
        <row r="14">
          <cell r="S14">
            <v>1007.68286664</v>
          </cell>
        </row>
        <row r="15">
          <cell r="D15">
            <v>1198300</v>
          </cell>
          <cell r="E15">
            <v>3450.25201</v>
          </cell>
        </row>
        <row r="15">
          <cell r="S15">
            <v>4293.02208758</v>
          </cell>
        </row>
        <row r="16">
          <cell r="S16">
            <v>2461.9374</v>
          </cell>
        </row>
        <row r="17">
          <cell r="D17">
            <v>739795</v>
          </cell>
          <cell r="E17">
            <v>1714.08173</v>
          </cell>
        </row>
        <row r="17">
          <cell r="S17">
            <v>791.87810458</v>
          </cell>
        </row>
        <row r="18">
          <cell r="D18">
            <v>246901</v>
          </cell>
          <cell r="E18">
            <v>733.86</v>
          </cell>
        </row>
        <row r="18">
          <cell r="S18">
            <v>349.203177</v>
          </cell>
        </row>
        <row r="19">
          <cell r="D19">
            <v>177741</v>
          </cell>
          <cell r="E19">
            <v>696.88469</v>
          </cell>
        </row>
        <row r="19">
          <cell r="S19">
            <v>424.513743</v>
          </cell>
        </row>
        <row r="20">
          <cell r="D20">
            <v>33863</v>
          </cell>
          <cell r="E20">
            <v>305.42559</v>
          </cell>
        </row>
        <row r="20">
          <cell r="S20">
            <v>265.489663</v>
          </cell>
        </row>
        <row r="21">
          <cell r="D21">
            <v>1087272</v>
          </cell>
          <cell r="E21">
            <v>3581.27058</v>
          </cell>
        </row>
        <row r="21">
          <cell r="S21">
            <v>3076.96768843</v>
          </cell>
        </row>
        <row r="22">
          <cell r="D22">
            <v>501896</v>
          </cell>
          <cell r="E22">
            <v>856.06032</v>
          </cell>
        </row>
        <row r="22">
          <cell r="S22">
            <v>89.62853038</v>
          </cell>
        </row>
        <row r="23">
          <cell r="D23">
            <v>501896</v>
          </cell>
          <cell r="E23">
            <v>856.06032</v>
          </cell>
        </row>
        <row r="23">
          <cell r="S23">
            <v>89.62853038</v>
          </cell>
        </row>
        <row r="24">
          <cell r="D24">
            <v>571376</v>
          </cell>
          <cell r="E24">
            <v>2706.89096</v>
          </cell>
        </row>
        <row r="24">
          <cell r="S24">
            <v>2979.02979443</v>
          </cell>
        </row>
        <row r="25">
          <cell r="D25">
            <v>181203</v>
          </cell>
          <cell r="E25">
            <v>302.86246</v>
          </cell>
        </row>
        <row r="25">
          <cell r="S25">
            <v>581.75563818</v>
          </cell>
        </row>
        <row r="26">
          <cell r="D26">
            <v>221715</v>
          </cell>
          <cell r="E26">
            <v>555.6927</v>
          </cell>
        </row>
        <row r="26">
          <cell r="S26">
            <v>547.54657025</v>
          </cell>
        </row>
        <row r="27">
          <cell r="D27">
            <v>59507</v>
          </cell>
          <cell r="E27">
            <v>264.2772</v>
          </cell>
        </row>
        <row r="27">
          <cell r="S27">
            <v>294.6660345</v>
          </cell>
        </row>
        <row r="28">
          <cell r="D28">
            <v>108951</v>
          </cell>
          <cell r="E28">
            <v>1584.0586</v>
          </cell>
        </row>
        <row r="28">
          <cell r="S28">
            <v>1555.0615515</v>
          </cell>
        </row>
        <row r="29">
          <cell r="D29">
            <v>2094</v>
          </cell>
          <cell r="E29">
            <v>6.17</v>
          </cell>
        </row>
        <row r="29">
          <cell r="S29">
            <v>4.0713565</v>
          </cell>
        </row>
        <row r="30">
          <cell r="D30">
            <v>11906</v>
          </cell>
          <cell r="E30">
            <v>12.1493</v>
          </cell>
        </row>
        <row r="30">
          <cell r="S30">
            <v>4.23800712</v>
          </cell>
        </row>
        <row r="31">
          <cell r="D31">
            <v>8755</v>
          </cell>
          <cell r="E31">
            <v>8.88</v>
          </cell>
        </row>
        <row r="31">
          <cell r="S31">
            <v>2.88849712</v>
          </cell>
        </row>
        <row r="32">
          <cell r="D32">
            <v>2095</v>
          </cell>
          <cell r="E32">
            <v>2.10748</v>
          </cell>
        </row>
        <row r="32">
          <cell r="S32">
            <v>0.988599</v>
          </cell>
        </row>
        <row r="33">
          <cell r="D33">
            <v>1056</v>
          </cell>
          <cell r="E33">
            <v>1.16182</v>
          </cell>
        </row>
        <row r="33">
          <cell r="S33">
            <v>0.360911</v>
          </cell>
        </row>
        <row r="34">
          <cell r="D34">
            <v>45213</v>
          </cell>
          <cell r="E34">
            <v>0</v>
          </cell>
          <cell r="F34">
            <v>1372490</v>
          </cell>
        </row>
        <row r="34">
          <cell r="S34">
            <v>933.0692865</v>
          </cell>
        </row>
        <row r="35">
          <cell r="D35">
            <v>41545</v>
          </cell>
        </row>
        <row r="35">
          <cell r="F35">
            <v>1317597.29</v>
          </cell>
        </row>
        <row r="35">
          <cell r="S35">
            <v>895.372285</v>
          </cell>
        </row>
        <row r="36">
          <cell r="S36">
            <v>0</v>
          </cell>
        </row>
        <row r="37">
          <cell r="S37">
            <v>0</v>
          </cell>
        </row>
        <row r="38">
          <cell r="S38">
            <v>0</v>
          </cell>
        </row>
        <row r="39">
          <cell r="D39">
            <v>3668</v>
          </cell>
        </row>
        <row r="39">
          <cell r="F39">
            <v>54892.71</v>
          </cell>
        </row>
        <row r="39">
          <cell r="S39">
            <v>37.6970015</v>
          </cell>
        </row>
        <row r="40">
          <cell r="S40">
            <v>0</v>
          </cell>
        </row>
        <row r="41">
          <cell r="D41">
            <v>4578</v>
          </cell>
          <cell r="E41">
            <v>0</v>
          </cell>
          <cell r="F41">
            <v>17760</v>
          </cell>
        </row>
        <row r="41">
          <cell r="S41">
            <v>9.52599</v>
          </cell>
        </row>
        <row r="42">
          <cell r="D42">
            <v>4504</v>
          </cell>
        </row>
        <row r="42">
          <cell r="F42">
            <v>17760</v>
          </cell>
        </row>
        <row r="42">
          <cell r="S42">
            <v>9.517678</v>
          </cell>
        </row>
        <row r="43">
          <cell r="D43">
            <v>74</v>
          </cell>
        </row>
        <row r="43">
          <cell r="S43">
            <v>0.008312</v>
          </cell>
        </row>
        <row r="44">
          <cell r="D44">
            <v>1310333</v>
          </cell>
          <cell r="E44">
            <v>0</v>
          </cell>
          <cell r="F44">
            <v>6496290</v>
          </cell>
        </row>
        <row r="44">
          <cell r="S44">
            <v>12127.2243701067</v>
          </cell>
        </row>
        <row r="45">
          <cell r="D45">
            <v>1310043</v>
          </cell>
        </row>
        <row r="45">
          <cell r="F45">
            <v>6494718.95</v>
          </cell>
        </row>
        <row r="45">
          <cell r="S45">
            <v>12124.8693741067</v>
          </cell>
        </row>
        <row r="46">
          <cell r="D46">
            <v>2013</v>
          </cell>
        </row>
        <row r="46">
          <cell r="F46">
            <v>11497.4</v>
          </cell>
        </row>
        <row r="46">
          <cell r="S46">
            <v>34.7272194</v>
          </cell>
        </row>
        <row r="47">
          <cell r="D47">
            <v>1308030</v>
          </cell>
        </row>
        <row r="47">
          <cell r="F47">
            <v>6483221.55</v>
          </cell>
        </row>
        <row r="47">
          <cell r="S47">
            <v>12090.1421547067</v>
          </cell>
        </row>
        <row r="48">
          <cell r="D48">
            <v>1308030</v>
          </cell>
        </row>
        <row r="48">
          <cell r="F48">
            <v>6483221.55</v>
          </cell>
        </row>
        <row r="48">
          <cell r="S48">
            <v>12090.1421547067</v>
          </cell>
        </row>
        <row r="49">
          <cell r="S49">
            <v>0</v>
          </cell>
        </row>
        <row r="50">
          <cell r="D50">
            <v>290</v>
          </cell>
        </row>
        <row r="50">
          <cell r="F50">
            <v>1571.05</v>
          </cell>
        </row>
        <row r="50">
          <cell r="S50">
            <v>2.354996</v>
          </cell>
        </row>
        <row r="51">
          <cell r="D51">
            <v>290</v>
          </cell>
        </row>
        <row r="51">
          <cell r="S51">
            <v>2.354996</v>
          </cell>
        </row>
        <row r="52">
          <cell r="E52">
            <v>168.53122</v>
          </cell>
          <cell r="F52">
            <v>152280.41</v>
          </cell>
        </row>
        <row r="53">
          <cell r="D53">
            <v>73798</v>
          </cell>
        </row>
        <row r="53">
          <cell r="S53">
            <v>240.53695725</v>
          </cell>
        </row>
        <row r="54">
          <cell r="D54">
            <v>34258</v>
          </cell>
          <cell r="E54">
            <v>60.94</v>
          </cell>
        </row>
        <row r="54">
          <cell r="S54">
            <v>73.8273675</v>
          </cell>
        </row>
        <row r="55">
          <cell r="D55">
            <v>11359</v>
          </cell>
          <cell r="E55">
            <v>29.49177</v>
          </cell>
        </row>
        <row r="55">
          <cell r="S55">
            <v>46.226153</v>
          </cell>
        </row>
        <row r="56">
          <cell r="D56">
            <v>28181</v>
          </cell>
          <cell r="E56">
            <v>78.09945</v>
          </cell>
        </row>
        <row r="56">
          <cell r="S56">
            <v>120.48343675</v>
          </cell>
        </row>
        <row r="57">
          <cell r="D57">
            <v>34474</v>
          </cell>
          <cell r="E57">
            <v>0</v>
          </cell>
          <cell r="F57">
            <v>152280.41</v>
          </cell>
        </row>
        <row r="57">
          <cell r="S57">
            <v>226.129998</v>
          </cell>
        </row>
        <row r="58">
          <cell r="D58">
            <v>24893</v>
          </cell>
        </row>
        <row r="58">
          <cell r="F58">
            <v>105332</v>
          </cell>
        </row>
        <row r="58">
          <cell r="S58">
            <v>166.74634075</v>
          </cell>
        </row>
        <row r="59">
          <cell r="D59">
            <v>5889</v>
          </cell>
        </row>
        <row r="59">
          <cell r="F59">
            <v>27490.28</v>
          </cell>
        </row>
        <row r="59">
          <cell r="S59">
            <v>45.101207</v>
          </cell>
        </row>
        <row r="60">
          <cell r="D60">
            <v>3692</v>
          </cell>
        </row>
        <row r="60">
          <cell r="F60">
            <v>19458.13</v>
          </cell>
        </row>
        <row r="60">
          <cell r="S60">
            <v>14.28245025</v>
          </cell>
        </row>
        <row r="61">
          <cell r="D61">
            <v>24698</v>
          </cell>
          <cell r="E61">
            <v>71.36</v>
          </cell>
        </row>
        <row r="61">
          <cell r="S61">
            <v>88.07401945</v>
          </cell>
        </row>
        <row r="62">
          <cell r="D62">
            <v>20138</v>
          </cell>
          <cell r="E62">
            <v>64.55</v>
          </cell>
        </row>
        <row r="62">
          <cell r="S62">
            <v>78.6438997</v>
          </cell>
        </row>
        <row r="63">
          <cell r="D63">
            <v>4560</v>
          </cell>
          <cell r="E63">
            <v>6.81</v>
          </cell>
        </row>
        <row r="63">
          <cell r="S63">
            <v>9.43011975</v>
          </cell>
        </row>
        <row r="64">
          <cell r="D64">
            <v>4560</v>
          </cell>
          <cell r="E64">
            <v>6.81</v>
          </cell>
        </row>
        <row r="64">
          <cell r="S64">
            <v>9.43011975</v>
          </cell>
        </row>
        <row r="66">
          <cell r="D66">
            <v>12733</v>
          </cell>
          <cell r="E66">
            <v>102.26</v>
          </cell>
        </row>
        <row r="66">
          <cell r="S66">
            <v>96.3381664</v>
          </cell>
        </row>
        <row r="67">
          <cell r="D67">
            <v>103</v>
          </cell>
          <cell r="E67">
            <v>1.93</v>
          </cell>
        </row>
        <row r="67">
          <cell r="S67">
            <v>0.532207</v>
          </cell>
        </row>
        <row r="76">
          <cell r="D76">
            <v>4009</v>
          </cell>
          <cell r="E76">
            <v>1667.25099</v>
          </cell>
        </row>
        <row r="76">
          <cell r="S76">
            <v>1303.65756661</v>
          </cell>
        </row>
        <row r="77">
          <cell r="D77">
            <v>1168</v>
          </cell>
        </row>
        <row r="77">
          <cell r="S77">
            <v>214.71637324</v>
          </cell>
        </row>
        <row r="78">
          <cell r="S78">
            <v>0.188002</v>
          </cell>
        </row>
        <row r="79">
          <cell r="S79">
            <v>1.0378473</v>
          </cell>
        </row>
        <row r="80">
          <cell r="D80">
            <v>188</v>
          </cell>
        </row>
        <row r="80">
          <cell r="S80">
            <v>48.905843</v>
          </cell>
        </row>
        <row r="81">
          <cell r="S81">
            <v>644.00447925</v>
          </cell>
        </row>
        <row r="82">
          <cell r="S82">
            <v>607.451534</v>
          </cell>
        </row>
        <row r="83">
          <cell r="S83">
            <v>1199.404184</v>
          </cell>
        </row>
        <row r="84">
          <cell r="D84">
            <v>199</v>
          </cell>
        </row>
        <row r="84">
          <cell r="S84">
            <v>50.4494685</v>
          </cell>
        </row>
        <row r="85">
          <cell r="S85">
            <v>22.035672</v>
          </cell>
        </row>
        <row r="86">
          <cell r="S86">
            <v>24.876086</v>
          </cell>
        </row>
        <row r="87">
          <cell r="S87">
            <v>41.307222</v>
          </cell>
        </row>
        <row r="88">
          <cell r="D88">
            <v>49</v>
          </cell>
          <cell r="E88">
            <v>11.4895</v>
          </cell>
        </row>
        <row r="88">
          <cell r="S88">
            <v>17.132744</v>
          </cell>
        </row>
        <row r="89">
          <cell r="S89">
            <v>5.727576</v>
          </cell>
        </row>
        <row r="90">
          <cell r="S90">
            <v>6.530858</v>
          </cell>
        </row>
        <row r="91">
          <cell r="S91">
            <v>10.056251</v>
          </cell>
        </row>
        <row r="92">
          <cell r="S92">
            <v>0.413403</v>
          </cell>
        </row>
        <row r="93">
          <cell r="D93">
            <v>4261</v>
          </cell>
          <cell r="E93">
            <v>977.79554</v>
          </cell>
        </row>
        <row r="93">
          <cell r="S93">
            <v>832.55288253</v>
          </cell>
        </row>
        <row r="94">
          <cell r="S94">
            <v>360.83580754</v>
          </cell>
        </row>
        <row r="95">
          <cell r="S95">
            <v>255.880491</v>
          </cell>
        </row>
        <row r="96">
          <cell r="S96">
            <v>440.9629746</v>
          </cell>
        </row>
        <row r="97">
          <cell r="D97">
            <v>2</v>
          </cell>
        </row>
        <row r="97">
          <cell r="S97">
            <v>0.136967</v>
          </cell>
        </row>
        <row r="98">
          <cell r="S98">
            <v>0.027121</v>
          </cell>
        </row>
        <row r="99">
          <cell r="S99">
            <v>0.026779</v>
          </cell>
        </row>
        <row r="100">
          <cell r="S100">
            <v>0.052429</v>
          </cell>
        </row>
        <row r="101">
          <cell r="D101">
            <v>11</v>
          </cell>
          <cell r="E101">
            <v>1.815</v>
          </cell>
        </row>
        <row r="101">
          <cell r="S101">
            <v>1.175087</v>
          </cell>
        </row>
        <row r="102">
          <cell r="S102">
            <v>0.985833</v>
          </cell>
        </row>
        <row r="103">
          <cell r="S103">
            <v>0.517135</v>
          </cell>
        </row>
        <row r="104">
          <cell r="S104">
            <v>1.670054</v>
          </cell>
        </row>
        <row r="105">
          <cell r="D105">
            <v>127</v>
          </cell>
          <cell r="E105">
            <v>47.4582</v>
          </cell>
        </row>
        <row r="105">
          <cell r="S105">
            <v>47.07831532</v>
          </cell>
        </row>
        <row r="106">
          <cell r="D106">
            <v>116</v>
          </cell>
          <cell r="E106">
            <v>37.139</v>
          </cell>
        </row>
        <row r="106">
          <cell r="S106">
            <v>137.65589982</v>
          </cell>
        </row>
        <row r="107">
          <cell r="D107">
            <v>194</v>
          </cell>
          <cell r="E107">
            <v>96.029</v>
          </cell>
        </row>
        <row r="107">
          <cell r="S107">
            <v>183.9896945</v>
          </cell>
        </row>
        <row r="108">
          <cell r="D108">
            <v>484</v>
          </cell>
          <cell r="E108">
            <v>99.268</v>
          </cell>
        </row>
        <row r="108">
          <cell r="S108">
            <v>153.938916</v>
          </cell>
        </row>
        <row r="109">
          <cell r="D109">
            <v>9</v>
          </cell>
          <cell r="E109">
            <v>4.1</v>
          </cell>
        </row>
        <row r="109">
          <cell r="S109">
            <v>5.539859</v>
          </cell>
        </row>
        <row r="115">
          <cell r="D115">
            <v>380</v>
          </cell>
          <cell r="E115">
            <v>1230.624</v>
          </cell>
        </row>
        <row r="115">
          <cell r="S115">
            <v>1871.63968823</v>
          </cell>
        </row>
        <row r="116">
          <cell r="S116">
            <v>0.11617</v>
          </cell>
        </row>
        <row r="117">
          <cell r="S117">
            <v>1.695308</v>
          </cell>
        </row>
        <row r="118">
          <cell r="D118">
            <v>1</v>
          </cell>
        </row>
        <row r="118">
          <cell r="S118">
            <v>2.458191</v>
          </cell>
        </row>
        <row r="119">
          <cell r="S119">
            <v>938.8771275</v>
          </cell>
        </row>
        <row r="120">
          <cell r="S120">
            <v>875.711727</v>
          </cell>
        </row>
        <row r="121">
          <cell r="S121">
            <v>1724.88784</v>
          </cell>
        </row>
        <row r="122">
          <cell r="D122">
            <v>4</v>
          </cell>
        </row>
        <row r="122">
          <cell r="S122">
            <v>8.573468</v>
          </cell>
        </row>
        <row r="123">
          <cell r="S123">
            <v>4.320115</v>
          </cell>
        </row>
        <row r="124">
          <cell r="S124">
            <v>4.197231</v>
          </cell>
        </row>
        <row r="125">
          <cell r="S125">
            <v>9.338606</v>
          </cell>
        </row>
        <row r="126">
          <cell r="D126">
            <v>4</v>
          </cell>
          <cell r="E126">
            <v>9.5</v>
          </cell>
        </row>
        <row r="126">
          <cell r="S126">
            <v>22.665863</v>
          </cell>
        </row>
        <row r="127">
          <cell r="S127">
            <v>8.731483</v>
          </cell>
        </row>
        <row r="128">
          <cell r="S128">
            <v>8.946352</v>
          </cell>
        </row>
        <row r="129">
          <cell r="S129">
            <v>16.581936</v>
          </cell>
        </row>
        <row r="130">
          <cell r="D130">
            <v>1</v>
          </cell>
          <cell r="E130">
            <v>8</v>
          </cell>
        </row>
        <row r="130">
          <cell r="S130">
            <v>43.282</v>
          </cell>
        </row>
        <row r="131">
          <cell r="D131">
            <v>153</v>
          </cell>
          <cell r="E131">
            <v>464.118</v>
          </cell>
        </row>
        <row r="131">
          <cell r="S131">
            <v>507.52475971</v>
          </cell>
        </row>
        <row r="132">
          <cell r="S132">
            <v>215.717623</v>
          </cell>
        </row>
        <row r="133">
          <cell r="S133">
            <v>182.235875</v>
          </cell>
        </row>
        <row r="134">
          <cell r="S134">
            <v>292.30426429</v>
          </cell>
        </row>
        <row r="135">
          <cell r="D135">
            <v>1</v>
          </cell>
        </row>
        <row r="135">
          <cell r="S135">
            <v>0.7529</v>
          </cell>
        </row>
        <row r="136">
          <cell r="S136">
            <v>0.3206</v>
          </cell>
        </row>
        <row r="137">
          <cell r="S137">
            <v>0.3233</v>
          </cell>
        </row>
        <row r="138">
          <cell r="S138">
            <v>0.4465</v>
          </cell>
        </row>
        <row r="139">
          <cell r="S139">
            <v>0</v>
          </cell>
        </row>
        <row r="140">
          <cell r="S140">
            <v>0</v>
          </cell>
        </row>
        <row r="141">
          <cell r="S141">
            <v>0</v>
          </cell>
        </row>
        <row r="142">
          <cell r="S142">
            <v>0</v>
          </cell>
        </row>
        <row r="143">
          <cell r="D143">
            <v>19</v>
          </cell>
          <cell r="E143">
            <v>43.975</v>
          </cell>
        </row>
        <row r="143">
          <cell r="S143">
            <v>17.04318</v>
          </cell>
        </row>
        <row r="144">
          <cell r="D144">
            <v>13</v>
          </cell>
          <cell r="E144">
            <v>43.75</v>
          </cell>
        </row>
        <row r="144">
          <cell r="S144">
            <v>247.927045</v>
          </cell>
        </row>
        <row r="145">
          <cell r="D145">
            <v>21</v>
          </cell>
          <cell r="E145">
            <v>61.705</v>
          </cell>
        </row>
        <row r="145">
          <cell r="S145">
            <v>124.072753</v>
          </cell>
        </row>
        <row r="146">
          <cell r="D146">
            <v>8</v>
          </cell>
          <cell r="E146">
            <v>20.802</v>
          </cell>
        </row>
        <row r="146">
          <cell r="S146">
            <v>40.313566</v>
          </cell>
        </row>
        <row r="147">
          <cell r="D147">
            <v>1</v>
          </cell>
          <cell r="E147">
            <v>4</v>
          </cell>
        </row>
        <row r="147">
          <cell r="S147">
            <v>2.9508</v>
          </cell>
        </row>
        <row r="149">
          <cell r="D149">
            <v>38</v>
          </cell>
          <cell r="E149">
            <v>640.849</v>
          </cell>
        </row>
        <row r="149">
          <cell r="S149">
            <v>1093.519026</v>
          </cell>
        </row>
        <row r="150">
          <cell r="S150">
            <v>0</v>
          </cell>
        </row>
        <row r="151">
          <cell r="S151">
            <v>0</v>
          </cell>
        </row>
        <row r="152">
          <cell r="S152">
            <v>0</v>
          </cell>
        </row>
        <row r="153">
          <cell r="S153">
            <v>529.315773</v>
          </cell>
        </row>
        <row r="154">
          <cell r="S154">
            <v>475.6201</v>
          </cell>
        </row>
        <row r="155">
          <cell r="S155">
            <v>1084.845934</v>
          </cell>
        </row>
        <row r="156">
          <cell r="D156">
            <v>6</v>
          </cell>
          <cell r="E156">
            <v>143.2</v>
          </cell>
        </row>
        <row r="156">
          <cell r="S156">
            <v>382.265744</v>
          </cell>
        </row>
        <row r="157">
          <cell r="S157">
            <v>186.793355</v>
          </cell>
        </row>
        <row r="158">
          <cell r="S158">
            <v>189.01194</v>
          </cell>
        </row>
        <row r="159">
          <cell r="S159">
            <v>369.703373</v>
          </cell>
        </row>
        <row r="160">
          <cell r="D160">
            <v>2</v>
          </cell>
          <cell r="E160">
            <v>34.7</v>
          </cell>
        </row>
        <row r="160">
          <cell r="S160">
            <v>209.4758</v>
          </cell>
        </row>
        <row r="161">
          <cell r="D161">
            <v>4</v>
          </cell>
          <cell r="E161">
            <v>18.07</v>
          </cell>
        </row>
        <row r="161">
          <cell r="S161">
            <v>21.851771</v>
          </cell>
        </row>
        <row r="162">
          <cell r="S162">
            <v>6.73037</v>
          </cell>
        </row>
        <row r="163">
          <cell r="S163">
            <v>7.18005</v>
          </cell>
        </row>
        <row r="164">
          <cell r="S164">
            <v>10.480162</v>
          </cell>
        </row>
        <row r="165">
          <cell r="E165">
            <v>0</v>
          </cell>
        </row>
        <row r="165">
          <cell r="S165">
            <v>0</v>
          </cell>
        </row>
        <row r="166">
          <cell r="S166">
            <v>0</v>
          </cell>
        </row>
        <row r="167">
          <cell r="S167">
            <v>0</v>
          </cell>
        </row>
        <row r="168">
          <cell r="S168">
            <v>0</v>
          </cell>
        </row>
        <row r="169">
          <cell r="D169">
            <v>1</v>
          </cell>
          <cell r="E169">
            <v>15</v>
          </cell>
        </row>
        <row r="169">
          <cell r="S169">
            <v>17.779627</v>
          </cell>
        </row>
        <row r="170">
          <cell r="S170">
            <v>12.677378</v>
          </cell>
        </row>
        <row r="171">
          <cell r="S171">
            <v>8.659968</v>
          </cell>
        </row>
        <row r="172">
          <cell r="S172">
            <v>21.814977</v>
          </cell>
        </row>
        <row r="173">
          <cell r="D173">
            <v>19</v>
          </cell>
          <cell r="E173">
            <v>1654.4078</v>
          </cell>
        </row>
        <row r="173">
          <cell r="S173">
            <v>1642.35012187</v>
          </cell>
        </row>
        <row r="174">
          <cell r="D174">
            <v>2</v>
          </cell>
          <cell r="E174">
            <v>64.75</v>
          </cell>
        </row>
        <row r="174">
          <cell r="S174">
            <v>260.3885</v>
          </cell>
        </row>
        <row r="175">
          <cell r="D175">
            <v>11</v>
          </cell>
          <cell r="E175">
            <v>121.5</v>
          </cell>
        </row>
        <row r="175">
          <cell r="S175">
            <v>386.274181</v>
          </cell>
        </row>
        <row r="176">
          <cell r="D176">
            <v>4</v>
          </cell>
          <cell r="E176">
            <v>21.25</v>
          </cell>
        </row>
        <row r="176">
          <cell r="S176">
            <v>88.577285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ales_State"/>
      <sheetName val="TSERC Approved Sales"/>
      <sheetName val="Sales_SP"/>
      <sheetName val="Sales_NP"/>
      <sheetName val="Sheet4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</sheetNames>
    <sheetDataSet>
      <sheetData sheetId="0" refreshError="1"/>
      <sheetData sheetId="1" refreshError="1"/>
      <sheetData sheetId="2" refreshError="1"/>
      <sheetData sheetId="3" refreshError="1">
        <row r="16">
          <cell r="N16">
            <v>0</v>
          </cell>
        </row>
        <row r="30">
          <cell r="N30">
            <v>0</v>
          </cell>
        </row>
        <row r="35">
          <cell r="N35">
            <v>0</v>
          </cell>
        </row>
        <row r="36">
          <cell r="N36">
            <v>0</v>
          </cell>
        </row>
        <row r="47">
          <cell r="N47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Sales_State"/>
      <sheetName val="TSERC Approved Sales"/>
      <sheetName val="Sales_SP"/>
      <sheetName val="Sales_NP (2)"/>
      <sheetName val="Sales_NP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  <sheetName val="P&amp;L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1">
          <cell r="N31">
            <v>0</v>
          </cell>
        </row>
        <row r="37">
          <cell r="N37">
            <v>0</v>
          </cell>
        </row>
        <row r="38">
          <cell r="N38">
            <v>0</v>
          </cell>
        </row>
        <row r="43">
          <cell r="N43">
            <v>0</v>
          </cell>
        </row>
        <row r="50">
          <cell r="N50">
            <v>0</v>
          </cell>
        </row>
        <row r="51">
          <cell r="N51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Addl.loads TSSPDCL"/>
      <sheetName val="Consumers&amp;Connected load"/>
      <sheetName val="CAGR-Sales"/>
      <sheetName val="FY12-13 Actual Sales"/>
      <sheetName val="FY13-14 Actual Sales"/>
      <sheetName val="FY14-15 Actual Sales"/>
      <sheetName val="FY15-16 Actual Sales"/>
      <sheetName val="FY16-17 Actual Sales"/>
      <sheetName val="FY17-18 Actual Sales"/>
      <sheetName val="FY18-19 Actual Sales "/>
      <sheetName val="FY19-20 Actual Sales"/>
      <sheetName val="FY20-21 Actual Sales "/>
      <sheetName val="FY21-22 Actual Sales "/>
      <sheetName val="FY22-23 Actual Sales"/>
      <sheetName val="HMR Loads"/>
      <sheetName val="FY23-24 H1 Actual Sales "/>
      <sheetName val="FY23-24 Projections"/>
      <sheetName val="FY24-25 Projections"/>
      <sheetName val="Deration_COVID"/>
      <sheetName val="Abstract of Load Derated&amp;Restor"/>
      <sheetName val="FY21-22 Actual (Rev)"/>
      <sheetName val="FY22-23 Rev(Current Tariff) (F)"/>
      <sheetName val="FY22-23 proj Rev"/>
      <sheetName val="FY23-24 Rev(Current Tariff)"/>
      <sheetName val="EV"/>
      <sheetName val="Industrial Loads 23-24"/>
      <sheetName val="Additional Loads "/>
      <sheetName val="Railway Traction"/>
      <sheetName val="Industrial Loads"/>
      <sheetName val="LIS Loads"/>
      <sheetName val="SPDCL LIS 22-23"/>
      <sheetName val="LIS Revised"/>
      <sheetName val="Existing LIS"/>
      <sheetName val="Existing EV Services"/>
      <sheetName val="Existing Services"/>
      <sheetName val="Agl Projection"/>
      <sheetName val="Form 4a"/>
      <sheetName val="HMWSSB Sales"/>
      <sheetName val="FY21-22 Rev(Proposed Tariff)"/>
      <sheetName val="CSS"/>
      <sheetName val="AS"/>
      <sheetName val="OA Sales excl. captive 20-21"/>
      <sheetName val="OA Sales 19-20"/>
      <sheetName val="Weighted Average PP cost"/>
      <sheetName val="CSS SPDCL (C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93">
          <cell r="H93">
            <v>48.4170238599997</v>
          </cell>
          <cell r="I93">
            <v>40.5321954599998</v>
          </cell>
          <cell r="J93">
            <v>50.02443167</v>
          </cell>
          <cell r="K93">
            <v>51.5902709900003</v>
          </cell>
          <cell r="L93">
            <v>50.3617630400001</v>
          </cell>
          <cell r="M93">
            <v>54.2999774300001</v>
          </cell>
          <cell r="N93">
            <v>51.0723612099996</v>
          </cell>
          <cell r="O93">
            <v>49.0143176499999</v>
          </cell>
          <cell r="P93">
            <v>43.91563767</v>
          </cell>
          <cell r="Q93">
            <v>42.4590419099999</v>
          </cell>
          <cell r="R93">
            <v>50.9224179399998</v>
          </cell>
        </row>
        <row r="94">
          <cell r="H94">
            <v>20.3443950000001</v>
          </cell>
          <cell r="I94">
            <v>17.26017</v>
          </cell>
          <cell r="J94">
            <v>22.8092149999999</v>
          </cell>
          <cell r="K94">
            <v>24.933126</v>
          </cell>
          <cell r="L94">
            <v>24.4836070000001</v>
          </cell>
          <cell r="M94">
            <v>26.2703179999999</v>
          </cell>
          <cell r="N94">
            <v>25.276424</v>
          </cell>
          <cell r="O94">
            <v>24.7044</v>
          </cell>
          <cell r="P94">
            <v>23.669265</v>
          </cell>
          <cell r="Q94">
            <v>22.865762</v>
          </cell>
          <cell r="R94">
            <v>25.214796</v>
          </cell>
        </row>
        <row r="95">
          <cell r="H95">
            <v>18.454362</v>
          </cell>
          <cell r="I95">
            <v>19.553024</v>
          </cell>
          <cell r="J95">
            <v>17.234881</v>
          </cell>
          <cell r="K95">
            <v>17.596523</v>
          </cell>
          <cell r="L95">
            <v>17.560273</v>
          </cell>
          <cell r="M95">
            <v>18.4301010000001</v>
          </cell>
          <cell r="N95">
            <v>17.9970519999999</v>
          </cell>
          <cell r="O95">
            <v>17.55763</v>
          </cell>
          <cell r="P95">
            <v>16.519098</v>
          </cell>
          <cell r="Q95">
            <v>15.8574</v>
          </cell>
          <cell r="R95">
            <v>17.321582</v>
          </cell>
        </row>
        <row r="96">
          <cell r="H96">
            <v>29.708229</v>
          </cell>
          <cell r="I96">
            <v>28.367294</v>
          </cell>
          <cell r="J96">
            <v>28.73728218</v>
          </cell>
          <cell r="K96">
            <v>30.539463</v>
          </cell>
          <cell r="L96">
            <v>30.2177649999999</v>
          </cell>
          <cell r="M96">
            <v>32.275904</v>
          </cell>
          <cell r="N96">
            <v>31.154061</v>
          </cell>
          <cell r="O96">
            <v>30.901893</v>
          </cell>
          <cell r="P96">
            <v>29.8444159999999</v>
          </cell>
          <cell r="Q96">
            <v>28.7367600000001</v>
          </cell>
          <cell r="R96">
            <v>31.2809570000001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tate Sales"/>
      <sheetName val="Sales_SP"/>
      <sheetName val="Sales_NP"/>
      <sheetName val="Scenarios"/>
      <sheetName val="LIS"/>
      <sheetName val="Rev_NP-12me existing Cl"/>
      <sheetName val="Rev_NP-12me"/>
      <sheetName val="Summary"/>
      <sheetName val="PPT Slides(correct)"/>
      <sheetName val="Rev_SP-12me existing Cl"/>
      <sheetName val="Rev_SP-12me"/>
      <sheetName val="Total Rev Current_SP"/>
      <sheetName val="Rev SP FY24"/>
      <sheetName val="Rev NP FY24"/>
      <sheetName val="EV Stations_NPDCL"/>
      <sheetName val="Additional Loads_NPDCL"/>
      <sheetName val="Additional Loads_SPDCL 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  <sheetName val="OUTPUT"/>
    </sheetNames>
    <sheetDataSet>
      <sheetData sheetId="0" refreshError="1"/>
      <sheetData sheetId="1" refreshError="1"/>
      <sheetData sheetId="2" refreshError="1"/>
      <sheetData sheetId="3" refreshError="1">
        <row r="11">
          <cell r="FF11">
            <v>159.085776787338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tate Sales"/>
      <sheetName val="Sales_SP"/>
      <sheetName val="Sales_NP"/>
      <sheetName val="Scenarios"/>
      <sheetName val="LIS"/>
      <sheetName val="Rev_NP-12me existing Cl"/>
      <sheetName val="Rev_NP-12me"/>
      <sheetName val="Summary"/>
      <sheetName val="PPT Slides(correct)"/>
      <sheetName val="Rev_SP-12me existing Cl"/>
      <sheetName val="Rev_SP-12me"/>
      <sheetName val="Total Rev Current_SP"/>
      <sheetName val="Rev SP FY24"/>
      <sheetName val="Rev NP FY24"/>
      <sheetName val="EV Stations_NPDCL"/>
      <sheetName val="Additional Loads_NPDCL"/>
      <sheetName val="Additional Loads_SPDCL 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  <sheetName val="OUTPUT"/>
    </sheetNames>
    <sheetDataSet>
      <sheetData sheetId="0" refreshError="1"/>
      <sheetData sheetId="1" refreshError="1"/>
      <sheetData sheetId="2" refreshError="1">
        <row r="134">
          <cell r="FM134">
            <v>0.877151583333333</v>
          </cell>
          <cell r="FN134">
            <v>0.886571803333333</v>
          </cell>
          <cell r="FO134">
            <v>0.925085843333334</v>
          </cell>
          <cell r="FP134">
            <v>1.16697042333333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Revenue impact_Summary"/>
      <sheetName val="Tariff hike_Summary"/>
      <sheetName val="Sales_SP"/>
      <sheetName val="Sales_NP"/>
      <sheetName val="Rev_SP-12me"/>
      <sheetName val="Rev_NP-12me"/>
      <sheetName val="NTI"/>
      <sheetName val="Sales_Progress tracker"/>
      <sheetName val="SPDCL_Write-up"/>
      <sheetName val="NPDCL_Write-up"/>
      <sheetName val="NPDCL_Approved"/>
      <sheetName val="SPDCL_Approved"/>
      <sheetName val=" Filed vs approved"/>
      <sheetName val="Sales_Summary_FY 25_29"/>
      <sheetName val="Sales_Summary_FY 18_25"/>
      <sheetName val="PPT Slides(correct)"/>
      <sheetName val="OUTPUT"/>
      <sheetName val="Rev SP FY24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  <sheetName val="Changes tracker"/>
      <sheetName val="Sheet3"/>
    </sheetNames>
    <sheetDataSet>
      <sheetData sheetId="0"/>
      <sheetData sheetId="1"/>
      <sheetData sheetId="2"/>
      <sheetData sheetId="3">
        <row r="10">
          <cell r="CG10">
            <v>884.884793</v>
          </cell>
          <cell r="CH10">
            <v>1043.906337</v>
          </cell>
          <cell r="CI10">
            <v>792.471829</v>
          </cell>
          <cell r="CJ10">
            <v>709.51629</v>
          </cell>
          <cell r="CK10">
            <v>712.021638</v>
          </cell>
          <cell r="CL10">
            <v>683.041211</v>
          </cell>
          <cell r="CM10">
            <v>670.673864</v>
          </cell>
          <cell r="CN10">
            <v>623.023792</v>
          </cell>
          <cell r="CO10">
            <v>587.786236</v>
          </cell>
          <cell r="CP10">
            <v>604.0984</v>
          </cell>
          <cell r="CQ10">
            <v>620.276841</v>
          </cell>
          <cell r="CR10">
            <v>777.946403</v>
          </cell>
        </row>
        <row r="10">
          <cell r="CT10">
            <v>889.482661</v>
          </cell>
          <cell r="CU10">
            <v>1007.1437855</v>
          </cell>
          <cell r="CV10">
            <v>774.11618395</v>
          </cell>
          <cell r="CW10">
            <v>787.64137773</v>
          </cell>
          <cell r="CX10">
            <v>711.48126579</v>
          </cell>
          <cell r="CY10">
            <v>733.62959309</v>
          </cell>
          <cell r="CZ10">
            <v>716.03611939</v>
          </cell>
          <cell r="DA10">
            <v>619.75025767</v>
          </cell>
          <cell r="DB10">
            <v>597.95278521</v>
          </cell>
          <cell r="DC10">
            <v>616.09748825</v>
          </cell>
          <cell r="DD10">
            <v>615.98324113</v>
          </cell>
          <cell r="DE10">
            <v>842.5288991</v>
          </cell>
        </row>
        <row r="10">
          <cell r="DG10">
            <v>958.6312096</v>
          </cell>
          <cell r="DH10">
            <v>947.77734622</v>
          </cell>
          <cell r="DI10">
            <v>817.066939</v>
          </cell>
          <cell r="DJ10">
            <v>781.51773</v>
          </cell>
          <cell r="DK10">
            <v>783.46889321</v>
          </cell>
          <cell r="DL10">
            <v>744.23774119</v>
          </cell>
          <cell r="DM10">
            <v>770.82084596</v>
          </cell>
          <cell r="DN10">
            <v>678.15063825</v>
          </cell>
          <cell r="DO10">
            <v>642.3749949</v>
          </cell>
          <cell r="DP10">
            <v>634.498739</v>
          </cell>
          <cell r="DQ10">
            <v>652.04275759</v>
          </cell>
          <cell r="DR10">
            <v>924.62434831</v>
          </cell>
        </row>
        <row r="10">
          <cell r="DV10">
            <v>1054.49917709</v>
          </cell>
          <cell r="DW10">
            <v>1071.68560656</v>
          </cell>
          <cell r="DX10">
            <v>919.87931851</v>
          </cell>
          <cell r="DY10">
            <v>782.42434202</v>
          </cell>
          <cell r="DZ10">
            <v>835.5457414</v>
          </cell>
          <cell r="EA10">
            <v>808.12435736</v>
          </cell>
          <cell r="EB10">
            <v>747.661322</v>
          </cell>
          <cell r="EC10">
            <v>713.3555715</v>
          </cell>
          <cell r="ED10">
            <v>720.93670168</v>
          </cell>
          <cell r="EE10">
            <v>682.8638952</v>
          </cell>
          <cell r="EF10">
            <v>721.0716355</v>
          </cell>
          <cell r="EG10">
            <v>894.06128425</v>
          </cell>
        </row>
        <row r="10">
          <cell r="FE10">
            <v>979.833323</v>
          </cell>
          <cell r="FF10">
            <v>1179.125271</v>
          </cell>
          <cell r="FG10">
            <v>1050.9528675</v>
          </cell>
          <cell r="FH10">
            <v>823.852195</v>
          </cell>
          <cell r="FI10">
            <v>942.718718</v>
          </cell>
          <cell r="FJ10">
            <v>873.6557075</v>
          </cell>
          <cell r="FK10">
            <v>864.3465265</v>
          </cell>
          <cell r="FL10">
            <v>800.6604215</v>
          </cell>
          <cell r="FM10">
            <v>710.2218347</v>
          </cell>
          <cell r="FN10">
            <v>801.539299</v>
          </cell>
          <cell r="FO10">
            <v>759.2039685</v>
          </cell>
          <cell r="FP10">
            <v>1041.10057325</v>
          </cell>
        </row>
        <row r="10">
          <cell r="HP10">
            <v>1166.86840931156</v>
          </cell>
          <cell r="HQ10">
            <v>1404.20211994651</v>
          </cell>
          <cell r="HR10">
            <v>1251.563579208</v>
          </cell>
          <cell r="HS10">
            <v>981.112886979744</v>
          </cell>
          <cell r="HT10">
            <v>1122.6691979947</v>
          </cell>
          <cell r="HU10">
            <v>1040.42312275645</v>
          </cell>
          <cell r="HV10">
            <v>1029.33696251829</v>
          </cell>
          <cell r="HW10">
            <v>953.49416120483</v>
          </cell>
          <cell r="HX10">
            <v>845.792241457301</v>
          </cell>
          <cell r="HY10">
            <v>954.54080287983</v>
          </cell>
          <cell r="HZ10">
            <v>904.124309994117</v>
          </cell>
          <cell r="IA10">
            <v>1239.83063376747</v>
          </cell>
        </row>
        <row r="10">
          <cell r="IK10">
            <v>1244.72753475048</v>
          </cell>
          <cell r="IL10">
            <v>1497.89730281895</v>
          </cell>
          <cell r="IM10">
            <v>1335.07397757917</v>
          </cell>
          <cell r="IN10">
            <v>1046.57750212188</v>
          </cell>
          <cell r="IO10">
            <v>1197.5791374665</v>
          </cell>
          <cell r="IP10">
            <v>1109.845204782</v>
          </cell>
          <cell r="IQ10">
            <v>1098.01932210922</v>
          </cell>
          <cell r="IR10">
            <v>1017.1159208738</v>
          </cell>
          <cell r="IS10">
            <v>902.227606145721</v>
          </cell>
          <cell r="IT10">
            <v>1018.23239956282</v>
          </cell>
          <cell r="IU10">
            <v>964.451873498682</v>
          </cell>
          <cell r="IV10">
            <v>1322.55815305517</v>
          </cell>
        </row>
        <row r="10">
          <cell r="JF10">
            <v>1327.94169857284</v>
          </cell>
          <cell r="JG10">
            <v>1598.03670527125</v>
          </cell>
          <cell r="JH10">
            <v>1424.32810073754</v>
          </cell>
          <cell r="JI10">
            <v>1116.54467910075</v>
          </cell>
          <cell r="JJ10">
            <v>1277.64127456331</v>
          </cell>
          <cell r="JK10">
            <v>1184.04203751029</v>
          </cell>
          <cell r="JL10">
            <v>1171.42555536044</v>
          </cell>
          <cell r="JM10">
            <v>1085.11349343724</v>
          </cell>
          <cell r="JN10">
            <v>962.544513843845</v>
          </cell>
          <cell r="JO10">
            <v>1086.30461242941</v>
          </cell>
          <cell r="JP10">
            <v>1028.9286798354</v>
          </cell>
          <cell r="JQ10">
            <v>1410.97555183552</v>
          </cell>
        </row>
        <row r="23">
          <cell r="CG23">
            <v>256.562792</v>
          </cell>
          <cell r="CH23">
            <v>285.334947</v>
          </cell>
          <cell r="CI23">
            <v>241.302582</v>
          </cell>
          <cell r="CJ23">
            <v>229.495392</v>
          </cell>
          <cell r="CK23">
            <v>218.639599</v>
          </cell>
          <cell r="CL23">
            <v>213.824873</v>
          </cell>
          <cell r="CM23">
            <v>209.363924</v>
          </cell>
          <cell r="CN23">
            <v>206.508438</v>
          </cell>
          <cell r="CO23">
            <v>194.340244</v>
          </cell>
          <cell r="CP23">
            <v>196.372163</v>
          </cell>
          <cell r="CQ23">
            <v>205.114459</v>
          </cell>
          <cell r="CR23">
            <v>125.227008</v>
          </cell>
        </row>
        <row r="23">
          <cell r="CT23">
            <v>157.241375</v>
          </cell>
          <cell r="CU23">
            <v>245.755592</v>
          </cell>
          <cell r="CV23">
            <v>166.2556645</v>
          </cell>
          <cell r="CW23">
            <v>165.3770375</v>
          </cell>
          <cell r="CX23">
            <v>155.674095</v>
          </cell>
          <cell r="CY23">
            <v>171.68024801</v>
          </cell>
          <cell r="CZ23">
            <v>177.68252325</v>
          </cell>
          <cell r="DA23">
            <v>167.36727319</v>
          </cell>
          <cell r="DB23">
            <v>169.94316952</v>
          </cell>
          <cell r="DC23">
            <v>173.3462431</v>
          </cell>
          <cell r="DD23">
            <v>180.2769248</v>
          </cell>
          <cell r="DE23">
            <v>229.97228746</v>
          </cell>
        </row>
        <row r="23">
          <cell r="DG23">
            <v>216.622602</v>
          </cell>
          <cell r="DH23">
            <v>164.782805</v>
          </cell>
          <cell r="DI23">
            <v>187.96645104</v>
          </cell>
          <cell r="DJ23">
            <v>203.2554</v>
          </cell>
          <cell r="DK23">
            <v>208.33792147</v>
          </cell>
          <cell r="DL23">
            <v>202.38050946</v>
          </cell>
          <cell r="DM23">
            <v>219.36207261</v>
          </cell>
          <cell r="DN23">
            <v>206.03346725</v>
          </cell>
          <cell r="DO23">
            <v>200.8110605</v>
          </cell>
          <cell r="DP23">
            <v>188.034485</v>
          </cell>
          <cell r="DQ23">
            <v>203.62566825</v>
          </cell>
          <cell r="DR23">
            <v>267.1268865</v>
          </cell>
        </row>
        <row r="23">
          <cell r="DV23">
            <v>287.3821605</v>
          </cell>
          <cell r="DW23">
            <v>294.66361475</v>
          </cell>
          <cell r="DX23">
            <v>268.698341</v>
          </cell>
          <cell r="DY23">
            <v>231.91902975</v>
          </cell>
          <cell r="DZ23">
            <v>252.08797125</v>
          </cell>
          <cell r="EA23">
            <v>251.81102075</v>
          </cell>
          <cell r="EB23">
            <v>239.37629918</v>
          </cell>
          <cell r="EC23">
            <v>240.630599</v>
          </cell>
          <cell r="ED23">
            <v>244.72922025</v>
          </cell>
          <cell r="EE23">
            <v>231.475063</v>
          </cell>
          <cell r="EF23">
            <v>247.637579</v>
          </cell>
          <cell r="EG23">
            <v>286.55679</v>
          </cell>
        </row>
        <row r="23">
          <cell r="FE23">
            <v>299.95327925</v>
          </cell>
          <cell r="FF23">
            <v>344.29363547</v>
          </cell>
          <cell r="FG23">
            <v>316.5308635</v>
          </cell>
          <cell r="FH23">
            <v>269.099578</v>
          </cell>
          <cell r="FI23">
            <v>304.82621735</v>
          </cell>
          <cell r="FJ23">
            <v>282.151531</v>
          </cell>
          <cell r="FK23">
            <v>288.990846</v>
          </cell>
          <cell r="FL23">
            <v>273.465352</v>
          </cell>
          <cell r="FM23">
            <v>252.170298</v>
          </cell>
          <cell r="FN23">
            <v>276.0549455</v>
          </cell>
          <cell r="FO23">
            <v>275.603935</v>
          </cell>
          <cell r="FP23">
            <v>340.7192435</v>
          </cell>
        </row>
        <row r="23">
          <cell r="HP23">
            <v>450.745029911367</v>
          </cell>
          <cell r="HQ23">
            <v>517.376057385505</v>
          </cell>
          <cell r="HR23">
            <v>475.65645520836</v>
          </cell>
          <cell r="HS23">
            <v>404.38063433756</v>
          </cell>
          <cell r="HT23">
            <v>458.067679075706</v>
          </cell>
          <cell r="HU23">
            <v>423.994031997678</v>
          </cell>
          <cell r="HV23">
            <v>434.271590062575</v>
          </cell>
          <cell r="HW23">
            <v>410.941159153747</v>
          </cell>
          <cell r="HX23">
            <v>378.940709696436</v>
          </cell>
          <cell r="HY23">
            <v>414.832586520483</v>
          </cell>
          <cell r="HZ23">
            <v>414.154845167493</v>
          </cell>
          <cell r="IA23">
            <v>512.004756163324</v>
          </cell>
        </row>
        <row r="23">
          <cell r="IK23">
            <v>525.084457066474</v>
          </cell>
          <cell r="IL23">
            <v>602.704651551855</v>
          </cell>
          <cell r="IM23">
            <v>554.104415931901</v>
          </cell>
          <cell r="IN23">
            <v>471.07338237559</v>
          </cell>
          <cell r="IO23">
            <v>533.614799068251</v>
          </cell>
          <cell r="IP23">
            <v>493.921532833549</v>
          </cell>
          <cell r="IQ23">
            <v>505.894124073294</v>
          </cell>
          <cell r="IR23">
            <v>478.715906158616</v>
          </cell>
          <cell r="IS23">
            <v>441.43776105632</v>
          </cell>
          <cell r="IT23">
            <v>483.249129800546</v>
          </cell>
          <cell r="IU23">
            <v>482.459611499176</v>
          </cell>
          <cell r="IV23">
            <v>596.447484863752</v>
          </cell>
        </row>
        <row r="23">
          <cell r="JF23">
            <v>603.452940712734</v>
          </cell>
          <cell r="JG23">
            <v>692.657894297882</v>
          </cell>
          <cell r="JH23">
            <v>636.804107903135</v>
          </cell>
          <cell r="JI23">
            <v>541.380751344647</v>
          </cell>
          <cell r="JJ23">
            <v>613.256430221863</v>
          </cell>
          <cell r="JK23">
            <v>567.638972090185</v>
          </cell>
          <cell r="JL23">
            <v>581.398464100175</v>
          </cell>
          <cell r="JM23">
            <v>550.163916394133</v>
          </cell>
          <cell r="JN23">
            <v>507.322034514835</v>
          </cell>
          <cell r="JO23">
            <v>555.373720456729</v>
          </cell>
          <cell r="JP23">
            <v>554.466367107574</v>
          </cell>
          <cell r="JQ23">
            <v>685.466849909404</v>
          </cell>
        </row>
        <row r="36">
          <cell r="CG36">
            <v>76.251569</v>
          </cell>
          <cell r="CH36">
            <v>79.648053</v>
          </cell>
          <cell r="CI36">
            <v>71.291729</v>
          </cell>
          <cell r="CJ36">
            <v>75.360349</v>
          </cell>
          <cell r="CK36">
            <v>68.289691</v>
          </cell>
          <cell r="CL36">
            <v>65.419105</v>
          </cell>
          <cell r="CM36">
            <v>63.78829</v>
          </cell>
          <cell r="CN36">
            <v>74.435213</v>
          </cell>
          <cell r="CO36">
            <v>81.513021</v>
          </cell>
          <cell r="CP36">
            <v>76.33141</v>
          </cell>
          <cell r="CQ36">
            <v>74.669941</v>
          </cell>
          <cell r="CR36">
            <v>39.821633</v>
          </cell>
        </row>
        <row r="36">
          <cell r="CT36">
            <v>81.518555</v>
          </cell>
          <cell r="CU36">
            <v>63.440446</v>
          </cell>
          <cell r="CV36">
            <v>63.1360545</v>
          </cell>
          <cell r="CW36">
            <v>66.772574</v>
          </cell>
          <cell r="CX36">
            <v>64.056426</v>
          </cell>
          <cell r="CY36">
            <v>70.532176</v>
          </cell>
          <cell r="CZ36">
            <v>69.908382</v>
          </cell>
          <cell r="DA36">
            <v>77.5692</v>
          </cell>
          <cell r="DB36">
            <v>87.046812</v>
          </cell>
          <cell r="DC36">
            <v>78.657146</v>
          </cell>
          <cell r="DD36">
            <v>76.932426</v>
          </cell>
          <cell r="DE36">
            <v>80.436896</v>
          </cell>
        </row>
        <row r="36">
          <cell r="DG36">
            <v>72.129595</v>
          </cell>
          <cell r="DH36">
            <v>62.519583</v>
          </cell>
          <cell r="DI36">
            <v>70.313388</v>
          </cell>
          <cell r="DJ36">
            <v>75.565589</v>
          </cell>
          <cell r="DK36">
            <v>74.327884</v>
          </cell>
          <cell r="DL36">
            <v>69.495636</v>
          </cell>
          <cell r="DM36">
            <v>71.286587</v>
          </cell>
          <cell r="DN36">
            <v>75.917098</v>
          </cell>
          <cell r="DO36">
            <v>85.897062</v>
          </cell>
          <cell r="DP36">
            <v>79.088023</v>
          </cell>
          <cell r="DQ36">
            <v>76.008109</v>
          </cell>
          <cell r="DR36">
            <v>79.632552</v>
          </cell>
        </row>
        <row r="36">
          <cell r="DV36">
            <v>80.540946</v>
          </cell>
          <cell r="DW36">
            <v>80.615591</v>
          </cell>
          <cell r="DX36">
            <v>77.60986</v>
          </cell>
          <cell r="DY36">
            <v>71.092956</v>
          </cell>
          <cell r="DZ36">
            <v>73.4384755</v>
          </cell>
          <cell r="EA36">
            <v>73.916187</v>
          </cell>
          <cell r="EB36">
            <v>69.627046</v>
          </cell>
          <cell r="EC36">
            <v>83.492833</v>
          </cell>
          <cell r="ED36">
            <v>84.7954</v>
          </cell>
          <cell r="EE36">
            <v>78.695625</v>
          </cell>
          <cell r="EF36">
            <v>78.388408</v>
          </cell>
          <cell r="EG36">
            <v>80.8559589999999</v>
          </cell>
        </row>
        <row r="36">
          <cell r="FE36">
            <v>79.7589609999999</v>
          </cell>
          <cell r="FF36">
            <v>86.364798</v>
          </cell>
          <cell r="FG36">
            <v>81.628037</v>
          </cell>
          <cell r="FH36">
            <v>76.706924</v>
          </cell>
          <cell r="FI36">
            <v>82.06121</v>
          </cell>
          <cell r="FJ36">
            <v>76.1152520000001</v>
          </cell>
          <cell r="FK36">
            <v>77.8585809999999</v>
          </cell>
          <cell r="FL36">
            <v>80.066399</v>
          </cell>
          <cell r="FM36">
            <v>88.7314900000001</v>
          </cell>
          <cell r="FN36">
            <v>86.204375</v>
          </cell>
          <cell r="FO36">
            <v>79.339746</v>
          </cell>
          <cell r="FP36">
            <v>88.44</v>
          </cell>
        </row>
        <row r="36">
          <cell r="HP36">
            <v>91.1519610216825</v>
          </cell>
          <cell r="HQ36">
            <v>98.7013948306258</v>
          </cell>
          <cell r="HR36">
            <v>93.2880212281159</v>
          </cell>
          <cell r="HS36">
            <v>87.6639622542371</v>
          </cell>
          <cell r="HT36">
            <v>93.7830699087481</v>
          </cell>
          <cell r="HU36">
            <v>86.9877741193187</v>
          </cell>
          <cell r="HV36">
            <v>88.9801252616055</v>
          </cell>
          <cell r="HW36">
            <v>91.5033143522831</v>
          </cell>
          <cell r="HX36">
            <v>101.406151941671</v>
          </cell>
          <cell r="HY36">
            <v>98.5180565466306</v>
          </cell>
          <cell r="HZ36">
            <v>90.6728641420266</v>
          </cell>
          <cell r="IA36">
            <v>101.073024669386</v>
          </cell>
        </row>
        <row r="36">
          <cell r="IK36">
            <v>95.4570009087562</v>
          </cell>
          <cell r="IL36">
            <v>103.362988908175</v>
          </cell>
          <cell r="IM36">
            <v>97.6939456632214</v>
          </cell>
          <cell r="IN36">
            <v>91.804266532207</v>
          </cell>
          <cell r="IO36">
            <v>98.2123751279013</v>
          </cell>
          <cell r="IP36">
            <v>91.0961425304202</v>
          </cell>
          <cell r="IQ36">
            <v>93.1825909476363</v>
          </cell>
          <cell r="IR36">
            <v>95.8249483980095</v>
          </cell>
          <cell r="IS36">
            <v>106.195489702597</v>
          </cell>
          <cell r="IT36">
            <v>103.170991692254</v>
          </cell>
          <cell r="IU36">
            <v>94.9552766368471</v>
          </cell>
          <cell r="IV36">
            <v>105.84662907495</v>
          </cell>
        </row>
        <row r="36">
          <cell r="JF36">
            <v>99.9921102495184</v>
          </cell>
          <cell r="JG36">
            <v>108.273707368046</v>
          </cell>
          <cell r="JH36">
            <v>102.335331012597</v>
          </cell>
          <cell r="JI36">
            <v>96.1658364821157</v>
          </cell>
          <cell r="JJ36">
            <v>102.878390774535</v>
          </cell>
          <cell r="JK36">
            <v>95.4240699004829</v>
          </cell>
          <cell r="JL36">
            <v>97.6096443285296</v>
          </cell>
          <cell r="JM36">
            <v>100.37753872057</v>
          </cell>
          <cell r="JN36">
            <v>111.240778709292</v>
          </cell>
          <cell r="JO36">
            <v>108.07258847054</v>
          </cell>
          <cell r="JP36">
            <v>99.4665493348239</v>
          </cell>
          <cell r="JQ36">
            <v>110.87534390609</v>
          </cell>
        </row>
        <row r="43">
          <cell r="CG43">
            <v>0.850626</v>
          </cell>
          <cell r="CH43">
            <v>0.84115</v>
          </cell>
          <cell r="CI43">
            <v>0.808885</v>
          </cell>
          <cell r="CJ43">
            <v>0.811432</v>
          </cell>
          <cell r="CK43">
            <v>0.772806</v>
          </cell>
          <cell r="CL43">
            <v>0.781606</v>
          </cell>
          <cell r="CM43">
            <v>0.766743</v>
          </cell>
          <cell r="CN43">
            <v>0.78723</v>
          </cell>
          <cell r="CO43">
            <v>0.822177</v>
          </cell>
          <cell r="CP43">
            <v>0.653015</v>
          </cell>
          <cell r="CQ43">
            <v>0.764459</v>
          </cell>
          <cell r="CR43">
            <v>0.417</v>
          </cell>
        </row>
        <row r="43">
          <cell r="CT43">
            <v>1.115069</v>
          </cell>
          <cell r="CU43">
            <v>0.815745</v>
          </cell>
          <cell r="CV43">
            <v>0.760655</v>
          </cell>
          <cell r="CW43">
            <v>0.807323</v>
          </cell>
          <cell r="CX43">
            <v>0.67538</v>
          </cell>
          <cell r="CY43">
            <v>0.80567</v>
          </cell>
          <cell r="CZ43">
            <v>0.767763</v>
          </cell>
          <cell r="DA43">
            <v>0.727058</v>
          </cell>
          <cell r="DB43">
            <v>0.813521</v>
          </cell>
          <cell r="DC43">
            <v>0.735393</v>
          </cell>
          <cell r="DD43">
            <v>0.738009</v>
          </cell>
          <cell r="DE43">
            <v>0.817645</v>
          </cell>
        </row>
        <row r="43">
          <cell r="DG43">
            <v>0.811382</v>
          </cell>
          <cell r="DH43">
            <v>0.687753</v>
          </cell>
          <cell r="DI43">
            <v>0.782228</v>
          </cell>
          <cell r="DJ43">
            <v>0.806994</v>
          </cell>
          <cell r="DK43">
            <v>0.767551</v>
          </cell>
          <cell r="DL43">
            <v>0.730633</v>
          </cell>
          <cell r="DM43">
            <v>0.782965</v>
          </cell>
          <cell r="DN43">
            <v>0.753787</v>
          </cell>
          <cell r="DO43">
            <v>0.764057</v>
          </cell>
          <cell r="DP43">
            <v>0.648226</v>
          </cell>
          <cell r="DQ43">
            <v>0.627256</v>
          </cell>
          <cell r="DR43">
            <v>0.818623</v>
          </cell>
        </row>
        <row r="43">
          <cell r="DV43">
            <v>0.879329</v>
          </cell>
          <cell r="DW43">
            <v>0.879206</v>
          </cell>
          <cell r="DX43">
            <v>0.813468</v>
          </cell>
          <cell r="DY43">
            <v>0.740623</v>
          </cell>
          <cell r="DZ43">
            <v>0.756743</v>
          </cell>
          <cell r="EA43">
            <v>0.790529</v>
          </cell>
          <cell r="EB43">
            <v>0.736981</v>
          </cell>
          <cell r="EC43">
            <v>0.80415</v>
          </cell>
          <cell r="ED43">
            <v>0.844049</v>
          </cell>
          <cell r="EE43">
            <v>0.746537</v>
          </cell>
          <cell r="EF43">
            <v>0.71819</v>
          </cell>
          <cell r="EG43">
            <v>0.816185</v>
          </cell>
        </row>
        <row r="43">
          <cell r="FE43">
            <v>0.848615</v>
          </cell>
          <cell r="FF43">
            <v>0.886062</v>
          </cell>
          <cell r="FG43">
            <v>0.782066</v>
          </cell>
          <cell r="FH43">
            <v>0.757177</v>
          </cell>
          <cell r="FI43">
            <v>0.804778</v>
          </cell>
          <cell r="FJ43">
            <v>0.754882</v>
          </cell>
          <cell r="FK43">
            <v>0.783993</v>
          </cell>
          <cell r="FL43">
            <v>0.737626</v>
          </cell>
          <cell r="FM43">
            <v>0.779551</v>
          </cell>
          <cell r="FN43">
            <v>0.808689</v>
          </cell>
          <cell r="FO43">
            <v>0.727212</v>
          </cell>
          <cell r="FP43">
            <v>0.84</v>
          </cell>
        </row>
        <row r="43">
          <cell r="HP43">
            <v>0.858818602447451</v>
          </cell>
          <cell r="HQ43">
            <v>0.896715858807343</v>
          </cell>
          <cell r="HR43">
            <v>0.791469428588545</v>
          </cell>
          <cell r="HS43">
            <v>0.766281167485082</v>
          </cell>
          <cell r="HT43">
            <v>0.81445451381422</v>
          </cell>
          <cell r="HU43">
            <v>0.763958572795362</v>
          </cell>
          <cell r="HV43">
            <v>0.793419598508846</v>
          </cell>
          <cell r="HW43">
            <v>0.746495089585859</v>
          </cell>
          <cell r="HX43">
            <v>0.788924188656237</v>
          </cell>
          <cell r="HY43">
            <v>0.818412539013129</v>
          </cell>
          <cell r="HZ43">
            <v>0.735955873420827</v>
          </cell>
          <cell r="IA43">
            <v>0.850100017152488</v>
          </cell>
        </row>
        <row r="43">
          <cell r="IK43">
            <v>0.870787728329867</v>
          </cell>
          <cell r="IL43">
            <v>0.909213148647406</v>
          </cell>
          <cell r="IM43">
            <v>0.802499926991658</v>
          </cell>
          <cell r="IN43">
            <v>0.77696062380894</v>
          </cell>
          <cell r="IO43">
            <v>0.825805349221795</v>
          </cell>
          <cell r="IP43">
            <v>0.774605659736284</v>
          </cell>
          <cell r="IQ43">
            <v>0.80447727591018</v>
          </cell>
          <cell r="IR43">
            <v>0.756898792617437</v>
          </cell>
          <cell r="IS43">
            <v>0.799919214729031</v>
          </cell>
          <cell r="IT43">
            <v>0.829818536362605</v>
          </cell>
          <cell r="IU43">
            <v>0.746212694206701</v>
          </cell>
          <cell r="IV43">
            <v>0.861947634436215</v>
          </cell>
        </row>
        <row r="43">
          <cell r="JF43">
            <v>0.8750092499173</v>
          </cell>
          <cell r="JG43">
            <v>0.913620954143189</v>
          </cell>
          <cell r="JH43">
            <v>0.80639039381324</v>
          </cell>
          <cell r="JI43">
            <v>0.780727277769815</v>
          </cell>
          <cell r="JJ43">
            <v>0.829808799196272</v>
          </cell>
          <cell r="JK43">
            <v>0.778360896986349</v>
          </cell>
          <cell r="JL43">
            <v>0.808377328789161</v>
          </cell>
          <cell r="JM43">
            <v>0.760568188141263</v>
          </cell>
          <cell r="JN43">
            <v>0.803797170427439</v>
          </cell>
          <cell r="JO43">
            <v>0.833841442004173</v>
          </cell>
          <cell r="JP43">
            <v>0.749830284228843</v>
          </cell>
          <cell r="JQ43">
            <v>0.866126299830349</v>
          </cell>
        </row>
        <row r="46">
          <cell r="CG46">
            <v>803.002796767668</v>
          </cell>
          <cell r="CH46">
            <v>649.039038739027</v>
          </cell>
          <cell r="CI46">
            <v>573.288955114617</v>
          </cell>
          <cell r="CJ46">
            <v>776.234785796966</v>
          </cell>
          <cell r="CK46">
            <v>1063.16006873165</v>
          </cell>
          <cell r="CL46">
            <v>817.897245027652</v>
          </cell>
          <cell r="CM46">
            <v>677.755441547175</v>
          </cell>
          <cell r="CN46">
            <v>638.62</v>
          </cell>
          <cell r="CO46">
            <v>1027.11</v>
          </cell>
          <cell r="CP46">
            <v>1221.02768290285</v>
          </cell>
          <cell r="CQ46">
            <v>1210.79</v>
          </cell>
          <cell r="CR46">
            <v>1360.46673844303</v>
          </cell>
        </row>
        <row r="46">
          <cell r="CT46">
            <v>700.883191121226</v>
          </cell>
          <cell r="CU46">
            <v>652.515841899179</v>
          </cell>
          <cell r="CV46">
            <v>557.744076512743</v>
          </cell>
          <cell r="CW46">
            <v>1005.72579887347</v>
          </cell>
          <cell r="CX46">
            <v>937.29656875768</v>
          </cell>
          <cell r="CY46">
            <v>743.72</v>
          </cell>
          <cell r="CZ46">
            <v>613.03</v>
          </cell>
          <cell r="DA46">
            <v>504.954009414208</v>
          </cell>
          <cell r="DB46">
            <v>1080.42</v>
          </cell>
          <cell r="DC46">
            <v>1496.2531956607</v>
          </cell>
          <cell r="DD46">
            <v>1389.22311687039</v>
          </cell>
          <cell r="DE46">
            <v>2063.07707424606</v>
          </cell>
        </row>
        <row r="46">
          <cell r="DG46">
            <v>1072.59193717063</v>
          </cell>
          <cell r="DH46">
            <v>556.239089937373</v>
          </cell>
          <cell r="DI46">
            <v>545.389182946933</v>
          </cell>
          <cell r="DJ46">
            <v>935.437165580384</v>
          </cell>
          <cell r="DK46">
            <v>1428.66565815359</v>
          </cell>
          <cell r="DL46">
            <v>871.507398885458</v>
          </cell>
          <cell r="DM46">
            <v>1004.44518767881</v>
          </cell>
          <cell r="DN46">
            <v>394.882793219235</v>
          </cell>
          <cell r="DO46">
            <v>882.23348368295</v>
          </cell>
          <cell r="DP46">
            <v>1166.43524578621</v>
          </cell>
          <cell r="DQ46">
            <v>1197.76734866097</v>
          </cell>
          <cell r="DR46">
            <v>1668.76314684963</v>
          </cell>
        </row>
        <row r="46">
          <cell r="DV46">
            <v>1254.20211058848</v>
          </cell>
          <cell r="DW46">
            <v>593.193606162004</v>
          </cell>
          <cell r="DX46">
            <v>543.474133148526</v>
          </cell>
          <cell r="DY46">
            <v>780.52</v>
          </cell>
          <cell r="DZ46">
            <v>961.56</v>
          </cell>
          <cell r="EA46">
            <v>1043.74</v>
          </cell>
          <cell r="EB46">
            <v>701.02753478761</v>
          </cell>
          <cell r="EC46">
            <v>593.875110158624</v>
          </cell>
          <cell r="ED46">
            <v>1041.53916312042</v>
          </cell>
          <cell r="EE46">
            <v>1398.71766225091</v>
          </cell>
          <cell r="EF46">
            <v>1488.39335589008</v>
          </cell>
          <cell r="EG46">
            <v>1726.981694</v>
          </cell>
        </row>
        <row r="46">
          <cell r="FE46">
            <v>1266.95010928518</v>
          </cell>
          <cell r="FF46">
            <v>492.193237403279</v>
          </cell>
          <cell r="FG46">
            <v>634.453835266266</v>
          </cell>
          <cell r="FH46">
            <v>979.893971825415</v>
          </cell>
          <cell r="FI46">
            <v>1640.44173852728</v>
          </cell>
          <cell r="FJ46">
            <v>1234.67620518555</v>
          </cell>
          <cell r="FK46">
            <v>1811.8894396692</v>
          </cell>
          <cell r="FL46">
            <v>840.616979274728</v>
          </cell>
          <cell r="FM46">
            <v>1191.21261654491</v>
          </cell>
          <cell r="FN46">
            <v>1657.83421070719</v>
          </cell>
          <cell r="FO46">
            <v>1877.45986339152</v>
          </cell>
          <cell r="FP46">
            <v>2079.39</v>
          </cell>
        </row>
        <row r="46">
          <cell r="HP46">
            <v>1349.92598312597</v>
          </cell>
          <cell r="HQ46">
            <v>638.467640280526</v>
          </cell>
          <cell r="HR46">
            <v>584.953451521322</v>
          </cell>
          <cell r="HS46">
            <v>840.091257584557</v>
          </cell>
          <cell r="HT46">
            <v>1034.94868759674</v>
          </cell>
          <cell r="HU46">
            <v>1123.40087274036</v>
          </cell>
          <cell r="HV46">
            <v>754.531726670841</v>
          </cell>
          <cell r="HW46">
            <v>639.201158383291</v>
          </cell>
          <cell r="HX46">
            <v>1121.03206243197</v>
          </cell>
          <cell r="HY46">
            <v>1505.47132666184</v>
          </cell>
          <cell r="HZ46">
            <v>1601.99129571336</v>
          </cell>
          <cell r="IA46">
            <v>1858.78929833697</v>
          </cell>
        </row>
        <row r="46">
          <cell r="IK46">
            <v>1379.21799073767</v>
          </cell>
          <cell r="IL46">
            <v>652.321732440167</v>
          </cell>
          <cell r="IM46">
            <v>597.64634073794</v>
          </cell>
          <cell r="IN46">
            <v>858.32037519492</v>
          </cell>
          <cell r="IO46">
            <v>1057.4060113417</v>
          </cell>
          <cell r="IP46">
            <v>1147.7775180725</v>
          </cell>
          <cell r="IQ46">
            <v>770.904290320391</v>
          </cell>
          <cell r="IR46">
            <v>653.071167132521</v>
          </cell>
          <cell r="IS46">
            <v>1145.35730701292</v>
          </cell>
          <cell r="IT46">
            <v>1538.1385085007</v>
          </cell>
          <cell r="IU46">
            <v>1636.75286176548</v>
          </cell>
          <cell r="IV46">
            <v>1899.12311734336</v>
          </cell>
        </row>
        <row r="46">
          <cell r="JF46">
            <v>1405.67846267724</v>
          </cell>
          <cell r="JG46">
            <v>664.836607545276</v>
          </cell>
          <cell r="JH46">
            <v>609.112261524271</v>
          </cell>
          <cell r="JI46">
            <v>874.787360367333</v>
          </cell>
          <cell r="JJ46">
            <v>1077.69247967357</v>
          </cell>
          <cell r="JK46">
            <v>1169.7977752137</v>
          </cell>
          <cell r="JL46">
            <v>785.69418682631</v>
          </cell>
          <cell r="JM46">
            <v>665.600420237178</v>
          </cell>
          <cell r="JN46">
            <v>1167.33113209824</v>
          </cell>
          <cell r="JO46">
            <v>1567.64789071343</v>
          </cell>
          <cell r="JP46">
            <v>1668.15417284292</v>
          </cell>
          <cell r="JQ46">
            <v>1935.55803502404</v>
          </cell>
        </row>
        <row r="54">
          <cell r="CG54">
            <v>39.596774</v>
          </cell>
          <cell r="CH54">
            <v>40.309135</v>
          </cell>
          <cell r="CI54">
            <v>38.952576</v>
          </cell>
          <cell r="CJ54">
            <v>39.0937444</v>
          </cell>
          <cell r="CK54">
            <v>40.184036</v>
          </cell>
          <cell r="CL54">
            <v>39.51</v>
          </cell>
          <cell r="CM54">
            <v>42.541449</v>
          </cell>
          <cell r="CN54">
            <v>41.050427</v>
          </cell>
          <cell r="CO54">
            <v>41.551359</v>
          </cell>
          <cell r="CP54">
            <v>43.003093</v>
          </cell>
          <cell r="CQ54">
            <v>41.037552</v>
          </cell>
          <cell r="CR54">
            <v>37.20007</v>
          </cell>
        </row>
        <row r="54">
          <cell r="CT54">
            <v>45.4151409</v>
          </cell>
          <cell r="CU54">
            <v>41.22368106</v>
          </cell>
          <cell r="CV54">
            <v>40.33599186</v>
          </cell>
          <cell r="CW54">
            <v>44.05345225</v>
          </cell>
          <cell r="CX54">
            <v>36.911133</v>
          </cell>
          <cell r="CY54">
            <v>36.38</v>
          </cell>
          <cell r="CZ54">
            <v>38.78735625</v>
          </cell>
          <cell r="DA54">
            <v>39.129566</v>
          </cell>
          <cell r="DB54">
            <v>39.831662</v>
          </cell>
          <cell r="DC54">
            <v>38.81545775</v>
          </cell>
          <cell r="DD54">
            <v>36.45786175</v>
          </cell>
          <cell r="DE54">
            <v>40.8764126</v>
          </cell>
        </row>
        <row r="54">
          <cell r="DG54">
            <v>39.974317</v>
          </cell>
          <cell r="DH54">
            <v>37.89918</v>
          </cell>
          <cell r="DI54">
            <v>36.7185941</v>
          </cell>
          <cell r="DJ54">
            <v>37.23527875</v>
          </cell>
          <cell r="DK54">
            <v>37.20049</v>
          </cell>
          <cell r="DL54">
            <v>36.156446</v>
          </cell>
          <cell r="DM54">
            <v>39.504069</v>
          </cell>
          <cell r="DN54">
            <v>37.812615</v>
          </cell>
          <cell r="DO54">
            <v>39.7390975</v>
          </cell>
          <cell r="DP54">
            <v>38.91495325</v>
          </cell>
          <cell r="DQ54">
            <v>38.393703</v>
          </cell>
          <cell r="DR54">
            <v>42.636841</v>
          </cell>
        </row>
        <row r="54">
          <cell r="DV54">
            <v>40.484487</v>
          </cell>
          <cell r="DW54">
            <v>39.110261</v>
          </cell>
          <cell r="DX54">
            <v>36.011614</v>
          </cell>
          <cell r="DY54">
            <v>33.568339</v>
          </cell>
          <cell r="DZ54">
            <v>36.34499075</v>
          </cell>
          <cell r="EA54">
            <v>37.490599</v>
          </cell>
          <cell r="EB54">
            <v>39.630035</v>
          </cell>
          <cell r="EC54">
            <v>39.282273</v>
          </cell>
          <cell r="ED54">
            <v>41.373676</v>
          </cell>
          <cell r="EE54">
            <v>41.1030005</v>
          </cell>
          <cell r="EF54">
            <v>39.504416</v>
          </cell>
          <cell r="EG54">
            <v>42.763264</v>
          </cell>
        </row>
        <row r="54">
          <cell r="FE54">
            <v>40.720597</v>
          </cell>
          <cell r="FF54">
            <v>42.393444</v>
          </cell>
          <cell r="FG54">
            <v>39.64402</v>
          </cell>
          <cell r="FH54">
            <v>39.430268</v>
          </cell>
          <cell r="FI54">
            <v>41.998558</v>
          </cell>
          <cell r="FJ54">
            <v>40.215241</v>
          </cell>
          <cell r="FK54">
            <v>42.71799225</v>
          </cell>
          <cell r="FL54">
            <v>43.860212</v>
          </cell>
          <cell r="FM54">
            <v>43.556689</v>
          </cell>
          <cell r="FN54">
            <v>44.421229</v>
          </cell>
          <cell r="FO54">
            <v>41.10123</v>
          </cell>
          <cell r="FP54">
            <v>45.042973</v>
          </cell>
        </row>
        <row r="54">
          <cell r="HP54">
            <v>41.7778178602906</v>
          </cell>
          <cell r="HQ54">
            <v>43.4940966583184</v>
          </cell>
          <cell r="HR54">
            <v>40.6732899031347</v>
          </cell>
          <cell r="HS54">
            <v>40.4539883019506</v>
          </cell>
          <cell r="HT54">
            <v>43.0889583106763</v>
          </cell>
          <cell r="HU54">
            <v>41.2593414017405</v>
          </cell>
          <cell r="HV54">
            <v>43.8270710907752</v>
          </cell>
          <cell r="HW54">
            <v>44.9989460677537</v>
          </cell>
          <cell r="HX54">
            <v>44.6875427597322</v>
          </cell>
          <cell r="HY54">
            <v>45.5745286419121</v>
          </cell>
          <cell r="HZ54">
            <v>42.1683331600937</v>
          </cell>
          <cell r="IA54">
            <v>46.2124148592416</v>
          </cell>
        </row>
        <row r="54">
          <cell r="IK54">
            <v>42.7449380194073</v>
          </cell>
          <cell r="IL54">
            <v>44.5009471793651</v>
          </cell>
          <cell r="IM54">
            <v>41.6148412003916</v>
          </cell>
          <cell r="IN54">
            <v>41.3904629578151</v>
          </cell>
          <cell r="IO54">
            <v>44.0864302312287</v>
          </cell>
          <cell r="IP54">
            <v>42.2144592816389</v>
          </cell>
          <cell r="IQ54">
            <v>44.8416296804237</v>
          </cell>
          <cell r="IR54">
            <v>46.040632544215</v>
          </cell>
          <cell r="IS54">
            <v>45.7220205203671</v>
          </cell>
          <cell r="IT54">
            <v>46.6295393545163</v>
          </cell>
          <cell r="IU54">
            <v>43.1444934088614</v>
          </cell>
          <cell r="IV54">
            <v>47.2821920831572</v>
          </cell>
        </row>
        <row r="54">
          <cell r="JF54">
            <v>43.8503726439887</v>
          </cell>
          <cell r="JG54">
            <v>45.6517942765443</v>
          </cell>
          <cell r="JH54">
            <v>42.6910501853827</v>
          </cell>
          <cell r="JI54">
            <v>42.460869256223</v>
          </cell>
          <cell r="JJ54">
            <v>45.2265574301422</v>
          </cell>
          <cell r="JK54">
            <v>43.306175099</v>
          </cell>
          <cell r="JL54">
            <v>46.00128722979</v>
          </cell>
          <cell r="JM54">
            <v>47.2312977249412</v>
          </cell>
          <cell r="JN54">
            <v>46.9044460175357</v>
          </cell>
          <cell r="JO54">
            <v>47.8354343614844</v>
          </cell>
          <cell r="JP54">
            <v>44.2602610081156</v>
          </cell>
          <cell r="JQ54">
            <v>48.5049654611676</v>
          </cell>
        </row>
        <row r="64">
          <cell r="CG64">
            <v>6.699668</v>
          </cell>
          <cell r="CH64">
            <v>7.455792</v>
          </cell>
          <cell r="CI64">
            <v>6.460264</v>
          </cell>
          <cell r="CJ64">
            <v>7.08003</v>
          </cell>
          <cell r="CK64">
            <v>6.986888</v>
          </cell>
          <cell r="CL64">
            <v>6.41</v>
          </cell>
          <cell r="CM64">
            <v>5.88161</v>
          </cell>
          <cell r="CN64">
            <v>6.689935</v>
          </cell>
          <cell r="CO64">
            <v>6.17857472</v>
          </cell>
          <cell r="CP64">
            <v>5.9845786</v>
          </cell>
          <cell r="CQ64">
            <v>6.680032</v>
          </cell>
          <cell r="CR64">
            <v>4.02</v>
          </cell>
        </row>
        <row r="64">
          <cell r="CT64">
            <v>2.141105</v>
          </cell>
          <cell r="CU64">
            <v>6.077554</v>
          </cell>
          <cell r="CV64">
            <v>3.59016925</v>
          </cell>
          <cell r="CW64">
            <v>3.49083375</v>
          </cell>
          <cell r="CX64">
            <v>3.271898</v>
          </cell>
          <cell r="CY64">
            <v>3.65</v>
          </cell>
          <cell r="CZ64">
            <v>3.649295</v>
          </cell>
          <cell r="DA64">
            <v>3.419242</v>
          </cell>
          <cell r="DB64">
            <v>3.638594</v>
          </cell>
          <cell r="DC64">
            <v>3.606449</v>
          </cell>
          <cell r="DD64">
            <v>4.993773</v>
          </cell>
          <cell r="DE64">
            <v>6.1809067</v>
          </cell>
        </row>
        <row r="64">
          <cell r="DG64">
            <v>4.9724112</v>
          </cell>
          <cell r="DH64">
            <v>3.9698763</v>
          </cell>
          <cell r="DI64">
            <v>3.8782</v>
          </cell>
          <cell r="DJ64">
            <v>4.268814</v>
          </cell>
          <cell r="DK64">
            <v>4.424712</v>
          </cell>
          <cell r="DL64">
            <v>4.478792</v>
          </cell>
          <cell r="DM64">
            <v>5.1390957</v>
          </cell>
          <cell r="DN64">
            <v>6.1701034</v>
          </cell>
          <cell r="DO64">
            <v>5.851374</v>
          </cell>
          <cell r="DP64">
            <v>4.0501452</v>
          </cell>
          <cell r="DQ64">
            <v>5.9031316</v>
          </cell>
          <cell r="DR64">
            <v>8.2073661</v>
          </cell>
        </row>
        <row r="64">
          <cell r="DV64">
            <v>9.374641</v>
          </cell>
          <cell r="DW64">
            <v>7.187622</v>
          </cell>
          <cell r="DX64">
            <v>6.765159</v>
          </cell>
          <cell r="DY64">
            <v>6.72374275</v>
          </cell>
          <cell r="DZ64">
            <v>7.564866</v>
          </cell>
          <cell r="EA64">
            <v>6.704741</v>
          </cell>
          <cell r="EB64">
            <v>7.054721</v>
          </cell>
          <cell r="EC64">
            <v>7.1476982</v>
          </cell>
          <cell r="ED64">
            <v>7.117874</v>
          </cell>
          <cell r="EE64">
            <v>6.315293</v>
          </cell>
          <cell r="EF64">
            <v>7.218932</v>
          </cell>
          <cell r="EG64">
            <v>8.8987295</v>
          </cell>
        </row>
        <row r="64">
          <cell r="FE64">
            <v>7.871618</v>
          </cell>
          <cell r="FF64">
            <v>6.438644</v>
          </cell>
          <cell r="FG64">
            <v>7.633369</v>
          </cell>
          <cell r="FH64">
            <v>7.744419</v>
          </cell>
          <cell r="FI64">
            <v>8.981126</v>
          </cell>
          <cell r="FJ64">
            <v>8.335953</v>
          </cell>
          <cell r="FK64">
            <v>6.910908</v>
          </cell>
          <cell r="FL64">
            <v>7.983732</v>
          </cell>
          <cell r="FM64">
            <v>7.105351</v>
          </cell>
          <cell r="FN64">
            <v>7.278144</v>
          </cell>
          <cell r="FO64">
            <v>8.019773</v>
          </cell>
          <cell r="FP64">
            <v>10.243793</v>
          </cell>
        </row>
        <row r="64">
          <cell r="HP64">
            <v>10.1238531626828</v>
          </cell>
          <cell r="HQ64">
            <v>8.2808752181303</v>
          </cell>
          <cell r="HR64">
            <v>9.81743612210026</v>
          </cell>
          <cell r="HS64">
            <v>9.96025985842943</v>
          </cell>
          <cell r="HT64">
            <v>11.5508146939489</v>
          </cell>
          <cell r="HU64">
            <v>10.7210441542037</v>
          </cell>
          <cell r="HV64">
            <v>8.88826386300881</v>
          </cell>
          <cell r="HW64">
            <v>10.268045331749</v>
          </cell>
          <cell r="HX64">
            <v>9.13834108734966</v>
          </cell>
          <cell r="HY64">
            <v>9.36057379218105</v>
          </cell>
          <cell r="HZ64">
            <v>10.3143984184761</v>
          </cell>
          <cell r="IA64">
            <v>13.1747572304598</v>
          </cell>
        </row>
        <row r="64">
          <cell r="IK64">
            <v>11.6096636312734</v>
          </cell>
          <cell r="IL64">
            <v>9.49620409444622</v>
          </cell>
          <cell r="IM64">
            <v>11.2582758034485</v>
          </cell>
          <cell r="IN64">
            <v>11.4220608278555</v>
          </cell>
          <cell r="IO64">
            <v>13.2460507979533</v>
          </cell>
          <cell r="IP64">
            <v>12.2945003652495</v>
          </cell>
          <cell r="IQ64">
            <v>10.1927351234113</v>
          </cell>
          <cell r="IR64">
            <v>11.7750179241718</v>
          </cell>
          <cell r="IS64">
            <v>10.479514515584</v>
          </cell>
          <cell r="IT64">
            <v>10.7343628336602</v>
          </cell>
          <cell r="IU64">
            <v>11.8281739445649</v>
          </cell>
          <cell r="IV64">
            <v>15.1083285594388</v>
          </cell>
        </row>
        <row r="64">
          <cell r="JF64">
            <v>12.727133320712</v>
          </cell>
          <cell r="JG64">
            <v>10.4102461009417</v>
          </cell>
          <cell r="JH64">
            <v>12.3419232169536</v>
          </cell>
          <cell r="JI64">
            <v>12.5214731081278</v>
          </cell>
          <cell r="JJ64">
            <v>14.5210283288789</v>
          </cell>
          <cell r="JK64">
            <v>13.4778879242094</v>
          </cell>
          <cell r="JL64">
            <v>11.173820615174</v>
          </cell>
          <cell r="JM64">
            <v>12.9084035278179</v>
          </cell>
          <cell r="JN64">
            <v>11.4882035011676</v>
          </cell>
          <cell r="JO64">
            <v>11.7675818383641</v>
          </cell>
          <cell r="JP64">
            <v>12.9666759963258</v>
          </cell>
          <cell r="JQ64">
            <v>16.5625566714208</v>
          </cell>
        </row>
        <row r="69">
          <cell r="CG69">
            <v>3.306331</v>
          </cell>
          <cell r="CH69">
            <v>3.702237</v>
          </cell>
          <cell r="CI69">
            <v>3.389874</v>
          </cell>
          <cell r="CJ69">
            <v>3.622246</v>
          </cell>
          <cell r="CK69">
            <v>3.36</v>
          </cell>
          <cell r="CL69">
            <v>3.57</v>
          </cell>
          <cell r="CM69">
            <v>3.481424</v>
          </cell>
          <cell r="CN69">
            <v>3.64040799</v>
          </cell>
          <cell r="CO69">
            <v>3.87637443</v>
          </cell>
          <cell r="CP69">
            <v>4.161525</v>
          </cell>
          <cell r="CQ69">
            <v>4.474799</v>
          </cell>
          <cell r="CR69">
            <v>2.28412</v>
          </cell>
        </row>
        <row r="69">
          <cell r="CT69">
            <v>3.94086732</v>
          </cell>
          <cell r="CU69">
            <v>4.516936</v>
          </cell>
          <cell r="CV69">
            <v>3.017399</v>
          </cell>
          <cell r="CW69">
            <v>3.306336</v>
          </cell>
          <cell r="CX69">
            <v>3.423059</v>
          </cell>
          <cell r="CY69">
            <v>3.922136</v>
          </cell>
          <cell r="CZ69">
            <v>4.317746</v>
          </cell>
          <cell r="DA69">
            <v>4.214107</v>
          </cell>
          <cell r="DB69">
            <v>5.094679</v>
          </cell>
          <cell r="DC69">
            <v>5.290805</v>
          </cell>
          <cell r="DD69">
            <v>5.583481</v>
          </cell>
          <cell r="DE69">
            <v>6.801739</v>
          </cell>
        </row>
        <row r="69">
          <cell r="DG69">
            <v>6.329285</v>
          </cell>
          <cell r="DH69">
            <v>5.696465</v>
          </cell>
          <cell r="DI69">
            <v>5.892033</v>
          </cell>
          <cell r="DJ69">
            <v>6.324905</v>
          </cell>
          <cell r="DK69">
            <v>6.69901</v>
          </cell>
          <cell r="DL69">
            <v>6.614965</v>
          </cell>
          <cell r="DM69">
            <v>7.313747</v>
          </cell>
          <cell r="DN69">
            <v>6.741851</v>
          </cell>
          <cell r="DO69">
            <v>7.121061</v>
          </cell>
          <cell r="DP69">
            <v>7.045018</v>
          </cell>
          <cell r="DQ69">
            <v>7.455261</v>
          </cell>
          <cell r="DR69">
            <v>9.054385</v>
          </cell>
        </row>
        <row r="69">
          <cell r="DV69">
            <v>9.1814284</v>
          </cell>
          <cell r="DW69">
            <v>8.863599</v>
          </cell>
          <cell r="DX69">
            <v>8.21191</v>
          </cell>
          <cell r="DY69">
            <v>7.270117</v>
          </cell>
          <cell r="DZ69">
            <v>7.527117</v>
          </cell>
          <cell r="EA69">
            <v>7.597726</v>
          </cell>
          <cell r="EB69">
            <v>7.181891</v>
          </cell>
          <cell r="EC69">
            <v>7.709997</v>
          </cell>
          <cell r="ED69">
            <v>8.04304</v>
          </cell>
          <cell r="EE69">
            <v>7.992419</v>
          </cell>
          <cell r="EF69">
            <v>8.073885</v>
          </cell>
          <cell r="EG69">
            <v>8.685037</v>
          </cell>
        </row>
        <row r="69">
          <cell r="FE69">
            <v>8.949712</v>
          </cell>
          <cell r="FF69">
            <v>10.139776</v>
          </cell>
          <cell r="FG69">
            <v>9.548661</v>
          </cell>
          <cell r="FH69">
            <v>8.274876</v>
          </cell>
          <cell r="FI69">
            <v>9.496726</v>
          </cell>
          <cell r="FJ69">
            <v>8.88412</v>
          </cell>
          <cell r="FK69">
            <v>9.257893</v>
          </cell>
          <cell r="FL69">
            <v>8.903807</v>
          </cell>
          <cell r="FM69">
            <v>8.853159</v>
          </cell>
          <cell r="FN69">
            <v>9.808557</v>
          </cell>
          <cell r="FO69">
            <v>9.524462</v>
          </cell>
          <cell r="FP69">
            <v>11.792013</v>
          </cell>
        </row>
        <row r="69">
          <cell r="HP69">
            <v>21.6857649030413</v>
          </cell>
          <cell r="HQ69">
            <v>24.5693714507797</v>
          </cell>
          <cell r="HR69">
            <v>23.1370593360814</v>
          </cell>
          <cell r="HS69">
            <v>20.0505910735249</v>
          </cell>
          <cell r="HT69">
            <v>23.0112172754386</v>
          </cell>
          <cell r="HU69">
            <v>21.5268309963949</v>
          </cell>
          <cell r="HV69">
            <v>22.4325085651373</v>
          </cell>
          <cell r="HW69">
            <v>21.5745339452324</v>
          </cell>
          <cell r="HX69">
            <v>21.4518103737019</v>
          </cell>
          <cell r="HY69">
            <v>23.7668051374257</v>
          </cell>
          <cell r="HZ69">
            <v>23.0784235023374</v>
          </cell>
          <cell r="IA69">
            <v>28.5728548194185</v>
          </cell>
        </row>
        <row r="69">
          <cell r="IK69">
            <v>27.6012698309839</v>
          </cell>
          <cell r="IL69">
            <v>31.271474814132</v>
          </cell>
          <cell r="IM69">
            <v>29.4484525072531</v>
          </cell>
          <cell r="IN69">
            <v>25.5200486109422</v>
          </cell>
          <cell r="IO69">
            <v>29.2882828896528</v>
          </cell>
          <cell r="IP69">
            <v>27.398981479051</v>
          </cell>
          <cell r="IQ69">
            <v>28.5517123634121</v>
          </cell>
          <cell r="IR69">
            <v>27.4596969746069</v>
          </cell>
          <cell r="IS69">
            <v>27.3034965164917</v>
          </cell>
          <cell r="IT69">
            <v>30.249982168095</v>
          </cell>
          <cell r="IU69">
            <v>29.3738218231998</v>
          </cell>
          <cell r="IV69">
            <v>36.3670398179819</v>
          </cell>
        </row>
        <row r="69">
          <cell r="JF69">
            <v>35.72250084892</v>
          </cell>
          <cell r="JG69">
            <v>40.4726047908423</v>
          </cell>
          <cell r="JH69">
            <v>38.113187405198</v>
          </cell>
          <cell r="JI69">
            <v>33.028913660541</v>
          </cell>
          <cell r="JJ69">
            <v>37.905890446191</v>
          </cell>
          <cell r="JK69">
            <v>35.4606923934432</v>
          </cell>
          <cell r="JL69">
            <v>36.9525958546723</v>
          </cell>
          <cell r="JM69">
            <v>35.5392724498978</v>
          </cell>
          <cell r="JN69">
            <v>35.3371125119025</v>
          </cell>
          <cell r="JO69">
            <v>39.1505543149523</v>
          </cell>
          <cell r="JP69">
            <v>38.0165978391826</v>
          </cell>
          <cell r="JQ69">
            <v>47.0674580816652</v>
          </cell>
        </row>
        <row r="70">
          <cell r="CL70">
            <v>0</v>
          </cell>
          <cell r="CM70">
            <v>0</v>
          </cell>
          <cell r="CN70">
            <v>0</v>
          </cell>
          <cell r="CO70">
            <v>2.5e-5</v>
          </cell>
          <cell r="CP70">
            <v>8.3e-5</v>
          </cell>
          <cell r="CQ70">
            <v>0</v>
          </cell>
          <cell r="CR70">
            <v>0</v>
          </cell>
        </row>
        <row r="70">
          <cell r="CT70">
            <v>5.2e-5</v>
          </cell>
          <cell r="CU70">
            <v>0.000643</v>
          </cell>
          <cell r="CV70">
            <v>0.0004393</v>
          </cell>
          <cell r="CW70">
            <v>0.000616</v>
          </cell>
          <cell r="CX70">
            <v>0.00096</v>
          </cell>
          <cell r="CY70">
            <v>0.00159</v>
          </cell>
          <cell r="CZ70">
            <v>0.000971</v>
          </cell>
          <cell r="DA70">
            <v>0.006312</v>
          </cell>
          <cell r="DB70">
            <v>0.002167</v>
          </cell>
          <cell r="DC70">
            <v>0.001029</v>
          </cell>
          <cell r="DD70">
            <v>0.003907</v>
          </cell>
          <cell r="DE70">
            <v>0.000816</v>
          </cell>
        </row>
        <row r="70">
          <cell r="DG70">
            <v>0.002711</v>
          </cell>
          <cell r="DH70">
            <v>0.001399</v>
          </cell>
          <cell r="DI70">
            <v>0.002161</v>
          </cell>
          <cell r="DJ70">
            <v>0.004707</v>
          </cell>
          <cell r="DK70">
            <v>0.0063</v>
          </cell>
          <cell r="DL70">
            <v>0.009721</v>
          </cell>
          <cell r="DM70">
            <v>0.012039</v>
          </cell>
          <cell r="DN70">
            <v>0.012754</v>
          </cell>
          <cell r="DO70">
            <v>0.01836</v>
          </cell>
          <cell r="DP70">
            <v>0.017074</v>
          </cell>
          <cell r="DQ70">
            <v>0.020971</v>
          </cell>
          <cell r="DR70">
            <v>0.02218</v>
          </cell>
        </row>
        <row r="70">
          <cell r="DV70">
            <v>0.025866</v>
          </cell>
          <cell r="DW70">
            <v>0.027789</v>
          </cell>
          <cell r="DX70">
            <v>0.030726</v>
          </cell>
          <cell r="DY70">
            <v>0.030687</v>
          </cell>
          <cell r="DZ70">
            <v>0.033495</v>
          </cell>
          <cell r="EA70">
            <v>0.043436</v>
          </cell>
          <cell r="EB70">
            <v>0.043189</v>
          </cell>
          <cell r="EC70">
            <v>0.053362</v>
          </cell>
          <cell r="ED70">
            <v>0.056037</v>
          </cell>
          <cell r="EE70">
            <v>0.05953</v>
          </cell>
          <cell r="EF70">
            <v>0.059889</v>
          </cell>
          <cell r="EG70">
            <v>0.068201</v>
          </cell>
        </row>
        <row r="70">
          <cell r="FE70">
            <v>0.075772</v>
          </cell>
          <cell r="FF70">
            <v>0.091755</v>
          </cell>
          <cell r="FG70">
            <v>0.094195</v>
          </cell>
          <cell r="FH70">
            <v>0.127181</v>
          </cell>
          <cell r="FI70">
            <v>0.152761</v>
          </cell>
          <cell r="FJ70">
            <v>0.148528</v>
          </cell>
          <cell r="FK70">
            <v>0.196572</v>
          </cell>
          <cell r="FL70">
            <v>0.2374</v>
          </cell>
          <cell r="FM70">
            <v>0.239067</v>
          </cell>
          <cell r="FN70">
            <v>0.307397</v>
          </cell>
          <cell r="FO70">
            <v>0.269827</v>
          </cell>
          <cell r="FP70">
            <v>0.341855</v>
          </cell>
        </row>
        <row r="70">
          <cell r="HP70">
            <v>0.100852532</v>
          </cell>
          <cell r="HQ70">
            <v>0.122125905</v>
          </cell>
          <cell r="HR70">
            <v>0.125373545</v>
          </cell>
          <cell r="HS70">
            <v>0.169277911</v>
          </cell>
          <cell r="HT70">
            <v>0.203324891</v>
          </cell>
          <cell r="HU70">
            <v>0.197690768</v>
          </cell>
          <cell r="HV70">
            <v>0.261637332</v>
          </cell>
          <cell r="HW70">
            <v>0.3159794</v>
          </cell>
          <cell r="HX70">
            <v>0.318198177</v>
          </cell>
          <cell r="HY70">
            <v>0.409145407</v>
          </cell>
          <cell r="HZ70">
            <v>0.359139737</v>
          </cell>
          <cell r="IA70">
            <v>0.455009005</v>
          </cell>
        </row>
        <row r="70">
          <cell r="IK70">
            <v>0.1109377852</v>
          </cell>
          <cell r="IL70">
            <v>0.1343384955</v>
          </cell>
          <cell r="IM70">
            <v>0.1379108995</v>
          </cell>
          <cell r="IN70">
            <v>0.1862057021</v>
          </cell>
          <cell r="IO70">
            <v>0.2236573801</v>
          </cell>
          <cell r="IP70">
            <v>0.2174598448</v>
          </cell>
          <cell r="IQ70">
            <v>0.2878010652</v>
          </cell>
          <cell r="IR70">
            <v>0.34757734</v>
          </cell>
          <cell r="IS70">
            <v>0.3500179947</v>
          </cell>
          <cell r="IT70">
            <v>0.4500599477</v>
          </cell>
          <cell r="IU70">
            <v>0.3950537107</v>
          </cell>
          <cell r="IV70">
            <v>0.5005099055</v>
          </cell>
        </row>
        <row r="70">
          <cell r="JF70">
            <v>0.12203156372</v>
          </cell>
          <cell r="JG70">
            <v>0.14777234505</v>
          </cell>
          <cell r="JH70">
            <v>0.15170198945</v>
          </cell>
          <cell r="JI70">
            <v>0.20482627231</v>
          </cell>
          <cell r="JJ70">
            <v>0.24602311811</v>
          </cell>
          <cell r="JK70">
            <v>0.23920582928</v>
          </cell>
          <cell r="JL70">
            <v>0.31658117172</v>
          </cell>
          <cell r="JM70">
            <v>0.382335074</v>
          </cell>
          <cell r="JN70">
            <v>0.38501979417</v>
          </cell>
          <cell r="JO70">
            <v>0.49506594247</v>
          </cell>
          <cell r="JP70">
            <v>0.43455908177</v>
          </cell>
          <cell r="JQ70">
            <v>0.55056089605</v>
          </cell>
        </row>
        <row r="89">
          <cell r="CG89">
            <v>306.4062041324</v>
          </cell>
          <cell r="CH89">
            <v>303.426912033253</v>
          </cell>
          <cell r="CI89">
            <v>313.617830779067</v>
          </cell>
          <cell r="CJ89">
            <v>302.286195540025</v>
          </cell>
          <cell r="CK89">
            <v>300.537060824971</v>
          </cell>
          <cell r="CL89">
            <v>298.376113303519</v>
          </cell>
          <cell r="CM89">
            <v>270.034982081941</v>
          </cell>
          <cell r="CN89">
            <v>302.381370717692</v>
          </cell>
          <cell r="CO89">
            <v>311.846913116749</v>
          </cell>
          <cell r="CP89">
            <v>316.216871389554</v>
          </cell>
          <cell r="CQ89">
            <v>328.230280838616</v>
          </cell>
          <cell r="CR89">
            <v>307.763601589577</v>
          </cell>
        </row>
        <row r="89">
          <cell r="CT89">
            <v>179.85</v>
          </cell>
          <cell r="CU89">
            <v>226.56</v>
          </cell>
          <cell r="CV89">
            <v>284.68</v>
          </cell>
          <cell r="CW89">
            <v>284.77</v>
          </cell>
          <cell r="CX89">
            <v>286.1</v>
          </cell>
          <cell r="CY89">
            <v>302.35</v>
          </cell>
          <cell r="CZ89">
            <v>296.49</v>
          </cell>
          <cell r="DA89">
            <v>312.36</v>
          </cell>
          <cell r="DB89">
            <v>321.46</v>
          </cell>
          <cell r="DC89">
            <v>328.87</v>
          </cell>
          <cell r="DD89">
            <v>328.01</v>
          </cell>
          <cell r="DE89">
            <v>308.7168271</v>
          </cell>
        </row>
        <row r="89">
          <cell r="DG89">
            <v>332.544070280001</v>
          </cell>
          <cell r="DH89">
            <v>296.7444354</v>
          </cell>
          <cell r="DI89">
            <v>301.99576105</v>
          </cell>
          <cell r="DJ89">
            <v>321.228852779999</v>
          </cell>
          <cell r="DK89">
            <v>326.266262549999</v>
          </cell>
          <cell r="DL89">
            <v>320.032160720001</v>
          </cell>
          <cell r="DM89">
            <v>309.161398929999</v>
          </cell>
          <cell r="DN89">
            <v>330.646328459999</v>
          </cell>
          <cell r="DO89">
            <v>334.94531104</v>
          </cell>
          <cell r="DP89">
            <v>337.16304669</v>
          </cell>
          <cell r="DQ89">
            <v>334.920558119999</v>
          </cell>
          <cell r="DR89">
            <v>315.07038202</v>
          </cell>
        </row>
        <row r="89">
          <cell r="DV89">
            <v>357.57</v>
          </cell>
          <cell r="DW89">
            <v>327.5</v>
          </cell>
          <cell r="DX89">
            <v>348.82</v>
          </cell>
          <cell r="DY89">
            <v>312.31955297</v>
          </cell>
          <cell r="DZ89">
            <v>327.19917946</v>
          </cell>
          <cell r="EA89">
            <v>333.60409199</v>
          </cell>
          <cell r="EB89">
            <v>317.66043277</v>
          </cell>
          <cell r="EC89">
            <v>339.20359666</v>
          </cell>
          <cell r="ED89">
            <v>342.10168914</v>
          </cell>
          <cell r="EE89">
            <v>353.62049077</v>
          </cell>
          <cell r="EF89">
            <v>353.18132207</v>
          </cell>
          <cell r="EG89">
            <v>484.70135107</v>
          </cell>
        </row>
        <row r="89">
          <cell r="FE89">
            <v>362.88682449</v>
          </cell>
          <cell r="FF89">
            <v>374.0935878763</v>
          </cell>
          <cell r="FG89">
            <v>363.37377417</v>
          </cell>
          <cell r="FH89">
            <v>351.3242816</v>
          </cell>
          <cell r="FI89">
            <v>365.966719575</v>
          </cell>
          <cell r="FJ89">
            <v>344.15582251</v>
          </cell>
          <cell r="FK89">
            <v>351.440946</v>
          </cell>
          <cell r="FL89">
            <v>356.46039621</v>
          </cell>
          <cell r="FM89">
            <v>375.2858891</v>
          </cell>
          <cell r="FN89">
            <v>364.71863051</v>
          </cell>
          <cell r="FO89">
            <v>359.56107405</v>
          </cell>
          <cell r="FP89">
            <v>374.996081645</v>
          </cell>
        </row>
        <row r="89">
          <cell r="HP89">
            <v>441.587290768964</v>
          </cell>
          <cell r="HQ89">
            <v>455.231290546719</v>
          </cell>
          <cell r="HR89">
            <v>442.236152578642</v>
          </cell>
          <cell r="HS89">
            <v>427.544436939386</v>
          </cell>
          <cell r="HT89">
            <v>445.264452892438</v>
          </cell>
          <cell r="HU89">
            <v>418.731794827434</v>
          </cell>
          <cell r="HV89">
            <v>427.627013637985</v>
          </cell>
          <cell r="HW89">
            <v>433.726300251689</v>
          </cell>
          <cell r="HX89">
            <v>456.617230184961</v>
          </cell>
          <cell r="HY89">
            <v>443.744078300231</v>
          </cell>
          <cell r="HZ89">
            <v>437.5022318874</v>
          </cell>
          <cell r="IA89">
            <v>456.401171495223</v>
          </cell>
        </row>
        <row r="89">
          <cell r="IK89">
            <v>470.260446609344</v>
          </cell>
          <cell r="IL89">
            <v>484.792033808526</v>
          </cell>
          <cell r="IM89">
            <v>470.965166651277</v>
          </cell>
          <cell r="IN89">
            <v>455.312416150867</v>
          </cell>
          <cell r="IO89">
            <v>474.159143799044</v>
          </cell>
          <cell r="IP89">
            <v>445.905724206725</v>
          </cell>
          <cell r="IQ89">
            <v>455.385876732686</v>
          </cell>
          <cell r="IR89">
            <v>461.879069666434</v>
          </cell>
          <cell r="IS89">
            <v>486.252134136544</v>
          </cell>
          <cell r="IT89">
            <v>472.539656129902</v>
          </cell>
          <cell r="IU89">
            <v>465.90086265529</v>
          </cell>
          <cell r="IV89">
            <v>486.055346996795</v>
          </cell>
        </row>
        <row r="89">
          <cell r="JF89">
            <v>498.754101685561</v>
          </cell>
          <cell r="JG89">
            <v>514.1688105811</v>
          </cell>
          <cell r="JH89">
            <v>499.523377487292</v>
          </cell>
          <cell r="JI89">
            <v>482.910947142268</v>
          </cell>
          <cell r="JJ89">
            <v>502.861590208619</v>
          </cell>
          <cell r="JK89">
            <v>472.899537670895</v>
          </cell>
          <cell r="JL89">
            <v>482.965806029267</v>
          </cell>
          <cell r="JM89">
            <v>489.849033646691</v>
          </cell>
          <cell r="JN89">
            <v>515.692172784915</v>
          </cell>
          <cell r="JO89">
            <v>501.143351508528</v>
          </cell>
          <cell r="JP89">
            <v>494.115598667639</v>
          </cell>
          <cell r="JQ89">
            <v>515.536485498071</v>
          </cell>
        </row>
        <row r="104">
          <cell r="CG104">
            <v>0</v>
          </cell>
          <cell r="CH104">
            <v>0</v>
          </cell>
          <cell r="CI104">
            <v>0</v>
          </cell>
        </row>
        <row r="104"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</row>
        <row r="104">
          <cell r="DZ104">
            <v>0.4101</v>
          </cell>
          <cell r="EA104">
            <v>0.0015</v>
          </cell>
          <cell r="EB104">
            <v>0</v>
          </cell>
          <cell r="EC104">
            <v>0</v>
          </cell>
          <cell r="ED104">
            <v>0</v>
          </cell>
        </row>
        <row r="104">
          <cell r="EG104">
            <v>0.001803</v>
          </cell>
        </row>
        <row r="104">
          <cell r="FE104">
            <v>0.01</v>
          </cell>
          <cell r="FF104">
            <v>0.022768</v>
          </cell>
          <cell r="FG104">
            <v>0.008504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0.064561</v>
          </cell>
          <cell r="FM104">
            <v>0.101625</v>
          </cell>
          <cell r="FN104">
            <v>0.040763</v>
          </cell>
          <cell r="FO104">
            <v>0.014582</v>
          </cell>
          <cell r="FP104">
            <v>0</v>
          </cell>
        </row>
        <row r="104">
          <cell r="HP104">
            <v>0.01061208</v>
          </cell>
          <cell r="HQ104">
            <v>0.024161583744</v>
          </cell>
          <cell r="HR104">
            <v>0.009024512832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0.068512649688</v>
          </cell>
          <cell r="HX104">
            <v>0.107845263</v>
          </cell>
          <cell r="HY104">
            <v>0.043258021704</v>
          </cell>
          <cell r="HZ104">
            <v>0.015474535056</v>
          </cell>
          <cell r="IA104">
            <v>0</v>
          </cell>
        </row>
        <row r="104">
          <cell r="IK104">
            <v>0.0108243216</v>
          </cell>
          <cell r="IL104">
            <v>0.02464481541888</v>
          </cell>
          <cell r="IM104">
            <v>0.00920500308864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0.06988290268176</v>
          </cell>
          <cell r="IS104">
            <v>0.11000216826</v>
          </cell>
          <cell r="IT104">
            <v>0.04412318213808</v>
          </cell>
          <cell r="IU104">
            <v>0.01578402575712</v>
          </cell>
          <cell r="IV104">
            <v>0</v>
          </cell>
        </row>
        <row r="104">
          <cell r="JF104">
            <v>0.011040808032</v>
          </cell>
          <cell r="JG104">
            <v>0.0251377117272576</v>
          </cell>
          <cell r="JH104">
            <v>0.0093891031504128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0.0712805607353952</v>
          </cell>
          <cell r="JN104">
            <v>0.1122022116252</v>
          </cell>
          <cell r="JO104">
            <v>0.0450056457808416</v>
          </cell>
          <cell r="JP104">
            <v>0.0160997062722624</v>
          </cell>
          <cell r="JQ104">
            <v>0</v>
          </cell>
        </row>
        <row r="110">
          <cell r="CG110">
            <v>153.17</v>
          </cell>
          <cell r="CH110">
            <v>160.67</v>
          </cell>
          <cell r="CI110">
            <v>171.93</v>
          </cell>
          <cell r="CJ110">
            <v>143.08</v>
          </cell>
          <cell r="CK110">
            <v>138.64</v>
          </cell>
          <cell r="CL110">
            <v>136.23</v>
          </cell>
          <cell r="CM110">
            <v>128.39563286</v>
          </cell>
          <cell r="CN110">
            <v>136.43721588</v>
          </cell>
          <cell r="CO110">
            <v>122.81</v>
          </cell>
          <cell r="CP110">
            <v>117.4</v>
          </cell>
          <cell r="CQ110">
            <v>128.05227648</v>
          </cell>
          <cell r="CR110">
            <v>127.30796073</v>
          </cell>
        </row>
        <row r="110">
          <cell r="CT110">
            <v>82.26</v>
          </cell>
          <cell r="CU110">
            <v>85.21</v>
          </cell>
          <cell r="CV110">
            <v>106.06</v>
          </cell>
          <cell r="CW110">
            <v>96.06</v>
          </cell>
          <cell r="CX110">
            <v>97.93</v>
          </cell>
          <cell r="CY110">
            <v>100.08</v>
          </cell>
          <cell r="CZ110">
            <v>101.43</v>
          </cell>
          <cell r="DA110">
            <v>102.75</v>
          </cell>
          <cell r="DB110">
            <v>96.2</v>
          </cell>
          <cell r="DC110">
            <v>98.12473311</v>
          </cell>
          <cell r="DD110">
            <v>105.462729</v>
          </cell>
          <cell r="DE110">
            <v>110.210156</v>
          </cell>
        </row>
        <row r="110">
          <cell r="DG110">
            <v>135.33931926</v>
          </cell>
        </row>
        <row r="110">
          <cell r="DV110">
            <v>171.84</v>
          </cell>
          <cell r="DW110">
            <v>174.25</v>
          </cell>
          <cell r="DX110">
            <v>179.79</v>
          </cell>
          <cell r="DY110">
            <v>144.86727249</v>
          </cell>
          <cell r="DZ110">
            <v>147.16457658</v>
          </cell>
          <cell r="EA110">
            <v>156.13046103</v>
          </cell>
          <cell r="EB110">
            <v>146.79458573</v>
          </cell>
          <cell r="EC110">
            <v>138.89520262</v>
          </cell>
          <cell r="ED110">
            <v>135.99557205</v>
          </cell>
          <cell r="EE110">
            <v>138.72055816</v>
          </cell>
          <cell r="EF110">
            <v>140.38698099</v>
          </cell>
          <cell r="EG110">
            <v>215.39694602</v>
          </cell>
        </row>
        <row r="110">
          <cell r="FE110">
            <v>178.61266854</v>
          </cell>
          <cell r="FF110">
            <v>197.35804309</v>
          </cell>
          <cell r="FG110">
            <v>197.8616787</v>
          </cell>
          <cell r="FH110">
            <v>168.864294745</v>
          </cell>
          <cell r="FI110">
            <v>182.21122151</v>
          </cell>
          <cell r="FJ110">
            <v>169.63353952</v>
          </cell>
          <cell r="FK110">
            <v>177.05802558</v>
          </cell>
          <cell r="FL110">
            <v>164.02570589</v>
          </cell>
          <cell r="FM110">
            <v>151.70707607</v>
          </cell>
          <cell r="FN110">
            <v>152.10558941</v>
          </cell>
          <cell r="FO110">
            <v>166.69980197</v>
          </cell>
          <cell r="FP110">
            <v>198.55744058</v>
          </cell>
        </row>
        <row r="110">
          <cell r="HP110">
            <v>279.793413668117</v>
          </cell>
          <cell r="HQ110">
            <v>309.15769324976</v>
          </cell>
          <cell r="HR110">
            <v>309.946629038686</v>
          </cell>
          <cell r="HS110">
            <v>264.522767951265</v>
          </cell>
          <cell r="HT110">
            <v>285.430479773069</v>
          </cell>
          <cell r="HU110">
            <v>265.727775542848</v>
          </cell>
          <cell r="HV110">
            <v>277.35809446949</v>
          </cell>
          <cell r="HW110">
            <v>256.943208762417</v>
          </cell>
          <cell r="HX110">
            <v>237.646304924492</v>
          </cell>
          <cell r="HY110">
            <v>238.270568638271</v>
          </cell>
          <cell r="HZ110">
            <v>261.132130392756</v>
          </cell>
          <cell r="IA110">
            <v>311.036527045902</v>
          </cell>
        </row>
        <row r="110">
          <cell r="IK110">
            <v>329.677578180817</v>
          </cell>
          <cell r="IL110">
            <v>364.277193842191</v>
          </cell>
          <cell r="IM110">
            <v>365.20678841993</v>
          </cell>
          <cell r="IN110">
            <v>311.684340129972</v>
          </cell>
          <cell r="IO110">
            <v>336.319672707496</v>
          </cell>
          <cell r="IP110">
            <v>313.104187649877</v>
          </cell>
          <cell r="IQ110">
            <v>326.808067691006</v>
          </cell>
          <cell r="IR110">
            <v>302.753426838276</v>
          </cell>
          <cell r="IS110">
            <v>280.016092030168</v>
          </cell>
          <cell r="IT110">
            <v>280.751655268083</v>
          </cell>
          <cell r="IU110">
            <v>307.689188263731</v>
          </cell>
          <cell r="IV110">
            <v>366.491003551275</v>
          </cell>
        </row>
        <row r="110">
          <cell r="JF110">
            <v>380.76730456002</v>
          </cell>
          <cell r="JG110">
            <v>420.728779850185</v>
          </cell>
          <cell r="JH110">
            <v>421.802432549445</v>
          </cell>
          <cell r="JI110">
            <v>359.985676671546</v>
          </cell>
          <cell r="JJ110">
            <v>388.438716257206</v>
          </cell>
          <cell r="JK110">
            <v>361.625556204828</v>
          </cell>
          <cell r="JL110">
            <v>377.453109580061</v>
          </cell>
          <cell r="JM110">
            <v>349.670750797294</v>
          </cell>
          <cell r="JN110">
            <v>323.409839346975</v>
          </cell>
          <cell r="JO110">
            <v>324.259391909754</v>
          </cell>
          <cell r="JP110">
            <v>355.371401063812</v>
          </cell>
          <cell r="JQ110">
            <v>423.28566091073</v>
          </cell>
        </row>
        <row r="115">
          <cell r="DV115">
            <v>0.032178</v>
          </cell>
          <cell r="DW115">
            <v>0.074464</v>
          </cell>
          <cell r="DX115">
            <v>0.00743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0.032196</v>
          </cell>
          <cell r="EE115">
            <v>0.028971</v>
          </cell>
          <cell r="EF115">
            <v>0.033588</v>
          </cell>
          <cell r="EG115">
            <v>0.034469</v>
          </cell>
        </row>
        <row r="115">
          <cell r="FE115">
            <v>0</v>
          </cell>
          <cell r="FF115">
            <v>0.047229</v>
          </cell>
          <cell r="FG115">
            <v>0.036666</v>
          </cell>
          <cell r="FH115">
            <v>0.027436</v>
          </cell>
          <cell r="FI115">
            <v>0.024931</v>
          </cell>
          <cell r="FJ115">
            <v>0.029947</v>
          </cell>
          <cell r="FK115">
            <v>0.025457</v>
          </cell>
          <cell r="FL115">
            <v>0.025972</v>
          </cell>
          <cell r="FM115">
            <v>0.028311</v>
          </cell>
          <cell r="FN115">
            <v>0.028354</v>
          </cell>
          <cell r="FO115">
            <v>0.029559</v>
          </cell>
          <cell r="FP115">
            <v>0.033447</v>
          </cell>
        </row>
        <row r="115">
          <cell r="HP115">
            <v>0</v>
          </cell>
          <cell r="HQ115">
            <v>0.050119792632</v>
          </cell>
          <cell r="HR115">
            <v>0.038910252528</v>
          </cell>
          <cell r="HS115">
            <v>0.029115302688</v>
          </cell>
          <cell r="HT115">
            <v>0.026456976648</v>
          </cell>
          <cell r="HU115">
            <v>0.031779995976</v>
          </cell>
          <cell r="HV115">
            <v>0.027015172056</v>
          </cell>
          <cell r="HW115">
            <v>0.027561694176</v>
          </cell>
          <cell r="HX115">
            <v>0.030043859688</v>
          </cell>
          <cell r="HY115">
            <v>0.030089491632</v>
          </cell>
          <cell r="HZ115">
            <v>0.031368247272</v>
          </cell>
          <cell r="IA115">
            <v>0.035494223976</v>
          </cell>
        </row>
        <row r="115">
          <cell r="IK115">
            <v>0</v>
          </cell>
          <cell r="IL115">
            <v>0.05112218848464</v>
          </cell>
          <cell r="IM115">
            <v>0.03968845757856</v>
          </cell>
          <cell r="IN115">
            <v>0.02969760874176</v>
          </cell>
          <cell r="IO115">
            <v>0.02698611618096</v>
          </cell>
          <cell r="IP115">
            <v>0.03241559589552</v>
          </cell>
          <cell r="IQ115">
            <v>0.02755547549712</v>
          </cell>
          <cell r="IR115">
            <v>0.02811292805952</v>
          </cell>
          <cell r="IS115">
            <v>0.03064473688176</v>
          </cell>
          <cell r="IT115">
            <v>0.03069128146464</v>
          </cell>
          <cell r="IU115">
            <v>0.03199561221744</v>
          </cell>
          <cell r="IV115">
            <v>0.03620410845552</v>
          </cell>
        </row>
        <row r="115">
          <cell r="JF115">
            <v>0</v>
          </cell>
          <cell r="JG115">
            <v>0.0521446322543328</v>
          </cell>
          <cell r="JH115">
            <v>0.0404822267301312</v>
          </cell>
          <cell r="JI115">
            <v>0.0302915609165952</v>
          </cell>
          <cell r="JJ115">
            <v>0.0275258385045792</v>
          </cell>
          <cell r="JK115">
            <v>0.0330639078134304</v>
          </cell>
          <cell r="JL115">
            <v>0.0281065850070624</v>
          </cell>
          <cell r="JM115">
            <v>0.0286751866207104</v>
          </cell>
          <cell r="JN115">
            <v>0.0312576316193952</v>
          </cell>
          <cell r="JO115">
            <v>0.0313051070939328</v>
          </cell>
          <cell r="JP115">
            <v>0.0326355244617888</v>
          </cell>
          <cell r="JQ115">
            <v>0.0369281906246304</v>
          </cell>
        </row>
        <row r="120">
          <cell r="CG120">
            <v>0.41</v>
          </cell>
          <cell r="CH120">
            <v>0.45</v>
          </cell>
          <cell r="CI120">
            <v>0.47</v>
          </cell>
          <cell r="CJ120">
            <v>0.39</v>
          </cell>
          <cell r="CK120">
            <v>0.36</v>
          </cell>
          <cell r="CL120">
            <v>0.36</v>
          </cell>
          <cell r="CM120">
            <v>0.332443</v>
          </cell>
          <cell r="CN120">
            <v>0.332566</v>
          </cell>
          <cell r="CO120">
            <v>0.302489</v>
          </cell>
          <cell r="CP120">
            <v>0.304442</v>
          </cell>
          <cell r="CQ120">
            <v>0.317742</v>
          </cell>
          <cell r="CR120">
            <v>0.305947</v>
          </cell>
        </row>
        <row r="120">
          <cell r="CT120">
            <v>0.16</v>
          </cell>
          <cell r="CU120">
            <v>0.13</v>
          </cell>
          <cell r="CV120">
            <v>0.18</v>
          </cell>
          <cell r="CW120">
            <v>0.19</v>
          </cell>
          <cell r="CX120">
            <v>0.19</v>
          </cell>
          <cell r="CY120">
            <v>0.18</v>
          </cell>
          <cell r="CZ120">
            <v>0.2</v>
          </cell>
          <cell r="DA120">
            <v>0.22</v>
          </cell>
          <cell r="DB120">
            <v>0.22</v>
          </cell>
          <cell r="DC120">
            <v>0.215848</v>
          </cell>
          <cell r="DD120">
            <v>0.218184</v>
          </cell>
          <cell r="DE120">
            <v>0.241401</v>
          </cell>
        </row>
        <row r="120">
          <cell r="DG120">
            <v>0.292469</v>
          </cell>
          <cell r="DH120">
            <v>0.270392</v>
          </cell>
          <cell r="DI120">
            <v>0.234387</v>
          </cell>
          <cell r="DJ120">
            <v>0.262396</v>
          </cell>
          <cell r="DK120">
            <v>0.285778</v>
          </cell>
          <cell r="DL120">
            <v>0.295408</v>
          </cell>
          <cell r="DM120">
            <v>0.300113</v>
          </cell>
          <cell r="DN120">
            <v>0.305227</v>
          </cell>
          <cell r="DO120">
            <v>0.305084</v>
          </cell>
          <cell r="DP120">
            <v>0.2911648</v>
          </cell>
          <cell r="DQ120">
            <v>0.269018</v>
          </cell>
          <cell r="DR120">
            <v>0.276124</v>
          </cell>
        </row>
        <row r="120">
          <cell r="DV120">
            <v>0.37</v>
          </cell>
          <cell r="DW120">
            <v>0.36</v>
          </cell>
          <cell r="DX120">
            <v>0.38</v>
          </cell>
          <cell r="DY120">
            <v>0.322311</v>
          </cell>
          <cell r="DZ120">
            <v>0.347776</v>
          </cell>
          <cell r="EA120">
            <v>0.361763</v>
          </cell>
          <cell r="EB120">
            <v>0.353814</v>
          </cell>
          <cell r="EC120">
            <v>0.346308</v>
          </cell>
          <cell r="ED120">
            <v>0.334942</v>
          </cell>
          <cell r="EE120">
            <v>0.343065</v>
          </cell>
          <cell r="EF120">
            <v>0.335306</v>
          </cell>
          <cell r="EG120">
            <v>0.492824</v>
          </cell>
        </row>
        <row r="120">
          <cell r="FE120">
            <v>0.381373</v>
          </cell>
          <cell r="FF120">
            <v>0.438194</v>
          </cell>
          <cell r="FG120">
            <v>0.444743</v>
          </cell>
          <cell r="FH120">
            <v>0.400546</v>
          </cell>
          <cell r="FI120">
            <v>0.396768</v>
          </cell>
          <cell r="FJ120">
            <v>0.395706</v>
          </cell>
          <cell r="FK120">
            <v>0.401782</v>
          </cell>
          <cell r="FL120">
            <v>0.37498</v>
          </cell>
          <cell r="FM120">
            <v>0.351805</v>
          </cell>
          <cell r="FN120">
            <v>0.37012</v>
          </cell>
          <cell r="FO120">
            <v>0.388381</v>
          </cell>
          <cell r="FP120">
            <v>0.475727</v>
          </cell>
        </row>
        <row r="120">
          <cell r="HP120">
            <v>0.452776127411213</v>
          </cell>
          <cell r="HQ120">
            <v>0.520235523686336</v>
          </cell>
          <cell r="HR120">
            <v>0.528010669956303</v>
          </cell>
          <cell r="HS120">
            <v>0.475538820865797</v>
          </cell>
          <cell r="HT120">
            <v>0.471053479194101</v>
          </cell>
          <cell r="HU120">
            <v>0.469792644663837</v>
          </cell>
          <cell r="HV120">
            <v>0.477006232804975</v>
          </cell>
          <cell r="HW120">
            <v>0.445186188473375</v>
          </cell>
          <cell r="HX120">
            <v>0.417672214613781</v>
          </cell>
          <cell r="HY120">
            <v>0.439416267741655</v>
          </cell>
          <cell r="HZ120">
            <v>0.461096210639175</v>
          </cell>
          <cell r="IA120">
            <v>0.564795695460754</v>
          </cell>
        </row>
        <row r="120">
          <cell r="IK120">
            <v>0.502833815908796</v>
          </cell>
          <cell r="IL120">
            <v>0.577751338265527</v>
          </cell>
          <cell r="IM120">
            <v>0.586386083411058</v>
          </cell>
          <cell r="IN120">
            <v>0.528113090404943</v>
          </cell>
          <cell r="IO120">
            <v>0.523131861643328</v>
          </cell>
          <cell r="IP120">
            <v>0.52173163270081</v>
          </cell>
          <cell r="IQ120">
            <v>0.529742735388892</v>
          </cell>
          <cell r="IR120">
            <v>0.494404754110753</v>
          </cell>
          <cell r="IS120">
            <v>0.463848910661725</v>
          </cell>
          <cell r="IT120">
            <v>0.487996926746685</v>
          </cell>
          <cell r="IU120">
            <v>0.512073744749822</v>
          </cell>
          <cell r="IV120">
            <v>0.627237960581488</v>
          </cell>
        </row>
        <row r="120">
          <cell r="JF120">
            <v>0.542489028085223</v>
          </cell>
          <cell r="JG120">
            <v>0.623314805119335</v>
          </cell>
          <cell r="JH120">
            <v>0.632630516102887</v>
          </cell>
          <cell r="JI120">
            <v>0.569761913516226</v>
          </cell>
          <cell r="JJ120">
            <v>0.56438784784271</v>
          </cell>
          <cell r="JK120">
            <v>0.562877192007539</v>
          </cell>
          <cell r="JL120">
            <v>0.57152007793456</v>
          </cell>
          <cell r="JM120">
            <v>0.533395221348645</v>
          </cell>
          <cell r="JN120">
            <v>0.500429638504881</v>
          </cell>
          <cell r="JO120">
            <v>0.526482050577526</v>
          </cell>
          <cell r="JP120">
            <v>0.552457649641603</v>
          </cell>
          <cell r="JQ120">
            <v>0.676704113463457</v>
          </cell>
        </row>
        <row r="126">
          <cell r="CG126">
            <v>3.71</v>
          </cell>
          <cell r="CH126">
            <v>0.84</v>
          </cell>
          <cell r="CI126">
            <v>0.76</v>
          </cell>
          <cell r="CJ126">
            <v>0.74</v>
          </cell>
          <cell r="CK126">
            <v>1.63</v>
          </cell>
          <cell r="CL126">
            <v>5.26</v>
          </cell>
          <cell r="CM126">
            <v>4.03</v>
          </cell>
          <cell r="CN126">
            <v>4.24</v>
          </cell>
          <cell r="CO126">
            <v>2.29</v>
          </cell>
          <cell r="CP126">
            <v>5.98</v>
          </cell>
          <cell r="CQ126">
            <v>5.99</v>
          </cell>
          <cell r="CR126">
            <v>6.42</v>
          </cell>
        </row>
        <row r="126">
          <cell r="CT126">
            <v>3.91</v>
          </cell>
          <cell r="CU126">
            <v>1.12</v>
          </cell>
          <cell r="CV126">
            <v>1.39</v>
          </cell>
          <cell r="CW126">
            <v>1.09</v>
          </cell>
          <cell r="CX126">
            <v>1.49</v>
          </cell>
          <cell r="CY126">
            <v>3.87</v>
          </cell>
          <cell r="CZ126">
            <v>3.19</v>
          </cell>
          <cell r="DA126">
            <v>4.29</v>
          </cell>
          <cell r="DB126">
            <v>2.37</v>
          </cell>
          <cell r="DC126">
            <v>5.82</v>
          </cell>
          <cell r="DD126">
            <v>6.69</v>
          </cell>
          <cell r="DE126">
            <v>6.89</v>
          </cell>
        </row>
        <row r="126">
          <cell r="DG126">
            <v>5.098911</v>
          </cell>
          <cell r="DH126">
            <v>1.125737</v>
          </cell>
          <cell r="DI126">
            <v>0.655789</v>
          </cell>
          <cell r="DJ126">
            <v>0.850232</v>
          </cell>
          <cell r="DK126">
            <v>2.978438</v>
          </cell>
          <cell r="DL126">
            <v>4.169779</v>
          </cell>
          <cell r="DM126">
            <v>5.090822</v>
          </cell>
          <cell r="DN126">
            <v>3.925507</v>
          </cell>
          <cell r="DO126">
            <v>1.892511</v>
          </cell>
          <cell r="DP126">
            <v>4.936936</v>
          </cell>
          <cell r="DQ126">
            <v>5.117686</v>
          </cell>
          <cell r="DR126">
            <v>5.834378</v>
          </cell>
        </row>
        <row r="126">
          <cell r="DV126">
            <v>4.08</v>
          </cell>
          <cell r="DW126">
            <v>0.78</v>
          </cell>
          <cell r="DX126">
            <v>0.69</v>
          </cell>
          <cell r="DY126">
            <v>1.062505</v>
          </cell>
          <cell r="DZ126">
            <v>2.095463</v>
          </cell>
          <cell r="EA126">
            <v>4.22927425</v>
          </cell>
          <cell r="EB126">
            <v>3.46676966</v>
          </cell>
          <cell r="EC126">
            <v>4.40827641</v>
          </cell>
          <cell r="ED126">
            <v>6.371162</v>
          </cell>
          <cell r="EE126">
            <v>5.678977</v>
          </cell>
          <cell r="EF126">
            <v>5.911532</v>
          </cell>
          <cell r="EG126">
            <v>8.304356</v>
          </cell>
        </row>
        <row r="126">
          <cell r="FE126">
            <v>2.11</v>
          </cell>
          <cell r="FF126">
            <v>0.385051</v>
          </cell>
          <cell r="FG126">
            <v>0.628657</v>
          </cell>
          <cell r="FH126">
            <v>1.04366312</v>
          </cell>
          <cell r="FI126">
            <v>1.80848832</v>
          </cell>
          <cell r="FJ126">
            <v>1.690687</v>
          </cell>
          <cell r="FK126">
            <v>3.307147</v>
          </cell>
          <cell r="FL126">
            <v>1.40532733</v>
          </cell>
          <cell r="FM126">
            <v>1.238364</v>
          </cell>
          <cell r="FN126">
            <v>1.5499465</v>
          </cell>
          <cell r="FO126">
            <v>1.804398</v>
          </cell>
          <cell r="FP126">
            <v>0.856985</v>
          </cell>
        </row>
        <row r="126">
          <cell r="HP126">
            <v>2.195244</v>
          </cell>
          <cell r="HQ126">
            <v>0.4006070604</v>
          </cell>
          <cell r="HR126">
            <v>0.6540547428</v>
          </cell>
          <cell r="HS126">
            <v>1.085827110048</v>
          </cell>
          <cell r="HT126">
            <v>1.881551248128</v>
          </cell>
          <cell r="HU126">
            <v>1.7589907548</v>
          </cell>
          <cell r="HV126">
            <v>3.4407557388</v>
          </cell>
          <cell r="HW126">
            <v>1.462102554132</v>
          </cell>
          <cell r="HX126">
            <v>1.2883939056</v>
          </cell>
          <cell r="HY126">
            <v>1.6125643386</v>
          </cell>
          <cell r="HZ126">
            <v>1.8772956792</v>
          </cell>
          <cell r="IA126">
            <v>0.891607194</v>
          </cell>
        </row>
        <row r="126">
          <cell r="IK126">
            <v>2.23914888</v>
          </cell>
          <cell r="IL126">
            <v>0.408619201608</v>
          </cell>
          <cell r="IM126">
            <v>0.667135837656</v>
          </cell>
          <cell r="IN126">
            <v>1.10754365224896</v>
          </cell>
          <cell r="IO126">
            <v>1.91918227309056</v>
          </cell>
          <cell r="IP126">
            <v>1.794170569896</v>
          </cell>
          <cell r="IQ126">
            <v>3.509570853576</v>
          </cell>
          <cell r="IR126">
            <v>1.49134460521464</v>
          </cell>
          <cell r="IS126">
            <v>1.314161783712</v>
          </cell>
          <cell r="IT126">
            <v>1.644815625372</v>
          </cell>
          <cell r="IU126">
            <v>1.914841592784</v>
          </cell>
          <cell r="IV126">
            <v>0.90943933788</v>
          </cell>
        </row>
        <row r="126">
          <cell r="JF126">
            <v>2.2839318576</v>
          </cell>
          <cell r="JG126">
            <v>0.41679158564016</v>
          </cell>
          <cell r="JH126">
            <v>0.68047855440912</v>
          </cell>
          <cell r="JI126">
            <v>1.12969452529394</v>
          </cell>
          <cell r="JJ126">
            <v>1.95756591855237</v>
          </cell>
          <cell r="JK126">
            <v>1.83005398129392</v>
          </cell>
          <cell r="JL126">
            <v>3.57976227064752</v>
          </cell>
          <cell r="JM126">
            <v>1.52117149731893</v>
          </cell>
          <cell r="JN126">
            <v>1.34044501938624</v>
          </cell>
          <cell r="JO126">
            <v>1.67771193787944</v>
          </cell>
          <cell r="JP126">
            <v>1.95313842463968</v>
          </cell>
          <cell r="JQ126">
            <v>0.9276281246376</v>
          </cell>
        </row>
        <row r="127">
          <cell r="CG127">
            <v>8.63</v>
          </cell>
          <cell r="CH127">
            <v>7.57</v>
          </cell>
          <cell r="CI127">
            <v>7.77</v>
          </cell>
          <cell r="CJ127">
            <v>8.25</v>
          </cell>
          <cell r="CK127">
            <v>7.21</v>
          </cell>
          <cell r="CL127">
            <v>7.25</v>
          </cell>
          <cell r="CM127">
            <v>7.04</v>
          </cell>
          <cell r="CN127">
            <v>8.16</v>
          </cell>
          <cell r="CO127">
            <v>8.35</v>
          </cell>
          <cell r="CP127">
            <v>8.5</v>
          </cell>
          <cell r="CQ127">
            <v>8.5</v>
          </cell>
          <cell r="CR127">
            <v>8.25</v>
          </cell>
        </row>
        <row r="127">
          <cell r="CT127">
            <v>9.29</v>
          </cell>
          <cell r="CU127">
            <v>9.21</v>
          </cell>
          <cell r="CV127">
            <v>8.94</v>
          </cell>
          <cell r="CW127">
            <v>8.9</v>
          </cell>
          <cell r="CX127">
            <v>8.82</v>
          </cell>
          <cell r="CY127">
            <v>9.34</v>
          </cell>
          <cell r="CZ127">
            <v>8.56</v>
          </cell>
          <cell r="DA127">
            <v>8.18</v>
          </cell>
          <cell r="DB127">
            <v>10.08</v>
          </cell>
          <cell r="DC127">
            <v>10.47</v>
          </cell>
          <cell r="DD127">
            <v>10.72</v>
          </cell>
          <cell r="DE127">
            <v>10.05</v>
          </cell>
        </row>
        <row r="127">
          <cell r="DG127">
            <v>11.473512</v>
          </cell>
          <cell r="DH127">
            <v>10.681545</v>
          </cell>
          <cell r="DI127">
            <v>10.455111</v>
          </cell>
          <cell r="DJ127">
            <v>10.456347</v>
          </cell>
          <cell r="DK127">
            <v>10.8146315</v>
          </cell>
          <cell r="DL127">
            <v>10.613011</v>
          </cell>
          <cell r="DM127">
            <v>10.948582</v>
          </cell>
          <cell r="DN127">
            <v>11.269684</v>
          </cell>
          <cell r="DO127">
            <v>10.916776</v>
          </cell>
          <cell r="DP127">
            <v>11.1741985</v>
          </cell>
          <cell r="DQ127">
            <v>10.960835</v>
          </cell>
          <cell r="DR127">
            <v>10.458047</v>
          </cell>
        </row>
        <row r="127">
          <cell r="DV127">
            <v>11.07</v>
          </cell>
          <cell r="DW127">
            <v>11.09</v>
          </cell>
          <cell r="DX127">
            <v>11.15</v>
          </cell>
          <cell r="DY127">
            <v>10.38198541</v>
          </cell>
          <cell r="DZ127">
            <v>10.94462091</v>
          </cell>
          <cell r="EA127">
            <v>11.4960205</v>
          </cell>
          <cell r="EB127">
            <v>10.825784</v>
          </cell>
          <cell r="EC127">
            <v>11.524172</v>
          </cell>
          <cell r="ED127">
            <v>11.066141</v>
          </cell>
          <cell r="EE127">
            <v>11.445718</v>
          </cell>
          <cell r="EF127">
            <v>11.37224</v>
          </cell>
          <cell r="EG127">
            <v>15.289218</v>
          </cell>
        </row>
        <row r="127">
          <cell r="FE127">
            <v>11.15</v>
          </cell>
          <cell r="FF127">
            <v>10.677982</v>
          </cell>
          <cell r="FG127">
            <v>10.63566033</v>
          </cell>
          <cell r="FH127">
            <v>10.51083</v>
          </cell>
          <cell r="FI127">
            <v>10.583741</v>
          </cell>
          <cell r="FJ127">
            <v>10.129611</v>
          </cell>
          <cell r="FK127">
            <v>10.826146</v>
          </cell>
          <cell r="FL127">
            <v>10.857352</v>
          </cell>
          <cell r="FM127">
            <v>11.001555</v>
          </cell>
          <cell r="FN127">
            <v>11.17321</v>
          </cell>
          <cell r="FO127">
            <v>10.4901783</v>
          </cell>
          <cell r="FP127">
            <v>11.4513413</v>
          </cell>
        </row>
        <row r="127">
          <cell r="HP127">
            <v>15.1078632499737</v>
          </cell>
          <cell r="HQ127">
            <v>14.4682952324377</v>
          </cell>
          <cell r="HR127">
            <v>14.4109508375614</v>
          </cell>
          <cell r="HS127">
            <v>14.2418100702889</v>
          </cell>
          <cell r="HT127">
            <v>14.3406019462906</v>
          </cell>
          <cell r="HU127">
            <v>13.7252715482896</v>
          </cell>
          <cell r="HV127">
            <v>14.6690523132063</v>
          </cell>
          <cell r="HW127">
            <v>14.7113353607918</v>
          </cell>
          <cell r="HX127">
            <v>14.906725423952</v>
          </cell>
          <cell r="HY127">
            <v>15.1393119949093</v>
          </cell>
          <cell r="HZ127">
            <v>14.2138277331158</v>
          </cell>
          <cell r="IA127">
            <v>15.5161702591189</v>
          </cell>
        </row>
        <row r="127">
          <cell r="IK127">
            <v>16.0360448647928</v>
          </cell>
          <cell r="IL127">
            <v>15.3571837145695</v>
          </cell>
          <cell r="IM127">
            <v>15.2963162527872</v>
          </cell>
          <cell r="IN127">
            <v>15.1167839862072</v>
          </cell>
          <cell r="IO127">
            <v>15.2216453375199</v>
          </cell>
          <cell r="IP127">
            <v>14.5685108931748</v>
          </cell>
          <cell r="IQ127">
            <v>15.5702747057217</v>
          </cell>
          <cell r="IR127">
            <v>15.6151554963989</v>
          </cell>
          <cell r="IS127">
            <v>15.8225497365458</v>
          </cell>
          <cell r="IT127">
            <v>16.069425725897</v>
          </cell>
          <cell r="IU127">
            <v>15.087082498518</v>
          </cell>
          <cell r="IV127">
            <v>16.4694370268031</v>
          </cell>
        </row>
        <row r="127">
          <cell r="JF127">
            <v>17.0352462842651</v>
          </cell>
          <cell r="JG127">
            <v>16.3140854877982</v>
          </cell>
          <cell r="JH127">
            <v>16.2494253916895</v>
          </cell>
          <cell r="JI127">
            <v>16.0587065203625</v>
          </cell>
          <cell r="JJ127">
            <v>16.1701017528138</v>
          </cell>
          <cell r="JK127">
            <v>15.4762706859911</v>
          </cell>
          <cell r="JL127">
            <v>16.5404541183329</v>
          </cell>
          <cell r="JM127">
            <v>16.5881314183819</v>
          </cell>
          <cell r="JN127">
            <v>16.8084483349675</v>
          </cell>
          <cell r="JO127">
            <v>17.0707070973824</v>
          </cell>
          <cell r="JP127">
            <v>16.027154341377</v>
          </cell>
          <cell r="JQ127">
            <v>17.4956429892983</v>
          </cell>
        </row>
        <row r="128"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</row>
        <row r="128"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</row>
        <row r="128"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</row>
        <row r="131">
          <cell r="CG131">
            <v>11.59</v>
          </cell>
          <cell r="CH131">
            <v>12.5</v>
          </cell>
          <cell r="CI131">
            <v>13.82</v>
          </cell>
          <cell r="CJ131">
            <v>9.76</v>
          </cell>
          <cell r="CK131">
            <v>9.09</v>
          </cell>
          <cell r="CL131">
            <v>8.85</v>
          </cell>
          <cell r="CM131">
            <v>8.74</v>
          </cell>
          <cell r="CN131">
            <v>9.1</v>
          </cell>
          <cell r="CO131">
            <v>8.32</v>
          </cell>
          <cell r="CP131">
            <v>8.49</v>
          </cell>
          <cell r="CQ131">
            <v>8.76</v>
          </cell>
          <cell r="CR131">
            <v>9.47</v>
          </cell>
        </row>
        <row r="131">
          <cell r="CT131">
            <v>11.64</v>
          </cell>
          <cell r="CU131">
            <v>13.6</v>
          </cell>
          <cell r="CV131">
            <v>13.89</v>
          </cell>
          <cell r="CW131">
            <v>10.1</v>
          </cell>
          <cell r="CX131">
            <v>10.44</v>
          </cell>
          <cell r="CY131">
            <v>10.38</v>
          </cell>
          <cell r="CZ131">
            <v>10.01</v>
          </cell>
          <cell r="DA131">
            <v>9.76</v>
          </cell>
          <cell r="DB131">
            <v>9.04</v>
          </cell>
          <cell r="DC131">
            <v>9.14</v>
          </cell>
          <cell r="DD131">
            <v>9.49</v>
          </cell>
          <cell r="DE131">
            <v>10.1</v>
          </cell>
        </row>
        <row r="131">
          <cell r="DG131">
            <v>14.581323</v>
          </cell>
          <cell r="DH131">
            <v>14.678289</v>
          </cell>
          <cell r="DI131">
            <v>14.124176</v>
          </cell>
          <cell r="DJ131">
            <v>12.035335</v>
          </cell>
          <cell r="DK131">
            <v>12.083102</v>
          </cell>
          <cell r="DL131">
            <v>11.7113118</v>
          </cell>
          <cell r="DM131">
            <v>11.8348675</v>
          </cell>
          <cell r="DN131">
            <v>11.489955</v>
          </cell>
          <cell r="DO131">
            <v>10.88195575</v>
          </cell>
          <cell r="DP131">
            <v>11.005298</v>
          </cell>
          <cell r="DQ131">
            <v>10.857859</v>
          </cell>
          <cell r="DR131">
            <v>11.39923</v>
          </cell>
        </row>
        <row r="131">
          <cell r="DV131">
            <v>18.59</v>
          </cell>
          <cell r="DW131">
            <v>19.69</v>
          </cell>
          <cell r="DX131">
            <v>18.81</v>
          </cell>
          <cell r="DY131">
            <v>13.691047</v>
          </cell>
          <cell r="DZ131">
            <v>13.597374</v>
          </cell>
          <cell r="EA131">
            <v>14.135622</v>
          </cell>
          <cell r="EB131">
            <v>13.1151365</v>
          </cell>
          <cell r="EC131">
            <v>12.810408</v>
          </cell>
          <cell r="ED131">
            <v>12.637645</v>
          </cell>
          <cell r="EE131">
            <v>12.884047</v>
          </cell>
          <cell r="EF131">
            <v>13.51772</v>
          </cell>
          <cell r="EG131">
            <v>20.510695</v>
          </cell>
        </row>
        <row r="131">
          <cell r="FE131">
            <v>19.4</v>
          </cell>
          <cell r="FF131">
            <v>22.259069</v>
          </cell>
          <cell r="FG131">
            <v>22.27492</v>
          </cell>
          <cell r="FH131">
            <v>17.129661</v>
          </cell>
          <cell r="FI131">
            <v>17.85232084</v>
          </cell>
          <cell r="FJ131">
            <v>16.952274</v>
          </cell>
          <cell r="FK131">
            <v>17.114656</v>
          </cell>
          <cell r="FL131">
            <v>16.18281613</v>
          </cell>
          <cell r="FM131">
            <v>15.549929</v>
          </cell>
          <cell r="FN131">
            <v>15.931169</v>
          </cell>
          <cell r="FO131">
            <v>16.79796894</v>
          </cell>
          <cell r="FP131">
            <v>23.079544</v>
          </cell>
        </row>
        <row r="131">
          <cell r="HP131">
            <v>31.3646704935132</v>
          </cell>
          <cell r="HQ131">
            <v>35.9870291070812</v>
          </cell>
          <cell r="HR131">
            <v>36.0126559829571</v>
          </cell>
          <cell r="HS131">
            <v>27.6941326252878</v>
          </cell>
          <cell r="HT131">
            <v>28.8624825098494</v>
          </cell>
          <cell r="HU131">
            <v>27.4073447487501</v>
          </cell>
          <cell r="HV131">
            <v>27.6698735077231</v>
          </cell>
          <cell r="HW131">
            <v>26.163334823431</v>
          </cell>
          <cell r="HX131">
            <v>25.140123674357</v>
          </cell>
          <cell r="HY131">
            <v>25.7564879516223</v>
          </cell>
          <cell r="HZ131">
            <v>27.1578742661531</v>
          </cell>
          <cell r="IA131">
            <v>37.3135202422959</v>
          </cell>
        </row>
        <row r="131">
          <cell r="IK131">
            <v>37.4614040238201</v>
          </cell>
          <cell r="IL131">
            <v>42.9822668558293</v>
          </cell>
          <cell r="IM131">
            <v>43.012875140117</v>
          </cell>
          <cell r="IN131">
            <v>33.0773789439213</v>
          </cell>
          <cell r="IO131">
            <v>34.4728352448507</v>
          </cell>
          <cell r="IP131">
            <v>32.7348446101289</v>
          </cell>
          <cell r="IQ131">
            <v>33.0484042858091</v>
          </cell>
          <cell r="IR131">
            <v>31.249021303563</v>
          </cell>
          <cell r="IS131">
            <v>30.0269161242637</v>
          </cell>
          <cell r="IT131">
            <v>30.763090643338</v>
          </cell>
          <cell r="IU131">
            <v>32.4368815072639</v>
          </cell>
          <cell r="IV131">
            <v>44.5666042510068</v>
          </cell>
        </row>
        <row r="131">
          <cell r="JF131">
            <v>44.3070786583582</v>
          </cell>
          <cell r="JG131">
            <v>50.8368206724135</v>
          </cell>
          <cell r="JH131">
            <v>50.8730222963214</v>
          </cell>
          <cell r="JI131">
            <v>39.121919449382</v>
          </cell>
          <cell r="JJ131">
            <v>40.772380602687</v>
          </cell>
          <cell r="JK131">
            <v>38.7167905956722</v>
          </cell>
          <cell r="JL131">
            <v>39.0876499795228</v>
          </cell>
          <cell r="JM131">
            <v>36.959448824003</v>
          </cell>
          <cell r="JN131">
            <v>35.5140168729322</v>
          </cell>
          <cell r="JO131">
            <v>36.38471948467</v>
          </cell>
          <cell r="JP131">
            <v>38.3643778930535</v>
          </cell>
          <cell r="JQ131">
            <v>52.7106789385071</v>
          </cell>
        </row>
        <row r="132">
          <cell r="CG132">
            <v>7.52</v>
          </cell>
          <cell r="CH132">
            <v>7.25</v>
          </cell>
          <cell r="CI132">
            <v>7.44</v>
          </cell>
          <cell r="CJ132">
            <v>7.2</v>
          </cell>
          <cell r="CK132">
            <v>6.97</v>
          </cell>
          <cell r="CL132">
            <v>8</v>
          </cell>
          <cell r="CM132">
            <v>7.91</v>
          </cell>
          <cell r="CN132">
            <v>8.53</v>
          </cell>
          <cell r="CO132">
            <v>7.71</v>
          </cell>
          <cell r="CP132">
            <v>7.85</v>
          </cell>
          <cell r="CQ132">
            <v>8.03</v>
          </cell>
          <cell r="CR132">
            <v>7.42</v>
          </cell>
        </row>
        <row r="132">
          <cell r="CT132">
            <v>4.92</v>
          </cell>
          <cell r="CU132">
            <v>5.26</v>
          </cell>
          <cell r="CV132">
            <v>5.93</v>
          </cell>
          <cell r="CW132">
            <v>5.85</v>
          </cell>
          <cell r="CX132">
            <v>6.77</v>
          </cell>
          <cell r="CY132">
            <v>7.14</v>
          </cell>
          <cell r="CZ132">
            <v>7.73</v>
          </cell>
          <cell r="DA132">
            <v>8.32</v>
          </cell>
          <cell r="DB132">
            <v>8.04</v>
          </cell>
          <cell r="DC132">
            <v>8.59</v>
          </cell>
          <cell r="DD132">
            <v>8.93</v>
          </cell>
          <cell r="DE132">
            <v>7.92</v>
          </cell>
        </row>
        <row r="132">
          <cell r="DG132">
            <v>8.710615</v>
          </cell>
          <cell r="DH132">
            <v>7.95727</v>
          </cell>
          <cell r="DI132">
            <v>8.22206250000001</v>
          </cell>
          <cell r="DJ132">
            <v>8.76820200000001</v>
          </cell>
          <cell r="DK132">
            <v>9.743914</v>
          </cell>
          <cell r="DL132">
            <v>9.652652</v>
          </cell>
          <cell r="DM132">
            <v>10.108731</v>
          </cell>
          <cell r="DN132">
            <v>9.71765939</v>
          </cell>
          <cell r="DO132">
            <v>9.73335603999999</v>
          </cell>
          <cell r="DP132">
            <v>10.3633035</v>
          </cell>
          <cell r="DQ132">
            <v>9.914018</v>
          </cell>
          <cell r="DR132">
            <v>9.59293350000001</v>
          </cell>
        </row>
        <row r="132">
          <cell r="DV132">
            <v>11.76</v>
          </cell>
          <cell r="DW132">
            <v>11.23</v>
          </cell>
          <cell r="DX132">
            <v>11.95</v>
          </cell>
          <cell r="DY132">
            <v>10.432735</v>
          </cell>
          <cell r="DZ132">
            <v>11.5848855</v>
          </cell>
          <cell r="EA132">
            <v>12.576347</v>
          </cell>
          <cell r="EB132">
            <v>12.446289</v>
          </cell>
          <cell r="EC132">
            <v>14.1603415</v>
          </cell>
          <cell r="ED132">
            <v>13.573868</v>
          </cell>
          <cell r="EE132">
            <v>13.565659</v>
          </cell>
          <cell r="EF132">
            <v>13.264512</v>
          </cell>
          <cell r="EG132">
            <v>17.394279</v>
          </cell>
        </row>
        <row r="132">
          <cell r="FE132">
            <v>13.72</v>
          </cell>
          <cell r="FF132">
            <v>14.987717</v>
          </cell>
          <cell r="FG132">
            <v>14.88942761</v>
          </cell>
          <cell r="FH132">
            <v>14.0200989</v>
          </cell>
          <cell r="FI132">
            <v>15.85269281</v>
          </cell>
          <cell r="FJ132">
            <v>15.430845</v>
          </cell>
          <cell r="FK132">
            <v>16.049016</v>
          </cell>
          <cell r="FL132">
            <v>15.417937</v>
          </cell>
          <cell r="FM132">
            <v>15.960803</v>
          </cell>
          <cell r="FN132">
            <v>15.46011267</v>
          </cell>
          <cell r="FO132">
            <v>15.65232941</v>
          </cell>
          <cell r="FP132">
            <v>17.54949645</v>
          </cell>
        </row>
        <row r="132">
          <cell r="HP132">
            <v>24.7644260246083</v>
          </cell>
          <cell r="HQ132">
            <v>27.0526391344216</v>
          </cell>
          <cell r="HR132">
            <v>26.8752280318226</v>
          </cell>
          <cell r="HS132">
            <v>25.3061007337276</v>
          </cell>
          <cell r="HT132">
            <v>28.6139095032132</v>
          </cell>
          <cell r="HU132">
            <v>27.8524795553715</v>
          </cell>
          <cell r="HV132">
            <v>28.9682703717023</v>
          </cell>
          <cell r="HW132">
            <v>27.8291807790504</v>
          </cell>
          <cell r="HX132">
            <v>28.8090470252804</v>
          </cell>
          <cell r="HY132">
            <v>27.9053073285951</v>
          </cell>
          <cell r="HZ132">
            <v>28.2522561069057</v>
          </cell>
          <cell r="IA132">
            <v>31.6766185572268</v>
          </cell>
        </row>
        <row r="132">
          <cell r="IK132">
            <v>30.7846533517835</v>
          </cell>
          <cell r="IL132">
            <v>33.629130639915</v>
          </cell>
          <cell r="IM132">
            <v>33.4085909315106</v>
          </cell>
          <cell r="IN132">
            <v>31.4580090812115</v>
          </cell>
          <cell r="IO132">
            <v>35.5699455428689</v>
          </cell>
          <cell r="IP132">
            <v>34.6234121173544</v>
          </cell>
          <cell r="IQ132">
            <v>36.0104514721012</v>
          </cell>
          <cell r="IR132">
            <v>34.5944494128745</v>
          </cell>
          <cell r="IS132">
            <v>35.8125209599932</v>
          </cell>
          <cell r="IT132">
            <v>34.6890823123518</v>
          </cell>
          <cell r="IU132">
            <v>35.1203742736718</v>
          </cell>
          <cell r="IV132">
            <v>39.3771985941404</v>
          </cell>
        </row>
        <row r="132">
          <cell r="JF132">
            <v>37.5396732338666</v>
          </cell>
          <cell r="JG132">
            <v>41.0083089432702</v>
          </cell>
          <cell r="JH132">
            <v>40.739376612151</v>
          </cell>
          <cell r="JI132">
            <v>38.3607821729222</v>
          </cell>
          <cell r="JJ132">
            <v>43.3749932918562</v>
          </cell>
          <cell r="JK132">
            <v>42.2207637771461</v>
          </cell>
          <cell r="JL132">
            <v>43.9121586271937</v>
          </cell>
          <cell r="JM132">
            <v>42.185445839675</v>
          </cell>
          <cell r="JN132">
            <v>43.6707965867433</v>
          </cell>
          <cell r="JO132">
            <v>42.3008438622858</v>
          </cell>
          <cell r="JP132">
            <v>42.8267734256735</v>
          </cell>
          <cell r="JQ132">
            <v>48.0176648798762</v>
          </cell>
        </row>
        <row r="133"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</row>
        <row r="133"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</row>
        <row r="133"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</row>
        <row r="133"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</row>
        <row r="133"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</row>
        <row r="134"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0.19</v>
          </cell>
          <cell r="CM134">
            <v>0.36</v>
          </cell>
          <cell r="CN134">
            <v>0.33</v>
          </cell>
          <cell r="CO134">
            <v>0.37</v>
          </cell>
          <cell r="CP134">
            <v>0.39</v>
          </cell>
          <cell r="CQ134">
            <v>0.4</v>
          </cell>
          <cell r="CR134">
            <v>0.39</v>
          </cell>
        </row>
        <row r="134">
          <cell r="CT134">
            <v>0.03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0.11</v>
          </cell>
          <cell r="DA134">
            <v>0.17</v>
          </cell>
          <cell r="DB134">
            <v>0.3</v>
          </cell>
          <cell r="DC134">
            <v>0.32</v>
          </cell>
          <cell r="DD134">
            <v>0.33</v>
          </cell>
          <cell r="DE134">
            <v>0.34</v>
          </cell>
        </row>
        <row r="134">
          <cell r="DG134">
            <v>0.368187</v>
          </cell>
          <cell r="DH134">
            <v>0.131025</v>
          </cell>
          <cell r="DI134">
            <v>0.026748</v>
          </cell>
          <cell r="DJ134">
            <v>0.186214</v>
          </cell>
          <cell r="DK134">
            <v>0.254198</v>
          </cell>
          <cell r="DL134">
            <v>0.288007</v>
          </cell>
          <cell r="DM134">
            <v>0.35733</v>
          </cell>
          <cell r="DN134">
            <v>0.383213</v>
          </cell>
          <cell r="DO134">
            <v>0.385307</v>
          </cell>
          <cell r="DP134">
            <v>0.361173</v>
          </cell>
          <cell r="DQ134">
            <v>0.336359</v>
          </cell>
          <cell r="DR134">
            <v>0.35051</v>
          </cell>
        </row>
        <row r="134">
          <cell r="DV134">
            <v>0.45</v>
          </cell>
          <cell r="DW134">
            <v>0.44</v>
          </cell>
          <cell r="DX134">
            <v>0.47</v>
          </cell>
          <cell r="DY134">
            <v>0.416371</v>
          </cell>
          <cell r="DZ134">
            <v>0.40566</v>
          </cell>
          <cell r="EA134">
            <v>0.43609</v>
          </cell>
          <cell r="EB134">
            <v>0.426135</v>
          </cell>
          <cell r="EC134">
            <v>0.436821</v>
          </cell>
          <cell r="ED134">
            <v>0.432815</v>
          </cell>
          <cell r="EE134">
            <v>0.441702</v>
          </cell>
          <cell r="EF134">
            <v>0.478036</v>
          </cell>
          <cell r="EG134">
            <v>0.706229</v>
          </cell>
        </row>
        <row r="134">
          <cell r="FE134">
            <v>0.600592</v>
          </cell>
          <cell r="FF134">
            <v>0.743966</v>
          </cell>
          <cell r="FG134">
            <v>0.804146</v>
          </cell>
          <cell r="FH134">
            <v>0.755218</v>
          </cell>
          <cell r="FI134">
            <v>0.799295</v>
          </cell>
          <cell r="FJ134">
            <v>0.927883</v>
          </cell>
          <cell r="FK134">
            <v>1.122684</v>
          </cell>
          <cell r="FL134">
            <v>1.110481</v>
          </cell>
          <cell r="FM134">
            <v>1.149632</v>
          </cell>
          <cell r="FN134">
            <v>1.224849</v>
          </cell>
          <cell r="FO134">
            <v>1.278844</v>
          </cell>
          <cell r="FP134">
            <v>1.504119</v>
          </cell>
        </row>
        <row r="134">
          <cell r="HP134">
            <v>0.799387952</v>
          </cell>
          <cell r="HQ134">
            <v>0.990218746</v>
          </cell>
          <cell r="HR134">
            <v>1.070318326</v>
          </cell>
          <cell r="HS134">
            <v>1.005195158</v>
          </cell>
          <cell r="HT134">
            <v>1.063861645</v>
          </cell>
          <cell r="HU134">
            <v>1.235012273</v>
          </cell>
          <cell r="HV134">
            <v>1.494292404</v>
          </cell>
          <cell r="HW134">
            <v>1.478050211</v>
          </cell>
          <cell r="HX134">
            <v>1.530160192</v>
          </cell>
          <cell r="HY134">
            <v>1.630274019</v>
          </cell>
          <cell r="HZ134">
            <v>1.702141364</v>
          </cell>
          <cell r="IA134">
            <v>2.001982389</v>
          </cell>
        </row>
        <row r="134">
          <cell r="IK134">
            <v>0.8793267472</v>
          </cell>
          <cell r="IL134">
            <v>1.0892406206</v>
          </cell>
          <cell r="IM134">
            <v>1.1773501586</v>
          </cell>
          <cell r="IN134">
            <v>1.1057146738</v>
          </cell>
          <cell r="IO134">
            <v>1.1702478095</v>
          </cell>
          <cell r="IP134">
            <v>1.3585135003</v>
          </cell>
          <cell r="IQ134">
            <v>1.6437216444</v>
          </cell>
          <cell r="IR134">
            <v>1.6258552321</v>
          </cell>
          <cell r="IS134">
            <v>1.6831762112</v>
          </cell>
          <cell r="IT134">
            <v>1.7933014209</v>
          </cell>
          <cell r="IU134">
            <v>1.8723555004</v>
          </cell>
          <cell r="IV134">
            <v>2.2021806279</v>
          </cell>
        </row>
        <row r="134">
          <cell r="JF134">
            <v>0.96725942192</v>
          </cell>
          <cell r="JG134">
            <v>1.19816468266</v>
          </cell>
          <cell r="JH134">
            <v>1.29508517446</v>
          </cell>
          <cell r="JI134">
            <v>1.21628614118</v>
          </cell>
          <cell r="JJ134">
            <v>1.28727259045</v>
          </cell>
          <cell r="JK134">
            <v>1.49436485033</v>
          </cell>
          <cell r="JL134">
            <v>1.80809380884</v>
          </cell>
          <cell r="JM134">
            <v>1.78844075531</v>
          </cell>
          <cell r="JN134">
            <v>1.85149383232</v>
          </cell>
          <cell r="JO134">
            <v>1.97263156299</v>
          </cell>
          <cell r="JP134">
            <v>2.05959105044</v>
          </cell>
          <cell r="JQ134">
            <v>2.42239869069</v>
          </cell>
        </row>
        <row r="152">
          <cell r="CG152">
            <v>392.07</v>
          </cell>
          <cell r="CH152">
            <v>360.78</v>
          </cell>
          <cell r="CI152">
            <v>401.21</v>
          </cell>
          <cell r="CJ152">
            <v>381.48</v>
          </cell>
          <cell r="CK152">
            <v>367.95</v>
          </cell>
          <cell r="CL152">
            <v>359.49</v>
          </cell>
          <cell r="CM152">
            <v>315.49885033</v>
          </cell>
          <cell r="CN152">
            <v>329.63431352</v>
          </cell>
          <cell r="CO152">
            <v>322.74</v>
          </cell>
          <cell r="CP152">
            <v>327.06</v>
          </cell>
          <cell r="CQ152">
            <v>339.78558844</v>
          </cell>
          <cell r="CR152">
            <v>321.22522553</v>
          </cell>
        </row>
        <row r="152">
          <cell r="CT152">
            <v>174.4</v>
          </cell>
          <cell r="CU152">
            <v>221.27</v>
          </cell>
          <cell r="CV152">
            <v>284.78</v>
          </cell>
          <cell r="CW152">
            <v>280.18</v>
          </cell>
          <cell r="CX152">
            <v>287.25</v>
          </cell>
          <cell r="CY152">
            <v>307.8</v>
          </cell>
          <cell r="CZ152">
            <v>311.07</v>
          </cell>
          <cell r="DA152">
            <v>319.32</v>
          </cell>
          <cell r="DB152">
            <v>312.07</v>
          </cell>
          <cell r="DC152">
            <v>339.89907744</v>
          </cell>
          <cell r="DD152">
            <v>367.04454</v>
          </cell>
          <cell r="DE152">
            <v>370.775284</v>
          </cell>
        </row>
        <row r="152">
          <cell r="DG152">
            <v>405.53433667</v>
          </cell>
          <cell r="DH152">
            <v>340.25796541</v>
          </cell>
          <cell r="DI152">
            <v>340.75413179</v>
          </cell>
          <cell r="DJ152">
            <v>358.81999154</v>
          </cell>
          <cell r="DK152">
            <v>375.50052967</v>
          </cell>
          <cell r="DL152">
            <v>417.45251747</v>
          </cell>
          <cell r="DM152">
            <v>419.33088867</v>
          </cell>
          <cell r="DN152">
            <v>374.86296477</v>
          </cell>
          <cell r="DO152">
            <v>381.64778267</v>
          </cell>
          <cell r="DP152">
            <v>384.62622567</v>
          </cell>
          <cell r="DQ152">
            <v>400.06796117</v>
          </cell>
          <cell r="DR152">
            <v>391.53892767</v>
          </cell>
        </row>
        <row r="152">
          <cell r="DV152">
            <v>462.3</v>
          </cell>
          <cell r="DW152">
            <v>443.32</v>
          </cell>
          <cell r="DX152">
            <v>456.09</v>
          </cell>
          <cell r="DY152">
            <v>435.480396</v>
          </cell>
          <cell r="DZ152">
            <v>436.032314</v>
          </cell>
          <cell r="EA152">
            <v>443.44037523</v>
          </cell>
          <cell r="EB152">
            <v>422.064112</v>
          </cell>
          <cell r="EC152">
            <v>438.8500435</v>
          </cell>
          <cell r="ED152">
            <v>440.6811815</v>
          </cell>
          <cell r="EE152">
            <v>443.1017745</v>
          </cell>
          <cell r="EF152">
            <v>447.9502955</v>
          </cell>
          <cell r="EG152">
            <v>629.4306135</v>
          </cell>
        </row>
        <row r="152">
          <cell r="FE152">
            <v>456.7683175</v>
          </cell>
          <cell r="FF152">
            <v>487.244519</v>
          </cell>
          <cell r="FG152">
            <v>474.999169</v>
          </cell>
          <cell r="FH152">
            <v>474.617388</v>
          </cell>
          <cell r="FI152">
            <v>486.433578</v>
          </cell>
          <cell r="FJ152">
            <v>474.035000388</v>
          </cell>
          <cell r="FK152">
            <v>485.197083</v>
          </cell>
          <cell r="FL152">
            <v>487.029785</v>
          </cell>
          <cell r="FM152">
            <v>496.832919</v>
          </cell>
          <cell r="FN152">
            <v>494.613108</v>
          </cell>
          <cell r="FO152">
            <v>481.570082</v>
          </cell>
          <cell r="FP152">
            <v>537.9870545</v>
          </cell>
        </row>
        <row r="152">
          <cell r="HP152">
            <v>690.583100550679</v>
          </cell>
          <cell r="HQ152">
            <v>736.648159343549</v>
          </cell>
          <cell r="HR152">
            <v>718.094581151208</v>
          </cell>
          <cell r="HS152">
            <v>717.572041976097</v>
          </cell>
          <cell r="HT152">
            <v>735.374392129313</v>
          </cell>
          <cell r="HU152">
            <v>716.682337407633</v>
          </cell>
          <cell r="HV152">
            <v>733.4768741528</v>
          </cell>
          <cell r="HW152">
            <v>736.232871251056</v>
          </cell>
          <cell r="HX152">
            <v>751.065078324265</v>
          </cell>
          <cell r="HY152">
            <v>747.717619765383</v>
          </cell>
          <cell r="HZ152">
            <v>727.981075579009</v>
          </cell>
          <cell r="IA152">
            <v>813.251409292149</v>
          </cell>
        </row>
        <row r="152">
          <cell r="IK152">
            <v>786.885553584298</v>
          </cell>
          <cell r="IL152">
            <v>839.376072856808</v>
          </cell>
          <cell r="IM152">
            <v>818.240858528784</v>
          </cell>
          <cell r="IN152">
            <v>817.637684099481</v>
          </cell>
          <cell r="IO152">
            <v>837.931455965055</v>
          </cell>
          <cell r="IP152">
            <v>816.625216226542</v>
          </cell>
          <cell r="IQ152">
            <v>835.773315644608</v>
          </cell>
          <cell r="IR152">
            <v>838.915748034035</v>
          </cell>
          <cell r="IS152">
            <v>855.814763935738</v>
          </cell>
          <cell r="IT152">
            <v>851.999270381472</v>
          </cell>
          <cell r="IU152">
            <v>829.51285243775</v>
          </cell>
          <cell r="IV152">
            <v>926.677889639326</v>
          </cell>
        </row>
        <row r="152">
          <cell r="JF152">
            <v>887.86866337746</v>
          </cell>
          <cell r="JG152">
            <v>947.093088383833</v>
          </cell>
          <cell r="JH152">
            <v>923.237455276368</v>
          </cell>
          <cell r="JI152">
            <v>922.567927987548</v>
          </cell>
          <cell r="JJ152">
            <v>945.453432541909</v>
          </cell>
          <cell r="JK152">
            <v>921.42366746261</v>
          </cell>
          <cell r="JL152">
            <v>943.012655915</v>
          </cell>
          <cell r="JM152">
            <v>946.555363383057</v>
          </cell>
          <cell r="JN152">
            <v>965.625289688232</v>
          </cell>
          <cell r="JO152">
            <v>961.321892644932</v>
          </cell>
          <cell r="JP152">
            <v>935.946309213497</v>
          </cell>
          <cell r="JQ152">
            <v>1045.57556068403</v>
          </cell>
        </row>
        <row r="168">
          <cell r="CG168">
            <v>4.55</v>
          </cell>
          <cell r="CH168">
            <v>4.88</v>
          </cell>
          <cell r="CI168">
            <v>4.47</v>
          </cell>
          <cell r="CJ168">
            <v>4.65</v>
          </cell>
          <cell r="CK168">
            <v>4.91</v>
          </cell>
          <cell r="CL168">
            <v>4.04</v>
          </cell>
          <cell r="CM168">
            <v>3.85</v>
          </cell>
          <cell r="CN168">
            <v>2.92</v>
          </cell>
          <cell r="CO168">
            <v>2.46</v>
          </cell>
          <cell r="CP168">
            <v>2.58</v>
          </cell>
          <cell r="CQ168">
            <v>2.3955</v>
          </cell>
          <cell r="CR168">
            <v>2.342</v>
          </cell>
        </row>
        <row r="168">
          <cell r="CT168">
            <v>0.26</v>
          </cell>
          <cell r="CU168">
            <v>1.42</v>
          </cell>
          <cell r="CV168">
            <v>2.36</v>
          </cell>
          <cell r="CW168">
            <v>2.55</v>
          </cell>
          <cell r="CX168">
            <v>2.36</v>
          </cell>
          <cell r="CY168">
            <v>1.72</v>
          </cell>
          <cell r="CZ168">
            <v>2.3</v>
          </cell>
          <cell r="DA168">
            <v>2.58</v>
          </cell>
          <cell r="DB168">
            <v>2.38</v>
          </cell>
          <cell r="DC168">
            <v>2.6814</v>
          </cell>
          <cell r="DD168">
            <v>2.5048</v>
          </cell>
          <cell r="DE168">
            <v>2.37</v>
          </cell>
        </row>
        <row r="168">
          <cell r="DG168">
            <v>2.7233</v>
          </cell>
          <cell r="DH168">
            <v>2.0101</v>
          </cell>
          <cell r="DI168">
            <v>2.51</v>
          </cell>
          <cell r="DJ168">
            <v>2.4058</v>
          </cell>
          <cell r="DK168">
            <v>2.3152</v>
          </cell>
          <cell r="DL168">
            <v>2.4022</v>
          </cell>
          <cell r="DM168">
            <v>2.213</v>
          </cell>
          <cell r="DN168">
            <v>2.3597</v>
          </cell>
          <cell r="DO168">
            <v>3.812</v>
          </cell>
          <cell r="DP168">
            <v>5.0228</v>
          </cell>
          <cell r="DQ168">
            <v>4.4858</v>
          </cell>
          <cell r="DR168">
            <v>4.823</v>
          </cell>
        </row>
        <row r="168">
          <cell r="DV168">
            <v>6.85</v>
          </cell>
          <cell r="DW168">
            <v>6.48</v>
          </cell>
          <cell r="DX168">
            <v>6.48</v>
          </cell>
          <cell r="DY168">
            <v>4.8932</v>
          </cell>
          <cell r="DZ168">
            <v>2.7269</v>
          </cell>
          <cell r="EA168">
            <v>2.4399</v>
          </cell>
          <cell r="EB168">
            <v>1.3661</v>
          </cell>
          <cell r="EC168">
            <v>1.5926</v>
          </cell>
          <cell r="ED168">
            <v>3.4797</v>
          </cell>
          <cell r="EE168">
            <v>4.5297</v>
          </cell>
          <cell r="EF168">
            <v>2.4428</v>
          </cell>
          <cell r="EG168">
            <v>0.0011</v>
          </cell>
        </row>
        <row r="168"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</row>
        <row r="168"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</row>
        <row r="168"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</row>
        <row r="168"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</row>
        <row r="174">
          <cell r="CG174">
            <v>71.36</v>
          </cell>
          <cell r="CH174">
            <v>74.91</v>
          </cell>
          <cell r="CI174">
            <v>83.57</v>
          </cell>
          <cell r="CJ174">
            <v>73.96</v>
          </cell>
          <cell r="CK174">
            <v>73.49</v>
          </cell>
          <cell r="CL174">
            <v>75.21</v>
          </cell>
          <cell r="CM174">
            <v>71.14057271</v>
          </cell>
          <cell r="CN174">
            <v>74.09192839</v>
          </cell>
          <cell r="CO174">
            <v>66.06916142</v>
          </cell>
          <cell r="CP174">
            <v>64.17145726</v>
          </cell>
          <cell r="CQ174">
            <v>70.43499459</v>
          </cell>
          <cell r="CR174">
            <v>69.55196737</v>
          </cell>
        </row>
        <row r="174">
          <cell r="CT174">
            <v>45.01</v>
          </cell>
          <cell r="CU174">
            <v>45.26</v>
          </cell>
          <cell r="CV174">
            <v>54.52</v>
          </cell>
          <cell r="CW174">
            <v>51.01</v>
          </cell>
          <cell r="CX174">
            <v>50.42</v>
          </cell>
          <cell r="CY174">
            <v>53.13</v>
          </cell>
          <cell r="CZ174">
            <v>53.19</v>
          </cell>
          <cell r="DA174">
            <v>53.73</v>
          </cell>
          <cell r="DB174">
            <v>51.79</v>
          </cell>
          <cell r="DC174">
            <v>54.133897</v>
          </cell>
          <cell r="DD174">
            <v>56.294178</v>
          </cell>
          <cell r="DE174">
            <v>57.692249</v>
          </cell>
        </row>
        <row r="174">
          <cell r="DG174">
            <v>67.697895</v>
          </cell>
          <cell r="DH174">
            <v>60.464027</v>
          </cell>
          <cell r="DI174">
            <v>58.28261515</v>
          </cell>
          <cell r="DJ174">
            <v>62.643967</v>
          </cell>
          <cell r="DK174">
            <v>63.271288</v>
          </cell>
          <cell r="DL174">
            <v>66.10577</v>
          </cell>
          <cell r="DM174">
            <v>69.941145</v>
          </cell>
          <cell r="DN174">
            <v>68.049809</v>
          </cell>
          <cell r="DO174">
            <v>66.49284</v>
          </cell>
          <cell r="DP174">
            <v>64.091723</v>
          </cell>
          <cell r="DQ174">
            <v>62.346976</v>
          </cell>
          <cell r="DR174">
            <v>63.312877</v>
          </cell>
        </row>
        <row r="174">
          <cell r="DV174">
            <v>88.62</v>
          </cell>
          <cell r="DW174">
            <v>95.12</v>
          </cell>
          <cell r="DX174">
            <v>102.2</v>
          </cell>
          <cell r="DY174">
            <v>91.70565</v>
          </cell>
          <cell r="DZ174">
            <v>95.851009</v>
          </cell>
          <cell r="EA174">
            <v>100.436035</v>
          </cell>
          <cell r="EB174">
            <v>97.008417</v>
          </cell>
          <cell r="EC174">
            <v>95.453312</v>
          </cell>
          <cell r="ED174">
            <v>92.87741</v>
          </cell>
          <cell r="EE174">
            <v>95.297907</v>
          </cell>
          <cell r="EF174">
            <v>97.874269</v>
          </cell>
          <cell r="EG174">
            <v>145.338513</v>
          </cell>
        </row>
        <row r="174">
          <cell r="FE174">
            <v>119.360591</v>
          </cell>
          <cell r="FF174">
            <v>129.0616115</v>
          </cell>
          <cell r="FG174">
            <v>129.8093705</v>
          </cell>
          <cell r="FH174">
            <v>120.457118</v>
          </cell>
          <cell r="FI174">
            <v>121.0316435</v>
          </cell>
          <cell r="FJ174">
            <v>113.460328095</v>
          </cell>
          <cell r="FK174">
            <v>111.380884</v>
          </cell>
          <cell r="FL174">
            <v>111.380884</v>
          </cell>
          <cell r="FM174">
            <v>104.2976095</v>
          </cell>
          <cell r="FN174">
            <v>105.318318</v>
          </cell>
          <cell r="FO174">
            <v>107.650029</v>
          </cell>
          <cell r="FP174">
            <v>126.476984</v>
          </cell>
        </row>
        <row r="174">
          <cell r="HP174">
            <v>231.320118513961</v>
          </cell>
          <cell r="HQ174">
            <v>250.12063879428</v>
          </cell>
          <cell r="HR174">
            <v>251.56979130811</v>
          </cell>
          <cell r="HS174">
            <v>233.445181346415</v>
          </cell>
          <cell r="HT174">
            <v>234.55860836312</v>
          </cell>
          <cell r="HU174">
            <v>219.885443944965</v>
          </cell>
          <cell r="HV174">
            <v>215.855493603159</v>
          </cell>
          <cell r="HW174">
            <v>215.855493603159</v>
          </cell>
          <cell r="HX174">
            <v>202.128149568754</v>
          </cell>
          <cell r="HY174">
            <v>204.106276597198</v>
          </cell>
          <cell r="HZ174">
            <v>208.625118706989</v>
          </cell>
          <cell r="IA174">
            <v>245.111646005241</v>
          </cell>
        </row>
        <row r="174">
          <cell r="IK174">
            <v>297.363522552856</v>
          </cell>
          <cell r="IL174">
            <v>321.531714114822</v>
          </cell>
          <cell r="IM174">
            <v>323.394609132329</v>
          </cell>
          <cell r="IN174">
            <v>300.09530469772</v>
          </cell>
          <cell r="IO174">
            <v>301.526622396847</v>
          </cell>
          <cell r="IP174">
            <v>282.664173741666</v>
          </cell>
          <cell r="IQ174">
            <v>277.483646267226</v>
          </cell>
          <cell r="IR174">
            <v>277.483646267226</v>
          </cell>
          <cell r="IS174">
            <v>259.837055890266</v>
          </cell>
          <cell r="IT174">
            <v>262.379951099788</v>
          </cell>
          <cell r="IU174">
            <v>268.188952133766</v>
          </cell>
          <cell r="IV174">
            <v>315.092621182658</v>
          </cell>
        </row>
        <row r="174">
          <cell r="JF174">
            <v>368.216740787983</v>
          </cell>
          <cell r="JG174">
            <v>398.143520815634</v>
          </cell>
          <cell r="JH174">
            <v>400.450290408245</v>
          </cell>
          <cell r="JI174">
            <v>371.59942844681</v>
          </cell>
          <cell r="JJ174">
            <v>373.371788195847</v>
          </cell>
          <cell r="JK174">
            <v>350.014957783479</v>
          </cell>
          <cell r="JL174">
            <v>343.600058854973</v>
          </cell>
          <cell r="JM174">
            <v>343.600058854973</v>
          </cell>
          <cell r="JN174">
            <v>321.748790956202</v>
          </cell>
          <cell r="JO174">
            <v>324.897585328078</v>
          </cell>
          <cell r="JP174">
            <v>332.09070508131</v>
          </cell>
          <cell r="JQ174">
            <v>390.170176295239</v>
          </cell>
        </row>
        <row r="180"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0.2272</v>
          </cell>
          <cell r="EB180">
            <v>0.2887</v>
          </cell>
          <cell r="EC180">
            <v>0.2863</v>
          </cell>
          <cell r="ED180">
            <v>0.2918</v>
          </cell>
          <cell r="EE180">
            <v>0.251</v>
          </cell>
          <cell r="EF180">
            <v>0.2549</v>
          </cell>
          <cell r="EG180">
            <v>0.2434</v>
          </cell>
        </row>
        <row r="180">
          <cell r="FE180">
            <v>0</v>
          </cell>
          <cell r="FF180">
            <v>0.4269</v>
          </cell>
          <cell r="FG180">
            <v>0.41395</v>
          </cell>
          <cell r="FH180">
            <v>0.34735</v>
          </cell>
          <cell r="FI180">
            <v>0.36855</v>
          </cell>
          <cell r="FJ180">
            <v>0.33543</v>
          </cell>
          <cell r="FK180">
            <v>0.34777</v>
          </cell>
          <cell r="FL180">
            <v>0.2934</v>
          </cell>
          <cell r="FM180">
            <v>0.3048</v>
          </cell>
          <cell r="FN180">
            <v>0.2678</v>
          </cell>
          <cell r="FO180">
            <v>0.3016</v>
          </cell>
          <cell r="FP180">
            <v>0.4124</v>
          </cell>
        </row>
        <row r="180">
          <cell r="HP180">
            <v>0</v>
          </cell>
          <cell r="HQ180">
            <v>0.4530296952</v>
          </cell>
          <cell r="HR180">
            <v>0.4392870516</v>
          </cell>
          <cell r="HS180">
            <v>0.3686105988</v>
          </cell>
          <cell r="HT180">
            <v>0.3911082084</v>
          </cell>
          <cell r="HU180">
            <v>0.35596099944</v>
          </cell>
          <cell r="HV180">
            <v>0.36905630616</v>
          </cell>
          <cell r="HW180">
            <v>0.3113584272</v>
          </cell>
          <cell r="HX180">
            <v>0.3234561984</v>
          </cell>
          <cell r="HY180">
            <v>0.2841915024</v>
          </cell>
          <cell r="HZ180">
            <v>0.3200603328</v>
          </cell>
          <cell r="IA180">
            <v>0.4376421792</v>
          </cell>
        </row>
        <row r="180">
          <cell r="IK180">
            <v>0</v>
          </cell>
          <cell r="IL180">
            <v>0.462090289104</v>
          </cell>
          <cell r="IM180">
            <v>0.448072792632</v>
          </cell>
          <cell r="IN180">
            <v>0.375982810776</v>
          </cell>
          <cell r="IO180">
            <v>0.398930372568</v>
          </cell>
          <cell r="IP180">
            <v>0.3630802194288</v>
          </cell>
          <cell r="IQ180">
            <v>0.3764374322832</v>
          </cell>
          <cell r="IR180">
            <v>0.317585595744</v>
          </cell>
          <cell r="IS180">
            <v>0.329925322368</v>
          </cell>
          <cell r="IT180">
            <v>0.289875332448</v>
          </cell>
          <cell r="IU180">
            <v>0.326461539456</v>
          </cell>
          <cell r="IV180">
            <v>0.446395022784</v>
          </cell>
        </row>
        <row r="180">
          <cell r="JF180">
            <v>0</v>
          </cell>
          <cell r="JG180">
            <v>0.47133209488608</v>
          </cell>
          <cell r="JH180">
            <v>0.45703424848464</v>
          </cell>
          <cell r="JI180">
            <v>0.38350246699152</v>
          </cell>
          <cell r="JJ180">
            <v>0.40690898001936</v>
          </cell>
          <cell r="JK180">
            <v>0.370341823817376</v>
          </cell>
          <cell r="JL180">
            <v>0.383966180928864</v>
          </cell>
          <cell r="JM180">
            <v>0.32393730765888</v>
          </cell>
          <cell r="JN180">
            <v>0.33652382881536</v>
          </cell>
          <cell r="JO180">
            <v>0.29567283909696</v>
          </cell>
          <cell r="JP180">
            <v>0.33299077024512</v>
          </cell>
          <cell r="JQ180">
            <v>0.45532292323968</v>
          </cell>
        </row>
        <row r="185"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</row>
        <row r="185"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</row>
        <row r="185"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</row>
        <row r="185"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</row>
        <row r="185"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</row>
        <row r="185"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</row>
        <row r="191">
          <cell r="CG191">
            <v>0.94</v>
          </cell>
          <cell r="CH191">
            <v>0.59</v>
          </cell>
          <cell r="CI191">
            <v>0.19</v>
          </cell>
          <cell r="CJ191">
            <v>0.22</v>
          </cell>
          <cell r="CK191">
            <v>0.93</v>
          </cell>
          <cell r="CL191">
            <v>2.2</v>
          </cell>
          <cell r="CM191">
            <v>1.64</v>
          </cell>
          <cell r="CN191">
            <v>1.47</v>
          </cell>
          <cell r="CO191">
            <v>1.63</v>
          </cell>
          <cell r="CP191">
            <v>2.47</v>
          </cell>
          <cell r="CQ191">
            <v>2.97</v>
          </cell>
          <cell r="CR191">
            <v>2.34</v>
          </cell>
        </row>
        <row r="191">
          <cell r="CT191">
            <v>1.96</v>
          </cell>
          <cell r="CU191">
            <v>0.23</v>
          </cell>
          <cell r="CV191">
            <v>0.07</v>
          </cell>
          <cell r="CW191">
            <v>0.08</v>
          </cell>
          <cell r="CX191">
            <v>0.41</v>
          </cell>
          <cell r="CY191">
            <v>0.84</v>
          </cell>
          <cell r="CZ191">
            <v>0.69</v>
          </cell>
          <cell r="DA191">
            <v>1.36</v>
          </cell>
          <cell r="DB191">
            <v>0.82</v>
          </cell>
          <cell r="DC191">
            <v>1.39</v>
          </cell>
          <cell r="DD191">
            <v>2.93</v>
          </cell>
          <cell r="DE191">
            <v>3.73</v>
          </cell>
        </row>
        <row r="191">
          <cell r="DG191">
            <v>2.00429</v>
          </cell>
          <cell r="DH191">
            <v>0.41722</v>
          </cell>
          <cell r="DI191">
            <v>0.06461</v>
          </cell>
          <cell r="DJ191">
            <v>0.22211</v>
          </cell>
          <cell r="DK191">
            <v>0.96775</v>
          </cell>
          <cell r="DL191">
            <v>1.50842</v>
          </cell>
          <cell r="DM191">
            <v>1.69882</v>
          </cell>
          <cell r="DN191">
            <v>1.70025</v>
          </cell>
          <cell r="DO191">
            <v>1.41856</v>
          </cell>
          <cell r="DP191">
            <v>1.8518</v>
          </cell>
          <cell r="DQ191">
            <v>1.69385</v>
          </cell>
          <cell r="DR191">
            <v>1.84071</v>
          </cell>
        </row>
        <row r="191">
          <cell r="DV191">
            <v>0.84</v>
          </cell>
          <cell r="DW191">
            <v>0.39</v>
          </cell>
          <cell r="DX191">
            <v>0.07</v>
          </cell>
          <cell r="DY191">
            <v>0.53411</v>
          </cell>
          <cell r="DZ191">
            <v>1.15526</v>
          </cell>
          <cell r="EA191">
            <v>1.76723</v>
          </cell>
          <cell r="EB191">
            <v>1.29062</v>
          </cell>
          <cell r="EC191">
            <v>1.64535</v>
          </cell>
          <cell r="ED191">
            <v>1.27887</v>
          </cell>
          <cell r="EE191">
            <v>2.62074</v>
          </cell>
          <cell r="EF191">
            <v>2.2689</v>
          </cell>
          <cell r="EG191">
            <v>3.1821</v>
          </cell>
        </row>
        <row r="191">
          <cell r="FE191">
            <v>1.30048</v>
          </cell>
          <cell r="FF191">
            <v>2.080615</v>
          </cell>
          <cell r="FG191">
            <v>1.95454</v>
          </cell>
          <cell r="FH191">
            <v>2.213195</v>
          </cell>
          <cell r="FI191">
            <v>3.7451</v>
          </cell>
          <cell r="FJ191">
            <v>3.529655</v>
          </cell>
          <cell r="FK191">
            <v>4.685995</v>
          </cell>
          <cell r="FL191">
            <v>4.575075</v>
          </cell>
          <cell r="FM191">
            <v>3.758055</v>
          </cell>
          <cell r="FN191">
            <v>4.72535</v>
          </cell>
          <cell r="FO191">
            <v>4.8465</v>
          </cell>
          <cell r="FP191">
            <v>6.008485</v>
          </cell>
        </row>
        <row r="191">
          <cell r="HP191">
            <v>2.01142254913661</v>
          </cell>
          <cell r="HQ191">
            <v>3.21803943703238</v>
          </cell>
          <cell r="HR191">
            <v>3.02304212997468</v>
          </cell>
          <cell r="HS191">
            <v>3.42309787819606</v>
          </cell>
          <cell r="HT191">
            <v>5.79246015991905</v>
          </cell>
          <cell r="HU191">
            <v>5.4592363263355</v>
          </cell>
          <cell r="HV191">
            <v>7.24772084779575</v>
          </cell>
          <cell r="HW191">
            <v>7.07616343118786</v>
          </cell>
          <cell r="HX191">
            <v>5.81249736089413</v>
          </cell>
          <cell r="HY191">
            <v>7.30859032246762</v>
          </cell>
          <cell r="HZ191">
            <v>7.49597024513302</v>
          </cell>
          <cell r="IA191">
            <v>9.29318575845004</v>
          </cell>
        </row>
        <row r="191">
          <cell r="IK191">
            <v>2.70077658610091</v>
          </cell>
          <cell r="IL191">
            <v>4.32092479445308</v>
          </cell>
          <cell r="IM191">
            <v>4.05909807809245</v>
          </cell>
          <cell r="IN191">
            <v>4.59626079330371</v>
          </cell>
          <cell r="IO191">
            <v>7.77765009274001</v>
          </cell>
          <cell r="IP191">
            <v>7.33022390272362</v>
          </cell>
          <cell r="IQ191">
            <v>9.7316572177857</v>
          </cell>
          <cell r="IR191">
            <v>9.50130370298323</v>
          </cell>
          <cell r="IS191">
            <v>7.80455443626927</v>
          </cell>
          <cell r="IT191">
            <v>9.81338785766174</v>
          </cell>
          <cell r="IU191">
            <v>10.0649865622986</v>
          </cell>
          <cell r="IV191">
            <v>12.4781431517121</v>
          </cell>
        </row>
        <row r="191">
          <cell r="JF191">
            <v>3.76876957457497</v>
          </cell>
          <cell r="JG191">
            <v>6.02958792784533</v>
          </cell>
          <cell r="JH191">
            <v>5.6642246588104</v>
          </cell>
          <cell r="JI191">
            <v>6.41380257951021</v>
          </cell>
          <cell r="JJ191">
            <v>10.8532379842371</v>
          </cell>
          <cell r="JK191">
            <v>10.228881930323</v>
          </cell>
          <cell r="JL191">
            <v>13.5799361640398</v>
          </cell>
          <cell r="JM191">
            <v>13.2584918348599</v>
          </cell>
          <cell r="JN191">
            <v>10.8907813604049</v>
          </cell>
          <cell r="JO191">
            <v>13.6939863044551</v>
          </cell>
          <cell r="JP191">
            <v>14.045077004781</v>
          </cell>
          <cell r="JQ191">
            <v>17.4124903553227</v>
          </cell>
        </row>
        <row r="192">
          <cell r="CG192">
            <v>14.27</v>
          </cell>
          <cell r="CH192">
            <v>13.8</v>
          </cell>
          <cell r="CI192">
            <v>13.72</v>
          </cell>
          <cell r="CJ192">
            <v>11.95</v>
          </cell>
          <cell r="CK192">
            <v>12.4</v>
          </cell>
          <cell r="CL192">
            <v>12.75</v>
          </cell>
          <cell r="CM192">
            <v>12.18</v>
          </cell>
          <cell r="CN192">
            <v>13.12</v>
          </cell>
          <cell r="CO192">
            <v>13.06</v>
          </cell>
          <cell r="CP192">
            <v>13.79</v>
          </cell>
          <cell r="CQ192">
            <v>13.73</v>
          </cell>
          <cell r="CR192">
            <v>13.95</v>
          </cell>
        </row>
        <row r="192">
          <cell r="CT192">
            <v>16.08</v>
          </cell>
          <cell r="CU192">
            <v>15.72</v>
          </cell>
          <cell r="CV192">
            <v>15.83</v>
          </cell>
          <cell r="CW192">
            <v>15.79</v>
          </cell>
          <cell r="CX192">
            <v>16.24</v>
          </cell>
          <cell r="CY192">
            <v>17.09</v>
          </cell>
          <cell r="CZ192">
            <v>16.09</v>
          </cell>
          <cell r="DA192">
            <v>9.85</v>
          </cell>
          <cell r="DB192">
            <v>15.23</v>
          </cell>
          <cell r="DC192">
            <v>18.59</v>
          </cell>
          <cell r="DD192">
            <v>18.31</v>
          </cell>
          <cell r="DE192">
            <v>16.58</v>
          </cell>
        </row>
        <row r="192">
          <cell r="DG192">
            <v>19.86252</v>
          </cell>
          <cell r="DH192">
            <v>18.37851</v>
          </cell>
          <cell r="DI192">
            <v>17.73945</v>
          </cell>
          <cell r="DJ192">
            <v>18.48545</v>
          </cell>
          <cell r="DK192">
            <v>18.04961</v>
          </cell>
          <cell r="DL192">
            <v>19.54697</v>
          </cell>
          <cell r="DM192">
            <v>19.29402</v>
          </cell>
          <cell r="DN192">
            <v>20.541525</v>
          </cell>
          <cell r="DO192">
            <v>19.324575</v>
          </cell>
          <cell r="DP192">
            <v>19.159135</v>
          </cell>
          <cell r="DQ192">
            <v>19.925975</v>
          </cell>
          <cell r="DR192">
            <v>19.37655</v>
          </cell>
        </row>
        <row r="192">
          <cell r="DV192">
            <v>19.47</v>
          </cell>
          <cell r="DW192">
            <v>20.99</v>
          </cell>
          <cell r="DX192">
            <v>21.1</v>
          </cell>
          <cell r="DY192">
            <v>20.4317</v>
          </cell>
          <cell r="DZ192">
            <v>20.10299</v>
          </cell>
          <cell r="EA192">
            <v>20.61542</v>
          </cell>
          <cell r="EB192">
            <v>19.67954</v>
          </cell>
          <cell r="EC192">
            <v>20.0456</v>
          </cell>
          <cell r="ED192">
            <v>19.76087</v>
          </cell>
          <cell r="EE192">
            <v>18.31444</v>
          </cell>
          <cell r="EF192">
            <v>20.85805</v>
          </cell>
          <cell r="EG192">
            <v>26.558435</v>
          </cell>
        </row>
        <row r="192">
          <cell r="FE192">
            <v>20.413735</v>
          </cell>
          <cell r="FF192">
            <v>21.165235</v>
          </cell>
          <cell r="FG192">
            <v>20.078425</v>
          </cell>
          <cell r="FH192">
            <v>20.20959</v>
          </cell>
          <cell r="FI192">
            <v>21.91816</v>
          </cell>
          <cell r="FJ192">
            <v>20.591245</v>
          </cell>
          <cell r="FK192">
            <v>20.2793</v>
          </cell>
          <cell r="FL192">
            <v>21.491055</v>
          </cell>
          <cell r="FM192">
            <v>20.86777</v>
          </cell>
          <cell r="FN192">
            <v>22.03612</v>
          </cell>
          <cell r="FO192">
            <v>21.19337</v>
          </cell>
          <cell r="FP192">
            <v>23.43472</v>
          </cell>
        </row>
        <row r="192">
          <cell r="HP192">
            <v>24.9810146351628</v>
          </cell>
          <cell r="HQ192">
            <v>25.9006519527984</v>
          </cell>
          <cell r="HR192">
            <v>24.570683844775</v>
          </cell>
          <cell r="HS192">
            <v>24.7311951272336</v>
          </cell>
          <cell r="HT192">
            <v>26.822033093691</v>
          </cell>
          <cell r="HU192">
            <v>25.1982399448813</v>
          </cell>
          <cell r="HV192">
            <v>24.8165017372302</v>
          </cell>
          <cell r="HW192">
            <v>26.2993694921624</v>
          </cell>
          <cell r="HX192">
            <v>25.5366334369095</v>
          </cell>
          <cell r="HY192">
            <v>26.9663849473015</v>
          </cell>
          <cell r="HZ192">
            <v>25.9350817544374</v>
          </cell>
          <cell r="IA192">
            <v>28.6779015839552</v>
          </cell>
        </row>
        <row r="192">
          <cell r="IK192">
            <v>26.5324982974759</v>
          </cell>
          <cell r="IL192">
            <v>27.509251080372</v>
          </cell>
          <cell r="IM192">
            <v>26.0966832933071</v>
          </cell>
          <cell r="IN192">
            <v>26.2671633715087</v>
          </cell>
          <cell r="IO192">
            <v>28.4878559893035</v>
          </cell>
          <cell r="IP192">
            <v>26.7632147133001</v>
          </cell>
          <cell r="IQ192">
            <v>26.3577680774245</v>
          </cell>
          <cell r="IR192">
            <v>27.9327315750136</v>
          </cell>
          <cell r="IS192">
            <v>27.1226246444915</v>
          </cell>
          <cell r="IT192">
            <v>28.6411730329102</v>
          </cell>
          <cell r="IU192">
            <v>27.545819196868</v>
          </cell>
          <cell r="IV192">
            <v>30.4589859965275</v>
          </cell>
        </row>
        <row r="192">
          <cell r="JF192">
            <v>28.089325316795</v>
          </cell>
          <cell r="JG192">
            <v>29.1233902723541</v>
          </cell>
          <cell r="JH192">
            <v>27.6279383304363</v>
          </cell>
          <cell r="JI192">
            <v>27.8084215372173</v>
          </cell>
          <cell r="JJ192">
            <v>30.1594160297252</v>
          </cell>
          <cell r="JK192">
            <v>28.3335793025053</v>
          </cell>
          <cell r="JL192">
            <v>27.904342585856</v>
          </cell>
          <cell r="JM192">
            <v>29.5717190066459</v>
          </cell>
          <cell r="JN192">
            <v>28.7140780541167</v>
          </cell>
          <cell r="JO192">
            <v>30.3217291397156</v>
          </cell>
          <cell r="JP192">
            <v>29.1621040681288</v>
          </cell>
          <cell r="JQ192">
            <v>32.2462045180856</v>
          </cell>
        </row>
        <row r="193"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</row>
        <row r="193"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</row>
        <row r="193"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</row>
        <row r="194">
          <cell r="EC194">
            <v>0.2742</v>
          </cell>
          <cell r="ED194">
            <v>0.30885</v>
          </cell>
          <cell r="EE194">
            <v>0.4818</v>
          </cell>
          <cell r="EF194">
            <v>0.45825</v>
          </cell>
          <cell r="EG194">
            <v>1.4277</v>
          </cell>
        </row>
        <row r="194">
          <cell r="FE194">
            <v>0.88884</v>
          </cell>
          <cell r="FF194">
            <v>1.564635</v>
          </cell>
          <cell r="FG194">
            <v>1.47231</v>
          </cell>
          <cell r="FH194">
            <v>1.735515</v>
          </cell>
          <cell r="FI194">
            <v>1.8249</v>
          </cell>
          <cell r="FJ194">
            <v>1.6791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</row>
        <row r="194">
          <cell r="HP194">
            <v>1.028943405</v>
          </cell>
          <cell r="HQ194">
            <v>1.811260591875</v>
          </cell>
          <cell r="HR194">
            <v>1.70438286375</v>
          </cell>
          <cell r="HS194">
            <v>2.009075551875</v>
          </cell>
          <cell r="HT194">
            <v>2.1125498625</v>
          </cell>
          <cell r="HU194">
            <v>1.9437681375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</row>
        <row r="194">
          <cell r="IK194">
            <v>1.08039057525</v>
          </cell>
          <cell r="IL194">
            <v>1.90182362146875</v>
          </cell>
          <cell r="IM194">
            <v>1.7896020069375</v>
          </cell>
          <cell r="IN194">
            <v>2.10952932946875</v>
          </cell>
          <cell r="IO194">
            <v>2.218177355625</v>
          </cell>
          <cell r="IP194">
            <v>2.040956544375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</row>
        <row r="194">
          <cell r="JF194">
            <v>1.1344101040125</v>
          </cell>
          <cell r="JG194">
            <v>1.99691480254219</v>
          </cell>
          <cell r="JH194">
            <v>1.87908210728438</v>
          </cell>
          <cell r="JI194">
            <v>2.21500579594219</v>
          </cell>
          <cell r="JJ194">
            <v>2.32908622340625</v>
          </cell>
          <cell r="JK194">
            <v>2.14300437159375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</row>
        <row r="196">
          <cell r="CG196">
            <v>7.54</v>
          </cell>
          <cell r="CH196">
            <v>8.99</v>
          </cell>
          <cell r="CI196">
            <v>9.43</v>
          </cell>
          <cell r="CJ196">
            <v>5.96</v>
          </cell>
          <cell r="CK196">
            <v>5.81</v>
          </cell>
          <cell r="CL196">
            <v>5.8</v>
          </cell>
          <cell r="CM196">
            <v>5.29</v>
          </cell>
          <cell r="CN196">
            <v>5.58</v>
          </cell>
          <cell r="CO196">
            <v>5.26</v>
          </cell>
          <cell r="CP196">
            <v>5.38</v>
          </cell>
          <cell r="CQ196">
            <v>5.58</v>
          </cell>
          <cell r="CR196">
            <v>5.98</v>
          </cell>
        </row>
        <row r="196">
          <cell r="CT196">
            <v>7.42</v>
          </cell>
          <cell r="CU196">
            <v>8.82</v>
          </cell>
          <cell r="CV196">
            <v>9.12</v>
          </cell>
          <cell r="CW196">
            <v>6.89</v>
          </cell>
          <cell r="CX196">
            <v>6.47</v>
          </cell>
          <cell r="CY196">
            <v>6.75</v>
          </cell>
          <cell r="CZ196">
            <v>6.51</v>
          </cell>
          <cell r="DA196">
            <v>6.49</v>
          </cell>
          <cell r="DB196">
            <v>6.26</v>
          </cell>
          <cell r="DC196">
            <v>6.47</v>
          </cell>
          <cell r="DD196">
            <v>6.63</v>
          </cell>
          <cell r="DE196">
            <v>7.33</v>
          </cell>
        </row>
        <row r="196">
          <cell r="DG196">
            <v>9.878352</v>
          </cell>
          <cell r="DH196">
            <v>9.848847</v>
          </cell>
          <cell r="DI196">
            <v>9.124203</v>
          </cell>
          <cell r="DJ196">
            <v>8.125513</v>
          </cell>
          <cell r="DK196">
            <v>8.1839</v>
          </cell>
          <cell r="DL196">
            <v>8.074923</v>
          </cell>
          <cell r="DM196">
            <v>7.995032</v>
          </cell>
          <cell r="DN196">
            <v>7.964878</v>
          </cell>
          <cell r="DO196">
            <v>7.558957</v>
          </cell>
          <cell r="DP196">
            <v>7.39315</v>
          </cell>
          <cell r="DQ196">
            <v>7.478686</v>
          </cell>
          <cell r="DR196">
            <v>7.958275</v>
          </cell>
        </row>
        <row r="196">
          <cell r="DV196">
            <v>12.56</v>
          </cell>
          <cell r="DW196">
            <v>13.27</v>
          </cell>
          <cell r="DX196">
            <v>12.7</v>
          </cell>
          <cell r="DY196">
            <v>9.095474</v>
          </cell>
          <cell r="DZ196">
            <v>9.241715</v>
          </cell>
          <cell r="EA196">
            <v>9.654017</v>
          </cell>
          <cell r="EB196">
            <v>8.91257</v>
          </cell>
          <cell r="EC196">
            <v>8.87118</v>
          </cell>
          <cell r="ED196">
            <v>8.849315</v>
          </cell>
          <cell r="EE196">
            <v>8.862205</v>
          </cell>
          <cell r="EF196">
            <v>9.168395</v>
          </cell>
          <cell r="EG196">
            <v>12.887882</v>
          </cell>
        </row>
        <row r="196">
          <cell r="FE196">
            <v>12.783713</v>
          </cell>
          <cell r="FF196">
            <v>14.111778</v>
          </cell>
          <cell r="FG196">
            <v>14.555582</v>
          </cell>
          <cell r="FH196">
            <v>10.694777</v>
          </cell>
          <cell r="FI196">
            <v>11.019239</v>
          </cell>
          <cell r="FJ196">
            <v>10.064751</v>
          </cell>
          <cell r="FK196">
            <v>10.712406</v>
          </cell>
          <cell r="FL196">
            <v>9.92955</v>
          </cell>
          <cell r="FM196">
            <v>9.617239</v>
          </cell>
          <cell r="FN196">
            <v>9.632757</v>
          </cell>
          <cell r="FO196">
            <v>10.822462</v>
          </cell>
          <cell r="FP196">
            <v>14.087562</v>
          </cell>
        </row>
        <row r="196">
          <cell r="HP196">
            <v>20.3157064205419</v>
          </cell>
          <cell r="HQ196">
            <v>22.426249628716</v>
          </cell>
          <cell r="HR196">
            <v>23.1315370340467</v>
          </cell>
          <cell r="HS196">
            <v>16.9959971539696</v>
          </cell>
          <cell r="HT196">
            <v>17.5116278425357</v>
          </cell>
          <cell r="HU196">
            <v>15.9947682267159</v>
          </cell>
          <cell r="HV196">
            <v>17.0240129259513</v>
          </cell>
          <cell r="HW196">
            <v>15.7799085983933</v>
          </cell>
          <cell r="HX196">
            <v>15.2835881171758</v>
          </cell>
          <cell r="HY196">
            <v>15.308249116076</v>
          </cell>
          <cell r="HZ196">
            <v>17.1989124552053</v>
          </cell>
          <cell r="IA196">
            <v>22.3877658840731</v>
          </cell>
        </row>
        <row r="196">
          <cell r="IK196">
            <v>23.7916309222181</v>
          </cell>
          <cell r="IL196">
            <v>26.2632784256247</v>
          </cell>
          <cell r="IM196">
            <v>27.0892372820073</v>
          </cell>
          <cell r="IN196">
            <v>19.9039345751448</v>
          </cell>
          <cell r="IO196">
            <v>20.5077873174806</v>
          </cell>
          <cell r="IP196">
            <v>18.731399955242</v>
          </cell>
          <cell r="IQ196">
            <v>19.9367437176472</v>
          </cell>
          <cell r="IR196">
            <v>18.4797788266767</v>
          </cell>
          <cell r="IS196">
            <v>17.8985401798963</v>
          </cell>
          <cell r="IT196">
            <v>17.9274205629783</v>
          </cell>
          <cell r="IU196">
            <v>20.1415677568583</v>
          </cell>
          <cell r="IV196">
            <v>26.2182102881898</v>
          </cell>
        </row>
        <row r="196">
          <cell r="JF196">
            <v>27.5193524913721</v>
          </cell>
          <cell r="JG196">
            <v>30.3782627990781</v>
          </cell>
          <cell r="JH196">
            <v>31.333634584496</v>
          </cell>
          <cell r="JI196">
            <v>23.022523900499</v>
          </cell>
          <cell r="JJ196">
            <v>23.7209895300117</v>
          </cell>
          <cell r="JK196">
            <v>21.6662741495284</v>
          </cell>
          <cell r="JL196">
            <v>23.0604736467949</v>
          </cell>
          <cell r="JM196">
            <v>21.3752285060455</v>
          </cell>
          <cell r="JN196">
            <v>20.702920194999</v>
          </cell>
          <cell r="JO196">
            <v>20.7363256157841</v>
          </cell>
          <cell r="JP196">
            <v>23.2973899369049</v>
          </cell>
          <cell r="JQ196">
            <v>30.32613329336</v>
          </cell>
        </row>
        <row r="197">
          <cell r="CG197">
            <v>2.36</v>
          </cell>
          <cell r="CH197">
            <v>2.99</v>
          </cell>
          <cell r="CI197">
            <v>4.03</v>
          </cell>
          <cell r="CJ197">
            <v>4.12</v>
          </cell>
          <cell r="CK197">
            <v>4.58</v>
          </cell>
          <cell r="CL197">
            <v>4.27</v>
          </cell>
          <cell r="CM197">
            <v>3.27</v>
          </cell>
          <cell r="CN197">
            <v>3.72</v>
          </cell>
          <cell r="CO197">
            <v>4.74</v>
          </cell>
          <cell r="CP197">
            <v>4.9</v>
          </cell>
          <cell r="CQ197">
            <v>2.85</v>
          </cell>
          <cell r="CR197">
            <v>2.3</v>
          </cell>
        </row>
        <row r="197">
          <cell r="CT197">
            <v>2.09</v>
          </cell>
          <cell r="CU197">
            <v>2.1</v>
          </cell>
          <cell r="CV197">
            <v>1.6</v>
          </cell>
          <cell r="CW197">
            <v>1.56</v>
          </cell>
          <cell r="CX197">
            <v>1.77</v>
          </cell>
          <cell r="CY197">
            <v>1.95</v>
          </cell>
          <cell r="CZ197">
            <v>1.79</v>
          </cell>
          <cell r="DA197">
            <v>1.09</v>
          </cell>
          <cell r="DB197">
            <v>1.23</v>
          </cell>
          <cell r="DC197">
            <v>1.15</v>
          </cell>
          <cell r="DD197">
            <v>0.98</v>
          </cell>
          <cell r="DE197">
            <v>1.14</v>
          </cell>
        </row>
        <row r="197">
          <cell r="DG197">
            <v>2.072329</v>
          </cell>
          <cell r="DH197">
            <v>2.074251</v>
          </cell>
          <cell r="DI197">
            <v>2.907319</v>
          </cell>
          <cell r="DJ197">
            <v>3.338448</v>
          </cell>
          <cell r="DK197">
            <v>3.765689</v>
          </cell>
          <cell r="DL197">
            <v>4.298725</v>
          </cell>
          <cell r="DM197">
            <v>4.023692</v>
          </cell>
          <cell r="DN197">
            <v>3.825091</v>
          </cell>
          <cell r="DO197">
            <v>4.259647</v>
          </cell>
          <cell r="DP197">
            <v>3.945143</v>
          </cell>
          <cell r="DQ197">
            <v>3.627512</v>
          </cell>
          <cell r="DR197">
            <v>3.104159</v>
          </cell>
        </row>
        <row r="197">
          <cell r="DV197">
            <v>3.15</v>
          </cell>
          <cell r="DW197">
            <v>2.06</v>
          </cell>
          <cell r="DX197">
            <v>2.31</v>
          </cell>
          <cell r="DY197">
            <v>2.8021</v>
          </cell>
          <cell r="DZ197">
            <v>3.0558</v>
          </cell>
          <cell r="EA197">
            <v>3.727714</v>
          </cell>
          <cell r="EB197">
            <v>3.933598</v>
          </cell>
          <cell r="EC197">
            <v>3.694535</v>
          </cell>
          <cell r="ED197">
            <v>3.718147</v>
          </cell>
          <cell r="EE197">
            <v>3.890713</v>
          </cell>
          <cell r="EF197">
            <v>3.335858</v>
          </cell>
          <cell r="EG197">
            <v>4.635101</v>
          </cell>
        </row>
        <row r="197">
          <cell r="FE197">
            <v>3.632685</v>
          </cell>
          <cell r="FF197">
            <v>3.6248</v>
          </cell>
          <cell r="FG197">
            <v>3.567235</v>
          </cell>
          <cell r="FH197">
            <v>3.836725</v>
          </cell>
          <cell r="FI197">
            <v>4.10413</v>
          </cell>
          <cell r="FJ197">
            <v>4.09011</v>
          </cell>
          <cell r="FK197">
            <v>4.54934</v>
          </cell>
          <cell r="FL197">
            <v>2.57343</v>
          </cell>
          <cell r="FM197">
            <v>2.482033</v>
          </cell>
          <cell r="FN197">
            <v>2.454798</v>
          </cell>
          <cell r="FO197">
            <v>2.621288</v>
          </cell>
          <cell r="FP197">
            <v>2.675863</v>
          </cell>
        </row>
        <row r="197">
          <cell r="HP197">
            <v>4.83490069063898</v>
          </cell>
          <cell r="HQ197">
            <v>4.82440619636114</v>
          </cell>
          <cell r="HR197">
            <v>4.74779039888444</v>
          </cell>
          <cell r="HS197">
            <v>5.1064665260797</v>
          </cell>
          <cell r="HT197">
            <v>5.46236763481341</v>
          </cell>
          <cell r="HU197">
            <v>5.44370779844368</v>
          </cell>
          <cell r="HV197">
            <v>6.05491726036018</v>
          </cell>
          <cell r="HW197">
            <v>3.4250914913655</v>
          </cell>
          <cell r="HX197">
            <v>3.30344719288591</v>
          </cell>
          <cell r="HY197">
            <v>3.26719893015199</v>
          </cell>
          <cell r="HZ197">
            <v>3.48878781440275</v>
          </cell>
          <cell r="IA197">
            <v>3.56142408900174</v>
          </cell>
        </row>
        <row r="197">
          <cell r="IK197">
            <v>5.09358603465952</v>
          </cell>
          <cell r="IL197">
            <v>5.08253004552661</v>
          </cell>
          <cell r="IM197">
            <v>5.0018150151606</v>
          </cell>
          <cell r="IN197">
            <v>5.37968166213946</v>
          </cell>
          <cell r="IO197">
            <v>5.75462481674772</v>
          </cell>
          <cell r="IP197">
            <v>5.73496660905674</v>
          </cell>
          <cell r="IQ197">
            <v>6.37887807253257</v>
          </cell>
          <cell r="IR197">
            <v>3.60834674880257</v>
          </cell>
          <cell r="IS197">
            <v>3.48019402352918</v>
          </cell>
          <cell r="IT197">
            <v>3.44200634261163</v>
          </cell>
          <cell r="IU197">
            <v>3.67545106432861</v>
          </cell>
          <cell r="IV197">
            <v>3.7519736523982</v>
          </cell>
        </row>
        <row r="197">
          <cell r="JF197">
            <v>5.44709140124146</v>
          </cell>
          <cell r="JG197">
            <v>5.43526810368091</v>
          </cell>
          <cell r="JH197">
            <v>5.34895128388715</v>
          </cell>
          <cell r="JI197">
            <v>5.7530426547934</v>
          </cell>
          <cell r="JJ197">
            <v>6.15400763693443</v>
          </cell>
          <cell r="JK197">
            <v>6.13298510912224</v>
          </cell>
          <cell r="JL197">
            <v>6.82158535499881</v>
          </cell>
          <cell r="JM197">
            <v>3.85877344848145</v>
          </cell>
          <cell r="JN197">
            <v>3.72172666000426</v>
          </cell>
          <cell r="JO197">
            <v>3.680888675342</v>
          </cell>
          <cell r="JP197">
            <v>3.93053494177927</v>
          </cell>
          <cell r="JQ197">
            <v>4.01236835514232</v>
          </cell>
        </row>
        <row r="198"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</row>
        <row r="198">
          <cell r="IK198">
            <v>0</v>
          </cell>
          <cell r="IL198">
            <v>0</v>
          </cell>
          <cell r="IM198">
            <v>0</v>
          </cell>
          <cell r="IN198">
            <v>0</v>
          </cell>
          <cell r="IO198">
            <v>0</v>
          </cell>
          <cell r="IP198">
            <v>0</v>
          </cell>
          <cell r="IQ198">
            <v>0</v>
          </cell>
          <cell r="IR198">
            <v>0</v>
          </cell>
          <cell r="IS198">
            <v>0</v>
          </cell>
          <cell r="IT198">
            <v>0</v>
          </cell>
          <cell r="IU198">
            <v>0</v>
          </cell>
          <cell r="IV198">
            <v>0</v>
          </cell>
        </row>
        <row r="198">
          <cell r="JF198">
            <v>0</v>
          </cell>
          <cell r="JG198">
            <v>0</v>
          </cell>
          <cell r="JH198">
            <v>0</v>
          </cell>
          <cell r="JI198">
            <v>0</v>
          </cell>
          <cell r="JJ198">
            <v>0</v>
          </cell>
          <cell r="JK198">
            <v>0</v>
          </cell>
          <cell r="JL198">
            <v>0</v>
          </cell>
          <cell r="JM198">
            <v>0</v>
          </cell>
          <cell r="JN198">
            <v>0</v>
          </cell>
          <cell r="JO198">
            <v>0</v>
          </cell>
          <cell r="JP198">
            <v>0</v>
          </cell>
          <cell r="JQ198">
            <v>0</v>
          </cell>
        </row>
        <row r="212">
          <cell r="CG212">
            <v>232.58</v>
          </cell>
          <cell r="CH212">
            <v>211.74</v>
          </cell>
          <cell r="CI212">
            <v>225.03</v>
          </cell>
          <cell r="CJ212">
            <v>213.29</v>
          </cell>
          <cell r="CK212">
            <v>211.73</v>
          </cell>
          <cell r="CL212">
            <v>195.46</v>
          </cell>
          <cell r="CM212">
            <v>189.71196556</v>
          </cell>
          <cell r="CN212">
            <v>208.85335118</v>
          </cell>
          <cell r="CO212">
            <v>209.16</v>
          </cell>
          <cell r="CP212">
            <v>201.8</v>
          </cell>
          <cell r="CQ212">
            <v>209.46616522</v>
          </cell>
          <cell r="CR212">
            <v>195.10790705</v>
          </cell>
        </row>
        <row r="212">
          <cell r="CT212">
            <v>130.49</v>
          </cell>
          <cell r="CU212">
            <v>165.04</v>
          </cell>
          <cell r="CV212">
            <v>166.32</v>
          </cell>
          <cell r="CW212">
            <v>166.16</v>
          </cell>
          <cell r="CX212">
            <v>165.1</v>
          </cell>
          <cell r="CY212">
            <v>177.75</v>
          </cell>
          <cell r="CZ212">
            <v>196.87</v>
          </cell>
          <cell r="DA212">
            <v>187.39</v>
          </cell>
          <cell r="DB212">
            <v>200.39</v>
          </cell>
          <cell r="DC212">
            <v>213.25353935</v>
          </cell>
          <cell r="DD212">
            <v>223.17034719</v>
          </cell>
          <cell r="DE212">
            <v>245.787624</v>
          </cell>
        </row>
        <row r="212">
          <cell r="DG212">
            <v>246.88802</v>
          </cell>
          <cell r="DH212">
            <v>219.117628</v>
          </cell>
          <cell r="DI212">
            <v>214.363429</v>
          </cell>
          <cell r="DJ212">
            <v>234.271289</v>
          </cell>
          <cell r="DK212">
            <v>235.319246</v>
          </cell>
          <cell r="DL212">
            <v>266.180269</v>
          </cell>
          <cell r="DM212">
            <v>277.71949</v>
          </cell>
          <cell r="DN212">
            <v>269.053504</v>
          </cell>
          <cell r="DO212">
            <v>279.214718</v>
          </cell>
          <cell r="DP212">
            <v>285.376775</v>
          </cell>
          <cell r="DQ212">
            <v>311.642486</v>
          </cell>
          <cell r="DR212">
            <v>321.546853</v>
          </cell>
        </row>
        <row r="212">
          <cell r="DV212">
            <v>355.61</v>
          </cell>
          <cell r="DW212">
            <v>344.54</v>
          </cell>
          <cell r="DX212">
            <v>351.58</v>
          </cell>
          <cell r="DY212">
            <v>334.120885</v>
          </cell>
          <cell r="DZ212">
            <v>318.724166</v>
          </cell>
          <cell r="EA212">
            <v>332.409625</v>
          </cell>
          <cell r="EB212">
            <v>321.745552</v>
          </cell>
          <cell r="EC212">
            <v>344.509495</v>
          </cell>
          <cell r="ED212">
            <v>371.668269</v>
          </cell>
          <cell r="EE212">
            <v>377.86533</v>
          </cell>
          <cell r="EF212">
            <v>369.931735</v>
          </cell>
          <cell r="EG212">
            <v>488.370188</v>
          </cell>
        </row>
        <row r="212">
          <cell r="FE212">
            <v>353.754349</v>
          </cell>
          <cell r="FF212">
            <v>342.816285</v>
          </cell>
          <cell r="FG212">
            <v>354.450655</v>
          </cell>
          <cell r="FH212">
            <v>343.523486</v>
          </cell>
          <cell r="FI212">
            <v>370.206155</v>
          </cell>
          <cell r="FJ212">
            <v>368.659577</v>
          </cell>
          <cell r="FK212">
            <v>396.30107</v>
          </cell>
          <cell r="FL212">
            <v>390.546152</v>
          </cell>
          <cell r="FM212">
            <v>396.722489</v>
          </cell>
          <cell r="FN212">
            <v>390.381964</v>
          </cell>
          <cell r="FO212">
            <v>360.75827</v>
          </cell>
          <cell r="FP212">
            <v>391.369095</v>
          </cell>
        </row>
        <row r="212">
          <cell r="HP212">
            <v>674.687053025917</v>
          </cell>
          <cell r="HQ212">
            <v>652.745964493322</v>
          </cell>
          <cell r="HR212">
            <v>676.196402310947</v>
          </cell>
          <cell r="HS212">
            <v>653.124955927993</v>
          </cell>
          <cell r="HT212">
            <v>709.426917620609</v>
          </cell>
          <cell r="HU212">
            <v>702.691875685169</v>
          </cell>
          <cell r="HV212">
            <v>769.978394740074</v>
          </cell>
          <cell r="HW212">
            <v>752.780364874722</v>
          </cell>
          <cell r="HX212">
            <v>763.127044182503</v>
          </cell>
          <cell r="HY212">
            <v>754.033858119332</v>
          </cell>
          <cell r="HZ212">
            <v>692.93935764161</v>
          </cell>
          <cell r="IA212">
            <v>752.683760300427</v>
          </cell>
        </row>
        <row r="212">
          <cell r="IK212">
            <v>804.453113278249</v>
          </cell>
          <cell r="IL212">
            <v>777.991190606526</v>
          </cell>
          <cell r="IM212">
            <v>806.303278040578</v>
          </cell>
          <cell r="IN212">
            <v>778.172928558411</v>
          </cell>
          <cell r="IO212">
            <v>846.811382313121</v>
          </cell>
          <cell r="IP212">
            <v>837.726497571662</v>
          </cell>
          <cell r="IQ212">
            <v>922.012689859786</v>
          </cell>
          <cell r="IR212">
            <v>899.773630801563</v>
          </cell>
          <cell r="IS212">
            <v>911.711177629966</v>
          </cell>
          <cell r="IT212">
            <v>901.704617836336</v>
          </cell>
          <cell r="IU212">
            <v>827.579335232621</v>
          </cell>
          <cell r="IV212">
            <v>899.194325655028</v>
          </cell>
        </row>
        <row r="212">
          <cell r="JF212">
            <v>960.579794641434</v>
          </cell>
          <cell r="JG212">
            <v>928.677086441938</v>
          </cell>
          <cell r="JH212">
            <v>962.840275197716</v>
          </cell>
          <cell r="JI212">
            <v>928.620071917168</v>
          </cell>
          <cell r="JJ212">
            <v>1012.10902241806</v>
          </cell>
          <cell r="JK212">
            <v>1000.19137101761</v>
          </cell>
          <cell r="JL212">
            <v>1104.95200911674</v>
          </cell>
          <cell r="JM212">
            <v>1076.63871997858</v>
          </cell>
          <cell r="JN212">
            <v>1090.48819099582</v>
          </cell>
          <cell r="JO212">
            <v>1079.38713505637</v>
          </cell>
          <cell r="JP212">
            <v>989.577231190915</v>
          </cell>
          <cell r="JQ212">
            <v>1075.47620359991</v>
          </cell>
        </row>
        <row r="222">
          <cell r="CG222">
            <v>26.34</v>
          </cell>
          <cell r="CH222">
            <v>20.22</v>
          </cell>
          <cell r="CI222">
            <v>23.21</v>
          </cell>
          <cell r="CJ222">
            <v>21.26</v>
          </cell>
          <cell r="CK222">
            <v>17.96</v>
          </cell>
          <cell r="CL222">
            <v>13.3</v>
          </cell>
          <cell r="CM222">
            <v>13.13</v>
          </cell>
          <cell r="CN222">
            <v>10.95</v>
          </cell>
          <cell r="CO222">
            <v>6.61</v>
          </cell>
          <cell r="CP222">
            <v>9.99</v>
          </cell>
          <cell r="CQ222">
            <v>14.964</v>
          </cell>
          <cell r="CR222">
            <v>16.02</v>
          </cell>
        </row>
        <row r="222">
          <cell r="CT222">
            <v>1.38</v>
          </cell>
          <cell r="CU222">
            <v>5.99</v>
          </cell>
          <cell r="CV222">
            <v>9.52</v>
          </cell>
          <cell r="CW222">
            <v>4.83</v>
          </cell>
          <cell r="CX222">
            <v>2.41</v>
          </cell>
          <cell r="CY222">
            <v>3.92</v>
          </cell>
          <cell r="CZ222">
            <v>11.11</v>
          </cell>
          <cell r="DA222">
            <v>13.99</v>
          </cell>
          <cell r="DB222">
            <v>14.54</v>
          </cell>
          <cell r="DC222">
            <v>14.26</v>
          </cell>
          <cell r="DD222">
            <v>11.71</v>
          </cell>
          <cell r="DE222">
            <v>10.87</v>
          </cell>
        </row>
        <row r="222">
          <cell r="DG222">
            <v>12.909</v>
          </cell>
          <cell r="DH222">
            <v>8.193</v>
          </cell>
          <cell r="DI222">
            <v>14.817</v>
          </cell>
          <cell r="DJ222">
            <v>15.5985</v>
          </cell>
          <cell r="DK222">
            <v>12.1635</v>
          </cell>
          <cell r="DL222">
            <v>14.256</v>
          </cell>
          <cell r="DM222">
            <v>15.2805</v>
          </cell>
          <cell r="DN222">
            <v>18.7237</v>
          </cell>
          <cell r="DO222">
            <v>17.944</v>
          </cell>
          <cell r="DP222">
            <v>25.1596</v>
          </cell>
          <cell r="DQ222">
            <v>29.5004</v>
          </cell>
          <cell r="DR222">
            <v>26.6861</v>
          </cell>
        </row>
        <row r="222">
          <cell r="DV222">
            <v>23.48</v>
          </cell>
          <cell r="DW222">
            <v>21.87</v>
          </cell>
          <cell r="DX222">
            <v>4.11</v>
          </cell>
          <cell r="DY222">
            <v>9.1813</v>
          </cell>
          <cell r="DZ222">
            <v>13.3907</v>
          </cell>
          <cell r="EA222">
            <v>21.5588</v>
          </cell>
          <cell r="EB222">
            <v>16.9256</v>
          </cell>
          <cell r="EC222">
            <v>11.7192</v>
          </cell>
          <cell r="ED222">
            <v>15.059</v>
          </cell>
          <cell r="EE222">
            <v>21.8133</v>
          </cell>
          <cell r="EF222">
            <v>22.0713</v>
          </cell>
          <cell r="EG222">
            <v>28.2966</v>
          </cell>
        </row>
        <row r="222">
          <cell r="FE222">
            <v>14.864935</v>
          </cell>
          <cell r="FF222">
            <v>16.884465</v>
          </cell>
          <cell r="FG222">
            <v>8.165</v>
          </cell>
          <cell r="FH222">
            <v>9.3055</v>
          </cell>
          <cell r="FI222">
            <v>14.862485</v>
          </cell>
          <cell r="FJ222">
            <v>12.82638</v>
          </cell>
          <cell r="FK222">
            <v>14.813835</v>
          </cell>
          <cell r="FL222">
            <v>10.4765</v>
          </cell>
          <cell r="FM222">
            <v>12.8933</v>
          </cell>
          <cell r="FN222">
            <v>13.8759</v>
          </cell>
          <cell r="FO222">
            <v>12.5152</v>
          </cell>
          <cell r="FP222">
            <v>11.67</v>
          </cell>
        </row>
        <row r="222">
          <cell r="HP222">
            <v>15.77478794148</v>
          </cell>
          <cell r="HQ222">
            <v>17.91792933372</v>
          </cell>
          <cell r="HR222">
            <v>8.66476332</v>
          </cell>
          <cell r="HS222">
            <v>9.875071044</v>
          </cell>
          <cell r="HT222">
            <v>15.77218798188</v>
          </cell>
          <cell r="HU222">
            <v>13.61145706704</v>
          </cell>
          <cell r="HV222">
            <v>15.72056021268</v>
          </cell>
          <cell r="HW222">
            <v>11.117745612</v>
          </cell>
          <cell r="HX222">
            <v>13.6824731064</v>
          </cell>
          <cell r="HY222">
            <v>14.7252160872</v>
          </cell>
          <cell r="HZ222">
            <v>13.2812303616</v>
          </cell>
          <cell r="IA222">
            <v>12.38429736</v>
          </cell>
        </row>
        <row r="222">
          <cell r="IK222">
            <v>16.0902837003096</v>
          </cell>
          <cell r="IL222">
            <v>18.2762879203944</v>
          </cell>
          <cell r="IM222">
            <v>8.8380585864</v>
          </cell>
          <cell r="IN222">
            <v>10.07257246488</v>
          </cell>
          <cell r="IO222">
            <v>16.0876317415176</v>
          </cell>
          <cell r="IP222">
            <v>13.8836862083808</v>
          </cell>
          <cell r="IQ222">
            <v>16.0349714169336</v>
          </cell>
          <cell r="IR222">
            <v>11.34010052424</v>
          </cell>
          <cell r="IS222">
            <v>13.956122568528</v>
          </cell>
          <cell r="IT222">
            <v>15.019720408944</v>
          </cell>
          <cell r="IU222">
            <v>13.546854968832</v>
          </cell>
          <cell r="IV222">
            <v>12.6319833072</v>
          </cell>
        </row>
        <row r="222">
          <cell r="JF222">
            <v>16.4120893743158</v>
          </cell>
          <cell r="JG222">
            <v>18.6418136788023</v>
          </cell>
          <cell r="JH222">
            <v>9.014819758128</v>
          </cell>
          <cell r="JI222">
            <v>10.2740239141776</v>
          </cell>
          <cell r="JJ222">
            <v>16.409384376348</v>
          </cell>
          <cell r="JK222">
            <v>14.1613599325484</v>
          </cell>
          <cell r="JL222">
            <v>16.3556708452723</v>
          </cell>
          <cell r="JM222">
            <v>11.5669025347248</v>
          </cell>
          <cell r="JN222">
            <v>14.2352450198986</v>
          </cell>
          <cell r="JO222">
            <v>15.3201148171229</v>
          </cell>
          <cell r="JP222">
            <v>13.8177920682086</v>
          </cell>
          <cell r="JQ222">
            <v>12.884622973344</v>
          </cell>
        </row>
        <row r="228">
          <cell r="CG228">
            <v>4.83</v>
          </cell>
          <cell r="CH228">
            <v>5.09</v>
          </cell>
          <cell r="CI228">
            <v>5.51</v>
          </cell>
          <cell r="CJ228">
            <v>4.76</v>
          </cell>
          <cell r="CK228">
            <v>4.06</v>
          </cell>
          <cell r="CL228">
            <v>4.23</v>
          </cell>
          <cell r="CM228">
            <v>3.826916</v>
          </cell>
          <cell r="CN228">
            <v>4.24071</v>
          </cell>
          <cell r="CO228">
            <v>3.455934</v>
          </cell>
          <cell r="CP228">
            <v>3.31506</v>
          </cell>
          <cell r="CQ228">
            <v>3.781275</v>
          </cell>
          <cell r="CR228">
            <v>3.724072</v>
          </cell>
        </row>
        <row r="228">
          <cell r="CT228">
            <v>1.88</v>
          </cell>
          <cell r="CU228">
            <v>2.51</v>
          </cell>
          <cell r="CV228">
            <v>3.66</v>
          </cell>
          <cell r="CW228">
            <v>3.29</v>
          </cell>
          <cell r="CX228">
            <v>3.34</v>
          </cell>
          <cell r="CY228">
            <v>3.46</v>
          </cell>
          <cell r="CZ228">
            <v>3.39</v>
          </cell>
          <cell r="DA228">
            <v>3.19</v>
          </cell>
          <cell r="DB228">
            <v>2.97</v>
          </cell>
          <cell r="DC228">
            <v>2.95766</v>
          </cell>
          <cell r="DD228">
            <v>3.088329</v>
          </cell>
          <cell r="DE228">
            <v>3.284371</v>
          </cell>
        </row>
        <row r="228">
          <cell r="DG228">
            <v>3.909173</v>
          </cell>
          <cell r="DH228">
            <v>3.285101</v>
          </cell>
          <cell r="DI228">
            <v>3.560676</v>
          </cell>
          <cell r="DJ228">
            <v>3.938138</v>
          </cell>
          <cell r="DK228">
            <v>3.593856</v>
          </cell>
          <cell r="DL228">
            <v>3.650065</v>
          </cell>
          <cell r="DM228">
            <v>3.6716</v>
          </cell>
          <cell r="DN228">
            <v>3.307266</v>
          </cell>
          <cell r="DO228">
            <v>3.122177</v>
          </cell>
          <cell r="DP228">
            <v>2.854174</v>
          </cell>
          <cell r="DQ228">
            <v>2.76787</v>
          </cell>
          <cell r="DR228">
            <v>3.148361</v>
          </cell>
        </row>
        <row r="228">
          <cell r="DV228">
            <v>4.44</v>
          </cell>
          <cell r="DW228">
            <v>4.5</v>
          </cell>
          <cell r="DX228">
            <v>4.76</v>
          </cell>
          <cell r="DY228">
            <v>3.749087</v>
          </cell>
          <cell r="DZ228">
            <v>3.763473</v>
          </cell>
          <cell r="EA228">
            <v>3.895418</v>
          </cell>
          <cell r="EB228">
            <v>3.525431</v>
          </cell>
          <cell r="EC228">
            <v>3.251987</v>
          </cell>
          <cell r="ED228">
            <v>3.171337</v>
          </cell>
          <cell r="EE228">
            <v>3.256324</v>
          </cell>
          <cell r="EF228">
            <v>3.282163</v>
          </cell>
          <cell r="EG228">
            <v>4.647133</v>
          </cell>
        </row>
        <row r="228">
          <cell r="FE228">
            <v>4.175645</v>
          </cell>
          <cell r="FF228">
            <v>4.948725</v>
          </cell>
          <cell r="FG228">
            <v>5.0636</v>
          </cell>
          <cell r="FH228">
            <v>4.392</v>
          </cell>
          <cell r="FI228">
            <v>6.144615</v>
          </cell>
          <cell r="FJ228">
            <v>6.96166</v>
          </cell>
          <cell r="FK228">
            <v>8.77804</v>
          </cell>
          <cell r="FL228">
            <v>9.160365</v>
          </cell>
          <cell r="FM228">
            <v>9.11136</v>
          </cell>
          <cell r="FN228">
            <v>9.17925</v>
          </cell>
          <cell r="FO228">
            <v>10.853265</v>
          </cell>
          <cell r="FP228">
            <v>15.47474</v>
          </cell>
        </row>
        <row r="228">
          <cell r="HP228">
            <v>9.1419276266242</v>
          </cell>
          <cell r="HQ228">
            <v>10.8344664822</v>
          </cell>
          <cell r="HR228">
            <v>11.085967492489</v>
          </cell>
          <cell r="HS228">
            <v>9.61560337052922</v>
          </cell>
          <cell r="HT228">
            <v>13.4526823097915</v>
          </cell>
          <cell r="HU228">
            <v>15.2414757195989</v>
          </cell>
          <cell r="HV228">
            <v>19.2181582446813</v>
          </cell>
          <cell r="HW228">
            <v>20.0551995831689</v>
          </cell>
          <cell r="HX228">
            <v>19.9479107299875</v>
          </cell>
          <cell r="HY228">
            <v>20.0965453640552</v>
          </cell>
          <cell r="HZ228">
            <v>23.7615417839815</v>
          </cell>
          <cell r="IA228">
            <v>33.8795451052057</v>
          </cell>
        </row>
        <row r="228">
          <cell r="IK228">
            <v>12.6415594281515</v>
          </cell>
          <cell r="IL228">
            <v>14.9820210245553</v>
          </cell>
          <cell r="IM228">
            <v>15.329799425092</v>
          </cell>
          <cell r="IN228">
            <v>13.2965635269381</v>
          </cell>
          <cell r="IO228">
            <v>18.6025190564838</v>
          </cell>
          <cell r="IP228">
            <v>21.076082523439</v>
          </cell>
          <cell r="IQ228">
            <v>26.5750834476329</v>
          </cell>
          <cell r="IR228">
            <v>27.7325535410839</v>
          </cell>
          <cell r="IS228">
            <v>27.5841933189442</v>
          </cell>
          <cell r="IT228">
            <v>27.7897269477793</v>
          </cell>
          <cell r="IU228">
            <v>32.8577248513648</v>
          </cell>
          <cell r="IV228">
            <v>46.8490126304304</v>
          </cell>
        </row>
        <row r="228">
          <cell r="JF228">
            <v>18.1910658802386</v>
          </cell>
          <cell r="JG228">
            <v>21.5589645427674</v>
          </cell>
          <cell r="JH228">
            <v>22.0594138608949</v>
          </cell>
          <cell r="JI228">
            <v>19.1336096210305</v>
          </cell>
          <cell r="JJ228">
            <v>26.7688216487998</v>
          </cell>
          <cell r="JK228">
            <v>30.328252448621</v>
          </cell>
          <cell r="JL228">
            <v>38.2412546898431</v>
          </cell>
          <cell r="JM228">
            <v>39.9068415064097</v>
          </cell>
          <cell r="JN228">
            <v>39.6933527679127</v>
          </cell>
          <cell r="JO228">
            <v>39.989113413899</v>
          </cell>
          <cell r="JP228">
            <v>47.2819070181225</v>
          </cell>
          <cell r="JQ228">
            <v>67.4152172465724</v>
          </cell>
        </row>
        <row r="233"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</row>
        <row r="233"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</row>
        <row r="233">
          <cell r="HP233">
            <v>0</v>
          </cell>
          <cell r="HQ233">
            <v>0</v>
          </cell>
          <cell r="HR233">
            <v>0</v>
          </cell>
          <cell r="HS233">
            <v>0</v>
          </cell>
          <cell r="HT233">
            <v>0</v>
          </cell>
          <cell r="HU233">
            <v>0</v>
          </cell>
          <cell r="HV233">
            <v>0</v>
          </cell>
          <cell r="HW233">
            <v>0</v>
          </cell>
          <cell r="HX233">
            <v>0</v>
          </cell>
          <cell r="HY233">
            <v>0</v>
          </cell>
          <cell r="HZ233">
            <v>0</v>
          </cell>
          <cell r="IA233">
            <v>0</v>
          </cell>
        </row>
        <row r="233">
          <cell r="IK233">
            <v>0</v>
          </cell>
          <cell r="IL233">
            <v>0</v>
          </cell>
          <cell r="IM233">
            <v>0</v>
          </cell>
          <cell r="IN233">
            <v>0</v>
          </cell>
          <cell r="IO233">
            <v>0</v>
          </cell>
          <cell r="IP233">
            <v>0</v>
          </cell>
          <cell r="IQ233">
            <v>0</v>
          </cell>
          <cell r="IR233">
            <v>0</v>
          </cell>
          <cell r="IS233">
            <v>0</v>
          </cell>
          <cell r="IT233">
            <v>0</v>
          </cell>
          <cell r="IU233">
            <v>0</v>
          </cell>
          <cell r="IV233">
            <v>0</v>
          </cell>
        </row>
        <row r="233">
          <cell r="JF233">
            <v>0</v>
          </cell>
          <cell r="JG233">
            <v>0</v>
          </cell>
          <cell r="JH233">
            <v>0</v>
          </cell>
          <cell r="JI233">
            <v>0</v>
          </cell>
          <cell r="JJ233">
            <v>0</v>
          </cell>
          <cell r="JK233">
            <v>0</v>
          </cell>
          <cell r="JL233">
            <v>0</v>
          </cell>
          <cell r="JM233">
            <v>0</v>
          </cell>
          <cell r="JN233">
            <v>0</v>
          </cell>
          <cell r="JO233">
            <v>0</v>
          </cell>
          <cell r="JP233">
            <v>0</v>
          </cell>
          <cell r="JQ233">
            <v>0</v>
          </cell>
        </row>
        <row r="238">
          <cell r="CG238">
            <v>7.01</v>
          </cell>
          <cell r="CH238">
            <v>7.37</v>
          </cell>
          <cell r="CI238">
            <v>8.5</v>
          </cell>
          <cell r="CJ238">
            <v>7.68</v>
          </cell>
          <cell r="CK238">
            <v>7.11</v>
          </cell>
          <cell r="CL238">
            <v>7.46</v>
          </cell>
          <cell r="CM238">
            <v>7.354</v>
          </cell>
          <cell r="CN238">
            <v>7.307</v>
          </cell>
          <cell r="CO238">
            <v>6.691</v>
          </cell>
          <cell r="CP238">
            <v>6.449</v>
          </cell>
          <cell r="CQ238">
            <v>7.028</v>
          </cell>
          <cell r="CR238">
            <v>6.455</v>
          </cell>
        </row>
        <row r="238">
          <cell r="CT238">
            <v>3.49</v>
          </cell>
          <cell r="CU238">
            <v>4.01</v>
          </cell>
          <cell r="CV238">
            <v>6.41</v>
          </cell>
          <cell r="CW238">
            <v>5.7</v>
          </cell>
          <cell r="CX238">
            <v>4.09</v>
          </cell>
          <cell r="CY238">
            <v>4.11</v>
          </cell>
          <cell r="CZ238">
            <v>4.05</v>
          </cell>
          <cell r="DA238">
            <v>3.99</v>
          </cell>
          <cell r="DB238">
            <v>3.47</v>
          </cell>
          <cell r="DC238">
            <v>3.525</v>
          </cell>
          <cell r="DD238">
            <v>3.846</v>
          </cell>
          <cell r="DE238">
            <v>3.675</v>
          </cell>
        </row>
        <row r="238">
          <cell r="DG238">
            <v>4.783</v>
          </cell>
          <cell r="DH238">
            <v>4.198</v>
          </cell>
          <cell r="DI238">
            <v>4.096</v>
          </cell>
          <cell r="DJ238">
            <v>4.265</v>
          </cell>
          <cell r="DK238">
            <v>3.896</v>
          </cell>
          <cell r="DL238">
            <v>4.037</v>
          </cell>
          <cell r="DM238">
            <v>4.089</v>
          </cell>
          <cell r="DN238">
            <v>4.066</v>
          </cell>
          <cell r="DO238">
            <v>3.77</v>
          </cell>
          <cell r="DP238">
            <v>3.490574</v>
          </cell>
          <cell r="DQ238">
            <v>3.33</v>
          </cell>
          <cell r="DR238">
            <v>3.38709</v>
          </cell>
        </row>
        <row r="238">
          <cell r="DV238">
            <v>3.57</v>
          </cell>
          <cell r="DW238">
            <v>5.83</v>
          </cell>
          <cell r="DX238">
            <v>5.74</v>
          </cell>
          <cell r="DY238">
            <v>5.25716</v>
          </cell>
          <cell r="DZ238">
            <v>5.4137</v>
          </cell>
          <cell r="EA238">
            <v>5.14825</v>
          </cell>
          <cell r="EB238">
            <v>5.00233</v>
          </cell>
          <cell r="EC238">
            <v>4.48875</v>
          </cell>
          <cell r="ED238">
            <v>4.48381</v>
          </cell>
          <cell r="EE238">
            <v>4.56061</v>
          </cell>
          <cell r="EF238">
            <v>4.524071</v>
          </cell>
          <cell r="EG238">
            <v>6.913269</v>
          </cell>
        </row>
        <row r="238">
          <cell r="FE238">
            <v>6.46275</v>
          </cell>
          <cell r="FF238">
            <v>7.64446</v>
          </cell>
          <cell r="FG238">
            <v>7.34827</v>
          </cell>
          <cell r="FH238">
            <v>7.04593</v>
          </cell>
          <cell r="FI238">
            <v>7.2425</v>
          </cell>
          <cell r="FJ238">
            <v>7.24163</v>
          </cell>
          <cell r="FK238">
            <v>6.92157</v>
          </cell>
          <cell r="FL238">
            <v>7.05844</v>
          </cell>
          <cell r="FM238">
            <v>6.27938</v>
          </cell>
          <cell r="FN238">
            <v>6.29914</v>
          </cell>
          <cell r="FO238">
            <v>7.02854</v>
          </cell>
          <cell r="FP238">
            <v>8.40917</v>
          </cell>
        </row>
        <row r="238">
          <cell r="HP238">
            <v>7.53787800129833</v>
          </cell>
          <cell r="HQ238">
            <v>8.91617451793819</v>
          </cell>
          <cell r="HR238">
            <v>8.57071104105845</v>
          </cell>
          <cell r="HS238">
            <v>8.21807446453723</v>
          </cell>
          <cell r="HT238">
            <v>8.44734539080162</v>
          </cell>
          <cell r="HU238">
            <v>8.44633065963283</v>
          </cell>
          <cell r="HV238">
            <v>8.07302622528281</v>
          </cell>
          <cell r="HW238">
            <v>8.2326655989299</v>
          </cell>
          <cell r="HX238">
            <v>7.32400299621565</v>
          </cell>
          <cell r="HY238">
            <v>7.34705022368162</v>
          </cell>
          <cell r="HZ238">
            <v>8.19779150473798</v>
          </cell>
          <cell r="IA238">
            <v>9.80809988815565</v>
          </cell>
        </row>
        <row r="238">
          <cell r="IK238">
            <v>8.73596543991082</v>
          </cell>
          <cell r="IL238">
            <v>10.3333315332917</v>
          </cell>
          <cell r="IM238">
            <v>9.93295930728149</v>
          </cell>
          <cell r="IN238">
            <v>9.5242738728917</v>
          </cell>
          <cell r="IO238">
            <v>9.78998564056386</v>
          </cell>
          <cell r="IP238">
            <v>9.78880962571991</v>
          </cell>
          <cell r="IQ238">
            <v>9.35617133726719</v>
          </cell>
          <cell r="IR238">
            <v>9.54118415530295</v>
          </cell>
          <cell r="IS238">
            <v>8.48809665607786</v>
          </cell>
          <cell r="IT238">
            <v>8.51480706218867</v>
          </cell>
          <cell r="IU238">
            <v>9.50076709342475</v>
          </cell>
          <cell r="IV238">
            <v>11.3670215462976</v>
          </cell>
        </row>
        <row r="238">
          <cell r="JF238">
            <v>9.9171245299444</v>
          </cell>
          <cell r="JG238">
            <v>11.7304648615804</v>
          </cell>
          <cell r="JH238">
            <v>11.2759597183327</v>
          </cell>
          <cell r="JI238">
            <v>10.8120173671071</v>
          </cell>
          <cell r="JJ238">
            <v>11.1136550861665</v>
          </cell>
          <cell r="JK238">
            <v>11.1123200665013</v>
          </cell>
          <cell r="JL238">
            <v>10.6211862802564</v>
          </cell>
          <cell r="JM238">
            <v>10.8312140291889</v>
          </cell>
          <cell r="JN238">
            <v>9.63574228166683</v>
          </cell>
          <cell r="JO238">
            <v>9.66606410762508</v>
          </cell>
          <cell r="JP238">
            <v>10.7853323188574</v>
          </cell>
          <cell r="JQ238">
            <v>12.9039164571541</v>
          </cell>
        </row>
        <row r="244">
          <cell r="CG244">
            <v>50.56</v>
          </cell>
          <cell r="CH244">
            <v>24.21</v>
          </cell>
          <cell r="CI244">
            <v>34.28</v>
          </cell>
          <cell r="CJ244">
            <v>24.28</v>
          </cell>
          <cell r="CK244">
            <v>130.01</v>
          </cell>
          <cell r="CL244">
            <v>301.46</v>
          </cell>
          <cell r="CM244">
            <v>226.43</v>
          </cell>
          <cell r="CN244">
            <v>224.67</v>
          </cell>
          <cell r="CO244">
            <v>192.1</v>
          </cell>
          <cell r="CP244">
            <v>207.44</v>
          </cell>
          <cell r="CQ244">
            <v>231.59</v>
          </cell>
          <cell r="CR244">
            <v>214.54</v>
          </cell>
        </row>
        <row r="244">
          <cell r="CT244">
            <v>185.9</v>
          </cell>
          <cell r="CU244">
            <v>56.15</v>
          </cell>
          <cell r="CV244">
            <v>122.98</v>
          </cell>
          <cell r="CW244">
            <v>86.59</v>
          </cell>
          <cell r="CX244">
            <v>144.21</v>
          </cell>
          <cell r="CY244">
            <v>189.87</v>
          </cell>
          <cell r="CZ244">
            <v>54</v>
          </cell>
          <cell r="DA244">
            <v>47.46</v>
          </cell>
          <cell r="DB244">
            <v>95.07</v>
          </cell>
          <cell r="DC244">
            <v>163.05</v>
          </cell>
          <cell r="DD244">
            <v>211.66</v>
          </cell>
          <cell r="DE244">
            <v>203.84</v>
          </cell>
        </row>
        <row r="244">
          <cell r="DG244">
            <v>265.57071494</v>
          </cell>
          <cell r="DH244">
            <v>46.37728272</v>
          </cell>
          <cell r="DI244">
            <v>44.59254952</v>
          </cell>
          <cell r="DJ244">
            <v>132.90736653</v>
          </cell>
          <cell r="DK244">
            <v>115.38506575</v>
          </cell>
          <cell r="DL244">
            <v>227.75544887</v>
          </cell>
          <cell r="DM244">
            <v>246.0922826</v>
          </cell>
          <cell r="DN244">
            <v>173.78894969</v>
          </cell>
          <cell r="DO244">
            <v>118.1355829</v>
          </cell>
          <cell r="DP244">
            <v>175.08176514</v>
          </cell>
          <cell r="DQ244">
            <v>164.23623184</v>
          </cell>
          <cell r="DR244">
            <v>167.81001683</v>
          </cell>
        </row>
        <row r="244">
          <cell r="DV244">
            <v>58.74</v>
          </cell>
          <cell r="DW244">
            <v>42.43</v>
          </cell>
          <cell r="DX244">
            <v>27.15</v>
          </cell>
          <cell r="DY244">
            <v>32.4930164</v>
          </cell>
          <cell r="DZ244">
            <v>257.61023215</v>
          </cell>
          <cell r="EA244">
            <v>145.6663161</v>
          </cell>
          <cell r="EB244">
            <v>165.33804903</v>
          </cell>
          <cell r="EC244">
            <v>143.7146327</v>
          </cell>
          <cell r="ED244">
            <v>135.38569923</v>
          </cell>
          <cell r="EE244">
            <v>199.60889899</v>
          </cell>
          <cell r="EF244">
            <v>202.17613159</v>
          </cell>
          <cell r="EG244">
            <v>232.03714568</v>
          </cell>
        </row>
        <row r="244">
          <cell r="FE244">
            <v>51.47840647</v>
          </cell>
          <cell r="FF244">
            <v>29.94577976</v>
          </cell>
          <cell r="FG244">
            <v>50.68736743</v>
          </cell>
          <cell r="FH244">
            <v>71.81653812</v>
          </cell>
          <cell r="FI244">
            <v>182.16534286</v>
          </cell>
          <cell r="FJ244">
            <v>241.63227312</v>
          </cell>
          <cell r="FK244">
            <v>204.20994608</v>
          </cell>
          <cell r="FL244">
            <v>193.09336476</v>
          </cell>
          <cell r="FM244">
            <v>57.60779998</v>
          </cell>
          <cell r="FN244">
            <v>39.88847315</v>
          </cell>
          <cell r="FO244">
            <v>49.77171331</v>
          </cell>
          <cell r="FP244">
            <v>33.54475643</v>
          </cell>
        </row>
        <row r="244">
          <cell r="HP244">
            <v>53.558134091388</v>
          </cell>
          <cell r="HQ244">
            <v>31.155589262304</v>
          </cell>
          <cell r="HR244">
            <v>52.735137074172</v>
          </cell>
          <cell r="HS244">
            <v>74.717926260048</v>
          </cell>
          <cell r="HT244">
            <v>189.524822711544</v>
          </cell>
          <cell r="HU244">
            <v>251.394216954048</v>
          </cell>
          <cell r="HV244">
            <v>212.460027901632</v>
          </cell>
          <cell r="HW244">
            <v>200.894336696304</v>
          </cell>
          <cell r="HX244">
            <v>59.935155099192</v>
          </cell>
          <cell r="HY244">
            <v>41.49996746526</v>
          </cell>
          <cell r="HZ244">
            <v>51.782490527724</v>
          </cell>
          <cell r="IA244">
            <v>34.899964589772</v>
          </cell>
        </row>
        <row r="244">
          <cell r="IK244">
            <v>54.6292967732157</v>
          </cell>
          <cell r="IL244">
            <v>31.7787010475501</v>
          </cell>
          <cell r="IM244">
            <v>53.7898398156554</v>
          </cell>
          <cell r="IN244">
            <v>76.212284785249</v>
          </cell>
          <cell r="IO244">
            <v>193.315319165775</v>
          </cell>
          <cell r="IP244">
            <v>256.422101293129</v>
          </cell>
          <cell r="IQ244">
            <v>216.709228459665</v>
          </cell>
          <cell r="IR244">
            <v>204.91222343023</v>
          </cell>
          <cell r="IS244">
            <v>61.1338582011758</v>
          </cell>
          <cell r="IT244">
            <v>42.3299668145652</v>
          </cell>
          <cell r="IU244">
            <v>52.8181403382785</v>
          </cell>
          <cell r="IV244">
            <v>35.5979638815674</v>
          </cell>
        </row>
        <row r="244">
          <cell r="JF244">
            <v>55.7218827086801</v>
          </cell>
          <cell r="JG244">
            <v>32.4142750685011</v>
          </cell>
          <cell r="JH244">
            <v>54.8656366119685</v>
          </cell>
          <cell r="JI244">
            <v>77.7365304809539</v>
          </cell>
          <cell r="JJ244">
            <v>197.18162554909</v>
          </cell>
          <cell r="JK244">
            <v>261.550543318992</v>
          </cell>
          <cell r="JL244">
            <v>221.043413028858</v>
          </cell>
          <cell r="JM244">
            <v>209.010467898835</v>
          </cell>
          <cell r="JN244">
            <v>62.3565353651994</v>
          </cell>
          <cell r="JO244">
            <v>43.1765661508565</v>
          </cell>
          <cell r="JP244">
            <v>53.8745031450441</v>
          </cell>
          <cell r="JQ244">
            <v>36.3099231591988</v>
          </cell>
        </row>
        <row r="245">
          <cell r="HP245">
            <v>0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</row>
        <row r="245">
          <cell r="IK245">
            <v>0</v>
          </cell>
          <cell r="IL245">
            <v>0</v>
          </cell>
          <cell r="IM245">
            <v>0</v>
          </cell>
          <cell r="IN245">
            <v>0</v>
          </cell>
          <cell r="IO245">
            <v>0</v>
          </cell>
          <cell r="IP245">
            <v>0</v>
          </cell>
          <cell r="IQ245">
            <v>0</v>
          </cell>
          <cell r="IR245">
            <v>0</v>
          </cell>
          <cell r="IS245">
            <v>0</v>
          </cell>
          <cell r="IT245">
            <v>0</v>
          </cell>
          <cell r="IU245">
            <v>0</v>
          </cell>
          <cell r="IV245">
            <v>0</v>
          </cell>
        </row>
        <row r="245">
          <cell r="JF245">
            <v>0</v>
          </cell>
          <cell r="JG245">
            <v>0</v>
          </cell>
          <cell r="JH245">
            <v>0</v>
          </cell>
          <cell r="JI245">
            <v>0</v>
          </cell>
          <cell r="JJ245">
            <v>0</v>
          </cell>
          <cell r="JK245">
            <v>0</v>
          </cell>
          <cell r="JL245">
            <v>0</v>
          </cell>
          <cell r="JM245">
            <v>0</v>
          </cell>
          <cell r="JN245">
            <v>0</v>
          </cell>
          <cell r="JO245">
            <v>0</v>
          </cell>
          <cell r="JP245">
            <v>0</v>
          </cell>
          <cell r="JQ245">
            <v>0</v>
          </cell>
        </row>
        <row r="246">
          <cell r="CG246">
            <v>15.33</v>
          </cell>
          <cell r="CH246">
            <v>16.25</v>
          </cell>
          <cell r="CI246">
            <v>16.82</v>
          </cell>
          <cell r="CJ246">
            <v>15.02</v>
          </cell>
          <cell r="CK246">
            <v>17.5</v>
          </cell>
          <cell r="CL246">
            <v>16.47</v>
          </cell>
          <cell r="CM246">
            <v>18.22</v>
          </cell>
          <cell r="CN246">
            <v>17.79</v>
          </cell>
          <cell r="CO246">
            <v>17.12</v>
          </cell>
          <cell r="CP246">
            <v>18.2</v>
          </cell>
          <cell r="CQ246">
            <v>17.93</v>
          </cell>
          <cell r="CR246">
            <v>18.14</v>
          </cell>
        </row>
        <row r="246">
          <cell r="CT246">
            <v>20.34</v>
          </cell>
          <cell r="CU246">
            <v>19.3</v>
          </cell>
          <cell r="CV246">
            <v>20.1</v>
          </cell>
          <cell r="CW246">
            <v>18.29</v>
          </cell>
          <cell r="CX246">
            <v>20.23</v>
          </cell>
          <cell r="CY246">
            <v>19.57</v>
          </cell>
          <cell r="CZ246">
            <v>18.35</v>
          </cell>
          <cell r="DA246">
            <v>0.74</v>
          </cell>
          <cell r="DB246">
            <v>14.76</v>
          </cell>
          <cell r="DC246">
            <v>18.29</v>
          </cell>
          <cell r="DD246">
            <v>20.54</v>
          </cell>
          <cell r="DE246">
            <v>17.5</v>
          </cell>
        </row>
        <row r="246">
          <cell r="DG246">
            <v>21.048</v>
          </cell>
          <cell r="DH246">
            <v>20.058</v>
          </cell>
          <cell r="DI246">
            <v>14.568</v>
          </cell>
          <cell r="DJ246">
            <v>19.296</v>
          </cell>
          <cell r="DK246">
            <v>20.226</v>
          </cell>
          <cell r="DL246">
            <v>19.962</v>
          </cell>
          <cell r="DM246">
            <v>21.72</v>
          </cell>
          <cell r="DN246">
            <v>19.58</v>
          </cell>
          <cell r="DO246">
            <v>20.538</v>
          </cell>
          <cell r="DP246">
            <v>19.658</v>
          </cell>
          <cell r="DQ246">
            <v>21.082</v>
          </cell>
          <cell r="DR246">
            <v>21.012</v>
          </cell>
        </row>
        <row r="246">
          <cell r="DV246">
            <v>20.48</v>
          </cell>
          <cell r="DW246">
            <v>19.62</v>
          </cell>
          <cell r="DX246">
            <v>22.14</v>
          </cell>
          <cell r="DY246">
            <v>20.938</v>
          </cell>
          <cell r="DZ246">
            <v>21.114</v>
          </cell>
          <cell r="EA246">
            <v>22.678</v>
          </cell>
          <cell r="EB246">
            <v>20.778</v>
          </cell>
          <cell r="EC246">
            <v>22.356</v>
          </cell>
          <cell r="ED246">
            <v>20.248</v>
          </cell>
          <cell r="EE246">
            <v>18.81</v>
          </cell>
          <cell r="EF246">
            <v>20.632</v>
          </cell>
          <cell r="EG246">
            <v>30.5945</v>
          </cell>
        </row>
        <row r="246">
          <cell r="FE246">
            <v>21.2335</v>
          </cell>
          <cell r="FF246">
            <v>23.23506</v>
          </cell>
          <cell r="FG246">
            <v>21.48016</v>
          </cell>
          <cell r="FH246">
            <v>20.95078</v>
          </cell>
          <cell r="FI246">
            <v>23.5218</v>
          </cell>
          <cell r="FJ246">
            <v>22.61348</v>
          </cell>
          <cell r="FK246">
            <v>22.62072</v>
          </cell>
          <cell r="FL246">
            <v>23.574</v>
          </cell>
          <cell r="FM246">
            <v>25</v>
          </cell>
          <cell r="FN246">
            <v>23.49334</v>
          </cell>
          <cell r="FO246">
            <v>20.83466</v>
          </cell>
          <cell r="FP246">
            <v>25.172</v>
          </cell>
        </row>
        <row r="246">
          <cell r="HP246">
            <v>25.8440081129043</v>
          </cell>
          <cell r="HQ246">
            <v>28.2801742126272</v>
          </cell>
          <cell r="HR246">
            <v>26.1442263077911</v>
          </cell>
          <cell r="HS246">
            <v>25.4999000773153</v>
          </cell>
          <cell r="HT246">
            <v>28.6291751256323</v>
          </cell>
          <cell r="HU246">
            <v>27.5236282563402</v>
          </cell>
          <cell r="HV246">
            <v>27.5324403042238</v>
          </cell>
          <cell r="HW246">
            <v>28.6927095040199</v>
          </cell>
          <cell r="HX246">
            <v>30.4283421396665</v>
          </cell>
          <cell r="HY246">
            <v>28.5945355009405</v>
          </cell>
          <cell r="HZ246">
            <v>25.3585665137449</v>
          </cell>
          <cell r="IA246">
            <v>30.6376891335874</v>
          </cell>
        </row>
        <row r="246">
          <cell r="IK246">
            <v>27.6251024637576</v>
          </cell>
          <cell r="IL246">
            <v>30.2291620906377</v>
          </cell>
          <cell r="IM246">
            <v>27.9460108290158</v>
          </cell>
          <cell r="IN246">
            <v>27.257279496816</v>
          </cell>
          <cell r="IO246">
            <v>30.6022151379666</v>
          </cell>
          <cell r="IP246">
            <v>29.420477173435</v>
          </cell>
          <cell r="IQ246">
            <v>29.4298965221923</v>
          </cell>
          <cell r="IR246">
            <v>30.6701281221005</v>
          </cell>
          <cell r="IS246">
            <v>32.5253755430777</v>
          </cell>
          <cell r="IT246">
            <v>30.5651882504483</v>
          </cell>
          <cell r="IU246">
            <v>27.1062056324935</v>
          </cell>
          <cell r="IV246">
            <v>32.749150126814</v>
          </cell>
        </row>
        <row r="246">
          <cell r="JF246">
            <v>29.4103586483421</v>
          </cell>
          <cell r="JG246">
            <v>32.1827041145241</v>
          </cell>
          <cell r="JH246">
            <v>29.7520055301186</v>
          </cell>
          <cell r="JI246">
            <v>29.0187653360263</v>
          </cell>
          <cell r="JJ246">
            <v>32.5798654981314</v>
          </cell>
          <cell r="JK246">
            <v>31.3217584047431</v>
          </cell>
          <cell r="JL246">
            <v>31.3317864734371</v>
          </cell>
          <cell r="JM246">
            <v>32.6521673193782</v>
          </cell>
          <cell r="JN246">
            <v>34.6273090262346</v>
          </cell>
          <cell r="JO246">
            <v>32.540445769536</v>
          </cell>
          <cell r="JP246">
            <v>28.8579284110612</v>
          </cell>
          <cell r="JQ246">
            <v>34.8655449123351</v>
          </cell>
        </row>
        <row r="247"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</row>
        <row r="247">
          <cell r="IK247">
            <v>0</v>
          </cell>
          <cell r="IL247">
            <v>0</v>
          </cell>
          <cell r="IM247">
            <v>0</v>
          </cell>
          <cell r="IN247">
            <v>0</v>
          </cell>
          <cell r="IO247">
            <v>0</v>
          </cell>
          <cell r="IP247">
            <v>0</v>
          </cell>
          <cell r="IQ247">
            <v>0</v>
          </cell>
          <cell r="IR247">
            <v>0</v>
          </cell>
          <cell r="IS247">
            <v>0</v>
          </cell>
          <cell r="IT247">
            <v>0</v>
          </cell>
          <cell r="IU247">
            <v>0</v>
          </cell>
          <cell r="IV247">
            <v>0</v>
          </cell>
        </row>
        <row r="247">
          <cell r="JF247">
            <v>0</v>
          </cell>
          <cell r="JG247">
            <v>0</v>
          </cell>
          <cell r="JH247">
            <v>0</v>
          </cell>
          <cell r="JI247">
            <v>0</v>
          </cell>
          <cell r="JJ247">
            <v>0</v>
          </cell>
          <cell r="JK247">
            <v>0</v>
          </cell>
          <cell r="JL247">
            <v>0</v>
          </cell>
          <cell r="JM247">
            <v>0</v>
          </cell>
          <cell r="JN247">
            <v>0</v>
          </cell>
          <cell r="JO247">
            <v>0</v>
          </cell>
          <cell r="JP247">
            <v>0</v>
          </cell>
          <cell r="JQ247">
            <v>0</v>
          </cell>
        </row>
        <row r="249">
          <cell r="CG249">
            <v>18.49</v>
          </cell>
          <cell r="CH249">
            <v>18.61</v>
          </cell>
          <cell r="CI249">
            <v>18.85</v>
          </cell>
          <cell r="CJ249">
            <v>20.85</v>
          </cell>
          <cell r="CK249">
            <v>18.32</v>
          </cell>
          <cell r="CL249">
            <v>20.49</v>
          </cell>
          <cell r="CM249">
            <v>18.43</v>
          </cell>
          <cell r="CN249">
            <v>19.86</v>
          </cell>
          <cell r="CO249">
            <v>25.18</v>
          </cell>
          <cell r="CP249">
            <v>23.59</v>
          </cell>
          <cell r="CQ249">
            <v>24.66</v>
          </cell>
          <cell r="CR249">
            <v>22.67</v>
          </cell>
        </row>
        <row r="249">
          <cell r="CT249">
            <v>13.32</v>
          </cell>
          <cell r="CU249">
            <v>12.71</v>
          </cell>
          <cell r="CV249">
            <v>15.97</v>
          </cell>
          <cell r="CW249">
            <v>13.3</v>
          </cell>
          <cell r="CX249">
            <v>13.76</v>
          </cell>
          <cell r="CY249">
            <v>14.21</v>
          </cell>
          <cell r="CZ249">
            <v>13.86</v>
          </cell>
          <cell r="DA249">
            <v>15.4</v>
          </cell>
          <cell r="DB249">
            <v>16.67</v>
          </cell>
          <cell r="DC249">
            <v>19.74</v>
          </cell>
          <cell r="DD249">
            <v>22.96</v>
          </cell>
          <cell r="DE249">
            <v>20.41</v>
          </cell>
        </row>
        <row r="249">
          <cell r="DG249">
            <v>23.554072</v>
          </cell>
          <cell r="DH249">
            <v>21.396363</v>
          </cell>
          <cell r="DI249">
            <v>21.488154</v>
          </cell>
          <cell r="DJ249">
            <v>21.570796</v>
          </cell>
          <cell r="DK249">
            <v>24.503117</v>
          </cell>
          <cell r="DL249">
            <v>25.06973</v>
          </cell>
          <cell r="DM249">
            <v>25.336347</v>
          </cell>
          <cell r="DN249">
            <v>26.244343</v>
          </cell>
          <cell r="DO249">
            <v>26.003648</v>
          </cell>
          <cell r="DP249">
            <v>28.885992</v>
          </cell>
          <cell r="DQ249">
            <v>27.529892</v>
          </cell>
          <cell r="DR249">
            <v>27.027574</v>
          </cell>
        </row>
        <row r="249">
          <cell r="DV249">
            <v>29.55</v>
          </cell>
          <cell r="DW249">
            <v>30.79</v>
          </cell>
          <cell r="DX249">
            <v>31.11</v>
          </cell>
          <cell r="DY249">
            <v>27.46177</v>
          </cell>
          <cell r="DZ249">
            <v>28.1507</v>
          </cell>
          <cell r="EA249">
            <v>32.712257</v>
          </cell>
          <cell r="EB249">
            <v>29.063232</v>
          </cell>
          <cell r="EC249">
            <v>30.706796</v>
          </cell>
          <cell r="ED249">
            <v>31.742884</v>
          </cell>
          <cell r="EE249">
            <v>33.435977</v>
          </cell>
          <cell r="EF249">
            <v>33.870729</v>
          </cell>
          <cell r="EG249">
            <v>47.679836</v>
          </cell>
        </row>
        <row r="249">
          <cell r="FE249">
            <v>35.659178</v>
          </cell>
          <cell r="FF249">
            <v>38.505745</v>
          </cell>
          <cell r="FG249">
            <v>36.94497</v>
          </cell>
          <cell r="FH249">
            <v>38.45358</v>
          </cell>
          <cell r="FI249">
            <v>40.649315</v>
          </cell>
          <cell r="FJ249">
            <v>40.313665</v>
          </cell>
          <cell r="FK249">
            <v>44.821985</v>
          </cell>
          <cell r="FL249">
            <v>43.1288</v>
          </cell>
          <cell r="FM249">
            <v>42.76955</v>
          </cell>
          <cell r="FN249">
            <v>44.6322</v>
          </cell>
          <cell r="FO249">
            <v>41.9162</v>
          </cell>
          <cell r="FP249">
            <v>45.76611</v>
          </cell>
        </row>
        <row r="249">
          <cell r="HP249">
            <v>79.6926494276098</v>
          </cell>
          <cell r="HQ249">
            <v>86.0542785712542</v>
          </cell>
          <cell r="HR249">
            <v>82.5661921405917</v>
          </cell>
          <cell r="HS249">
            <v>85.9376980079728</v>
          </cell>
          <cell r="HT249">
            <v>90.8448200843968</v>
          </cell>
          <cell r="HU249">
            <v>90.0946951718041</v>
          </cell>
          <cell r="HV249">
            <v>100.170080680339</v>
          </cell>
          <cell r="HW249">
            <v>96.3860787434162</v>
          </cell>
          <cell r="HX249">
            <v>95.5832115458923</v>
          </cell>
          <cell r="HY249">
            <v>99.745941080946</v>
          </cell>
          <cell r="HZ249">
            <v>93.6761086286839</v>
          </cell>
          <cell r="IA249">
            <v>102.280051432914</v>
          </cell>
        </row>
        <row r="249">
          <cell r="IK249">
            <v>103.493957649907</v>
          </cell>
          <cell r="IL249">
            <v>111.75557502498</v>
          </cell>
          <cell r="IM249">
            <v>107.225723502575</v>
          </cell>
          <cell r="IN249">
            <v>111.604176069547</v>
          </cell>
          <cell r="IO249">
            <v>117.976877793082</v>
          </cell>
          <cell r="IP249">
            <v>117.002717735741</v>
          </cell>
          <cell r="IQ249">
            <v>130.087256003904</v>
          </cell>
          <cell r="IR249">
            <v>125.173109730441</v>
          </cell>
          <cell r="IS249">
            <v>124.130455177783</v>
          </cell>
          <cell r="IT249">
            <v>129.536441266879</v>
          </cell>
          <cell r="IU249">
            <v>121.653769687149</v>
          </cell>
          <cell r="IV249">
            <v>132.827398605234</v>
          </cell>
        </row>
        <row r="249">
          <cell r="JF249">
            <v>134.509454596009</v>
          </cell>
          <cell r="JG249">
            <v>145.246947609477</v>
          </cell>
          <cell r="JH249">
            <v>139.359571461965</v>
          </cell>
          <cell r="JI249">
            <v>145.050176789381</v>
          </cell>
          <cell r="JJ249">
            <v>153.332676102387</v>
          </cell>
          <cell r="JK249">
            <v>152.066575733075</v>
          </cell>
          <cell r="JL249">
            <v>169.072342504937</v>
          </cell>
          <cell r="JM249">
            <v>162.685504567165</v>
          </cell>
          <cell r="JN249">
            <v>161.330382989107</v>
          </cell>
          <cell r="JO249">
            <v>168.356457331125</v>
          </cell>
          <cell r="JP249">
            <v>158.111474155047</v>
          </cell>
          <cell r="JQ249">
            <v>172.633662365435</v>
          </cell>
        </row>
        <row r="250"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</row>
        <row r="250">
          <cell r="IK250">
            <v>0</v>
          </cell>
          <cell r="IL250">
            <v>0</v>
          </cell>
          <cell r="IM250">
            <v>0</v>
          </cell>
          <cell r="IN250">
            <v>0</v>
          </cell>
          <cell r="IO250">
            <v>0</v>
          </cell>
          <cell r="IP250">
            <v>0</v>
          </cell>
          <cell r="IQ250">
            <v>0</v>
          </cell>
          <cell r="IR250">
            <v>0</v>
          </cell>
          <cell r="IS250">
            <v>0</v>
          </cell>
          <cell r="IT250">
            <v>0</v>
          </cell>
          <cell r="IU250">
            <v>0</v>
          </cell>
          <cell r="IV250">
            <v>0</v>
          </cell>
        </row>
        <row r="250">
          <cell r="JF250">
            <v>0</v>
          </cell>
          <cell r="JG250">
            <v>0</v>
          </cell>
          <cell r="JH250">
            <v>0</v>
          </cell>
          <cell r="JI250">
            <v>0</v>
          </cell>
          <cell r="JJ250">
            <v>0</v>
          </cell>
          <cell r="JK250">
            <v>0</v>
          </cell>
          <cell r="JL250">
            <v>0</v>
          </cell>
          <cell r="JM250">
            <v>0</v>
          </cell>
          <cell r="JN250">
            <v>0</v>
          </cell>
          <cell r="JO250">
            <v>0</v>
          </cell>
          <cell r="JP250">
            <v>0</v>
          </cell>
          <cell r="JQ250">
            <v>0</v>
          </cell>
        </row>
        <row r="251">
          <cell r="CG251">
            <v>6.79</v>
          </cell>
          <cell r="CH251">
            <v>7.17</v>
          </cell>
          <cell r="CI251">
            <v>6.92</v>
          </cell>
          <cell r="CJ251">
            <v>6.32</v>
          </cell>
          <cell r="CK251">
            <v>6.4</v>
          </cell>
          <cell r="CL251">
            <v>6.52</v>
          </cell>
          <cell r="CM251">
            <v>6.65</v>
          </cell>
          <cell r="CN251">
            <v>6.95</v>
          </cell>
          <cell r="CO251">
            <v>6.53</v>
          </cell>
          <cell r="CP251">
            <v>6.69</v>
          </cell>
          <cell r="CQ251">
            <v>7.19</v>
          </cell>
          <cell r="CR251">
            <v>6.88</v>
          </cell>
        </row>
        <row r="251">
          <cell r="CT251">
            <v>1.76</v>
          </cell>
          <cell r="CU251">
            <v>1.69</v>
          </cell>
          <cell r="CV251">
            <v>2</v>
          </cell>
          <cell r="CW251">
            <v>1.77</v>
          </cell>
          <cell r="CX251">
            <v>1.74</v>
          </cell>
          <cell r="CY251">
            <v>3.57</v>
          </cell>
          <cell r="CZ251">
            <v>5.66</v>
          </cell>
          <cell r="DA251">
            <v>5.88</v>
          </cell>
          <cell r="DB251">
            <v>5.78</v>
          </cell>
          <cell r="DC251">
            <v>5.82</v>
          </cell>
          <cell r="DD251">
            <v>5.89</v>
          </cell>
          <cell r="DE251">
            <v>5.5</v>
          </cell>
        </row>
        <row r="251">
          <cell r="DG251">
            <v>6.285889</v>
          </cell>
          <cell r="DH251">
            <v>3.958795</v>
          </cell>
          <cell r="DI251">
            <v>3.15885</v>
          </cell>
          <cell r="DJ251">
            <v>5.271632</v>
          </cell>
          <cell r="DK251">
            <v>5.673988</v>
          </cell>
          <cell r="DL251">
            <v>5.871838</v>
          </cell>
          <cell r="DM251">
            <v>6.053575</v>
          </cell>
          <cell r="DN251">
            <v>6.110538</v>
          </cell>
          <cell r="DO251">
            <v>6.256292</v>
          </cell>
          <cell r="DP251">
            <v>5.786496</v>
          </cell>
          <cell r="DQ251">
            <v>5.533106</v>
          </cell>
          <cell r="DR251">
            <v>5.622332</v>
          </cell>
        </row>
        <row r="251">
          <cell r="DV251">
            <v>7.07</v>
          </cell>
          <cell r="DW251">
            <v>6.94</v>
          </cell>
          <cell r="DX251">
            <v>7.36</v>
          </cell>
          <cell r="DY251">
            <v>6.929584</v>
          </cell>
          <cell r="DZ251">
            <v>7.084346</v>
          </cell>
          <cell r="EA251">
            <v>7.562948</v>
          </cell>
          <cell r="EB251">
            <v>7.142887</v>
          </cell>
          <cell r="EC251">
            <v>7.093945</v>
          </cell>
          <cell r="ED251">
            <v>7.170892</v>
          </cell>
          <cell r="EE251">
            <v>7.373449</v>
          </cell>
          <cell r="EF251">
            <v>7.508761</v>
          </cell>
          <cell r="EG251">
            <v>9.340473</v>
          </cell>
        </row>
        <row r="251">
          <cell r="FE251">
            <v>7.640682</v>
          </cell>
          <cell r="FF251">
            <v>8.254045</v>
          </cell>
          <cell r="FG251">
            <v>8.191949</v>
          </cell>
          <cell r="FH251">
            <v>8.098411</v>
          </cell>
          <cell r="FI251">
            <v>7.530217</v>
          </cell>
          <cell r="FJ251">
            <v>7.587986</v>
          </cell>
          <cell r="FK251">
            <v>9.98315</v>
          </cell>
          <cell r="FL251">
            <v>7.273028</v>
          </cell>
          <cell r="FM251">
            <v>9.11264</v>
          </cell>
          <cell r="FN251">
            <v>9.38533</v>
          </cell>
          <cell r="FO251">
            <v>9.3696</v>
          </cell>
          <cell r="FP251">
            <v>10.62205</v>
          </cell>
        </row>
        <row r="251">
          <cell r="HP251">
            <v>13.7936806213099</v>
          </cell>
          <cell r="HQ251">
            <v>14.9009814259931</v>
          </cell>
          <cell r="HR251">
            <v>14.7888798633497</v>
          </cell>
          <cell r="HS251">
            <v>14.6200162333811</v>
          </cell>
          <cell r="HT251">
            <v>13.5942587726015</v>
          </cell>
          <cell r="HU251">
            <v>13.6985488262658</v>
          </cell>
          <cell r="HV251">
            <v>18.0225250435275</v>
          </cell>
          <cell r="HW251">
            <v>13.1299569046119</v>
          </cell>
          <cell r="HX251">
            <v>16.4509981932206</v>
          </cell>
          <cell r="HY251">
            <v>16.9432839300992</v>
          </cell>
          <cell r="HZ251">
            <v>16.9148866487867</v>
          </cell>
          <cell r="IA251">
            <v>19.1759276519536</v>
          </cell>
        </row>
        <row r="251">
          <cell r="IK251">
            <v>16.991820464875</v>
          </cell>
          <cell r="IL251">
            <v>18.355854981139</v>
          </cell>
          <cell r="IM251">
            <v>18.217762061739</v>
          </cell>
          <cell r="IN251">
            <v>18.0097464811084</v>
          </cell>
          <cell r="IO251">
            <v>16.7461615763553</v>
          </cell>
          <cell r="IP251">
            <v>16.874631845951</v>
          </cell>
          <cell r="IQ251">
            <v>22.2011454571616</v>
          </cell>
          <cell r="IR251">
            <v>16.1742087960222</v>
          </cell>
          <cell r="IS251">
            <v>20.2652515627582</v>
          </cell>
          <cell r="IT251">
            <v>20.8716764241209</v>
          </cell>
          <cell r="IU251">
            <v>20.8366950787498</v>
          </cell>
          <cell r="IV251">
            <v>23.6219707310061</v>
          </cell>
        </row>
        <row r="251">
          <cell r="JF251">
            <v>20.5497160559886</v>
          </cell>
          <cell r="JG251">
            <v>22.199364017944</v>
          </cell>
          <cell r="JH251">
            <v>22.032355998475</v>
          </cell>
          <cell r="JI251">
            <v>21.7807843010212</v>
          </cell>
          <cell r="JJ251">
            <v>20.2526189664716</v>
          </cell>
          <cell r="JK251">
            <v>20.4079894617806</v>
          </cell>
          <cell r="JL251">
            <v>26.8498149568773</v>
          </cell>
          <cell r="JM251">
            <v>19.5609057237633</v>
          </cell>
          <cell r="JN251">
            <v>24.5085667117731</v>
          </cell>
          <cell r="JO251">
            <v>25.2419701005423</v>
          </cell>
          <cell r="JP251">
            <v>25.19966405593</v>
          </cell>
          <cell r="JQ251">
            <v>28.5681450206296</v>
          </cell>
        </row>
        <row r="252">
          <cell r="HP252">
            <v>11.125</v>
          </cell>
          <cell r="HQ252">
            <v>11.125</v>
          </cell>
          <cell r="HR252">
            <v>11.125</v>
          </cell>
          <cell r="HS252">
            <v>11.125</v>
          </cell>
          <cell r="HT252">
            <v>11.125</v>
          </cell>
          <cell r="HU252">
            <v>11.125</v>
          </cell>
          <cell r="HV252">
            <v>11.125</v>
          </cell>
          <cell r="HW252">
            <v>11.125</v>
          </cell>
          <cell r="HX252">
            <v>11.125</v>
          </cell>
          <cell r="HY252">
            <v>11.125</v>
          </cell>
          <cell r="HZ252">
            <v>11.125</v>
          </cell>
          <cell r="IA252">
            <v>11.125</v>
          </cell>
        </row>
        <row r="252">
          <cell r="IK252">
            <v>11.9583333333333</v>
          </cell>
          <cell r="IL252">
            <v>11.9583333333333</v>
          </cell>
          <cell r="IM252">
            <v>11.9583333333333</v>
          </cell>
          <cell r="IN252">
            <v>11.9583333333333</v>
          </cell>
          <cell r="IO252">
            <v>11.9583333333333</v>
          </cell>
          <cell r="IP252">
            <v>11.9583333333333</v>
          </cell>
          <cell r="IQ252">
            <v>11.9583333333333</v>
          </cell>
          <cell r="IR252">
            <v>11.9583333333333</v>
          </cell>
          <cell r="IS252">
            <v>11.9583333333333</v>
          </cell>
          <cell r="IT252">
            <v>11.9583333333333</v>
          </cell>
          <cell r="IU252">
            <v>11.9583333333333</v>
          </cell>
          <cell r="IV252">
            <v>11.9583333333333</v>
          </cell>
        </row>
        <row r="252">
          <cell r="JF252">
            <v>12.9583333333333</v>
          </cell>
          <cell r="JG252">
            <v>12.9583333333333</v>
          </cell>
          <cell r="JH252">
            <v>12.9583333333333</v>
          </cell>
          <cell r="JI252">
            <v>12.9583333333333</v>
          </cell>
          <cell r="JJ252">
            <v>12.9583333333333</v>
          </cell>
          <cell r="JK252">
            <v>12.9583333333333</v>
          </cell>
          <cell r="JL252">
            <v>12.9583333333333</v>
          </cell>
          <cell r="JM252">
            <v>12.9583333333333</v>
          </cell>
          <cell r="JN252">
            <v>12.9583333333333</v>
          </cell>
          <cell r="JO252">
            <v>12.9583333333333</v>
          </cell>
          <cell r="JP252">
            <v>12.9583333333333</v>
          </cell>
          <cell r="JQ252">
            <v>12.9583333333333</v>
          </cell>
        </row>
        <row r="253"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</row>
        <row r="253"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P253">
            <v>0</v>
          </cell>
        </row>
        <row r="253">
          <cell r="HP253">
            <v>0</v>
          </cell>
          <cell r="HQ253">
            <v>0</v>
          </cell>
          <cell r="HR253">
            <v>0</v>
          </cell>
          <cell r="HS253">
            <v>0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</row>
        <row r="253">
          <cell r="IK253">
            <v>0</v>
          </cell>
          <cell r="IL253">
            <v>0</v>
          </cell>
          <cell r="IM253">
            <v>0</v>
          </cell>
          <cell r="IN253">
            <v>0</v>
          </cell>
          <cell r="IO253">
            <v>0</v>
          </cell>
          <cell r="IP253">
            <v>0</v>
          </cell>
          <cell r="IQ253">
            <v>0</v>
          </cell>
          <cell r="IR253">
            <v>0</v>
          </cell>
          <cell r="IS253">
            <v>0</v>
          </cell>
          <cell r="IT253">
            <v>0</v>
          </cell>
          <cell r="IU253">
            <v>0</v>
          </cell>
          <cell r="IV253">
            <v>0</v>
          </cell>
        </row>
        <row r="253">
          <cell r="JF253">
            <v>0</v>
          </cell>
          <cell r="JG253">
            <v>0</v>
          </cell>
          <cell r="JH253">
            <v>0</v>
          </cell>
          <cell r="JI253">
            <v>0</v>
          </cell>
          <cell r="JJ253">
            <v>0</v>
          </cell>
          <cell r="JK253">
            <v>0</v>
          </cell>
          <cell r="JL253">
            <v>0</v>
          </cell>
          <cell r="JM253">
            <v>0</v>
          </cell>
          <cell r="JN253">
            <v>0</v>
          </cell>
          <cell r="JO253">
            <v>0</v>
          </cell>
          <cell r="JP253">
            <v>0</v>
          </cell>
          <cell r="JQ253">
            <v>0</v>
          </cell>
        </row>
        <row r="254"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</row>
        <row r="254"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P254">
            <v>0</v>
          </cell>
        </row>
        <row r="254">
          <cell r="HP254">
            <v>0</v>
          </cell>
          <cell r="HQ254">
            <v>0</v>
          </cell>
          <cell r="HR254">
            <v>0</v>
          </cell>
          <cell r="HS254">
            <v>0</v>
          </cell>
          <cell r="HT254">
            <v>0</v>
          </cell>
          <cell r="HU254">
            <v>0</v>
          </cell>
          <cell r="HV254">
            <v>0</v>
          </cell>
          <cell r="HW254">
            <v>0</v>
          </cell>
          <cell r="HX254">
            <v>0</v>
          </cell>
          <cell r="HY254">
            <v>0</v>
          </cell>
          <cell r="HZ254">
            <v>0</v>
          </cell>
          <cell r="IA254">
            <v>0</v>
          </cell>
        </row>
        <row r="254">
          <cell r="IK254">
            <v>0</v>
          </cell>
          <cell r="IL254">
            <v>0</v>
          </cell>
          <cell r="IM254">
            <v>0</v>
          </cell>
          <cell r="IN254">
            <v>0</v>
          </cell>
          <cell r="IO254">
            <v>0</v>
          </cell>
          <cell r="IP254">
            <v>0</v>
          </cell>
          <cell r="IQ254">
            <v>0</v>
          </cell>
          <cell r="IR254">
            <v>0</v>
          </cell>
          <cell r="IS254">
            <v>0</v>
          </cell>
          <cell r="IT254">
            <v>0</v>
          </cell>
          <cell r="IU254">
            <v>0</v>
          </cell>
          <cell r="IV254">
            <v>0</v>
          </cell>
        </row>
        <row r="254">
          <cell r="JF254">
            <v>0</v>
          </cell>
          <cell r="JG254">
            <v>0</v>
          </cell>
          <cell r="JH254">
            <v>0</v>
          </cell>
          <cell r="JI254">
            <v>0</v>
          </cell>
          <cell r="JJ254">
            <v>0</v>
          </cell>
          <cell r="JK254">
            <v>0</v>
          </cell>
          <cell r="JL254">
            <v>0</v>
          </cell>
          <cell r="JM254">
            <v>0</v>
          </cell>
          <cell r="JN254">
            <v>0</v>
          </cell>
          <cell r="JO254">
            <v>0</v>
          </cell>
          <cell r="JP254">
            <v>0</v>
          </cell>
          <cell r="JQ254">
            <v>0</v>
          </cell>
        </row>
      </sheetData>
      <sheetData sheetId="4"/>
      <sheetData sheetId="5">
        <row r="2">
          <cell r="BG2">
            <v>78.24</v>
          </cell>
        </row>
        <row r="3">
          <cell r="BG3">
            <v>79.8048</v>
          </cell>
        </row>
        <row r="10">
          <cell r="AQ10">
            <v>11473.8264427974</v>
          </cell>
        </row>
        <row r="10">
          <cell r="AT10">
            <v>155.04</v>
          </cell>
          <cell r="AU10">
            <v>5469.40144102544</v>
          </cell>
        </row>
        <row r="10">
          <cell r="AW10">
            <v>688.640478</v>
          </cell>
        </row>
        <row r="10">
          <cell r="BN10">
            <v>204.524531709208</v>
          </cell>
          <cell r="BO10">
            <v>5469.40144102544</v>
          </cell>
        </row>
        <row r="10">
          <cell r="BQ10">
            <v>688.640478</v>
          </cell>
        </row>
        <row r="11">
          <cell r="AQ11">
            <v>2385.91096265481</v>
          </cell>
        </row>
        <row r="11">
          <cell r="AT11">
            <v>58.0939712334883</v>
          </cell>
          <cell r="AU11">
            <v>535.816521924513</v>
          </cell>
        </row>
        <row r="11">
          <cell r="AW11">
            <v>305.20092</v>
          </cell>
        </row>
        <row r="11">
          <cell r="BN11">
            <v>58.0939712334883</v>
          </cell>
          <cell r="BO11">
            <v>535.816521924513</v>
          </cell>
        </row>
        <row r="11">
          <cell r="BQ11">
            <v>305.20092</v>
          </cell>
        </row>
        <row r="12">
          <cell r="AQ12">
            <v>1772.31196955199</v>
          </cell>
        </row>
        <row r="12">
          <cell r="AT12">
            <v>30.7482964738821</v>
          </cell>
          <cell r="AU12">
            <v>345.600834062637</v>
          </cell>
        </row>
        <row r="12">
          <cell r="AW12">
            <v>123.680616</v>
          </cell>
        </row>
        <row r="12">
          <cell r="BN12">
            <v>30.7482964738821</v>
          </cell>
          <cell r="BO12">
            <v>345.600834062637</v>
          </cell>
        </row>
        <row r="12">
          <cell r="BQ12">
            <v>123.680616</v>
          </cell>
        </row>
        <row r="13">
          <cell r="AQ13">
            <v>613.598993102826</v>
          </cell>
        </row>
        <row r="13">
          <cell r="AT13">
            <v>27.3456747596062</v>
          </cell>
          <cell r="AU13">
            <v>190.215687861876</v>
          </cell>
        </row>
        <row r="13">
          <cell r="AW13">
            <v>181.520304</v>
          </cell>
        </row>
        <row r="13">
          <cell r="BN13">
            <v>27.3456747596062</v>
          </cell>
          <cell r="BO13">
            <v>190.215687861876</v>
          </cell>
        </row>
        <row r="13">
          <cell r="BQ13">
            <v>181.520304</v>
          </cell>
        </row>
        <row r="14">
          <cell r="AQ14">
            <v>3895.78581543346</v>
          </cell>
        </row>
        <row r="14">
          <cell r="AT14">
            <v>47.7762822962509</v>
          </cell>
          <cell r="AU14">
            <v>1485.55947463375</v>
          </cell>
        </row>
        <row r="14">
          <cell r="AW14">
            <v>243.91449</v>
          </cell>
        </row>
        <row r="14">
          <cell r="BN14">
            <v>47.7762822962509</v>
          </cell>
          <cell r="BO14">
            <v>1485.55947463375</v>
          </cell>
        </row>
        <row r="14">
          <cell r="BQ14">
            <v>243.91449</v>
          </cell>
        </row>
        <row r="15">
          <cell r="AQ15">
            <v>2745.8408341022</v>
          </cell>
        </row>
        <row r="15">
          <cell r="AT15">
            <v>0</v>
          </cell>
          <cell r="AU15">
            <v>933.585883594748</v>
          </cell>
        </row>
        <row r="15">
          <cell r="AW15">
            <v>0</v>
          </cell>
        </row>
        <row r="15">
          <cell r="BN15">
            <v>0</v>
          </cell>
          <cell r="BO15">
            <v>933.585883594748</v>
          </cell>
        </row>
        <row r="15">
          <cell r="BQ15">
            <v>0</v>
          </cell>
        </row>
        <row r="16">
          <cell r="AQ16">
            <v>1149.94498133126</v>
          </cell>
        </row>
        <row r="16">
          <cell r="AT16">
            <v>47.7762822962509</v>
          </cell>
          <cell r="AU16">
            <v>551.973591039006</v>
          </cell>
        </row>
        <row r="16">
          <cell r="AW16">
            <v>243.91449</v>
          </cell>
        </row>
        <row r="16">
          <cell r="BN16">
            <v>47.7762822962509</v>
          </cell>
          <cell r="BO16">
            <v>551.973591039006</v>
          </cell>
        </row>
        <row r="16">
          <cell r="BQ16">
            <v>243.91449</v>
          </cell>
        </row>
        <row r="17">
          <cell r="AQ17">
            <v>5192.12966470916</v>
          </cell>
        </row>
        <row r="17">
          <cell r="AT17">
            <v>49.1697464702608</v>
          </cell>
          <cell r="AU17">
            <v>3448.02544446718</v>
          </cell>
        </row>
        <row r="17">
          <cell r="AW17">
            <v>139.525068</v>
          </cell>
        </row>
        <row r="17">
          <cell r="BN17">
            <v>98.6542781794687</v>
          </cell>
          <cell r="BO17">
            <v>3448.02544446718</v>
          </cell>
        </row>
        <row r="17">
          <cell r="BQ17">
            <v>139.525068</v>
          </cell>
        </row>
        <row r="18">
          <cell r="AQ18">
            <v>2963.72526800487</v>
          </cell>
        </row>
        <row r="18">
          <cell r="AT18">
            <v>0</v>
          </cell>
          <cell r="AU18">
            <v>1511.49988668249</v>
          </cell>
        </row>
        <row r="18">
          <cell r="AW18">
            <v>0</v>
          </cell>
        </row>
        <row r="18">
          <cell r="BN18">
            <v>0</v>
          </cell>
          <cell r="BO18">
            <v>1511.49988668249</v>
          </cell>
        </row>
        <row r="18">
          <cell r="BQ18">
            <v>0</v>
          </cell>
        </row>
        <row r="19">
          <cell r="AQ19">
            <v>966.725687041103</v>
          </cell>
        </row>
        <row r="19">
          <cell r="AT19">
            <v>24.4274806156568</v>
          </cell>
          <cell r="AU19">
            <v>744.378779021649</v>
          </cell>
        </row>
        <row r="19">
          <cell r="AW19">
            <v>79.35516</v>
          </cell>
        </row>
        <row r="19">
          <cell r="BN19">
            <v>24.4274806156568</v>
          </cell>
          <cell r="BO19">
            <v>744.378779021649</v>
          </cell>
        </row>
        <row r="19">
          <cell r="BQ19">
            <v>79.35516</v>
          </cell>
        </row>
        <row r="20">
          <cell r="AQ20">
            <v>434.125943632544</v>
          </cell>
        </row>
        <row r="20">
          <cell r="AT20">
            <v>10.4582824791009</v>
          </cell>
          <cell r="AU20">
            <v>390.71334926929</v>
          </cell>
        </row>
        <row r="20">
          <cell r="AW20">
            <v>29.69604</v>
          </cell>
        </row>
        <row r="20">
          <cell r="BN20">
            <v>31.3748474373026</v>
          </cell>
          <cell r="BO20">
            <v>390.71334926929</v>
          </cell>
        </row>
        <row r="20">
          <cell r="BQ20">
            <v>29.69604</v>
          </cell>
        </row>
        <row r="21">
          <cell r="AQ21">
            <v>522.386730737686</v>
          </cell>
        </row>
        <row r="21">
          <cell r="AT21">
            <v>9.93134513855592</v>
          </cell>
          <cell r="AU21">
            <v>496.267394200802</v>
          </cell>
        </row>
        <row r="21">
          <cell r="AW21">
            <v>24.63678</v>
          </cell>
        </row>
        <row r="21">
          <cell r="BN21">
            <v>29.7940354156678</v>
          </cell>
          <cell r="BO21">
            <v>496.267394200802</v>
          </cell>
        </row>
        <row r="21">
          <cell r="BQ21">
            <v>24.63678</v>
          </cell>
        </row>
        <row r="22">
          <cell r="AQ22">
            <v>305.16603529295</v>
          </cell>
        </row>
        <row r="22">
          <cell r="AT22">
            <v>4.35263823694717</v>
          </cell>
          <cell r="AU22">
            <v>305.16603529295</v>
          </cell>
        </row>
        <row r="22">
          <cell r="AW22">
            <v>5.837088</v>
          </cell>
        </row>
        <row r="22">
          <cell r="BN22">
            <v>13.0579147108415</v>
          </cell>
          <cell r="BO22">
            <v>305.16603529295</v>
          </cell>
        </row>
        <row r="22">
          <cell r="BQ22">
            <v>5.837088</v>
          </cell>
        </row>
        <row r="23">
          <cell r="AQ23">
            <v>4147.96617049626</v>
          </cell>
        </row>
        <row r="23">
          <cell r="AT23">
            <v>343.825130439376</v>
          </cell>
          <cell r="AU23">
            <v>4239.20395571748</v>
          </cell>
        </row>
        <row r="23">
          <cell r="AW23">
            <v>116.878419</v>
          </cell>
        </row>
        <row r="23">
          <cell r="BN23">
            <v>537.533001877116</v>
          </cell>
          <cell r="BO23">
            <v>4239.20395571748</v>
          </cell>
        </row>
        <row r="23">
          <cell r="BQ23">
            <v>116.878419</v>
          </cell>
        </row>
        <row r="24">
          <cell r="AQ24">
            <v>103.356981263684</v>
          </cell>
        </row>
        <row r="24">
          <cell r="AT24">
            <v>72.9735686404349</v>
          </cell>
          <cell r="AU24">
            <v>72.349886884579</v>
          </cell>
        </row>
        <row r="24">
          <cell r="AW24">
            <v>34.46214</v>
          </cell>
        </row>
        <row r="24">
          <cell r="BN24">
            <v>112.50091832067</v>
          </cell>
          <cell r="BO24">
            <v>72.349886884579</v>
          </cell>
        </row>
        <row r="24">
          <cell r="BQ24">
            <v>34.46214</v>
          </cell>
        </row>
        <row r="25">
          <cell r="AQ25">
            <v>103.356981263684</v>
          </cell>
        </row>
        <row r="25">
          <cell r="AT25">
            <v>72.9735686404349</v>
          </cell>
          <cell r="AU25">
            <v>72.349886884579</v>
          </cell>
        </row>
        <row r="25">
          <cell r="AW25">
            <v>34.46214</v>
          </cell>
        </row>
        <row r="25">
          <cell r="BN25">
            <v>112.50091832067</v>
          </cell>
          <cell r="BO25">
            <v>72.349886884579</v>
          </cell>
        </row>
        <row r="25">
          <cell r="BQ25">
            <v>34.46214</v>
          </cell>
        </row>
        <row r="26">
          <cell r="AQ26">
            <v>4033.11439725458</v>
          </cell>
        </row>
        <row r="26">
          <cell r="AT26">
            <v>269.202302025892</v>
          </cell>
          <cell r="AU26">
            <v>4156.01804443367</v>
          </cell>
        </row>
        <row r="26">
          <cell r="AW26">
            <v>81.214347</v>
          </cell>
        </row>
        <row r="26">
          <cell r="BN26">
            <v>423.03218889783</v>
          </cell>
          <cell r="BO26">
            <v>4156.01804443367</v>
          </cell>
        </row>
        <row r="26">
          <cell r="BQ26">
            <v>81.214347</v>
          </cell>
        </row>
        <row r="27">
          <cell r="AQ27">
            <v>728.71303927241</v>
          </cell>
        </row>
        <row r="27">
          <cell r="AT27">
            <v>30.1198949769386</v>
          </cell>
          <cell r="AU27">
            <v>619.406083381549</v>
          </cell>
        </row>
        <row r="27">
          <cell r="AW27">
            <v>21.102984</v>
          </cell>
        </row>
        <row r="27">
          <cell r="BN27">
            <v>47.3312635351892</v>
          </cell>
          <cell r="BO27">
            <v>619.406083381549</v>
          </cell>
        </row>
        <row r="27">
          <cell r="BQ27">
            <v>21.102984</v>
          </cell>
        </row>
        <row r="28">
          <cell r="AQ28">
            <v>691.073123423813</v>
          </cell>
        </row>
        <row r="28">
          <cell r="AT28">
            <v>55.2640487812568</v>
          </cell>
          <cell r="AU28">
            <v>684.162392189575</v>
          </cell>
        </row>
        <row r="28">
          <cell r="AW28">
            <v>29.353779</v>
          </cell>
        </row>
        <row r="28">
          <cell r="BN28">
            <v>86.8435052276893</v>
          </cell>
          <cell r="BO28">
            <v>684.162392189575</v>
          </cell>
        </row>
        <row r="28">
          <cell r="BQ28">
            <v>29.353779</v>
          </cell>
        </row>
        <row r="29">
          <cell r="AQ29">
            <v>370.191485860811</v>
          </cell>
        </row>
        <row r="29">
          <cell r="AT29">
            <v>26.2825624172748</v>
          </cell>
          <cell r="AU29">
            <v>384.999145295244</v>
          </cell>
        </row>
        <row r="29">
          <cell r="AW29">
            <v>8.895312</v>
          </cell>
        </row>
        <row r="29">
          <cell r="BN29">
            <v>41.3011695128604</v>
          </cell>
          <cell r="BO29">
            <v>384.999145295244</v>
          </cell>
        </row>
        <row r="29">
          <cell r="BQ29">
            <v>8.895312</v>
          </cell>
        </row>
        <row r="30">
          <cell r="AQ30">
            <v>2243.13674869754</v>
          </cell>
        </row>
        <row r="30">
          <cell r="AT30">
            <v>157.535795850421</v>
          </cell>
          <cell r="AU30">
            <v>2467.4504235673</v>
          </cell>
        </row>
        <row r="30">
          <cell r="AW30">
            <v>21.862272</v>
          </cell>
        </row>
        <row r="30">
          <cell r="BN30">
            <v>247.556250622091</v>
          </cell>
          <cell r="BO30">
            <v>2467.4504235673</v>
          </cell>
        </row>
        <row r="30">
          <cell r="BQ30">
            <v>21.862272</v>
          </cell>
        </row>
        <row r="31">
          <cell r="AQ31">
            <v>5.77332180955847</v>
          </cell>
        </row>
        <row r="31">
          <cell r="AT31">
            <v>0.613611049740899</v>
          </cell>
          <cell r="AU31">
            <v>7.50531835242601</v>
          </cell>
        </row>
        <row r="31">
          <cell r="AW31">
            <v>0.446976</v>
          </cell>
        </row>
        <row r="31">
          <cell r="BN31">
            <v>0.964245935307128</v>
          </cell>
          <cell r="BO31">
            <v>7.50531835242601</v>
          </cell>
        </row>
        <row r="31">
          <cell r="BQ31">
            <v>0.446976</v>
          </cell>
        </row>
        <row r="32">
          <cell r="AQ32">
            <v>5.72147016843429</v>
          </cell>
        </row>
        <row r="32">
          <cell r="AT32">
            <v>1.0356487233087</v>
          </cell>
          <cell r="AU32">
            <v>3.33070604680903</v>
          </cell>
        </row>
        <row r="32">
          <cell r="AW32">
            <v>0.754956</v>
          </cell>
        </row>
        <row r="32">
          <cell r="BN32">
            <v>1.0356487233087</v>
          </cell>
          <cell r="BO32">
            <v>3.33070604680903</v>
          </cell>
        </row>
        <row r="32">
          <cell r="BQ32">
            <v>0.754956</v>
          </cell>
        </row>
        <row r="33">
          <cell r="AQ33">
            <v>3.80137270422356</v>
          </cell>
        </row>
        <row r="33">
          <cell r="AT33">
            <v>0.756962184074905</v>
          </cell>
          <cell r="AU33">
            <v>2.01472753323849</v>
          </cell>
        </row>
        <row r="33">
          <cell r="AW33">
            <v>0.527013</v>
          </cell>
        </row>
        <row r="33">
          <cell r="BN33">
            <v>0.756962184074905</v>
          </cell>
          <cell r="BO33">
            <v>2.01472753323849</v>
          </cell>
        </row>
        <row r="33">
          <cell r="BQ33">
            <v>0.527013</v>
          </cell>
        </row>
        <row r="34">
          <cell r="AQ34">
            <v>1.37882871763885</v>
          </cell>
        </row>
        <row r="34">
          <cell r="AT34">
            <v>0.179648948614209</v>
          </cell>
          <cell r="AU34">
            <v>0.910026953641638</v>
          </cell>
        </row>
        <row r="34">
          <cell r="AW34">
            <v>0.145497</v>
          </cell>
        </row>
        <row r="34">
          <cell r="BN34">
            <v>0.179648948614209</v>
          </cell>
          <cell r="BO34">
            <v>0.910026953641638</v>
          </cell>
        </row>
        <row r="34">
          <cell r="BQ34">
            <v>0.145497</v>
          </cell>
        </row>
        <row r="35">
          <cell r="AQ35">
            <v>0.541268746571877</v>
          </cell>
        </row>
        <row r="35">
          <cell r="AT35">
            <v>0.099037590619584</v>
          </cell>
          <cell r="AU35">
            <v>0.405951559928908</v>
          </cell>
        </row>
        <row r="35">
          <cell r="AW35">
            <v>0.082446</v>
          </cell>
        </row>
        <row r="35">
          <cell r="BN35">
            <v>0.099037590619584</v>
          </cell>
          <cell r="BO35">
            <v>0.405951559928908</v>
          </cell>
        </row>
        <row r="35">
          <cell r="BQ35">
            <v>0.082446</v>
          </cell>
        </row>
        <row r="36">
          <cell r="AQ36">
            <v>1036.18376443982</v>
          </cell>
        </row>
        <row r="36">
          <cell r="AT36">
            <v>154.742359604397</v>
          </cell>
          <cell r="AU36">
            <v>795.059183653803</v>
          </cell>
        </row>
        <row r="36">
          <cell r="AW36">
            <v>20.6877165</v>
          </cell>
        </row>
        <row r="36">
          <cell r="BN36">
            <v>230.86911982184</v>
          </cell>
          <cell r="BO36">
            <v>795.059183653803</v>
          </cell>
        </row>
        <row r="36">
          <cell r="BQ36">
            <v>20.6877165</v>
          </cell>
        </row>
        <row r="37">
          <cell r="AQ37">
            <v>996.150693513266</v>
          </cell>
        </row>
        <row r="37">
          <cell r="AT37">
            <v>149.349874737124</v>
          </cell>
          <cell r="AU37">
            <v>767.036034005215</v>
          </cell>
        </row>
        <row r="37">
          <cell r="AW37">
            <v>18.9853314150952</v>
          </cell>
        </row>
        <row r="37">
          <cell r="BN37">
            <v>224.024812105687</v>
          </cell>
          <cell r="BO37">
            <v>767.036034005215</v>
          </cell>
        </row>
        <row r="37">
          <cell r="BQ37">
            <v>18.9853314150952</v>
          </cell>
        </row>
        <row r="38">
          <cell r="AQ38">
            <v>0</v>
          </cell>
        </row>
        <row r="38">
          <cell r="AT38">
            <v>0</v>
          </cell>
          <cell r="AU38">
            <v>0</v>
          </cell>
        </row>
        <row r="38">
          <cell r="AW38">
            <v>0</v>
          </cell>
        </row>
        <row r="38">
          <cell r="BN38">
            <v>0</v>
          </cell>
          <cell r="BO38">
            <v>0</v>
          </cell>
        </row>
        <row r="39">
          <cell r="AQ39">
            <v>0</v>
          </cell>
        </row>
        <row r="39">
          <cell r="AT39">
            <v>0</v>
          </cell>
          <cell r="AU39">
            <v>0</v>
          </cell>
        </row>
        <row r="39">
          <cell r="AW39">
            <v>0</v>
          </cell>
        </row>
        <row r="39">
          <cell r="BN39">
            <v>0</v>
          </cell>
          <cell r="BO39">
            <v>0</v>
          </cell>
        </row>
        <row r="40">
          <cell r="AQ40">
            <v>0</v>
          </cell>
        </row>
        <row r="40">
          <cell r="AT40">
            <v>0</v>
          </cell>
          <cell r="AU40">
            <v>0</v>
          </cell>
        </row>
        <row r="40">
          <cell r="AW40">
            <v>0</v>
          </cell>
        </row>
        <row r="40">
          <cell r="BN40">
            <v>0</v>
          </cell>
          <cell r="BO40">
            <v>0</v>
          </cell>
        </row>
        <row r="41">
          <cell r="AQ41">
            <v>40.0330709265554</v>
          </cell>
        </row>
        <row r="41">
          <cell r="AT41">
            <v>5.39248486727215</v>
          </cell>
          <cell r="AU41">
            <v>28.0231496485888</v>
          </cell>
        </row>
        <row r="41">
          <cell r="AW41">
            <v>1.70238508490478</v>
          </cell>
        </row>
        <row r="41">
          <cell r="BN41">
            <v>6.84430771615311</v>
          </cell>
          <cell r="BO41">
            <v>28.0231496485888</v>
          </cell>
        </row>
        <row r="41">
          <cell r="BQ41">
            <v>1.70238508490478</v>
          </cell>
        </row>
        <row r="42">
          <cell r="AQ42">
            <v>0</v>
          </cell>
        </row>
        <row r="42">
          <cell r="AT42">
            <v>0</v>
          </cell>
          <cell r="AU42">
            <v>0</v>
          </cell>
        </row>
        <row r="42">
          <cell r="AW42">
            <v>0</v>
          </cell>
        </row>
        <row r="42">
          <cell r="BN42">
            <v>0</v>
          </cell>
          <cell r="BO42">
            <v>0</v>
          </cell>
        </row>
        <row r="43">
          <cell r="AQ43">
            <v>9.52513978314638</v>
          </cell>
        </row>
        <row r="43">
          <cell r="AT43">
            <v>0.51495248256</v>
          </cell>
          <cell r="AU43">
            <v>3.81005591325855</v>
          </cell>
        </row>
        <row r="43">
          <cell r="AW43">
            <v>0.29886</v>
          </cell>
        </row>
        <row r="43">
          <cell r="BN43">
            <v>0.51495248256</v>
          </cell>
          <cell r="BO43">
            <v>3.81005591325855</v>
          </cell>
        </row>
        <row r="43">
          <cell r="BQ43">
            <v>0.29886</v>
          </cell>
        </row>
        <row r="44">
          <cell r="AQ44">
            <v>9.29472129132821</v>
          </cell>
        </row>
        <row r="44">
          <cell r="AT44">
            <v>0.51495248256</v>
          </cell>
          <cell r="AU44">
            <v>3.71788851653129</v>
          </cell>
        </row>
        <row r="44">
          <cell r="AW44">
            <v>0.28668</v>
          </cell>
        </row>
        <row r="44">
          <cell r="BN44">
            <v>0.51495248256</v>
          </cell>
          <cell r="BO44">
            <v>3.71788851653129</v>
          </cell>
        </row>
        <row r="44">
          <cell r="BQ44">
            <v>0.28668</v>
          </cell>
        </row>
        <row r="45">
          <cell r="AQ45">
            <v>0.230418491818164</v>
          </cell>
        </row>
        <row r="45">
          <cell r="AT45">
            <v>0</v>
          </cell>
          <cell r="AU45">
            <v>0.0921673967272658</v>
          </cell>
        </row>
        <row r="45">
          <cell r="AW45">
            <v>0.01218</v>
          </cell>
        </row>
        <row r="45">
          <cell r="BN45">
            <v>0</v>
          </cell>
          <cell r="BO45">
            <v>0.0921673967272658</v>
          </cell>
        </row>
        <row r="45">
          <cell r="BQ45">
            <v>0.01218</v>
          </cell>
        </row>
        <row r="46">
          <cell r="AQ46">
            <v>12466.5040519532</v>
          </cell>
        </row>
        <row r="46">
          <cell r="AT46">
            <v>0.0473311198610199</v>
          </cell>
          <cell r="AU46">
            <v>9.89304547766604</v>
          </cell>
        </row>
        <row r="46">
          <cell r="AW46">
            <v>50.1030012536472</v>
          </cell>
        </row>
        <row r="46">
          <cell r="BN46">
            <v>0.0473311198610199</v>
          </cell>
          <cell r="BO46">
            <v>9.89304547766604</v>
          </cell>
        </row>
        <row r="46">
          <cell r="BQ46">
            <v>50.1030012536472</v>
          </cell>
        </row>
        <row r="47">
          <cell r="AQ47">
            <v>12464.0831709436</v>
          </cell>
        </row>
        <row r="47">
          <cell r="AT47">
            <v>0</v>
          </cell>
          <cell r="AU47">
            <v>8.92469307383976</v>
          </cell>
        </row>
        <row r="47">
          <cell r="AW47">
            <v>50.0906947872289</v>
          </cell>
        </row>
        <row r="47">
          <cell r="BN47">
            <v>0</v>
          </cell>
          <cell r="BO47">
            <v>8.92469307383976</v>
          </cell>
        </row>
        <row r="47">
          <cell r="BQ47">
            <v>50.0906947872289</v>
          </cell>
        </row>
        <row r="48">
          <cell r="AQ48">
            <v>35.698772295359</v>
          </cell>
        </row>
        <row r="48">
          <cell r="AT48">
            <v>0</v>
          </cell>
          <cell r="AU48">
            <v>8.92469307383976</v>
          </cell>
        </row>
        <row r="48">
          <cell r="AW48">
            <v>0.0751665079594271</v>
          </cell>
        </row>
        <row r="48">
          <cell r="BN48">
            <v>0</v>
          </cell>
          <cell r="BO48">
            <v>8.92469307383976</v>
          </cell>
        </row>
        <row r="48">
          <cell r="BQ48">
            <v>0.0751665079594271</v>
          </cell>
        </row>
        <row r="49">
          <cell r="AQ49">
            <v>12428.3843986482</v>
          </cell>
        </row>
        <row r="50">
          <cell r="AQ50">
            <v>12428.3843986482</v>
          </cell>
        </row>
        <row r="50">
          <cell r="AT50">
            <v>0</v>
          </cell>
          <cell r="AU50">
            <v>0</v>
          </cell>
        </row>
        <row r="50">
          <cell r="AW50">
            <v>50.0155282792695</v>
          </cell>
        </row>
        <row r="50">
          <cell r="BN50">
            <v>0</v>
          </cell>
          <cell r="BO50">
            <v>0</v>
          </cell>
        </row>
        <row r="50">
          <cell r="BQ50">
            <v>50.0155282792695</v>
          </cell>
        </row>
        <row r="51">
          <cell r="AQ51">
            <v>0</v>
          </cell>
        </row>
        <row r="51">
          <cell r="AT51">
            <v>0</v>
          </cell>
          <cell r="AU51">
            <v>0</v>
          </cell>
        </row>
        <row r="51">
          <cell r="BN51">
            <v>0</v>
          </cell>
          <cell r="BO51">
            <v>0</v>
          </cell>
        </row>
        <row r="52">
          <cell r="AQ52">
            <v>2.4208810095657</v>
          </cell>
        </row>
        <row r="52">
          <cell r="AT52">
            <v>0.0473311198610199</v>
          </cell>
          <cell r="AU52">
            <v>0.968352403826278</v>
          </cell>
        </row>
        <row r="52">
          <cell r="AW52">
            <v>0.0123064664182779</v>
          </cell>
        </row>
        <row r="52">
          <cell r="BN52">
            <v>0.0473311198610199</v>
          </cell>
          <cell r="BO52">
            <v>0.968352403826278</v>
          </cell>
        </row>
        <row r="52">
          <cell r="BQ52">
            <v>0.0123064664182779</v>
          </cell>
        </row>
        <row r="53">
          <cell r="AQ53">
            <v>2.4208810095657</v>
          </cell>
        </row>
        <row r="53">
          <cell r="AT53">
            <v>0.0473311198610199</v>
          </cell>
          <cell r="AU53">
            <v>0.968352403826278</v>
          </cell>
        </row>
        <row r="53">
          <cell r="AW53">
            <v>0.0123064664182779</v>
          </cell>
        </row>
        <row r="53">
          <cell r="BN53">
            <v>0.0473311198610199</v>
          </cell>
          <cell r="BO53">
            <v>0.968352403826278</v>
          </cell>
        </row>
        <row r="53">
          <cell r="BQ53">
            <v>0.0123064664182779</v>
          </cell>
        </row>
        <row r="54">
          <cell r="AQ54">
            <v>255.647601489391</v>
          </cell>
        </row>
        <row r="54">
          <cell r="AT54">
            <v>7.68200564765661</v>
          </cell>
          <cell r="AU54">
            <v>196.717130003172</v>
          </cell>
        </row>
        <row r="54">
          <cell r="AW54">
            <v>11.2106431290084</v>
          </cell>
        </row>
        <row r="54">
          <cell r="BN54">
            <v>7.68200564765661</v>
          </cell>
          <cell r="BO54">
            <v>196.717130003172</v>
          </cell>
        </row>
        <row r="54">
          <cell r="BQ54">
            <v>11.2106431290084</v>
          </cell>
        </row>
        <row r="55">
          <cell r="AQ55">
            <v>78.5415369147259</v>
          </cell>
        </row>
        <row r="55">
          <cell r="AT55">
            <v>2.77777271278398</v>
          </cell>
          <cell r="AU55">
            <v>55.7644912094554</v>
          </cell>
        </row>
        <row r="55">
          <cell r="AW55">
            <v>5.19058677375499</v>
          </cell>
        </row>
        <row r="55">
          <cell r="BN55">
            <v>2.77777271278398</v>
          </cell>
          <cell r="BO55">
            <v>55.7644912094554</v>
          </cell>
        </row>
        <row r="55">
          <cell r="BQ55">
            <v>5.19058677375499</v>
          </cell>
        </row>
        <row r="56">
          <cell r="AQ56">
            <v>50.0654702352401</v>
          </cell>
        </row>
        <row r="56">
          <cell r="AT56">
            <v>1.34429658611259</v>
          </cell>
          <cell r="AU56">
            <v>38.0497573787824</v>
          </cell>
        </row>
        <row r="56">
          <cell r="AW56">
            <v>1.75466232643712</v>
          </cell>
        </row>
        <row r="56">
          <cell r="BN56">
            <v>1.34429658611259</v>
          </cell>
          <cell r="BO56">
            <v>38.0497573787824</v>
          </cell>
        </row>
        <row r="56">
          <cell r="BQ56">
            <v>1.75466232643712</v>
          </cell>
        </row>
        <row r="57">
          <cell r="AQ57">
            <v>127.040594339425</v>
          </cell>
        </row>
        <row r="57">
          <cell r="AT57">
            <v>3.55993634876004</v>
          </cell>
          <cell r="AU57">
            <v>102.902881414934</v>
          </cell>
        </row>
        <row r="57">
          <cell r="AW57">
            <v>4.26539402881631</v>
          </cell>
        </row>
        <row r="57">
          <cell r="BN57">
            <v>3.55993634876004</v>
          </cell>
          <cell r="BO57">
            <v>102.902881414934</v>
          </cell>
        </row>
        <row r="57">
          <cell r="BQ57">
            <v>4.26539402881631</v>
          </cell>
        </row>
        <row r="58">
          <cell r="AQ58">
            <v>98.8499963533782</v>
          </cell>
        </row>
        <row r="58">
          <cell r="AT58">
            <v>2.15091423766816</v>
          </cell>
          <cell r="AU58">
            <v>78.4507610181164</v>
          </cell>
        </row>
        <row r="58">
          <cell r="AW58">
            <v>3.08386787270224</v>
          </cell>
        </row>
        <row r="58">
          <cell r="BN58">
            <v>5.99545711883408</v>
          </cell>
          <cell r="BO58">
            <v>78.4507610181164</v>
          </cell>
        </row>
        <row r="58">
          <cell r="BQ58">
            <v>3.08386787270224</v>
          </cell>
        </row>
        <row r="59">
          <cell r="AQ59">
            <v>87.9568570952341</v>
          </cell>
        </row>
        <row r="59">
          <cell r="AT59">
            <v>1.86920011210762</v>
          </cell>
          <cell r="AU59">
            <v>73.0041913890443</v>
          </cell>
        </row>
        <row r="59">
          <cell r="AW59">
            <v>2.51728787270224</v>
          </cell>
        </row>
        <row r="59">
          <cell r="BN59">
            <v>5.38507651345292</v>
          </cell>
          <cell r="BO59">
            <v>73.0041913890443</v>
          </cell>
        </row>
        <row r="59">
          <cell r="BQ59">
            <v>2.51728787270224</v>
          </cell>
        </row>
        <row r="60">
          <cell r="AQ60">
            <v>10.8931392581442</v>
          </cell>
        </row>
        <row r="60">
          <cell r="AT60">
            <v>0.281714125560538</v>
          </cell>
          <cell r="AU60">
            <v>5.44656962907208</v>
          </cell>
        </row>
        <row r="60">
          <cell r="AW60">
            <v>0.56658</v>
          </cell>
        </row>
        <row r="60">
          <cell r="BN60">
            <v>0.610380605381166</v>
          </cell>
          <cell r="BO60">
            <v>5.44656962907208</v>
          </cell>
        </row>
        <row r="60">
          <cell r="BQ60">
            <v>0.56658</v>
          </cell>
        </row>
        <row r="61">
          <cell r="AQ61">
            <v>10.8931392581442</v>
          </cell>
        </row>
        <row r="61">
          <cell r="BN61">
            <v>0</v>
          </cell>
        </row>
        <row r="62">
          <cell r="AQ62">
            <v>0</v>
          </cell>
        </row>
        <row r="62">
          <cell r="BN62">
            <v>0</v>
          </cell>
        </row>
        <row r="63">
          <cell r="AQ63">
            <v>160.627107885078</v>
          </cell>
        </row>
        <row r="63">
          <cell r="AT63">
            <v>2.8476</v>
          </cell>
          <cell r="AU63">
            <v>192.752529462093</v>
          </cell>
        </row>
        <row r="63">
          <cell r="AW63">
            <v>1.71366</v>
          </cell>
        </row>
        <row r="63">
          <cell r="BN63">
            <v>8.2038</v>
          </cell>
          <cell r="BO63">
            <v>192.752529462093</v>
          </cell>
        </row>
        <row r="63">
          <cell r="BQ63">
            <v>1.71366</v>
          </cell>
        </row>
        <row r="64">
          <cell r="AQ64">
            <v>2.510541</v>
          </cell>
        </row>
        <row r="64">
          <cell r="AT64">
            <v>0.45675</v>
          </cell>
          <cell r="AU64">
            <v>1.5063246</v>
          </cell>
        </row>
        <row r="64">
          <cell r="AW64">
            <v>0.0343908</v>
          </cell>
        </row>
        <row r="64">
          <cell r="BN64">
            <v>0.228375</v>
          </cell>
          <cell r="BO64">
            <v>1.5063246</v>
          </cell>
        </row>
        <row r="64">
          <cell r="BQ64">
            <v>0.0343908</v>
          </cell>
        </row>
        <row r="65">
          <cell r="AQ65">
            <v>251.023488142463</v>
          </cell>
        </row>
        <row r="65">
          <cell r="AT65">
            <v>6.84617840023572</v>
          </cell>
          <cell r="AU65">
            <v>157.615050852138</v>
          </cell>
        </row>
        <row r="65">
          <cell r="AW65">
            <v>5.23430087099158</v>
          </cell>
        </row>
        <row r="65">
          <cell r="BN65">
            <v>6.84617840023572</v>
          </cell>
          <cell r="BO65">
            <v>157.615050852138</v>
          </cell>
        </row>
        <row r="65">
          <cell r="BQ65">
            <v>5.23430087099158</v>
          </cell>
        </row>
        <row r="66">
          <cell r="AQ66">
            <v>193.328843493908</v>
          </cell>
        </row>
        <row r="66">
          <cell r="AT66">
            <v>4.73548543278567</v>
          </cell>
          <cell r="AU66">
            <v>115.997306096345</v>
          </cell>
        </row>
        <row r="66">
          <cell r="AW66">
            <v>3.77032032643712</v>
          </cell>
        </row>
        <row r="66">
          <cell r="BN66">
            <v>4.73548543278567</v>
          </cell>
          <cell r="BO66">
            <v>115.997306096345</v>
          </cell>
        </row>
        <row r="66">
          <cell r="BQ66">
            <v>3.77032032643712</v>
          </cell>
        </row>
        <row r="67">
          <cell r="AQ67">
            <v>44.6037035421728</v>
          </cell>
        </row>
        <row r="67">
          <cell r="AT67">
            <v>1.23590001597994</v>
          </cell>
          <cell r="AU67">
            <v>31.6686295149427</v>
          </cell>
        </row>
        <row r="67">
          <cell r="AW67">
            <v>0.908037289936456</v>
          </cell>
        </row>
        <row r="67">
          <cell r="BN67">
            <v>1.23590001597994</v>
          </cell>
          <cell r="BO67">
            <v>31.6686295149427</v>
          </cell>
        </row>
        <row r="67">
          <cell r="BQ67">
            <v>0.908037289936456</v>
          </cell>
        </row>
        <row r="68">
          <cell r="AQ68">
            <v>13.0909411063816</v>
          </cell>
        </row>
        <row r="68">
          <cell r="AT68">
            <v>0.874792951470112</v>
          </cell>
          <cell r="AU68">
            <v>9.94911524085001</v>
          </cell>
        </row>
        <row r="68">
          <cell r="AW68">
            <v>0.555943254617999</v>
          </cell>
        </row>
        <row r="68">
          <cell r="BN68">
            <v>0.874792951470112</v>
          </cell>
          <cell r="BO68">
            <v>9.94911524085001</v>
          </cell>
        </row>
        <row r="68">
          <cell r="BQ68">
            <v>0.555943254617999</v>
          </cell>
        </row>
        <row r="69">
          <cell r="AQ69">
            <v>0</v>
          </cell>
        </row>
        <row r="69">
          <cell r="AT69">
            <v>0</v>
          </cell>
          <cell r="AU69">
            <v>0</v>
          </cell>
        </row>
        <row r="69">
          <cell r="AW69">
            <v>0</v>
          </cell>
        </row>
        <row r="69">
          <cell r="BN69">
            <v>0</v>
          </cell>
          <cell r="BO69">
            <v>0</v>
          </cell>
        </row>
        <row r="69">
          <cell r="BQ69">
            <v>0</v>
          </cell>
        </row>
        <row r="84">
          <cell r="AT84">
            <v>973.614478666021</v>
          </cell>
          <cell r="AU84">
            <v>3567.44159103852</v>
          </cell>
        </row>
        <row r="84">
          <cell r="AW84">
            <v>14.387532385048</v>
          </cell>
        </row>
        <row r="84">
          <cell r="BN84">
            <v>999.235912315127</v>
          </cell>
          <cell r="BO84">
            <v>3567.44159103852</v>
          </cell>
        </row>
        <row r="84">
          <cell r="BQ84">
            <v>14.387532385048</v>
          </cell>
        </row>
        <row r="85">
          <cell r="AQ85">
            <v>4487.97540980577</v>
          </cell>
        </row>
        <row r="85">
          <cell r="AT85">
            <v>973.614478666021</v>
          </cell>
          <cell r="AU85">
            <v>3453.13901947095</v>
          </cell>
        </row>
        <row r="85">
          <cell r="AW85">
            <v>13.888208931525</v>
          </cell>
        </row>
        <row r="85">
          <cell r="BN85">
            <v>999.235912315127</v>
          </cell>
          <cell r="BO85">
            <v>3453.13901947095</v>
          </cell>
        </row>
        <row r="85">
          <cell r="BQ85">
            <v>13.888208931525</v>
          </cell>
        </row>
        <row r="86">
          <cell r="AQ86">
            <v>1451.20758836827</v>
          </cell>
        </row>
        <row r="86">
          <cell r="AT86">
            <v>973.614478666021</v>
          </cell>
          <cell r="AU86">
            <v>1110.17380510173</v>
          </cell>
        </row>
        <row r="86">
          <cell r="AW86">
            <v>10.2277837909362</v>
          </cell>
        </row>
        <row r="86">
          <cell r="BN86">
            <v>999.235912315127</v>
          </cell>
          <cell r="BO86">
            <v>1110.17380510173</v>
          </cell>
        </row>
        <row r="86">
          <cell r="BQ86">
            <v>10.2277837909362</v>
          </cell>
        </row>
        <row r="87">
          <cell r="AQ87">
            <v>254.475934903587</v>
          </cell>
        </row>
        <row r="87">
          <cell r="AT87">
            <v>0</v>
          </cell>
          <cell r="AU87">
            <v>203.58074792287</v>
          </cell>
        </row>
        <row r="87">
          <cell r="AW87">
            <v>3.18030248097916</v>
          </cell>
        </row>
        <row r="87">
          <cell r="BN87">
            <v>0</v>
          </cell>
          <cell r="BO87">
            <v>203.58074792287</v>
          </cell>
        </row>
        <row r="87">
          <cell r="BQ87">
            <v>3.18030248097916</v>
          </cell>
        </row>
        <row r="88">
          <cell r="AQ88">
            <v>0.120384060018199</v>
          </cell>
        </row>
        <row r="88">
          <cell r="AT88">
            <v>0</v>
          </cell>
          <cell r="AU88">
            <v>0.0920938059139223</v>
          </cell>
        </row>
        <row r="88">
          <cell r="AW88">
            <v>0</v>
          </cell>
        </row>
        <row r="88">
          <cell r="BN88">
            <v>0</v>
          </cell>
          <cell r="BO88">
            <v>0.0920938059139223</v>
          </cell>
        </row>
        <row r="88">
          <cell r="BQ88">
            <v>0</v>
          </cell>
        </row>
        <row r="89">
          <cell r="AQ89">
            <v>0.676168993671561</v>
          </cell>
        </row>
        <row r="89">
          <cell r="AT89">
            <v>0</v>
          </cell>
          <cell r="AU89">
            <v>0.493603365380239</v>
          </cell>
        </row>
        <row r="89">
          <cell r="AW89">
            <v>0</v>
          </cell>
        </row>
        <row r="89">
          <cell r="BN89">
            <v>0</v>
          </cell>
          <cell r="BO89">
            <v>0.49360336538024</v>
          </cell>
        </row>
        <row r="89">
          <cell r="BQ89">
            <v>0</v>
          </cell>
        </row>
        <row r="90">
          <cell r="AQ90">
            <v>61.24319367364</v>
          </cell>
        </row>
        <row r="90">
          <cell r="AT90">
            <v>0</v>
          </cell>
          <cell r="AU90">
            <v>52.6691465593304</v>
          </cell>
        </row>
        <row r="90">
          <cell r="AW90">
            <v>0.480122659609659</v>
          </cell>
        </row>
        <row r="90">
          <cell r="BN90">
            <v>0</v>
          </cell>
          <cell r="BO90">
            <v>52.6691465593304</v>
          </cell>
        </row>
        <row r="90">
          <cell r="BQ90">
            <v>0.480122659609659</v>
          </cell>
        </row>
        <row r="91">
          <cell r="AQ91">
            <v>714.356738920289</v>
          </cell>
        </row>
        <row r="91">
          <cell r="AT91">
            <v>0</v>
          </cell>
          <cell r="AU91">
            <v>617.91857916605</v>
          </cell>
        </row>
        <row r="91">
          <cell r="AW91">
            <v>0</v>
          </cell>
        </row>
        <row r="91">
          <cell r="BN91">
            <v>0</v>
          </cell>
          <cell r="BO91">
            <v>617.91857916605</v>
          </cell>
        </row>
        <row r="91">
          <cell r="BQ91">
            <v>0</v>
          </cell>
        </row>
        <row r="92">
          <cell r="AQ92">
            <v>671.453009801455</v>
          </cell>
        </row>
        <row r="92">
          <cell r="AU92">
            <v>580.806853478259</v>
          </cell>
        </row>
        <row r="92">
          <cell r="AW92">
            <v>0</v>
          </cell>
        </row>
        <row r="92">
          <cell r="BN92">
            <v>0</v>
          </cell>
          <cell r="BO92">
            <v>580.806853478259</v>
          </cell>
        </row>
        <row r="92">
          <cell r="BQ92">
            <v>0</v>
          </cell>
        </row>
        <row r="93">
          <cell r="AQ93">
            <v>1334.44239108484</v>
          </cell>
        </row>
        <row r="93">
          <cell r="AT93">
            <v>0</v>
          </cell>
          <cell r="AU93">
            <v>887.404190071419</v>
          </cell>
        </row>
        <row r="93">
          <cell r="AW93">
            <v>0</v>
          </cell>
        </row>
        <row r="93">
          <cell r="BN93">
            <v>0</v>
          </cell>
          <cell r="BO93">
            <v>887.404190071419</v>
          </cell>
        </row>
        <row r="93">
          <cell r="BQ93">
            <v>0</v>
          </cell>
        </row>
        <row r="94">
          <cell r="AQ94">
            <v>148.319694761227</v>
          </cell>
        </row>
        <row r="94">
          <cell r="AT94">
            <v>0</v>
          </cell>
          <cell r="AU94">
            <v>114.302571567576</v>
          </cell>
        </row>
        <row r="94">
          <cell r="AW94">
            <v>0.49932345352299</v>
          </cell>
        </row>
        <row r="94">
          <cell r="BN94">
            <v>0</v>
          </cell>
          <cell r="BO94">
            <v>114.302571567576</v>
          </cell>
        </row>
        <row r="94">
          <cell r="BQ94">
            <v>0.49932345352299</v>
          </cell>
        </row>
        <row r="95">
          <cell r="AQ95">
            <v>51.5023836007563</v>
          </cell>
        </row>
        <row r="95">
          <cell r="AT95">
            <v>0</v>
          </cell>
          <cell r="AU95">
            <v>39.3993234545786</v>
          </cell>
        </row>
        <row r="95">
          <cell r="AW95">
            <v>0.49932345352299</v>
          </cell>
        </row>
        <row r="95">
          <cell r="BN95">
            <v>0</v>
          </cell>
          <cell r="BO95">
            <v>39.3993234545786</v>
          </cell>
        </row>
        <row r="95">
          <cell r="BQ95">
            <v>0.49932345352299</v>
          </cell>
        </row>
        <row r="96">
          <cell r="AQ96">
            <v>28.4156071447196</v>
          </cell>
        </row>
        <row r="96">
          <cell r="AT96">
            <v>0</v>
          </cell>
          <cell r="AU96">
            <v>24.5795001801825</v>
          </cell>
        </row>
        <row r="96">
          <cell r="AW96">
            <v>0</v>
          </cell>
        </row>
        <row r="96">
          <cell r="BN96">
            <v>0</v>
          </cell>
          <cell r="BO96">
            <v>24.5795001801825</v>
          </cell>
        </row>
        <row r="96">
          <cell r="BQ96">
            <v>0</v>
          </cell>
        </row>
        <row r="97">
          <cell r="AQ97">
            <v>24.1830738117007</v>
          </cell>
        </row>
        <row r="97">
          <cell r="AT97">
            <v>0</v>
          </cell>
          <cell r="AU97">
            <v>20.9183588471211</v>
          </cell>
        </row>
        <row r="97">
          <cell r="AW97">
            <v>0</v>
          </cell>
        </row>
        <row r="97">
          <cell r="BN97">
            <v>0</v>
          </cell>
          <cell r="BO97">
            <v>20.9183588471211</v>
          </cell>
        </row>
        <row r="97">
          <cell r="BQ97">
            <v>0</v>
          </cell>
        </row>
        <row r="98">
          <cell r="AQ98">
            <v>44.2186302040508</v>
          </cell>
        </row>
        <row r="98">
          <cell r="AT98">
            <v>0</v>
          </cell>
          <cell r="AU98">
            <v>29.4053890856938</v>
          </cell>
        </row>
        <row r="98">
          <cell r="AW98">
            <v>0</v>
          </cell>
        </row>
        <row r="98">
          <cell r="BN98">
            <v>0</v>
          </cell>
          <cell r="BO98">
            <v>29.4053890856938</v>
          </cell>
        </row>
        <row r="98">
          <cell r="BQ98">
            <v>0</v>
          </cell>
        </row>
        <row r="99">
          <cell r="AQ99">
            <v>0.26805906</v>
          </cell>
        </row>
        <row r="99">
          <cell r="AT99">
            <v>0</v>
          </cell>
          <cell r="AU99">
            <v>0.2050651809</v>
          </cell>
        </row>
        <row r="99">
          <cell r="AW99">
            <v>0.0024</v>
          </cell>
        </row>
        <row r="99">
          <cell r="BN99">
            <v>0</v>
          </cell>
          <cell r="BO99">
            <v>0.2050651809</v>
          </cell>
        </row>
        <row r="99">
          <cell r="BQ99">
            <v>0.0024</v>
          </cell>
        </row>
        <row r="100">
          <cell r="H100">
            <v>48</v>
          </cell>
        </row>
        <row r="100">
          <cell r="AQ100">
            <v>51.1237873396121</v>
          </cell>
        </row>
        <row r="100">
          <cell r="AT100">
            <v>6.70945383732131</v>
          </cell>
          <cell r="AU100">
            <v>39.4155915876943</v>
          </cell>
        </row>
        <row r="100">
          <cell r="AW100">
            <v>0</v>
          </cell>
        </row>
        <row r="100">
          <cell r="BN100">
            <v>6.88601841198766</v>
          </cell>
          <cell r="BO100">
            <v>39.4155915876943</v>
          </cell>
        </row>
        <row r="100">
          <cell r="BQ100">
            <v>0</v>
          </cell>
        </row>
        <row r="101">
          <cell r="AQ101">
            <v>18.6089083006961</v>
          </cell>
        </row>
        <row r="101">
          <cell r="AT101">
            <v>6.70945383732131</v>
          </cell>
          <cell r="AU101">
            <v>14.2358148500325</v>
          </cell>
        </row>
        <row r="101">
          <cell r="AW101">
            <v>0</v>
          </cell>
        </row>
        <row r="101">
          <cell r="BN101">
            <v>6.88601841198766</v>
          </cell>
          <cell r="BO101">
            <v>14.2358148500325</v>
          </cell>
        </row>
        <row r="101">
          <cell r="BQ101">
            <v>0</v>
          </cell>
        </row>
        <row r="102">
          <cell r="AQ102">
            <v>8.14008642924429</v>
          </cell>
        </row>
        <row r="102">
          <cell r="AT102">
            <v>0</v>
          </cell>
          <cell r="AU102">
            <v>7.04117476129631</v>
          </cell>
        </row>
        <row r="102">
          <cell r="AW102">
            <v>0</v>
          </cell>
        </row>
        <row r="102">
          <cell r="BN102">
            <v>0</v>
          </cell>
          <cell r="BO102">
            <v>7.04117476129631</v>
          </cell>
        </row>
        <row r="102">
          <cell r="BQ102">
            <v>0</v>
          </cell>
        </row>
        <row r="103">
          <cell r="AQ103">
            <v>9.64682445466898</v>
          </cell>
        </row>
        <row r="103">
          <cell r="AT103">
            <v>0</v>
          </cell>
          <cell r="AU103">
            <v>8.34450315328867</v>
          </cell>
        </row>
        <row r="103">
          <cell r="AW103">
            <v>0</v>
          </cell>
        </row>
        <row r="103">
          <cell r="BN103">
            <v>0</v>
          </cell>
          <cell r="BO103">
            <v>8.34450315328867</v>
          </cell>
        </row>
        <row r="103">
          <cell r="BQ103">
            <v>0</v>
          </cell>
        </row>
        <row r="104">
          <cell r="AQ104">
            <v>14.7279681550028</v>
          </cell>
        </row>
        <row r="104">
          <cell r="AT104">
            <v>0</v>
          </cell>
          <cell r="AU104">
            <v>9.79409882307684</v>
          </cell>
        </row>
        <row r="104">
          <cell r="AW104">
            <v>0</v>
          </cell>
        </row>
        <row r="104">
          <cell r="BN104">
            <v>0</v>
          </cell>
          <cell r="BO104">
            <v>9.79409882307684</v>
          </cell>
        </row>
        <row r="104">
          <cell r="BQ104">
            <v>0</v>
          </cell>
        </row>
        <row r="105">
          <cell r="AQ105">
            <v>2551.17546243369</v>
          </cell>
        </row>
        <row r="105">
          <cell r="AT105">
            <v>495.659523399504</v>
          </cell>
          <cell r="AU105">
            <v>2270.4479160131</v>
          </cell>
        </row>
        <row r="105">
          <cell r="AW105">
            <v>11.4456257860213</v>
          </cell>
        </row>
        <row r="105">
          <cell r="BN105">
            <v>508.703195067912</v>
          </cell>
          <cell r="BO105">
            <v>2270.4479160131</v>
          </cell>
        </row>
        <row r="105">
          <cell r="BQ105">
            <v>11.4456257860213</v>
          </cell>
        </row>
        <row r="106">
          <cell r="AQ106">
            <v>1082.28791759842</v>
          </cell>
        </row>
        <row r="106">
          <cell r="AT106">
            <v>495.659523399504</v>
          </cell>
          <cell r="AU106">
            <v>952.41336748661</v>
          </cell>
        </row>
        <row r="106">
          <cell r="AW106">
            <v>11.4456257860213</v>
          </cell>
        </row>
        <row r="106">
          <cell r="BN106">
            <v>508.703195067912</v>
          </cell>
          <cell r="BO106">
            <v>952.41336748661</v>
          </cell>
        </row>
        <row r="106">
          <cell r="BQ106">
            <v>11.4456257860213</v>
          </cell>
        </row>
        <row r="107">
          <cell r="AQ107">
            <v>506.93215059366</v>
          </cell>
        </row>
        <row r="107">
          <cell r="AT107">
            <v>0</v>
          </cell>
          <cell r="AU107">
            <v>496.793507581786</v>
          </cell>
        </row>
        <row r="107">
          <cell r="AW107">
            <v>0</v>
          </cell>
        </row>
        <row r="107">
          <cell r="BN107">
            <v>0</v>
          </cell>
          <cell r="BO107">
            <v>496.793507581786</v>
          </cell>
        </row>
        <row r="107">
          <cell r="BQ107">
            <v>0</v>
          </cell>
        </row>
        <row r="108">
          <cell r="AQ108">
            <v>354.579167181269</v>
          </cell>
        </row>
        <row r="108">
          <cell r="AT108">
            <v>0</v>
          </cell>
          <cell r="AU108">
            <v>347.487583837643</v>
          </cell>
        </row>
        <row r="108">
          <cell r="AW108">
            <v>0</v>
          </cell>
        </row>
        <row r="108">
          <cell r="BN108">
            <v>0</v>
          </cell>
          <cell r="BO108">
            <v>347.487583837643</v>
          </cell>
        </row>
        <row r="108">
          <cell r="BQ108">
            <v>0</v>
          </cell>
        </row>
        <row r="109">
          <cell r="AQ109">
            <v>607.37622706034</v>
          </cell>
        </row>
        <row r="109">
          <cell r="AT109">
            <v>0</v>
          </cell>
          <cell r="AU109">
            <v>473.753457107065</v>
          </cell>
        </row>
        <row r="109">
          <cell r="AW109">
            <v>0</v>
          </cell>
        </row>
        <row r="109">
          <cell r="BN109">
            <v>0</v>
          </cell>
          <cell r="BO109">
            <v>473.753457107065</v>
          </cell>
        </row>
        <row r="109">
          <cell r="BQ109">
            <v>0</v>
          </cell>
        </row>
        <row r="110">
          <cell r="AQ110">
            <v>0.34405518</v>
          </cell>
        </row>
        <row r="110">
          <cell r="AT110">
            <v>0</v>
          </cell>
          <cell r="AU110">
            <v>0.171413652</v>
          </cell>
        </row>
        <row r="110">
          <cell r="AW110">
            <v>0.0048</v>
          </cell>
        </row>
        <row r="110">
          <cell r="BN110">
            <v>0</v>
          </cell>
          <cell r="BO110">
            <v>0.171413652</v>
          </cell>
        </row>
        <row r="110">
          <cell r="BQ110">
            <v>0.0048</v>
          </cell>
        </row>
        <row r="111">
          <cell r="AQ111">
            <v>0.08968248</v>
          </cell>
        </row>
        <row r="111">
          <cell r="AT111">
            <v>0</v>
          </cell>
          <cell r="AU111">
            <v>0.04484124</v>
          </cell>
        </row>
        <row r="111">
          <cell r="AW111">
            <v>0.0048</v>
          </cell>
        </row>
        <row r="111">
          <cell r="BN111">
            <v>0</v>
          </cell>
          <cell r="BO111">
            <v>0.04484124</v>
          </cell>
        </row>
        <row r="111">
          <cell r="BQ111">
            <v>0.0048</v>
          </cell>
        </row>
        <row r="112">
          <cell r="AQ112">
            <v>0.0651474</v>
          </cell>
        </row>
        <row r="112">
          <cell r="AT112">
            <v>0</v>
          </cell>
          <cell r="AU112">
            <v>0.03908844</v>
          </cell>
        </row>
        <row r="112">
          <cell r="AW112">
            <v>0</v>
          </cell>
        </row>
        <row r="112">
          <cell r="BN112">
            <v>0</v>
          </cell>
          <cell r="BO112">
            <v>0.03908844</v>
          </cell>
        </row>
        <row r="112">
          <cell r="BQ112">
            <v>0</v>
          </cell>
        </row>
        <row r="113">
          <cell r="AQ113">
            <v>0.05896926</v>
          </cell>
        </row>
        <row r="113">
          <cell r="AT113">
            <v>0</v>
          </cell>
          <cell r="AU113">
            <v>0.035381556</v>
          </cell>
        </row>
        <row r="113">
          <cell r="AW113">
            <v>0</v>
          </cell>
        </row>
        <row r="113">
          <cell r="BN113">
            <v>0</v>
          </cell>
          <cell r="BO113">
            <v>0.035381556</v>
          </cell>
        </row>
        <row r="113">
          <cell r="BQ113">
            <v>0</v>
          </cell>
        </row>
        <row r="114">
          <cell r="AQ114">
            <v>0.13025604</v>
          </cell>
        </row>
        <row r="114">
          <cell r="AT114">
            <v>0</v>
          </cell>
          <cell r="AU114">
            <v>0.052102416</v>
          </cell>
        </row>
        <row r="114">
          <cell r="AW114">
            <v>0</v>
          </cell>
        </row>
        <row r="114">
          <cell r="BN114">
            <v>0</v>
          </cell>
          <cell r="BO114">
            <v>0.052102416</v>
          </cell>
        </row>
        <row r="114">
          <cell r="BQ114">
            <v>0</v>
          </cell>
        </row>
        <row r="115">
          <cell r="AQ115">
            <v>4.82725997546507</v>
          </cell>
        </row>
        <row r="115">
          <cell r="AT115">
            <v>0.639864406779661</v>
          </cell>
          <cell r="AU115">
            <v>4.0912429488117</v>
          </cell>
        </row>
        <row r="115">
          <cell r="AW115">
            <v>0.0299</v>
          </cell>
        </row>
        <row r="115">
          <cell r="BN115">
            <v>0.656702943800178</v>
          </cell>
          <cell r="BO115">
            <v>4.16223172441645</v>
          </cell>
        </row>
        <row r="115">
          <cell r="BQ115">
            <v>0.0299</v>
          </cell>
        </row>
        <row r="116">
          <cell r="AQ116">
            <v>1.19738079956967</v>
          </cell>
        </row>
        <row r="116">
          <cell r="AT116">
            <v>0.639864406779661</v>
          </cell>
          <cell r="AU116">
            <v>1.01777367963422</v>
          </cell>
        </row>
        <row r="116">
          <cell r="AW116">
            <v>0.0299</v>
          </cell>
        </row>
        <row r="116">
          <cell r="BN116">
            <v>0.656702943800178</v>
          </cell>
          <cell r="BO116">
            <v>1.0358079253149</v>
          </cell>
        </row>
        <row r="116">
          <cell r="BQ116">
            <v>0.0299</v>
          </cell>
        </row>
        <row r="117">
          <cell r="AQ117">
            <v>1.15482289647434</v>
          </cell>
        </row>
        <row r="117">
          <cell r="AT117">
            <v>0</v>
          </cell>
          <cell r="AU117">
            <v>1.09708175165062</v>
          </cell>
        </row>
        <row r="117">
          <cell r="AW117">
            <v>0</v>
          </cell>
        </row>
        <row r="117">
          <cell r="BN117">
            <v>0</v>
          </cell>
          <cell r="BO117">
            <v>1.11419189144821</v>
          </cell>
        </row>
        <row r="117">
          <cell r="BQ117">
            <v>0</v>
          </cell>
        </row>
        <row r="118">
          <cell r="AQ118">
            <v>0.600476539805321</v>
          </cell>
        </row>
        <row r="118">
          <cell r="AT118">
            <v>0</v>
          </cell>
          <cell r="AU118">
            <v>0.570452712815055</v>
          </cell>
        </row>
        <row r="118">
          <cell r="AW118">
            <v>0</v>
          </cell>
        </row>
        <row r="118">
          <cell r="BN118">
            <v>0</v>
          </cell>
          <cell r="BO118">
            <v>0.579210537397248</v>
          </cell>
        </row>
        <row r="118">
          <cell r="BQ118">
            <v>0</v>
          </cell>
        </row>
        <row r="119">
          <cell r="AQ119">
            <v>1.87457973961573</v>
          </cell>
        </row>
        <row r="119">
          <cell r="AT119">
            <v>0</v>
          </cell>
          <cell r="AU119">
            <v>1.4059348047118</v>
          </cell>
        </row>
        <row r="119">
          <cell r="AW119">
            <v>0</v>
          </cell>
        </row>
        <row r="119">
          <cell r="BN119">
            <v>0</v>
          </cell>
          <cell r="BO119">
            <v>1.4330213702561</v>
          </cell>
        </row>
        <row r="119">
          <cell r="BQ119">
            <v>0</v>
          </cell>
        </row>
        <row r="120">
          <cell r="AQ120">
            <v>17.82871427</v>
          </cell>
        </row>
        <row r="120">
          <cell r="AT120">
            <v>8.14514831104479</v>
          </cell>
          <cell r="AU120">
            <v>11.2320899901</v>
          </cell>
        </row>
        <row r="120">
          <cell r="AW120">
            <v>0.312867567567568</v>
          </cell>
        </row>
        <row r="120">
          <cell r="BN120">
            <v>8.51538232518319</v>
          </cell>
          <cell r="BO120">
            <v>11.2320899901</v>
          </cell>
        </row>
        <row r="120">
          <cell r="BQ120">
            <v>0.312867567567568</v>
          </cell>
        </row>
        <row r="121">
          <cell r="AQ121">
            <v>17.82871427</v>
          </cell>
        </row>
        <row r="121">
          <cell r="AT121">
            <v>8.14514831104479</v>
          </cell>
          <cell r="AU121">
            <v>11.2320899901</v>
          </cell>
        </row>
        <row r="121">
          <cell r="AW121">
            <v>0.312867567567568</v>
          </cell>
        </row>
        <row r="121">
          <cell r="BN121">
            <v>8.51538232518319</v>
          </cell>
          <cell r="BO121">
            <v>11.2320899901</v>
          </cell>
        </row>
        <row r="121">
          <cell r="BQ121">
            <v>0.312867567567568</v>
          </cell>
        </row>
        <row r="124">
          <cell r="AQ124">
            <v>257.262624469925</v>
          </cell>
        </row>
        <row r="124">
          <cell r="AT124">
            <v>24.4651310586177</v>
          </cell>
          <cell r="AU124">
            <v>187.801715863045</v>
          </cell>
        </row>
        <row r="124">
          <cell r="AW124">
            <v>0.524511627906977</v>
          </cell>
        </row>
        <row r="124">
          <cell r="BN124">
            <v>26.3470642169729</v>
          </cell>
          <cell r="BO124">
            <v>187.801715863045</v>
          </cell>
        </row>
        <row r="124">
          <cell r="BQ124">
            <v>0.524511627906977</v>
          </cell>
        </row>
        <row r="125">
          <cell r="AQ125">
            <v>222.811945960286</v>
          </cell>
        </row>
        <row r="125">
          <cell r="AT125">
            <v>54.763990338969</v>
          </cell>
          <cell r="AU125">
            <v>262.918096233138</v>
          </cell>
        </row>
        <row r="125">
          <cell r="AW125">
            <v>1.3502243902439</v>
          </cell>
        </row>
        <row r="125">
          <cell r="BN125">
            <v>54.763990338969</v>
          </cell>
          <cell r="BO125">
            <v>262.918096233138</v>
          </cell>
        </row>
        <row r="125">
          <cell r="BQ125">
            <v>1.3502243902439</v>
          </cell>
        </row>
        <row r="126">
          <cell r="AQ126">
            <v>0</v>
          </cell>
        </row>
        <row r="127">
          <cell r="AQ127">
            <v>13.2238799</v>
          </cell>
        </row>
        <row r="127">
          <cell r="AT127">
            <v>0.9885456</v>
          </cell>
          <cell r="AU127">
            <v>7.81636526</v>
          </cell>
        </row>
        <row r="127">
          <cell r="AW127">
            <v>0.04182</v>
          </cell>
        </row>
        <row r="127">
          <cell r="BN127">
            <v>0.9885456</v>
          </cell>
          <cell r="BO127">
            <v>7.81636526</v>
          </cell>
        </row>
        <row r="127">
          <cell r="BQ127">
            <v>0.04182</v>
          </cell>
        </row>
        <row r="128">
          <cell r="AQ128">
            <v>3.8922103</v>
          </cell>
        </row>
        <row r="128">
          <cell r="AT128">
            <v>0.9885456</v>
          </cell>
          <cell r="AU128">
            <v>2.33532618</v>
          </cell>
        </row>
        <row r="128">
          <cell r="AW128">
            <v>0.04182</v>
          </cell>
        </row>
        <row r="128">
          <cell r="BN128">
            <v>0.9885456</v>
          </cell>
          <cell r="BO128">
            <v>2.33532618</v>
          </cell>
        </row>
        <row r="128">
          <cell r="BQ128">
            <v>0.04182</v>
          </cell>
        </row>
        <row r="129">
          <cell r="AQ129">
            <v>2.0686996</v>
          </cell>
        </row>
        <row r="129">
          <cell r="AU129">
            <v>1.44808972</v>
          </cell>
        </row>
        <row r="129">
          <cell r="AW129">
            <v>0</v>
          </cell>
        </row>
        <row r="129">
          <cell r="BN129">
            <v>0</v>
          </cell>
          <cell r="BO129">
            <v>1.44808972</v>
          </cell>
        </row>
        <row r="129">
          <cell r="BQ129">
            <v>0</v>
          </cell>
        </row>
        <row r="130">
          <cell r="AQ130">
            <v>2.0073218</v>
          </cell>
        </row>
        <row r="130">
          <cell r="AU130">
            <v>1.40512526</v>
          </cell>
        </row>
        <row r="130">
          <cell r="AW130">
            <v>0</v>
          </cell>
        </row>
        <row r="130">
          <cell r="BN130">
            <v>0</v>
          </cell>
          <cell r="BO130">
            <v>1.40512526</v>
          </cell>
        </row>
        <row r="130">
          <cell r="BQ130">
            <v>0</v>
          </cell>
        </row>
        <row r="131">
          <cell r="AQ131">
            <v>5.2556482</v>
          </cell>
        </row>
        <row r="131">
          <cell r="AU131">
            <v>2.6278241</v>
          </cell>
        </row>
        <row r="131">
          <cell r="AW131">
            <v>0</v>
          </cell>
        </row>
        <row r="131">
          <cell r="BN131">
            <v>0</v>
          </cell>
          <cell r="BO131">
            <v>2.6278241</v>
          </cell>
        </row>
        <row r="131">
          <cell r="BQ131">
            <v>0</v>
          </cell>
        </row>
        <row r="132">
          <cell r="AQ132">
            <v>149.053366758604</v>
          </cell>
        </row>
        <row r="132">
          <cell r="AT132">
            <v>0</v>
          </cell>
          <cell r="AU132">
            <v>90.9225537227485</v>
          </cell>
        </row>
        <row r="132">
          <cell r="AW132">
            <v>0.2856</v>
          </cell>
        </row>
        <row r="132">
          <cell r="BN132">
            <v>0</v>
          </cell>
          <cell r="BO132">
            <v>90.9225537227485</v>
          </cell>
        </row>
        <row r="132">
          <cell r="BQ132">
            <v>0.2856</v>
          </cell>
        </row>
        <row r="133">
          <cell r="AQ133">
            <v>149.053366758604</v>
          </cell>
        </row>
        <row r="133">
          <cell r="AT133">
            <v>0</v>
          </cell>
          <cell r="AU133">
            <v>90.9225537227485</v>
          </cell>
        </row>
        <row r="133">
          <cell r="AW133">
            <v>0.2856</v>
          </cell>
        </row>
        <row r="133">
          <cell r="BN133">
            <v>0</v>
          </cell>
          <cell r="BO133">
            <v>90.9225537227485</v>
          </cell>
        </row>
        <row r="133">
          <cell r="BQ133">
            <v>0.2856</v>
          </cell>
        </row>
        <row r="134">
          <cell r="BN134">
            <v>0</v>
          </cell>
          <cell r="BO134">
            <v>0</v>
          </cell>
        </row>
        <row r="149">
          <cell r="AT149">
            <v>718.049311105433</v>
          </cell>
          <cell r="AU149">
            <v>4871.36543912948</v>
          </cell>
        </row>
        <row r="149">
          <cell r="AW149">
            <v>1.77932173337744</v>
          </cell>
        </row>
        <row r="149">
          <cell r="BN149">
            <v>736.945345608208</v>
          </cell>
          <cell r="BO149">
            <v>5045.14886208871</v>
          </cell>
        </row>
        <row r="149">
          <cell r="BQ149">
            <v>1.77932173337744</v>
          </cell>
        </row>
        <row r="150">
          <cell r="AQ150">
            <v>6769.95246162194</v>
          </cell>
        </row>
        <row r="150">
          <cell r="AT150">
            <v>718.049311105433</v>
          </cell>
          <cell r="AU150">
            <v>4850.55361476065</v>
          </cell>
        </row>
        <row r="150">
          <cell r="AW150">
            <v>1.76175759179623</v>
          </cell>
        </row>
        <row r="150">
          <cell r="BN150">
            <v>736.945345608208</v>
          </cell>
          <cell r="BO150">
            <v>5023.56023347635</v>
          </cell>
        </row>
        <row r="150">
          <cell r="BQ150">
            <v>1.76175759179623</v>
          </cell>
        </row>
        <row r="151">
          <cell r="AQ151">
            <v>2276.99246933565</v>
          </cell>
        </row>
        <row r="151">
          <cell r="AT151">
            <v>718.049311105433</v>
          </cell>
          <cell r="AU151">
            <v>1628.04961557499</v>
          </cell>
        </row>
        <row r="151">
          <cell r="AW151">
            <v>1.75755759179623</v>
          </cell>
        </row>
        <row r="151">
          <cell r="BN151">
            <v>736.945345608208</v>
          </cell>
          <cell r="BO151">
            <v>1686.49776486126</v>
          </cell>
        </row>
        <row r="151">
          <cell r="BQ151">
            <v>1.75755759179623</v>
          </cell>
        </row>
        <row r="152">
          <cell r="AQ152">
            <v>0.065585414387559</v>
          </cell>
        </row>
        <row r="152">
          <cell r="AT152">
            <v>0</v>
          </cell>
          <cell r="AU152">
            <v>0.0468935712871047</v>
          </cell>
        </row>
        <row r="152">
          <cell r="AW152">
            <v>0</v>
          </cell>
        </row>
        <row r="152">
          <cell r="BN152">
            <v>0</v>
          </cell>
          <cell r="BO152">
            <v>0.0484178843908999</v>
          </cell>
        </row>
        <row r="152">
          <cell r="BQ152">
            <v>0</v>
          </cell>
        </row>
        <row r="153">
          <cell r="AQ153">
            <v>1.81177147797605</v>
          </cell>
        </row>
        <row r="153">
          <cell r="AT153">
            <v>0</v>
          </cell>
          <cell r="AU153">
            <v>1.32259317892252</v>
          </cell>
        </row>
        <row r="153">
          <cell r="AW153">
            <v>0</v>
          </cell>
        </row>
        <row r="153">
          <cell r="BN153">
            <v>0</v>
          </cell>
          <cell r="BO153">
            <v>1.32259317892252</v>
          </cell>
        </row>
        <row r="153">
          <cell r="BQ153">
            <v>0</v>
          </cell>
        </row>
        <row r="154">
          <cell r="AQ154">
            <v>1.95685393643664</v>
          </cell>
        </row>
        <row r="154">
          <cell r="AT154">
            <v>0</v>
          </cell>
          <cell r="AU154">
            <v>1.54591460978494</v>
          </cell>
        </row>
        <row r="154">
          <cell r="AW154">
            <v>0.0042</v>
          </cell>
        </row>
        <row r="154">
          <cell r="BN154">
            <v>0</v>
          </cell>
          <cell r="BO154">
            <v>1.60496784210652</v>
          </cell>
        </row>
        <row r="154">
          <cell r="BQ154">
            <v>0.0042</v>
          </cell>
        </row>
        <row r="155">
          <cell r="AQ155">
            <v>1191.50707552599</v>
          </cell>
        </row>
        <row r="155">
          <cell r="AT155">
            <v>0</v>
          </cell>
          <cell r="AU155">
            <v>971.078266553686</v>
          </cell>
        </row>
        <row r="155">
          <cell r="AW155">
            <v>0</v>
          </cell>
        </row>
        <row r="155">
          <cell r="BN155">
            <v>0</v>
          </cell>
          <cell r="BO155">
            <v>1001.30890855326</v>
          </cell>
        </row>
        <row r="155">
          <cell r="BQ155">
            <v>0</v>
          </cell>
        </row>
        <row r="156">
          <cell r="AQ156">
            <v>1102.37413562057</v>
          </cell>
        </row>
        <row r="156">
          <cell r="AT156">
            <v>0</v>
          </cell>
          <cell r="AU156">
            <v>898.434920530766</v>
          </cell>
        </row>
        <row r="156">
          <cell r="AW156">
            <v>0</v>
          </cell>
        </row>
        <row r="156">
          <cell r="BN156">
            <v>0</v>
          </cell>
          <cell r="BO156">
            <v>927.044047356622</v>
          </cell>
        </row>
        <row r="156">
          <cell r="BQ156">
            <v>0</v>
          </cell>
        </row>
        <row r="157">
          <cell r="AQ157">
            <v>2195.24457031092</v>
          </cell>
        </row>
        <row r="157">
          <cell r="AT157">
            <v>0</v>
          </cell>
          <cell r="AU157">
            <v>1350.07541074122</v>
          </cell>
        </row>
        <row r="157">
          <cell r="AW157">
            <v>0</v>
          </cell>
        </row>
        <row r="157">
          <cell r="BN157">
            <v>0</v>
          </cell>
          <cell r="BO157">
            <v>1405.73353379979</v>
          </cell>
        </row>
        <row r="157">
          <cell r="BQ157">
            <v>0</v>
          </cell>
        </row>
        <row r="158">
          <cell r="I158">
            <v>8.161</v>
          </cell>
        </row>
        <row r="158">
          <cell r="AQ158">
            <v>29.1818967562842</v>
          </cell>
        </row>
        <row r="158">
          <cell r="AT158">
            <v>0</v>
          </cell>
          <cell r="AU158">
            <v>20.8118243688288</v>
          </cell>
        </row>
        <row r="158">
          <cell r="AW158">
            <v>0.0175641415812107</v>
          </cell>
        </row>
        <row r="158">
          <cell r="BN158">
            <v>0</v>
          </cell>
          <cell r="BO158">
            <v>21.5886286123615</v>
          </cell>
        </row>
        <row r="158">
          <cell r="BQ158">
            <v>0.0175641415812107</v>
          </cell>
        </row>
        <row r="159">
          <cell r="AQ159">
            <v>8.54502613441094</v>
          </cell>
        </row>
        <row r="159">
          <cell r="AT159">
            <v>0</v>
          </cell>
          <cell r="AU159">
            <v>6.10969368610382</v>
          </cell>
        </row>
        <row r="159">
          <cell r="AW159">
            <v>0.0175641415812107</v>
          </cell>
        </row>
        <row r="159">
          <cell r="BN159">
            <v>0</v>
          </cell>
          <cell r="BO159">
            <v>6.33522989265826</v>
          </cell>
        </row>
        <row r="159">
          <cell r="BQ159">
            <v>0.0175641415812107</v>
          </cell>
        </row>
        <row r="160">
          <cell r="AQ160">
            <v>4.94450055932905</v>
          </cell>
        </row>
        <row r="160">
          <cell r="AT160">
            <v>0</v>
          </cell>
          <cell r="AU160">
            <v>4.02976795585318</v>
          </cell>
        </row>
        <row r="160">
          <cell r="AW160">
            <v>0</v>
          </cell>
        </row>
        <row r="160">
          <cell r="BN160">
            <v>0</v>
          </cell>
          <cell r="BO160">
            <v>4.16521571053692</v>
          </cell>
        </row>
        <row r="160">
          <cell r="BQ160">
            <v>0</v>
          </cell>
        </row>
        <row r="161">
          <cell r="AQ161">
            <v>5.10777569203572</v>
          </cell>
        </row>
        <row r="161">
          <cell r="AT161">
            <v>0</v>
          </cell>
          <cell r="AU161">
            <v>4.16283718900911</v>
          </cell>
        </row>
        <row r="161">
          <cell r="AW161">
            <v>0</v>
          </cell>
        </row>
        <row r="161">
          <cell r="BN161">
            <v>0</v>
          </cell>
          <cell r="BO161">
            <v>4.29819021469695</v>
          </cell>
        </row>
        <row r="161">
          <cell r="BQ161">
            <v>0</v>
          </cell>
        </row>
        <row r="162">
          <cell r="AQ162">
            <v>10.5845943705085</v>
          </cell>
        </row>
        <row r="162">
          <cell r="AT162">
            <v>0</v>
          </cell>
          <cell r="AU162">
            <v>6.50952553786272</v>
          </cell>
        </row>
        <row r="162">
          <cell r="AW162">
            <v>0</v>
          </cell>
        </row>
        <row r="162">
          <cell r="BN162">
            <v>0</v>
          </cell>
          <cell r="BO162">
            <v>6.7899927944694</v>
          </cell>
        </row>
        <row r="162">
          <cell r="BQ162">
            <v>0</v>
          </cell>
        </row>
        <row r="163">
          <cell r="AQ163">
            <v>0</v>
          </cell>
        </row>
        <row r="163">
          <cell r="AT163">
            <v>7.09096018735363</v>
          </cell>
          <cell r="AU163">
            <v>0</v>
          </cell>
        </row>
        <row r="163">
          <cell r="AW163">
            <v>0.0021</v>
          </cell>
        </row>
        <row r="163">
          <cell r="BN163">
            <v>7.27756440281031</v>
          </cell>
          <cell r="BO163">
            <v>0</v>
          </cell>
        </row>
        <row r="163">
          <cell r="BQ163">
            <v>0.0021</v>
          </cell>
        </row>
        <row r="164">
          <cell r="H164">
            <v>4</v>
          </cell>
        </row>
        <row r="164">
          <cell r="AQ164">
            <v>74.6043920804725</v>
          </cell>
        </row>
        <row r="164">
          <cell r="AT164">
            <v>5.54309720556531</v>
          </cell>
          <cell r="AU164">
            <v>53.4537435101387</v>
          </cell>
        </row>
        <row r="164">
          <cell r="AW164">
            <v>0.0084</v>
          </cell>
        </row>
        <row r="164">
          <cell r="BN164">
            <v>5.68896818465913</v>
          </cell>
          <cell r="BO164">
            <v>55.286675311009</v>
          </cell>
        </row>
        <row r="164">
          <cell r="BQ164">
            <v>0.0084</v>
          </cell>
        </row>
        <row r="165">
          <cell r="AQ165">
            <v>25.2018651860719</v>
          </cell>
        </row>
        <row r="165">
          <cell r="AT165">
            <v>5.54309720556531</v>
          </cell>
          <cell r="AU165">
            <v>18.0193336080414</v>
          </cell>
        </row>
        <row r="165">
          <cell r="AW165">
            <v>0.0084</v>
          </cell>
        </row>
        <row r="165">
          <cell r="BN165">
            <v>5.68896818465913</v>
          </cell>
          <cell r="BO165">
            <v>18.6391220259033</v>
          </cell>
        </row>
        <row r="165">
          <cell r="BQ165">
            <v>0.0084</v>
          </cell>
        </row>
        <row r="166">
          <cell r="AQ166">
            <v>12.0224322937836</v>
          </cell>
        </row>
        <row r="166">
          <cell r="AT166">
            <v>0</v>
          </cell>
          <cell r="AU166">
            <v>9.79828231943363</v>
          </cell>
        </row>
        <row r="166">
          <cell r="AW166">
            <v>0</v>
          </cell>
        </row>
        <row r="166">
          <cell r="BN166">
            <v>0</v>
          </cell>
          <cell r="BO166">
            <v>10.0964205568147</v>
          </cell>
        </row>
        <row r="166">
          <cell r="BQ166">
            <v>0</v>
          </cell>
        </row>
        <row r="167">
          <cell r="AQ167">
            <v>13.2368470164208</v>
          </cell>
        </row>
        <row r="167">
          <cell r="AT167">
            <v>0</v>
          </cell>
          <cell r="AU167">
            <v>10.788030318383</v>
          </cell>
        </row>
        <row r="167">
          <cell r="AW167">
            <v>0</v>
          </cell>
        </row>
        <row r="167">
          <cell r="BN167">
            <v>0</v>
          </cell>
          <cell r="BO167">
            <v>11.112851635106</v>
          </cell>
        </row>
        <row r="167">
          <cell r="BQ167">
            <v>0</v>
          </cell>
        </row>
        <row r="168">
          <cell r="AQ168">
            <v>24.1432475841962</v>
          </cell>
        </row>
        <row r="168">
          <cell r="AT168">
            <v>0</v>
          </cell>
          <cell r="AU168">
            <v>14.8480972642806</v>
          </cell>
        </row>
        <row r="168">
          <cell r="AW168">
            <v>0</v>
          </cell>
        </row>
        <row r="168">
          <cell r="BN168">
            <v>0</v>
          </cell>
          <cell r="BO168">
            <v>15.438281093185</v>
          </cell>
        </row>
        <row r="168">
          <cell r="BQ168">
            <v>0</v>
          </cell>
        </row>
        <row r="169">
          <cell r="AQ169">
            <v>1830.09692975173</v>
          </cell>
        </row>
        <row r="169">
          <cell r="AT169">
            <v>235.268517057391</v>
          </cell>
          <cell r="AU169">
            <v>1480.2781636137</v>
          </cell>
        </row>
        <row r="169">
          <cell r="AW169">
            <v>0.7203</v>
          </cell>
        </row>
        <row r="169">
          <cell r="BN169">
            <v>241.459793822059</v>
          </cell>
          <cell r="BO169">
            <v>1549.9948725759</v>
          </cell>
        </row>
        <row r="169">
          <cell r="BQ169">
            <v>0.7203</v>
          </cell>
        </row>
        <row r="170">
          <cell r="AQ170">
            <v>737.117850993037</v>
          </cell>
        </row>
        <row r="170">
          <cell r="AT170">
            <v>235.268517057391</v>
          </cell>
          <cell r="AU170">
            <v>589.694280794429</v>
          </cell>
        </row>
        <row r="170">
          <cell r="AW170">
            <v>0.7203</v>
          </cell>
        </row>
        <row r="170">
          <cell r="BN170">
            <v>241.459793822059</v>
          </cell>
          <cell r="BO170">
            <v>617.73527907802</v>
          </cell>
        </row>
        <row r="170">
          <cell r="BQ170">
            <v>0.7203</v>
          </cell>
        </row>
        <row r="171">
          <cell r="AQ171">
            <v>339.731194992278</v>
          </cell>
        </row>
        <row r="171">
          <cell r="AT171">
            <v>0</v>
          </cell>
          <cell r="AU171">
            <v>305.75807549305</v>
          </cell>
        </row>
        <row r="171">
          <cell r="AW171">
            <v>0</v>
          </cell>
        </row>
        <row r="171">
          <cell r="BN171">
            <v>0</v>
          </cell>
          <cell r="BO171">
            <v>318.807373837492</v>
          </cell>
        </row>
        <row r="171">
          <cell r="BQ171">
            <v>0</v>
          </cell>
        </row>
        <row r="172">
          <cell r="AQ172">
            <v>287.761443448651</v>
          </cell>
        </row>
        <row r="172">
          <cell r="AT172">
            <v>0</v>
          </cell>
          <cell r="AU172">
            <v>258.985299103786</v>
          </cell>
        </row>
        <row r="172">
          <cell r="AW172">
            <v>0</v>
          </cell>
        </row>
        <row r="172">
          <cell r="BN172">
            <v>0</v>
          </cell>
          <cell r="BO172">
            <v>269.916429883993</v>
          </cell>
        </row>
        <row r="172">
          <cell r="BQ172">
            <v>0</v>
          </cell>
        </row>
        <row r="173">
          <cell r="AQ173">
            <v>465.486440317764</v>
          </cell>
        </row>
        <row r="173">
          <cell r="AT173">
            <v>0</v>
          </cell>
          <cell r="AU173">
            <v>325.840508222434</v>
          </cell>
        </row>
        <row r="173">
          <cell r="AW173">
            <v>0</v>
          </cell>
        </row>
        <row r="173">
          <cell r="BN173">
            <v>0</v>
          </cell>
          <cell r="BO173">
            <v>343.535789776392</v>
          </cell>
        </row>
        <row r="173">
          <cell r="BQ173">
            <v>0</v>
          </cell>
        </row>
        <row r="174">
          <cell r="AQ174">
            <v>0</v>
          </cell>
        </row>
        <row r="174">
          <cell r="AT174">
            <v>0</v>
          </cell>
          <cell r="AU174">
            <v>0</v>
          </cell>
        </row>
        <row r="174">
          <cell r="AW174">
            <v>0</v>
          </cell>
        </row>
        <row r="174">
          <cell r="BN174">
            <v>0</v>
          </cell>
          <cell r="BO174">
            <v>0</v>
          </cell>
        </row>
        <row r="174">
          <cell r="BQ174">
            <v>0</v>
          </cell>
        </row>
        <row r="175">
          <cell r="H175">
            <v>1</v>
          </cell>
        </row>
        <row r="175">
          <cell r="AQ175">
            <v>3.896349</v>
          </cell>
        </row>
        <row r="175">
          <cell r="AT175">
            <v>0</v>
          </cell>
          <cell r="AU175">
            <v>2.00284446</v>
          </cell>
        </row>
        <row r="175">
          <cell r="AW175">
            <v>0.0042</v>
          </cell>
        </row>
        <row r="175">
          <cell r="BN175">
            <v>0</v>
          </cell>
          <cell r="BO175">
            <v>2.00284446</v>
          </cell>
        </row>
        <row r="175">
          <cell r="BQ175">
            <v>0.0042</v>
          </cell>
        </row>
        <row r="176">
          <cell r="I176">
            <v>1.501</v>
          </cell>
        </row>
        <row r="176">
          <cell r="AQ176">
            <v>1.5774606</v>
          </cell>
        </row>
        <row r="176">
          <cell r="AT176">
            <v>0</v>
          </cell>
          <cell r="AU176">
            <v>0.7887303</v>
          </cell>
        </row>
        <row r="176">
          <cell r="AW176">
            <v>0.0042</v>
          </cell>
        </row>
        <row r="176">
          <cell r="BN176">
            <v>0</v>
          </cell>
          <cell r="BO176">
            <v>0.7887303</v>
          </cell>
        </row>
        <row r="176">
          <cell r="BQ176">
            <v>0.0042</v>
          </cell>
        </row>
        <row r="177">
          <cell r="AQ177">
            <v>0.7272906</v>
          </cell>
        </row>
        <row r="177">
          <cell r="AT177">
            <v>0</v>
          </cell>
          <cell r="AU177">
            <v>0.43637436</v>
          </cell>
        </row>
        <row r="177">
          <cell r="AW177">
            <v>0</v>
          </cell>
        </row>
        <row r="177">
          <cell r="BN177">
            <v>0</v>
          </cell>
          <cell r="BO177">
            <v>0.43637436</v>
          </cell>
        </row>
        <row r="177">
          <cell r="BQ177">
            <v>0</v>
          </cell>
        </row>
        <row r="178">
          <cell r="AQ178">
            <v>0.7055034</v>
          </cell>
        </row>
        <row r="178">
          <cell r="AT178">
            <v>0</v>
          </cell>
          <cell r="AU178">
            <v>0.42330204</v>
          </cell>
        </row>
        <row r="178">
          <cell r="AW178">
            <v>0</v>
          </cell>
        </row>
        <row r="178">
          <cell r="BN178">
            <v>0</v>
          </cell>
          <cell r="BO178">
            <v>0.42330204</v>
          </cell>
        </row>
        <row r="178">
          <cell r="BQ178">
            <v>0</v>
          </cell>
        </row>
        <row r="179">
          <cell r="AQ179">
            <v>0.8860944</v>
          </cell>
        </row>
        <row r="179">
          <cell r="AT179">
            <v>0</v>
          </cell>
          <cell r="AU179">
            <v>0.35443776</v>
          </cell>
        </row>
        <row r="179">
          <cell r="AW179">
            <v>0</v>
          </cell>
        </row>
        <row r="179">
          <cell r="BN179">
            <v>0</v>
          </cell>
          <cell r="BO179">
            <v>0.35443776</v>
          </cell>
        </row>
        <row r="179">
          <cell r="BQ179">
            <v>0</v>
          </cell>
        </row>
        <row r="180">
          <cell r="AQ180">
            <v>0</v>
          </cell>
        </row>
        <row r="180">
          <cell r="AT180">
            <v>0</v>
          </cell>
          <cell r="AU180">
            <v>0</v>
          </cell>
        </row>
        <row r="180">
          <cell r="AW180">
            <v>0</v>
          </cell>
        </row>
        <row r="180">
          <cell r="BN180">
            <v>0</v>
          </cell>
          <cell r="BO180">
            <v>0</v>
          </cell>
        </row>
        <row r="180">
          <cell r="BQ180">
            <v>0</v>
          </cell>
        </row>
        <row r="181">
          <cell r="AT181">
            <v>0</v>
          </cell>
          <cell r="AU181">
            <v>0</v>
          </cell>
        </row>
        <row r="181">
          <cell r="AW181">
            <v>0</v>
          </cell>
        </row>
        <row r="181">
          <cell r="BN181">
            <v>0</v>
          </cell>
          <cell r="BO181">
            <v>0</v>
          </cell>
        </row>
        <row r="181">
          <cell r="BQ181">
            <v>0</v>
          </cell>
        </row>
        <row r="182">
          <cell r="AT182">
            <v>0</v>
          </cell>
          <cell r="AU182">
            <v>0</v>
          </cell>
        </row>
        <row r="182">
          <cell r="AW182">
            <v>0</v>
          </cell>
        </row>
        <row r="182">
          <cell r="BN182">
            <v>0</v>
          </cell>
          <cell r="BO182">
            <v>0</v>
          </cell>
        </row>
        <row r="182">
          <cell r="BQ182">
            <v>0</v>
          </cell>
        </row>
        <row r="183">
          <cell r="AT183">
            <v>0</v>
          </cell>
          <cell r="AU183">
            <v>0</v>
          </cell>
        </row>
        <row r="183">
          <cell r="AW183">
            <v>0</v>
          </cell>
        </row>
        <row r="183">
          <cell r="BN183">
            <v>0</v>
          </cell>
          <cell r="BO183">
            <v>0</v>
          </cell>
        </row>
        <row r="183">
          <cell r="BQ183">
            <v>0</v>
          </cell>
        </row>
        <row r="184">
          <cell r="AT184">
            <v>0</v>
          </cell>
          <cell r="AU184">
            <v>0</v>
          </cell>
        </row>
        <row r="184">
          <cell r="AW184">
            <v>0</v>
          </cell>
        </row>
        <row r="184">
          <cell r="BN184">
            <v>0</v>
          </cell>
          <cell r="BO184">
            <v>0</v>
          </cell>
        </row>
        <row r="184">
          <cell r="BQ184">
            <v>0</v>
          </cell>
        </row>
        <row r="185">
          <cell r="AQ185">
            <v>43.423045</v>
          </cell>
        </row>
        <row r="185">
          <cell r="AT185">
            <v>7.54733422207742</v>
          </cell>
          <cell r="AU185">
            <v>27.35651835</v>
          </cell>
        </row>
        <row r="185">
          <cell r="AW185">
            <v>0.0885263513513513</v>
          </cell>
        </row>
        <row r="185">
          <cell r="BN185">
            <v>7.89039486853549</v>
          </cell>
          <cell r="BO185">
            <v>27.35651835</v>
          </cell>
        </row>
        <row r="185">
          <cell r="BQ185">
            <v>0.0885263513513513</v>
          </cell>
        </row>
        <row r="186">
          <cell r="AQ186">
            <v>43.423045</v>
          </cell>
        </row>
        <row r="186">
          <cell r="AT186">
            <v>7.54733422207742</v>
          </cell>
          <cell r="AU186">
            <v>27.35651835</v>
          </cell>
        </row>
        <row r="186">
          <cell r="AW186">
            <v>0.0885263513513513</v>
          </cell>
        </row>
        <row r="186">
          <cell r="BN186">
            <v>7.89039486853549</v>
          </cell>
          <cell r="BO186">
            <v>27.35651835</v>
          </cell>
        </row>
        <row r="186">
          <cell r="BQ186">
            <v>0.0885263513513513</v>
          </cell>
        </row>
        <row r="187">
          <cell r="AQ187">
            <v>9.623565</v>
          </cell>
        </row>
        <row r="187">
          <cell r="AT187">
            <v>2.02597614991482</v>
          </cell>
          <cell r="AU187">
            <v>4.859900325</v>
          </cell>
        </row>
        <row r="187">
          <cell r="AW187">
            <v>0.0021</v>
          </cell>
        </row>
        <row r="187">
          <cell r="BN187">
            <v>2.07929131175468</v>
          </cell>
          <cell r="BO187">
            <v>4.859900325</v>
          </cell>
        </row>
        <row r="187">
          <cell r="BQ187">
            <v>0.0021</v>
          </cell>
        </row>
        <row r="188">
          <cell r="AQ188">
            <v>0</v>
          </cell>
        </row>
        <row r="188">
          <cell r="AT188">
            <v>0</v>
          </cell>
          <cell r="AU188">
            <v>0</v>
          </cell>
        </row>
        <row r="188">
          <cell r="AW188">
            <v>0</v>
          </cell>
        </row>
        <row r="189">
          <cell r="AQ189">
            <v>161.409051058846</v>
          </cell>
        </row>
        <row r="189">
          <cell r="AT189">
            <v>15.7204689413823</v>
          </cell>
          <cell r="AU189">
            <v>117.828607272957</v>
          </cell>
        </row>
        <row r="189">
          <cell r="AW189">
            <v>0.0985046511627907</v>
          </cell>
        </row>
        <row r="189">
          <cell r="BN189">
            <v>16.9297357830271</v>
          </cell>
          <cell r="BO189">
            <v>117.828607272957</v>
          </cell>
        </row>
        <row r="189">
          <cell r="BQ189">
            <v>0.0985046511627907</v>
          </cell>
        </row>
        <row r="190">
          <cell r="AQ190">
            <v>42.6818863552615</v>
          </cell>
        </row>
        <row r="190">
          <cell r="AT190">
            <v>11.4760096610311</v>
          </cell>
          <cell r="AU190">
            <v>46.9500749907876</v>
          </cell>
        </row>
        <row r="190">
          <cell r="AW190">
            <v>0.0374073170731707</v>
          </cell>
        </row>
        <row r="190">
          <cell r="BN190">
            <v>11.4760096610311</v>
          </cell>
          <cell r="BO190">
            <v>46.9500749907876</v>
          </cell>
        </row>
        <row r="190">
          <cell r="BQ190">
            <v>0.0374073170731707</v>
          </cell>
        </row>
        <row r="191">
          <cell r="AQ191">
            <v>259.563838699508</v>
          </cell>
        </row>
        <row r="191">
          <cell r="AT191">
            <v>0</v>
          </cell>
          <cell r="AU191">
            <v>158.3339416067</v>
          </cell>
        </row>
        <row r="191">
          <cell r="AW191">
            <v>0.0562601351351351</v>
          </cell>
        </row>
        <row r="191">
          <cell r="BN191">
            <v>0</v>
          </cell>
          <cell r="BO191">
            <v>158.3339416067</v>
          </cell>
        </row>
        <row r="191">
          <cell r="BQ191">
            <v>0.0562601351351351</v>
          </cell>
        </row>
        <row r="192">
          <cell r="AQ192">
            <v>259.563838699508</v>
          </cell>
        </row>
        <row r="192">
          <cell r="AT192">
            <v>0</v>
          </cell>
          <cell r="AU192">
            <v>158.3339416067</v>
          </cell>
        </row>
        <row r="192">
          <cell r="AW192">
            <v>0.0562601351351351</v>
          </cell>
        </row>
        <row r="192">
          <cell r="BN192">
            <v>0</v>
          </cell>
          <cell r="BO192">
            <v>158.3339416067</v>
          </cell>
        </row>
        <row r="192">
          <cell r="BQ192">
            <v>0.0562601351351351</v>
          </cell>
        </row>
        <row r="193">
          <cell r="BN193">
            <v>0</v>
          </cell>
          <cell r="BO193">
            <v>0</v>
          </cell>
        </row>
        <row r="208">
          <cell r="AQ208">
            <v>4308.31691400761</v>
          </cell>
        </row>
        <row r="208">
          <cell r="AT208">
            <v>307.990157474177</v>
          </cell>
          <cell r="AU208">
            <v>2850.92931790483</v>
          </cell>
        </row>
        <row r="208">
          <cell r="AW208">
            <v>0.258007939133311</v>
          </cell>
        </row>
        <row r="208">
          <cell r="BN208">
            <v>316.095161618235</v>
          </cell>
          <cell r="BO208">
            <v>3079.37201068368</v>
          </cell>
        </row>
        <row r="208">
          <cell r="BQ208">
            <v>0.258007939133311</v>
          </cell>
        </row>
        <row r="209">
          <cell r="AQ209">
            <v>1356.63102840322</v>
          </cell>
        </row>
        <row r="209">
          <cell r="AT209">
            <v>307.990157474177</v>
          </cell>
          <cell r="AU209">
            <v>902.159633888142</v>
          </cell>
        </row>
        <row r="209">
          <cell r="AW209">
            <v>0.258007939133311</v>
          </cell>
        </row>
        <row r="209">
          <cell r="BN209">
            <v>316.095161618235</v>
          </cell>
          <cell r="BO209">
            <v>977.093207572757</v>
          </cell>
        </row>
        <row r="209">
          <cell r="BQ209">
            <v>0.258007939133311</v>
          </cell>
        </row>
        <row r="210">
          <cell r="AQ210">
            <v>0.000251502132230239</v>
          </cell>
        </row>
        <row r="210">
          <cell r="AT210">
            <v>0</v>
          </cell>
          <cell r="AU210">
            <v>0.000167248917933109</v>
          </cell>
        </row>
        <row r="210">
          <cell r="AW210">
            <v>0</v>
          </cell>
        </row>
        <row r="210">
          <cell r="BN210">
            <v>0</v>
          </cell>
          <cell r="BO210">
            <v>0.000167248917933109</v>
          </cell>
        </row>
        <row r="210">
          <cell r="BQ210">
            <v>0</v>
          </cell>
        </row>
        <row r="211">
          <cell r="AQ211">
            <v>6.61057504693225</v>
          </cell>
        </row>
        <row r="211">
          <cell r="AT211">
            <v>0</v>
          </cell>
          <cell r="AU211">
            <v>4.82571978426054</v>
          </cell>
        </row>
        <row r="211">
          <cell r="AW211">
            <v>0</v>
          </cell>
        </row>
        <row r="211">
          <cell r="BN211">
            <v>0</v>
          </cell>
          <cell r="BO211">
            <v>4.82571978426054</v>
          </cell>
        </row>
        <row r="211">
          <cell r="BQ211">
            <v>0</v>
          </cell>
        </row>
        <row r="212">
          <cell r="AT212">
            <v>0</v>
          </cell>
          <cell r="AU212">
            <v>0</v>
          </cell>
        </row>
        <row r="212">
          <cell r="AW212">
            <v>0</v>
          </cell>
        </row>
        <row r="212">
          <cell r="BN212">
            <v>0</v>
          </cell>
          <cell r="BO212">
            <v>0</v>
          </cell>
        </row>
        <row r="212">
          <cell r="BQ212">
            <v>0</v>
          </cell>
        </row>
        <row r="213">
          <cell r="AQ213">
            <v>738.587705461526</v>
          </cell>
        </row>
        <row r="213">
          <cell r="AT213">
            <v>0</v>
          </cell>
          <cell r="AU213">
            <v>565.019594678067</v>
          </cell>
        </row>
        <row r="213">
          <cell r="AW213">
            <v>0</v>
          </cell>
        </row>
        <row r="213">
          <cell r="BN213">
            <v>0</v>
          </cell>
          <cell r="BO213">
            <v>603.105661573614</v>
          </cell>
        </row>
        <row r="213">
          <cell r="BQ213">
            <v>0</v>
          </cell>
        </row>
        <row r="214">
          <cell r="AQ214">
            <v>661.294237624722</v>
          </cell>
        </row>
        <row r="214">
          <cell r="AT214">
            <v>0</v>
          </cell>
          <cell r="AU214">
            <v>505.890091782912</v>
          </cell>
        </row>
        <row r="214">
          <cell r="AW214">
            <v>0</v>
          </cell>
        </row>
        <row r="214">
          <cell r="BN214">
            <v>0</v>
          </cell>
          <cell r="BO214">
            <v>543.376039878423</v>
          </cell>
        </row>
        <row r="214">
          <cell r="BQ214">
            <v>0</v>
          </cell>
        </row>
        <row r="215">
          <cell r="AQ215">
            <v>1545.19311596908</v>
          </cell>
        </row>
        <row r="215">
          <cell r="AT215">
            <v>0</v>
          </cell>
          <cell r="AU215">
            <v>873.034110522528</v>
          </cell>
        </row>
        <row r="215">
          <cell r="AW215">
            <v>0</v>
          </cell>
        </row>
        <row r="215">
          <cell r="BN215">
            <v>0</v>
          </cell>
          <cell r="BO215">
            <v>950.971214625704</v>
          </cell>
        </row>
        <row r="215">
          <cell r="BQ215">
            <v>0</v>
          </cell>
        </row>
        <row r="216">
          <cell r="AQ216">
            <v>156.21657</v>
          </cell>
        </row>
        <row r="216">
          <cell r="AT216">
            <v>30.7570398126464</v>
          </cell>
          <cell r="AU216">
            <v>103.88401905</v>
          </cell>
        </row>
        <row r="216">
          <cell r="AW216">
            <v>0.012</v>
          </cell>
        </row>
        <row r="216">
          <cell r="BN216">
            <v>31.5664355971897</v>
          </cell>
          <cell r="BO216">
            <v>111.66098202</v>
          </cell>
        </row>
        <row r="216">
          <cell r="BQ216">
            <v>0.012</v>
          </cell>
        </row>
        <row r="217">
          <cell r="H217">
            <v>6</v>
          </cell>
        </row>
        <row r="217">
          <cell r="AQ217">
            <v>1343.25870090449</v>
          </cell>
        </row>
        <row r="217">
          <cell r="AT217">
            <v>68.821501711483</v>
          </cell>
          <cell r="AU217">
            <v>893.612747824878</v>
          </cell>
        </row>
        <row r="217">
          <cell r="AW217">
            <v>0.018</v>
          </cell>
        </row>
        <row r="217">
          <cell r="BN217">
            <v>70.6325938617852</v>
          </cell>
          <cell r="BO217">
            <v>960.16972793643</v>
          </cell>
        </row>
        <row r="217">
          <cell r="BQ217">
            <v>0.018</v>
          </cell>
        </row>
        <row r="218">
          <cell r="AQ218">
            <v>447.622590867763</v>
          </cell>
        </row>
        <row r="218">
          <cell r="AT218">
            <v>68.821501711483</v>
          </cell>
          <cell r="AU218">
            <v>297.669022927063</v>
          </cell>
        </row>
        <row r="218">
          <cell r="AW218">
            <v>0.018</v>
          </cell>
        </row>
        <row r="218">
          <cell r="BN218">
            <v>70.6325938617852</v>
          </cell>
          <cell r="BO218">
            <v>320.048988774768</v>
          </cell>
        </row>
        <row r="218">
          <cell r="BQ218">
            <v>0.018</v>
          </cell>
        </row>
        <row r="219">
          <cell r="AQ219">
            <v>225.309387219424</v>
          </cell>
        </row>
        <row r="219">
          <cell r="AT219">
            <v>0</v>
          </cell>
          <cell r="AU219">
            <v>172.36168122286</v>
          </cell>
        </row>
        <row r="219">
          <cell r="AW219">
            <v>0</v>
          </cell>
        </row>
        <row r="219">
          <cell r="BN219">
            <v>0</v>
          </cell>
          <cell r="BO219">
            <v>183.51434325558</v>
          </cell>
        </row>
        <row r="219">
          <cell r="BQ219">
            <v>0</v>
          </cell>
        </row>
        <row r="220">
          <cell r="AQ220">
            <v>224.237226415884</v>
          </cell>
        </row>
        <row r="220">
          <cell r="AT220">
            <v>0</v>
          </cell>
          <cell r="AU220">
            <v>171.541478208151</v>
          </cell>
        </row>
        <row r="220">
          <cell r="AW220">
            <v>0</v>
          </cell>
        </row>
        <row r="220">
          <cell r="BN220">
            <v>0</v>
          </cell>
          <cell r="BO220">
            <v>182.522174939187</v>
          </cell>
        </row>
        <row r="220">
          <cell r="BQ220">
            <v>0</v>
          </cell>
        </row>
        <row r="221">
          <cell r="AQ221">
            <v>446.089496401423</v>
          </cell>
        </row>
        <row r="221">
          <cell r="AT221">
            <v>0</v>
          </cell>
          <cell r="AU221">
            <v>252.040565466804</v>
          </cell>
        </row>
        <row r="221">
          <cell r="AW221">
            <v>0</v>
          </cell>
        </row>
        <row r="221">
          <cell r="BN221">
            <v>0</v>
          </cell>
          <cell r="BO221">
            <v>274.084220966894</v>
          </cell>
        </row>
        <row r="221">
          <cell r="BQ221">
            <v>0</v>
          </cell>
        </row>
        <row r="222">
          <cell r="AQ222">
            <v>128.68271607192</v>
          </cell>
        </row>
        <row r="222">
          <cell r="AT222">
            <v>9.15995954310553</v>
          </cell>
          <cell r="AU222">
            <v>101.033225544465</v>
          </cell>
        </row>
        <row r="222">
          <cell r="AW222">
            <v>0.0315933046821986</v>
          </cell>
        </row>
        <row r="222">
          <cell r="BN222">
            <v>9.40101111002936</v>
          </cell>
          <cell r="BO222">
            <v>109.574957670326</v>
          </cell>
        </row>
        <row r="222">
          <cell r="BQ222">
            <v>0.0315933046821986</v>
          </cell>
        </row>
        <row r="223">
          <cell r="AQ223">
            <v>54.3927802623834</v>
          </cell>
        </row>
        <row r="223">
          <cell r="AT223">
            <v>9.15995954310553</v>
          </cell>
          <cell r="AU223">
            <v>42.4263686046591</v>
          </cell>
        </row>
        <row r="223">
          <cell r="AW223">
            <v>0.0315933046821986</v>
          </cell>
        </row>
        <row r="223">
          <cell r="BN223">
            <v>9.40101111002936</v>
          </cell>
          <cell r="BO223">
            <v>45.885084928487</v>
          </cell>
        </row>
        <row r="223">
          <cell r="BQ223">
            <v>0.0315933046821986</v>
          </cell>
        </row>
        <row r="224">
          <cell r="AQ224">
            <v>20.3178791064403</v>
          </cell>
        </row>
        <row r="224">
          <cell r="AT224">
            <v>0</v>
          </cell>
          <cell r="AU224">
            <v>17.8797336136675</v>
          </cell>
        </row>
        <row r="224">
          <cell r="AW224">
            <v>0</v>
          </cell>
        </row>
        <row r="224">
          <cell r="BN224">
            <v>0</v>
          </cell>
          <cell r="BO224">
            <v>19.2774465732651</v>
          </cell>
        </row>
        <row r="224">
          <cell r="BQ224">
            <v>0</v>
          </cell>
        </row>
        <row r="225">
          <cell r="AQ225">
            <v>20.1306238401664</v>
          </cell>
        </row>
        <row r="225">
          <cell r="AT225">
            <v>0</v>
          </cell>
          <cell r="AU225">
            <v>17.7149489793464</v>
          </cell>
        </row>
        <row r="225">
          <cell r="AW225">
            <v>0</v>
          </cell>
        </row>
        <row r="225">
          <cell r="BN225">
            <v>0</v>
          </cell>
          <cell r="BO225">
            <v>19.0228561483789</v>
          </cell>
        </row>
        <row r="225">
          <cell r="BQ225">
            <v>0</v>
          </cell>
        </row>
        <row r="226">
          <cell r="AQ226">
            <v>33.8414328629297</v>
          </cell>
        </row>
        <row r="226">
          <cell r="AT226">
            <v>0</v>
          </cell>
          <cell r="AU226">
            <v>23.0121743467922</v>
          </cell>
        </row>
        <row r="226">
          <cell r="AW226">
            <v>0</v>
          </cell>
        </row>
        <row r="226">
          <cell r="BN226">
            <v>0</v>
          </cell>
          <cell r="BO226">
            <v>25.3895700201952</v>
          </cell>
        </row>
        <row r="226">
          <cell r="BQ226">
            <v>0</v>
          </cell>
        </row>
        <row r="227">
          <cell r="AQ227">
            <v>0</v>
          </cell>
        </row>
        <row r="227">
          <cell r="AT227">
            <v>0</v>
          </cell>
          <cell r="AU227">
            <v>0</v>
          </cell>
        </row>
        <row r="227">
          <cell r="AW227">
            <v>0</v>
          </cell>
        </row>
        <row r="227">
          <cell r="BN227">
            <v>0</v>
          </cell>
          <cell r="BO227">
            <v>0</v>
          </cell>
        </row>
        <row r="227">
          <cell r="BQ227">
            <v>0</v>
          </cell>
        </row>
        <row r="228">
          <cell r="AQ228">
            <v>0</v>
          </cell>
        </row>
        <row r="228">
          <cell r="AT228">
            <v>0</v>
          </cell>
          <cell r="AU228">
            <v>0</v>
          </cell>
        </row>
        <row r="228">
          <cell r="AW228">
            <v>0</v>
          </cell>
        </row>
        <row r="228">
          <cell r="BN228">
            <v>0</v>
          </cell>
          <cell r="BO228">
            <v>0</v>
          </cell>
        </row>
        <row r="228">
          <cell r="BQ228">
            <v>0</v>
          </cell>
        </row>
        <row r="229">
          <cell r="AQ229">
            <v>0</v>
          </cell>
        </row>
        <row r="229">
          <cell r="AT229">
            <v>0</v>
          </cell>
          <cell r="AU229">
            <v>0</v>
          </cell>
        </row>
        <row r="229">
          <cell r="AW229">
            <v>0</v>
          </cell>
        </row>
        <row r="229">
          <cell r="BN229">
            <v>0</v>
          </cell>
          <cell r="BO229">
            <v>0</v>
          </cell>
        </row>
        <row r="229">
          <cell r="BQ229">
            <v>0</v>
          </cell>
        </row>
        <row r="230">
          <cell r="AQ230">
            <v>0</v>
          </cell>
        </row>
        <row r="230">
          <cell r="AT230">
            <v>0</v>
          </cell>
          <cell r="AU230">
            <v>0</v>
          </cell>
        </row>
        <row r="230">
          <cell r="AW230">
            <v>0</v>
          </cell>
        </row>
        <row r="230">
          <cell r="BN230">
            <v>0</v>
          </cell>
          <cell r="BO230">
            <v>0</v>
          </cell>
        </row>
        <row r="230">
          <cell r="BQ230">
            <v>0</v>
          </cell>
        </row>
        <row r="231">
          <cell r="AQ231">
            <v>0</v>
          </cell>
        </row>
        <row r="231">
          <cell r="AT231">
            <v>0</v>
          </cell>
          <cell r="AU231">
            <v>0</v>
          </cell>
        </row>
        <row r="231">
          <cell r="AW231">
            <v>0</v>
          </cell>
        </row>
        <row r="231">
          <cell r="BN231">
            <v>0</v>
          </cell>
          <cell r="BO231">
            <v>0</v>
          </cell>
        </row>
        <row r="231">
          <cell r="BQ231">
            <v>0</v>
          </cell>
        </row>
        <row r="232">
          <cell r="AQ232">
            <v>88.1845563705598</v>
          </cell>
        </row>
        <row r="232">
          <cell r="AT232">
            <v>5.28813559322034</v>
          </cell>
          <cell r="AU232">
            <v>65.6242295866007</v>
          </cell>
        </row>
        <row r="232">
          <cell r="AW232">
            <v>0.006</v>
          </cell>
        </row>
        <row r="232">
          <cell r="BN232">
            <v>5.42729705619982</v>
          </cell>
          <cell r="BO232">
            <v>71.5073926850938</v>
          </cell>
        </row>
        <row r="232">
          <cell r="BQ232">
            <v>0.006</v>
          </cell>
        </row>
        <row r="233">
          <cell r="AQ233">
            <v>25.129291143283</v>
          </cell>
        </row>
        <row r="233">
          <cell r="AT233">
            <v>5.28813559322034</v>
          </cell>
          <cell r="AU233">
            <v>18.7213219017458</v>
          </cell>
        </row>
        <row r="233">
          <cell r="AW233">
            <v>0.006</v>
          </cell>
        </row>
        <row r="233">
          <cell r="BN233">
            <v>5.42729705619982</v>
          </cell>
          <cell r="BO233">
            <v>20.3411605485185</v>
          </cell>
        </row>
        <row r="233">
          <cell r="BQ233">
            <v>0.006</v>
          </cell>
        </row>
        <row r="234">
          <cell r="AQ234">
            <v>17.9391627505141</v>
          </cell>
        </row>
        <row r="234">
          <cell r="AT234">
            <v>0</v>
          </cell>
          <cell r="AU234">
            <v>15.1585925241844</v>
          </cell>
        </row>
        <row r="234">
          <cell r="AW234">
            <v>0</v>
          </cell>
        </row>
        <row r="234">
          <cell r="BN234">
            <v>0</v>
          </cell>
          <cell r="BO234">
            <v>16.3736767379686</v>
          </cell>
        </row>
        <row r="234">
          <cell r="BQ234">
            <v>0</v>
          </cell>
        </row>
        <row r="235">
          <cell r="AQ235">
            <v>13.2221453157927</v>
          </cell>
        </row>
        <row r="235">
          <cell r="AT235">
            <v>0</v>
          </cell>
          <cell r="AU235">
            <v>11.1727127918448</v>
          </cell>
        </row>
        <row r="235">
          <cell r="AW235">
            <v>0</v>
          </cell>
        </row>
        <row r="235">
          <cell r="BN235">
            <v>0</v>
          </cell>
          <cell r="BO235">
            <v>12.0671064915092</v>
          </cell>
        </row>
        <row r="235">
          <cell r="BQ235">
            <v>0</v>
          </cell>
        </row>
        <row r="236">
          <cell r="AQ236">
            <v>31.89395716097</v>
          </cell>
        </row>
        <row r="236">
          <cell r="AT236">
            <v>0</v>
          </cell>
          <cell r="AU236">
            <v>20.5716023688257</v>
          </cell>
        </row>
        <row r="236">
          <cell r="AW236">
            <v>0</v>
          </cell>
        </row>
        <row r="236">
          <cell r="BN236">
            <v>0</v>
          </cell>
          <cell r="BO236">
            <v>22.7254489070976</v>
          </cell>
        </row>
        <row r="236">
          <cell r="BQ236">
            <v>0</v>
          </cell>
        </row>
        <row r="237">
          <cell r="AQ237">
            <v>1205.84176147</v>
          </cell>
        </row>
        <row r="237">
          <cell r="AT237">
            <v>283.942435615959</v>
          </cell>
          <cell r="AU237">
            <v>759.6803097261</v>
          </cell>
        </row>
        <row r="237">
          <cell r="AW237">
            <v>0.123466216216216</v>
          </cell>
        </row>
        <row r="237">
          <cell r="BN237">
            <v>296.848909962139</v>
          </cell>
          <cell r="BO237">
            <v>759.6803097261</v>
          </cell>
        </row>
        <row r="237">
          <cell r="BQ237">
            <v>0.123466216216216</v>
          </cell>
        </row>
        <row r="238">
          <cell r="AQ238">
            <v>1205.84176147</v>
          </cell>
        </row>
        <row r="238">
          <cell r="AT238">
            <v>283.942435615959</v>
          </cell>
          <cell r="AU238">
            <v>759.6803097261</v>
          </cell>
        </row>
        <row r="238">
          <cell r="AW238">
            <v>0.123466216216216</v>
          </cell>
        </row>
        <row r="238">
          <cell r="BN238">
            <v>296.848909962139</v>
          </cell>
          <cell r="BO238">
            <v>759.6803097261</v>
          </cell>
        </row>
        <row r="238">
          <cell r="BQ238">
            <v>0.123466216216216</v>
          </cell>
        </row>
        <row r="239">
          <cell r="AU239">
            <v>0</v>
          </cell>
        </row>
        <row r="239">
          <cell r="AW239">
            <v>0</v>
          </cell>
        </row>
        <row r="239">
          <cell r="BO239">
            <v>0</v>
          </cell>
        </row>
        <row r="239">
          <cell r="BQ239">
            <v>0</v>
          </cell>
        </row>
        <row r="240">
          <cell r="AQ240">
            <v>809.568318320509</v>
          </cell>
        </row>
        <row r="240">
          <cell r="AT240">
            <v>72.3020238500852</v>
          </cell>
          <cell r="AU240">
            <v>407.493840181101</v>
          </cell>
        </row>
        <row r="240">
          <cell r="AW240">
            <v>0.10725</v>
          </cell>
        </row>
        <row r="240">
          <cell r="BN240">
            <v>74.2047086882453</v>
          </cell>
          <cell r="BO240">
            <v>450.709479336408</v>
          </cell>
        </row>
        <row r="240">
          <cell r="BQ240">
            <v>0.10725</v>
          </cell>
        </row>
        <row r="241">
          <cell r="AQ241">
            <v>675.752261244861</v>
          </cell>
        </row>
        <row r="241">
          <cell r="AT241">
            <v>61.5390255536627</v>
          </cell>
          <cell r="AU241">
            <v>341.254891928655</v>
          </cell>
        </row>
        <row r="241">
          <cell r="AW241">
            <v>0.08025</v>
          </cell>
        </row>
        <row r="241">
          <cell r="BN241">
            <v>63.1584735945486</v>
          </cell>
          <cell r="BO241">
            <v>384.470531083962</v>
          </cell>
        </row>
        <row r="241">
          <cell r="BQ241">
            <v>0.08025</v>
          </cell>
        </row>
        <row r="242">
          <cell r="AT242">
            <v>0</v>
          </cell>
          <cell r="AU242">
            <v>0</v>
          </cell>
        </row>
        <row r="242">
          <cell r="AW242">
            <v>0</v>
          </cell>
        </row>
        <row r="242">
          <cell r="BN242">
            <v>0</v>
          </cell>
          <cell r="BO242">
            <v>0</v>
          </cell>
        </row>
        <row r="242">
          <cell r="BQ242">
            <v>0</v>
          </cell>
        </row>
        <row r="243">
          <cell r="AQ243">
            <v>133.816057075648</v>
          </cell>
        </row>
        <row r="243">
          <cell r="AT243">
            <v>10.7629982964225</v>
          </cell>
          <cell r="AU243">
            <v>66.2389482524458</v>
          </cell>
        </row>
        <row r="243">
          <cell r="AW243">
            <v>0.027</v>
          </cell>
        </row>
        <row r="243">
          <cell r="BN243">
            <v>11.0462350936968</v>
          </cell>
          <cell r="BO243">
            <v>66.2389482524458</v>
          </cell>
        </row>
        <row r="243">
          <cell r="BQ243">
            <v>0.027</v>
          </cell>
        </row>
        <row r="244">
          <cell r="AT244">
            <v>0</v>
          </cell>
          <cell r="AU244">
            <v>0</v>
          </cell>
        </row>
        <row r="244">
          <cell r="AW244">
            <v>0</v>
          </cell>
        </row>
        <row r="244">
          <cell r="BN244">
            <v>0</v>
          </cell>
          <cell r="BO244">
            <v>0</v>
          </cell>
        </row>
        <row r="244">
          <cell r="BQ244">
            <v>0</v>
          </cell>
        </row>
        <row r="245">
          <cell r="AQ245">
            <v>0</v>
          </cell>
        </row>
        <row r="245">
          <cell r="AT245">
            <v>0</v>
          </cell>
          <cell r="AU245">
            <v>0</v>
          </cell>
        </row>
        <row r="245">
          <cell r="AW245">
            <v>0</v>
          </cell>
        </row>
        <row r="245">
          <cell r="BN245">
            <v>0</v>
          </cell>
          <cell r="BO245">
            <v>0</v>
          </cell>
        </row>
        <row r="245">
          <cell r="BQ245">
            <v>0</v>
          </cell>
        </row>
        <row r="246">
          <cell r="AQ246">
            <v>0</v>
          </cell>
        </row>
        <row r="246">
          <cell r="AT246">
            <v>0</v>
          </cell>
          <cell r="AU246">
            <v>0</v>
          </cell>
        </row>
        <row r="246">
          <cell r="AW246">
            <v>0</v>
          </cell>
        </row>
        <row r="246">
          <cell r="BN246">
            <v>0</v>
          </cell>
          <cell r="BO246">
            <v>0</v>
          </cell>
        </row>
        <row r="246">
          <cell r="BQ246">
            <v>0</v>
          </cell>
        </row>
        <row r="247">
          <cell r="AQ247">
            <v>287.7540258892</v>
          </cell>
        </row>
        <row r="247">
          <cell r="AT247">
            <v>0</v>
          </cell>
          <cell r="AU247">
            <v>175.529955792412</v>
          </cell>
        </row>
        <row r="247">
          <cell r="AW247">
            <v>0.012</v>
          </cell>
        </row>
        <row r="247">
          <cell r="BN247">
            <v>0</v>
          </cell>
          <cell r="BO247">
            <v>175.529955792412</v>
          </cell>
        </row>
        <row r="247">
          <cell r="BQ247">
            <v>0.012</v>
          </cell>
        </row>
        <row r="248">
          <cell r="AQ248">
            <v>287.7540258892</v>
          </cell>
        </row>
        <row r="248">
          <cell r="AT248">
            <v>0</v>
          </cell>
          <cell r="AU248">
            <v>175.529955792412</v>
          </cell>
        </row>
        <row r="248">
          <cell r="AW248">
            <v>0.012</v>
          </cell>
        </row>
        <row r="248">
          <cell r="BN248">
            <v>0</v>
          </cell>
          <cell r="BO248">
            <v>175.529955792412</v>
          </cell>
        </row>
        <row r="248">
          <cell r="BQ248">
            <v>0.012</v>
          </cell>
        </row>
        <row r="249">
          <cell r="BN249">
            <v>0</v>
          </cell>
          <cell r="BO249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0">
          <cell r="AI10">
            <v>7772199</v>
          </cell>
        </row>
        <row r="10">
          <cell r="AK10">
            <v>11768.32427</v>
          </cell>
        </row>
        <row r="23">
          <cell r="AI23">
            <v>1148711</v>
          </cell>
        </row>
        <row r="23">
          <cell r="AK23">
            <v>3881.54647</v>
          </cell>
        </row>
        <row r="36">
          <cell r="AI36">
            <v>45863</v>
          </cell>
        </row>
        <row r="36">
          <cell r="AM36">
            <v>1420720</v>
          </cell>
        </row>
        <row r="43">
          <cell r="AI43">
            <v>5096</v>
          </cell>
        </row>
        <row r="43">
          <cell r="AM43">
            <v>20290</v>
          </cell>
        </row>
        <row r="46">
          <cell r="AI46">
            <v>1361911</v>
          </cell>
        </row>
        <row r="46">
          <cell r="AM46">
            <v>6767060</v>
          </cell>
        </row>
        <row r="54">
          <cell r="AI54">
            <v>74341</v>
          </cell>
        </row>
        <row r="54">
          <cell r="AK54">
            <v>172.00019</v>
          </cell>
        </row>
        <row r="58">
          <cell r="AI58">
            <v>25529</v>
          </cell>
        </row>
        <row r="58">
          <cell r="AK58">
            <v>76.33</v>
          </cell>
        </row>
        <row r="63">
          <cell r="AI63">
            <v>14523</v>
          </cell>
        </row>
        <row r="63">
          <cell r="AK63">
            <v>118.13</v>
          </cell>
        </row>
        <row r="64">
          <cell r="AI64">
            <v>233</v>
          </cell>
        </row>
        <row r="64">
          <cell r="AK64">
            <v>7.25</v>
          </cell>
        </row>
        <row r="65">
          <cell r="AI65">
            <v>34691</v>
          </cell>
        </row>
        <row r="65">
          <cell r="AM65">
            <v>154030.37</v>
          </cell>
        </row>
        <row r="84">
          <cell r="AK84">
            <v>1760.24721</v>
          </cell>
        </row>
        <row r="85">
          <cell r="AI85">
            <v>5667</v>
          </cell>
        </row>
        <row r="94">
          <cell r="AI94">
            <v>199</v>
          </cell>
        </row>
        <row r="99">
          <cell r="AI99">
            <v>1</v>
          </cell>
        </row>
        <row r="99">
          <cell r="AK99">
            <v>0.49</v>
          </cell>
        </row>
        <row r="100">
          <cell r="AK100">
            <v>11.4195</v>
          </cell>
        </row>
        <row r="105">
          <cell r="AI105">
            <v>4709</v>
          </cell>
        </row>
        <row r="105">
          <cell r="AK105">
            <v>1084.6856</v>
          </cell>
        </row>
        <row r="110">
          <cell r="AI110">
            <v>2</v>
          </cell>
        </row>
        <row r="110">
          <cell r="AK110">
            <v>0.23</v>
          </cell>
        </row>
        <row r="115">
          <cell r="AI115">
            <v>13</v>
          </cell>
        </row>
        <row r="115">
          <cell r="AK115">
            <v>3.505</v>
          </cell>
        </row>
        <row r="120">
          <cell r="AI120">
            <v>126</v>
          </cell>
        </row>
        <row r="120">
          <cell r="AK120">
            <v>47.1582</v>
          </cell>
        </row>
        <row r="124">
          <cell r="AI124">
            <v>207</v>
          </cell>
        </row>
        <row r="124">
          <cell r="AK124">
            <v>111.234</v>
          </cell>
        </row>
        <row r="125">
          <cell r="AI125">
            <v>592</v>
          </cell>
        </row>
        <row r="125">
          <cell r="AK125">
            <v>117.761</v>
          </cell>
        </row>
        <row r="126">
          <cell r="AI126">
            <v>0</v>
          </cell>
        </row>
        <row r="126">
          <cell r="AK126">
            <v>0</v>
          </cell>
        </row>
        <row r="127">
          <cell r="AI127">
            <v>17</v>
          </cell>
        </row>
        <row r="127">
          <cell r="AK127">
            <v>9.807</v>
          </cell>
        </row>
        <row r="132">
          <cell r="AI132">
            <v>115</v>
          </cell>
        </row>
        <row r="132">
          <cell r="AK132">
            <v>37.069</v>
          </cell>
        </row>
        <row r="149">
          <cell r="AI149">
            <v>423</v>
          </cell>
        </row>
        <row r="150">
          <cell r="AK150">
            <v>1353.852</v>
          </cell>
        </row>
        <row r="163">
          <cell r="AI163">
            <v>0</v>
          </cell>
        </row>
        <row r="163">
          <cell r="AK163">
            <v>0</v>
          </cell>
        </row>
        <row r="164">
          <cell r="AK164">
            <v>9.5</v>
          </cell>
        </row>
        <row r="169">
          <cell r="AI169">
            <v>169</v>
          </cell>
        </row>
        <row r="169">
          <cell r="AK169">
            <v>511.203</v>
          </cell>
        </row>
        <row r="180">
          <cell r="AI180">
            <v>0</v>
          </cell>
        </row>
        <row r="180">
          <cell r="AK180">
            <v>0</v>
          </cell>
        </row>
        <row r="185">
          <cell r="AI185">
            <v>22</v>
          </cell>
        </row>
        <row r="185">
          <cell r="AK185">
            <v>64.719</v>
          </cell>
        </row>
        <row r="187">
          <cell r="AI187">
            <v>0</v>
          </cell>
        </row>
        <row r="187">
          <cell r="AK187">
            <v>0</v>
          </cell>
        </row>
        <row r="188">
          <cell r="AI188">
            <v>0</v>
          </cell>
        </row>
        <row r="188">
          <cell r="AK188">
            <v>0</v>
          </cell>
        </row>
        <row r="189">
          <cell r="AI189">
            <v>22</v>
          </cell>
        </row>
        <row r="189">
          <cell r="AK189">
            <v>65.205</v>
          </cell>
        </row>
        <row r="190">
          <cell r="AI190">
            <v>9</v>
          </cell>
        </row>
        <row r="190">
          <cell r="AK190">
            <v>23.502</v>
          </cell>
        </row>
        <row r="191">
          <cell r="AI191">
            <v>13</v>
          </cell>
        </row>
        <row r="191">
          <cell r="AK191">
            <v>43.75</v>
          </cell>
        </row>
        <row r="208">
          <cell r="AI208">
            <v>38</v>
          </cell>
        </row>
        <row r="208">
          <cell r="AK208">
            <v>667.499</v>
          </cell>
        </row>
        <row r="216">
          <cell r="AI216">
            <v>2</v>
          </cell>
        </row>
        <row r="216">
          <cell r="AK216">
            <v>26.6</v>
          </cell>
        </row>
        <row r="217">
          <cell r="AK217">
            <v>143.2</v>
          </cell>
        </row>
        <row r="222">
          <cell r="AI222">
            <v>6</v>
          </cell>
        </row>
        <row r="222">
          <cell r="AK222">
            <v>78</v>
          </cell>
        </row>
        <row r="227">
          <cell r="AK227">
            <v>0</v>
          </cell>
        </row>
        <row r="232">
          <cell r="AI232">
            <v>1</v>
          </cell>
        </row>
        <row r="232">
          <cell r="AK232">
            <v>19</v>
          </cell>
        </row>
        <row r="237">
          <cell r="AI237">
            <v>21</v>
          </cell>
        </row>
        <row r="237">
          <cell r="AK237">
            <v>1757.9078</v>
          </cell>
        </row>
        <row r="240">
          <cell r="AI240">
            <v>17</v>
          </cell>
        </row>
        <row r="240">
          <cell r="AK240">
            <v>196.5</v>
          </cell>
        </row>
        <row r="247">
          <cell r="AI247">
            <v>2</v>
          </cell>
        </row>
        <row r="247">
          <cell r="AK247">
            <v>64.75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Revenue impact_Summary"/>
      <sheetName val="Tariff hike_Summary"/>
      <sheetName val="Sales_SP"/>
      <sheetName val="Sales_NP"/>
      <sheetName val="Rev_SP-12me"/>
      <sheetName val="Rev_NP-12me"/>
      <sheetName val="NTI"/>
      <sheetName val="Sales_Progress tracker"/>
      <sheetName val="SPDCL_Write-up"/>
      <sheetName val="NPDCL_Write-up"/>
      <sheetName val="Additional Loads_SPDCL "/>
      <sheetName val="Sales_Summary_FY 25_29"/>
      <sheetName val="Sales_Summary_FY 18_25"/>
      <sheetName val="PPT Slides(correct)"/>
      <sheetName val="OUTPUT"/>
      <sheetName val="Rev SP FY24"/>
      <sheetName val="EV Stations_NPDCL"/>
      <sheetName val="Additional Loads_NPDCL"/>
      <sheetName val="Scenarios"/>
      <sheetName val="LIS"/>
      <sheetName val="Rev_NP-12me existing Cl"/>
      <sheetName val="Rev_SP-12me existing Cl"/>
      <sheetName val="Total Rev Current_SP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</sheetNames>
    <sheetDataSet>
      <sheetData sheetId="0"/>
      <sheetData sheetId="1"/>
      <sheetData sheetId="2"/>
      <sheetData sheetId="3">
        <row r="10">
          <cell r="FZ10">
            <v>1254.107621</v>
          </cell>
          <cell r="GA10">
            <v>1262.976422</v>
          </cell>
          <cell r="GB10">
            <v>1011.90309</v>
          </cell>
          <cell r="GC10">
            <v>922.8426735</v>
          </cell>
          <cell r="GD10">
            <v>994.735435</v>
          </cell>
          <cell r="GE10">
            <v>901.575534</v>
          </cell>
          <cell r="GF10">
            <v>929.017828828813</v>
          </cell>
          <cell r="GG10">
            <v>860.566663492101</v>
          </cell>
          <cell r="GH10">
            <v>763.361367959185</v>
          </cell>
          <cell r="GI10">
            <v>861.511299516917</v>
          </cell>
          <cell r="GJ10">
            <v>816.008395741599</v>
          </cell>
          <cell r="GK10">
            <v>1118.99679642335</v>
          </cell>
        </row>
        <row r="10">
          <cell r="GU10">
            <v>1352.04880923099</v>
          </cell>
          <cell r="GV10">
            <v>1361.6102309388</v>
          </cell>
          <cell r="GW10">
            <v>1090.92899603045</v>
          </cell>
          <cell r="GX10">
            <v>994.913288875725</v>
          </cell>
          <cell r="GY10">
            <v>1072.42061037728</v>
          </cell>
          <cell r="GZ10">
            <v>971.985264075273</v>
          </cell>
          <cell r="HA10">
            <v>1001.57070110202</v>
          </cell>
          <cell r="HB10">
            <v>927.773751753945</v>
          </cell>
          <cell r="HC10">
            <v>822.977080499025</v>
          </cell>
          <cell r="HD10">
            <v>928.792160374642</v>
          </cell>
          <cell r="HE10">
            <v>879.735647332392</v>
          </cell>
          <cell r="HF10">
            <v>1206.38632666238</v>
          </cell>
        </row>
        <row r="23">
          <cell r="FZ23">
            <v>364.437917</v>
          </cell>
          <cell r="GA23">
            <v>362.1581145</v>
          </cell>
          <cell r="GB23">
            <v>321.695783</v>
          </cell>
          <cell r="GC23">
            <v>306.244297</v>
          </cell>
          <cell r="GD23">
            <v>322.54559925</v>
          </cell>
          <cell r="GE23">
            <v>294.4840383</v>
          </cell>
          <cell r="GF23">
            <v>333.081832663234</v>
          </cell>
          <cell r="GG23">
            <v>315.187632670055</v>
          </cell>
          <cell r="GH23">
            <v>290.64361782959</v>
          </cell>
          <cell r="GI23">
            <v>318.172317343537</v>
          </cell>
          <cell r="GJ23">
            <v>317.652496712642</v>
          </cell>
          <cell r="GK23">
            <v>392.702369709699</v>
          </cell>
        </row>
        <row r="23">
          <cell r="GU23">
            <v>407.372387017743</v>
          </cell>
          <cell r="GV23">
            <v>404.824000741147</v>
          </cell>
          <cell r="GW23">
            <v>359.594797635318</v>
          </cell>
          <cell r="GX23">
            <v>342.322970415454</v>
          </cell>
          <cell r="GY23">
            <v>360.54473082871</v>
          </cell>
          <cell r="GZ23">
            <v>329.177234378978</v>
          </cell>
          <cell r="HA23">
            <v>372.322239028344</v>
          </cell>
          <cell r="HB23">
            <v>352.319921418252</v>
          </cell>
          <cell r="HC23">
            <v>324.884373561801</v>
          </cell>
          <cell r="HD23">
            <v>355.656232112652</v>
          </cell>
          <cell r="HE23">
            <v>355.075171357581</v>
          </cell>
          <cell r="HF23">
            <v>438.966677927105</v>
          </cell>
        </row>
        <row r="36">
          <cell r="FZ36">
            <v>82.8292910000001</v>
          </cell>
          <cell r="GA36">
            <v>87.1684139999999</v>
          </cell>
          <cell r="GB36">
            <v>81.208712</v>
          </cell>
          <cell r="GC36">
            <v>80.3354020000001</v>
          </cell>
          <cell r="GD36">
            <v>79.8906180000001</v>
          </cell>
          <cell r="GE36">
            <v>74.830847</v>
          </cell>
          <cell r="GF36">
            <v>81.8170789825838</v>
          </cell>
          <cell r="GG36">
            <v>84.1371472058305</v>
          </cell>
          <cell r="GH36">
            <v>93.2427900987864</v>
          </cell>
          <cell r="GI36">
            <v>90.5871911282236</v>
          </cell>
          <cell r="GJ36">
            <v>83.3735496019397</v>
          </cell>
          <cell r="GK36">
            <v>92.9364801192526</v>
          </cell>
        </row>
        <row r="36">
          <cell r="GU36">
            <v>85.7819430272581</v>
          </cell>
          <cell r="GV36">
            <v>90.2757446459904</v>
          </cell>
          <cell r="GW36">
            <v>84.1035945376015</v>
          </cell>
          <cell r="GX36">
            <v>83.1991532733979</v>
          </cell>
          <cell r="GY36">
            <v>82.7385138632714</v>
          </cell>
          <cell r="GZ36">
            <v>77.4983749895368</v>
          </cell>
          <cell r="HA36">
            <v>84.7336482445645</v>
          </cell>
          <cell r="HB36">
            <v>87.1364209562843</v>
          </cell>
          <cell r="HC36">
            <v>96.5666566910089</v>
          </cell>
          <cell r="HD36">
            <v>93.8163924204133</v>
          </cell>
          <cell r="HE36">
            <v>86.3456030540436</v>
          </cell>
          <cell r="HF36">
            <v>96.2494275454274</v>
          </cell>
        </row>
        <row r="43">
          <cell r="FZ43">
            <v>0.792586</v>
          </cell>
          <cell r="GA43">
            <v>0.851688000000001</v>
          </cell>
          <cell r="GB43">
            <v>0.770123</v>
          </cell>
          <cell r="GC43">
            <v>0.763276999999999</v>
          </cell>
          <cell r="GD43">
            <v>0.758537</v>
          </cell>
          <cell r="GE43">
            <v>0.72560425</v>
          </cell>
          <cell r="GF43">
            <v>0.80485762043819</v>
          </cell>
          <cell r="GG43">
            <v>0.757256642767653</v>
          </cell>
          <cell r="GH43">
            <v>0.800297404275563</v>
          </cell>
          <cell r="GI43">
            <v>0.83021086185022</v>
          </cell>
          <cell r="GJ43">
            <v>0.746565492133344</v>
          </cell>
          <cell r="GK43">
            <v>0.862355150069043</v>
          </cell>
        </row>
        <row r="43">
          <cell r="GU43">
            <v>0.806515268786343</v>
          </cell>
          <cell r="GV43">
            <v>0.866655954359658</v>
          </cell>
          <cell r="GW43">
            <v>0.783657493752785</v>
          </cell>
          <cell r="GX43">
            <v>0.776691179018344</v>
          </cell>
          <cell r="GY43">
            <v>0.771867876090905</v>
          </cell>
          <cell r="GZ43">
            <v>0.738356350883391</v>
          </cell>
          <cell r="HA43">
            <v>0.819002556293504</v>
          </cell>
          <cell r="HB43">
            <v>0.770565017275094</v>
          </cell>
          <cell r="HC43">
            <v>0.814362196806805</v>
          </cell>
          <cell r="HD43">
            <v>0.844801367163275</v>
          </cell>
          <cell r="HE43">
            <v>0.759685975470842</v>
          </cell>
          <cell r="HF43">
            <v>0.877510573801735</v>
          </cell>
        </row>
        <row r="46">
          <cell r="FZ46">
            <v>1150.06094179262</v>
          </cell>
          <cell r="GA46">
            <v>535.134849879363</v>
          </cell>
          <cell r="GB46">
            <v>638.256395747589</v>
          </cell>
          <cell r="GC46">
            <v>1161.5783215538</v>
          </cell>
          <cell r="GD46">
            <v>1382.56638064665</v>
          </cell>
          <cell r="GE46">
            <v>1148.16</v>
          </cell>
          <cell r="GF46">
            <v>1989.28604403335</v>
          </cell>
          <cell r="GG46">
            <v>922.919240345036</v>
          </cell>
          <cell r="GH46">
            <v>1307.84063403001</v>
          </cell>
          <cell r="GI46">
            <v>1820.14773444619</v>
          </cell>
          <cell r="GJ46">
            <v>2061.27626924046</v>
          </cell>
          <cell r="GK46">
            <v>2282.97677360365</v>
          </cell>
        </row>
        <row r="46">
          <cell r="GU46">
            <v>1200.81612799791</v>
          </cell>
          <cell r="GV46">
            <v>558.751745265995</v>
          </cell>
          <cell r="GW46">
            <v>666.42431366887</v>
          </cell>
          <cell r="GX46">
            <v>1212.84179974009</v>
          </cell>
          <cell r="GY46">
            <v>1443.58263773431</v>
          </cell>
          <cell r="GZ46">
            <v>1198.83129269048</v>
          </cell>
          <cell r="HA46">
            <v>2077.07842086438</v>
          </cell>
          <cell r="HB46">
            <v>963.6500713766</v>
          </cell>
          <cell r="HC46">
            <v>1365.55904919814</v>
          </cell>
          <cell r="HD46">
            <v>1900.47559693229</v>
          </cell>
          <cell r="HE46">
            <v>2152.24576230295</v>
          </cell>
          <cell r="HF46">
            <v>2383.73048763379</v>
          </cell>
        </row>
        <row r="54">
          <cell r="FZ54">
            <v>43.9597113</v>
          </cell>
          <cell r="GA54">
            <v>41.998022</v>
          </cell>
          <cell r="GB54">
            <v>38.782708</v>
          </cell>
          <cell r="GC54">
            <v>39.402754</v>
          </cell>
          <cell r="GD54">
            <v>40.928262</v>
          </cell>
          <cell r="GE54">
            <v>38.565944</v>
          </cell>
          <cell r="GF54">
            <v>44.2910175935743</v>
          </cell>
          <cell r="GG54">
            <v>45.4752978553176</v>
          </cell>
          <cell r="GH54">
            <v>45.1605980807032</v>
          </cell>
          <cell r="GI54">
            <v>46.0569734563588</v>
          </cell>
          <cell r="GJ54">
            <v>42.6147205232368</v>
          </cell>
          <cell r="GK54">
            <v>46.701612237169</v>
          </cell>
        </row>
        <row r="54">
          <cell r="GU54">
            <v>44.7286472319401</v>
          </cell>
          <cell r="GV54">
            <v>42.732644390166</v>
          </cell>
          <cell r="GW54">
            <v>39.4610886544048</v>
          </cell>
          <cell r="GX54">
            <v>40.0919803955336</v>
          </cell>
          <cell r="GY54">
            <v>41.6441723268192</v>
          </cell>
          <cell r="GZ54">
            <v>39.2405330547009</v>
          </cell>
          <cell r="HA54">
            <v>45.0657486798972</v>
          </cell>
          <cell r="HB54">
            <v>46.270744174289</v>
          </cell>
          <cell r="HC54">
            <v>45.9505397237494</v>
          </cell>
          <cell r="HD54">
            <v>46.8625943478456</v>
          </cell>
          <cell r="HE54">
            <v>43.3601301010267</v>
          </cell>
          <cell r="HF54">
            <v>47.5185090426013</v>
          </cell>
        </row>
        <row r="64">
          <cell r="FZ64">
            <v>9.006769</v>
          </cell>
          <cell r="GA64">
            <v>7.2189</v>
          </cell>
          <cell r="GB64">
            <v>7.378798</v>
          </cell>
          <cell r="GC64">
            <v>8.67410399999999</v>
          </cell>
          <cell r="GD64">
            <v>9.427647</v>
          </cell>
          <cell r="GE64">
            <v>8.433721</v>
          </cell>
          <cell r="GF64">
            <v>7.43783444987914</v>
          </cell>
          <cell r="GG64">
            <v>8.59245657852811</v>
          </cell>
          <cell r="GH64">
            <v>7.64710287653709</v>
          </cell>
          <cell r="GI64">
            <v>7.83307058557011</v>
          </cell>
          <cell r="GJ64">
            <v>8.6312455468385</v>
          </cell>
          <cell r="GK64">
            <v>11.0248373256931</v>
          </cell>
        </row>
        <row r="64">
          <cell r="GU64">
            <v>9.65071087918659</v>
          </cell>
          <cell r="GV64">
            <v>7.73501760351133</v>
          </cell>
          <cell r="GW64">
            <v>7.90634756302957</v>
          </cell>
          <cell r="GX64">
            <v>9.29426188680934</v>
          </cell>
          <cell r="GY64">
            <v>10.1016796886909</v>
          </cell>
          <cell r="GZ64">
            <v>9.03669262603764</v>
          </cell>
          <cell r="HA64">
            <v>7.96960484309496</v>
          </cell>
          <cell r="HB64">
            <v>9.20677705638277</v>
          </cell>
          <cell r="HC64">
            <v>8.19383498398323</v>
          </cell>
          <cell r="HD64">
            <v>8.39309851486121</v>
          </cell>
          <cell r="HE64">
            <v>9.24833925459899</v>
          </cell>
          <cell r="HF64">
            <v>11.8130616562197</v>
          </cell>
        </row>
        <row r="69">
          <cell r="FZ69">
            <v>11.598436</v>
          </cell>
          <cell r="GA69">
            <v>11.699879</v>
          </cell>
          <cell r="GB69">
            <v>10.922165</v>
          </cell>
          <cell r="GC69">
            <v>10.803311</v>
          </cell>
          <cell r="GD69">
            <v>11.68794</v>
          </cell>
          <cell r="GE69">
            <v>10.603911</v>
          </cell>
          <cell r="GF69">
            <v>10.554639200444</v>
          </cell>
          <cell r="GG69">
            <v>10.1509566372594</v>
          </cell>
          <cell r="GH69">
            <v>10.0932144094951</v>
          </cell>
          <cell r="GI69">
            <v>11.1824342981702</v>
          </cell>
          <cell r="GJ69">
            <v>10.8585463224018</v>
          </cell>
          <cell r="GK69">
            <v>13.4437115077853</v>
          </cell>
        </row>
        <row r="69">
          <cell r="GU69">
            <v>13.65847086817</v>
          </cell>
          <cell r="GV69">
            <v>13.7779314799524</v>
          </cell>
          <cell r="GW69">
            <v>12.862085238893</v>
          </cell>
          <cell r="GX69">
            <v>12.7221212043831</v>
          </cell>
          <cell r="GY69">
            <v>13.7638719564361</v>
          </cell>
          <cell r="GZ69">
            <v>12.4873051402937</v>
          </cell>
          <cell r="HA69">
            <v>12.4292820207232</v>
          </cell>
          <cell r="HB69">
            <v>11.9539001218841</v>
          </cell>
          <cell r="HC69">
            <v>11.8859021145853</v>
          </cell>
          <cell r="HD69">
            <v>13.1685817895432</v>
          </cell>
          <cell r="HE69">
            <v>12.7871670469362</v>
          </cell>
          <cell r="HF69">
            <v>15.8314915898288</v>
          </cell>
        </row>
        <row r="70">
          <cell r="FZ70">
            <v>0.387727</v>
          </cell>
          <cell r="GA70">
            <v>0.387727</v>
          </cell>
          <cell r="GB70">
            <v>0.387727</v>
          </cell>
          <cell r="GC70">
            <v>0.387727</v>
          </cell>
          <cell r="GD70">
            <v>0.387727</v>
          </cell>
          <cell r="GE70">
            <v>0.387727</v>
          </cell>
          <cell r="GF70">
            <v>0.997192588372512</v>
          </cell>
          <cell r="GG70">
            <v>1.18826097507712</v>
          </cell>
          <cell r="GH70">
            <v>1.19606226342425</v>
          </cell>
          <cell r="GI70">
            <v>1.51583552842683</v>
          </cell>
          <cell r="GJ70">
            <v>1.34001405080138</v>
          </cell>
          <cell r="GK70">
            <v>1.6770933531811</v>
          </cell>
        </row>
        <row r="70">
          <cell r="GU70">
            <v>1.94490185507106</v>
          </cell>
          <cell r="GV70">
            <v>1.65229023797867</v>
          </cell>
          <cell r="GW70">
            <v>1.65229023797867</v>
          </cell>
          <cell r="GX70">
            <v>1.65229023797867</v>
          </cell>
          <cell r="GY70">
            <v>1.65229023797867</v>
          </cell>
          <cell r="GZ70">
            <v>1.65229023797867</v>
          </cell>
          <cell r="HA70">
            <v>4.56979398540986</v>
          </cell>
          <cell r="HB70">
            <v>5.48443583699476</v>
          </cell>
          <cell r="HC70">
            <v>5.52178050160219</v>
          </cell>
          <cell r="HD70">
            <v>7.05253091109558</v>
          </cell>
          <cell r="HE70">
            <v>6.21087581253467</v>
          </cell>
          <cell r="HF70">
            <v>7.82446999510441</v>
          </cell>
        </row>
        <row r="89">
          <cell r="FZ89">
            <v>371.02991539</v>
          </cell>
          <cell r="GA89">
            <v>377.94753075</v>
          </cell>
          <cell r="GB89">
            <v>365.07743747</v>
          </cell>
          <cell r="GC89">
            <v>368.05545036</v>
          </cell>
          <cell r="GD89">
            <v>369.36305401</v>
          </cell>
          <cell r="GE89">
            <v>350.88688923</v>
          </cell>
          <cell r="GF89">
            <v>366.331681014922</v>
          </cell>
          <cell r="GG89">
            <v>371.563248967857</v>
          </cell>
          <cell r="GH89">
            <v>391.185336520712</v>
          </cell>
          <cell r="GI89">
            <v>380.169319439924</v>
          </cell>
          <cell r="GJ89">
            <v>374.795511988645</v>
          </cell>
          <cell r="GK89">
            <v>390.892458433973</v>
          </cell>
        </row>
        <row r="89">
          <cell r="GU89">
            <v>383.159643796563</v>
          </cell>
          <cell r="GV89">
            <v>390.305974507046</v>
          </cell>
          <cell r="GW89">
            <v>377.016124556794</v>
          </cell>
          <cell r="GX89">
            <v>380.091431623491</v>
          </cell>
          <cell r="GY89">
            <v>381.442259172938</v>
          </cell>
          <cell r="GZ89">
            <v>362.351081616771</v>
          </cell>
          <cell r="HA89">
            <v>378.299478259032</v>
          </cell>
          <cell r="HB89">
            <v>383.700806352581</v>
          </cell>
          <cell r="HC89">
            <v>403.961768072788</v>
          </cell>
          <cell r="HD89">
            <v>392.583767820985</v>
          </cell>
          <cell r="HE89">
            <v>387.039093310553</v>
          </cell>
          <cell r="HF89">
            <v>403.678292093048</v>
          </cell>
        </row>
        <row r="104">
          <cell r="FZ104">
            <v>0.036079</v>
          </cell>
          <cell r="GA104">
            <v>0.11303</v>
          </cell>
          <cell r="GB104">
            <v>0.065522</v>
          </cell>
          <cell r="GC104">
            <v>0.068976</v>
          </cell>
          <cell r="GD104">
            <v>0.007176</v>
          </cell>
          <cell r="GE104">
            <v>0.01305</v>
          </cell>
          <cell r="GF104">
            <v>0</v>
          </cell>
          <cell r="GG104">
            <v>0.06585222</v>
          </cell>
          <cell r="GH104">
            <v>0.1036575</v>
          </cell>
          <cell r="GI104">
            <v>0.04157826</v>
          </cell>
          <cell r="GJ104">
            <v>0.01487364</v>
          </cell>
          <cell r="GK104">
            <v>0</v>
          </cell>
        </row>
        <row r="104">
          <cell r="GU104">
            <v>0.03680058</v>
          </cell>
          <cell r="GV104">
            <v>0.1152906</v>
          </cell>
          <cell r="GW104">
            <v>0.06683244</v>
          </cell>
          <cell r="GX104">
            <v>0.07035552</v>
          </cell>
          <cell r="GY104">
            <v>0.00731952</v>
          </cell>
          <cell r="GZ104">
            <v>0.013311</v>
          </cell>
          <cell r="HA104">
            <v>0</v>
          </cell>
          <cell r="HB104">
            <v>0.0671692644</v>
          </cell>
          <cell r="HC104">
            <v>0.10573065</v>
          </cell>
          <cell r="HD104">
            <v>0.0424098252</v>
          </cell>
          <cell r="HE104">
            <v>0.0151711128</v>
          </cell>
          <cell r="HF104">
            <v>0</v>
          </cell>
        </row>
        <row r="110">
          <cell r="FZ110">
            <v>216.4932099</v>
          </cell>
          <cell r="GA110">
            <v>218.44651928</v>
          </cell>
          <cell r="GB110">
            <v>201.98000415</v>
          </cell>
          <cell r="GC110">
            <v>191.11844945</v>
          </cell>
          <cell r="GD110">
            <v>199.10354226</v>
          </cell>
          <cell r="GE110">
            <v>181.37157064</v>
          </cell>
          <cell r="GF110">
            <v>195.216973651402</v>
          </cell>
          <cell r="GG110">
            <v>180.848068309747</v>
          </cell>
          <cell r="GH110">
            <v>167.266048375238</v>
          </cell>
          <cell r="GI110">
            <v>167.705432966474</v>
          </cell>
          <cell r="GJ110">
            <v>183.796417825566</v>
          </cell>
          <cell r="GK110">
            <v>218.921353714532</v>
          </cell>
        </row>
        <row r="110">
          <cell r="GU110">
            <v>239.962201049343</v>
          </cell>
          <cell r="GV110">
            <v>242.12725933626</v>
          </cell>
          <cell r="GW110">
            <v>223.875688231409</v>
          </cell>
          <cell r="GX110">
            <v>211.836684450026</v>
          </cell>
          <cell r="GY110">
            <v>220.687402895912</v>
          </cell>
          <cell r="GZ110">
            <v>201.033193228804</v>
          </cell>
          <cell r="HA110">
            <v>216.379510014287</v>
          </cell>
          <cell r="HB110">
            <v>200.452940520279</v>
          </cell>
          <cell r="HC110">
            <v>185.398558908559</v>
          </cell>
          <cell r="HD110">
            <v>185.88557507719</v>
          </cell>
          <cell r="HE110">
            <v>203.720906474525</v>
          </cell>
          <cell r="HF110">
            <v>242.653568295773</v>
          </cell>
        </row>
        <row r="115">
          <cell r="FZ115">
            <v>0.032966</v>
          </cell>
          <cell r="GA115">
            <v>0.045518</v>
          </cell>
          <cell r="GB115">
            <v>0.04094</v>
          </cell>
          <cell r="GC115">
            <v>0.027225</v>
          </cell>
          <cell r="GD115">
            <v>0.034339</v>
          </cell>
          <cell r="GE115">
            <v>0.025258</v>
          </cell>
          <cell r="GF115">
            <v>0.0280027</v>
          </cell>
          <cell r="GG115">
            <v>0.0285692</v>
          </cell>
          <cell r="GH115">
            <v>0.0311421</v>
          </cell>
          <cell r="GI115">
            <v>0.0311894</v>
          </cell>
          <cell r="GJ115">
            <v>0.0325149</v>
          </cell>
          <cell r="GK115">
            <v>0.0367917</v>
          </cell>
        </row>
        <row r="115">
          <cell r="GU115">
            <v>0.0385511103943269</v>
          </cell>
          <cell r="GV115">
            <v>0.0532296742986401</v>
          </cell>
          <cell r="GW115">
            <v>0.0478760680562926</v>
          </cell>
          <cell r="GX115">
            <v>0.0318374683154022</v>
          </cell>
          <cell r="GY115">
            <v>0.0401567244989016</v>
          </cell>
          <cell r="GZ115">
            <v>0.0295372185384914</v>
          </cell>
          <cell r="HA115">
            <v>0.03274692650122</v>
          </cell>
          <cell r="HB115">
            <v>0.0334094031146516</v>
          </cell>
          <cell r="HC115">
            <v>0.0364182046657516</v>
          </cell>
          <cell r="HD115">
            <v>0.0364735182470672</v>
          </cell>
          <cell r="HE115">
            <v>0.0380235848862616</v>
          </cell>
          <cell r="HF115">
            <v>0.0430249617270811</v>
          </cell>
        </row>
        <row r="120">
          <cell r="FZ120">
            <v>0.494677</v>
          </cell>
          <cell r="GA120">
            <v>0.53696</v>
          </cell>
          <cell r="GB120">
            <v>0.487474</v>
          </cell>
          <cell r="GC120">
            <v>0.448431</v>
          </cell>
          <cell r="GD120">
            <v>0.472652</v>
          </cell>
          <cell r="GE120">
            <v>0.406715</v>
          </cell>
          <cell r="GF120">
            <v>0.430288783270686</v>
          </cell>
          <cell r="GG120">
            <v>0.401585157998222</v>
          </cell>
          <cell r="GH120">
            <v>0.376765871538654</v>
          </cell>
          <cell r="GI120">
            <v>0.396380336760099</v>
          </cell>
          <cell r="GJ120">
            <v>0.415936970634454</v>
          </cell>
          <cell r="GK120">
            <v>0.509480245503814</v>
          </cell>
        </row>
        <row r="120">
          <cell r="GU120">
            <v>0.550117565762414</v>
          </cell>
          <cell r="GV120">
            <v>0.597139402300462</v>
          </cell>
          <cell r="GW120">
            <v>0.542107294765002</v>
          </cell>
          <cell r="GX120">
            <v>0.498688578875519</v>
          </cell>
          <cell r="GY120">
            <v>0.525624129872091</v>
          </cell>
          <cell r="GZ120">
            <v>0.452297288450969</v>
          </cell>
          <cell r="HA120">
            <v>0.478513086373008</v>
          </cell>
          <cell r="HB120">
            <v>0.446592523129833</v>
          </cell>
          <cell r="HC120">
            <v>0.418991633152944</v>
          </cell>
          <cell r="HD120">
            <v>0.440804375328854</v>
          </cell>
          <cell r="HE120">
            <v>0.46255280475142</v>
          </cell>
          <cell r="HF120">
            <v>0.56657987426259</v>
          </cell>
        </row>
        <row r="126">
          <cell r="FZ126">
            <v>0.64108</v>
          </cell>
          <cell r="GA126">
            <v>0.460351</v>
          </cell>
          <cell r="GB126">
            <v>0.6441965</v>
          </cell>
          <cell r="GC126">
            <v>1.189546</v>
          </cell>
          <cell r="GD126">
            <v>4.05591966</v>
          </cell>
          <cell r="GE126">
            <v>5.056476</v>
          </cell>
          <cell r="GF126">
            <v>3.47250435</v>
          </cell>
          <cell r="GG126">
            <v>1.4755936965</v>
          </cell>
          <cell r="GH126">
            <v>1.3002822</v>
          </cell>
          <cell r="GI126">
            <v>1.627443825</v>
          </cell>
          <cell r="GJ126">
            <v>1.8946179</v>
          </cell>
          <cell r="GK126">
            <v>0.89983425</v>
          </cell>
        </row>
        <row r="126">
          <cell r="GU126">
            <v>0.705188</v>
          </cell>
          <cell r="GV126">
            <v>0.5063861</v>
          </cell>
          <cell r="GW126">
            <v>0.70861615</v>
          </cell>
          <cell r="GX126">
            <v>1.3085006</v>
          </cell>
          <cell r="GY126">
            <v>4.461511626</v>
          </cell>
          <cell r="GZ126">
            <v>5.5621236</v>
          </cell>
          <cell r="HA126">
            <v>3.819754785</v>
          </cell>
          <cell r="HB126">
            <v>1.62315306615</v>
          </cell>
          <cell r="HC126">
            <v>1.43031042</v>
          </cell>
          <cell r="HD126">
            <v>1.7901882075</v>
          </cell>
          <cell r="HE126">
            <v>2.08407969</v>
          </cell>
          <cell r="HF126">
            <v>0.989817675</v>
          </cell>
        </row>
        <row r="127">
          <cell r="FZ127">
            <v>11.40967797</v>
          </cell>
          <cell r="GA127">
            <v>10.935429</v>
          </cell>
          <cell r="GB127">
            <v>10.861318</v>
          </cell>
          <cell r="GC127">
            <v>11.344954</v>
          </cell>
          <cell r="GD127">
            <v>11.065705</v>
          </cell>
          <cell r="GE127">
            <v>9.77078966</v>
          </cell>
          <cell r="GF127">
            <v>11.04266892</v>
          </cell>
          <cell r="GG127">
            <v>11.07449904</v>
          </cell>
          <cell r="GH127">
            <v>11.2215861</v>
          </cell>
          <cell r="GI127">
            <v>11.3966742</v>
          </cell>
          <cell r="GJ127">
            <v>10.699981866</v>
          </cell>
          <cell r="GK127">
            <v>11.680368126</v>
          </cell>
        </row>
        <row r="127">
          <cell r="GU127">
            <v>11.8845933923302</v>
          </cell>
          <cell r="GV127">
            <v>11.3906043253292</v>
          </cell>
          <cell r="GW127">
            <v>11.3134085356483</v>
          </cell>
          <cell r="GX127">
            <v>11.8171753575522</v>
          </cell>
          <cell r="GY127">
            <v>11.5263029219812</v>
          </cell>
          <cell r="GZ127">
            <v>10.1774881408931</v>
          </cell>
          <cell r="HA127">
            <v>11.5023079902335</v>
          </cell>
          <cell r="HB127">
            <v>11.535463004321</v>
          </cell>
          <cell r="HC127">
            <v>11.688672403041</v>
          </cell>
          <cell r="HD127">
            <v>11.8710483545628</v>
          </cell>
          <cell r="HE127">
            <v>11.1453569607378</v>
          </cell>
          <cell r="HF127">
            <v>12.1665507313388</v>
          </cell>
        </row>
        <row r="128"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</row>
        <row r="131">
          <cell r="FZ131">
            <v>28.249295</v>
          </cell>
          <cell r="GA131">
            <v>28.392058</v>
          </cell>
          <cell r="GB131">
            <v>23.110011</v>
          </cell>
          <cell r="GC131">
            <v>20.074745</v>
          </cell>
          <cell r="GD131">
            <v>21.62070752</v>
          </cell>
          <cell r="GE131">
            <v>19.737246</v>
          </cell>
          <cell r="GF131">
            <v>20.8913440187174</v>
          </cell>
          <cell r="GG131">
            <v>19.7538752145225</v>
          </cell>
          <cell r="GH131">
            <v>18.9813289969504</v>
          </cell>
          <cell r="GI131">
            <v>19.4466971582325</v>
          </cell>
          <cell r="GJ131">
            <v>20.5047736829341</v>
          </cell>
          <cell r="GK131">
            <v>28.1725027659992</v>
          </cell>
        </row>
        <row r="131">
          <cell r="GU131">
            <v>34.575106914225</v>
          </cell>
          <cell r="GV131">
            <v>34.7498385664094</v>
          </cell>
          <cell r="GW131">
            <v>28.284992638362</v>
          </cell>
          <cell r="GX131">
            <v>24.5700451869968</v>
          </cell>
          <cell r="GY131">
            <v>26.4621922092282</v>
          </cell>
          <cell r="GZ131">
            <v>24.1569706657231</v>
          </cell>
          <cell r="HA131">
            <v>25.5695037001458</v>
          </cell>
          <cell r="HB131">
            <v>24.1773236292224</v>
          </cell>
          <cell r="HC131">
            <v>23.2317825787737</v>
          </cell>
          <cell r="HD131">
            <v>23.8013597640027</v>
          </cell>
          <cell r="HE131">
            <v>25.0963693904373</v>
          </cell>
          <cell r="HF131">
            <v>34.481118738564</v>
          </cell>
        </row>
        <row r="132">
          <cell r="FZ132">
            <v>17.943229</v>
          </cell>
          <cell r="GA132">
            <v>18.381461</v>
          </cell>
          <cell r="GB132">
            <v>17.56183</v>
          </cell>
          <cell r="GC132">
            <v>17.7263795</v>
          </cell>
          <cell r="GD132">
            <v>19.3194503</v>
          </cell>
          <cell r="GE132">
            <v>18.643204</v>
          </cell>
          <cell r="GF132">
            <v>19.1451405518764</v>
          </cell>
          <cell r="GG132">
            <v>18.3923158207939</v>
          </cell>
          <cell r="GH132">
            <v>19.039909783616</v>
          </cell>
          <cell r="GI132">
            <v>18.4426278854102</v>
          </cell>
          <cell r="GJ132">
            <v>18.6719264607075</v>
          </cell>
          <cell r="GK132">
            <v>20.9350888646323</v>
          </cell>
        </row>
        <row r="132">
          <cell r="GU132">
            <v>21.7466218993625</v>
          </cell>
          <cell r="GV132">
            <v>22.2777451218439</v>
          </cell>
          <cell r="GW132">
            <v>21.2843784622534</v>
          </cell>
          <cell r="GX132">
            <v>21.483807213914</v>
          </cell>
          <cell r="GY132">
            <v>23.4145582702882</v>
          </cell>
          <cell r="GZ132">
            <v>22.5949692990421</v>
          </cell>
          <cell r="HA132">
            <v>23.203300408851</v>
          </cell>
          <cell r="HB132">
            <v>22.2909008188252</v>
          </cell>
          <cell r="HC132">
            <v>23.075764070239</v>
          </cell>
          <cell r="HD132">
            <v>22.3518774382613</v>
          </cell>
          <cell r="HE132">
            <v>22.6297800063583</v>
          </cell>
          <cell r="HF132">
            <v>25.3726607384163</v>
          </cell>
        </row>
        <row r="133"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</row>
        <row r="133"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</row>
        <row r="134">
          <cell r="FZ134">
            <v>1.669103</v>
          </cell>
          <cell r="GA134">
            <v>1.712996</v>
          </cell>
          <cell r="GB134">
            <v>1.7582</v>
          </cell>
          <cell r="GC134">
            <v>1.922402</v>
          </cell>
          <cell r="GD134">
            <v>1.993346</v>
          </cell>
          <cell r="GE134">
            <v>1.940024</v>
          </cell>
          <cell r="GF134">
            <v>3.05261198992799</v>
          </cell>
          <cell r="GG134">
            <v>3.03011171926653</v>
          </cell>
          <cell r="GH134">
            <v>3.10229954985464</v>
          </cell>
          <cell r="GI134">
            <v>3.24098699215104</v>
          </cell>
          <cell r="GJ134">
            <v>3.3405446512812</v>
          </cell>
          <cell r="GK134">
            <v>3.75591369768454</v>
          </cell>
        </row>
        <row r="134">
          <cell r="GU134">
            <v>4.06494584337174</v>
          </cell>
          <cell r="GV134">
            <v>4.1679673230261</v>
          </cell>
          <cell r="GW134">
            <v>4.27406585733217</v>
          </cell>
          <cell r="GX134">
            <v>4.65946519212829</v>
          </cell>
          <cell r="GY134">
            <v>4.82597820906947</v>
          </cell>
          <cell r="GZ134">
            <v>4.70082587639387</v>
          </cell>
          <cell r="HA134">
            <v>6.97113093863701</v>
          </cell>
          <cell r="HB134">
            <v>6.91832044092286</v>
          </cell>
          <cell r="HC134">
            <v>7.08775285885342</v>
          </cell>
          <cell r="HD134">
            <v>7.41326684775493</v>
          </cell>
          <cell r="HE134">
            <v>7.6469391270367</v>
          </cell>
          <cell r="HF134">
            <v>8.62185389164826</v>
          </cell>
        </row>
        <row r="152">
          <cell r="FZ152">
            <v>533.350611</v>
          </cell>
          <cell r="GA152">
            <v>553.6486715</v>
          </cell>
          <cell r="GB152">
            <v>537.0933435</v>
          </cell>
          <cell r="GC152">
            <v>557.26764</v>
          </cell>
          <cell r="GD152">
            <v>551.042643</v>
          </cell>
          <cell r="GE152">
            <v>531.631739</v>
          </cell>
          <cell r="GF152">
            <v>578.632106747905</v>
          </cell>
          <cell r="GG152">
            <v>580.674673187302</v>
          </cell>
          <cell r="GH152">
            <v>591.557659865538</v>
          </cell>
          <cell r="GI152">
            <v>589.088067000305</v>
          </cell>
          <cell r="GJ152">
            <v>574.609416881727</v>
          </cell>
          <cell r="GK152">
            <v>637.282967137851</v>
          </cell>
        </row>
        <row r="152">
          <cell r="GU152">
            <v>623.935056201096</v>
          </cell>
          <cell r="GV152">
            <v>646.524108193904</v>
          </cell>
          <cell r="GW152">
            <v>628.099047474905</v>
          </cell>
          <cell r="GX152">
            <v>650.551077003482</v>
          </cell>
          <cell r="GY152">
            <v>643.624121835666</v>
          </cell>
          <cell r="GZ152">
            <v>622.020001088752</v>
          </cell>
          <cell r="HA152">
            <v>630.168382790344</v>
          </cell>
          <cell r="HB152">
            <v>632.449524833974</v>
          </cell>
          <cell r="HC152">
            <v>644.55988302985</v>
          </cell>
          <cell r="HD152">
            <v>641.806358183858</v>
          </cell>
          <cell r="HE152">
            <v>625.695968918626</v>
          </cell>
          <cell r="HF152">
            <v>695.481027691707</v>
          </cell>
        </row>
        <row r="168">
          <cell r="FZ168">
            <v>0</v>
          </cell>
          <cell r="GA168">
            <v>0</v>
          </cell>
          <cell r="GB168">
            <v>0</v>
          </cell>
          <cell r="GC168">
            <v>0.079</v>
          </cell>
          <cell r="GD168">
            <v>0.21518</v>
          </cell>
          <cell r="GE168">
            <v>0.24236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</row>
        <row r="168">
          <cell r="GU168">
            <v>0</v>
          </cell>
          <cell r="GV168">
            <v>0</v>
          </cell>
          <cell r="GW168">
            <v>0</v>
          </cell>
          <cell r="GX168">
            <v>0.079</v>
          </cell>
          <cell r="GY168">
            <v>0.21518</v>
          </cell>
          <cell r="GZ168">
            <v>0.24236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</row>
        <row r="174">
          <cell r="FZ174">
            <v>134.914149</v>
          </cell>
          <cell r="GA174">
            <v>146.880512</v>
          </cell>
          <cell r="GB174">
            <v>132.588437</v>
          </cell>
          <cell r="GC174">
            <v>127.954837</v>
          </cell>
          <cell r="GD174">
            <v>129.314542</v>
          </cell>
          <cell r="GE174">
            <v>120.469427</v>
          </cell>
          <cell r="GF174">
            <v>128.393052685963</v>
          </cell>
          <cell r="GG174">
            <v>128.393052685963</v>
          </cell>
          <cell r="GH174">
            <v>120.421323209205</v>
          </cell>
          <cell r="GI174">
            <v>121.570059155642</v>
          </cell>
          <cell r="GJ174">
            <v>124.194236619042</v>
          </cell>
          <cell r="GK174">
            <v>145.38265620254</v>
          </cell>
        </row>
        <row r="174">
          <cell r="GU174">
            <v>154.833174475594</v>
          </cell>
          <cell r="GV174">
            <v>168.289102555029</v>
          </cell>
          <cell r="GW174">
            <v>152.217959359231</v>
          </cell>
          <cell r="GX174">
            <v>147.007571846428</v>
          </cell>
          <cell r="GY174">
            <v>148.536532040034</v>
          </cell>
          <cell r="GZ174">
            <v>138.590382880566</v>
          </cell>
          <cell r="HA174">
            <v>144.080044981775</v>
          </cell>
          <cell r="HB174">
            <v>144.080044981775</v>
          </cell>
          <cell r="HC174">
            <v>135.115999807149</v>
          </cell>
          <cell r="HD174">
            <v>136.407729656687</v>
          </cell>
          <cell r="HE174">
            <v>139.358563023116</v>
          </cell>
          <cell r="HF174">
            <v>163.184503288547</v>
          </cell>
        </row>
        <row r="180">
          <cell r="FZ180">
            <v>0.46</v>
          </cell>
          <cell r="GA180">
            <v>0.5071</v>
          </cell>
          <cell r="GB180">
            <v>0.4328</v>
          </cell>
          <cell r="GC180">
            <v>0.3817</v>
          </cell>
          <cell r="GD180">
            <v>0.4027</v>
          </cell>
          <cell r="GE180">
            <v>0.3175</v>
          </cell>
          <cell r="GF180">
            <v>0.414838545201411</v>
          </cell>
          <cell r="GG180">
            <v>0.349983118618897</v>
          </cell>
          <cell r="GH180">
            <v>0.363581644700204</v>
          </cell>
          <cell r="GI180">
            <v>0.319446077594208</v>
          </cell>
          <cell r="GJ180">
            <v>0.359764514572118</v>
          </cell>
          <cell r="GK180">
            <v>0.4919326452571</v>
          </cell>
        </row>
        <row r="180">
          <cell r="GU180">
            <v>0.506</v>
          </cell>
          <cell r="GV180">
            <v>0.55781</v>
          </cell>
          <cell r="GW180">
            <v>0.47608</v>
          </cell>
          <cell r="GX180">
            <v>0.41987</v>
          </cell>
          <cell r="GY180">
            <v>0.44297</v>
          </cell>
          <cell r="GZ180">
            <v>0.34925</v>
          </cell>
          <cell r="HA180">
            <v>0.456322399721552</v>
          </cell>
          <cell r="HB180">
            <v>0.384981430480787</v>
          </cell>
          <cell r="HC180">
            <v>0.399939809170225</v>
          </cell>
          <cell r="HD180">
            <v>0.351390685353629</v>
          </cell>
          <cell r="HE180">
            <v>0.39574096602933</v>
          </cell>
          <cell r="HF180">
            <v>0.54112590978281</v>
          </cell>
        </row>
        <row r="185"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</row>
        <row r="185"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</row>
        <row r="191">
          <cell r="FZ191">
            <v>3.08936</v>
          </cell>
          <cell r="GA191">
            <v>2.462015</v>
          </cell>
          <cell r="GB191">
            <v>2.2556</v>
          </cell>
          <cell r="GC191">
            <v>3.01677</v>
          </cell>
          <cell r="GD191">
            <v>3.28349</v>
          </cell>
          <cell r="GE191">
            <v>4.18326</v>
          </cell>
          <cell r="GF191">
            <v>7.84505016909737</v>
          </cell>
          <cell r="GG191">
            <v>7.65935364898665</v>
          </cell>
          <cell r="GH191">
            <v>6.29154107360918</v>
          </cell>
          <cell r="GI191">
            <v>7.91093627213522</v>
          </cell>
          <cell r="GJ191">
            <v>8.11375932849489</v>
          </cell>
          <cell r="GK191">
            <v>10.05909444318</v>
          </cell>
        </row>
        <row r="191">
          <cell r="GU191">
            <v>4.02668706869306</v>
          </cell>
          <cell r="GV191">
            <v>3.20900250000917</v>
          </cell>
          <cell r="GW191">
            <v>2.93996017043791</v>
          </cell>
          <cell r="GX191">
            <v>3.93207290449192</v>
          </cell>
          <cell r="GY191">
            <v>4.27971706864301</v>
          </cell>
          <cell r="GZ191">
            <v>5.45248172662976</v>
          </cell>
          <cell r="HA191">
            <v>10.2252771024266</v>
          </cell>
          <cell r="HB191">
            <v>9.98323934178002</v>
          </cell>
          <cell r="HC191">
            <v>8.2004256814529</v>
          </cell>
          <cell r="HD191">
            <v>10.3111533742464</v>
          </cell>
          <cell r="HE191">
            <v>10.5755139467521</v>
          </cell>
          <cell r="HF191">
            <v>13.1110733346437</v>
          </cell>
        </row>
        <row r="192">
          <cell r="FZ192">
            <v>22.47356</v>
          </cell>
          <cell r="GA192">
            <v>22.98672</v>
          </cell>
          <cell r="GB192">
            <v>23.20929</v>
          </cell>
          <cell r="GC192">
            <v>23.19256</v>
          </cell>
          <cell r="GD192">
            <v>19.73561</v>
          </cell>
          <cell r="GE192">
            <v>20.79859</v>
          </cell>
          <cell r="GF192">
            <v>21.262399314591</v>
          </cell>
          <cell r="GG192">
            <v>22.5328977381782</v>
          </cell>
          <cell r="GH192">
            <v>21.8793971461067</v>
          </cell>
          <cell r="GI192">
            <v>23.1043863833685</v>
          </cell>
          <cell r="GJ192">
            <v>22.2207815734208</v>
          </cell>
          <cell r="GK192">
            <v>24.5707876734222</v>
          </cell>
        </row>
        <row r="192">
          <cell r="GU192">
            <v>23.6585725187103</v>
          </cell>
          <cell r="GV192">
            <v>24.1987910276471</v>
          </cell>
          <cell r="GW192">
            <v>24.4330969625096</v>
          </cell>
          <cell r="GX192">
            <v>24.4154848032328</v>
          </cell>
          <cell r="GY192">
            <v>20.7762526447071</v>
          </cell>
          <cell r="GZ192">
            <v>21.8952827145287</v>
          </cell>
          <cell r="HA192">
            <v>22.3835483166008</v>
          </cell>
          <cell r="HB192">
            <v>23.7210390875043</v>
          </cell>
          <cell r="HC192">
            <v>23.0330799413546</v>
          </cell>
          <cell r="HD192">
            <v>24.3226618635956</v>
          </cell>
          <cell r="HE192">
            <v>23.3924652915336</v>
          </cell>
          <cell r="HF192">
            <v>25.8663852995918</v>
          </cell>
        </row>
        <row r="193"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</row>
        <row r="194"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</row>
        <row r="194"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</row>
        <row r="196">
          <cell r="FZ196">
            <v>17.908041</v>
          </cell>
          <cell r="GA196">
            <v>17.589554</v>
          </cell>
          <cell r="GB196">
            <v>14.258168</v>
          </cell>
          <cell r="GC196">
            <v>12.196655</v>
          </cell>
          <cell r="GD196">
            <v>12.577469</v>
          </cell>
          <cell r="GE196">
            <v>11.811752</v>
          </cell>
          <cell r="GF196">
            <v>12.534100621611</v>
          </cell>
          <cell r="GG196">
            <v>11.6181163062077</v>
          </cell>
          <cell r="GH196">
            <v>11.2526953634955</v>
          </cell>
          <cell r="GI196">
            <v>11.2708522717985</v>
          </cell>
          <cell r="GJ196">
            <v>12.6628721579038</v>
          </cell>
          <cell r="GK196">
            <v>16.4832176470144</v>
          </cell>
        </row>
        <row r="196">
          <cell r="GU196">
            <v>20.8062084102657</v>
          </cell>
          <cell r="GV196">
            <v>20.4361787181313</v>
          </cell>
          <cell r="GW196">
            <v>16.565654219609</v>
          </cell>
          <cell r="GX196">
            <v>14.1705140075405</v>
          </cell>
          <cell r="GY196">
            <v>14.6129574579183</v>
          </cell>
          <cell r="GZ196">
            <v>13.7233198093735</v>
          </cell>
          <cell r="HA196">
            <v>14.5625705105589</v>
          </cell>
          <cell r="HB196">
            <v>13.4983468711996</v>
          </cell>
          <cell r="HC196">
            <v>13.0737876303789</v>
          </cell>
          <cell r="HD196">
            <v>13.0948829818044</v>
          </cell>
          <cell r="HE196">
            <v>14.7121819293298</v>
          </cell>
          <cell r="HF196">
            <v>19.1507972109039</v>
          </cell>
        </row>
        <row r="197">
          <cell r="FZ197">
            <v>2.21555</v>
          </cell>
          <cell r="GA197">
            <v>2.22663</v>
          </cell>
          <cell r="GB197">
            <v>4.0924</v>
          </cell>
          <cell r="GC197">
            <v>3.75989</v>
          </cell>
          <cell r="GD197">
            <v>2.43124</v>
          </cell>
          <cell r="GE197">
            <v>2.67176</v>
          </cell>
          <cell r="GF197">
            <v>4.72313031594753</v>
          </cell>
          <cell r="GG197">
            <v>2.67173815299996</v>
          </cell>
          <cell r="GH197">
            <v>2.57684967654258</v>
          </cell>
          <cell r="GI197">
            <v>2.54857426644906</v>
          </cell>
          <cell r="GJ197">
            <v>2.72142438675269</v>
          </cell>
          <cell r="GK197">
            <v>2.77808421806731</v>
          </cell>
        </row>
        <row r="197">
          <cell r="GU197">
            <v>2.259861</v>
          </cell>
          <cell r="GV197">
            <v>2.2711626</v>
          </cell>
          <cell r="GW197">
            <v>4.174248</v>
          </cell>
          <cell r="GX197">
            <v>3.8350878</v>
          </cell>
          <cell r="GY197">
            <v>2.4798648</v>
          </cell>
          <cell r="GZ197">
            <v>2.7251952</v>
          </cell>
          <cell r="HA197">
            <v>4.81759292226648</v>
          </cell>
          <cell r="HB197">
            <v>2.72517291605996</v>
          </cell>
          <cell r="HC197">
            <v>2.62838667007343</v>
          </cell>
          <cell r="HD197">
            <v>2.59954575177804</v>
          </cell>
          <cell r="HE197">
            <v>2.77585287448774</v>
          </cell>
          <cell r="HF197">
            <v>2.83364590242865</v>
          </cell>
        </row>
        <row r="198">
          <cell r="GU198">
            <v>0</v>
          </cell>
          <cell r="GV198">
            <v>0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</row>
        <row r="212">
          <cell r="FZ212">
            <v>363.394988</v>
          </cell>
          <cell r="GA212">
            <v>387.297409</v>
          </cell>
          <cell r="GB212">
            <v>379.030591</v>
          </cell>
          <cell r="GC212">
            <v>384.849637</v>
          </cell>
          <cell r="GD212">
            <v>406.636836</v>
          </cell>
          <cell r="GE212">
            <v>369.470139</v>
          </cell>
          <cell r="GF212">
            <v>413.502791512084</v>
          </cell>
          <cell r="GG212">
            <v>407.274543931303</v>
          </cell>
          <cell r="GH212">
            <v>413.657541826264</v>
          </cell>
          <cell r="GI212">
            <v>407.16165060954</v>
          </cell>
          <cell r="GJ212">
            <v>376.120666739982</v>
          </cell>
          <cell r="GK212">
            <v>408.070215723041</v>
          </cell>
        </row>
        <row r="212">
          <cell r="GU212">
            <v>385.100766483558</v>
          </cell>
          <cell r="GV212">
            <v>410.618119073842</v>
          </cell>
          <cell r="GW212">
            <v>401.990690682173</v>
          </cell>
          <cell r="GX212">
            <v>407.950246634222</v>
          </cell>
          <cell r="GY212">
            <v>431.263274159475</v>
          </cell>
          <cell r="GZ212">
            <v>391.802007877588</v>
          </cell>
          <cell r="HA212">
            <v>439.161260961195</v>
          </cell>
          <cell r="HB212">
            <v>432.090961827283</v>
          </cell>
          <cell r="HC212">
            <v>438.744840491775</v>
          </cell>
          <cell r="HD212">
            <v>432.090130864544</v>
          </cell>
          <cell r="HE212">
            <v>398.85509532451</v>
          </cell>
          <cell r="HF212">
            <v>432.807624153648</v>
          </cell>
        </row>
        <row r="222">
          <cell r="FZ222">
            <v>12.44</v>
          </cell>
          <cell r="GA222">
            <v>13.28</v>
          </cell>
          <cell r="GB222">
            <v>15.55</v>
          </cell>
          <cell r="GC222">
            <v>14.07</v>
          </cell>
          <cell r="GD222">
            <v>13.15</v>
          </cell>
          <cell r="GE222">
            <v>5.2</v>
          </cell>
          <cell r="GF222">
            <v>14.813835</v>
          </cell>
          <cell r="GG222">
            <v>10.4765</v>
          </cell>
          <cell r="GH222">
            <v>12.8933</v>
          </cell>
          <cell r="GI222">
            <v>13.8759</v>
          </cell>
          <cell r="GJ222">
            <v>12.5152</v>
          </cell>
          <cell r="GK222">
            <v>11.67</v>
          </cell>
        </row>
        <row r="222">
          <cell r="GU222">
            <v>12.6888</v>
          </cell>
          <cell r="GV222">
            <v>13.5456</v>
          </cell>
          <cell r="GW222">
            <v>15.861</v>
          </cell>
          <cell r="GX222">
            <v>14.3514</v>
          </cell>
          <cell r="GY222">
            <v>13.413</v>
          </cell>
          <cell r="GZ222">
            <v>5.304</v>
          </cell>
          <cell r="HA222">
            <v>15.1101117</v>
          </cell>
          <cell r="HB222">
            <v>10.68603</v>
          </cell>
          <cell r="HC222">
            <v>13.151166</v>
          </cell>
          <cell r="HD222">
            <v>14.153418</v>
          </cell>
          <cell r="HE222">
            <v>12.765504</v>
          </cell>
          <cell r="HF222">
            <v>11.9034</v>
          </cell>
        </row>
        <row r="228">
          <cell r="FZ228">
            <v>17.11</v>
          </cell>
          <cell r="GA228">
            <v>19.17</v>
          </cell>
          <cell r="GB228">
            <v>18.42</v>
          </cell>
          <cell r="GC228">
            <v>18.36</v>
          </cell>
          <cell r="GD228">
            <v>18.46</v>
          </cell>
          <cell r="GE228">
            <v>17.83</v>
          </cell>
          <cell r="GF228">
            <v>13.0863786596344</v>
          </cell>
          <cell r="GG228">
            <v>13.6563521071289</v>
          </cell>
          <cell r="GH228">
            <v>13.5832950253413</v>
          </cell>
          <cell r="GI228">
            <v>13.684506029985</v>
          </cell>
          <cell r="GJ228">
            <v>16.1801422052482</v>
          </cell>
          <cell r="GK228">
            <v>23.0698774782743</v>
          </cell>
        </row>
        <row r="228">
          <cell r="GU228">
            <v>29.1890955201412</v>
          </cell>
          <cell r="GV228">
            <v>32.7033875582178</v>
          </cell>
          <cell r="GW228">
            <v>31.4239123016365</v>
          </cell>
          <cell r="GX228">
            <v>31.32155428111</v>
          </cell>
          <cell r="GY228">
            <v>31.4921509819875</v>
          </cell>
          <cell r="GZ228">
            <v>30.4173917664592</v>
          </cell>
          <cell r="HA228">
            <v>22.3249302576742</v>
          </cell>
          <cell r="HB228">
            <v>23.2972861549776</v>
          </cell>
          <cell r="HC228">
            <v>23.1726531836905</v>
          </cell>
          <cell r="HD228">
            <v>23.3453158185376</v>
          </cell>
          <cell r="HE228">
            <v>27.6027887994423</v>
          </cell>
          <cell r="HF228">
            <v>39.3564498744186</v>
          </cell>
        </row>
        <row r="233"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</row>
        <row r="233">
          <cell r="GU233">
            <v>0</v>
          </cell>
          <cell r="GV233">
            <v>0</v>
          </cell>
          <cell r="GW233">
            <v>0</v>
          </cell>
          <cell r="GX233">
            <v>0</v>
          </cell>
          <cell r="GY233">
            <v>0</v>
          </cell>
          <cell r="GZ233">
            <v>0</v>
          </cell>
          <cell r="HA233">
            <v>0</v>
          </cell>
          <cell r="HB233">
            <v>0</v>
          </cell>
          <cell r="HC233">
            <v>0</v>
          </cell>
          <cell r="HD233">
            <v>0</v>
          </cell>
          <cell r="HE233">
            <v>0</v>
          </cell>
          <cell r="HF233">
            <v>0</v>
          </cell>
        </row>
        <row r="238">
          <cell r="FZ238">
            <v>9.23</v>
          </cell>
          <cell r="GA238">
            <v>10.89</v>
          </cell>
          <cell r="GB238">
            <v>10.08</v>
          </cell>
          <cell r="GC238">
            <v>9.59</v>
          </cell>
          <cell r="GD238">
            <v>9.64</v>
          </cell>
          <cell r="GE238">
            <v>8.87</v>
          </cell>
          <cell r="GF238">
            <v>8.51505367221564</v>
          </cell>
          <cell r="GG238">
            <v>8.68343388019102</v>
          </cell>
          <cell r="GH238">
            <v>7.72501870648385</v>
          </cell>
          <cell r="GI238">
            <v>7.74932785318944</v>
          </cell>
          <cell r="GJ238">
            <v>8.64665030293915</v>
          </cell>
          <cell r="GK238">
            <v>10.3451289069945</v>
          </cell>
        </row>
        <row r="238">
          <cell r="GU238">
            <v>11.2196826647101</v>
          </cell>
          <cell r="GV238">
            <v>13.2375237506709</v>
          </cell>
          <cell r="GW238">
            <v>12.2529145460756</v>
          </cell>
          <cell r="GX238">
            <v>11.6572867556413</v>
          </cell>
          <cell r="GY238">
            <v>11.718065101604</v>
          </cell>
          <cell r="GZ238">
            <v>10.7820785737788</v>
          </cell>
          <cell r="HA238">
            <v>10.3506175596136</v>
          </cell>
          <cell r="HB238">
            <v>10.5552949702855</v>
          </cell>
          <cell r="HC238">
            <v>9.39027719021645</v>
          </cell>
          <cell r="HD238">
            <v>9.41982658478704</v>
          </cell>
          <cell r="HE238">
            <v>10.5105820706063</v>
          </cell>
          <cell r="HF238">
            <v>12.5751964747559</v>
          </cell>
        </row>
        <row r="244">
          <cell r="FZ244">
            <v>38.92</v>
          </cell>
          <cell r="GA244">
            <v>24.2</v>
          </cell>
          <cell r="GB244">
            <v>53</v>
          </cell>
          <cell r="GC244">
            <v>118.56</v>
          </cell>
          <cell r="GD244">
            <v>419.87</v>
          </cell>
          <cell r="GE244">
            <v>278.27</v>
          </cell>
          <cell r="GF244">
            <v>208.2941450016</v>
          </cell>
          <cell r="GG244">
            <v>196.9552320552</v>
          </cell>
          <cell r="GH244">
            <v>58.7599559796</v>
          </cell>
          <cell r="GI244">
            <v>40.686242613</v>
          </cell>
          <cell r="GJ244">
            <v>50.7671475762</v>
          </cell>
          <cell r="GK244">
            <v>34.2156515586</v>
          </cell>
        </row>
        <row r="244">
          <cell r="GU244">
            <v>42.0336</v>
          </cell>
          <cell r="GV244">
            <v>26.136</v>
          </cell>
          <cell r="GW244">
            <v>57.24</v>
          </cell>
          <cell r="GX244">
            <v>128.0448</v>
          </cell>
          <cell r="GY244">
            <v>453.4596</v>
          </cell>
          <cell r="GZ244">
            <v>300.5316</v>
          </cell>
          <cell r="HA244">
            <v>224.957676601728</v>
          </cell>
          <cell r="HB244">
            <v>212.711650619616</v>
          </cell>
          <cell r="HC244">
            <v>63.460752457968</v>
          </cell>
          <cell r="HD244">
            <v>43.94114202204</v>
          </cell>
          <cell r="HE244">
            <v>54.828519382296</v>
          </cell>
          <cell r="HF244">
            <v>36.952903683288</v>
          </cell>
        </row>
        <row r="246">
          <cell r="FZ246">
            <v>24.526</v>
          </cell>
          <cell r="GA246">
            <v>25.21</v>
          </cell>
          <cell r="GB246">
            <v>24.09</v>
          </cell>
          <cell r="GC246">
            <v>24.89</v>
          </cell>
          <cell r="GD246">
            <v>23.95</v>
          </cell>
          <cell r="GE246">
            <v>20.49</v>
          </cell>
          <cell r="GF246">
            <v>23.8543820129772</v>
          </cell>
          <cell r="GG246">
            <v>24.8596508676083</v>
          </cell>
          <cell r="GH246">
            <v>26.3634203652417</v>
          </cell>
          <cell r="GI246">
            <v>24.7745919281419</v>
          </cell>
          <cell r="GJ246">
            <v>21.9709159898755</v>
          </cell>
          <cell r="GK246">
            <v>26.5448006973546</v>
          </cell>
        </row>
        <row r="246">
          <cell r="GU246">
            <v>26.21429181895</v>
          </cell>
          <cell r="GV246">
            <v>26.9453762030388</v>
          </cell>
          <cell r="GW246">
            <v>25.7482789659343</v>
          </cell>
          <cell r="GX246">
            <v>26.6033484210089</v>
          </cell>
          <cell r="GY246">
            <v>25.5986418112962</v>
          </cell>
          <cell r="GZ246">
            <v>21.9004664180985</v>
          </cell>
          <cell r="HA246">
            <v>25.4964417862226</v>
          </cell>
          <cell r="HB246">
            <v>26.5709101508887</v>
          </cell>
          <cell r="HC246">
            <v>28.1781943570127</v>
          </cell>
          <cell r="HD246">
            <v>26.4799960246153</v>
          </cell>
          <cell r="HE246">
            <v>23.4833239536912</v>
          </cell>
          <cell r="HF246">
            <v>28.372060334189</v>
          </cell>
        </row>
        <row r="247"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</row>
        <row r="249">
          <cell r="FZ249">
            <v>43.90424</v>
          </cell>
          <cell r="GA249">
            <v>46.55</v>
          </cell>
          <cell r="GB249">
            <v>44.128555</v>
          </cell>
          <cell r="GC249">
            <v>43.677035</v>
          </cell>
          <cell r="GD249">
            <v>44.33</v>
          </cell>
          <cell r="GE249">
            <v>43.01</v>
          </cell>
          <cell r="GF249">
            <v>57.2858423956295</v>
          </cell>
          <cell r="GG249">
            <v>55.1218255843115</v>
          </cell>
          <cell r="GH249">
            <v>54.6626772694693</v>
          </cell>
          <cell r="GI249">
            <v>57.0432829998541</v>
          </cell>
          <cell r="GJ249">
            <v>53.5720322744226</v>
          </cell>
          <cell r="GK249">
            <v>58.4925046162289</v>
          </cell>
        </row>
        <row r="249">
          <cell r="GU249">
            <v>52.3366261455509</v>
          </cell>
          <cell r="GV249">
            <v>55.4905391159349</v>
          </cell>
          <cell r="GW249">
            <v>52.604023788554</v>
          </cell>
          <cell r="GX249">
            <v>52.0657834400765</v>
          </cell>
          <cell r="GY249">
            <v>52.8441589475703</v>
          </cell>
          <cell r="GZ249">
            <v>51.2706356042183</v>
          </cell>
          <cell r="HA249">
            <v>68.288341100837</v>
          </cell>
          <cell r="HB249">
            <v>65.7086964280984</v>
          </cell>
          <cell r="HC249">
            <v>65.1613626466856</v>
          </cell>
          <cell r="HD249">
            <v>67.9991949861385</v>
          </cell>
          <cell r="HE249">
            <v>63.8612449504613</v>
          </cell>
          <cell r="HF249">
            <v>69.7267586551204</v>
          </cell>
        </row>
        <row r="250">
          <cell r="GF250">
            <v>56.5158333333333</v>
          </cell>
          <cell r="GG250">
            <v>56.5158333333333</v>
          </cell>
          <cell r="GH250">
            <v>56.5158333333333</v>
          </cell>
          <cell r="GI250">
            <v>56.5158333333333</v>
          </cell>
          <cell r="GJ250">
            <v>56.5158333333333</v>
          </cell>
          <cell r="GK250">
            <v>56.5158333333333</v>
          </cell>
        </row>
        <row r="250">
          <cell r="GU250">
            <v>62.1683333333333</v>
          </cell>
          <cell r="GV250">
            <v>62.1683333333333</v>
          </cell>
          <cell r="GW250">
            <v>62.1683333333333</v>
          </cell>
          <cell r="GX250">
            <v>62.1683333333333</v>
          </cell>
          <cell r="GY250">
            <v>62.1683333333333</v>
          </cell>
          <cell r="GZ250">
            <v>62.1683333333333</v>
          </cell>
          <cell r="HA250">
            <v>62.1683333333333</v>
          </cell>
          <cell r="HB250">
            <v>62.1683333333333</v>
          </cell>
          <cell r="HC250">
            <v>62.1683333333333</v>
          </cell>
          <cell r="HD250">
            <v>62.1683333333333</v>
          </cell>
          <cell r="HE250">
            <v>62.1683333333333</v>
          </cell>
          <cell r="HF250">
            <v>62.1683333333333</v>
          </cell>
        </row>
        <row r="251">
          <cell r="FZ251">
            <v>10.77</v>
          </cell>
          <cell r="GA251">
            <v>11.39</v>
          </cell>
          <cell r="GB251">
            <v>11.9</v>
          </cell>
          <cell r="GC251">
            <v>10.45</v>
          </cell>
          <cell r="GD251">
            <v>10.38</v>
          </cell>
          <cell r="GE251">
            <v>9.56</v>
          </cell>
          <cell r="GF251">
            <v>11.7113272336261</v>
          </cell>
          <cell r="GG251">
            <v>8.53205760579826</v>
          </cell>
          <cell r="GH251">
            <v>10.6901237587565</v>
          </cell>
          <cell r="GI251">
            <v>11.010018964512</v>
          </cell>
          <cell r="GJ251">
            <v>10.9915659534498</v>
          </cell>
          <cell r="GK251">
            <v>12.4608268374148</v>
          </cell>
        </row>
        <row r="251">
          <cell r="GU251">
            <v>13.5236518759139</v>
          </cell>
          <cell r="GV251">
            <v>14.3021722253166</v>
          </cell>
          <cell r="GW251">
            <v>14.9425679965994</v>
          </cell>
          <cell r="GX251">
            <v>13.1218349213835</v>
          </cell>
          <cell r="GY251">
            <v>13.03393746258</v>
          </cell>
          <cell r="GZ251">
            <v>12.0042815165958</v>
          </cell>
          <cell r="HA251">
            <v>14.7056557578894</v>
          </cell>
          <cell r="HB251">
            <v>10.7135168844995</v>
          </cell>
          <cell r="HC251">
            <v>13.4233530384271</v>
          </cell>
          <cell r="HD251">
            <v>13.8250384051319</v>
          </cell>
          <cell r="HE251">
            <v>13.8018673654228</v>
          </cell>
          <cell r="HF251">
            <v>15.6467859085649</v>
          </cell>
        </row>
        <row r="252">
          <cell r="GF252">
            <v>6.66666666666667</v>
          </cell>
          <cell r="GG252">
            <v>6.66666666666667</v>
          </cell>
          <cell r="GH252">
            <v>6.66666666666667</v>
          </cell>
          <cell r="GI252">
            <v>6.66666666666667</v>
          </cell>
          <cell r="GJ252">
            <v>6.66666666666667</v>
          </cell>
          <cell r="GK252">
            <v>6.66666666666667</v>
          </cell>
        </row>
        <row r="252">
          <cell r="GU252">
            <v>7.33333333333333</v>
          </cell>
          <cell r="GV252">
            <v>7.33333333333333</v>
          </cell>
          <cell r="GW252">
            <v>7.33333333333333</v>
          </cell>
          <cell r="GX252">
            <v>7.33333333333333</v>
          </cell>
          <cell r="GY252">
            <v>7.33333333333333</v>
          </cell>
          <cell r="GZ252">
            <v>7.33333333333333</v>
          </cell>
          <cell r="HA252">
            <v>7.33333333333333</v>
          </cell>
          <cell r="HB252">
            <v>7.33333333333333</v>
          </cell>
          <cell r="HC252">
            <v>7.33333333333333</v>
          </cell>
          <cell r="HD252">
            <v>7.33333333333333</v>
          </cell>
          <cell r="HE252">
            <v>7.33333333333333</v>
          </cell>
          <cell r="HF252">
            <v>7.33333333333333</v>
          </cell>
        </row>
        <row r="253"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</row>
        <row r="253">
          <cell r="GU253">
            <v>0</v>
          </cell>
          <cell r="GV253">
            <v>0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</row>
        <row r="254"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</row>
        <row r="254">
          <cell r="GU254">
            <v>0</v>
          </cell>
          <cell r="GV254">
            <v>0</v>
          </cell>
          <cell r="GW254">
            <v>0</v>
          </cell>
          <cell r="GX254">
            <v>0</v>
          </cell>
          <cell r="GY254">
            <v>0</v>
          </cell>
          <cell r="GZ254">
            <v>0</v>
          </cell>
          <cell r="HA254">
            <v>0</v>
          </cell>
          <cell r="HB254">
            <v>0</v>
          </cell>
          <cell r="HC254">
            <v>0</v>
          </cell>
          <cell r="HD254">
            <v>0</v>
          </cell>
          <cell r="HE254">
            <v>0</v>
          </cell>
          <cell r="HF254">
            <v>0</v>
          </cell>
        </row>
      </sheetData>
      <sheetData sheetId="4"/>
      <sheetData sheetId="5">
        <row r="10">
          <cell r="H10">
            <v>8117951</v>
          </cell>
          <cell r="I10">
            <v>12730.1243226403</v>
          </cell>
        </row>
        <row r="10">
          <cell r="K10">
            <v>11697.603127462</v>
          </cell>
        </row>
        <row r="10">
          <cell r="AJ10">
            <v>8480176</v>
          </cell>
        </row>
        <row r="10">
          <cell r="AL10">
            <v>13770.5302430351</v>
          </cell>
        </row>
        <row r="10">
          <cell r="AQ10">
            <v>12611.1428672529</v>
          </cell>
        </row>
        <row r="10">
          <cell r="AT10">
            <v>179.711140598826</v>
          </cell>
          <cell r="AU10">
            <v>6059.35533170682</v>
          </cell>
        </row>
        <row r="10">
          <cell r="AW10">
            <v>760.158102</v>
          </cell>
        </row>
        <row r="10">
          <cell r="BN10">
            <v>179.711140598826</v>
          </cell>
          <cell r="BO10">
            <v>6059.35533170682</v>
          </cell>
        </row>
        <row r="10">
          <cell r="BQ10">
            <v>760.158102</v>
          </cell>
        </row>
        <row r="10">
          <cell r="DM10">
            <v>158.333124885159</v>
          </cell>
          <cell r="DN10">
            <v>5620.4211326976</v>
          </cell>
        </row>
        <row r="10">
          <cell r="DP10">
            <v>692.718672</v>
          </cell>
        </row>
        <row r="11">
          <cell r="H11">
            <v>4118441</v>
          </cell>
          <cell r="I11">
            <v>5898.53818478443</v>
          </cell>
        </row>
        <row r="11">
          <cell r="K11">
            <v>2340.43418117674</v>
          </cell>
        </row>
        <row r="11">
          <cell r="AJ11">
            <v>4302207</v>
          </cell>
        </row>
        <row r="11">
          <cell r="AL11">
            <v>6380.61313500389</v>
          </cell>
        </row>
        <row r="11">
          <cell r="AQ11">
            <v>2523.21347447065</v>
          </cell>
        </row>
        <row r="11">
          <cell r="AT11">
            <v>76.5673576200467</v>
          </cell>
          <cell r="AU11">
            <v>567.477897363406</v>
          </cell>
        </row>
        <row r="11">
          <cell r="AW11">
            <v>272.577252</v>
          </cell>
        </row>
        <row r="11">
          <cell r="BN11">
            <v>76.5673576200467</v>
          </cell>
          <cell r="BO11">
            <v>567.477897363406</v>
          </cell>
        </row>
        <row r="11">
          <cell r="BQ11">
            <v>272.577252</v>
          </cell>
        </row>
        <row r="11">
          <cell r="DM11">
            <v>70.7824582174132</v>
          </cell>
          <cell r="DN11">
            <v>526.370313685114</v>
          </cell>
        </row>
        <row r="11">
          <cell r="DP11">
            <v>292.239528</v>
          </cell>
        </row>
        <row r="12">
          <cell r="H12">
            <v>2203342</v>
          </cell>
          <cell r="I12">
            <v>3047.93052729907</v>
          </cell>
        </row>
        <row r="12">
          <cell r="K12">
            <v>1731.86332591022</v>
          </cell>
        </row>
        <row r="12">
          <cell r="O12">
            <v>10</v>
          </cell>
          <cell r="P12">
            <v>1.95</v>
          </cell>
        </row>
        <row r="12">
          <cell r="S12">
            <v>10</v>
          </cell>
          <cell r="T12">
            <v>1.95</v>
          </cell>
        </row>
        <row r="12">
          <cell r="AA12">
            <v>40</v>
          </cell>
        </row>
        <row r="12">
          <cell r="AC12">
            <v>40</v>
          </cell>
        </row>
        <row r="12">
          <cell r="AJ12">
            <v>2301656</v>
          </cell>
        </row>
        <row r="12">
          <cell r="AL12">
            <v>3297.03139113857</v>
          </cell>
        </row>
        <row r="12">
          <cell r="AQ12">
            <v>1867.11547584778</v>
          </cell>
        </row>
        <row r="12">
          <cell r="AT12">
            <v>39.5643766936629</v>
          </cell>
          <cell r="AU12">
            <v>364.087517790317</v>
          </cell>
        </row>
        <row r="12">
          <cell r="AW12">
            <v>108.119952</v>
          </cell>
        </row>
        <row r="12">
          <cell r="BN12">
            <v>39.5643766936629</v>
          </cell>
          <cell r="BO12">
            <v>364.087517790317</v>
          </cell>
        </row>
        <row r="12">
          <cell r="BQ12">
            <v>108.119952</v>
          </cell>
        </row>
        <row r="12">
          <cell r="DM12">
            <v>36.5751663275889</v>
          </cell>
          <cell r="DN12">
            <v>337.713348552493</v>
          </cell>
        </row>
        <row r="12">
          <cell r="DP12">
            <v>117.812352</v>
          </cell>
        </row>
        <row r="13">
          <cell r="H13">
            <v>1915099</v>
          </cell>
          <cell r="I13">
            <v>2850.60765748536</v>
          </cell>
        </row>
        <row r="13">
          <cell r="K13">
            <v>608.570855266521</v>
          </cell>
        </row>
        <row r="13">
          <cell r="O13">
            <v>10</v>
          </cell>
          <cell r="P13">
            <v>3.1</v>
          </cell>
        </row>
        <row r="13">
          <cell r="S13">
            <v>10</v>
          </cell>
          <cell r="T13">
            <v>3.1</v>
          </cell>
        </row>
        <row r="13">
          <cell r="AA13">
            <v>70</v>
          </cell>
        </row>
        <row r="13">
          <cell r="AC13">
            <v>70</v>
          </cell>
        </row>
        <row r="13">
          <cell r="AJ13">
            <v>2000551</v>
          </cell>
        </row>
        <row r="13">
          <cell r="AL13">
            <v>3083.58174386532</v>
          </cell>
        </row>
        <row r="13">
          <cell r="AQ13">
            <v>656.097998622869</v>
          </cell>
        </row>
        <row r="13">
          <cell r="AT13">
            <v>37.0029809263839</v>
          </cell>
          <cell r="AU13">
            <v>203.390379573089</v>
          </cell>
        </row>
        <row r="13">
          <cell r="AW13">
            <v>164.4573</v>
          </cell>
        </row>
        <row r="13">
          <cell r="BN13">
            <v>37.0029809263839</v>
          </cell>
          <cell r="BO13">
            <v>203.390379573089</v>
          </cell>
        </row>
        <row r="13">
          <cell r="BQ13">
            <v>164.4573</v>
          </cell>
        </row>
        <row r="13">
          <cell r="DM13">
            <v>34.2072918898243</v>
          </cell>
          <cell r="DN13">
            <v>188.656965132622</v>
          </cell>
        </row>
        <row r="13">
          <cell r="DP13">
            <v>174.427176</v>
          </cell>
        </row>
        <row r="14">
          <cell r="H14">
            <v>2442328</v>
          </cell>
          <cell r="I14">
            <v>4097.25198102219</v>
          </cell>
        </row>
        <row r="14">
          <cell r="K14">
            <v>4018.52748456418</v>
          </cell>
        </row>
        <row r="14">
          <cell r="AJ14">
            <v>2551305</v>
          </cell>
        </row>
        <row r="14">
          <cell r="AL14">
            <v>4432.11165013189</v>
          </cell>
        </row>
        <row r="14">
          <cell r="AQ14">
            <v>4332.35968698975</v>
          </cell>
        </row>
        <row r="14">
          <cell r="AT14">
            <v>53.1853398015827</v>
          </cell>
          <cell r="AU14">
            <v>1652.51545925465</v>
          </cell>
        </row>
        <row r="14">
          <cell r="AW14">
            <v>269.656182</v>
          </cell>
        </row>
        <row r="14">
          <cell r="BN14">
            <v>53.1853398015827</v>
          </cell>
          <cell r="BO14">
            <v>1652.51545925465</v>
          </cell>
        </row>
        <row r="14">
          <cell r="BQ14">
            <v>269.656182</v>
          </cell>
        </row>
        <row r="14">
          <cell r="DM14">
            <v>49.1670237722663</v>
          </cell>
          <cell r="DN14">
            <v>1532.80873968619</v>
          </cell>
        </row>
        <row r="14">
          <cell r="DP14">
            <v>244.060776</v>
          </cell>
        </row>
        <row r="15">
          <cell r="H15">
            <v>0</v>
          </cell>
        </row>
        <row r="15">
          <cell r="K15">
            <v>2829.1746636044</v>
          </cell>
        </row>
        <row r="15">
          <cell r="O15">
            <v>10</v>
          </cell>
          <cell r="P15">
            <v>3.4</v>
          </cell>
        </row>
        <row r="15">
          <cell r="S15">
            <v>10</v>
          </cell>
          <cell r="T15">
            <v>3.4</v>
          </cell>
        </row>
        <row r="15">
          <cell r="AJ15">
            <v>0</v>
          </cell>
        </row>
        <row r="15">
          <cell r="AL15">
            <v>0</v>
          </cell>
        </row>
        <row r="15">
          <cell r="AQ15">
            <v>3050.12278928877</v>
          </cell>
        </row>
        <row r="15">
          <cell r="AT15">
            <v>0</v>
          </cell>
          <cell r="AU15">
            <v>1037.04174835818</v>
          </cell>
        </row>
        <row r="15">
          <cell r="AW15">
            <v>0</v>
          </cell>
        </row>
        <row r="15">
          <cell r="BN15">
            <v>0</v>
          </cell>
          <cell r="BO15">
            <v>1037.04174835818</v>
          </cell>
        </row>
        <row r="15">
          <cell r="BQ15">
            <v>0</v>
          </cell>
        </row>
        <row r="15">
          <cell r="DM15">
            <v>0</v>
          </cell>
          <cell r="DN15">
            <v>961.919385625495</v>
          </cell>
        </row>
        <row r="15">
          <cell r="DP15">
            <v>0</v>
          </cell>
        </row>
        <row r="16">
          <cell r="H16">
            <v>2442328</v>
          </cell>
          <cell r="I16">
            <v>4097.25198102219</v>
          </cell>
        </row>
        <row r="16">
          <cell r="K16">
            <v>1189.35282095978</v>
          </cell>
        </row>
        <row r="16">
          <cell r="O16">
            <v>10</v>
          </cell>
          <cell r="P16">
            <v>4.8</v>
          </cell>
        </row>
        <row r="16">
          <cell r="S16">
            <v>10</v>
          </cell>
          <cell r="T16">
            <v>4.8</v>
          </cell>
        </row>
        <row r="16">
          <cell r="AA16">
            <v>90</v>
          </cell>
        </row>
        <row r="16">
          <cell r="AC16">
            <v>90</v>
          </cell>
        </row>
        <row r="16">
          <cell r="AJ16">
            <v>2551305</v>
          </cell>
        </row>
        <row r="16">
          <cell r="AL16">
            <v>4432.11165013189</v>
          </cell>
        </row>
        <row r="16">
          <cell r="AQ16">
            <v>1282.23689770098</v>
          </cell>
        </row>
        <row r="16">
          <cell r="AT16">
            <v>53.1853398015827</v>
          </cell>
          <cell r="AU16">
            <v>615.473710896472</v>
          </cell>
        </row>
        <row r="16">
          <cell r="AW16">
            <v>269.656182</v>
          </cell>
        </row>
        <row r="16">
          <cell r="BN16">
            <v>53.1853398015827</v>
          </cell>
          <cell r="BO16">
            <v>615.473710896472</v>
          </cell>
        </row>
        <row r="16">
          <cell r="BQ16">
            <v>269.656182</v>
          </cell>
        </row>
        <row r="16">
          <cell r="DM16">
            <v>49.1670237722663</v>
          </cell>
          <cell r="DN16">
            <v>570.889354060697</v>
          </cell>
        </row>
        <row r="16">
          <cell r="DP16">
            <v>244.060776</v>
          </cell>
        </row>
        <row r="17">
          <cell r="H17">
            <v>1557182</v>
          </cell>
          <cell r="I17">
            <v>2734.33415683372</v>
          </cell>
        </row>
        <row r="17">
          <cell r="K17">
            <v>5338.64146172104</v>
          </cell>
        </row>
        <row r="17">
          <cell r="AJ17">
            <v>1626664</v>
          </cell>
        </row>
        <row r="17">
          <cell r="AL17">
            <v>2957.80545789934</v>
          </cell>
        </row>
        <row r="17">
          <cell r="AQ17">
            <v>5755.56970579253</v>
          </cell>
        </row>
        <row r="17">
          <cell r="AT17">
            <v>49.9584431771968</v>
          </cell>
          <cell r="AU17">
            <v>3839.36197508876</v>
          </cell>
        </row>
        <row r="17">
          <cell r="AW17">
            <v>217.924668</v>
          </cell>
        </row>
        <row r="17">
          <cell r="BN17">
            <v>49.9584431771968</v>
          </cell>
          <cell r="BO17">
            <v>3839.36197508876</v>
          </cell>
        </row>
        <row r="17">
          <cell r="BQ17">
            <v>217.924668</v>
          </cell>
        </row>
        <row r="17">
          <cell r="DM17">
            <v>38.3836428954798</v>
          </cell>
          <cell r="DN17">
            <v>3561.2420793263</v>
          </cell>
        </row>
        <row r="17">
          <cell r="DP17">
            <v>156.418368</v>
          </cell>
        </row>
        <row r="18">
          <cell r="H18">
            <v>0</v>
          </cell>
        </row>
        <row r="18">
          <cell r="K18">
            <v>3013.42471220734</v>
          </cell>
        </row>
        <row r="18">
          <cell r="O18">
            <v>10</v>
          </cell>
          <cell r="P18">
            <v>5.1</v>
          </cell>
        </row>
        <row r="18">
          <cell r="S18">
            <v>10</v>
          </cell>
          <cell r="T18">
            <v>5.1</v>
          </cell>
        </row>
        <row r="18">
          <cell r="AJ18">
            <v>0</v>
          </cell>
        </row>
        <row r="18">
          <cell r="AL18">
            <v>0</v>
          </cell>
        </row>
        <row r="18">
          <cell r="AQ18">
            <v>3248.76208837518</v>
          </cell>
        </row>
        <row r="18">
          <cell r="AT18">
            <v>0</v>
          </cell>
          <cell r="AU18">
            <v>1656.86866507134</v>
          </cell>
        </row>
        <row r="18">
          <cell r="AW18">
            <v>0</v>
          </cell>
        </row>
        <row r="18">
          <cell r="BN18">
            <v>0</v>
          </cell>
          <cell r="BO18">
            <v>1656.86866507134</v>
          </cell>
        </row>
        <row r="18">
          <cell r="BQ18">
            <v>0</v>
          </cell>
        </row>
        <row r="18">
          <cell r="DM18">
            <v>0</v>
          </cell>
          <cell r="DN18">
            <v>1536.84660322574</v>
          </cell>
        </row>
        <row r="18">
          <cell r="DP18">
            <v>0</v>
          </cell>
        </row>
        <row r="19">
          <cell r="H19">
            <v>865903</v>
          </cell>
          <cell r="I19">
            <v>1466.57308824983</v>
          </cell>
        </row>
        <row r="19">
          <cell r="K19">
            <v>989.260361402676</v>
          </cell>
        </row>
        <row r="19">
          <cell r="O19">
            <v>10</v>
          </cell>
          <cell r="P19">
            <v>7.7</v>
          </cell>
        </row>
        <row r="19">
          <cell r="S19">
            <v>10</v>
          </cell>
          <cell r="T19">
            <v>7.7</v>
          </cell>
        </row>
        <row r="19">
          <cell r="AA19">
            <v>100</v>
          </cell>
        </row>
        <row r="19">
          <cell r="AC19">
            <v>100</v>
          </cell>
        </row>
        <row r="19">
          <cell r="AJ19">
            <v>904540</v>
          </cell>
        </row>
        <row r="19">
          <cell r="AL19">
            <v>1586.43298003369</v>
          </cell>
        </row>
        <row r="19">
          <cell r="AQ19">
            <v>1066.51795368837</v>
          </cell>
        </row>
        <row r="19">
          <cell r="AT19">
            <v>19.0371957604043</v>
          </cell>
          <cell r="AU19">
            <v>821.218824340045</v>
          </cell>
        </row>
        <row r="19">
          <cell r="AW19">
            <v>106.22658</v>
          </cell>
        </row>
        <row r="19">
          <cell r="BN19">
            <v>19.0371957604043</v>
          </cell>
          <cell r="BO19">
            <v>821.218824340045</v>
          </cell>
        </row>
        <row r="19">
          <cell r="BQ19">
            <v>106.22658</v>
          </cell>
        </row>
        <row r="19">
          <cell r="DM19">
            <v>17.5988770589979</v>
          </cell>
          <cell r="DN19">
            <v>761.730478280061</v>
          </cell>
        </row>
        <row r="19">
          <cell r="DP19">
            <v>81.75864</v>
          </cell>
        </row>
        <row r="20">
          <cell r="H20">
            <v>341187</v>
          </cell>
          <cell r="I20">
            <v>513.117798084398</v>
          </cell>
        </row>
        <row r="20">
          <cell r="K20">
            <v>453.657669145532</v>
          </cell>
        </row>
        <row r="20">
          <cell r="O20">
            <v>10</v>
          </cell>
          <cell r="P20">
            <v>9</v>
          </cell>
        </row>
        <row r="20">
          <cell r="S20">
            <v>10</v>
          </cell>
          <cell r="T20">
            <v>9</v>
          </cell>
        </row>
        <row r="20">
          <cell r="AA20">
            <v>120</v>
          </cell>
        </row>
        <row r="20">
          <cell r="AC20">
            <v>120</v>
          </cell>
        </row>
        <row r="20">
          <cell r="AJ20">
            <v>356411</v>
          </cell>
        </row>
        <row r="20">
          <cell r="AL20">
            <v>555.053821759948</v>
          </cell>
        </row>
        <row r="20">
          <cell r="AQ20">
            <v>489.086662975253</v>
          </cell>
        </row>
        <row r="20">
          <cell r="AT20">
            <v>6.66064586111938</v>
          </cell>
          <cell r="AU20">
            <v>440.177996677728</v>
          </cell>
        </row>
        <row r="20">
          <cell r="AW20">
            <v>50.227056</v>
          </cell>
        </row>
        <row r="20">
          <cell r="BN20">
            <v>6.66064586111938</v>
          </cell>
          <cell r="BO20">
            <v>440.177996677728</v>
          </cell>
        </row>
        <row r="20">
          <cell r="BQ20">
            <v>50.227056</v>
          </cell>
        </row>
        <row r="20">
          <cell r="DM20">
            <v>6.15741357701278</v>
          </cell>
          <cell r="DN20">
            <v>408.291902230978</v>
          </cell>
        </row>
        <row r="20">
          <cell r="DP20">
            <v>34.416936</v>
          </cell>
        </row>
        <row r="21">
          <cell r="H21">
            <v>295338</v>
          </cell>
          <cell r="I21">
            <v>476.061619825741</v>
          </cell>
        </row>
        <row r="21">
          <cell r="K21">
            <v>558.512467519445</v>
          </cell>
        </row>
        <row r="21">
          <cell r="O21">
            <v>10</v>
          </cell>
          <cell r="P21">
            <v>9.5</v>
          </cell>
        </row>
        <row r="21">
          <cell r="S21">
            <v>10</v>
          </cell>
          <cell r="T21">
            <v>9.5</v>
          </cell>
        </row>
        <row r="21">
          <cell r="AA21">
            <v>140</v>
          </cell>
        </row>
        <row r="21">
          <cell r="AC21">
            <v>140</v>
          </cell>
        </row>
        <row r="21">
          <cell r="AJ21">
            <v>308516</v>
          </cell>
        </row>
        <row r="21">
          <cell r="AL21">
            <v>514.969121055604</v>
          </cell>
        </row>
        <row r="21">
          <cell r="AQ21">
            <v>602.130235081579</v>
          </cell>
        </row>
        <row r="21">
          <cell r="AT21">
            <v>6.17962945266724</v>
          </cell>
          <cell r="AU21">
            <v>572.0237233275</v>
          </cell>
        </row>
        <row r="21">
          <cell r="AW21">
            <v>50.723736</v>
          </cell>
        </row>
        <row r="21">
          <cell r="BN21">
            <v>6.17962945266724</v>
          </cell>
          <cell r="BO21">
            <v>572.0237233275</v>
          </cell>
        </row>
        <row r="21">
          <cell r="BQ21">
            <v>50.723736</v>
          </cell>
        </row>
        <row r="21">
          <cell r="DM21">
            <v>5.71273943790889</v>
          </cell>
          <cell r="DN21">
            <v>530.586844143473</v>
          </cell>
        </row>
        <row r="21">
          <cell r="DP21">
            <v>32.778312</v>
          </cell>
        </row>
        <row r="22">
          <cell r="H22">
            <v>54754</v>
          </cell>
          <cell r="I22">
            <v>278.581650673757</v>
          </cell>
        </row>
        <row r="22">
          <cell r="K22">
            <v>323.786251446042</v>
          </cell>
        </row>
        <row r="22">
          <cell r="O22">
            <v>50</v>
          </cell>
          <cell r="P22">
            <v>10</v>
          </cell>
        </row>
        <row r="22">
          <cell r="S22">
            <v>50</v>
          </cell>
          <cell r="T22">
            <v>10</v>
          </cell>
        </row>
        <row r="22">
          <cell r="AA22">
            <v>160</v>
          </cell>
        </row>
        <row r="22">
          <cell r="AC22">
            <v>160</v>
          </cell>
        </row>
        <row r="22">
          <cell r="AJ22">
            <v>57197</v>
          </cell>
        </row>
        <row r="22">
          <cell r="AL22">
            <v>301.349535050099</v>
          </cell>
        </row>
        <row r="22">
          <cell r="AQ22">
            <v>349.072765672148</v>
          </cell>
        </row>
        <row r="22">
          <cell r="AT22">
            <v>18.0809721030059</v>
          </cell>
          <cell r="AU22">
            <v>349.072765672148</v>
          </cell>
        </row>
        <row r="22">
          <cell r="AW22">
            <v>10.747296</v>
          </cell>
        </row>
        <row r="22">
          <cell r="BN22">
            <v>18.0809721030059</v>
          </cell>
          <cell r="BO22">
            <v>349.072765672148</v>
          </cell>
        </row>
        <row r="22">
          <cell r="BQ22">
            <v>10.747296</v>
          </cell>
        </row>
        <row r="22">
          <cell r="DM22">
            <v>8.91461282156024</v>
          </cell>
          <cell r="DN22">
            <v>323.786251446042</v>
          </cell>
        </row>
        <row r="22">
          <cell r="DP22">
            <v>7.46448</v>
          </cell>
        </row>
        <row r="23">
          <cell r="H23">
            <v>1226970</v>
          </cell>
          <cell r="I23">
            <v>4206.99934903256</v>
          </cell>
        </row>
        <row r="23">
          <cell r="K23">
            <v>3939.00601597876</v>
          </cell>
        </row>
        <row r="23">
          <cell r="AJ23">
            <v>1310560</v>
          </cell>
        </row>
        <row r="23">
          <cell r="AL23">
            <v>4559.74021167918</v>
          </cell>
        </row>
        <row r="23">
          <cell r="AQ23">
            <v>4403.06073642308</v>
          </cell>
        </row>
        <row r="23">
          <cell r="AT23">
            <v>397.488727609221</v>
          </cell>
          <cell r="AU23">
            <v>4503.76517459675</v>
          </cell>
        </row>
        <row r="23">
          <cell r="AW23">
            <v>122.027607</v>
          </cell>
        </row>
        <row r="23">
          <cell r="BN23">
            <v>397.488727609221</v>
          </cell>
          <cell r="BO23">
            <v>4503.76517459675</v>
          </cell>
        </row>
        <row r="23">
          <cell r="BQ23">
            <v>122.027607</v>
          </cell>
        </row>
        <row r="23">
          <cell r="DM23">
            <v>350.354118848942</v>
          </cell>
          <cell r="DN23">
            <v>4029.09684405216</v>
          </cell>
        </row>
        <row r="23">
          <cell r="DP23">
            <v>114.24444</v>
          </cell>
        </row>
        <row r="24">
          <cell r="H24">
            <v>616232</v>
          </cell>
          <cell r="I24">
            <v>1214.2328855646</v>
          </cell>
        </row>
        <row r="24">
          <cell r="K24">
            <v>95.8904578792609</v>
          </cell>
        </row>
        <row r="24">
          <cell r="AJ24">
            <v>658215</v>
          </cell>
        </row>
        <row r="24">
          <cell r="AL24">
            <v>1316.0416856079</v>
          </cell>
        </row>
        <row r="24">
          <cell r="AQ24">
            <v>107.187322987852</v>
          </cell>
        </row>
        <row r="24">
          <cell r="AT24">
            <v>47.3775006818844</v>
          </cell>
          <cell r="AU24">
            <v>75.0311260914961</v>
          </cell>
        </row>
        <row r="24">
          <cell r="AW24">
            <v>38.23341</v>
          </cell>
        </row>
        <row r="24">
          <cell r="BN24">
            <v>47.3775006818844</v>
          </cell>
          <cell r="BO24">
            <v>75.0311260914961</v>
          </cell>
        </row>
        <row r="24">
          <cell r="BQ24">
            <v>38.23341</v>
          </cell>
        </row>
        <row r="24">
          <cell r="DM24">
            <v>69.2112744771821</v>
          </cell>
          <cell r="DN24">
            <v>67.1233205154826</v>
          </cell>
        </row>
        <row r="24">
          <cell r="DP24">
            <v>35.79477</v>
          </cell>
        </row>
        <row r="25">
          <cell r="H25">
            <v>616232</v>
          </cell>
          <cell r="I25">
            <v>1214.2328855646</v>
          </cell>
        </row>
        <row r="25">
          <cell r="K25">
            <v>95.8904578792609</v>
          </cell>
        </row>
        <row r="25">
          <cell r="O25">
            <v>30</v>
          </cell>
          <cell r="P25">
            <v>7</v>
          </cell>
        </row>
        <row r="25">
          <cell r="S25">
            <v>30</v>
          </cell>
          <cell r="T25">
            <v>7</v>
          </cell>
        </row>
        <row r="25">
          <cell r="AA25">
            <v>50</v>
          </cell>
        </row>
        <row r="25">
          <cell r="AC25">
            <v>50</v>
          </cell>
        </row>
        <row r="25">
          <cell r="AJ25">
            <v>658215</v>
          </cell>
        </row>
        <row r="25">
          <cell r="AL25">
            <v>1316.0416856079</v>
          </cell>
        </row>
        <row r="25">
          <cell r="AQ25">
            <v>107.187322987852</v>
          </cell>
        </row>
        <row r="25">
          <cell r="AT25">
            <v>47.3775006818844</v>
          </cell>
          <cell r="AU25">
            <v>75.0311260914961</v>
          </cell>
        </row>
        <row r="25">
          <cell r="AW25">
            <v>38.23341</v>
          </cell>
        </row>
        <row r="25">
          <cell r="BN25">
            <v>47.3775006818844</v>
          </cell>
          <cell r="BO25">
            <v>75.0311260914961</v>
          </cell>
        </row>
        <row r="25">
          <cell r="BQ25">
            <v>38.23341</v>
          </cell>
        </row>
        <row r="25">
          <cell r="DM25">
            <v>69.2112744771821</v>
          </cell>
          <cell r="DN25">
            <v>67.1233205154826</v>
          </cell>
        </row>
        <row r="25">
          <cell r="DP25">
            <v>35.79477</v>
          </cell>
        </row>
        <row r="26">
          <cell r="H26">
            <v>594986</v>
          </cell>
          <cell r="I26">
            <v>2971.73324677759</v>
          </cell>
        </row>
        <row r="26">
          <cell r="K26">
            <v>3832.49720944671</v>
          </cell>
        </row>
        <row r="26">
          <cell r="AJ26">
            <v>635521</v>
          </cell>
        </row>
        <row r="26">
          <cell r="AL26">
            <v>3220.90175431849</v>
          </cell>
        </row>
        <row r="26">
          <cell r="AQ26">
            <v>4284.00411599089</v>
          </cell>
        </row>
        <row r="26">
          <cell r="AT26">
            <v>347.632517119324</v>
          </cell>
          <cell r="AU26">
            <v>4417.50921731783</v>
          </cell>
        </row>
        <row r="26">
          <cell r="AW26">
            <v>82.517664</v>
          </cell>
        </row>
        <row r="26">
          <cell r="BN26">
            <v>347.632517119324</v>
          </cell>
          <cell r="BO26">
            <v>4417.50921731783</v>
          </cell>
        </row>
        <row r="26">
          <cell r="BQ26">
            <v>82.517664</v>
          </cell>
        </row>
        <row r="26">
          <cell r="DM26">
            <v>279.25647675798</v>
          </cell>
          <cell r="DN26">
            <v>3951.93171847824</v>
          </cell>
        </row>
        <row r="26">
          <cell r="DP26">
            <v>77.254542</v>
          </cell>
        </row>
        <row r="27">
          <cell r="H27">
            <v>196910</v>
          </cell>
          <cell r="I27">
            <v>354.520820937567</v>
          </cell>
        </row>
        <row r="27">
          <cell r="K27">
            <v>683.184028465214</v>
          </cell>
        </row>
        <row r="27">
          <cell r="O27">
            <v>70</v>
          </cell>
          <cell r="P27">
            <v>8.5</v>
          </cell>
        </row>
        <row r="27">
          <cell r="S27">
            <v>70</v>
          </cell>
          <cell r="T27">
            <v>8.5</v>
          </cell>
        </row>
        <row r="27">
          <cell r="AA27">
            <v>90</v>
          </cell>
        </row>
        <row r="27">
          <cell r="AC27">
            <v>90</v>
          </cell>
        </row>
        <row r="27">
          <cell r="AJ27">
            <v>210325</v>
          </cell>
        </row>
        <row r="27">
          <cell r="AL27">
            <v>384.246040703161</v>
          </cell>
        </row>
        <row r="27">
          <cell r="AQ27">
            <v>763.670011998976</v>
          </cell>
        </row>
        <row r="27">
          <cell r="AT27">
            <v>32.2766674190656</v>
          </cell>
          <cell r="AU27">
            <v>649.119510199129</v>
          </cell>
        </row>
        <row r="27">
          <cell r="AW27">
            <v>21.99069</v>
          </cell>
        </row>
        <row r="27">
          <cell r="BN27">
            <v>32.2766674190656</v>
          </cell>
          <cell r="BO27">
            <v>649.119510199129</v>
          </cell>
        </row>
        <row r="27">
          <cell r="BQ27">
            <v>21.99069</v>
          </cell>
        </row>
        <row r="27">
          <cell r="DM27">
            <v>29.7797489587556</v>
          </cell>
          <cell r="DN27">
            <v>580.706424195432</v>
          </cell>
        </row>
        <row r="27">
          <cell r="DP27">
            <v>20.588094</v>
          </cell>
        </row>
        <row r="28">
          <cell r="H28">
            <v>227867</v>
          </cell>
          <cell r="I28">
            <v>641.820157262535</v>
          </cell>
        </row>
        <row r="28">
          <cell r="K28">
            <v>654.087762403287</v>
          </cell>
        </row>
        <row r="28">
          <cell r="O28">
            <v>70</v>
          </cell>
          <cell r="P28">
            <v>9.9</v>
          </cell>
        </row>
        <row r="28">
          <cell r="S28">
            <v>70</v>
          </cell>
          <cell r="T28">
            <v>9.9</v>
          </cell>
        </row>
        <row r="28">
          <cell r="AA28">
            <v>105</v>
          </cell>
        </row>
        <row r="28">
          <cell r="AC28">
            <v>105</v>
          </cell>
        </row>
        <row r="28">
          <cell r="AJ28">
            <v>243391</v>
          </cell>
        </row>
        <row r="28">
          <cell r="AL28">
            <v>695.634331488361</v>
          </cell>
        </row>
        <row r="28">
          <cell r="AQ28">
            <v>731.145911717307</v>
          </cell>
        </row>
        <row r="28">
          <cell r="AT28">
            <v>58.4332838450223</v>
          </cell>
          <cell r="AU28">
            <v>723.834452600134</v>
          </cell>
        </row>
        <row r="28">
          <cell r="AW28">
            <v>29.689254</v>
          </cell>
        </row>
        <row r="28">
          <cell r="BN28">
            <v>58.4332838450223</v>
          </cell>
          <cell r="BO28">
            <v>723.834452600134</v>
          </cell>
        </row>
        <row r="28">
          <cell r="BQ28">
            <v>29.689254</v>
          </cell>
        </row>
        <row r="28">
          <cell r="DM28">
            <v>53.9128932100529</v>
          </cell>
          <cell r="DN28">
            <v>647.546884779254</v>
          </cell>
        </row>
        <row r="28">
          <cell r="DP28">
            <v>27.7956</v>
          </cell>
        </row>
        <row r="29">
          <cell r="H29">
            <v>59547</v>
          </cell>
          <cell r="I29">
            <v>300.061495139193</v>
          </cell>
        </row>
        <row r="29">
          <cell r="K29">
            <v>351.159182207987</v>
          </cell>
        </row>
        <row r="29">
          <cell r="O29">
            <v>100</v>
          </cell>
          <cell r="P29">
            <v>10.4</v>
          </cell>
        </row>
        <row r="29">
          <cell r="S29">
            <v>100</v>
          </cell>
          <cell r="T29">
            <v>10.4</v>
          </cell>
        </row>
        <row r="29">
          <cell r="AA29">
            <v>120</v>
          </cell>
        </row>
        <row r="29">
          <cell r="AC29">
            <v>120</v>
          </cell>
        </row>
        <row r="29">
          <cell r="AJ29">
            <v>63604</v>
          </cell>
        </row>
        <row r="29">
          <cell r="AL29">
            <v>325.220507979729</v>
          </cell>
        </row>
        <row r="29">
          <cell r="AQ29">
            <v>392.529283058289</v>
          </cell>
        </row>
        <row r="29">
          <cell r="AT29">
            <v>39.0264609575675</v>
          </cell>
          <cell r="AU29">
            <v>408.23045438062</v>
          </cell>
        </row>
        <row r="29">
          <cell r="AW29">
            <v>8.866872</v>
          </cell>
        </row>
        <row r="29">
          <cell r="BN29">
            <v>39.0264609575675</v>
          </cell>
          <cell r="BO29">
            <v>408.23045438062</v>
          </cell>
        </row>
        <row r="29">
          <cell r="BQ29">
            <v>8.866872</v>
          </cell>
        </row>
        <row r="29">
          <cell r="DM29">
            <v>29.7060880187801</v>
          </cell>
          <cell r="DN29">
            <v>365.205549496307</v>
          </cell>
        </row>
        <row r="29">
          <cell r="DP29">
            <v>8.301312</v>
          </cell>
        </row>
        <row r="30">
          <cell r="H30">
            <v>110662</v>
          </cell>
          <cell r="I30">
            <v>1675.33077343829</v>
          </cell>
        </row>
        <row r="30">
          <cell r="K30">
            <v>2144.06623637023</v>
          </cell>
        </row>
        <row r="30">
          <cell r="O30">
            <v>100</v>
          </cell>
          <cell r="P30">
            <v>11</v>
          </cell>
        </row>
        <row r="30">
          <cell r="S30">
            <v>100</v>
          </cell>
          <cell r="T30">
            <v>11</v>
          </cell>
        </row>
        <row r="30">
          <cell r="AA30">
            <v>160</v>
          </cell>
        </row>
        <row r="30">
          <cell r="AC30">
            <v>160</v>
          </cell>
        </row>
        <row r="30">
          <cell r="AJ30">
            <v>118201</v>
          </cell>
        </row>
        <row r="30">
          <cell r="AL30">
            <v>1815.80087414724</v>
          </cell>
        </row>
        <row r="30">
          <cell r="AQ30">
            <v>2396.65890921632</v>
          </cell>
        </row>
        <row r="30">
          <cell r="AT30">
            <v>217.896104897668</v>
          </cell>
          <cell r="AU30">
            <v>2636.32480013795</v>
          </cell>
        </row>
        <row r="30">
          <cell r="AW30">
            <v>21.970848</v>
          </cell>
        </row>
        <row r="30">
          <cell r="BN30">
            <v>217.896104897668</v>
          </cell>
          <cell r="BO30">
            <v>2636.32480013795</v>
          </cell>
        </row>
        <row r="30">
          <cell r="BQ30">
            <v>21.970848</v>
          </cell>
        </row>
        <row r="30">
          <cell r="DM30">
            <v>165.857746570391</v>
          </cell>
          <cell r="DN30">
            <v>2358.47286000725</v>
          </cell>
        </row>
        <row r="30">
          <cell r="DP30">
            <v>20.569536</v>
          </cell>
        </row>
        <row r="31">
          <cell r="H31">
            <v>2425</v>
          </cell>
          <cell r="I31">
            <v>7.15338484756435</v>
          </cell>
        </row>
        <row r="31">
          <cell r="K31">
            <v>5.37667720422922</v>
          </cell>
        </row>
        <row r="31">
          <cell r="O31">
            <v>150</v>
          </cell>
          <cell r="P31">
            <v>13</v>
          </cell>
        </row>
        <row r="31">
          <cell r="S31">
            <v>150</v>
          </cell>
          <cell r="T31">
            <v>13</v>
          </cell>
        </row>
        <row r="31">
          <cell r="AA31">
            <v>160</v>
          </cell>
        </row>
        <row r="31">
          <cell r="AC31">
            <v>160</v>
          </cell>
        </row>
        <row r="31">
          <cell r="AJ31">
            <v>2590</v>
          </cell>
        </row>
        <row r="31">
          <cell r="AL31">
            <v>7.7531689056611</v>
          </cell>
        </row>
        <row r="31">
          <cell r="AQ31">
            <v>6.01010412127545</v>
          </cell>
        </row>
        <row r="31">
          <cell r="AT31">
            <v>1.395570403019</v>
          </cell>
          <cell r="AU31">
            <v>7.81313535765808</v>
          </cell>
        </row>
        <row r="31">
          <cell r="AW31">
            <v>0.48144</v>
          </cell>
        </row>
        <row r="31">
          <cell r="BN31">
            <v>1.395570403019</v>
          </cell>
          <cell r="BO31">
            <v>7.81313535765808</v>
          </cell>
        </row>
        <row r="31">
          <cell r="BQ31">
            <v>0.48144</v>
          </cell>
        </row>
        <row r="31">
          <cell r="DM31">
            <v>0.88701972109798</v>
          </cell>
          <cell r="DN31">
            <v>6.98968036549798</v>
          </cell>
        </row>
        <row r="31">
          <cell r="DP31">
            <v>0.45072</v>
          </cell>
        </row>
        <row r="32">
          <cell r="H32">
            <v>13327</v>
          </cell>
          <cell r="I32">
            <v>13.8798318428099</v>
          </cell>
        </row>
        <row r="32">
          <cell r="K32">
            <v>5.24167144855208</v>
          </cell>
        </row>
        <row r="32">
          <cell r="AJ32">
            <v>14234</v>
          </cell>
        </row>
        <row r="32">
          <cell r="AL32">
            <v>15.043602847136</v>
          </cell>
        </row>
        <row r="32">
          <cell r="AQ32">
            <v>5.85919332306855</v>
          </cell>
        </row>
        <row r="32">
          <cell r="AT32">
            <v>1.08313940499379</v>
          </cell>
          <cell r="AU32">
            <v>3.41169582976564</v>
          </cell>
        </row>
        <row r="32">
          <cell r="AW32">
            <v>0.795093</v>
          </cell>
        </row>
        <row r="32">
          <cell r="BN32">
            <v>1.08313940499379</v>
          </cell>
          <cell r="BO32">
            <v>3.41169582976564</v>
          </cell>
        </row>
        <row r="32">
          <cell r="BQ32">
            <v>0.795093</v>
          </cell>
        </row>
        <row r="32">
          <cell r="DM32">
            <v>0.999347892682313</v>
          </cell>
          <cell r="DN32">
            <v>3.05212469293659</v>
          </cell>
        </row>
        <row r="32">
          <cell r="DP32">
            <v>0.744408</v>
          </cell>
        </row>
        <row r="33">
          <cell r="H33">
            <v>10194</v>
          </cell>
          <cell r="I33">
            <v>10.5241464954318</v>
          </cell>
        </row>
        <row r="33">
          <cell r="K33">
            <v>3.48182152098916</v>
          </cell>
        </row>
        <row r="33">
          <cell r="O33">
            <v>60</v>
          </cell>
          <cell r="P33">
            <v>5.3</v>
          </cell>
        </row>
        <row r="33">
          <cell r="S33">
            <v>60</v>
          </cell>
          <cell r="T33">
            <v>5.3</v>
          </cell>
        </row>
        <row r="33">
          <cell r="AA33">
            <v>45</v>
          </cell>
        </row>
        <row r="33">
          <cell r="AC33">
            <v>45</v>
          </cell>
        </row>
        <row r="33">
          <cell r="AJ33">
            <v>10888</v>
          </cell>
        </row>
        <row r="33">
          <cell r="AL33">
            <v>11.4065560718135</v>
          </cell>
        </row>
        <row r="33">
          <cell r="AQ33">
            <v>3.89201528713353</v>
          </cell>
        </row>
        <row r="33">
          <cell r="AT33">
            <v>0.821272037170574</v>
          </cell>
          <cell r="AU33">
            <v>2.06276810218077</v>
          </cell>
        </row>
        <row r="33">
          <cell r="AW33">
            <v>0.569214</v>
          </cell>
        </row>
        <row r="33">
          <cell r="BN33">
            <v>0.821272037170574</v>
          </cell>
          <cell r="BO33">
            <v>2.06276810218077</v>
          </cell>
        </row>
        <row r="33">
          <cell r="BQ33">
            <v>0.569214</v>
          </cell>
        </row>
        <row r="33">
          <cell r="DM33">
            <v>0.757738547671089</v>
          </cell>
          <cell r="DN33">
            <v>1.84536540612425</v>
          </cell>
        </row>
        <row r="33">
          <cell r="DP33">
            <v>0.532926</v>
          </cell>
        </row>
        <row r="34">
          <cell r="H34">
            <v>2160</v>
          </cell>
          <cell r="I34">
            <v>2.23058797239892</v>
          </cell>
        </row>
        <row r="34">
          <cell r="K34">
            <v>1.25697954288723</v>
          </cell>
        </row>
        <row r="34">
          <cell r="O34">
            <v>60</v>
          </cell>
          <cell r="P34">
            <v>6.6</v>
          </cell>
        </row>
        <row r="34">
          <cell r="S34">
            <v>60</v>
          </cell>
          <cell r="T34">
            <v>6.6</v>
          </cell>
        </row>
        <row r="34">
          <cell r="AA34">
            <v>55</v>
          </cell>
        </row>
        <row r="34">
          <cell r="AC34">
            <v>55</v>
          </cell>
        </row>
        <row r="34">
          <cell r="AJ34">
            <v>2307</v>
          </cell>
        </row>
        <row r="34">
          <cell r="AL34">
            <v>2.41761427316935</v>
          </cell>
        </row>
        <row r="34">
          <cell r="AQ34">
            <v>1.40506443740441</v>
          </cell>
        </row>
        <row r="34">
          <cell r="AT34">
            <v>0.174068227668193</v>
          </cell>
          <cell r="AU34">
            <v>0.927342528686913</v>
          </cell>
        </row>
        <row r="34">
          <cell r="AW34">
            <v>0.147411</v>
          </cell>
        </row>
        <row r="34">
          <cell r="BN34">
            <v>0.174068227668193</v>
          </cell>
          <cell r="BO34">
            <v>0.927342528686913</v>
          </cell>
        </row>
        <row r="34">
          <cell r="BQ34">
            <v>0.147411</v>
          </cell>
        </row>
        <row r="34">
          <cell r="DM34">
            <v>0.160602334012722</v>
          </cell>
          <cell r="DN34">
            <v>0.829606498305571</v>
          </cell>
        </row>
        <row r="34">
          <cell r="DP34">
            <v>0.138006</v>
          </cell>
        </row>
        <row r="35">
          <cell r="H35">
            <v>973</v>
          </cell>
          <cell r="I35">
            <v>1.12509737497919</v>
          </cell>
        </row>
        <row r="35">
          <cell r="K35">
            <v>0.50287038467569</v>
          </cell>
        </row>
        <row r="35">
          <cell r="O35">
            <v>60</v>
          </cell>
          <cell r="P35">
            <v>7.5</v>
          </cell>
        </row>
        <row r="35">
          <cell r="S35">
            <v>60</v>
          </cell>
          <cell r="T35">
            <v>7.5</v>
          </cell>
        </row>
        <row r="35">
          <cell r="AA35">
            <v>65</v>
          </cell>
        </row>
        <row r="35">
          <cell r="AC35">
            <v>65</v>
          </cell>
        </row>
        <row r="35">
          <cell r="AJ35">
            <v>1039</v>
          </cell>
        </row>
        <row r="35">
          <cell r="AL35">
            <v>1.21943250215312</v>
          </cell>
        </row>
        <row r="35">
          <cell r="AQ35">
            <v>0.562113598530601</v>
          </cell>
        </row>
        <row r="35">
          <cell r="AT35">
            <v>0.0877991401550243</v>
          </cell>
          <cell r="AU35">
            <v>0.421585198897951</v>
          </cell>
        </row>
        <row r="35">
          <cell r="AW35">
            <v>0.078468</v>
          </cell>
        </row>
        <row r="35">
          <cell r="BN35">
            <v>0.0877991401550243</v>
          </cell>
          <cell r="BO35">
            <v>0.421585198897951</v>
          </cell>
        </row>
        <row r="35">
          <cell r="BQ35">
            <v>0.078468</v>
          </cell>
        </row>
        <row r="35">
          <cell r="DM35">
            <v>0.0810070109985016</v>
          </cell>
          <cell r="DN35">
            <v>0.377152788506768</v>
          </cell>
        </row>
        <row r="35">
          <cell r="DP35">
            <v>0.073476</v>
          </cell>
        </row>
        <row r="36">
          <cell r="H36">
            <v>46475</v>
          </cell>
        </row>
        <row r="36">
          <cell r="J36">
            <v>1471077.38902691</v>
          </cell>
          <cell r="K36">
            <v>1012.35752113662</v>
          </cell>
        </row>
        <row r="36">
          <cell r="AJ36">
            <v>47096</v>
          </cell>
        </row>
        <row r="36">
          <cell r="AN36">
            <v>1523219.69459586</v>
          </cell>
        </row>
        <row r="36">
          <cell r="AQ36">
            <v>1048.4454732488</v>
          </cell>
        </row>
        <row r="36">
          <cell r="AT36">
            <v>136.303791151216</v>
          </cell>
          <cell r="AU36">
            <v>804.392938083021</v>
          </cell>
        </row>
        <row r="36">
          <cell r="AW36">
            <v>20.22537165</v>
          </cell>
        </row>
        <row r="36">
          <cell r="BN36">
            <v>136.303791151216</v>
          </cell>
          <cell r="BO36">
            <v>804.392938083021</v>
          </cell>
        </row>
        <row r="36">
          <cell r="BQ36">
            <v>20.22537165</v>
          </cell>
        </row>
        <row r="36">
          <cell r="DM36">
            <v>150.785432375258</v>
          </cell>
          <cell r="DN36">
            <v>776.705381057318</v>
          </cell>
        </row>
        <row r="36">
          <cell r="DP36">
            <v>20.7871455</v>
          </cell>
        </row>
        <row r="37">
          <cell r="H37">
            <v>46475</v>
          </cell>
        </row>
        <row r="37">
          <cell r="J37">
            <v>1471077.38902691</v>
          </cell>
          <cell r="K37">
            <v>972.215946595516</v>
          </cell>
        </row>
        <row r="37">
          <cell r="O37">
            <v>100</v>
          </cell>
          <cell r="P37">
            <v>7.7</v>
          </cell>
        </row>
        <row r="37">
          <cell r="S37">
            <v>100</v>
          </cell>
          <cell r="T37">
            <v>7.7</v>
          </cell>
        </row>
        <row r="37">
          <cell r="AA37">
            <v>360.25</v>
          </cell>
        </row>
        <row r="37">
          <cell r="AC37">
            <v>360.25</v>
          </cell>
        </row>
        <row r="37">
          <cell r="AJ37">
            <v>47096</v>
          </cell>
        </row>
        <row r="37">
          <cell r="AN37">
            <v>1523219.69459586</v>
          </cell>
        </row>
        <row r="37">
          <cell r="AQ37">
            <v>1006.87295441233</v>
          </cell>
        </row>
        <row r="37">
          <cell r="AT37">
            <v>136.303791151216</v>
          </cell>
          <cell r="AU37">
            <v>775.292174897491</v>
          </cell>
        </row>
        <row r="37">
          <cell r="AW37">
            <v>20.22537165</v>
          </cell>
        </row>
        <row r="37">
          <cell r="BN37">
            <v>136.303791151216</v>
          </cell>
          <cell r="BO37">
            <v>775.292174897491</v>
          </cell>
        </row>
        <row r="37">
          <cell r="BQ37">
            <v>20.22537165</v>
          </cell>
        </row>
        <row r="37">
          <cell r="DM37">
            <v>150.785432375258</v>
          </cell>
          <cell r="DN37">
            <v>748.606278878548</v>
          </cell>
        </row>
        <row r="37">
          <cell r="DP37">
            <v>19.1305719</v>
          </cell>
        </row>
        <row r="38">
          <cell r="J38">
            <v>0</v>
          </cell>
          <cell r="K38">
            <v>0</v>
          </cell>
        </row>
        <row r="38">
          <cell r="O38">
            <v>100</v>
          </cell>
          <cell r="P38">
            <v>8.4</v>
          </cell>
        </row>
        <row r="38">
          <cell r="S38">
            <v>100</v>
          </cell>
          <cell r="T38">
            <v>8.4</v>
          </cell>
        </row>
        <row r="38">
          <cell r="AA38">
            <v>360.25</v>
          </cell>
        </row>
        <row r="38">
          <cell r="AC38">
            <v>360.25</v>
          </cell>
        </row>
        <row r="38">
          <cell r="AN38">
            <v>0</v>
          </cell>
        </row>
        <row r="38">
          <cell r="AQ38">
            <v>0</v>
          </cell>
        </row>
        <row r="38">
          <cell r="AT38">
            <v>0</v>
          </cell>
          <cell r="AU38">
            <v>0</v>
          </cell>
        </row>
        <row r="38">
          <cell r="AW38">
            <v>0</v>
          </cell>
        </row>
        <row r="38">
          <cell r="BN38">
            <v>0</v>
          </cell>
          <cell r="BO38">
            <v>0</v>
          </cell>
        </row>
        <row r="38">
          <cell r="DM38">
            <v>0</v>
          </cell>
          <cell r="DN38">
            <v>0</v>
          </cell>
        </row>
        <row r="39">
          <cell r="J39">
            <v>0</v>
          </cell>
          <cell r="K39">
            <v>0</v>
          </cell>
        </row>
        <row r="39">
          <cell r="O39">
            <v>50</v>
          </cell>
          <cell r="P39">
            <v>6.2</v>
          </cell>
        </row>
        <row r="39">
          <cell r="S39">
            <v>50</v>
          </cell>
          <cell r="T39">
            <v>6.2</v>
          </cell>
        </row>
        <row r="39">
          <cell r="AA39">
            <v>360.25</v>
          </cell>
        </row>
        <row r="39">
          <cell r="AC39">
            <v>360.25</v>
          </cell>
        </row>
        <row r="39">
          <cell r="AN39">
            <v>0</v>
          </cell>
        </row>
        <row r="39">
          <cell r="AQ39">
            <v>0</v>
          </cell>
        </row>
        <row r="39">
          <cell r="AT39">
            <v>0</v>
          </cell>
          <cell r="AU39">
            <v>0</v>
          </cell>
        </row>
        <row r="39">
          <cell r="AW39">
            <v>0</v>
          </cell>
        </row>
        <row r="39">
          <cell r="BN39">
            <v>0</v>
          </cell>
          <cell r="BO39">
            <v>0</v>
          </cell>
        </row>
        <row r="39">
          <cell r="DM39">
            <v>0</v>
          </cell>
          <cell r="DN39">
            <v>0</v>
          </cell>
        </row>
        <row r="40">
          <cell r="J40">
            <v>0</v>
          </cell>
          <cell r="K40">
            <v>0</v>
          </cell>
        </row>
        <row r="40">
          <cell r="O40">
            <v>50</v>
          </cell>
          <cell r="P40">
            <v>6.2</v>
          </cell>
        </row>
        <row r="40">
          <cell r="S40">
            <v>50</v>
          </cell>
          <cell r="T40">
            <v>6.2</v>
          </cell>
        </row>
        <row r="40">
          <cell r="AA40">
            <v>360.25</v>
          </cell>
        </row>
        <row r="40">
          <cell r="AC40">
            <v>360.25</v>
          </cell>
        </row>
        <row r="40">
          <cell r="AN40">
            <v>0</v>
          </cell>
        </row>
        <row r="40">
          <cell r="AQ40">
            <v>0</v>
          </cell>
        </row>
        <row r="40">
          <cell r="AT40">
            <v>0</v>
          </cell>
          <cell r="AU40">
            <v>0</v>
          </cell>
        </row>
        <row r="40">
          <cell r="AW40">
            <v>0</v>
          </cell>
        </row>
        <row r="40">
          <cell r="BN40">
            <v>0</v>
          </cell>
          <cell r="BO40">
            <v>0</v>
          </cell>
        </row>
        <row r="40">
          <cell r="DM40">
            <v>0</v>
          </cell>
          <cell r="DN40">
            <v>0</v>
          </cell>
        </row>
        <row r="41">
          <cell r="J41">
            <v>0</v>
          </cell>
          <cell r="K41">
            <v>40.1415745411003</v>
          </cell>
        </row>
        <row r="41">
          <cell r="O41">
            <v>65</v>
          </cell>
          <cell r="P41">
            <v>7</v>
          </cell>
        </row>
        <row r="41">
          <cell r="S41">
            <v>65</v>
          </cell>
          <cell r="T41">
            <v>7</v>
          </cell>
        </row>
        <row r="41">
          <cell r="AA41">
            <v>360.25</v>
          </cell>
        </row>
        <row r="41">
          <cell r="AC41">
            <v>360.25</v>
          </cell>
        </row>
        <row r="41">
          <cell r="AN41">
            <v>0</v>
          </cell>
        </row>
        <row r="41">
          <cell r="AQ41">
            <v>41.5725188364717</v>
          </cell>
        </row>
        <row r="41">
          <cell r="AT41">
            <v>0</v>
          </cell>
          <cell r="AU41">
            <v>29.1007631855302</v>
          </cell>
        </row>
        <row r="41">
          <cell r="AW41">
            <v>0</v>
          </cell>
        </row>
        <row r="41">
          <cell r="BN41">
            <v>0</v>
          </cell>
          <cell r="BO41">
            <v>29.1007631855302</v>
          </cell>
        </row>
        <row r="41">
          <cell r="BQ41">
            <v>0</v>
          </cell>
        </row>
        <row r="41">
          <cell r="DM41">
            <v>0</v>
          </cell>
          <cell r="DN41">
            <v>28.0991021787702</v>
          </cell>
        </row>
        <row r="41">
          <cell r="DP41">
            <v>1.6565736</v>
          </cell>
        </row>
        <row r="42">
          <cell r="J42">
            <v>0</v>
          </cell>
          <cell r="K42">
            <v>0</v>
          </cell>
        </row>
        <row r="42">
          <cell r="O42">
            <v>100</v>
          </cell>
          <cell r="P42">
            <v>7.3</v>
          </cell>
        </row>
        <row r="42">
          <cell r="S42">
            <v>100</v>
          </cell>
          <cell r="T42">
            <v>7.3</v>
          </cell>
        </row>
        <row r="42">
          <cell r="AA42">
            <v>360.25</v>
          </cell>
        </row>
        <row r="42">
          <cell r="AC42">
            <v>360.25</v>
          </cell>
        </row>
        <row r="42">
          <cell r="AN42">
            <v>0</v>
          </cell>
        </row>
        <row r="42">
          <cell r="AQ42">
            <v>0</v>
          </cell>
        </row>
        <row r="42">
          <cell r="AT42">
            <v>0</v>
          </cell>
          <cell r="AU42">
            <v>0</v>
          </cell>
        </row>
        <row r="42">
          <cell r="AW42">
            <v>0</v>
          </cell>
        </row>
        <row r="42">
          <cell r="BN42">
            <v>0</v>
          </cell>
          <cell r="BO42">
            <v>0</v>
          </cell>
        </row>
        <row r="42">
          <cell r="DM42">
            <v>0</v>
          </cell>
          <cell r="DN42">
            <v>0</v>
          </cell>
        </row>
        <row r="43">
          <cell r="H43">
            <v>5371</v>
          </cell>
        </row>
        <row r="43">
          <cell r="J43">
            <v>21936.9981355066</v>
          </cell>
          <cell r="K43">
            <v>9.46335842153401</v>
          </cell>
        </row>
        <row r="43">
          <cell r="AJ43">
            <v>5661</v>
          </cell>
        </row>
        <row r="43">
          <cell r="AN43">
            <v>23743.5373177843</v>
          </cell>
        </row>
        <row r="43">
          <cell r="AQ43">
            <v>9.62967180970268</v>
          </cell>
        </row>
        <row r="43">
          <cell r="AT43">
            <v>0.424933338668921</v>
          </cell>
          <cell r="AU43">
            <v>3.85186872388107</v>
          </cell>
        </row>
        <row r="43">
          <cell r="AW43">
            <v>0.33096</v>
          </cell>
        </row>
        <row r="43">
          <cell r="BN43">
            <v>0.424933338668921</v>
          </cell>
          <cell r="BO43">
            <v>3.85186872388107</v>
          </cell>
        </row>
        <row r="43">
          <cell r="BQ43">
            <v>0.33096</v>
          </cell>
        </row>
        <row r="43">
          <cell r="DM43">
            <v>0.526487955252157</v>
          </cell>
          <cell r="DN43">
            <v>3.78534336861361</v>
          </cell>
        </row>
        <row r="43">
          <cell r="DP43">
            <v>0.31401</v>
          </cell>
        </row>
        <row r="44">
          <cell r="H44">
            <v>5025</v>
          </cell>
        </row>
        <row r="44">
          <cell r="J44">
            <v>20426.9981355066</v>
          </cell>
          <cell r="K44">
            <v>9.14719339003917</v>
          </cell>
        </row>
        <row r="44">
          <cell r="O44">
            <v>20</v>
          </cell>
          <cell r="P44">
            <v>4</v>
          </cell>
        </row>
        <row r="44">
          <cell r="S44">
            <v>20</v>
          </cell>
          <cell r="T44">
            <v>4</v>
          </cell>
        </row>
        <row r="44">
          <cell r="AA44">
            <v>50</v>
          </cell>
        </row>
        <row r="44">
          <cell r="AC44">
            <v>50</v>
          </cell>
        </row>
        <row r="44">
          <cell r="AJ44">
            <v>5296</v>
          </cell>
        </row>
        <row r="44">
          <cell r="AN44">
            <v>22218.4373177843</v>
          </cell>
        </row>
        <row r="44">
          <cell r="AQ44">
            <v>9.30795034937294</v>
          </cell>
        </row>
        <row r="44">
          <cell r="AT44">
            <v>0.397638928988921</v>
          </cell>
          <cell r="AU44">
            <v>3.72318013974917</v>
          </cell>
        </row>
        <row r="44">
          <cell r="AW44">
            <v>0.30963</v>
          </cell>
        </row>
        <row r="44">
          <cell r="BN44">
            <v>0.397638928988921</v>
          </cell>
          <cell r="BO44">
            <v>3.72318013974917</v>
          </cell>
        </row>
        <row r="44">
          <cell r="BQ44">
            <v>0.30963</v>
          </cell>
        </row>
        <row r="44">
          <cell r="DM44">
            <v>0.490247955252157</v>
          </cell>
          <cell r="DN44">
            <v>3.65887735601567</v>
          </cell>
        </row>
        <row r="44">
          <cell r="DP44">
            <v>0.29379</v>
          </cell>
        </row>
        <row r="45">
          <cell r="H45">
            <v>346</v>
          </cell>
        </row>
        <row r="45">
          <cell r="J45">
            <v>1510</v>
          </cell>
          <cell r="K45">
            <v>0.316165031494847</v>
          </cell>
        </row>
        <row r="45">
          <cell r="O45">
            <v>20</v>
          </cell>
          <cell r="P45">
            <v>4</v>
          </cell>
        </row>
        <row r="45">
          <cell r="S45">
            <v>20</v>
          </cell>
          <cell r="T45">
            <v>4</v>
          </cell>
        </row>
        <row r="45">
          <cell r="AA45">
            <v>50</v>
          </cell>
        </row>
        <row r="45">
          <cell r="AC45">
            <v>50</v>
          </cell>
        </row>
        <row r="45">
          <cell r="AJ45">
            <v>365</v>
          </cell>
        </row>
        <row r="45">
          <cell r="AN45">
            <v>1525.1</v>
          </cell>
        </row>
        <row r="45">
          <cell r="AQ45">
            <v>0.321721460329742</v>
          </cell>
        </row>
        <row r="45">
          <cell r="AT45">
            <v>0.02729440968</v>
          </cell>
          <cell r="AU45">
            <v>0.128688584131897</v>
          </cell>
        </row>
        <row r="45">
          <cell r="AW45">
            <v>0.02133</v>
          </cell>
        </row>
        <row r="45">
          <cell r="BN45">
            <v>0.02729440968</v>
          </cell>
          <cell r="BO45">
            <v>0.128688584131897</v>
          </cell>
        </row>
        <row r="45">
          <cell r="BQ45">
            <v>0.02133</v>
          </cell>
        </row>
        <row r="45">
          <cell r="DM45">
            <v>0.03624</v>
          </cell>
          <cell r="DN45">
            <v>0.126466012597939</v>
          </cell>
        </row>
        <row r="45">
          <cell r="DP45">
            <v>0.02022</v>
          </cell>
        </row>
        <row r="46">
          <cell r="H46">
            <v>1434508</v>
          </cell>
        </row>
        <row r="46">
          <cell r="J46">
            <v>7130045</v>
          </cell>
          <cell r="K46">
            <v>16400.2035853187</v>
          </cell>
        </row>
        <row r="46">
          <cell r="AJ46">
            <v>1510736</v>
          </cell>
        </row>
        <row r="46">
          <cell r="AN46">
            <v>7511185</v>
          </cell>
        </row>
        <row r="46">
          <cell r="AQ46">
            <v>17123.9873054058</v>
          </cell>
        </row>
        <row r="46">
          <cell r="AT46">
            <v>0.04666464</v>
          </cell>
          <cell r="AU46">
            <v>10.3761823234898</v>
          </cell>
        </row>
        <row r="46">
          <cell r="AW46">
            <v>53.014392</v>
          </cell>
        </row>
        <row r="46">
          <cell r="BN46">
            <v>0.04666464</v>
          </cell>
          <cell r="BO46">
            <v>10.3761823234898</v>
          </cell>
        </row>
        <row r="46">
          <cell r="BQ46">
            <v>53.014392</v>
          </cell>
        </row>
        <row r="46">
          <cell r="DM46">
            <v>0.04666464</v>
          </cell>
          <cell r="DN46">
            <v>9.93760971137238</v>
          </cell>
        </row>
        <row r="46">
          <cell r="DP46">
            <v>50.335542</v>
          </cell>
        </row>
        <row r="47">
          <cell r="H47">
            <v>1434139</v>
          </cell>
        </row>
        <row r="47">
          <cell r="J47">
            <v>7128100.64</v>
          </cell>
          <cell r="K47">
            <v>16397.0082288473</v>
          </cell>
        </row>
        <row r="47">
          <cell r="AJ47">
            <v>1510367</v>
          </cell>
        </row>
        <row r="47">
          <cell r="AN47">
            <v>7509240.64</v>
          </cell>
        </row>
        <row r="47">
          <cell r="AQ47">
            <v>17120.6509295268</v>
          </cell>
        </row>
        <row r="47">
          <cell r="AT47">
            <v>0</v>
          </cell>
          <cell r="AU47">
            <v>9.04163197188246</v>
          </cell>
        </row>
        <row r="47">
          <cell r="AW47">
            <v>53.001108</v>
          </cell>
        </row>
        <row r="47">
          <cell r="BN47">
            <v>0</v>
          </cell>
          <cell r="BO47">
            <v>9.04163197188246</v>
          </cell>
        </row>
        <row r="47">
          <cell r="BQ47">
            <v>53.001108</v>
          </cell>
        </row>
        <row r="47">
          <cell r="DM47">
            <v>0</v>
          </cell>
          <cell r="DN47">
            <v>8.65946712279959</v>
          </cell>
        </row>
        <row r="47">
          <cell r="DP47">
            <v>50.322258</v>
          </cell>
        </row>
        <row r="48">
          <cell r="H48">
            <v>1992</v>
          </cell>
        </row>
        <row r="48">
          <cell r="J48">
            <v>11265.9</v>
          </cell>
          <cell r="K48">
            <v>34.6378684911984</v>
          </cell>
        </row>
        <row r="48">
          <cell r="P48">
            <v>2.5</v>
          </cell>
        </row>
        <row r="48">
          <cell r="T48">
            <v>2.5</v>
          </cell>
        </row>
        <row r="48">
          <cell r="AA48">
            <v>30</v>
          </cell>
        </row>
        <row r="48">
          <cell r="AC48">
            <v>30</v>
          </cell>
        </row>
        <row r="48">
          <cell r="AJ48">
            <v>1992</v>
          </cell>
        </row>
        <row r="48">
          <cell r="AN48">
            <v>11265.9</v>
          </cell>
        </row>
        <row r="48">
          <cell r="AQ48">
            <v>36.1665278875299</v>
          </cell>
        </row>
        <row r="48">
          <cell r="AT48">
            <v>0</v>
          </cell>
          <cell r="AU48">
            <v>9.04163197188246</v>
          </cell>
        </row>
        <row r="48">
          <cell r="AW48">
            <v>0.071712</v>
          </cell>
        </row>
        <row r="48">
          <cell r="BN48">
            <v>0</v>
          </cell>
          <cell r="BO48">
            <v>9.04163197188246</v>
          </cell>
        </row>
        <row r="48">
          <cell r="BQ48">
            <v>0.071712</v>
          </cell>
        </row>
        <row r="48">
          <cell r="DM48">
            <v>0</v>
          </cell>
          <cell r="DN48">
            <v>8.65946712279959</v>
          </cell>
        </row>
        <row r="48">
          <cell r="DP48">
            <v>0.071712</v>
          </cell>
        </row>
        <row r="49">
          <cell r="H49">
            <v>1432147</v>
          </cell>
        </row>
        <row r="49">
          <cell r="J49">
            <v>7116834.74</v>
          </cell>
          <cell r="K49">
            <v>16362.3703603561</v>
          </cell>
        </row>
        <row r="49">
          <cell r="AJ49">
            <v>1508375</v>
          </cell>
        </row>
        <row r="49">
          <cell r="AN49">
            <v>7497974.74</v>
          </cell>
        </row>
        <row r="49">
          <cell r="AQ49">
            <v>17084.4844016393</v>
          </cell>
        </row>
        <row r="50">
          <cell r="H50">
            <v>1432147</v>
          </cell>
        </row>
        <row r="50">
          <cell r="J50">
            <v>7116834.74</v>
          </cell>
          <cell r="K50">
            <v>16362.3703603561</v>
          </cell>
        </row>
        <row r="50">
          <cell r="AA50">
            <v>30</v>
          </cell>
        </row>
        <row r="50">
          <cell r="AC50">
            <v>30</v>
          </cell>
        </row>
        <row r="50">
          <cell r="AJ50">
            <v>1508375</v>
          </cell>
        </row>
        <row r="50">
          <cell r="AN50">
            <v>7497974.74</v>
          </cell>
        </row>
        <row r="50">
          <cell r="AQ50">
            <v>17084.4844016393</v>
          </cell>
        </row>
        <row r="50">
          <cell r="AT50">
            <v>0</v>
          </cell>
          <cell r="AU50">
            <v>0</v>
          </cell>
        </row>
        <row r="50">
          <cell r="AW50">
            <v>52.929396</v>
          </cell>
        </row>
        <row r="50">
          <cell r="BN50">
            <v>0</v>
          </cell>
          <cell r="BO50">
            <v>0</v>
          </cell>
        </row>
        <row r="50">
          <cell r="BQ50">
            <v>52.929396</v>
          </cell>
        </row>
        <row r="50">
          <cell r="DM50">
            <v>0</v>
          </cell>
          <cell r="DN50">
            <v>0</v>
          </cell>
        </row>
        <row r="50">
          <cell r="DP50">
            <v>50.250546</v>
          </cell>
        </row>
        <row r="51">
          <cell r="K51">
            <v>0</v>
          </cell>
        </row>
        <row r="51">
          <cell r="AA51">
            <v>30</v>
          </cell>
        </row>
        <row r="51">
          <cell r="AC51">
            <v>30</v>
          </cell>
        </row>
        <row r="51">
          <cell r="AQ51">
            <v>0</v>
          </cell>
        </row>
        <row r="51">
          <cell r="AT51">
            <v>0</v>
          </cell>
          <cell r="AU51">
            <v>0</v>
          </cell>
        </row>
        <row r="51">
          <cell r="BN51">
            <v>0</v>
          </cell>
          <cell r="BO51">
            <v>0</v>
          </cell>
        </row>
        <row r="51">
          <cell r="DM51">
            <v>0</v>
          </cell>
          <cell r="DN51">
            <v>0</v>
          </cell>
        </row>
        <row r="52">
          <cell r="H52">
            <v>369</v>
          </cell>
        </row>
        <row r="52">
          <cell r="J52">
            <v>1944.36</v>
          </cell>
          <cell r="K52">
            <v>3.19535647143197</v>
          </cell>
        </row>
        <row r="52">
          <cell r="AJ52">
            <v>369</v>
          </cell>
        </row>
        <row r="52">
          <cell r="AN52">
            <v>1944.36</v>
          </cell>
        </row>
        <row r="52">
          <cell r="AQ52">
            <v>3.33637587901833</v>
          </cell>
        </row>
        <row r="52">
          <cell r="AT52">
            <v>0.04666464</v>
          </cell>
          <cell r="AU52">
            <v>1.33455035160733</v>
          </cell>
        </row>
        <row r="52">
          <cell r="AW52">
            <v>0.013284</v>
          </cell>
        </row>
        <row r="52">
          <cell r="BN52">
            <v>0.04666464</v>
          </cell>
          <cell r="BO52">
            <v>1.33455035160733</v>
          </cell>
        </row>
        <row r="52">
          <cell r="BQ52">
            <v>0.013284</v>
          </cell>
        </row>
        <row r="52">
          <cell r="DM52">
            <v>0.04666464</v>
          </cell>
          <cell r="DN52">
            <v>1.27814258857279</v>
          </cell>
        </row>
        <row r="52">
          <cell r="DP52">
            <v>0.013284</v>
          </cell>
        </row>
        <row r="53">
          <cell r="H53">
            <v>369</v>
          </cell>
        </row>
        <row r="53">
          <cell r="J53">
            <v>1944.36</v>
          </cell>
          <cell r="K53">
            <v>3.19535647143197</v>
          </cell>
        </row>
        <row r="53">
          <cell r="O53">
            <v>20</v>
          </cell>
          <cell r="P53">
            <v>4</v>
          </cell>
        </row>
        <row r="53">
          <cell r="S53">
            <v>20</v>
          </cell>
          <cell r="T53">
            <v>4</v>
          </cell>
        </row>
        <row r="53">
          <cell r="AA53">
            <v>30</v>
          </cell>
        </row>
        <row r="53">
          <cell r="AC53">
            <v>30</v>
          </cell>
        </row>
        <row r="53">
          <cell r="AJ53">
            <v>369</v>
          </cell>
        </row>
        <row r="53">
          <cell r="AN53">
            <v>1944.36</v>
          </cell>
        </row>
        <row r="53">
          <cell r="AQ53">
            <v>3.33637587901833</v>
          </cell>
        </row>
        <row r="53">
          <cell r="AT53">
            <v>0.04666464</v>
          </cell>
          <cell r="AU53">
            <v>1.33455035160733</v>
          </cell>
        </row>
        <row r="53">
          <cell r="AW53">
            <v>0.013284</v>
          </cell>
        </row>
        <row r="53">
          <cell r="BN53">
            <v>0.04666464</v>
          </cell>
          <cell r="BO53">
            <v>1.33455035160733</v>
          </cell>
        </row>
        <row r="53">
          <cell r="BQ53">
            <v>0.013284</v>
          </cell>
        </row>
        <row r="53">
          <cell r="DM53">
            <v>0.04666464</v>
          </cell>
          <cell r="DN53">
            <v>1.27814258857279</v>
          </cell>
        </row>
        <row r="53">
          <cell r="DP53">
            <v>0.013284</v>
          </cell>
        </row>
        <row r="54">
          <cell r="H54">
            <v>74905</v>
          </cell>
          <cell r="I54">
            <v>175.540563701112</v>
          </cell>
        </row>
        <row r="54">
          <cell r="K54">
            <v>260.051315654006</v>
          </cell>
        </row>
        <row r="54">
          <cell r="AJ54">
            <v>75491</v>
          </cell>
        </row>
        <row r="54">
          <cell r="AL54">
            <v>175.540563701112</v>
          </cell>
        </row>
        <row r="54">
          <cell r="AQ54">
            <v>264.600089857505</v>
          </cell>
        </row>
        <row r="54">
          <cell r="AT54">
            <v>6.7407576461227</v>
          </cell>
          <cell r="AU54">
            <v>203.555442600523</v>
          </cell>
        </row>
        <row r="54">
          <cell r="AW54">
            <v>10.828512</v>
          </cell>
        </row>
        <row r="54">
          <cell r="BN54">
            <v>6.7407576461227</v>
          </cell>
          <cell r="BO54">
            <v>203.555442600523</v>
          </cell>
        </row>
        <row r="54">
          <cell r="BQ54">
            <v>10.828512</v>
          </cell>
        </row>
        <row r="54">
          <cell r="DM54">
            <v>6.7407576461227</v>
          </cell>
          <cell r="DN54">
            <v>200.056094785556</v>
          </cell>
        </row>
        <row r="54">
          <cell r="DP54">
            <v>10.745712</v>
          </cell>
        </row>
        <row r="55">
          <cell r="H55">
            <v>34386</v>
          </cell>
          <cell r="I55">
            <v>64.2967633534012</v>
          </cell>
        </row>
        <row r="55">
          <cell r="K55">
            <v>79.7090505909807</v>
          </cell>
        </row>
        <row r="55">
          <cell r="O55">
            <v>32</v>
          </cell>
          <cell r="P55">
            <v>7.1</v>
          </cell>
        </row>
        <row r="55">
          <cell r="S55">
            <v>32</v>
          </cell>
          <cell r="T55">
            <v>7.1</v>
          </cell>
        </row>
        <row r="55">
          <cell r="AA55">
            <v>120</v>
          </cell>
        </row>
        <row r="55">
          <cell r="AC55">
            <v>120</v>
          </cell>
        </row>
        <row r="55">
          <cell r="AJ55">
            <v>34450</v>
          </cell>
        </row>
        <row r="55">
          <cell r="AL55">
            <v>64.2967633534012</v>
          </cell>
        </row>
        <row r="55">
          <cell r="AQ55">
            <v>81.1033079982226</v>
          </cell>
        </row>
        <row r="55">
          <cell r="AT55">
            <v>2.46899571277061</v>
          </cell>
          <cell r="AU55">
            <v>57.583348678738</v>
          </cell>
        </row>
        <row r="55">
          <cell r="AW55">
            <v>4.956192</v>
          </cell>
        </row>
        <row r="55">
          <cell r="BN55">
            <v>2.46899571277061</v>
          </cell>
          <cell r="BO55">
            <v>57.583348678738</v>
          </cell>
        </row>
        <row r="55">
          <cell r="BQ55">
            <v>4.956192</v>
          </cell>
        </row>
        <row r="55">
          <cell r="DM55">
            <v>2.46899571277061</v>
          </cell>
          <cell r="DN55">
            <v>56.5934259195963</v>
          </cell>
        </row>
        <row r="55">
          <cell r="DP55">
            <v>4.946976</v>
          </cell>
        </row>
        <row r="56">
          <cell r="H56">
            <v>12356</v>
          </cell>
          <cell r="I56">
            <v>31.5634546293874</v>
          </cell>
        </row>
        <row r="56">
          <cell r="K56">
            <v>52.2913167018194</v>
          </cell>
        </row>
        <row r="56">
          <cell r="O56">
            <v>32</v>
          </cell>
          <cell r="P56">
            <v>7.6</v>
          </cell>
        </row>
        <row r="56">
          <cell r="S56">
            <v>32</v>
          </cell>
          <cell r="T56">
            <v>7.6</v>
          </cell>
        </row>
        <row r="56">
          <cell r="AA56">
            <v>120</v>
          </cell>
        </row>
        <row r="56">
          <cell r="AC56">
            <v>120</v>
          </cell>
        </row>
        <row r="56">
          <cell r="AJ56">
            <v>12887</v>
          </cell>
        </row>
        <row r="56">
          <cell r="AL56">
            <v>31.5634546293874</v>
          </cell>
        </row>
        <row r="56">
          <cell r="AQ56">
            <v>53.2059876846675</v>
          </cell>
        </row>
        <row r="56">
          <cell r="AT56">
            <v>1.21203665776847</v>
          </cell>
          <cell r="AU56">
            <v>40.4365506403473</v>
          </cell>
        </row>
        <row r="56">
          <cell r="AW56">
            <v>1.817496</v>
          </cell>
        </row>
        <row r="56">
          <cell r="BN56">
            <v>1.21203665776847</v>
          </cell>
          <cell r="BO56">
            <v>40.4365506403473</v>
          </cell>
        </row>
        <row r="56">
          <cell r="BQ56">
            <v>1.817496</v>
          </cell>
        </row>
        <row r="56">
          <cell r="DM56">
            <v>1.21203665776847</v>
          </cell>
          <cell r="DN56">
            <v>39.7414006933827</v>
          </cell>
        </row>
        <row r="56">
          <cell r="DP56">
            <v>1.742616</v>
          </cell>
        </row>
        <row r="57">
          <cell r="H57">
            <v>28163</v>
          </cell>
          <cell r="I57">
            <v>79.6803457183233</v>
          </cell>
        </row>
        <row r="57">
          <cell r="K57">
            <v>128.050948361206</v>
          </cell>
        </row>
        <row r="57">
          <cell r="O57">
            <v>32</v>
          </cell>
          <cell r="P57">
            <v>8.1</v>
          </cell>
        </row>
        <row r="57">
          <cell r="S57">
            <v>32</v>
          </cell>
          <cell r="T57">
            <v>8.1</v>
          </cell>
        </row>
        <row r="57">
          <cell r="AA57">
            <v>120</v>
          </cell>
        </row>
        <row r="57">
          <cell r="AC57">
            <v>120</v>
          </cell>
        </row>
        <row r="57">
          <cell r="AJ57">
            <v>28154</v>
          </cell>
        </row>
        <row r="57">
          <cell r="AL57">
            <v>79.6803457183233</v>
          </cell>
        </row>
        <row r="57">
          <cell r="AQ57">
            <v>130.290794174615</v>
          </cell>
        </row>
        <row r="57">
          <cell r="AT57">
            <v>3.05972527558361</v>
          </cell>
          <cell r="AU57">
            <v>105.535543281438</v>
          </cell>
        </row>
        <row r="57">
          <cell r="AW57">
            <v>4.054824</v>
          </cell>
        </row>
        <row r="57">
          <cell r="BN57">
            <v>3.05972527558361</v>
          </cell>
          <cell r="BO57">
            <v>105.535543281438</v>
          </cell>
        </row>
        <row r="57">
          <cell r="BQ57">
            <v>4.054824</v>
          </cell>
        </row>
        <row r="57">
          <cell r="DM57">
            <v>3.05972527558361</v>
          </cell>
          <cell r="DN57">
            <v>103.721268172577</v>
          </cell>
        </row>
        <row r="57">
          <cell r="DP57">
            <v>4.05612</v>
          </cell>
        </row>
        <row r="58">
          <cell r="H58">
            <v>26365</v>
          </cell>
          <cell r="I58">
            <v>81.4473817185997</v>
          </cell>
        </row>
        <row r="58">
          <cell r="K58">
            <v>101.306486363046</v>
          </cell>
        </row>
        <row r="58">
          <cell r="AJ58">
            <v>27229</v>
          </cell>
        </row>
        <row r="58">
          <cell r="AL58">
            <v>86.9078473577268</v>
          </cell>
        </row>
        <row r="58">
          <cell r="AQ58">
            <v>108.549426556406</v>
          </cell>
        </row>
        <row r="58">
          <cell r="AT58">
            <v>2.28193387149977</v>
          </cell>
          <cell r="AU58">
            <v>86.1905748190285</v>
          </cell>
        </row>
        <row r="58">
          <cell r="AW58">
            <v>3.21564</v>
          </cell>
        </row>
        <row r="58">
          <cell r="BN58">
            <v>2.28193387149977</v>
          </cell>
          <cell r="BO58">
            <v>86.1905748190285</v>
          </cell>
        </row>
        <row r="58">
          <cell r="BQ58">
            <v>3.21564</v>
          </cell>
        </row>
        <row r="58">
          <cell r="DM58">
            <v>2.1385587693091</v>
          </cell>
          <cell r="DN58">
            <v>80.4395248277956</v>
          </cell>
        </row>
        <row r="58">
          <cell r="DP58">
            <v>3.11364</v>
          </cell>
        </row>
        <row r="59">
          <cell r="H59">
            <v>21545</v>
          </cell>
          <cell r="I59">
            <v>73.4765715333784</v>
          </cell>
        </row>
        <row r="59">
          <cell r="K59">
            <v>90.2614595341592</v>
          </cell>
        </row>
        <row r="59">
          <cell r="O59">
            <v>21</v>
          </cell>
          <cell r="P59">
            <v>8.3</v>
          </cell>
        </row>
        <row r="59">
          <cell r="S59">
            <v>21</v>
          </cell>
          <cell r="T59">
            <v>8.3</v>
          </cell>
        </row>
        <row r="59">
          <cell r="AA59">
            <v>100</v>
          </cell>
        </row>
        <row r="59">
          <cell r="AC59">
            <v>100</v>
          </cell>
        </row>
        <row r="59">
          <cell r="AJ59">
            <v>22251</v>
          </cell>
        </row>
        <row r="59">
          <cell r="AL59">
            <v>78.4026512387405</v>
          </cell>
        </row>
        <row r="59">
          <cell r="AQ59">
            <v>96.7147319418951</v>
          </cell>
        </row>
        <row r="59">
          <cell r="AT59">
            <v>1.97574681121626</v>
          </cell>
          <cell r="AU59">
            <v>80.273227511773</v>
          </cell>
        </row>
        <row r="59">
          <cell r="AW59">
            <v>2.62776</v>
          </cell>
        </row>
        <row r="59">
          <cell r="BN59">
            <v>1.97574681121626</v>
          </cell>
          <cell r="BO59">
            <v>80.273227511773</v>
          </cell>
        </row>
        <row r="59">
          <cell r="BQ59">
            <v>2.62776</v>
          </cell>
        </row>
        <row r="59">
          <cell r="DM59">
            <v>1.85160960264114</v>
          </cell>
          <cell r="DN59">
            <v>74.9170114133521</v>
          </cell>
        </row>
        <row r="59">
          <cell r="DP59">
            <v>2.54442</v>
          </cell>
        </row>
        <row r="60">
          <cell r="H60">
            <v>4820</v>
          </cell>
          <cell r="I60">
            <v>7.97081018522127</v>
          </cell>
        </row>
        <row r="60">
          <cell r="K60">
            <v>11.0450268288868</v>
          </cell>
        </row>
        <row r="60">
          <cell r="O60">
            <v>30</v>
          </cell>
          <cell r="P60">
            <v>5</v>
          </cell>
        </row>
        <row r="60">
          <cell r="S60">
            <v>30</v>
          </cell>
          <cell r="T60">
            <v>5</v>
          </cell>
        </row>
        <row r="60">
          <cell r="AA60">
            <v>100</v>
          </cell>
        </row>
        <row r="60">
          <cell r="AC60">
            <v>100</v>
          </cell>
        </row>
        <row r="60">
          <cell r="AJ60">
            <v>4978</v>
          </cell>
        </row>
        <row r="60">
          <cell r="AL60">
            <v>8.50519611898623</v>
          </cell>
        </row>
        <row r="60">
          <cell r="AQ60">
            <v>11.8346946145112</v>
          </cell>
        </row>
        <row r="60">
          <cell r="AT60">
            <v>0.306187060283504</v>
          </cell>
          <cell r="AU60">
            <v>5.91734730725558</v>
          </cell>
        </row>
        <row r="60">
          <cell r="AW60">
            <v>0.58788</v>
          </cell>
        </row>
        <row r="60">
          <cell r="BN60">
            <v>0.306187060283504</v>
          </cell>
          <cell r="BO60">
            <v>5.91734730725558</v>
          </cell>
        </row>
        <row r="60">
          <cell r="BQ60">
            <v>0.58788</v>
          </cell>
        </row>
        <row r="60">
          <cell r="DM60">
            <v>0.286949166667966</v>
          </cell>
          <cell r="DN60">
            <v>5.52251341444342</v>
          </cell>
        </row>
        <row r="60">
          <cell r="DP60">
            <v>0.56922</v>
          </cell>
        </row>
        <row r="61">
          <cell r="H61">
            <v>4820</v>
          </cell>
          <cell r="I61">
            <v>7.97081018522127</v>
          </cell>
        </row>
        <row r="61">
          <cell r="O61">
            <v>30</v>
          </cell>
          <cell r="P61">
            <v>5</v>
          </cell>
        </row>
        <row r="61">
          <cell r="T61">
            <v>5</v>
          </cell>
        </row>
        <row r="61">
          <cell r="AA61">
            <v>100</v>
          </cell>
        </row>
        <row r="61">
          <cell r="AC61">
            <v>100</v>
          </cell>
        </row>
        <row r="61">
          <cell r="AJ61">
            <v>4978</v>
          </cell>
        </row>
        <row r="61">
          <cell r="AL61">
            <v>8.50519611898623</v>
          </cell>
        </row>
        <row r="61">
          <cell r="AQ61">
            <v>11.8346946145112</v>
          </cell>
        </row>
        <row r="61">
          <cell r="BN61">
            <v>0</v>
          </cell>
        </row>
        <row r="61">
          <cell r="DM61">
            <v>0</v>
          </cell>
          <cell r="DN61">
            <v>2.808413</v>
          </cell>
        </row>
        <row r="62">
          <cell r="O62">
            <v>30</v>
          </cell>
          <cell r="P62">
            <v>5</v>
          </cell>
        </row>
        <row r="62">
          <cell r="T62">
            <v>5</v>
          </cell>
        </row>
        <row r="62">
          <cell r="AA62">
            <v>100</v>
          </cell>
        </row>
        <row r="62">
          <cell r="AC62">
            <v>100</v>
          </cell>
        </row>
        <row r="62">
          <cell r="AQ62">
            <v>0</v>
          </cell>
        </row>
        <row r="62">
          <cell r="BN62">
            <v>0</v>
          </cell>
        </row>
        <row r="62">
          <cell r="DM62">
            <v>0</v>
          </cell>
          <cell r="DN62">
            <v>0</v>
          </cell>
        </row>
        <row r="63">
          <cell r="H63">
            <v>17051</v>
          </cell>
          <cell r="I63">
            <v>148.098460091206</v>
          </cell>
        </row>
        <row r="63">
          <cell r="K63">
            <v>133.599144375556</v>
          </cell>
        </row>
        <row r="63">
          <cell r="O63">
            <v>21</v>
          </cell>
          <cell r="P63">
            <v>12</v>
          </cell>
        </row>
        <row r="63">
          <cell r="S63">
            <v>21</v>
          </cell>
          <cell r="T63">
            <v>12</v>
          </cell>
        </row>
        <row r="63">
          <cell r="AA63">
            <v>100</v>
          </cell>
        </row>
        <row r="63">
          <cell r="AC63">
            <v>100</v>
          </cell>
        </row>
        <row r="63">
          <cell r="AJ63">
            <v>20019</v>
          </cell>
        </row>
        <row r="63">
          <cell r="AL63">
            <v>185.669634143626</v>
          </cell>
        </row>
        <row r="63">
          <cell r="AQ63">
            <v>157.328110571629</v>
          </cell>
        </row>
        <row r="63">
          <cell r="AT63">
            <v>4.67887478041938</v>
          </cell>
          <cell r="AU63">
            <v>188.793732685955</v>
          </cell>
        </row>
        <row r="63">
          <cell r="AW63">
            <v>2.2242</v>
          </cell>
        </row>
        <row r="63">
          <cell r="BN63">
            <v>4.67887478041938</v>
          </cell>
          <cell r="BO63">
            <v>188.793732685955</v>
          </cell>
        </row>
        <row r="63">
          <cell r="BQ63">
            <v>2.2242</v>
          </cell>
        </row>
        <row r="63">
          <cell r="DM63">
            <v>3.73208119429839</v>
          </cell>
          <cell r="DN63">
            <v>160.318973250667</v>
          </cell>
        </row>
        <row r="63">
          <cell r="DP63">
            <v>1.89444</v>
          </cell>
        </row>
        <row r="64">
          <cell r="H64">
            <v>303</v>
          </cell>
          <cell r="I64">
            <v>12.201</v>
          </cell>
        </row>
        <row r="64">
          <cell r="K64">
            <v>10.2408207592832</v>
          </cell>
        </row>
        <row r="64">
          <cell r="O64">
            <v>0</v>
          </cell>
          <cell r="P64">
            <v>6</v>
          </cell>
        </row>
        <row r="64">
          <cell r="S64">
            <v>0</v>
          </cell>
          <cell r="T64">
            <v>6</v>
          </cell>
        </row>
        <row r="64">
          <cell r="AA64">
            <v>120</v>
          </cell>
        </row>
        <row r="64">
          <cell r="AC64">
            <v>120</v>
          </cell>
        </row>
        <row r="64">
          <cell r="AJ64">
            <v>415</v>
          </cell>
        </row>
        <row r="64">
          <cell r="AL64">
            <v>19.9148408294931</v>
          </cell>
        </row>
        <row r="64">
          <cell r="AQ64">
            <v>46.8702400877059</v>
          </cell>
        </row>
        <row r="64">
          <cell r="AT64">
            <v>0</v>
          </cell>
          <cell r="AU64">
            <v>28.1221440526235</v>
          </cell>
        </row>
        <row r="64">
          <cell r="AW64">
            <v>0.051696</v>
          </cell>
        </row>
        <row r="64">
          <cell r="BN64">
            <v>0</v>
          </cell>
          <cell r="BO64">
            <v>28.1221440526235</v>
          </cell>
        </row>
        <row r="64">
          <cell r="BQ64">
            <v>0.051696</v>
          </cell>
        </row>
        <row r="64">
          <cell r="DM64">
            <v>0.427035</v>
          </cell>
          <cell r="DN64">
            <v>6.14449245556991</v>
          </cell>
        </row>
        <row r="64">
          <cell r="DP64">
            <v>0.038592</v>
          </cell>
        </row>
        <row r="65">
          <cell r="H65">
            <v>34764</v>
          </cell>
        </row>
        <row r="65">
          <cell r="J65">
            <v>155570.6737</v>
          </cell>
          <cell r="K65">
            <v>253.886305392353</v>
          </cell>
        </row>
        <row r="65">
          <cell r="AA65">
            <v>120</v>
          </cell>
        </row>
        <row r="65">
          <cell r="AC65">
            <v>120</v>
          </cell>
        </row>
        <row r="65">
          <cell r="AJ65">
            <v>34839</v>
          </cell>
        </row>
        <row r="65">
          <cell r="AN65">
            <v>157126.380437</v>
          </cell>
        </row>
        <row r="65">
          <cell r="AQ65">
            <v>258.327242265469</v>
          </cell>
        </row>
        <row r="65">
          <cell r="AT65">
            <v>6.0336530087808</v>
          </cell>
          <cell r="AU65">
            <v>162.225779929009</v>
          </cell>
        </row>
        <row r="65">
          <cell r="AW65">
            <v>5.011416</v>
          </cell>
        </row>
        <row r="65">
          <cell r="BN65">
            <v>6.0336530087808</v>
          </cell>
          <cell r="BO65">
            <v>162.225779929009</v>
          </cell>
        </row>
        <row r="65">
          <cell r="BQ65">
            <v>5.011416</v>
          </cell>
        </row>
        <row r="65">
          <cell r="DM65">
            <v>5.97391387008</v>
          </cell>
          <cell r="DN65">
            <v>159.436935664894</v>
          </cell>
        </row>
        <row r="65">
          <cell r="DP65">
            <v>5.00076</v>
          </cell>
        </row>
        <row r="66">
          <cell r="H66">
            <v>24949</v>
          </cell>
        </row>
        <row r="66">
          <cell r="J66">
            <v>107785.18</v>
          </cell>
          <cell r="K66">
            <v>195.225298216581</v>
          </cell>
        </row>
        <row r="66">
          <cell r="O66">
            <v>32</v>
          </cell>
          <cell r="P66">
            <v>6</v>
          </cell>
        </row>
        <row r="66">
          <cell r="S66">
            <v>32</v>
          </cell>
          <cell r="T66">
            <v>6</v>
          </cell>
        </row>
        <row r="66">
          <cell r="AA66">
            <v>120</v>
          </cell>
        </row>
        <row r="66">
          <cell r="AC66">
            <v>120</v>
          </cell>
        </row>
        <row r="66">
          <cell r="AJ66">
            <v>24977</v>
          </cell>
        </row>
        <row r="66">
          <cell r="AN66">
            <v>108863.0318</v>
          </cell>
        </row>
        <row r="66">
          <cell r="AQ66">
            <v>198.64014654436</v>
          </cell>
        </row>
        <row r="66">
          <cell r="AT66">
            <v>4.18034042112</v>
          </cell>
          <cell r="AU66">
            <v>119.184087926616</v>
          </cell>
        </row>
        <row r="66">
          <cell r="AW66">
            <v>3.594672</v>
          </cell>
        </row>
        <row r="66">
          <cell r="BN66">
            <v>4.18034042112</v>
          </cell>
          <cell r="BO66">
            <v>119.184087926616</v>
          </cell>
        </row>
        <row r="66">
          <cell r="BQ66">
            <v>3.594672</v>
          </cell>
        </row>
        <row r="66">
          <cell r="DM66">
            <v>4.138950912</v>
          </cell>
          <cell r="DN66">
            <v>117.135178929949</v>
          </cell>
        </row>
        <row r="66">
          <cell r="DP66">
            <v>3.59064</v>
          </cell>
        </row>
        <row r="67">
          <cell r="H67">
            <v>6205</v>
          </cell>
        </row>
        <row r="67">
          <cell r="J67">
            <v>28890.0602</v>
          </cell>
          <cell r="K67">
            <v>45.6121743728297</v>
          </cell>
        </row>
        <row r="67">
          <cell r="O67">
            <v>32</v>
          </cell>
          <cell r="P67">
            <v>7.1</v>
          </cell>
        </row>
        <row r="67">
          <cell r="S67">
            <v>32</v>
          </cell>
          <cell r="T67">
            <v>7.1</v>
          </cell>
        </row>
        <row r="67">
          <cell r="AA67">
            <v>120</v>
          </cell>
        </row>
        <row r="67">
          <cell r="AC67">
            <v>120</v>
          </cell>
        </row>
        <row r="67">
          <cell r="AJ67">
            <v>6292</v>
          </cell>
        </row>
        <row r="67">
          <cell r="AN67">
            <v>29178.960802</v>
          </cell>
        </row>
        <row r="67">
          <cell r="AQ67">
            <v>46.4100149129969</v>
          </cell>
        </row>
        <row r="67">
          <cell r="AT67">
            <v>1.1204720947968</v>
          </cell>
          <cell r="AU67">
            <v>32.9511105882278</v>
          </cell>
        </row>
        <row r="67">
          <cell r="AW67">
            <v>0.899784</v>
          </cell>
        </row>
        <row r="67">
          <cell r="BN67">
            <v>1.1204720947968</v>
          </cell>
          <cell r="BO67">
            <v>32.9511105882278</v>
          </cell>
        </row>
        <row r="67">
          <cell r="BQ67">
            <v>0.899784</v>
          </cell>
        </row>
        <row r="67">
          <cell r="DM67">
            <v>1.10937831168</v>
          </cell>
          <cell r="DN67">
            <v>32.3846438047091</v>
          </cell>
        </row>
        <row r="67">
          <cell r="DP67">
            <v>0.887328</v>
          </cell>
        </row>
        <row r="68">
          <cell r="H68">
            <v>3610</v>
          </cell>
        </row>
        <row r="68">
          <cell r="J68">
            <v>18895.4335</v>
          </cell>
          <cell r="K68">
            <v>13.0488328029423</v>
          </cell>
        </row>
        <row r="68">
          <cell r="O68">
            <v>32</v>
          </cell>
          <cell r="P68">
            <v>7.6</v>
          </cell>
        </row>
        <row r="68">
          <cell r="S68">
            <v>32</v>
          </cell>
          <cell r="T68">
            <v>7.6</v>
          </cell>
        </row>
        <row r="68">
          <cell r="AA68">
            <v>120</v>
          </cell>
        </row>
        <row r="68">
          <cell r="AC68">
            <v>120</v>
          </cell>
        </row>
        <row r="68">
          <cell r="AJ68">
            <v>3570</v>
          </cell>
        </row>
        <row r="68">
          <cell r="AN68">
            <v>19084.387835</v>
          </cell>
        </row>
        <row r="68">
          <cell r="AQ68">
            <v>13.277080808112</v>
          </cell>
        </row>
        <row r="68">
          <cell r="AT68">
            <v>0.732840492864</v>
          </cell>
          <cell r="AU68">
            <v>10.0905814141651</v>
          </cell>
        </row>
        <row r="68">
          <cell r="AW68">
            <v>0.51696</v>
          </cell>
        </row>
        <row r="68">
          <cell r="BN68">
            <v>0.732840492864</v>
          </cell>
          <cell r="BO68">
            <v>10.0905814141651</v>
          </cell>
        </row>
        <row r="68">
          <cell r="BQ68">
            <v>0.51696</v>
          </cell>
        </row>
        <row r="68">
          <cell r="DM68">
            <v>0.7255846464</v>
          </cell>
          <cell r="DN68">
            <v>9.91711293023615</v>
          </cell>
        </row>
        <row r="68">
          <cell r="DP68">
            <v>0.522792</v>
          </cell>
        </row>
        <row r="69">
          <cell r="K69">
            <v>0</v>
          </cell>
        </row>
        <row r="69">
          <cell r="AQ69">
            <v>0</v>
          </cell>
        </row>
        <row r="69">
          <cell r="AT69">
            <v>0</v>
          </cell>
          <cell r="AU69">
            <v>0</v>
          </cell>
        </row>
        <row r="69">
          <cell r="AW69">
            <v>0</v>
          </cell>
        </row>
        <row r="69">
          <cell r="BN69">
            <v>0</v>
          </cell>
          <cell r="BO69">
            <v>0</v>
          </cell>
        </row>
        <row r="69">
          <cell r="BQ69">
            <v>0</v>
          </cell>
        </row>
        <row r="69">
          <cell r="DM69">
            <v>0</v>
          </cell>
          <cell r="DN69">
            <v>0</v>
          </cell>
        </row>
        <row r="69">
          <cell r="DP69">
            <v>0</v>
          </cell>
        </row>
        <row r="84">
          <cell r="H84">
            <v>5914</v>
          </cell>
          <cell r="I84">
            <v>1529.6729323312</v>
          </cell>
        </row>
        <row r="84">
          <cell r="AC84">
            <v>0</v>
          </cell>
        </row>
        <row r="84">
          <cell r="AJ84">
            <v>6196</v>
          </cell>
        </row>
        <row r="84">
          <cell r="AL84">
            <v>1616.92789975108</v>
          </cell>
        </row>
        <row r="84">
          <cell r="AT84">
            <v>776.12539188052</v>
          </cell>
          <cell r="AU84">
            <v>3451.70920798381</v>
          </cell>
        </row>
        <row r="84">
          <cell r="AW84">
            <v>14.532</v>
          </cell>
        </row>
        <row r="84">
          <cell r="BN84">
            <v>776.12539188052</v>
          </cell>
          <cell r="BO84">
            <v>3451.70920798381</v>
          </cell>
        </row>
        <row r="84">
          <cell r="BQ84">
            <v>14.532</v>
          </cell>
        </row>
        <row r="84">
          <cell r="DM84">
            <v>712.827586466338</v>
          </cell>
          <cell r="DN84">
            <v>3381.31147639382</v>
          </cell>
        </row>
        <row r="84">
          <cell r="DP84">
            <v>16.26</v>
          </cell>
        </row>
        <row r="85">
          <cell r="H85">
            <v>5914</v>
          </cell>
          <cell r="I85">
            <v>1529.6729323312</v>
          </cell>
        </row>
        <row r="85">
          <cell r="K85">
            <v>4286.00985096979</v>
          </cell>
        </row>
        <row r="85">
          <cell r="AC85">
            <v>0</v>
          </cell>
        </row>
        <row r="85">
          <cell r="AJ85">
            <v>6196</v>
          </cell>
        </row>
        <row r="85">
          <cell r="AL85">
            <v>1616.92789975108</v>
          </cell>
        </row>
        <row r="85">
          <cell r="AQ85">
            <v>4424.60166459627</v>
          </cell>
        </row>
        <row r="85">
          <cell r="AT85">
            <v>776.12539188052</v>
          </cell>
          <cell r="AU85">
            <v>3338.44151664546</v>
          </cell>
        </row>
        <row r="85">
          <cell r="AW85">
            <v>14.532</v>
          </cell>
        </row>
        <row r="85">
          <cell r="BN85">
            <v>776.12539188052</v>
          </cell>
          <cell r="BO85">
            <v>3338.44151664546</v>
          </cell>
        </row>
        <row r="85">
          <cell r="BQ85">
            <v>14.532</v>
          </cell>
        </row>
        <row r="85">
          <cell r="DM85">
            <v>712.827586466338</v>
          </cell>
          <cell r="DN85">
            <v>3270.26020952284</v>
          </cell>
        </row>
        <row r="85">
          <cell r="DP85">
            <v>15.7824</v>
          </cell>
        </row>
        <row r="86">
          <cell r="H86">
            <v>5914</v>
          </cell>
          <cell r="I86">
            <v>1529.6729323312</v>
          </cell>
        </row>
        <row r="86">
          <cell r="K86">
            <v>1237.846213485</v>
          </cell>
        </row>
        <row r="86">
          <cell r="O86">
            <v>500</v>
          </cell>
          <cell r="P86">
            <v>7.65</v>
          </cell>
        </row>
        <row r="86">
          <cell r="S86">
            <v>500</v>
          </cell>
          <cell r="T86">
            <v>7.65</v>
          </cell>
        </row>
        <row r="86">
          <cell r="AA86">
            <v>2000</v>
          </cell>
        </row>
        <row r="86">
          <cell r="AC86">
            <v>2000</v>
          </cell>
        </row>
        <row r="86">
          <cell r="AJ86">
            <v>6196</v>
          </cell>
        </row>
        <row r="86">
          <cell r="AL86">
            <v>1616.92789975108</v>
          </cell>
        </row>
        <row r="86">
          <cell r="AQ86">
            <v>1277.87303509363</v>
          </cell>
        </row>
        <row r="86">
          <cell r="AT86">
            <v>776.12539188052</v>
          </cell>
          <cell r="AU86">
            <v>977.572871846623</v>
          </cell>
        </row>
        <row r="86">
          <cell r="AW86">
            <v>14.532</v>
          </cell>
        </row>
        <row r="86">
          <cell r="BN86">
            <v>776.12539188052</v>
          </cell>
          <cell r="BO86">
            <v>977.572871846623</v>
          </cell>
        </row>
        <row r="86">
          <cell r="BQ86">
            <v>14.532</v>
          </cell>
        </row>
        <row r="86">
          <cell r="DM86">
            <v>712.827586466338</v>
          </cell>
          <cell r="DN86">
            <v>946.952353316028</v>
          </cell>
        </row>
        <row r="86">
          <cell r="DP86">
            <v>12.012</v>
          </cell>
        </row>
        <row r="87">
          <cell r="K87">
            <v>257.21595807093</v>
          </cell>
        </row>
        <row r="87">
          <cell r="O87">
            <v>100</v>
          </cell>
          <cell r="P87">
            <v>8</v>
          </cell>
        </row>
        <row r="87">
          <cell r="S87">
            <v>100</v>
          </cell>
          <cell r="T87">
            <v>8</v>
          </cell>
        </row>
        <row r="87">
          <cell r="AA87">
            <v>2000</v>
          </cell>
        </row>
        <row r="87">
          <cell r="AC87">
            <v>2000</v>
          </cell>
        </row>
        <row r="87">
          <cell r="AQ87">
            <v>265.53325722848</v>
          </cell>
        </row>
        <row r="87">
          <cell r="AT87">
            <v>0</v>
          </cell>
          <cell r="AU87">
            <v>212.426605782784</v>
          </cell>
        </row>
        <row r="87">
          <cell r="AW87">
            <v>0</v>
          </cell>
        </row>
        <row r="87">
          <cell r="BN87">
            <v>0</v>
          </cell>
          <cell r="BO87">
            <v>212.426605782784</v>
          </cell>
        </row>
        <row r="87">
          <cell r="BQ87">
            <v>0</v>
          </cell>
        </row>
        <row r="87">
          <cell r="DM87">
            <v>0</v>
          </cell>
          <cell r="DN87">
            <v>205.772766456744</v>
          </cell>
        </row>
        <row r="87">
          <cell r="DP87">
            <v>3.3024</v>
          </cell>
        </row>
        <row r="88">
          <cell r="K88">
            <v>128.091205166528</v>
          </cell>
        </row>
        <row r="88">
          <cell r="P88">
            <v>7.65</v>
          </cell>
        </row>
        <row r="88">
          <cell r="S88">
            <v>0</v>
          </cell>
          <cell r="T88">
            <v>7.65</v>
          </cell>
        </row>
        <row r="88">
          <cell r="AA88">
            <v>2000</v>
          </cell>
        </row>
        <row r="88">
          <cell r="AC88">
            <v>2000</v>
          </cell>
        </row>
        <row r="88">
          <cell r="AQ88">
            <v>132.233144417931</v>
          </cell>
        </row>
        <row r="88">
          <cell r="AT88">
            <v>0</v>
          </cell>
          <cell r="AU88">
            <v>101.158355479717</v>
          </cell>
        </row>
        <row r="88">
          <cell r="AW88">
            <v>0</v>
          </cell>
        </row>
        <row r="88">
          <cell r="BN88">
            <v>0</v>
          </cell>
          <cell r="BO88">
            <v>101.158355479717</v>
          </cell>
        </row>
        <row r="88">
          <cell r="BQ88">
            <v>0</v>
          </cell>
        </row>
        <row r="88">
          <cell r="DM88">
            <v>0</v>
          </cell>
          <cell r="DN88">
            <v>97.9897719523938</v>
          </cell>
        </row>
        <row r="88">
          <cell r="DP88">
            <v>0</v>
          </cell>
        </row>
        <row r="89">
          <cell r="K89">
            <v>18.8526273447947</v>
          </cell>
        </row>
        <row r="89">
          <cell r="P89">
            <v>7.3</v>
          </cell>
        </row>
        <row r="89">
          <cell r="S89">
            <v>0</v>
          </cell>
          <cell r="T89">
            <v>7.3</v>
          </cell>
        </row>
        <row r="89">
          <cell r="AA89">
            <v>2000</v>
          </cell>
        </row>
        <row r="89">
          <cell r="AC89">
            <v>2000</v>
          </cell>
        </row>
        <row r="89">
          <cell r="AQ89">
            <v>19.4622432594077</v>
          </cell>
        </row>
        <row r="89">
          <cell r="AT89">
            <v>0</v>
          </cell>
          <cell r="AU89">
            <v>14.2074375793676</v>
          </cell>
        </row>
        <row r="89">
          <cell r="AW89">
            <v>0</v>
          </cell>
        </row>
        <row r="89">
          <cell r="BN89">
            <v>0</v>
          </cell>
          <cell r="BO89">
            <v>14.2074375793676</v>
          </cell>
        </row>
        <row r="89">
          <cell r="BQ89">
            <v>0</v>
          </cell>
        </row>
        <row r="89">
          <cell r="DM89">
            <v>0</v>
          </cell>
          <cell r="DN89">
            <v>13.7624179617001</v>
          </cell>
        </row>
        <row r="89">
          <cell r="DP89">
            <v>0</v>
          </cell>
        </row>
        <row r="90">
          <cell r="K90">
            <v>54.1080326907637</v>
          </cell>
        </row>
        <row r="90">
          <cell r="O90">
            <v>500</v>
          </cell>
          <cell r="P90">
            <v>8.6</v>
          </cell>
        </row>
        <row r="90">
          <cell r="S90">
            <v>500</v>
          </cell>
          <cell r="T90">
            <v>8.6</v>
          </cell>
        </row>
        <row r="90">
          <cell r="AA90">
            <v>2000</v>
          </cell>
        </row>
        <row r="90">
          <cell r="AC90">
            <v>2000</v>
          </cell>
        </row>
        <row r="90">
          <cell r="AQ90">
            <v>55.8576624497053</v>
          </cell>
        </row>
        <row r="90">
          <cell r="AT90">
            <v>0</v>
          </cell>
          <cell r="AU90">
            <v>48.0375897067466</v>
          </cell>
        </row>
        <row r="90">
          <cell r="AW90">
            <v>0</v>
          </cell>
        </row>
        <row r="90">
          <cell r="BN90">
            <v>0</v>
          </cell>
          <cell r="BO90">
            <v>48.0375897067466</v>
          </cell>
        </row>
        <row r="90">
          <cell r="BQ90">
            <v>0</v>
          </cell>
        </row>
        <row r="90">
          <cell r="DM90">
            <v>0</v>
          </cell>
          <cell r="DN90">
            <v>46.5329081140568</v>
          </cell>
        </row>
        <row r="90">
          <cell r="DP90">
            <v>0.468</v>
          </cell>
        </row>
        <row r="91">
          <cell r="K91">
            <v>661.466505660448</v>
          </cell>
        </row>
        <row r="91">
          <cell r="P91">
            <v>8.65</v>
          </cell>
        </row>
        <row r="91">
          <cell r="S91">
            <v>0</v>
          </cell>
          <cell r="T91">
            <v>8.65</v>
          </cell>
        </row>
        <row r="91">
          <cell r="AA91">
            <v>2000</v>
          </cell>
        </row>
        <row r="91">
          <cell r="AC91">
            <v>2000</v>
          </cell>
        </row>
        <row r="91">
          <cell r="AQ91">
            <v>682.855593847427</v>
          </cell>
        </row>
        <row r="91">
          <cell r="AT91">
            <v>0</v>
          </cell>
          <cell r="AU91">
            <v>590.670088678024</v>
          </cell>
        </row>
        <row r="91">
          <cell r="AW91">
            <v>0</v>
          </cell>
        </row>
        <row r="91">
          <cell r="BN91">
            <v>0</v>
          </cell>
          <cell r="BO91">
            <v>590.670088678024</v>
          </cell>
        </row>
        <row r="91">
          <cell r="BQ91">
            <v>0</v>
          </cell>
        </row>
        <row r="91">
          <cell r="DM91">
            <v>0</v>
          </cell>
          <cell r="DN91">
            <v>572.168527396288</v>
          </cell>
        </row>
        <row r="91">
          <cell r="DP91">
            <v>0</v>
          </cell>
        </row>
        <row r="92">
          <cell r="K92">
            <v>658.834924910731</v>
          </cell>
        </row>
        <row r="92">
          <cell r="O92">
            <v>0</v>
          </cell>
          <cell r="P92">
            <v>8.65</v>
          </cell>
        </row>
        <row r="92">
          <cell r="S92">
            <v>0</v>
          </cell>
          <cell r="T92">
            <v>8.65</v>
          </cell>
        </row>
        <row r="92">
          <cell r="AA92">
            <v>2000</v>
          </cell>
        </row>
        <row r="92">
          <cell r="AC92">
            <v>2000</v>
          </cell>
        </row>
        <row r="92">
          <cell r="AQ92">
            <v>680.138918671545</v>
          </cell>
        </row>
        <row r="92">
          <cell r="AU92">
            <v>588.320164650886</v>
          </cell>
        </row>
        <row r="92">
          <cell r="AW92">
            <v>0</v>
          </cell>
        </row>
        <row r="92">
          <cell r="BN92">
            <v>0</v>
          </cell>
          <cell r="BO92">
            <v>588.320164650886</v>
          </cell>
        </row>
        <row r="92">
          <cell r="BQ92">
            <v>0</v>
          </cell>
        </row>
        <row r="92">
          <cell r="DM92">
            <v>0</v>
          </cell>
          <cell r="DN92">
            <v>569.892210047783</v>
          </cell>
        </row>
        <row r="92">
          <cell r="DP92">
            <v>0</v>
          </cell>
        </row>
        <row r="93">
          <cell r="K93">
            <v>1269.59438364059</v>
          </cell>
        </row>
        <row r="93">
          <cell r="P93">
            <v>6.15</v>
          </cell>
        </row>
        <row r="93">
          <cell r="S93">
            <v>0</v>
          </cell>
          <cell r="T93">
            <v>6.15</v>
          </cell>
        </row>
        <row r="93">
          <cell r="AA93">
            <v>2000</v>
          </cell>
        </row>
        <row r="93">
          <cell r="AC93">
            <v>2000</v>
          </cell>
        </row>
        <row r="93">
          <cell r="AQ93">
            <v>1310.64780962815</v>
          </cell>
        </row>
        <row r="93">
          <cell r="AT93">
            <v>0</v>
          </cell>
          <cell r="AU93">
            <v>806.048402921312</v>
          </cell>
        </row>
        <row r="93">
          <cell r="AW93">
            <v>0</v>
          </cell>
        </row>
        <row r="93">
          <cell r="BN93">
            <v>0</v>
          </cell>
          <cell r="BO93">
            <v>806.048402921312</v>
          </cell>
        </row>
        <row r="93">
          <cell r="BQ93">
            <v>0</v>
          </cell>
        </row>
        <row r="93">
          <cell r="DM93">
            <v>0</v>
          </cell>
          <cell r="DN93">
            <v>817.189254277846</v>
          </cell>
        </row>
        <row r="93">
          <cell r="DP93">
            <v>0</v>
          </cell>
        </row>
        <row r="94">
          <cell r="H94">
            <v>0</v>
          </cell>
          <cell r="I94">
            <v>0</v>
          </cell>
        </row>
        <row r="94">
          <cell r="K94">
            <v>145.279327000148</v>
          </cell>
        </row>
        <row r="94">
          <cell r="AC94">
            <v>0</v>
          </cell>
        </row>
        <row r="94">
          <cell r="AJ94">
            <v>0</v>
          </cell>
        </row>
        <row r="94">
          <cell r="AL94">
            <v>0</v>
          </cell>
        </row>
        <row r="94">
          <cell r="AQ94">
            <v>149.977058949324</v>
          </cell>
        </row>
        <row r="94">
          <cell r="AT94">
            <v>0</v>
          </cell>
          <cell r="AU94">
            <v>113.26769133835</v>
          </cell>
        </row>
        <row r="94">
          <cell r="AW94">
            <v>0</v>
          </cell>
        </row>
        <row r="94">
          <cell r="BN94">
            <v>0</v>
          </cell>
          <cell r="BO94">
            <v>113.26769133835</v>
          </cell>
        </row>
        <row r="94">
          <cell r="BQ94">
            <v>0</v>
          </cell>
        </row>
        <row r="94">
          <cell r="DM94">
            <v>0</v>
          </cell>
          <cell r="DN94">
            <v>111.051266870977</v>
          </cell>
        </row>
        <row r="94">
          <cell r="DP94">
            <v>0.4776</v>
          </cell>
        </row>
        <row r="95">
          <cell r="K95">
            <v>49.9770733285957</v>
          </cell>
        </row>
        <row r="95">
          <cell r="O95">
            <v>500</v>
          </cell>
          <cell r="P95">
            <v>7.65</v>
          </cell>
        </row>
        <row r="95">
          <cell r="S95">
            <v>500</v>
          </cell>
          <cell r="T95">
            <v>7.65</v>
          </cell>
        </row>
        <row r="95">
          <cell r="AA95">
            <v>2000</v>
          </cell>
        </row>
        <row r="95">
          <cell r="AC95">
            <v>2000</v>
          </cell>
        </row>
        <row r="95">
          <cell r="AQ95">
            <v>51.5931249647781</v>
          </cell>
        </row>
        <row r="95">
          <cell r="AT95">
            <v>0</v>
          </cell>
          <cell r="AU95">
            <v>39.4687405980552</v>
          </cell>
        </row>
        <row r="95">
          <cell r="AW95">
            <v>0</v>
          </cell>
        </row>
        <row r="95">
          <cell r="BN95">
            <v>0</v>
          </cell>
          <cell r="BO95">
            <v>39.4687405980552</v>
          </cell>
        </row>
        <row r="95">
          <cell r="BQ95">
            <v>0</v>
          </cell>
        </row>
        <row r="95">
          <cell r="DM95">
            <v>0</v>
          </cell>
          <cell r="DN95">
            <v>38.2324610963757</v>
          </cell>
        </row>
        <row r="95">
          <cell r="DP95">
            <v>0.4776</v>
          </cell>
        </row>
        <row r="96">
          <cell r="K96">
            <v>25.6876098782717</v>
          </cell>
        </row>
        <row r="96">
          <cell r="P96">
            <v>8.65</v>
          </cell>
        </row>
        <row r="96">
          <cell r="S96">
            <v>0</v>
          </cell>
          <cell r="T96">
            <v>8.65</v>
          </cell>
        </row>
        <row r="96">
          <cell r="AA96">
            <v>2000</v>
          </cell>
        </row>
        <row r="96">
          <cell r="AC96">
            <v>2000</v>
          </cell>
        </row>
        <row r="96">
          <cell r="AQ96">
            <v>26.5182408297973</v>
          </cell>
        </row>
        <row r="96">
          <cell r="AT96">
            <v>0</v>
          </cell>
          <cell r="AU96">
            <v>22.9382783177746</v>
          </cell>
        </row>
        <row r="96">
          <cell r="AW96">
            <v>0</v>
          </cell>
        </row>
        <row r="96">
          <cell r="BN96">
            <v>0</v>
          </cell>
          <cell r="BO96">
            <v>22.9382783177746</v>
          </cell>
        </row>
        <row r="96">
          <cell r="BQ96">
            <v>0</v>
          </cell>
        </row>
        <row r="96">
          <cell r="DM96">
            <v>0</v>
          </cell>
          <cell r="DN96">
            <v>22.219782544705</v>
          </cell>
        </row>
        <row r="96">
          <cell r="DP96">
            <v>0</v>
          </cell>
        </row>
        <row r="97">
          <cell r="K97">
            <v>25.8182298681932</v>
          </cell>
        </row>
        <row r="97">
          <cell r="P97">
            <v>8.65</v>
          </cell>
        </row>
        <row r="97">
          <cell r="S97">
            <v>0</v>
          </cell>
          <cell r="T97">
            <v>8.65</v>
          </cell>
        </row>
        <row r="97">
          <cell r="AA97">
            <v>2000</v>
          </cell>
        </row>
        <row r="97">
          <cell r="AC97">
            <v>2000</v>
          </cell>
        </row>
        <row r="97">
          <cell r="AQ97">
            <v>26.6530845293995</v>
          </cell>
        </row>
        <row r="97">
          <cell r="AT97">
            <v>0</v>
          </cell>
          <cell r="AU97">
            <v>23.0549181179305</v>
          </cell>
        </row>
        <row r="97">
          <cell r="AW97">
            <v>0</v>
          </cell>
        </row>
        <row r="97">
          <cell r="BN97">
            <v>0</v>
          </cell>
          <cell r="BO97">
            <v>23.0549181179305</v>
          </cell>
        </row>
        <row r="97">
          <cell r="BQ97">
            <v>0</v>
          </cell>
        </row>
        <row r="97">
          <cell r="DM97">
            <v>0</v>
          </cell>
          <cell r="DN97">
            <v>22.3327688359871</v>
          </cell>
        </row>
        <row r="97">
          <cell r="DP97">
            <v>0</v>
          </cell>
        </row>
        <row r="98">
          <cell r="K98">
            <v>43.7964139250871</v>
          </cell>
        </row>
        <row r="98">
          <cell r="P98">
            <v>6.15</v>
          </cell>
        </row>
        <row r="98">
          <cell r="S98">
            <v>0</v>
          </cell>
          <cell r="T98">
            <v>6.15</v>
          </cell>
        </row>
        <row r="98">
          <cell r="AA98">
            <v>2000</v>
          </cell>
        </row>
        <row r="98">
          <cell r="AC98">
            <v>2000</v>
          </cell>
        </row>
        <row r="98">
          <cell r="AQ98">
            <v>45.212608625349</v>
          </cell>
        </row>
        <row r="98">
          <cell r="AT98">
            <v>0</v>
          </cell>
          <cell r="AU98">
            <v>27.8057543045897</v>
          </cell>
        </row>
        <row r="98">
          <cell r="AW98">
            <v>0</v>
          </cell>
        </row>
        <row r="98">
          <cell r="BN98">
            <v>0</v>
          </cell>
          <cell r="BO98">
            <v>27.8057543045897</v>
          </cell>
        </row>
        <row r="98">
          <cell r="BQ98">
            <v>0</v>
          </cell>
        </row>
        <row r="98">
          <cell r="DM98">
            <v>0</v>
          </cell>
          <cell r="DN98">
            <v>28.2662543939092</v>
          </cell>
        </row>
        <row r="98">
          <cell r="DP98">
            <v>0</v>
          </cell>
        </row>
        <row r="99">
          <cell r="H99">
            <v>0</v>
          </cell>
          <cell r="I99">
            <v>0</v>
          </cell>
        </row>
        <row r="99">
          <cell r="K99">
            <v>0.52979462</v>
          </cell>
        </row>
        <row r="99">
          <cell r="O99">
            <v>500</v>
          </cell>
          <cell r="P99">
            <v>7.65</v>
          </cell>
        </row>
        <row r="99">
          <cell r="S99">
            <v>500</v>
          </cell>
          <cell r="T99">
            <v>7.65</v>
          </cell>
        </row>
        <row r="99">
          <cell r="AA99">
            <v>2000</v>
          </cell>
        </row>
        <row r="99">
          <cell r="AC99">
            <v>2000</v>
          </cell>
        </row>
        <row r="99">
          <cell r="AJ99">
            <v>0</v>
          </cell>
        </row>
        <row r="99">
          <cell r="AQ99">
            <v>0.5403905124</v>
          </cell>
        </row>
        <row r="99">
          <cell r="AT99">
            <v>0</v>
          </cell>
          <cell r="AU99">
            <v>0.413398741986</v>
          </cell>
        </row>
        <row r="99">
          <cell r="AW99">
            <v>0</v>
          </cell>
        </row>
        <row r="99">
          <cell r="BN99">
            <v>0</v>
          </cell>
          <cell r="BO99">
            <v>0.413398741986</v>
          </cell>
        </row>
        <row r="99">
          <cell r="BQ99">
            <v>0</v>
          </cell>
        </row>
        <row r="99">
          <cell r="DM99">
            <v>0</v>
          </cell>
          <cell r="DN99">
            <v>0.4052928843</v>
          </cell>
        </row>
        <row r="99">
          <cell r="DP99">
            <v>0.0012</v>
          </cell>
        </row>
        <row r="100">
          <cell r="H100">
            <v>0</v>
          </cell>
          <cell r="I100">
            <v>0</v>
          </cell>
        </row>
        <row r="100">
          <cell r="K100">
            <v>46.0086556060955</v>
          </cell>
        </row>
        <row r="100">
          <cell r="S100">
            <v>0</v>
          </cell>
          <cell r="T100">
            <v>0</v>
          </cell>
        </row>
        <row r="100">
          <cell r="AA100">
            <v>8000</v>
          </cell>
        </row>
        <row r="100">
          <cell r="AC100">
            <v>8000</v>
          </cell>
        </row>
        <row r="100">
          <cell r="AJ100">
            <v>0</v>
          </cell>
        </row>
        <row r="100">
          <cell r="AL100">
            <v>0</v>
          </cell>
        </row>
        <row r="100">
          <cell r="AQ100">
            <v>49.0509976369957</v>
          </cell>
        </row>
        <row r="100">
          <cell r="AT100">
            <v>0</v>
          </cell>
          <cell r="AU100">
            <v>37.0895309483704</v>
          </cell>
        </row>
        <row r="100">
          <cell r="AW100">
            <v>0</v>
          </cell>
        </row>
        <row r="100">
          <cell r="BN100">
            <v>0</v>
          </cell>
          <cell r="BO100">
            <v>37.0895309483704</v>
          </cell>
        </row>
        <row r="100">
          <cell r="BQ100">
            <v>0</v>
          </cell>
        </row>
        <row r="100">
          <cell r="DM100">
            <v>0</v>
          </cell>
          <cell r="DN100">
            <v>35.1857263817206</v>
          </cell>
        </row>
        <row r="100">
          <cell r="DP100">
            <v>0</v>
          </cell>
        </row>
        <row r="101">
          <cell r="K101">
            <v>16.7428383951262</v>
          </cell>
        </row>
        <row r="101">
          <cell r="O101">
            <v>500</v>
          </cell>
          <cell r="P101">
            <v>7.65</v>
          </cell>
        </row>
        <row r="101">
          <cell r="S101">
            <v>500</v>
          </cell>
          <cell r="T101">
            <v>7.65</v>
          </cell>
        </row>
        <row r="101">
          <cell r="AA101">
            <v>2000</v>
          </cell>
        </row>
        <row r="101">
          <cell r="AC101">
            <v>2000</v>
          </cell>
        </row>
        <row r="101">
          <cell r="AQ101">
            <v>17.8499657452963</v>
          </cell>
        </row>
        <row r="101">
          <cell r="AT101">
            <v>0</v>
          </cell>
          <cell r="AU101">
            <v>13.6552237951516</v>
          </cell>
        </row>
        <row r="101">
          <cell r="AW101">
            <v>0</v>
          </cell>
        </row>
        <row r="101">
          <cell r="BN101">
            <v>0</v>
          </cell>
          <cell r="BO101">
            <v>13.6552237951516</v>
          </cell>
        </row>
        <row r="101">
          <cell r="BQ101">
            <v>0</v>
          </cell>
        </row>
        <row r="101">
          <cell r="DM101">
            <v>0</v>
          </cell>
          <cell r="DN101">
            <v>12.8082713722716</v>
          </cell>
        </row>
        <row r="101">
          <cell r="DP101">
            <v>0</v>
          </cell>
        </row>
        <row r="102">
          <cell r="K102">
            <v>7.90865160448957</v>
          </cell>
        </row>
        <row r="102">
          <cell r="P102">
            <v>8.65</v>
          </cell>
        </row>
        <row r="102">
          <cell r="S102">
            <v>0</v>
          </cell>
          <cell r="T102">
            <v>8.65</v>
          </cell>
        </row>
        <row r="102">
          <cell r="AA102">
            <v>2000</v>
          </cell>
        </row>
        <row r="102">
          <cell r="AC102">
            <v>2000</v>
          </cell>
        </row>
        <row r="102">
          <cell r="AQ102">
            <v>8.43161457454638</v>
          </cell>
        </row>
        <row r="102">
          <cell r="AT102">
            <v>0</v>
          </cell>
          <cell r="AU102">
            <v>7.29334660698262</v>
          </cell>
        </row>
        <row r="102">
          <cell r="AW102">
            <v>0</v>
          </cell>
        </row>
        <row r="102">
          <cell r="BN102">
            <v>0</v>
          </cell>
          <cell r="BO102">
            <v>7.29334660698262</v>
          </cell>
        </row>
        <row r="102">
          <cell r="BQ102">
            <v>0</v>
          </cell>
        </row>
        <row r="102">
          <cell r="DM102">
            <v>0</v>
          </cell>
          <cell r="DN102">
            <v>6.84098363788348</v>
          </cell>
        </row>
        <row r="102">
          <cell r="DP102">
            <v>0</v>
          </cell>
        </row>
        <row r="103">
          <cell r="K103">
            <v>8.02070315780138</v>
          </cell>
        </row>
        <row r="103">
          <cell r="P103">
            <v>8.65</v>
          </cell>
        </row>
        <row r="103">
          <cell r="S103">
            <v>0</v>
          </cell>
          <cell r="T103">
            <v>8.65</v>
          </cell>
        </row>
        <row r="103">
          <cell r="AA103">
            <v>2000</v>
          </cell>
        </row>
        <row r="103">
          <cell r="AC103">
            <v>2000</v>
          </cell>
        </row>
        <row r="103">
          <cell r="AQ103">
            <v>8.55107558474793</v>
          </cell>
        </row>
        <row r="103">
          <cell r="AT103">
            <v>0</v>
          </cell>
          <cell r="AU103">
            <v>7.39668038080696</v>
          </cell>
        </row>
        <row r="103">
          <cell r="AW103">
            <v>0</v>
          </cell>
        </row>
        <row r="103">
          <cell r="BN103">
            <v>0</v>
          </cell>
          <cell r="BO103">
            <v>7.39668038080696</v>
          </cell>
        </row>
        <row r="103">
          <cell r="BQ103">
            <v>0</v>
          </cell>
        </row>
        <row r="103">
          <cell r="DM103">
            <v>0</v>
          </cell>
          <cell r="DN103">
            <v>6.93790823149819</v>
          </cell>
        </row>
        <row r="103">
          <cell r="DP103">
            <v>0</v>
          </cell>
        </row>
        <row r="104">
          <cell r="K104">
            <v>13.3364624486783</v>
          </cell>
        </row>
        <row r="104">
          <cell r="P104">
            <v>6.15</v>
          </cell>
        </row>
        <row r="104">
          <cell r="S104">
            <v>0</v>
          </cell>
          <cell r="T104">
            <v>6.15</v>
          </cell>
        </row>
        <row r="104">
          <cell r="AA104">
            <v>2000</v>
          </cell>
        </row>
        <row r="104">
          <cell r="AC104">
            <v>2000</v>
          </cell>
        </row>
        <row r="104">
          <cell r="AQ104">
            <v>14.2183417324051</v>
          </cell>
        </row>
        <row r="104">
          <cell r="AT104">
            <v>0</v>
          </cell>
          <cell r="AU104">
            <v>8.74428016542913</v>
          </cell>
        </row>
        <row r="104">
          <cell r="AW104">
            <v>0</v>
          </cell>
        </row>
        <row r="104">
          <cell r="BN104">
            <v>0</v>
          </cell>
          <cell r="BO104">
            <v>8.74428016542913</v>
          </cell>
        </row>
        <row r="104">
          <cell r="BQ104">
            <v>0</v>
          </cell>
        </row>
        <row r="104">
          <cell r="DM104">
            <v>0</v>
          </cell>
          <cell r="DN104">
            <v>8.59856314006736</v>
          </cell>
        </row>
        <row r="104">
          <cell r="DP104">
            <v>0</v>
          </cell>
        </row>
        <row r="105">
          <cell r="H105">
            <v>4809</v>
          </cell>
          <cell r="I105">
            <v>1018.92972452783</v>
          </cell>
        </row>
        <row r="105">
          <cell r="K105">
            <v>2322.26759052296</v>
          </cell>
        </row>
        <row r="105">
          <cell r="S105">
            <v>0</v>
          </cell>
          <cell r="T105">
            <v>0</v>
          </cell>
        </row>
        <row r="105">
          <cell r="AC105">
            <v>0</v>
          </cell>
        </row>
        <row r="105">
          <cell r="AJ105">
            <v>5386</v>
          </cell>
        </row>
        <row r="105">
          <cell r="AL105">
            <v>1029.11902177311</v>
          </cell>
        </row>
        <row r="105">
          <cell r="AQ105">
            <v>2574.01348848237</v>
          </cell>
        </row>
        <row r="105">
          <cell r="AT105">
            <v>493.977130451091</v>
          </cell>
          <cell r="AU105">
            <v>2260.97989605032</v>
          </cell>
        </row>
        <row r="105">
          <cell r="AW105">
            <v>12.234</v>
          </cell>
        </row>
        <row r="105">
          <cell r="BN105">
            <v>493.977130451091</v>
          </cell>
          <cell r="BO105">
            <v>2260.97989605032</v>
          </cell>
        </row>
        <row r="105">
          <cell r="BQ105">
            <v>12.234</v>
          </cell>
        </row>
        <row r="105">
          <cell r="DM105">
            <v>474.821251629968</v>
          </cell>
          <cell r="DN105">
            <v>2056.11183782508</v>
          </cell>
        </row>
        <row r="105">
          <cell r="DP105">
            <v>11.4216</v>
          </cell>
        </row>
        <row r="106">
          <cell r="H106">
            <v>4809</v>
          </cell>
          <cell r="I106">
            <v>1018.92972452783</v>
          </cell>
        </row>
        <row r="106">
          <cell r="K106">
            <v>992.546703576512</v>
          </cell>
        </row>
        <row r="106">
          <cell r="O106">
            <v>500</v>
          </cell>
          <cell r="P106">
            <v>8.8</v>
          </cell>
        </row>
        <row r="106">
          <cell r="S106">
            <v>500</v>
          </cell>
          <cell r="T106">
            <v>8.8</v>
          </cell>
        </row>
        <row r="106">
          <cell r="AA106">
            <v>2000</v>
          </cell>
        </row>
        <row r="106">
          <cell r="AC106">
            <v>2000</v>
          </cell>
        </row>
        <row r="106">
          <cell r="AJ106">
            <v>5386</v>
          </cell>
        </row>
        <row r="106">
          <cell r="AL106">
            <v>1029.11902177311</v>
          </cell>
        </row>
        <row r="106">
          <cell r="AQ106">
            <v>1100.14393404996</v>
          </cell>
        </row>
        <row r="106">
          <cell r="AT106">
            <v>493.977130451091</v>
          </cell>
          <cell r="AU106">
            <v>968.126661963965</v>
          </cell>
        </row>
        <row r="106">
          <cell r="AW106">
            <v>12.234</v>
          </cell>
        </row>
        <row r="106">
          <cell r="BN106">
            <v>493.977130451091</v>
          </cell>
          <cell r="BO106">
            <v>968.126661963965</v>
          </cell>
        </row>
        <row r="106">
          <cell r="BQ106">
            <v>12.234</v>
          </cell>
        </row>
        <row r="106">
          <cell r="DM106">
            <v>474.821251629968</v>
          </cell>
          <cell r="DN106">
            <v>873.44109914733</v>
          </cell>
        </row>
        <row r="106">
          <cell r="DP106">
            <v>11.4216</v>
          </cell>
        </row>
        <row r="107">
          <cell r="K107">
            <v>389.007111405745</v>
          </cell>
        </row>
        <row r="107">
          <cell r="P107">
            <v>9.8</v>
          </cell>
        </row>
        <row r="107">
          <cell r="S107">
            <v>0</v>
          </cell>
          <cell r="T107">
            <v>9.8</v>
          </cell>
        </row>
        <row r="107">
          <cell r="AA107">
            <v>2000</v>
          </cell>
        </row>
        <row r="107">
          <cell r="AC107">
            <v>2000</v>
          </cell>
        </row>
        <row r="107">
          <cell r="AQ107">
            <v>431.177507691291</v>
          </cell>
        </row>
        <row r="107">
          <cell r="AT107">
            <v>0</v>
          </cell>
          <cell r="AU107">
            <v>422.553957537465</v>
          </cell>
        </row>
        <row r="107">
          <cell r="AW107">
            <v>0</v>
          </cell>
        </row>
        <row r="107">
          <cell r="BN107">
            <v>0</v>
          </cell>
          <cell r="BO107">
            <v>422.553957537465</v>
          </cell>
        </row>
        <row r="107">
          <cell r="BQ107">
            <v>0</v>
          </cell>
        </row>
        <row r="107">
          <cell r="DM107">
            <v>0</v>
          </cell>
          <cell r="DN107">
            <v>381.22696917763</v>
          </cell>
        </row>
        <row r="107">
          <cell r="DP107">
            <v>0</v>
          </cell>
        </row>
        <row r="108">
          <cell r="K108">
            <v>393.841825270544</v>
          </cell>
        </row>
        <row r="108">
          <cell r="P108">
            <v>9.8</v>
          </cell>
        </row>
        <row r="108">
          <cell r="S108">
            <v>0</v>
          </cell>
          <cell r="T108">
            <v>9.8</v>
          </cell>
        </row>
        <row r="108">
          <cell r="AA108">
            <v>2000</v>
          </cell>
        </row>
        <row r="108">
          <cell r="AC108">
            <v>2000</v>
          </cell>
        </row>
        <row r="108">
          <cell r="AQ108">
            <v>436.536329711515</v>
          </cell>
        </row>
        <row r="108">
          <cell r="AT108">
            <v>0</v>
          </cell>
          <cell r="AU108">
            <v>427.805603117284</v>
          </cell>
        </row>
        <row r="108">
          <cell r="AW108">
            <v>0</v>
          </cell>
        </row>
        <row r="108">
          <cell r="BN108">
            <v>0</v>
          </cell>
          <cell r="BO108">
            <v>427.805603117284</v>
          </cell>
        </row>
        <row r="108">
          <cell r="BQ108">
            <v>0</v>
          </cell>
        </row>
        <row r="108">
          <cell r="DM108">
            <v>0</v>
          </cell>
          <cell r="DN108">
            <v>385.964988765133</v>
          </cell>
        </row>
        <row r="108">
          <cell r="DP108">
            <v>0</v>
          </cell>
        </row>
        <row r="109">
          <cell r="K109">
            <v>546.87195027016</v>
          </cell>
        </row>
        <row r="109">
          <cell r="P109">
            <v>7.3</v>
          </cell>
        </row>
        <row r="109">
          <cell r="S109">
            <v>0</v>
          </cell>
          <cell r="T109">
            <v>7.3</v>
          </cell>
        </row>
        <row r="109">
          <cell r="AA109">
            <v>2000</v>
          </cell>
        </row>
        <row r="109">
          <cell r="AC109">
            <v>2000</v>
          </cell>
        </row>
        <row r="109">
          <cell r="AQ109">
            <v>606.155717029601</v>
          </cell>
        </row>
        <row r="109">
          <cell r="AT109">
            <v>0</v>
          </cell>
          <cell r="AU109">
            <v>442.493673431609</v>
          </cell>
        </row>
        <row r="109">
          <cell r="AW109">
            <v>0</v>
          </cell>
        </row>
        <row r="109">
          <cell r="BN109">
            <v>0</v>
          </cell>
          <cell r="BO109">
            <v>442.493673431609</v>
          </cell>
        </row>
        <row r="109">
          <cell r="BQ109">
            <v>0</v>
          </cell>
        </row>
        <row r="109">
          <cell r="DM109">
            <v>0</v>
          </cell>
          <cell r="DN109">
            <v>415.478780734992</v>
          </cell>
        </row>
        <row r="109">
          <cell r="DP109">
            <v>0</v>
          </cell>
        </row>
        <row r="110">
          <cell r="H110">
            <v>0</v>
          </cell>
          <cell r="I110">
            <v>0</v>
          </cell>
        </row>
        <row r="110">
          <cell r="K110">
            <v>0.394456</v>
          </cell>
        </row>
        <row r="110">
          <cell r="S110">
            <v>0</v>
          </cell>
          <cell r="T110">
            <v>0</v>
          </cell>
        </row>
        <row r="110">
          <cell r="AA110">
            <v>8000</v>
          </cell>
        </row>
        <row r="110">
          <cell r="AC110">
            <v>8000</v>
          </cell>
        </row>
        <row r="110">
          <cell r="AJ110">
            <v>0</v>
          </cell>
        </row>
        <row r="110">
          <cell r="AL110">
            <v>0</v>
          </cell>
        </row>
        <row r="110">
          <cell r="AQ110">
            <v>0.461284863244088</v>
          </cell>
        </row>
        <row r="110">
          <cell r="AT110">
            <v>0</v>
          </cell>
          <cell r="AU110">
            <v>0.220876204895096</v>
          </cell>
        </row>
        <row r="110">
          <cell r="AW110">
            <v>0</v>
          </cell>
        </row>
        <row r="110">
          <cell r="BN110">
            <v>0</v>
          </cell>
          <cell r="BO110">
            <v>0.220876204895096</v>
          </cell>
        </row>
        <row r="110">
          <cell r="BQ110">
            <v>0</v>
          </cell>
        </row>
        <row r="110">
          <cell r="DM110">
            <v>0</v>
          </cell>
          <cell r="DN110">
            <v>0.193393755</v>
          </cell>
        </row>
        <row r="110">
          <cell r="DP110">
            <v>0.0048</v>
          </cell>
        </row>
        <row r="111">
          <cell r="K111">
            <v>0.1033094</v>
          </cell>
        </row>
        <row r="111">
          <cell r="O111">
            <v>285</v>
          </cell>
          <cell r="P111">
            <v>5</v>
          </cell>
        </row>
        <row r="111">
          <cell r="S111">
            <v>285</v>
          </cell>
          <cell r="T111">
            <v>5</v>
          </cell>
        </row>
        <row r="111">
          <cell r="AA111">
            <v>2000</v>
          </cell>
        </row>
        <row r="111">
          <cell r="AC111">
            <v>2000</v>
          </cell>
        </row>
        <row r="111">
          <cell r="AQ111">
            <v>0.120812111999383</v>
          </cell>
        </row>
        <row r="111">
          <cell r="AT111">
            <v>0</v>
          </cell>
          <cell r="AU111">
            <v>0.0604060559996917</v>
          </cell>
        </row>
        <row r="111">
          <cell r="AW111">
            <v>0</v>
          </cell>
        </row>
        <row r="111">
          <cell r="BN111">
            <v>0</v>
          </cell>
          <cell r="BO111">
            <v>0.0604060559996917</v>
          </cell>
        </row>
        <row r="111">
          <cell r="BQ111">
            <v>0</v>
          </cell>
        </row>
        <row r="111">
          <cell r="DM111">
            <v>0</v>
          </cell>
          <cell r="DN111">
            <v>0.0516547</v>
          </cell>
        </row>
        <row r="111">
          <cell r="DP111">
            <v>0.0048</v>
          </cell>
        </row>
        <row r="112">
          <cell r="K112">
            <v>0.0689774</v>
          </cell>
        </row>
        <row r="112">
          <cell r="P112">
            <v>6</v>
          </cell>
        </row>
        <row r="112">
          <cell r="S112">
            <v>0</v>
          </cell>
          <cell r="T112">
            <v>6</v>
          </cell>
        </row>
        <row r="112">
          <cell r="AA112">
            <v>2000</v>
          </cell>
        </row>
        <row r="112">
          <cell r="AC112">
            <v>2000</v>
          </cell>
        </row>
        <row r="112">
          <cell r="AQ112">
            <v>0.0806635734427484</v>
          </cell>
        </row>
        <row r="112">
          <cell r="AT112">
            <v>0</v>
          </cell>
          <cell r="AU112">
            <v>0.048398144065649</v>
          </cell>
        </row>
        <row r="112">
          <cell r="AW112">
            <v>0</v>
          </cell>
        </row>
        <row r="112">
          <cell r="BN112">
            <v>0</v>
          </cell>
          <cell r="BO112">
            <v>0.048398144065649</v>
          </cell>
        </row>
        <row r="112">
          <cell r="BQ112">
            <v>0</v>
          </cell>
        </row>
        <row r="112">
          <cell r="DM112">
            <v>0</v>
          </cell>
          <cell r="DN112">
            <v>0.04138644</v>
          </cell>
        </row>
        <row r="112">
          <cell r="DP112">
            <v>0</v>
          </cell>
        </row>
        <row r="113">
          <cell r="K113">
            <v>0.0723052</v>
          </cell>
        </row>
        <row r="113">
          <cell r="P113">
            <v>6</v>
          </cell>
        </row>
        <row r="113">
          <cell r="S113">
            <v>0</v>
          </cell>
          <cell r="T113">
            <v>6</v>
          </cell>
        </row>
        <row r="113">
          <cell r="AA113">
            <v>2000</v>
          </cell>
        </row>
        <row r="113">
          <cell r="AC113">
            <v>2000</v>
          </cell>
        </row>
        <row r="113">
          <cell r="AQ113">
            <v>0.0845551703962835</v>
          </cell>
        </row>
        <row r="113">
          <cell r="AT113">
            <v>0</v>
          </cell>
          <cell r="AU113">
            <v>0.0507331022377701</v>
          </cell>
        </row>
        <row r="113">
          <cell r="AW113">
            <v>0</v>
          </cell>
        </row>
        <row r="113">
          <cell r="BN113">
            <v>0</v>
          </cell>
          <cell r="BO113">
            <v>0.0507331022377701</v>
          </cell>
        </row>
        <row r="113">
          <cell r="BQ113">
            <v>0</v>
          </cell>
        </row>
        <row r="113">
          <cell r="DM113">
            <v>0</v>
          </cell>
          <cell r="DN113">
            <v>0.04338312</v>
          </cell>
        </row>
        <row r="113">
          <cell r="DP113">
            <v>0</v>
          </cell>
        </row>
        <row r="114">
          <cell r="K114">
            <v>0.149864</v>
          </cell>
        </row>
        <row r="114">
          <cell r="P114">
            <v>3.5</v>
          </cell>
        </row>
        <row r="114">
          <cell r="S114">
            <v>0</v>
          </cell>
          <cell r="T114">
            <v>3.5</v>
          </cell>
        </row>
        <row r="114">
          <cell r="AA114">
            <v>2000</v>
          </cell>
        </row>
        <row r="114">
          <cell r="AC114">
            <v>2000</v>
          </cell>
        </row>
        <row r="114">
          <cell r="AQ114">
            <v>0.175254007405673</v>
          </cell>
        </row>
        <row r="114">
          <cell r="AT114">
            <v>0</v>
          </cell>
          <cell r="AU114">
            <v>0.0613389025919854</v>
          </cell>
        </row>
        <row r="114">
          <cell r="AW114">
            <v>0</v>
          </cell>
        </row>
        <row r="114">
          <cell r="BN114">
            <v>0</v>
          </cell>
          <cell r="BO114">
            <v>0.0613389025919854</v>
          </cell>
        </row>
        <row r="114">
          <cell r="BQ114">
            <v>0</v>
          </cell>
        </row>
        <row r="114">
          <cell r="DM114">
            <v>0</v>
          </cell>
          <cell r="DN114">
            <v>0.056969495</v>
          </cell>
        </row>
        <row r="114">
          <cell r="DP114">
            <v>0</v>
          </cell>
        </row>
        <row r="115">
          <cell r="H115">
            <v>14</v>
          </cell>
          <cell r="I115">
            <v>3.02498938462724</v>
          </cell>
        </row>
        <row r="115">
          <cell r="K115">
            <v>5.37734636570593</v>
          </cell>
        </row>
        <row r="115">
          <cell r="S115">
            <v>0</v>
          </cell>
          <cell r="T115">
            <v>0</v>
          </cell>
        </row>
        <row r="115">
          <cell r="AC115">
            <v>0</v>
          </cell>
        </row>
        <row r="115">
          <cell r="AJ115">
            <v>14</v>
          </cell>
        </row>
        <row r="115">
          <cell r="AL115">
            <v>3.09676222963622</v>
          </cell>
        </row>
        <row r="115">
          <cell r="AQ115">
            <v>5.98000855702511</v>
          </cell>
        </row>
        <row r="115">
          <cell r="AT115">
            <v>1.48644587022538</v>
          </cell>
          <cell r="AU115">
            <v>4.94917495269459</v>
          </cell>
        </row>
        <row r="115">
          <cell r="AW115">
            <v>0.0336</v>
          </cell>
        </row>
        <row r="115">
          <cell r="BN115">
            <v>1.48644587022538</v>
          </cell>
          <cell r="BO115">
            <v>4.94917495269459</v>
          </cell>
        </row>
        <row r="115">
          <cell r="BQ115">
            <v>0.0336</v>
          </cell>
        </row>
        <row r="115">
          <cell r="DM115">
            <v>1.40964505323629</v>
          </cell>
          <cell r="DN115">
            <v>4.51323424772443</v>
          </cell>
        </row>
        <row r="115">
          <cell r="DP115">
            <v>0.0324</v>
          </cell>
        </row>
        <row r="116">
          <cell r="H116">
            <v>14</v>
          </cell>
          <cell r="I116">
            <v>3.02498938462724</v>
          </cell>
        </row>
        <row r="116">
          <cell r="K116">
            <v>1.42583947379569</v>
          </cell>
        </row>
        <row r="116">
          <cell r="O116">
            <v>500</v>
          </cell>
          <cell r="P116">
            <v>8.5</v>
          </cell>
        </row>
        <row r="116">
          <cell r="S116">
            <v>500</v>
          </cell>
          <cell r="T116">
            <v>8.5</v>
          </cell>
        </row>
        <row r="116">
          <cell r="AA116">
            <v>2000</v>
          </cell>
        </row>
        <row r="116">
          <cell r="AC116">
            <v>2000</v>
          </cell>
        </row>
        <row r="116">
          <cell r="AJ116">
            <v>14</v>
          </cell>
        </row>
        <row r="116">
          <cell r="AL116">
            <v>3.09676222963622</v>
          </cell>
        </row>
        <row r="116">
          <cell r="AQ116">
            <v>1.58563939801617</v>
          </cell>
        </row>
        <row r="116">
          <cell r="AT116">
            <v>1.48644587022538</v>
          </cell>
          <cell r="AU116">
            <v>1.34779348831374</v>
          </cell>
        </row>
        <row r="116">
          <cell r="AW116">
            <v>0.0336</v>
          </cell>
        </row>
        <row r="116">
          <cell r="BN116">
            <v>1.48644587022538</v>
          </cell>
          <cell r="BO116">
            <v>1.34779348831374</v>
          </cell>
        </row>
        <row r="116">
          <cell r="BQ116">
            <v>0.0336</v>
          </cell>
        </row>
        <row r="116">
          <cell r="DM116">
            <v>1.40964505323629</v>
          </cell>
          <cell r="DN116">
            <v>1.21196355272633</v>
          </cell>
        </row>
        <row r="116">
          <cell r="DP116">
            <v>0.0324</v>
          </cell>
        </row>
        <row r="117">
          <cell r="K117">
            <v>0.951743166873427</v>
          </cell>
        </row>
        <row r="117">
          <cell r="P117">
            <v>9.5</v>
          </cell>
        </row>
        <row r="117">
          <cell r="S117">
            <v>0</v>
          </cell>
          <cell r="T117">
            <v>9.5</v>
          </cell>
        </row>
        <row r="117">
          <cell r="AA117">
            <v>2000</v>
          </cell>
        </row>
        <row r="117">
          <cell r="AC117">
            <v>2000</v>
          </cell>
        </row>
        <row r="117">
          <cell r="AQ117">
            <v>1.05840909157171</v>
          </cell>
        </row>
        <row r="117">
          <cell r="AT117">
            <v>0</v>
          </cell>
          <cell r="AU117">
            <v>1.00548863699313</v>
          </cell>
        </row>
        <row r="117">
          <cell r="AW117">
            <v>0</v>
          </cell>
        </row>
        <row r="117">
          <cell r="BN117">
            <v>0</v>
          </cell>
          <cell r="BO117">
            <v>1.00548863699313</v>
          </cell>
        </row>
        <row r="117">
          <cell r="BQ117">
            <v>0</v>
          </cell>
        </row>
        <row r="117">
          <cell r="DM117">
            <v>0</v>
          </cell>
          <cell r="DN117">
            <v>0.904156008529755</v>
          </cell>
        </row>
        <row r="117">
          <cell r="DP117">
            <v>0</v>
          </cell>
        </row>
        <row r="118">
          <cell r="K118">
            <v>0.937781895396687</v>
          </cell>
        </row>
        <row r="118">
          <cell r="P118">
            <v>9.5</v>
          </cell>
        </row>
        <row r="118">
          <cell r="S118">
            <v>0</v>
          </cell>
          <cell r="T118">
            <v>9.5</v>
          </cell>
        </row>
        <row r="118">
          <cell r="AA118">
            <v>2000</v>
          </cell>
        </row>
        <row r="118">
          <cell r="AC118">
            <v>2000</v>
          </cell>
        </row>
        <row r="118">
          <cell r="AQ118">
            <v>1.04288312072663</v>
          </cell>
        </row>
        <row r="118">
          <cell r="AT118">
            <v>0</v>
          </cell>
          <cell r="AU118">
            <v>0.9907389646903</v>
          </cell>
        </row>
        <row r="118">
          <cell r="AW118">
            <v>0</v>
          </cell>
        </row>
        <row r="118">
          <cell r="BN118">
            <v>0</v>
          </cell>
          <cell r="BO118">
            <v>0.9907389646903</v>
          </cell>
        </row>
        <row r="118">
          <cell r="BQ118">
            <v>0</v>
          </cell>
        </row>
        <row r="118">
          <cell r="DM118">
            <v>0</v>
          </cell>
          <cell r="DN118">
            <v>0.890892800626853</v>
          </cell>
        </row>
        <row r="118">
          <cell r="DP118">
            <v>0</v>
          </cell>
        </row>
        <row r="119">
          <cell r="K119">
            <v>2.06198182964013</v>
          </cell>
        </row>
        <row r="119">
          <cell r="P119">
            <v>7</v>
          </cell>
        </row>
        <row r="119">
          <cell r="S119">
            <v>0</v>
          </cell>
          <cell r="T119">
            <v>7</v>
          </cell>
        </row>
        <row r="119">
          <cell r="AA119">
            <v>2000</v>
          </cell>
        </row>
        <row r="119">
          <cell r="AC119">
            <v>2000</v>
          </cell>
        </row>
        <row r="119">
          <cell r="AQ119">
            <v>2.29307694671059</v>
          </cell>
        </row>
        <row r="119">
          <cell r="AT119">
            <v>0</v>
          </cell>
          <cell r="AU119">
            <v>1.60515386269741</v>
          </cell>
        </row>
        <row r="119">
          <cell r="AW119">
            <v>0</v>
          </cell>
        </row>
        <row r="119">
          <cell r="BN119">
            <v>0</v>
          </cell>
          <cell r="BO119">
            <v>1.60515386269741</v>
          </cell>
        </row>
        <row r="119">
          <cell r="BQ119">
            <v>0</v>
          </cell>
        </row>
        <row r="119">
          <cell r="DM119">
            <v>0</v>
          </cell>
          <cell r="DN119">
            <v>1.50622188584149</v>
          </cell>
        </row>
        <row r="119">
          <cell r="DP119">
            <v>0</v>
          </cell>
        </row>
        <row r="120">
          <cell r="H120">
            <v>132</v>
          </cell>
          <cell r="I120">
            <v>26.8133129159538</v>
          </cell>
        </row>
        <row r="120">
          <cell r="K120">
            <v>22.7178453815</v>
          </cell>
        </row>
        <row r="120">
          <cell r="S120">
            <v>0</v>
          </cell>
          <cell r="T120">
            <v>0</v>
          </cell>
        </row>
        <row r="120">
          <cell r="AC120">
            <v>0</v>
          </cell>
        </row>
        <row r="120">
          <cell r="AJ120">
            <v>139</v>
          </cell>
        </row>
        <row r="120">
          <cell r="AL120">
            <v>28.2849246927044</v>
          </cell>
        </row>
        <row r="120">
          <cell r="AQ120">
            <v>24.98962991965</v>
          </cell>
        </row>
        <row r="120">
          <cell r="AT120">
            <v>4.87914950949152</v>
          </cell>
          <cell r="AU120">
            <v>15.7434668493795</v>
          </cell>
        </row>
        <row r="120">
          <cell r="AW120">
            <v>0.3252</v>
          </cell>
        </row>
        <row r="120">
          <cell r="BN120">
            <v>4.87914950949152</v>
          </cell>
          <cell r="BO120">
            <v>15.7434668493795</v>
          </cell>
        </row>
        <row r="120">
          <cell r="BQ120">
            <v>0.3252</v>
          </cell>
        </row>
        <row r="120">
          <cell r="DM120">
            <v>4.40045567698804</v>
          </cell>
          <cell r="DN120">
            <v>14.312242590345</v>
          </cell>
        </row>
        <row r="120">
          <cell r="DP120">
            <v>0.3096</v>
          </cell>
        </row>
        <row r="121">
          <cell r="H121">
            <v>132</v>
          </cell>
          <cell r="I121">
            <v>26.8133129159538</v>
          </cell>
        </row>
        <row r="121">
          <cell r="K121">
            <v>22.7178453815</v>
          </cell>
        </row>
        <row r="121">
          <cell r="O121">
            <v>300</v>
          </cell>
          <cell r="P121">
            <v>6.3</v>
          </cell>
        </row>
        <row r="121">
          <cell r="S121">
            <v>300</v>
          </cell>
          <cell r="T121">
            <v>6.3</v>
          </cell>
        </row>
        <row r="121">
          <cell r="AA121">
            <v>2000</v>
          </cell>
        </row>
        <row r="121">
          <cell r="AC121">
            <v>2000</v>
          </cell>
        </row>
        <row r="121">
          <cell r="AJ121">
            <v>139</v>
          </cell>
        </row>
        <row r="121">
          <cell r="AL121">
            <v>28.2849246927044</v>
          </cell>
        </row>
        <row r="121">
          <cell r="AQ121">
            <v>24.98962991965</v>
          </cell>
        </row>
        <row r="121">
          <cell r="AT121">
            <v>4.87914950949152</v>
          </cell>
          <cell r="AU121">
            <v>15.7434668493795</v>
          </cell>
        </row>
        <row r="121">
          <cell r="AW121">
            <v>0.3252</v>
          </cell>
        </row>
        <row r="121">
          <cell r="BN121">
            <v>4.87914950949152</v>
          </cell>
          <cell r="BO121">
            <v>15.7434668493795</v>
          </cell>
        </row>
        <row r="121">
          <cell r="BQ121">
            <v>0.3252</v>
          </cell>
        </row>
        <row r="121">
          <cell r="DM121">
            <v>4.40045567698804</v>
          </cell>
          <cell r="DN121">
            <v>14.312242590345</v>
          </cell>
        </row>
        <row r="121">
          <cell r="DP121">
            <v>0.3096</v>
          </cell>
        </row>
        <row r="122">
          <cell r="O122">
            <v>500</v>
          </cell>
          <cell r="P122">
            <v>5.05</v>
          </cell>
        </row>
        <row r="122">
          <cell r="S122">
            <v>500</v>
          </cell>
          <cell r="T122">
            <v>5.05</v>
          </cell>
        </row>
        <row r="122">
          <cell r="AC122">
            <v>0</v>
          </cell>
        </row>
        <row r="122">
          <cell r="BO122">
            <v>0</v>
          </cell>
        </row>
        <row r="122">
          <cell r="DM122">
            <v>0</v>
          </cell>
          <cell r="DN122">
            <v>0</v>
          </cell>
        </row>
        <row r="123">
          <cell r="O123">
            <v>500</v>
          </cell>
          <cell r="P123">
            <v>4.95</v>
          </cell>
        </row>
        <row r="123">
          <cell r="S123">
            <v>500</v>
          </cell>
          <cell r="T123">
            <v>4.95</v>
          </cell>
        </row>
        <row r="123">
          <cell r="AC123">
            <v>0</v>
          </cell>
        </row>
        <row r="123">
          <cell r="BO123">
            <v>0</v>
          </cell>
        </row>
        <row r="123">
          <cell r="DM123">
            <v>0</v>
          </cell>
          <cell r="DN123">
            <v>0</v>
          </cell>
        </row>
        <row r="124">
          <cell r="H124">
            <v>215</v>
          </cell>
          <cell r="I124">
            <v>81.5487776516464</v>
          </cell>
        </row>
        <row r="124">
          <cell r="K124">
            <v>268.934584357356</v>
          </cell>
        </row>
        <row r="124">
          <cell r="O124">
            <v>285</v>
          </cell>
          <cell r="P124">
            <v>7.3</v>
          </cell>
        </row>
        <row r="124">
          <cell r="S124">
            <v>285</v>
          </cell>
          <cell r="T124">
            <v>7.3</v>
          </cell>
        </row>
        <row r="124">
          <cell r="AA124">
            <v>2000</v>
          </cell>
        </row>
        <row r="124">
          <cell r="AC124">
            <v>2000</v>
          </cell>
        </row>
        <row r="124">
          <cell r="AJ124">
            <v>237</v>
          </cell>
        </row>
        <row r="124">
          <cell r="AL124">
            <v>90.8951923481818</v>
          </cell>
        </row>
        <row r="124">
          <cell r="AQ124">
            <v>329.15660398209</v>
          </cell>
        </row>
        <row r="124">
          <cell r="AT124">
            <v>24.8689246264625</v>
          </cell>
          <cell r="AU124">
            <v>240.284320906926</v>
          </cell>
        </row>
        <row r="124">
          <cell r="AW124">
            <v>0.5424</v>
          </cell>
        </row>
        <row r="124">
          <cell r="BN124">
            <v>24.8689246264625</v>
          </cell>
          <cell r="BO124">
            <v>240.284320906926</v>
          </cell>
        </row>
        <row r="124">
          <cell r="BQ124">
            <v>0.5424</v>
          </cell>
        </row>
        <row r="124">
          <cell r="DM124">
            <v>21.1700626783674</v>
          </cell>
          <cell r="DN124">
            <v>196.32224658087</v>
          </cell>
        </row>
        <row r="124">
          <cell r="DP124">
            <v>0.5064</v>
          </cell>
        </row>
        <row r="125">
          <cell r="H125">
            <v>608</v>
          </cell>
          <cell r="I125">
            <v>128.281889826877</v>
          </cell>
        </row>
        <row r="125">
          <cell r="K125">
            <v>224.202563167036</v>
          </cell>
        </row>
        <row r="125">
          <cell r="O125">
            <v>500</v>
          </cell>
          <cell r="P125">
            <v>11.8</v>
          </cell>
        </row>
        <row r="125">
          <cell r="S125">
            <v>500</v>
          </cell>
          <cell r="T125">
            <v>11.8</v>
          </cell>
        </row>
        <row r="125">
          <cell r="AA125">
            <v>2000</v>
          </cell>
        </row>
        <row r="125">
          <cell r="AC125">
            <v>2000</v>
          </cell>
        </row>
        <row r="125">
          <cell r="AJ125">
            <v>656</v>
          </cell>
        </row>
        <row r="125">
          <cell r="AL125">
            <v>161.041086101677</v>
          </cell>
        </row>
        <row r="125">
          <cell r="AQ125">
            <v>271.726363747655</v>
          </cell>
        </row>
        <row r="125">
          <cell r="AT125">
            <v>77.2997213288052</v>
          </cell>
          <cell r="AU125">
            <v>320.637109222233</v>
          </cell>
        </row>
        <row r="125">
          <cell r="AW125">
            <v>1.5168</v>
          </cell>
        </row>
        <row r="125">
          <cell r="BN125">
            <v>77.2997213288052</v>
          </cell>
          <cell r="BO125">
            <v>320.637109222233</v>
          </cell>
        </row>
        <row r="125">
          <cell r="BQ125">
            <v>1.5168</v>
          </cell>
        </row>
        <row r="125">
          <cell r="DM125">
            <v>61.5753071169012</v>
          </cell>
          <cell r="DN125">
            <v>264.559024537103</v>
          </cell>
        </row>
        <row r="125">
          <cell r="DP125">
            <v>1.44</v>
          </cell>
        </row>
        <row r="126">
          <cell r="H126">
            <v>0</v>
          </cell>
        </row>
        <row r="126">
          <cell r="K126">
            <v>0</v>
          </cell>
        </row>
        <row r="126">
          <cell r="P126">
            <v>4.77</v>
          </cell>
        </row>
        <row r="126">
          <cell r="S126">
            <v>0</v>
          </cell>
          <cell r="T126">
            <v>4.77</v>
          </cell>
        </row>
        <row r="126">
          <cell r="AA126">
            <v>2000</v>
          </cell>
        </row>
        <row r="126">
          <cell r="AC126">
            <v>2000</v>
          </cell>
        </row>
        <row r="126">
          <cell r="AJ126">
            <v>0</v>
          </cell>
        </row>
        <row r="126">
          <cell r="AL126">
            <v>0</v>
          </cell>
        </row>
        <row r="126">
          <cell r="AQ126">
            <v>0</v>
          </cell>
        </row>
        <row r="126">
          <cell r="DM126">
            <v>0</v>
          </cell>
          <cell r="DN126">
            <v>0</v>
          </cell>
        </row>
        <row r="127">
          <cell r="H127">
            <v>27</v>
          </cell>
          <cell r="I127">
            <v>9.6519432174</v>
          </cell>
        </row>
        <row r="127">
          <cell r="K127">
            <v>30.5185396001659</v>
          </cell>
        </row>
        <row r="127">
          <cell r="S127">
            <v>0</v>
          </cell>
          <cell r="T127">
            <v>0</v>
          </cell>
        </row>
        <row r="127">
          <cell r="AA127">
            <v>2000</v>
          </cell>
        </row>
        <row r="127">
          <cell r="AC127">
            <v>2000</v>
          </cell>
        </row>
        <row r="127">
          <cell r="AJ127">
            <v>33</v>
          </cell>
        </row>
        <row r="127">
          <cell r="AL127">
            <v>12.2547840778932</v>
          </cell>
        </row>
        <row r="127">
          <cell r="AQ127">
            <v>71.3525124061748</v>
          </cell>
        </row>
        <row r="127">
          <cell r="AT127">
            <v>1.17645927147775</v>
          </cell>
          <cell r="AU127">
            <v>40.8951857048347</v>
          </cell>
        </row>
        <row r="127">
          <cell r="AW127">
            <v>0.072</v>
          </cell>
        </row>
        <row r="127">
          <cell r="BN127">
            <v>1.17645927147775</v>
          </cell>
          <cell r="BO127">
            <v>40.8951857048347</v>
          </cell>
        </row>
        <row r="127">
          <cell r="BQ127">
            <v>0.072</v>
          </cell>
        </row>
        <row r="127">
          <cell r="DM127">
            <v>0.9265865488704</v>
          </cell>
          <cell r="DN127">
            <v>17.7639793420604</v>
          </cell>
        </row>
        <row r="127">
          <cell r="DP127">
            <v>0.0528</v>
          </cell>
        </row>
        <row r="128">
          <cell r="H128">
            <v>27</v>
          </cell>
          <cell r="I128">
            <v>9.6519432174</v>
          </cell>
        </row>
        <row r="128">
          <cell r="K128">
            <v>13.5291712860231</v>
          </cell>
        </row>
        <row r="128">
          <cell r="O128">
            <v>100</v>
          </cell>
          <cell r="P128">
            <v>6</v>
          </cell>
        </row>
        <row r="128">
          <cell r="S128">
            <v>100</v>
          </cell>
          <cell r="T128">
            <v>6</v>
          </cell>
        </row>
        <row r="128">
          <cell r="AA128">
            <v>2000</v>
          </cell>
        </row>
        <row r="128">
          <cell r="AC128">
            <v>2000</v>
          </cell>
        </row>
        <row r="128">
          <cell r="AJ128">
            <v>33</v>
          </cell>
        </row>
        <row r="128">
          <cell r="AL128">
            <v>12.2547840778932</v>
          </cell>
        </row>
        <row r="128">
          <cell r="AQ128">
            <v>31.476681132031</v>
          </cell>
        </row>
        <row r="128">
          <cell r="AT128">
            <v>1.17645927147775</v>
          </cell>
          <cell r="AU128">
            <v>18.8860086792186</v>
          </cell>
        </row>
        <row r="128">
          <cell r="AW128">
            <v>0.072</v>
          </cell>
        </row>
        <row r="128">
          <cell r="BN128">
            <v>1.17645927147775</v>
          </cell>
          <cell r="BO128">
            <v>18.8860086792186</v>
          </cell>
        </row>
        <row r="128">
          <cell r="BQ128">
            <v>0.072</v>
          </cell>
        </row>
        <row r="128">
          <cell r="DM128">
            <v>0.9265865488704</v>
          </cell>
          <cell r="DN128">
            <v>8.11750277161387</v>
          </cell>
        </row>
        <row r="128">
          <cell r="DP128">
            <v>0.0528</v>
          </cell>
        </row>
        <row r="129">
          <cell r="K129">
            <v>3.4700122043114</v>
          </cell>
        </row>
        <row r="129">
          <cell r="P129">
            <v>7</v>
          </cell>
        </row>
        <row r="129">
          <cell r="S129">
            <v>0</v>
          </cell>
          <cell r="T129">
            <v>7</v>
          </cell>
        </row>
        <row r="129">
          <cell r="AA129">
            <v>2000</v>
          </cell>
        </row>
        <row r="129">
          <cell r="AC129">
            <v>2000</v>
          </cell>
        </row>
        <row r="129">
          <cell r="AQ129">
            <v>8.144482986054</v>
          </cell>
        </row>
        <row r="129">
          <cell r="AU129">
            <v>5.7011380902378</v>
          </cell>
        </row>
        <row r="129">
          <cell r="AW129">
            <v>0</v>
          </cell>
        </row>
        <row r="129">
          <cell r="BN129">
            <v>0</v>
          </cell>
          <cell r="BO129">
            <v>5.7011380902378</v>
          </cell>
        </row>
        <row r="129">
          <cell r="BQ129">
            <v>0</v>
          </cell>
        </row>
        <row r="129">
          <cell r="DM129">
            <v>0</v>
          </cell>
          <cell r="DN129">
            <v>2.42900854301798</v>
          </cell>
        </row>
        <row r="129">
          <cell r="DP129">
            <v>0</v>
          </cell>
        </row>
        <row r="130">
          <cell r="K130">
            <v>3.45776129813825</v>
          </cell>
        </row>
        <row r="130">
          <cell r="P130">
            <v>7</v>
          </cell>
        </row>
        <row r="130">
          <cell r="S130">
            <v>0</v>
          </cell>
          <cell r="T130">
            <v>7</v>
          </cell>
        </row>
        <row r="130">
          <cell r="AA130">
            <v>2000</v>
          </cell>
        </row>
        <row r="130">
          <cell r="AC130">
            <v>2000</v>
          </cell>
        </row>
        <row r="130">
          <cell r="AQ130">
            <v>8.11572882295136</v>
          </cell>
        </row>
        <row r="130">
          <cell r="AU130">
            <v>5.68101017606595</v>
          </cell>
        </row>
        <row r="130">
          <cell r="AW130">
            <v>0</v>
          </cell>
        </row>
        <row r="130">
          <cell r="BN130">
            <v>0</v>
          </cell>
          <cell r="BO130">
            <v>5.68101017606595</v>
          </cell>
        </row>
        <row r="130">
          <cell r="BQ130">
            <v>0</v>
          </cell>
        </row>
        <row r="130">
          <cell r="DM130">
            <v>0</v>
          </cell>
          <cell r="DN130">
            <v>2.42043290869678</v>
          </cell>
        </row>
        <row r="130">
          <cell r="DP130">
            <v>0</v>
          </cell>
        </row>
        <row r="131">
          <cell r="K131">
            <v>10.0615948116932</v>
          </cell>
        </row>
        <row r="131">
          <cell r="P131">
            <v>4.5</v>
          </cell>
        </row>
        <row r="131">
          <cell r="S131">
            <v>0</v>
          </cell>
          <cell r="T131">
            <v>4.5</v>
          </cell>
        </row>
        <row r="131">
          <cell r="AA131">
            <v>2000</v>
          </cell>
        </row>
        <row r="131">
          <cell r="AC131">
            <v>2000</v>
          </cell>
        </row>
        <row r="131">
          <cell r="AQ131">
            <v>23.6156194651384</v>
          </cell>
        </row>
        <row r="131">
          <cell r="AU131">
            <v>10.6270287593123</v>
          </cell>
        </row>
        <row r="131">
          <cell r="AW131">
            <v>0</v>
          </cell>
        </row>
        <row r="131">
          <cell r="BN131">
            <v>0</v>
          </cell>
          <cell r="BO131">
            <v>10.6270287593123</v>
          </cell>
        </row>
        <row r="131">
          <cell r="BQ131">
            <v>0</v>
          </cell>
        </row>
        <row r="131">
          <cell r="DM131">
            <v>0</v>
          </cell>
          <cell r="DN131">
            <v>4.79703511873172</v>
          </cell>
        </row>
        <row r="131">
          <cell r="DP131">
            <v>0</v>
          </cell>
        </row>
        <row r="132">
          <cell r="H132">
            <v>119</v>
          </cell>
          <cell r="I132">
            <v>34.380809169</v>
          </cell>
        </row>
        <row r="132">
          <cell r="K132">
            <v>132.503651882</v>
          </cell>
        </row>
        <row r="132">
          <cell r="S132">
            <v>0</v>
          </cell>
          <cell r="T132">
            <v>0</v>
          </cell>
        </row>
        <row r="132">
          <cell r="AC132">
            <v>0</v>
          </cell>
        </row>
        <row r="132">
          <cell r="AJ132">
            <v>123</v>
          </cell>
        </row>
        <row r="132">
          <cell r="AL132">
            <v>36.09984962745</v>
          </cell>
        </row>
        <row r="132">
          <cell r="AQ132">
            <v>138.018972117969</v>
          </cell>
        </row>
        <row r="132">
          <cell r="AT132">
            <v>0</v>
          </cell>
          <cell r="AU132">
            <v>84.1915729919611</v>
          </cell>
        </row>
        <row r="132">
          <cell r="AW132">
            <v>0.2904</v>
          </cell>
        </row>
        <row r="132">
          <cell r="BN132">
            <v>0</v>
          </cell>
          <cell r="BO132">
            <v>84.1915729919611</v>
          </cell>
        </row>
        <row r="132">
          <cell r="BQ132">
            <v>0.2904</v>
          </cell>
        </row>
        <row r="132">
          <cell r="DM132">
            <v>0</v>
          </cell>
          <cell r="DN132">
            <v>80.82722764802</v>
          </cell>
        </row>
        <row r="132">
          <cell r="DP132">
            <v>0.2808</v>
          </cell>
        </row>
        <row r="133">
          <cell r="H133">
            <v>119</v>
          </cell>
          <cell r="I133">
            <v>34.380809169</v>
          </cell>
        </row>
        <row r="133">
          <cell r="K133">
            <v>132.503651882</v>
          </cell>
        </row>
        <row r="133">
          <cell r="O133">
            <v>0</v>
          </cell>
          <cell r="P133">
            <v>6.1</v>
          </cell>
        </row>
        <row r="133">
          <cell r="S133">
            <v>0</v>
          </cell>
          <cell r="T133">
            <v>6.1</v>
          </cell>
        </row>
        <row r="133">
          <cell r="AA133">
            <v>2000</v>
          </cell>
        </row>
        <row r="133">
          <cell r="AC133">
            <v>2000</v>
          </cell>
        </row>
        <row r="133">
          <cell r="AJ133">
            <v>123</v>
          </cell>
        </row>
        <row r="133">
          <cell r="AL133">
            <v>36.09984962745</v>
          </cell>
        </row>
        <row r="133">
          <cell r="AQ133">
            <v>138.018972117969</v>
          </cell>
        </row>
        <row r="133">
          <cell r="AT133">
            <v>0</v>
          </cell>
          <cell r="AU133">
            <v>84.1915729919611</v>
          </cell>
        </row>
        <row r="133">
          <cell r="AW133">
            <v>0.2904</v>
          </cell>
        </row>
        <row r="133">
          <cell r="BN133">
            <v>0</v>
          </cell>
          <cell r="BO133">
            <v>84.1915729919611</v>
          </cell>
        </row>
        <row r="133">
          <cell r="BQ133">
            <v>0.2904</v>
          </cell>
        </row>
        <row r="133">
          <cell r="DM133">
            <v>0</v>
          </cell>
          <cell r="DN133">
            <v>80.82722764802</v>
          </cell>
        </row>
        <row r="133">
          <cell r="DP133">
            <v>0.2808</v>
          </cell>
        </row>
        <row r="134">
          <cell r="K134">
            <v>0</v>
          </cell>
        </row>
        <row r="134">
          <cell r="AA134">
            <v>2000</v>
          </cell>
        </row>
        <row r="134">
          <cell r="AC134">
            <v>2000</v>
          </cell>
        </row>
        <row r="134">
          <cell r="BN134">
            <v>0</v>
          </cell>
          <cell r="BO134">
            <v>0</v>
          </cell>
        </row>
        <row r="134">
          <cell r="DM134">
            <v>0</v>
          </cell>
          <cell r="DN134">
            <v>0</v>
          </cell>
        </row>
        <row r="149">
          <cell r="H149">
            <v>435</v>
          </cell>
          <cell r="I149">
            <v>1229.807976</v>
          </cell>
        </row>
        <row r="149">
          <cell r="AC149">
            <v>0</v>
          </cell>
        </row>
        <row r="149">
          <cell r="AJ149">
            <v>483</v>
          </cell>
        </row>
        <row r="149">
          <cell r="AL149">
            <v>1291.2983748</v>
          </cell>
        </row>
        <row r="149">
          <cell r="AT149">
            <v>619.823219904</v>
          </cell>
          <cell r="AU149">
            <v>5343.78446359209</v>
          </cell>
        </row>
        <row r="149">
          <cell r="AW149">
            <v>1.9278</v>
          </cell>
        </row>
        <row r="149">
          <cell r="BN149">
            <v>619.823219904</v>
          </cell>
          <cell r="BO149">
            <v>5343.78446359209</v>
          </cell>
        </row>
        <row r="149">
          <cell r="BQ149">
            <v>1.9278</v>
          </cell>
        </row>
        <row r="149">
          <cell r="DM149">
            <v>573.090516816</v>
          </cell>
          <cell r="DN149">
            <v>4796.19058828821</v>
          </cell>
        </row>
        <row r="149">
          <cell r="DP149">
            <v>1.8123</v>
          </cell>
        </row>
        <row r="150">
          <cell r="H150">
            <v>435</v>
          </cell>
          <cell r="I150">
            <v>1229.807976</v>
          </cell>
        </row>
        <row r="150">
          <cell r="K150">
            <v>6727.77368492986</v>
          </cell>
        </row>
        <row r="150">
          <cell r="AC150">
            <v>0</v>
          </cell>
        </row>
        <row r="150">
          <cell r="AJ150">
            <v>483</v>
          </cell>
        </row>
        <row r="150">
          <cell r="AL150">
            <v>1291.2983748</v>
          </cell>
        </row>
        <row r="150">
          <cell r="AQ150">
            <v>7592.24610801615</v>
          </cell>
        </row>
        <row r="150">
          <cell r="AT150">
            <v>619.823219904</v>
          </cell>
          <cell r="AU150">
            <v>5322.3935113409</v>
          </cell>
        </row>
        <row r="150">
          <cell r="AW150">
            <v>1.9278</v>
          </cell>
        </row>
        <row r="150">
          <cell r="BN150">
            <v>619.823219904</v>
          </cell>
          <cell r="BO150">
            <v>5322.3935113409</v>
          </cell>
        </row>
        <row r="150">
          <cell r="BQ150">
            <v>1.9278</v>
          </cell>
        </row>
        <row r="150">
          <cell r="DM150">
            <v>573.090516816</v>
          </cell>
          <cell r="DN150">
            <v>4776.72077694781</v>
          </cell>
        </row>
        <row r="150">
          <cell r="DP150">
            <v>1.7955</v>
          </cell>
        </row>
        <row r="151">
          <cell r="H151">
            <v>435</v>
          </cell>
          <cell r="I151">
            <v>1229.807976</v>
          </cell>
        </row>
        <row r="151">
          <cell r="K151">
            <v>1972.65585471756</v>
          </cell>
        </row>
        <row r="151">
          <cell r="O151">
            <v>500</v>
          </cell>
          <cell r="P151">
            <v>7.15</v>
          </cell>
        </row>
        <row r="151">
          <cell r="S151">
            <v>500</v>
          </cell>
          <cell r="T151">
            <v>7.15</v>
          </cell>
        </row>
        <row r="151">
          <cell r="AA151">
            <v>3500</v>
          </cell>
        </row>
        <row r="151">
          <cell r="AC151">
            <v>3500</v>
          </cell>
        </row>
        <row r="151">
          <cell r="AJ151">
            <v>483</v>
          </cell>
        </row>
        <row r="151">
          <cell r="AL151">
            <v>1291.2983748</v>
          </cell>
        </row>
        <row r="151">
          <cell r="AQ151">
            <v>2294.22292541284</v>
          </cell>
        </row>
        <row r="151">
          <cell r="AT151">
            <v>619.823219904</v>
          </cell>
          <cell r="AU151">
            <v>1640.36939167018</v>
          </cell>
        </row>
        <row r="151">
          <cell r="AW151">
            <v>1.9278</v>
          </cell>
        </row>
        <row r="151">
          <cell r="BN151">
            <v>619.823219904</v>
          </cell>
          <cell r="BO151">
            <v>1640.36939167018</v>
          </cell>
        </row>
        <row r="151">
          <cell r="BQ151">
            <v>1.9278</v>
          </cell>
        </row>
        <row r="151">
          <cell r="DM151">
            <v>573.090516816</v>
          </cell>
          <cell r="DN151">
            <v>1410.44893612306</v>
          </cell>
        </row>
        <row r="151">
          <cell r="DP151">
            <v>1.7913</v>
          </cell>
        </row>
        <row r="152">
          <cell r="K152">
            <v>290.028799767119</v>
          </cell>
        </row>
        <row r="152">
          <cell r="O152">
            <v>0</v>
          </cell>
          <cell r="P152">
            <v>7.15</v>
          </cell>
        </row>
        <row r="152">
          <cell r="S152">
            <v>0</v>
          </cell>
          <cell r="T152">
            <v>7.15</v>
          </cell>
        </row>
        <row r="152">
          <cell r="AA152">
            <v>3500</v>
          </cell>
        </row>
        <row r="152">
          <cell r="AC152">
            <v>3500</v>
          </cell>
        </row>
        <row r="152">
          <cell r="AQ152">
            <v>323.142214274049</v>
          </cell>
        </row>
        <row r="152">
          <cell r="AT152">
            <v>0</v>
          </cell>
          <cell r="AU152">
            <v>231.046683205945</v>
          </cell>
        </row>
        <row r="152">
          <cell r="AW152">
            <v>0</v>
          </cell>
        </row>
        <row r="152">
          <cell r="BN152">
            <v>0</v>
          </cell>
          <cell r="BO152">
            <v>231.046683205945</v>
          </cell>
        </row>
        <row r="152">
          <cell r="BQ152">
            <v>0</v>
          </cell>
        </row>
        <row r="152">
          <cell r="DM152">
            <v>0</v>
          </cell>
          <cell r="DN152">
            <v>207.37059183349</v>
          </cell>
        </row>
        <row r="152">
          <cell r="DP152">
            <v>0</v>
          </cell>
        </row>
        <row r="153">
          <cell r="K153">
            <v>164.18382909327</v>
          </cell>
        </row>
        <row r="153">
          <cell r="O153">
            <v>0</v>
          </cell>
          <cell r="P153">
            <v>7.3</v>
          </cell>
        </row>
        <row r="153">
          <cell r="S153">
            <v>0</v>
          </cell>
          <cell r="T153">
            <v>7.3</v>
          </cell>
        </row>
        <row r="153">
          <cell r="AA153">
            <v>3500</v>
          </cell>
        </row>
        <row r="153">
          <cell r="AC153">
            <v>3500</v>
          </cell>
        </row>
        <row r="153">
          <cell r="AQ153">
            <v>182.929164702926</v>
          </cell>
        </row>
        <row r="153">
          <cell r="AT153">
            <v>0</v>
          </cell>
          <cell r="AU153">
            <v>133.538290233136</v>
          </cell>
        </row>
        <row r="153">
          <cell r="AW153">
            <v>0</v>
          </cell>
        </row>
        <row r="153">
          <cell r="BN153">
            <v>0</v>
          </cell>
          <cell r="BO153">
            <v>133.538290233136</v>
          </cell>
        </row>
        <row r="153">
          <cell r="BQ153">
            <v>0</v>
          </cell>
        </row>
        <row r="153">
          <cell r="DM153">
            <v>0</v>
          </cell>
          <cell r="DN153">
            <v>119.854195238087</v>
          </cell>
        </row>
        <row r="153">
          <cell r="DP153">
            <v>0</v>
          </cell>
        </row>
        <row r="154">
          <cell r="K154">
            <v>1.51768881875595</v>
          </cell>
        </row>
        <row r="154">
          <cell r="O154">
            <v>500</v>
          </cell>
          <cell r="P154">
            <v>7.9</v>
          </cell>
        </row>
        <row r="154">
          <cell r="S154">
            <v>500</v>
          </cell>
          <cell r="T154">
            <v>7.9</v>
          </cell>
        </row>
        <row r="154">
          <cell r="AA154">
            <v>3500</v>
          </cell>
        </row>
        <row r="154">
          <cell r="AC154">
            <v>3500</v>
          </cell>
        </row>
        <row r="154">
          <cell r="AQ154">
            <v>1.69096767584997</v>
          </cell>
        </row>
        <row r="154">
          <cell r="AT154">
            <v>0</v>
          </cell>
          <cell r="AU154">
            <v>1.33586446392148</v>
          </cell>
        </row>
        <row r="154">
          <cell r="AW154">
            <v>0</v>
          </cell>
        </row>
        <row r="154">
          <cell r="BN154">
            <v>0</v>
          </cell>
          <cell r="BO154">
            <v>1.33586446392148</v>
          </cell>
        </row>
        <row r="154">
          <cell r="BQ154">
            <v>0</v>
          </cell>
        </row>
        <row r="154">
          <cell r="DM154">
            <v>0</v>
          </cell>
          <cell r="DN154">
            <v>1.1989741668172</v>
          </cell>
        </row>
        <row r="154">
          <cell r="DP154">
            <v>0.0042</v>
          </cell>
        </row>
        <row r="155">
          <cell r="K155">
            <v>1093.76742705433</v>
          </cell>
        </row>
        <row r="155">
          <cell r="O155">
            <v>0</v>
          </cell>
          <cell r="P155">
            <v>8.15</v>
          </cell>
        </row>
        <row r="155">
          <cell r="S155">
            <v>0</v>
          </cell>
          <cell r="T155">
            <v>8.15</v>
          </cell>
        </row>
        <row r="155">
          <cell r="AA155">
            <v>3500</v>
          </cell>
        </row>
        <row r="155">
          <cell r="AC155">
            <v>3500</v>
          </cell>
        </row>
        <row r="155">
          <cell r="AQ155">
            <v>1218.64597089311</v>
          </cell>
        </row>
        <row r="155">
          <cell r="AT155">
            <v>0</v>
          </cell>
          <cell r="AU155">
            <v>993.196466277889</v>
          </cell>
        </row>
        <row r="155">
          <cell r="AW155">
            <v>0</v>
          </cell>
        </row>
        <row r="155">
          <cell r="BN155">
            <v>0</v>
          </cell>
          <cell r="BO155">
            <v>993.196466277889</v>
          </cell>
        </row>
        <row r="155">
          <cell r="BQ155">
            <v>0</v>
          </cell>
        </row>
        <row r="155">
          <cell r="DM155">
            <v>0</v>
          </cell>
          <cell r="DN155">
            <v>891.42045304928</v>
          </cell>
        </row>
        <row r="155">
          <cell r="DP155">
            <v>0</v>
          </cell>
        </row>
        <row r="156">
          <cell r="K156">
            <v>1094.78315458445</v>
          </cell>
        </row>
        <row r="156">
          <cell r="O156">
            <v>0</v>
          </cell>
          <cell r="P156">
            <v>8.15</v>
          </cell>
        </row>
        <row r="156">
          <cell r="S156">
            <v>0</v>
          </cell>
          <cell r="T156">
            <v>8.15</v>
          </cell>
        </row>
        <row r="156">
          <cell r="AA156">
            <v>3500</v>
          </cell>
        </row>
        <row r="156">
          <cell r="AC156">
            <v>3500</v>
          </cell>
        </row>
        <row r="156">
          <cell r="AQ156">
            <v>1219.77766692967</v>
          </cell>
        </row>
        <row r="156">
          <cell r="AT156">
            <v>0</v>
          </cell>
          <cell r="AU156">
            <v>994.118798547677</v>
          </cell>
        </row>
        <row r="156">
          <cell r="AW156">
            <v>0</v>
          </cell>
        </row>
        <row r="156">
          <cell r="BN156">
            <v>0</v>
          </cell>
          <cell r="BO156">
            <v>994.118798547677</v>
          </cell>
        </row>
        <row r="156">
          <cell r="BQ156">
            <v>0</v>
          </cell>
        </row>
        <row r="156">
          <cell r="DM156">
            <v>0</v>
          </cell>
          <cell r="DN156">
            <v>892.248270986327</v>
          </cell>
        </row>
        <row r="156">
          <cell r="DP156">
            <v>0</v>
          </cell>
        </row>
        <row r="157">
          <cell r="K157">
            <v>2110.83693089437</v>
          </cell>
        </row>
        <row r="157">
          <cell r="P157">
            <v>5.65</v>
          </cell>
        </row>
        <row r="157">
          <cell r="S157">
            <v>0</v>
          </cell>
          <cell r="T157">
            <v>5.65</v>
          </cell>
        </row>
        <row r="157">
          <cell r="AA157">
            <v>3500</v>
          </cell>
        </row>
        <row r="157">
          <cell r="AC157">
            <v>3500</v>
          </cell>
        </row>
        <row r="157">
          <cell r="AQ157">
            <v>2351.83719812771</v>
          </cell>
        </row>
        <row r="157">
          <cell r="AT157">
            <v>0</v>
          </cell>
          <cell r="AU157">
            <v>1328.78801694216</v>
          </cell>
        </row>
        <row r="157">
          <cell r="AW157">
            <v>0</v>
          </cell>
        </row>
        <row r="157">
          <cell r="BN157">
            <v>0</v>
          </cell>
          <cell r="BO157">
            <v>1328.78801694216</v>
          </cell>
        </row>
        <row r="157">
          <cell r="BQ157">
            <v>0</v>
          </cell>
        </row>
        <row r="157">
          <cell r="DM157">
            <v>0</v>
          </cell>
          <cell r="DN157">
            <v>1254.17935555075</v>
          </cell>
        </row>
        <row r="157">
          <cell r="DP157">
            <v>0</v>
          </cell>
        </row>
        <row r="158">
          <cell r="H158">
            <v>0</v>
          </cell>
          <cell r="I158">
            <v>0</v>
          </cell>
        </row>
        <row r="158">
          <cell r="K158">
            <v>27.5934012347391</v>
          </cell>
        </row>
        <row r="158">
          <cell r="AC158">
            <v>0</v>
          </cell>
        </row>
        <row r="158">
          <cell r="AJ158">
            <v>0</v>
          </cell>
        </row>
        <row r="158">
          <cell r="AL158">
            <v>0</v>
          </cell>
        </row>
        <row r="158">
          <cell r="AQ158">
            <v>30.7438184811492</v>
          </cell>
        </row>
        <row r="158">
          <cell r="AT158">
            <v>0</v>
          </cell>
          <cell r="AU158">
            <v>21.3909522511848</v>
          </cell>
        </row>
        <row r="158">
          <cell r="AW158">
            <v>0</v>
          </cell>
        </row>
        <row r="158">
          <cell r="BN158">
            <v>0</v>
          </cell>
          <cell r="BO158">
            <v>21.3909522511848</v>
          </cell>
        </row>
        <row r="158">
          <cell r="BQ158">
            <v>0</v>
          </cell>
        </row>
        <row r="158">
          <cell r="DM158">
            <v>0</v>
          </cell>
          <cell r="DN158">
            <v>19.4698113403975</v>
          </cell>
        </row>
        <row r="158">
          <cell r="DP158">
            <v>0.0168</v>
          </cell>
        </row>
        <row r="159">
          <cell r="K159">
            <v>8.18807162097772</v>
          </cell>
        </row>
        <row r="159">
          <cell r="O159">
            <v>500</v>
          </cell>
          <cell r="P159">
            <v>7.15</v>
          </cell>
        </row>
        <row r="159">
          <cell r="S159">
            <v>500</v>
          </cell>
          <cell r="T159">
            <v>7.15</v>
          </cell>
        </row>
        <row r="159">
          <cell r="AA159">
            <v>3500</v>
          </cell>
        </row>
        <row r="159">
          <cell r="AC159">
            <v>3500</v>
          </cell>
        </row>
        <row r="159">
          <cell r="AQ159">
            <v>9.12292708986761</v>
          </cell>
        </row>
        <row r="159">
          <cell r="AT159">
            <v>0</v>
          </cell>
          <cell r="AU159">
            <v>6.52289286925535</v>
          </cell>
        </row>
        <row r="159">
          <cell r="AW159">
            <v>0</v>
          </cell>
        </row>
        <row r="159">
          <cell r="BN159">
            <v>0</v>
          </cell>
          <cell r="BO159">
            <v>6.52289286925535</v>
          </cell>
        </row>
        <row r="159">
          <cell r="BQ159">
            <v>0</v>
          </cell>
        </row>
        <row r="159">
          <cell r="DM159">
            <v>0</v>
          </cell>
          <cell r="DN159">
            <v>5.85447120899907</v>
          </cell>
        </row>
        <row r="159">
          <cell r="DP159">
            <v>0.0168</v>
          </cell>
        </row>
        <row r="160">
          <cell r="K160">
            <v>4.82759614760375</v>
          </cell>
        </row>
        <row r="160">
          <cell r="P160">
            <v>8.15</v>
          </cell>
        </row>
        <row r="160">
          <cell r="S160">
            <v>0</v>
          </cell>
          <cell r="T160">
            <v>8.15</v>
          </cell>
        </row>
        <row r="160">
          <cell r="AA160">
            <v>3500</v>
          </cell>
        </row>
        <row r="160">
          <cell r="AC160">
            <v>3500</v>
          </cell>
        </row>
        <row r="160">
          <cell r="AQ160">
            <v>5.37877655601844</v>
          </cell>
        </row>
        <row r="160">
          <cell r="AT160">
            <v>0</v>
          </cell>
          <cell r="AU160">
            <v>4.38370289315503</v>
          </cell>
        </row>
        <row r="160">
          <cell r="AW160">
            <v>0</v>
          </cell>
        </row>
        <row r="160">
          <cell r="BN160">
            <v>0</v>
          </cell>
          <cell r="BO160">
            <v>4.38370289315503</v>
          </cell>
        </row>
        <row r="160">
          <cell r="BQ160">
            <v>0</v>
          </cell>
        </row>
        <row r="160">
          <cell r="DM160">
            <v>0</v>
          </cell>
          <cell r="DN160">
            <v>3.93449086029706</v>
          </cell>
        </row>
        <row r="160">
          <cell r="DP160">
            <v>0</v>
          </cell>
        </row>
        <row r="161">
          <cell r="K161">
            <v>4.69428637553206</v>
          </cell>
        </row>
        <row r="161">
          <cell r="P161">
            <v>8.15</v>
          </cell>
        </row>
        <row r="161">
          <cell r="S161">
            <v>0</v>
          </cell>
          <cell r="T161">
            <v>8.15</v>
          </cell>
        </row>
        <row r="161">
          <cell r="AA161">
            <v>3500</v>
          </cell>
        </row>
        <row r="161">
          <cell r="AC161">
            <v>3500</v>
          </cell>
        </row>
        <row r="161">
          <cell r="AQ161">
            <v>5.23024642740291</v>
          </cell>
        </row>
        <row r="161">
          <cell r="AT161">
            <v>0</v>
          </cell>
          <cell r="AU161">
            <v>4.26265083833337</v>
          </cell>
        </row>
        <row r="161">
          <cell r="AW161">
            <v>0</v>
          </cell>
        </row>
        <row r="161">
          <cell r="BN161">
            <v>0</v>
          </cell>
          <cell r="BO161">
            <v>4.26265083833337</v>
          </cell>
        </row>
        <row r="161">
          <cell r="BQ161">
            <v>0</v>
          </cell>
        </row>
        <row r="161">
          <cell r="DM161">
            <v>0</v>
          </cell>
          <cell r="DN161">
            <v>3.82584339605863</v>
          </cell>
        </row>
        <row r="161">
          <cell r="DP161">
            <v>0</v>
          </cell>
        </row>
        <row r="162">
          <cell r="K162">
            <v>9.88344709062559</v>
          </cell>
        </row>
        <row r="162">
          <cell r="P162">
            <v>5.65</v>
          </cell>
        </row>
        <row r="162">
          <cell r="S162">
            <v>0</v>
          </cell>
          <cell r="T162">
            <v>5.65</v>
          </cell>
        </row>
        <row r="162">
          <cell r="AA162">
            <v>3500</v>
          </cell>
        </row>
        <row r="162">
          <cell r="AC162">
            <v>3500</v>
          </cell>
        </row>
        <row r="162">
          <cell r="AQ162">
            <v>11.0118684078602</v>
          </cell>
        </row>
        <row r="162">
          <cell r="AT162">
            <v>0</v>
          </cell>
          <cell r="AU162">
            <v>6.22170565044103</v>
          </cell>
        </row>
        <row r="162">
          <cell r="AW162">
            <v>0</v>
          </cell>
        </row>
        <row r="162">
          <cell r="BN162">
            <v>0</v>
          </cell>
          <cell r="BO162">
            <v>6.22170565044103</v>
          </cell>
        </row>
        <row r="162">
          <cell r="BQ162">
            <v>0</v>
          </cell>
        </row>
        <row r="162">
          <cell r="DM162">
            <v>0</v>
          </cell>
          <cell r="DN162">
            <v>5.85500587504278</v>
          </cell>
        </row>
        <row r="162">
          <cell r="DP162">
            <v>0</v>
          </cell>
        </row>
        <row r="163">
          <cell r="K163">
            <v>0.53654</v>
          </cell>
        </row>
        <row r="163">
          <cell r="O163">
            <v>500</v>
          </cell>
          <cell r="P163">
            <v>7.15</v>
          </cell>
        </row>
        <row r="163">
          <cell r="S163">
            <v>500</v>
          </cell>
          <cell r="T163">
            <v>7.15</v>
          </cell>
        </row>
        <row r="163">
          <cell r="AA163">
            <v>3500</v>
          </cell>
        </row>
        <row r="163">
          <cell r="AC163">
            <v>3500</v>
          </cell>
        </row>
        <row r="163">
          <cell r="AQ163">
            <v>0.53654</v>
          </cell>
        </row>
        <row r="163">
          <cell r="AT163">
            <v>0</v>
          </cell>
          <cell r="AU163">
            <v>0.3836261</v>
          </cell>
        </row>
        <row r="163">
          <cell r="AW163">
            <v>0</v>
          </cell>
        </row>
        <row r="163">
          <cell r="BN163">
            <v>0</v>
          </cell>
          <cell r="BO163">
            <v>0.3836261</v>
          </cell>
        </row>
        <row r="163">
          <cell r="BQ163">
            <v>0</v>
          </cell>
        </row>
        <row r="163">
          <cell r="DM163">
            <v>0</v>
          </cell>
          <cell r="DN163">
            <v>0.3836261</v>
          </cell>
        </row>
        <row r="163">
          <cell r="DP163">
            <v>0</v>
          </cell>
        </row>
        <row r="164">
          <cell r="H164">
            <v>0</v>
          </cell>
          <cell r="I164">
            <v>0</v>
          </cell>
        </row>
        <row r="164">
          <cell r="K164">
            <v>60.5124526560307</v>
          </cell>
        </row>
        <row r="164">
          <cell r="S164">
            <v>0</v>
          </cell>
          <cell r="T164">
            <v>0</v>
          </cell>
        </row>
        <row r="164">
          <cell r="AC164">
            <v>14000</v>
          </cell>
        </row>
        <row r="164">
          <cell r="AJ164">
            <v>0</v>
          </cell>
        </row>
        <row r="164">
          <cell r="AL164">
            <v>0</v>
          </cell>
        </row>
        <row r="164">
          <cell r="AQ164">
            <v>61.924630748864</v>
          </cell>
        </row>
        <row r="164">
          <cell r="AT164">
            <v>0</v>
          </cell>
          <cell r="AU164">
            <v>43.4133394325091</v>
          </cell>
        </row>
        <row r="164">
          <cell r="AW164">
            <v>0</v>
          </cell>
        </row>
        <row r="164">
          <cell r="BN164">
            <v>0</v>
          </cell>
          <cell r="BO164">
            <v>43.4133394325091</v>
          </cell>
        </row>
        <row r="164">
          <cell r="BQ164">
            <v>0</v>
          </cell>
        </row>
        <row r="164">
          <cell r="DM164">
            <v>0</v>
          </cell>
          <cell r="DN164">
            <v>42.9909478700353</v>
          </cell>
        </row>
        <row r="164">
          <cell r="DP164">
            <v>0.0084</v>
          </cell>
        </row>
        <row r="165">
          <cell r="H165">
            <v>0</v>
          </cell>
        </row>
        <row r="165">
          <cell r="K165">
            <v>20.485197392993</v>
          </cell>
        </row>
        <row r="165">
          <cell r="O165">
            <v>500</v>
          </cell>
          <cell r="P165">
            <v>7.15</v>
          </cell>
        </row>
        <row r="165">
          <cell r="S165">
            <v>500</v>
          </cell>
          <cell r="T165">
            <v>7.15</v>
          </cell>
        </row>
        <row r="165">
          <cell r="AA165">
            <v>3500</v>
          </cell>
        </row>
        <row r="165">
          <cell r="AC165">
            <v>3500</v>
          </cell>
        </row>
        <row r="165">
          <cell r="AJ165">
            <v>0</v>
          </cell>
        </row>
        <row r="165">
          <cell r="AL165">
            <v>0</v>
          </cell>
        </row>
        <row r="165">
          <cell r="AQ165">
            <v>20.9632601010143</v>
          </cell>
        </row>
        <row r="165">
          <cell r="AT165">
            <v>0</v>
          </cell>
          <cell r="AU165">
            <v>14.9887309722252</v>
          </cell>
        </row>
        <row r="165">
          <cell r="AW165">
            <v>0</v>
          </cell>
        </row>
        <row r="165">
          <cell r="BN165">
            <v>0</v>
          </cell>
          <cell r="BO165">
            <v>14.9887309722252</v>
          </cell>
        </row>
        <row r="165">
          <cell r="BQ165">
            <v>0</v>
          </cell>
        </row>
        <row r="165">
          <cell r="DM165">
            <v>0</v>
          </cell>
          <cell r="DN165">
            <v>14.64691613599</v>
          </cell>
        </row>
        <row r="165">
          <cell r="DP165">
            <v>0.0084</v>
          </cell>
        </row>
        <row r="166">
          <cell r="K166">
            <v>10.2012068156474</v>
          </cell>
        </row>
        <row r="166">
          <cell r="P166">
            <v>8.15</v>
          </cell>
        </row>
        <row r="166">
          <cell r="S166">
            <v>0</v>
          </cell>
          <cell r="T166">
            <v>8.15</v>
          </cell>
        </row>
        <row r="166">
          <cell r="AA166">
            <v>3500</v>
          </cell>
        </row>
        <row r="166">
          <cell r="AC166">
            <v>3500</v>
          </cell>
        </row>
        <row r="166">
          <cell r="AQ166">
            <v>10.4392722080288</v>
          </cell>
        </row>
        <row r="166">
          <cell r="AT166">
            <v>0</v>
          </cell>
          <cell r="AU166">
            <v>8.50800684954351</v>
          </cell>
        </row>
        <row r="166">
          <cell r="AW166">
            <v>0</v>
          </cell>
        </row>
        <row r="166">
          <cell r="BN166">
            <v>0</v>
          </cell>
          <cell r="BO166">
            <v>8.50800684954351</v>
          </cell>
        </row>
        <row r="166">
          <cell r="BQ166">
            <v>0</v>
          </cell>
        </row>
        <row r="166">
          <cell r="DM166">
            <v>0</v>
          </cell>
          <cell r="DN166">
            <v>8.31398355475266</v>
          </cell>
        </row>
        <row r="166">
          <cell r="DP166">
            <v>0</v>
          </cell>
        </row>
        <row r="167">
          <cell r="K167">
            <v>10.4427614208152</v>
          </cell>
        </row>
        <row r="167">
          <cell r="P167">
            <v>8.15</v>
          </cell>
        </row>
        <row r="167">
          <cell r="S167">
            <v>0</v>
          </cell>
          <cell r="T167">
            <v>8.15</v>
          </cell>
        </row>
        <row r="167">
          <cell r="AA167">
            <v>3500</v>
          </cell>
        </row>
        <row r="167">
          <cell r="AC167">
            <v>3500</v>
          </cell>
        </row>
        <row r="167">
          <cell r="AQ167">
            <v>10.6864639689665</v>
          </cell>
        </row>
        <row r="167">
          <cell r="AT167">
            <v>0</v>
          </cell>
          <cell r="AU167">
            <v>8.70946813470773</v>
          </cell>
        </row>
        <row r="167">
          <cell r="AW167">
            <v>0</v>
          </cell>
        </row>
        <row r="167">
          <cell r="BN167">
            <v>0</v>
          </cell>
          <cell r="BO167">
            <v>8.70946813470773</v>
          </cell>
        </row>
        <row r="167">
          <cell r="BQ167">
            <v>0</v>
          </cell>
        </row>
        <row r="167">
          <cell r="DM167">
            <v>0</v>
          </cell>
          <cell r="DN167">
            <v>8.51085055796441</v>
          </cell>
        </row>
        <row r="167">
          <cell r="DP167">
            <v>0</v>
          </cell>
        </row>
        <row r="168">
          <cell r="K168">
            <v>19.383287026575</v>
          </cell>
        </row>
        <row r="168">
          <cell r="P168">
            <v>5.65</v>
          </cell>
        </row>
        <row r="168">
          <cell r="S168">
            <v>0</v>
          </cell>
          <cell r="T168">
            <v>5.65</v>
          </cell>
        </row>
        <row r="168">
          <cell r="AA168">
            <v>3500</v>
          </cell>
        </row>
        <row r="168">
          <cell r="AC168">
            <v>3500</v>
          </cell>
        </row>
        <row r="168">
          <cell r="AQ168">
            <v>19.8356344708543</v>
          </cell>
        </row>
        <row r="168">
          <cell r="AT168">
            <v>0</v>
          </cell>
          <cell r="AU168">
            <v>11.2071334760327</v>
          </cell>
        </row>
        <row r="168">
          <cell r="AW168">
            <v>0</v>
          </cell>
        </row>
        <row r="168">
          <cell r="BN168">
            <v>0</v>
          </cell>
          <cell r="BO168">
            <v>11.2071334760327</v>
          </cell>
        </row>
        <row r="168">
          <cell r="BQ168">
            <v>0</v>
          </cell>
        </row>
        <row r="168">
          <cell r="DM168">
            <v>0</v>
          </cell>
          <cell r="DN168">
            <v>11.5191976213282</v>
          </cell>
        </row>
        <row r="168">
          <cell r="DP168">
            <v>0</v>
          </cell>
        </row>
        <row r="169">
          <cell r="H169">
            <v>178</v>
          </cell>
          <cell r="I169">
            <v>453.53464216588</v>
          </cell>
        </row>
        <row r="169">
          <cell r="K169">
            <v>1560.47628455836</v>
          </cell>
        </row>
        <row r="169">
          <cell r="S169">
            <v>0</v>
          </cell>
        </row>
        <row r="169">
          <cell r="AA169">
            <v>3500</v>
          </cell>
        </row>
        <row r="169">
          <cell r="AC169">
            <v>3500</v>
          </cell>
        </row>
        <row r="169">
          <cell r="AJ169">
            <v>205</v>
          </cell>
        </row>
        <row r="169">
          <cell r="AL169">
            <v>499.586374274174</v>
          </cell>
        </row>
        <row r="169">
          <cell r="AQ169">
            <v>1771.70160889593</v>
          </cell>
        </row>
        <row r="169">
          <cell r="AT169">
            <v>239.801459651604</v>
          </cell>
          <cell r="AU169">
            <v>1410.70121685515</v>
          </cell>
        </row>
        <row r="169">
          <cell r="AW169">
            <v>0.8043</v>
          </cell>
        </row>
        <row r="169">
          <cell r="BN169">
            <v>239.801459651604</v>
          </cell>
          <cell r="BO169">
            <v>1410.70121685515</v>
          </cell>
        </row>
        <row r="169">
          <cell r="BQ169">
            <v>0.8043</v>
          </cell>
        </row>
        <row r="169">
          <cell r="DM169">
            <v>211.3471432493</v>
          </cell>
          <cell r="DN169">
            <v>1253.93399374725</v>
          </cell>
        </row>
        <row r="169">
          <cell r="DP169">
            <v>0.7287</v>
          </cell>
        </row>
        <row r="170">
          <cell r="H170">
            <v>178</v>
          </cell>
          <cell r="I170">
            <v>453.53464216588</v>
          </cell>
        </row>
        <row r="170">
          <cell r="K170">
            <v>631.085535156356</v>
          </cell>
        </row>
        <row r="170">
          <cell r="O170">
            <v>500</v>
          </cell>
          <cell r="P170">
            <v>8</v>
          </cell>
        </row>
        <row r="170">
          <cell r="S170">
            <v>500</v>
          </cell>
          <cell r="T170">
            <v>8</v>
          </cell>
        </row>
        <row r="170">
          <cell r="AA170">
            <v>3500</v>
          </cell>
        </row>
        <row r="170">
          <cell r="AC170">
            <v>3500</v>
          </cell>
        </row>
        <row r="170">
          <cell r="AJ170">
            <v>205</v>
          </cell>
        </row>
        <row r="170">
          <cell r="AL170">
            <v>499.586374274174</v>
          </cell>
        </row>
        <row r="170">
          <cell r="AQ170">
            <v>709.642651909873</v>
          </cell>
        </row>
        <row r="170">
          <cell r="AT170">
            <v>239.801459651604</v>
          </cell>
          <cell r="AU170">
            <v>567.714121527898</v>
          </cell>
        </row>
        <row r="170">
          <cell r="AW170">
            <v>0.8043</v>
          </cell>
        </row>
        <row r="170">
          <cell r="BN170">
            <v>239.801459651604</v>
          </cell>
          <cell r="BO170">
            <v>567.714121527898</v>
          </cell>
        </row>
        <row r="170">
          <cell r="BQ170">
            <v>0.8043</v>
          </cell>
        </row>
        <row r="170">
          <cell r="DM170">
            <v>211.3471432493</v>
          </cell>
          <cell r="DN170">
            <v>504.868428125085</v>
          </cell>
        </row>
        <row r="170">
          <cell r="DP170">
            <v>0.7287</v>
          </cell>
        </row>
        <row r="171">
          <cell r="K171">
            <v>261.381196567333</v>
          </cell>
        </row>
        <row r="171">
          <cell r="P171">
            <v>9</v>
          </cell>
        </row>
        <row r="171">
          <cell r="S171">
            <v>0</v>
          </cell>
          <cell r="T171">
            <v>9</v>
          </cell>
        </row>
        <row r="171">
          <cell r="AA171">
            <v>3500</v>
          </cell>
        </row>
        <row r="171">
          <cell r="AC171">
            <v>3500</v>
          </cell>
        </row>
        <row r="171">
          <cell r="AQ171">
            <v>293.917757828916</v>
          </cell>
        </row>
        <row r="171">
          <cell r="AT171">
            <v>0</v>
          </cell>
          <cell r="AU171">
            <v>264.525982046025</v>
          </cell>
        </row>
        <row r="171">
          <cell r="AW171">
            <v>0</v>
          </cell>
        </row>
        <row r="171">
          <cell r="BN171">
            <v>0</v>
          </cell>
          <cell r="BO171">
            <v>264.525982046025</v>
          </cell>
        </row>
        <row r="171">
          <cell r="BQ171">
            <v>0</v>
          </cell>
        </row>
        <row r="171">
          <cell r="DM171">
            <v>0</v>
          </cell>
          <cell r="DN171">
            <v>235.243076910599</v>
          </cell>
        </row>
        <row r="171">
          <cell r="DP171">
            <v>0</v>
          </cell>
        </row>
        <row r="172">
          <cell r="K172">
            <v>261.612038945691</v>
          </cell>
        </row>
        <row r="172">
          <cell r="P172">
            <v>9</v>
          </cell>
        </row>
        <row r="172">
          <cell r="S172">
            <v>0</v>
          </cell>
          <cell r="T172">
            <v>9</v>
          </cell>
        </row>
        <row r="172">
          <cell r="AA172">
            <v>3500</v>
          </cell>
        </row>
        <row r="172">
          <cell r="AC172">
            <v>3500</v>
          </cell>
        </row>
        <row r="172">
          <cell r="AQ172">
            <v>294.177335316318</v>
          </cell>
        </row>
        <row r="172">
          <cell r="AT172">
            <v>0</v>
          </cell>
          <cell r="AU172">
            <v>264.759601784686</v>
          </cell>
        </row>
        <row r="172">
          <cell r="AW172">
            <v>0</v>
          </cell>
        </row>
        <row r="172">
          <cell r="BN172">
            <v>0</v>
          </cell>
          <cell r="BO172">
            <v>264.759601784686</v>
          </cell>
        </row>
        <row r="172">
          <cell r="BQ172">
            <v>0</v>
          </cell>
        </row>
        <row r="172">
          <cell r="DM172">
            <v>0</v>
          </cell>
          <cell r="DN172">
            <v>235.450835051122</v>
          </cell>
        </row>
        <row r="172">
          <cell r="DP172">
            <v>0</v>
          </cell>
        </row>
        <row r="173">
          <cell r="K173">
            <v>388.147513888976</v>
          </cell>
        </row>
        <row r="173">
          <cell r="P173">
            <v>6.5</v>
          </cell>
        </row>
        <row r="173">
          <cell r="S173">
            <v>0</v>
          </cell>
          <cell r="T173">
            <v>6.5</v>
          </cell>
        </row>
        <row r="173">
          <cell r="AA173">
            <v>3500</v>
          </cell>
        </row>
        <row r="173">
          <cell r="AC173">
            <v>3500</v>
          </cell>
        </row>
        <row r="173">
          <cell r="AQ173">
            <v>436.463863840824</v>
          </cell>
        </row>
        <row r="173">
          <cell r="AT173">
            <v>0</v>
          </cell>
          <cell r="AU173">
            <v>283.701511496535</v>
          </cell>
        </row>
        <row r="173">
          <cell r="AW173">
            <v>0</v>
          </cell>
        </row>
        <row r="173">
          <cell r="BN173">
            <v>0</v>
          </cell>
          <cell r="BO173">
            <v>283.701511496535</v>
          </cell>
        </row>
        <row r="173">
          <cell r="BQ173">
            <v>0</v>
          </cell>
        </row>
        <row r="173">
          <cell r="DM173">
            <v>0</v>
          </cell>
          <cell r="DN173">
            <v>263.771653660441</v>
          </cell>
        </row>
        <row r="173">
          <cell r="DP173">
            <v>0</v>
          </cell>
        </row>
        <row r="174">
          <cell r="H174">
            <v>0</v>
          </cell>
        </row>
        <row r="174">
          <cell r="K174">
            <v>18.25</v>
          </cell>
        </row>
        <row r="174">
          <cell r="O174">
            <v>500</v>
          </cell>
          <cell r="P174">
            <v>8</v>
          </cell>
        </row>
        <row r="174">
          <cell r="S174">
            <v>500</v>
          </cell>
          <cell r="T174">
            <v>8</v>
          </cell>
        </row>
        <row r="174">
          <cell r="AA174">
            <v>3500</v>
          </cell>
        </row>
        <row r="174">
          <cell r="AC174">
            <v>3500</v>
          </cell>
        </row>
        <row r="174">
          <cell r="AJ174">
            <v>0</v>
          </cell>
        </row>
        <row r="174">
          <cell r="AQ174">
            <v>37.5</v>
          </cell>
        </row>
        <row r="174">
          <cell r="AT174">
            <v>0</v>
          </cell>
          <cell r="AU174">
            <v>30</v>
          </cell>
        </row>
        <row r="174">
          <cell r="AW174">
            <v>0</v>
          </cell>
        </row>
        <row r="174">
          <cell r="BN174">
            <v>0</v>
          </cell>
          <cell r="BO174">
            <v>30</v>
          </cell>
        </row>
        <row r="174">
          <cell r="BQ174">
            <v>0</v>
          </cell>
        </row>
        <row r="174">
          <cell r="DM174">
            <v>0</v>
          </cell>
          <cell r="DN174">
            <v>14.6</v>
          </cell>
        </row>
        <row r="174">
          <cell r="DP174">
            <v>0</v>
          </cell>
        </row>
        <row r="175">
          <cell r="H175">
            <v>0</v>
          </cell>
          <cell r="I175">
            <v>0</v>
          </cell>
        </row>
        <row r="175">
          <cell r="K175">
            <v>4.80134654594394</v>
          </cell>
        </row>
        <row r="175">
          <cell r="AC175">
            <v>14000</v>
          </cell>
        </row>
        <row r="175">
          <cell r="AJ175">
            <v>0</v>
          </cell>
        </row>
        <row r="175">
          <cell r="AL175">
            <v>0</v>
          </cell>
        </row>
        <row r="175">
          <cell r="AQ175">
            <v>5.28148120053833</v>
          </cell>
        </row>
        <row r="175">
          <cell r="AT175">
            <v>0</v>
          </cell>
          <cell r="AU175">
            <v>2.64992946999443</v>
          </cell>
        </row>
        <row r="175">
          <cell r="AW175">
            <v>0</v>
          </cell>
        </row>
        <row r="175">
          <cell r="BN175">
            <v>0</v>
          </cell>
          <cell r="BO175">
            <v>2.64992946999443</v>
          </cell>
        </row>
        <row r="175">
          <cell r="BQ175">
            <v>0</v>
          </cell>
        </row>
        <row r="175">
          <cell r="DM175">
            <v>0</v>
          </cell>
          <cell r="DN175">
            <v>2.44202250473362</v>
          </cell>
        </row>
        <row r="175">
          <cell r="DP175">
            <v>0.0042</v>
          </cell>
        </row>
        <row r="176">
          <cell r="K176">
            <v>1.92670376684611</v>
          </cell>
        </row>
        <row r="176">
          <cell r="O176">
            <v>285</v>
          </cell>
          <cell r="P176">
            <v>5</v>
          </cell>
        </row>
        <row r="176">
          <cell r="S176">
            <v>285</v>
          </cell>
          <cell r="T176">
            <v>5</v>
          </cell>
        </row>
        <row r="176">
          <cell r="AA176">
            <v>3500</v>
          </cell>
        </row>
        <row r="176">
          <cell r="AC176">
            <v>3500</v>
          </cell>
        </row>
        <row r="176">
          <cell r="AQ176">
            <v>2.11937414353072</v>
          </cell>
        </row>
        <row r="176">
          <cell r="AT176">
            <v>0</v>
          </cell>
          <cell r="AU176">
            <v>1.05968707176536</v>
          </cell>
        </row>
        <row r="176">
          <cell r="AW176">
            <v>0</v>
          </cell>
        </row>
        <row r="176">
          <cell r="BN176">
            <v>0</v>
          </cell>
          <cell r="BO176">
            <v>1.05968707176536</v>
          </cell>
        </row>
        <row r="176">
          <cell r="BQ176">
            <v>0</v>
          </cell>
        </row>
        <row r="176">
          <cell r="DM176">
            <v>0</v>
          </cell>
          <cell r="DN176">
            <v>0.963351883423055</v>
          </cell>
        </row>
        <row r="176">
          <cell r="DP176">
            <v>0.0042</v>
          </cell>
        </row>
        <row r="177">
          <cell r="K177">
            <v>0.883674592166326</v>
          </cell>
        </row>
        <row r="177">
          <cell r="P177">
            <v>6</v>
          </cell>
        </row>
        <row r="177">
          <cell r="S177">
            <v>0</v>
          </cell>
          <cell r="T177">
            <v>6</v>
          </cell>
        </row>
        <row r="177">
          <cell r="AA177">
            <v>3500</v>
          </cell>
        </row>
        <row r="177">
          <cell r="AC177">
            <v>3500</v>
          </cell>
        </row>
        <row r="177">
          <cell r="AQ177">
            <v>0.972042051382959</v>
          </cell>
        </row>
        <row r="177">
          <cell r="AT177">
            <v>0</v>
          </cell>
          <cell r="AU177">
            <v>0.583225230829775</v>
          </cell>
        </row>
        <row r="177">
          <cell r="AW177">
            <v>0</v>
          </cell>
        </row>
        <row r="177">
          <cell r="BN177">
            <v>0</v>
          </cell>
          <cell r="BO177">
            <v>0.583225230829775</v>
          </cell>
        </row>
        <row r="177">
          <cell r="BQ177">
            <v>0</v>
          </cell>
        </row>
        <row r="177">
          <cell r="DM177">
            <v>0</v>
          </cell>
          <cell r="DN177">
            <v>0.530204755299796</v>
          </cell>
        </row>
        <row r="177">
          <cell r="DP177">
            <v>0</v>
          </cell>
        </row>
        <row r="178">
          <cell r="K178">
            <v>0.874525147020605</v>
          </cell>
        </row>
        <row r="178">
          <cell r="P178">
            <v>6</v>
          </cell>
        </row>
        <row r="178">
          <cell r="S178">
            <v>0</v>
          </cell>
          <cell r="T178">
            <v>6</v>
          </cell>
        </row>
        <row r="178">
          <cell r="AA178">
            <v>3500</v>
          </cell>
        </row>
        <row r="178">
          <cell r="AC178">
            <v>3500</v>
          </cell>
        </row>
        <row r="178">
          <cell r="AQ178">
            <v>0.961977661722666</v>
          </cell>
        </row>
        <row r="178">
          <cell r="AT178">
            <v>0</v>
          </cell>
          <cell r="AU178">
            <v>0.577186597033599</v>
          </cell>
        </row>
        <row r="178">
          <cell r="AW178">
            <v>0</v>
          </cell>
        </row>
        <row r="178">
          <cell r="BN178">
            <v>0</v>
          </cell>
          <cell r="BO178">
            <v>0.577186597033599</v>
          </cell>
        </row>
        <row r="178">
          <cell r="BQ178">
            <v>0</v>
          </cell>
        </row>
        <row r="178">
          <cell r="DM178">
            <v>0</v>
          </cell>
          <cell r="DN178">
            <v>0.524715088212363</v>
          </cell>
        </row>
        <row r="178">
          <cell r="DP178">
            <v>0</v>
          </cell>
        </row>
        <row r="179">
          <cell r="K179">
            <v>1.1164430399109</v>
          </cell>
        </row>
        <row r="179">
          <cell r="P179">
            <v>3.5</v>
          </cell>
        </row>
        <row r="179">
          <cell r="S179">
            <v>0</v>
          </cell>
          <cell r="T179">
            <v>3.5</v>
          </cell>
        </row>
        <row r="179">
          <cell r="AA179">
            <v>3500</v>
          </cell>
        </row>
        <row r="179">
          <cell r="AC179">
            <v>3500</v>
          </cell>
        </row>
        <row r="179">
          <cell r="AQ179">
            <v>1.22808734390199</v>
          </cell>
        </row>
        <row r="179">
          <cell r="AT179">
            <v>0</v>
          </cell>
          <cell r="AU179">
            <v>0.429830570365695</v>
          </cell>
        </row>
        <row r="179">
          <cell r="AW179">
            <v>0</v>
          </cell>
        </row>
        <row r="179">
          <cell r="BN179">
            <v>0</v>
          </cell>
          <cell r="BO179">
            <v>0.429830570365695</v>
          </cell>
        </row>
        <row r="179">
          <cell r="BQ179">
            <v>0</v>
          </cell>
        </row>
        <row r="179">
          <cell r="DM179">
            <v>0</v>
          </cell>
          <cell r="DN179">
            <v>0.423750777798404</v>
          </cell>
        </row>
        <row r="179">
          <cell r="DP179">
            <v>0</v>
          </cell>
        </row>
        <row r="180">
          <cell r="H180">
            <v>0</v>
          </cell>
          <cell r="I180">
            <v>0</v>
          </cell>
        </row>
        <row r="180">
          <cell r="K180">
            <v>0</v>
          </cell>
        </row>
        <row r="180">
          <cell r="AC180">
            <v>0</v>
          </cell>
        </row>
        <row r="180">
          <cell r="AJ180">
            <v>0</v>
          </cell>
        </row>
        <row r="180">
          <cell r="AQ180">
            <v>0</v>
          </cell>
        </row>
        <row r="180">
          <cell r="AT180">
            <v>0</v>
          </cell>
          <cell r="AU180">
            <v>0</v>
          </cell>
        </row>
        <row r="180">
          <cell r="AW180">
            <v>0</v>
          </cell>
        </row>
        <row r="180">
          <cell r="BN180">
            <v>0</v>
          </cell>
          <cell r="BO180">
            <v>0</v>
          </cell>
        </row>
        <row r="180">
          <cell r="BQ180">
            <v>0</v>
          </cell>
        </row>
        <row r="180">
          <cell r="DM180">
            <v>0</v>
          </cell>
          <cell r="DN180">
            <v>0</v>
          </cell>
        </row>
        <row r="180">
          <cell r="DP180">
            <v>0</v>
          </cell>
        </row>
        <row r="181">
          <cell r="K181">
            <v>0</v>
          </cell>
        </row>
        <row r="181">
          <cell r="O181">
            <v>500</v>
          </cell>
          <cell r="P181">
            <v>7.85</v>
          </cell>
        </row>
        <row r="181">
          <cell r="S181">
            <v>500</v>
          </cell>
          <cell r="T181">
            <v>7.85</v>
          </cell>
        </row>
        <row r="181">
          <cell r="AA181">
            <v>3500</v>
          </cell>
        </row>
        <row r="181">
          <cell r="AC181">
            <v>3500</v>
          </cell>
        </row>
        <row r="181">
          <cell r="AT181">
            <v>0</v>
          </cell>
          <cell r="AU181">
            <v>0</v>
          </cell>
        </row>
        <row r="181">
          <cell r="AW181">
            <v>0</v>
          </cell>
        </row>
        <row r="181">
          <cell r="BN181">
            <v>0</v>
          </cell>
          <cell r="BO181">
            <v>0</v>
          </cell>
        </row>
        <row r="181">
          <cell r="BQ181">
            <v>0</v>
          </cell>
        </row>
        <row r="181">
          <cell r="DM181">
            <v>0</v>
          </cell>
          <cell r="DN181">
            <v>0</v>
          </cell>
        </row>
        <row r="181">
          <cell r="DP181">
            <v>0</v>
          </cell>
        </row>
        <row r="182">
          <cell r="K182">
            <v>0</v>
          </cell>
        </row>
        <row r="182">
          <cell r="P182">
            <v>8.85</v>
          </cell>
        </row>
        <row r="182">
          <cell r="S182">
            <v>0</v>
          </cell>
          <cell r="T182">
            <v>8.85</v>
          </cell>
        </row>
        <row r="182">
          <cell r="AA182">
            <v>3500</v>
          </cell>
        </row>
        <row r="182">
          <cell r="AC182">
            <v>3500</v>
          </cell>
        </row>
        <row r="182">
          <cell r="AT182">
            <v>0</v>
          </cell>
          <cell r="AU182">
            <v>0</v>
          </cell>
        </row>
        <row r="182">
          <cell r="AW182">
            <v>0</v>
          </cell>
        </row>
        <row r="182">
          <cell r="BN182">
            <v>0</v>
          </cell>
          <cell r="BO182">
            <v>0</v>
          </cell>
        </row>
        <row r="182">
          <cell r="BQ182">
            <v>0</v>
          </cell>
        </row>
        <row r="182">
          <cell r="DM182">
            <v>0</v>
          </cell>
          <cell r="DN182">
            <v>0</v>
          </cell>
        </row>
        <row r="182">
          <cell r="DP182">
            <v>0</v>
          </cell>
        </row>
        <row r="183">
          <cell r="K183">
            <v>0</v>
          </cell>
        </row>
        <row r="183">
          <cell r="P183">
            <v>8.85</v>
          </cell>
        </row>
        <row r="183">
          <cell r="S183">
            <v>0</v>
          </cell>
          <cell r="T183">
            <v>8.85</v>
          </cell>
        </row>
        <row r="183">
          <cell r="AA183">
            <v>3500</v>
          </cell>
        </row>
        <row r="183">
          <cell r="AC183">
            <v>3500</v>
          </cell>
        </row>
        <row r="183">
          <cell r="AT183">
            <v>0</v>
          </cell>
          <cell r="AU183">
            <v>0</v>
          </cell>
        </row>
        <row r="183">
          <cell r="AW183">
            <v>0</v>
          </cell>
        </row>
        <row r="183">
          <cell r="BN183">
            <v>0</v>
          </cell>
          <cell r="BO183">
            <v>0</v>
          </cell>
        </row>
        <row r="183">
          <cell r="BQ183">
            <v>0</v>
          </cell>
        </row>
        <row r="183">
          <cell r="DM183">
            <v>0</v>
          </cell>
          <cell r="DN183">
            <v>0</v>
          </cell>
        </row>
        <row r="183">
          <cell r="DP183">
            <v>0</v>
          </cell>
        </row>
        <row r="184">
          <cell r="K184">
            <v>0</v>
          </cell>
        </row>
        <row r="184">
          <cell r="P184">
            <v>6.35</v>
          </cell>
        </row>
        <row r="184">
          <cell r="S184">
            <v>0</v>
          </cell>
          <cell r="T184">
            <v>6.35</v>
          </cell>
        </row>
        <row r="184">
          <cell r="AA184">
            <v>3500</v>
          </cell>
        </row>
        <row r="184">
          <cell r="AC184">
            <v>3500</v>
          </cell>
        </row>
        <row r="184">
          <cell r="AT184">
            <v>0</v>
          </cell>
          <cell r="AU184">
            <v>0</v>
          </cell>
        </row>
        <row r="184">
          <cell r="AW184">
            <v>0</v>
          </cell>
        </row>
        <row r="184">
          <cell r="BN184">
            <v>0</v>
          </cell>
          <cell r="BO184">
            <v>0</v>
          </cell>
        </row>
        <row r="184">
          <cell r="BQ184">
            <v>0</v>
          </cell>
        </row>
        <row r="184">
          <cell r="DM184">
            <v>0</v>
          </cell>
          <cell r="DN184">
            <v>0</v>
          </cell>
        </row>
        <row r="184">
          <cell r="DP184">
            <v>0</v>
          </cell>
        </row>
        <row r="185">
          <cell r="H185">
            <v>13</v>
          </cell>
          <cell r="I185">
            <v>25.0678999995</v>
          </cell>
        </row>
        <row r="185">
          <cell r="K185">
            <v>66.1702299355033</v>
          </cell>
        </row>
        <row r="185">
          <cell r="AC185">
            <v>0</v>
          </cell>
        </row>
        <row r="185">
          <cell r="AJ185">
            <v>13</v>
          </cell>
        </row>
        <row r="185">
          <cell r="AL185">
            <v>26.4672850500122</v>
          </cell>
        </row>
        <row r="185">
          <cell r="AQ185">
            <v>86.2466042202066</v>
          </cell>
        </row>
        <row r="185">
          <cell r="AT185">
            <v>4.56560667112711</v>
          </cell>
          <cell r="AU185">
            <v>54.3353606587301</v>
          </cell>
        </row>
        <row r="185">
          <cell r="AW185">
            <v>0.0546</v>
          </cell>
        </row>
        <row r="185">
          <cell r="BN185">
            <v>4.56560667112711</v>
          </cell>
          <cell r="BO185">
            <v>54.3353606587301</v>
          </cell>
        </row>
        <row r="185">
          <cell r="BQ185">
            <v>0.0546</v>
          </cell>
        </row>
        <row r="185">
          <cell r="DM185">
            <v>4.11400796345961</v>
          </cell>
          <cell r="DN185">
            <v>41.6872448593671</v>
          </cell>
        </row>
        <row r="185">
          <cell r="DP185">
            <v>0.0735</v>
          </cell>
        </row>
        <row r="186">
          <cell r="H186">
            <v>13</v>
          </cell>
          <cell r="I186">
            <v>25.0678999995</v>
          </cell>
        </row>
        <row r="186">
          <cell r="K186">
            <v>66.1702299355033</v>
          </cell>
        </row>
        <row r="186">
          <cell r="O186">
            <v>300</v>
          </cell>
          <cell r="P186">
            <v>6.3</v>
          </cell>
        </row>
        <row r="186">
          <cell r="S186">
            <v>300</v>
          </cell>
          <cell r="T186">
            <v>6.3</v>
          </cell>
        </row>
        <row r="186">
          <cell r="AA186">
            <v>3500</v>
          </cell>
        </row>
        <row r="186">
          <cell r="AC186">
            <v>3500</v>
          </cell>
        </row>
        <row r="186">
          <cell r="AJ186">
            <v>13</v>
          </cell>
        </row>
        <row r="186">
          <cell r="AL186">
            <v>26.4672850500122</v>
          </cell>
        </row>
        <row r="186">
          <cell r="AQ186">
            <v>86.2466042202066</v>
          </cell>
        </row>
        <row r="186">
          <cell r="AT186">
            <v>4.56560667112711</v>
          </cell>
          <cell r="AU186">
            <v>54.3353606587301</v>
          </cell>
        </row>
        <row r="186">
          <cell r="AW186">
            <v>0.0546</v>
          </cell>
        </row>
        <row r="186">
          <cell r="BN186">
            <v>4.56560667112711</v>
          </cell>
          <cell r="BO186">
            <v>54.3353606587301</v>
          </cell>
        </row>
        <row r="186">
          <cell r="BQ186">
            <v>0.0546</v>
          </cell>
        </row>
        <row r="186">
          <cell r="DM186">
            <v>4.11400796345961</v>
          </cell>
          <cell r="DN186">
            <v>41.6872448593671</v>
          </cell>
        </row>
        <row r="186">
          <cell r="DP186">
            <v>0.0735</v>
          </cell>
        </row>
        <row r="187">
          <cell r="H187">
            <v>1</v>
          </cell>
          <cell r="I187">
            <v>0</v>
          </cell>
        </row>
        <row r="187">
          <cell r="K187">
            <v>0</v>
          </cell>
        </row>
        <row r="187">
          <cell r="O187">
            <v>500</v>
          </cell>
          <cell r="P187">
            <v>5.05</v>
          </cell>
        </row>
        <row r="187">
          <cell r="S187">
            <v>500</v>
          </cell>
          <cell r="T187">
            <v>5.05</v>
          </cell>
        </row>
        <row r="187">
          <cell r="AA187">
            <v>3500</v>
          </cell>
        </row>
        <row r="187">
          <cell r="AC187">
            <v>3500</v>
          </cell>
        </row>
        <row r="187">
          <cell r="AJ187">
            <v>1</v>
          </cell>
        </row>
        <row r="187">
          <cell r="AL187">
            <v>0</v>
          </cell>
        </row>
        <row r="187">
          <cell r="AQ187">
            <v>0</v>
          </cell>
        </row>
        <row r="187">
          <cell r="AT187">
            <v>0</v>
          </cell>
          <cell r="AU187">
            <v>0</v>
          </cell>
        </row>
        <row r="187">
          <cell r="AW187">
            <v>0.0042</v>
          </cell>
        </row>
        <row r="187">
          <cell r="BN187">
            <v>0</v>
          </cell>
          <cell r="BO187">
            <v>0</v>
          </cell>
        </row>
        <row r="187">
          <cell r="BQ187">
            <v>0.0042</v>
          </cell>
        </row>
        <row r="187">
          <cell r="DM187">
            <v>0</v>
          </cell>
          <cell r="DN187">
            <v>0</v>
          </cell>
        </row>
        <row r="187">
          <cell r="DP187">
            <v>0.0021</v>
          </cell>
        </row>
        <row r="188">
          <cell r="H188">
            <v>0</v>
          </cell>
          <cell r="I188">
            <v>1</v>
          </cell>
        </row>
        <row r="188">
          <cell r="K188">
            <v>0</v>
          </cell>
        </row>
        <row r="188">
          <cell r="O188">
            <v>500</v>
          </cell>
          <cell r="P188">
            <v>4.95</v>
          </cell>
        </row>
        <row r="188">
          <cell r="S188">
            <v>500</v>
          </cell>
          <cell r="T188">
            <v>4.95</v>
          </cell>
        </row>
        <row r="188">
          <cell r="AA188">
            <v>3500</v>
          </cell>
        </row>
        <row r="188">
          <cell r="AC188">
            <v>3500</v>
          </cell>
        </row>
        <row r="188">
          <cell r="AJ188">
            <v>0</v>
          </cell>
        </row>
        <row r="188">
          <cell r="AL188">
            <v>0</v>
          </cell>
        </row>
        <row r="188">
          <cell r="AQ188">
            <v>0</v>
          </cell>
        </row>
        <row r="188">
          <cell r="AT188">
            <v>0</v>
          </cell>
          <cell r="AU188">
            <v>0</v>
          </cell>
        </row>
        <row r="188">
          <cell r="AW188">
            <v>0</v>
          </cell>
        </row>
        <row r="188">
          <cell r="BN188">
            <v>0</v>
          </cell>
          <cell r="BO188">
            <v>0</v>
          </cell>
        </row>
        <row r="188">
          <cell r="BQ188">
            <v>0</v>
          </cell>
        </row>
        <row r="188">
          <cell r="DM188">
            <v>0.466</v>
          </cell>
          <cell r="DN188">
            <v>0</v>
          </cell>
        </row>
        <row r="188">
          <cell r="DP188">
            <v>0</v>
          </cell>
        </row>
        <row r="189">
          <cell r="H189">
            <v>37</v>
          </cell>
          <cell r="I189">
            <v>42.320994975</v>
          </cell>
        </row>
        <row r="189">
          <cell r="K189">
            <v>162.163493368031</v>
          </cell>
        </row>
        <row r="189">
          <cell r="O189">
            <v>285</v>
          </cell>
          <cell r="P189">
            <v>7.3</v>
          </cell>
        </row>
        <row r="189">
          <cell r="S189">
            <v>285</v>
          </cell>
          <cell r="T189">
            <v>7.3</v>
          </cell>
        </row>
        <row r="189">
          <cell r="AA189">
            <v>3500</v>
          </cell>
        </row>
        <row r="189">
          <cell r="AC189">
            <v>3500</v>
          </cell>
        </row>
        <row r="189">
          <cell r="AJ189">
            <v>38</v>
          </cell>
        </row>
        <row r="189">
          <cell r="AL189">
            <v>44.43704472375</v>
          </cell>
        </row>
        <row r="189">
          <cell r="AQ189">
            <v>188.407399757014</v>
          </cell>
        </row>
        <row r="189">
          <cell r="AT189">
            <v>12.157975436418</v>
          </cell>
          <cell r="AU189">
            <v>137.53740182262</v>
          </cell>
        </row>
        <row r="189">
          <cell r="AW189">
            <v>0.1575</v>
          </cell>
        </row>
        <row r="189">
          <cell r="BN189">
            <v>12.157975436418</v>
          </cell>
          <cell r="BO189">
            <v>137.53740182262</v>
          </cell>
        </row>
        <row r="189">
          <cell r="BQ189">
            <v>0.1575</v>
          </cell>
        </row>
        <row r="189">
          <cell r="DM189">
            <v>10.98653029551</v>
          </cell>
          <cell r="DN189">
            <v>118.379350158663</v>
          </cell>
        </row>
        <row r="189">
          <cell r="DP189">
            <v>0.1239</v>
          </cell>
        </row>
        <row r="190">
          <cell r="H190">
            <v>9</v>
          </cell>
          <cell r="I190">
            <v>23.3742500370435</v>
          </cell>
        </row>
        <row r="190">
          <cell r="K190">
            <v>35.4172710167591</v>
          </cell>
        </row>
        <row r="190">
          <cell r="O190">
            <v>500</v>
          </cell>
          <cell r="P190">
            <v>11</v>
          </cell>
        </row>
        <row r="190">
          <cell r="S190">
            <v>500</v>
          </cell>
          <cell r="T190">
            <v>11</v>
          </cell>
        </row>
        <row r="190">
          <cell r="AA190">
            <v>3500</v>
          </cell>
        </row>
        <row r="190">
          <cell r="AC190">
            <v>3500</v>
          </cell>
        </row>
        <row r="190">
          <cell r="AJ190">
            <v>10</v>
          </cell>
        </row>
        <row r="190">
          <cell r="AL190">
            <v>25.9703550617484</v>
          </cell>
        </row>
        <row r="190">
          <cell r="AQ190">
            <v>36.1256164370943</v>
          </cell>
        </row>
        <row r="190">
          <cell r="AT190">
            <v>12.4657704296392</v>
          </cell>
          <cell r="AU190">
            <v>39.7381780808037</v>
          </cell>
        </row>
        <row r="190">
          <cell r="AW190">
            <v>0.0399</v>
          </cell>
        </row>
        <row r="190">
          <cell r="BN190">
            <v>12.4657704296392</v>
          </cell>
          <cell r="BO190">
            <v>39.7381780808037</v>
          </cell>
        </row>
        <row r="190">
          <cell r="BQ190">
            <v>0.0399</v>
          </cell>
        </row>
        <row r="190">
          <cell r="DM190">
            <v>11.2196400177809</v>
          </cell>
          <cell r="DN190">
            <v>38.958998118435</v>
          </cell>
        </row>
        <row r="190">
          <cell r="DP190">
            <v>0.0378</v>
          </cell>
        </row>
        <row r="191">
          <cell r="H191">
            <v>23</v>
          </cell>
          <cell r="I191">
            <v>40.806045</v>
          </cell>
        </row>
        <row r="191">
          <cell r="K191">
            <v>267.966979829087</v>
          </cell>
        </row>
        <row r="191">
          <cell r="S191">
            <v>0</v>
          </cell>
          <cell r="T191">
            <v>0</v>
          </cell>
        </row>
        <row r="191">
          <cell r="AC191">
            <v>0</v>
          </cell>
        </row>
        <row r="191">
          <cell r="AJ191">
            <v>26</v>
          </cell>
        </row>
        <row r="191">
          <cell r="AL191">
            <v>42.84634725</v>
          </cell>
        </row>
        <row r="191">
          <cell r="AQ191">
            <v>282.096660471516</v>
          </cell>
        </row>
        <row r="191">
          <cell r="AT191">
            <v>0</v>
          </cell>
          <cell r="AU191">
            <v>172.078962887625</v>
          </cell>
        </row>
        <row r="191">
          <cell r="AW191">
            <v>0.1029</v>
          </cell>
        </row>
        <row r="191">
          <cell r="BN191">
            <v>0</v>
          </cell>
          <cell r="BO191">
            <v>172.078962887625</v>
          </cell>
        </row>
        <row r="191">
          <cell r="BQ191">
            <v>0.1029</v>
          </cell>
        </row>
        <row r="191">
          <cell r="DM191">
            <v>0</v>
          </cell>
          <cell r="DN191">
            <v>163.459857695743</v>
          </cell>
        </row>
        <row r="191">
          <cell r="DP191">
            <v>0.0756</v>
          </cell>
        </row>
        <row r="192">
          <cell r="H192">
            <v>23</v>
          </cell>
          <cell r="I192">
            <v>40.806045</v>
          </cell>
        </row>
        <row r="192">
          <cell r="K192">
            <v>267.966979829087</v>
          </cell>
        </row>
        <row r="192">
          <cell r="O192">
            <v>0</v>
          </cell>
          <cell r="P192">
            <v>6.1</v>
          </cell>
        </row>
        <row r="192">
          <cell r="S192">
            <v>0</v>
          </cell>
          <cell r="T192">
            <v>6.1</v>
          </cell>
        </row>
        <row r="192">
          <cell r="AA192">
            <v>3500</v>
          </cell>
        </row>
        <row r="192">
          <cell r="AC192">
            <v>3500</v>
          </cell>
        </row>
        <row r="192">
          <cell r="AJ192">
            <v>26</v>
          </cell>
        </row>
        <row r="192">
          <cell r="AL192">
            <v>42.84634725</v>
          </cell>
        </row>
        <row r="192">
          <cell r="AQ192">
            <v>282.096660471516</v>
          </cell>
        </row>
        <row r="192">
          <cell r="AT192">
            <v>0</v>
          </cell>
          <cell r="AU192">
            <v>172.078962887625</v>
          </cell>
        </row>
        <row r="192">
          <cell r="AW192">
            <v>0.1029</v>
          </cell>
        </row>
        <row r="192">
          <cell r="BN192">
            <v>0</v>
          </cell>
          <cell r="BO192">
            <v>172.078962887625</v>
          </cell>
        </row>
        <row r="192">
          <cell r="BQ192">
            <v>0.1029</v>
          </cell>
        </row>
        <row r="192">
          <cell r="DM192">
            <v>0</v>
          </cell>
          <cell r="DN192">
            <v>163.459857695743</v>
          </cell>
        </row>
        <row r="192">
          <cell r="DP192">
            <v>0.0756</v>
          </cell>
        </row>
        <row r="193">
          <cell r="AA193">
            <v>3500</v>
          </cell>
        </row>
        <row r="193">
          <cell r="AC193">
            <v>3500</v>
          </cell>
        </row>
        <row r="193">
          <cell r="BN193">
            <v>0</v>
          </cell>
          <cell r="BO193">
            <v>0</v>
          </cell>
        </row>
        <row r="193">
          <cell r="DM193">
            <v>0</v>
          </cell>
          <cell r="DN193">
            <v>0</v>
          </cell>
        </row>
        <row r="208">
          <cell r="H208">
            <v>48</v>
          </cell>
          <cell r="I208">
            <v>803.10148065</v>
          </cell>
        </row>
        <row r="208">
          <cell r="K208">
            <v>3535.212866</v>
          </cell>
        </row>
        <row r="208">
          <cell r="AC208">
            <v>0</v>
          </cell>
        </row>
        <row r="208">
          <cell r="AJ208">
            <v>50</v>
          </cell>
        </row>
        <row r="208">
          <cell r="AL208">
            <v>843.2565546825</v>
          </cell>
        </row>
        <row r="208">
          <cell r="AQ208">
            <v>3799.82800293829</v>
          </cell>
        </row>
        <row r="208">
          <cell r="AT208">
            <v>404.7631462476</v>
          </cell>
          <cell r="AU208">
            <v>2474.68925185116</v>
          </cell>
        </row>
        <row r="208">
          <cell r="AW208">
            <v>0.294</v>
          </cell>
        </row>
        <row r="208">
          <cell r="BN208">
            <v>404.7631462476</v>
          </cell>
          <cell r="BO208">
            <v>2474.68925185116</v>
          </cell>
        </row>
        <row r="208">
          <cell r="BQ208">
            <v>0.294</v>
          </cell>
        </row>
        <row r="208">
          <cell r="DM208">
            <v>374.2452899829</v>
          </cell>
          <cell r="DN208">
            <v>2337.07725854575</v>
          </cell>
        </row>
        <row r="208">
          <cell r="DP208">
            <v>0.258</v>
          </cell>
        </row>
        <row r="209">
          <cell r="H209">
            <v>48</v>
          </cell>
          <cell r="I209">
            <v>803.10148065</v>
          </cell>
        </row>
        <row r="209">
          <cell r="K209">
            <v>676.66776155</v>
          </cell>
        </row>
        <row r="209">
          <cell r="O209">
            <v>500</v>
          </cell>
          <cell r="P209">
            <v>6.65</v>
          </cell>
        </row>
        <row r="209">
          <cell r="S209">
            <v>500</v>
          </cell>
          <cell r="T209">
            <v>6.65</v>
          </cell>
        </row>
        <row r="209">
          <cell r="AA209">
            <v>5000</v>
          </cell>
        </row>
        <row r="209">
          <cell r="AC209">
            <v>5000</v>
          </cell>
        </row>
        <row r="209">
          <cell r="AJ209">
            <v>50</v>
          </cell>
        </row>
        <row r="209">
          <cell r="AL209">
            <v>843.2565546825</v>
          </cell>
        </row>
        <row r="209">
          <cell r="AQ209">
            <v>727.317196017259</v>
          </cell>
        </row>
        <row r="209">
          <cell r="AT209">
            <v>404.7631462476</v>
          </cell>
          <cell r="AU209">
            <v>483.665935351477</v>
          </cell>
        </row>
        <row r="209">
          <cell r="AW209">
            <v>0.294</v>
          </cell>
        </row>
        <row r="209">
          <cell r="BN209">
            <v>404.7631462476</v>
          </cell>
          <cell r="BO209">
            <v>483.665935351477</v>
          </cell>
        </row>
        <row r="209">
          <cell r="BQ209">
            <v>0.294</v>
          </cell>
        </row>
        <row r="209">
          <cell r="DM209">
            <v>374.2452899829</v>
          </cell>
          <cell r="DN209">
            <v>449.98406143075</v>
          </cell>
        </row>
        <row r="209">
          <cell r="DP209">
            <v>0.258</v>
          </cell>
        </row>
        <row r="210">
          <cell r="K210">
            <v>205</v>
          </cell>
        </row>
        <row r="210">
          <cell r="P210">
            <v>6.65</v>
          </cell>
        </row>
        <row r="210">
          <cell r="S210">
            <v>0</v>
          </cell>
          <cell r="T210">
            <v>6.65</v>
          </cell>
        </row>
        <row r="210">
          <cell r="AA210">
            <v>5000</v>
          </cell>
        </row>
        <row r="210">
          <cell r="AC210">
            <v>5000</v>
          </cell>
        </row>
        <row r="210">
          <cell r="AQ210">
            <v>220.344508273904</v>
          </cell>
        </row>
        <row r="210">
          <cell r="AT210">
            <v>0</v>
          </cell>
          <cell r="AU210">
            <v>146.529098002146</v>
          </cell>
        </row>
        <row r="210">
          <cell r="AW210">
            <v>0</v>
          </cell>
        </row>
        <row r="210">
          <cell r="BN210">
            <v>0</v>
          </cell>
          <cell r="BO210">
            <v>146.529098002146</v>
          </cell>
        </row>
        <row r="210">
          <cell r="BQ210">
            <v>0</v>
          </cell>
        </row>
        <row r="210">
          <cell r="DM210">
            <v>0</v>
          </cell>
          <cell r="DN210">
            <v>136.325</v>
          </cell>
        </row>
        <row r="210">
          <cell r="DP210">
            <v>0</v>
          </cell>
        </row>
        <row r="211">
          <cell r="K211">
            <v>318.18396505</v>
          </cell>
        </row>
        <row r="211">
          <cell r="P211">
            <v>7.3</v>
          </cell>
        </row>
        <row r="211">
          <cell r="S211">
            <v>0</v>
          </cell>
          <cell r="T211">
            <v>7.3</v>
          </cell>
        </row>
        <row r="211">
          <cell r="AA211">
            <v>5000</v>
          </cell>
        </row>
        <row r="211">
          <cell r="AC211">
            <v>5000</v>
          </cell>
        </row>
        <row r="211">
          <cell r="AQ211">
            <v>342.000435705284</v>
          </cell>
        </row>
        <row r="211">
          <cell r="AT211">
            <v>0</v>
          </cell>
          <cell r="AU211">
            <v>249.660318064858</v>
          </cell>
        </row>
        <row r="211">
          <cell r="AW211">
            <v>0</v>
          </cell>
        </row>
        <row r="211">
          <cell r="BN211">
            <v>0</v>
          </cell>
          <cell r="BO211">
            <v>249.660318064858</v>
          </cell>
        </row>
        <row r="211">
          <cell r="BQ211">
            <v>0</v>
          </cell>
        </row>
        <row r="211">
          <cell r="DM211">
            <v>0</v>
          </cell>
          <cell r="DN211">
            <v>232.2742944865</v>
          </cell>
        </row>
        <row r="211">
          <cell r="DP211">
            <v>0</v>
          </cell>
        </row>
        <row r="212">
          <cell r="K212">
            <v>0</v>
          </cell>
        </row>
        <row r="212">
          <cell r="O212">
            <v>500</v>
          </cell>
          <cell r="P212">
            <v>7.7</v>
          </cell>
        </row>
        <row r="212">
          <cell r="S212">
            <v>500</v>
          </cell>
          <cell r="T212">
            <v>7.7</v>
          </cell>
        </row>
        <row r="212">
          <cell r="AA212">
            <v>5000</v>
          </cell>
        </row>
        <row r="212">
          <cell r="AC212">
            <v>5000</v>
          </cell>
        </row>
        <row r="212">
          <cell r="AT212">
            <v>0</v>
          </cell>
          <cell r="AU212">
            <v>0</v>
          </cell>
        </row>
        <row r="212">
          <cell r="AW212">
            <v>0</v>
          </cell>
        </row>
        <row r="212">
          <cell r="BN212">
            <v>0</v>
          </cell>
          <cell r="BO212">
            <v>0</v>
          </cell>
        </row>
        <row r="212">
          <cell r="BQ212">
            <v>0</v>
          </cell>
        </row>
        <row r="212">
          <cell r="DM212">
            <v>0</v>
          </cell>
          <cell r="DN212">
            <v>0</v>
          </cell>
        </row>
        <row r="212">
          <cell r="DP212">
            <v>0</v>
          </cell>
        </row>
        <row r="213">
          <cell r="K213">
            <v>545.4116895</v>
          </cell>
        </row>
        <row r="213">
          <cell r="P213">
            <v>7.65</v>
          </cell>
        </row>
        <row r="213">
          <cell r="S213">
            <v>0</v>
          </cell>
          <cell r="T213">
            <v>7.65</v>
          </cell>
        </row>
        <row r="213">
          <cell r="AA213">
            <v>5000</v>
          </cell>
        </row>
        <row r="213">
          <cell r="AC213">
            <v>5000</v>
          </cell>
        </row>
        <row r="213">
          <cell r="AQ213">
            <v>586.236441608374</v>
          </cell>
        </row>
        <row r="213">
          <cell r="AT213">
            <v>0</v>
          </cell>
          <cell r="AU213">
            <v>448.470877830406</v>
          </cell>
        </row>
        <row r="213">
          <cell r="AW213">
            <v>0</v>
          </cell>
        </row>
        <row r="213">
          <cell r="BN213">
            <v>0</v>
          </cell>
          <cell r="BO213">
            <v>448.470877830406</v>
          </cell>
        </row>
        <row r="213">
          <cell r="BQ213">
            <v>0</v>
          </cell>
        </row>
        <row r="213">
          <cell r="DM213">
            <v>0</v>
          </cell>
          <cell r="DN213">
            <v>417.2399424675</v>
          </cell>
        </row>
        <row r="213">
          <cell r="DP213">
            <v>0</v>
          </cell>
        </row>
        <row r="214">
          <cell r="K214">
            <v>578.83123525</v>
          </cell>
        </row>
        <row r="214">
          <cell r="P214">
            <v>7.65</v>
          </cell>
        </row>
        <row r="214">
          <cell r="S214">
            <v>0</v>
          </cell>
          <cell r="T214">
            <v>7.65</v>
          </cell>
        </row>
        <row r="214">
          <cell r="AA214">
            <v>5000</v>
          </cell>
        </row>
        <row r="214">
          <cell r="AC214">
            <v>5000</v>
          </cell>
        </row>
        <row r="214">
          <cell r="AQ214">
            <v>622.157482462135</v>
          </cell>
        </row>
        <row r="214">
          <cell r="AT214">
            <v>0</v>
          </cell>
          <cell r="AU214">
            <v>475.950474083533</v>
          </cell>
        </row>
        <row r="214">
          <cell r="AW214">
            <v>0</v>
          </cell>
        </row>
        <row r="214">
          <cell r="BN214">
            <v>0</v>
          </cell>
          <cell r="BO214">
            <v>475.950474083533</v>
          </cell>
        </row>
        <row r="214">
          <cell r="BQ214">
            <v>0</v>
          </cell>
        </row>
        <row r="214">
          <cell r="DM214">
            <v>0</v>
          </cell>
          <cell r="DN214">
            <v>442.80589496625</v>
          </cell>
        </row>
        <row r="214">
          <cell r="DP214">
            <v>0</v>
          </cell>
        </row>
        <row r="215">
          <cell r="K215">
            <v>1211.11821465</v>
          </cell>
        </row>
        <row r="215">
          <cell r="P215">
            <v>5.15</v>
          </cell>
        </row>
        <row r="215">
          <cell r="S215">
            <v>0</v>
          </cell>
          <cell r="T215">
            <v>5.15</v>
          </cell>
        </row>
        <row r="215">
          <cell r="AA215">
            <v>5000</v>
          </cell>
        </row>
        <row r="215">
          <cell r="AC215">
            <v>5000</v>
          </cell>
        </row>
        <row r="215">
          <cell r="AQ215">
            <v>1301.77193887133</v>
          </cell>
        </row>
        <row r="215">
          <cell r="AT215">
            <v>0</v>
          </cell>
          <cell r="AU215">
            <v>670.412548518735</v>
          </cell>
        </row>
        <row r="215">
          <cell r="AW215">
            <v>0</v>
          </cell>
        </row>
        <row r="215">
          <cell r="BN215">
            <v>0</v>
          </cell>
          <cell r="BO215">
            <v>670.412548518735</v>
          </cell>
        </row>
        <row r="215">
          <cell r="BQ215">
            <v>0</v>
          </cell>
        </row>
        <row r="215">
          <cell r="DM215">
            <v>0</v>
          </cell>
          <cell r="DN215">
            <v>658.44806519475</v>
          </cell>
        </row>
        <row r="215">
          <cell r="DP215">
            <v>0</v>
          </cell>
        </row>
        <row r="216">
          <cell r="H216">
            <v>0</v>
          </cell>
        </row>
        <row r="216">
          <cell r="K216">
            <v>149.934735</v>
          </cell>
        </row>
        <row r="216">
          <cell r="O216">
            <v>500</v>
          </cell>
          <cell r="P216">
            <v>6.65</v>
          </cell>
        </row>
        <row r="216">
          <cell r="S216">
            <v>500</v>
          </cell>
          <cell r="T216">
            <v>6.65</v>
          </cell>
        </row>
        <row r="216">
          <cell r="AA216">
            <v>5000</v>
          </cell>
        </row>
        <row r="216">
          <cell r="AC216">
            <v>5000</v>
          </cell>
        </row>
        <row r="216">
          <cell r="AJ216">
            <v>0</v>
          </cell>
        </row>
        <row r="216">
          <cell r="AL216">
            <v>0</v>
          </cell>
        </row>
        <row r="216">
          <cell r="AQ216">
            <v>152.9334297</v>
          </cell>
        </row>
        <row r="216">
          <cell r="AT216">
            <v>0</v>
          </cell>
          <cell r="AU216">
            <v>101.7007307505</v>
          </cell>
        </row>
        <row r="216">
          <cell r="AW216">
            <v>0</v>
          </cell>
        </row>
        <row r="216">
          <cell r="BN216">
            <v>0</v>
          </cell>
          <cell r="BO216">
            <v>101.7007307505</v>
          </cell>
        </row>
        <row r="216">
          <cell r="BQ216">
            <v>0</v>
          </cell>
        </row>
        <row r="216">
          <cell r="DM216">
            <v>0</v>
          </cell>
          <cell r="DN216">
            <v>99.706598775</v>
          </cell>
        </row>
        <row r="216">
          <cell r="DP216">
            <v>0.006</v>
          </cell>
        </row>
        <row r="217">
          <cell r="H217">
            <v>0</v>
          </cell>
          <cell r="I217">
            <v>0</v>
          </cell>
        </row>
        <row r="217">
          <cell r="K217">
            <v>1181.25414434221</v>
          </cell>
        </row>
        <row r="217">
          <cell r="AC217">
            <v>20000</v>
          </cell>
        </row>
        <row r="217">
          <cell r="AJ217">
            <v>0</v>
          </cell>
        </row>
        <row r="217">
          <cell r="AL217">
            <v>0</v>
          </cell>
        </row>
        <row r="217">
          <cell r="AQ217">
            <v>1202.64701559553</v>
          </cell>
        </row>
        <row r="217">
          <cell r="AT217">
            <v>0</v>
          </cell>
          <cell r="AU217">
            <v>779.577204085123</v>
          </cell>
        </row>
        <row r="217">
          <cell r="AW217">
            <v>0</v>
          </cell>
        </row>
        <row r="217">
          <cell r="BN217">
            <v>0</v>
          </cell>
          <cell r="BO217">
            <v>779.577204085123</v>
          </cell>
        </row>
        <row r="217">
          <cell r="BQ217">
            <v>0</v>
          </cell>
        </row>
        <row r="217">
          <cell r="DM217">
            <v>0</v>
          </cell>
          <cell r="DN217">
            <v>777.282395082533</v>
          </cell>
        </row>
        <row r="217">
          <cell r="DP217">
            <v>0.018</v>
          </cell>
        </row>
        <row r="218">
          <cell r="H218">
            <v>0</v>
          </cell>
        </row>
        <row r="218">
          <cell r="K218">
            <v>388.450694465199</v>
          </cell>
        </row>
        <row r="218">
          <cell r="O218">
            <v>500</v>
          </cell>
          <cell r="P218">
            <v>6.65</v>
          </cell>
        </row>
        <row r="218">
          <cell r="S218">
            <v>500</v>
          </cell>
          <cell r="T218">
            <v>6.65</v>
          </cell>
        </row>
        <row r="218">
          <cell r="AA218">
            <v>5000</v>
          </cell>
        </row>
        <row r="218">
          <cell r="AC218">
            <v>5000</v>
          </cell>
        </row>
        <row r="218">
          <cell r="AJ218">
            <v>0</v>
          </cell>
        </row>
        <row r="218">
          <cell r="AL218">
            <v>0</v>
          </cell>
        </row>
        <row r="218">
          <cell r="AQ218">
            <v>395.485654498784</v>
          </cell>
        </row>
        <row r="218">
          <cell r="AT218">
            <v>0</v>
          </cell>
          <cell r="AU218">
            <v>262.997960241691</v>
          </cell>
        </row>
        <row r="218">
          <cell r="AW218">
            <v>0</v>
          </cell>
        </row>
        <row r="218">
          <cell r="BN218">
            <v>0</v>
          </cell>
          <cell r="BO218">
            <v>262.997960241691</v>
          </cell>
        </row>
        <row r="218">
          <cell r="BQ218">
            <v>0</v>
          </cell>
        </row>
        <row r="218">
          <cell r="DM218">
            <v>0</v>
          </cell>
          <cell r="DN218">
            <v>258.319711819358</v>
          </cell>
        </row>
        <row r="218">
          <cell r="DP218">
            <v>0.018</v>
          </cell>
        </row>
        <row r="219">
          <cell r="K219">
            <v>199.648192971762</v>
          </cell>
        </row>
        <row r="219">
          <cell r="P219">
            <v>7.65</v>
          </cell>
        </row>
        <row r="219">
          <cell r="S219">
            <v>0</v>
          </cell>
          <cell r="T219">
            <v>7.65</v>
          </cell>
        </row>
        <row r="219">
          <cell r="AA219">
            <v>5000</v>
          </cell>
        </row>
        <row r="219">
          <cell r="AC219">
            <v>5000</v>
          </cell>
        </row>
        <row r="219">
          <cell r="AQ219">
            <v>203.26388237159</v>
          </cell>
        </row>
        <row r="219">
          <cell r="AT219">
            <v>0</v>
          </cell>
          <cell r="AU219">
            <v>155.496870014266</v>
          </cell>
        </row>
        <row r="219">
          <cell r="AW219">
            <v>0</v>
          </cell>
        </row>
        <row r="219">
          <cell r="BN219">
            <v>0</v>
          </cell>
          <cell r="BO219">
            <v>155.496870014266</v>
          </cell>
        </row>
        <row r="219">
          <cell r="BQ219">
            <v>0</v>
          </cell>
        </row>
        <row r="219">
          <cell r="DM219">
            <v>0</v>
          </cell>
          <cell r="DN219">
            <v>152.730867623398</v>
          </cell>
        </row>
        <row r="219">
          <cell r="DP219">
            <v>0</v>
          </cell>
        </row>
        <row r="220">
          <cell r="K220">
            <v>196.7377094828</v>
          </cell>
        </row>
        <row r="220">
          <cell r="P220">
            <v>7.65</v>
          </cell>
        </row>
        <row r="220">
          <cell r="S220">
            <v>0</v>
          </cell>
          <cell r="T220">
            <v>7.65</v>
          </cell>
        </row>
        <row r="220">
          <cell r="AA220">
            <v>5000</v>
          </cell>
        </row>
        <row r="220">
          <cell r="AC220">
            <v>5000</v>
          </cell>
        </row>
        <row r="220">
          <cell r="AQ220">
            <v>200.300689142847</v>
          </cell>
        </row>
        <row r="220">
          <cell r="AT220">
            <v>0</v>
          </cell>
          <cell r="AU220">
            <v>153.230027194278</v>
          </cell>
        </row>
        <row r="220">
          <cell r="AW220">
            <v>0</v>
          </cell>
        </row>
        <row r="220">
          <cell r="BN220">
            <v>0</v>
          </cell>
          <cell r="BO220">
            <v>153.230027194278</v>
          </cell>
        </row>
        <row r="220">
          <cell r="BQ220">
            <v>0</v>
          </cell>
        </row>
        <row r="220">
          <cell r="DM220">
            <v>0</v>
          </cell>
          <cell r="DN220">
            <v>150.504347754342</v>
          </cell>
        </row>
        <row r="220">
          <cell r="DP220">
            <v>0</v>
          </cell>
        </row>
        <row r="221">
          <cell r="K221">
            <v>396.417547422454</v>
          </cell>
        </row>
        <row r="221">
          <cell r="P221">
            <v>5.15</v>
          </cell>
        </row>
        <row r="221">
          <cell r="S221">
            <v>0</v>
          </cell>
          <cell r="T221">
            <v>5.15</v>
          </cell>
        </row>
        <row r="221">
          <cell r="AA221">
            <v>5000</v>
          </cell>
        </row>
        <row r="221">
          <cell r="AC221">
            <v>5000</v>
          </cell>
        </row>
        <row r="221">
          <cell r="AQ221">
            <v>403.596789582306</v>
          </cell>
        </row>
        <row r="221">
          <cell r="AT221">
            <v>0</v>
          </cell>
          <cell r="AU221">
            <v>207.852346634888</v>
          </cell>
        </row>
        <row r="221">
          <cell r="AW221">
            <v>0</v>
          </cell>
        </row>
        <row r="221">
          <cell r="BN221">
            <v>0</v>
          </cell>
          <cell r="BO221">
            <v>207.852346634888</v>
          </cell>
        </row>
        <row r="221">
          <cell r="BQ221">
            <v>0</v>
          </cell>
        </row>
        <row r="221">
          <cell r="DM221">
            <v>0</v>
          </cell>
          <cell r="DN221">
            <v>215.727467885435</v>
          </cell>
        </row>
        <row r="221">
          <cell r="DP221">
            <v>0</v>
          </cell>
        </row>
        <row r="222">
          <cell r="H222">
            <v>9</v>
          </cell>
          <cell r="I222">
            <v>88.6172839965</v>
          </cell>
        </row>
        <row r="222">
          <cell r="K222">
            <v>202.610551505612</v>
          </cell>
        </row>
        <row r="222">
          <cell r="AC222">
            <v>0</v>
          </cell>
        </row>
        <row r="222">
          <cell r="AJ222">
            <v>10</v>
          </cell>
        </row>
        <row r="222">
          <cell r="AL222">
            <v>90.38962967643</v>
          </cell>
        </row>
        <row r="222">
          <cell r="AQ222">
            <v>345.646916498293</v>
          </cell>
        </row>
        <row r="222">
          <cell r="AT222">
            <v>43.3870222446864</v>
          </cell>
          <cell r="AU222">
            <v>266.024650087319</v>
          </cell>
        </row>
        <row r="222">
          <cell r="AW222">
            <v>0.057</v>
          </cell>
        </row>
        <row r="222">
          <cell r="BN222">
            <v>43.3870222446864</v>
          </cell>
          <cell r="BO222">
            <v>266.024650087319</v>
          </cell>
        </row>
        <row r="222">
          <cell r="BQ222">
            <v>0.057</v>
          </cell>
        </row>
        <row r="222">
          <cell r="DM222">
            <v>41.295654342369</v>
          </cell>
          <cell r="DN222">
            <v>157.654462813162</v>
          </cell>
        </row>
        <row r="222">
          <cell r="DP222">
            <v>0.045</v>
          </cell>
        </row>
        <row r="223">
          <cell r="H223">
            <v>9</v>
          </cell>
          <cell r="I223">
            <v>88.6172839965</v>
          </cell>
        </row>
        <row r="223">
          <cell r="K223">
            <v>81.6030423324876</v>
          </cell>
        </row>
        <row r="223">
          <cell r="O223">
            <v>500</v>
          </cell>
          <cell r="P223">
            <v>7.8</v>
          </cell>
        </row>
        <row r="223">
          <cell r="S223">
            <v>500</v>
          </cell>
          <cell r="T223">
            <v>7.8</v>
          </cell>
        </row>
        <row r="223">
          <cell r="AA223">
            <v>5000</v>
          </cell>
        </row>
        <row r="223">
          <cell r="AC223">
            <v>5000</v>
          </cell>
        </row>
        <row r="223">
          <cell r="AJ223">
            <v>10</v>
          </cell>
        </row>
        <row r="223">
          <cell r="AL223">
            <v>90.38962967643</v>
          </cell>
        </row>
        <row r="223">
          <cell r="AQ223">
            <v>139.212098034898</v>
          </cell>
        </row>
        <row r="223">
          <cell r="AT223">
            <v>43.3870222446864</v>
          </cell>
          <cell r="AU223">
            <v>108.58543646722</v>
          </cell>
        </row>
        <row r="223">
          <cell r="AW223">
            <v>0.057</v>
          </cell>
        </row>
        <row r="223">
          <cell r="BN223">
            <v>43.3870222446864</v>
          </cell>
          <cell r="BO223">
            <v>108.58543646722</v>
          </cell>
        </row>
        <row r="223">
          <cell r="BQ223">
            <v>0.057</v>
          </cell>
        </row>
        <row r="223">
          <cell r="DM223">
            <v>41.295654342369</v>
          </cell>
          <cell r="DN223">
            <v>63.6503730193403</v>
          </cell>
        </row>
        <row r="223">
          <cell r="DP223">
            <v>0.045</v>
          </cell>
        </row>
        <row r="224">
          <cell r="K224">
            <v>31.8705442945185</v>
          </cell>
        </row>
        <row r="224">
          <cell r="P224">
            <v>8.8</v>
          </cell>
        </row>
        <row r="224">
          <cell r="S224">
            <v>0</v>
          </cell>
          <cell r="T224">
            <v>8.8</v>
          </cell>
        </row>
        <row r="224">
          <cell r="AA224">
            <v>5000</v>
          </cell>
        </row>
        <row r="224">
          <cell r="AC224">
            <v>5000</v>
          </cell>
        </row>
        <row r="224">
          <cell r="AQ224">
            <v>54.3700971181525</v>
          </cell>
        </row>
        <row r="224">
          <cell r="AT224">
            <v>0</v>
          </cell>
          <cell r="AU224">
            <v>47.8456854639742</v>
          </cell>
        </row>
        <row r="224">
          <cell r="AW224">
            <v>0</v>
          </cell>
        </row>
        <row r="224">
          <cell r="BN224">
            <v>0</v>
          </cell>
          <cell r="BO224">
            <v>47.8456854639742</v>
          </cell>
        </row>
        <row r="224">
          <cell r="BQ224">
            <v>0</v>
          </cell>
        </row>
        <row r="224">
          <cell r="DM224">
            <v>0</v>
          </cell>
          <cell r="DN224">
            <v>28.0460789791763</v>
          </cell>
        </row>
        <row r="224">
          <cell r="DP224">
            <v>0</v>
          </cell>
        </row>
        <row r="225">
          <cell r="K225">
            <v>32.3400244850589</v>
          </cell>
        </row>
        <row r="225">
          <cell r="P225">
            <v>8.8</v>
          </cell>
        </row>
        <row r="225">
          <cell r="S225">
            <v>0</v>
          </cell>
          <cell r="T225">
            <v>8.8</v>
          </cell>
        </row>
        <row r="225">
          <cell r="AA225">
            <v>5000</v>
          </cell>
        </row>
        <row r="225">
          <cell r="AC225">
            <v>5000</v>
          </cell>
        </row>
        <row r="225">
          <cell r="AQ225">
            <v>55.171014834488</v>
          </cell>
        </row>
        <row r="225">
          <cell r="AT225">
            <v>0</v>
          </cell>
          <cell r="AU225">
            <v>48.5504930543494</v>
          </cell>
        </row>
        <row r="225">
          <cell r="AW225">
            <v>0</v>
          </cell>
        </row>
        <row r="225">
          <cell r="BN225">
            <v>0</v>
          </cell>
          <cell r="BO225">
            <v>48.5504930543494</v>
          </cell>
        </row>
        <row r="225">
          <cell r="BQ225">
            <v>0</v>
          </cell>
        </row>
        <row r="225">
          <cell r="DM225">
            <v>0</v>
          </cell>
          <cell r="DN225">
            <v>28.4592215468519</v>
          </cell>
        </row>
        <row r="225">
          <cell r="DP225">
            <v>0</v>
          </cell>
        </row>
        <row r="226">
          <cell r="K226">
            <v>56.7969403935472</v>
          </cell>
        </row>
        <row r="226">
          <cell r="P226">
            <v>6.3</v>
          </cell>
        </row>
        <row r="226">
          <cell r="S226">
            <v>0</v>
          </cell>
          <cell r="T226">
            <v>6.3</v>
          </cell>
        </row>
        <row r="226">
          <cell r="AA226">
            <v>5000</v>
          </cell>
        </row>
        <row r="226">
          <cell r="AC226">
            <v>5000</v>
          </cell>
        </row>
        <row r="226">
          <cell r="AQ226">
            <v>96.8937065107546</v>
          </cell>
        </row>
        <row r="226">
          <cell r="AT226">
            <v>0</v>
          </cell>
          <cell r="AU226">
            <v>61.0430351017754</v>
          </cell>
        </row>
        <row r="226">
          <cell r="AW226">
            <v>0</v>
          </cell>
        </row>
        <row r="226">
          <cell r="BN226">
            <v>0</v>
          </cell>
          <cell r="BO226">
            <v>61.0430351017754</v>
          </cell>
        </row>
        <row r="226">
          <cell r="BQ226">
            <v>0</v>
          </cell>
        </row>
        <row r="226">
          <cell r="DM226">
            <v>0</v>
          </cell>
          <cell r="DN226">
            <v>37.4987892677936</v>
          </cell>
        </row>
        <row r="226">
          <cell r="DP226">
            <v>0</v>
          </cell>
        </row>
        <row r="227">
          <cell r="H227">
            <v>0</v>
          </cell>
          <cell r="I227">
            <v>0</v>
          </cell>
        </row>
        <row r="227">
          <cell r="K227">
            <v>0</v>
          </cell>
        </row>
        <row r="227">
          <cell r="S227">
            <v>0</v>
          </cell>
          <cell r="T227">
            <v>0</v>
          </cell>
        </row>
        <row r="227">
          <cell r="AC227">
            <v>0</v>
          </cell>
        </row>
        <row r="227">
          <cell r="AJ227">
            <v>0</v>
          </cell>
        </row>
        <row r="227">
          <cell r="AL227">
            <v>0</v>
          </cell>
        </row>
        <row r="227">
          <cell r="AQ227">
            <v>0</v>
          </cell>
        </row>
        <row r="227">
          <cell r="AT227">
            <v>0</v>
          </cell>
          <cell r="AU227">
            <v>0</v>
          </cell>
        </row>
        <row r="227">
          <cell r="AW227">
            <v>0</v>
          </cell>
        </row>
        <row r="227">
          <cell r="BN227">
            <v>0</v>
          </cell>
          <cell r="BO227">
            <v>0</v>
          </cell>
        </row>
        <row r="227">
          <cell r="BQ227">
            <v>0</v>
          </cell>
        </row>
        <row r="227">
          <cell r="DM227">
            <v>0</v>
          </cell>
          <cell r="DN227">
            <v>0</v>
          </cell>
        </row>
        <row r="227">
          <cell r="DP227">
            <v>0</v>
          </cell>
        </row>
        <row r="228">
          <cell r="H228">
            <v>0</v>
          </cell>
        </row>
        <row r="228">
          <cell r="K228">
            <v>0</v>
          </cell>
        </row>
        <row r="228">
          <cell r="O228">
            <v>285</v>
          </cell>
          <cell r="P228">
            <v>5</v>
          </cell>
        </row>
        <row r="228">
          <cell r="S228">
            <v>285</v>
          </cell>
          <cell r="T228">
            <v>5</v>
          </cell>
        </row>
        <row r="228">
          <cell r="AA228">
            <v>5000</v>
          </cell>
        </row>
        <row r="228">
          <cell r="AC228">
            <v>5000</v>
          </cell>
        </row>
        <row r="228">
          <cell r="AJ228">
            <v>0</v>
          </cell>
        </row>
        <row r="228">
          <cell r="AL228">
            <v>0</v>
          </cell>
        </row>
        <row r="228">
          <cell r="AQ228">
            <v>0</v>
          </cell>
        </row>
        <row r="228">
          <cell r="AT228">
            <v>0</v>
          </cell>
          <cell r="AU228">
            <v>0</v>
          </cell>
        </row>
        <row r="228">
          <cell r="AW228">
            <v>0</v>
          </cell>
        </row>
        <row r="228">
          <cell r="BN228">
            <v>0</v>
          </cell>
          <cell r="BO228">
            <v>0</v>
          </cell>
        </row>
        <row r="228">
          <cell r="BQ228">
            <v>0</v>
          </cell>
        </row>
        <row r="228">
          <cell r="DM228">
            <v>0</v>
          </cell>
          <cell r="DN228">
            <v>0</v>
          </cell>
        </row>
        <row r="228">
          <cell r="DP228">
            <v>0</v>
          </cell>
        </row>
        <row r="229">
          <cell r="K229">
            <v>0</v>
          </cell>
        </row>
        <row r="229">
          <cell r="P229">
            <v>6</v>
          </cell>
        </row>
        <row r="229">
          <cell r="S229">
            <v>0</v>
          </cell>
          <cell r="T229">
            <v>6</v>
          </cell>
        </row>
        <row r="229">
          <cell r="AA229">
            <v>5000</v>
          </cell>
        </row>
        <row r="229">
          <cell r="AC229">
            <v>5000</v>
          </cell>
        </row>
        <row r="229">
          <cell r="AQ229">
            <v>0</v>
          </cell>
        </row>
        <row r="229">
          <cell r="AT229">
            <v>0</v>
          </cell>
          <cell r="AU229">
            <v>0</v>
          </cell>
        </row>
        <row r="229">
          <cell r="AW229">
            <v>0</v>
          </cell>
        </row>
        <row r="229">
          <cell r="BN229">
            <v>0</v>
          </cell>
          <cell r="BO229">
            <v>0</v>
          </cell>
        </row>
        <row r="229">
          <cell r="BQ229">
            <v>0</v>
          </cell>
        </row>
        <row r="229">
          <cell r="DM229">
            <v>0</v>
          </cell>
          <cell r="DN229">
            <v>0</v>
          </cell>
        </row>
        <row r="229">
          <cell r="DP229">
            <v>0</v>
          </cell>
        </row>
        <row r="230">
          <cell r="K230">
            <v>0</v>
          </cell>
        </row>
        <row r="230">
          <cell r="P230">
            <v>6</v>
          </cell>
        </row>
        <row r="230">
          <cell r="S230">
            <v>0</v>
          </cell>
          <cell r="T230">
            <v>6</v>
          </cell>
        </row>
        <row r="230">
          <cell r="AA230">
            <v>5000</v>
          </cell>
        </row>
        <row r="230">
          <cell r="AC230">
            <v>5000</v>
          </cell>
        </row>
        <row r="230">
          <cell r="AQ230">
            <v>0</v>
          </cell>
        </row>
        <row r="230">
          <cell r="AT230">
            <v>0</v>
          </cell>
          <cell r="AU230">
            <v>0</v>
          </cell>
        </row>
        <row r="230">
          <cell r="AW230">
            <v>0</v>
          </cell>
        </row>
        <row r="230">
          <cell r="BN230">
            <v>0</v>
          </cell>
          <cell r="BO230">
            <v>0</v>
          </cell>
        </row>
        <row r="230">
          <cell r="BQ230">
            <v>0</v>
          </cell>
        </row>
        <row r="230">
          <cell r="DM230">
            <v>0</v>
          </cell>
          <cell r="DN230">
            <v>0</v>
          </cell>
        </row>
        <row r="230">
          <cell r="DP230">
            <v>0</v>
          </cell>
        </row>
        <row r="231">
          <cell r="K231">
            <v>0</v>
          </cell>
        </row>
        <row r="231">
          <cell r="P231">
            <v>3.5</v>
          </cell>
        </row>
        <row r="231">
          <cell r="S231">
            <v>0</v>
          </cell>
          <cell r="T231">
            <v>3.5</v>
          </cell>
        </row>
        <row r="231">
          <cell r="AA231">
            <v>5000</v>
          </cell>
        </row>
        <row r="231">
          <cell r="AC231">
            <v>5000</v>
          </cell>
        </row>
        <row r="231">
          <cell r="AQ231">
            <v>0</v>
          </cell>
        </row>
        <row r="231">
          <cell r="AT231">
            <v>0</v>
          </cell>
          <cell r="AU231">
            <v>0</v>
          </cell>
        </row>
        <row r="231">
          <cell r="AW231">
            <v>0</v>
          </cell>
        </row>
        <row r="231">
          <cell r="BN231">
            <v>0</v>
          </cell>
          <cell r="BO231">
            <v>0</v>
          </cell>
        </row>
        <row r="231">
          <cell r="BQ231">
            <v>0</v>
          </cell>
        </row>
        <row r="231">
          <cell r="DM231">
            <v>0</v>
          </cell>
          <cell r="DN231">
            <v>0</v>
          </cell>
        </row>
        <row r="231">
          <cell r="DP231">
            <v>0</v>
          </cell>
        </row>
        <row r="232">
          <cell r="H232">
            <v>1</v>
          </cell>
          <cell r="I232">
            <v>17.9828059760959</v>
          </cell>
        </row>
        <row r="232">
          <cell r="K232">
            <v>109.964613322014</v>
          </cell>
        </row>
        <row r="232">
          <cell r="AC232">
            <v>0</v>
          </cell>
        </row>
        <row r="232">
          <cell r="AJ232">
            <v>1</v>
          </cell>
        </row>
        <row r="232">
          <cell r="AL232">
            <v>18.9766627999478</v>
          </cell>
        </row>
        <row r="232">
          <cell r="AQ232">
            <v>133.669346242745</v>
          </cell>
        </row>
        <row r="232">
          <cell r="AT232">
            <v>9.10879814397494</v>
          </cell>
          <cell r="AU232">
            <v>97.0957702967231</v>
          </cell>
        </row>
        <row r="232">
          <cell r="AW232">
            <v>0.006</v>
          </cell>
        </row>
        <row r="232">
          <cell r="BN232">
            <v>9.10879814397494</v>
          </cell>
          <cell r="BO232">
            <v>97.0957702967231</v>
          </cell>
        </row>
        <row r="232">
          <cell r="BQ232">
            <v>0.006</v>
          </cell>
        </row>
        <row r="232">
          <cell r="DM232">
            <v>8.37998758486069</v>
          </cell>
          <cell r="DN232">
            <v>81.0592929091474</v>
          </cell>
        </row>
        <row r="232">
          <cell r="DP232">
            <v>0.006</v>
          </cell>
        </row>
        <row r="233">
          <cell r="H233">
            <v>1</v>
          </cell>
          <cell r="I233">
            <v>17.9828059760959</v>
          </cell>
        </row>
        <row r="233">
          <cell r="K233">
            <v>31.8450581750821</v>
          </cell>
        </row>
        <row r="233">
          <cell r="O233">
            <v>500</v>
          </cell>
          <cell r="P233">
            <v>7.45</v>
          </cell>
        </row>
        <row r="233">
          <cell r="S233">
            <v>500</v>
          </cell>
          <cell r="T233">
            <v>7.45</v>
          </cell>
        </row>
        <row r="233">
          <cell r="AA233">
            <v>5000</v>
          </cell>
        </row>
        <row r="233">
          <cell r="AC233">
            <v>5000</v>
          </cell>
        </row>
        <row r="233">
          <cell r="AJ233">
            <v>1</v>
          </cell>
        </row>
        <row r="233">
          <cell r="AL233">
            <v>18.9766627999478</v>
          </cell>
        </row>
        <row r="233">
          <cell r="AQ233">
            <v>38.7097992593339</v>
          </cell>
        </row>
        <row r="233">
          <cell r="AT233">
            <v>9.10879814397494</v>
          </cell>
          <cell r="AU233">
            <v>28.8388004482037</v>
          </cell>
        </row>
        <row r="233">
          <cell r="AW233">
            <v>0.006</v>
          </cell>
        </row>
        <row r="233">
          <cell r="BN233">
            <v>9.10879814397494</v>
          </cell>
          <cell r="BO233">
            <v>28.8388004482037</v>
          </cell>
        </row>
        <row r="233">
          <cell r="BQ233">
            <v>0.006</v>
          </cell>
        </row>
        <row r="233">
          <cell r="DM233">
            <v>8.37998758486069</v>
          </cell>
          <cell r="DN233">
            <v>23.7245683404362</v>
          </cell>
        </row>
        <row r="233">
          <cell r="DP233">
            <v>0.006</v>
          </cell>
        </row>
        <row r="234">
          <cell r="K234">
            <v>19.6705959035749</v>
          </cell>
        </row>
        <row r="234">
          <cell r="P234">
            <v>8.45</v>
          </cell>
        </row>
        <row r="234">
          <cell r="S234">
            <v>0</v>
          </cell>
          <cell r="T234">
            <v>8.45</v>
          </cell>
        </row>
        <row r="234">
          <cell r="AA234">
            <v>5000</v>
          </cell>
        </row>
        <row r="234">
          <cell r="AC234">
            <v>5000</v>
          </cell>
        </row>
        <row r="234">
          <cell r="AQ234">
            <v>23.9109256623896</v>
          </cell>
        </row>
        <row r="234">
          <cell r="AT234">
            <v>0</v>
          </cell>
          <cell r="AU234">
            <v>20.2047321847192</v>
          </cell>
        </row>
        <row r="234">
          <cell r="AW234">
            <v>0</v>
          </cell>
        </row>
        <row r="234">
          <cell r="BN234">
            <v>0</v>
          </cell>
          <cell r="BO234">
            <v>20.2047321847192</v>
          </cell>
        </row>
        <row r="234">
          <cell r="BQ234">
            <v>0</v>
          </cell>
        </row>
        <row r="234">
          <cell r="DM234">
            <v>0</v>
          </cell>
          <cell r="DN234">
            <v>16.6216535385208</v>
          </cell>
        </row>
        <row r="234">
          <cell r="DP234">
            <v>0</v>
          </cell>
        </row>
        <row r="235">
          <cell r="K235">
            <v>19.0143640346531</v>
          </cell>
        </row>
        <row r="235">
          <cell r="P235">
            <v>8.45</v>
          </cell>
        </row>
        <row r="235">
          <cell r="S235">
            <v>0</v>
          </cell>
          <cell r="T235">
            <v>8.45</v>
          </cell>
        </row>
        <row r="235">
          <cell r="AA235">
            <v>5000</v>
          </cell>
        </row>
        <row r="235">
          <cell r="AC235">
            <v>5000</v>
          </cell>
        </row>
        <row r="235">
          <cell r="AQ235">
            <v>23.1132319111684</v>
          </cell>
        </row>
        <row r="235">
          <cell r="AT235">
            <v>0</v>
          </cell>
          <cell r="AU235">
            <v>19.5306809649373</v>
          </cell>
        </row>
        <row r="235">
          <cell r="AW235">
            <v>0</v>
          </cell>
        </row>
        <row r="235">
          <cell r="BN235">
            <v>0</v>
          </cell>
          <cell r="BO235">
            <v>19.5306809649373</v>
          </cell>
        </row>
        <row r="235">
          <cell r="BQ235">
            <v>0</v>
          </cell>
        </row>
        <row r="235">
          <cell r="DM235">
            <v>0</v>
          </cell>
          <cell r="DN235">
            <v>16.0671376092819</v>
          </cell>
        </row>
        <row r="235">
          <cell r="DP235">
            <v>0</v>
          </cell>
        </row>
        <row r="236">
          <cell r="K236">
            <v>39.4345952087034</v>
          </cell>
        </row>
        <row r="236">
          <cell r="P236">
            <v>5.95</v>
          </cell>
        </row>
        <row r="236">
          <cell r="S236">
            <v>0</v>
          </cell>
          <cell r="T236">
            <v>5.95</v>
          </cell>
        </row>
        <row r="236">
          <cell r="AA236">
            <v>5000</v>
          </cell>
        </row>
        <row r="236">
          <cell r="AC236">
            <v>5000</v>
          </cell>
        </row>
        <row r="236">
          <cell r="AQ236">
            <v>47.9353894098535</v>
          </cell>
        </row>
        <row r="236">
          <cell r="AT236">
            <v>0</v>
          </cell>
          <cell r="AU236">
            <v>28.5215566988629</v>
          </cell>
        </row>
        <row r="236">
          <cell r="AW236">
            <v>0</v>
          </cell>
        </row>
        <row r="236">
          <cell r="BN236">
            <v>0</v>
          </cell>
          <cell r="BO236">
            <v>28.5215566988629</v>
          </cell>
        </row>
        <row r="236">
          <cell r="BQ236">
            <v>0</v>
          </cell>
        </row>
        <row r="236">
          <cell r="DM236">
            <v>0</v>
          </cell>
          <cell r="DN236">
            <v>24.6459334209086</v>
          </cell>
        </row>
        <row r="236">
          <cell r="DP236">
            <v>0</v>
          </cell>
        </row>
        <row r="237">
          <cell r="H237">
            <v>21</v>
          </cell>
          <cell r="I237">
            <v>715.1565225</v>
          </cell>
        </row>
        <row r="237">
          <cell r="K237">
            <v>1522.4983747842</v>
          </cell>
        </row>
        <row r="237">
          <cell r="AC237">
            <v>0</v>
          </cell>
        </row>
        <row r="237">
          <cell r="AJ237">
            <v>21</v>
          </cell>
        </row>
        <row r="237">
          <cell r="AL237">
            <v>729.45965295</v>
          </cell>
        </row>
        <row r="237">
          <cell r="AQ237">
            <v>1644.29824476694</v>
          </cell>
        </row>
        <row r="237">
          <cell r="AT237">
            <v>125.831790133875</v>
          </cell>
          <cell r="AU237">
            <v>1035.90789420317</v>
          </cell>
        </row>
        <row r="237">
          <cell r="AW237">
            <v>0.126</v>
          </cell>
        </row>
        <row r="237">
          <cell r="BN237">
            <v>125.831790133875</v>
          </cell>
          <cell r="BO237">
            <v>1035.90789420317</v>
          </cell>
        </row>
        <row r="237">
          <cell r="BQ237">
            <v>0.126</v>
          </cell>
        </row>
        <row r="237">
          <cell r="DM237">
            <v>117.367614708203</v>
          </cell>
          <cell r="DN237">
            <v>959.173976114046</v>
          </cell>
        </row>
        <row r="237">
          <cell r="DP237">
            <v>0.126</v>
          </cell>
        </row>
        <row r="238">
          <cell r="H238">
            <v>21</v>
          </cell>
          <cell r="I238">
            <v>715.1565225</v>
          </cell>
        </row>
        <row r="238">
          <cell r="K238">
            <v>1522.4983747842</v>
          </cell>
        </row>
        <row r="238">
          <cell r="O238">
            <v>300</v>
          </cell>
          <cell r="P238">
            <v>6.3</v>
          </cell>
        </row>
        <row r="238">
          <cell r="S238">
            <v>300</v>
          </cell>
          <cell r="T238">
            <v>6.3</v>
          </cell>
        </row>
        <row r="238">
          <cell r="AA238">
            <v>5000</v>
          </cell>
        </row>
        <row r="238">
          <cell r="AC238">
            <v>5000</v>
          </cell>
        </row>
        <row r="238">
          <cell r="AJ238">
            <v>21</v>
          </cell>
        </row>
        <row r="238">
          <cell r="AL238">
            <v>729.45965295</v>
          </cell>
        </row>
        <row r="238">
          <cell r="AQ238">
            <v>1644.29824476694</v>
          </cell>
        </row>
        <row r="238">
          <cell r="AT238">
            <v>125.831790133875</v>
          </cell>
          <cell r="AU238">
            <v>1035.90789420317</v>
          </cell>
        </row>
        <row r="238">
          <cell r="AW238">
            <v>0.126</v>
          </cell>
        </row>
        <row r="238">
          <cell r="BN238">
            <v>125.831790133875</v>
          </cell>
          <cell r="BO238">
            <v>1035.90789420317</v>
          </cell>
        </row>
        <row r="238">
          <cell r="BQ238">
            <v>0.126</v>
          </cell>
        </row>
        <row r="238">
          <cell r="DM238">
            <v>117.367614708203</v>
          </cell>
          <cell r="DN238">
            <v>959.173976114046</v>
          </cell>
        </row>
        <row r="238">
          <cell r="DP238">
            <v>0.126</v>
          </cell>
        </row>
        <row r="239">
          <cell r="H239">
            <v>0</v>
          </cell>
        </row>
        <row r="239">
          <cell r="K239">
            <v>0</v>
          </cell>
        </row>
        <row r="239">
          <cell r="O239">
            <v>300</v>
          </cell>
          <cell r="P239">
            <v>6.3</v>
          </cell>
        </row>
        <row r="239">
          <cell r="S239">
            <v>275</v>
          </cell>
          <cell r="T239">
            <v>6.3</v>
          </cell>
        </row>
        <row r="239">
          <cell r="AA239">
            <v>5000</v>
          </cell>
        </row>
        <row r="239">
          <cell r="AC239">
            <v>5000</v>
          </cell>
        </row>
        <row r="239">
          <cell r="AJ239">
            <v>0</v>
          </cell>
        </row>
        <row r="239">
          <cell r="AU239">
            <v>0</v>
          </cell>
        </row>
        <row r="239">
          <cell r="AW239">
            <v>0</v>
          </cell>
        </row>
        <row r="239">
          <cell r="BN239">
            <v>0</v>
          </cell>
          <cell r="BO239">
            <v>0</v>
          </cell>
        </row>
        <row r="239">
          <cell r="BQ239">
            <v>0</v>
          </cell>
        </row>
        <row r="239">
          <cell r="DM239">
            <v>0</v>
          </cell>
          <cell r="DN239">
            <v>0</v>
          </cell>
        </row>
        <row r="239">
          <cell r="DP239">
            <v>0</v>
          </cell>
        </row>
        <row r="240">
          <cell r="H240">
            <v>17</v>
          </cell>
          <cell r="I240">
            <v>204.7897425</v>
          </cell>
        </row>
        <row r="240">
          <cell r="K240">
            <v>1110.71891549347</v>
          </cell>
        </row>
        <row r="240">
          <cell r="AC240">
            <v>0</v>
          </cell>
        </row>
        <row r="240">
          <cell r="AJ240">
            <v>17</v>
          </cell>
        </row>
        <row r="240">
          <cell r="AL240">
            <v>215.029229625</v>
          </cell>
        </row>
        <row r="240">
          <cell r="AQ240">
            <v>1714.42202916757</v>
          </cell>
        </row>
        <row r="240">
          <cell r="AT240">
            <v>103.21403022</v>
          </cell>
          <cell r="AU240">
            <v>863.27267809604</v>
          </cell>
        </row>
        <row r="240">
          <cell r="AW240">
            <v>0.102</v>
          </cell>
        </row>
        <row r="240">
          <cell r="BN240">
            <v>103.21403022</v>
          </cell>
          <cell r="BO240">
            <v>863.27267809604</v>
          </cell>
        </row>
        <row r="240">
          <cell r="BQ240">
            <v>0.102</v>
          </cell>
        </row>
        <row r="240">
          <cell r="DM240">
            <v>95.432020005</v>
          </cell>
          <cell r="DN240">
            <v>530.674097287335</v>
          </cell>
        </row>
        <row r="240">
          <cell r="DP240">
            <v>0.114</v>
          </cell>
        </row>
        <row r="241">
          <cell r="H241">
            <v>17</v>
          </cell>
          <cell r="I241">
            <v>204.7897425</v>
          </cell>
        </row>
        <row r="241">
          <cell r="K241">
            <v>940.872995139916</v>
          </cell>
        </row>
        <row r="241">
          <cell r="O241">
            <v>500</v>
          </cell>
          <cell r="P241">
            <v>5.05</v>
          </cell>
        </row>
        <row r="241">
          <cell r="S241">
            <v>500</v>
          </cell>
          <cell r="T241">
            <v>5.05</v>
          </cell>
        </row>
        <row r="241">
          <cell r="AA241">
            <v>5000</v>
          </cell>
        </row>
        <row r="241">
          <cell r="AC241">
            <v>5000</v>
          </cell>
        </row>
        <row r="241">
          <cell r="AJ241">
            <v>17</v>
          </cell>
        </row>
        <row r="241">
          <cell r="AL241">
            <v>215.029229625</v>
          </cell>
        </row>
        <row r="241">
          <cell r="AQ241">
            <v>1463.37736580925</v>
          </cell>
        </row>
        <row r="241">
          <cell r="AT241">
            <v>103.21403022</v>
          </cell>
          <cell r="AU241">
            <v>739.005569733669</v>
          </cell>
        </row>
        <row r="241">
          <cell r="AW241">
            <v>0.102</v>
          </cell>
        </row>
        <row r="241">
          <cell r="BN241">
            <v>103.21403022</v>
          </cell>
          <cell r="BO241">
            <v>739.005569733669</v>
          </cell>
        </row>
        <row r="241">
          <cell r="BQ241">
            <v>0.102</v>
          </cell>
        </row>
        <row r="241">
          <cell r="DM241">
            <v>95.432020005</v>
          </cell>
          <cell r="DN241">
            <v>303.897887545657</v>
          </cell>
        </row>
        <row r="241">
          <cell r="DP241">
            <v>0.09</v>
          </cell>
        </row>
        <row r="242">
          <cell r="O242">
            <v>500</v>
          </cell>
          <cell r="P242">
            <v>5.05</v>
          </cell>
        </row>
        <row r="242">
          <cell r="S242">
            <v>0</v>
          </cell>
          <cell r="T242">
            <v>0</v>
          </cell>
        </row>
        <row r="242">
          <cell r="AA242">
            <v>5000</v>
          </cell>
        </row>
        <row r="242">
          <cell r="AC242">
            <v>5000</v>
          </cell>
        </row>
        <row r="242">
          <cell r="AL242">
            <v>0</v>
          </cell>
        </row>
        <row r="242">
          <cell r="AT242">
            <v>0</v>
          </cell>
          <cell r="AU242">
            <v>0</v>
          </cell>
        </row>
        <row r="242">
          <cell r="AW242">
            <v>0</v>
          </cell>
        </row>
        <row r="242">
          <cell r="BN242">
            <v>0</v>
          </cell>
          <cell r="BO242">
            <v>0</v>
          </cell>
        </row>
        <row r="242">
          <cell r="BQ242">
            <v>0</v>
          </cell>
        </row>
        <row r="242">
          <cell r="DM242">
            <v>0</v>
          </cell>
          <cell r="DN242">
            <v>142.702479166667</v>
          </cell>
        </row>
        <row r="242">
          <cell r="DP242">
            <v>0</v>
          </cell>
        </row>
        <row r="243">
          <cell r="K243">
            <v>169.845920353557</v>
          </cell>
        </row>
        <row r="243">
          <cell r="O243">
            <v>500</v>
          </cell>
          <cell r="P243">
            <v>4.95</v>
          </cell>
        </row>
        <row r="243">
          <cell r="S243">
            <v>500</v>
          </cell>
          <cell r="T243">
            <v>4.95</v>
          </cell>
        </row>
        <row r="243">
          <cell r="AA243">
            <v>5000</v>
          </cell>
        </row>
        <row r="243">
          <cell r="AC243">
            <v>5000</v>
          </cell>
        </row>
        <row r="243">
          <cell r="AL243">
            <v>0</v>
          </cell>
        </row>
        <row r="243">
          <cell r="AQ243">
            <v>251.044663358325</v>
          </cell>
        </row>
        <row r="243">
          <cell r="AT243">
            <v>0</v>
          </cell>
          <cell r="AU243">
            <v>124.267108362371</v>
          </cell>
        </row>
        <row r="243">
          <cell r="AW243">
            <v>0</v>
          </cell>
        </row>
        <row r="243">
          <cell r="BN243">
            <v>0</v>
          </cell>
          <cell r="BO243">
            <v>124.267108362371</v>
          </cell>
        </row>
        <row r="243">
          <cell r="BQ243">
            <v>0</v>
          </cell>
        </row>
        <row r="243">
          <cell r="DM243">
            <v>0</v>
          </cell>
          <cell r="DN243">
            <v>64.273730575011</v>
          </cell>
        </row>
        <row r="243">
          <cell r="DP243">
            <v>0.024</v>
          </cell>
        </row>
        <row r="244">
          <cell r="H244">
            <v>0</v>
          </cell>
        </row>
        <row r="244">
          <cell r="O244">
            <v>500</v>
          </cell>
          <cell r="P244">
            <v>4.95</v>
          </cell>
        </row>
        <row r="244">
          <cell r="S244">
            <v>475</v>
          </cell>
          <cell r="T244">
            <v>4.95</v>
          </cell>
        </row>
        <row r="244">
          <cell r="AA244">
            <v>5000</v>
          </cell>
        </row>
        <row r="244">
          <cell r="AC244">
            <v>5000</v>
          </cell>
        </row>
        <row r="244">
          <cell r="AJ244">
            <v>0</v>
          </cell>
        </row>
        <row r="244">
          <cell r="AT244">
            <v>0</v>
          </cell>
          <cell r="AU244">
            <v>0</v>
          </cell>
        </row>
        <row r="244">
          <cell r="AW244">
            <v>0</v>
          </cell>
        </row>
        <row r="244">
          <cell r="BN244">
            <v>0</v>
          </cell>
          <cell r="BO244">
            <v>0</v>
          </cell>
        </row>
        <row r="244">
          <cell r="BQ244">
            <v>0</v>
          </cell>
        </row>
        <row r="244">
          <cell r="DM244">
            <v>0</v>
          </cell>
          <cell r="DN244">
            <v>19.8</v>
          </cell>
        </row>
        <row r="244">
          <cell r="DP244">
            <v>0</v>
          </cell>
        </row>
        <row r="245">
          <cell r="H245">
            <v>0</v>
          </cell>
          <cell r="I245">
            <v>0</v>
          </cell>
        </row>
        <row r="245">
          <cell r="K245">
            <v>0</v>
          </cell>
        </row>
        <row r="245">
          <cell r="O245">
            <v>285</v>
          </cell>
          <cell r="P245">
            <v>7.3</v>
          </cell>
        </row>
        <row r="245">
          <cell r="S245">
            <v>285</v>
          </cell>
          <cell r="T245">
            <v>7.3</v>
          </cell>
        </row>
        <row r="245">
          <cell r="AA245">
            <v>5000</v>
          </cell>
        </row>
        <row r="245">
          <cell r="AC245">
            <v>5000</v>
          </cell>
        </row>
        <row r="245">
          <cell r="AJ245">
            <v>0</v>
          </cell>
        </row>
        <row r="245">
          <cell r="AL245">
            <v>0</v>
          </cell>
        </row>
        <row r="245">
          <cell r="AQ245">
            <v>0</v>
          </cell>
        </row>
        <row r="245">
          <cell r="AT245">
            <v>0</v>
          </cell>
          <cell r="AU245">
            <v>0</v>
          </cell>
        </row>
        <row r="245">
          <cell r="AW245">
            <v>0</v>
          </cell>
        </row>
        <row r="245">
          <cell r="BN245">
            <v>0</v>
          </cell>
          <cell r="BO245">
            <v>0</v>
          </cell>
        </row>
        <row r="245">
          <cell r="BQ245">
            <v>0</v>
          </cell>
        </row>
        <row r="245">
          <cell r="DM245">
            <v>0</v>
          </cell>
          <cell r="DN245">
            <v>0</v>
          </cell>
        </row>
        <row r="245">
          <cell r="DP245">
            <v>0</v>
          </cell>
        </row>
        <row r="246">
          <cell r="H246">
            <v>0</v>
          </cell>
          <cell r="I246">
            <v>0</v>
          </cell>
        </row>
        <row r="246">
          <cell r="K246">
            <v>0</v>
          </cell>
        </row>
        <row r="246">
          <cell r="O246">
            <v>500</v>
          </cell>
          <cell r="P246">
            <v>10.8</v>
          </cell>
        </row>
        <row r="246">
          <cell r="S246">
            <v>500</v>
          </cell>
          <cell r="T246">
            <v>10.8</v>
          </cell>
        </row>
        <row r="246">
          <cell r="AA246">
            <v>5000</v>
          </cell>
        </row>
        <row r="246">
          <cell r="AC246">
            <v>5000</v>
          </cell>
        </row>
        <row r="246">
          <cell r="AJ246">
            <v>0</v>
          </cell>
        </row>
        <row r="246">
          <cell r="AL246">
            <v>0</v>
          </cell>
        </row>
        <row r="246">
          <cell r="AQ246">
            <v>0</v>
          </cell>
        </row>
        <row r="246">
          <cell r="AT246">
            <v>0</v>
          </cell>
          <cell r="AU246">
            <v>0</v>
          </cell>
        </row>
        <row r="246">
          <cell r="AW246">
            <v>0</v>
          </cell>
        </row>
        <row r="246">
          <cell r="BN246">
            <v>0</v>
          </cell>
          <cell r="BO246">
            <v>0</v>
          </cell>
        </row>
        <row r="246">
          <cell r="BQ246">
            <v>0</v>
          </cell>
        </row>
        <row r="246">
          <cell r="DM246">
            <v>0</v>
          </cell>
          <cell r="DN246">
            <v>0</v>
          </cell>
        </row>
        <row r="246">
          <cell r="DP246">
            <v>0</v>
          </cell>
        </row>
        <row r="247">
          <cell r="H247">
            <v>2</v>
          </cell>
          <cell r="I247">
            <v>55.3686</v>
          </cell>
        </row>
        <row r="247">
          <cell r="K247">
            <v>291.523761861199</v>
          </cell>
        </row>
        <row r="247">
          <cell r="S247">
            <v>0</v>
          </cell>
          <cell r="T247">
            <v>0</v>
          </cell>
        </row>
        <row r="247">
          <cell r="AC247">
            <v>0</v>
          </cell>
        </row>
        <row r="247">
          <cell r="AJ247">
            <v>2</v>
          </cell>
        </row>
        <row r="247">
          <cell r="AL247">
            <v>56.475972</v>
          </cell>
        </row>
        <row r="247">
          <cell r="AQ247">
            <v>311.591330244946</v>
          </cell>
        </row>
        <row r="247">
          <cell r="AT247">
            <v>0</v>
          </cell>
          <cell r="AU247">
            <v>190.070711449417</v>
          </cell>
        </row>
        <row r="247">
          <cell r="AW247">
            <v>0.012</v>
          </cell>
        </row>
        <row r="247">
          <cell r="BN247">
            <v>0</v>
          </cell>
          <cell r="BO247">
            <v>190.070711449417</v>
          </cell>
        </row>
        <row r="247">
          <cell r="BQ247">
            <v>0.012</v>
          </cell>
        </row>
        <row r="247">
          <cell r="DM247">
            <v>0</v>
          </cell>
          <cell r="DN247">
            <v>177.829494735331</v>
          </cell>
        </row>
        <row r="247">
          <cell r="DP247">
            <v>0.012</v>
          </cell>
        </row>
        <row r="248">
          <cell r="H248">
            <v>2</v>
          </cell>
          <cell r="I248">
            <v>55.3686</v>
          </cell>
        </row>
        <row r="248">
          <cell r="K248">
            <v>291.523761861199</v>
          </cell>
        </row>
        <row r="248">
          <cell r="O248">
            <v>0</v>
          </cell>
          <cell r="P248">
            <v>6.1</v>
          </cell>
        </row>
        <row r="248">
          <cell r="S248">
            <v>0</v>
          </cell>
          <cell r="T248">
            <v>6.1</v>
          </cell>
        </row>
        <row r="248">
          <cell r="AA248">
            <v>5000</v>
          </cell>
        </row>
        <row r="248">
          <cell r="AC248">
            <v>5000</v>
          </cell>
        </row>
        <row r="248">
          <cell r="AJ248">
            <v>2</v>
          </cell>
        </row>
        <row r="248">
          <cell r="AL248">
            <v>56.475972</v>
          </cell>
        </row>
        <row r="248">
          <cell r="AQ248">
            <v>311.591330244946</v>
          </cell>
        </row>
        <row r="248">
          <cell r="AT248">
            <v>0</v>
          </cell>
          <cell r="AU248">
            <v>190.070711449417</v>
          </cell>
        </row>
        <row r="248">
          <cell r="AW248">
            <v>0.012</v>
          </cell>
        </row>
        <row r="248">
          <cell r="BN248">
            <v>0</v>
          </cell>
          <cell r="BO248">
            <v>190.070711449417</v>
          </cell>
        </row>
        <row r="248">
          <cell r="BQ248">
            <v>0.012</v>
          </cell>
        </row>
        <row r="248">
          <cell r="DM248">
            <v>0</v>
          </cell>
          <cell r="DN248">
            <v>177.829494735331</v>
          </cell>
        </row>
        <row r="248">
          <cell r="DP248">
            <v>0.012</v>
          </cell>
        </row>
        <row r="249">
          <cell r="AC249">
            <v>0</v>
          </cell>
        </row>
        <row r="249">
          <cell r="BN249">
            <v>0</v>
          </cell>
          <cell r="BO249">
            <v>0</v>
          </cell>
        </row>
        <row r="249">
          <cell r="DM249">
            <v>0</v>
          </cell>
          <cell r="DN249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Revenue impact_Summary"/>
      <sheetName val="Tariff hike_Summary"/>
      <sheetName val="Rev_NP-12me"/>
      <sheetName val="Rev_SP-12me"/>
      <sheetName val="Sales_Progress tracker"/>
      <sheetName val="Sales_SP"/>
      <sheetName val="Sales_NP"/>
      <sheetName val="Sales_Summary_FY 25_29"/>
      <sheetName val="Sales_Summary_FY 18_25"/>
      <sheetName val="PPT Slides(correct)"/>
      <sheetName val="OUTPUT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SP FY24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</sheetNames>
    <sheetDataSet>
      <sheetData sheetId="0"/>
      <sheetData sheetId="1"/>
      <sheetData sheetId="2"/>
      <sheetData sheetId="3"/>
      <sheetData sheetId="4">
        <row r="10">
          <cell r="AJ10">
            <v>9275620</v>
          </cell>
        </row>
        <row r="10">
          <cell r="AL10">
            <v>15344</v>
          </cell>
        </row>
        <row r="23">
          <cell r="AJ23">
            <v>1411291</v>
          </cell>
        </row>
        <row r="23">
          <cell r="AL23">
            <v>5020</v>
          </cell>
        </row>
        <row r="36">
          <cell r="AJ36">
            <v>54957</v>
          </cell>
        </row>
        <row r="36">
          <cell r="AN36">
            <v>1851951.50629</v>
          </cell>
        </row>
        <row r="43">
          <cell r="AJ43">
            <v>5173</v>
          </cell>
        </row>
        <row r="43">
          <cell r="AN43">
            <v>22797.37553</v>
          </cell>
        </row>
        <row r="46">
          <cell r="AJ46">
            <v>1542291</v>
          </cell>
        </row>
        <row r="46">
          <cell r="AN46">
            <v>8701892.34201</v>
          </cell>
        </row>
        <row r="54">
          <cell r="AJ54">
            <v>89701.7307337077</v>
          </cell>
        </row>
        <row r="54">
          <cell r="AL54">
            <v>220.477983662567</v>
          </cell>
        </row>
        <row r="58">
          <cell r="AJ58">
            <v>27095</v>
          </cell>
        </row>
        <row r="58">
          <cell r="AL58">
            <v>95</v>
          </cell>
        </row>
        <row r="63">
          <cell r="AJ63">
            <v>15477</v>
          </cell>
        </row>
        <row r="63">
          <cell r="AL63">
            <v>124</v>
          </cell>
        </row>
        <row r="64">
          <cell r="AJ64">
            <v>269.726625</v>
          </cell>
        </row>
        <row r="64">
          <cell r="AL64">
            <v>8.39278125</v>
          </cell>
        </row>
        <row r="65">
          <cell r="AJ65">
            <v>41903.2692662923</v>
          </cell>
        </row>
        <row r="65">
          <cell r="AN65">
            <v>196489.260579838</v>
          </cell>
        </row>
        <row r="84">
          <cell r="AJ84">
            <v>6681.56814422759</v>
          </cell>
        </row>
        <row r="84">
          <cell r="AL84">
            <v>2434.1204222852</v>
          </cell>
        </row>
        <row r="99">
          <cell r="AJ99">
            <v>0</v>
          </cell>
        </row>
        <row r="99">
          <cell r="AL99">
            <v>0</v>
          </cell>
        </row>
        <row r="100">
          <cell r="AL100">
            <v>16.7742150159682</v>
          </cell>
        </row>
        <row r="105">
          <cell r="AJ105">
            <v>5470.25537208776</v>
          </cell>
        </row>
        <row r="105">
          <cell r="AL105">
            <v>1231.63443202928</v>
          </cell>
        </row>
        <row r="110">
          <cell r="AJ110">
            <v>0</v>
          </cell>
        </row>
        <row r="110">
          <cell r="AL110">
            <v>0</v>
          </cell>
        </row>
        <row r="115">
          <cell r="AJ115">
            <v>12.8333333333333</v>
          </cell>
        </row>
        <row r="115">
          <cell r="AL115">
            <v>1.40321141837645</v>
          </cell>
        </row>
        <row r="120">
          <cell r="AJ120">
            <v>142.875</v>
          </cell>
        </row>
        <row r="120">
          <cell r="AL120">
            <v>56.9052792522258</v>
          </cell>
        </row>
        <row r="124">
          <cell r="AJ124">
            <v>273.404651162791</v>
          </cell>
        </row>
        <row r="124">
          <cell r="AL124">
            <v>108.367010283135</v>
          </cell>
        </row>
        <row r="125">
          <cell r="AJ125">
            <v>588.276422764228</v>
          </cell>
        </row>
        <row r="125">
          <cell r="AL125">
            <v>125.666161405847</v>
          </cell>
        </row>
        <row r="126">
          <cell r="AJ126">
            <v>0</v>
          </cell>
        </row>
        <row r="127">
          <cell r="AJ127">
            <v>19.679625</v>
          </cell>
        </row>
        <row r="127">
          <cell r="AL127">
            <v>11.352828375</v>
          </cell>
        </row>
        <row r="132">
          <cell r="AJ132">
            <v>130.442675159236</v>
          </cell>
        </row>
        <row r="132">
          <cell r="AL132">
            <v>44.5319284369911</v>
          </cell>
        </row>
        <row r="149">
          <cell r="AJ149">
            <v>462.956150561483</v>
          </cell>
        </row>
        <row r="149">
          <cell r="AL149">
            <v>1795.18539490528</v>
          </cell>
        </row>
        <row r="163">
          <cell r="AJ163">
            <v>1</v>
          </cell>
        </row>
        <row r="163">
          <cell r="AL163">
            <v>15.5503512880562</v>
          </cell>
        </row>
        <row r="164">
          <cell r="AL164">
            <v>13.8582225371844</v>
          </cell>
        </row>
        <row r="169">
          <cell r="AJ169">
            <v>197.105031948882</v>
          </cell>
        </row>
        <row r="169">
          <cell r="AL169">
            <v>584.60453739088</v>
          </cell>
        </row>
        <row r="175">
          <cell r="AJ175">
            <v>0</v>
          </cell>
        </row>
        <row r="175">
          <cell r="AL175">
            <v>0</v>
          </cell>
        </row>
        <row r="185">
          <cell r="AJ185">
            <v>21.375</v>
          </cell>
        </row>
        <row r="185">
          <cell r="AL185">
            <v>52.7287097933893</v>
          </cell>
        </row>
        <row r="187">
          <cell r="AJ187">
            <v>1.2</v>
          </cell>
        </row>
        <row r="187">
          <cell r="AL187">
            <v>5.34241908006814</v>
          </cell>
        </row>
        <row r="188">
          <cell r="AJ188">
            <v>0</v>
          </cell>
        </row>
        <row r="189">
          <cell r="AJ189">
            <v>29.5953488372093</v>
          </cell>
        </row>
        <row r="189">
          <cell r="AL189">
            <v>69.6329897168651</v>
          </cell>
        </row>
        <row r="190">
          <cell r="AJ190">
            <v>9.72357723577236</v>
          </cell>
        </row>
        <row r="190">
          <cell r="AL190">
            <v>26.3338385941534</v>
          </cell>
        </row>
        <row r="191">
          <cell r="AJ191">
            <v>14.625</v>
          </cell>
        </row>
        <row r="191">
          <cell r="AL191">
            <v>52.4589210565272</v>
          </cell>
        </row>
        <row r="208">
          <cell r="AJ208">
            <v>52.3764472378432</v>
          </cell>
        </row>
        <row r="208">
          <cell r="AL208">
            <v>770.002037354556</v>
          </cell>
        </row>
        <row r="216">
          <cell r="AJ216">
            <v>2</v>
          </cell>
        </row>
        <row r="216">
          <cell r="AL216">
            <v>67.4496487119438</v>
          </cell>
        </row>
        <row r="217">
          <cell r="AL217">
            <v>172.059707901818</v>
          </cell>
        </row>
        <row r="222">
          <cell r="AJ222">
            <v>5.03764948144474</v>
          </cell>
        </row>
        <row r="222">
          <cell r="AL222">
            <v>22.7610305798379</v>
          </cell>
        </row>
        <row r="232">
          <cell r="AJ232">
            <v>1.07692307692308</v>
          </cell>
        </row>
        <row r="232">
          <cell r="AL232">
            <v>11.5967885816235</v>
          </cell>
        </row>
        <row r="237">
          <cell r="AJ237">
            <v>21.375</v>
          </cell>
        </row>
        <row r="237">
          <cell r="AL237">
            <v>1983.73595829721</v>
          </cell>
        </row>
        <row r="240">
          <cell r="AJ240">
            <v>22.5</v>
          </cell>
        </row>
        <row r="240">
          <cell r="AL240">
            <v>190.657580919932</v>
          </cell>
        </row>
        <row r="245">
          <cell r="AJ245">
            <v>0</v>
          </cell>
        </row>
        <row r="245">
          <cell r="AL245">
            <v>0</v>
          </cell>
        </row>
        <row r="246">
          <cell r="AJ246">
            <v>0</v>
          </cell>
        </row>
        <row r="246">
          <cell r="AL246">
            <v>0</v>
          </cell>
        </row>
        <row r="247">
          <cell r="AJ247">
            <v>2.12101910828025</v>
          </cell>
        </row>
        <row r="247">
          <cell r="AL247">
            <v>77.6392031636602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Assumptions"/>
      <sheetName val="A 3.7"/>
      <sheetName val="water_bal"/>
      <sheetName val="Daily_input"/>
      <sheetName val="Daily_report"/>
      <sheetName val="A_3_7"/>
      <sheetName val="Clause 9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Revenue impact_Summary"/>
      <sheetName val="Tariff hike_Summary"/>
      <sheetName val="Rev_NP-12me"/>
      <sheetName val="Rev_SP-12me"/>
      <sheetName val="Sales_Progress tracker"/>
      <sheetName val="Sales_SP"/>
      <sheetName val="Sales_NP"/>
      <sheetName val="Sales_Summary_FY 25_29"/>
      <sheetName val="Sales_Summary_FY 18_25"/>
      <sheetName val="PPT Slides(correct)"/>
      <sheetName val="OUTPUT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SP FY24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</sheetNames>
    <sheetDataSet>
      <sheetData sheetId="0"/>
      <sheetData sheetId="1"/>
      <sheetData sheetId="2"/>
      <sheetData sheetId="3"/>
      <sheetData sheetId="4">
        <row r="10">
          <cell r="AJ10">
            <v>9800235</v>
          </cell>
        </row>
        <row r="10">
          <cell r="AL10">
            <v>16722</v>
          </cell>
        </row>
        <row r="23">
          <cell r="AJ23">
            <v>1506386</v>
          </cell>
        </row>
        <row r="23">
          <cell r="AL23">
            <v>5463</v>
          </cell>
        </row>
        <row r="36">
          <cell r="AJ36">
            <v>57705</v>
          </cell>
        </row>
        <row r="36">
          <cell r="AN36">
            <v>1916320.56661</v>
          </cell>
        </row>
        <row r="43">
          <cell r="AJ43">
            <v>5333</v>
          </cell>
        </row>
        <row r="43">
          <cell r="AN43">
            <v>22797.37553</v>
          </cell>
        </row>
        <row r="46">
          <cell r="AJ46">
            <v>1606432</v>
          </cell>
        </row>
        <row r="46">
          <cell r="AN46">
            <v>8990212.09136</v>
          </cell>
        </row>
        <row r="54">
          <cell r="AJ54">
            <v>94187.3284690409</v>
          </cell>
        </row>
        <row r="54">
          <cell r="AL54">
            <v>231.29161773866</v>
          </cell>
        </row>
        <row r="58">
          <cell r="AJ58">
            <v>27729</v>
          </cell>
        </row>
        <row r="58">
          <cell r="AL58">
            <v>102</v>
          </cell>
        </row>
        <row r="63">
          <cell r="AJ63">
            <v>16251</v>
          </cell>
        </row>
        <row r="63">
          <cell r="AL63">
            <v>131</v>
          </cell>
        </row>
        <row r="64">
          <cell r="AJ64">
            <v>283.21295625</v>
          </cell>
        </row>
        <row r="64">
          <cell r="AL64">
            <v>8.8124203125</v>
          </cell>
        </row>
        <row r="65">
          <cell r="AJ65">
            <v>43998.6715309591</v>
          </cell>
        </row>
        <row r="65">
          <cell r="AN65">
            <v>206126.336030621</v>
          </cell>
        </row>
        <row r="84">
          <cell r="AJ84">
            <v>6979.57889513728</v>
          </cell>
        </row>
        <row r="84">
          <cell r="AL84">
            <v>2600.69998213402</v>
          </cell>
        </row>
        <row r="99">
          <cell r="AJ99">
            <v>0</v>
          </cell>
        </row>
        <row r="99">
          <cell r="AL99">
            <v>0</v>
          </cell>
        </row>
        <row r="100">
          <cell r="AL100">
            <v>17.9221620643505</v>
          </cell>
        </row>
        <row r="105">
          <cell r="AJ105">
            <v>5823.17507351278</v>
          </cell>
        </row>
        <row r="105">
          <cell r="AL105">
            <v>1310.66263375819</v>
          </cell>
        </row>
        <row r="110">
          <cell r="AJ110">
            <v>0</v>
          </cell>
        </row>
        <row r="110">
          <cell r="AL110">
            <v>0</v>
          </cell>
        </row>
        <row r="115">
          <cell r="AJ115">
            <v>11.9166666666667</v>
          </cell>
        </row>
        <row r="115">
          <cell r="AL115">
            <v>1.40321141837645</v>
          </cell>
        </row>
        <row r="120">
          <cell r="AJ120">
            <v>147.594594594595</v>
          </cell>
        </row>
        <row r="120">
          <cell r="AL120">
            <v>59.8157785437858</v>
          </cell>
        </row>
        <row r="124">
          <cell r="AJ124">
            <v>298.66976744186</v>
          </cell>
        </row>
        <row r="124">
          <cell r="AL124">
            <v>113.23743771159</v>
          </cell>
        </row>
        <row r="125">
          <cell r="AJ125">
            <v>617.788617886179</v>
          </cell>
        </row>
        <row r="125">
          <cell r="AL125">
            <v>132.280169900891</v>
          </cell>
        </row>
        <row r="126">
          <cell r="AJ126">
            <v>0</v>
          </cell>
        </row>
        <row r="127">
          <cell r="AJ127">
            <v>20.66360625</v>
          </cell>
        </row>
        <row r="127">
          <cell r="AL127">
            <v>11.92046979375</v>
          </cell>
        </row>
        <row r="132">
          <cell r="AJ132">
            <v>134.751592356688</v>
          </cell>
        </row>
        <row r="132">
          <cell r="AL132">
            <v>46.8095755704528</v>
          </cell>
        </row>
        <row r="149">
          <cell r="AJ149">
            <v>483.604882579023</v>
          </cell>
        </row>
        <row r="149">
          <cell r="AL149">
            <v>1918.03929736323</v>
          </cell>
        </row>
        <row r="163">
          <cell r="AJ163">
            <v>1</v>
          </cell>
        </row>
        <row r="163">
          <cell r="AL163">
            <v>15.5503512880562</v>
          </cell>
        </row>
        <row r="164">
          <cell r="AL164">
            <v>14.8066130068572</v>
          </cell>
        </row>
        <row r="169">
          <cell r="AJ169">
            <v>209.821485623003</v>
          </cell>
        </row>
        <row r="169">
          <cell r="AL169">
            <v>622.115867141899</v>
          </cell>
        </row>
        <row r="175">
          <cell r="AJ175">
            <v>0</v>
          </cell>
        </row>
        <row r="175">
          <cell r="AL175">
            <v>0</v>
          </cell>
        </row>
        <row r="180">
          <cell r="AJ180">
            <v>0</v>
          </cell>
        </row>
        <row r="185">
          <cell r="AJ185">
            <v>22.0810810810811</v>
          </cell>
        </row>
        <row r="185">
          <cell r="AL185">
            <v>55.4255926576014</v>
          </cell>
        </row>
        <row r="187">
          <cell r="AJ187">
            <v>1</v>
          </cell>
        </row>
        <row r="187">
          <cell r="AL187">
            <v>4.44293015332198</v>
          </cell>
        </row>
        <row r="188">
          <cell r="AJ188">
            <v>0</v>
          </cell>
        </row>
        <row r="189">
          <cell r="AJ189">
            <v>32.3302325581395</v>
          </cell>
        </row>
        <row r="189">
          <cell r="AL189">
            <v>72.7625622884096</v>
          </cell>
        </row>
        <row r="190">
          <cell r="AJ190">
            <v>10.2113821138211</v>
          </cell>
        </row>
        <row r="190">
          <cell r="AL190">
            <v>27.7198300991089</v>
          </cell>
        </row>
        <row r="191">
          <cell r="AJ191">
            <v>15.1081081081081</v>
          </cell>
        </row>
        <row r="191">
          <cell r="AL191">
            <v>55.1420052022755</v>
          </cell>
        </row>
        <row r="208">
          <cell r="AJ208">
            <v>54.7125372146874</v>
          </cell>
        </row>
        <row r="208">
          <cell r="AL208">
            <v>822.697294043949</v>
          </cell>
        </row>
        <row r="216">
          <cell r="AJ216">
            <v>2</v>
          </cell>
        </row>
        <row r="216">
          <cell r="AL216">
            <v>67.4496487119438</v>
          </cell>
        </row>
        <row r="217">
          <cell r="AL217">
            <v>183.834651387602</v>
          </cell>
        </row>
        <row r="222">
          <cell r="AJ222">
            <v>5.36265912540892</v>
          </cell>
        </row>
        <row r="222">
          <cell r="AL222">
            <v>24.2214990999145</v>
          </cell>
        </row>
        <row r="227">
          <cell r="AJ227">
            <v>0</v>
          </cell>
        </row>
        <row r="232">
          <cell r="AJ232">
            <v>1</v>
          </cell>
        </row>
        <row r="232">
          <cell r="AL232">
            <v>11.5967885816235</v>
          </cell>
        </row>
        <row r="237">
          <cell r="AJ237">
            <v>22.0810810810811</v>
          </cell>
        </row>
        <row r="237">
          <cell r="AL237">
            <v>2085.19688032652</v>
          </cell>
        </row>
        <row r="240">
          <cell r="AJ240">
            <v>25.3125</v>
          </cell>
        </row>
        <row r="240">
          <cell r="AL240">
            <v>208.166950596252</v>
          </cell>
        </row>
        <row r="245">
          <cell r="AJ245">
            <v>0</v>
          </cell>
        </row>
        <row r="245">
          <cell r="AL245">
            <v>0</v>
          </cell>
        </row>
        <row r="246">
          <cell r="AJ246">
            <v>0</v>
          </cell>
        </row>
        <row r="246">
          <cell r="AL246">
            <v>0</v>
          </cell>
        </row>
        <row r="247">
          <cell r="AJ247">
            <v>2.19108280254777</v>
          </cell>
        </row>
        <row r="247">
          <cell r="AL247">
            <v>81.6101676993677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Revenue impact_Summary"/>
      <sheetName val="Tariff hike_Summary"/>
      <sheetName val="Rev_NP-12me"/>
      <sheetName val="Rev_SP-12me"/>
      <sheetName val="Sales_Progress tracker"/>
      <sheetName val="Sales_SP"/>
      <sheetName val="Sales_NP"/>
      <sheetName val="Sales_Summary_FY 25_29"/>
      <sheetName val="Sales_Summary_FY 18_25"/>
      <sheetName val="PPT Slides(correct)"/>
      <sheetName val="OUTPUT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SP FY24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</sheetNames>
    <sheetDataSet>
      <sheetData sheetId="0"/>
      <sheetData sheetId="1"/>
      <sheetData sheetId="2"/>
      <sheetData sheetId="3"/>
      <sheetData sheetId="4">
        <row r="10">
          <cell r="AJ10">
            <v>10354521</v>
          </cell>
        </row>
        <row r="10">
          <cell r="AL10">
            <v>18223</v>
          </cell>
        </row>
        <row r="23">
          <cell r="AJ23">
            <v>1607888</v>
          </cell>
        </row>
        <row r="23">
          <cell r="AL23">
            <v>5944</v>
          </cell>
        </row>
        <row r="36">
          <cell r="AJ36">
            <v>60590</v>
          </cell>
        </row>
        <row r="36">
          <cell r="AN36">
            <v>1982030.64902</v>
          </cell>
        </row>
        <row r="43">
          <cell r="AJ43">
            <v>5498</v>
          </cell>
        </row>
        <row r="43">
          <cell r="AN43">
            <v>24138.39762</v>
          </cell>
        </row>
        <row r="46">
          <cell r="AJ46">
            <v>1673241</v>
          </cell>
        </row>
        <row r="46">
          <cell r="AN46">
            <v>9286577.97325</v>
          </cell>
        </row>
        <row r="54">
          <cell r="AJ54">
            <v>98896.4904130338</v>
          </cell>
        </row>
        <row r="54">
          <cell r="AL54">
            <v>242.706009263425</v>
          </cell>
        </row>
        <row r="58">
          <cell r="AJ58">
            <v>28379</v>
          </cell>
        </row>
        <row r="58">
          <cell r="AL58">
            <v>110</v>
          </cell>
        </row>
        <row r="63">
          <cell r="AJ63">
            <v>17063</v>
          </cell>
        </row>
        <row r="63">
          <cell r="AL63">
            <v>137</v>
          </cell>
        </row>
        <row r="64">
          <cell r="AJ64">
            <v>297.3736040625</v>
          </cell>
        </row>
        <row r="64">
          <cell r="AL64">
            <v>9.253041328125</v>
          </cell>
        </row>
        <row r="65">
          <cell r="AJ65">
            <v>46198.5095869662</v>
          </cell>
        </row>
        <row r="65">
          <cell r="AN65">
            <v>216298.804562002</v>
          </cell>
        </row>
        <row r="84">
          <cell r="AJ84">
            <v>7291.51538207079</v>
          </cell>
        </row>
        <row r="84">
          <cell r="AL84">
            <v>2779.91338500507</v>
          </cell>
        </row>
        <row r="99">
          <cell r="AJ99">
            <v>0</v>
          </cell>
        </row>
        <row r="99">
          <cell r="AL99">
            <v>0</v>
          </cell>
        </row>
        <row r="100">
          <cell r="AL100">
            <v>19.1571725124696</v>
          </cell>
        </row>
        <row r="105">
          <cell r="AJ105">
            <v>6198.27278896177</v>
          </cell>
        </row>
        <row r="105">
          <cell r="AL105">
            <v>1395.0486796721</v>
          </cell>
        </row>
        <row r="110">
          <cell r="AJ110">
            <v>0</v>
          </cell>
        </row>
        <row r="110">
          <cell r="AL110">
            <v>0</v>
          </cell>
        </row>
        <row r="115">
          <cell r="AJ115">
            <v>12.7678571428571</v>
          </cell>
        </row>
        <row r="115">
          <cell r="AL115">
            <v>1.40321141837645</v>
          </cell>
        </row>
        <row r="120">
          <cell r="AJ120">
            <v>152.314189189189</v>
          </cell>
        </row>
        <row r="120">
          <cell r="AL120">
            <v>62.8768209021507</v>
          </cell>
        </row>
        <row r="124">
          <cell r="AJ124">
            <v>325.739534883721</v>
          </cell>
        </row>
        <row r="124">
          <cell r="AL124">
            <v>119.32547199716</v>
          </cell>
        </row>
        <row r="125">
          <cell r="AJ125">
            <v>648.284552845528</v>
          </cell>
        </row>
        <row r="125">
          <cell r="AL125">
            <v>138.894178395936</v>
          </cell>
        </row>
        <row r="126">
          <cell r="AJ126">
            <v>0</v>
          </cell>
        </row>
        <row r="127">
          <cell r="AJ127">
            <v>21.6967865625</v>
          </cell>
        </row>
        <row r="127">
          <cell r="AL127">
            <v>12.5164932834375</v>
          </cell>
        </row>
        <row r="132">
          <cell r="AJ132">
            <v>139.06050955414</v>
          </cell>
        </row>
        <row r="132">
          <cell r="AL132">
            <v>49.2050320384038</v>
          </cell>
        </row>
        <row r="149">
          <cell r="AJ149">
            <v>505.218508616074</v>
          </cell>
        </row>
        <row r="149">
          <cell r="AL149">
            <v>2050.21077107502</v>
          </cell>
        </row>
        <row r="163">
          <cell r="AJ163">
            <v>1</v>
          </cell>
        </row>
        <row r="163">
          <cell r="AL163">
            <v>15.5503512880562</v>
          </cell>
        </row>
        <row r="164">
          <cell r="AL164">
            <v>15.8269319672074</v>
          </cell>
        </row>
        <row r="169">
          <cell r="AJ169">
            <v>223.337060702875</v>
          </cell>
        </row>
        <row r="169">
          <cell r="AL169">
            <v>662.170337892988</v>
          </cell>
        </row>
        <row r="175">
          <cell r="AJ175">
            <v>0</v>
          </cell>
        </row>
        <row r="175">
          <cell r="AL175">
            <v>0</v>
          </cell>
        </row>
        <row r="185">
          <cell r="AJ185">
            <v>22.7871621621622</v>
          </cell>
        </row>
        <row r="185">
          <cell r="AL185">
            <v>58.261969463066</v>
          </cell>
        </row>
        <row r="187">
          <cell r="AJ187">
            <v>1.11111111111111</v>
          </cell>
        </row>
        <row r="187">
          <cell r="AL187">
            <v>4.87891862631152</v>
          </cell>
        </row>
        <row r="189">
          <cell r="AJ189">
            <v>35.2604651162791</v>
          </cell>
        </row>
        <row r="189">
          <cell r="AL189">
            <v>76.6745280028402</v>
          </cell>
        </row>
        <row r="190">
          <cell r="AJ190">
            <v>10.7154471544715</v>
          </cell>
        </row>
        <row r="190">
          <cell r="AL190">
            <v>29.1058216040643</v>
          </cell>
        </row>
        <row r="191">
          <cell r="AJ191">
            <v>15.5912162162162</v>
          </cell>
        </row>
        <row r="191">
          <cell r="AL191">
            <v>57.963869562459</v>
          </cell>
        </row>
        <row r="208">
          <cell r="AJ208">
            <v>57.1577902745616</v>
          </cell>
        </row>
        <row r="208">
          <cell r="AL208">
            <v>879.389101100234</v>
          </cell>
        </row>
        <row r="216">
          <cell r="AJ216">
            <v>2</v>
          </cell>
        </row>
        <row r="216">
          <cell r="AL216">
            <v>67.4496487119438</v>
          </cell>
        </row>
        <row r="217">
          <cell r="AL217">
            <v>196.502638340004</v>
          </cell>
        </row>
        <row r="222">
          <cell r="AJ222">
            <v>5.70809287268232</v>
          </cell>
        </row>
        <row r="222">
          <cell r="AL222">
            <v>25.7809824349116</v>
          </cell>
        </row>
        <row r="232">
          <cell r="AJ232">
            <v>1.07142857142857</v>
          </cell>
        </row>
        <row r="232">
          <cell r="AL232">
            <v>11.5967885816235</v>
          </cell>
        </row>
        <row r="237">
          <cell r="AJ237">
            <v>22.7871621621622</v>
          </cell>
        </row>
        <row r="237">
          <cell r="AL237">
            <v>2191.90578108148</v>
          </cell>
        </row>
        <row r="240">
          <cell r="AJ240">
            <v>28.125</v>
          </cell>
        </row>
        <row r="240">
          <cell r="AL240">
            <v>228.594548551959</v>
          </cell>
        </row>
        <row r="245">
          <cell r="AJ245">
            <v>0</v>
          </cell>
        </row>
        <row r="245">
          <cell r="AL245">
            <v>0</v>
          </cell>
        </row>
        <row r="246">
          <cell r="AJ246">
            <v>0</v>
          </cell>
        </row>
        <row r="246">
          <cell r="AL246">
            <v>0</v>
          </cell>
        </row>
        <row r="247">
          <cell r="AJ247">
            <v>2.26114649681529</v>
          </cell>
        </row>
        <row r="247">
          <cell r="AL247">
            <v>85.7865269524393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Sales_State"/>
      <sheetName val="TSERC Approved Sales"/>
      <sheetName val="Sales_SP"/>
      <sheetName val="Sales_NP (2)"/>
      <sheetName val="Sales_NP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  <sheetName val="P&amp;L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D4">
            <v>19071.0476300411</v>
          </cell>
        </row>
        <row r="5">
          <cell r="D5">
            <v>692.01</v>
          </cell>
        </row>
        <row r="7">
          <cell r="D7">
            <v>663.67245752543</v>
          </cell>
        </row>
        <row r="10">
          <cell r="D10">
            <v>17715.3651725156</v>
          </cell>
        </row>
        <row r="11">
          <cell r="D11">
            <v>2410.74</v>
          </cell>
        </row>
        <row r="13">
          <cell r="D13">
            <v>667.869267003842</v>
          </cell>
        </row>
        <row r="14">
          <cell r="D14">
            <v>0.0377000000000001</v>
          </cell>
        </row>
        <row r="16">
          <cell r="D16">
            <v>14636.7559055118</v>
          </cell>
        </row>
        <row r="17">
          <cell r="D17">
            <v>5541.54</v>
          </cell>
        </row>
        <row r="18">
          <cell r="D18">
            <v>8399.97</v>
          </cell>
        </row>
        <row r="19">
          <cell r="D19">
            <v>695.245905511811</v>
          </cell>
        </row>
        <row r="25">
          <cell r="D25">
            <v>4086.03</v>
          </cell>
        </row>
        <row r="33">
          <cell r="D33">
            <v>593.771221283107</v>
          </cell>
        </row>
        <row r="34">
          <cell r="D34">
            <v>321.771148675816</v>
          </cell>
        </row>
        <row r="41">
          <cell r="D41">
            <v>24072.62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41">
          <cell r="I141">
            <v>441.5999028</v>
          </cell>
        </row>
        <row r="142">
          <cell r="I142">
            <v>137.17</v>
          </cell>
        </row>
        <row r="143">
          <cell r="I143">
            <v>-1271.09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CAGR-Sales_month"/>
      <sheetName val="Deration_COVID"/>
      <sheetName val="FY18-19 Actual Sales "/>
      <sheetName val="FY19-20 Actual Sales"/>
      <sheetName val="FY19-20 Sales"/>
      <sheetName val="FY20-21 Actual Sales"/>
      <sheetName val="FY21-22 Projections (22)"/>
      <sheetName val="FY21-22 Actual Sales "/>
      <sheetName val="FY24-25 Projections"/>
      <sheetName val="LIS 2024-25"/>
      <sheetName val="Railway Traction"/>
      <sheetName val="EV Stations 24-25"/>
      <sheetName val="FY24-25 Projections (2)"/>
      <sheetName val="Textile Park"/>
      <sheetName val="FY22-23 Actual Sales  "/>
      <sheetName val="FY23-24 Sales  "/>
      <sheetName val="FY23-24 Sales   (2)"/>
      <sheetName val="Sales Reduction SCCL 24-25"/>
      <sheetName val="FY23-24 Rev(Current Tariff)"/>
      <sheetName val="FY24-25 Rev(Current Tariff) "/>
      <sheetName val="FY24-25 Rev(Proposed Tariff)"/>
      <sheetName val="FY23-24 Rev(Proposed Tariff (2"/>
      <sheetName val="Sales Reduction SCCL 23-24 "/>
      <sheetName val="EV Stations 23-24"/>
      <sheetName val="LIS 2023-24"/>
      <sheetName val="LIS RP"/>
      <sheetName val="Agl Details 5 years"/>
      <sheetName val="agl"/>
      <sheetName val="HMWSSB"/>
      <sheetName val="LIS TSTRANSCO"/>
      <sheetName val="LIS (TSTRANSCO) 22-23"/>
      <sheetName val="LIS (TSTRANSCO) 22-23 (2)"/>
      <sheetName val="Sheet1"/>
      <sheetName val="Sheet3"/>
      <sheetName val="FY21-22 Rev(Proposed Tariff)"/>
      <sheetName val="FY20-21 Projections (3)"/>
      <sheetName val="FY20-21 Rev(Proposed Tariff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70">
          <cell r="G70">
            <v>1334.30671</v>
          </cell>
          <cell r="H70">
            <v>829.49526</v>
          </cell>
          <cell r="I70">
            <v>756.198627</v>
          </cell>
          <cell r="J70">
            <v>751.914356</v>
          </cell>
          <cell r="K70">
            <v>1136.7870838</v>
          </cell>
          <cell r="L70">
            <v>1068.13491</v>
          </cell>
          <cell r="M70">
            <v>921.940612</v>
          </cell>
          <cell r="N70">
            <v>772.752856</v>
          </cell>
          <cell r="O70">
            <v>1164.025478</v>
          </cell>
          <cell r="P70">
            <v>1356.222141</v>
          </cell>
          <cell r="Q70">
            <v>1501.506876</v>
          </cell>
          <cell r="R70">
            <v>1710.831713</v>
          </cell>
        </row>
        <row r="75">
          <cell r="G75">
            <v>237.16987799</v>
          </cell>
          <cell r="H75">
            <v>155.44521056</v>
          </cell>
          <cell r="I75">
            <v>178.71650135</v>
          </cell>
          <cell r="J75">
            <v>154.7246594</v>
          </cell>
          <cell r="K75">
            <v>178.47259766</v>
          </cell>
          <cell r="L75">
            <v>207.06300263</v>
          </cell>
          <cell r="M75">
            <v>182.0136128</v>
          </cell>
          <cell r="N75">
            <v>162.94037407</v>
          </cell>
          <cell r="O75">
            <v>204.22081157</v>
          </cell>
          <cell r="P75">
            <v>230.80941757</v>
          </cell>
          <cell r="Q75">
            <v>233.85216882</v>
          </cell>
          <cell r="R75">
            <v>329.77432229</v>
          </cell>
        </row>
        <row r="107">
          <cell r="G107">
            <v>58.31552941</v>
          </cell>
          <cell r="H107">
            <v>52.78139355</v>
          </cell>
          <cell r="I107">
            <v>46.0318159999999</v>
          </cell>
          <cell r="J107">
            <v>40.450057</v>
          </cell>
          <cell r="K107">
            <v>43.6173797</v>
          </cell>
          <cell r="L107">
            <v>43.0466365399999</v>
          </cell>
          <cell r="M107">
            <v>42.25021423</v>
          </cell>
          <cell r="N107">
            <v>43.659411</v>
          </cell>
          <cell r="O107">
            <v>46.749057</v>
          </cell>
          <cell r="P107">
            <v>47.6852415</v>
          </cell>
          <cell r="Q107">
            <v>50.2624139999999</v>
          </cell>
          <cell r="R107">
            <v>63.044438883871</v>
          </cell>
        </row>
        <row r="133">
          <cell r="G133">
            <v>283.77027998</v>
          </cell>
          <cell r="H133">
            <v>253.02448682</v>
          </cell>
          <cell r="I133">
            <v>124.76130942</v>
          </cell>
          <cell r="J133">
            <v>128.38350609</v>
          </cell>
          <cell r="K133">
            <v>190.07336719</v>
          </cell>
          <cell r="L133">
            <v>135.68933348</v>
          </cell>
          <cell r="M133">
            <v>157.58112155</v>
          </cell>
          <cell r="N133">
            <v>125.21098999</v>
          </cell>
          <cell r="O133">
            <v>126.31962293</v>
          </cell>
          <cell r="P133">
            <v>206.95628235</v>
          </cell>
          <cell r="Q133">
            <v>387.51832206</v>
          </cell>
          <cell r="R133">
            <v>793.450004642919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"/>
    </sheetNames>
    <sheetDataSet>
      <sheetData sheetId="0" refreshError="1">
        <row r="8">
          <cell r="E8">
            <v>55.0897612799995</v>
          </cell>
        </row>
        <row r="26">
          <cell r="E26">
            <v>1832.145401877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-DM"/>
      <sheetName val="FORMAT 4 I&amp;R-CUM"/>
    </sheetNames>
    <sheetDataSet>
      <sheetData sheetId="0" refreshError="1">
        <row r="8">
          <cell r="E8">
            <v>35.1235206000001</v>
          </cell>
        </row>
        <row r="17">
          <cell r="E17">
            <v>41.2309657423641</v>
          </cell>
        </row>
        <row r="23">
          <cell r="E23">
            <v>49.6078310068357</v>
          </cell>
        </row>
        <row r="26">
          <cell r="E26">
            <v>1168.3626799092</v>
          </cell>
        </row>
      </sheetData>
      <sheetData sheetId="1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 Cum"/>
      <sheetName val="FORMAT 4 I&amp;R"/>
    </sheetNames>
    <sheetDataSet>
      <sheetData sheetId="0" refreshError="1"/>
      <sheetData sheetId="1" refreshError="1">
        <row r="8">
          <cell r="E8">
            <v>32.78912599</v>
          </cell>
        </row>
        <row r="17">
          <cell r="E17">
            <v>37.2092282532992</v>
          </cell>
        </row>
        <row r="23">
          <cell r="E23">
            <v>37.1552754007006</v>
          </cell>
        </row>
        <row r="26">
          <cell r="E26">
            <v>1092.874801994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"/>
      <sheetName val="FORMAT 4 I&amp;R Cum"/>
    </sheetNames>
    <sheetDataSet>
      <sheetData sheetId="0" refreshError="1">
        <row r="8">
          <cell r="E8">
            <v>32.58311643</v>
          </cell>
        </row>
        <row r="17">
          <cell r="E17">
            <v>37.3640751724801</v>
          </cell>
        </row>
        <row r="23">
          <cell r="E23">
            <v>44.7411039275199</v>
          </cell>
        </row>
        <row r="26">
          <cell r="E26">
            <v>1064.76577893</v>
          </cell>
        </row>
      </sheetData>
      <sheetData sheetId="1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 DM"/>
      <sheetName val="FORMAT 4 I&amp;R Cum"/>
    </sheetNames>
    <sheetDataSet>
      <sheetData sheetId="0" refreshError="1">
        <row r="8">
          <cell r="E8">
            <v>45.77445016</v>
          </cell>
        </row>
        <row r="17">
          <cell r="E17">
            <v>56.081814608624</v>
          </cell>
        </row>
        <row r="23">
          <cell r="E23">
            <v>58.9573205338761</v>
          </cell>
        </row>
        <row r="26">
          <cell r="E26">
            <v>1523.7414107625</v>
          </cell>
        </row>
      </sheetData>
      <sheetData sheetId="1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 (2)"/>
      <sheetName val="FORMAT 4 I&amp;R"/>
    </sheetNames>
    <sheetDataSet>
      <sheetData sheetId="0" refreshError="1">
        <row r="8">
          <cell r="E8">
            <v>47.0096869199997</v>
          </cell>
        </row>
        <row r="17">
          <cell r="E17">
            <v>52.9042522006791</v>
          </cell>
        </row>
        <row r="23">
          <cell r="E23">
            <v>59.8593244216208</v>
          </cell>
        </row>
        <row r="26">
          <cell r="E26">
            <v>1482.6473351723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04REL"/>
      <sheetName val="Daily_input"/>
      <sheetName val="Daily_report"/>
      <sheetName val="Instruction Sheet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 Cum"/>
      <sheetName val="FORMAT 4 I&amp;R"/>
    </sheetNames>
    <sheetDataSet>
      <sheetData sheetId="0" refreshError="1"/>
      <sheetData sheetId="1" refreshError="1">
        <row r="8">
          <cell r="E8">
            <v>39.3810927900001</v>
          </cell>
        </row>
        <row r="17">
          <cell r="E17">
            <v>45.704762744041</v>
          </cell>
        </row>
        <row r="23">
          <cell r="E23">
            <v>52.5502222211588</v>
          </cell>
        </row>
        <row r="26">
          <cell r="E26">
            <v>1287.5364685552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-Cum"/>
      <sheetName val="FORMAT 4 I&amp;R"/>
    </sheetNames>
    <sheetDataSet>
      <sheetData sheetId="0" refreshError="1"/>
      <sheetData sheetId="1" refreshError="1">
        <row r="8">
          <cell r="E8">
            <v>32.6473923000003</v>
          </cell>
        </row>
        <row r="17">
          <cell r="E17">
            <v>38.2358925021382</v>
          </cell>
        </row>
        <row r="23">
          <cell r="E23">
            <v>42.4909948491619</v>
          </cell>
        </row>
        <row r="26">
          <cell r="E26">
            <v>1097.0479517213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"/>
      <sheetName val="FORMAT 4 I&amp;R - CUM"/>
    </sheetNames>
    <sheetDataSet>
      <sheetData sheetId="0" refreshError="1">
        <row r="8">
          <cell r="E8">
            <v>47.9215044600001</v>
          </cell>
        </row>
        <row r="17">
          <cell r="E17">
            <v>58.2000974103091</v>
          </cell>
        </row>
        <row r="23">
          <cell r="E23">
            <v>76.8837417840907</v>
          </cell>
        </row>
        <row r="26">
          <cell r="E26">
            <v>1602.2019522244</v>
          </cell>
        </row>
      </sheetData>
      <sheetData sheetId="1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"/>
      <sheetName val="FORMAT 4 I&amp;R-Cum"/>
    </sheetNames>
    <sheetDataSet>
      <sheetData sheetId="0" refreshError="1">
        <row r="8">
          <cell r="E8">
            <v>56.8180122500005</v>
          </cell>
        </row>
        <row r="17">
          <cell r="E17">
            <v>67.0021199200639</v>
          </cell>
        </row>
        <row r="23">
          <cell r="E23">
            <v>72.3587730099359</v>
          </cell>
        </row>
        <row r="26">
          <cell r="E26">
            <v>1836.85308675</v>
          </cell>
        </row>
      </sheetData>
      <sheetData sheetId="1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"/>
      <sheetName val="FORMAT 4 I&amp;R-cum"/>
    </sheetNames>
    <sheetDataSet>
      <sheetData sheetId="0" refreshError="1">
        <row r="8">
          <cell r="E8">
            <v>56.5816713299998</v>
          </cell>
        </row>
        <row r="17">
          <cell r="E17">
            <v>74.2391141030471</v>
          </cell>
        </row>
        <row r="23">
          <cell r="E23">
            <v>81.3770925542531</v>
          </cell>
        </row>
        <row r="26">
          <cell r="E26">
            <v>2004.1690588073</v>
          </cell>
        </row>
      </sheetData>
      <sheetData sheetId="1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"/>
      <sheetName val="FORMAT 4 I&amp;R -c"/>
    </sheetNames>
    <sheetDataSet>
      <sheetData sheetId="0" refreshError="1">
        <row r="8">
          <cell r="E8">
            <v>66.3798874199997</v>
          </cell>
        </row>
        <row r="17">
          <cell r="E17">
            <v>35.436676759608</v>
          </cell>
        </row>
        <row r="26">
          <cell r="E26">
            <v>2235.1255906904</v>
          </cell>
        </row>
      </sheetData>
      <sheetData sheetId="1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"/>
    </sheetNames>
    <sheetDataSet>
      <sheetData sheetId="0" refreshError="1">
        <row r="17">
          <cell r="E17">
            <v>66.1628149865537</v>
          </cell>
        </row>
        <row r="23">
          <cell r="E23">
            <v>76.3790238204467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Legend"/>
      <sheetName val="ACOS calc."/>
      <sheetName val="Other ARR"/>
      <sheetName val="PP summary"/>
      <sheetName val="FY 2022-23 Actual"/>
      <sheetName val="Sales_SP"/>
      <sheetName val="Sales_NP"/>
      <sheetName val="Rqmnt"/>
      <sheetName val="1. Gen"/>
      <sheetName val="2. PPC_act"/>
      <sheetName val="4. Gen_Cost"/>
      <sheetName val="3. MoD"/>
      <sheetName val="Dispatch"/>
      <sheetName val="ST,D-D"/>
      <sheetName val="POC,STU"/>
      <sheetName val="4.1 TS"/>
      <sheetName val="1.4 TS"/>
      <sheetName val="RSF"/>
      <sheetName val="BTPS FC"/>
      <sheetName val="4.1 CGS"/>
      <sheetName val="Other stns"/>
      <sheetName val="1.4 CGS"/>
      <sheetName val="PP Cost Input 20-21"/>
      <sheetName val="Rev Impact_PWW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7">
          <cell r="Y7">
            <v>1639.901</v>
          </cell>
          <cell r="Z7">
            <v>1089.940047</v>
          </cell>
          <cell r="AA7">
            <v>1302.363547</v>
          </cell>
          <cell r="AB7">
            <v>1367.6391233639</v>
          </cell>
          <cell r="AC7">
            <v>1938.49846313045</v>
          </cell>
          <cell r="AD7">
            <v>1563.76301808589</v>
          </cell>
          <cell r="AE7">
            <v>1351.83192399775</v>
          </cell>
          <cell r="AF7">
            <v>1155.26600733347</v>
          </cell>
          <cell r="AG7">
            <v>1669.17051497448</v>
          </cell>
          <cell r="AH7">
            <v>1928.2069534827</v>
          </cell>
          <cell r="AI7">
            <v>2106.96587580812</v>
          </cell>
          <cell r="AJ7">
            <v>2479.15082148307</v>
          </cell>
        </row>
        <row r="9">
          <cell r="Y9">
            <v>54.676074</v>
          </cell>
          <cell r="Z9">
            <v>55.536737</v>
          </cell>
          <cell r="AA9">
            <v>50.5677</v>
          </cell>
          <cell r="AB9">
            <v>49.379404</v>
          </cell>
          <cell r="AC9">
            <v>50.445635</v>
          </cell>
          <cell r="AD9">
            <v>51.2777005</v>
          </cell>
          <cell r="AE9">
            <v>45.222863233592</v>
          </cell>
          <cell r="AF9">
            <v>46.8385422108339</v>
          </cell>
          <cell r="AG9">
            <v>49.9427166516537</v>
          </cell>
          <cell r="AH9">
            <v>50.9269293838812</v>
          </cell>
          <cell r="AI9">
            <v>53.6001284798537</v>
          </cell>
          <cell r="AJ9">
            <v>67.1303066997459</v>
          </cell>
        </row>
        <row r="11">
          <cell r="Y11">
            <v>53.3346206089939</v>
          </cell>
          <cell r="Z11">
            <v>33.9987116335313</v>
          </cell>
          <cell r="AA11">
            <v>39.7589547604534</v>
          </cell>
          <cell r="AB11">
            <v>42.2949489954249</v>
          </cell>
          <cell r="AC11">
            <v>59.8495748923565</v>
          </cell>
          <cell r="AD11">
            <v>46.0498423112981</v>
          </cell>
          <cell r="AE11">
            <v>51.3020215157146</v>
          </cell>
          <cell r="AF11">
            <v>43.8423449783052</v>
          </cell>
          <cell r="AG11">
            <v>63.3450210432813</v>
          </cell>
          <cell r="AH11">
            <v>73.1754538846687</v>
          </cell>
          <cell r="AI11">
            <v>79.9593549869182</v>
          </cell>
          <cell r="AJ11">
            <v>94.0837736752828</v>
          </cell>
        </row>
        <row r="16">
          <cell r="Y16">
            <v>1531.89030539101</v>
          </cell>
          <cell r="Z16">
            <v>1000.40459836647</v>
          </cell>
          <cell r="AA16">
            <v>1212.03689223955</v>
          </cell>
          <cell r="AB16">
            <v>1275.96477036847</v>
          </cell>
          <cell r="AC16">
            <v>1828.2032532381</v>
          </cell>
          <cell r="AD16">
            <v>1466.43547527459</v>
          </cell>
          <cell r="AE16">
            <v>1255.30703924844</v>
          </cell>
          <cell r="AF16">
            <v>1064.58512014433</v>
          </cell>
          <cell r="AG16">
            <v>1555.88277727954</v>
          </cell>
          <cell r="AH16">
            <v>1804.10457021415</v>
          </cell>
          <cell r="AI16">
            <v>1973.40639234135</v>
          </cell>
          <cell r="AJ16">
            <v>2317.93674110804</v>
          </cell>
        </row>
        <row r="20">
          <cell r="Y20">
            <v>202.02283174</v>
          </cell>
          <cell r="Z20">
            <v>151.8007619</v>
          </cell>
          <cell r="AA20">
            <v>187.94921158</v>
          </cell>
          <cell r="AB20">
            <v>210.19893706</v>
          </cell>
          <cell r="AC20">
            <v>224.79858078</v>
          </cell>
          <cell r="AD20">
            <v>208.73916088</v>
          </cell>
          <cell r="AE20">
            <v>195.165594257426</v>
          </cell>
          <cell r="AF20">
            <v>175.605477132891</v>
          </cell>
          <cell r="AG20">
            <v>218.873459932373</v>
          </cell>
          <cell r="AH20">
            <v>246.68042355386</v>
          </cell>
          <cell r="AI20">
            <v>250.065061709641</v>
          </cell>
          <cell r="AJ20">
            <v>351.675575916599</v>
          </cell>
        </row>
        <row r="22">
          <cell r="Y22">
            <v>59.5795201547701</v>
          </cell>
          <cell r="Z22">
            <v>38.0174254137423</v>
          </cell>
          <cell r="AA22">
            <v>45.879341227918</v>
          </cell>
          <cell r="AB22">
            <v>47.7462952153362</v>
          </cell>
          <cell r="AC22">
            <v>71.8325655079175</v>
          </cell>
          <cell r="AD22">
            <v>56.3449187514382</v>
          </cell>
          <cell r="AE22">
            <v>46.5718911561173</v>
          </cell>
          <cell r="AF22">
            <v>39.4961079573548</v>
          </cell>
          <cell r="AG22">
            <v>57.7232510370711</v>
          </cell>
          <cell r="AH22">
            <v>66.9322795549451</v>
          </cell>
          <cell r="AI22">
            <v>73.213377155864</v>
          </cell>
          <cell r="AJ22">
            <v>85.9954530951086</v>
          </cell>
        </row>
        <row r="27">
          <cell r="Y27">
            <v>1270.28795349624</v>
          </cell>
          <cell r="Z27">
            <v>810.586411052726</v>
          </cell>
          <cell r="AA27">
            <v>978.208339431629</v>
          </cell>
          <cell r="AB27">
            <v>1018.01953809314</v>
          </cell>
          <cell r="AC27">
            <v>1531.57210695018</v>
          </cell>
          <cell r="AD27">
            <v>1201.35139564316</v>
          </cell>
          <cell r="AE27">
            <v>1013.5695538349</v>
          </cell>
          <cell r="AF27">
            <v>849.483535054085</v>
          </cell>
          <cell r="AG27">
            <v>1279.2860663101</v>
          </cell>
          <cell r="AH27">
            <v>1490.49186710535</v>
          </cell>
          <cell r="AI27">
            <v>1650.12795347584</v>
          </cell>
          <cell r="AJ27">
            <v>1880.26571209634</v>
          </cell>
        </row>
        <row r="28">
          <cell r="Y28">
            <v>477.770753</v>
          </cell>
          <cell r="Z28">
            <v>507.774033</v>
          </cell>
          <cell r="AA28">
            <v>620.484572</v>
          </cell>
          <cell r="AB28">
            <v>553.32313</v>
          </cell>
          <cell r="AC28">
            <v>463.05807</v>
          </cell>
          <cell r="AD28">
            <v>516.022329</v>
          </cell>
          <cell r="AE28">
            <v>471.343208689247</v>
          </cell>
          <cell r="AF28">
            <v>431.493317744179</v>
          </cell>
          <cell r="AG28">
            <v>383.439336359298</v>
          </cell>
          <cell r="AH28">
            <v>403.22414901916</v>
          </cell>
          <cell r="AI28">
            <v>397.039059546167</v>
          </cell>
          <cell r="AJ28">
            <v>401.15333790805</v>
          </cell>
        </row>
        <row r="29">
          <cell r="Y29">
            <v>727.851547498423</v>
          </cell>
          <cell r="Z29">
            <v>259.208</v>
          </cell>
          <cell r="AA29">
            <v>305.685</v>
          </cell>
          <cell r="AB29">
            <v>410.391</v>
          </cell>
          <cell r="AC29">
            <v>996.888</v>
          </cell>
          <cell r="AD29">
            <v>623.034024379734</v>
          </cell>
          <cell r="AE29">
            <v>497.1225</v>
          </cell>
          <cell r="AF29">
            <v>380.1882</v>
          </cell>
          <cell r="AG29">
            <v>838.9185</v>
          </cell>
          <cell r="AH29">
            <v>1020.94083</v>
          </cell>
          <cell r="AI29">
            <v>1179.6582</v>
          </cell>
          <cell r="AJ29">
            <v>1395.44055</v>
          </cell>
        </row>
        <row r="30">
          <cell r="Y30">
            <v>64.6656529978131</v>
          </cell>
          <cell r="Z30">
            <v>43.6043780527265</v>
          </cell>
          <cell r="AA30">
            <v>52.0387674316285</v>
          </cell>
          <cell r="AB30">
            <v>54.3054080931386</v>
          </cell>
          <cell r="AC30">
            <v>71.626036950179</v>
          </cell>
          <cell r="AD30">
            <v>62.2950422634219</v>
          </cell>
          <cell r="AE30">
            <v>45.1038451456531</v>
          </cell>
          <cell r="AF30">
            <v>37.8020173099068</v>
          </cell>
          <cell r="AG30">
            <v>56.9282299507993</v>
          </cell>
          <cell r="AH30">
            <v>66.3268880861881</v>
          </cell>
          <cell r="AI30">
            <v>73.4306939296748</v>
          </cell>
          <cell r="AJ30">
            <v>83.671824188287</v>
          </cell>
        </row>
        <row r="37">
          <cell r="Y37">
            <v>357.64328812</v>
          </cell>
          <cell r="Z37">
            <v>169.47063178</v>
          </cell>
          <cell r="AA37">
            <v>127.54531446</v>
          </cell>
          <cell r="AB37">
            <v>380.26127379</v>
          </cell>
          <cell r="AC37">
            <v>126.35375582</v>
          </cell>
          <cell r="AD37">
            <v>175.13891324</v>
          </cell>
          <cell r="AE37">
            <v>163.165623510031</v>
          </cell>
          <cell r="AF37">
            <v>130.672333041741</v>
          </cell>
          <cell r="AG37">
            <v>132.125025618489</v>
          </cell>
          <cell r="AH37">
            <v>212.345780997261</v>
          </cell>
          <cell r="AI37">
            <v>393.015329086637</v>
          </cell>
          <cell r="AJ37">
            <v>799.994474587624</v>
          </cell>
        </row>
        <row r="47">
          <cell r="Y47">
            <v>47.02509583087</v>
          </cell>
          <cell r="Z47">
            <v>28.9889926061893</v>
          </cell>
          <cell r="AA47">
            <v>31.5678980044317</v>
          </cell>
          <cell r="AB47">
            <v>40.9650180071889</v>
          </cell>
          <cell r="AC47">
            <v>48.6096223499083</v>
          </cell>
          <cell r="AD47">
            <v>42.5773549417978</v>
          </cell>
          <cell r="AE47">
            <v>38.846090961738</v>
          </cell>
          <cell r="AF47">
            <v>32.9727779583388</v>
          </cell>
          <cell r="AG47">
            <v>46.1870651434094</v>
          </cell>
          <cell r="AH47">
            <v>54.8859675507683</v>
          </cell>
          <cell r="AI47">
            <v>64.1020821767886</v>
          </cell>
          <cell r="AJ47">
            <v>84.0806486171974</v>
          </cell>
        </row>
        <row r="48">
          <cell r="Y48">
            <v>361.602336868388</v>
          </cell>
          <cell r="Z48">
            <v>282.801786565672</v>
          </cell>
          <cell r="AA48">
            <v>346.696951278636</v>
          </cell>
          <cell r="AB48">
            <v>325.382772741616</v>
          </cell>
          <cell r="AC48">
            <v>368.303061456714</v>
          </cell>
          <cell r="AD48">
            <v>427.169443457114</v>
          </cell>
          <cell r="AE48">
            <v>286.165137046143</v>
          </cell>
          <cell r="AF48">
            <v>433.896080546484</v>
          </cell>
          <cell r="AG48">
            <v>521.354560973246</v>
          </cell>
          <cell r="AH48">
            <v>669.400432915461</v>
          </cell>
          <cell r="AI48">
            <v>659.25030049562</v>
          </cell>
          <cell r="AJ48">
            <v>718.353645898703</v>
          </cell>
        </row>
        <row r="49">
          <cell r="Y49">
            <v>165.996352736</v>
          </cell>
          <cell r="Z49">
            <v>162.098377241</v>
          </cell>
          <cell r="AA49">
            <v>166.16171139375</v>
          </cell>
          <cell r="AB49">
            <v>170.7932827075</v>
          </cell>
          <cell r="AC49">
            <v>166.94892167375</v>
          </cell>
          <cell r="AD49">
            <v>158.106942171</v>
          </cell>
          <cell r="AE49">
            <v>155.4570238085</v>
          </cell>
          <cell r="AF49">
            <v>132.3599577825</v>
          </cell>
          <cell r="AG49">
            <v>122.518480651402</v>
          </cell>
          <cell r="AH49">
            <v>183.9302106</v>
          </cell>
          <cell r="AI49">
            <v>168.0349854</v>
          </cell>
          <cell r="AJ49">
            <v>183.9302106</v>
          </cell>
        </row>
        <row r="52">
          <cell r="Y52">
            <v>20.7346285014525</v>
          </cell>
          <cell r="Z52">
            <v>15.9274258642789</v>
          </cell>
          <cell r="AA52">
            <v>16.8730500019215</v>
          </cell>
          <cell r="AB52">
            <v>17.415779546264</v>
          </cell>
          <cell r="AC52">
            <v>18.0379918314966</v>
          </cell>
          <cell r="AD52">
            <v>20.484673496984</v>
          </cell>
          <cell r="AE52">
            <v>17.3042283361544</v>
          </cell>
          <cell r="AF52">
            <v>22.1877991018573</v>
          </cell>
          <cell r="AG52">
            <v>25.2290920143258</v>
          </cell>
          <cell r="AH52">
            <v>33.4363390484142</v>
          </cell>
          <cell r="AI52">
            <v>32.41579511901</v>
          </cell>
          <cell r="AJ52">
            <v>35.3544891104742</v>
          </cell>
        </row>
        <row r="55">
          <cell r="Y55">
            <v>2065.30401245232</v>
          </cell>
          <cell r="Z55">
            <v>1304.32709725047</v>
          </cell>
          <cell r="AA55">
            <v>1478.34980946635</v>
          </cell>
          <cell r="AB55">
            <v>1806.28119470735</v>
          </cell>
          <cell r="AC55">
            <v>2131.49983313186</v>
          </cell>
          <cell r="AD55">
            <v>1801.96395976467</v>
          </cell>
          <cell r="AE55">
            <v>1571.14786680567</v>
          </cell>
          <cell r="AF55">
            <v>1341.09891743541</v>
          </cell>
          <cell r="AG55">
            <v>1872.7116977507</v>
          </cell>
          <cell r="AH55">
            <v>2228.87504107915</v>
          </cell>
          <cell r="AI55">
            <v>2596.49908219055</v>
          </cell>
          <cell r="AJ55">
            <v>3398.58043379837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1.4 CGS"/>
      <sheetName val="Legend"/>
      <sheetName val="Inputs to COS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"/>
      <sheetName val="ST,D-D"/>
      <sheetName val="TGSPDCL MoD"/>
      <sheetName val="NCE - Summry"/>
      <sheetName val="Station wise Cost - FY25"/>
      <sheetName val="Source wise - Cost"/>
      <sheetName val="MoD"/>
      <sheetName val="TGNPDCL MoD for disp"/>
      <sheetName val="TGNPDCL MoD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MoD_Model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9">
          <cell r="G59">
            <v>1050.4895</v>
          </cell>
        </row>
        <row r="60">
          <cell r="G60">
            <v>27.5145</v>
          </cell>
        </row>
      </sheetData>
      <sheetData sheetId="23"/>
      <sheetData sheetId="24"/>
      <sheetData sheetId="25">
        <row r="7">
          <cell r="L7">
            <v>4960.86149054326</v>
          </cell>
          <cell r="M7">
            <v>4604.62809702389</v>
          </cell>
          <cell r="N7">
            <v>4305.44001034167</v>
          </cell>
          <cell r="O7">
            <v>4139.05631021624</v>
          </cell>
          <cell r="P7">
            <v>4634.4087901974</v>
          </cell>
          <cell r="Q7">
            <v>4521.70504882149</v>
          </cell>
          <cell r="R7">
            <v>4150.90685378409</v>
          </cell>
          <cell r="S7">
            <v>3908.03175475384</v>
          </cell>
          <cell r="T7">
            <v>4311.40097207527</v>
          </cell>
          <cell r="U7">
            <v>4877.39503697836</v>
          </cell>
          <cell r="V7">
            <v>4920.82540341807</v>
          </cell>
          <cell r="W7">
            <v>5871.31211630644</v>
          </cell>
        </row>
        <row r="9">
          <cell r="L9">
            <v>821.213229103455</v>
          </cell>
          <cell r="M9">
            <v>880.268077244213</v>
          </cell>
          <cell r="N9">
            <v>864.529712830856</v>
          </cell>
          <cell r="O9">
            <v>845.603672437672</v>
          </cell>
          <cell r="P9">
            <v>866.410545955145</v>
          </cell>
          <cell r="Q9">
            <v>835.583501176169</v>
          </cell>
          <cell r="R9">
            <v>847.465967986751</v>
          </cell>
          <cell r="S9">
            <v>847.752153700846</v>
          </cell>
          <cell r="T9">
            <v>847.537489085641</v>
          </cell>
          <cell r="U9">
            <v>848.639028544201</v>
          </cell>
          <cell r="V9">
            <v>836.264714942398</v>
          </cell>
          <cell r="W9">
            <v>946.609754112135</v>
          </cell>
        </row>
        <row r="11">
          <cell r="L11">
            <v>156.763223101167</v>
          </cell>
          <cell r="M11">
            <v>145.506247865955</v>
          </cell>
          <cell r="N11">
            <v>136.051904326797</v>
          </cell>
          <cell r="O11">
            <v>130.794179402833</v>
          </cell>
          <cell r="P11">
            <v>146.447317770238</v>
          </cell>
          <cell r="Q11">
            <v>142.885879542759</v>
          </cell>
          <cell r="R11">
            <v>131.168656579577</v>
          </cell>
          <cell r="S11">
            <v>123.493803450221</v>
          </cell>
          <cell r="T11">
            <v>136.240270717579</v>
          </cell>
          <cell r="U11">
            <v>154.125683168516</v>
          </cell>
          <cell r="V11">
            <v>155.498082748011</v>
          </cell>
          <cell r="W11">
            <v>185.533462875283</v>
          </cell>
        </row>
        <row r="19">
          <cell r="L19">
            <v>3982.88503833864</v>
          </cell>
          <cell r="M19">
            <v>3578.85377191373</v>
          </cell>
          <cell r="N19">
            <v>3304.85839318402</v>
          </cell>
          <cell r="O19">
            <v>3162.65845837574</v>
          </cell>
          <cell r="P19">
            <v>3621.55092647202</v>
          </cell>
          <cell r="Q19">
            <v>3543.23566810256</v>
          </cell>
          <cell r="R19">
            <v>3172.27222921776</v>
          </cell>
          <cell r="S19">
            <v>2936.78579760278</v>
          </cell>
          <cell r="T19">
            <v>3327.62321227205</v>
          </cell>
          <cell r="U19">
            <v>3874.63032526564</v>
          </cell>
          <cell r="V19">
            <v>3929.06260572766</v>
          </cell>
          <cell r="W19">
            <v>4739.16889931902</v>
          </cell>
        </row>
        <row r="20">
          <cell r="L20">
            <v>710.683939612215</v>
          </cell>
          <cell r="M20">
            <v>751.799760838815</v>
          </cell>
          <cell r="N20">
            <v>740.46635444085</v>
          </cell>
          <cell r="O20">
            <v>680.390866486305</v>
          </cell>
          <cell r="P20">
            <v>719.100635528816</v>
          </cell>
          <cell r="Q20">
            <v>675.407749108858</v>
          </cell>
          <cell r="R20">
            <v>697.357251931894</v>
          </cell>
          <cell r="S20">
            <v>681.785069108836</v>
          </cell>
          <cell r="T20">
            <v>686.848801343555</v>
          </cell>
          <cell r="U20">
            <v>675.767372985707</v>
          </cell>
          <cell r="V20">
            <v>690.121473756568</v>
          </cell>
          <cell r="W20">
            <v>761.619573655125</v>
          </cell>
        </row>
        <row r="22">
          <cell r="L22">
            <v>160.908555548881</v>
          </cell>
          <cell r="M22">
            <v>144.585692385314</v>
          </cell>
          <cell r="N22">
            <v>133.516279084634</v>
          </cell>
          <cell r="O22">
            <v>127.77140171838</v>
          </cell>
          <cell r="P22">
            <v>146.310657429469</v>
          </cell>
          <cell r="Q22">
            <v>143.146720991343</v>
          </cell>
          <cell r="R22">
            <v>128.159798060397</v>
          </cell>
          <cell r="S22">
            <v>118.646146223152</v>
          </cell>
          <cell r="T22">
            <v>134.435977775791</v>
          </cell>
          <cell r="U22">
            <v>156.535065140732</v>
          </cell>
          <cell r="V22">
            <v>158.734129271398</v>
          </cell>
          <cell r="W22">
            <v>191.462423532488</v>
          </cell>
        </row>
        <row r="27">
          <cell r="L27">
            <v>3111.29254317754</v>
          </cell>
          <cell r="M27">
            <v>2682.4683186896</v>
          </cell>
          <cell r="N27">
            <v>2430.87575965854</v>
          </cell>
          <cell r="O27">
            <v>2354.49619017105</v>
          </cell>
          <cell r="P27">
            <v>2756.13963351373</v>
          </cell>
          <cell r="Q27">
            <v>2724.68119800236</v>
          </cell>
          <cell r="R27">
            <v>2346.75517922547</v>
          </cell>
          <cell r="S27">
            <v>2136.35458227079</v>
          </cell>
          <cell r="T27">
            <v>2506.33843315271</v>
          </cell>
          <cell r="U27">
            <v>3042.32788713921</v>
          </cell>
          <cell r="V27">
            <v>3080.2070026997</v>
          </cell>
          <cell r="W27">
            <v>3786.0869021314</v>
          </cell>
        </row>
        <row r="28">
          <cell r="L28">
            <v>1640.23982176714</v>
          </cell>
          <cell r="M28">
            <v>1930.40345224457</v>
          </cell>
          <cell r="N28">
            <v>1743.09062430561</v>
          </cell>
          <cell r="O28">
            <v>1419.57557103274</v>
          </cell>
          <cell r="P28">
            <v>1611.08429422755</v>
          </cell>
          <cell r="Q28">
            <v>1494.17946752366</v>
          </cell>
          <cell r="R28">
            <v>1496.26153131923</v>
          </cell>
          <cell r="S28">
            <v>1408.96328209543</v>
          </cell>
          <cell r="T28">
            <v>1288.31712957145</v>
          </cell>
          <cell r="U28">
            <v>1421.65004118322</v>
          </cell>
          <cell r="V28">
            <v>1362.93152147166</v>
          </cell>
          <cell r="W28">
            <v>1783.66963603666</v>
          </cell>
        </row>
        <row r="29">
          <cell r="L29">
            <v>1326.37761815265</v>
          </cell>
          <cell r="M29">
            <v>627.33008962596</v>
          </cell>
          <cell r="N29">
            <v>574.749412528806</v>
          </cell>
          <cell r="O29">
            <v>825.436546295359</v>
          </cell>
          <cell r="P29">
            <v>1016.89484632779</v>
          </cell>
          <cell r="Q29">
            <v>1103.80405477159</v>
          </cell>
          <cell r="R29">
            <v>741.369532072252</v>
          </cell>
          <cell r="S29">
            <v>628.050812099768</v>
          </cell>
          <cell r="T29">
            <v>1101.47656643966</v>
          </cell>
          <cell r="U29">
            <v>1479.20959920401</v>
          </cell>
          <cell r="V29">
            <v>1574.0458556025</v>
          </cell>
          <cell r="W29">
            <v>1826.36422514563</v>
          </cell>
        </row>
        <row r="30">
          <cell r="L30">
            <v>144.675103257756</v>
          </cell>
          <cell r="M30">
            <v>124.734776819066</v>
          </cell>
          <cell r="N30">
            <v>113.035722824122</v>
          </cell>
          <cell r="O30">
            <v>109.484072842954</v>
          </cell>
          <cell r="P30">
            <v>128.160492958389</v>
          </cell>
          <cell r="Q30">
            <v>126.69767570711</v>
          </cell>
          <cell r="R30">
            <v>109.124115833985</v>
          </cell>
          <cell r="S30">
            <v>99.3404880755918</v>
          </cell>
          <cell r="T30">
            <v>116.544737141601</v>
          </cell>
          <cell r="U30">
            <v>141.468246751973</v>
          </cell>
          <cell r="V30">
            <v>143.229625625536</v>
          </cell>
          <cell r="W30">
            <v>176.05304094911</v>
          </cell>
        </row>
        <row r="37">
          <cell r="L37">
            <v>722.02184301003</v>
          </cell>
          <cell r="M37">
            <v>695.379255589353</v>
          </cell>
          <cell r="N37">
            <v>721.000501573481</v>
          </cell>
          <cell r="O37">
            <v>726.304422563459</v>
          </cell>
          <cell r="P37">
            <v>896.930851464846</v>
          </cell>
          <cell r="Q37">
            <v>950.828686970505</v>
          </cell>
          <cell r="R37">
            <v>978.444831122421</v>
          </cell>
          <cell r="S37">
            <v>945.485711296329</v>
          </cell>
          <cell r="T37">
            <v>821.098211392909</v>
          </cell>
          <cell r="U37">
            <v>798.084126499628</v>
          </cell>
          <cell r="V37">
            <v>755.262517380684</v>
          </cell>
          <cell r="W37">
            <v>807.092354441205</v>
          </cell>
        </row>
        <row r="46">
          <cell r="L46">
            <v>5826.20805162322</v>
          </cell>
          <cell r="M46">
            <v>5433.67577672057</v>
          </cell>
          <cell r="N46">
            <v>5153.20946474796</v>
          </cell>
          <cell r="O46">
            <v>4988.06718554409</v>
          </cell>
          <cell r="P46">
            <v>5670.84236381202</v>
          </cell>
          <cell r="Q46">
            <v>5610.55334815664</v>
          </cell>
          <cell r="R46">
            <v>5258.71610099088</v>
          </cell>
          <cell r="S46">
            <v>4975.92522662515</v>
          </cell>
          <cell r="T46">
            <v>5261.94298079576</v>
          </cell>
          <cell r="U46">
            <v>5818.61714525117</v>
          </cell>
          <cell r="V46">
            <v>5819.2412556887</v>
          </cell>
          <cell r="W46">
            <v>6846.8366523966</v>
          </cell>
        </row>
        <row r="47">
          <cell r="L47">
            <v>143.324718069931</v>
          </cell>
          <cell r="M47">
            <v>133.668424107326</v>
          </cell>
          <cell r="N47">
            <v>126.7689528328</v>
          </cell>
          <cell r="O47">
            <v>122.706452764385</v>
          </cell>
          <cell r="P47">
            <v>139.502722149776</v>
          </cell>
          <cell r="Q47">
            <v>138.019612364653</v>
          </cell>
          <cell r="R47">
            <v>129.364416084376</v>
          </cell>
          <cell r="S47">
            <v>122.407760574979</v>
          </cell>
          <cell r="T47">
            <v>129.443797327576</v>
          </cell>
          <cell r="U47">
            <v>143.137981773179</v>
          </cell>
          <cell r="V47">
            <v>143.153334889942</v>
          </cell>
          <cell r="W47">
            <v>168.432181648956</v>
          </cell>
        </row>
        <row r="48">
          <cell r="L48">
            <v>735.173254274452</v>
          </cell>
          <cell r="M48">
            <v>746.069305634791</v>
          </cell>
          <cell r="N48">
            <v>653.256178116467</v>
          </cell>
          <cell r="O48">
            <v>711.553651069648</v>
          </cell>
          <cell r="P48">
            <v>748.734300478753</v>
          </cell>
          <cell r="Q48">
            <v>703.622476882152</v>
          </cell>
          <cell r="R48">
            <v>705.866817149341</v>
          </cell>
          <cell r="S48">
            <v>705.189504274452</v>
          </cell>
          <cell r="T48">
            <v>704.427597149341</v>
          </cell>
          <cell r="U48">
            <v>748.464907149341</v>
          </cell>
          <cell r="V48">
            <v>690.719633524674</v>
          </cell>
          <cell r="W48">
            <v>764.268107149341</v>
          </cell>
        </row>
        <row r="49">
          <cell r="L49">
            <v>116.555655</v>
          </cell>
          <cell r="M49">
            <v>120.44296</v>
          </cell>
          <cell r="N49">
            <v>116.555655</v>
          </cell>
          <cell r="O49">
            <v>120.44296</v>
          </cell>
          <cell r="P49">
            <v>120.44296</v>
          </cell>
          <cell r="Q49">
            <v>116.555655</v>
          </cell>
          <cell r="R49">
            <v>120.44296</v>
          </cell>
          <cell r="S49">
            <v>91.79966</v>
          </cell>
          <cell r="T49">
            <v>108.061435</v>
          </cell>
          <cell r="U49">
            <v>120.44296</v>
          </cell>
          <cell r="V49">
            <v>108.7881</v>
          </cell>
          <cell r="W49">
            <v>120.44296</v>
          </cell>
        </row>
        <row r="52">
          <cell r="L52">
            <v>33.472946134486</v>
          </cell>
          <cell r="M52">
            <v>31.0211391097255</v>
          </cell>
          <cell r="N52">
            <v>25.3268093095318</v>
          </cell>
          <cell r="O52">
            <v>29.2030810485446</v>
          </cell>
          <cell r="P52">
            <v>29.291273678134</v>
          </cell>
          <cell r="Q52">
            <v>28.7062346158753</v>
          </cell>
          <cell r="R52">
            <v>27.4334846013581</v>
          </cell>
          <cell r="S52">
            <v>26.1213198590952</v>
          </cell>
          <cell r="T52">
            <v>32.012067866684</v>
          </cell>
          <cell r="U52">
            <v>33.7570706387519</v>
          </cell>
          <cell r="V52">
            <v>30.0215153938515</v>
          </cell>
          <cell r="W52">
            <v>31.4514784371591</v>
          </cell>
        </row>
      </sheetData>
      <sheetData sheetId="26"/>
      <sheetData sheetId="27"/>
      <sheetData sheetId="28"/>
      <sheetData sheetId="29">
        <row r="231">
          <cell r="BN231">
            <v>7.51</v>
          </cell>
        </row>
        <row r="233">
          <cell r="BN233" t="e">
            <v>#REF!</v>
          </cell>
        </row>
        <row r="234">
          <cell r="BN234" t="e">
            <v>#REF!</v>
          </cell>
        </row>
        <row r="235">
          <cell r="BN235" t="e">
            <v>#VALUE!</v>
          </cell>
        </row>
        <row r="236">
          <cell r="BN236">
            <v>2.15</v>
          </cell>
        </row>
        <row r="237">
          <cell r="BN237">
            <v>5.87975128633889</v>
          </cell>
        </row>
        <row r="238">
          <cell r="BN238">
            <v>2.82287123260092</v>
          </cell>
        </row>
        <row r="239">
          <cell r="BN239">
            <v>2.52916252685639</v>
          </cell>
        </row>
        <row r="240">
          <cell r="BN240">
            <v>4.10484274920065</v>
          </cell>
        </row>
        <row r="241">
          <cell r="BN241">
            <v>2.44429249825459</v>
          </cell>
        </row>
        <row r="242">
          <cell r="BN242">
            <v>10.3953153015999</v>
          </cell>
        </row>
        <row r="243">
          <cell r="BN243">
            <v>4.73701304498574</v>
          </cell>
        </row>
      </sheetData>
      <sheetData sheetId="30">
        <row r="16">
          <cell r="D16" t="e">
            <v>#REF!</v>
          </cell>
          <cell r="E16" t="e">
            <v>#REF!</v>
          </cell>
          <cell r="F16" t="e">
            <v>#REF!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N16">
            <v>0</v>
          </cell>
          <cell r="O16" t="e">
            <v>#REF!</v>
          </cell>
        </row>
        <row r="17"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#VALUE!</v>
          </cell>
          <cell r="O17" t="e">
            <v>#REF!</v>
          </cell>
        </row>
        <row r="18"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</row>
        <row r="19">
          <cell r="D19" t="e">
            <v>#REF!</v>
          </cell>
          <cell r="E19" t="e">
            <v>#REF!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 t="e">
            <v>#REF!</v>
          </cell>
        </row>
        <row r="20"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>
            <v>0</v>
          </cell>
          <cell r="O20">
            <v>0</v>
          </cell>
        </row>
        <row r="21"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</row>
      </sheetData>
      <sheetData sheetId="31">
        <row r="4">
          <cell r="F4">
            <v>60.166021886071</v>
          </cell>
          <cell r="G4">
            <v>88.8088439539094</v>
          </cell>
          <cell r="H4">
            <v>78.0107463019452</v>
          </cell>
          <cell r="I4">
            <v>0</v>
          </cell>
          <cell r="J4">
            <v>30.0583779536309</v>
          </cell>
          <cell r="K4">
            <v>58.1775057167049</v>
          </cell>
          <cell r="L4">
            <v>60.1167559072618</v>
          </cell>
          <cell r="M4">
            <v>62.8101122155518</v>
          </cell>
          <cell r="N4">
            <v>64.2156256282114</v>
          </cell>
          <cell r="O4">
            <v>62.1661907677366</v>
          </cell>
          <cell r="P4">
            <v>70.0648153362358</v>
          </cell>
          <cell r="Q4">
            <v>82.6605393724849</v>
          </cell>
        </row>
        <row r="4">
          <cell r="U4">
            <v>12.2413673914086</v>
          </cell>
          <cell r="V4">
            <v>18.0690305319616</v>
          </cell>
          <cell r="W4">
            <v>15.8720516335345</v>
          </cell>
          <cell r="X4">
            <v>0</v>
          </cell>
          <cell r="Y4">
            <v>6.11567187235623</v>
          </cell>
          <cell r="Z4">
            <v>11.8367842690766</v>
          </cell>
          <cell r="AA4">
            <v>12.2313437447125</v>
          </cell>
          <cell r="AB4">
            <v>12.7793335079077</v>
          </cell>
          <cell r="AC4">
            <v>13.0652990000338</v>
          </cell>
          <cell r="AD4">
            <v>12.6483213723731</v>
          </cell>
          <cell r="AE4">
            <v>14.2553740276558</v>
          </cell>
          <cell r="AF4">
            <v>16.8180976489796</v>
          </cell>
        </row>
        <row r="4">
          <cell r="AJ4">
            <v>25.9906384663887</v>
          </cell>
          <cell r="AK4">
            <v>38.3638220288977</v>
          </cell>
          <cell r="AL4">
            <v>33.6992382090069</v>
          </cell>
          <cell r="AM4">
            <v>0</v>
          </cell>
          <cell r="AN4">
            <v>12.9846782251654</v>
          </cell>
          <cell r="AO4">
            <v>25.1316352745136</v>
          </cell>
          <cell r="AP4">
            <v>25.9693564503308</v>
          </cell>
          <cell r="AQ4">
            <v>27.1328378950985</v>
          </cell>
          <cell r="AR4">
            <v>27.739994390126</v>
          </cell>
          <cell r="AS4">
            <v>26.8546754202284</v>
          </cell>
          <cell r="AT4">
            <v>30.2667390585778</v>
          </cell>
          <cell r="AU4">
            <v>35.7078651192048</v>
          </cell>
        </row>
        <row r="5">
          <cell r="F5">
            <v>62.144153833753</v>
          </cell>
          <cell r="G5">
            <v>88.8088439539094</v>
          </cell>
          <cell r="H5">
            <v>78.9923559612137</v>
          </cell>
          <cell r="I5">
            <v>0</v>
          </cell>
          <cell r="J5">
            <v>30.0583779536309</v>
          </cell>
          <cell r="K5">
            <v>58.1775057167049</v>
          </cell>
          <cell r="L5">
            <v>60.1167559072618</v>
          </cell>
          <cell r="M5">
            <v>64.127477892277</v>
          </cell>
          <cell r="N5">
            <v>64.2156256282114</v>
          </cell>
          <cell r="O5">
            <v>62.1661907677366</v>
          </cell>
          <cell r="P5">
            <v>71.0702919916389</v>
          </cell>
          <cell r="Q5">
            <v>82.6605393724849</v>
          </cell>
        </row>
        <row r="5">
          <cell r="U5">
            <v>12.5513967586766</v>
          </cell>
          <cell r="V5">
            <v>17.93692515513</v>
          </cell>
          <cell r="W5">
            <v>15.9542666430724</v>
          </cell>
          <cell r="X5">
            <v>0</v>
          </cell>
          <cell r="Y5">
            <v>6.07095928327478</v>
          </cell>
          <cell r="Z5">
            <v>11.7502437740802</v>
          </cell>
          <cell r="AA5">
            <v>12.1419185665496</v>
          </cell>
          <cell r="AB5">
            <v>12.9519732509748</v>
          </cell>
          <cell r="AC5">
            <v>12.9697766506325</v>
          </cell>
          <cell r="AD5">
            <v>12.555847608591</v>
          </cell>
          <cell r="AE5">
            <v>14.3542292800125</v>
          </cell>
          <cell r="AF5">
            <v>16.6951380290056</v>
          </cell>
        </row>
        <row r="5">
          <cell r="AJ5">
            <v>26.8195524700328</v>
          </cell>
          <cell r="AK5">
            <v>38.3272327851887</v>
          </cell>
          <cell r="AL5">
            <v>34.090731062181</v>
          </cell>
          <cell r="AM5">
            <v>0</v>
          </cell>
          <cell r="AN5">
            <v>12.9722941734485</v>
          </cell>
          <cell r="AO5">
            <v>25.1076661421583</v>
          </cell>
          <cell r="AP5">
            <v>25.944588346897</v>
          </cell>
          <cell r="AQ5">
            <v>27.67549563397</v>
          </cell>
          <cell r="AR5">
            <v>27.7135375523672</v>
          </cell>
          <cell r="AS5">
            <v>26.8290629496321</v>
          </cell>
          <cell r="AT5">
            <v>30.6718059148316</v>
          </cell>
          <cell r="AU5">
            <v>35.6738089769833</v>
          </cell>
        </row>
        <row r="6">
          <cell r="F6">
            <v>146.737553316143</v>
          </cell>
          <cell r="G6">
            <v>0</v>
          </cell>
          <cell r="H6">
            <v>88.7023076515989</v>
          </cell>
          <cell r="I6">
            <v>128.431251256423</v>
          </cell>
          <cell r="J6">
            <v>120.233511814524</v>
          </cell>
          <cell r="K6">
            <v>120.321659550458</v>
          </cell>
          <cell r="L6">
            <v>120.233511814524</v>
          </cell>
          <cell r="M6">
            <v>138.742552659762</v>
          </cell>
          <cell r="N6">
            <v>128.431251256423</v>
          </cell>
          <cell r="O6">
            <v>128.706178336697</v>
          </cell>
          <cell r="P6">
            <v>145.620059763631</v>
          </cell>
          <cell r="Q6">
            <v>167.326947065778</v>
          </cell>
        </row>
        <row r="6">
          <cell r="U6">
            <v>37.8753773741037</v>
          </cell>
          <cell r="V6">
            <v>0</v>
          </cell>
          <cell r="W6">
            <v>22.8955253807448</v>
          </cell>
          <cell r="X6">
            <v>33.1502195452661</v>
          </cell>
          <cell r="Y6">
            <v>31.03424808493</v>
          </cell>
          <cell r="Z6">
            <v>31.0570004662239</v>
          </cell>
          <cell r="AA6">
            <v>31.03424808493</v>
          </cell>
          <cell r="AB6">
            <v>35.8117361307865</v>
          </cell>
          <cell r="AC6">
            <v>33.1502195452661</v>
          </cell>
          <cell r="AD6">
            <v>33.2211827491659</v>
          </cell>
          <cell r="AE6">
            <v>37.5869338975838</v>
          </cell>
          <cell r="AF6">
            <v>43.1898387409991</v>
          </cell>
        </row>
        <row r="6">
          <cell r="AJ6">
            <v>56.586696160411</v>
          </cell>
          <cell r="AK6">
            <v>0</v>
          </cell>
          <cell r="AL6">
            <v>34.2064483043014</v>
          </cell>
          <cell r="AM6">
            <v>49.5272002845169</v>
          </cell>
          <cell r="AN6">
            <v>46.3658896280583</v>
          </cell>
          <cell r="AO6">
            <v>46.3998822157622</v>
          </cell>
          <cell r="AP6">
            <v>46.3658896280583</v>
          </cell>
          <cell r="AQ6">
            <v>53.5035680672894</v>
          </cell>
          <cell r="AR6">
            <v>49.5272002845169</v>
          </cell>
          <cell r="AS6">
            <v>49.633220964337</v>
          </cell>
          <cell r="AT6">
            <v>56.1557548867686</v>
          </cell>
          <cell r="AU6">
            <v>64.5266252508699</v>
          </cell>
        </row>
        <row r="7">
          <cell r="F7">
            <v>249.959397843332</v>
          </cell>
          <cell r="G7">
            <v>0</v>
          </cell>
          <cell r="H7">
            <v>143.857105044943</v>
          </cell>
          <cell r="I7">
            <v>225.461663467997</v>
          </cell>
          <cell r="J7">
            <v>192.610336144512</v>
          </cell>
          <cell r="K7">
            <v>211.977045825217</v>
          </cell>
          <cell r="L7">
            <v>192.373618903238</v>
          </cell>
          <cell r="M7">
            <v>275.59474381664</v>
          </cell>
          <cell r="N7">
            <v>234.871955967062</v>
          </cell>
          <cell r="O7">
            <v>238.301431492238</v>
          </cell>
          <cell r="P7">
            <v>238.915623476601</v>
          </cell>
          <cell r="Q7">
            <v>290.754357544008</v>
          </cell>
        </row>
        <row r="7">
          <cell r="U7">
            <v>97.9721892002049</v>
          </cell>
          <cell r="V7">
            <v>0</v>
          </cell>
          <cell r="W7">
            <v>56.3851394860964</v>
          </cell>
          <cell r="X7">
            <v>88.3702430925376</v>
          </cell>
          <cell r="Y7">
            <v>75.4940860695014</v>
          </cell>
          <cell r="Z7">
            <v>83.0849146656427</v>
          </cell>
          <cell r="AA7">
            <v>75.401304175525</v>
          </cell>
          <cell r="AB7">
            <v>108.020024919044</v>
          </cell>
          <cell r="AC7">
            <v>92.0586299469717</v>
          </cell>
          <cell r="AD7">
            <v>93.4028211552599</v>
          </cell>
          <cell r="AE7">
            <v>93.6435551857326</v>
          </cell>
          <cell r="AF7">
            <v>113.961872103484</v>
          </cell>
        </row>
        <row r="7">
          <cell r="AJ7">
            <v>93.0196403540196</v>
          </cell>
          <cell r="AK7">
            <v>0</v>
          </cell>
          <cell r="AL7">
            <v>53.5348392143201</v>
          </cell>
          <cell r="AM7">
            <v>83.903077981317</v>
          </cell>
          <cell r="AN7">
            <v>71.6778178824827</v>
          </cell>
          <cell r="AO7">
            <v>78.8849258563504</v>
          </cell>
          <cell r="AP7">
            <v>71.5897261650319</v>
          </cell>
          <cell r="AQ7">
            <v>102.559552369181</v>
          </cell>
          <cell r="AR7">
            <v>87.4050148216263</v>
          </cell>
          <cell r="AS7">
            <v>88.6812564140898</v>
          </cell>
          <cell r="AT7">
            <v>88.909821204959</v>
          </cell>
          <cell r="AU7">
            <v>108.20103586207</v>
          </cell>
        </row>
        <row r="8">
          <cell r="F8">
            <v>15.0402074438072</v>
          </cell>
          <cell r="G8">
            <v>0</v>
          </cell>
          <cell r="H8">
            <v>9.7513432877432</v>
          </cell>
          <cell r="I8">
            <v>15.5415476919342</v>
          </cell>
          <cell r="J8">
            <v>15.0291889768154</v>
          </cell>
          <cell r="K8">
            <v>14.5443764291762</v>
          </cell>
          <cell r="L8">
            <v>15.0291889768154</v>
          </cell>
          <cell r="M8">
            <v>15.5360384584383</v>
          </cell>
          <cell r="N8">
            <v>16.0539064070529</v>
          </cell>
          <cell r="O8">
            <v>15.5415476919342</v>
          </cell>
          <cell r="P8">
            <v>17.2769562431427</v>
          </cell>
          <cell r="Q8">
            <v>20.6651348431213</v>
          </cell>
        </row>
        <row r="8">
          <cell r="U8">
            <v>7.8409949917366</v>
          </cell>
          <cell r="V8">
            <v>0</v>
          </cell>
          <cell r="W8">
            <v>5.08372202760946</v>
          </cell>
          <cell r="X8">
            <v>8.10236149146116</v>
          </cell>
          <cell r="Y8">
            <v>7.83525067306133</v>
          </cell>
          <cell r="Z8">
            <v>7.58250065134968</v>
          </cell>
          <cell r="AA8">
            <v>7.83525067306133</v>
          </cell>
          <cell r="AB8">
            <v>8.09948933212353</v>
          </cell>
          <cell r="AC8">
            <v>8.36947230986098</v>
          </cell>
          <cell r="AD8">
            <v>8.10236149146116</v>
          </cell>
          <cell r="AE8">
            <v>9.00709168281541</v>
          </cell>
          <cell r="AF8">
            <v>10.7734696754594</v>
          </cell>
        </row>
        <row r="8">
          <cell r="AJ8">
            <v>7.17872109334409</v>
          </cell>
          <cell r="AK8">
            <v>0</v>
          </cell>
          <cell r="AL8">
            <v>4.6543356539264</v>
          </cell>
          <cell r="AM8">
            <v>7.41801179645556</v>
          </cell>
          <cell r="AN8">
            <v>7.17346195701196</v>
          </cell>
          <cell r="AO8">
            <v>6.94205995839867</v>
          </cell>
          <cell r="AP8">
            <v>7.17346195701196</v>
          </cell>
          <cell r="AQ8">
            <v>7.4153822282895</v>
          </cell>
          <cell r="AR8">
            <v>7.66256163589915</v>
          </cell>
          <cell r="AS8">
            <v>7.41801179645556</v>
          </cell>
          <cell r="AT8">
            <v>8.24632576876452</v>
          </cell>
          <cell r="AU8">
            <v>9.8635101908915</v>
          </cell>
        </row>
        <row r="9">
          <cell r="F9">
            <v>178.551648075111</v>
          </cell>
          <cell r="G9">
            <v>185.815427349718</v>
          </cell>
          <cell r="H9">
            <v>181.19833233236</v>
          </cell>
          <cell r="I9">
            <v>171.347262565083</v>
          </cell>
          <cell r="J9">
            <v>130.814249413442</v>
          </cell>
          <cell r="K9">
            <v>140.154900135698</v>
          </cell>
          <cell r="L9">
            <v>0</v>
          </cell>
          <cell r="M9">
            <v>92.6082369923969</v>
          </cell>
          <cell r="N9">
            <v>165.635263862924</v>
          </cell>
          <cell r="O9">
            <v>161.417083625611</v>
          </cell>
          <cell r="P9">
            <v>161.445091228605</v>
          </cell>
          <cell r="Q9">
            <v>197.818659454662</v>
          </cell>
        </row>
        <row r="9">
          <cell r="U9">
            <v>32.9185925603929</v>
          </cell>
          <cell r="V9">
            <v>34.2577758889548</v>
          </cell>
          <cell r="W9">
            <v>33.4065472874406</v>
          </cell>
          <cell r="X9">
            <v>31.590359335949</v>
          </cell>
          <cell r="Y9">
            <v>24.1175089894619</v>
          </cell>
          <cell r="Z9">
            <v>25.8395937682344</v>
          </cell>
          <cell r="AA9">
            <v>0</v>
          </cell>
          <cell r="AB9">
            <v>17.0736750635122</v>
          </cell>
          <cell r="AC9">
            <v>30.5372693196486</v>
          </cell>
          <cell r="AD9">
            <v>29.7595864582728</v>
          </cell>
          <cell r="AE9">
            <v>29.7647500671305</v>
          </cell>
          <cell r="AF9">
            <v>36.4707462610024</v>
          </cell>
        </row>
        <row r="9">
          <cell r="AJ9">
            <v>61.9586717435999</v>
          </cell>
          <cell r="AK9">
            <v>64.4792539983437</v>
          </cell>
          <cell r="AL9">
            <v>62.8770897076554</v>
          </cell>
          <cell r="AM9">
            <v>59.4586995409219</v>
          </cell>
          <cell r="AN9">
            <v>45.3934602462103</v>
          </cell>
          <cell r="AO9">
            <v>48.6347314313882</v>
          </cell>
          <cell r="AP9">
            <v>0</v>
          </cell>
          <cell r="AQ9">
            <v>32.1357064940207</v>
          </cell>
          <cell r="AR9">
            <v>57.4765960072817</v>
          </cell>
          <cell r="AS9">
            <v>56.0128579376724</v>
          </cell>
          <cell r="AT9">
            <v>56.0225767719644</v>
          </cell>
          <cell r="AU9">
            <v>68.6444595613841</v>
          </cell>
        </row>
        <row r="10">
          <cell r="F10">
            <v>225.30561304833</v>
          </cell>
          <cell r="G10">
            <v>230.790587133541</v>
          </cell>
          <cell r="H10">
            <v>225.30561304833</v>
          </cell>
          <cell r="I10">
            <v>231.450342247275</v>
          </cell>
          <cell r="J10">
            <v>185.550569156904</v>
          </cell>
          <cell r="K10">
            <v>200.16344866671</v>
          </cell>
          <cell r="L10">
            <v>173.792076168266</v>
          </cell>
          <cell r="M10">
            <v>0</v>
          </cell>
          <cell r="N10">
            <v>111.489256409831</v>
          </cell>
          <cell r="O10">
            <v>198.385294493964</v>
          </cell>
          <cell r="P10">
            <v>201.39994706292</v>
          </cell>
          <cell r="Q10">
            <v>262.327662140779</v>
          </cell>
        </row>
        <row r="10">
          <cell r="U10">
            <v>60.0734448655623</v>
          </cell>
          <cell r="V10">
            <v>61.5359086002155</v>
          </cell>
          <cell r="W10">
            <v>60.0734448655623</v>
          </cell>
          <cell r="X10">
            <v>61.7118197189552</v>
          </cell>
          <cell r="Y10">
            <v>49.4735205892538</v>
          </cell>
          <cell r="Z10">
            <v>53.3697662250476</v>
          </cell>
          <cell r="AA10">
            <v>46.3383426826849</v>
          </cell>
          <cell r="AB10">
            <v>0</v>
          </cell>
          <cell r="AC10">
            <v>29.7264839851186</v>
          </cell>
          <cell r="AD10">
            <v>52.8956553264611</v>
          </cell>
          <cell r="AE10">
            <v>53.6994549408595</v>
          </cell>
          <cell r="AF10">
            <v>69.9446682002791</v>
          </cell>
        </row>
        <row r="10">
          <cell r="AJ10">
            <v>73.4020903694024</v>
          </cell>
          <cell r="AK10">
            <v>75.1890345916493</v>
          </cell>
          <cell r="AL10">
            <v>73.4020903694024</v>
          </cell>
          <cell r="AM10">
            <v>75.4039755503976</v>
          </cell>
          <cell r="AN10">
            <v>60.4503343750587</v>
          </cell>
          <cell r="AO10">
            <v>65.2110497776787</v>
          </cell>
          <cell r="AP10">
            <v>56.6195467027831</v>
          </cell>
          <cell r="AQ10">
            <v>0</v>
          </cell>
          <cell r="AR10">
            <v>36.3219733565024</v>
          </cell>
          <cell r="AS10">
            <v>64.631746707894</v>
          </cell>
          <cell r="AT10">
            <v>65.6138873536818</v>
          </cell>
          <cell r="AU10">
            <v>85.4634667211821</v>
          </cell>
        </row>
        <row r="11">
          <cell r="F11">
            <v>101.387525871748</v>
          </cell>
          <cell r="G11">
            <v>102.553720418161</v>
          </cell>
          <cell r="H11">
            <v>101.387525871749</v>
          </cell>
          <cell r="I11">
            <v>100.340330768848</v>
          </cell>
          <cell r="J11">
            <v>39.5594506239297</v>
          </cell>
          <cell r="K11">
            <v>0</v>
          </cell>
          <cell r="L11">
            <v>78.2064342757196</v>
          </cell>
          <cell r="M11">
            <v>101.387525871749</v>
          </cell>
          <cell r="N11">
            <v>100.340330768848</v>
          </cell>
          <cell r="O11">
            <v>89.2733825222837</v>
          </cell>
          <cell r="P11">
            <v>90.6299761783141</v>
          </cell>
          <cell r="Q11">
            <v>114.141775847397</v>
          </cell>
        </row>
        <row r="11">
          <cell r="U11">
            <v>35.4134408817808</v>
          </cell>
          <cell r="V11">
            <v>35.8207785820642</v>
          </cell>
          <cell r="W11">
            <v>35.4134408817808</v>
          </cell>
          <cell r="X11">
            <v>35.0476682529549</v>
          </cell>
          <cell r="Y11">
            <v>13.8176393391668</v>
          </cell>
          <cell r="Z11">
            <v>0</v>
          </cell>
          <cell r="AA11">
            <v>27.3165649618619</v>
          </cell>
          <cell r="AB11">
            <v>35.4134408817808</v>
          </cell>
          <cell r="AC11">
            <v>35.0476682529549</v>
          </cell>
          <cell r="AD11">
            <v>31.1821166074084</v>
          </cell>
          <cell r="AE11">
            <v>31.6559584220237</v>
          </cell>
          <cell r="AF11">
            <v>39.8683466862231</v>
          </cell>
        </row>
        <row r="11">
          <cell r="AJ11">
            <v>34.8584508200693</v>
          </cell>
          <cell r="AK11">
            <v>35.2594048318495</v>
          </cell>
          <cell r="AL11">
            <v>34.8584508200694</v>
          </cell>
          <cell r="AM11">
            <v>34.4984104829607</v>
          </cell>
          <cell r="AN11">
            <v>13.6010929568158</v>
          </cell>
          <cell r="AO11">
            <v>0</v>
          </cell>
          <cell r="AP11">
            <v>26.8884669940723</v>
          </cell>
          <cell r="AQ11">
            <v>34.8584508200694</v>
          </cell>
          <cell r="AR11">
            <v>34.4984104829606</v>
          </cell>
          <cell r="AS11">
            <v>30.6934387385165</v>
          </cell>
          <cell r="AT11">
            <v>31.1598546297709</v>
          </cell>
          <cell r="AU11">
            <v>39.2435405211971</v>
          </cell>
        </row>
        <row r="12">
          <cell r="F12">
            <v>101.387525871748</v>
          </cell>
          <cell r="G12">
            <v>0</v>
          </cell>
          <cell r="H12">
            <v>50.6937629358742</v>
          </cell>
          <cell r="I12">
            <v>99.3682821448517</v>
          </cell>
          <cell r="J12">
            <v>78.2064342757196</v>
          </cell>
          <cell r="K12">
            <v>87.540716714261</v>
          </cell>
          <cell r="L12">
            <v>75.1620593465157</v>
          </cell>
          <cell r="M12">
            <v>101.387525871749</v>
          </cell>
          <cell r="N12">
            <v>99.7519366920989</v>
          </cell>
          <cell r="O12">
            <v>89.2733825222837</v>
          </cell>
          <cell r="P12">
            <v>90.4933047399982</v>
          </cell>
          <cell r="Q12">
            <v>112.055524699249</v>
          </cell>
        </row>
        <row r="12">
          <cell r="U12">
            <v>36.6313936732277</v>
          </cell>
          <cell r="V12">
            <v>0</v>
          </cell>
          <cell r="W12">
            <v>18.3156968366139</v>
          </cell>
          <cell r="X12">
            <v>35.9018393099452</v>
          </cell>
          <cell r="Y12">
            <v>28.2560468568606</v>
          </cell>
          <cell r="Z12">
            <v>31.6285305201451</v>
          </cell>
          <cell r="AA12">
            <v>27.1561117754815</v>
          </cell>
          <cell r="AB12">
            <v>36.6313936732277</v>
          </cell>
          <cell r="AC12">
            <v>36.0404540027676</v>
          </cell>
          <cell r="AD12">
            <v>32.2545440535862</v>
          </cell>
          <cell r="AE12">
            <v>32.6953029203559</v>
          </cell>
          <cell r="AF12">
            <v>40.4857501277885</v>
          </cell>
        </row>
        <row r="12">
          <cell r="AJ12">
            <v>34.8584508200693</v>
          </cell>
          <cell r="AK12">
            <v>0</v>
          </cell>
          <cell r="AL12">
            <v>17.4292254100347</v>
          </cell>
          <cell r="AM12">
            <v>34.16420655735</v>
          </cell>
          <cell r="AN12">
            <v>26.8884669940723</v>
          </cell>
          <cell r="AO12">
            <v>30.0977239763969</v>
          </cell>
          <cell r="AP12">
            <v>25.8417682721629</v>
          </cell>
          <cell r="AQ12">
            <v>34.8584508200694</v>
          </cell>
          <cell r="AR12">
            <v>34.2961123618573</v>
          </cell>
          <cell r="AS12">
            <v>30.6934387385164</v>
          </cell>
          <cell r="AT12">
            <v>31.1128650758777</v>
          </cell>
          <cell r="AU12">
            <v>38.5262581689477</v>
          </cell>
        </row>
        <row r="13">
          <cell r="F13">
            <v>100.640115585869</v>
          </cell>
          <cell r="G13">
            <v>100.347633626433</v>
          </cell>
          <cell r="H13">
            <v>100.009538901912</v>
          </cell>
          <cell r="I13">
            <v>97.0526426662471</v>
          </cell>
          <cell r="J13">
            <v>75.6523901968972</v>
          </cell>
          <cell r="K13">
            <v>78.8638672970191</v>
          </cell>
          <cell r="L13">
            <v>73.779654977094</v>
          </cell>
          <cell r="M13">
            <v>0</v>
          </cell>
          <cell r="N13">
            <v>48.344525207667</v>
          </cell>
          <cell r="O13">
            <v>89.2733825222837</v>
          </cell>
          <cell r="P13">
            <v>88.6307855273219</v>
          </cell>
          <cell r="Q13">
            <v>109.193889366099</v>
          </cell>
        </row>
        <row r="13">
          <cell r="U13">
            <v>37.2510051900878</v>
          </cell>
          <cell r="V13">
            <v>37.1427457060285</v>
          </cell>
          <cell r="W13">
            <v>37.0176030801032</v>
          </cell>
          <cell r="X13">
            <v>35.9231353682956</v>
          </cell>
          <cell r="Y13">
            <v>28.0020304374814</v>
          </cell>
          <cell r="Z13">
            <v>29.1907288946331</v>
          </cell>
          <cell r="AA13">
            <v>27.308854868411</v>
          </cell>
          <cell r="AB13">
            <v>0</v>
          </cell>
          <cell r="AC13">
            <v>17.8942775347526</v>
          </cell>
          <cell r="AD13">
            <v>33.0437143907773</v>
          </cell>
          <cell r="AE13">
            <v>32.8058630741814</v>
          </cell>
          <cell r="AF13">
            <v>40.4171052052482</v>
          </cell>
        </row>
        <row r="13">
          <cell r="AJ13">
            <v>34.6014807000401</v>
          </cell>
          <cell r="AK13">
            <v>34.5009213076383</v>
          </cell>
          <cell r="AL13">
            <v>34.384679608022</v>
          </cell>
          <cell r="AM13">
            <v>33.3680572856531</v>
          </cell>
          <cell r="AN13">
            <v>26.010350883156</v>
          </cell>
          <cell r="AO13">
            <v>27.1145016708573</v>
          </cell>
          <cell r="AP13">
            <v>25.3664782962946</v>
          </cell>
          <cell r="AQ13">
            <v>0</v>
          </cell>
          <cell r="AR13">
            <v>16.6215245897488</v>
          </cell>
          <cell r="AS13">
            <v>30.6934387385164</v>
          </cell>
          <cell r="AT13">
            <v>30.4725048952906</v>
          </cell>
          <cell r="AU13">
            <v>37.542387878516</v>
          </cell>
        </row>
        <row r="14">
          <cell r="F14">
            <v>99.2455358885425</v>
          </cell>
          <cell r="G14">
            <v>0</v>
          </cell>
          <cell r="H14">
            <v>49.6227679442713</v>
          </cell>
          <cell r="I14">
            <v>95.4296532658646</v>
          </cell>
          <cell r="J14">
            <v>71.6144483875792</v>
          </cell>
          <cell r="K14">
            <v>75.683646073277</v>
          </cell>
          <cell r="L14">
            <v>73.6810826315255</v>
          </cell>
          <cell r="M14">
            <v>101.387525871749</v>
          </cell>
          <cell r="N14">
            <v>93.8821607322991</v>
          </cell>
          <cell r="O14">
            <v>89.2733825222837</v>
          </cell>
          <cell r="P14">
            <v>88.6307855273219</v>
          </cell>
          <cell r="Q14">
            <v>109.193889366099</v>
          </cell>
        </row>
        <row r="14">
          <cell r="U14">
            <v>37.2830795364217</v>
          </cell>
          <cell r="V14">
            <v>0</v>
          </cell>
          <cell r="W14">
            <v>18.6415397682109</v>
          </cell>
          <cell r="X14">
            <v>35.8495857873152</v>
          </cell>
          <cell r="Y14">
            <v>26.9030455756683</v>
          </cell>
          <cell r="Z14">
            <v>28.4317009414439</v>
          </cell>
          <cell r="AA14">
            <v>27.6794078392191</v>
          </cell>
          <cell r="AB14">
            <v>38.0877503177834</v>
          </cell>
          <cell r="AC14">
            <v>35.2682469221018</v>
          </cell>
          <cell r="AD14">
            <v>33.5368900098604</v>
          </cell>
          <cell r="AE14">
            <v>33.2954887754519</v>
          </cell>
          <cell r="AF14">
            <v>41.0203282765235</v>
          </cell>
        </row>
        <row r="14">
          <cell r="AJ14">
            <v>34.1220046759833</v>
          </cell>
          <cell r="AK14">
            <v>0</v>
          </cell>
          <cell r="AL14">
            <v>17.0610023379917</v>
          </cell>
          <cell r="AM14">
            <v>32.81005080795</v>
          </cell>
          <cell r="AN14">
            <v>24.6220499579271</v>
          </cell>
          <cell r="AO14">
            <v>26.0210970910377</v>
          </cell>
          <cell r="AP14">
            <v>25.3325877438753</v>
          </cell>
          <cell r="AQ14">
            <v>34.8584508200693</v>
          </cell>
          <cell r="AR14">
            <v>32.2780012100147</v>
          </cell>
          <cell r="AS14">
            <v>30.6934387385164</v>
          </cell>
          <cell r="AT14">
            <v>30.4725048952906</v>
          </cell>
          <cell r="AU14">
            <v>37.542387878516</v>
          </cell>
        </row>
        <row r="15">
          <cell r="F15">
            <v>325.335922042514</v>
          </cell>
          <cell r="G15">
            <v>316.074902067595</v>
          </cell>
          <cell r="H15">
            <v>154.5354979455</v>
          </cell>
          <cell r="I15">
            <v>0</v>
          </cell>
          <cell r="J15">
            <v>277.630109098991</v>
          </cell>
          <cell r="K15">
            <v>338.487305988101</v>
          </cell>
          <cell r="L15">
            <v>293.593080971727</v>
          </cell>
          <cell r="M15">
            <v>311.353294506299</v>
          </cell>
          <cell r="N15">
            <v>327.903481359749</v>
          </cell>
          <cell r="O15">
            <v>330.095641527146</v>
          </cell>
          <cell r="P15">
            <v>315.921485588895</v>
          </cell>
          <cell r="Q15">
            <v>349.770216187705</v>
          </cell>
        </row>
        <row r="15">
          <cell r="U15">
            <v>98.0063584599637</v>
          </cell>
          <cell r="V15">
            <v>95.2165071651284</v>
          </cell>
          <cell r="W15">
            <v>46.5533019266669</v>
          </cell>
          <cell r="X15">
            <v>0</v>
          </cell>
          <cell r="Y15">
            <v>83.6351418583248</v>
          </cell>
          <cell r="Z15">
            <v>101.968168890007</v>
          </cell>
          <cell r="AA15">
            <v>88.4439337483309</v>
          </cell>
          <cell r="AB15">
            <v>93.7941386782597</v>
          </cell>
          <cell r="AC15">
            <v>98.7798271173205</v>
          </cell>
          <cell r="AD15">
            <v>99.4402080362759</v>
          </cell>
          <cell r="AE15">
            <v>95.1702909640069</v>
          </cell>
          <cell r="AF15">
            <v>105.367107853008</v>
          </cell>
        </row>
        <row r="15">
          <cell r="AJ15">
            <v>85.1143839247624</v>
          </cell>
          <cell r="AK15">
            <v>82.6915158789242</v>
          </cell>
          <cell r="AL15">
            <v>40.4295769725018</v>
          </cell>
          <cell r="AM15">
            <v>0</v>
          </cell>
          <cell r="AN15">
            <v>72.6335891424779</v>
          </cell>
          <cell r="AO15">
            <v>88.5550489926071</v>
          </cell>
          <cell r="AP15">
            <v>76.8098218438232</v>
          </cell>
          <cell r="AQ15">
            <v>81.4562489087379</v>
          </cell>
          <cell r="AR15">
            <v>85.7861087933374</v>
          </cell>
          <cell r="AS15">
            <v>86.359621736332</v>
          </cell>
          <cell r="AT15">
            <v>82.6513790597666</v>
          </cell>
          <cell r="AU15">
            <v>91.5068839590273</v>
          </cell>
        </row>
        <row r="15">
          <cell r="AW15">
            <v>1.86111307876126</v>
          </cell>
        </row>
        <row r="16">
          <cell r="F16">
            <v>313.100758038994</v>
          </cell>
          <cell r="G16">
            <v>310.421066866588</v>
          </cell>
          <cell r="H16">
            <v>153.377060525858</v>
          </cell>
          <cell r="I16">
            <v>0</v>
          </cell>
          <cell r="J16">
            <v>277.630109098991</v>
          </cell>
          <cell r="K16">
            <v>326.475961726365</v>
          </cell>
          <cell r="L16">
            <v>267.256237885318</v>
          </cell>
          <cell r="M16">
            <v>306.754121051717</v>
          </cell>
          <cell r="N16">
            <v>320.425645446524</v>
          </cell>
          <cell r="O16">
            <v>321.158643578577</v>
          </cell>
          <cell r="P16">
            <v>315.921485588895</v>
          </cell>
          <cell r="Q16">
            <v>349.770216187705</v>
          </cell>
        </row>
        <row r="16">
          <cell r="U16">
            <v>98.0453407693889</v>
          </cell>
          <cell r="V16">
            <v>97.2062139790203</v>
          </cell>
          <cell r="W16">
            <v>48.0289676066263</v>
          </cell>
          <cell r="X16">
            <v>0</v>
          </cell>
          <cell r="Y16">
            <v>86.9379519389829</v>
          </cell>
          <cell r="Z16">
            <v>102.233693463268</v>
          </cell>
          <cell r="AA16">
            <v>83.6894457883985</v>
          </cell>
          <cell r="AB16">
            <v>96.0579352132527</v>
          </cell>
          <cell r="AC16">
            <v>100.339078690903</v>
          </cell>
          <cell r="AD16">
            <v>100.568611995423</v>
          </cell>
          <cell r="AE16">
            <v>98.9286321276717</v>
          </cell>
          <cell r="AF16">
            <v>109.528128427065</v>
          </cell>
        </row>
        <row r="16">
          <cell r="AJ16">
            <v>81.9134203181615</v>
          </cell>
          <cell r="AK16">
            <v>81.2123595136368</v>
          </cell>
          <cell r="AL16">
            <v>40.1265065747751</v>
          </cell>
          <cell r="AM16">
            <v>0</v>
          </cell>
          <cell r="AN16">
            <v>72.6335891424779</v>
          </cell>
          <cell r="AO16">
            <v>85.4126411068517</v>
          </cell>
          <cell r="AP16">
            <v>69.9195769555568</v>
          </cell>
          <cell r="AQ16">
            <v>80.2530131495502</v>
          </cell>
          <cell r="AR16">
            <v>83.8297573617196</v>
          </cell>
          <cell r="AS16">
            <v>84.0215243330272</v>
          </cell>
          <cell r="AT16">
            <v>82.6513790597666</v>
          </cell>
          <cell r="AU16">
            <v>91.5068839590273</v>
          </cell>
        </row>
        <row r="17">
          <cell r="F17">
            <v>313.100758038994</v>
          </cell>
          <cell r="G17">
            <v>0</v>
          </cell>
          <cell r="H17">
            <v>153.377060525858</v>
          </cell>
          <cell r="I17">
            <v>342.031652688847</v>
          </cell>
          <cell r="J17">
            <v>269.473095218081</v>
          </cell>
          <cell r="K17">
            <v>303.422017393526</v>
          </cell>
          <cell r="L17">
            <v>253.82433038415</v>
          </cell>
          <cell r="M17">
            <v>304.210004065262</v>
          </cell>
          <cell r="N17">
            <v>308.173255405515</v>
          </cell>
          <cell r="O17">
            <v>308.261047824287</v>
          </cell>
          <cell r="P17">
            <v>305.036792928505</v>
          </cell>
          <cell r="Q17">
            <v>349.770216187705</v>
          </cell>
        </row>
        <row r="17">
          <cell r="U17">
            <v>99.6214010136798</v>
          </cell>
          <cell r="V17">
            <v>0</v>
          </cell>
          <cell r="W17">
            <v>48.8010241452148</v>
          </cell>
          <cell r="X17">
            <v>108.826540840389</v>
          </cell>
          <cell r="Y17">
            <v>85.7400903442548</v>
          </cell>
          <cell r="Z17">
            <v>96.5418501713614</v>
          </cell>
          <cell r="AA17">
            <v>80.7610162383543</v>
          </cell>
          <cell r="AB17">
            <v>96.7925692584376</v>
          </cell>
          <cell r="AC17">
            <v>98.0535839348575</v>
          </cell>
          <cell r="AD17">
            <v>98.0815174467763</v>
          </cell>
          <cell r="AE17">
            <v>97.0556343031047</v>
          </cell>
          <cell r="AF17">
            <v>111.28877230357</v>
          </cell>
        </row>
        <row r="17">
          <cell r="AJ17">
            <v>81.9134203181615</v>
          </cell>
          <cell r="AK17">
            <v>0</v>
          </cell>
          <cell r="AL17">
            <v>40.1265065747751</v>
          </cell>
          <cell r="AM17">
            <v>89.4823209764561</v>
          </cell>
          <cell r="AN17">
            <v>70.4995511709544</v>
          </cell>
          <cell r="AO17">
            <v>79.3812681904944</v>
          </cell>
          <cell r="AP17">
            <v>66.4055213151015</v>
          </cell>
          <cell r="AQ17">
            <v>79.5874212635538</v>
          </cell>
          <cell r="AR17">
            <v>80.6242870791909</v>
          </cell>
          <cell r="AS17">
            <v>80.64725533179</v>
          </cell>
          <cell r="AT17">
            <v>79.8037257659556</v>
          </cell>
          <cell r="AU17">
            <v>91.5068839590273</v>
          </cell>
        </row>
        <row r="18">
          <cell r="F18">
            <v>308.224893471826</v>
          </cell>
          <cell r="G18">
            <v>310.421066866588</v>
          </cell>
          <cell r="H18">
            <v>301.26702930036</v>
          </cell>
          <cell r="I18">
            <v>330.095641527146</v>
          </cell>
          <cell r="J18">
            <v>257.955534438432</v>
          </cell>
          <cell r="K18">
            <v>292.671951333859</v>
          </cell>
          <cell r="L18">
            <v>243.599680583612</v>
          </cell>
          <cell r="M18">
            <v>0</v>
          </cell>
          <cell r="N18">
            <v>148.808019189727</v>
          </cell>
          <cell r="O18">
            <v>293.601564572445</v>
          </cell>
          <cell r="P18">
            <v>287.941608026005</v>
          </cell>
          <cell r="Q18">
            <v>349.770216187705</v>
          </cell>
        </row>
        <row r="18">
          <cell r="U18">
            <v>100.779595406247</v>
          </cell>
          <cell r="V18">
            <v>101.497673247635</v>
          </cell>
          <cell r="W18">
            <v>98.5045983150211</v>
          </cell>
          <cell r="X18">
            <v>107.930624368964</v>
          </cell>
          <cell r="Y18">
            <v>84.3431369240908</v>
          </cell>
          <cell r="Z18">
            <v>95.694285136899</v>
          </cell>
          <cell r="AA18">
            <v>79.6492358997329</v>
          </cell>
          <cell r="AB18">
            <v>0</v>
          </cell>
          <cell r="AC18">
            <v>48.6554210408595</v>
          </cell>
          <cell r="AD18">
            <v>95.9982386722989</v>
          </cell>
          <cell r="AE18">
            <v>94.1476154979598</v>
          </cell>
          <cell r="AF18">
            <v>114.363575490293</v>
          </cell>
        </row>
        <row r="18">
          <cell r="AJ18">
            <v>80.637796630099</v>
          </cell>
          <cell r="AK18">
            <v>81.2123595136367</v>
          </cell>
          <cell r="AL18">
            <v>78.8174802055603</v>
          </cell>
          <cell r="AM18">
            <v>86.3596217363321</v>
          </cell>
          <cell r="AN18">
            <v>67.4863269197827</v>
          </cell>
          <cell r="AO18">
            <v>76.5688359079642</v>
          </cell>
          <cell r="AP18">
            <v>63.7305484342845</v>
          </cell>
          <cell r="AQ18">
            <v>0</v>
          </cell>
          <cell r="AR18">
            <v>38.9311539804163</v>
          </cell>
          <cell r="AS18">
            <v>76.8120413234431</v>
          </cell>
          <cell r="AT18">
            <v>75.3312834917635</v>
          </cell>
          <cell r="AU18">
            <v>91.5068839590273</v>
          </cell>
        </row>
        <row r="19">
          <cell r="F19">
            <v>300.40748406444</v>
          </cell>
          <cell r="G19">
            <v>0</v>
          </cell>
          <cell r="H19">
            <v>150.20374203222</v>
          </cell>
          <cell r="I19">
            <v>319.490024666591</v>
          </cell>
          <cell r="J19">
            <v>256.041399897943</v>
          </cell>
          <cell r="K19">
            <v>277.151820537129</v>
          </cell>
          <cell r="L19">
            <v>238.280959777874</v>
          </cell>
          <cell r="M19">
            <v>300.40748406444</v>
          </cell>
          <cell r="N19">
            <v>297.304683759549</v>
          </cell>
          <cell r="O19">
            <v>282.103336492733</v>
          </cell>
          <cell r="P19">
            <v>279.417563840783</v>
          </cell>
          <cell r="Q19">
            <v>349.770216187705</v>
          </cell>
        </row>
        <row r="19">
          <cell r="U19">
            <v>100.599099282207</v>
          </cell>
          <cell r="V19">
            <v>0</v>
          </cell>
          <cell r="W19">
            <v>50.2995496411035</v>
          </cell>
          <cell r="X19">
            <v>106.98937415359</v>
          </cell>
          <cell r="Y19">
            <v>85.7419857195142</v>
          </cell>
          <cell r="Z19">
            <v>92.8113478839906</v>
          </cell>
          <cell r="AA19">
            <v>79.7944498766614</v>
          </cell>
          <cell r="AB19">
            <v>100.599099282207</v>
          </cell>
          <cell r="AC19">
            <v>99.5600475525316</v>
          </cell>
          <cell r="AD19">
            <v>94.4694891475694</v>
          </cell>
          <cell r="AE19">
            <v>93.5700897517643</v>
          </cell>
          <cell r="AF19">
            <v>117.129467708861</v>
          </cell>
        </row>
        <row r="19">
          <cell r="AJ19">
            <v>78.5926059809388</v>
          </cell>
          <cell r="AK19">
            <v>0</v>
          </cell>
          <cell r="AL19">
            <v>39.2963029904694</v>
          </cell>
          <cell r="AM19">
            <v>83.5849802532735</v>
          </cell>
          <cell r="AN19">
            <v>66.9855510412998</v>
          </cell>
          <cell r="AO19">
            <v>72.5084592889238</v>
          </cell>
          <cell r="AP19">
            <v>62.3390646970874</v>
          </cell>
          <cell r="AQ19">
            <v>78.5926059809388</v>
          </cell>
          <cell r="AR19">
            <v>77.7808513651732</v>
          </cell>
          <cell r="AS19">
            <v>73.8038748932287</v>
          </cell>
          <cell r="AT19">
            <v>73.1012230520257</v>
          </cell>
          <cell r="AU19">
            <v>91.5068839590273</v>
          </cell>
        </row>
        <row r="20">
          <cell r="F20">
            <v>186.298465904003</v>
          </cell>
          <cell r="G20">
            <v>0</v>
          </cell>
          <cell r="H20">
            <v>107.892828783707</v>
          </cell>
          <cell r="I20">
            <v>157.611637609134</v>
          </cell>
          <cell r="J20">
            <v>144.280214177428</v>
          </cell>
          <cell r="K20">
            <v>149.145969201007</v>
          </cell>
          <cell r="L20">
            <v>144.280214177428</v>
          </cell>
          <cell r="M20">
            <v>190.844727589984</v>
          </cell>
          <cell r="N20">
            <v>162.193089877026</v>
          </cell>
          <cell r="O20">
            <v>159.705247897379</v>
          </cell>
          <cell r="P20">
            <v>179.186717607451</v>
          </cell>
          <cell r="Q20">
            <v>216.170182700127</v>
          </cell>
        </row>
        <row r="20">
          <cell r="U20">
            <v>48.9378396900893</v>
          </cell>
          <cell r="V20">
            <v>0</v>
          </cell>
          <cell r="W20">
            <v>28.3418434666448</v>
          </cell>
          <cell r="X20">
            <v>41.4022360150982</v>
          </cell>
          <cell r="Y20">
            <v>37.900269106376</v>
          </cell>
          <cell r="Z20">
            <v>39.1784306744796</v>
          </cell>
          <cell r="AA20">
            <v>37.900269106376</v>
          </cell>
          <cell r="AB20">
            <v>50.1320751042037</v>
          </cell>
          <cell r="AC20">
            <v>42.6057154723548</v>
          </cell>
          <cell r="AD20">
            <v>41.9521963390464</v>
          </cell>
          <cell r="AE20">
            <v>47.069689051467</v>
          </cell>
          <cell r="AF20">
            <v>56.7846959738641</v>
          </cell>
        </row>
        <row r="20">
          <cell r="AJ20">
            <v>70.4208201117131</v>
          </cell>
          <cell r="AK20">
            <v>0</v>
          </cell>
          <cell r="AL20">
            <v>40.7834892802414</v>
          </cell>
          <cell r="AM20">
            <v>59.5771990162528</v>
          </cell>
          <cell r="AN20">
            <v>54.5379209590679</v>
          </cell>
          <cell r="AO20">
            <v>56.3771763579807</v>
          </cell>
          <cell r="AP20">
            <v>54.5379209590679</v>
          </cell>
          <cell r="AQ20">
            <v>72.1393070290141</v>
          </cell>
          <cell r="AR20">
            <v>61.3089879735159</v>
          </cell>
          <cell r="AS20">
            <v>60.3685837052091</v>
          </cell>
          <cell r="AT20">
            <v>67.7325792556166</v>
          </cell>
          <cell r="AU20">
            <v>81.7123290606479</v>
          </cell>
        </row>
        <row r="21">
          <cell r="F21">
            <v>179.81774300042</v>
          </cell>
          <cell r="G21">
            <v>222.978512819662</v>
          </cell>
          <cell r="H21">
            <v>0</v>
          </cell>
          <cell r="I21">
            <v>77.0587507538537</v>
          </cell>
          <cell r="J21">
            <v>144.280214177428</v>
          </cell>
          <cell r="K21">
            <v>149.145969201007</v>
          </cell>
          <cell r="L21">
            <v>144.280214177428</v>
          </cell>
          <cell r="M21">
            <v>176.700833792472</v>
          </cell>
          <cell r="N21">
            <v>159.036145172847</v>
          </cell>
          <cell r="O21">
            <v>159.036145172847</v>
          </cell>
          <cell r="P21">
            <v>175.763261609889</v>
          </cell>
          <cell r="Q21">
            <v>207.360777633108</v>
          </cell>
        </row>
        <row r="21">
          <cell r="U21">
            <v>47.2920320315931</v>
          </cell>
          <cell r="V21">
            <v>58.6433062425869</v>
          </cell>
          <cell r="W21">
            <v>0</v>
          </cell>
          <cell r="X21">
            <v>20.2664367161881</v>
          </cell>
          <cell r="Y21">
            <v>37.9456687452033</v>
          </cell>
          <cell r="Z21">
            <v>39.2253613861705</v>
          </cell>
          <cell r="AA21">
            <v>37.9456687452033</v>
          </cell>
          <cell r="AB21">
            <v>46.4722855057925</v>
          </cell>
          <cell r="AC21">
            <v>41.8264757759627</v>
          </cell>
          <cell r="AD21">
            <v>41.8264757759627</v>
          </cell>
          <cell r="AE21">
            <v>46.2257042010183</v>
          </cell>
          <cell r="AF21">
            <v>54.5358448743186</v>
          </cell>
        </row>
        <row r="21">
          <cell r="AJ21">
            <v>67.9711068541589</v>
          </cell>
          <cell r="AK21">
            <v>84.2858778458321</v>
          </cell>
          <cell r="AL21">
            <v>0</v>
          </cell>
          <cell r="AM21">
            <v>29.1282077849567</v>
          </cell>
          <cell r="AN21">
            <v>54.5379209590679</v>
          </cell>
          <cell r="AO21">
            <v>56.3771763579807</v>
          </cell>
          <cell r="AP21">
            <v>54.5379209590679</v>
          </cell>
          <cell r="AQ21">
            <v>66.7929151735542</v>
          </cell>
          <cell r="AR21">
            <v>60.1156628753362</v>
          </cell>
          <cell r="AS21">
            <v>60.1156628753362</v>
          </cell>
          <cell r="AT21">
            <v>66.4385128885382</v>
          </cell>
          <cell r="AU21">
            <v>78.382373945315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2"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</row>
        <row r="23">
          <cell r="F23">
            <v>100.223584153989</v>
          </cell>
          <cell r="G23">
            <v>103.564370292455</v>
          </cell>
          <cell r="H23">
            <v>100.223584153989</v>
          </cell>
          <cell r="I23">
            <v>105.41188100757</v>
          </cell>
          <cell r="J23">
            <v>83.8725534058616</v>
          </cell>
          <cell r="K23">
            <v>90.8400682474977</v>
          </cell>
          <cell r="L23">
            <v>77.3086144436637</v>
          </cell>
          <cell r="M23">
            <v>100.223584153989</v>
          </cell>
          <cell r="N23">
            <v>99.1884109843232</v>
          </cell>
          <cell r="O23">
            <v>89.0756566758521</v>
          </cell>
          <cell r="P23">
            <v>91.4080622254128</v>
          </cell>
          <cell r="Q23">
            <v>116.692248216851</v>
          </cell>
        </row>
        <row r="23">
          <cell r="U23">
            <v>19.1814837229332</v>
          </cell>
          <cell r="V23">
            <v>19.8208665136977</v>
          </cell>
          <cell r="W23">
            <v>19.1814837229332</v>
          </cell>
          <cell r="X23">
            <v>20.1744559109345</v>
          </cell>
          <cell r="Y23">
            <v>16.0521102047552</v>
          </cell>
          <cell r="Z23">
            <v>17.3856014548665</v>
          </cell>
          <cell r="AA23">
            <v>14.7958581017743</v>
          </cell>
          <cell r="AB23">
            <v>19.1814837229332</v>
          </cell>
          <cell r="AC23">
            <v>18.9833651117104</v>
          </cell>
          <cell r="AD23">
            <v>17.0479161472838</v>
          </cell>
          <cell r="AE23">
            <v>17.4943080765072</v>
          </cell>
          <cell r="AF23">
            <v>22.3333707196593</v>
          </cell>
        </row>
        <row r="23">
          <cell r="AJ23">
            <v>28.1342738753673</v>
          </cell>
          <cell r="AK23">
            <v>29.0720830045462</v>
          </cell>
          <cell r="AL23">
            <v>28.1342738753673</v>
          </cell>
          <cell r="AM23">
            <v>29.5907071675661</v>
          </cell>
          <cell r="AN23">
            <v>23.5442925741043</v>
          </cell>
          <cell r="AO23">
            <v>25.500179229326</v>
          </cell>
          <cell r="AP23">
            <v>21.701695763957</v>
          </cell>
          <cell r="AQ23">
            <v>28.1342738753673</v>
          </cell>
          <cell r="AR23">
            <v>27.8436851311146</v>
          </cell>
          <cell r="AS23">
            <v>25.0048822510292</v>
          </cell>
          <cell r="AT23">
            <v>25.659623718057</v>
          </cell>
          <cell r="AU23">
            <v>32.7572766248408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4"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F25">
            <v>0</v>
          </cell>
          <cell r="G25">
            <v>6.23732950721226</v>
          </cell>
          <cell r="H25">
            <v>11.5672905758984</v>
          </cell>
          <cell r="I25">
            <v>8.62219078938179</v>
          </cell>
          <cell r="J25">
            <v>8.07183818580424</v>
          </cell>
          <cell r="K25">
            <v>8.07775595573517</v>
          </cell>
          <cell r="L25">
            <v>8.07183818580424</v>
          </cell>
          <cell r="M25">
            <v>9.14295454330463</v>
          </cell>
          <cell r="N25">
            <v>8.62219078938179</v>
          </cell>
          <cell r="O25">
            <v>8.62219078938177</v>
          </cell>
          <cell r="P25">
            <v>9.77615592591527</v>
          </cell>
          <cell r="Q25">
            <v>11.0987775054807</v>
          </cell>
        </row>
        <row r="25">
          <cell r="U25">
            <v>0</v>
          </cell>
          <cell r="V25">
            <v>0.978384275236887</v>
          </cell>
          <cell r="W25">
            <v>1.81443920727109</v>
          </cell>
          <cell r="X25">
            <v>1.35247238047454</v>
          </cell>
          <cell r="Y25">
            <v>1.26614435618893</v>
          </cell>
          <cell r="Z25">
            <v>1.26707261451458</v>
          </cell>
          <cell r="AA25">
            <v>1.26614435618893</v>
          </cell>
          <cell r="AB25">
            <v>1.43415911313189</v>
          </cell>
          <cell r="AC25">
            <v>1.35247238047454</v>
          </cell>
          <cell r="AD25">
            <v>1.35247238047454</v>
          </cell>
          <cell r="AE25">
            <v>1.53348275397661</v>
          </cell>
          <cell r="AF25">
            <v>1.74094848975976</v>
          </cell>
        </row>
        <row r="25">
          <cell r="AJ25">
            <v>0</v>
          </cell>
          <cell r="AK25">
            <v>2.45413966790773</v>
          </cell>
          <cell r="AL25">
            <v>4.55126614999297</v>
          </cell>
          <cell r="AM25">
            <v>3.39248718799016</v>
          </cell>
          <cell r="AN25">
            <v>3.17594545258654</v>
          </cell>
          <cell r="AO25">
            <v>3.17827385834356</v>
          </cell>
          <cell r="AP25">
            <v>3.17594545258654</v>
          </cell>
          <cell r="AQ25">
            <v>3.59738689460864</v>
          </cell>
          <cell r="AR25">
            <v>3.39248718799016</v>
          </cell>
          <cell r="AS25">
            <v>3.39248718799015</v>
          </cell>
          <cell r="AT25">
            <v>3.84652631061062</v>
          </cell>
          <cell r="AU25">
            <v>4.36692499730643</v>
          </cell>
        </row>
        <row r="25">
          <cell r="AW25">
            <v>4.17030886452744</v>
          </cell>
        </row>
        <row r="26">
          <cell r="F26">
            <v>9.6755538370893</v>
          </cell>
          <cell r="G26">
            <v>12.4746590144247</v>
          </cell>
          <cell r="H26">
            <v>11.5396513653359</v>
          </cell>
          <cell r="I26">
            <v>8.62219078938179</v>
          </cell>
          <cell r="J26">
            <v>8.07183818580424</v>
          </cell>
          <cell r="K26">
            <v>8.07775595573517</v>
          </cell>
          <cell r="L26">
            <v>8.07183818580424</v>
          </cell>
          <cell r="M26">
            <v>9.14295454330463</v>
          </cell>
          <cell r="N26">
            <v>8.62219078938179</v>
          </cell>
          <cell r="O26">
            <v>0</v>
          </cell>
          <cell r="P26">
            <v>4.88807796295772</v>
          </cell>
          <cell r="Q26">
            <v>11.0987775054807</v>
          </cell>
        </row>
        <row r="26">
          <cell r="U26">
            <v>1.48175991638845</v>
          </cell>
          <cell r="V26">
            <v>1.91042807568615</v>
          </cell>
          <cell r="W26">
            <v>1.76723659752751</v>
          </cell>
          <cell r="X26">
            <v>1.32044293466543</v>
          </cell>
          <cell r="Y26">
            <v>1.23615934309105</v>
          </cell>
          <cell r="Z26">
            <v>1.23706561826926</v>
          </cell>
          <cell r="AA26">
            <v>1.23615934309105</v>
          </cell>
          <cell r="AB26">
            <v>1.40019515034872</v>
          </cell>
          <cell r="AC26">
            <v>1.32044293466543</v>
          </cell>
          <cell r="AD26">
            <v>0</v>
          </cell>
          <cell r="AE26">
            <v>0.748583297209097</v>
          </cell>
          <cell r="AF26">
            <v>1.69971909675016</v>
          </cell>
        </row>
        <row r="26">
          <cell r="AJ26">
            <v>3.80694341274115</v>
          </cell>
          <cell r="AK26">
            <v>4.90827933581553</v>
          </cell>
          <cell r="AL26">
            <v>4.54039122620507</v>
          </cell>
          <cell r="AM26">
            <v>3.39248718799016</v>
          </cell>
          <cell r="AN26">
            <v>3.17594545258654</v>
          </cell>
          <cell r="AO26">
            <v>3.17827385834356</v>
          </cell>
          <cell r="AP26">
            <v>3.17594545258654</v>
          </cell>
          <cell r="AQ26">
            <v>3.59738689460864</v>
          </cell>
          <cell r="AR26">
            <v>3.39248718799016</v>
          </cell>
          <cell r="AS26">
            <v>0</v>
          </cell>
          <cell r="AT26">
            <v>1.92326315530534</v>
          </cell>
          <cell r="AU26">
            <v>4.36692499730643</v>
          </cell>
        </row>
        <row r="27">
          <cell r="F27">
            <v>9.6755538370893</v>
          </cell>
          <cell r="G27">
            <v>12.4746590144247</v>
          </cell>
          <cell r="H27">
            <v>11.5396513653359</v>
          </cell>
          <cell r="I27">
            <v>8.62219078938179</v>
          </cell>
          <cell r="J27">
            <v>8.07183818580424</v>
          </cell>
          <cell r="K27">
            <v>8.07775595573517</v>
          </cell>
          <cell r="L27">
            <v>8.07183818580424</v>
          </cell>
          <cell r="M27">
            <v>9.14295454330463</v>
          </cell>
          <cell r="N27">
            <v>8.62219078938179</v>
          </cell>
          <cell r="O27">
            <v>8.62219078938177</v>
          </cell>
          <cell r="P27">
            <v>9.77615592591527</v>
          </cell>
          <cell r="Q27">
            <v>11.0987775054807</v>
          </cell>
        </row>
        <row r="27">
          <cell r="U27">
            <v>1.30583969541989</v>
          </cell>
          <cell r="V27">
            <v>1.68361472657195</v>
          </cell>
          <cell r="W27">
            <v>1.55742348995034</v>
          </cell>
          <cell r="X27">
            <v>1.16367488454238</v>
          </cell>
          <cell r="Y27">
            <v>1.08939776425245</v>
          </cell>
          <cell r="Z27">
            <v>1.09019644296524</v>
          </cell>
          <cell r="AA27">
            <v>1.08939776425245</v>
          </cell>
          <cell r="AB27">
            <v>1.23395861126835</v>
          </cell>
          <cell r="AC27">
            <v>1.16367488454238</v>
          </cell>
          <cell r="AD27">
            <v>1.16367488454238</v>
          </cell>
          <cell r="AE27">
            <v>1.3194172335374</v>
          </cell>
          <cell r="AF27">
            <v>1.49792192584709</v>
          </cell>
        </row>
        <row r="27">
          <cell r="AJ27">
            <v>3.80694341274115</v>
          </cell>
          <cell r="AK27">
            <v>4.90827933581553</v>
          </cell>
          <cell r="AL27">
            <v>4.54039122620507</v>
          </cell>
          <cell r="AM27">
            <v>3.39248718799016</v>
          </cell>
          <cell r="AN27">
            <v>3.17594545258654</v>
          </cell>
          <cell r="AO27">
            <v>3.17827385834356</v>
          </cell>
          <cell r="AP27">
            <v>3.17594545258654</v>
          </cell>
          <cell r="AQ27">
            <v>3.59738689460864</v>
          </cell>
          <cell r="AR27">
            <v>3.39248718799016</v>
          </cell>
          <cell r="AS27">
            <v>3.39248718799015</v>
          </cell>
          <cell r="AT27">
            <v>3.84652631061062</v>
          </cell>
          <cell r="AU27">
            <v>4.36692499730643</v>
          </cell>
        </row>
        <row r="28">
          <cell r="F28">
            <v>24.1888845927236</v>
          </cell>
          <cell r="G28">
            <v>31.1866475360617</v>
          </cell>
          <cell r="H28">
            <v>28.8491284133398</v>
          </cell>
          <cell r="I28">
            <v>21.5554769734545</v>
          </cell>
          <cell r="J28">
            <v>20.1795954645106</v>
          </cell>
          <cell r="K28">
            <v>20.194389889338</v>
          </cell>
          <cell r="L28">
            <v>20.1795954645106</v>
          </cell>
          <cell r="M28">
            <v>22.8573863582616</v>
          </cell>
          <cell r="N28">
            <v>21.5554769734545</v>
          </cell>
          <cell r="O28">
            <v>21.5554769734545</v>
          </cell>
          <cell r="P28">
            <v>24.4403898147886</v>
          </cell>
          <cell r="Q28">
            <v>27.7469437637022</v>
          </cell>
        </row>
        <row r="28">
          <cell r="U28">
            <v>3.26459923854975</v>
          </cell>
          <cell r="V28">
            <v>4.20903681642987</v>
          </cell>
          <cell r="W28">
            <v>3.89355872487583</v>
          </cell>
          <cell r="X28">
            <v>2.90918721135595</v>
          </cell>
          <cell r="Y28">
            <v>2.7234944106311</v>
          </cell>
          <cell r="Z28">
            <v>2.72549110741309</v>
          </cell>
          <cell r="AA28">
            <v>2.7234944106311</v>
          </cell>
          <cell r="AB28">
            <v>3.08489652817086</v>
          </cell>
          <cell r="AC28">
            <v>2.90918721135595</v>
          </cell>
          <cell r="AD28">
            <v>2.90918721135595</v>
          </cell>
          <cell r="AE28">
            <v>3.29854308384355</v>
          </cell>
          <cell r="AF28">
            <v>3.74480481461778</v>
          </cell>
        </row>
        <row r="28">
          <cell r="AJ28">
            <v>9.51735853185301</v>
          </cell>
          <cell r="AK28">
            <v>12.2706983395388</v>
          </cell>
          <cell r="AL28">
            <v>11.3509780655127</v>
          </cell>
          <cell r="AM28">
            <v>8.48121796997541</v>
          </cell>
          <cell r="AN28">
            <v>7.93986363146634</v>
          </cell>
          <cell r="AO28">
            <v>7.94568464585892</v>
          </cell>
          <cell r="AP28">
            <v>7.93986363146634</v>
          </cell>
          <cell r="AQ28">
            <v>8.99346723652163</v>
          </cell>
          <cell r="AR28">
            <v>8.48121796997542</v>
          </cell>
          <cell r="AS28">
            <v>8.48121796997542</v>
          </cell>
          <cell r="AT28">
            <v>9.61631577652672</v>
          </cell>
          <cell r="AU28">
            <v>10.9173124932663</v>
          </cell>
        </row>
        <row r="29">
          <cell r="F29">
            <v>24.1888845927236</v>
          </cell>
          <cell r="G29">
            <v>31.1866475360617</v>
          </cell>
          <cell r="H29">
            <v>28.8491284133398</v>
          </cell>
          <cell r="I29">
            <v>21.5554769734545</v>
          </cell>
          <cell r="J29">
            <v>20.1795954645106</v>
          </cell>
          <cell r="K29">
            <v>20.194389889338</v>
          </cell>
          <cell r="L29">
            <v>20.1795954645106</v>
          </cell>
          <cell r="M29">
            <v>22.6743252871356</v>
          </cell>
          <cell r="N29">
            <v>0</v>
          </cell>
          <cell r="O29">
            <v>10.7777384867273</v>
          </cell>
          <cell r="P29">
            <v>24.4403898147886</v>
          </cell>
          <cell r="Q29">
            <v>27.7469437637022</v>
          </cell>
        </row>
        <row r="29">
          <cell r="U29">
            <v>3.6858847051181</v>
          </cell>
          <cell r="V29">
            <v>4.7521987513082</v>
          </cell>
          <cell r="W29">
            <v>4.39600928133349</v>
          </cell>
          <cell r="X29">
            <v>3.28460796046303</v>
          </cell>
          <cell r="Y29">
            <v>3.07495213319944</v>
          </cell>
          <cell r="Z29">
            <v>3.07720649693345</v>
          </cell>
          <cell r="AA29">
            <v>3.07495213319944</v>
          </cell>
          <cell r="AB29">
            <v>3.45509725569845</v>
          </cell>
          <cell r="AC29">
            <v>0</v>
          </cell>
          <cell r="AD29">
            <v>1.64230398023152</v>
          </cell>
          <cell r="AE29">
            <v>3.7242088885964</v>
          </cell>
          <cell r="AF29">
            <v>4.22805918314924</v>
          </cell>
        </row>
        <row r="29">
          <cell r="AJ29">
            <v>9.51735853185301</v>
          </cell>
          <cell r="AK29">
            <v>12.2706983395388</v>
          </cell>
          <cell r="AL29">
            <v>11.3509780655127</v>
          </cell>
          <cell r="AM29">
            <v>8.48121796997541</v>
          </cell>
          <cell r="AN29">
            <v>7.93986363146634</v>
          </cell>
          <cell r="AO29">
            <v>7.94568464585892</v>
          </cell>
          <cell r="AP29">
            <v>7.93986363146634</v>
          </cell>
          <cell r="AQ29">
            <v>8.92144002747636</v>
          </cell>
          <cell r="AR29">
            <v>0</v>
          </cell>
          <cell r="AS29">
            <v>4.24060898498771</v>
          </cell>
          <cell r="AT29">
            <v>9.61631577652672</v>
          </cell>
          <cell r="AU29">
            <v>10.9173124932663</v>
          </cell>
        </row>
        <row r="30">
          <cell r="F30">
            <v>24.8546337099545</v>
          </cell>
          <cell r="G30">
            <v>31.1866475360617</v>
          </cell>
          <cell r="H30">
            <v>30.1806266478017</v>
          </cell>
          <cell r="I30">
            <v>21.5554769734545</v>
          </cell>
          <cell r="J30">
            <v>20.1795954645106</v>
          </cell>
          <cell r="K30">
            <v>20.5806592198565</v>
          </cell>
          <cell r="L30">
            <v>20.1795954645106</v>
          </cell>
          <cell r="M30">
            <v>23.5231354754925</v>
          </cell>
          <cell r="N30">
            <v>21.8440487184394</v>
          </cell>
          <cell r="O30">
            <v>22.2434177279265</v>
          </cell>
          <cell r="P30">
            <v>24.4403898147886</v>
          </cell>
          <cell r="Q30">
            <v>28.4348845181742</v>
          </cell>
        </row>
        <row r="30">
          <cell r="U30">
            <v>3.29977643201317</v>
          </cell>
          <cell r="V30">
            <v>4.14043376112125</v>
          </cell>
          <cell r="W30">
            <v>4.00687138173025</v>
          </cell>
          <cell r="X30">
            <v>2.86177039371617</v>
          </cell>
          <cell r="Y30">
            <v>2.67910419837258</v>
          </cell>
          <cell r="Z30">
            <v>2.73235063696706</v>
          </cell>
          <cell r="AA30">
            <v>2.67910419837258</v>
          </cell>
          <cell r="AB30">
            <v>3.12300269458387</v>
          </cell>
          <cell r="AC30">
            <v>2.90008205238546</v>
          </cell>
          <cell r="AD30">
            <v>2.95310349138797</v>
          </cell>
          <cell r="AE30">
            <v>3.24478015814628</v>
          </cell>
          <cell r="AF30">
            <v>3.77510137043411</v>
          </cell>
        </row>
        <row r="30">
          <cell r="AJ30">
            <v>9.42090036142115</v>
          </cell>
          <cell r="AK30">
            <v>11.8209868820688</v>
          </cell>
          <cell r="AL30">
            <v>11.4396647245827</v>
          </cell>
          <cell r="AM30">
            <v>8.17038799201819</v>
          </cell>
          <cell r="AN30">
            <v>7.6488738648681</v>
          </cell>
          <cell r="AO30">
            <v>7.80089307069441</v>
          </cell>
          <cell r="AP30">
            <v>7.6488738648681</v>
          </cell>
          <cell r="AQ30">
            <v>8.91620927063068</v>
          </cell>
          <cell r="AR30">
            <v>8.27976822623727</v>
          </cell>
          <cell r="AS30">
            <v>8.43114505559326</v>
          </cell>
          <cell r="AT30">
            <v>9.26388535539747</v>
          </cell>
          <cell r="AU30">
            <v>10.7779586277687</v>
          </cell>
        </row>
        <row r="31">
          <cell r="F31">
            <v>25.9049121410409</v>
          </cell>
          <cell r="G31">
            <v>32.5044969007821</v>
          </cell>
          <cell r="H31">
            <v>31.4559647426924</v>
          </cell>
          <cell r="I31">
            <v>0</v>
          </cell>
          <cell r="J31">
            <v>10.5161607620177</v>
          </cell>
          <cell r="K31">
            <v>21.0477411145956</v>
          </cell>
          <cell r="L31">
            <v>21.0323215240355</v>
          </cell>
          <cell r="M31">
            <v>24.5171489906279</v>
          </cell>
          <cell r="N31">
            <v>22.4663434461288</v>
          </cell>
          <cell r="O31">
            <v>23.1833544071755</v>
          </cell>
          <cell r="P31">
            <v>25.4731636053569</v>
          </cell>
          <cell r="Q31">
            <v>29.6364530565956</v>
          </cell>
        </row>
        <row r="31">
          <cell r="U31">
            <v>3.71494270696045</v>
          </cell>
          <cell r="V31">
            <v>4.66136858706703</v>
          </cell>
          <cell r="W31">
            <v>4.51100185845196</v>
          </cell>
          <cell r="X31">
            <v>0</v>
          </cell>
          <cell r="Y31">
            <v>1.50808983699227</v>
          </cell>
          <cell r="Z31">
            <v>3.01839094940536</v>
          </cell>
          <cell r="AA31">
            <v>3.01617967398455</v>
          </cell>
          <cell r="AB31">
            <v>3.51592791908756</v>
          </cell>
          <cell r="AC31">
            <v>3.22182828811986</v>
          </cell>
          <cell r="AD31">
            <v>3.32465259518752</v>
          </cell>
          <cell r="AE31">
            <v>3.65302699517778</v>
          </cell>
          <cell r="AF31">
            <v>4.25007135879642</v>
          </cell>
        </row>
        <row r="31">
          <cell r="AJ31">
            <v>9.81899789794013</v>
          </cell>
          <cell r="AK31">
            <v>12.3205045052725</v>
          </cell>
          <cell r="AL31">
            <v>11.9230688760701</v>
          </cell>
          <cell r="AM31">
            <v>0</v>
          </cell>
          <cell r="AN31">
            <v>3.9860455752352</v>
          </cell>
          <cell r="AO31">
            <v>7.97793579207633</v>
          </cell>
          <cell r="AP31">
            <v>7.97209115047041</v>
          </cell>
          <cell r="AQ31">
            <v>9.29298015340759</v>
          </cell>
          <cell r="AR31">
            <v>8.51564281982067</v>
          </cell>
          <cell r="AS31">
            <v>8.78741865449581</v>
          </cell>
          <cell r="AT31">
            <v>9.65534793297446</v>
          </cell>
          <cell r="AU31">
            <v>11.233401166572</v>
          </cell>
        </row>
        <row r="32"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</row>
        <row r="32">
          <cell r="AJ32" t="e">
            <v>#REF!</v>
          </cell>
          <cell r="AK32" t="e">
            <v>#REF!</v>
          </cell>
          <cell r="AL32" t="e">
            <v>#REF!</v>
          </cell>
          <cell r="AM32" t="e">
            <v>#REF!</v>
          </cell>
          <cell r="AN32" t="e">
            <v>#REF!</v>
          </cell>
          <cell r="AO32" t="e">
            <v>#REF!</v>
          </cell>
          <cell r="AP32" t="e">
            <v>#REF!</v>
          </cell>
          <cell r="AQ32" t="e">
            <v>#REF!</v>
          </cell>
          <cell r="AR32" t="e">
            <v>#REF!</v>
          </cell>
          <cell r="AS32" t="e">
            <v>#REF!</v>
          </cell>
          <cell r="AT32" t="e">
            <v>#REF!</v>
          </cell>
          <cell r="AU32" t="e">
            <v>#REF!</v>
          </cell>
        </row>
        <row r="33">
          <cell r="F33">
            <v>1.28771965066168</v>
          </cell>
          <cell r="G33">
            <v>2.02257833130596</v>
          </cell>
          <cell r="H33">
            <v>1.54526358079397</v>
          </cell>
          <cell r="I33">
            <v>1.27741789345639</v>
          </cell>
          <cell r="J33">
            <v>1.27741789345639</v>
          </cell>
          <cell r="K33">
            <v>1.23621086463522</v>
          </cell>
          <cell r="L33">
            <v>1.27741789345639</v>
          </cell>
          <cell r="M33">
            <v>1.33922843668814</v>
          </cell>
          <cell r="N33">
            <v>1.33064363901707</v>
          </cell>
          <cell r="O33">
            <v>1.27741789345639</v>
          </cell>
          <cell r="P33">
            <v>1.5383957426571</v>
          </cell>
          <cell r="Q33">
            <v>1.86290109462381</v>
          </cell>
        </row>
        <row r="33">
          <cell r="U33">
            <v>0.105193836978132</v>
          </cell>
          <cell r="V33">
            <v>0.165224453280321</v>
          </cell>
          <cell r="W33">
            <v>0.126232604373755</v>
          </cell>
          <cell r="X33">
            <v>0.104352286282308</v>
          </cell>
          <cell r="Y33">
            <v>0.104352286282308</v>
          </cell>
          <cell r="Z33">
            <v>0.100986083499007</v>
          </cell>
          <cell r="AA33">
            <v>0.104352286282308</v>
          </cell>
          <cell r="AB33">
            <v>0.109401590457257</v>
          </cell>
          <cell r="AC33">
            <v>0.108700298210736</v>
          </cell>
          <cell r="AD33">
            <v>0.104352286282308</v>
          </cell>
          <cell r="AE33">
            <v>0.125671570576537</v>
          </cell>
          <cell r="AF33">
            <v>0.152180417495024</v>
          </cell>
        </row>
        <row r="33">
          <cell r="AJ33">
            <v>0.888655330921624</v>
          </cell>
          <cell r="AK33">
            <v>1.39578130643425</v>
          </cell>
          <cell r="AL33">
            <v>1.06638639710592</v>
          </cell>
          <cell r="AM33">
            <v>0.881546088274257</v>
          </cell>
          <cell r="AN33">
            <v>0.881546088274257</v>
          </cell>
          <cell r="AO33">
            <v>0.853109117684765</v>
          </cell>
          <cell r="AP33">
            <v>0.881546088274257</v>
          </cell>
          <cell r="AQ33">
            <v>0.924201544158483</v>
          </cell>
          <cell r="AR33">
            <v>0.918277175285678</v>
          </cell>
          <cell r="AS33">
            <v>0.881546088274257</v>
          </cell>
          <cell r="AT33">
            <v>1.06164690200766</v>
          </cell>
          <cell r="AU33">
            <v>1.28558804539989</v>
          </cell>
        </row>
        <row r="34">
          <cell r="F34">
            <v>2.82761063922295</v>
          </cell>
          <cell r="G34">
            <v>2.86013479915767</v>
          </cell>
          <cell r="H34">
            <v>2.82761063922295</v>
          </cell>
          <cell r="I34">
            <v>2.7984052711183</v>
          </cell>
          <cell r="J34">
            <v>2.24283951876393</v>
          </cell>
          <cell r="K34">
            <v>2.46918112157497</v>
          </cell>
          <cell r="L34">
            <v>2.18110999072455</v>
          </cell>
          <cell r="M34">
            <v>2.82761063922295</v>
          </cell>
          <cell r="N34">
            <v>2.7984052711183</v>
          </cell>
          <cell r="O34">
            <v>2.48975763092143</v>
          </cell>
          <cell r="P34">
            <v>2.52759185778427</v>
          </cell>
          <cell r="Q34">
            <v>3.29224149543329</v>
          </cell>
        </row>
        <row r="34"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4">
          <cell r="AJ34">
            <v>0.934892905646283</v>
          </cell>
          <cell r="AK34">
            <v>0.945646368645501</v>
          </cell>
          <cell r="AL34">
            <v>0.934892905646283</v>
          </cell>
          <cell r="AM34">
            <v>0.925236734789843</v>
          </cell>
          <cell r="AN34">
            <v>0.741550030088918</v>
          </cell>
          <cell r="AO34">
            <v>0.816385354226332</v>
          </cell>
          <cell r="AP34">
            <v>0.72114039623326</v>
          </cell>
          <cell r="AQ34">
            <v>0.934892905646283</v>
          </cell>
          <cell r="AR34">
            <v>0.925236734789843</v>
          </cell>
          <cell r="AS34">
            <v>0.823188565511551</v>
          </cell>
          <cell r="AT34">
            <v>0.835697695939213</v>
          </cell>
          <cell r="AU34">
            <v>1.08851380563511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5"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F36" t="e">
            <v>#REF!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K36" t="e">
            <v>#REF!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  <cell r="P36" t="e">
            <v>#REF!</v>
          </cell>
          <cell r="Q36" t="e">
            <v>#REF!</v>
          </cell>
        </row>
        <row r="36"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  <cell r="AQ36" t="e">
            <v>#REF!</v>
          </cell>
          <cell r="AR36" t="e">
            <v>#REF!</v>
          </cell>
          <cell r="AS36" t="e">
            <v>#REF!</v>
          </cell>
          <cell r="AT36" t="e">
            <v>#REF!</v>
          </cell>
          <cell r="AU36" t="e">
            <v>#REF!</v>
          </cell>
        </row>
        <row r="37">
          <cell r="F37" t="e">
            <v>#REF!</v>
          </cell>
          <cell r="G37" t="e">
            <v>#REF!</v>
          </cell>
          <cell r="H37" t="e">
            <v>#REF!</v>
          </cell>
          <cell r="I37" t="e">
            <v>#REF!</v>
          </cell>
          <cell r="J37" t="e">
            <v>#REF!</v>
          </cell>
          <cell r="K37" t="e">
            <v>#REF!</v>
          </cell>
          <cell r="L37" t="e">
            <v>#REF!</v>
          </cell>
          <cell r="M37" t="e">
            <v>#REF!</v>
          </cell>
          <cell r="N37" t="e">
            <v>#REF!</v>
          </cell>
          <cell r="O37" t="e">
            <v>#REF!</v>
          </cell>
          <cell r="P37" t="e">
            <v>#REF!</v>
          </cell>
          <cell r="Q37" t="e">
            <v>#REF!</v>
          </cell>
        </row>
        <row r="37"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  <cell r="AQ37" t="e">
            <v>#REF!</v>
          </cell>
          <cell r="AR37" t="e">
            <v>#REF!</v>
          </cell>
          <cell r="AS37" t="e">
            <v>#REF!</v>
          </cell>
          <cell r="AT37" t="e">
            <v>#REF!</v>
          </cell>
          <cell r="AU37" t="e">
            <v>#REF!</v>
          </cell>
        </row>
        <row r="38">
          <cell r="F38" t="e">
            <v>#REF!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K38" t="e">
            <v>#REF!</v>
          </cell>
          <cell r="L38" t="e">
            <v>#REF!</v>
          </cell>
          <cell r="M38" t="e">
            <v>#REF!</v>
          </cell>
          <cell r="N38" t="e">
            <v>#REF!</v>
          </cell>
          <cell r="O38" t="e">
            <v>#REF!</v>
          </cell>
          <cell r="P38" t="e">
            <v>#REF!</v>
          </cell>
          <cell r="Q38" t="e">
            <v>#REF!</v>
          </cell>
        </row>
        <row r="38"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  <cell r="AQ38" t="e">
            <v>#REF!</v>
          </cell>
          <cell r="AR38" t="e">
            <v>#REF!</v>
          </cell>
          <cell r="AS38" t="e">
            <v>#REF!</v>
          </cell>
          <cell r="AT38" t="e">
            <v>#REF!</v>
          </cell>
          <cell r="AU38" t="e">
            <v>#REF!</v>
          </cell>
        </row>
        <row r="39">
          <cell r="F39" t="e">
            <v>#REF!</v>
          </cell>
          <cell r="G39" t="e">
            <v>#REF!</v>
          </cell>
          <cell r="H39" t="e">
            <v>#REF!</v>
          </cell>
          <cell r="I39" t="e">
            <v>#REF!</v>
          </cell>
          <cell r="J39" t="e">
            <v>#REF!</v>
          </cell>
          <cell r="K39" t="e">
            <v>#REF!</v>
          </cell>
          <cell r="L39" t="e">
            <v>#REF!</v>
          </cell>
          <cell r="M39" t="e">
            <v>#REF!</v>
          </cell>
          <cell r="N39" t="e">
            <v>#REF!</v>
          </cell>
          <cell r="O39" t="e">
            <v>#REF!</v>
          </cell>
          <cell r="P39" t="e">
            <v>#REF!</v>
          </cell>
          <cell r="Q39" t="e">
            <v>#REF!</v>
          </cell>
        </row>
        <row r="39"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  <cell r="AQ39" t="e">
            <v>#REF!</v>
          </cell>
          <cell r="AR39" t="e">
            <v>#REF!</v>
          </cell>
          <cell r="AS39" t="e">
            <v>#REF!</v>
          </cell>
          <cell r="AT39" t="e">
            <v>#REF!</v>
          </cell>
          <cell r="AU39" t="e">
            <v>#REF!</v>
          </cell>
        </row>
        <row r="40">
          <cell r="F40">
            <v>127.371313061458</v>
          </cell>
          <cell r="G40">
            <v>189.620239460751</v>
          </cell>
          <cell r="H40">
            <v>167.83404442512</v>
          </cell>
          <cell r="I40">
            <v>123.963221145859</v>
          </cell>
          <cell r="J40">
            <v>116.692248216851</v>
          </cell>
          <cell r="K40">
            <v>112.92798214534</v>
          </cell>
          <cell r="L40">
            <v>116.692248216851</v>
          </cell>
          <cell r="M40">
            <v>0</v>
          </cell>
          <cell r="N40">
            <v>63.2083011174609</v>
          </cell>
          <cell r="O40">
            <v>123.996026324731</v>
          </cell>
          <cell r="P40">
            <v>149.315887503282</v>
          </cell>
          <cell r="Q40">
            <v>170.176195316241</v>
          </cell>
        </row>
        <row r="40">
          <cell r="U40">
            <v>23.1168015015066</v>
          </cell>
          <cell r="V40">
            <v>34.4144480489674</v>
          </cell>
          <cell r="W40">
            <v>30.460440399939</v>
          </cell>
          <cell r="X40">
            <v>22.498262032782</v>
          </cell>
          <cell r="Y40">
            <v>21.1786427725046</v>
          </cell>
          <cell r="Z40">
            <v>20.4954607475851</v>
          </cell>
          <cell r="AA40">
            <v>21.1786427725046</v>
          </cell>
          <cell r="AB40">
            <v>0</v>
          </cell>
          <cell r="AC40">
            <v>11.4717648351067</v>
          </cell>
          <cell r="AD40">
            <v>22.5042158915431</v>
          </cell>
          <cell r="AE40">
            <v>27.0995536551403</v>
          </cell>
          <cell r="AF40">
            <v>30.8855207099025</v>
          </cell>
        </row>
        <row r="40">
          <cell r="AJ40">
            <v>53.395328148494</v>
          </cell>
          <cell r="AK40">
            <v>79.4907005843415</v>
          </cell>
          <cell r="AL40">
            <v>70.3577097634545</v>
          </cell>
          <cell r="AM40">
            <v>51.9666219365557</v>
          </cell>
          <cell r="AN40">
            <v>48.9185573749861</v>
          </cell>
          <cell r="AO40">
            <v>47.3405393951478</v>
          </cell>
          <cell r="AP40">
            <v>48.9185573749861</v>
          </cell>
          <cell r="AQ40">
            <v>0</v>
          </cell>
          <cell r="AR40">
            <v>26.4975519114508</v>
          </cell>
          <cell r="AS40">
            <v>51.9803741955905</v>
          </cell>
          <cell r="AT40">
            <v>62.594713200251</v>
          </cell>
          <cell r="AU40">
            <v>71.3395628385213</v>
          </cell>
        </row>
        <row r="41">
          <cell r="F41">
            <v>69.4545158945164</v>
          </cell>
          <cell r="G41">
            <v>92.2410828096404</v>
          </cell>
          <cell r="H41">
            <v>0</v>
          </cell>
          <cell r="I41">
            <v>30.0969568876238</v>
          </cell>
          <cell r="J41">
            <v>55.5636127156132</v>
          </cell>
          <cell r="K41">
            <v>54.2419453835729</v>
          </cell>
          <cell r="L41">
            <v>55.5636127156132</v>
          </cell>
          <cell r="M41">
            <v>62.3972048339784</v>
          </cell>
          <cell r="N41">
            <v>60.1939137752476</v>
          </cell>
          <cell r="O41">
            <v>60.1939137752476</v>
          </cell>
          <cell r="P41">
            <v>71.0975259479351</v>
          </cell>
          <cell r="Q41">
            <v>81.0302685436025</v>
          </cell>
        </row>
        <row r="41">
          <cell r="U41">
            <v>26.6250849243587</v>
          </cell>
          <cell r="V41">
            <v>35.3602156993133</v>
          </cell>
          <cell r="W41">
            <v>0</v>
          </cell>
          <cell r="X41">
            <v>11.5375368005555</v>
          </cell>
          <cell r="Y41">
            <v>21.300067939487</v>
          </cell>
          <cell r="Z41">
            <v>20.7934125477661</v>
          </cell>
          <cell r="AA41">
            <v>21.300067939487</v>
          </cell>
          <cell r="AB41">
            <v>23.9196955928743</v>
          </cell>
          <cell r="AC41">
            <v>23.0750736011109</v>
          </cell>
          <cell r="AD41">
            <v>23.0750736011109</v>
          </cell>
          <cell r="AE41">
            <v>27.2549256429995</v>
          </cell>
          <cell r="AF41">
            <v>31.0625990784185</v>
          </cell>
        </row>
        <row r="41">
          <cell r="AJ41">
            <v>28.5437223971694</v>
          </cell>
          <cell r="AK41">
            <v>37.9083178022779</v>
          </cell>
          <cell r="AL41">
            <v>0</v>
          </cell>
          <cell r="AM41">
            <v>12.3689463721067</v>
          </cell>
          <cell r="AN41">
            <v>22.8349779177355</v>
          </cell>
          <cell r="AO41">
            <v>22.291812294287</v>
          </cell>
          <cell r="AP41">
            <v>22.8349779177355</v>
          </cell>
          <cell r="AQ41">
            <v>25.6433792706201</v>
          </cell>
          <cell r="AR41">
            <v>24.7378927442135</v>
          </cell>
          <cell r="AS41">
            <v>24.7378927442135</v>
          </cell>
          <cell r="AT41">
            <v>29.2189502388229</v>
          </cell>
          <cell r="AU41">
            <v>33.3010094633643</v>
          </cell>
        </row>
        <row r="41">
          <cell r="AW41">
            <v>5.4026943190487</v>
          </cell>
        </row>
        <row r="42">
          <cell r="F42">
            <v>22.7490475815514</v>
          </cell>
          <cell r="G42">
            <v>21.3035351831403</v>
          </cell>
          <cell r="H42">
            <v>21.0428690129351</v>
          </cell>
          <cell r="I42">
            <v>23.5073491676031</v>
          </cell>
          <cell r="J42">
            <v>19.0997211986775</v>
          </cell>
          <cell r="K42">
            <v>22.7490475815514</v>
          </cell>
          <cell r="L42">
            <v>19.9894702080006</v>
          </cell>
          <cell r="M42">
            <v>21.0428690129351</v>
          </cell>
          <cell r="N42">
            <v>22.1850607769255</v>
          </cell>
          <cell r="O42">
            <v>22.1850607769255</v>
          </cell>
          <cell r="P42">
            <v>21.232444409448</v>
          </cell>
          <cell r="Q42">
            <v>23.5073491676031</v>
          </cell>
        </row>
        <row r="42">
          <cell r="U42">
            <v>3.23337012722627</v>
          </cell>
          <cell r="V42">
            <v>3.0279164003921</v>
          </cell>
          <cell r="W42">
            <v>2.9908673676843</v>
          </cell>
          <cell r="X42">
            <v>3.34114913146714</v>
          </cell>
          <cell r="Y42">
            <v>2.71468366931705</v>
          </cell>
          <cell r="Z42">
            <v>3.23337012722627</v>
          </cell>
          <cell r="AA42">
            <v>2.8411455731467</v>
          </cell>
          <cell r="AB42">
            <v>2.9908673676843</v>
          </cell>
          <cell r="AC42">
            <v>3.15320949282211</v>
          </cell>
          <cell r="AD42">
            <v>3.15320949282211</v>
          </cell>
          <cell r="AE42">
            <v>3.01781211874452</v>
          </cell>
          <cell r="AF42">
            <v>3.34114913146714</v>
          </cell>
        </row>
        <row r="42">
          <cell r="AJ42">
            <v>4.03022126954765</v>
          </cell>
          <cell r="AK42">
            <v>3.77413429304514</v>
          </cell>
          <cell r="AL42">
            <v>3.72795467433158</v>
          </cell>
          <cell r="AM42">
            <v>4.16456197853257</v>
          </cell>
          <cell r="AN42">
            <v>3.38370660755771</v>
          </cell>
          <cell r="AO42">
            <v>4.03022126954765</v>
          </cell>
          <cell r="AP42">
            <v>3.54133454204939</v>
          </cell>
          <cell r="AQ42">
            <v>3.72795467433158</v>
          </cell>
          <cell r="AR42">
            <v>3.93030536724011</v>
          </cell>
          <cell r="AS42">
            <v>3.93030536724011</v>
          </cell>
          <cell r="AT42">
            <v>3.76153985157781</v>
          </cell>
          <cell r="AU42">
            <v>4.16456197853257</v>
          </cell>
        </row>
        <row r="43">
          <cell r="F43">
            <v>22.7490475815514</v>
          </cell>
          <cell r="G43">
            <v>21.3035351831403</v>
          </cell>
          <cell r="H43">
            <v>21.0428690129351</v>
          </cell>
          <cell r="I43">
            <v>23.5073491676031</v>
          </cell>
          <cell r="J43">
            <v>19.0997211986775</v>
          </cell>
          <cell r="K43">
            <v>22.7490475815514</v>
          </cell>
          <cell r="L43">
            <v>19.9812467924627</v>
          </cell>
          <cell r="M43">
            <v>21.0428690129351</v>
          </cell>
          <cell r="N43">
            <v>22.1850607769255</v>
          </cell>
          <cell r="O43">
            <v>22.1850607769255</v>
          </cell>
          <cell r="P43">
            <v>21.232444409448</v>
          </cell>
          <cell r="Q43">
            <v>23.5073491676031</v>
          </cell>
        </row>
        <row r="43">
          <cell r="U43">
            <v>3.23347216412346</v>
          </cell>
          <cell r="V43">
            <v>3.02801195369478</v>
          </cell>
          <cell r="W43">
            <v>2.9909617518142</v>
          </cell>
          <cell r="X43">
            <v>3.34125456959424</v>
          </cell>
          <cell r="Y43">
            <v>2.71476933779532</v>
          </cell>
          <cell r="Z43">
            <v>3.23347216412346</v>
          </cell>
          <cell r="AA43">
            <v>2.8400663841551</v>
          </cell>
          <cell r="AB43">
            <v>2.9909617518142</v>
          </cell>
          <cell r="AC43">
            <v>3.15330900005456</v>
          </cell>
          <cell r="AD43">
            <v>3.15330900005456</v>
          </cell>
          <cell r="AE43">
            <v>3.01790735318189</v>
          </cell>
          <cell r="AF43">
            <v>3.34125456959424</v>
          </cell>
        </row>
        <row r="43">
          <cell r="AJ43">
            <v>4.03022126954765</v>
          </cell>
          <cell r="AK43">
            <v>3.77413429304514</v>
          </cell>
          <cell r="AL43">
            <v>3.72795467433158</v>
          </cell>
          <cell r="AM43">
            <v>4.16456197853257</v>
          </cell>
          <cell r="AN43">
            <v>3.38370660755771</v>
          </cell>
          <cell r="AO43">
            <v>4.03022126954765</v>
          </cell>
          <cell r="AP43">
            <v>3.53987768175269</v>
          </cell>
          <cell r="AQ43">
            <v>3.72795467433158</v>
          </cell>
          <cell r="AR43">
            <v>3.93030536724011</v>
          </cell>
          <cell r="AS43">
            <v>3.93030536724011</v>
          </cell>
          <cell r="AT43">
            <v>3.76153985157781</v>
          </cell>
          <cell r="AU43">
            <v>4.16456197853257</v>
          </cell>
        </row>
        <row r="44">
          <cell r="F44">
            <v>22.4560221345053</v>
          </cell>
          <cell r="G44">
            <v>21.3035351831403</v>
          </cell>
          <cell r="H44">
            <v>21.0428690129351</v>
          </cell>
          <cell r="I44">
            <v>23.5073491676031</v>
          </cell>
          <cell r="J44">
            <v>19.0997211986775</v>
          </cell>
          <cell r="K44">
            <v>22.7490475815514</v>
          </cell>
          <cell r="L44">
            <v>19.9812467924627</v>
          </cell>
          <cell r="M44">
            <v>21.0428690129351</v>
          </cell>
          <cell r="N44">
            <v>0</v>
          </cell>
          <cell r="O44">
            <v>11.0925303884627</v>
          </cell>
          <cell r="P44">
            <v>21.232444409448</v>
          </cell>
          <cell r="Q44">
            <v>23.5073491676031</v>
          </cell>
        </row>
        <row r="44">
          <cell r="U44">
            <v>3.66382418903984</v>
          </cell>
          <cell r="V44">
            <v>3.47578956987746</v>
          </cell>
          <cell r="W44">
            <v>3.43326044277106</v>
          </cell>
          <cell r="X44">
            <v>3.83535400814064</v>
          </cell>
          <cell r="Y44">
            <v>3.11622513161427</v>
          </cell>
          <cell r="Z44">
            <v>3.71163291110385</v>
          </cell>
          <cell r="AA44">
            <v>3.26005090691955</v>
          </cell>
          <cell r="AB44">
            <v>3.43326044277106</v>
          </cell>
          <cell r="AC44">
            <v>0</v>
          </cell>
          <cell r="AD44">
            <v>1.80980767259137</v>
          </cell>
          <cell r="AE44">
            <v>3.46419071703026</v>
          </cell>
          <cell r="AF44">
            <v>3.83535400814064</v>
          </cell>
        </row>
        <row r="44">
          <cell r="AJ44">
            <v>3.97830888134896</v>
          </cell>
          <cell r="AK44">
            <v>3.77413429304514</v>
          </cell>
          <cell r="AL44">
            <v>3.72795467433157</v>
          </cell>
          <cell r="AM44">
            <v>4.16456197853257</v>
          </cell>
          <cell r="AN44">
            <v>3.38370660755771</v>
          </cell>
          <cell r="AO44">
            <v>4.03022126954765</v>
          </cell>
          <cell r="AP44">
            <v>3.53987768175268</v>
          </cell>
          <cell r="AQ44">
            <v>3.72795467433157</v>
          </cell>
          <cell r="AR44">
            <v>0</v>
          </cell>
          <cell r="AS44">
            <v>1.96515268362006</v>
          </cell>
          <cell r="AT44">
            <v>3.76153985157781</v>
          </cell>
          <cell r="AU44">
            <v>4.16456197853257</v>
          </cell>
        </row>
        <row r="45">
          <cell r="F45">
            <v>22.3225029393973</v>
          </cell>
          <cell r="G45">
            <v>21.3035351831403</v>
          </cell>
          <cell r="H45">
            <v>21.0428690129351</v>
          </cell>
          <cell r="I45">
            <v>23.5073491676031</v>
          </cell>
          <cell r="J45">
            <v>19.0151727638259</v>
          </cell>
          <cell r="K45">
            <v>22.7490475815514</v>
          </cell>
          <cell r="L45">
            <v>19.9812467924627</v>
          </cell>
          <cell r="M45">
            <v>0</v>
          </cell>
          <cell r="N45">
            <v>11.0925303884627</v>
          </cell>
          <cell r="O45">
            <v>22.1850607769255</v>
          </cell>
          <cell r="P45">
            <v>21.232444409448</v>
          </cell>
          <cell r="Q45">
            <v>23.5073491676031</v>
          </cell>
        </row>
        <row r="45">
          <cell r="U45">
            <v>3.62727402215474</v>
          </cell>
          <cell r="V45">
            <v>3.46169781944492</v>
          </cell>
          <cell r="W45">
            <v>3.41934111642612</v>
          </cell>
          <cell r="X45">
            <v>3.81980449042198</v>
          </cell>
          <cell r="Y45">
            <v>3.08985253043815</v>
          </cell>
          <cell r="Z45">
            <v>3.69658499073094</v>
          </cell>
          <cell r="AA45">
            <v>3.24683381685868</v>
          </cell>
          <cell r="AB45">
            <v>0</v>
          </cell>
          <cell r="AC45">
            <v>1.80247024391787</v>
          </cell>
          <cell r="AD45">
            <v>3.60494048783574</v>
          </cell>
          <cell r="AE45">
            <v>3.45014599134888</v>
          </cell>
          <cell r="AF45">
            <v>3.81980449042198</v>
          </cell>
        </row>
        <row r="45">
          <cell r="AJ45">
            <v>3.95465462074363</v>
          </cell>
          <cell r="AK45">
            <v>3.77413429304514</v>
          </cell>
          <cell r="AL45">
            <v>3.72795467433158</v>
          </cell>
          <cell r="AM45">
            <v>4.16456197853257</v>
          </cell>
          <cell r="AN45">
            <v>3.36872800683939</v>
          </cell>
          <cell r="AO45">
            <v>4.03022126954765</v>
          </cell>
          <cell r="AP45">
            <v>3.53987768175268</v>
          </cell>
          <cell r="AQ45">
            <v>0</v>
          </cell>
          <cell r="AR45">
            <v>1.96515268362006</v>
          </cell>
          <cell r="AS45">
            <v>3.93030536724011</v>
          </cell>
          <cell r="AT45">
            <v>3.76153985157781</v>
          </cell>
          <cell r="AU45">
            <v>4.16456197853257</v>
          </cell>
        </row>
        <row r="46">
          <cell r="F46">
            <v>28.3823734669314</v>
          </cell>
          <cell r="G46">
            <v>37.4640257189241</v>
          </cell>
          <cell r="H46">
            <v>33.9184656062814</v>
          </cell>
          <cell r="I46">
            <v>24.9760171459494</v>
          </cell>
          <cell r="J46">
            <v>23.0547850577994</v>
          </cell>
          <cell r="K46">
            <v>22.3110823139994</v>
          </cell>
          <cell r="L46">
            <v>23.0547850577994</v>
          </cell>
          <cell r="M46">
            <v>25.0999676032494</v>
          </cell>
          <cell r="N46">
            <v>24.9760171459494</v>
          </cell>
          <cell r="O46">
            <v>24.9760171459494</v>
          </cell>
          <cell r="P46">
            <v>29.5002088373993</v>
          </cell>
          <cell r="Q46">
            <v>33.6215615426242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6">
          <cell r="AJ46">
            <v>11.8689409364014</v>
          </cell>
          <cell r="AK46">
            <v>15.6667062751397</v>
          </cell>
          <cell r="AL46">
            <v>14.1840239472347</v>
          </cell>
          <cell r="AM46">
            <v>10.4444708500931</v>
          </cell>
          <cell r="AN46">
            <v>9.64105001547056</v>
          </cell>
          <cell r="AO46">
            <v>9.33004840206829</v>
          </cell>
          <cell r="AP46">
            <v>9.64105001547056</v>
          </cell>
          <cell r="AQ46">
            <v>10.4963044523268</v>
          </cell>
          <cell r="AR46">
            <v>10.4444708500931</v>
          </cell>
          <cell r="AS46">
            <v>10.4444708500931</v>
          </cell>
          <cell r="AT46">
            <v>12.3363973316236</v>
          </cell>
          <cell r="AU46">
            <v>14.0598646058946</v>
          </cell>
        </row>
        <row r="47">
          <cell r="F47">
            <v>46.8608429528392</v>
          </cell>
          <cell r="G47">
            <v>0</v>
          </cell>
          <cell r="H47">
            <v>26.3350191801079</v>
          </cell>
          <cell r="I47">
            <v>42.4200357969778</v>
          </cell>
          <cell r="J47">
            <v>36.4172005426885</v>
          </cell>
          <cell r="K47">
            <v>39.8898084639871</v>
          </cell>
          <cell r="L47">
            <v>35.2166334918307</v>
          </cell>
          <cell r="M47">
            <v>51.5081992787406</v>
          </cell>
          <cell r="N47">
            <v>46.0217369495514</v>
          </cell>
          <cell r="O47">
            <v>44.8211698986936</v>
          </cell>
          <cell r="P47">
            <v>43.7367867559832</v>
          </cell>
          <cell r="Q47">
            <v>54.4257063055565</v>
          </cell>
        </row>
        <row r="47">
          <cell r="U47">
            <v>8.97815256997736</v>
          </cell>
          <cell r="V47">
            <v>0</v>
          </cell>
          <cell r="W47">
            <v>5.04557334511123</v>
          </cell>
          <cell r="X47">
            <v>8.12733039805664</v>
          </cell>
          <cell r="Y47">
            <v>6.97723647380335</v>
          </cell>
          <cell r="Z47">
            <v>7.64255962568321</v>
          </cell>
          <cell r="AA47">
            <v>6.74721768895269</v>
          </cell>
          <cell r="AB47">
            <v>9.86854786617346</v>
          </cell>
          <cell r="AC47">
            <v>8.81738675260862</v>
          </cell>
          <cell r="AD47">
            <v>8.58736796775796</v>
          </cell>
          <cell r="AE47">
            <v>8.37960906531221</v>
          </cell>
          <cell r="AF47">
            <v>10.4275182465632</v>
          </cell>
        </row>
        <row r="47">
          <cell r="AJ47">
            <v>16.9898672209814</v>
          </cell>
          <cell r="AK47">
            <v>0</v>
          </cell>
          <cell r="AL47">
            <v>9.54802455393992</v>
          </cell>
          <cell r="AM47">
            <v>15.3798081785523</v>
          </cell>
          <cell r="AN47">
            <v>13.2034202287572</v>
          </cell>
          <cell r="AO47">
            <v>14.4624489567032</v>
          </cell>
          <cell r="AP47">
            <v>12.7681426387981</v>
          </cell>
          <cell r="AQ47">
            <v>18.6748127305002</v>
          </cell>
          <cell r="AR47">
            <v>16.6856409484294</v>
          </cell>
          <cell r="AS47">
            <v>16.2503633584703</v>
          </cell>
          <cell r="AT47">
            <v>15.8572094062493</v>
          </cell>
          <cell r="AU47">
            <v>19.7325840781426</v>
          </cell>
        </row>
        <row r="48">
          <cell r="F48" t="e">
            <v>#REF!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</row>
        <row r="48"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  <cell r="AQ48" t="e">
            <v>#REF!</v>
          </cell>
          <cell r="AR48" t="e">
            <v>#REF!</v>
          </cell>
          <cell r="AS48" t="e">
            <v>#REF!</v>
          </cell>
          <cell r="AT48" t="e">
            <v>#REF!</v>
          </cell>
          <cell r="AU48" t="e">
            <v>#REF!</v>
          </cell>
        </row>
        <row r="49">
          <cell r="F49">
            <v>20.3894835085202</v>
          </cell>
          <cell r="G49">
            <v>32.0250820973824</v>
          </cell>
          <cell r="H49">
            <v>0</v>
          </cell>
          <cell r="I49">
            <v>10.5345664794021</v>
          </cell>
          <cell r="J49">
            <v>20.226367640452</v>
          </cell>
          <cell r="K49">
            <v>19.5739041681794</v>
          </cell>
          <cell r="L49">
            <v>20.226367640452</v>
          </cell>
          <cell r="M49">
            <v>21.205062848861</v>
          </cell>
          <cell r="N49">
            <v>21.1428354343211</v>
          </cell>
          <cell r="O49">
            <v>21.0691329588042</v>
          </cell>
          <cell r="P49">
            <v>24.3586362981788</v>
          </cell>
          <cell r="Q49">
            <v>29.496786142326</v>
          </cell>
        </row>
        <row r="49">
          <cell r="U49">
            <v>6.20700634008522</v>
          </cell>
          <cell r="V49">
            <v>9.7491379581605</v>
          </cell>
          <cell r="W49">
            <v>0</v>
          </cell>
          <cell r="X49">
            <v>3.2069532757107</v>
          </cell>
          <cell r="Y49">
            <v>6.15735028936453</v>
          </cell>
          <cell r="Z49">
            <v>5.95872608648181</v>
          </cell>
          <cell r="AA49">
            <v>6.15735028936453</v>
          </cell>
          <cell r="AB49">
            <v>6.45528659368863</v>
          </cell>
          <cell r="AC49">
            <v>6.43634320277757</v>
          </cell>
          <cell r="AD49">
            <v>6.41390655142139</v>
          </cell>
          <cell r="AE49">
            <v>7.41530357428849</v>
          </cell>
          <cell r="AF49">
            <v>8.97946917198997</v>
          </cell>
        </row>
        <row r="49">
          <cell r="AJ49">
            <v>11.4666377355216</v>
          </cell>
          <cell r="AK49">
            <v>18.0102656699259</v>
          </cell>
          <cell r="AL49">
            <v>0</v>
          </cell>
          <cell r="AM49">
            <v>5.92442949668616</v>
          </cell>
          <cell r="AN49">
            <v>11.3749046336374</v>
          </cell>
          <cell r="AO49">
            <v>11.0079722261007</v>
          </cell>
          <cell r="AP49">
            <v>11.3749046336374</v>
          </cell>
          <cell r="AQ49">
            <v>11.9253032449425</v>
          </cell>
          <cell r="AR49">
            <v>11.8903077915535</v>
          </cell>
          <cell r="AS49">
            <v>11.8488589933723</v>
          </cell>
          <cell r="AT49">
            <v>13.6988098813698</v>
          </cell>
          <cell r="AU49">
            <v>16.5884025907213</v>
          </cell>
        </row>
        <row r="50">
          <cell r="F50">
            <v>20.3894835085202</v>
          </cell>
          <cell r="G50">
            <v>32.0250820973824</v>
          </cell>
          <cell r="H50">
            <v>25.282959550565</v>
          </cell>
          <cell r="I50">
            <v>21.0691329588042</v>
          </cell>
          <cell r="J50">
            <v>20.226367640452</v>
          </cell>
          <cell r="K50">
            <v>19.5739041681794</v>
          </cell>
          <cell r="L50">
            <v>20.226367640452</v>
          </cell>
          <cell r="M50">
            <v>19.5739041681794</v>
          </cell>
          <cell r="N50">
            <v>20.6477502996281</v>
          </cell>
          <cell r="O50">
            <v>20.6034195257597</v>
          </cell>
          <cell r="P50">
            <v>24.3586362981788</v>
          </cell>
          <cell r="Q50">
            <v>29.496786142326</v>
          </cell>
        </row>
        <row r="50">
          <cell r="U50">
            <v>5.45288905131424</v>
          </cell>
          <cell r="V50">
            <v>8.56467106993089</v>
          </cell>
          <cell r="W50">
            <v>6.76158242362965</v>
          </cell>
          <cell r="X50">
            <v>5.63465201969138</v>
          </cell>
          <cell r="Y50">
            <v>5.40926593890372</v>
          </cell>
          <cell r="Z50">
            <v>5.23477348926167</v>
          </cell>
          <cell r="AA50">
            <v>5.40926593890372</v>
          </cell>
          <cell r="AB50">
            <v>5.23477348926167</v>
          </cell>
          <cell r="AC50">
            <v>5.52195897929755</v>
          </cell>
          <cell r="AD50">
            <v>5.51010331893409</v>
          </cell>
          <cell r="AE50">
            <v>6.51438478663676</v>
          </cell>
          <cell r="AF50">
            <v>7.88851282756795</v>
          </cell>
        </row>
        <row r="50">
          <cell r="AJ50">
            <v>11.4666377355216</v>
          </cell>
          <cell r="AK50">
            <v>18.0102656699259</v>
          </cell>
          <cell r="AL50">
            <v>14.2186307920468</v>
          </cell>
          <cell r="AM50">
            <v>11.8488589933723</v>
          </cell>
          <cell r="AN50">
            <v>11.3749046336374</v>
          </cell>
          <cell r="AO50">
            <v>11.0079722261007</v>
          </cell>
          <cell r="AP50">
            <v>11.3749046336374</v>
          </cell>
          <cell r="AQ50">
            <v>11.0079722261007</v>
          </cell>
          <cell r="AR50">
            <v>11.6118818135049</v>
          </cell>
          <cell r="AS50">
            <v>11.5869510728967</v>
          </cell>
          <cell r="AT50">
            <v>13.6988098813698</v>
          </cell>
          <cell r="AU50">
            <v>16.5884025907213</v>
          </cell>
        </row>
        <row r="51">
          <cell r="F51">
            <v>20.3894835085202</v>
          </cell>
          <cell r="G51">
            <v>32.0250820973824</v>
          </cell>
          <cell r="H51">
            <v>26.400474925021</v>
          </cell>
          <cell r="I51">
            <v>21.0691329588042</v>
          </cell>
          <cell r="J51">
            <v>20.226367640452</v>
          </cell>
          <cell r="K51">
            <v>19.5739041681794</v>
          </cell>
          <cell r="L51">
            <v>20.226367640452</v>
          </cell>
          <cell r="M51">
            <v>1.63115868068163</v>
          </cell>
          <cell r="N51">
            <v>10.9559491385782</v>
          </cell>
          <cell r="O51">
            <v>21.0691329588042</v>
          </cell>
          <cell r="P51">
            <v>24.3586362981788</v>
          </cell>
          <cell r="Q51">
            <v>29.496786142326</v>
          </cell>
        </row>
        <row r="51">
          <cell r="U51">
            <v>6.0270282646709</v>
          </cell>
          <cell r="V51">
            <v>9.46645239437641</v>
          </cell>
          <cell r="W51">
            <v>7.80384694430078</v>
          </cell>
          <cell r="X51">
            <v>6.22792920682659</v>
          </cell>
          <cell r="Y51">
            <v>5.97881203855353</v>
          </cell>
          <cell r="Z51">
            <v>5.78594713408406</v>
          </cell>
          <cell r="AA51">
            <v>5.97881203855353</v>
          </cell>
          <cell r="AB51">
            <v>0.482162261173676</v>
          </cell>
          <cell r="AC51">
            <v>3.23852318754983</v>
          </cell>
          <cell r="AD51">
            <v>6.22792920682659</v>
          </cell>
          <cell r="AE51">
            <v>7.20028976686018</v>
          </cell>
          <cell r="AF51">
            <v>8.71910088955725</v>
          </cell>
        </row>
        <row r="51">
          <cell r="AJ51">
            <v>11.4666377355216</v>
          </cell>
          <cell r="AK51">
            <v>18.0102656699259</v>
          </cell>
          <cell r="AL51">
            <v>14.8470990883333</v>
          </cell>
          <cell r="AM51">
            <v>11.8488589933723</v>
          </cell>
          <cell r="AN51">
            <v>11.3749046336374</v>
          </cell>
          <cell r="AO51">
            <v>11.0079722261007</v>
          </cell>
          <cell r="AP51">
            <v>11.3749046336374</v>
          </cell>
          <cell r="AQ51">
            <v>0.917331018841735</v>
          </cell>
          <cell r="AR51">
            <v>6.16140667655361</v>
          </cell>
          <cell r="AS51">
            <v>11.8488589933723</v>
          </cell>
          <cell r="AT51">
            <v>13.6988098813698</v>
          </cell>
          <cell r="AU51">
            <v>16.5884025907213</v>
          </cell>
        </row>
        <row r="52">
          <cell r="F52">
            <v>24.6606926309499</v>
          </cell>
          <cell r="G52">
            <v>25.4827157186483</v>
          </cell>
          <cell r="H52">
            <v>24.6606926309499</v>
          </cell>
          <cell r="I52">
            <v>26.0210829521408</v>
          </cell>
          <cell r="J52">
            <v>20.6374106172151</v>
          </cell>
          <cell r="K52">
            <v>22.5766904367851</v>
          </cell>
          <cell r="L52">
            <v>19.2665099103591</v>
          </cell>
          <cell r="M52">
            <v>24.6606926309499</v>
          </cell>
          <cell r="N52">
            <v>24.4059812516631</v>
          </cell>
          <cell r="O52">
            <v>22.2525123176928</v>
          </cell>
          <cell r="P52">
            <v>22.5303792769148</v>
          </cell>
          <cell r="Q52">
            <v>28.7129191196037</v>
          </cell>
        </row>
        <row r="52">
          <cell r="U52">
            <v>4.74712779323119</v>
          </cell>
          <cell r="V52">
            <v>4.90536538633889</v>
          </cell>
          <cell r="W52">
            <v>4.74712779323119</v>
          </cell>
          <cell r="X52">
            <v>5.00899986633197</v>
          </cell>
          <cell r="Y52">
            <v>3.97265506640122</v>
          </cell>
          <cell r="Z52">
            <v>4.34596206422573</v>
          </cell>
          <cell r="AA52">
            <v>3.70875976773028</v>
          </cell>
          <cell r="AB52">
            <v>4.74712779323119</v>
          </cell>
          <cell r="AC52">
            <v>4.69809642635274</v>
          </cell>
          <cell r="AD52">
            <v>4.28355850638044</v>
          </cell>
          <cell r="AE52">
            <v>4.33704727024783</v>
          </cell>
          <cell r="AF52">
            <v>5.52717226629734</v>
          </cell>
        </row>
        <row r="52">
          <cell r="AJ52">
            <v>6.57369118113994</v>
          </cell>
          <cell r="AK52">
            <v>6.79281422051127</v>
          </cell>
          <cell r="AL52">
            <v>6.57369118113994</v>
          </cell>
          <cell r="AM52">
            <v>6.93632438009954</v>
          </cell>
          <cell r="AN52">
            <v>5.50122278421688</v>
          </cell>
          <cell r="AO52">
            <v>6.01816798273375</v>
          </cell>
          <cell r="AP52">
            <v>5.13578787848483</v>
          </cell>
          <cell r="AQ52">
            <v>6.57369118113994</v>
          </cell>
          <cell r="AR52">
            <v>6.50579390133474</v>
          </cell>
          <cell r="AS52">
            <v>5.93175326298167</v>
          </cell>
          <cell r="AT52">
            <v>6.00582302276917</v>
          </cell>
          <cell r="AU52">
            <v>7.65387517804087</v>
          </cell>
        </row>
        <row r="53">
          <cell r="F53">
            <v>9.99883175245194</v>
          </cell>
          <cell r="G53">
            <v>15.7048317391845</v>
          </cell>
          <cell r="H53">
            <v>13.5984111833346</v>
          </cell>
          <cell r="I53">
            <v>10.3321261442003</v>
          </cell>
          <cell r="J53">
            <v>9.91884109843232</v>
          </cell>
          <cell r="K53">
            <v>9.59887848235386</v>
          </cell>
          <cell r="L53">
            <v>9.91884109843232</v>
          </cell>
          <cell r="M53">
            <v>10.39878502255</v>
          </cell>
          <cell r="N53">
            <v>10.7454111899683</v>
          </cell>
          <cell r="O53">
            <v>10.3321261442003</v>
          </cell>
          <cell r="P53">
            <v>11.9452710002626</v>
          </cell>
          <cell r="Q53">
            <v>14.4649766018804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3">
          <cell r="AJ53">
            <v>4.38728739634086</v>
          </cell>
          <cell r="AK53">
            <v>6.89096607051937</v>
          </cell>
          <cell r="AL53">
            <v>5.96671085902356</v>
          </cell>
          <cell r="AM53">
            <v>4.53353030955222</v>
          </cell>
          <cell r="AN53">
            <v>4.35218909717013</v>
          </cell>
          <cell r="AO53">
            <v>4.21179590048723</v>
          </cell>
          <cell r="AP53">
            <v>4.35218909717013</v>
          </cell>
          <cell r="AQ53">
            <v>4.56277889219449</v>
          </cell>
          <cell r="AR53">
            <v>4.71487152193431</v>
          </cell>
          <cell r="AS53">
            <v>4.53353030955222</v>
          </cell>
          <cell r="AT53">
            <v>5.24134600949521</v>
          </cell>
          <cell r="AU53">
            <v>6.3469424333731</v>
          </cell>
        </row>
        <row r="54">
          <cell r="F54">
            <v>43.6721048041885</v>
          </cell>
          <cell r="G54">
            <v>68.594319279112</v>
          </cell>
          <cell r="H54">
            <v>53.774740838126</v>
          </cell>
          <cell r="I54">
            <v>43.8177703489354</v>
          </cell>
          <cell r="J54">
            <v>43.322727965755</v>
          </cell>
          <cell r="K54">
            <v>41.9252206120209</v>
          </cell>
          <cell r="L54">
            <v>43.322727965755</v>
          </cell>
          <cell r="M54">
            <v>45.418988996356</v>
          </cell>
          <cell r="N54">
            <v>45.1278416309947</v>
          </cell>
          <cell r="O54">
            <v>43.322727965755</v>
          </cell>
          <cell r="P54">
            <v>52.1736078727372</v>
          </cell>
          <cell r="Q54">
            <v>63.1789782833926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4">
          <cell r="AJ54">
            <v>25.3250168549008</v>
          </cell>
          <cell r="AK54">
            <v>39.7771598067643</v>
          </cell>
          <cell r="AL54">
            <v>31.1834344646209</v>
          </cell>
          <cell r="AM54">
            <v>25.4094868476441</v>
          </cell>
          <cell r="AN54">
            <v>25.1224167200616</v>
          </cell>
          <cell r="AO54">
            <v>24.3120161807048</v>
          </cell>
          <cell r="AP54">
            <v>25.1224167200616</v>
          </cell>
          <cell r="AQ54">
            <v>26.3380175290969</v>
          </cell>
          <cell r="AR54">
            <v>26.1691840833975</v>
          </cell>
          <cell r="AS54">
            <v>25.1224167200616</v>
          </cell>
          <cell r="AT54">
            <v>30.2549534693215</v>
          </cell>
          <cell r="AU54">
            <v>36.6368577167566</v>
          </cell>
        </row>
        <row r="55">
          <cell r="F55">
            <v>226.469076396276</v>
          </cell>
          <cell r="G55">
            <v>255.989662296479</v>
          </cell>
          <cell r="H55">
            <v>247.731931254657</v>
          </cell>
          <cell r="I55">
            <v>214.094968830875</v>
          </cell>
          <cell r="J55">
            <v>173.163008923397</v>
          </cell>
          <cell r="K55">
            <v>190.555694262027</v>
          </cell>
          <cell r="L55">
            <v>168.924390797233</v>
          </cell>
          <cell r="M55">
            <v>253.196606208804</v>
          </cell>
          <cell r="N55">
            <v>222.108677580768</v>
          </cell>
          <cell r="O55">
            <v>221.785363749724</v>
          </cell>
          <cell r="P55">
            <v>215.33681529091</v>
          </cell>
          <cell r="Q55">
            <v>260.654980315078</v>
          </cell>
        </row>
        <row r="55">
          <cell r="U55">
            <v>67.8885623733811</v>
          </cell>
          <cell r="V55">
            <v>76.7379389376139</v>
          </cell>
          <cell r="W55">
            <v>74.2625215525296</v>
          </cell>
          <cell r="X55">
            <v>64.179180118478</v>
          </cell>
          <cell r="Y55">
            <v>51.9090196291881</v>
          </cell>
          <cell r="Z55">
            <v>57.122819333065</v>
          </cell>
          <cell r="AA55">
            <v>50.6384104333809</v>
          </cell>
          <cell r="AB55">
            <v>75.900665410306</v>
          </cell>
          <cell r="AC55">
            <v>66.5814470194004</v>
          </cell>
          <cell r="AD55">
            <v>66.4845273359968</v>
          </cell>
          <cell r="AE55">
            <v>64.5514480333817</v>
          </cell>
          <cell r="AF55">
            <v>78.1364598232786</v>
          </cell>
        </row>
        <row r="55">
          <cell r="AJ55">
            <v>80.0092600000404</v>
          </cell>
          <cell r="AK55">
            <v>90.438587792723</v>
          </cell>
          <cell r="AL55">
            <v>87.5212139929577</v>
          </cell>
          <cell r="AM55">
            <v>75.6376115382599</v>
          </cell>
          <cell r="AN55">
            <v>61.176759422547</v>
          </cell>
          <cell r="AO55">
            <v>67.3214212258316</v>
          </cell>
          <cell r="AP55">
            <v>59.6792980247543</v>
          </cell>
          <cell r="AQ55">
            <v>89.4518290075083</v>
          </cell>
          <cell r="AR55">
            <v>78.4687747025097</v>
          </cell>
          <cell r="AS55">
            <v>78.3545511591401</v>
          </cell>
          <cell r="AT55">
            <v>76.0763434741255</v>
          </cell>
          <cell r="AU55">
            <v>92.0867979955141</v>
          </cell>
        </row>
        <row r="56">
          <cell r="F56">
            <v>220.418698837487</v>
          </cell>
          <cell r="G56">
            <v>256.001441955605</v>
          </cell>
          <cell r="H56">
            <v>247.743330924779</v>
          </cell>
          <cell r="I56">
            <v>207.620310231603</v>
          </cell>
          <cell r="J56">
            <v>171.295082485</v>
          </cell>
          <cell r="K56">
            <v>187.629140332737</v>
          </cell>
          <cell r="L56">
            <v>165.647991853627</v>
          </cell>
          <cell r="M56">
            <v>250.21857853042</v>
          </cell>
          <cell r="N56">
            <v>219.017201114501</v>
          </cell>
          <cell r="O56">
            <v>211.89297533719</v>
          </cell>
          <cell r="P56">
            <v>209.643682984127</v>
          </cell>
          <cell r="Q56">
            <v>256.001441955605</v>
          </cell>
        </row>
        <row r="56">
          <cell r="U56">
            <v>67.264823397196</v>
          </cell>
          <cell r="V56">
            <v>78.1235524635202</v>
          </cell>
          <cell r="W56">
            <v>75.6034378679227</v>
          </cell>
          <cell r="X56">
            <v>63.3591595225615</v>
          </cell>
          <cell r="Y56">
            <v>52.2738476042671</v>
          </cell>
          <cell r="Z56">
            <v>57.2584860323238</v>
          </cell>
          <cell r="AA56">
            <v>50.5505339469836</v>
          </cell>
          <cell r="AB56">
            <v>76.358805238912</v>
          </cell>
          <cell r="AC56">
            <v>66.8371305683868</v>
          </cell>
          <cell r="AD56">
            <v>64.663041930354</v>
          </cell>
          <cell r="AE56">
            <v>63.9766289640521</v>
          </cell>
          <cell r="AF56">
            <v>78.1235524635202</v>
          </cell>
        </row>
        <row r="56">
          <cell r="AJ56">
            <v>77.8717221122959</v>
          </cell>
          <cell r="AK56">
            <v>90.4427494284957</v>
          </cell>
          <cell r="AL56">
            <v>87.5252413824151</v>
          </cell>
          <cell r="AM56">
            <v>73.3501794017229</v>
          </cell>
          <cell r="AN56">
            <v>60.5168396911258</v>
          </cell>
          <cell r="AO56">
            <v>66.2874989881526</v>
          </cell>
          <cell r="AP56">
            <v>58.5217790419678</v>
          </cell>
          <cell r="AQ56">
            <v>88.3997216090119</v>
          </cell>
          <cell r="AR56">
            <v>77.3765869817421</v>
          </cell>
          <cell r="AS56">
            <v>74.859669256876</v>
          </cell>
          <cell r="AT56">
            <v>74.0650167614624</v>
          </cell>
          <cell r="AU56">
            <v>90.4427494284957</v>
          </cell>
        </row>
        <row r="57">
          <cell r="F57">
            <v>0.291792657607763</v>
          </cell>
          <cell r="G57">
            <v>0.31267578651692</v>
          </cell>
          <cell r="H57">
            <v>0.323947255928379</v>
          </cell>
          <cell r="I57">
            <v>0.708221888050441</v>
          </cell>
          <cell r="J57">
            <v>1.66277570647732</v>
          </cell>
          <cell r="K57">
            <v>0.839812086739988</v>
          </cell>
          <cell r="L57">
            <v>0.925685353195266</v>
          </cell>
          <cell r="M57">
            <v>0.317490942519944</v>
          </cell>
          <cell r="N57">
            <v>0.54465729621508</v>
          </cell>
          <cell r="O57">
            <v>1.0392810455102</v>
          </cell>
          <cell r="P57">
            <v>0.933390565415831</v>
          </cell>
          <cell r="Q57">
            <v>0.433562532219924</v>
          </cell>
        </row>
        <row r="57">
          <cell r="U57">
            <v>0.0671680420804963</v>
          </cell>
          <cell r="V57">
            <v>0.0719751502950841</v>
          </cell>
          <cell r="W57">
            <v>0.0745697410498508</v>
          </cell>
          <cell r="X57">
            <v>0.163026300829151</v>
          </cell>
          <cell r="Y57">
            <v>0.382755993720811</v>
          </cell>
          <cell r="Z57">
            <v>0.193317179549073</v>
          </cell>
          <cell r="AA57">
            <v>0.21308443216655</v>
          </cell>
          <cell r="AB57">
            <v>0.0730835558447195</v>
          </cell>
          <cell r="AC57">
            <v>0.1253752047483</v>
          </cell>
          <cell r="AD57">
            <v>0.239233137566222</v>
          </cell>
          <cell r="AE57">
            <v>0.214858102631438</v>
          </cell>
          <cell r="AF57">
            <v>0.0998021905260567</v>
          </cell>
        </row>
        <row r="58">
          <cell r="F58">
            <v>0.291792657607763</v>
          </cell>
          <cell r="G58">
            <v>0.31267578651692</v>
          </cell>
          <cell r="H58">
            <v>0.323947255928379</v>
          </cell>
          <cell r="I58">
            <v>0.708221888050441</v>
          </cell>
          <cell r="J58">
            <v>1.66277570647732</v>
          </cell>
          <cell r="K58">
            <v>0.839812086739988</v>
          </cell>
          <cell r="L58">
            <v>0.925685353195266</v>
          </cell>
          <cell r="M58">
            <v>0.317490942519944</v>
          </cell>
          <cell r="N58">
            <v>0.54465729621508</v>
          </cell>
          <cell r="O58">
            <v>1.0392810455102</v>
          </cell>
          <cell r="P58">
            <v>0.933390565415831</v>
          </cell>
          <cell r="Q58">
            <v>0.433562532219924</v>
          </cell>
        </row>
        <row r="58">
          <cell r="U58">
            <v>0.0671680420804963</v>
          </cell>
          <cell r="V58">
            <v>0.0719751502950841</v>
          </cell>
          <cell r="W58">
            <v>0.0745697410498508</v>
          </cell>
          <cell r="X58">
            <v>0.163026300829151</v>
          </cell>
          <cell r="Y58">
            <v>0.382755993720811</v>
          </cell>
          <cell r="Z58">
            <v>0.193317179549073</v>
          </cell>
          <cell r="AA58">
            <v>0.21308443216655</v>
          </cell>
          <cell r="AB58">
            <v>0.0730835558447195</v>
          </cell>
          <cell r="AC58">
            <v>0.1253752047483</v>
          </cell>
          <cell r="AD58">
            <v>0.239233137566222</v>
          </cell>
          <cell r="AE58">
            <v>0.214858102631438</v>
          </cell>
          <cell r="AF58">
            <v>0.0998021905260567</v>
          </cell>
        </row>
        <row r="59">
          <cell r="F59">
            <v>6.41943846737078</v>
          </cell>
          <cell r="G59">
            <v>6.87886730337223</v>
          </cell>
          <cell r="H59">
            <v>7.12683963042433</v>
          </cell>
          <cell r="I59">
            <v>15.5808815371097</v>
          </cell>
          <cell r="J59">
            <v>36.5810655425011</v>
          </cell>
          <cell r="K59">
            <v>18.4758659082797</v>
          </cell>
          <cell r="L59">
            <v>20.3650777702958</v>
          </cell>
          <cell r="M59">
            <v>6.98480073543878</v>
          </cell>
          <cell r="N59">
            <v>11.9824605167318</v>
          </cell>
          <cell r="O59">
            <v>22.8641830012245</v>
          </cell>
          <cell r="P59">
            <v>20.5345924391483</v>
          </cell>
          <cell r="Q59">
            <v>9.53837570883833</v>
          </cell>
        </row>
        <row r="59">
          <cell r="U59">
            <v>1.47769692577092</v>
          </cell>
          <cell r="V59">
            <v>1.58345330649185</v>
          </cell>
          <cell r="W59">
            <v>1.64053430309672</v>
          </cell>
          <cell r="X59">
            <v>3.58657861824132</v>
          </cell>
          <cell r="Y59">
            <v>8.42063186185785</v>
          </cell>
          <cell r="Z59">
            <v>4.2529779500796</v>
          </cell>
          <cell r="AA59">
            <v>4.6878575076641</v>
          </cell>
          <cell r="AB59">
            <v>1.60783822858383</v>
          </cell>
          <cell r="AC59">
            <v>2.7582545044626</v>
          </cell>
          <cell r="AD59">
            <v>5.26312902645689</v>
          </cell>
          <cell r="AE59">
            <v>4.72687825789164</v>
          </cell>
          <cell r="AF59">
            <v>2.19564819157325</v>
          </cell>
        </row>
        <row r="60">
          <cell r="F60">
            <v>5.8825399773725</v>
          </cell>
          <cell r="G60">
            <v>6.3035438561811</v>
          </cell>
          <cell r="H60">
            <v>6.53077667951612</v>
          </cell>
          <cell r="I60">
            <v>14.2777532630969</v>
          </cell>
          <cell r="J60">
            <v>33.5215582425828</v>
          </cell>
          <cell r="K60">
            <v>16.9306116686782</v>
          </cell>
          <cell r="L60">
            <v>18.6618167204166</v>
          </cell>
          <cell r="M60">
            <v>6.40061740120208</v>
          </cell>
          <cell r="N60">
            <v>10.980291091696</v>
          </cell>
          <cell r="O60">
            <v>20.9519058774857</v>
          </cell>
          <cell r="P60">
            <v>18.8171537987831</v>
          </cell>
          <cell r="Q60">
            <v>8.74062064955367</v>
          </cell>
        </row>
        <row r="60">
          <cell r="U60">
            <v>1.3541077283428</v>
          </cell>
          <cell r="V60">
            <v>1.45101902994889</v>
          </cell>
          <cell r="W60">
            <v>1.50332597956499</v>
          </cell>
          <cell r="X60">
            <v>3.28661022471568</v>
          </cell>
          <cell r="Y60">
            <v>7.71636083341156</v>
          </cell>
          <cell r="Z60">
            <v>3.8972743397093</v>
          </cell>
          <cell r="AA60">
            <v>4.29578215247765</v>
          </cell>
          <cell r="AB60">
            <v>1.47336448582954</v>
          </cell>
          <cell r="AC60">
            <v>2.52756412772572</v>
          </cell>
          <cell r="AD60">
            <v>4.82294005333504</v>
          </cell>
          <cell r="AE60">
            <v>4.33153934904979</v>
          </cell>
          <cell r="AF60">
            <v>2.0120121610053</v>
          </cell>
        </row>
        <row r="61">
          <cell r="F61">
            <v>5.8825399773725</v>
          </cell>
          <cell r="G61">
            <v>6.3035438561811</v>
          </cell>
          <cell r="H61">
            <v>6.53077667951612</v>
          </cell>
          <cell r="I61">
            <v>14.2777532630969</v>
          </cell>
          <cell r="J61">
            <v>33.5215582425828</v>
          </cell>
          <cell r="K61">
            <v>16.9306116686782</v>
          </cell>
          <cell r="L61">
            <v>18.6618167204166</v>
          </cell>
          <cell r="M61">
            <v>6.40061740120208</v>
          </cell>
          <cell r="N61">
            <v>10.980291091696</v>
          </cell>
          <cell r="O61">
            <v>20.9519058774857</v>
          </cell>
          <cell r="P61">
            <v>18.8171537987831</v>
          </cell>
          <cell r="Q61">
            <v>8.74062064955367</v>
          </cell>
        </row>
        <row r="61">
          <cell r="U61">
            <v>1.3541077283428</v>
          </cell>
          <cell r="V61">
            <v>1.45101902994889</v>
          </cell>
          <cell r="W61">
            <v>1.50332597956499</v>
          </cell>
          <cell r="X61">
            <v>3.28661022471568</v>
          </cell>
          <cell r="Y61">
            <v>7.71636083341156</v>
          </cell>
          <cell r="Z61">
            <v>3.8972743397093</v>
          </cell>
          <cell r="AA61">
            <v>4.29578215247765</v>
          </cell>
          <cell r="AB61">
            <v>1.47336448582954</v>
          </cell>
          <cell r="AC61">
            <v>2.52756412772572</v>
          </cell>
          <cell r="AD61">
            <v>4.82294005333504</v>
          </cell>
          <cell r="AE61">
            <v>4.33153934904979</v>
          </cell>
          <cell r="AF61">
            <v>2.0120121610053</v>
          </cell>
        </row>
        <row r="62">
          <cell r="F62">
            <v>5.8825399773725</v>
          </cell>
          <cell r="G62">
            <v>6.3035438561811</v>
          </cell>
          <cell r="H62">
            <v>6.53077667951612</v>
          </cell>
          <cell r="I62">
            <v>14.2777532630969</v>
          </cell>
          <cell r="J62">
            <v>33.5215582425828</v>
          </cell>
          <cell r="K62">
            <v>16.9306116686782</v>
          </cell>
          <cell r="L62">
            <v>18.6618167204166</v>
          </cell>
          <cell r="M62">
            <v>6.40061740120208</v>
          </cell>
          <cell r="N62">
            <v>10.980291091696</v>
          </cell>
          <cell r="O62">
            <v>20.9519058774857</v>
          </cell>
          <cell r="P62">
            <v>18.8171537987831</v>
          </cell>
          <cell r="Q62">
            <v>8.74062064955367</v>
          </cell>
        </row>
        <row r="62">
          <cell r="U62">
            <v>1.3541077283428</v>
          </cell>
          <cell r="V62">
            <v>1.45101902994889</v>
          </cell>
          <cell r="W62">
            <v>1.50332597956499</v>
          </cell>
          <cell r="X62">
            <v>3.28661022471568</v>
          </cell>
          <cell r="Y62">
            <v>7.71636083341156</v>
          </cell>
          <cell r="Z62">
            <v>3.8972743397093</v>
          </cell>
          <cell r="AA62">
            <v>4.29578215247765</v>
          </cell>
          <cell r="AB62">
            <v>1.47336448582954</v>
          </cell>
          <cell r="AC62">
            <v>2.52756412772572</v>
          </cell>
          <cell r="AD62">
            <v>4.82294005333504</v>
          </cell>
          <cell r="AE62">
            <v>4.33153934904979</v>
          </cell>
          <cell r="AF62">
            <v>2.0120121610053</v>
          </cell>
        </row>
        <row r="63">
          <cell r="F63">
            <v>5.8825399773725</v>
          </cell>
          <cell r="G63">
            <v>6.3035438561811</v>
          </cell>
          <cell r="H63">
            <v>6.53077667951612</v>
          </cell>
          <cell r="I63">
            <v>14.2777532630969</v>
          </cell>
          <cell r="J63">
            <v>33.5215582425828</v>
          </cell>
          <cell r="K63">
            <v>16.9306116686782</v>
          </cell>
          <cell r="L63">
            <v>18.6618167204166</v>
          </cell>
          <cell r="M63">
            <v>6.40061740120208</v>
          </cell>
          <cell r="N63">
            <v>10.980291091696</v>
          </cell>
          <cell r="O63">
            <v>20.9519058774857</v>
          </cell>
          <cell r="P63">
            <v>18.8171537987831</v>
          </cell>
          <cell r="Q63">
            <v>8.74062064955367</v>
          </cell>
        </row>
        <row r="63">
          <cell r="U63">
            <v>1.3541077283428</v>
          </cell>
          <cell r="V63">
            <v>1.45101902994889</v>
          </cell>
          <cell r="W63">
            <v>1.50332597956499</v>
          </cell>
          <cell r="X63">
            <v>3.28661022471568</v>
          </cell>
          <cell r="Y63">
            <v>7.71636083341156</v>
          </cell>
          <cell r="Z63">
            <v>3.8972743397093</v>
          </cell>
          <cell r="AA63">
            <v>4.29578215247765</v>
          </cell>
          <cell r="AB63">
            <v>1.47336448582954</v>
          </cell>
          <cell r="AC63">
            <v>2.52756412772572</v>
          </cell>
          <cell r="AD63">
            <v>4.82294005333504</v>
          </cell>
          <cell r="AE63">
            <v>4.33153934904979</v>
          </cell>
          <cell r="AF63">
            <v>2.0120121610053</v>
          </cell>
        </row>
        <row r="64">
          <cell r="F64">
            <v>5.8825399773725</v>
          </cell>
          <cell r="G64">
            <v>6.3035438561811</v>
          </cell>
          <cell r="H64">
            <v>6.53077667951612</v>
          </cell>
          <cell r="I64">
            <v>14.2777532630969</v>
          </cell>
          <cell r="J64">
            <v>33.5215582425828</v>
          </cell>
          <cell r="K64">
            <v>16.9306116686782</v>
          </cell>
          <cell r="L64">
            <v>18.6618167204166</v>
          </cell>
          <cell r="M64">
            <v>6.40061740120208</v>
          </cell>
          <cell r="N64">
            <v>10.980291091696</v>
          </cell>
          <cell r="O64">
            <v>20.9519058774857</v>
          </cell>
          <cell r="P64">
            <v>18.8171537987831</v>
          </cell>
          <cell r="Q64">
            <v>8.74062064955367</v>
          </cell>
        </row>
        <row r="64">
          <cell r="U64">
            <v>1.3541077283428</v>
          </cell>
          <cell r="V64">
            <v>1.45101902994889</v>
          </cell>
          <cell r="W64">
            <v>1.50332597956499</v>
          </cell>
          <cell r="X64">
            <v>3.28661022471568</v>
          </cell>
          <cell r="Y64">
            <v>7.71636083341156</v>
          </cell>
          <cell r="Z64">
            <v>3.8972743397093</v>
          </cell>
          <cell r="AA64">
            <v>4.29578215247765</v>
          </cell>
          <cell r="AB64">
            <v>1.47336448582954</v>
          </cell>
          <cell r="AC64">
            <v>2.52756412772572</v>
          </cell>
          <cell r="AD64">
            <v>4.82294005333504</v>
          </cell>
          <cell r="AE64">
            <v>4.33153934904979</v>
          </cell>
          <cell r="AF64">
            <v>2.0120121610053</v>
          </cell>
        </row>
        <row r="65">
          <cell r="F65">
            <v>5.8825399773725</v>
          </cell>
          <cell r="G65">
            <v>6.3035438561811</v>
          </cell>
          <cell r="H65">
            <v>6.53077667951612</v>
          </cell>
          <cell r="I65">
            <v>14.2777532630969</v>
          </cell>
          <cell r="J65">
            <v>33.5215582425828</v>
          </cell>
          <cell r="K65">
            <v>16.9306116686782</v>
          </cell>
          <cell r="L65">
            <v>18.6618167204166</v>
          </cell>
          <cell r="M65">
            <v>6.40061740120208</v>
          </cell>
          <cell r="N65">
            <v>10.980291091696</v>
          </cell>
          <cell r="O65">
            <v>20.9519058774857</v>
          </cell>
          <cell r="P65">
            <v>18.8171537987831</v>
          </cell>
          <cell r="Q65">
            <v>8.74062064955367</v>
          </cell>
        </row>
        <row r="65">
          <cell r="U65">
            <v>1.3541077283428</v>
          </cell>
          <cell r="V65">
            <v>1.45101902994889</v>
          </cell>
          <cell r="W65">
            <v>1.50332597956499</v>
          </cell>
          <cell r="X65">
            <v>3.28661022471568</v>
          </cell>
          <cell r="Y65">
            <v>7.71636083341156</v>
          </cell>
          <cell r="Z65">
            <v>3.8972743397093</v>
          </cell>
          <cell r="AA65">
            <v>4.29578215247765</v>
          </cell>
          <cell r="AB65">
            <v>1.47336448582954</v>
          </cell>
          <cell r="AC65">
            <v>2.52756412772572</v>
          </cell>
          <cell r="AD65">
            <v>4.82294005333504</v>
          </cell>
          <cell r="AE65">
            <v>4.33153934904979</v>
          </cell>
          <cell r="AF65">
            <v>2.0120121610053</v>
          </cell>
        </row>
        <row r="66">
          <cell r="F66">
            <v>5.8825399773725</v>
          </cell>
          <cell r="G66">
            <v>6.3035438561811</v>
          </cell>
          <cell r="H66">
            <v>6.53077667951612</v>
          </cell>
          <cell r="I66">
            <v>14.2777532630969</v>
          </cell>
          <cell r="J66">
            <v>33.5215582425828</v>
          </cell>
          <cell r="K66">
            <v>16.9306116686782</v>
          </cell>
          <cell r="L66">
            <v>18.6618167204166</v>
          </cell>
          <cell r="M66">
            <v>6.40061740120208</v>
          </cell>
          <cell r="N66">
            <v>10.980291091696</v>
          </cell>
          <cell r="O66">
            <v>20.9519058774857</v>
          </cell>
          <cell r="P66">
            <v>18.8171537987831</v>
          </cell>
          <cell r="Q66">
            <v>8.74062064955367</v>
          </cell>
        </row>
        <row r="66">
          <cell r="U66">
            <v>1.3541077283428</v>
          </cell>
          <cell r="V66">
            <v>1.45101902994889</v>
          </cell>
          <cell r="W66">
            <v>1.50332597956499</v>
          </cell>
          <cell r="X66">
            <v>3.28661022471568</v>
          </cell>
          <cell r="Y66">
            <v>7.71636083341156</v>
          </cell>
          <cell r="Z66">
            <v>3.8972743397093</v>
          </cell>
          <cell r="AA66">
            <v>4.29578215247765</v>
          </cell>
          <cell r="AB66">
            <v>1.47336448582954</v>
          </cell>
          <cell r="AC66">
            <v>2.52756412772572</v>
          </cell>
          <cell r="AD66">
            <v>4.82294005333504</v>
          </cell>
          <cell r="AE66">
            <v>4.33153934904979</v>
          </cell>
          <cell r="AF66">
            <v>2.0120121610053</v>
          </cell>
        </row>
        <row r="67">
          <cell r="F67">
            <v>8.75377972823288</v>
          </cell>
          <cell r="G67">
            <v>9.38027359550759</v>
          </cell>
          <cell r="H67">
            <v>9.71841767785136</v>
          </cell>
          <cell r="I67">
            <v>21.2466566415132</v>
          </cell>
          <cell r="J67">
            <v>49.8832711943197</v>
          </cell>
          <cell r="K67">
            <v>25.1943626021996</v>
          </cell>
          <cell r="L67">
            <v>27.770560595858</v>
          </cell>
          <cell r="M67">
            <v>9.52472827559833</v>
          </cell>
          <cell r="N67">
            <v>16.3397188864524</v>
          </cell>
          <cell r="O67">
            <v>31.1784313653061</v>
          </cell>
          <cell r="P67">
            <v>28.0017169624749</v>
          </cell>
          <cell r="Q67">
            <v>13.0068759665977</v>
          </cell>
        </row>
        <row r="67">
          <cell r="U67">
            <v>2.45192461341199</v>
          </cell>
          <cell r="V67">
            <v>2.62740489518881</v>
          </cell>
          <cell r="W67">
            <v>2.72211870158084</v>
          </cell>
          <cell r="X67">
            <v>5.95116646630038</v>
          </cell>
          <cell r="Y67">
            <v>13.9722524710533</v>
          </cell>
          <cell r="Z67">
            <v>7.05691480724867</v>
          </cell>
          <cell r="AA67">
            <v>7.7785051905777</v>
          </cell>
          <cell r="AB67">
            <v>2.66786650110456</v>
          </cell>
          <cell r="AC67">
            <v>4.57673829565426</v>
          </cell>
          <cell r="AD67">
            <v>8.73304625493503</v>
          </cell>
          <cell r="AE67">
            <v>7.84325184887286</v>
          </cell>
          <cell r="AF67">
            <v>3.64321245407163</v>
          </cell>
        </row>
        <row r="68">
          <cell r="F68">
            <v>8.75377972823288</v>
          </cell>
          <cell r="G68">
            <v>9.38027359550759</v>
          </cell>
          <cell r="H68">
            <v>9.71841767785136</v>
          </cell>
          <cell r="I68">
            <v>21.2466566415132</v>
          </cell>
          <cell r="J68">
            <v>49.8832711943197</v>
          </cell>
          <cell r="K68">
            <v>25.1943626021996</v>
          </cell>
          <cell r="L68">
            <v>27.770560595858</v>
          </cell>
          <cell r="M68">
            <v>9.52472827559833</v>
          </cell>
          <cell r="N68">
            <v>16.3397188864524</v>
          </cell>
          <cell r="O68">
            <v>31.1784313653061</v>
          </cell>
          <cell r="P68">
            <v>28.0017169624749</v>
          </cell>
          <cell r="Q68">
            <v>13.0068759665977</v>
          </cell>
        </row>
        <row r="68">
          <cell r="U68">
            <v>2.45192461341199</v>
          </cell>
          <cell r="V68">
            <v>2.62740489518881</v>
          </cell>
          <cell r="W68">
            <v>2.72211870158084</v>
          </cell>
          <cell r="X68">
            <v>5.95116646630038</v>
          </cell>
          <cell r="Y68">
            <v>13.9722524710533</v>
          </cell>
          <cell r="Z68">
            <v>7.05691480724867</v>
          </cell>
          <cell r="AA68">
            <v>7.7785051905777</v>
          </cell>
          <cell r="AB68">
            <v>2.66786650110456</v>
          </cell>
          <cell r="AC68">
            <v>4.57673829565426</v>
          </cell>
          <cell r="AD68">
            <v>8.73304625493503</v>
          </cell>
          <cell r="AE68">
            <v>7.84325184887286</v>
          </cell>
          <cell r="AF68">
            <v>3.64321245407163</v>
          </cell>
        </row>
        <row r="69">
          <cell r="F69">
            <v>8.75377972823288</v>
          </cell>
          <cell r="G69">
            <v>9.38027359550759</v>
          </cell>
          <cell r="H69">
            <v>9.71841767785136</v>
          </cell>
          <cell r="I69">
            <v>21.2466566415132</v>
          </cell>
          <cell r="J69">
            <v>49.8832711943197</v>
          </cell>
          <cell r="K69">
            <v>25.1943626021996</v>
          </cell>
          <cell r="L69">
            <v>27.770560595858</v>
          </cell>
          <cell r="M69">
            <v>9.52472827559833</v>
          </cell>
          <cell r="N69">
            <v>16.3397188864524</v>
          </cell>
          <cell r="O69">
            <v>31.1784313653061</v>
          </cell>
          <cell r="P69">
            <v>28.0017169624749</v>
          </cell>
          <cell r="Q69">
            <v>13.0068759665977</v>
          </cell>
        </row>
        <row r="69">
          <cell r="U69">
            <v>2.45192461341199</v>
          </cell>
          <cell r="V69">
            <v>2.62740489518881</v>
          </cell>
          <cell r="W69">
            <v>2.72211870158084</v>
          </cell>
          <cell r="X69">
            <v>5.95116646630038</v>
          </cell>
          <cell r="Y69">
            <v>13.9722524710533</v>
          </cell>
          <cell r="Z69">
            <v>7.05691480724867</v>
          </cell>
          <cell r="AA69">
            <v>7.7785051905777</v>
          </cell>
          <cell r="AB69">
            <v>2.66786650110456</v>
          </cell>
          <cell r="AC69">
            <v>4.57673829565426</v>
          </cell>
          <cell r="AD69">
            <v>8.73304625493503</v>
          </cell>
          <cell r="AE69">
            <v>7.84325184887286</v>
          </cell>
          <cell r="AF69">
            <v>3.64321245407163</v>
          </cell>
        </row>
        <row r="70">
          <cell r="F70">
            <v>8.75377972823288</v>
          </cell>
          <cell r="G70">
            <v>9.38027359550759</v>
          </cell>
          <cell r="H70">
            <v>9.71841767785136</v>
          </cell>
          <cell r="I70">
            <v>21.2466566415132</v>
          </cell>
          <cell r="J70">
            <v>49.8832711943197</v>
          </cell>
          <cell r="K70">
            <v>25.1943626021996</v>
          </cell>
          <cell r="L70">
            <v>27.770560595858</v>
          </cell>
          <cell r="M70">
            <v>9.52472827559833</v>
          </cell>
          <cell r="N70">
            <v>16.3397188864524</v>
          </cell>
          <cell r="O70">
            <v>31.1784313653061</v>
          </cell>
          <cell r="P70">
            <v>28.0017169624749</v>
          </cell>
          <cell r="Q70">
            <v>13.0068759665977</v>
          </cell>
        </row>
        <row r="70">
          <cell r="U70">
            <v>2.45192461341199</v>
          </cell>
          <cell r="V70">
            <v>2.62740489518881</v>
          </cell>
          <cell r="W70">
            <v>2.72211870158084</v>
          </cell>
          <cell r="X70">
            <v>5.95116646630038</v>
          </cell>
          <cell r="Y70">
            <v>13.9722524710533</v>
          </cell>
          <cell r="Z70">
            <v>7.05691480724867</v>
          </cell>
          <cell r="AA70">
            <v>7.7785051905777</v>
          </cell>
          <cell r="AB70">
            <v>2.66786650110456</v>
          </cell>
          <cell r="AC70">
            <v>4.57673829565426</v>
          </cell>
          <cell r="AD70">
            <v>8.73304625493503</v>
          </cell>
          <cell r="AE70">
            <v>7.84325184887286</v>
          </cell>
          <cell r="AF70">
            <v>3.64321245407163</v>
          </cell>
        </row>
        <row r="71">
          <cell r="F71">
            <v>8.75377972823288</v>
          </cell>
          <cell r="G71">
            <v>9.38027359550759</v>
          </cell>
          <cell r="H71">
            <v>9.71841767785136</v>
          </cell>
          <cell r="I71">
            <v>21.2466566415132</v>
          </cell>
          <cell r="J71">
            <v>49.8832711943197</v>
          </cell>
          <cell r="K71">
            <v>25.1943626021996</v>
          </cell>
          <cell r="L71">
            <v>27.770560595858</v>
          </cell>
          <cell r="M71">
            <v>9.52472827559833</v>
          </cell>
          <cell r="N71">
            <v>16.3397188864524</v>
          </cell>
          <cell r="O71">
            <v>31.1784313653061</v>
          </cell>
          <cell r="P71">
            <v>28.0017169624749</v>
          </cell>
          <cell r="Q71">
            <v>13.0068759665977</v>
          </cell>
        </row>
        <row r="71">
          <cell r="U71">
            <v>2.45192461341199</v>
          </cell>
          <cell r="V71">
            <v>2.62740489518881</v>
          </cell>
          <cell r="W71">
            <v>2.72211870158084</v>
          </cell>
          <cell r="X71">
            <v>5.95116646630038</v>
          </cell>
          <cell r="Y71">
            <v>13.9722524710533</v>
          </cell>
          <cell r="Z71">
            <v>7.05691480724867</v>
          </cell>
          <cell r="AA71">
            <v>7.7785051905777</v>
          </cell>
          <cell r="AB71">
            <v>2.66786650110456</v>
          </cell>
          <cell r="AC71">
            <v>4.57673829565426</v>
          </cell>
          <cell r="AD71">
            <v>8.73304625493503</v>
          </cell>
          <cell r="AE71">
            <v>7.84325184887286</v>
          </cell>
          <cell r="AF71">
            <v>3.64321245407163</v>
          </cell>
        </row>
        <row r="72">
          <cell r="F72">
            <v>8.75377972823288</v>
          </cell>
          <cell r="G72">
            <v>9.38027359550759</v>
          </cell>
          <cell r="H72">
            <v>9.71841767785136</v>
          </cell>
          <cell r="I72">
            <v>21.2466566415132</v>
          </cell>
          <cell r="J72">
            <v>49.8832711943197</v>
          </cell>
          <cell r="K72">
            <v>25.1943626021996</v>
          </cell>
          <cell r="L72">
            <v>27.770560595858</v>
          </cell>
          <cell r="M72">
            <v>9.52472827559833</v>
          </cell>
          <cell r="N72">
            <v>16.3397188864524</v>
          </cell>
          <cell r="O72">
            <v>31.1784313653061</v>
          </cell>
          <cell r="P72">
            <v>28.0017169624749</v>
          </cell>
          <cell r="Q72">
            <v>13.0068759665977</v>
          </cell>
        </row>
        <row r="72">
          <cell r="U72">
            <v>2.45192461341199</v>
          </cell>
          <cell r="V72">
            <v>2.62740489518881</v>
          </cell>
          <cell r="W72">
            <v>2.72211870158084</v>
          </cell>
          <cell r="X72">
            <v>5.95116646630038</v>
          </cell>
          <cell r="Y72">
            <v>13.9722524710533</v>
          </cell>
          <cell r="Z72">
            <v>7.05691480724867</v>
          </cell>
          <cell r="AA72">
            <v>7.7785051905777</v>
          </cell>
          <cell r="AB72">
            <v>2.66786650110456</v>
          </cell>
          <cell r="AC72">
            <v>4.57673829565426</v>
          </cell>
          <cell r="AD72">
            <v>8.73304625493503</v>
          </cell>
          <cell r="AE72">
            <v>7.84325184887286</v>
          </cell>
          <cell r="AF72">
            <v>3.64321245407163</v>
          </cell>
        </row>
        <row r="73">
          <cell r="F73">
            <v>1.75075594564658</v>
          </cell>
          <cell r="G73">
            <v>1.87605471910152</v>
          </cell>
          <cell r="H73">
            <v>1.94368353557027</v>
          </cell>
          <cell r="I73">
            <v>4.24933132830264</v>
          </cell>
          <cell r="J73">
            <v>9.97665423886394</v>
          </cell>
          <cell r="K73">
            <v>5.03887252043993</v>
          </cell>
          <cell r="L73">
            <v>5.55411211917159</v>
          </cell>
          <cell r="M73">
            <v>1.90494565511967</v>
          </cell>
          <cell r="N73">
            <v>3.26794377729048</v>
          </cell>
          <cell r="O73">
            <v>6.23568627306121</v>
          </cell>
          <cell r="P73">
            <v>5.60034339249498</v>
          </cell>
          <cell r="Q73">
            <v>2.60137519331954</v>
          </cell>
        </row>
        <row r="73">
          <cell r="U73">
            <v>0.775930201070683</v>
          </cell>
          <cell r="V73">
            <v>0.831462271501492</v>
          </cell>
          <cell r="W73">
            <v>0.861435176229451</v>
          </cell>
          <cell r="X73">
            <v>1.88329191180792</v>
          </cell>
          <cell r="Y73">
            <v>4.42162561196698</v>
          </cell>
          <cell r="Z73">
            <v>2.23321438814852</v>
          </cell>
          <cell r="AA73">
            <v>2.4615671556702</v>
          </cell>
          <cell r="AB73">
            <v>0.844266654573516</v>
          </cell>
          <cell r="AC73">
            <v>1.44834365892399</v>
          </cell>
          <cell r="AD73">
            <v>2.76363893876892</v>
          </cell>
          <cell r="AE73">
            <v>2.48205672835723</v>
          </cell>
          <cell r="AF73">
            <v>1.15292230298111</v>
          </cell>
        </row>
        <row r="74">
          <cell r="F74">
            <v>1.75075594564658</v>
          </cell>
          <cell r="G74">
            <v>1.87605471910152</v>
          </cell>
          <cell r="H74">
            <v>1.94368353557027</v>
          </cell>
          <cell r="I74">
            <v>4.24933132830264</v>
          </cell>
          <cell r="J74">
            <v>9.97665423886394</v>
          </cell>
          <cell r="K74">
            <v>5.03887252043993</v>
          </cell>
          <cell r="L74">
            <v>5.55411211917159</v>
          </cell>
          <cell r="M74">
            <v>1.90494565511967</v>
          </cell>
          <cell r="N74">
            <v>3.26794377729048</v>
          </cell>
          <cell r="O74">
            <v>6.23568627306121</v>
          </cell>
          <cell r="P74">
            <v>5.60034339249498</v>
          </cell>
          <cell r="Q74">
            <v>2.60137519331954</v>
          </cell>
        </row>
        <row r="74">
          <cell r="U74">
            <v>0.775930201070683</v>
          </cell>
          <cell r="V74">
            <v>0.831462271501492</v>
          </cell>
          <cell r="W74">
            <v>0.861435176229451</v>
          </cell>
          <cell r="X74">
            <v>1.88329191180792</v>
          </cell>
          <cell r="Y74">
            <v>4.42162561196698</v>
          </cell>
          <cell r="Z74">
            <v>2.23321438814852</v>
          </cell>
          <cell r="AA74">
            <v>2.4615671556702</v>
          </cell>
          <cell r="AB74">
            <v>0.844266654573516</v>
          </cell>
          <cell r="AC74">
            <v>1.44834365892399</v>
          </cell>
          <cell r="AD74">
            <v>2.76363893876892</v>
          </cell>
          <cell r="AE74">
            <v>2.48205672835723</v>
          </cell>
          <cell r="AF74">
            <v>1.15292230298111</v>
          </cell>
        </row>
        <row r="75">
          <cell r="F75">
            <v>0.525226783693973</v>
          </cell>
          <cell r="G75">
            <v>0.562816415730456</v>
          </cell>
          <cell r="H75">
            <v>0.583105060671082</v>
          </cell>
          <cell r="I75">
            <v>1.27479939849079</v>
          </cell>
          <cell r="J75">
            <v>2.99299627165918</v>
          </cell>
          <cell r="K75">
            <v>1.51166175613198</v>
          </cell>
          <cell r="L75">
            <v>1.66623363575148</v>
          </cell>
          <cell r="M75">
            <v>0.5714836965359</v>
          </cell>
          <cell r="N75">
            <v>0.980383133187144</v>
          </cell>
          <cell r="O75">
            <v>1.87070588191836</v>
          </cell>
          <cell r="P75">
            <v>1.6801030177485</v>
          </cell>
          <cell r="Q75">
            <v>0.780412557995863</v>
          </cell>
        </row>
        <row r="75">
          <cell r="U75">
            <v>0.0727511761271303</v>
          </cell>
          <cell r="V75">
            <v>0.0779578602219641</v>
          </cell>
          <cell r="W75">
            <v>0.0807681182424621</v>
          </cell>
          <cell r="X75">
            <v>0.176577353717743</v>
          </cell>
          <cell r="Y75">
            <v>0.414571392143991</v>
          </cell>
          <cell r="Z75">
            <v>0.20938606727467</v>
          </cell>
          <cell r="AA75">
            <v>0.230796411125398</v>
          </cell>
          <cell r="AB75">
            <v>0.0791583985265521</v>
          </cell>
          <cell r="AC75">
            <v>0.135796627683258</v>
          </cell>
          <cell r="AD75">
            <v>0.259118646121442</v>
          </cell>
          <cell r="AE75">
            <v>0.232717512416811</v>
          </cell>
          <cell r="AF75">
            <v>0.108097936398579</v>
          </cell>
        </row>
        <row r="76">
          <cell r="F76">
            <v>0.525226783693973</v>
          </cell>
          <cell r="G76">
            <v>0.562816415730456</v>
          </cell>
          <cell r="H76">
            <v>0.583105060671082</v>
          </cell>
          <cell r="I76">
            <v>1.27479939849079</v>
          </cell>
          <cell r="J76">
            <v>2.99299627165918</v>
          </cell>
          <cell r="K76">
            <v>1.51166175613198</v>
          </cell>
          <cell r="L76">
            <v>1.66623363575148</v>
          </cell>
          <cell r="M76">
            <v>0.5714836965359</v>
          </cell>
          <cell r="N76">
            <v>0.980383133187144</v>
          </cell>
          <cell r="O76">
            <v>1.87070588191836</v>
          </cell>
          <cell r="P76">
            <v>1.6801030177485</v>
          </cell>
          <cell r="Q76">
            <v>0.780412557995863</v>
          </cell>
        </row>
        <row r="76">
          <cell r="U76">
            <v>0.0727511761271303</v>
          </cell>
          <cell r="V76">
            <v>0.0779578602219641</v>
          </cell>
          <cell r="W76">
            <v>0.0807681182424621</v>
          </cell>
          <cell r="X76">
            <v>0.176577353717743</v>
          </cell>
          <cell r="Y76">
            <v>0.414571392143991</v>
          </cell>
          <cell r="Z76">
            <v>0.20938606727467</v>
          </cell>
          <cell r="AA76">
            <v>0.230796411125398</v>
          </cell>
          <cell r="AB76">
            <v>0.0791583985265521</v>
          </cell>
          <cell r="AC76">
            <v>0.135796627683258</v>
          </cell>
          <cell r="AD76">
            <v>0.259118646121442</v>
          </cell>
          <cell r="AE76">
            <v>0.232717512416811</v>
          </cell>
          <cell r="AF76">
            <v>0.108097936398579</v>
          </cell>
        </row>
        <row r="77">
          <cell r="F77">
            <v>0.525226783693973</v>
          </cell>
          <cell r="G77">
            <v>0.562816415730456</v>
          </cell>
          <cell r="H77">
            <v>0.583105060671082</v>
          </cell>
          <cell r="I77">
            <v>1.27479939849079</v>
          </cell>
          <cell r="J77">
            <v>2.99299627165918</v>
          </cell>
          <cell r="K77">
            <v>1.51166175613198</v>
          </cell>
          <cell r="L77">
            <v>1.66623363575148</v>
          </cell>
          <cell r="M77">
            <v>0.5714836965359</v>
          </cell>
          <cell r="N77">
            <v>0.980383133187144</v>
          </cell>
          <cell r="O77">
            <v>1.87070588191836</v>
          </cell>
          <cell r="P77">
            <v>1.6801030177485</v>
          </cell>
          <cell r="Q77">
            <v>0.780412557995863</v>
          </cell>
        </row>
        <row r="77">
          <cell r="U77">
            <v>0.0727511761271303</v>
          </cell>
          <cell r="V77">
            <v>0.0779578602219641</v>
          </cell>
          <cell r="W77">
            <v>0.0807681182424621</v>
          </cell>
          <cell r="X77">
            <v>0.176577353717743</v>
          </cell>
          <cell r="Y77">
            <v>0.414571392143991</v>
          </cell>
          <cell r="Z77">
            <v>0.20938606727467</v>
          </cell>
          <cell r="AA77">
            <v>0.230796411125398</v>
          </cell>
          <cell r="AB77">
            <v>0.0791583985265521</v>
          </cell>
          <cell r="AC77">
            <v>0.135796627683258</v>
          </cell>
          <cell r="AD77">
            <v>0.259118646121442</v>
          </cell>
          <cell r="AE77">
            <v>0.232717512416811</v>
          </cell>
          <cell r="AF77">
            <v>0.108097936398579</v>
          </cell>
        </row>
        <row r="78">
          <cell r="F78">
            <v>0.525226783693973</v>
          </cell>
          <cell r="G78">
            <v>0.562816415730456</v>
          </cell>
          <cell r="H78">
            <v>0.583105060671082</v>
          </cell>
          <cell r="I78">
            <v>1.27479939849079</v>
          </cell>
          <cell r="J78">
            <v>2.99299627165918</v>
          </cell>
          <cell r="K78">
            <v>1.51166175613198</v>
          </cell>
          <cell r="L78">
            <v>1.66623363575148</v>
          </cell>
          <cell r="M78">
            <v>0.5714836965359</v>
          </cell>
          <cell r="N78">
            <v>0.980383133187144</v>
          </cell>
          <cell r="O78">
            <v>1.87070588191836</v>
          </cell>
          <cell r="P78">
            <v>1.6801030177485</v>
          </cell>
          <cell r="Q78">
            <v>0.780412557995863</v>
          </cell>
        </row>
        <row r="78">
          <cell r="U78">
            <v>0.0727511761271303</v>
          </cell>
          <cell r="V78">
            <v>0.0779578602219641</v>
          </cell>
          <cell r="W78">
            <v>0.0807681182424621</v>
          </cell>
          <cell r="X78">
            <v>0.176577353717743</v>
          </cell>
          <cell r="Y78">
            <v>0.414571392143991</v>
          </cell>
          <cell r="Z78">
            <v>0.20938606727467</v>
          </cell>
          <cell r="AA78">
            <v>0.230796411125398</v>
          </cell>
          <cell r="AB78">
            <v>0.0791583985265521</v>
          </cell>
          <cell r="AC78">
            <v>0.135796627683258</v>
          </cell>
          <cell r="AD78">
            <v>0.259118646121442</v>
          </cell>
          <cell r="AE78">
            <v>0.232717512416811</v>
          </cell>
          <cell r="AF78">
            <v>0.108097936398579</v>
          </cell>
        </row>
        <row r="79">
          <cell r="F79">
            <v>0.437688986411644</v>
          </cell>
          <cell r="G79">
            <v>0.46901367977538</v>
          </cell>
          <cell r="H79">
            <v>0.485920883892568</v>
          </cell>
          <cell r="I79">
            <v>1.06233283207566</v>
          </cell>
          <cell r="J79">
            <v>2.49416355971598</v>
          </cell>
          <cell r="K79">
            <v>1.25971813010998</v>
          </cell>
          <cell r="L79">
            <v>1.3885280297929</v>
          </cell>
          <cell r="M79">
            <v>0.476236413779917</v>
          </cell>
          <cell r="N79">
            <v>0.81698594432262</v>
          </cell>
          <cell r="O79">
            <v>1.5589215682653</v>
          </cell>
          <cell r="P79">
            <v>1.40008584812375</v>
          </cell>
          <cell r="Q79">
            <v>0.650343798329886</v>
          </cell>
        </row>
        <row r="79">
          <cell r="U79">
            <v>0.165264980743804</v>
          </cell>
          <cell r="V79">
            <v>0.177092728314071</v>
          </cell>
          <cell r="W79">
            <v>0.183476642119549</v>
          </cell>
          <cell r="X79">
            <v>0.401121390958134</v>
          </cell>
          <cell r="Y79">
            <v>0.941759800829644</v>
          </cell>
          <cell r="Z79">
            <v>0.475651202060285</v>
          </cell>
          <cell r="AA79">
            <v>0.524287942420682</v>
          </cell>
          <cell r="AB79">
            <v>0.179819927382898</v>
          </cell>
          <cell r="AC79">
            <v>0.308481982750763</v>
          </cell>
          <cell r="AD79">
            <v>0.588626058591662</v>
          </cell>
          <cell r="AE79">
            <v>0.528652006135302</v>
          </cell>
          <cell r="AF79">
            <v>0.245560337693207</v>
          </cell>
        </row>
        <row r="80">
          <cell r="F80">
            <v>0.437688986411644</v>
          </cell>
          <cell r="G80">
            <v>0.46901367977538</v>
          </cell>
          <cell r="H80">
            <v>0.485920883892568</v>
          </cell>
          <cell r="I80">
            <v>1.06233283207566</v>
          </cell>
          <cell r="J80">
            <v>2.49416355971598</v>
          </cell>
          <cell r="K80">
            <v>1.25971813010998</v>
          </cell>
          <cell r="L80">
            <v>1.3885280297929</v>
          </cell>
          <cell r="M80">
            <v>0.476236413779917</v>
          </cell>
          <cell r="N80">
            <v>0.81698594432262</v>
          </cell>
          <cell r="O80">
            <v>1.5589215682653</v>
          </cell>
          <cell r="P80">
            <v>1.40008584812375</v>
          </cell>
          <cell r="Q80">
            <v>0.650343798329886</v>
          </cell>
        </row>
        <row r="80">
          <cell r="U80">
            <v>0.165264980743804</v>
          </cell>
          <cell r="V80">
            <v>0.177092728314071</v>
          </cell>
          <cell r="W80">
            <v>0.183476642119549</v>
          </cell>
          <cell r="X80">
            <v>0.401121390958134</v>
          </cell>
          <cell r="Y80">
            <v>0.941759800829644</v>
          </cell>
          <cell r="Z80">
            <v>0.475651202060285</v>
          </cell>
          <cell r="AA80">
            <v>0.524287942420682</v>
          </cell>
          <cell r="AB80">
            <v>0.179819927382898</v>
          </cell>
          <cell r="AC80">
            <v>0.308481982750763</v>
          </cell>
          <cell r="AD80">
            <v>0.588626058591662</v>
          </cell>
          <cell r="AE80">
            <v>0.528652006135302</v>
          </cell>
          <cell r="AF80">
            <v>0.245560337693207</v>
          </cell>
        </row>
        <row r="81">
          <cell r="F81">
            <v>2.27598272934055</v>
          </cell>
          <cell r="G81">
            <v>2.43887113483197</v>
          </cell>
          <cell r="H81">
            <v>2.52678859624135</v>
          </cell>
          <cell r="I81">
            <v>5.52413072679343</v>
          </cell>
          <cell r="J81">
            <v>12.9696505105231</v>
          </cell>
          <cell r="K81">
            <v>6.55053427657191</v>
          </cell>
          <cell r="L81">
            <v>7.22034575492307</v>
          </cell>
          <cell r="M81">
            <v>2.47642935165557</v>
          </cell>
          <cell r="N81">
            <v>4.24832691047762</v>
          </cell>
          <cell r="O81">
            <v>8.10639215497958</v>
          </cell>
          <cell r="P81">
            <v>7.28044641024348</v>
          </cell>
          <cell r="Q81">
            <v>3.38178775131541</v>
          </cell>
        </row>
        <row r="81">
          <cell r="U81">
            <v>0.568340257645108</v>
          </cell>
          <cell r="V81">
            <v>0.609015451332197</v>
          </cell>
          <cell r="W81">
            <v>0.630969498709081</v>
          </cell>
          <cell r="X81">
            <v>1.37944187363878</v>
          </cell>
          <cell r="Y81">
            <v>3.23867770071061</v>
          </cell>
          <cell r="Z81">
            <v>1.63574718316895</v>
          </cell>
          <cell r="AA81">
            <v>1.80300716421901</v>
          </cell>
          <cell r="AB81">
            <v>0.61839418973431</v>
          </cell>
          <cell r="AC81">
            <v>1.06085831835863</v>
          </cell>
          <cell r="AD81">
            <v>2.02426360558029</v>
          </cell>
          <cell r="AE81">
            <v>1.81801502060082</v>
          </cell>
          <cell r="AF81">
            <v>0.844473069635531</v>
          </cell>
        </row>
        <row r="82">
          <cell r="F82">
            <v>2.27598272934055</v>
          </cell>
          <cell r="G82">
            <v>2.43887113483197</v>
          </cell>
          <cell r="H82">
            <v>2.52678859624135</v>
          </cell>
          <cell r="I82">
            <v>5.52413072679343</v>
          </cell>
          <cell r="J82">
            <v>12.9696505105231</v>
          </cell>
          <cell r="K82">
            <v>6.55053427657191</v>
          </cell>
          <cell r="L82">
            <v>7.22034575492307</v>
          </cell>
          <cell r="M82">
            <v>2.47642935165557</v>
          </cell>
          <cell r="N82">
            <v>4.24832691047762</v>
          </cell>
          <cell r="O82">
            <v>8.10639215497958</v>
          </cell>
          <cell r="P82">
            <v>7.28044641024348</v>
          </cell>
          <cell r="Q82">
            <v>3.38178775131541</v>
          </cell>
        </row>
        <row r="82">
          <cell r="U82">
            <v>0.568340257645108</v>
          </cell>
          <cell r="V82">
            <v>0.609015451332197</v>
          </cell>
          <cell r="W82">
            <v>0.630969498709081</v>
          </cell>
          <cell r="X82">
            <v>1.37944187363878</v>
          </cell>
          <cell r="Y82">
            <v>3.23867770071061</v>
          </cell>
          <cell r="Z82">
            <v>1.63574718316895</v>
          </cell>
          <cell r="AA82">
            <v>1.80300716421901</v>
          </cell>
          <cell r="AB82">
            <v>0.61839418973431</v>
          </cell>
          <cell r="AC82">
            <v>1.06085831835863</v>
          </cell>
          <cell r="AD82">
            <v>2.02426360558029</v>
          </cell>
          <cell r="AE82">
            <v>1.81801502060082</v>
          </cell>
          <cell r="AF82">
            <v>0.844473069635531</v>
          </cell>
        </row>
        <row r="83">
          <cell r="F83">
            <v>2.27598272934055</v>
          </cell>
          <cell r="G83">
            <v>2.43887113483197</v>
          </cell>
          <cell r="H83">
            <v>2.52678859624135</v>
          </cell>
          <cell r="I83">
            <v>5.52413072679343</v>
          </cell>
          <cell r="J83">
            <v>12.9696505105231</v>
          </cell>
          <cell r="K83">
            <v>6.55053427657191</v>
          </cell>
          <cell r="L83">
            <v>7.22034575492307</v>
          </cell>
          <cell r="M83">
            <v>2.47642935165557</v>
          </cell>
          <cell r="N83">
            <v>4.24832691047762</v>
          </cell>
          <cell r="O83">
            <v>8.10639215497958</v>
          </cell>
          <cell r="P83">
            <v>7.28044641024348</v>
          </cell>
          <cell r="Q83">
            <v>3.38178775131541</v>
          </cell>
        </row>
        <row r="83">
          <cell r="U83">
            <v>0.568340257645108</v>
          </cell>
          <cell r="V83">
            <v>0.609015451332197</v>
          </cell>
          <cell r="W83">
            <v>0.630969498709081</v>
          </cell>
          <cell r="X83">
            <v>1.37944187363878</v>
          </cell>
          <cell r="Y83">
            <v>3.23867770071061</v>
          </cell>
          <cell r="Z83">
            <v>1.63574718316895</v>
          </cell>
          <cell r="AA83">
            <v>1.80300716421901</v>
          </cell>
          <cell r="AB83">
            <v>0.61839418973431</v>
          </cell>
          <cell r="AC83">
            <v>1.06085831835863</v>
          </cell>
          <cell r="AD83">
            <v>2.02426360558029</v>
          </cell>
          <cell r="AE83">
            <v>1.81801502060082</v>
          </cell>
          <cell r="AF83">
            <v>0.844473069635531</v>
          </cell>
        </row>
        <row r="84">
          <cell r="F84">
            <v>2.27598272934055</v>
          </cell>
          <cell r="G84">
            <v>2.43887113483197</v>
          </cell>
          <cell r="H84">
            <v>2.52678859624135</v>
          </cell>
          <cell r="I84">
            <v>5.52413072679343</v>
          </cell>
          <cell r="J84">
            <v>12.9696505105231</v>
          </cell>
          <cell r="K84">
            <v>6.55053427657191</v>
          </cell>
          <cell r="L84">
            <v>7.22034575492307</v>
          </cell>
          <cell r="M84">
            <v>2.47642935165557</v>
          </cell>
          <cell r="N84">
            <v>4.24832691047762</v>
          </cell>
          <cell r="O84">
            <v>8.10639215497958</v>
          </cell>
          <cell r="P84">
            <v>7.28044641024348</v>
          </cell>
          <cell r="Q84">
            <v>3.38178775131541</v>
          </cell>
        </row>
        <row r="84">
          <cell r="U84">
            <v>0.568340257645108</v>
          </cell>
          <cell r="V84">
            <v>0.609015451332197</v>
          </cell>
          <cell r="W84">
            <v>0.630969498709081</v>
          </cell>
          <cell r="X84">
            <v>1.37944187363878</v>
          </cell>
          <cell r="Y84">
            <v>3.23867770071061</v>
          </cell>
          <cell r="Z84">
            <v>1.63574718316895</v>
          </cell>
          <cell r="AA84">
            <v>1.80300716421901</v>
          </cell>
          <cell r="AB84">
            <v>0.61839418973431</v>
          </cell>
          <cell r="AC84">
            <v>1.06085831835863</v>
          </cell>
          <cell r="AD84">
            <v>2.02426360558029</v>
          </cell>
          <cell r="AE84">
            <v>1.81801502060082</v>
          </cell>
          <cell r="AF84">
            <v>0.844473069635531</v>
          </cell>
        </row>
        <row r="85">
          <cell r="F85">
            <v>2.27598272934055</v>
          </cell>
          <cell r="G85">
            <v>2.43887113483197</v>
          </cell>
          <cell r="H85">
            <v>2.52678859624135</v>
          </cell>
          <cell r="I85">
            <v>5.52413072679343</v>
          </cell>
          <cell r="J85">
            <v>12.9696505105231</v>
          </cell>
          <cell r="K85">
            <v>6.55053427657191</v>
          </cell>
          <cell r="L85">
            <v>7.22034575492307</v>
          </cell>
          <cell r="M85">
            <v>2.47642935165557</v>
          </cell>
          <cell r="N85">
            <v>4.24832691047762</v>
          </cell>
          <cell r="O85">
            <v>8.10639215497958</v>
          </cell>
          <cell r="P85">
            <v>7.28044641024348</v>
          </cell>
          <cell r="Q85">
            <v>3.38178775131541</v>
          </cell>
        </row>
        <row r="85">
          <cell r="U85">
            <v>0.568340257645108</v>
          </cell>
          <cell r="V85">
            <v>0.609015451332197</v>
          </cell>
          <cell r="W85">
            <v>0.630969498709081</v>
          </cell>
          <cell r="X85">
            <v>1.37944187363878</v>
          </cell>
          <cell r="Y85">
            <v>3.23867770071061</v>
          </cell>
          <cell r="Z85">
            <v>1.63574718316895</v>
          </cell>
          <cell r="AA85">
            <v>1.80300716421901</v>
          </cell>
          <cell r="AB85">
            <v>0.61839418973431</v>
          </cell>
          <cell r="AC85">
            <v>1.06085831835863</v>
          </cell>
          <cell r="AD85">
            <v>2.02426360558029</v>
          </cell>
          <cell r="AE85">
            <v>1.81801502060082</v>
          </cell>
          <cell r="AF85">
            <v>0.844473069635531</v>
          </cell>
        </row>
        <row r="86">
          <cell r="F86">
            <v>2.27598272934055</v>
          </cell>
          <cell r="G86">
            <v>2.43887113483197</v>
          </cell>
          <cell r="H86">
            <v>2.52678859624135</v>
          </cell>
          <cell r="I86">
            <v>5.52413072679343</v>
          </cell>
          <cell r="J86">
            <v>12.9696505105231</v>
          </cell>
          <cell r="K86">
            <v>6.55053427657191</v>
          </cell>
          <cell r="L86">
            <v>7.22034575492307</v>
          </cell>
          <cell r="M86">
            <v>2.47642935165557</v>
          </cell>
          <cell r="N86">
            <v>4.24832691047762</v>
          </cell>
          <cell r="O86">
            <v>8.10639215497958</v>
          </cell>
          <cell r="P86">
            <v>7.28044641024348</v>
          </cell>
          <cell r="Q86">
            <v>3.38178775131541</v>
          </cell>
        </row>
        <row r="86">
          <cell r="U86">
            <v>0.568340257645108</v>
          </cell>
          <cell r="V86">
            <v>0.609015451332197</v>
          </cell>
          <cell r="W86">
            <v>0.630969498709081</v>
          </cell>
          <cell r="X86">
            <v>1.37944187363878</v>
          </cell>
          <cell r="Y86">
            <v>3.23867770071061</v>
          </cell>
          <cell r="Z86">
            <v>1.63574718316895</v>
          </cell>
          <cell r="AA86">
            <v>1.80300716421901</v>
          </cell>
          <cell r="AB86">
            <v>0.61839418973431</v>
          </cell>
          <cell r="AC86">
            <v>1.06085831835863</v>
          </cell>
          <cell r="AD86">
            <v>2.02426360558029</v>
          </cell>
          <cell r="AE86">
            <v>1.81801502060082</v>
          </cell>
          <cell r="AF86">
            <v>0.844473069635531</v>
          </cell>
        </row>
        <row r="87">
          <cell r="F87">
            <v>2.3343412608621</v>
          </cell>
          <cell r="G87">
            <v>2.50140629213536</v>
          </cell>
          <cell r="H87">
            <v>2.59157804742703</v>
          </cell>
          <cell r="I87">
            <v>5.66577510440352</v>
          </cell>
          <cell r="J87">
            <v>13.3022056518186</v>
          </cell>
          <cell r="K87">
            <v>6.71849669391991</v>
          </cell>
          <cell r="L87">
            <v>7.40548282556213</v>
          </cell>
          <cell r="M87">
            <v>2.53992754015956</v>
          </cell>
          <cell r="N87">
            <v>4.35725836972064</v>
          </cell>
          <cell r="O87">
            <v>8.31424836408162</v>
          </cell>
          <cell r="P87">
            <v>7.46712452332665</v>
          </cell>
          <cell r="Q87">
            <v>3.46850025775939</v>
          </cell>
        </row>
        <row r="87">
          <cell r="U87">
            <v>1.09217342904606</v>
          </cell>
          <cell r="V87">
            <v>1.17033851619018</v>
          </cell>
          <cell r="W87">
            <v>1.21252737556185</v>
          </cell>
          <cell r="X87">
            <v>2.65085877876094</v>
          </cell>
          <cell r="Y87">
            <v>6.22373249541802</v>
          </cell>
          <cell r="Z87">
            <v>3.14339796638096</v>
          </cell>
          <cell r="AA87">
            <v>3.46481969322208</v>
          </cell>
          <cell r="AB87">
            <v>1.1883615380384</v>
          </cell>
          <cell r="AC87">
            <v>2.03864014858732</v>
          </cell>
          <cell r="AD87">
            <v>3.89000584361261</v>
          </cell>
          <cell r="AE87">
            <v>3.49366013122849</v>
          </cell>
          <cell r="AF87">
            <v>1.62281491728642</v>
          </cell>
        </row>
        <row r="88">
          <cell r="F88">
            <v>2.3343412608621</v>
          </cell>
          <cell r="G88">
            <v>2.50140629213536</v>
          </cell>
          <cell r="H88">
            <v>2.59157804742703</v>
          </cell>
          <cell r="I88">
            <v>5.66577510440352</v>
          </cell>
          <cell r="J88">
            <v>13.3022056518186</v>
          </cell>
          <cell r="K88">
            <v>6.71849669391991</v>
          </cell>
          <cell r="L88">
            <v>7.40548282556213</v>
          </cell>
          <cell r="M88">
            <v>2.53992754015956</v>
          </cell>
          <cell r="N88">
            <v>4.35725836972064</v>
          </cell>
          <cell r="O88">
            <v>8.31424836408162</v>
          </cell>
          <cell r="P88">
            <v>7.46712452332665</v>
          </cell>
          <cell r="Q88">
            <v>3.46850025775939</v>
          </cell>
        </row>
        <row r="88">
          <cell r="U88">
            <v>1.09217342904606</v>
          </cell>
          <cell r="V88">
            <v>1.17033851619018</v>
          </cell>
          <cell r="W88">
            <v>1.21252737556185</v>
          </cell>
          <cell r="X88">
            <v>2.65085877876094</v>
          </cell>
          <cell r="Y88">
            <v>6.22373249541802</v>
          </cell>
          <cell r="Z88">
            <v>3.14339796638096</v>
          </cell>
          <cell r="AA88">
            <v>3.46481969322208</v>
          </cell>
          <cell r="AB88">
            <v>1.1883615380384</v>
          </cell>
          <cell r="AC88">
            <v>2.03864014858732</v>
          </cell>
          <cell r="AD88">
            <v>3.89000584361261</v>
          </cell>
          <cell r="AE88">
            <v>3.49366013122849</v>
          </cell>
          <cell r="AF88">
            <v>1.62281491728642</v>
          </cell>
        </row>
        <row r="89">
          <cell r="F89">
            <v>2.3343412608621</v>
          </cell>
          <cell r="G89">
            <v>2.50140629213536</v>
          </cell>
          <cell r="H89">
            <v>2.59157804742703</v>
          </cell>
          <cell r="I89">
            <v>5.66577510440352</v>
          </cell>
          <cell r="J89">
            <v>13.3022056518186</v>
          </cell>
          <cell r="K89">
            <v>6.71849669391991</v>
          </cell>
          <cell r="L89">
            <v>7.40548282556213</v>
          </cell>
          <cell r="M89">
            <v>2.53992754015956</v>
          </cell>
          <cell r="N89">
            <v>4.35725836972064</v>
          </cell>
          <cell r="O89">
            <v>8.31424836408162</v>
          </cell>
          <cell r="P89">
            <v>7.46712452332665</v>
          </cell>
          <cell r="Q89">
            <v>3.46850025775939</v>
          </cell>
        </row>
        <row r="89">
          <cell r="U89">
            <v>1.09217342904606</v>
          </cell>
          <cell r="V89">
            <v>1.17033851619018</v>
          </cell>
          <cell r="W89">
            <v>1.21252737556185</v>
          </cell>
          <cell r="X89">
            <v>2.65085877876094</v>
          </cell>
          <cell r="Y89">
            <v>6.22373249541802</v>
          </cell>
          <cell r="Z89">
            <v>3.14339796638096</v>
          </cell>
          <cell r="AA89">
            <v>3.46481969322208</v>
          </cell>
          <cell r="AB89">
            <v>1.1883615380384</v>
          </cell>
          <cell r="AC89">
            <v>2.03864014858732</v>
          </cell>
          <cell r="AD89">
            <v>3.89000584361261</v>
          </cell>
          <cell r="AE89">
            <v>3.49366013122849</v>
          </cell>
          <cell r="AF89">
            <v>1.62281491728642</v>
          </cell>
        </row>
        <row r="90">
          <cell r="F90">
            <v>2.3343412608621</v>
          </cell>
          <cell r="G90">
            <v>2.50140629213536</v>
          </cell>
          <cell r="H90">
            <v>2.59157804742703</v>
          </cell>
          <cell r="I90">
            <v>5.66577510440352</v>
          </cell>
          <cell r="J90">
            <v>13.3022056518186</v>
          </cell>
          <cell r="K90">
            <v>6.71849669391991</v>
          </cell>
          <cell r="L90">
            <v>7.40548282556213</v>
          </cell>
          <cell r="M90">
            <v>2.53992754015956</v>
          </cell>
          <cell r="N90">
            <v>4.35725836972064</v>
          </cell>
          <cell r="O90">
            <v>8.31424836408162</v>
          </cell>
          <cell r="P90">
            <v>7.46712452332665</v>
          </cell>
          <cell r="Q90">
            <v>3.46850025775939</v>
          </cell>
        </row>
        <row r="90">
          <cell r="U90">
            <v>1.09217342904606</v>
          </cell>
          <cell r="V90">
            <v>1.17033851619018</v>
          </cell>
          <cell r="W90">
            <v>1.21252737556185</v>
          </cell>
          <cell r="X90">
            <v>2.65085877876094</v>
          </cell>
          <cell r="Y90">
            <v>6.22373249541802</v>
          </cell>
          <cell r="Z90">
            <v>3.14339796638096</v>
          </cell>
          <cell r="AA90">
            <v>3.46481969322208</v>
          </cell>
          <cell r="AB90">
            <v>1.1883615380384</v>
          </cell>
          <cell r="AC90">
            <v>2.03864014858732</v>
          </cell>
          <cell r="AD90">
            <v>3.89000584361261</v>
          </cell>
          <cell r="AE90">
            <v>3.49366013122849</v>
          </cell>
          <cell r="AF90">
            <v>1.62281491728642</v>
          </cell>
        </row>
        <row r="91">
          <cell r="F91">
            <v>2.3343412608621</v>
          </cell>
          <cell r="G91">
            <v>2.50140629213536</v>
          </cell>
          <cell r="H91">
            <v>2.59157804742703</v>
          </cell>
          <cell r="I91">
            <v>5.66577510440352</v>
          </cell>
          <cell r="J91">
            <v>13.3022056518186</v>
          </cell>
          <cell r="K91">
            <v>6.71849669391991</v>
          </cell>
          <cell r="L91">
            <v>7.40548282556213</v>
          </cell>
          <cell r="M91">
            <v>2.53992754015956</v>
          </cell>
          <cell r="N91">
            <v>4.35725836972064</v>
          </cell>
          <cell r="O91">
            <v>8.31424836408162</v>
          </cell>
          <cell r="P91">
            <v>7.46712452332665</v>
          </cell>
          <cell r="Q91">
            <v>3.46850025775939</v>
          </cell>
        </row>
        <row r="91">
          <cell r="U91">
            <v>1.09217342904606</v>
          </cell>
          <cell r="V91">
            <v>1.17033851619018</v>
          </cell>
          <cell r="W91">
            <v>1.21252737556185</v>
          </cell>
          <cell r="X91">
            <v>2.65085877876094</v>
          </cell>
          <cell r="Y91">
            <v>6.22373249541802</v>
          </cell>
          <cell r="Z91">
            <v>3.14339796638096</v>
          </cell>
          <cell r="AA91">
            <v>3.46481969322208</v>
          </cell>
          <cell r="AB91">
            <v>1.1883615380384</v>
          </cell>
          <cell r="AC91">
            <v>2.03864014858732</v>
          </cell>
          <cell r="AD91">
            <v>3.89000584361261</v>
          </cell>
          <cell r="AE91">
            <v>3.49366013122849</v>
          </cell>
          <cell r="AF91">
            <v>1.62281491728642</v>
          </cell>
        </row>
        <row r="92">
          <cell r="F92">
            <v>2.3343412608621</v>
          </cell>
          <cell r="G92">
            <v>2.50140629213536</v>
          </cell>
          <cell r="H92">
            <v>2.59157804742703</v>
          </cell>
          <cell r="I92">
            <v>5.66577510440352</v>
          </cell>
          <cell r="J92">
            <v>13.3022056518186</v>
          </cell>
          <cell r="K92">
            <v>6.71849669391991</v>
          </cell>
          <cell r="L92">
            <v>7.40548282556213</v>
          </cell>
          <cell r="M92">
            <v>2.53992754015956</v>
          </cell>
          <cell r="N92">
            <v>4.35725836972064</v>
          </cell>
          <cell r="O92">
            <v>8.31424836408162</v>
          </cell>
          <cell r="P92">
            <v>7.46712452332665</v>
          </cell>
          <cell r="Q92">
            <v>3.46850025775939</v>
          </cell>
        </row>
        <row r="92">
          <cell r="U92">
            <v>1.09217342904606</v>
          </cell>
          <cell r="V92">
            <v>1.17033851619018</v>
          </cell>
          <cell r="W92">
            <v>1.21252737556185</v>
          </cell>
          <cell r="X92">
            <v>2.65085877876094</v>
          </cell>
          <cell r="Y92">
            <v>6.22373249541802</v>
          </cell>
          <cell r="Z92">
            <v>3.14339796638096</v>
          </cell>
          <cell r="AA92">
            <v>3.46481969322208</v>
          </cell>
          <cell r="AB92">
            <v>1.1883615380384</v>
          </cell>
          <cell r="AC92">
            <v>2.03864014858732</v>
          </cell>
          <cell r="AD92">
            <v>3.89000584361261</v>
          </cell>
          <cell r="AE92">
            <v>3.49366013122849</v>
          </cell>
          <cell r="AF92">
            <v>1.62281491728642</v>
          </cell>
        </row>
        <row r="93">
          <cell r="F93">
            <v>1.75075594564658</v>
          </cell>
          <cell r="G93">
            <v>1.87605471910152</v>
          </cell>
          <cell r="H93">
            <v>1.94368353557027</v>
          </cell>
          <cell r="I93">
            <v>4.24933132830264</v>
          </cell>
          <cell r="J93">
            <v>9.97665423886394</v>
          </cell>
          <cell r="K93">
            <v>5.03887252043993</v>
          </cell>
          <cell r="L93">
            <v>5.55411211917159</v>
          </cell>
          <cell r="M93">
            <v>1.90494565511967</v>
          </cell>
          <cell r="N93">
            <v>3.26794377729048</v>
          </cell>
          <cell r="O93">
            <v>6.23568627306121</v>
          </cell>
          <cell r="P93">
            <v>5.60034339249498</v>
          </cell>
          <cell r="Q93">
            <v>2.60137519331954</v>
          </cell>
        </row>
        <row r="93">
          <cell r="U93">
            <v>0.758823175784422</v>
          </cell>
          <cell r="V93">
            <v>0.813130924063899</v>
          </cell>
          <cell r="W93">
            <v>0.842443012601979</v>
          </cell>
          <cell r="X93">
            <v>1.84177075138363</v>
          </cell>
          <cell r="Y93">
            <v>4.32414150702311</v>
          </cell>
          <cell r="Z93">
            <v>2.18397844533435</v>
          </cell>
          <cell r="AA93">
            <v>2.40729669227314</v>
          </cell>
          <cell r="AB93">
            <v>0.825653007381788</v>
          </cell>
          <cell r="AC93">
            <v>1.416411854282</v>
          </cell>
          <cell r="AD93">
            <v>2.70270866289826</v>
          </cell>
          <cell r="AE93">
            <v>2.42733452891796</v>
          </cell>
          <cell r="AF93">
            <v>1.12750368805547</v>
          </cell>
        </row>
        <row r="94">
          <cell r="F94">
            <v>1.75075594564658</v>
          </cell>
          <cell r="G94">
            <v>1.87605471910152</v>
          </cell>
          <cell r="H94">
            <v>1.94368353557027</v>
          </cell>
          <cell r="I94">
            <v>4.24933132830264</v>
          </cell>
          <cell r="J94">
            <v>9.97665423886394</v>
          </cell>
          <cell r="K94">
            <v>5.03887252043993</v>
          </cell>
          <cell r="L94">
            <v>5.55411211917159</v>
          </cell>
          <cell r="M94">
            <v>1.90494565511967</v>
          </cell>
          <cell r="N94">
            <v>3.26794377729048</v>
          </cell>
          <cell r="O94">
            <v>6.23568627306121</v>
          </cell>
          <cell r="P94">
            <v>5.60034339249498</v>
          </cell>
          <cell r="Q94">
            <v>2.60137519331954</v>
          </cell>
        </row>
        <row r="94">
          <cell r="U94">
            <v>0.758823175784422</v>
          </cell>
          <cell r="V94">
            <v>0.813130924063899</v>
          </cell>
          <cell r="W94">
            <v>0.842443012601979</v>
          </cell>
          <cell r="X94">
            <v>1.84177075138363</v>
          </cell>
          <cell r="Y94">
            <v>4.32414150702311</v>
          </cell>
          <cell r="Z94">
            <v>2.18397844533435</v>
          </cell>
          <cell r="AA94">
            <v>2.40729669227314</v>
          </cell>
          <cell r="AB94">
            <v>0.825653007381788</v>
          </cell>
          <cell r="AC94">
            <v>1.416411854282</v>
          </cell>
          <cell r="AD94">
            <v>2.70270866289826</v>
          </cell>
          <cell r="AE94">
            <v>2.42733452891796</v>
          </cell>
          <cell r="AF94">
            <v>1.12750368805547</v>
          </cell>
        </row>
        <row r="95">
          <cell r="F95">
            <v>1.75075594564658</v>
          </cell>
          <cell r="G95">
            <v>1.87605471910152</v>
          </cell>
          <cell r="H95">
            <v>1.94368353557027</v>
          </cell>
          <cell r="I95">
            <v>4.24933132830264</v>
          </cell>
          <cell r="J95">
            <v>9.97665423886394</v>
          </cell>
          <cell r="K95">
            <v>5.03887252043993</v>
          </cell>
          <cell r="L95">
            <v>5.55411211917159</v>
          </cell>
          <cell r="M95">
            <v>1.90494565511967</v>
          </cell>
          <cell r="N95">
            <v>3.26794377729048</v>
          </cell>
          <cell r="O95">
            <v>6.23568627306121</v>
          </cell>
          <cell r="P95">
            <v>5.60034339249498</v>
          </cell>
          <cell r="Q95">
            <v>2.60137519331954</v>
          </cell>
        </row>
        <row r="95">
          <cell r="U95">
            <v>0.758823175784422</v>
          </cell>
          <cell r="V95">
            <v>0.813130924063899</v>
          </cell>
          <cell r="W95">
            <v>0.842443012601979</v>
          </cell>
          <cell r="X95">
            <v>1.84177075138363</v>
          </cell>
          <cell r="Y95">
            <v>4.32414150702311</v>
          </cell>
          <cell r="Z95">
            <v>2.18397844533435</v>
          </cell>
          <cell r="AA95">
            <v>2.40729669227314</v>
          </cell>
          <cell r="AB95">
            <v>0.825653007381788</v>
          </cell>
          <cell r="AC95">
            <v>1.416411854282</v>
          </cell>
          <cell r="AD95">
            <v>2.70270866289826</v>
          </cell>
          <cell r="AE95">
            <v>2.42733452891796</v>
          </cell>
          <cell r="AF95">
            <v>1.12750368805547</v>
          </cell>
        </row>
        <row r="96">
          <cell r="F96">
            <v>1.75075594564658</v>
          </cell>
          <cell r="G96">
            <v>1.87605471910152</v>
          </cell>
          <cell r="H96">
            <v>1.94368353557027</v>
          </cell>
          <cell r="I96">
            <v>4.24933132830264</v>
          </cell>
          <cell r="J96">
            <v>9.97665423886394</v>
          </cell>
          <cell r="K96">
            <v>5.03887252043993</v>
          </cell>
          <cell r="L96">
            <v>5.55411211917159</v>
          </cell>
          <cell r="M96">
            <v>1.90494565511967</v>
          </cell>
          <cell r="N96">
            <v>3.26794377729048</v>
          </cell>
          <cell r="O96">
            <v>6.23568627306121</v>
          </cell>
          <cell r="P96">
            <v>5.60034339249498</v>
          </cell>
          <cell r="Q96">
            <v>2.60137519331954</v>
          </cell>
        </row>
        <row r="96">
          <cell r="U96">
            <v>0.758823175784422</v>
          </cell>
          <cell r="V96">
            <v>0.813130924063899</v>
          </cell>
          <cell r="W96">
            <v>0.842443012601979</v>
          </cell>
          <cell r="X96">
            <v>1.84177075138363</v>
          </cell>
          <cell r="Y96">
            <v>4.32414150702311</v>
          </cell>
          <cell r="Z96">
            <v>2.18397844533435</v>
          </cell>
          <cell r="AA96">
            <v>2.40729669227314</v>
          </cell>
          <cell r="AB96">
            <v>0.825653007381788</v>
          </cell>
          <cell r="AC96">
            <v>1.416411854282</v>
          </cell>
          <cell r="AD96">
            <v>2.70270866289826</v>
          </cell>
          <cell r="AE96">
            <v>2.42733452891796</v>
          </cell>
          <cell r="AF96">
            <v>1.12750368805547</v>
          </cell>
        </row>
        <row r="99">
          <cell r="F99" t="e">
            <v>#VALUE!</v>
          </cell>
          <cell r="G99" t="e">
            <v>#VALUE!</v>
          </cell>
          <cell r="H99" t="e">
            <v>#VALUE!</v>
          </cell>
          <cell r="I99" t="e">
            <v>#VALUE!</v>
          </cell>
          <cell r="J99" t="e">
            <v>#VALUE!</v>
          </cell>
          <cell r="K99" t="e">
            <v>#VALUE!</v>
          </cell>
          <cell r="L99" t="e">
            <v>#VALUE!</v>
          </cell>
          <cell r="M99" t="e">
            <v>#VALUE!</v>
          </cell>
          <cell r="N99" t="e">
            <v>#VALUE!</v>
          </cell>
          <cell r="O99" t="e">
            <v>#VALUE!</v>
          </cell>
          <cell r="P99" t="e">
            <v>#VALUE!</v>
          </cell>
          <cell r="Q99" t="e">
            <v>#VALUE!</v>
          </cell>
        </row>
        <row r="100">
          <cell r="F100" t="e">
            <v>#VALUE!</v>
          </cell>
          <cell r="G100" t="e">
            <v>#VALUE!</v>
          </cell>
          <cell r="H100" t="e">
            <v>#VALUE!</v>
          </cell>
          <cell r="I100" t="e">
            <v>#VALUE!</v>
          </cell>
          <cell r="J100" t="e">
            <v>#VALUE!</v>
          </cell>
          <cell r="K100" t="e">
            <v>#VALUE!</v>
          </cell>
          <cell r="L100" t="e">
            <v>#VALUE!</v>
          </cell>
          <cell r="M100" t="e">
            <v>#VALUE!</v>
          </cell>
          <cell r="N100" t="e">
            <v>#VALUE!</v>
          </cell>
          <cell r="O100" t="e">
            <v>#VALUE!</v>
          </cell>
          <cell r="P100" t="e">
            <v>#VALUE!</v>
          </cell>
          <cell r="Q100" t="e">
            <v>#VALUE!</v>
          </cell>
        </row>
        <row r="101">
          <cell r="F101" t="e">
            <v>#REF!</v>
          </cell>
          <cell r="G101" t="e">
            <v>#REF!</v>
          </cell>
          <cell r="H101" t="e">
            <v>#REF!</v>
          </cell>
          <cell r="I101" t="e">
            <v>#REF!</v>
          </cell>
          <cell r="J101" t="e">
            <v>#REF!</v>
          </cell>
          <cell r="K101" t="e">
            <v>#REF!</v>
          </cell>
          <cell r="L101" t="e">
            <v>#REF!</v>
          </cell>
          <cell r="M101" t="e">
            <v>#REF!</v>
          </cell>
          <cell r="N101" t="e">
            <v>#REF!</v>
          </cell>
          <cell r="O101" t="e">
            <v>#REF!</v>
          </cell>
          <cell r="P101" t="e">
            <v>#REF!</v>
          </cell>
          <cell r="Q101" t="e">
            <v>#REF!</v>
          </cell>
        </row>
        <row r="102">
          <cell r="F102" t="e">
            <v>#REF!</v>
          </cell>
          <cell r="G102" t="e">
            <v>#REF!</v>
          </cell>
          <cell r="H102" t="e">
            <v>#REF!</v>
          </cell>
          <cell r="I102" t="e">
            <v>#REF!</v>
          </cell>
          <cell r="J102" t="e">
            <v>#REF!</v>
          </cell>
          <cell r="K102" t="e">
            <v>#REF!</v>
          </cell>
          <cell r="L102" t="e">
            <v>#REF!</v>
          </cell>
          <cell r="M102" t="e">
            <v>#REF!</v>
          </cell>
          <cell r="N102" t="e">
            <v>#REF!</v>
          </cell>
          <cell r="O102" t="e">
            <v>#REF!</v>
          </cell>
          <cell r="P102" t="e">
            <v>#REF!</v>
          </cell>
          <cell r="Q102" t="e">
            <v>#REF!</v>
          </cell>
        </row>
        <row r="103">
          <cell r="F103">
            <v>0.0078979694305466</v>
          </cell>
          <cell r="G103">
            <v>0.00846321433797809</v>
          </cell>
          <cell r="H103">
            <v>0.00876829987912529</v>
          </cell>
          <cell r="I103">
            <v>0.0191694844816327</v>
          </cell>
          <cell r="J103">
            <v>0.0450064501529255</v>
          </cell>
          <cell r="K103">
            <v>0.0227312443118155</v>
          </cell>
          <cell r="L103">
            <v>0.0250555811848723</v>
          </cell>
          <cell r="M103">
            <v>0.00859354645540348</v>
          </cell>
          <cell r="N103">
            <v>0.0147422718271867</v>
          </cell>
          <cell r="O103">
            <v>0.0281302826276727</v>
          </cell>
          <cell r="P103">
            <v>0.0252641386279307</v>
          </cell>
          <cell r="Q103">
            <v>0.0117352631617837</v>
          </cell>
        </row>
        <row r="104">
          <cell r="F104" t="e">
            <v>#VALUE!</v>
          </cell>
          <cell r="G104" t="e">
            <v>#VALUE!</v>
          </cell>
          <cell r="H104" t="e">
            <v>#VALUE!</v>
          </cell>
          <cell r="I104" t="e">
            <v>#VALUE!</v>
          </cell>
          <cell r="J104" t="e">
            <v>#VALUE!</v>
          </cell>
          <cell r="K104" t="e">
            <v>#VALUE!</v>
          </cell>
          <cell r="L104" t="e">
            <v>#VALUE!</v>
          </cell>
          <cell r="M104" t="e">
            <v>#VALUE!</v>
          </cell>
          <cell r="N104" t="e">
            <v>#VALUE!</v>
          </cell>
          <cell r="O104" t="e">
            <v>#VALUE!</v>
          </cell>
          <cell r="P104" t="e">
            <v>#VALUE!</v>
          </cell>
          <cell r="Q104" t="e">
            <v>#VALUE!</v>
          </cell>
        </row>
        <row r="107">
          <cell r="F107">
            <v>6.32792415834699</v>
          </cell>
          <cell r="G107">
            <v>6.52509811913299</v>
          </cell>
          <cell r="H107">
            <v>6.10912794449106</v>
          </cell>
          <cell r="I107">
            <v>4.78475077489323</v>
          </cell>
          <cell r="J107">
            <v>5.88490606065158</v>
          </cell>
          <cell r="K107">
            <v>5.1873549760399</v>
          </cell>
          <cell r="L107">
            <v>6.35957864502571</v>
          </cell>
          <cell r="M107">
            <v>4.90368876215635</v>
          </cell>
          <cell r="N107">
            <v>5.37552295189473</v>
          </cell>
          <cell r="O107">
            <v>5.73109482761035</v>
          </cell>
          <cell r="P107">
            <v>5.8826022351564</v>
          </cell>
          <cell r="Q107">
            <v>6.30780442808331</v>
          </cell>
        </row>
        <row r="108">
          <cell r="F108">
            <v>55.2518625459629</v>
          </cell>
          <cell r="G108">
            <v>56.9734742951525</v>
          </cell>
          <cell r="H108">
            <v>53.3414574856243</v>
          </cell>
          <cell r="I108">
            <v>41.7777434614749</v>
          </cell>
          <cell r="J108">
            <v>51.3836785370011</v>
          </cell>
          <cell r="K108">
            <v>45.2930561336157</v>
          </cell>
          <cell r="L108">
            <v>55.5282516592282</v>
          </cell>
          <cell r="M108">
            <v>42.8162428428379</v>
          </cell>
          <cell r="N108">
            <v>46.936032704972</v>
          </cell>
          <cell r="O108">
            <v>50.0406856544443</v>
          </cell>
          <cell r="P108">
            <v>51.363562832956</v>
          </cell>
          <cell r="Q108">
            <v>55.0761884159997</v>
          </cell>
        </row>
        <row r="109">
          <cell r="F109">
            <v>55.2518625459629</v>
          </cell>
          <cell r="G109">
            <v>56.9734742951526</v>
          </cell>
          <cell r="H109">
            <v>53.3414574856243</v>
          </cell>
          <cell r="I109">
            <v>41.777743461475</v>
          </cell>
          <cell r="J109">
            <v>51.3836785370011</v>
          </cell>
          <cell r="K109">
            <v>45.2930561336157</v>
          </cell>
          <cell r="L109">
            <v>55.5282516592282</v>
          </cell>
          <cell r="M109">
            <v>42.8162428428379</v>
          </cell>
          <cell r="N109">
            <v>46.936032704972</v>
          </cell>
          <cell r="O109">
            <v>50.0406856544444</v>
          </cell>
          <cell r="P109">
            <v>51.363562832956</v>
          </cell>
          <cell r="Q109">
            <v>55.0761884159997</v>
          </cell>
        </row>
        <row r="110">
          <cell r="F110">
            <v>213.410319083782</v>
          </cell>
          <cell r="G110">
            <v>220.060044465027</v>
          </cell>
          <cell r="H110">
            <v>206.031379538224</v>
          </cell>
          <cell r="I110">
            <v>161.366534119947</v>
          </cell>
          <cell r="J110">
            <v>198.469458349167</v>
          </cell>
          <cell r="K110">
            <v>174.944429316091</v>
          </cell>
          <cell r="L110">
            <v>214.477872033769</v>
          </cell>
          <cell r="M110">
            <v>165.377737980462</v>
          </cell>
          <cell r="N110">
            <v>181.290426322954</v>
          </cell>
          <cell r="O110">
            <v>193.282148340291</v>
          </cell>
          <cell r="P110">
            <v>198.391761442293</v>
          </cell>
          <cell r="Q110">
            <v>212.731777756799</v>
          </cell>
        </row>
        <row r="112">
          <cell r="F112">
            <v>233.715378569423</v>
          </cell>
          <cell r="G112">
            <v>240.997796268495</v>
          </cell>
          <cell r="H112">
            <v>225.634365164191</v>
          </cell>
          <cell r="I112">
            <v>176.719854842039</v>
          </cell>
          <cell r="J112">
            <v>217.352960211514</v>
          </cell>
          <cell r="K112">
            <v>191.589627445194</v>
          </cell>
          <cell r="L112">
            <v>234.884504518535</v>
          </cell>
          <cell r="M112">
            <v>181.112707225204</v>
          </cell>
          <cell r="N112">
            <v>198.539418342031</v>
          </cell>
          <cell r="O112">
            <v>211.6721003183</v>
          </cell>
          <cell r="P112">
            <v>217.267870783404</v>
          </cell>
          <cell r="Q112">
            <v>232.972276999679</v>
          </cell>
        </row>
        <row r="113">
          <cell r="F113">
            <v>138.129656364907</v>
          </cell>
          <cell r="G113">
            <v>142.433685737881</v>
          </cell>
          <cell r="H113">
            <v>133.353643714061</v>
          </cell>
          <cell r="I113">
            <v>104.444358653687</v>
          </cell>
          <cell r="J113">
            <v>128.459196342503</v>
          </cell>
          <cell r="K113">
            <v>113.232640334039</v>
          </cell>
          <cell r="L113">
            <v>138.82062914807</v>
          </cell>
          <cell r="M113">
            <v>107.040607107095</v>
          </cell>
          <cell r="N113">
            <v>117.34008176243</v>
          </cell>
          <cell r="O113">
            <v>125.101714136111</v>
          </cell>
          <cell r="P113">
            <v>128.40890708239</v>
          </cell>
          <cell r="Q113">
            <v>137.690471039999</v>
          </cell>
        </row>
        <row r="114">
          <cell r="F114">
            <v>384.088550074122</v>
          </cell>
          <cell r="G114">
            <v>396.056497036756</v>
          </cell>
          <cell r="H114">
            <v>370.808188546593</v>
          </cell>
          <cell r="I114">
            <v>290.421936421382</v>
          </cell>
          <cell r="J114">
            <v>357.198502952433</v>
          </cell>
          <cell r="K114">
            <v>314.858965058679</v>
          </cell>
          <cell r="L114">
            <v>386.009895145196</v>
          </cell>
          <cell r="M114">
            <v>297.641163127246</v>
          </cell>
          <cell r="N114">
            <v>326.280272142635</v>
          </cell>
          <cell r="O114">
            <v>347.862560863748</v>
          </cell>
          <cell r="P114">
            <v>357.058666732541</v>
          </cell>
          <cell r="Q114">
            <v>382.867334738495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1.4 CGS"/>
      <sheetName val="Legend"/>
      <sheetName val="Inputs to COS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"/>
      <sheetName val="ST,D-D"/>
      <sheetName val="Source wise - Cost"/>
      <sheetName val="TGSPDCL MoD"/>
      <sheetName val="NCE - Summry"/>
      <sheetName val="Station wise Cost - FY25"/>
      <sheetName val="MoD"/>
      <sheetName val="TGNPDCL MoD for disp"/>
      <sheetName val="TGNPDCL MoD"/>
      <sheetName val="MoD_Model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9">
          <cell r="G59">
            <v>1141.421395</v>
          </cell>
        </row>
        <row r="60">
          <cell r="G60">
            <v>27.98013</v>
          </cell>
        </row>
      </sheetData>
      <sheetData sheetId="23"/>
      <sheetData sheetId="24"/>
      <sheetData sheetId="25">
        <row r="7">
          <cell r="L7">
            <v>5395.34083124147</v>
          </cell>
          <cell r="M7">
            <v>5071.64074443535</v>
          </cell>
          <cell r="N7">
            <v>4751.18341180919</v>
          </cell>
          <cell r="O7">
            <v>4544.1256761642</v>
          </cell>
          <cell r="P7">
            <v>5071.5630333176</v>
          </cell>
          <cell r="Q7">
            <v>4936.76818701198</v>
          </cell>
          <cell r="R7">
            <v>4565.18678717418</v>
          </cell>
          <cell r="S7">
            <v>4307.95335188307</v>
          </cell>
          <cell r="T7">
            <v>4705.46040138982</v>
          </cell>
          <cell r="U7">
            <v>5291.42096319017</v>
          </cell>
          <cell r="V7">
            <v>5334.85191737215</v>
          </cell>
          <cell r="W7">
            <v>6364.41771132137</v>
          </cell>
        </row>
        <row r="9">
          <cell r="L9">
            <v>975.075206765121</v>
          </cell>
          <cell r="M9">
            <v>1045.40243563981</v>
          </cell>
          <cell r="N9">
            <v>1027.28109578235</v>
          </cell>
          <cell r="O9">
            <v>1003.65166615867</v>
          </cell>
          <cell r="P9">
            <v>1028.02514729429</v>
          </cell>
          <cell r="Q9">
            <v>990.963462785914</v>
          </cell>
          <cell r="R9">
            <v>1004.84457683346</v>
          </cell>
          <cell r="S9">
            <v>1004.98025629452</v>
          </cell>
          <cell r="T9">
            <v>1003.45285019928</v>
          </cell>
          <cell r="U9">
            <v>1004.95851118098</v>
          </cell>
          <cell r="V9">
            <v>991.045006887977</v>
          </cell>
          <cell r="W9">
            <v>1122.72097479207</v>
          </cell>
        </row>
        <row r="11">
          <cell r="L11">
            <v>169.413702100982</v>
          </cell>
          <cell r="M11">
            <v>159.24951937527</v>
          </cell>
          <cell r="N11">
            <v>149.187159130808</v>
          </cell>
          <cell r="O11">
            <v>142.685546231555</v>
          </cell>
          <cell r="P11">
            <v>159.247079246173</v>
          </cell>
          <cell r="Q11">
            <v>155.014521072177</v>
          </cell>
          <cell r="R11">
            <v>143.346865117269</v>
          </cell>
          <cell r="S11">
            <v>135.269735249129</v>
          </cell>
          <cell r="T11">
            <v>147.751456603641</v>
          </cell>
          <cell r="U11">
            <v>166.150618244172</v>
          </cell>
          <cell r="V11">
            <v>167.514350205485</v>
          </cell>
          <cell r="W11">
            <v>199.842716135491</v>
          </cell>
        </row>
        <row r="19">
          <cell r="L19">
            <v>4250.85192237536</v>
          </cell>
          <cell r="M19">
            <v>3866.98878942027</v>
          </cell>
          <cell r="N19">
            <v>3574.71515689603</v>
          </cell>
          <cell r="O19">
            <v>3397.78846377397</v>
          </cell>
          <cell r="P19">
            <v>3884.29080677714</v>
          </cell>
          <cell r="Q19">
            <v>3790.79020315389</v>
          </cell>
          <cell r="R19">
            <v>3416.99534522346</v>
          </cell>
          <cell r="S19">
            <v>3167.70336033942</v>
          </cell>
          <cell r="T19">
            <v>3554.2560945869</v>
          </cell>
          <cell r="U19">
            <v>4120.31183376502</v>
          </cell>
          <cell r="V19">
            <v>4176.29256027869</v>
          </cell>
          <cell r="W19">
            <v>5041.85402039381</v>
          </cell>
        </row>
        <row r="20">
          <cell r="L20">
            <v>796.075684364588</v>
          </cell>
          <cell r="M20">
            <v>843.882289976883</v>
          </cell>
          <cell r="N20">
            <v>831.781934973786</v>
          </cell>
          <cell r="O20">
            <v>761.904924711557</v>
          </cell>
          <cell r="P20">
            <v>805.95484997383</v>
          </cell>
          <cell r="Q20">
            <v>756.940241891133</v>
          </cell>
          <cell r="R20">
            <v>781.731373847767</v>
          </cell>
          <cell r="S20">
            <v>762.854773274848</v>
          </cell>
          <cell r="T20">
            <v>766.493546667944</v>
          </cell>
          <cell r="U20">
            <v>754.571356352307</v>
          </cell>
          <cell r="V20">
            <v>772.345696422497</v>
          </cell>
          <cell r="W20">
            <v>855.437887102204</v>
          </cell>
        </row>
        <row r="22">
          <cell r="L22">
            <v>170.459162087252</v>
          </cell>
          <cell r="M22">
            <v>155.066250455753</v>
          </cell>
          <cell r="N22">
            <v>143.346077791531</v>
          </cell>
          <cell r="O22">
            <v>136.251317397337</v>
          </cell>
          <cell r="P22">
            <v>155.760061351763</v>
          </cell>
          <cell r="Q22">
            <v>152.010687146471</v>
          </cell>
          <cell r="R22">
            <v>137.021513343461</v>
          </cell>
          <cell r="S22">
            <v>127.024904749611</v>
          </cell>
          <cell r="T22">
            <v>142.525669392935</v>
          </cell>
          <cell r="U22">
            <v>165.224504533978</v>
          </cell>
          <cell r="V22">
            <v>167.469331667176</v>
          </cell>
          <cell r="W22">
            <v>202.178346217792</v>
          </cell>
        </row>
        <row r="27">
          <cell r="L27">
            <v>3284.31707592352</v>
          </cell>
          <cell r="M27">
            <v>2868.04024898763</v>
          </cell>
          <cell r="N27">
            <v>2599.58714413071</v>
          </cell>
          <cell r="O27">
            <v>2499.63222166508</v>
          </cell>
          <cell r="P27">
            <v>2922.57589545154</v>
          </cell>
          <cell r="Q27">
            <v>2881.83927411629</v>
          </cell>
          <cell r="R27">
            <v>2498.24245803223</v>
          </cell>
          <cell r="S27">
            <v>2277.82368231496</v>
          </cell>
          <cell r="T27">
            <v>2645.23687852602</v>
          </cell>
          <cell r="U27">
            <v>3200.51597287874</v>
          </cell>
          <cell r="V27">
            <v>3236.47753218902</v>
          </cell>
          <cell r="W27">
            <v>3984.23778707382</v>
          </cell>
        </row>
        <row r="28">
          <cell r="L28">
            <v>1783.31250730507</v>
          </cell>
          <cell r="M28">
            <v>2097.64275725367</v>
          </cell>
          <cell r="N28">
            <v>1895.05268397938</v>
          </cell>
          <cell r="O28">
            <v>1544.55788188393</v>
          </cell>
          <cell r="P28">
            <v>1753.18871666403</v>
          </cell>
          <cell r="Q28">
            <v>1625.87379476658</v>
          </cell>
          <cell r="R28">
            <v>1628.7915782919</v>
          </cell>
          <cell r="S28">
            <v>1533.84263454518</v>
          </cell>
          <cell r="T28">
            <v>1402.52391968185</v>
          </cell>
          <cell r="U28">
            <v>1547.82091146447</v>
          </cell>
          <cell r="V28">
            <v>1485.60826999496</v>
          </cell>
          <cell r="W28">
            <v>1942.17355053146</v>
          </cell>
        </row>
        <row r="29">
          <cell r="L29">
            <v>1349.92598312597</v>
          </cell>
          <cell r="M29">
            <v>638.467640280526</v>
          </cell>
          <cell r="N29">
            <v>584.953451521322</v>
          </cell>
          <cell r="O29">
            <v>840.091257584557</v>
          </cell>
          <cell r="P29">
            <v>1034.94868759674</v>
          </cell>
          <cell r="Q29">
            <v>1123.40087274036</v>
          </cell>
          <cell r="R29">
            <v>754.531726670841</v>
          </cell>
          <cell r="S29">
            <v>639.201158383291</v>
          </cell>
          <cell r="T29">
            <v>1121.03206243197</v>
          </cell>
          <cell r="U29">
            <v>1505.47132666184</v>
          </cell>
          <cell r="V29">
            <v>1601.99129571336</v>
          </cell>
          <cell r="W29">
            <v>1858.78929833697</v>
          </cell>
        </row>
        <row r="30">
          <cell r="L30">
            <v>151.078585492482</v>
          </cell>
          <cell r="M30">
            <v>131.929851453431</v>
          </cell>
          <cell r="N30">
            <v>119.581008630013</v>
          </cell>
          <cell r="O30">
            <v>114.983082196594</v>
          </cell>
          <cell r="P30">
            <v>134.438491190771</v>
          </cell>
          <cell r="Q30">
            <v>132.56460660935</v>
          </cell>
          <cell r="R30">
            <v>114.919153069482</v>
          </cell>
          <cell r="S30">
            <v>104.779889386488</v>
          </cell>
          <cell r="T30">
            <v>121.680896412197</v>
          </cell>
          <cell r="U30">
            <v>147.223734752422</v>
          </cell>
          <cell r="V30">
            <v>148.877966480695</v>
          </cell>
          <cell r="W30">
            <v>183.274938205396</v>
          </cell>
        </row>
        <row r="37">
          <cell r="L37">
            <v>891.155118848532</v>
          </cell>
          <cell r="M37">
            <v>861.930558299359</v>
          </cell>
          <cell r="N37">
            <v>891.877279550399</v>
          </cell>
          <cell r="O37">
            <v>892.734245385777</v>
          </cell>
          <cell r="P37">
            <v>1080.81720999726</v>
          </cell>
          <cell r="Q37">
            <v>1133.8272283399</v>
          </cell>
          <cell r="R37">
            <v>1182.30021335244</v>
          </cell>
          <cell r="S37">
            <v>1142.41405751717</v>
          </cell>
          <cell r="T37">
            <v>1017.60413799308</v>
          </cell>
          <cell r="U37">
            <v>994.111397771514</v>
          </cell>
          <cell r="V37">
            <v>937.036973610869</v>
          </cell>
          <cell r="W37">
            <v>1006.87433546201</v>
          </cell>
        </row>
        <row r="46">
          <cell r="L46">
            <v>6443.72278607011</v>
          </cell>
          <cell r="M46">
            <v>6081.97140501713</v>
          </cell>
          <cell r="N46">
            <v>5784.19505059408</v>
          </cell>
          <cell r="O46">
            <v>5572.8371479602</v>
          </cell>
          <cell r="P46">
            <v>6306.25281192585</v>
          </cell>
          <cell r="Q46">
            <v>6222.42252496093</v>
          </cell>
          <cell r="R46">
            <v>5891.23308787067</v>
          </cell>
          <cell r="S46">
            <v>5586.68246145987</v>
          </cell>
          <cell r="T46">
            <v>5866.19981486562</v>
          </cell>
          <cell r="U46">
            <v>6442.7350973367</v>
          </cell>
          <cell r="V46">
            <v>6428.75040076161</v>
          </cell>
          <cell r="W46">
            <v>7555.64990445202</v>
          </cell>
        </row>
        <row r="47">
          <cell r="L47">
            <v>157.226835980111</v>
          </cell>
          <cell r="M47">
            <v>148.400102282418</v>
          </cell>
          <cell r="N47">
            <v>141.134359234496</v>
          </cell>
          <cell r="O47">
            <v>135.977226410229</v>
          </cell>
          <cell r="P47">
            <v>153.872568610991</v>
          </cell>
          <cell r="Q47">
            <v>151.827109609047</v>
          </cell>
          <cell r="R47">
            <v>143.746087344044</v>
          </cell>
          <cell r="S47">
            <v>136.315052059621</v>
          </cell>
          <cell r="T47">
            <v>143.135275482721</v>
          </cell>
          <cell r="U47">
            <v>157.202736375016</v>
          </cell>
          <cell r="V47">
            <v>156.861509778583</v>
          </cell>
          <cell r="W47">
            <v>184.357857668629</v>
          </cell>
        </row>
        <row r="48">
          <cell r="L48">
            <v>735.173254274452</v>
          </cell>
          <cell r="M48">
            <v>746.069305634791</v>
          </cell>
          <cell r="N48">
            <v>653.256178116467</v>
          </cell>
          <cell r="O48">
            <v>711.553651069648</v>
          </cell>
          <cell r="P48">
            <v>748.734300478753</v>
          </cell>
          <cell r="Q48">
            <v>703.622476882152</v>
          </cell>
          <cell r="R48">
            <v>760.881707149341</v>
          </cell>
          <cell r="S48">
            <v>705.189504274452</v>
          </cell>
          <cell r="T48">
            <v>704.427597149341</v>
          </cell>
          <cell r="U48">
            <v>748.464907149341</v>
          </cell>
          <cell r="V48">
            <v>690.719633524674</v>
          </cell>
          <cell r="W48">
            <v>764.268107149341</v>
          </cell>
        </row>
        <row r="49">
          <cell r="L49">
            <v>116.555655</v>
          </cell>
          <cell r="M49">
            <v>120.44296</v>
          </cell>
          <cell r="N49">
            <v>116.555655</v>
          </cell>
          <cell r="O49">
            <v>120.44296</v>
          </cell>
          <cell r="P49">
            <v>120.44296</v>
          </cell>
          <cell r="Q49">
            <v>116.555655</v>
          </cell>
          <cell r="R49">
            <v>120.44296</v>
          </cell>
          <cell r="S49">
            <v>91.79966</v>
          </cell>
          <cell r="T49">
            <v>108.061435</v>
          </cell>
          <cell r="U49">
            <v>120.44296</v>
          </cell>
          <cell r="V49">
            <v>108.7881</v>
          </cell>
          <cell r="W49">
            <v>120.44296</v>
          </cell>
        </row>
        <row r="52">
          <cell r="L52">
            <v>33.472946134486</v>
          </cell>
          <cell r="M52">
            <v>31.0211391097255</v>
          </cell>
          <cell r="N52">
            <v>25.3268093095318</v>
          </cell>
          <cell r="O52">
            <v>29.2030810485446</v>
          </cell>
          <cell r="P52">
            <v>29.291273678134</v>
          </cell>
          <cell r="Q52">
            <v>28.7062346158753</v>
          </cell>
          <cell r="R52">
            <v>29.2599789493581</v>
          </cell>
          <cell r="S52">
            <v>26.1213198590952</v>
          </cell>
          <cell r="T52">
            <v>32.012067866684</v>
          </cell>
          <cell r="U52">
            <v>33.7570706387519</v>
          </cell>
          <cell r="V52">
            <v>30.0215153938515</v>
          </cell>
          <cell r="W52">
            <v>31.4514784371591</v>
          </cell>
        </row>
      </sheetData>
      <sheetData sheetId="26"/>
      <sheetData sheetId="27"/>
      <sheetData sheetId="28"/>
      <sheetData sheetId="29">
        <row r="231">
          <cell r="BN231">
            <v>7.51</v>
          </cell>
        </row>
        <row r="233">
          <cell r="BN233">
            <v>0</v>
          </cell>
        </row>
        <row r="234">
          <cell r="BN234">
            <v>0</v>
          </cell>
        </row>
        <row r="235">
          <cell r="BN235">
            <v>0</v>
          </cell>
        </row>
        <row r="236">
          <cell r="BN236">
            <v>2.15</v>
          </cell>
        </row>
        <row r="237">
          <cell r="BN237">
            <v>5.87975128633889</v>
          </cell>
        </row>
        <row r="238">
          <cell r="BN238">
            <v>2.82287123260092</v>
          </cell>
        </row>
        <row r="239">
          <cell r="BN239">
            <v>2.52916252685639</v>
          </cell>
        </row>
        <row r="240">
          <cell r="BN240">
            <v>4.10484274920065</v>
          </cell>
        </row>
        <row r="241">
          <cell r="BN241">
            <v>2.44429249825459</v>
          </cell>
        </row>
        <row r="242">
          <cell r="BN242">
            <v>10.3953153015999</v>
          </cell>
        </row>
        <row r="243">
          <cell r="BN243">
            <v>4.73701304498574</v>
          </cell>
        </row>
      </sheetData>
      <sheetData sheetId="30">
        <row r="16">
          <cell r="D16">
            <v>0</v>
          </cell>
          <cell r="E16">
            <v>377.294863788821</v>
          </cell>
          <cell r="F16">
            <v>118.232079155099</v>
          </cell>
          <cell r="G16">
            <v>15.6059273031888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88.3077831698074</v>
          </cell>
          <cell r="O16">
            <v>484.118532537505</v>
          </cell>
        </row>
        <row r="17">
          <cell r="D17">
            <v>0</v>
          </cell>
          <cell r="E17">
            <v>171.52099112744</v>
          </cell>
          <cell r="F17">
            <v>53.7491637073844</v>
          </cell>
          <cell r="G17">
            <v>7.09456813598169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40.1453609557493</v>
          </cell>
          <cell r="O17">
            <v>220.083808430724</v>
          </cell>
        </row>
        <row r="20">
          <cell r="D20">
            <v>174.360438968557</v>
          </cell>
          <cell r="E20">
            <v>636.333120923747</v>
          </cell>
          <cell r="F20">
            <v>601.001741975017</v>
          </cell>
          <cell r="G20">
            <v>340.717270137928</v>
          </cell>
          <cell r="H20">
            <v>309.834562169865</v>
          </cell>
          <cell r="I20">
            <v>425.257044339776</v>
          </cell>
          <cell r="J20">
            <v>193.883845892791</v>
          </cell>
          <cell r="K20">
            <v>414.640383888004</v>
          </cell>
          <cell r="L20">
            <v>199.718091203398</v>
          </cell>
          <cell r="M20">
            <v>156.281865494673</v>
          </cell>
          <cell r="N20">
            <v>0</v>
          </cell>
          <cell r="O20">
            <v>0</v>
          </cell>
        </row>
        <row r="21">
          <cell r="D21">
            <v>83.955887969624</v>
          </cell>
          <cell r="E21">
            <v>250.881923638697</v>
          </cell>
          <cell r="F21">
            <v>234.45915876922</v>
          </cell>
          <cell r="G21">
            <v>130.219508021502</v>
          </cell>
          <cell r="H21">
            <v>125.8295658764</v>
          </cell>
          <cell r="I21">
            <v>162.268140622832</v>
          </cell>
          <cell r="J21">
            <v>90.5351562524773</v>
          </cell>
          <cell r="K21">
            <v>157.667650652176</v>
          </cell>
          <cell r="L21">
            <v>92.7354800250098</v>
          </cell>
          <cell r="M21">
            <v>74.9997274684388</v>
          </cell>
          <cell r="N21">
            <v>0</v>
          </cell>
          <cell r="O21">
            <v>0</v>
          </cell>
        </row>
      </sheetData>
      <sheetData sheetId="31"/>
      <sheetData sheetId="32">
        <row r="4">
          <cell r="F4">
            <v>75.1787764412423</v>
          </cell>
          <cell r="G4">
            <v>92.250623591441</v>
          </cell>
          <cell r="H4">
            <v>89.2747970239752</v>
          </cell>
          <cell r="I4">
            <v>0</v>
          </cell>
          <cell r="J4">
            <v>30.5190032934091</v>
          </cell>
          <cell r="K4">
            <v>61.0898207413197</v>
          </cell>
          <cell r="L4">
            <v>61.0380065868181</v>
          </cell>
          <cell r="M4">
            <v>73.1650592151376</v>
          </cell>
          <cell r="N4">
            <v>66.1410391212104</v>
          </cell>
          <cell r="O4">
            <v>65.7360646995322</v>
          </cell>
          <cell r="P4">
            <v>70.1668580118261</v>
          </cell>
          <cell r="Q4">
            <v>83.9272590568749</v>
          </cell>
        </row>
        <row r="4">
          <cell r="U4">
            <v>15.0180817175409</v>
          </cell>
          <cell r="V4">
            <v>18.4284377742325</v>
          </cell>
          <cell r="W4">
            <v>17.8339720395798</v>
          </cell>
          <cell r="X4">
            <v>0</v>
          </cell>
          <cell r="Y4">
            <v>6.09662603057315</v>
          </cell>
          <cell r="Z4">
            <v>12.2036027112003</v>
          </cell>
          <cell r="AA4">
            <v>12.1932520611463</v>
          </cell>
          <cell r="AB4">
            <v>14.6158116715353</v>
          </cell>
          <cell r="AC4">
            <v>13.2126589102146</v>
          </cell>
          <cell r="AD4">
            <v>13.1317592301961</v>
          </cell>
          <cell r="AE4">
            <v>14.0168762697048</v>
          </cell>
          <cell r="AF4">
            <v>16.7657215840762</v>
          </cell>
        </row>
        <row r="4">
          <cell r="AJ4">
            <v>33.4501545507799</v>
          </cell>
          <cell r="AK4">
            <v>41.0461271466862</v>
          </cell>
          <cell r="AL4">
            <v>39.7220585290512</v>
          </cell>
          <cell r="AM4">
            <v>0</v>
          </cell>
          <cell r="AN4">
            <v>13.5791698831142</v>
          </cell>
          <cell r="AO4">
            <v>27.1813940317811</v>
          </cell>
          <cell r="AP4">
            <v>27.1583397662285</v>
          </cell>
          <cell r="AQ4">
            <v>32.5541682681698</v>
          </cell>
          <cell r="AR4">
            <v>29.4288905125085</v>
          </cell>
          <cell r="AS4">
            <v>29.2487006020643</v>
          </cell>
          <cell r="AT4">
            <v>31.2201442473946</v>
          </cell>
          <cell r="AU4">
            <v>37.3427171785642</v>
          </cell>
        </row>
        <row r="5">
          <cell r="F5">
            <v>75.1787764412423</v>
          </cell>
          <cell r="G5">
            <v>92.250623591441</v>
          </cell>
          <cell r="H5">
            <v>89.2747970239752</v>
          </cell>
          <cell r="I5">
            <v>0</v>
          </cell>
          <cell r="J5">
            <v>30.5190032934091</v>
          </cell>
          <cell r="K5">
            <v>63.096473084614</v>
          </cell>
          <cell r="L5">
            <v>61.0380065868181</v>
          </cell>
          <cell r="M5">
            <v>73.1650592151376</v>
          </cell>
          <cell r="N5">
            <v>67.2805299877427</v>
          </cell>
          <cell r="O5">
            <v>67.2805299877427</v>
          </cell>
          <cell r="P5">
            <v>71.6620556786515</v>
          </cell>
          <cell r="Q5">
            <v>83.9272590568749</v>
          </cell>
        </row>
        <row r="5">
          <cell r="U5">
            <v>14.8981615334011</v>
          </cell>
          <cell r="V5">
            <v>18.2812857149442</v>
          </cell>
          <cell r="W5">
            <v>17.6915668209138</v>
          </cell>
          <cell r="X5">
            <v>0</v>
          </cell>
          <cell r="Y5">
            <v>6.04794414629735</v>
          </cell>
          <cell r="Z5">
            <v>12.5038141441045</v>
          </cell>
          <cell r="AA5">
            <v>12.0958882925947</v>
          </cell>
          <cell r="AB5">
            <v>14.499103635185</v>
          </cell>
          <cell r="AC5">
            <v>13.3329677770646</v>
          </cell>
          <cell r="AD5">
            <v>13.3329677770646</v>
          </cell>
          <cell r="AE5">
            <v>14.2012537561125</v>
          </cell>
          <cell r="AF5">
            <v>16.6318464023177</v>
          </cell>
        </row>
        <row r="5">
          <cell r="AJ5">
            <v>33.4182516852093</v>
          </cell>
          <cell r="AK5">
            <v>41.006979672059</v>
          </cell>
          <cell r="AL5">
            <v>39.6841738761861</v>
          </cell>
          <cell r="AM5">
            <v>0</v>
          </cell>
          <cell r="AN5">
            <v>13.5662188388766</v>
          </cell>
          <cell r="AO5">
            <v>28.0474612358007</v>
          </cell>
          <cell r="AP5">
            <v>27.1324376777533</v>
          </cell>
          <cell r="AQ5">
            <v>32.5231199436412</v>
          </cell>
          <cell r="AR5">
            <v>29.9073460766144</v>
          </cell>
          <cell r="AS5">
            <v>29.9073460766144</v>
          </cell>
          <cell r="AT5">
            <v>31.8550091703127</v>
          </cell>
          <cell r="AU5">
            <v>37.3071018069108</v>
          </cell>
        </row>
        <row r="6">
          <cell r="F6">
            <v>153.08881473453</v>
          </cell>
          <cell r="G6">
            <v>0</v>
          </cell>
          <cell r="H6">
            <v>91.2885142500799</v>
          </cell>
          <cell r="I6">
            <v>138.722742242768</v>
          </cell>
          <cell r="J6">
            <v>122.076013173636</v>
          </cell>
          <cell r="K6">
            <v>126.192946169228</v>
          </cell>
          <cell r="L6">
            <v>122.076013173636</v>
          </cell>
          <cell r="M6">
            <v>173.712466856114</v>
          </cell>
          <cell r="N6">
            <v>138.899256363472</v>
          </cell>
          <cell r="O6">
            <v>148.712989817058</v>
          </cell>
          <cell r="P6">
            <v>147.851593667776</v>
          </cell>
          <cell r="Q6">
            <v>167.85451811375</v>
          </cell>
        </row>
        <row r="6">
          <cell r="U6">
            <v>38.2660428104153</v>
          </cell>
          <cell r="V6">
            <v>0</v>
          </cell>
          <cell r="W6">
            <v>22.8184547672565</v>
          </cell>
          <cell r="X6">
            <v>34.6751028325956</v>
          </cell>
          <cell r="Y6">
            <v>30.5140904926841</v>
          </cell>
          <cell r="Z6">
            <v>31.5431580606192</v>
          </cell>
          <cell r="AA6">
            <v>30.5140904926841</v>
          </cell>
          <cell r="AB6">
            <v>43.4211258670068</v>
          </cell>
          <cell r="AC6">
            <v>34.7192242591754</v>
          </cell>
          <cell r="AD6">
            <v>37.172262680801</v>
          </cell>
          <cell r="AE6">
            <v>36.9569483093212</v>
          </cell>
          <cell r="AF6">
            <v>41.9568744274407</v>
          </cell>
        </row>
        <row r="6">
          <cell r="AJ6">
            <v>60.8070241778173</v>
          </cell>
          <cell r="AK6">
            <v>0</v>
          </cell>
          <cell r="AL6">
            <v>36.2598854971054</v>
          </cell>
          <cell r="AM6">
            <v>55.1008063926602</v>
          </cell>
          <cell r="AN6">
            <v>48.488709625541</v>
          </cell>
          <cell r="AO6">
            <v>50.1239593636457</v>
          </cell>
          <cell r="AP6">
            <v>48.488709625541</v>
          </cell>
          <cell r="AQ6">
            <v>68.9987585992165</v>
          </cell>
          <cell r="AR6">
            <v>55.1709179708573</v>
          </cell>
          <cell r="AS6">
            <v>59.0689423198058</v>
          </cell>
          <cell r="AT6">
            <v>58.7267949423707</v>
          </cell>
          <cell r="AU6">
            <v>66.6719757351188</v>
          </cell>
        </row>
        <row r="7">
          <cell r="F7">
            <v>258.584627630266</v>
          </cell>
          <cell r="G7">
            <v>0</v>
          </cell>
          <cell r="H7">
            <v>146.061622800128</v>
          </cell>
          <cell r="I7">
            <v>237.184136729197</v>
          </cell>
          <cell r="J7">
            <v>199.050285244645</v>
          </cell>
          <cell r="K7">
            <v>209.580960987262</v>
          </cell>
          <cell r="L7">
            <v>195.321621077818</v>
          </cell>
          <cell r="M7">
            <v>291.373554653123</v>
          </cell>
          <cell r="N7">
            <v>255.033006687575</v>
          </cell>
          <cell r="O7">
            <v>248.591154099041</v>
          </cell>
          <cell r="P7">
            <v>236.562549868442</v>
          </cell>
          <cell r="Q7">
            <v>269.345256963165</v>
          </cell>
        </row>
        <row r="7">
          <cell r="U7">
            <v>105.613284670543</v>
          </cell>
          <cell r="V7">
            <v>0</v>
          </cell>
          <cell r="W7">
            <v>59.655703007559</v>
          </cell>
          <cell r="X7">
            <v>96.8727181552914</v>
          </cell>
          <cell r="Y7">
            <v>81.2977733129368</v>
          </cell>
          <cell r="Z7">
            <v>85.5987994998777</v>
          </cell>
          <cell r="AA7">
            <v>79.774881276775</v>
          </cell>
          <cell r="AB7">
            <v>119.005211002135</v>
          </cell>
          <cell r="AC7">
            <v>104.162702100729</v>
          </cell>
          <cell r="AD7">
            <v>101.531667079532</v>
          </cell>
          <cell r="AE7">
            <v>96.6188444789093</v>
          </cell>
          <cell r="AF7">
            <v>110.008230415712</v>
          </cell>
        </row>
        <row r="7">
          <cell r="AJ7">
            <v>99.1163074839507</v>
          </cell>
          <cell r="AK7">
            <v>0</v>
          </cell>
          <cell r="AL7">
            <v>55.9858830346333</v>
          </cell>
          <cell r="AM7">
            <v>90.9134314820148</v>
          </cell>
          <cell r="AN7">
            <v>76.2966053236768</v>
          </cell>
          <cell r="AO7">
            <v>80.3330467180638</v>
          </cell>
          <cell r="AP7">
            <v>74.8673965286665</v>
          </cell>
          <cell r="AQ7">
            <v>111.68440715271</v>
          </cell>
          <cell r="AR7">
            <v>97.7549599179785</v>
          </cell>
          <cell r="AS7">
            <v>95.2857774001209</v>
          </cell>
          <cell r="AT7">
            <v>90.675175267857</v>
          </cell>
          <cell r="AU7">
            <v>103.240890818446</v>
          </cell>
        </row>
        <row r="8">
          <cell r="F8">
            <v>18.598154877124</v>
          </cell>
          <cell r="G8">
            <v>0</v>
          </cell>
          <cell r="H8">
            <v>11.159349627997</v>
          </cell>
          <cell r="I8">
            <v>16.2999222135253</v>
          </cell>
          <cell r="J8">
            <v>15.2595016467045</v>
          </cell>
          <cell r="K8">
            <v>15.2706889646273</v>
          </cell>
          <cell r="L8">
            <v>15.2595016467045</v>
          </cell>
          <cell r="M8">
            <v>17.7878354972583</v>
          </cell>
          <cell r="N8">
            <v>16.2999222135253</v>
          </cell>
          <cell r="O8">
            <v>16.2999222135253</v>
          </cell>
          <cell r="P8">
            <v>17.5417145029566</v>
          </cell>
          <cell r="Q8">
            <v>20.9818147642188</v>
          </cell>
        </row>
        <row r="8">
          <cell r="U8">
            <v>9.53451572428177</v>
          </cell>
          <cell r="V8">
            <v>0</v>
          </cell>
          <cell r="W8">
            <v>5.72094356692164</v>
          </cell>
          <cell r="X8">
            <v>8.35630554085694</v>
          </cell>
          <cell r="Y8">
            <v>7.82292433612138</v>
          </cell>
          <cell r="Z8">
            <v>7.82865961789273</v>
          </cell>
          <cell r="AA8">
            <v>7.82292433612138</v>
          </cell>
          <cell r="AB8">
            <v>9.1190980164465</v>
          </cell>
          <cell r="AC8">
            <v>8.35630554085694</v>
          </cell>
          <cell r="AD8">
            <v>8.35630554085694</v>
          </cell>
          <cell r="AE8">
            <v>8.99292181747681</v>
          </cell>
          <cell r="AF8">
            <v>10.7565209621669</v>
          </cell>
        </row>
        <row r="8">
          <cell r="AJ8">
            <v>9.14324461473587</v>
          </cell>
          <cell r="AK8">
            <v>0</v>
          </cell>
          <cell r="AL8">
            <v>5.48617129302647</v>
          </cell>
          <cell r="AM8">
            <v>8.01338503653086</v>
          </cell>
          <cell r="AN8">
            <v>7.50189237462463</v>
          </cell>
          <cell r="AO8">
            <v>7.5073922957204</v>
          </cell>
          <cell r="AP8">
            <v>7.50189237462463</v>
          </cell>
          <cell r="AQ8">
            <v>8.74487454226774</v>
          </cell>
          <cell r="AR8">
            <v>8.01338503653086</v>
          </cell>
          <cell r="AS8">
            <v>8.01338503653086</v>
          </cell>
          <cell r="AT8">
            <v>8.6238762781609</v>
          </cell>
          <cell r="AU8">
            <v>10.3151020151089</v>
          </cell>
        </row>
        <row r="9">
          <cell r="F9">
            <v>186.604462952369</v>
          </cell>
          <cell r="G9">
            <v>188.662929450165</v>
          </cell>
          <cell r="H9">
            <v>182.57702850016</v>
          </cell>
          <cell r="I9">
            <v>189.34248828523</v>
          </cell>
          <cell r="J9">
            <v>155.369471311901</v>
          </cell>
          <cell r="K9">
            <v>164.636069237971</v>
          </cell>
          <cell r="L9">
            <v>0</v>
          </cell>
          <cell r="M9">
            <v>94.8902727693097</v>
          </cell>
          <cell r="N9">
            <v>184.501247182882</v>
          </cell>
          <cell r="O9">
            <v>167.85451811375</v>
          </cell>
          <cell r="P9">
            <v>162.887348956025</v>
          </cell>
          <cell r="Q9">
            <v>198.319887966819</v>
          </cell>
        </row>
        <row r="9">
          <cell r="U9">
            <v>33.3705950027634</v>
          </cell>
          <cell r="V9">
            <v>33.7387118780937</v>
          </cell>
          <cell r="W9">
            <v>32.6503663336391</v>
          </cell>
          <cell r="X9">
            <v>33.8602378175418</v>
          </cell>
          <cell r="Y9">
            <v>27.7848215466654</v>
          </cell>
          <cell r="Z9">
            <v>29.441973157896</v>
          </cell>
          <cell r="AA9">
            <v>0</v>
          </cell>
          <cell r="AB9">
            <v>16.9692879376344</v>
          </cell>
          <cell r="AC9">
            <v>32.9944755866652</v>
          </cell>
          <cell r="AD9">
            <v>30.017530420951</v>
          </cell>
          <cell r="AE9">
            <v>29.1292483956976</v>
          </cell>
          <cell r="AF9">
            <v>35.4656719224523</v>
          </cell>
        </row>
        <row r="9">
          <cell r="AJ9">
            <v>66.6956465219841</v>
          </cell>
          <cell r="AK9">
            <v>67.4313778745049</v>
          </cell>
          <cell r="AL9">
            <v>65.2561721366176</v>
          </cell>
          <cell r="AM9">
            <v>67.6742638973645</v>
          </cell>
          <cell r="AN9">
            <v>55.5317229554746</v>
          </cell>
          <cell r="AO9">
            <v>58.8437645324024</v>
          </cell>
          <cell r="AP9">
            <v>0</v>
          </cell>
          <cell r="AQ9">
            <v>33.9154165493457</v>
          </cell>
          <cell r="AR9">
            <v>65.9439210096261</v>
          </cell>
          <cell r="AS9">
            <v>59.9940935501109</v>
          </cell>
          <cell r="AT9">
            <v>58.2187418081588</v>
          </cell>
          <cell r="AU9">
            <v>70.882941044613</v>
          </cell>
        </row>
        <row r="10">
          <cell r="F10">
            <v>228.758276885494</v>
          </cell>
          <cell r="G10">
            <v>227.24796345548</v>
          </cell>
          <cell r="H10">
            <v>228.758276885494</v>
          </cell>
          <cell r="I10">
            <v>241.377571502417</v>
          </cell>
          <cell r="J10">
            <v>196.43140301576</v>
          </cell>
          <cell r="K10">
            <v>218.188656155389</v>
          </cell>
          <cell r="L10">
            <v>186.443365574281</v>
          </cell>
          <cell r="M10">
            <v>0</v>
          </cell>
          <cell r="N10">
            <v>116.850624431442</v>
          </cell>
          <cell r="O10">
            <v>216.407477898719</v>
          </cell>
          <cell r="P10">
            <v>199.975545333705</v>
          </cell>
          <cell r="Q10">
            <v>241.377571502417</v>
          </cell>
        </row>
        <row r="10">
          <cell r="U10">
            <v>59.3807229493604</v>
          </cell>
          <cell r="V10">
            <v>58.9886781037032</v>
          </cell>
          <cell r="W10">
            <v>59.3807229493604</v>
          </cell>
          <cell r="X10">
            <v>62.656420107365</v>
          </cell>
          <cell r="Y10">
            <v>50.9893625701315</v>
          </cell>
          <cell r="Z10">
            <v>56.6370769978377</v>
          </cell>
          <cell r="AA10">
            <v>48.396683117413</v>
          </cell>
          <cell r="AB10">
            <v>0</v>
          </cell>
          <cell r="AC10">
            <v>30.331906020154</v>
          </cell>
          <cell r="AD10">
            <v>56.1747214755686</v>
          </cell>
          <cell r="AE10">
            <v>51.9093456017414</v>
          </cell>
          <cell r="AF10">
            <v>62.656420107365</v>
          </cell>
        </row>
        <row r="10">
          <cell r="AJ10">
            <v>76.7627381762958</v>
          </cell>
          <cell r="AK10">
            <v>76.2559333691833</v>
          </cell>
          <cell r="AL10">
            <v>76.7627381762958</v>
          </cell>
          <cell r="AM10">
            <v>80.997302371467</v>
          </cell>
          <cell r="AN10">
            <v>65.9150460678145</v>
          </cell>
          <cell r="AO10">
            <v>73.2159680232143</v>
          </cell>
          <cell r="AP10">
            <v>62.5634335558918</v>
          </cell>
          <cell r="AQ10">
            <v>0</v>
          </cell>
          <cell r="AR10">
            <v>39.2107075253817</v>
          </cell>
          <cell r="AS10">
            <v>72.6182710916601</v>
          </cell>
          <cell r="AT10">
            <v>67.1043279268839</v>
          </cell>
          <cell r="AU10">
            <v>80.997302371467</v>
          </cell>
        </row>
        <row r="11">
          <cell r="F11">
            <v>102.941224598472</v>
          </cell>
          <cell r="G11">
            <v>101.877981903089</v>
          </cell>
          <cell r="H11">
            <v>102.941224598472</v>
          </cell>
          <cell r="I11">
            <v>108.619907176088</v>
          </cell>
          <cell r="J11">
            <v>44.197065678546</v>
          </cell>
          <cell r="K11">
            <v>0</v>
          </cell>
          <cell r="L11">
            <v>82.7636045465388</v>
          </cell>
          <cell r="M11">
            <v>102.941224598472</v>
          </cell>
          <cell r="N11">
            <v>101.979933350564</v>
          </cell>
          <cell r="O11">
            <v>95.8726020964747</v>
          </cell>
          <cell r="P11">
            <v>87.9591684362534</v>
          </cell>
          <cell r="Q11">
            <v>108.619907176088</v>
          </cell>
        </row>
        <row r="11">
          <cell r="U11">
            <v>36.3087191940838</v>
          </cell>
          <cell r="V11">
            <v>35.9336995592153</v>
          </cell>
          <cell r="W11">
            <v>36.3087191940838</v>
          </cell>
          <cell r="X11">
            <v>38.3116649712222</v>
          </cell>
          <cell r="Y11">
            <v>15.5888843676007</v>
          </cell>
          <cell r="Z11">
            <v>0</v>
          </cell>
          <cell r="AA11">
            <v>29.1918081282964</v>
          </cell>
          <cell r="AB11">
            <v>36.3087191940838</v>
          </cell>
          <cell r="AC11">
            <v>35.9696591710446</v>
          </cell>
          <cell r="AD11">
            <v>33.8155233873008</v>
          </cell>
          <cell r="AE11">
            <v>31.0243516118462</v>
          </cell>
          <cell r="AF11">
            <v>38.3116649712222</v>
          </cell>
        </row>
        <row r="11">
          <cell r="AJ11">
            <v>36.4544132199222</v>
          </cell>
          <cell r="AK11">
            <v>36.0778887641296</v>
          </cell>
          <cell r="AL11">
            <v>36.4544132199222</v>
          </cell>
          <cell r="AM11">
            <v>38.4653961088146</v>
          </cell>
          <cell r="AN11">
            <v>15.6514370373797</v>
          </cell>
          <cell r="AO11">
            <v>0</v>
          </cell>
          <cell r="AP11">
            <v>29.3089445115706</v>
          </cell>
          <cell r="AQ11">
            <v>36.4544132199222</v>
          </cell>
          <cell r="AR11">
            <v>36.1139926691405</v>
          </cell>
          <cell r="AS11">
            <v>33.9512131017133</v>
          </cell>
          <cell r="AT11">
            <v>31.1488413428443</v>
          </cell>
          <cell r="AU11">
            <v>38.4653961088146</v>
          </cell>
        </row>
        <row r="12">
          <cell r="F12">
            <v>102.686965979641</v>
          </cell>
          <cell r="G12">
            <v>0</v>
          </cell>
          <cell r="H12">
            <v>50.9855802539086</v>
          </cell>
          <cell r="I12">
            <v>106.484730166344</v>
          </cell>
          <cell r="J12">
            <v>88.2632007237089</v>
          </cell>
          <cell r="K12">
            <v>94.1197792894195</v>
          </cell>
          <cell r="L12">
            <v>81.6522060840935</v>
          </cell>
          <cell r="M12">
            <v>102.941224598472</v>
          </cell>
          <cell r="N12">
            <v>101.877981903089</v>
          </cell>
          <cell r="O12">
            <v>92.8993669890289</v>
          </cell>
          <cell r="P12">
            <v>87.9591684362534</v>
          </cell>
          <cell r="Q12">
            <v>108.619907176088</v>
          </cell>
        </row>
        <row r="12">
          <cell r="U12">
            <v>37.0093481718346</v>
          </cell>
          <cell r="V12">
            <v>0</v>
          </cell>
          <cell r="W12">
            <v>18.375682574301</v>
          </cell>
          <cell r="X12">
            <v>38.3780980975856</v>
          </cell>
          <cell r="Y12">
            <v>31.8108875374886</v>
          </cell>
          <cell r="Z12">
            <v>33.9216535258133</v>
          </cell>
          <cell r="AA12">
            <v>29.4282229018603</v>
          </cell>
          <cell r="AB12">
            <v>37.1009853690218</v>
          </cell>
          <cell r="AC12">
            <v>36.7177827032385</v>
          </cell>
          <cell r="AD12">
            <v>33.4818054564167</v>
          </cell>
          <cell r="AE12">
            <v>31.701311442075</v>
          </cell>
          <cell r="AF12">
            <v>39.1476359703646</v>
          </cell>
        </row>
        <row r="12">
          <cell r="AJ12">
            <v>36.3643730169639</v>
          </cell>
          <cell r="AK12">
            <v>0</v>
          </cell>
          <cell r="AL12">
            <v>18.0554429780999</v>
          </cell>
          <cell r="AM12">
            <v>37.7092692479338</v>
          </cell>
          <cell r="AN12">
            <v>31.2565078164299</v>
          </cell>
          <cell r="AO12">
            <v>33.3304887305108</v>
          </cell>
          <cell r="AP12">
            <v>28.9153667300744</v>
          </cell>
          <cell r="AQ12">
            <v>36.4544132199222</v>
          </cell>
          <cell r="AR12">
            <v>36.0778887641296</v>
          </cell>
          <cell r="AS12">
            <v>32.898306050825</v>
          </cell>
          <cell r="AT12">
            <v>31.1488413428443</v>
          </cell>
          <cell r="AU12">
            <v>38.4653961088146</v>
          </cell>
        </row>
        <row r="13">
          <cell r="F13">
            <v>100.766409994279</v>
          </cell>
          <cell r="G13">
            <v>101.877981903089</v>
          </cell>
          <cell r="H13">
            <v>99.3440607297027</v>
          </cell>
          <cell r="I13">
            <v>104.125290327422</v>
          </cell>
          <cell r="J13">
            <v>86.1468229327592</v>
          </cell>
          <cell r="K13">
            <v>90.5893521798365</v>
          </cell>
          <cell r="L13">
            <v>81.6522060840935</v>
          </cell>
          <cell r="M13">
            <v>0</v>
          </cell>
          <cell r="N13">
            <v>50.1967734323935</v>
          </cell>
          <cell r="O13">
            <v>92.8887482057577</v>
          </cell>
          <cell r="P13">
            <v>87.9591684362534</v>
          </cell>
          <cell r="Q13">
            <v>108.619907176088</v>
          </cell>
        </row>
        <row r="13">
          <cell r="U13">
            <v>36.8351881411697</v>
          </cell>
          <cell r="V13">
            <v>37.2415235499212</v>
          </cell>
          <cell r="W13">
            <v>36.3152479868454</v>
          </cell>
          <cell r="X13">
            <v>38.0630277458754</v>
          </cell>
          <cell r="Y13">
            <v>31.4909941782422</v>
          </cell>
          <cell r="Z13">
            <v>33.1149619334498</v>
          </cell>
          <cell r="AA13">
            <v>29.8479857863339</v>
          </cell>
          <cell r="AB13">
            <v>0</v>
          </cell>
          <cell r="AC13">
            <v>18.3494439621979</v>
          </cell>
          <cell r="AD13">
            <v>33.9555067661046</v>
          </cell>
          <cell r="AE13">
            <v>32.1534975620762</v>
          </cell>
          <cell r="AF13">
            <v>39.7060361377836</v>
          </cell>
        </row>
        <row r="13">
          <cell r="AJ13">
            <v>35.6842495603463</v>
          </cell>
          <cell r="AK13">
            <v>36.0778887641296</v>
          </cell>
          <cell r="AL13">
            <v>35.1805552625937</v>
          </cell>
          <cell r="AM13">
            <v>36.8737245456913</v>
          </cell>
          <cell r="AN13">
            <v>30.5070382931978</v>
          </cell>
          <cell r="AO13">
            <v>32.080264156269</v>
          </cell>
          <cell r="AP13">
            <v>28.9153667300744</v>
          </cell>
          <cell r="AQ13">
            <v>0</v>
          </cell>
          <cell r="AR13">
            <v>17.7761040647115</v>
          </cell>
          <cell r="AS13">
            <v>32.8945456378828</v>
          </cell>
          <cell r="AT13">
            <v>31.1488413428443</v>
          </cell>
          <cell r="AU13">
            <v>38.4653961088146</v>
          </cell>
        </row>
        <row r="14">
          <cell r="F14">
            <v>100.766409994279</v>
          </cell>
          <cell r="G14">
            <v>0</v>
          </cell>
          <cell r="H14">
            <v>49.2957976950431</v>
          </cell>
          <cell r="I14">
            <v>104.125290327422</v>
          </cell>
          <cell r="J14">
            <v>84.0958023917</v>
          </cell>
          <cell r="K14">
            <v>89.8923369733139</v>
          </cell>
          <cell r="L14">
            <v>81.6522060840935</v>
          </cell>
          <cell r="M14">
            <v>102.941224598472</v>
          </cell>
          <cell r="N14">
            <v>99.6306734787563</v>
          </cell>
          <cell r="O14">
            <v>91.2427685764699</v>
          </cell>
          <cell r="P14">
            <v>87.9591684362534</v>
          </cell>
          <cell r="Q14">
            <v>108.619907176088</v>
          </cell>
        </row>
        <row r="14">
          <cell r="U14">
            <v>36.9804757621448</v>
          </cell>
          <cell r="V14">
            <v>0</v>
          </cell>
          <cell r="W14">
            <v>18.0911679987471</v>
          </cell>
          <cell r="X14">
            <v>38.2131582875496</v>
          </cell>
          <cell r="Y14">
            <v>30.8624945775178</v>
          </cell>
          <cell r="Z14">
            <v>32.9897769388917</v>
          </cell>
          <cell r="AA14">
            <v>29.9657140528267</v>
          </cell>
          <cell r="AB14">
            <v>37.7786155267954</v>
          </cell>
          <cell r="AC14">
            <v>36.563669440605</v>
          </cell>
          <cell r="AD14">
            <v>33.4853746601143</v>
          </cell>
          <cell r="AE14">
            <v>32.2803193703134</v>
          </cell>
          <cell r="AF14">
            <v>39.8626471344942</v>
          </cell>
        </row>
        <row r="14">
          <cell r="AJ14">
            <v>35.6842495603463</v>
          </cell>
          <cell r="AK14">
            <v>0</v>
          </cell>
          <cell r="AL14">
            <v>17.4570429503853</v>
          </cell>
          <cell r="AM14">
            <v>36.8737245456913</v>
          </cell>
          <cell r="AN14">
            <v>29.7807136296049</v>
          </cell>
          <cell r="AO14">
            <v>31.8334312624672</v>
          </cell>
          <cell r="AP14">
            <v>28.9153667300744</v>
          </cell>
          <cell r="AQ14">
            <v>36.4544132199222</v>
          </cell>
          <cell r="AR14">
            <v>35.2820529825679</v>
          </cell>
          <cell r="AS14">
            <v>32.3116574724109</v>
          </cell>
          <cell r="AT14">
            <v>31.1488413428443</v>
          </cell>
          <cell r="AU14">
            <v>38.4653961088146</v>
          </cell>
        </row>
        <row r="15">
          <cell r="F15">
            <v>317.898826094396</v>
          </cell>
          <cell r="G15">
            <v>315.17807037557</v>
          </cell>
          <cell r="H15">
            <v>153.110849565956</v>
          </cell>
          <cell r="I15">
            <v>0</v>
          </cell>
          <cell r="J15">
            <v>299.760725472183</v>
          </cell>
          <cell r="K15">
            <v>326.441975542503</v>
          </cell>
          <cell r="L15">
            <v>308.548698497543</v>
          </cell>
          <cell r="M15">
            <v>311.454930970861</v>
          </cell>
          <cell r="N15">
            <v>322.8609257407</v>
          </cell>
          <cell r="O15">
            <v>328.018858086717</v>
          </cell>
          <cell r="P15">
            <v>296.705571021436</v>
          </cell>
          <cell r="Q15">
            <v>355.130220141487</v>
          </cell>
        </row>
        <row r="15">
          <cell r="U15">
            <v>94.2515388639726</v>
          </cell>
          <cell r="V15">
            <v>93.444881549371</v>
          </cell>
          <cell r="W15">
            <v>45.3947356951753</v>
          </cell>
          <cell r="X15">
            <v>0</v>
          </cell>
          <cell r="Y15">
            <v>88.8739037317009</v>
          </cell>
          <cell r="Z15">
            <v>96.7844358618052</v>
          </cell>
          <cell r="AA15">
            <v>91.47938671291</v>
          </cell>
          <cell r="AB15">
            <v>92.341034697811</v>
          </cell>
          <cell r="AC15">
            <v>95.7227161357052</v>
          </cell>
          <cell r="AD15">
            <v>97.2519544375288</v>
          </cell>
          <cell r="AE15">
            <v>87.9681029397077</v>
          </cell>
          <cell r="AF15">
            <v>105.290007379573</v>
          </cell>
        </row>
        <row r="15">
          <cell r="AJ15">
            <v>85.6637516093003</v>
          </cell>
          <cell r="AK15">
            <v>84.9305933748063</v>
          </cell>
          <cell r="AL15">
            <v>41.2585662773488</v>
          </cell>
          <cell r="AM15">
            <v>0</v>
          </cell>
          <cell r="AN15">
            <v>80.7761030279735</v>
          </cell>
          <cell r="AO15">
            <v>87.9658621306726</v>
          </cell>
          <cell r="AP15">
            <v>83.1441858159551</v>
          </cell>
          <cell r="AQ15">
            <v>83.9273242118145</v>
          </cell>
          <cell r="AR15">
            <v>87.0008816540504</v>
          </cell>
          <cell r="AS15">
            <v>88.3907824622262</v>
          </cell>
          <cell r="AT15">
            <v>79.952834835347</v>
          </cell>
          <cell r="AU15">
            <v>95.6964432392184</v>
          </cell>
        </row>
        <row r="15">
          <cell r="AW15">
            <v>1.90165913391229</v>
          </cell>
        </row>
        <row r="16">
          <cell r="F16">
            <v>315.834646477781</v>
          </cell>
          <cell r="G16">
            <v>315.17807037557</v>
          </cell>
          <cell r="H16">
            <v>152.505517923663</v>
          </cell>
          <cell r="I16">
            <v>0</v>
          </cell>
          <cell r="J16">
            <v>287.877175317686</v>
          </cell>
          <cell r="K16">
            <v>324.342721217931</v>
          </cell>
          <cell r="L16">
            <v>302.463797972156</v>
          </cell>
          <cell r="M16">
            <v>310.504404050047</v>
          </cell>
          <cell r="N16">
            <v>316.554601255228</v>
          </cell>
          <cell r="O16">
            <v>320.191798916331</v>
          </cell>
          <cell r="P16">
            <v>292.62867363691</v>
          </cell>
          <cell r="Q16">
            <v>355.130220141487</v>
          </cell>
        </row>
        <row r="16">
          <cell r="U16">
            <v>94.8308781535103</v>
          </cell>
          <cell r="V16">
            <v>94.6337380074192</v>
          </cell>
          <cell r="W16">
            <v>45.7905183906867</v>
          </cell>
          <cell r="X16">
            <v>0</v>
          </cell>
          <cell r="Y16">
            <v>86.4365123971564</v>
          </cell>
          <cell r="Z16">
            <v>97.385468690052</v>
          </cell>
          <cell r="AA16">
            <v>90.8162163056525</v>
          </cell>
          <cell r="AB16">
            <v>93.2304471183781</v>
          </cell>
          <cell r="AC16">
            <v>95.0470480529736</v>
          </cell>
          <cell r="AD16">
            <v>96.1391342191584</v>
          </cell>
          <cell r="AE16">
            <v>87.8631727182515</v>
          </cell>
          <cell r="AF16">
            <v>106.629563952022</v>
          </cell>
        </row>
        <row r="16">
          <cell r="AJ16">
            <v>85.1075200178625</v>
          </cell>
          <cell r="AK16">
            <v>84.9305933748063</v>
          </cell>
          <cell r="AL16">
            <v>41.0954484071643</v>
          </cell>
          <cell r="AM16">
            <v>0</v>
          </cell>
          <cell r="AN16">
            <v>77.5738594048114</v>
          </cell>
          <cell r="AO16">
            <v>87.4001790067861</v>
          </cell>
          <cell r="AP16">
            <v>81.5044961902396</v>
          </cell>
          <cell r="AQ16">
            <v>83.6711870532006</v>
          </cell>
          <cell r="AR16">
            <v>85.3015252238045</v>
          </cell>
          <cell r="AS16">
            <v>86.2816357854651</v>
          </cell>
          <cell r="AT16">
            <v>78.8542390047951</v>
          </cell>
          <cell r="AU16">
            <v>95.6964432392184</v>
          </cell>
        </row>
        <row r="17">
          <cell r="F17">
            <v>305.011035847326</v>
          </cell>
          <cell r="G17">
            <v>0</v>
          </cell>
          <cell r="H17">
            <v>152.505517923663</v>
          </cell>
          <cell r="I17">
            <v>335.154145258529</v>
          </cell>
          <cell r="J17">
            <v>271.339912658057</v>
          </cell>
          <cell r="K17">
            <v>314.251396768306</v>
          </cell>
          <cell r="L17">
            <v>290.387486252246</v>
          </cell>
          <cell r="M17">
            <v>305.011035847326</v>
          </cell>
          <cell r="N17">
            <v>315.17807037557</v>
          </cell>
          <cell r="O17">
            <v>315.17807037557</v>
          </cell>
          <cell r="P17">
            <v>290.691268906137</v>
          </cell>
          <cell r="Q17">
            <v>348.653849908854</v>
          </cell>
        </row>
        <row r="17">
          <cell r="U17">
            <v>92.9886194274704</v>
          </cell>
          <cell r="V17">
            <v>0</v>
          </cell>
          <cell r="W17">
            <v>46.4943097137352</v>
          </cell>
          <cell r="X17">
            <v>102.17833979812</v>
          </cell>
          <cell r="Y17">
            <v>82.7233145959768</v>
          </cell>
          <cell r="Z17">
            <v>95.8057253812484</v>
          </cell>
          <cell r="AA17">
            <v>88.5303424205484</v>
          </cell>
          <cell r="AB17">
            <v>92.9886194274705</v>
          </cell>
          <cell r="AC17">
            <v>96.0882400750528</v>
          </cell>
          <cell r="AD17">
            <v>96.0882400750528</v>
          </cell>
          <cell r="AE17">
            <v>88.6229565435516</v>
          </cell>
          <cell r="AF17">
            <v>106.293990547034</v>
          </cell>
        </row>
        <row r="17">
          <cell r="AJ17">
            <v>82.1908968143287</v>
          </cell>
          <cell r="AK17">
            <v>0</v>
          </cell>
          <cell r="AL17">
            <v>41.0954484071643</v>
          </cell>
          <cell r="AM17">
            <v>90.3135183070124</v>
          </cell>
          <cell r="AN17">
            <v>73.1175863880888</v>
          </cell>
          <cell r="AO17">
            <v>84.6808839351999</v>
          </cell>
          <cell r="AP17">
            <v>78.250309377912</v>
          </cell>
          <cell r="AQ17">
            <v>82.1908968143287</v>
          </cell>
          <cell r="AR17">
            <v>84.9305933748063</v>
          </cell>
          <cell r="AS17">
            <v>84.9305933748063</v>
          </cell>
          <cell r="AT17">
            <v>78.3321692643602</v>
          </cell>
          <cell r="AU17">
            <v>93.9512648195489</v>
          </cell>
        </row>
        <row r="18">
          <cell r="F18">
            <v>305.011035847326</v>
          </cell>
          <cell r="G18">
            <v>315.17807037557</v>
          </cell>
          <cell r="H18">
            <v>305.011035847326</v>
          </cell>
          <cell r="I18">
            <v>325.907619645501</v>
          </cell>
          <cell r="J18">
            <v>268.567228982</v>
          </cell>
          <cell r="K18">
            <v>308.474368944158</v>
          </cell>
          <cell r="L18">
            <v>267.039280666333</v>
          </cell>
          <cell r="M18">
            <v>0</v>
          </cell>
          <cell r="N18">
            <v>157.589035187785</v>
          </cell>
          <cell r="O18">
            <v>311.983681294974</v>
          </cell>
          <cell r="P18">
            <v>286.848590846884</v>
          </cell>
          <cell r="Q18">
            <v>335.154145258529</v>
          </cell>
        </row>
        <row r="18">
          <cell r="U18">
            <v>94.6401196873976</v>
          </cell>
          <cell r="V18">
            <v>97.7947903436442</v>
          </cell>
          <cell r="W18">
            <v>94.6401196873976</v>
          </cell>
          <cell r="X18">
            <v>101.124000463131</v>
          </cell>
          <cell r="Y18">
            <v>83.3321805040912</v>
          </cell>
          <cell r="Z18">
            <v>95.7147373906258</v>
          </cell>
          <cell r="AA18">
            <v>82.8580822109946</v>
          </cell>
          <cell r="AB18">
            <v>0</v>
          </cell>
          <cell r="AC18">
            <v>48.8973951718221</v>
          </cell>
          <cell r="AD18">
            <v>96.8036217320698</v>
          </cell>
          <cell r="AE18">
            <v>89.004599110634</v>
          </cell>
          <cell r="AF18">
            <v>103.993051703453</v>
          </cell>
        </row>
        <row r="18">
          <cell r="AJ18">
            <v>82.1908968143287</v>
          </cell>
          <cell r="AK18">
            <v>84.9305933748063</v>
          </cell>
          <cell r="AL18">
            <v>82.1908968143287</v>
          </cell>
          <cell r="AM18">
            <v>87.8218699952058</v>
          </cell>
          <cell r="AN18">
            <v>72.3704351996589</v>
          </cell>
          <cell r="AO18">
            <v>83.1241563352656</v>
          </cell>
          <cell r="AP18">
            <v>71.9587011061639</v>
          </cell>
          <cell r="AQ18">
            <v>0</v>
          </cell>
          <cell r="AR18">
            <v>42.4652966874032</v>
          </cell>
          <cell r="AS18">
            <v>84.069805821403</v>
          </cell>
          <cell r="AT18">
            <v>77.2966881874826</v>
          </cell>
          <cell r="AU18">
            <v>90.3135183070123</v>
          </cell>
        </row>
        <row r="19">
          <cell r="F19">
            <v>305.011035847326</v>
          </cell>
          <cell r="G19">
            <v>0</v>
          </cell>
          <cell r="H19">
            <v>152.505517923663</v>
          </cell>
          <cell r="I19">
            <v>321.836762003223</v>
          </cell>
          <cell r="J19">
            <v>268.567228982</v>
          </cell>
          <cell r="K19">
            <v>297.334232682611</v>
          </cell>
          <cell r="L19">
            <v>253.113076027903</v>
          </cell>
          <cell r="M19">
            <v>305.011035847326</v>
          </cell>
          <cell r="N19">
            <v>315.17807037557</v>
          </cell>
          <cell r="O19">
            <v>299.644644474431</v>
          </cell>
          <cell r="P19">
            <v>279.878038312999</v>
          </cell>
          <cell r="Q19">
            <v>335.154145258529</v>
          </cell>
        </row>
        <row r="19">
          <cell r="U19">
            <v>96.2570161051344</v>
          </cell>
          <cell r="V19">
            <v>0</v>
          </cell>
          <cell r="W19">
            <v>48.1285080525672</v>
          </cell>
          <cell r="X19">
            <v>101.566968871497</v>
          </cell>
          <cell r="Y19">
            <v>84.7558843686289</v>
          </cell>
          <cell r="Z19">
            <v>93.8343294511611</v>
          </cell>
          <cell r="AA19">
            <v>79.8787800184168</v>
          </cell>
          <cell r="AB19">
            <v>96.2570161051344</v>
          </cell>
          <cell r="AC19">
            <v>99.4655833086389</v>
          </cell>
          <cell r="AD19">
            <v>94.5634615772722</v>
          </cell>
          <cell r="AE19">
            <v>88.3254101495947</v>
          </cell>
          <cell r="AF19">
            <v>105.769739997215</v>
          </cell>
        </row>
        <row r="19">
          <cell r="AJ19">
            <v>82.1908968143287</v>
          </cell>
          <cell r="AK19">
            <v>0</v>
          </cell>
          <cell r="AL19">
            <v>41.0954484071643</v>
          </cell>
          <cell r="AM19">
            <v>86.7249016855417</v>
          </cell>
          <cell r="AN19">
            <v>72.3704351996589</v>
          </cell>
          <cell r="AO19">
            <v>80.1222394130575</v>
          </cell>
          <cell r="AP19">
            <v>68.2060262389326</v>
          </cell>
          <cell r="AQ19">
            <v>82.1908968143287</v>
          </cell>
          <cell r="AR19">
            <v>84.9305933748063</v>
          </cell>
          <cell r="AS19">
            <v>80.7448228440227</v>
          </cell>
          <cell r="AT19">
            <v>75.4183431549503</v>
          </cell>
          <cell r="AU19">
            <v>90.3135183070123</v>
          </cell>
        </row>
        <row r="20">
          <cell r="F20">
            <v>202.641953994658</v>
          </cell>
          <cell r="G20">
            <v>0</v>
          </cell>
          <cell r="H20">
            <v>109.546217100096</v>
          </cell>
          <cell r="I20">
            <v>195.575016234928</v>
          </cell>
          <cell r="J20">
            <v>151.609868153625</v>
          </cell>
          <cell r="K20">
            <v>170.763220773679</v>
          </cell>
          <cell r="L20">
            <v>165.379429398371</v>
          </cell>
          <cell r="M20">
            <v>223.925355542843</v>
          </cell>
          <cell r="N20">
            <v>196.43140301576</v>
          </cell>
          <cell r="O20">
            <v>193.947786901699</v>
          </cell>
          <cell r="P20">
            <v>183.01670274652</v>
          </cell>
          <cell r="Q20">
            <v>221.401496619459</v>
          </cell>
        </row>
        <row r="20">
          <cell r="U20">
            <v>47.5060917192176</v>
          </cell>
          <cell r="V20">
            <v>0</v>
          </cell>
          <cell r="W20">
            <v>25.6813188703642</v>
          </cell>
          <cell r="X20">
            <v>45.8493637476911</v>
          </cell>
          <cell r="Y20">
            <v>35.54245387031</v>
          </cell>
          <cell r="Z20">
            <v>40.0326441214501</v>
          </cell>
          <cell r="AA20">
            <v>38.7705022903501</v>
          </cell>
          <cell r="AB20">
            <v>52.4956371026562</v>
          </cell>
          <cell r="AC20">
            <v>46.0501296214668</v>
          </cell>
          <cell r="AD20">
            <v>45.4678864453423</v>
          </cell>
          <cell r="AE20">
            <v>42.9052725530575</v>
          </cell>
          <cell r="AF20">
            <v>51.9039596580939</v>
          </cell>
        </row>
        <row r="20">
          <cell r="AJ20">
            <v>76.5986586099807</v>
          </cell>
          <cell r="AK20">
            <v>0</v>
          </cell>
          <cell r="AL20">
            <v>41.4084700638363</v>
          </cell>
          <cell r="AM20">
            <v>73.9273561368027</v>
          </cell>
          <cell r="AN20">
            <v>57.3085301620704</v>
          </cell>
          <cell r="AO20">
            <v>64.5484974524506</v>
          </cell>
          <cell r="AP20">
            <v>62.5134243125844</v>
          </cell>
          <cell r="AQ20">
            <v>84.6437843951947</v>
          </cell>
          <cell r="AR20">
            <v>74.2510703399574</v>
          </cell>
          <cell r="AS20">
            <v>73.3122634488422</v>
          </cell>
          <cell r="AT20">
            <v>69.1803136381844</v>
          </cell>
          <cell r="AU20">
            <v>83.6897657221553</v>
          </cell>
        </row>
        <row r="21">
          <cell r="F21">
            <v>194.927827486935</v>
          </cell>
          <cell r="G21">
            <v>226.395515340198</v>
          </cell>
          <cell r="H21">
            <v>0</v>
          </cell>
          <cell r="I21">
            <v>91.2911292544324</v>
          </cell>
          <cell r="J21">
            <v>151.485234529103</v>
          </cell>
          <cell r="K21">
            <v>167.429994553327</v>
          </cell>
          <cell r="L21">
            <v>149.580292881756</v>
          </cell>
          <cell r="M21">
            <v>219.565701925524</v>
          </cell>
          <cell r="N21">
            <v>196.278912635525</v>
          </cell>
          <cell r="O21">
            <v>188.870277970521</v>
          </cell>
          <cell r="P21">
            <v>179.622894915418</v>
          </cell>
          <cell r="Q21">
            <v>214.277777485097</v>
          </cell>
        </row>
        <row r="21">
          <cell r="U21">
            <v>46.4942956574386</v>
          </cell>
          <cell r="V21">
            <v>53.9999863613667</v>
          </cell>
          <cell r="W21">
            <v>0</v>
          </cell>
          <cell r="X21">
            <v>21.7748117812553</v>
          </cell>
          <cell r="Y21">
            <v>36.1323438153263</v>
          </cell>
          <cell r="Z21">
            <v>39.9354969941758</v>
          </cell>
          <cell r="AA21">
            <v>35.6779760562239</v>
          </cell>
          <cell r="AB21">
            <v>52.3709354029636</v>
          </cell>
          <cell r="AC21">
            <v>46.816557251213</v>
          </cell>
          <cell r="AD21">
            <v>45.0494455208175</v>
          </cell>
          <cell r="AE21">
            <v>42.8437544844755</v>
          </cell>
          <cell r="AF21">
            <v>51.1096566747436</v>
          </cell>
        </row>
        <row r="21">
          <cell r="AJ21">
            <v>73.6827187900616</v>
          </cell>
          <cell r="AK21">
            <v>85.5775047985949</v>
          </cell>
          <cell r="AL21">
            <v>0</v>
          </cell>
          <cell r="AM21">
            <v>34.5080468581754</v>
          </cell>
          <cell r="AN21">
            <v>57.261418652001</v>
          </cell>
          <cell r="AO21">
            <v>63.2885379411576</v>
          </cell>
          <cell r="AP21">
            <v>56.5413507093038</v>
          </cell>
          <cell r="AQ21">
            <v>82.9958353278479</v>
          </cell>
          <cell r="AR21">
            <v>74.1934289762285</v>
          </cell>
          <cell r="AS21">
            <v>71.3929650728568</v>
          </cell>
          <cell r="AT21">
            <v>67.8974542780279</v>
          </cell>
          <cell r="AU21">
            <v>80.9969998893665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236.562549868442</v>
          </cell>
          <cell r="Q22">
            <v>281.755277711359</v>
          </cell>
        </row>
        <row r="22"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84.9772574959559</v>
          </cell>
          <cell r="AF22">
            <v>101.211247504044</v>
          </cell>
        </row>
        <row r="22"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89.4206438502712</v>
          </cell>
          <cell r="AU22">
            <v>106.503494974894</v>
          </cell>
        </row>
        <row r="23">
          <cell r="F23">
            <v>101.759446221328</v>
          </cell>
          <cell r="G23">
            <v>104.574353267943</v>
          </cell>
          <cell r="H23">
            <v>101.759446221328</v>
          </cell>
          <cell r="I23">
            <v>107.372936799265</v>
          </cell>
          <cell r="J23">
            <v>87.3793554642294</v>
          </cell>
          <cell r="K23">
            <v>97.4597513105675</v>
          </cell>
          <cell r="L23">
            <v>82.936337389777</v>
          </cell>
          <cell r="M23">
            <v>101.759446221328</v>
          </cell>
          <cell r="N23">
            <v>105.151427762039</v>
          </cell>
          <cell r="O23">
            <v>97.5760653790475</v>
          </cell>
          <cell r="P23">
            <v>90.2897910451067</v>
          </cell>
          <cell r="Q23">
            <v>111.505474648149</v>
          </cell>
        </row>
        <row r="23">
          <cell r="U23">
            <v>18.9598391038162</v>
          </cell>
          <cell r="V23">
            <v>19.4843131126462</v>
          </cell>
          <cell r="W23">
            <v>18.9598391038162</v>
          </cell>
          <cell r="X23">
            <v>20.0057457210455</v>
          </cell>
          <cell r="Y23">
            <v>16.2805378971267</v>
          </cell>
          <cell r="Z23">
            <v>18.1587191416831</v>
          </cell>
          <cell r="AA23">
            <v>15.4527139362558</v>
          </cell>
          <cell r="AB23">
            <v>18.9598391038162</v>
          </cell>
          <cell r="AC23">
            <v>19.59183374061</v>
          </cell>
          <cell r="AD23">
            <v>18.1803908007357</v>
          </cell>
          <cell r="AE23">
            <v>16.8228108003757</v>
          </cell>
          <cell r="AF23">
            <v>20.7757209480612</v>
          </cell>
        </row>
        <row r="23">
          <cell r="AJ23">
            <v>29.4223759624054</v>
          </cell>
          <cell r="AK23">
            <v>30.2362684952383</v>
          </cell>
          <cell r="AL23">
            <v>29.4223759624054</v>
          </cell>
          <cell r="AM23">
            <v>31.0454413030545</v>
          </cell>
          <cell r="AN23">
            <v>25.2645660259341</v>
          </cell>
          <cell r="AO23">
            <v>28.1791769780785</v>
          </cell>
          <cell r="AP23">
            <v>23.9799270754628</v>
          </cell>
          <cell r="AQ23">
            <v>29.4223759624054</v>
          </cell>
          <cell r="AR23">
            <v>30.4031218278189</v>
          </cell>
          <cell r="AS23">
            <v>28.2128076274148</v>
          </cell>
          <cell r="AT23">
            <v>26.1060793502959</v>
          </cell>
          <cell r="AU23">
            <v>32.240309069967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4"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F25">
            <v>0</v>
          </cell>
          <cell r="G25">
            <v>6.20873782012903</v>
          </cell>
          <cell r="H25">
            <v>12.0169119099273</v>
          </cell>
          <cell r="I25">
            <v>8.69223294818075</v>
          </cell>
          <cell r="J25">
            <v>7.45048538415492</v>
          </cell>
          <cell r="K25">
            <v>7.81099274145272</v>
          </cell>
          <cell r="L25">
            <v>7.45048538415492</v>
          </cell>
          <cell r="M25">
            <v>10.8737478710319</v>
          </cell>
          <cell r="N25">
            <v>8.38179605717426</v>
          </cell>
          <cell r="O25">
            <v>8.69223294818071</v>
          </cell>
          <cell r="P25">
            <v>9.53341678187557</v>
          </cell>
          <cell r="Q25">
            <v>10.8652911852258</v>
          </cell>
        </row>
        <row r="25">
          <cell r="U25">
            <v>0</v>
          </cell>
          <cell r="V25">
            <v>0.973245154474488</v>
          </cell>
          <cell r="W25">
            <v>1.8837002989829</v>
          </cell>
          <cell r="X25">
            <v>1.3625432162643</v>
          </cell>
          <cell r="Y25">
            <v>1.1678941853694</v>
          </cell>
          <cell r="Z25">
            <v>1.22440519433888</v>
          </cell>
          <cell r="AA25">
            <v>1.1678941853694</v>
          </cell>
          <cell r="AB25">
            <v>1.70450464056463</v>
          </cell>
          <cell r="AC25">
            <v>1.31388095854057</v>
          </cell>
          <cell r="AD25">
            <v>1.36254321626429</v>
          </cell>
          <cell r="AE25">
            <v>1.49440223719309</v>
          </cell>
          <cell r="AF25">
            <v>1.70317902033036</v>
          </cell>
        </row>
        <row r="25">
          <cell r="AJ25">
            <v>0</v>
          </cell>
          <cell r="AK25">
            <v>2.51617668218921</v>
          </cell>
          <cell r="AL25">
            <v>4.87001938488239</v>
          </cell>
          <cell r="AM25">
            <v>3.52264735506493</v>
          </cell>
          <cell r="AN25">
            <v>3.01941201862708</v>
          </cell>
          <cell r="AO25">
            <v>3.16551260017355</v>
          </cell>
          <cell r="AP25">
            <v>3.01941201862708</v>
          </cell>
          <cell r="AQ25">
            <v>4.40673638245628</v>
          </cell>
          <cell r="AR25">
            <v>3.39683852095546</v>
          </cell>
          <cell r="AS25">
            <v>3.52264735506492</v>
          </cell>
          <cell r="AT25">
            <v>3.86354871200667</v>
          </cell>
          <cell r="AU25">
            <v>4.40330919383112</v>
          </cell>
        </row>
        <row r="25">
          <cell r="AW25">
            <v>4.56662734173284</v>
          </cell>
        </row>
        <row r="26">
          <cell r="F26">
            <v>9.61352952794177</v>
          </cell>
          <cell r="G26">
            <v>12.4174756402582</v>
          </cell>
          <cell r="H26">
            <v>12.0169119099273</v>
          </cell>
          <cell r="I26">
            <v>8.69223294818075</v>
          </cell>
          <cell r="J26">
            <v>7.45048538415492</v>
          </cell>
          <cell r="K26">
            <v>7.81099274145272</v>
          </cell>
          <cell r="L26">
            <v>7.45048538415492</v>
          </cell>
          <cell r="M26">
            <v>10.8152207189346</v>
          </cell>
          <cell r="N26">
            <v>8.38179605717426</v>
          </cell>
          <cell r="O26">
            <v>0</v>
          </cell>
          <cell r="P26">
            <v>4.76670839093787</v>
          </cell>
          <cell r="Q26">
            <v>10.8652911852258</v>
          </cell>
        </row>
        <row r="26">
          <cell r="U26">
            <v>1.4723252062497</v>
          </cell>
          <cell r="V26">
            <v>1.90175339140588</v>
          </cell>
          <cell r="W26">
            <v>1.84040650781214</v>
          </cell>
          <cell r="X26">
            <v>1.33122737398412</v>
          </cell>
          <cell r="Y26">
            <v>1.14105203484353</v>
          </cell>
          <cell r="Z26">
            <v>1.19626423007789</v>
          </cell>
          <cell r="AA26">
            <v>1.14105203484353</v>
          </cell>
          <cell r="AB26">
            <v>1.65636585703093</v>
          </cell>
          <cell r="AC26">
            <v>1.28368353919897</v>
          </cell>
          <cell r="AD26">
            <v>0</v>
          </cell>
          <cell r="AE26">
            <v>0.73002791476549</v>
          </cell>
          <cell r="AF26">
            <v>1.66403421748013</v>
          </cell>
        </row>
        <row r="26">
          <cell r="AJ26">
            <v>3.89601550790589</v>
          </cell>
          <cell r="AK26">
            <v>5.03235336437848</v>
          </cell>
          <cell r="AL26">
            <v>4.87001938488239</v>
          </cell>
          <cell r="AM26">
            <v>3.52264735506493</v>
          </cell>
          <cell r="AN26">
            <v>3.01941201862708</v>
          </cell>
          <cell r="AO26">
            <v>3.16551260017355</v>
          </cell>
          <cell r="AP26">
            <v>3.01941201862708</v>
          </cell>
          <cell r="AQ26">
            <v>4.38301744639416</v>
          </cell>
          <cell r="AR26">
            <v>3.39683852095546</v>
          </cell>
          <cell r="AS26">
            <v>0</v>
          </cell>
          <cell r="AT26">
            <v>1.93177435600337</v>
          </cell>
          <cell r="AU26">
            <v>4.40330919383112</v>
          </cell>
        </row>
        <row r="27">
          <cell r="F27">
            <v>9.61352952794177</v>
          </cell>
          <cell r="G27">
            <v>12.4174756402582</v>
          </cell>
          <cell r="H27">
            <v>12.0169119099273</v>
          </cell>
          <cell r="I27">
            <v>8.69223294818075</v>
          </cell>
          <cell r="J27">
            <v>7.45048538415492</v>
          </cell>
          <cell r="K27">
            <v>7.81099274145272</v>
          </cell>
          <cell r="L27">
            <v>7.45048538415492</v>
          </cell>
          <cell r="M27">
            <v>10.8152207189346</v>
          </cell>
          <cell r="N27">
            <v>8.38179605717426</v>
          </cell>
          <cell r="O27">
            <v>8.69223294818071</v>
          </cell>
          <cell r="P27">
            <v>9.53341678187557</v>
          </cell>
          <cell r="Q27">
            <v>10.8652911852258</v>
          </cell>
        </row>
        <row r="27">
          <cell r="U27">
            <v>1.29810394571091</v>
          </cell>
          <cell r="V27">
            <v>1.67671759654328</v>
          </cell>
          <cell r="W27">
            <v>1.62262993213865</v>
          </cell>
          <cell r="X27">
            <v>1.17370231758029</v>
          </cell>
          <cell r="Y27">
            <v>1.00603055792597</v>
          </cell>
          <cell r="Z27">
            <v>1.05470945589012</v>
          </cell>
          <cell r="AA27">
            <v>1.00603055792597</v>
          </cell>
          <cell r="AB27">
            <v>1.46036693892479</v>
          </cell>
          <cell r="AC27">
            <v>1.13178437766671</v>
          </cell>
          <cell r="AD27">
            <v>1.17370231758029</v>
          </cell>
          <cell r="AE27">
            <v>1.28728641282999</v>
          </cell>
          <cell r="AF27">
            <v>1.46712789697535</v>
          </cell>
        </row>
        <row r="27">
          <cell r="AJ27">
            <v>3.89601550790589</v>
          </cell>
          <cell r="AK27">
            <v>5.03235336437848</v>
          </cell>
          <cell r="AL27">
            <v>4.87001938488239</v>
          </cell>
          <cell r="AM27">
            <v>3.52264735506493</v>
          </cell>
          <cell r="AN27">
            <v>3.01941201862708</v>
          </cell>
          <cell r="AO27">
            <v>3.16551260017355</v>
          </cell>
          <cell r="AP27">
            <v>3.01941201862708</v>
          </cell>
          <cell r="AQ27">
            <v>4.38301744639416</v>
          </cell>
          <cell r="AR27">
            <v>3.39683852095546</v>
          </cell>
          <cell r="AS27">
            <v>3.52264735506492</v>
          </cell>
          <cell r="AT27">
            <v>3.86354871200667</v>
          </cell>
          <cell r="AU27">
            <v>4.40330919383112</v>
          </cell>
        </row>
        <row r="28">
          <cell r="F28">
            <v>24.0338238198546</v>
          </cell>
          <cell r="G28">
            <v>31.0436891006455</v>
          </cell>
          <cell r="H28">
            <v>30.0422797748182</v>
          </cell>
          <cell r="I28">
            <v>21.7305823704519</v>
          </cell>
          <cell r="J28">
            <v>18.6262134603873</v>
          </cell>
          <cell r="K28">
            <v>19.5274818536319</v>
          </cell>
          <cell r="L28">
            <v>18.6262134603873</v>
          </cell>
          <cell r="M28">
            <v>26.9160500462257</v>
          </cell>
          <cell r="N28">
            <v>20.9544901429357</v>
          </cell>
          <cell r="O28">
            <v>21.157414385679</v>
          </cell>
          <cell r="P28">
            <v>23.8335419546892</v>
          </cell>
          <cell r="Q28">
            <v>27.1632279630649</v>
          </cell>
        </row>
        <row r="28">
          <cell r="U28">
            <v>3.2532132103366</v>
          </cell>
          <cell r="V28">
            <v>4.20206706335142</v>
          </cell>
          <cell r="W28">
            <v>4.06651651292073</v>
          </cell>
          <cell r="X28">
            <v>2.94144694434601</v>
          </cell>
          <cell r="Y28">
            <v>2.52124023801086</v>
          </cell>
          <cell r="Z28">
            <v>2.64323573339848</v>
          </cell>
          <cell r="AA28">
            <v>2.52124023801086</v>
          </cell>
          <cell r="AB28">
            <v>3.64335073090304</v>
          </cell>
          <cell r="AC28">
            <v>2.83639526776222</v>
          </cell>
          <cell r="AD28">
            <v>2.86386304950756</v>
          </cell>
          <cell r="AE28">
            <v>3.22610310025046</v>
          </cell>
          <cell r="AF28">
            <v>3.67680868043251</v>
          </cell>
        </row>
        <row r="28">
          <cell r="AJ28">
            <v>9.7400387697648</v>
          </cell>
          <cell r="AK28">
            <v>12.5808834109462</v>
          </cell>
          <cell r="AL28">
            <v>12.175048462206</v>
          </cell>
          <cell r="AM28">
            <v>8.80661838766234</v>
          </cell>
          <cell r="AN28">
            <v>7.54853004656771</v>
          </cell>
          <cell r="AO28">
            <v>7.91378150043389</v>
          </cell>
          <cell r="AP28">
            <v>7.54853004656771</v>
          </cell>
          <cell r="AQ28">
            <v>10.9081007227236</v>
          </cell>
          <cell r="AR28">
            <v>8.49209630238868</v>
          </cell>
          <cell r="AS28">
            <v>8.57433415211492</v>
          </cell>
          <cell r="AT28">
            <v>9.65887178001677</v>
          </cell>
          <cell r="AU28">
            <v>11.0082729845779</v>
          </cell>
        </row>
        <row r="29">
          <cell r="F29">
            <v>24.0338238198546</v>
          </cell>
          <cell r="G29">
            <v>31.0436891006455</v>
          </cell>
          <cell r="H29">
            <v>30.0422797748182</v>
          </cell>
          <cell r="I29">
            <v>20.8419570842471</v>
          </cell>
          <cell r="J29">
            <v>18.6262134603873</v>
          </cell>
          <cell r="K29">
            <v>19.5274818536319</v>
          </cell>
          <cell r="L29">
            <v>18.6262134603873</v>
          </cell>
          <cell r="M29">
            <v>26.286994802966</v>
          </cell>
          <cell r="N29">
            <v>0</v>
          </cell>
          <cell r="O29">
            <v>10.4772450714679</v>
          </cell>
          <cell r="P29">
            <v>23.8335419546892</v>
          </cell>
          <cell r="Q29">
            <v>27.1632279630649</v>
          </cell>
        </row>
        <row r="29">
          <cell r="U29">
            <v>3.68375405491147</v>
          </cell>
          <cell r="V29">
            <v>4.75818232092729</v>
          </cell>
          <cell r="W29">
            <v>4.60469256863932</v>
          </cell>
          <cell r="X29">
            <v>3.19452470388669</v>
          </cell>
          <cell r="Y29">
            <v>2.85490939255638</v>
          </cell>
          <cell r="Z29">
            <v>2.99305016961556</v>
          </cell>
          <cell r="AA29">
            <v>2.85490939255638</v>
          </cell>
          <cell r="AB29">
            <v>4.02910599755942</v>
          </cell>
          <cell r="AC29">
            <v>0</v>
          </cell>
          <cell r="AD29">
            <v>1.60588653331297</v>
          </cell>
          <cell r="AE29">
            <v>3.65305610445387</v>
          </cell>
          <cell r="AF29">
            <v>4.1634095308114</v>
          </cell>
        </row>
        <row r="29">
          <cell r="AJ29">
            <v>9.7400387697648</v>
          </cell>
          <cell r="AK29">
            <v>12.5808834109462</v>
          </cell>
          <cell r="AL29">
            <v>12.175048462206</v>
          </cell>
          <cell r="AM29">
            <v>8.44649072739891</v>
          </cell>
          <cell r="AN29">
            <v>7.54853004656771</v>
          </cell>
          <cell r="AO29">
            <v>7.91378150043389</v>
          </cell>
          <cell r="AP29">
            <v>7.54853004656771</v>
          </cell>
          <cell r="AQ29">
            <v>10.6531674044303</v>
          </cell>
          <cell r="AR29">
            <v>0</v>
          </cell>
          <cell r="AS29">
            <v>4.24604815119434</v>
          </cell>
          <cell r="AT29">
            <v>9.65887178001677</v>
          </cell>
          <cell r="AU29">
            <v>11.0082729845779</v>
          </cell>
        </row>
        <row r="30">
          <cell r="F30">
            <v>25.9114663057808</v>
          </cell>
          <cell r="G30">
            <v>31.6645628826583</v>
          </cell>
          <cell r="H30">
            <v>30.6431253703145</v>
          </cell>
          <cell r="I30">
            <v>23.2827668254841</v>
          </cell>
          <cell r="J30">
            <v>20.488834806426</v>
          </cell>
          <cell r="K30">
            <v>21.1798072412469</v>
          </cell>
          <cell r="L30">
            <v>20.488834806426</v>
          </cell>
          <cell r="M30">
            <v>29.2912227804477</v>
          </cell>
          <cell r="N30">
            <v>25.4487699592428</v>
          </cell>
          <cell r="O30">
            <v>26.0766988445423</v>
          </cell>
          <cell r="P30">
            <v>24.814923094</v>
          </cell>
          <cell r="Q30">
            <v>28.1721478588359</v>
          </cell>
        </row>
        <row r="30">
          <cell r="U30">
            <v>3.23578019473012</v>
          </cell>
          <cell r="V30">
            <v>3.95421718869046</v>
          </cell>
          <cell r="W30">
            <v>3.82666179550689</v>
          </cell>
          <cell r="X30">
            <v>2.90751263874299</v>
          </cell>
          <cell r="Y30">
            <v>2.55861112209383</v>
          </cell>
          <cell r="Z30">
            <v>2.6448985939533</v>
          </cell>
          <cell r="AA30">
            <v>2.55861112209383</v>
          </cell>
          <cell r="AB30">
            <v>3.65783848099924</v>
          </cell>
          <cell r="AC30">
            <v>3.17799945563054</v>
          </cell>
          <cell r="AD30">
            <v>3.25641415539216</v>
          </cell>
          <cell r="AE30">
            <v>3.09884572851835</v>
          </cell>
          <cell r="AF30">
            <v>3.51809029287904</v>
          </cell>
        </row>
        <row r="30">
          <cell r="AJ30">
            <v>10.1161266541995</v>
          </cell>
          <cell r="AK30">
            <v>12.3621999924941</v>
          </cell>
          <cell r="AL30">
            <v>11.9634193475749</v>
          </cell>
          <cell r="AM30">
            <v>9.08985293565744</v>
          </cell>
          <cell r="AN30">
            <v>7.99907058337856</v>
          </cell>
          <cell r="AO30">
            <v>8.26883396082388</v>
          </cell>
          <cell r="AP30">
            <v>7.99907058337856</v>
          </cell>
          <cell r="AQ30">
            <v>11.4356214351819</v>
          </cell>
          <cell r="AR30">
            <v>9.93548481831193</v>
          </cell>
          <cell r="AS30">
            <v>10.1806352879364</v>
          </cell>
          <cell r="AT30">
            <v>9.68802390303624</v>
          </cell>
          <cell r="AU30">
            <v>10.9987220521456</v>
          </cell>
        </row>
        <row r="31">
          <cell r="F31">
            <v>27.0064031492026</v>
          </cell>
          <cell r="G31">
            <v>33.0026074426197</v>
          </cell>
          <cell r="H31">
            <v>31.9380072025352</v>
          </cell>
          <cell r="I31">
            <v>0</v>
          </cell>
          <cell r="J31">
            <v>10.6773141726123</v>
          </cell>
          <cell r="K31">
            <v>22.0747990958699</v>
          </cell>
          <cell r="L31">
            <v>21.3546283452245</v>
          </cell>
          <cell r="M31">
            <v>30.5289774730116</v>
          </cell>
          <cell r="N31">
            <v>26.4506192003349</v>
          </cell>
          <cell r="O31">
            <v>27.1786178939222</v>
          </cell>
          <cell r="P31">
            <v>25.8635234797002</v>
          </cell>
          <cell r="Q31">
            <v>29.3626139746838</v>
          </cell>
        </row>
        <row r="31">
          <cell r="U31">
            <v>3.63274486216121</v>
          </cell>
          <cell r="V31">
            <v>4.43931951851351</v>
          </cell>
          <cell r="W31">
            <v>4.29611566307759</v>
          </cell>
          <cell r="X31">
            <v>0</v>
          </cell>
          <cell r="Y31">
            <v>1.43625043246025</v>
          </cell>
          <cell r="Z31">
            <v>2.96937406124481</v>
          </cell>
          <cell r="AA31">
            <v>2.87250086492051</v>
          </cell>
          <cell r="AB31">
            <v>4.10658114853005</v>
          </cell>
          <cell r="AC31">
            <v>3.55798402586745</v>
          </cell>
          <cell r="AD31">
            <v>3.65591019171702</v>
          </cell>
          <cell r="AE31">
            <v>3.47901131147265</v>
          </cell>
          <cell r="AF31">
            <v>3.94968868926571</v>
          </cell>
        </row>
        <row r="31">
          <cell r="AJ31">
            <v>10.543602261164</v>
          </cell>
          <cell r="AK31">
            <v>12.8845875748021</v>
          </cell>
          <cell r="AL31">
            <v>12.4689557175504</v>
          </cell>
          <cell r="AM31">
            <v>0</v>
          </cell>
          <cell r="AN31">
            <v>4.16854303890656</v>
          </cell>
          <cell r="AO31">
            <v>8.61824880477749</v>
          </cell>
          <cell r="AP31">
            <v>8.33708607781312</v>
          </cell>
          <cell r="AQ31">
            <v>11.9188547300114</v>
          </cell>
          <cell r="AR31">
            <v>10.3266179827458</v>
          </cell>
          <cell r="AS31">
            <v>10.6108368263076</v>
          </cell>
          <cell r="AT31">
            <v>10.0974092379379</v>
          </cell>
          <cell r="AU31">
            <v>11.4634933569931</v>
          </cell>
        </row>
        <row r="32">
          <cell r="F32">
            <v>10.314411455211</v>
          </cell>
          <cell r="G32">
            <v>10.6582251703847</v>
          </cell>
          <cell r="H32">
            <v>10.314411455211</v>
          </cell>
          <cell r="I32">
            <v>10.6582251703847</v>
          </cell>
          <cell r="J32">
            <v>10.6582251703847</v>
          </cell>
          <cell r="K32">
            <v>10.314411455211</v>
          </cell>
          <cell r="L32">
            <v>10.6582251703847</v>
          </cell>
          <cell r="M32">
            <v>10.314411455211</v>
          </cell>
          <cell r="N32">
            <v>10.6582251703847</v>
          </cell>
          <cell r="O32">
            <v>10.6582251703847</v>
          </cell>
          <cell r="P32">
            <v>9.62678402486359</v>
          </cell>
          <cell r="Q32">
            <v>10.6582251703847</v>
          </cell>
        </row>
        <row r="32">
          <cell r="AJ32">
            <v>2.78489109290697</v>
          </cell>
          <cell r="AK32">
            <v>2.87772079600386</v>
          </cell>
          <cell r="AL32">
            <v>2.78489109290697</v>
          </cell>
          <cell r="AM32">
            <v>2.87772079600386</v>
          </cell>
          <cell r="AN32">
            <v>2.87772079600386</v>
          </cell>
          <cell r="AO32">
            <v>2.78489109290697</v>
          </cell>
          <cell r="AP32">
            <v>2.87772079600386</v>
          </cell>
          <cell r="AQ32">
            <v>2.78489109290697</v>
          </cell>
          <cell r="AR32">
            <v>2.87772079600386</v>
          </cell>
          <cell r="AS32">
            <v>2.87772079600386</v>
          </cell>
          <cell r="AT32">
            <v>2.59923168671317</v>
          </cell>
          <cell r="AU32">
            <v>2.87772079600386</v>
          </cell>
        </row>
        <row r="33">
          <cell r="F33">
            <v>1.62124187795472</v>
          </cell>
          <cell r="G33">
            <v>2.0535730454094</v>
          </cell>
          <cell r="H33">
            <v>2.03962687871718</v>
          </cell>
          <cell r="I33">
            <v>1.40507629422746</v>
          </cell>
          <cell r="J33">
            <v>1.29699350236383</v>
          </cell>
          <cell r="K33">
            <v>1.25515500228757</v>
          </cell>
          <cell r="L33">
            <v>1.29699350236383</v>
          </cell>
          <cell r="M33">
            <v>1.56894375285942</v>
          </cell>
          <cell r="N33">
            <v>1.40507629422746</v>
          </cell>
          <cell r="O33">
            <v>1.40507629422746</v>
          </cell>
          <cell r="P33">
            <v>1.56197066951336</v>
          </cell>
          <cell r="Q33">
            <v>1.837407461682</v>
          </cell>
        </row>
        <row r="33">
          <cell r="U33">
            <v>0.122022503254601</v>
          </cell>
          <cell r="V33">
            <v>0.154561837455835</v>
          </cell>
          <cell r="W33">
            <v>0.153512181513849</v>
          </cell>
          <cell r="X33">
            <v>0.10575283615399</v>
          </cell>
          <cell r="Y33">
            <v>0.0976180026036846</v>
          </cell>
          <cell r="Z33">
            <v>0.0944690347777593</v>
          </cell>
          <cell r="AA33">
            <v>0.0976180026036846</v>
          </cell>
          <cell r="AB33">
            <v>0.118086293472195</v>
          </cell>
          <cell r="AC33">
            <v>0.10575283615399</v>
          </cell>
          <cell r="AD33">
            <v>0.10575283615399</v>
          </cell>
          <cell r="AE33">
            <v>0.117561465501207</v>
          </cell>
          <cell r="AF33">
            <v>0.138292170355213</v>
          </cell>
        </row>
        <row r="33">
          <cell r="AJ33">
            <v>1.15238359057585</v>
          </cell>
          <cell r="AK33">
            <v>1.45968588139614</v>
          </cell>
          <cell r="AL33">
            <v>1.44977290427281</v>
          </cell>
          <cell r="AM33">
            <v>0.998732445165761</v>
          </cell>
          <cell r="AN33">
            <v>0.921906872460714</v>
          </cell>
          <cell r="AO33">
            <v>0.892167941091014</v>
          </cell>
          <cell r="AP33">
            <v>0.921906872460714</v>
          </cell>
          <cell r="AQ33">
            <v>1.11520992636373</v>
          </cell>
          <cell r="AR33">
            <v>0.998732445165761</v>
          </cell>
          <cell r="AS33">
            <v>0.998732445165761</v>
          </cell>
          <cell r="AT33">
            <v>1.11025343780211</v>
          </cell>
          <cell r="AU33">
            <v>1.30603473598595</v>
          </cell>
        </row>
        <row r="34">
          <cell r="F34">
            <v>2.8709419564837</v>
          </cell>
          <cell r="G34">
            <v>2.84128903486744</v>
          </cell>
          <cell r="H34">
            <v>2.8709419564837</v>
          </cell>
          <cell r="I34">
            <v>3.02931551511602</v>
          </cell>
          <cell r="J34">
            <v>2.46523607437028</v>
          </cell>
          <cell r="K34">
            <v>2.65427459015325</v>
          </cell>
          <cell r="L34">
            <v>2.33988508753789</v>
          </cell>
          <cell r="M34">
            <v>2.8709419564837</v>
          </cell>
          <cell r="N34">
            <v>2.90396452828363</v>
          </cell>
          <cell r="O34">
            <v>2.71593804803505</v>
          </cell>
          <cell r="P34">
            <v>2.48634246253911</v>
          </cell>
          <cell r="Q34">
            <v>3.02931551511602</v>
          </cell>
        </row>
        <row r="34"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4">
          <cell r="AJ34">
            <v>0.977696125244373</v>
          </cell>
          <cell r="AK34">
            <v>0.967597855406168</v>
          </cell>
          <cell r="AL34">
            <v>0.977696125244373</v>
          </cell>
          <cell r="AM34">
            <v>1.03163006642569</v>
          </cell>
          <cell r="AN34">
            <v>0.839533433367116</v>
          </cell>
          <cell r="AO34">
            <v>0.903910291974639</v>
          </cell>
          <cell r="AP34">
            <v>0.796845292687432</v>
          </cell>
          <cell r="AQ34">
            <v>0.977696125244373</v>
          </cell>
          <cell r="AR34">
            <v>0.98894192574601</v>
          </cell>
          <cell r="AS34">
            <v>0.924909714726484</v>
          </cell>
          <cell r="AT34">
            <v>0.846721190640986</v>
          </cell>
          <cell r="AU34">
            <v>1.03163006642569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5"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F36">
            <v>16.3474078429095</v>
          </cell>
          <cell r="G36">
            <v>16.8923214376732</v>
          </cell>
          <cell r="H36">
            <v>16.3474078429095</v>
          </cell>
          <cell r="I36">
            <v>16.8923214376732</v>
          </cell>
          <cell r="J36">
            <v>16.8923214376732</v>
          </cell>
          <cell r="K36">
            <v>16.3474078429095</v>
          </cell>
          <cell r="L36">
            <v>16.8923214376732</v>
          </cell>
          <cell r="M36">
            <v>16.3474078429095</v>
          </cell>
          <cell r="N36">
            <v>16.8923214376732</v>
          </cell>
          <cell r="O36">
            <v>16.8923214376732</v>
          </cell>
          <cell r="P36">
            <v>15.2575806533822</v>
          </cell>
          <cell r="Q36">
            <v>16.8923214376732</v>
          </cell>
        </row>
        <row r="36">
          <cell r="AJ36">
            <v>5.96680386266199</v>
          </cell>
          <cell r="AK36">
            <v>6.16569732475072</v>
          </cell>
          <cell r="AL36">
            <v>5.96680386266199</v>
          </cell>
          <cell r="AM36">
            <v>6.16569732475072</v>
          </cell>
          <cell r="AN36">
            <v>6.16569732475072</v>
          </cell>
          <cell r="AO36">
            <v>5.96680386266199</v>
          </cell>
          <cell r="AP36">
            <v>6.16569732475072</v>
          </cell>
          <cell r="AQ36">
            <v>5.96680386266199</v>
          </cell>
          <cell r="AR36">
            <v>6.16569732475072</v>
          </cell>
          <cell r="AS36">
            <v>6.16569732475072</v>
          </cell>
          <cell r="AT36">
            <v>5.56901693848452</v>
          </cell>
          <cell r="AU36">
            <v>6.16569732475072</v>
          </cell>
        </row>
        <row r="37">
          <cell r="F37">
            <v>16.3474078429095</v>
          </cell>
          <cell r="G37">
            <v>16.8923214376732</v>
          </cell>
          <cell r="H37">
            <v>16.3474078429095</v>
          </cell>
          <cell r="I37">
            <v>16.8923214376732</v>
          </cell>
          <cell r="J37">
            <v>16.8923214376732</v>
          </cell>
          <cell r="K37">
            <v>16.3474078429095</v>
          </cell>
          <cell r="L37">
            <v>16.8923214376732</v>
          </cell>
          <cell r="M37">
            <v>16.3474078429095</v>
          </cell>
          <cell r="N37">
            <v>16.8923214376732</v>
          </cell>
          <cell r="O37">
            <v>16.8923214376732</v>
          </cell>
          <cell r="P37">
            <v>15.2575806533822</v>
          </cell>
          <cell r="Q37">
            <v>16.8923214376732</v>
          </cell>
        </row>
        <row r="37">
          <cell r="AJ37">
            <v>5.96680386266199</v>
          </cell>
          <cell r="AK37">
            <v>6.16569732475072</v>
          </cell>
          <cell r="AL37">
            <v>5.96680386266199</v>
          </cell>
          <cell r="AM37">
            <v>6.16569732475072</v>
          </cell>
          <cell r="AN37">
            <v>6.16569732475072</v>
          </cell>
          <cell r="AO37">
            <v>5.96680386266199</v>
          </cell>
          <cell r="AP37">
            <v>6.16569732475072</v>
          </cell>
          <cell r="AQ37">
            <v>5.96680386266199</v>
          </cell>
          <cell r="AR37">
            <v>6.16569732475072</v>
          </cell>
          <cell r="AS37">
            <v>6.16569732475072</v>
          </cell>
          <cell r="AT37">
            <v>5.56901693848452</v>
          </cell>
          <cell r="AU37">
            <v>6.16569732475072</v>
          </cell>
        </row>
        <row r="38">
          <cell r="F38">
            <v>16.3474078429095</v>
          </cell>
          <cell r="G38">
            <v>16.8923214376732</v>
          </cell>
          <cell r="H38">
            <v>16.3474078429095</v>
          </cell>
          <cell r="I38">
            <v>16.8923214376732</v>
          </cell>
          <cell r="J38">
            <v>16.8923214376732</v>
          </cell>
          <cell r="K38">
            <v>16.3474078429095</v>
          </cell>
          <cell r="L38">
            <v>16.8923214376732</v>
          </cell>
          <cell r="M38">
            <v>16.3474078429095</v>
          </cell>
          <cell r="N38">
            <v>16.8923214376732</v>
          </cell>
          <cell r="O38">
            <v>16.8923214376732</v>
          </cell>
          <cell r="P38">
            <v>15.2575806533822</v>
          </cell>
          <cell r="Q38">
            <v>16.8923214376732</v>
          </cell>
        </row>
        <row r="38">
          <cell r="AJ38">
            <v>5.96680386266199</v>
          </cell>
          <cell r="AK38">
            <v>6.16569732475072</v>
          </cell>
          <cell r="AL38">
            <v>5.96680386266199</v>
          </cell>
          <cell r="AM38">
            <v>6.16569732475072</v>
          </cell>
          <cell r="AN38">
            <v>6.16569732475072</v>
          </cell>
          <cell r="AO38">
            <v>5.96680386266199</v>
          </cell>
          <cell r="AP38">
            <v>6.16569732475072</v>
          </cell>
          <cell r="AQ38">
            <v>5.96680386266199</v>
          </cell>
          <cell r="AR38">
            <v>6.16569732475072</v>
          </cell>
          <cell r="AS38">
            <v>6.16569732475072</v>
          </cell>
          <cell r="AT38">
            <v>5.56901693848452</v>
          </cell>
          <cell r="AU38">
            <v>6.16569732475072</v>
          </cell>
        </row>
        <row r="39">
          <cell r="F39">
            <v>16.3474078429095</v>
          </cell>
          <cell r="G39">
            <v>16.8923214376732</v>
          </cell>
          <cell r="H39">
            <v>16.3474078429095</v>
          </cell>
          <cell r="I39">
            <v>16.8923214376732</v>
          </cell>
          <cell r="J39">
            <v>16.8923214376732</v>
          </cell>
          <cell r="K39">
            <v>16.3474078429095</v>
          </cell>
          <cell r="L39">
            <v>16.8923214376732</v>
          </cell>
          <cell r="M39">
            <v>16.3474078429095</v>
          </cell>
          <cell r="N39">
            <v>16.8923214376732</v>
          </cell>
          <cell r="O39">
            <v>16.8923214376732</v>
          </cell>
          <cell r="P39">
            <v>15.2575806533822</v>
          </cell>
          <cell r="Q39">
            <v>16.8923214376732</v>
          </cell>
        </row>
        <row r="39">
          <cell r="AJ39">
            <v>5.96680386266199</v>
          </cell>
          <cell r="AK39">
            <v>6.16569732475072</v>
          </cell>
          <cell r="AL39">
            <v>5.96680386266199</v>
          </cell>
          <cell r="AM39">
            <v>6.16569732475072</v>
          </cell>
          <cell r="AN39">
            <v>6.16569732475072</v>
          </cell>
          <cell r="AO39">
            <v>5.96680386266199</v>
          </cell>
          <cell r="AP39">
            <v>6.16569732475072</v>
          </cell>
          <cell r="AQ39">
            <v>5.96680386266199</v>
          </cell>
          <cell r="AR39">
            <v>6.16569732475072</v>
          </cell>
          <cell r="AS39">
            <v>6.16569732475072</v>
          </cell>
          <cell r="AT39">
            <v>5.56901693848452</v>
          </cell>
          <cell r="AU39">
            <v>6.16569732475072</v>
          </cell>
        </row>
        <row r="40">
          <cell r="F40">
            <v>152.878041271478</v>
          </cell>
          <cell r="G40">
            <v>192.640721095238</v>
          </cell>
          <cell r="H40">
            <v>189.179286080633</v>
          </cell>
          <cell r="I40">
            <v>128.353855484179</v>
          </cell>
          <cell r="J40">
            <v>118.480481985396</v>
          </cell>
          <cell r="K40">
            <v>124.213408533076</v>
          </cell>
          <cell r="L40">
            <v>118.480481985396</v>
          </cell>
          <cell r="M40">
            <v>0</v>
          </cell>
          <cell r="N40">
            <v>66.6452711167851</v>
          </cell>
          <cell r="O40">
            <v>133.29054223357</v>
          </cell>
          <cell r="P40">
            <v>147.20558309728</v>
          </cell>
          <cell r="Q40">
            <v>172.784036228702</v>
          </cell>
        </row>
        <row r="40">
          <cell r="U40">
            <v>26.2662780589891</v>
          </cell>
          <cell r="V40">
            <v>33.0979825728294</v>
          </cell>
          <cell r="W40">
            <v>32.5032665899416</v>
          </cell>
          <cell r="X40">
            <v>22.0527292870262</v>
          </cell>
          <cell r="Y40">
            <v>20.3563654957165</v>
          </cell>
          <cell r="Z40">
            <v>21.3413509229286</v>
          </cell>
          <cell r="AA40">
            <v>20.3563654957165</v>
          </cell>
          <cell r="AB40">
            <v>0</v>
          </cell>
          <cell r="AC40">
            <v>11.4504555913406</v>
          </cell>
          <cell r="AD40">
            <v>22.9009111826811</v>
          </cell>
          <cell r="AE40">
            <v>25.2916818223922</v>
          </cell>
          <cell r="AF40">
            <v>29.68636634792</v>
          </cell>
        </row>
        <row r="40">
          <cell r="AJ40">
            <v>66.0106437918589</v>
          </cell>
          <cell r="AK40">
            <v>83.1796241910447</v>
          </cell>
          <cell r="AL40">
            <v>81.6850239733982</v>
          </cell>
          <cell r="AM40">
            <v>55.4214363502482</v>
          </cell>
          <cell r="AN40">
            <v>51.1582489386907</v>
          </cell>
          <cell r="AO40">
            <v>53.6336480808854</v>
          </cell>
          <cell r="AP40">
            <v>51.1582489386907</v>
          </cell>
          <cell r="AQ40">
            <v>0</v>
          </cell>
          <cell r="AR40">
            <v>28.7765150280135</v>
          </cell>
          <cell r="AS40">
            <v>57.553030056027</v>
          </cell>
          <cell r="AT40">
            <v>63.5613540649169</v>
          </cell>
          <cell r="AU40">
            <v>74.6057797022572</v>
          </cell>
        </row>
        <row r="41">
          <cell r="F41">
            <v>72.7936637414387</v>
          </cell>
          <cell r="G41">
            <v>94.0251489993584</v>
          </cell>
          <cell r="H41">
            <v>0</v>
          </cell>
          <cell r="I41">
            <v>30.5581734247915</v>
          </cell>
          <cell r="J41">
            <v>56.415089399615</v>
          </cell>
          <cell r="K41">
            <v>59.144851789919</v>
          </cell>
          <cell r="L41">
            <v>56.415089399615</v>
          </cell>
          <cell r="M41">
            <v>76.6387132648765</v>
          </cell>
          <cell r="N41">
            <v>63.4669755745669</v>
          </cell>
          <cell r="O41">
            <v>63.4669755745669</v>
          </cell>
          <cell r="P41">
            <v>72.1870498769268</v>
          </cell>
          <cell r="Q41">
            <v>82.2720053744386</v>
          </cell>
        </row>
        <row r="41">
          <cell r="U41">
            <v>26.5505416810967</v>
          </cell>
          <cell r="V41">
            <v>34.2944496714166</v>
          </cell>
          <cell r="W41">
            <v>0</v>
          </cell>
          <cell r="X41">
            <v>11.1456961432104</v>
          </cell>
          <cell r="Y41">
            <v>20.5766698028499</v>
          </cell>
          <cell r="Z41">
            <v>21.5723151158911</v>
          </cell>
          <cell r="AA41">
            <v>20.5766698028499</v>
          </cell>
          <cell r="AB41">
            <v>27.9529734641778</v>
          </cell>
          <cell r="AC41">
            <v>23.1487535282062</v>
          </cell>
          <cell r="AD41">
            <v>23.1487535282062</v>
          </cell>
          <cell r="AE41">
            <v>26.3292871670875</v>
          </cell>
          <cell r="AF41">
            <v>30.0076434624895</v>
          </cell>
        </row>
        <row r="41">
          <cell r="AJ41">
            <v>30.8134923474537</v>
          </cell>
          <cell r="AK41">
            <v>39.8007609487943</v>
          </cell>
          <cell r="AL41">
            <v>0</v>
          </cell>
          <cell r="AM41">
            <v>12.9352473083581</v>
          </cell>
          <cell r="AN41">
            <v>23.8804565692766</v>
          </cell>
          <cell r="AO41">
            <v>25.0359625323061</v>
          </cell>
          <cell r="AP41">
            <v>23.8804565692766</v>
          </cell>
          <cell r="AQ41">
            <v>32.4410983501803</v>
          </cell>
          <cell r="AR41">
            <v>26.8655136404362</v>
          </cell>
          <cell r="AS41">
            <v>26.8655136404362</v>
          </cell>
          <cell r="AT41">
            <v>30.5567132445582</v>
          </cell>
          <cell r="AU41">
            <v>34.825665830195</v>
          </cell>
        </row>
        <row r="41">
          <cell r="AW41">
            <v>6.17345124774488</v>
          </cell>
        </row>
        <row r="42">
          <cell r="F42">
            <v>21.3653374676183</v>
          </cell>
          <cell r="G42">
            <v>21.1824809757783</v>
          </cell>
          <cell r="H42">
            <v>20.9322563027341</v>
          </cell>
          <cell r="I42">
            <v>22.5250325869192</v>
          </cell>
          <cell r="J42">
            <v>20.287446568351</v>
          </cell>
          <cell r="K42">
            <v>23.0976621271549</v>
          </cell>
          <cell r="L42">
            <v>21.1824809757783</v>
          </cell>
          <cell r="M42">
            <v>20.9322563027341</v>
          </cell>
          <cell r="N42">
            <v>22.0775153832055</v>
          </cell>
          <cell r="O42">
            <v>22.0775153832055</v>
          </cell>
          <cell r="P42">
            <v>20.3451907236689</v>
          </cell>
          <cell r="Q42">
            <v>23.86758419806</v>
          </cell>
        </row>
        <row r="42">
          <cell r="U42">
            <v>3.0451263771873</v>
          </cell>
          <cell r="V42">
            <v>3.01906448476993</v>
          </cell>
          <cell r="W42">
            <v>2.98340084251458</v>
          </cell>
          <cell r="X42">
            <v>3.21041364225535</v>
          </cell>
          <cell r="Y42">
            <v>2.89149837977965</v>
          </cell>
          <cell r="Z42">
            <v>3.29202851587816</v>
          </cell>
          <cell r="AA42">
            <v>3.01906448476993</v>
          </cell>
          <cell r="AB42">
            <v>2.98340084251458</v>
          </cell>
          <cell r="AC42">
            <v>3.14663058976021</v>
          </cell>
          <cell r="AD42">
            <v>3.14663058976021</v>
          </cell>
          <cell r="AE42">
            <v>2.89972845106935</v>
          </cell>
          <cell r="AF42">
            <v>3.40176279974076</v>
          </cell>
        </row>
        <row r="42">
          <cell r="AJ42">
            <v>3.89863568133615</v>
          </cell>
          <cell r="AK42">
            <v>3.86526897955895</v>
          </cell>
          <cell r="AL42">
            <v>3.81960928239015</v>
          </cell>
          <cell r="AM42">
            <v>4.11025081629156</v>
          </cell>
          <cell r="AN42">
            <v>3.70194775507054</v>
          </cell>
          <cell r="AO42">
            <v>4.21474127712016</v>
          </cell>
          <cell r="AP42">
            <v>3.86526897955895</v>
          </cell>
          <cell r="AQ42">
            <v>3.81960928239015</v>
          </cell>
          <cell r="AR42">
            <v>4.02859020404735</v>
          </cell>
          <cell r="AS42">
            <v>4.02859020404735</v>
          </cell>
          <cell r="AT42">
            <v>3.71248460826334</v>
          </cell>
          <cell r="AU42">
            <v>4.35523265302417</v>
          </cell>
        </row>
        <row r="43">
          <cell r="F43">
            <v>21.3653374676183</v>
          </cell>
          <cell r="G43">
            <v>21.1824809757783</v>
          </cell>
          <cell r="H43">
            <v>20.9322563027341</v>
          </cell>
          <cell r="I43">
            <v>22.5250325869192</v>
          </cell>
          <cell r="J43">
            <v>20.287446568351</v>
          </cell>
          <cell r="K43">
            <v>23.0976621271549</v>
          </cell>
          <cell r="L43">
            <v>21.1824809757783</v>
          </cell>
          <cell r="M43">
            <v>20.9322563027341</v>
          </cell>
          <cell r="N43">
            <v>22.0775153832055</v>
          </cell>
          <cell r="O43">
            <v>22.0775153832055</v>
          </cell>
          <cell r="P43">
            <v>20.3451907236689</v>
          </cell>
          <cell r="Q43">
            <v>23.86758419806</v>
          </cell>
        </row>
        <row r="43">
          <cell r="U43">
            <v>3.0451263771873</v>
          </cell>
          <cell r="V43">
            <v>3.01906448476993</v>
          </cell>
          <cell r="W43">
            <v>2.98340084251458</v>
          </cell>
          <cell r="X43">
            <v>3.21041364225535</v>
          </cell>
          <cell r="Y43">
            <v>2.89149837977965</v>
          </cell>
          <cell r="Z43">
            <v>3.29202851587816</v>
          </cell>
          <cell r="AA43">
            <v>3.01906448476993</v>
          </cell>
          <cell r="AB43">
            <v>2.98340084251458</v>
          </cell>
          <cell r="AC43">
            <v>3.14663058976021</v>
          </cell>
          <cell r="AD43">
            <v>3.14663058976021</v>
          </cell>
          <cell r="AE43">
            <v>2.89972845106935</v>
          </cell>
          <cell r="AF43">
            <v>3.40176279974076</v>
          </cell>
        </row>
        <row r="43">
          <cell r="AJ43">
            <v>3.89863568133615</v>
          </cell>
          <cell r="AK43">
            <v>3.86526897955895</v>
          </cell>
          <cell r="AL43">
            <v>3.81960928239015</v>
          </cell>
          <cell r="AM43">
            <v>4.11025081629156</v>
          </cell>
          <cell r="AN43">
            <v>3.70194775507054</v>
          </cell>
          <cell r="AO43">
            <v>4.21474127712016</v>
          </cell>
          <cell r="AP43">
            <v>3.86526897955895</v>
          </cell>
          <cell r="AQ43">
            <v>3.81960928239015</v>
          </cell>
          <cell r="AR43">
            <v>4.02859020404735</v>
          </cell>
          <cell r="AS43">
            <v>4.02859020404735</v>
          </cell>
          <cell r="AT43">
            <v>3.71248460826334</v>
          </cell>
          <cell r="AU43">
            <v>4.35523265302417</v>
          </cell>
        </row>
        <row r="44">
          <cell r="F44">
            <v>21.3653374676183</v>
          </cell>
          <cell r="G44">
            <v>21.1824809757783</v>
          </cell>
          <cell r="H44">
            <v>20.9322563027341</v>
          </cell>
          <cell r="I44">
            <v>22.5250325869192</v>
          </cell>
          <cell r="J44">
            <v>20.287446568351</v>
          </cell>
          <cell r="K44">
            <v>22.838311778687</v>
          </cell>
          <cell r="L44">
            <v>21.1824809757783</v>
          </cell>
          <cell r="M44">
            <v>20.9322563027341</v>
          </cell>
          <cell r="N44">
            <v>0</v>
          </cell>
          <cell r="O44">
            <v>11.0387576916028</v>
          </cell>
          <cell r="P44">
            <v>19.9412915998116</v>
          </cell>
          <cell r="Q44">
            <v>23.86758419806</v>
          </cell>
        </row>
        <row r="44">
          <cell r="U44">
            <v>3.50008432609831</v>
          </cell>
          <cell r="V44">
            <v>3.47012864943351</v>
          </cell>
          <cell r="W44">
            <v>3.42913667083956</v>
          </cell>
          <cell r="X44">
            <v>3.69006638073563</v>
          </cell>
          <cell r="Y44">
            <v>3.32350349523209</v>
          </cell>
          <cell r="Z44">
            <v>3.74138799409472</v>
          </cell>
          <cell r="AA44">
            <v>3.47012864943351</v>
          </cell>
          <cell r="AB44">
            <v>3.42913667083956</v>
          </cell>
          <cell r="AC44">
            <v>0</v>
          </cell>
          <cell r="AD44">
            <v>1.80837690181746</v>
          </cell>
          <cell r="AE44">
            <v>3.2667961494379</v>
          </cell>
          <cell r="AF44">
            <v>3.91000411203775</v>
          </cell>
        </row>
        <row r="44">
          <cell r="AJ44">
            <v>3.89863568133615</v>
          </cell>
          <cell r="AK44">
            <v>3.86526897955895</v>
          </cell>
          <cell r="AL44">
            <v>3.81960928239015</v>
          </cell>
          <cell r="AM44">
            <v>4.11025081629156</v>
          </cell>
          <cell r="AN44">
            <v>3.70194775507054</v>
          </cell>
          <cell r="AO44">
            <v>4.16741637415356</v>
          </cell>
          <cell r="AP44">
            <v>3.86526897955895</v>
          </cell>
          <cell r="AQ44">
            <v>3.81960928239015</v>
          </cell>
          <cell r="AR44">
            <v>0</v>
          </cell>
          <cell r="AS44">
            <v>2.01429510202368</v>
          </cell>
          <cell r="AT44">
            <v>3.6387831964173</v>
          </cell>
          <cell r="AU44">
            <v>4.35523265302417</v>
          </cell>
        </row>
        <row r="45">
          <cell r="F45">
            <v>21.3653374676183</v>
          </cell>
          <cell r="G45">
            <v>21.1824809757783</v>
          </cell>
          <cell r="H45">
            <v>20.9322563027341</v>
          </cell>
          <cell r="I45">
            <v>22.5250325869192</v>
          </cell>
          <cell r="J45">
            <v>20.287446568351</v>
          </cell>
          <cell r="K45">
            <v>22.6645809622707</v>
          </cell>
          <cell r="L45">
            <v>21.1824809757783</v>
          </cell>
          <cell r="M45">
            <v>0</v>
          </cell>
          <cell r="N45">
            <v>11.0387576916028</v>
          </cell>
          <cell r="O45">
            <v>22.0775153832055</v>
          </cell>
          <cell r="P45">
            <v>19.9409816364437</v>
          </cell>
          <cell r="Q45">
            <v>23.86758419806</v>
          </cell>
        </row>
        <row r="45">
          <cell r="U45">
            <v>3.4851134846462</v>
          </cell>
          <cell r="V45">
            <v>3.45528593680463</v>
          </cell>
          <cell r="W45">
            <v>3.41446929238985</v>
          </cell>
          <cell r="X45">
            <v>3.67428293279929</v>
          </cell>
          <cell r="Y45">
            <v>3.30928793947486</v>
          </cell>
          <cell r="Z45">
            <v>3.69704606141522</v>
          </cell>
          <cell r="AA45">
            <v>3.45528593680463</v>
          </cell>
          <cell r="AB45">
            <v>0</v>
          </cell>
          <cell r="AC45">
            <v>1.8006419670672</v>
          </cell>
          <cell r="AD45">
            <v>3.6012839341344</v>
          </cell>
          <cell r="AE45">
            <v>3.25277258566978</v>
          </cell>
          <cell r="AF45">
            <v>3.89327992879395</v>
          </cell>
        </row>
        <row r="45">
          <cell r="AJ45">
            <v>3.89863568133615</v>
          </cell>
          <cell r="AK45">
            <v>3.86526897955895</v>
          </cell>
          <cell r="AL45">
            <v>3.81960928239015</v>
          </cell>
          <cell r="AM45">
            <v>4.11025081629156</v>
          </cell>
          <cell r="AN45">
            <v>3.70194775507054</v>
          </cell>
          <cell r="AO45">
            <v>4.13571487817416</v>
          </cell>
          <cell r="AP45">
            <v>3.86526897955895</v>
          </cell>
          <cell r="AQ45">
            <v>0</v>
          </cell>
          <cell r="AR45">
            <v>2.01429510202368</v>
          </cell>
          <cell r="AS45">
            <v>4.02859020404735</v>
          </cell>
          <cell r="AT45">
            <v>3.63872663591374</v>
          </cell>
          <cell r="AU45">
            <v>4.35523265302417</v>
          </cell>
        </row>
        <row r="46">
          <cell r="F46">
            <v>30.20398043083</v>
          </cell>
          <cell r="G46">
            <v>39.0134747231555</v>
          </cell>
          <cell r="H46">
            <v>37.7549755385376</v>
          </cell>
          <cell r="I46">
            <v>25.358758570051</v>
          </cell>
          <cell r="J46">
            <v>23.4080848338933</v>
          </cell>
          <cell r="K46">
            <v>24.5407341000494</v>
          </cell>
          <cell r="L46">
            <v>23.4080848338933</v>
          </cell>
          <cell r="M46">
            <v>29.6938558457904</v>
          </cell>
          <cell r="N46">
            <v>26.3340954381299</v>
          </cell>
          <cell r="O46">
            <v>26.3340954381299</v>
          </cell>
          <cell r="P46">
            <v>29.9522805939065</v>
          </cell>
          <cell r="Q46">
            <v>34.136790382761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6">
          <cell r="AJ46">
            <v>13.0096215526614</v>
          </cell>
          <cell r="AK46">
            <v>16.804094505521</v>
          </cell>
          <cell r="AL46">
            <v>16.2620269408268</v>
          </cell>
          <cell r="AM46">
            <v>10.9226614285887</v>
          </cell>
          <cell r="AN46">
            <v>10.0824567033126</v>
          </cell>
          <cell r="AO46">
            <v>10.5703175115374</v>
          </cell>
          <cell r="AP46">
            <v>10.0824567033126</v>
          </cell>
          <cell r="AQ46">
            <v>12.7898979367204</v>
          </cell>
          <cell r="AR46">
            <v>11.3427637912267</v>
          </cell>
          <cell r="AS46">
            <v>11.3427637912267</v>
          </cell>
          <cell r="AT46">
            <v>12.9012080397226</v>
          </cell>
          <cell r="AU46">
            <v>14.7035826923309</v>
          </cell>
        </row>
        <row r="47">
          <cell r="F47">
            <v>51.7616580217176</v>
          </cell>
          <cell r="G47">
            <v>0</v>
          </cell>
          <cell r="H47">
            <v>26.738586437683</v>
          </cell>
          <cell r="I47">
            <v>51.6028503946854</v>
          </cell>
          <cell r="J47">
            <v>38.1942357252002</v>
          </cell>
          <cell r="K47">
            <v>41.6807376822707</v>
          </cell>
          <cell r="L47">
            <v>40.6321656651066</v>
          </cell>
          <cell r="M47">
            <v>54.6568163946757</v>
          </cell>
          <cell r="N47">
            <v>47.9459554848258</v>
          </cell>
          <cell r="O47">
            <v>47.9459554848258</v>
          </cell>
          <cell r="P47">
            <v>45.5080255449194</v>
          </cell>
          <cell r="Q47">
            <v>54.5622460032543</v>
          </cell>
        </row>
        <row r="47">
          <cell r="U47">
            <v>9.2527861752769</v>
          </cell>
          <cell r="V47">
            <v>0</v>
          </cell>
          <cell r="W47">
            <v>4.77972368723651</v>
          </cell>
          <cell r="X47">
            <v>9.22439811600499</v>
          </cell>
          <cell r="Y47">
            <v>6.82750726696433</v>
          </cell>
          <cell r="Z47">
            <v>7.45074574775105</v>
          </cell>
          <cell r="AA47">
            <v>7.26330560315354</v>
          </cell>
          <cell r="AB47">
            <v>9.77031753714525</v>
          </cell>
          <cell r="AC47">
            <v>8.57070061172118</v>
          </cell>
          <cell r="AD47">
            <v>8.57070061172118</v>
          </cell>
          <cell r="AE47">
            <v>8.13490227553197</v>
          </cell>
          <cell r="AF47">
            <v>9.75341236749309</v>
          </cell>
        </row>
        <row r="47">
          <cell r="AJ47">
            <v>19.3297079343246</v>
          </cell>
          <cell r="AK47">
            <v>0</v>
          </cell>
          <cell r="AL47">
            <v>9.98517215581173</v>
          </cell>
          <cell r="AM47">
            <v>19.27040332227</v>
          </cell>
          <cell r="AN47">
            <v>14.2631331676644</v>
          </cell>
          <cell r="AO47">
            <v>15.5651213017066</v>
          </cell>
          <cell r="AP47">
            <v>15.1735459230473</v>
          </cell>
          <cell r="AQ47">
            <v>20.4108666126152</v>
          </cell>
          <cell r="AR47">
            <v>17.9047841891958</v>
          </cell>
          <cell r="AS47">
            <v>17.9047841891958</v>
          </cell>
          <cell r="AT47">
            <v>16.994371433813</v>
          </cell>
          <cell r="AU47">
            <v>20.3755505482681</v>
          </cell>
        </row>
        <row r="48">
          <cell r="F48">
            <v>25.4299440842328</v>
          </cell>
          <cell r="G48">
            <v>26.2776088870406</v>
          </cell>
          <cell r="H48">
            <v>25.4299440842328</v>
          </cell>
          <cell r="I48">
            <v>26.2776088870406</v>
          </cell>
          <cell r="J48">
            <v>26.2776088870406</v>
          </cell>
          <cell r="K48">
            <v>25.4299440842328</v>
          </cell>
          <cell r="L48">
            <v>26.2776088870406</v>
          </cell>
          <cell r="M48">
            <v>25.4299440842328</v>
          </cell>
          <cell r="N48">
            <v>26.2776088870406</v>
          </cell>
          <cell r="O48">
            <v>26.2776088870406</v>
          </cell>
          <cell r="P48">
            <v>23.7346144786173</v>
          </cell>
          <cell r="Q48">
            <v>26.2776088870406</v>
          </cell>
        </row>
        <row r="48">
          <cell r="AJ48">
            <v>11.1891753970624</v>
          </cell>
          <cell r="AK48">
            <v>11.5621479102979</v>
          </cell>
          <cell r="AL48">
            <v>11.1891753970624</v>
          </cell>
          <cell r="AM48">
            <v>11.5621479102979</v>
          </cell>
          <cell r="AN48">
            <v>11.5621479102979</v>
          </cell>
          <cell r="AO48">
            <v>11.1891753970624</v>
          </cell>
          <cell r="AP48">
            <v>11.5621479102979</v>
          </cell>
          <cell r="AQ48">
            <v>11.1891753970624</v>
          </cell>
          <cell r="AR48">
            <v>11.5621479102979</v>
          </cell>
          <cell r="AS48">
            <v>11.5621479102979</v>
          </cell>
          <cell r="AT48">
            <v>10.4432303705916</v>
          </cell>
          <cell r="AU48">
            <v>11.5621479102979</v>
          </cell>
        </row>
        <row r="49">
          <cell r="F49">
            <v>25.6704046699106</v>
          </cell>
          <cell r="G49">
            <v>33.3715260708837</v>
          </cell>
          <cell r="H49">
            <v>0</v>
          </cell>
          <cell r="I49">
            <v>11.1238420236279</v>
          </cell>
          <cell r="J49">
            <v>20.5363237359284</v>
          </cell>
          <cell r="K49">
            <v>20.7019392499279</v>
          </cell>
          <cell r="L49">
            <v>20.5363237359284</v>
          </cell>
          <cell r="M49">
            <v>24.8423270999135</v>
          </cell>
          <cell r="N49">
            <v>22.2476840472558</v>
          </cell>
          <cell r="O49">
            <v>22.2476840472558</v>
          </cell>
          <cell r="P49">
            <v>24.7319167572472</v>
          </cell>
          <cell r="Q49">
            <v>29.9488054482291</v>
          </cell>
        </row>
        <row r="49">
          <cell r="U49">
            <v>7.33497843200691</v>
          </cell>
          <cell r="V49">
            <v>9.53547196160895</v>
          </cell>
          <cell r="W49">
            <v>0</v>
          </cell>
          <cell r="X49">
            <v>3.17849065386966</v>
          </cell>
          <cell r="Y49">
            <v>5.86798274560552</v>
          </cell>
          <cell r="Z49">
            <v>5.91530518710234</v>
          </cell>
          <cell r="AA49">
            <v>5.86798274560552</v>
          </cell>
          <cell r="AB49">
            <v>7.09836622452281</v>
          </cell>
          <cell r="AC49">
            <v>6.35698130773931</v>
          </cell>
          <cell r="AD49">
            <v>6.35698130773931</v>
          </cell>
          <cell r="AE49">
            <v>7.0668179301916</v>
          </cell>
          <cell r="AF49">
            <v>8.5574748373414</v>
          </cell>
        </row>
        <row r="49">
          <cell r="AJ49">
            <v>14.8696178436123</v>
          </cell>
          <cell r="AK49">
            <v>19.3305031966959</v>
          </cell>
          <cell r="AL49">
            <v>0</v>
          </cell>
          <cell r="AM49">
            <v>6.4435010655653</v>
          </cell>
          <cell r="AN49">
            <v>11.8956942748898</v>
          </cell>
          <cell r="AO49">
            <v>11.9916272932357</v>
          </cell>
          <cell r="AP49">
            <v>11.8956942748898</v>
          </cell>
          <cell r="AQ49">
            <v>14.3899527518828</v>
          </cell>
          <cell r="AR49">
            <v>12.8870021311306</v>
          </cell>
          <cell r="AS49">
            <v>12.8870021311306</v>
          </cell>
          <cell r="AT49">
            <v>14.3259974063189</v>
          </cell>
          <cell r="AU49">
            <v>17.3478874842143</v>
          </cell>
        </row>
        <row r="50">
          <cell r="F50">
            <v>25.6704046699106</v>
          </cell>
          <cell r="G50">
            <v>33.2228806468259</v>
          </cell>
          <cell r="H50">
            <v>32.2950252298875</v>
          </cell>
          <cell r="I50">
            <v>22.2476840472558</v>
          </cell>
          <cell r="J50">
            <v>20.5363237359284</v>
          </cell>
          <cell r="K50">
            <v>19.8738616799308</v>
          </cell>
          <cell r="L50">
            <v>20.5363237359284</v>
          </cell>
          <cell r="M50">
            <v>19.8738616799308</v>
          </cell>
          <cell r="N50">
            <v>21.3920038915921</v>
          </cell>
          <cell r="O50">
            <v>22.2476840472558</v>
          </cell>
          <cell r="P50">
            <v>24.7319167572472</v>
          </cell>
          <cell r="Q50">
            <v>29.9488054482291</v>
          </cell>
        </row>
        <row r="50">
          <cell r="U50">
            <v>6.41695535910294</v>
          </cell>
          <cell r="V50">
            <v>8.30488435039655</v>
          </cell>
          <cell r="W50">
            <v>8.07294383887142</v>
          </cell>
          <cell r="X50">
            <v>5.56136131122254</v>
          </cell>
          <cell r="Y50">
            <v>5.13356428728235</v>
          </cell>
          <cell r="Z50">
            <v>4.9679654393055</v>
          </cell>
          <cell r="AA50">
            <v>5.13356428728235</v>
          </cell>
          <cell r="AB50">
            <v>4.9679654393055</v>
          </cell>
          <cell r="AC50">
            <v>5.34746279925244</v>
          </cell>
          <cell r="AD50">
            <v>5.56136131122254</v>
          </cell>
          <cell r="AE50">
            <v>6.18235699113574</v>
          </cell>
          <cell r="AF50">
            <v>7.48644791895344</v>
          </cell>
        </row>
        <row r="50">
          <cell r="AJ50">
            <v>14.8696178436123</v>
          </cell>
          <cell r="AK50">
            <v>19.2444001267068</v>
          </cell>
          <cell r="AL50">
            <v>18.7069385774476</v>
          </cell>
          <cell r="AM50">
            <v>12.8870021311306</v>
          </cell>
          <cell r="AN50">
            <v>11.8956942748898</v>
          </cell>
          <cell r="AO50">
            <v>11.5119622015062</v>
          </cell>
          <cell r="AP50">
            <v>11.8956942748898</v>
          </cell>
          <cell r="AQ50">
            <v>11.5119622015062</v>
          </cell>
          <cell r="AR50">
            <v>12.3913482030102</v>
          </cell>
          <cell r="AS50">
            <v>12.8870021311306</v>
          </cell>
          <cell r="AT50">
            <v>14.3259974063189</v>
          </cell>
          <cell r="AU50">
            <v>17.3478874842143</v>
          </cell>
        </row>
        <row r="51">
          <cell r="F51">
            <v>25.6704046699106</v>
          </cell>
          <cell r="G51">
            <v>33.3715260708837</v>
          </cell>
          <cell r="H51">
            <v>32.2950252298875</v>
          </cell>
          <cell r="I51">
            <v>22.2476840472558</v>
          </cell>
          <cell r="J51">
            <v>20.5363237359284</v>
          </cell>
          <cell r="K51">
            <v>20.2160598714185</v>
          </cell>
          <cell r="L51">
            <v>20.5363237359284</v>
          </cell>
          <cell r="M51">
            <v>4.96846541998273</v>
          </cell>
          <cell r="N51">
            <v>11.9795221792916</v>
          </cell>
          <cell r="O51">
            <v>22.2476840472558</v>
          </cell>
          <cell r="P51">
            <v>24.7319167572472</v>
          </cell>
          <cell r="Q51">
            <v>29.9488054482291</v>
          </cell>
        </row>
        <row r="51">
          <cell r="U51">
            <v>6.98587503551473</v>
          </cell>
          <cell r="V51">
            <v>9.08163754616912</v>
          </cell>
          <cell r="W51">
            <v>8.7886814962927</v>
          </cell>
          <cell r="X51">
            <v>6.05442503077943</v>
          </cell>
          <cell r="Y51">
            <v>5.58870002841177</v>
          </cell>
          <cell r="Z51">
            <v>5.50154427981229</v>
          </cell>
          <cell r="AA51">
            <v>5.58870002841177</v>
          </cell>
          <cell r="AB51">
            <v>1.3521048455835</v>
          </cell>
          <cell r="AC51">
            <v>3.26007501657354</v>
          </cell>
          <cell r="AD51">
            <v>6.05442503077943</v>
          </cell>
          <cell r="AE51">
            <v>6.73047745357118</v>
          </cell>
          <cell r="AF51">
            <v>8.15018754143386</v>
          </cell>
        </row>
        <row r="51">
          <cell r="AJ51">
            <v>14.8696178436123</v>
          </cell>
          <cell r="AK51">
            <v>19.3305031966959</v>
          </cell>
          <cell r="AL51">
            <v>18.7069385774476</v>
          </cell>
          <cell r="AM51">
            <v>12.8870021311306</v>
          </cell>
          <cell r="AN51">
            <v>11.8956942748898</v>
          </cell>
          <cell r="AO51">
            <v>11.710180983003</v>
          </cell>
          <cell r="AP51">
            <v>11.8956942748898</v>
          </cell>
          <cell r="AQ51">
            <v>2.87799055037658</v>
          </cell>
          <cell r="AR51">
            <v>6.93915499368572</v>
          </cell>
          <cell r="AS51">
            <v>12.8870021311306</v>
          </cell>
          <cell r="AT51">
            <v>14.3259974063189</v>
          </cell>
          <cell r="AU51">
            <v>17.3478874842143</v>
          </cell>
        </row>
        <row r="52">
          <cell r="F52">
            <v>25.0386019093488</v>
          </cell>
          <cell r="G52">
            <v>25.8732219729937</v>
          </cell>
          <cell r="H52">
            <v>25.0386019093488</v>
          </cell>
          <cell r="I52">
            <v>26.4198393386204</v>
          </cell>
          <cell r="J52">
            <v>21.726568813326</v>
          </cell>
          <cell r="K52">
            <v>23.9806328145876</v>
          </cell>
          <cell r="L52">
            <v>20.4070483167275</v>
          </cell>
          <cell r="M52">
            <v>25.0386019093488</v>
          </cell>
          <cell r="N52">
            <v>25.8732219729937</v>
          </cell>
          <cell r="O52">
            <v>24.2333698761139</v>
          </cell>
          <cell r="P52">
            <v>22.3819239602817</v>
          </cell>
          <cell r="Q52">
            <v>27.5130740698736</v>
          </cell>
        </row>
        <row r="52">
          <cell r="U52">
            <v>4.69415075545924</v>
          </cell>
          <cell r="V52">
            <v>4.85062244730789</v>
          </cell>
          <cell r="W52">
            <v>4.69415075545924</v>
          </cell>
          <cell r="X52">
            <v>4.95310038633552</v>
          </cell>
          <cell r="Y52">
            <v>4.0732222101639</v>
          </cell>
          <cell r="Z52">
            <v>4.49580635734125</v>
          </cell>
          <cell r="AA52">
            <v>3.82584305703157</v>
          </cell>
          <cell r="AB52">
            <v>4.69415075545924</v>
          </cell>
          <cell r="AC52">
            <v>4.85062244730789</v>
          </cell>
          <cell r="AD52">
            <v>4.54318863022499</v>
          </cell>
          <cell r="AE52">
            <v>4.1960859335185</v>
          </cell>
          <cell r="AF52">
            <v>5.15805626439078</v>
          </cell>
        </row>
        <row r="52">
          <cell r="AJ52">
            <v>6.87466164042677</v>
          </cell>
          <cell r="AK52">
            <v>7.10381702844099</v>
          </cell>
          <cell r="AL52">
            <v>6.87466164042677</v>
          </cell>
          <cell r="AM52">
            <v>7.25389766988693</v>
          </cell>
          <cell r="AN52">
            <v>5.96530148687322</v>
          </cell>
          <cell r="AO52">
            <v>6.58418297956366</v>
          </cell>
          <cell r="AP52">
            <v>5.60301061398163</v>
          </cell>
          <cell r="AQ52">
            <v>6.87466164042677</v>
          </cell>
          <cell r="AR52">
            <v>7.10381702844099</v>
          </cell>
          <cell r="AS52">
            <v>6.65357510410319</v>
          </cell>
          <cell r="AT52">
            <v>6.14523744759275</v>
          </cell>
          <cell r="AU52">
            <v>7.5540589527788</v>
          </cell>
        </row>
        <row r="53">
          <cell r="F53">
            <v>12.9946335080756</v>
          </cell>
          <cell r="G53">
            <v>16.3651165742328</v>
          </cell>
          <cell r="H53">
            <v>15.8372095879672</v>
          </cell>
          <cell r="I53">
            <v>10.9100777161552</v>
          </cell>
          <cell r="J53">
            <v>10.0708409687586</v>
          </cell>
          <cell r="K53">
            <v>10.1520574281841</v>
          </cell>
          <cell r="L53">
            <v>10.0708409687586</v>
          </cell>
          <cell r="M53">
            <v>12.4066714802943</v>
          </cell>
          <cell r="N53">
            <v>10.9100777161552</v>
          </cell>
          <cell r="O53">
            <v>10.9100777161552</v>
          </cell>
          <cell r="P53">
            <v>12.1283246075373</v>
          </cell>
          <cell r="Q53">
            <v>14.6866430794397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3">
          <cell r="AJ53">
            <v>5.87283884939364</v>
          </cell>
          <cell r="AK53">
            <v>7.3961064259551</v>
          </cell>
          <cell r="AL53">
            <v>7.15752234769849</v>
          </cell>
          <cell r="AM53">
            <v>4.93073761730341</v>
          </cell>
          <cell r="AN53">
            <v>4.55145010828007</v>
          </cell>
          <cell r="AO53">
            <v>4.58815535108878</v>
          </cell>
          <cell r="AP53">
            <v>4.55145010828007</v>
          </cell>
          <cell r="AQ53">
            <v>5.60711329148726</v>
          </cell>
          <cell r="AR53">
            <v>4.93073761730341</v>
          </cell>
          <cell r="AS53">
            <v>4.93073761730341</v>
          </cell>
          <cell r="AT53">
            <v>5.48131625943406</v>
          </cell>
          <cell r="AU53">
            <v>6.63753140790843</v>
          </cell>
        </row>
        <row r="54">
          <cell r="F54">
            <v>54.983276189502</v>
          </cell>
          <cell r="G54">
            <v>69.6454831733692</v>
          </cell>
          <cell r="H54">
            <v>69.1725087545348</v>
          </cell>
          <cell r="I54">
            <v>47.6521726975684</v>
          </cell>
          <cell r="J54">
            <v>43.9866209516016</v>
          </cell>
          <cell r="K54">
            <v>42.5676976950983</v>
          </cell>
          <cell r="L54">
            <v>43.9866209516016</v>
          </cell>
          <cell r="M54">
            <v>53.2096221188729</v>
          </cell>
          <cell r="N54">
            <v>47.6521726975684</v>
          </cell>
          <cell r="O54">
            <v>47.6521726975684</v>
          </cell>
          <cell r="P54">
            <v>52.9731349094557</v>
          </cell>
          <cell r="Q54">
            <v>62.911664928625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4">
          <cell r="AJ54">
            <v>32.8407795904162</v>
          </cell>
          <cell r="AK54">
            <v>41.5983208145272</v>
          </cell>
          <cell r="AL54">
            <v>41.3158194847172</v>
          </cell>
          <cell r="AM54">
            <v>28.4620089783607</v>
          </cell>
          <cell r="AN54">
            <v>26.272623672333</v>
          </cell>
          <cell r="AO54">
            <v>25.4251196829029</v>
          </cell>
          <cell r="AP54">
            <v>26.272623672333</v>
          </cell>
          <cell r="AQ54">
            <v>31.7813996036286</v>
          </cell>
          <cell r="AR54">
            <v>28.4620089783607</v>
          </cell>
          <cell r="AS54">
            <v>28.4620089783607</v>
          </cell>
          <cell r="AT54">
            <v>31.6401489387236</v>
          </cell>
          <cell r="AU54">
            <v>37.5763007367242</v>
          </cell>
        </row>
        <row r="55">
          <cell r="F55">
            <v>253.027431087203</v>
          </cell>
          <cell r="G55">
            <v>259.912539484227</v>
          </cell>
          <cell r="H55">
            <v>251.528264016994</v>
          </cell>
          <cell r="I55">
            <v>251.151070093677</v>
          </cell>
          <cell r="J55">
            <v>202.644037609523</v>
          </cell>
          <cell r="K55">
            <v>221.025171533984</v>
          </cell>
          <cell r="L55">
            <v>202.402992555203</v>
          </cell>
          <cell r="M55">
            <v>257.076681605604</v>
          </cell>
          <cell r="N55">
            <v>253.26319853607</v>
          </cell>
          <cell r="O55">
            <v>227.62612008838</v>
          </cell>
          <cell r="P55">
            <v>223.62258256309</v>
          </cell>
          <cell r="Q55">
            <v>266.462328037022</v>
          </cell>
        </row>
        <row r="55">
          <cell r="U55">
            <v>70.0422514780982</v>
          </cell>
          <cell r="V55">
            <v>71.9481653615305</v>
          </cell>
          <cell r="W55">
            <v>69.6272568014811</v>
          </cell>
          <cell r="X55">
            <v>69.522843175182</v>
          </cell>
          <cell r="Y55">
            <v>56.0952801907541</v>
          </cell>
          <cell r="Z55">
            <v>61.1834874229019</v>
          </cell>
          <cell r="AA55">
            <v>56.0285548628335</v>
          </cell>
          <cell r="AB55">
            <v>71.163152172102</v>
          </cell>
          <cell r="AC55">
            <v>70.1075158760053</v>
          </cell>
          <cell r="AD55">
            <v>63.0107410793708</v>
          </cell>
          <cell r="AE55">
            <v>61.9024945112279</v>
          </cell>
          <cell r="AF55">
            <v>73.7612570685127</v>
          </cell>
        </row>
        <row r="55">
          <cell r="AJ55">
            <v>92.073822962662</v>
          </cell>
          <cell r="AK55">
            <v>94.5792361066141</v>
          </cell>
          <cell r="AL55">
            <v>91.5282930064007</v>
          </cell>
          <cell r="AM55">
            <v>91.3910363999972</v>
          </cell>
          <cell r="AN55">
            <v>73.7398754084804</v>
          </cell>
          <cell r="AO55">
            <v>80.4285623367784</v>
          </cell>
          <cell r="AP55">
            <v>73.6521618370226</v>
          </cell>
          <cell r="AQ55">
            <v>93.5472994697772</v>
          </cell>
          <cell r="AR55">
            <v>92.1596160731325</v>
          </cell>
          <cell r="AS55">
            <v>82.8305729250046</v>
          </cell>
          <cell r="AT55">
            <v>81.3737308595254</v>
          </cell>
          <cell r="AU55">
            <v>96.9626301483655</v>
          </cell>
        </row>
        <row r="56">
          <cell r="F56">
            <v>247.828735603639</v>
          </cell>
          <cell r="G56">
            <v>259.924499659065</v>
          </cell>
          <cell r="H56">
            <v>251.53983837974</v>
          </cell>
          <cell r="I56">
            <v>246.733726317659</v>
          </cell>
          <cell r="J56">
            <v>190.900302972733</v>
          </cell>
          <cell r="K56">
            <v>200.122214400101</v>
          </cell>
          <cell r="L56">
            <v>196.450961898548</v>
          </cell>
          <cell r="M56">
            <v>257.088511285176</v>
          </cell>
          <cell r="N56">
            <v>233.967972783689</v>
          </cell>
          <cell r="O56">
            <v>225.522727645365</v>
          </cell>
          <cell r="P56">
            <v>218.662318289394</v>
          </cell>
          <cell r="Q56">
            <v>259.924499659065</v>
          </cell>
        </row>
        <row r="56">
          <cell r="U56">
            <v>70.597694723988</v>
          </cell>
          <cell r="V56">
            <v>74.0433526948381</v>
          </cell>
          <cell r="W56">
            <v>71.6548574466175</v>
          </cell>
          <cell r="X56">
            <v>70.2857650718303</v>
          </cell>
          <cell r="Y56">
            <v>54.3807855015663</v>
          </cell>
          <cell r="Z56">
            <v>57.0077838846843</v>
          </cell>
          <cell r="AA56">
            <v>55.9619731043968</v>
          </cell>
          <cell r="AB56">
            <v>73.2354793020576</v>
          </cell>
          <cell r="AC56">
            <v>66.6492506510237</v>
          </cell>
          <cell r="AD56">
            <v>64.2434971911095</v>
          </cell>
          <cell r="AE56">
            <v>62.2892077330498</v>
          </cell>
          <cell r="AF56">
            <v>74.0433526948381</v>
          </cell>
        </row>
        <row r="56">
          <cell r="AJ56">
            <v>90.1820764214518</v>
          </cell>
          <cell r="AK56">
            <v>94.5835882790876</v>
          </cell>
          <cell r="AL56">
            <v>91.5325047862138</v>
          </cell>
          <cell r="AM56">
            <v>89.7836149158887</v>
          </cell>
          <cell r="AN56">
            <v>69.4664630783541</v>
          </cell>
          <cell r="AO56">
            <v>72.822212439174</v>
          </cell>
          <cell r="AP56">
            <v>71.4862851390122</v>
          </cell>
          <cell r="AQ56">
            <v>93.551604156498</v>
          </cell>
          <cell r="AR56">
            <v>85.1383014578918</v>
          </cell>
          <cell r="AS56">
            <v>82.065172183326</v>
          </cell>
          <cell r="AT56">
            <v>79.5687467413137</v>
          </cell>
          <cell r="AU56">
            <v>94.5835882790876</v>
          </cell>
        </row>
        <row r="57">
          <cell r="F57">
            <v>0.291792430839382</v>
          </cell>
          <cell r="G57">
            <v>0.312675543519093</v>
          </cell>
          <cell r="H57">
            <v>0.323947004170863</v>
          </cell>
          <cell r="I57">
            <v>0.708221337651633</v>
          </cell>
          <cell r="J57">
            <v>1.6627744142414</v>
          </cell>
          <cell r="K57">
            <v>0.839811434075084</v>
          </cell>
          <cell r="L57">
            <v>0.925684633793448</v>
          </cell>
          <cell r="M57">
            <v>0.317490695779991</v>
          </cell>
          <cell r="N57">
            <v>0.544656872931458</v>
          </cell>
          <cell r="O57">
            <v>1.03928023782682</v>
          </cell>
          <cell r="P57">
            <v>0.933389840025861</v>
          </cell>
          <cell r="Q57">
            <v>0.433562195274251</v>
          </cell>
        </row>
        <row r="57">
          <cell r="U57">
            <v>0.0682586849590753</v>
          </cell>
          <cell r="V57">
            <v>0.0731438487217839</v>
          </cell>
          <cell r="W57">
            <v>0.0757805692132805</v>
          </cell>
          <cell r="X57">
            <v>0.165673444746303</v>
          </cell>
          <cell r="Y57">
            <v>0.388971004399323</v>
          </cell>
          <cell r="Z57">
            <v>0.196456172419067</v>
          </cell>
          <cell r="AA57">
            <v>0.216544396329269</v>
          </cell>
          <cell r="AB57">
            <v>0.0742702520361575</v>
          </cell>
          <cell r="AC57">
            <v>0.127410987986484</v>
          </cell>
          <cell r="AD57">
            <v>0.243117692031782</v>
          </cell>
          <cell r="AE57">
            <v>0.218346866815738</v>
          </cell>
          <cell r="AF57">
            <v>0.10142273126228</v>
          </cell>
        </row>
        <row r="58">
          <cell r="F58">
            <v>0.291792430839382</v>
          </cell>
          <cell r="G58">
            <v>0.312675543519093</v>
          </cell>
          <cell r="H58">
            <v>0.323947004170863</v>
          </cell>
          <cell r="I58">
            <v>0.708221337651633</v>
          </cell>
          <cell r="J58">
            <v>1.6627744142414</v>
          </cell>
          <cell r="K58">
            <v>0.839811434075084</v>
          </cell>
          <cell r="L58">
            <v>0.925684633793448</v>
          </cell>
          <cell r="M58">
            <v>0.317490695779991</v>
          </cell>
          <cell r="N58">
            <v>0.544656872931458</v>
          </cell>
          <cell r="O58">
            <v>1.03928023782682</v>
          </cell>
          <cell r="P58">
            <v>0.933389840025861</v>
          </cell>
          <cell r="Q58">
            <v>0.433562195274251</v>
          </cell>
        </row>
        <row r="58">
          <cell r="U58">
            <v>0.0682586849590753</v>
          </cell>
          <cell r="V58">
            <v>0.0731438487217839</v>
          </cell>
          <cell r="W58">
            <v>0.0757805692132805</v>
          </cell>
          <cell r="X58">
            <v>0.165673444746303</v>
          </cell>
          <cell r="Y58">
            <v>0.388971004399323</v>
          </cell>
          <cell r="Z58">
            <v>0.196456172419067</v>
          </cell>
          <cell r="AA58">
            <v>0.216544396329269</v>
          </cell>
          <cell r="AB58">
            <v>0.0742702520361575</v>
          </cell>
          <cell r="AC58">
            <v>0.127410987986484</v>
          </cell>
          <cell r="AD58">
            <v>0.243117692031782</v>
          </cell>
          <cell r="AE58">
            <v>0.218346866815738</v>
          </cell>
          <cell r="AF58">
            <v>0.10142273126228</v>
          </cell>
        </row>
        <row r="59">
          <cell r="F59">
            <v>6.41943347846641</v>
          </cell>
          <cell r="G59">
            <v>6.87886195742004</v>
          </cell>
          <cell r="H59">
            <v>7.12683409175898</v>
          </cell>
          <cell r="I59">
            <v>15.5808694283359</v>
          </cell>
          <cell r="J59">
            <v>36.5810371133108</v>
          </cell>
          <cell r="K59">
            <v>18.4758515496518</v>
          </cell>
          <cell r="L59">
            <v>20.3650619434558</v>
          </cell>
          <cell r="M59">
            <v>6.98479530715979</v>
          </cell>
          <cell r="N59">
            <v>11.9824512044921</v>
          </cell>
          <cell r="O59">
            <v>22.8641652321901</v>
          </cell>
          <cell r="P59">
            <v>20.534576480569</v>
          </cell>
          <cell r="Q59">
            <v>9.53836829603353</v>
          </cell>
        </row>
        <row r="59">
          <cell r="U59">
            <v>1.50169106909966</v>
          </cell>
          <cell r="V59">
            <v>1.60916467187925</v>
          </cell>
          <cell r="W59">
            <v>1.66717252269217</v>
          </cell>
          <cell r="X59">
            <v>3.64481578441866</v>
          </cell>
          <cell r="Y59">
            <v>8.55736209678512</v>
          </cell>
          <cell r="Z59">
            <v>4.32203579321948</v>
          </cell>
          <cell r="AA59">
            <v>4.76397671924391</v>
          </cell>
          <cell r="AB59">
            <v>1.63394554479547</v>
          </cell>
          <cell r="AC59">
            <v>2.80304173570265</v>
          </cell>
          <cell r="AD59">
            <v>5.3485892246992</v>
          </cell>
          <cell r="AE59">
            <v>4.80363106994623</v>
          </cell>
          <cell r="AF59">
            <v>2.23130008777017</v>
          </cell>
        </row>
        <row r="60">
          <cell r="F60">
            <v>5.88253540572195</v>
          </cell>
          <cell r="G60">
            <v>6.30353895734491</v>
          </cell>
          <cell r="H60">
            <v>6.5307716040846</v>
          </cell>
          <cell r="I60">
            <v>14.2777421670569</v>
          </cell>
          <cell r="J60">
            <v>33.5215321911066</v>
          </cell>
          <cell r="K60">
            <v>16.9305985109537</v>
          </cell>
          <cell r="L60">
            <v>18.6618022172759</v>
          </cell>
          <cell r="M60">
            <v>6.40061242692461</v>
          </cell>
          <cell r="N60">
            <v>10.9802825582982</v>
          </cell>
          <cell r="O60">
            <v>20.9518895945888</v>
          </cell>
          <cell r="P60">
            <v>18.8171391749214</v>
          </cell>
          <cell r="Q60">
            <v>8.7406138567289</v>
          </cell>
        </row>
        <row r="60">
          <cell r="U60">
            <v>1.37609508877496</v>
          </cell>
          <cell r="V60">
            <v>1.47457999023116</v>
          </cell>
          <cell r="W60">
            <v>1.52773627533974</v>
          </cell>
          <cell r="X60">
            <v>3.33997664608546</v>
          </cell>
          <cell r="Y60">
            <v>7.84165544869036</v>
          </cell>
          <cell r="Z60">
            <v>3.96055643596839</v>
          </cell>
          <cell r="AA60">
            <v>4.36553502999806</v>
          </cell>
          <cell r="AB60">
            <v>1.49728828104894</v>
          </cell>
          <cell r="AC60">
            <v>2.56860551780752</v>
          </cell>
          <cell r="AD60">
            <v>4.90125267136072</v>
          </cell>
          <cell r="AE60">
            <v>4.40187283500527</v>
          </cell>
          <cell r="AF60">
            <v>2.04468226224757</v>
          </cell>
        </row>
        <row r="61">
          <cell r="F61">
            <v>5.88253540572195</v>
          </cell>
          <cell r="G61">
            <v>6.30353895734491</v>
          </cell>
          <cell r="H61">
            <v>6.5307716040846</v>
          </cell>
          <cell r="I61">
            <v>14.2777421670569</v>
          </cell>
          <cell r="J61">
            <v>33.5215321911066</v>
          </cell>
          <cell r="K61">
            <v>16.9305985109537</v>
          </cell>
          <cell r="L61">
            <v>18.6618022172759</v>
          </cell>
          <cell r="M61">
            <v>6.40061242692461</v>
          </cell>
          <cell r="N61">
            <v>10.9802825582982</v>
          </cell>
          <cell r="O61">
            <v>20.9518895945888</v>
          </cell>
          <cell r="P61">
            <v>18.8171391749214</v>
          </cell>
          <cell r="Q61">
            <v>8.7406138567289</v>
          </cell>
        </row>
        <row r="61">
          <cell r="U61">
            <v>1.37609508877496</v>
          </cell>
          <cell r="V61">
            <v>1.47457999023116</v>
          </cell>
          <cell r="W61">
            <v>1.52773627533974</v>
          </cell>
          <cell r="X61">
            <v>3.33997664608546</v>
          </cell>
          <cell r="Y61">
            <v>7.84165544869036</v>
          </cell>
          <cell r="Z61">
            <v>3.96055643596839</v>
          </cell>
          <cell r="AA61">
            <v>4.36553502999806</v>
          </cell>
          <cell r="AB61">
            <v>1.49728828104894</v>
          </cell>
          <cell r="AC61">
            <v>2.56860551780752</v>
          </cell>
          <cell r="AD61">
            <v>4.90125267136072</v>
          </cell>
          <cell r="AE61">
            <v>4.40187283500527</v>
          </cell>
          <cell r="AF61">
            <v>2.04468226224757</v>
          </cell>
        </row>
        <row r="62">
          <cell r="F62">
            <v>5.88253540572195</v>
          </cell>
          <cell r="G62">
            <v>6.30353895734491</v>
          </cell>
          <cell r="H62">
            <v>6.5307716040846</v>
          </cell>
          <cell r="I62">
            <v>14.2777421670569</v>
          </cell>
          <cell r="J62">
            <v>33.5215321911066</v>
          </cell>
          <cell r="K62">
            <v>16.9305985109537</v>
          </cell>
          <cell r="L62">
            <v>18.6618022172759</v>
          </cell>
          <cell r="M62">
            <v>6.40061242692461</v>
          </cell>
          <cell r="N62">
            <v>10.9802825582982</v>
          </cell>
          <cell r="O62">
            <v>20.9518895945888</v>
          </cell>
          <cell r="P62">
            <v>18.8171391749214</v>
          </cell>
          <cell r="Q62">
            <v>8.7406138567289</v>
          </cell>
        </row>
        <row r="62">
          <cell r="U62">
            <v>1.37609508877496</v>
          </cell>
          <cell r="V62">
            <v>1.47457999023116</v>
          </cell>
          <cell r="W62">
            <v>1.52773627533974</v>
          </cell>
          <cell r="X62">
            <v>3.33997664608546</v>
          </cell>
          <cell r="Y62">
            <v>7.84165544869036</v>
          </cell>
          <cell r="Z62">
            <v>3.96055643596839</v>
          </cell>
          <cell r="AA62">
            <v>4.36553502999806</v>
          </cell>
          <cell r="AB62">
            <v>1.49728828104894</v>
          </cell>
          <cell r="AC62">
            <v>2.56860551780752</v>
          </cell>
          <cell r="AD62">
            <v>4.90125267136072</v>
          </cell>
          <cell r="AE62">
            <v>4.40187283500527</v>
          </cell>
          <cell r="AF62">
            <v>2.04468226224757</v>
          </cell>
        </row>
        <row r="63">
          <cell r="F63">
            <v>5.88253540572195</v>
          </cell>
          <cell r="G63">
            <v>6.30353895734491</v>
          </cell>
          <cell r="H63">
            <v>6.5307716040846</v>
          </cell>
          <cell r="I63">
            <v>14.2777421670569</v>
          </cell>
          <cell r="J63">
            <v>33.5215321911066</v>
          </cell>
          <cell r="K63">
            <v>16.9305985109537</v>
          </cell>
          <cell r="L63">
            <v>18.6618022172759</v>
          </cell>
          <cell r="M63">
            <v>6.40061242692461</v>
          </cell>
          <cell r="N63">
            <v>10.9802825582982</v>
          </cell>
          <cell r="O63">
            <v>20.9518895945888</v>
          </cell>
          <cell r="P63">
            <v>18.8171391749214</v>
          </cell>
          <cell r="Q63">
            <v>8.7406138567289</v>
          </cell>
        </row>
        <row r="63">
          <cell r="U63">
            <v>1.37609508877496</v>
          </cell>
          <cell r="V63">
            <v>1.47457999023116</v>
          </cell>
          <cell r="W63">
            <v>1.52773627533974</v>
          </cell>
          <cell r="X63">
            <v>3.33997664608546</v>
          </cell>
          <cell r="Y63">
            <v>7.84165544869036</v>
          </cell>
          <cell r="Z63">
            <v>3.96055643596839</v>
          </cell>
          <cell r="AA63">
            <v>4.36553502999806</v>
          </cell>
          <cell r="AB63">
            <v>1.49728828104894</v>
          </cell>
          <cell r="AC63">
            <v>2.56860551780752</v>
          </cell>
          <cell r="AD63">
            <v>4.90125267136072</v>
          </cell>
          <cell r="AE63">
            <v>4.40187283500527</v>
          </cell>
          <cell r="AF63">
            <v>2.04468226224757</v>
          </cell>
        </row>
        <row r="64">
          <cell r="F64">
            <v>5.88253540572195</v>
          </cell>
          <cell r="G64">
            <v>6.30353895734491</v>
          </cell>
          <cell r="H64">
            <v>6.5307716040846</v>
          </cell>
          <cell r="I64">
            <v>14.2777421670569</v>
          </cell>
          <cell r="J64">
            <v>33.5215321911066</v>
          </cell>
          <cell r="K64">
            <v>16.9305985109537</v>
          </cell>
          <cell r="L64">
            <v>18.6618022172759</v>
          </cell>
          <cell r="M64">
            <v>6.40061242692461</v>
          </cell>
          <cell r="N64">
            <v>10.9802825582982</v>
          </cell>
          <cell r="O64">
            <v>20.9518895945888</v>
          </cell>
          <cell r="P64">
            <v>18.8171391749214</v>
          </cell>
          <cell r="Q64">
            <v>8.7406138567289</v>
          </cell>
        </row>
        <row r="64">
          <cell r="U64">
            <v>1.37609508877496</v>
          </cell>
          <cell r="V64">
            <v>1.47457999023116</v>
          </cell>
          <cell r="W64">
            <v>1.52773627533974</v>
          </cell>
          <cell r="X64">
            <v>3.33997664608546</v>
          </cell>
          <cell r="Y64">
            <v>7.84165544869036</v>
          </cell>
          <cell r="Z64">
            <v>3.96055643596839</v>
          </cell>
          <cell r="AA64">
            <v>4.36553502999806</v>
          </cell>
          <cell r="AB64">
            <v>1.49728828104894</v>
          </cell>
          <cell r="AC64">
            <v>2.56860551780752</v>
          </cell>
          <cell r="AD64">
            <v>4.90125267136072</v>
          </cell>
          <cell r="AE64">
            <v>4.40187283500527</v>
          </cell>
          <cell r="AF64">
            <v>2.04468226224757</v>
          </cell>
        </row>
        <row r="65">
          <cell r="F65">
            <v>5.88253540572195</v>
          </cell>
          <cell r="G65">
            <v>6.30353895734491</v>
          </cell>
          <cell r="H65">
            <v>6.5307716040846</v>
          </cell>
          <cell r="I65">
            <v>14.2777421670569</v>
          </cell>
          <cell r="J65">
            <v>33.5215321911066</v>
          </cell>
          <cell r="K65">
            <v>16.9305985109537</v>
          </cell>
          <cell r="L65">
            <v>18.6618022172759</v>
          </cell>
          <cell r="M65">
            <v>6.40061242692461</v>
          </cell>
          <cell r="N65">
            <v>10.9802825582982</v>
          </cell>
          <cell r="O65">
            <v>20.9518895945888</v>
          </cell>
          <cell r="P65">
            <v>18.8171391749214</v>
          </cell>
          <cell r="Q65">
            <v>8.7406138567289</v>
          </cell>
        </row>
        <row r="65">
          <cell r="U65">
            <v>1.37609508877496</v>
          </cell>
          <cell r="V65">
            <v>1.47457999023116</v>
          </cell>
          <cell r="W65">
            <v>1.52773627533974</v>
          </cell>
          <cell r="X65">
            <v>3.33997664608546</v>
          </cell>
          <cell r="Y65">
            <v>7.84165544869036</v>
          </cell>
          <cell r="Z65">
            <v>3.96055643596839</v>
          </cell>
          <cell r="AA65">
            <v>4.36553502999806</v>
          </cell>
          <cell r="AB65">
            <v>1.49728828104894</v>
          </cell>
          <cell r="AC65">
            <v>2.56860551780752</v>
          </cell>
          <cell r="AD65">
            <v>4.90125267136072</v>
          </cell>
          <cell r="AE65">
            <v>4.40187283500527</v>
          </cell>
          <cell r="AF65">
            <v>2.04468226224757</v>
          </cell>
        </row>
        <row r="66">
          <cell r="F66">
            <v>5.88253540572195</v>
          </cell>
          <cell r="G66">
            <v>6.30353895734491</v>
          </cell>
          <cell r="H66">
            <v>6.5307716040846</v>
          </cell>
          <cell r="I66">
            <v>14.2777421670569</v>
          </cell>
          <cell r="J66">
            <v>33.5215321911066</v>
          </cell>
          <cell r="K66">
            <v>16.9305985109537</v>
          </cell>
          <cell r="L66">
            <v>18.6618022172759</v>
          </cell>
          <cell r="M66">
            <v>6.40061242692461</v>
          </cell>
          <cell r="N66">
            <v>10.9802825582982</v>
          </cell>
          <cell r="O66">
            <v>20.9518895945888</v>
          </cell>
          <cell r="P66">
            <v>18.8171391749214</v>
          </cell>
          <cell r="Q66">
            <v>8.7406138567289</v>
          </cell>
        </row>
        <row r="66">
          <cell r="U66">
            <v>1.37609508877496</v>
          </cell>
          <cell r="V66">
            <v>1.47457999023116</v>
          </cell>
          <cell r="W66">
            <v>1.52773627533974</v>
          </cell>
          <cell r="X66">
            <v>3.33997664608546</v>
          </cell>
          <cell r="Y66">
            <v>7.84165544869036</v>
          </cell>
          <cell r="Z66">
            <v>3.96055643596839</v>
          </cell>
          <cell r="AA66">
            <v>4.36553502999806</v>
          </cell>
          <cell r="AB66">
            <v>1.49728828104894</v>
          </cell>
          <cell r="AC66">
            <v>2.56860551780752</v>
          </cell>
          <cell r="AD66">
            <v>4.90125267136072</v>
          </cell>
          <cell r="AE66">
            <v>4.40187283500527</v>
          </cell>
          <cell r="AF66">
            <v>2.04468226224757</v>
          </cell>
        </row>
        <row r="67">
          <cell r="F67">
            <v>8.75377292518147</v>
          </cell>
          <cell r="G67">
            <v>9.38026630557278</v>
          </cell>
          <cell r="H67">
            <v>9.71841012512589</v>
          </cell>
          <cell r="I67">
            <v>21.246640129549</v>
          </cell>
          <cell r="J67">
            <v>49.883232427242</v>
          </cell>
          <cell r="K67">
            <v>25.1943430222525</v>
          </cell>
          <cell r="L67">
            <v>27.7705390138034</v>
          </cell>
          <cell r="M67">
            <v>9.52472087339972</v>
          </cell>
          <cell r="N67">
            <v>16.3397061879437</v>
          </cell>
          <cell r="O67">
            <v>31.1784071348047</v>
          </cell>
          <cell r="P67">
            <v>28.0016952007758</v>
          </cell>
          <cell r="Q67">
            <v>13.0068658582275</v>
          </cell>
        </row>
        <row r="67">
          <cell r="U67">
            <v>2.4699580119087</v>
          </cell>
          <cell r="V67">
            <v>2.64672891487032</v>
          </cell>
          <cell r="W67">
            <v>2.74213932172243</v>
          </cell>
          <cell r="X67">
            <v>5.99493606501479</v>
          </cell>
          <cell r="Y67">
            <v>14.0750154986475</v>
          </cell>
          <cell r="Z67">
            <v>7.10881695635241</v>
          </cell>
          <cell r="AA67">
            <v>7.83571448773272</v>
          </cell>
          <cell r="AB67">
            <v>2.6874881075305</v>
          </cell>
          <cell r="AC67">
            <v>4.61039925939239</v>
          </cell>
          <cell r="AD67">
            <v>8.79727600422829</v>
          </cell>
          <cell r="AE67">
            <v>7.90093734431064</v>
          </cell>
          <cell r="AF67">
            <v>3.67000752828928</v>
          </cell>
        </row>
        <row r="68">
          <cell r="F68">
            <v>8.75377292518147</v>
          </cell>
          <cell r="G68">
            <v>9.38026630557278</v>
          </cell>
          <cell r="H68">
            <v>9.71841012512589</v>
          </cell>
          <cell r="I68">
            <v>21.246640129549</v>
          </cell>
          <cell r="J68">
            <v>49.883232427242</v>
          </cell>
          <cell r="K68">
            <v>25.1943430222525</v>
          </cell>
          <cell r="L68">
            <v>27.7705390138034</v>
          </cell>
          <cell r="M68">
            <v>9.52472087339972</v>
          </cell>
          <cell r="N68">
            <v>16.3397061879437</v>
          </cell>
          <cell r="O68">
            <v>31.1784071348047</v>
          </cell>
          <cell r="P68">
            <v>28.0016952007758</v>
          </cell>
          <cell r="Q68">
            <v>13.0068658582275</v>
          </cell>
        </row>
        <row r="68">
          <cell r="U68">
            <v>2.4699580119087</v>
          </cell>
          <cell r="V68">
            <v>2.64672891487032</v>
          </cell>
          <cell r="W68">
            <v>2.74213932172243</v>
          </cell>
          <cell r="X68">
            <v>5.99493606501479</v>
          </cell>
          <cell r="Y68">
            <v>14.0750154986475</v>
          </cell>
          <cell r="Z68">
            <v>7.10881695635241</v>
          </cell>
          <cell r="AA68">
            <v>7.83571448773272</v>
          </cell>
          <cell r="AB68">
            <v>2.6874881075305</v>
          </cell>
          <cell r="AC68">
            <v>4.61039925939239</v>
          </cell>
          <cell r="AD68">
            <v>8.79727600422829</v>
          </cell>
          <cell r="AE68">
            <v>7.90093734431064</v>
          </cell>
          <cell r="AF68">
            <v>3.67000752828928</v>
          </cell>
        </row>
        <row r="69">
          <cell r="F69">
            <v>8.75377292518147</v>
          </cell>
          <cell r="G69">
            <v>9.38026630557278</v>
          </cell>
          <cell r="H69">
            <v>9.71841012512589</v>
          </cell>
          <cell r="I69">
            <v>21.246640129549</v>
          </cell>
          <cell r="J69">
            <v>49.883232427242</v>
          </cell>
          <cell r="K69">
            <v>25.1943430222525</v>
          </cell>
          <cell r="L69">
            <v>27.7705390138034</v>
          </cell>
          <cell r="M69">
            <v>9.52472087339972</v>
          </cell>
          <cell r="N69">
            <v>16.3397061879437</v>
          </cell>
          <cell r="O69">
            <v>31.1784071348047</v>
          </cell>
          <cell r="P69">
            <v>28.0016952007758</v>
          </cell>
          <cell r="Q69">
            <v>13.0068658582275</v>
          </cell>
        </row>
        <row r="69">
          <cell r="U69">
            <v>2.4699580119087</v>
          </cell>
          <cell r="V69">
            <v>2.64672891487032</v>
          </cell>
          <cell r="W69">
            <v>2.74213932172243</v>
          </cell>
          <cell r="X69">
            <v>5.99493606501479</v>
          </cell>
          <cell r="Y69">
            <v>14.0750154986475</v>
          </cell>
          <cell r="Z69">
            <v>7.10881695635241</v>
          </cell>
          <cell r="AA69">
            <v>7.83571448773272</v>
          </cell>
          <cell r="AB69">
            <v>2.6874881075305</v>
          </cell>
          <cell r="AC69">
            <v>4.61039925939239</v>
          </cell>
          <cell r="AD69">
            <v>8.79727600422829</v>
          </cell>
          <cell r="AE69">
            <v>7.90093734431064</v>
          </cell>
          <cell r="AF69">
            <v>3.67000752828928</v>
          </cell>
        </row>
        <row r="70">
          <cell r="F70">
            <v>8.75377292518147</v>
          </cell>
          <cell r="G70">
            <v>9.38026630557278</v>
          </cell>
          <cell r="H70">
            <v>9.71841012512589</v>
          </cell>
          <cell r="I70">
            <v>21.246640129549</v>
          </cell>
          <cell r="J70">
            <v>49.883232427242</v>
          </cell>
          <cell r="K70">
            <v>25.1943430222525</v>
          </cell>
          <cell r="L70">
            <v>27.7705390138034</v>
          </cell>
          <cell r="M70">
            <v>9.52472087339972</v>
          </cell>
          <cell r="N70">
            <v>16.3397061879437</v>
          </cell>
          <cell r="O70">
            <v>31.1784071348047</v>
          </cell>
          <cell r="P70">
            <v>28.0016952007758</v>
          </cell>
          <cell r="Q70">
            <v>13.0068658582275</v>
          </cell>
        </row>
        <row r="70">
          <cell r="U70">
            <v>2.4699580119087</v>
          </cell>
          <cell r="V70">
            <v>2.64672891487032</v>
          </cell>
          <cell r="W70">
            <v>2.74213932172243</v>
          </cell>
          <cell r="X70">
            <v>5.99493606501479</v>
          </cell>
          <cell r="Y70">
            <v>14.0750154986475</v>
          </cell>
          <cell r="Z70">
            <v>7.10881695635241</v>
          </cell>
          <cell r="AA70">
            <v>7.83571448773272</v>
          </cell>
          <cell r="AB70">
            <v>2.6874881075305</v>
          </cell>
          <cell r="AC70">
            <v>4.61039925939239</v>
          </cell>
          <cell r="AD70">
            <v>8.79727600422829</v>
          </cell>
          <cell r="AE70">
            <v>7.90093734431064</v>
          </cell>
          <cell r="AF70">
            <v>3.67000752828928</v>
          </cell>
        </row>
        <row r="71">
          <cell r="F71">
            <v>8.75377292518147</v>
          </cell>
          <cell r="G71">
            <v>9.38026630557278</v>
          </cell>
          <cell r="H71">
            <v>9.71841012512589</v>
          </cell>
          <cell r="I71">
            <v>21.246640129549</v>
          </cell>
          <cell r="J71">
            <v>49.883232427242</v>
          </cell>
          <cell r="K71">
            <v>25.1943430222525</v>
          </cell>
          <cell r="L71">
            <v>27.7705390138034</v>
          </cell>
          <cell r="M71">
            <v>9.52472087339972</v>
          </cell>
          <cell r="N71">
            <v>16.3397061879437</v>
          </cell>
          <cell r="O71">
            <v>31.1784071348047</v>
          </cell>
          <cell r="P71">
            <v>28.0016952007758</v>
          </cell>
          <cell r="Q71">
            <v>13.0068658582275</v>
          </cell>
        </row>
        <row r="71">
          <cell r="U71">
            <v>2.4699580119087</v>
          </cell>
          <cell r="V71">
            <v>2.64672891487032</v>
          </cell>
          <cell r="W71">
            <v>2.74213932172243</v>
          </cell>
          <cell r="X71">
            <v>5.99493606501479</v>
          </cell>
          <cell r="Y71">
            <v>14.0750154986475</v>
          </cell>
          <cell r="Z71">
            <v>7.10881695635241</v>
          </cell>
          <cell r="AA71">
            <v>7.83571448773272</v>
          </cell>
          <cell r="AB71">
            <v>2.6874881075305</v>
          </cell>
          <cell r="AC71">
            <v>4.61039925939239</v>
          </cell>
          <cell r="AD71">
            <v>8.79727600422829</v>
          </cell>
          <cell r="AE71">
            <v>7.90093734431064</v>
          </cell>
          <cell r="AF71">
            <v>3.67000752828928</v>
          </cell>
        </row>
        <row r="72">
          <cell r="F72">
            <v>8.75377292518147</v>
          </cell>
          <cell r="G72">
            <v>9.38026630557278</v>
          </cell>
          <cell r="H72">
            <v>9.71841012512589</v>
          </cell>
          <cell r="I72">
            <v>21.246640129549</v>
          </cell>
          <cell r="J72">
            <v>49.883232427242</v>
          </cell>
          <cell r="K72">
            <v>25.1943430222525</v>
          </cell>
          <cell r="L72">
            <v>27.7705390138034</v>
          </cell>
          <cell r="M72">
            <v>9.52472087339972</v>
          </cell>
          <cell r="N72">
            <v>16.3397061879437</v>
          </cell>
          <cell r="O72">
            <v>31.1784071348047</v>
          </cell>
          <cell r="P72">
            <v>28.0016952007758</v>
          </cell>
          <cell r="Q72">
            <v>13.0068658582275</v>
          </cell>
        </row>
        <row r="72">
          <cell r="U72">
            <v>2.4699580119087</v>
          </cell>
          <cell r="V72">
            <v>2.64672891487032</v>
          </cell>
          <cell r="W72">
            <v>2.74213932172243</v>
          </cell>
          <cell r="X72">
            <v>5.99493606501479</v>
          </cell>
          <cell r="Y72">
            <v>14.0750154986475</v>
          </cell>
          <cell r="Z72">
            <v>7.10881695635241</v>
          </cell>
          <cell r="AA72">
            <v>7.83571448773272</v>
          </cell>
          <cell r="AB72">
            <v>2.6874881075305</v>
          </cell>
          <cell r="AC72">
            <v>4.61039925939239</v>
          </cell>
          <cell r="AD72">
            <v>8.79727600422829</v>
          </cell>
          <cell r="AE72">
            <v>7.90093734431064</v>
          </cell>
          <cell r="AF72">
            <v>3.67000752828928</v>
          </cell>
        </row>
        <row r="73">
          <cell r="F73">
            <v>1.75075458503629</v>
          </cell>
          <cell r="G73">
            <v>1.87605326111456</v>
          </cell>
          <cell r="H73">
            <v>1.94368202502518</v>
          </cell>
          <cell r="I73">
            <v>4.2493280259098</v>
          </cell>
          <cell r="J73">
            <v>9.9766464854484</v>
          </cell>
          <cell r="K73">
            <v>5.0388686044505</v>
          </cell>
          <cell r="L73">
            <v>5.55410780276069</v>
          </cell>
          <cell r="M73">
            <v>1.90494417467994</v>
          </cell>
          <cell r="N73">
            <v>3.26794123758875</v>
          </cell>
          <cell r="O73">
            <v>6.23568142696094</v>
          </cell>
          <cell r="P73">
            <v>5.60033904015517</v>
          </cell>
          <cell r="Q73">
            <v>2.60137317164551</v>
          </cell>
        </row>
        <row r="73">
          <cell r="U73">
            <v>0.806315242373355</v>
          </cell>
          <cell r="V73">
            <v>0.864021921101837</v>
          </cell>
          <cell r="W73">
            <v>0.895168549892686</v>
          </cell>
          <cell r="X73">
            <v>1.95704068772399</v>
          </cell>
          <cell r="Y73">
            <v>4.59477427489979</v>
          </cell>
          <cell r="Z73">
            <v>2.32066595444659</v>
          </cell>
          <cell r="AA73">
            <v>2.5579609029314</v>
          </cell>
          <cell r="AB73">
            <v>0.877327717455573</v>
          </cell>
          <cell r="AC73">
            <v>1.50506007727727</v>
          </cell>
          <cell r="AD73">
            <v>2.87186166703017</v>
          </cell>
          <cell r="AE73">
            <v>2.57925283710856</v>
          </cell>
          <cell r="AF73">
            <v>1.19807016775878</v>
          </cell>
        </row>
        <row r="74">
          <cell r="F74">
            <v>1.75075458503629</v>
          </cell>
          <cell r="G74">
            <v>1.87605326111456</v>
          </cell>
          <cell r="H74">
            <v>1.94368202502518</v>
          </cell>
          <cell r="I74">
            <v>4.2493280259098</v>
          </cell>
          <cell r="J74">
            <v>9.9766464854484</v>
          </cell>
          <cell r="K74">
            <v>5.0388686044505</v>
          </cell>
          <cell r="L74">
            <v>5.55410780276069</v>
          </cell>
          <cell r="M74">
            <v>1.90494417467994</v>
          </cell>
          <cell r="N74">
            <v>3.26794123758875</v>
          </cell>
          <cell r="O74">
            <v>6.23568142696094</v>
          </cell>
          <cell r="P74">
            <v>5.60033904015517</v>
          </cell>
          <cell r="Q74">
            <v>2.60137317164551</v>
          </cell>
        </row>
        <row r="74">
          <cell r="U74">
            <v>0.806315242373355</v>
          </cell>
          <cell r="V74">
            <v>0.864021921101837</v>
          </cell>
          <cell r="W74">
            <v>0.895168549892686</v>
          </cell>
          <cell r="X74">
            <v>1.95704068772399</v>
          </cell>
          <cell r="Y74">
            <v>4.59477427489979</v>
          </cell>
          <cell r="Z74">
            <v>2.32066595444659</v>
          </cell>
          <cell r="AA74">
            <v>2.5579609029314</v>
          </cell>
          <cell r="AB74">
            <v>0.877327717455573</v>
          </cell>
          <cell r="AC74">
            <v>1.50506007727727</v>
          </cell>
          <cell r="AD74">
            <v>2.87186166703017</v>
          </cell>
          <cell r="AE74">
            <v>2.57925283710856</v>
          </cell>
          <cell r="AF74">
            <v>1.19807016775878</v>
          </cell>
        </row>
        <row r="75">
          <cell r="F75">
            <v>0.525226375510888</v>
          </cell>
          <cell r="G75">
            <v>0.562815978334367</v>
          </cell>
          <cell r="H75">
            <v>0.583104607507553</v>
          </cell>
          <cell r="I75">
            <v>1.27479840777294</v>
          </cell>
          <cell r="J75">
            <v>2.99299394563452</v>
          </cell>
          <cell r="K75">
            <v>1.51166058133515</v>
          </cell>
          <cell r="L75">
            <v>1.66623234082821</v>
          </cell>
          <cell r="M75">
            <v>0.571483252403983</v>
          </cell>
          <cell r="N75">
            <v>0.980382371276624</v>
          </cell>
          <cell r="O75">
            <v>1.87070442808828</v>
          </cell>
          <cell r="P75">
            <v>1.68010171204655</v>
          </cell>
          <cell r="Q75">
            <v>0.780411951493652</v>
          </cell>
        </row>
        <row r="75">
          <cell r="U75">
            <v>0.0749744718322039</v>
          </cell>
          <cell r="V75">
            <v>0.0803402736073552</v>
          </cell>
          <cell r="W75">
            <v>0.0832364138763573</v>
          </cell>
          <cell r="X75">
            <v>0.181973605614041</v>
          </cell>
          <cell r="Y75">
            <v>0.427240806504928</v>
          </cell>
          <cell r="Z75">
            <v>0.215784962369651</v>
          </cell>
          <cell r="AA75">
            <v>0.23784961214451</v>
          </cell>
          <cell r="AB75">
            <v>0.0815775006886539</v>
          </cell>
          <cell r="AC75">
            <v>0.139946609513986</v>
          </cell>
          <cell r="AD75">
            <v>0.267037382335679</v>
          </cell>
          <cell r="AE75">
            <v>0.23982942281325</v>
          </cell>
          <cell r="AF75">
            <v>0.111401438699384</v>
          </cell>
        </row>
        <row r="76">
          <cell r="F76">
            <v>0.525226375510888</v>
          </cell>
          <cell r="G76">
            <v>0.562815978334367</v>
          </cell>
          <cell r="H76">
            <v>0.583104607507553</v>
          </cell>
          <cell r="I76">
            <v>1.27479840777294</v>
          </cell>
          <cell r="J76">
            <v>2.99299394563452</v>
          </cell>
          <cell r="K76">
            <v>1.51166058133515</v>
          </cell>
          <cell r="L76">
            <v>1.66623234082821</v>
          </cell>
          <cell r="M76">
            <v>0.571483252403983</v>
          </cell>
          <cell r="N76">
            <v>0.980382371276624</v>
          </cell>
          <cell r="O76">
            <v>1.87070442808828</v>
          </cell>
          <cell r="P76">
            <v>1.68010171204655</v>
          </cell>
          <cell r="Q76">
            <v>0.780411951493652</v>
          </cell>
        </row>
        <row r="76">
          <cell r="U76">
            <v>0.0749744718322039</v>
          </cell>
          <cell r="V76">
            <v>0.0803402736073552</v>
          </cell>
          <cell r="W76">
            <v>0.0832364138763573</v>
          </cell>
          <cell r="X76">
            <v>0.181973605614041</v>
          </cell>
          <cell r="Y76">
            <v>0.427240806504928</v>
          </cell>
          <cell r="Z76">
            <v>0.215784962369651</v>
          </cell>
          <cell r="AA76">
            <v>0.23784961214451</v>
          </cell>
          <cell r="AB76">
            <v>0.0815775006886539</v>
          </cell>
          <cell r="AC76">
            <v>0.139946609513986</v>
          </cell>
          <cell r="AD76">
            <v>0.267037382335679</v>
          </cell>
          <cell r="AE76">
            <v>0.23982942281325</v>
          </cell>
          <cell r="AF76">
            <v>0.111401438699384</v>
          </cell>
        </row>
        <row r="77">
          <cell r="F77">
            <v>0.525226375510888</v>
          </cell>
          <cell r="G77">
            <v>0.562815978334367</v>
          </cell>
          <cell r="H77">
            <v>0.583104607507553</v>
          </cell>
          <cell r="I77">
            <v>1.27479840777294</v>
          </cell>
          <cell r="J77">
            <v>2.99299394563452</v>
          </cell>
          <cell r="K77">
            <v>1.51166058133515</v>
          </cell>
          <cell r="L77">
            <v>1.66623234082821</v>
          </cell>
          <cell r="M77">
            <v>0.571483252403983</v>
          </cell>
          <cell r="N77">
            <v>0.980382371276624</v>
          </cell>
          <cell r="O77">
            <v>1.87070442808828</v>
          </cell>
          <cell r="P77">
            <v>1.68010171204655</v>
          </cell>
          <cell r="Q77">
            <v>0.780411951493652</v>
          </cell>
        </row>
        <row r="77">
          <cell r="U77">
            <v>0.0749744718322039</v>
          </cell>
          <cell r="V77">
            <v>0.0803402736073552</v>
          </cell>
          <cell r="W77">
            <v>0.0832364138763573</v>
          </cell>
          <cell r="X77">
            <v>0.181973605614041</v>
          </cell>
          <cell r="Y77">
            <v>0.427240806504928</v>
          </cell>
          <cell r="Z77">
            <v>0.215784962369651</v>
          </cell>
          <cell r="AA77">
            <v>0.23784961214451</v>
          </cell>
          <cell r="AB77">
            <v>0.0815775006886539</v>
          </cell>
          <cell r="AC77">
            <v>0.139946609513986</v>
          </cell>
          <cell r="AD77">
            <v>0.267037382335679</v>
          </cell>
          <cell r="AE77">
            <v>0.23982942281325</v>
          </cell>
          <cell r="AF77">
            <v>0.111401438699384</v>
          </cell>
        </row>
        <row r="78">
          <cell r="F78">
            <v>0.525226375510888</v>
          </cell>
          <cell r="G78">
            <v>0.562815978334367</v>
          </cell>
          <cell r="H78">
            <v>0.583104607507553</v>
          </cell>
          <cell r="I78">
            <v>1.27479840777294</v>
          </cell>
          <cell r="J78">
            <v>2.99299394563452</v>
          </cell>
          <cell r="K78">
            <v>1.51166058133515</v>
          </cell>
          <cell r="L78">
            <v>1.66623234082821</v>
          </cell>
          <cell r="M78">
            <v>0.571483252403983</v>
          </cell>
          <cell r="N78">
            <v>0.980382371276624</v>
          </cell>
          <cell r="O78">
            <v>1.87070442808828</v>
          </cell>
          <cell r="P78">
            <v>1.68010171204655</v>
          </cell>
          <cell r="Q78">
            <v>0.780411951493652</v>
          </cell>
        </row>
        <row r="78">
          <cell r="U78">
            <v>0.0749744718322039</v>
          </cell>
          <cell r="V78">
            <v>0.0803402736073552</v>
          </cell>
          <cell r="W78">
            <v>0.0832364138763573</v>
          </cell>
          <cell r="X78">
            <v>0.181973605614041</v>
          </cell>
          <cell r="Y78">
            <v>0.427240806504928</v>
          </cell>
          <cell r="Z78">
            <v>0.215784962369651</v>
          </cell>
          <cell r="AA78">
            <v>0.23784961214451</v>
          </cell>
          <cell r="AB78">
            <v>0.0815775006886539</v>
          </cell>
          <cell r="AC78">
            <v>0.139946609513986</v>
          </cell>
          <cell r="AD78">
            <v>0.267037382335679</v>
          </cell>
          <cell r="AE78">
            <v>0.23982942281325</v>
          </cell>
          <cell r="AF78">
            <v>0.111401438699384</v>
          </cell>
        </row>
        <row r="79">
          <cell r="F79">
            <v>0.437688646259073</v>
          </cell>
          <cell r="G79">
            <v>0.469013315278639</v>
          </cell>
          <cell r="H79">
            <v>0.485920506256294</v>
          </cell>
          <cell r="I79">
            <v>1.06233200647745</v>
          </cell>
          <cell r="J79">
            <v>2.4941616213621</v>
          </cell>
          <cell r="K79">
            <v>1.25971715111263</v>
          </cell>
          <cell r="L79">
            <v>1.38852695069017</v>
          </cell>
          <cell r="M79">
            <v>0.476236043669986</v>
          </cell>
          <cell r="N79">
            <v>0.816985309397187</v>
          </cell>
          <cell r="O79">
            <v>1.55892035674023</v>
          </cell>
          <cell r="P79">
            <v>1.40008476003879</v>
          </cell>
          <cell r="Q79">
            <v>0.650343292911377</v>
          </cell>
        </row>
        <row r="79">
          <cell r="U79">
            <v>0.165264980743804</v>
          </cell>
          <cell r="V79">
            <v>0.177092728314071</v>
          </cell>
          <cell r="W79">
            <v>0.183476642119549</v>
          </cell>
          <cell r="X79">
            <v>0.401121390958134</v>
          </cell>
          <cell r="Y79">
            <v>0.941759800829644</v>
          </cell>
          <cell r="Z79">
            <v>0.475651202060285</v>
          </cell>
          <cell r="AA79">
            <v>0.524287942420682</v>
          </cell>
          <cell r="AB79">
            <v>0.179819927382898</v>
          </cell>
          <cell r="AC79">
            <v>0.308481982750763</v>
          </cell>
          <cell r="AD79">
            <v>0.588626058591661</v>
          </cell>
          <cell r="AE79">
            <v>0.528652006135302</v>
          </cell>
          <cell r="AF79">
            <v>0.245560337693207</v>
          </cell>
        </row>
        <row r="80">
          <cell r="F80">
            <v>0.437688646259073</v>
          </cell>
          <cell r="G80">
            <v>0.469013315278639</v>
          </cell>
          <cell r="H80">
            <v>0.485920506256294</v>
          </cell>
          <cell r="I80">
            <v>1.06233200647745</v>
          </cell>
          <cell r="J80">
            <v>2.4941616213621</v>
          </cell>
          <cell r="K80">
            <v>1.25971715111263</v>
          </cell>
          <cell r="L80">
            <v>1.38852695069017</v>
          </cell>
          <cell r="M80">
            <v>0.476236043669986</v>
          </cell>
          <cell r="N80">
            <v>0.816985309397187</v>
          </cell>
          <cell r="O80">
            <v>1.55892035674023</v>
          </cell>
          <cell r="P80">
            <v>1.40008476003879</v>
          </cell>
          <cell r="Q80">
            <v>0.650343292911377</v>
          </cell>
        </row>
        <row r="80">
          <cell r="U80">
            <v>0.165264980743804</v>
          </cell>
          <cell r="V80">
            <v>0.177092728314071</v>
          </cell>
          <cell r="W80">
            <v>0.183476642119549</v>
          </cell>
          <cell r="X80">
            <v>0.401121390958134</v>
          </cell>
          <cell r="Y80">
            <v>0.941759800829644</v>
          </cell>
          <cell r="Z80">
            <v>0.475651202060285</v>
          </cell>
          <cell r="AA80">
            <v>0.524287942420682</v>
          </cell>
          <cell r="AB80">
            <v>0.179819927382898</v>
          </cell>
          <cell r="AC80">
            <v>0.308481982750763</v>
          </cell>
          <cell r="AD80">
            <v>0.588626058591661</v>
          </cell>
          <cell r="AE80">
            <v>0.528652006135302</v>
          </cell>
          <cell r="AF80">
            <v>0.245560337693207</v>
          </cell>
        </row>
        <row r="81">
          <cell r="F81">
            <v>2.27598096054718</v>
          </cell>
          <cell r="G81">
            <v>2.43886923944892</v>
          </cell>
          <cell r="H81">
            <v>2.52678663253273</v>
          </cell>
          <cell r="I81">
            <v>5.52412643368274</v>
          </cell>
          <cell r="J81">
            <v>12.9696404310829</v>
          </cell>
          <cell r="K81">
            <v>6.55052918578566</v>
          </cell>
          <cell r="L81">
            <v>7.22034014358889</v>
          </cell>
          <cell r="M81">
            <v>2.47642742708393</v>
          </cell>
          <cell r="N81">
            <v>4.24832360886537</v>
          </cell>
          <cell r="O81">
            <v>8.10638585504922</v>
          </cell>
          <cell r="P81">
            <v>7.28044075220172</v>
          </cell>
          <cell r="Q81">
            <v>3.38178512313916</v>
          </cell>
        </row>
        <row r="81">
          <cell r="U81">
            <v>0.577068751894656</v>
          </cell>
          <cell r="V81">
            <v>0.618368629808177</v>
          </cell>
          <cell r="W81">
            <v>0.64065984453104</v>
          </cell>
          <cell r="X81">
            <v>1.40062715886129</v>
          </cell>
          <cell r="Y81">
            <v>3.28841688301651</v>
          </cell>
          <cell r="Z81">
            <v>1.66086877131962</v>
          </cell>
          <cell r="AA81">
            <v>1.83069750896071</v>
          </cell>
          <cell r="AB81">
            <v>0.627891405629969</v>
          </cell>
          <cell r="AC81">
            <v>1.07715083962</v>
          </cell>
          <cell r="AD81">
            <v>2.05535197738434</v>
          </cell>
          <cell r="AE81">
            <v>1.84593585400907</v>
          </cell>
          <cell r="AF81">
            <v>0.85744237496462</v>
          </cell>
        </row>
        <row r="82">
          <cell r="F82">
            <v>2.27598096054718</v>
          </cell>
          <cell r="G82">
            <v>2.43886923944892</v>
          </cell>
          <cell r="H82">
            <v>2.52678663253273</v>
          </cell>
          <cell r="I82">
            <v>5.52412643368274</v>
          </cell>
          <cell r="J82">
            <v>12.9696404310829</v>
          </cell>
          <cell r="K82">
            <v>6.55052918578566</v>
          </cell>
          <cell r="L82">
            <v>7.22034014358889</v>
          </cell>
          <cell r="M82">
            <v>2.47642742708393</v>
          </cell>
          <cell r="N82">
            <v>4.24832360886537</v>
          </cell>
          <cell r="O82">
            <v>8.10638585504922</v>
          </cell>
          <cell r="P82">
            <v>7.28044075220172</v>
          </cell>
          <cell r="Q82">
            <v>3.38178512313916</v>
          </cell>
        </row>
        <row r="82">
          <cell r="U82">
            <v>0.577068751894656</v>
          </cell>
          <cell r="V82">
            <v>0.618368629808177</v>
          </cell>
          <cell r="W82">
            <v>0.64065984453104</v>
          </cell>
          <cell r="X82">
            <v>1.40062715886129</v>
          </cell>
          <cell r="Y82">
            <v>3.28841688301651</v>
          </cell>
          <cell r="Z82">
            <v>1.66086877131962</v>
          </cell>
          <cell r="AA82">
            <v>1.83069750896071</v>
          </cell>
          <cell r="AB82">
            <v>0.627891405629969</v>
          </cell>
          <cell r="AC82">
            <v>1.07715083962</v>
          </cell>
          <cell r="AD82">
            <v>2.05535197738434</v>
          </cell>
          <cell r="AE82">
            <v>1.84593585400907</v>
          </cell>
          <cell r="AF82">
            <v>0.85744237496462</v>
          </cell>
        </row>
        <row r="83">
          <cell r="F83">
            <v>2.27598096054718</v>
          </cell>
          <cell r="G83">
            <v>2.43886923944892</v>
          </cell>
          <cell r="H83">
            <v>2.52678663253273</v>
          </cell>
          <cell r="I83">
            <v>5.52412643368274</v>
          </cell>
          <cell r="J83">
            <v>12.9696404310829</v>
          </cell>
          <cell r="K83">
            <v>6.55052918578566</v>
          </cell>
          <cell r="L83">
            <v>7.22034014358889</v>
          </cell>
          <cell r="M83">
            <v>2.47642742708393</v>
          </cell>
          <cell r="N83">
            <v>4.24832360886537</v>
          </cell>
          <cell r="O83">
            <v>8.10638585504922</v>
          </cell>
          <cell r="P83">
            <v>7.28044075220172</v>
          </cell>
          <cell r="Q83">
            <v>3.38178512313916</v>
          </cell>
        </row>
        <row r="83">
          <cell r="U83">
            <v>0.577068751894656</v>
          </cell>
          <cell r="V83">
            <v>0.618368629808177</v>
          </cell>
          <cell r="W83">
            <v>0.64065984453104</v>
          </cell>
          <cell r="X83">
            <v>1.40062715886129</v>
          </cell>
          <cell r="Y83">
            <v>3.28841688301651</v>
          </cell>
          <cell r="Z83">
            <v>1.66086877131962</v>
          </cell>
          <cell r="AA83">
            <v>1.83069750896071</v>
          </cell>
          <cell r="AB83">
            <v>0.627891405629969</v>
          </cell>
          <cell r="AC83">
            <v>1.07715083962</v>
          </cell>
          <cell r="AD83">
            <v>2.05535197738434</v>
          </cell>
          <cell r="AE83">
            <v>1.84593585400907</v>
          </cell>
          <cell r="AF83">
            <v>0.85744237496462</v>
          </cell>
        </row>
        <row r="84">
          <cell r="F84">
            <v>2.27598096054718</v>
          </cell>
          <cell r="G84">
            <v>2.43886923944892</v>
          </cell>
          <cell r="H84">
            <v>2.52678663253273</v>
          </cell>
          <cell r="I84">
            <v>5.52412643368274</v>
          </cell>
          <cell r="J84">
            <v>12.9696404310829</v>
          </cell>
          <cell r="K84">
            <v>6.55052918578566</v>
          </cell>
          <cell r="L84">
            <v>7.22034014358889</v>
          </cell>
          <cell r="M84">
            <v>2.47642742708393</v>
          </cell>
          <cell r="N84">
            <v>4.24832360886537</v>
          </cell>
          <cell r="O84">
            <v>8.10638585504922</v>
          </cell>
          <cell r="P84">
            <v>7.28044075220172</v>
          </cell>
          <cell r="Q84">
            <v>3.38178512313916</v>
          </cell>
        </row>
        <row r="84">
          <cell r="U84">
            <v>0.577068751894656</v>
          </cell>
          <cell r="V84">
            <v>0.618368629808177</v>
          </cell>
          <cell r="W84">
            <v>0.64065984453104</v>
          </cell>
          <cell r="X84">
            <v>1.40062715886129</v>
          </cell>
          <cell r="Y84">
            <v>3.28841688301651</v>
          </cell>
          <cell r="Z84">
            <v>1.66086877131962</v>
          </cell>
          <cell r="AA84">
            <v>1.83069750896071</v>
          </cell>
          <cell r="AB84">
            <v>0.627891405629969</v>
          </cell>
          <cell r="AC84">
            <v>1.07715083962</v>
          </cell>
          <cell r="AD84">
            <v>2.05535197738434</v>
          </cell>
          <cell r="AE84">
            <v>1.84593585400907</v>
          </cell>
          <cell r="AF84">
            <v>0.85744237496462</v>
          </cell>
        </row>
        <row r="85">
          <cell r="F85">
            <v>2.27598096054718</v>
          </cell>
          <cell r="G85">
            <v>2.43886923944892</v>
          </cell>
          <cell r="H85">
            <v>2.52678663253273</v>
          </cell>
          <cell r="I85">
            <v>5.52412643368274</v>
          </cell>
          <cell r="J85">
            <v>12.9696404310829</v>
          </cell>
          <cell r="K85">
            <v>6.55052918578566</v>
          </cell>
          <cell r="L85">
            <v>7.22034014358889</v>
          </cell>
          <cell r="M85">
            <v>2.47642742708393</v>
          </cell>
          <cell r="N85">
            <v>4.24832360886537</v>
          </cell>
          <cell r="O85">
            <v>8.10638585504922</v>
          </cell>
          <cell r="P85">
            <v>7.28044075220172</v>
          </cell>
          <cell r="Q85">
            <v>3.38178512313916</v>
          </cell>
        </row>
        <row r="85">
          <cell r="U85">
            <v>0.577068751894656</v>
          </cell>
          <cell r="V85">
            <v>0.618368629808177</v>
          </cell>
          <cell r="W85">
            <v>0.64065984453104</v>
          </cell>
          <cell r="X85">
            <v>1.40062715886129</v>
          </cell>
          <cell r="Y85">
            <v>3.28841688301651</v>
          </cell>
          <cell r="Z85">
            <v>1.66086877131962</v>
          </cell>
          <cell r="AA85">
            <v>1.83069750896071</v>
          </cell>
          <cell r="AB85">
            <v>0.627891405629969</v>
          </cell>
          <cell r="AC85">
            <v>1.07715083962</v>
          </cell>
          <cell r="AD85">
            <v>2.05535197738434</v>
          </cell>
          <cell r="AE85">
            <v>1.84593585400907</v>
          </cell>
          <cell r="AF85">
            <v>0.85744237496462</v>
          </cell>
        </row>
        <row r="86">
          <cell r="F86">
            <v>2.27598096054718</v>
          </cell>
          <cell r="G86">
            <v>2.43886923944892</v>
          </cell>
          <cell r="H86">
            <v>2.52678663253273</v>
          </cell>
          <cell r="I86">
            <v>5.52412643368274</v>
          </cell>
          <cell r="J86">
            <v>12.9696404310829</v>
          </cell>
          <cell r="K86">
            <v>6.55052918578566</v>
          </cell>
          <cell r="L86">
            <v>7.22034014358889</v>
          </cell>
          <cell r="M86">
            <v>2.47642742708393</v>
          </cell>
          <cell r="N86">
            <v>4.24832360886537</v>
          </cell>
          <cell r="O86">
            <v>8.10638585504922</v>
          </cell>
          <cell r="P86">
            <v>7.28044075220172</v>
          </cell>
          <cell r="Q86">
            <v>3.38178512313916</v>
          </cell>
        </row>
        <row r="86">
          <cell r="U86">
            <v>0.577068751894656</v>
          </cell>
          <cell r="V86">
            <v>0.618368629808177</v>
          </cell>
          <cell r="W86">
            <v>0.64065984453104</v>
          </cell>
          <cell r="X86">
            <v>1.40062715886129</v>
          </cell>
          <cell r="Y86">
            <v>3.28841688301651</v>
          </cell>
          <cell r="Z86">
            <v>1.66086877131962</v>
          </cell>
          <cell r="AA86">
            <v>1.83069750896071</v>
          </cell>
          <cell r="AB86">
            <v>0.627891405629969</v>
          </cell>
          <cell r="AC86">
            <v>1.07715083962</v>
          </cell>
          <cell r="AD86">
            <v>2.05535197738434</v>
          </cell>
          <cell r="AE86">
            <v>1.84593585400907</v>
          </cell>
          <cell r="AF86">
            <v>0.85744237496462</v>
          </cell>
        </row>
        <row r="87">
          <cell r="F87">
            <v>2.33433944671506</v>
          </cell>
          <cell r="G87">
            <v>2.50140434815274</v>
          </cell>
          <cell r="H87">
            <v>2.5915760333669</v>
          </cell>
          <cell r="I87">
            <v>5.66577070121307</v>
          </cell>
          <cell r="J87">
            <v>13.3021953139312</v>
          </cell>
          <cell r="K87">
            <v>6.71849147260067</v>
          </cell>
          <cell r="L87">
            <v>7.40547707034758</v>
          </cell>
          <cell r="M87">
            <v>2.53992556623992</v>
          </cell>
          <cell r="N87">
            <v>4.35725498345166</v>
          </cell>
          <cell r="O87">
            <v>8.31424190261458</v>
          </cell>
          <cell r="P87">
            <v>7.46711872020689</v>
          </cell>
          <cell r="Q87">
            <v>3.46849756219401</v>
          </cell>
        </row>
        <row r="87">
          <cell r="U87">
            <v>1.08871496906039</v>
          </cell>
          <cell r="V87">
            <v>1.1666325398129</v>
          </cell>
          <cell r="W87">
            <v>1.20868780457579</v>
          </cell>
          <cell r="X87">
            <v>2.64246460914448</v>
          </cell>
          <cell r="Y87">
            <v>6.20402451752324</v>
          </cell>
          <cell r="Z87">
            <v>3.13344412956655</v>
          </cell>
          <cell r="AA87">
            <v>3.45384804719235</v>
          </cell>
          <cell r="AB87">
            <v>1.18459849023068</v>
          </cell>
          <cell r="AC87">
            <v>2.03218462129508</v>
          </cell>
          <cell r="AD87">
            <v>3.87768780950157</v>
          </cell>
          <cell r="AE87">
            <v>3.4825971595007</v>
          </cell>
          <cell r="AF87">
            <v>1.61767613592961</v>
          </cell>
        </row>
        <row r="88">
          <cell r="F88">
            <v>2.33433944671506</v>
          </cell>
          <cell r="G88">
            <v>2.50140434815274</v>
          </cell>
          <cell r="H88">
            <v>2.5915760333669</v>
          </cell>
          <cell r="I88">
            <v>5.66577070121307</v>
          </cell>
          <cell r="J88">
            <v>13.3021953139312</v>
          </cell>
          <cell r="K88">
            <v>6.71849147260067</v>
          </cell>
          <cell r="L88">
            <v>7.40547707034758</v>
          </cell>
          <cell r="M88">
            <v>2.53992556623992</v>
          </cell>
          <cell r="N88">
            <v>4.35725498345166</v>
          </cell>
          <cell r="O88">
            <v>8.31424190261458</v>
          </cell>
          <cell r="P88">
            <v>7.46711872020689</v>
          </cell>
          <cell r="Q88">
            <v>3.46849756219401</v>
          </cell>
        </row>
        <row r="88">
          <cell r="U88">
            <v>1.08871496906039</v>
          </cell>
          <cell r="V88">
            <v>1.1666325398129</v>
          </cell>
          <cell r="W88">
            <v>1.20868780457579</v>
          </cell>
          <cell r="X88">
            <v>2.64246460914448</v>
          </cell>
          <cell r="Y88">
            <v>6.20402451752324</v>
          </cell>
          <cell r="Z88">
            <v>3.13344412956655</v>
          </cell>
          <cell r="AA88">
            <v>3.45384804719235</v>
          </cell>
          <cell r="AB88">
            <v>1.18459849023068</v>
          </cell>
          <cell r="AC88">
            <v>2.03218462129508</v>
          </cell>
          <cell r="AD88">
            <v>3.87768780950157</v>
          </cell>
          <cell r="AE88">
            <v>3.4825971595007</v>
          </cell>
          <cell r="AF88">
            <v>1.61767613592961</v>
          </cell>
        </row>
        <row r="89">
          <cell r="F89">
            <v>2.33433944671506</v>
          </cell>
          <cell r="G89">
            <v>2.50140434815274</v>
          </cell>
          <cell r="H89">
            <v>2.5915760333669</v>
          </cell>
          <cell r="I89">
            <v>5.66577070121307</v>
          </cell>
          <cell r="J89">
            <v>13.3021953139312</v>
          </cell>
          <cell r="K89">
            <v>6.71849147260067</v>
          </cell>
          <cell r="L89">
            <v>7.40547707034758</v>
          </cell>
          <cell r="M89">
            <v>2.53992556623992</v>
          </cell>
          <cell r="N89">
            <v>4.35725498345166</v>
          </cell>
          <cell r="O89">
            <v>8.31424190261458</v>
          </cell>
          <cell r="P89">
            <v>7.46711872020689</v>
          </cell>
          <cell r="Q89">
            <v>3.46849756219401</v>
          </cell>
        </row>
        <row r="89">
          <cell r="U89">
            <v>1.08871496906039</v>
          </cell>
          <cell r="V89">
            <v>1.1666325398129</v>
          </cell>
          <cell r="W89">
            <v>1.20868780457579</v>
          </cell>
          <cell r="X89">
            <v>2.64246460914448</v>
          </cell>
          <cell r="Y89">
            <v>6.20402451752324</v>
          </cell>
          <cell r="Z89">
            <v>3.13344412956655</v>
          </cell>
          <cell r="AA89">
            <v>3.45384804719235</v>
          </cell>
          <cell r="AB89">
            <v>1.18459849023068</v>
          </cell>
          <cell r="AC89">
            <v>2.03218462129508</v>
          </cell>
          <cell r="AD89">
            <v>3.87768780950157</v>
          </cell>
          <cell r="AE89">
            <v>3.4825971595007</v>
          </cell>
          <cell r="AF89">
            <v>1.61767613592961</v>
          </cell>
        </row>
        <row r="90">
          <cell r="F90">
            <v>2.33433944671506</v>
          </cell>
          <cell r="G90">
            <v>2.50140434815274</v>
          </cell>
          <cell r="H90">
            <v>2.5915760333669</v>
          </cell>
          <cell r="I90">
            <v>5.66577070121307</v>
          </cell>
          <cell r="J90">
            <v>13.3021953139312</v>
          </cell>
          <cell r="K90">
            <v>6.71849147260067</v>
          </cell>
          <cell r="L90">
            <v>7.40547707034758</v>
          </cell>
          <cell r="M90">
            <v>2.53992556623992</v>
          </cell>
          <cell r="N90">
            <v>4.35725498345166</v>
          </cell>
          <cell r="O90">
            <v>8.31424190261458</v>
          </cell>
          <cell r="P90">
            <v>7.46711872020689</v>
          </cell>
          <cell r="Q90">
            <v>3.46849756219401</v>
          </cell>
        </row>
        <row r="90">
          <cell r="U90">
            <v>1.08871496906039</v>
          </cell>
          <cell r="V90">
            <v>1.1666325398129</v>
          </cell>
          <cell r="W90">
            <v>1.20868780457579</v>
          </cell>
          <cell r="X90">
            <v>2.64246460914448</v>
          </cell>
          <cell r="Y90">
            <v>6.20402451752324</v>
          </cell>
          <cell r="Z90">
            <v>3.13344412956655</v>
          </cell>
          <cell r="AA90">
            <v>3.45384804719235</v>
          </cell>
          <cell r="AB90">
            <v>1.18459849023068</v>
          </cell>
          <cell r="AC90">
            <v>2.03218462129508</v>
          </cell>
          <cell r="AD90">
            <v>3.87768780950157</v>
          </cell>
          <cell r="AE90">
            <v>3.4825971595007</v>
          </cell>
          <cell r="AF90">
            <v>1.61767613592961</v>
          </cell>
        </row>
        <row r="91">
          <cell r="F91">
            <v>2.33433944671506</v>
          </cell>
          <cell r="G91">
            <v>2.50140434815274</v>
          </cell>
          <cell r="H91">
            <v>2.5915760333669</v>
          </cell>
          <cell r="I91">
            <v>5.66577070121307</v>
          </cell>
          <cell r="J91">
            <v>13.3021953139312</v>
          </cell>
          <cell r="K91">
            <v>6.71849147260067</v>
          </cell>
          <cell r="L91">
            <v>7.40547707034758</v>
          </cell>
          <cell r="M91">
            <v>2.53992556623992</v>
          </cell>
          <cell r="N91">
            <v>4.35725498345166</v>
          </cell>
          <cell r="O91">
            <v>8.31424190261458</v>
          </cell>
          <cell r="P91">
            <v>7.46711872020689</v>
          </cell>
          <cell r="Q91">
            <v>3.46849756219401</v>
          </cell>
        </row>
        <row r="91">
          <cell r="U91">
            <v>1.08871496906039</v>
          </cell>
          <cell r="V91">
            <v>1.1666325398129</v>
          </cell>
          <cell r="W91">
            <v>1.20868780457579</v>
          </cell>
          <cell r="X91">
            <v>2.64246460914448</v>
          </cell>
          <cell r="Y91">
            <v>6.20402451752324</v>
          </cell>
          <cell r="Z91">
            <v>3.13344412956655</v>
          </cell>
          <cell r="AA91">
            <v>3.45384804719235</v>
          </cell>
          <cell r="AB91">
            <v>1.18459849023068</v>
          </cell>
          <cell r="AC91">
            <v>2.03218462129508</v>
          </cell>
          <cell r="AD91">
            <v>3.87768780950157</v>
          </cell>
          <cell r="AE91">
            <v>3.4825971595007</v>
          </cell>
          <cell r="AF91">
            <v>1.61767613592961</v>
          </cell>
        </row>
        <row r="92">
          <cell r="F92">
            <v>2.33433944671506</v>
          </cell>
          <cell r="G92">
            <v>2.50140434815274</v>
          </cell>
          <cell r="H92">
            <v>2.5915760333669</v>
          </cell>
          <cell r="I92">
            <v>5.66577070121307</v>
          </cell>
          <cell r="J92">
            <v>13.3021953139312</v>
          </cell>
          <cell r="K92">
            <v>6.71849147260067</v>
          </cell>
          <cell r="L92">
            <v>7.40547707034758</v>
          </cell>
          <cell r="M92">
            <v>2.53992556623992</v>
          </cell>
          <cell r="N92">
            <v>4.35725498345166</v>
          </cell>
          <cell r="O92">
            <v>8.31424190261458</v>
          </cell>
          <cell r="P92">
            <v>7.46711872020689</v>
          </cell>
          <cell r="Q92">
            <v>3.46849756219401</v>
          </cell>
        </row>
        <row r="92">
          <cell r="U92">
            <v>1.08871496906039</v>
          </cell>
          <cell r="V92">
            <v>1.1666325398129</v>
          </cell>
          <cell r="W92">
            <v>1.20868780457579</v>
          </cell>
          <cell r="X92">
            <v>2.64246460914448</v>
          </cell>
          <cell r="Y92">
            <v>6.20402451752324</v>
          </cell>
          <cell r="Z92">
            <v>3.13344412956655</v>
          </cell>
          <cell r="AA92">
            <v>3.45384804719235</v>
          </cell>
          <cell r="AB92">
            <v>1.18459849023068</v>
          </cell>
          <cell r="AC92">
            <v>2.03218462129508</v>
          </cell>
          <cell r="AD92">
            <v>3.87768780950157</v>
          </cell>
          <cell r="AE92">
            <v>3.4825971595007</v>
          </cell>
          <cell r="AF92">
            <v>1.61767613592961</v>
          </cell>
        </row>
        <row r="93">
          <cell r="F93">
            <v>1.75075458503629</v>
          </cell>
          <cell r="G93">
            <v>1.87605326111456</v>
          </cell>
          <cell r="H93">
            <v>1.94368202502518</v>
          </cell>
          <cell r="I93">
            <v>4.2493280259098</v>
          </cell>
          <cell r="J93">
            <v>9.9766464854484</v>
          </cell>
          <cell r="K93">
            <v>5.0388686044505</v>
          </cell>
          <cell r="L93">
            <v>5.55410780276069</v>
          </cell>
          <cell r="M93">
            <v>1.90494417467994</v>
          </cell>
          <cell r="N93">
            <v>3.26794123758875</v>
          </cell>
          <cell r="O93">
            <v>6.23568142696094</v>
          </cell>
          <cell r="P93">
            <v>5.60033904015517</v>
          </cell>
          <cell r="Q93">
            <v>2.60137317164551</v>
          </cell>
        </row>
        <row r="93">
          <cell r="U93">
            <v>0.765863612183822</v>
          </cell>
          <cell r="V93">
            <v>0.820675233117638</v>
          </cell>
          <cell r="W93">
            <v>0.850259282109314</v>
          </cell>
          <cell r="X93">
            <v>1.85885888238857</v>
          </cell>
          <cell r="Y93">
            <v>4.36426131916607</v>
          </cell>
          <cell r="Z93">
            <v>2.20424161313513</v>
          </cell>
          <cell r="AA93">
            <v>2.42963182883366</v>
          </cell>
          <cell r="AB93">
            <v>0.833313497561777</v>
          </cell>
          <cell r="AC93">
            <v>1.42955346341264</v>
          </cell>
          <cell r="AD93">
            <v>2.72778466091001</v>
          </cell>
          <cell r="AE93">
            <v>2.44985557850668</v>
          </cell>
          <cell r="AF93">
            <v>1.13796477867468</v>
          </cell>
        </row>
        <row r="94">
          <cell r="F94">
            <v>1.75075458503629</v>
          </cell>
          <cell r="G94">
            <v>1.87605326111456</v>
          </cell>
          <cell r="H94">
            <v>1.94368202502518</v>
          </cell>
          <cell r="I94">
            <v>4.2493280259098</v>
          </cell>
          <cell r="J94">
            <v>9.9766464854484</v>
          </cell>
          <cell r="K94">
            <v>5.0388686044505</v>
          </cell>
          <cell r="L94">
            <v>5.55410780276069</v>
          </cell>
          <cell r="M94">
            <v>1.90494417467994</v>
          </cell>
          <cell r="N94">
            <v>3.26794123758875</v>
          </cell>
          <cell r="O94">
            <v>6.23568142696094</v>
          </cell>
          <cell r="P94">
            <v>5.60033904015517</v>
          </cell>
          <cell r="Q94">
            <v>2.60137317164551</v>
          </cell>
        </row>
        <row r="94">
          <cell r="U94">
            <v>0.765863612183822</v>
          </cell>
          <cell r="V94">
            <v>0.820675233117638</v>
          </cell>
          <cell r="W94">
            <v>0.850259282109314</v>
          </cell>
          <cell r="X94">
            <v>1.85885888238857</v>
          </cell>
          <cell r="Y94">
            <v>4.36426131916607</v>
          </cell>
          <cell r="Z94">
            <v>2.20424161313513</v>
          </cell>
          <cell r="AA94">
            <v>2.42963182883366</v>
          </cell>
          <cell r="AB94">
            <v>0.833313497561777</v>
          </cell>
          <cell r="AC94">
            <v>1.42955346341264</v>
          </cell>
          <cell r="AD94">
            <v>2.72778466091001</v>
          </cell>
          <cell r="AE94">
            <v>2.44985557850668</v>
          </cell>
          <cell r="AF94">
            <v>1.13796477867468</v>
          </cell>
        </row>
        <row r="95">
          <cell r="F95">
            <v>1.75075458503629</v>
          </cell>
          <cell r="G95">
            <v>1.87605326111456</v>
          </cell>
          <cell r="H95">
            <v>1.94368202502518</v>
          </cell>
          <cell r="I95">
            <v>4.2493280259098</v>
          </cell>
          <cell r="J95">
            <v>9.9766464854484</v>
          </cell>
          <cell r="K95">
            <v>5.0388686044505</v>
          </cell>
          <cell r="L95">
            <v>5.55410780276069</v>
          </cell>
          <cell r="M95">
            <v>1.90494417467994</v>
          </cell>
          <cell r="N95">
            <v>3.26794123758875</v>
          </cell>
          <cell r="O95">
            <v>6.23568142696094</v>
          </cell>
          <cell r="P95">
            <v>5.60033904015517</v>
          </cell>
          <cell r="Q95">
            <v>2.60137317164551</v>
          </cell>
        </row>
        <row r="95">
          <cell r="U95">
            <v>0.765863612183822</v>
          </cell>
          <cell r="V95">
            <v>0.820675233117638</v>
          </cell>
          <cell r="W95">
            <v>0.850259282109314</v>
          </cell>
          <cell r="X95">
            <v>1.85885888238857</v>
          </cell>
          <cell r="Y95">
            <v>4.36426131916607</v>
          </cell>
          <cell r="Z95">
            <v>2.20424161313513</v>
          </cell>
          <cell r="AA95">
            <v>2.42963182883366</v>
          </cell>
          <cell r="AB95">
            <v>0.833313497561777</v>
          </cell>
          <cell r="AC95">
            <v>1.42955346341264</v>
          </cell>
          <cell r="AD95">
            <v>2.72778466091001</v>
          </cell>
          <cell r="AE95">
            <v>2.44985557850668</v>
          </cell>
          <cell r="AF95">
            <v>1.13796477867468</v>
          </cell>
        </row>
        <row r="96">
          <cell r="F96">
            <v>1.75075458503629</v>
          </cell>
          <cell r="G96">
            <v>1.87605326111456</v>
          </cell>
          <cell r="H96">
            <v>1.94368202502518</v>
          </cell>
          <cell r="I96">
            <v>4.2493280259098</v>
          </cell>
          <cell r="J96">
            <v>9.9766464854484</v>
          </cell>
          <cell r="K96">
            <v>5.0388686044505</v>
          </cell>
          <cell r="L96">
            <v>5.55410780276069</v>
          </cell>
          <cell r="M96">
            <v>1.90494417467994</v>
          </cell>
          <cell r="N96">
            <v>3.26794123758875</v>
          </cell>
          <cell r="O96">
            <v>6.23568142696094</v>
          </cell>
          <cell r="P96">
            <v>5.60033904015517</v>
          </cell>
          <cell r="Q96">
            <v>2.60137317164551</v>
          </cell>
        </row>
        <row r="96">
          <cell r="U96">
            <v>0.765863612183822</v>
          </cell>
          <cell r="V96">
            <v>0.820675233117638</v>
          </cell>
          <cell r="W96">
            <v>0.850259282109314</v>
          </cell>
          <cell r="X96">
            <v>1.85885888238857</v>
          </cell>
          <cell r="Y96">
            <v>4.36426131916607</v>
          </cell>
          <cell r="Z96">
            <v>2.20424161313513</v>
          </cell>
          <cell r="AA96">
            <v>2.42963182883366</v>
          </cell>
          <cell r="AB96">
            <v>0.833313497561777</v>
          </cell>
          <cell r="AC96">
            <v>1.42955346341264</v>
          </cell>
          <cell r="AD96">
            <v>2.72778466091001</v>
          </cell>
          <cell r="AE96">
            <v>2.44985557850668</v>
          </cell>
          <cell r="AF96">
            <v>1.13796477867468</v>
          </cell>
        </row>
        <row r="99">
          <cell r="F99">
            <v>13.5810043270391</v>
          </cell>
          <cell r="G99">
            <v>11.6462013297048</v>
          </cell>
          <cell r="H99">
            <v>27.7023870370666</v>
          </cell>
          <cell r="I99">
            <v>40.2948351704785</v>
          </cell>
          <cell r="J99">
            <v>21.988077994288</v>
          </cell>
          <cell r="K99">
            <v>16.1693888224258</v>
          </cell>
          <cell r="L99">
            <v>9.80559071593646</v>
          </cell>
          <cell r="M99">
            <v>13.615838892089</v>
          </cell>
          <cell r="N99">
            <v>15.5692985211495</v>
          </cell>
          <cell r="O99">
            <v>15.057644637878</v>
          </cell>
          <cell r="P99">
            <v>10.3242048728473</v>
          </cell>
          <cell r="Q99">
            <v>13.4084710575037</v>
          </cell>
        </row>
        <row r="100">
          <cell r="F100">
            <v>3.67818867190642</v>
          </cell>
          <cell r="G100">
            <v>3.15417952679504</v>
          </cell>
          <cell r="H100">
            <v>7.50272982253887</v>
          </cell>
          <cell r="I100">
            <v>10.9131845253379</v>
          </cell>
          <cell r="J100">
            <v>5.95510445678633</v>
          </cell>
          <cell r="K100">
            <v>4.37920947274032</v>
          </cell>
          <cell r="L100">
            <v>2.65568081889946</v>
          </cell>
          <cell r="M100">
            <v>3.6876230332741</v>
          </cell>
          <cell r="N100">
            <v>4.21668501614466</v>
          </cell>
          <cell r="O100">
            <v>4.07811208942529</v>
          </cell>
          <cell r="P100">
            <v>2.79613881972947</v>
          </cell>
          <cell r="Q100">
            <v>3.63146091140725</v>
          </cell>
        </row>
        <row r="101">
          <cell r="F101">
            <v>8.04186290895216</v>
          </cell>
          <cell r="G101">
            <v>5.65456992462307</v>
          </cell>
          <cell r="H101">
            <v>4.70146666094361</v>
          </cell>
          <cell r="I101">
            <v>6.63855861373027</v>
          </cell>
          <cell r="J101">
            <v>6.63855861373027</v>
          </cell>
          <cell r="K101">
            <v>4.73233689432737</v>
          </cell>
          <cell r="L101">
            <v>6.63855861373027</v>
          </cell>
          <cell r="M101">
            <v>6.23769880905377</v>
          </cell>
          <cell r="N101">
            <v>10.1800772680822</v>
          </cell>
          <cell r="O101">
            <v>10.3501825846166</v>
          </cell>
          <cell r="P101">
            <v>10.9169724257381</v>
          </cell>
          <cell r="Q101">
            <v>10.9631461114325</v>
          </cell>
        </row>
        <row r="102">
          <cell r="F102">
            <v>3.42304039824865</v>
          </cell>
          <cell r="G102">
            <v>2.40688277154785</v>
          </cell>
          <cell r="H102">
            <v>2.00119182503275</v>
          </cell>
          <cell r="I102">
            <v>2.82572018178076</v>
          </cell>
          <cell r="J102">
            <v>2.82572018178076</v>
          </cell>
          <cell r="K102">
            <v>2.01433182221653</v>
          </cell>
          <cell r="L102">
            <v>2.82572018178076</v>
          </cell>
          <cell r="M102">
            <v>2.65509313665739</v>
          </cell>
          <cell r="N102">
            <v>4.33317704373533</v>
          </cell>
          <cell r="O102">
            <v>4.4055828254611</v>
          </cell>
          <cell r="P102">
            <v>4.64683843320295</v>
          </cell>
          <cell r="Q102">
            <v>4.66649238568354</v>
          </cell>
        </row>
        <row r="103">
          <cell r="F103">
            <v>0.0078979694305466</v>
          </cell>
          <cell r="G103">
            <v>0.00846321433797809</v>
          </cell>
          <cell r="H103">
            <v>0.00876829987912529</v>
          </cell>
          <cell r="I103">
            <v>0.0191694844816327</v>
          </cell>
          <cell r="J103">
            <v>0.0450064501529255</v>
          </cell>
          <cell r="K103">
            <v>0.0227312443118155</v>
          </cell>
          <cell r="L103">
            <v>0.0250555811848723</v>
          </cell>
          <cell r="M103">
            <v>0.00859354645540347</v>
          </cell>
          <cell r="N103">
            <v>0.0147422718271867</v>
          </cell>
          <cell r="O103">
            <v>0.0281302826276727</v>
          </cell>
          <cell r="P103">
            <v>0.0252641386279307</v>
          </cell>
          <cell r="Q103">
            <v>0.0117352631617837</v>
          </cell>
        </row>
        <row r="104">
          <cell r="F104">
            <v>0.0324651300743771</v>
          </cell>
          <cell r="G104">
            <v>0.0278400206594795</v>
          </cell>
          <cell r="H104">
            <v>0.066222024297461</v>
          </cell>
          <cell r="I104">
            <v>0.0963240297722795</v>
          </cell>
          <cell r="J104">
            <v>0.0525620782513762</v>
          </cell>
          <cell r="K104">
            <v>0.0386526135109244</v>
          </cell>
          <cell r="L104">
            <v>0.0234400763289047</v>
          </cell>
          <cell r="M104">
            <v>0.032548401433269</v>
          </cell>
          <cell r="N104">
            <v>0.0372181091680814</v>
          </cell>
          <cell r="O104">
            <v>0.0359950103844075</v>
          </cell>
          <cell r="P104">
            <v>0.0246798135130687</v>
          </cell>
          <cell r="Q104">
            <v>0.032052692606371</v>
          </cell>
        </row>
        <row r="107">
          <cell r="F107">
            <v>8.10469461548187</v>
          </cell>
          <cell r="G107">
            <v>8.35723157678342</v>
          </cell>
          <cell r="H107">
            <v>7.82446425052296</v>
          </cell>
          <cell r="I107">
            <v>6.12822512901766</v>
          </cell>
          <cell r="J107">
            <v>7.53728478231931</v>
          </cell>
          <cell r="K107">
            <v>6.64387355013529</v>
          </cell>
          <cell r="L107">
            <v>8.1452371285274</v>
          </cell>
          <cell r="M107">
            <v>6.28055882342139</v>
          </cell>
          <cell r="N107">
            <v>6.88487580341059</v>
          </cell>
          <cell r="O107">
            <v>7.34028604449697</v>
          </cell>
          <cell r="P107">
            <v>7.53433408290849</v>
          </cell>
          <cell r="Q107">
            <v>8.07892561676247</v>
          </cell>
        </row>
        <row r="108">
          <cell r="F108">
            <v>70.7656194458225</v>
          </cell>
          <cell r="G108">
            <v>72.9706296710483</v>
          </cell>
          <cell r="H108">
            <v>68.3188060488112</v>
          </cell>
          <cell r="I108">
            <v>53.5082033232916</v>
          </cell>
          <cell r="J108">
            <v>65.811317004038</v>
          </cell>
          <cell r="K108">
            <v>58.0105543269857</v>
          </cell>
          <cell r="L108">
            <v>71.1196137893079</v>
          </cell>
          <cell r="M108">
            <v>54.8382951723242</v>
          </cell>
          <cell r="N108">
            <v>60.114849991413</v>
          </cell>
          <cell r="O108">
            <v>64.0912352028789</v>
          </cell>
          <cell r="P108">
            <v>65.785553162029</v>
          </cell>
          <cell r="Q108">
            <v>70.540619091905</v>
          </cell>
        </row>
        <row r="109">
          <cell r="F109">
            <v>70.7656194458225</v>
          </cell>
          <cell r="G109">
            <v>72.9706296710483</v>
          </cell>
          <cell r="H109">
            <v>68.3188060488112</v>
          </cell>
          <cell r="I109">
            <v>53.5082033232916</v>
          </cell>
          <cell r="J109">
            <v>65.811317004038</v>
          </cell>
          <cell r="K109">
            <v>58.0105543269857</v>
          </cell>
          <cell r="L109">
            <v>71.1196137893079</v>
          </cell>
          <cell r="M109">
            <v>54.8382951723242</v>
          </cell>
          <cell r="N109">
            <v>60.114849991413</v>
          </cell>
          <cell r="O109">
            <v>64.0912352028789</v>
          </cell>
          <cell r="P109">
            <v>65.785553162029</v>
          </cell>
          <cell r="Q109">
            <v>70.540619091905</v>
          </cell>
        </row>
        <row r="110">
          <cell r="F110">
            <v>273.33220510949</v>
          </cell>
          <cell r="G110">
            <v>281.849057104424</v>
          </cell>
          <cell r="H110">
            <v>263.881388363533</v>
          </cell>
          <cell r="I110">
            <v>206.675435336214</v>
          </cell>
          <cell r="J110">
            <v>254.196211928097</v>
          </cell>
          <cell r="K110">
            <v>224.065766087982</v>
          </cell>
          <cell r="L110">
            <v>274.699508261202</v>
          </cell>
          <cell r="M110">
            <v>211.812915103102</v>
          </cell>
          <cell r="N110">
            <v>232.193608091833</v>
          </cell>
          <cell r="O110">
            <v>247.55239597112</v>
          </cell>
          <cell r="P110">
            <v>254.096699088337</v>
          </cell>
          <cell r="Q110">
            <v>272.463141242483</v>
          </cell>
        </row>
        <row r="112">
          <cell r="F112">
            <v>299.338570255829</v>
          </cell>
          <cell r="G112">
            <v>308.665763508534</v>
          </cell>
          <cell r="H112">
            <v>288.988549586472</v>
          </cell>
          <cell r="I112">
            <v>226.339700057523</v>
          </cell>
          <cell r="J112">
            <v>278.381870927081</v>
          </cell>
          <cell r="K112">
            <v>245.38464480315</v>
          </cell>
          <cell r="L112">
            <v>300.835966328772</v>
          </cell>
          <cell r="M112">
            <v>231.965988578931</v>
          </cell>
          <cell r="N112">
            <v>254.285815463677</v>
          </cell>
          <cell r="O112">
            <v>271.105924908178</v>
          </cell>
          <cell r="P112">
            <v>278.272889875383</v>
          </cell>
          <cell r="Q112">
            <v>298.386818758758</v>
          </cell>
        </row>
        <row r="113">
          <cell r="F113">
            <v>176.914048614556</v>
          </cell>
          <cell r="G113">
            <v>182.426574177621</v>
          </cell>
          <cell r="H113">
            <v>170.797015122028</v>
          </cell>
          <cell r="I113">
            <v>133.770508308229</v>
          </cell>
          <cell r="J113">
            <v>164.528292510095</v>
          </cell>
          <cell r="K113">
            <v>145.026385817464</v>
          </cell>
          <cell r="L113">
            <v>177.79903447327</v>
          </cell>
          <cell r="M113">
            <v>137.09573793081</v>
          </cell>
          <cell r="N113">
            <v>150.287124978532</v>
          </cell>
          <cell r="O113">
            <v>160.228088007197</v>
          </cell>
          <cell r="P113">
            <v>164.463882905073</v>
          </cell>
          <cell r="Q113">
            <v>176.351547729763</v>
          </cell>
        </row>
        <row r="114">
          <cell r="F114">
            <v>491.9338989782</v>
          </cell>
          <cell r="G114">
            <v>507.262236183141</v>
          </cell>
          <cell r="H114">
            <v>474.924644146686</v>
          </cell>
          <cell r="I114">
            <v>371.967338013586</v>
          </cell>
          <cell r="J114">
            <v>457.493596809006</v>
          </cell>
          <cell r="K114">
            <v>403.265857000074</v>
          </cell>
          <cell r="L114">
            <v>494.39472414967</v>
          </cell>
          <cell r="M114">
            <v>381.213597347113</v>
          </cell>
          <cell r="N114">
            <v>417.894067406642</v>
          </cell>
          <cell r="O114">
            <v>445.53628542486</v>
          </cell>
          <cell r="P114">
            <v>457.314497023667</v>
          </cell>
          <cell r="Q114">
            <v>490.369787729815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Transmission cost"/>
      <sheetName val="Distribution Cost"/>
      <sheetName val="Sheet4"/>
      <sheetName val="Sheet3"/>
      <sheetName val="Sheet2"/>
      <sheetName val="Sheet1"/>
      <sheetName val="RSB_ARR"/>
      <sheetName val="FY 25 Scenarios"/>
      <sheetName val="SLDC cost"/>
      <sheetName val="Dist_ARR"/>
    </sheetNames>
    <sheetDataSet>
      <sheetData sheetId="0"/>
      <sheetData sheetId="1">
        <row r="50">
          <cell r="F50">
            <v>3629.21</v>
          </cell>
        </row>
        <row r="51">
          <cell r="F51">
            <v>932.52</v>
          </cell>
        </row>
        <row r="52">
          <cell r="F52">
            <v>1158.53</v>
          </cell>
        </row>
        <row r="53">
          <cell r="F53">
            <v>63.47</v>
          </cell>
        </row>
        <row r="54">
          <cell r="F54">
            <v>20</v>
          </cell>
        </row>
        <row r="56">
          <cell r="F56">
            <v>585.52</v>
          </cell>
        </row>
        <row r="57">
          <cell r="F57">
            <v>49.84</v>
          </cell>
        </row>
        <row r="66">
          <cell r="C66">
            <v>3298.81</v>
          </cell>
          <cell r="D66">
            <v>3429.81</v>
          </cell>
        </row>
        <row r="67">
          <cell r="C67">
            <v>819.74</v>
          </cell>
          <cell r="D67">
            <v>538.55</v>
          </cell>
        </row>
        <row r="68">
          <cell r="C68">
            <v>1039.9</v>
          </cell>
          <cell r="D68">
            <v>801.9</v>
          </cell>
        </row>
        <row r="69">
          <cell r="C69">
            <v>55.79</v>
          </cell>
          <cell r="D69">
            <v>0</v>
          </cell>
        </row>
        <row r="70">
          <cell r="C70">
            <v>20</v>
          </cell>
          <cell r="D70">
            <v>5.82</v>
          </cell>
        </row>
        <row r="71">
          <cell r="C71">
            <v>0</v>
          </cell>
          <cell r="D71">
            <v>57.03</v>
          </cell>
        </row>
        <row r="73">
          <cell r="C73">
            <v>536.47</v>
          </cell>
          <cell r="D73">
            <v>481.7</v>
          </cell>
        </row>
        <row r="74">
          <cell r="C74">
            <v>45.81</v>
          </cell>
          <cell r="D74">
            <v>19.26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1.4 CGS"/>
      <sheetName val="Legend"/>
      <sheetName val="Inputs to COS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"/>
      <sheetName val="ST,D-D"/>
      <sheetName val="TGSPDCL MoD"/>
      <sheetName val="Source wise - Cost"/>
      <sheetName val="NCE - Summry"/>
      <sheetName val="Station wise Cost - FY25"/>
      <sheetName val="MoD"/>
      <sheetName val="TGNPDCL MoD for disp"/>
      <sheetName val="TGNPDCL MoD"/>
      <sheetName val="MoD_Model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9">
          <cell r="G59">
            <v>1259.324555</v>
          </cell>
        </row>
        <row r="60">
          <cell r="G60">
            <v>28.325825</v>
          </cell>
        </row>
      </sheetData>
      <sheetData sheetId="23"/>
      <sheetData sheetId="24"/>
      <sheetData sheetId="25">
        <row r="7">
          <cell r="L7">
            <v>5882.15945334125</v>
          </cell>
          <cell r="M7">
            <v>5593.91535600843</v>
          </cell>
          <cell r="N7">
            <v>5249.64266435856</v>
          </cell>
          <cell r="O7">
            <v>4995.96323620647</v>
          </cell>
          <cell r="P7">
            <v>5560.18433447296</v>
          </cell>
          <cell r="Q7">
            <v>5400.441783041</v>
          </cell>
          <cell r="R7">
            <v>5026.78781390739</v>
          </cell>
          <cell r="S7">
            <v>4753.0168292768</v>
          </cell>
          <cell r="T7">
            <v>5143.59029808047</v>
          </cell>
          <cell r="U7">
            <v>5753.66329317121</v>
          </cell>
          <cell r="V7">
            <v>5798.05736166318</v>
          </cell>
          <cell r="W7">
            <v>6918.02599625662</v>
          </cell>
        </row>
        <row r="9">
          <cell r="L9">
            <v>1143.44795855286</v>
          </cell>
          <cell r="M9">
            <v>1226.44768522818</v>
          </cell>
          <cell r="N9">
            <v>1206.11997612925</v>
          </cell>
          <cell r="O9">
            <v>1176.36554133954</v>
          </cell>
          <cell r="P9">
            <v>1204.60310430637</v>
          </cell>
          <cell r="Q9">
            <v>1160.25323191233</v>
          </cell>
          <cell r="R9">
            <v>1176.03844642951</v>
          </cell>
          <cell r="S9">
            <v>1176.23914075048</v>
          </cell>
          <cell r="T9">
            <v>1172.28765843256</v>
          </cell>
          <cell r="U9">
            <v>1174.49308460987</v>
          </cell>
          <cell r="V9">
            <v>1159.45609069133</v>
          </cell>
          <cell r="W9">
            <v>1315.1242189336</v>
          </cell>
        </row>
        <row r="11">
          <cell r="L11">
            <v>183.523374944247</v>
          </cell>
          <cell r="M11">
            <v>174.530159107463</v>
          </cell>
          <cell r="N11">
            <v>163.788851127987</v>
          </cell>
          <cell r="O11">
            <v>155.874052969642</v>
          </cell>
          <cell r="P11">
            <v>173.477751235557</v>
          </cell>
          <cell r="Q11">
            <v>168.493783630879</v>
          </cell>
          <cell r="R11">
            <v>156.835779793911</v>
          </cell>
          <cell r="S11">
            <v>148.294125073437</v>
          </cell>
          <cell r="T11">
            <v>160.48001730011</v>
          </cell>
          <cell r="U11">
            <v>179.514294746942</v>
          </cell>
          <cell r="V11">
            <v>180.899389683891</v>
          </cell>
          <cell r="W11">
            <v>215.842411083207</v>
          </cell>
        </row>
        <row r="19">
          <cell r="L19">
            <v>4555.18811984414</v>
          </cell>
          <cell r="M19">
            <v>4192.93751167279</v>
          </cell>
          <cell r="N19">
            <v>3879.73383710133</v>
          </cell>
          <cell r="O19">
            <v>3663.72364189728</v>
          </cell>
          <cell r="P19">
            <v>4182.10347893104</v>
          </cell>
          <cell r="Q19">
            <v>4071.69476749779</v>
          </cell>
          <cell r="R19">
            <v>3693.91358768397</v>
          </cell>
          <cell r="S19">
            <v>3428.48356345289</v>
          </cell>
          <cell r="T19">
            <v>3810.8226223478</v>
          </cell>
          <cell r="U19">
            <v>4399.6559138144</v>
          </cell>
          <cell r="V19">
            <v>4457.70188128796</v>
          </cell>
          <cell r="W19">
            <v>5387.05936623982</v>
          </cell>
        </row>
        <row r="20">
          <cell r="L20">
            <v>887.852260795266</v>
          </cell>
          <cell r="M20">
            <v>943.189187025407</v>
          </cell>
          <cell r="N20">
            <v>930.369502935956</v>
          </cell>
          <cell r="O20">
            <v>849.419997317374</v>
          </cell>
          <cell r="P20">
            <v>899.382790692194</v>
          </cell>
          <cell r="Q20">
            <v>844.643510776053</v>
          </cell>
          <cell r="R20">
            <v>872.533665596186</v>
          </cell>
          <cell r="S20">
            <v>849.800723139713</v>
          </cell>
          <cell r="T20">
            <v>851.53204679823</v>
          </cell>
          <cell r="U20">
            <v>838.813838516194</v>
          </cell>
          <cell r="V20">
            <v>860.581439674383</v>
          </cell>
          <cell r="W20">
            <v>956.734652454838</v>
          </cell>
        </row>
        <row r="22">
          <cell r="L22">
            <v>181.296487169797</v>
          </cell>
          <cell r="M22">
            <v>166.878912964577</v>
          </cell>
          <cell r="N22">
            <v>154.413406716633</v>
          </cell>
          <cell r="O22">
            <v>145.816200947512</v>
          </cell>
          <cell r="P22">
            <v>166.447718461455</v>
          </cell>
          <cell r="Q22">
            <v>162.053451746412</v>
          </cell>
          <cell r="R22">
            <v>147.017760789822</v>
          </cell>
          <cell r="S22">
            <v>136.453645825425</v>
          </cell>
          <cell r="T22">
            <v>151.670740369443</v>
          </cell>
          <cell r="U22">
            <v>175.106305369814</v>
          </cell>
          <cell r="V22">
            <v>177.416534875261</v>
          </cell>
          <cell r="W22">
            <v>214.404962776345</v>
          </cell>
        </row>
        <row r="27">
          <cell r="L27">
            <v>3486.03937187908</v>
          </cell>
          <cell r="M27">
            <v>3082.8694116828</v>
          </cell>
          <cell r="N27">
            <v>2794.95092744874</v>
          </cell>
          <cell r="O27">
            <v>2668.4874436324</v>
          </cell>
          <cell r="P27">
            <v>3116.27296977739</v>
          </cell>
          <cell r="Q27">
            <v>3064.99780497532</v>
          </cell>
          <cell r="R27">
            <v>2674.36216129796</v>
          </cell>
          <cell r="S27">
            <v>2442.22919448775</v>
          </cell>
          <cell r="T27">
            <v>2807.61983518013</v>
          </cell>
          <cell r="U27">
            <v>3385.73576992839</v>
          </cell>
          <cell r="V27">
            <v>3419.70390673832</v>
          </cell>
          <cell r="W27">
            <v>4215.91975100864</v>
          </cell>
        </row>
        <row r="28">
          <cell r="L28">
            <v>1948.20658972091</v>
          </cell>
          <cell r="M28">
            <v>2290.27712101107</v>
          </cell>
          <cell r="N28">
            <v>2070.13431951188</v>
          </cell>
          <cell r="O28">
            <v>1688.7508897522</v>
          </cell>
          <cell r="P28">
            <v>1917.07653831081</v>
          </cell>
          <cell r="Q28">
            <v>1777.76288677645</v>
          </cell>
          <cell r="R28">
            <v>1781.77439263851</v>
          </cell>
          <cell r="S28">
            <v>1678.03659900603</v>
          </cell>
          <cell r="T28">
            <v>1534.51582566651</v>
          </cell>
          <cell r="U28">
            <v>1693.54628389595</v>
          </cell>
          <cell r="V28">
            <v>1627.35451721624</v>
          </cell>
          <cell r="W28">
            <v>2124.97228499439</v>
          </cell>
        </row>
        <row r="29">
          <cell r="L29">
            <v>1379.21799073767</v>
          </cell>
          <cell r="M29">
            <v>652.321732440167</v>
          </cell>
          <cell r="N29">
            <v>597.64634073794</v>
          </cell>
          <cell r="O29">
            <v>858.32037519492</v>
          </cell>
          <cell r="P29">
            <v>1057.4060113417</v>
          </cell>
          <cell r="Q29">
            <v>1147.7775180725</v>
          </cell>
          <cell r="R29">
            <v>770.904290320391</v>
          </cell>
          <cell r="S29">
            <v>653.071167132521</v>
          </cell>
          <cell r="T29">
            <v>1145.35730701292</v>
          </cell>
          <cell r="U29">
            <v>1538.1385085007</v>
          </cell>
          <cell r="V29">
            <v>1636.75286176548</v>
          </cell>
          <cell r="W29">
            <v>1899.12311734336</v>
          </cell>
        </row>
        <row r="30">
          <cell r="L30">
            <v>158.614791420498</v>
          </cell>
          <cell r="M30">
            <v>140.270558231567</v>
          </cell>
          <cell r="N30">
            <v>127.170267198917</v>
          </cell>
          <cell r="O30">
            <v>121.416178685274</v>
          </cell>
          <cell r="P30">
            <v>141.790420124871</v>
          </cell>
          <cell r="Q30">
            <v>139.457400126377</v>
          </cell>
          <cell r="R30">
            <v>121.683478339057</v>
          </cell>
          <cell r="S30">
            <v>111.121428349193</v>
          </cell>
          <cell r="T30">
            <v>127.746702500696</v>
          </cell>
          <cell r="U30">
            <v>154.050977531742</v>
          </cell>
          <cell r="V30">
            <v>155.596527756593</v>
          </cell>
          <cell r="W30">
            <v>191.824348670893</v>
          </cell>
        </row>
        <row r="37">
          <cell r="L37">
            <v>1056.61943253171</v>
          </cell>
          <cell r="M37">
            <v>1025.66045756241</v>
          </cell>
          <cell r="N37">
            <v>1059.54176490167</v>
          </cell>
          <cell r="O37">
            <v>1056.10815858917</v>
          </cell>
          <cell r="P37">
            <v>1261.8904257582</v>
          </cell>
          <cell r="Q37">
            <v>1314.15333731079</v>
          </cell>
          <cell r="R37">
            <v>1384.36477583788</v>
          </cell>
          <cell r="S37">
            <v>1337.27547243432</v>
          </cell>
          <cell r="T37">
            <v>1211.75286399164</v>
          </cell>
          <cell r="U37">
            <v>1188.29047834459</v>
          </cell>
          <cell r="V37">
            <v>1117.85782621625</v>
          </cell>
          <cell r="W37">
            <v>1206.79715981691</v>
          </cell>
        </row>
        <row r="46">
          <cell r="L46">
            <v>7110.86173998049</v>
          </cell>
          <cell r="M46">
            <v>6783.74237914617</v>
          </cell>
          <cell r="N46">
            <v>6465.6532376104</v>
          </cell>
          <cell r="O46">
            <v>6202.16375773277</v>
          </cell>
          <cell r="P46">
            <v>6991.26333288702</v>
          </cell>
          <cell r="Q46">
            <v>6881.11818031542</v>
          </cell>
          <cell r="R46">
            <v>6570.15022519498</v>
          </cell>
          <cell r="S46">
            <v>6241.33254940676</v>
          </cell>
          <cell r="T46">
            <v>6512.95671456458</v>
          </cell>
          <cell r="U46">
            <v>7114.11536330786</v>
          </cell>
          <cell r="V46">
            <v>7087.4310185278</v>
          </cell>
          <cell r="W46">
            <v>8326.32010255538</v>
          </cell>
        </row>
        <row r="47">
          <cell r="L47">
            <v>172.082854107528</v>
          </cell>
          <cell r="M47">
            <v>164.166565575337</v>
          </cell>
          <cell r="N47">
            <v>156.468808350172</v>
          </cell>
          <cell r="O47">
            <v>150.092362937133</v>
          </cell>
          <cell r="P47">
            <v>169.188572655866</v>
          </cell>
          <cell r="Q47">
            <v>166.523059963633</v>
          </cell>
          <cell r="R47">
            <v>158.997635449719</v>
          </cell>
          <cell r="S47">
            <v>151.040247695644</v>
          </cell>
          <cell r="T47">
            <v>157.613552492463</v>
          </cell>
          <cell r="U47">
            <v>172.16159179205</v>
          </cell>
          <cell r="V47">
            <v>171.515830648373</v>
          </cell>
          <cell r="W47">
            <v>201.49694648184</v>
          </cell>
        </row>
        <row r="48">
          <cell r="L48">
            <v>735.173254274452</v>
          </cell>
          <cell r="M48">
            <v>746.069305634791</v>
          </cell>
          <cell r="N48">
            <v>653.256178116467</v>
          </cell>
          <cell r="O48">
            <v>711.553651069648</v>
          </cell>
          <cell r="P48">
            <v>748.734300478753</v>
          </cell>
          <cell r="Q48">
            <v>703.622476882152</v>
          </cell>
          <cell r="R48">
            <v>760.881707149341</v>
          </cell>
          <cell r="S48">
            <v>705.189504274452</v>
          </cell>
          <cell r="T48">
            <v>704.427597149341</v>
          </cell>
          <cell r="U48">
            <v>748.464907149341</v>
          </cell>
          <cell r="V48">
            <v>690.719633524674</v>
          </cell>
          <cell r="W48">
            <v>764.268107149341</v>
          </cell>
        </row>
        <row r="49">
          <cell r="L49">
            <v>116.555655</v>
          </cell>
          <cell r="M49">
            <v>120.44296</v>
          </cell>
          <cell r="N49">
            <v>116.555655</v>
          </cell>
          <cell r="O49">
            <v>120.44296</v>
          </cell>
          <cell r="P49">
            <v>120.44296</v>
          </cell>
          <cell r="Q49">
            <v>116.555655</v>
          </cell>
          <cell r="R49">
            <v>120.44296</v>
          </cell>
          <cell r="S49">
            <v>91.79966</v>
          </cell>
          <cell r="T49">
            <v>108.061435</v>
          </cell>
          <cell r="U49">
            <v>120.44296</v>
          </cell>
          <cell r="V49">
            <v>108.7881</v>
          </cell>
          <cell r="W49">
            <v>120.44296</v>
          </cell>
        </row>
        <row r="52">
          <cell r="L52">
            <v>33.472946134486</v>
          </cell>
          <cell r="M52">
            <v>31.0211391097255</v>
          </cell>
          <cell r="N52">
            <v>25.3268093095318</v>
          </cell>
          <cell r="O52">
            <v>29.2030810485446</v>
          </cell>
          <cell r="P52">
            <v>29.291273678134</v>
          </cell>
          <cell r="Q52">
            <v>28.7062346158753</v>
          </cell>
          <cell r="R52">
            <v>29.2599789493581</v>
          </cell>
          <cell r="S52">
            <v>26.1213198590952</v>
          </cell>
          <cell r="T52">
            <v>32.012067866684</v>
          </cell>
          <cell r="U52">
            <v>33.7570706387519</v>
          </cell>
          <cell r="V52">
            <v>30.0215153938515</v>
          </cell>
          <cell r="W52">
            <v>31.4514784371591</v>
          </cell>
        </row>
      </sheetData>
      <sheetData sheetId="26"/>
      <sheetData sheetId="27"/>
      <sheetData sheetId="28"/>
      <sheetData sheetId="29">
        <row r="231">
          <cell r="BN231">
            <v>7.51</v>
          </cell>
        </row>
        <row r="233">
          <cell r="BN233">
            <v>9.088708742512</v>
          </cell>
        </row>
        <row r="234">
          <cell r="BN234">
            <v>6.08897114785332</v>
          </cell>
        </row>
        <row r="235">
          <cell r="BN235">
            <v>4.29508196721312</v>
          </cell>
        </row>
        <row r="236">
          <cell r="BN236">
            <v>2.15</v>
          </cell>
        </row>
        <row r="237">
          <cell r="BN237">
            <v>5.87975128633889</v>
          </cell>
        </row>
        <row r="238">
          <cell r="BN238">
            <v>2.82287123260092</v>
          </cell>
        </row>
        <row r="239">
          <cell r="BN239">
            <v>2.52916252685639</v>
          </cell>
        </row>
        <row r="240">
          <cell r="BN240">
            <v>4.10484274920065</v>
          </cell>
        </row>
        <row r="241">
          <cell r="BN241">
            <v>2.44429249825459</v>
          </cell>
        </row>
        <row r="242">
          <cell r="BN242">
            <v>10.3953153015999</v>
          </cell>
        </row>
        <row r="243">
          <cell r="BN243">
            <v>4.73701304498574</v>
          </cell>
        </row>
      </sheetData>
      <sheetData sheetId="30">
        <row r="16">
          <cell r="D16">
            <v>89.0429917508127</v>
          </cell>
          <cell r="E16">
            <v>939.624058669067</v>
          </cell>
          <cell r="F16">
            <v>466.368976999001</v>
          </cell>
          <cell r="G16">
            <v>41.1884644010834</v>
          </cell>
          <cell r="H16">
            <v>0</v>
          </cell>
          <cell r="I16">
            <v>6.19913149912418</v>
          </cell>
          <cell r="J16">
            <v>0</v>
          </cell>
          <cell r="K16">
            <v>58.9505083267943</v>
          </cell>
          <cell r="L16">
            <v>46.2131650965853</v>
          </cell>
          <cell r="M16">
            <v>36.470702368003</v>
          </cell>
          <cell r="N16">
            <v>249.241102821647</v>
          </cell>
          <cell r="O16">
            <v>871.013271010437</v>
          </cell>
        </row>
        <row r="17">
          <cell r="D17">
            <v>49.589054166455</v>
          </cell>
          <cell r="E17">
            <v>523.287318016461</v>
          </cell>
          <cell r="F17">
            <v>259.726184028926</v>
          </cell>
          <cell r="G17">
            <v>22.9383239720243</v>
          </cell>
          <cell r="H17">
            <v>0</v>
          </cell>
          <cell r="I17">
            <v>3.45236679103654</v>
          </cell>
          <cell r="J17">
            <v>0</v>
          </cell>
          <cell r="K17">
            <v>32.8302081172017</v>
          </cell>
          <cell r="L17">
            <v>25.7366368999723</v>
          </cell>
          <cell r="M17">
            <v>20.310948673836</v>
          </cell>
          <cell r="N17">
            <v>138.805203029544</v>
          </cell>
          <cell r="O17">
            <v>485.077190540866</v>
          </cell>
        </row>
        <row r="18">
          <cell r="N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283.168471386211</v>
          </cell>
          <cell r="E20">
            <v>624.454155887153</v>
          </cell>
          <cell r="F20">
            <v>642.553189084422</v>
          </cell>
          <cell r="G20">
            <v>457.309611254451</v>
          </cell>
          <cell r="H20">
            <v>515.128510495546</v>
          </cell>
          <cell r="I20">
            <v>551.330472793987</v>
          </cell>
          <cell r="J20">
            <v>416.152453486428</v>
          </cell>
          <cell r="K20">
            <v>565.60893668346</v>
          </cell>
          <cell r="L20">
            <v>334.460462093045</v>
          </cell>
          <cell r="M20">
            <v>310.625536203007</v>
          </cell>
          <cell r="N20">
            <v>46.6529973965926</v>
          </cell>
          <cell r="O20">
            <v>7.6264039000207</v>
          </cell>
        </row>
        <row r="21">
          <cell r="D21">
            <v>134.443506533265</v>
          </cell>
          <cell r="E21">
            <v>254.740404353209</v>
          </cell>
          <cell r="F21">
            <v>257.536117097196</v>
          </cell>
          <cell r="G21">
            <v>176.904396479004</v>
          </cell>
          <cell r="H21">
            <v>190.281881799814</v>
          </cell>
          <cell r="I21">
            <v>203.984714950292</v>
          </cell>
          <cell r="J21">
            <v>164.382424462502</v>
          </cell>
          <cell r="K21">
            <v>209.254223660672</v>
          </cell>
          <cell r="L21">
            <v>141.542255844292</v>
          </cell>
          <cell r="M21">
            <v>141.581435985722</v>
          </cell>
          <cell r="N21">
            <v>25.9206694641046</v>
          </cell>
          <cell r="O21">
            <v>4.55013329013403</v>
          </cell>
        </row>
      </sheetData>
      <sheetData sheetId="31">
        <row r="4">
          <cell r="F4">
            <v>76.2727276971216</v>
          </cell>
          <cell r="G4">
            <v>95.7041130866264</v>
          </cell>
          <cell r="H4">
            <v>92.6168836322193</v>
          </cell>
          <cell r="I4">
            <v>0</v>
          </cell>
          <cell r="J4">
            <v>30.9630954103792</v>
          </cell>
          <cell r="K4">
            <v>64.0146107457985</v>
          </cell>
          <cell r="L4">
            <v>61.9261908207583</v>
          </cell>
          <cell r="M4">
            <v>76.2727276971216</v>
          </cell>
          <cell r="N4">
            <v>68.2595512456086</v>
          </cell>
          <cell r="O4">
            <v>68.2595512456086</v>
          </cell>
          <cell r="P4">
            <v>77.6801411248662</v>
          </cell>
          <cell r="Q4">
            <v>85.1485123785426</v>
          </cell>
        </row>
        <row r="4">
          <cell r="U4">
            <v>15.3893870311832</v>
          </cell>
          <cell r="V4">
            <v>19.3100165843656</v>
          </cell>
          <cell r="W4">
            <v>18.6871128235797</v>
          </cell>
          <cell r="X4">
            <v>0</v>
          </cell>
          <cell r="Y4">
            <v>6.24735830670653</v>
          </cell>
          <cell r="Z4">
            <v>12.9160926868859</v>
          </cell>
          <cell r="AA4">
            <v>12.4947166134131</v>
          </cell>
          <cell r="AB4">
            <v>15.3893870311832</v>
          </cell>
          <cell r="AC4">
            <v>13.7725853579667</v>
          </cell>
          <cell r="AD4">
            <v>13.7725853579667</v>
          </cell>
          <cell r="AE4">
            <v>15.6733578633063</v>
          </cell>
          <cell r="AF4">
            <v>17.180235343443</v>
          </cell>
        </row>
        <row r="4">
          <cell r="AJ4">
            <v>34.9550057843319</v>
          </cell>
          <cell r="AK4">
            <v>43.8602096389117</v>
          </cell>
          <cell r="AL4">
            <v>42.4453641666888</v>
          </cell>
          <cell r="AM4">
            <v>0</v>
          </cell>
          <cell r="AN4">
            <v>14.1900678243538</v>
          </cell>
          <cell r="AO4">
            <v>29.3372369975643</v>
          </cell>
          <cell r="AP4">
            <v>28.3801356487076</v>
          </cell>
          <cell r="AQ4">
            <v>34.9550057843319</v>
          </cell>
          <cell r="AR4">
            <v>31.2826495218709</v>
          </cell>
          <cell r="AS4">
            <v>31.2826495218709</v>
          </cell>
          <cell r="AT4">
            <v>35.6000088672571</v>
          </cell>
          <cell r="AU4">
            <v>39.0226865169729</v>
          </cell>
        </row>
        <row r="5">
          <cell r="F5">
            <v>76.2727276971216</v>
          </cell>
          <cell r="G5">
            <v>95.7041130866264</v>
          </cell>
          <cell r="H5">
            <v>92.6168836322191</v>
          </cell>
          <cell r="I5">
            <v>0</v>
          </cell>
          <cell r="J5">
            <v>30.9630954103792</v>
          </cell>
          <cell r="K5">
            <v>64.0146107457985</v>
          </cell>
          <cell r="L5">
            <v>61.9261908207583</v>
          </cell>
          <cell r="M5">
            <v>77.1720322788131</v>
          </cell>
          <cell r="N5">
            <v>68.2595512456086</v>
          </cell>
          <cell r="O5">
            <v>68.2595512456086</v>
          </cell>
          <cell r="P5">
            <v>77.6801411248662</v>
          </cell>
          <cell r="Q5">
            <v>85.1485123785426</v>
          </cell>
        </row>
        <row r="5">
          <cell r="U5">
            <v>15.3720443691073</v>
          </cell>
          <cell r="V5">
            <v>19.2882556726656</v>
          </cell>
          <cell r="W5">
            <v>18.6660538767731</v>
          </cell>
          <cell r="X5">
            <v>0</v>
          </cell>
          <cell r="Y5">
            <v>6.24031801174475</v>
          </cell>
          <cell r="Z5">
            <v>12.9015372383579</v>
          </cell>
          <cell r="AA5">
            <v>12.4806360234895</v>
          </cell>
          <cell r="AB5">
            <v>15.5532906723207</v>
          </cell>
          <cell r="AC5">
            <v>13.75706470771</v>
          </cell>
          <cell r="AD5">
            <v>13.75706470771</v>
          </cell>
          <cell r="AE5">
            <v>15.655695187823</v>
          </cell>
          <cell r="AF5">
            <v>17.1608745322981</v>
          </cell>
        </row>
        <row r="5">
          <cell r="AJ5">
            <v>34.9216676767646</v>
          </cell>
          <cell r="AK5">
            <v>43.8183782515594</v>
          </cell>
          <cell r="AL5">
            <v>42.4048821789284</v>
          </cell>
          <cell r="AM5">
            <v>0</v>
          </cell>
          <cell r="AN5">
            <v>14.1765341402104</v>
          </cell>
          <cell r="AO5">
            <v>29.3092568001417</v>
          </cell>
          <cell r="AP5">
            <v>28.3530682804208</v>
          </cell>
          <cell r="AQ5">
            <v>35.3334166293749</v>
          </cell>
          <cell r="AR5">
            <v>31.2528139000093</v>
          </cell>
          <cell r="AS5">
            <v>31.2528139000093</v>
          </cell>
          <cell r="AT5">
            <v>35.5660555922287</v>
          </cell>
          <cell r="AU5">
            <v>38.9854688855786</v>
          </cell>
        </row>
        <row r="6">
          <cell r="F6">
            <v>160.717533361792</v>
          </cell>
          <cell r="G6">
            <v>0</v>
          </cell>
          <cell r="H6">
            <v>92.6168836322191</v>
          </cell>
          <cell r="I6">
            <v>144.243318193155</v>
          </cell>
          <cell r="J6">
            <v>127.886458595685</v>
          </cell>
          <cell r="K6">
            <v>131.576025030114</v>
          </cell>
          <cell r="L6">
            <v>123.852381641517</v>
          </cell>
          <cell r="M6">
            <v>184.604678093437</v>
          </cell>
          <cell r="N6">
            <v>147.0824997169</v>
          </cell>
          <cell r="O6">
            <v>156.286428536255</v>
          </cell>
          <cell r="P6">
            <v>155.360282249732</v>
          </cell>
          <cell r="Q6">
            <v>182.963745606786</v>
          </cell>
        </row>
        <row r="6">
          <cell r="U6">
            <v>39.5563127508512</v>
          </cell>
          <cell r="V6">
            <v>0</v>
          </cell>
          <cell r="W6">
            <v>22.7951632801515</v>
          </cell>
          <cell r="X6">
            <v>35.5016262838279</v>
          </cell>
          <cell r="Y6">
            <v>31.4758237448929</v>
          </cell>
          <cell r="Z6">
            <v>32.38391162269</v>
          </cell>
          <cell r="AA6">
            <v>30.4829438373791</v>
          </cell>
          <cell r="AB6">
            <v>45.4354931238025</v>
          </cell>
          <cell r="AC6">
            <v>36.2004147107065</v>
          </cell>
          <cell r="AD6">
            <v>38.4657150752623</v>
          </cell>
          <cell r="AE6">
            <v>38.2377689924895</v>
          </cell>
          <cell r="AF6">
            <v>45.0316215779465</v>
          </cell>
        </row>
        <row r="6">
          <cell r="AJ6">
            <v>65.7522732963399</v>
          </cell>
          <cell r="AK6">
            <v>0</v>
          </cell>
          <cell r="AL6">
            <v>37.8911405436535</v>
          </cell>
          <cell r="AM6">
            <v>59.0123919937039</v>
          </cell>
          <cell r="AN6">
            <v>52.3205228489626</v>
          </cell>
          <cell r="AO6">
            <v>53.8299871585935</v>
          </cell>
          <cell r="AP6">
            <v>50.6701134328857</v>
          </cell>
          <cell r="AQ6">
            <v>75.5249100199802</v>
          </cell>
          <cell r="AR6">
            <v>60.173949389355</v>
          </cell>
          <cell r="AS6">
            <v>63.939433033059</v>
          </cell>
          <cell r="AT6">
            <v>63.5605308531286</v>
          </cell>
          <cell r="AU6">
            <v>74.8535766622175</v>
          </cell>
        </row>
        <row r="7">
          <cell r="F7">
            <v>263.685715752906</v>
          </cell>
          <cell r="G7">
            <v>0</v>
          </cell>
          <cell r="H7">
            <v>148.187013811551</v>
          </cell>
          <cell r="I7">
            <v>248.659188109674</v>
          </cell>
          <cell r="J7">
            <v>204.9193950796</v>
          </cell>
          <cell r="K7">
            <v>224.459741508672</v>
          </cell>
          <cell r="L7">
            <v>200.584594874296</v>
          </cell>
          <cell r="M7">
            <v>298.574827992842</v>
          </cell>
          <cell r="N7">
            <v>259.341610146073</v>
          </cell>
          <cell r="O7">
            <v>254.150634552512</v>
          </cell>
          <cell r="P7">
            <v>250.956527077993</v>
          </cell>
          <cell r="Q7">
            <v>305.021716892409</v>
          </cell>
        </row>
        <row r="7">
          <cell r="U7">
            <v>104.068286204892</v>
          </cell>
          <cell r="V7">
            <v>0</v>
          </cell>
          <cell r="W7">
            <v>58.4846567101874</v>
          </cell>
          <cell r="X7">
            <v>98.1377981806301</v>
          </cell>
          <cell r="Y7">
            <v>80.8751061663915</v>
          </cell>
          <cell r="Z7">
            <v>88.5870535463133</v>
          </cell>
          <cell r="AA7">
            <v>79.1642996969606</v>
          </cell>
          <cell r="AB7">
            <v>117.837898668173</v>
          </cell>
          <cell r="AC7">
            <v>102.353807192234</v>
          </cell>
          <cell r="AD7">
            <v>100.30509578513</v>
          </cell>
          <cell r="AE7">
            <v>99.0444841138517</v>
          </cell>
          <cell r="AF7">
            <v>120.382278735237</v>
          </cell>
        </row>
        <row r="7">
          <cell r="AJ7">
            <v>104.103717853762</v>
          </cell>
          <cell r="AK7">
            <v>0</v>
          </cell>
          <cell r="AL7">
            <v>58.5045687112052</v>
          </cell>
          <cell r="AM7">
            <v>98.1712107036263</v>
          </cell>
          <cell r="AN7">
            <v>80.9026413403479</v>
          </cell>
          <cell r="AO7">
            <v>88.6172143713843</v>
          </cell>
          <cell r="AP7">
            <v>79.191252400538</v>
          </cell>
          <cell r="AQ7">
            <v>117.878018393417</v>
          </cell>
          <cell r="AR7">
            <v>102.388655120351</v>
          </cell>
          <cell r="AS7">
            <v>100.339246197934</v>
          </cell>
          <cell r="AT7">
            <v>99.078205332021</v>
          </cell>
          <cell r="AU7">
            <v>120.423264733814</v>
          </cell>
        </row>
        <row r="8">
          <cell r="F8">
            <v>19.0681819242805</v>
          </cell>
          <cell r="G8">
            <v>0</v>
          </cell>
          <cell r="H8">
            <v>11.5771104540273</v>
          </cell>
          <cell r="I8">
            <v>16.537107775998</v>
          </cell>
          <cell r="J8">
            <v>15.4815477051896</v>
          </cell>
          <cell r="K8">
            <v>16.0036526864496</v>
          </cell>
          <cell r="L8">
            <v>15.4815477051896</v>
          </cell>
          <cell r="M8">
            <v>18.8603670690912</v>
          </cell>
          <cell r="N8">
            <v>17.0648878114022</v>
          </cell>
          <cell r="O8">
            <v>17.0648878114022</v>
          </cell>
          <cell r="P8">
            <v>19.4200352812166</v>
          </cell>
          <cell r="Q8">
            <v>21.2871280946358</v>
          </cell>
        </row>
        <row r="8">
          <cell r="U8">
            <v>9.83845299189525</v>
          </cell>
          <cell r="V8">
            <v>0</v>
          </cell>
          <cell r="W8">
            <v>5.97334645936491</v>
          </cell>
          <cell r="X8">
            <v>8.53251548166152</v>
          </cell>
          <cell r="Y8">
            <v>7.98788683389588</v>
          </cell>
          <cell r="Z8">
            <v>8.25727304676921</v>
          </cell>
          <cell r="AA8">
            <v>7.98788683389588</v>
          </cell>
          <cell r="AB8">
            <v>9.73122847033802</v>
          </cell>
          <cell r="AC8">
            <v>8.80482980554433</v>
          </cell>
          <cell r="AD8">
            <v>8.80482980554433</v>
          </cell>
          <cell r="AE8">
            <v>10.0199958744838</v>
          </cell>
          <cell r="AF8">
            <v>10.9833443966069</v>
          </cell>
        </row>
        <row r="8">
          <cell r="AJ8">
            <v>9.65554940418424</v>
          </cell>
          <cell r="AK8">
            <v>0</v>
          </cell>
          <cell r="AL8">
            <v>5.86229785254037</v>
          </cell>
          <cell r="AM8">
            <v>8.37389016779548</v>
          </cell>
          <cell r="AN8">
            <v>7.83938654006384</v>
          </cell>
          <cell r="AO8">
            <v>8.10376467851175</v>
          </cell>
          <cell r="AP8">
            <v>7.83938654006384</v>
          </cell>
          <cell r="AQ8">
            <v>9.55031826001059</v>
          </cell>
          <cell r="AR8">
            <v>8.6411419816613</v>
          </cell>
          <cell r="AS8">
            <v>8.6411419816613</v>
          </cell>
          <cell r="AT8">
            <v>9.83371728009479</v>
          </cell>
          <cell r="AU8">
            <v>10.7791564925878</v>
          </cell>
        </row>
        <row r="9">
          <cell r="F9">
            <v>193.405845231987</v>
          </cell>
          <cell r="G9">
            <v>199.85270673972</v>
          </cell>
          <cell r="H9">
            <v>193.405845231987</v>
          </cell>
          <cell r="I9">
            <v>204.074947022953</v>
          </cell>
          <cell r="J9">
            <v>166.074784473852</v>
          </cell>
          <cell r="K9">
            <v>181.833964709965</v>
          </cell>
          <cell r="L9">
            <v>0</v>
          </cell>
          <cell r="M9">
            <v>96.7029226159935</v>
          </cell>
          <cell r="N9">
            <v>193.308489794504</v>
          </cell>
          <cell r="O9">
            <v>174.519265040319</v>
          </cell>
          <cell r="P9">
            <v>171.159632986993</v>
          </cell>
          <cell r="Q9">
            <v>212.51942758942</v>
          </cell>
        </row>
        <row r="9">
          <cell r="U9">
            <v>33.6062004666328</v>
          </cell>
          <cell r="V9">
            <v>34.7264071488539</v>
          </cell>
          <cell r="W9">
            <v>33.6062004666328</v>
          </cell>
          <cell r="X9">
            <v>35.4600636379142</v>
          </cell>
          <cell r="Y9">
            <v>28.8571552363716</v>
          </cell>
          <cell r="Z9">
            <v>31.595470459313</v>
          </cell>
          <cell r="AA9">
            <v>0</v>
          </cell>
          <cell r="AB9">
            <v>16.8031002333164</v>
          </cell>
          <cell r="AC9">
            <v>33.5892839854136</v>
          </cell>
          <cell r="AD9">
            <v>30.3244682144921</v>
          </cell>
          <cell r="AE9">
            <v>29.7406985350248</v>
          </cell>
          <cell r="AF9">
            <v>36.9273766160348</v>
          </cell>
        </row>
        <row r="9">
          <cell r="AJ9">
            <v>71.2003749285239</v>
          </cell>
          <cell r="AK9">
            <v>73.5737207594747</v>
          </cell>
          <cell r="AL9">
            <v>71.2003749285239</v>
          </cell>
          <cell r="AM9">
            <v>75.1280951417171</v>
          </cell>
          <cell r="AN9">
            <v>61.1387257015353</v>
          </cell>
          <cell r="AO9">
            <v>66.9403060003702</v>
          </cell>
          <cell r="AP9">
            <v>0</v>
          </cell>
          <cell r="AQ9">
            <v>35.6001874642619</v>
          </cell>
          <cell r="AR9">
            <v>71.1645345244152</v>
          </cell>
          <cell r="AS9">
            <v>64.2474744660201</v>
          </cell>
          <cell r="AT9">
            <v>63.0106604414401</v>
          </cell>
          <cell r="AU9">
            <v>78.2368439062019</v>
          </cell>
        </row>
        <row r="10">
          <cell r="F10">
            <v>232.087014278384</v>
          </cell>
          <cell r="G10">
            <v>239.823248087664</v>
          </cell>
          <cell r="H10">
            <v>232.087014278384</v>
          </cell>
          <cell r="I10">
            <v>244.889936427544</v>
          </cell>
          <cell r="J10">
            <v>204.356429708502</v>
          </cell>
          <cell r="K10">
            <v>225.077715429533</v>
          </cell>
          <cell r="L10">
            <v>195.876629854612</v>
          </cell>
          <cell r="M10">
            <v>0</v>
          </cell>
          <cell r="N10">
            <v>119.911624043832</v>
          </cell>
          <cell r="O10">
            <v>229.318084927701</v>
          </cell>
          <cell r="P10">
            <v>220.300997050388</v>
          </cell>
          <cell r="Q10">
            <v>270.223378126945</v>
          </cell>
        </row>
        <row r="10">
          <cell r="U10">
            <v>57.3010842722331</v>
          </cell>
          <cell r="V10">
            <v>59.2111204146409</v>
          </cell>
          <cell r="W10">
            <v>57.3010842722331</v>
          </cell>
          <cell r="X10">
            <v>60.4620595783305</v>
          </cell>
          <cell r="Y10">
            <v>50.4545462688137</v>
          </cell>
          <cell r="Z10">
            <v>55.5705246143561</v>
          </cell>
          <cell r="AA10">
            <v>48.360927513149</v>
          </cell>
          <cell r="AB10">
            <v>0</v>
          </cell>
          <cell r="AC10">
            <v>29.6055602073205</v>
          </cell>
          <cell r="AD10">
            <v>56.6174499268963</v>
          </cell>
          <cell r="AE10">
            <v>54.3911775352481</v>
          </cell>
          <cell r="AF10">
            <v>66.7167553967785</v>
          </cell>
        </row>
        <row r="10">
          <cell r="AJ10">
            <v>80.2161303290903</v>
          </cell>
          <cell r="AK10">
            <v>82.89000134006</v>
          </cell>
          <cell r="AL10">
            <v>80.2161303290903</v>
          </cell>
          <cell r="AM10">
            <v>84.6411985514697</v>
          </cell>
          <cell r="AN10">
            <v>70.6316208601919</v>
          </cell>
          <cell r="AO10">
            <v>77.7935095214453</v>
          </cell>
          <cell r="AP10">
            <v>67.7007514517537</v>
          </cell>
          <cell r="AQ10">
            <v>0</v>
          </cell>
          <cell r="AR10">
            <v>41.44500067003</v>
          </cell>
          <cell r="AS10">
            <v>79.2591065233548</v>
          </cell>
          <cell r="AT10">
            <v>76.1425344971071</v>
          </cell>
          <cell r="AU10">
            <v>93.3971846085183</v>
          </cell>
        </row>
        <row r="11">
          <cell r="F11">
            <v>104.439156425273</v>
          </cell>
          <cell r="G11">
            <v>107.920461639449</v>
          </cell>
          <cell r="H11">
            <v>104.439156425273</v>
          </cell>
          <cell r="I11">
            <v>110.200471392395</v>
          </cell>
          <cell r="J11">
            <v>45.980196684413</v>
          </cell>
          <cell r="K11">
            <v>0</v>
          </cell>
          <cell r="L11">
            <v>85.1203641099878</v>
          </cell>
          <cell r="M11">
            <v>104.439156425273</v>
          </cell>
          <cell r="N11">
            <v>107.920461639449</v>
          </cell>
          <cell r="O11">
            <v>98.8004226276643</v>
          </cell>
          <cell r="P11">
            <v>98.824938861567</v>
          </cell>
          <cell r="Q11">
            <v>118.031852582741</v>
          </cell>
        </row>
        <row r="11">
          <cell r="U11">
            <v>35.11552371926</v>
          </cell>
          <cell r="V11">
            <v>36.2860411765687</v>
          </cell>
          <cell r="W11">
            <v>35.11552371926</v>
          </cell>
          <cell r="X11">
            <v>37.052647680299</v>
          </cell>
          <cell r="Y11">
            <v>15.4598978252282</v>
          </cell>
          <cell r="Z11">
            <v>0</v>
          </cell>
          <cell r="AA11">
            <v>28.6199761392654</v>
          </cell>
          <cell r="AB11">
            <v>35.11552371926</v>
          </cell>
          <cell r="AC11">
            <v>36.2860411765686</v>
          </cell>
          <cell r="AD11">
            <v>33.2196151616473</v>
          </cell>
          <cell r="AE11">
            <v>33.2278582423326</v>
          </cell>
          <cell r="AF11">
            <v>39.6857889403104</v>
          </cell>
        </row>
        <row r="11">
          <cell r="AJ11">
            <v>38.0944196545452</v>
          </cell>
          <cell r="AK11">
            <v>39.3642336430301</v>
          </cell>
          <cell r="AL11">
            <v>38.0944196545452</v>
          </cell>
          <cell r="AM11">
            <v>40.1958723819673</v>
          </cell>
          <cell r="AN11">
            <v>16.7713812352346</v>
          </cell>
          <cell r="AO11">
            <v>0</v>
          </cell>
          <cell r="AP11">
            <v>31.0478462536575</v>
          </cell>
          <cell r="AQ11">
            <v>38.0944196545452</v>
          </cell>
          <cell r="AR11">
            <v>39.3642336430301</v>
          </cell>
          <cell r="AS11">
            <v>36.037678687281</v>
          </cell>
          <cell r="AT11">
            <v>36.0466210393126</v>
          </cell>
          <cell r="AU11">
            <v>43.0523864687431</v>
          </cell>
        </row>
        <row r="12">
          <cell r="F12">
            <v>104.439156425273</v>
          </cell>
          <cell r="G12">
            <v>0</v>
          </cell>
          <cell r="H12">
            <v>52.2195782126365</v>
          </cell>
          <cell r="I12">
            <v>110.200471392395</v>
          </cell>
          <cell r="J12">
            <v>89.791145528138</v>
          </cell>
          <cell r="K12">
            <v>100.026234322797</v>
          </cell>
          <cell r="L12">
            <v>85.1203641099878</v>
          </cell>
          <cell r="M12">
            <v>104.439156425273</v>
          </cell>
          <cell r="N12">
            <v>107.920461639449</v>
          </cell>
          <cell r="O12">
            <v>98.8004226276643</v>
          </cell>
          <cell r="P12">
            <v>97.6840133275922</v>
          </cell>
          <cell r="Q12">
            <v>116.200163528841</v>
          </cell>
        </row>
        <row r="12">
          <cell r="U12">
            <v>35.7499839269243</v>
          </cell>
          <cell r="V12">
            <v>0</v>
          </cell>
          <cell r="W12">
            <v>17.8749919634622</v>
          </cell>
          <cell r="X12">
            <v>37.7221074534096</v>
          </cell>
          <cell r="Y12">
            <v>30.7359051842578</v>
          </cell>
          <cell r="Z12">
            <v>34.2394212257867</v>
          </cell>
          <cell r="AA12">
            <v>29.137076101944</v>
          </cell>
          <cell r="AB12">
            <v>35.7499839269244</v>
          </cell>
          <cell r="AC12">
            <v>36.9416500578218</v>
          </cell>
          <cell r="AD12">
            <v>33.8198204754707</v>
          </cell>
          <cell r="AE12">
            <v>33.4376686475592</v>
          </cell>
          <cell r="AF12">
            <v>39.7758285364394</v>
          </cell>
        </row>
        <row r="12">
          <cell r="AJ12">
            <v>38.0944196545452</v>
          </cell>
          <cell r="AK12">
            <v>0</v>
          </cell>
          <cell r="AL12">
            <v>19.0472098272726</v>
          </cell>
          <cell r="AM12">
            <v>40.1958723819673</v>
          </cell>
          <cell r="AN12">
            <v>32.7515243907457</v>
          </cell>
          <cell r="AO12">
            <v>36.4847962888602</v>
          </cell>
          <cell r="AP12">
            <v>31.0478462536575</v>
          </cell>
          <cell r="AQ12">
            <v>38.0944196545452</v>
          </cell>
          <cell r="AR12">
            <v>39.3642336430301</v>
          </cell>
          <cell r="AS12">
            <v>36.037678687281</v>
          </cell>
          <cell r="AT12">
            <v>35.6304658579279</v>
          </cell>
          <cell r="AU12">
            <v>42.3842737236363</v>
          </cell>
        </row>
        <row r="13">
          <cell r="F13">
            <v>104.439156425273</v>
          </cell>
          <cell r="G13">
            <v>107.920461639449</v>
          </cell>
          <cell r="H13">
            <v>104.439156425273</v>
          </cell>
          <cell r="I13">
            <v>110.200471392395</v>
          </cell>
          <cell r="J13">
            <v>89.6803836158799</v>
          </cell>
          <cell r="K13">
            <v>100.026234322797</v>
          </cell>
          <cell r="L13">
            <v>85.1203641099878</v>
          </cell>
          <cell r="M13">
            <v>0</v>
          </cell>
          <cell r="N13">
            <v>53.9602308197243</v>
          </cell>
          <cell r="O13">
            <v>98.3337609445902</v>
          </cell>
          <cell r="P13">
            <v>95.7575579877613</v>
          </cell>
          <cell r="Q13">
            <v>114.760490898287</v>
          </cell>
        </row>
        <row r="13">
          <cell r="U13">
            <v>35.8239560963341</v>
          </cell>
          <cell r="V13">
            <v>37.0180879662119</v>
          </cell>
          <cell r="W13">
            <v>35.8239560963341</v>
          </cell>
          <cell r="X13">
            <v>37.8001602471882</v>
          </cell>
          <cell r="Y13">
            <v>30.7615097184014</v>
          </cell>
          <cell r="Z13">
            <v>34.3102678105735</v>
          </cell>
          <cell r="AA13">
            <v>29.1973651564488</v>
          </cell>
          <cell r="AB13">
            <v>0</v>
          </cell>
          <cell r="AC13">
            <v>18.5090439831059</v>
          </cell>
          <cell r="AD13">
            <v>33.7297279625859</v>
          </cell>
          <cell r="AE13">
            <v>32.8460576536753</v>
          </cell>
          <cell r="AF13">
            <v>39.3643048091408</v>
          </cell>
        </row>
        <row r="13">
          <cell r="AJ13">
            <v>38.0944196545452</v>
          </cell>
          <cell r="AK13">
            <v>39.3642336430301</v>
          </cell>
          <cell r="AL13">
            <v>38.0944196545452</v>
          </cell>
          <cell r="AM13">
            <v>40.1958723819673</v>
          </cell>
          <cell r="AN13">
            <v>32.711123731532</v>
          </cell>
          <cell r="AO13">
            <v>36.4847962888602</v>
          </cell>
          <cell r="AP13">
            <v>31.0478462536575</v>
          </cell>
          <cell r="AQ13">
            <v>0</v>
          </cell>
          <cell r="AR13">
            <v>19.682116821515</v>
          </cell>
          <cell r="AS13">
            <v>35.8674627778444</v>
          </cell>
          <cell r="AT13">
            <v>34.9277868946622</v>
          </cell>
          <cell r="AU13">
            <v>41.8591498598418</v>
          </cell>
        </row>
        <row r="14">
          <cell r="F14">
            <v>104.439156425273</v>
          </cell>
          <cell r="G14">
            <v>0</v>
          </cell>
          <cell r="H14">
            <v>52.2195782126365</v>
          </cell>
          <cell r="I14">
            <v>110.200471392395</v>
          </cell>
          <cell r="J14">
            <v>89.6803836158799</v>
          </cell>
          <cell r="K14">
            <v>100.026234322797</v>
          </cell>
          <cell r="L14">
            <v>85.1203641099878</v>
          </cell>
          <cell r="M14">
            <v>104.439156425273</v>
          </cell>
          <cell r="N14">
            <v>107.920461639449</v>
          </cell>
          <cell r="O14">
            <v>95.4370320566448</v>
          </cell>
          <cell r="P14">
            <v>92.6704097639572</v>
          </cell>
          <cell r="Q14">
            <v>114.760490898287</v>
          </cell>
        </row>
        <row r="14">
          <cell r="U14">
            <v>36.0857780438946</v>
          </cell>
          <cell r="V14">
            <v>0</v>
          </cell>
          <cell r="W14">
            <v>18.0428890219473</v>
          </cell>
          <cell r="X14">
            <v>38.0764254242503</v>
          </cell>
          <cell r="Y14">
            <v>30.9863324142175</v>
          </cell>
          <cell r="Z14">
            <v>34.5610268589413</v>
          </cell>
          <cell r="AA14">
            <v>29.4107561897658</v>
          </cell>
          <cell r="AB14">
            <v>36.0857780438946</v>
          </cell>
          <cell r="AC14">
            <v>37.2886373120244</v>
          </cell>
          <cell r="AD14">
            <v>32.9753674181416</v>
          </cell>
          <cell r="AE14">
            <v>32.0194451242206</v>
          </cell>
          <cell r="AF14">
            <v>39.652001648702</v>
          </cell>
        </row>
        <row r="14">
          <cell r="AJ14">
            <v>38.0944196545452</v>
          </cell>
          <cell r="AK14">
            <v>0</v>
          </cell>
          <cell r="AL14">
            <v>19.0472098272726</v>
          </cell>
          <cell r="AM14">
            <v>40.1958723819673</v>
          </cell>
          <cell r="AN14">
            <v>32.711123731532</v>
          </cell>
          <cell r="AO14">
            <v>36.4847962888602</v>
          </cell>
          <cell r="AP14">
            <v>31.0478462536575</v>
          </cell>
          <cell r="AQ14">
            <v>38.0944196545452</v>
          </cell>
          <cell r="AR14">
            <v>39.36423364303</v>
          </cell>
          <cell r="AS14">
            <v>34.8108743328602</v>
          </cell>
          <cell r="AT14">
            <v>33.8017425641766</v>
          </cell>
          <cell r="AU14">
            <v>41.8591498598418</v>
          </cell>
        </row>
        <row r="15">
          <cell r="F15">
            <v>328.71145270479</v>
          </cell>
          <cell r="G15">
            <v>330.961952886551</v>
          </cell>
          <cell r="H15">
            <v>161.262338559629</v>
          </cell>
          <cell r="I15">
            <v>0</v>
          </cell>
          <cell r="J15">
            <v>324.195225097227</v>
          </cell>
          <cell r="K15">
            <v>348.675326615413</v>
          </cell>
          <cell r="L15">
            <v>319.764330783552</v>
          </cell>
          <cell r="M15">
            <v>322.524677119257</v>
          </cell>
          <cell r="N15">
            <v>340.031084143073</v>
          </cell>
          <cell r="O15">
            <v>339.30993614861</v>
          </cell>
          <cell r="P15">
            <v>331.687130025712</v>
          </cell>
          <cell r="Q15">
            <v>360.297837502594</v>
          </cell>
        </row>
        <row r="15">
          <cell r="U15">
            <v>90.8124158833197</v>
          </cell>
          <cell r="V15">
            <v>91.4341567955086</v>
          </cell>
          <cell r="W15">
            <v>44.5516042568368</v>
          </cell>
          <cell r="X15">
            <v>0</v>
          </cell>
          <cell r="Y15">
            <v>89.5647272605261</v>
          </cell>
          <cell r="Z15">
            <v>96.3277929877552</v>
          </cell>
          <cell r="AA15">
            <v>88.3406134858539</v>
          </cell>
          <cell r="AB15">
            <v>89.1032085136736</v>
          </cell>
          <cell r="AC15">
            <v>93.9396664532672</v>
          </cell>
          <cell r="AD15">
            <v>93.7404364263005</v>
          </cell>
          <cell r="AE15">
            <v>91.6344999457356</v>
          </cell>
          <cell r="AF15">
            <v>99.5387194206804</v>
          </cell>
        </row>
        <row r="15">
          <cell r="AJ15">
            <v>91.2347374132556</v>
          </cell>
          <cell r="AK15">
            <v>91.859369720533</v>
          </cell>
          <cell r="AL15">
            <v>44.7587907025208</v>
          </cell>
          <cell r="AM15">
            <v>0</v>
          </cell>
          <cell r="AN15">
            <v>89.9812464366436</v>
          </cell>
          <cell r="AO15">
            <v>96.7757636811261</v>
          </cell>
          <cell r="AP15">
            <v>88.7514399425661</v>
          </cell>
          <cell r="AQ15">
            <v>89.5175814050417</v>
          </cell>
          <cell r="AR15">
            <v>94.3765312065316</v>
          </cell>
          <cell r="AS15">
            <v>94.1763746638569</v>
          </cell>
          <cell r="AT15">
            <v>92.0606445630279</v>
          </cell>
          <cell r="AU15">
            <v>100.001622470497</v>
          </cell>
        </row>
        <row r="15">
          <cell r="AW15">
            <v>2.00777490293785</v>
          </cell>
        </row>
        <row r="16">
          <cell r="F16">
            <v>322.524677119257</v>
          </cell>
          <cell r="G16">
            <v>326.519915236726</v>
          </cell>
          <cell r="H16">
            <v>161.262338559629</v>
          </cell>
          <cell r="I16">
            <v>0</v>
          </cell>
          <cell r="J16">
            <v>306.967148720079</v>
          </cell>
          <cell r="K16">
            <v>348.675326615413</v>
          </cell>
          <cell r="L16">
            <v>319.764330783552</v>
          </cell>
          <cell r="M16">
            <v>319.163759368289</v>
          </cell>
          <cell r="N16">
            <v>333.471738810389</v>
          </cell>
          <cell r="O16">
            <v>333.275499689899</v>
          </cell>
          <cell r="P16">
            <v>315.450702598364</v>
          </cell>
          <cell r="Q16">
            <v>360.297837502594</v>
          </cell>
        </row>
        <row r="16">
          <cell r="U16">
            <v>90.6552513345518</v>
          </cell>
          <cell r="V16">
            <v>91.7782330515339</v>
          </cell>
          <cell r="W16">
            <v>45.3276256672759</v>
          </cell>
          <cell r="X16">
            <v>0</v>
          </cell>
          <cell r="Y16">
            <v>86.282340524225</v>
          </cell>
          <cell r="Z16">
            <v>98.0056771184344</v>
          </cell>
          <cell r="AA16">
            <v>89.8793730573642</v>
          </cell>
          <cell r="AB16">
            <v>89.7105644158634</v>
          </cell>
          <cell r="AC16">
            <v>93.7322519468723</v>
          </cell>
          <cell r="AD16">
            <v>93.6770930457035</v>
          </cell>
          <cell r="AE16">
            <v>88.6668982452509</v>
          </cell>
          <cell r="AF16">
            <v>101.272533022382</v>
          </cell>
        </row>
        <row r="16">
          <cell r="AJ16">
            <v>89.5175814050417</v>
          </cell>
          <cell r="AK16">
            <v>90.6264703638879</v>
          </cell>
          <cell r="AL16">
            <v>44.7587907025208</v>
          </cell>
          <cell r="AM16">
            <v>0</v>
          </cell>
          <cell r="AN16">
            <v>85.1995480459392</v>
          </cell>
          <cell r="AO16">
            <v>96.7757636811261</v>
          </cell>
          <cell r="AP16">
            <v>88.7514399425661</v>
          </cell>
          <cell r="AQ16">
            <v>88.5847497499411</v>
          </cell>
          <cell r="AR16">
            <v>92.5559674747053</v>
          </cell>
          <cell r="AS16">
            <v>92.5015007852097</v>
          </cell>
          <cell r="AT16">
            <v>87.5541809741433</v>
          </cell>
          <cell r="AU16">
            <v>100.001622470497</v>
          </cell>
        </row>
        <row r="17">
          <cell r="F17">
            <v>322.524677119257</v>
          </cell>
          <cell r="G17">
            <v>0</v>
          </cell>
          <cell r="H17">
            <v>159.639023921613</v>
          </cell>
          <cell r="I17">
            <v>359.965166326557</v>
          </cell>
          <cell r="J17">
            <v>299.619265425669</v>
          </cell>
          <cell r="K17">
            <v>335.000886965545</v>
          </cell>
          <cell r="L17">
            <v>310.027821871657</v>
          </cell>
          <cell r="M17">
            <v>315.987014745218</v>
          </cell>
          <cell r="N17">
            <v>327.363649386735</v>
          </cell>
          <cell r="O17">
            <v>333.275499689899</v>
          </cell>
          <cell r="P17">
            <v>311.773854548615</v>
          </cell>
          <cell r="Q17">
            <v>360.297837502594</v>
          </cell>
        </row>
        <row r="17">
          <cell r="U17">
            <v>90.9692308072125</v>
          </cell>
          <cell r="V17">
            <v>0</v>
          </cell>
          <cell r="W17">
            <v>45.0267537438494</v>
          </cell>
          <cell r="X17">
            <v>101.529453778847</v>
          </cell>
          <cell r="Y17">
            <v>84.5086780777302</v>
          </cell>
          <cell r="Z17">
            <v>94.4881901105545</v>
          </cell>
          <cell r="AA17">
            <v>87.4444483950968</v>
          </cell>
          <cell r="AB17">
            <v>89.1252599124718</v>
          </cell>
          <cell r="AC17">
            <v>92.3340801235553</v>
          </cell>
          <cell r="AD17">
            <v>94.0015385007863</v>
          </cell>
          <cell r="AE17">
            <v>87.9369231136388</v>
          </cell>
          <cell r="AF17">
            <v>101.623284865715</v>
          </cell>
        </row>
        <row r="17">
          <cell r="AJ17">
            <v>89.5175814050416</v>
          </cell>
          <cell r="AK17">
            <v>0</v>
          </cell>
          <cell r="AL17">
            <v>44.3082354099692</v>
          </cell>
          <cell r="AM17">
            <v>99.9092887013481</v>
          </cell>
          <cell r="AN17">
            <v>83.160123506902</v>
          </cell>
          <cell r="AO17">
            <v>92.9803866096445</v>
          </cell>
          <cell r="AP17">
            <v>86.0490460144289</v>
          </cell>
          <cell r="AQ17">
            <v>87.7030358360205</v>
          </cell>
          <cell r="AR17">
            <v>90.8606510198683</v>
          </cell>
          <cell r="AS17">
            <v>92.5015007852097</v>
          </cell>
          <cell r="AT17">
            <v>86.5336620248736</v>
          </cell>
          <cell r="AU17">
            <v>100.001622470497</v>
          </cell>
        </row>
        <row r="18">
          <cell r="F18">
            <v>321.753739619818</v>
          </cell>
          <cell r="G18">
            <v>321.127328628966</v>
          </cell>
          <cell r="H18">
            <v>315.987014745218</v>
          </cell>
          <cell r="I18">
            <v>343.598035902392</v>
          </cell>
          <cell r="J18">
            <v>288.695509125382</v>
          </cell>
          <cell r="K18">
            <v>329.062339493296</v>
          </cell>
          <cell r="L18">
            <v>300.286931349365</v>
          </cell>
          <cell r="M18">
            <v>0</v>
          </cell>
          <cell r="N18">
            <v>162.617549298575</v>
          </cell>
          <cell r="O18">
            <v>327.26960667942</v>
          </cell>
          <cell r="P18">
            <v>305.692715108342</v>
          </cell>
          <cell r="Q18">
            <v>360.297837502594</v>
          </cell>
        </row>
        <row r="18">
          <cell r="U18">
            <v>92.3399222879204</v>
          </cell>
          <cell r="V18">
            <v>92.1601489547994</v>
          </cell>
          <cell r="W18">
            <v>90.6849332040154</v>
          </cell>
          <cell r="X18">
            <v>98.6090044236884</v>
          </cell>
          <cell r="Y18">
            <v>82.8525595662335</v>
          </cell>
          <cell r="Z18">
            <v>94.4374131986643</v>
          </cell>
          <cell r="AA18">
            <v>86.1791752215287</v>
          </cell>
          <cell r="AB18">
            <v>0</v>
          </cell>
          <cell r="AC18">
            <v>46.6695177579766</v>
          </cell>
          <cell r="AD18">
            <v>93.9229178305235</v>
          </cell>
          <cell r="AE18">
            <v>87.7305780204488</v>
          </cell>
          <cell r="AF18">
            <v>103.401670963659</v>
          </cell>
        </row>
        <row r="18">
          <cell r="AJ18">
            <v>89.3036056529205</v>
          </cell>
          <cell r="AK18">
            <v>89.129743617409</v>
          </cell>
          <cell r="AL18">
            <v>87.7030358360205</v>
          </cell>
          <cell r="AM18">
            <v>95.3665481482884</v>
          </cell>
          <cell r="AN18">
            <v>80.1282059104131</v>
          </cell>
          <cell r="AO18">
            <v>91.3321269740627</v>
          </cell>
          <cell r="AP18">
            <v>83.3454359586798</v>
          </cell>
          <cell r="AQ18">
            <v>0</v>
          </cell>
          <cell r="AR18">
            <v>45.1349330452656</v>
          </cell>
          <cell r="AS18">
            <v>90.8345492164875</v>
          </cell>
          <cell r="AT18">
            <v>84.845825609557</v>
          </cell>
          <cell r="AU18">
            <v>100.001622470497</v>
          </cell>
        </row>
        <row r="19">
          <cell r="F19">
            <v>309.449352371179</v>
          </cell>
          <cell r="G19">
            <v>0</v>
          </cell>
          <cell r="H19">
            <v>157.158768985659</v>
          </cell>
          <cell r="I19">
            <v>340.031084143073</v>
          </cell>
          <cell r="J19">
            <v>273.306808367978</v>
          </cell>
          <cell r="K19">
            <v>320.906315948228</v>
          </cell>
          <cell r="L19">
            <v>279.724072090725</v>
          </cell>
          <cell r="M19">
            <v>314.885530797552</v>
          </cell>
          <cell r="N19">
            <v>319.764330783552</v>
          </cell>
          <cell r="O19">
            <v>318.786875787763</v>
          </cell>
          <cell r="P19">
            <v>302.188062208392</v>
          </cell>
          <cell r="Q19">
            <v>360.297837502594</v>
          </cell>
        </row>
        <row r="19">
          <cell r="U19">
            <v>90.9609426363018</v>
          </cell>
          <cell r="V19">
            <v>0</v>
          </cell>
          <cell r="W19">
            <v>46.1959595680437</v>
          </cell>
          <cell r="X19">
            <v>99.9502752301711</v>
          </cell>
          <cell r="Y19">
            <v>80.3370397371229</v>
          </cell>
          <cell r="Z19">
            <v>94.3286543433477</v>
          </cell>
          <cell r="AA19">
            <v>82.2233592685552</v>
          </cell>
          <cell r="AB19">
            <v>92.5588775171247</v>
          </cell>
          <cell r="AC19">
            <v>93.9929740575118</v>
          </cell>
          <cell r="AD19">
            <v>93.7056565138807</v>
          </cell>
          <cell r="AE19">
            <v>88.8265261545681</v>
          </cell>
          <cell r="AF19">
            <v>105.90757640283</v>
          </cell>
        </row>
        <row r="19">
          <cell r="AJ19">
            <v>85.8884902669994</v>
          </cell>
          <cell r="AK19">
            <v>0</v>
          </cell>
          <cell r="AL19">
            <v>43.6198340599776</v>
          </cell>
          <cell r="AM19">
            <v>94.3765312065315</v>
          </cell>
          <cell r="AN19">
            <v>75.8570311120289</v>
          </cell>
          <cell r="AO19">
            <v>89.0684009604186</v>
          </cell>
          <cell r="AP19">
            <v>77.6381597153644</v>
          </cell>
          <cell r="AQ19">
            <v>87.3973160386014</v>
          </cell>
          <cell r="AR19">
            <v>88.7514399425661</v>
          </cell>
          <cell r="AS19">
            <v>88.4801447104094</v>
          </cell>
          <cell r="AT19">
            <v>83.8730998818085</v>
          </cell>
          <cell r="AU19">
            <v>100.001622470497</v>
          </cell>
        </row>
        <row r="20">
          <cell r="F20">
            <v>224.606535262443</v>
          </cell>
          <cell r="G20">
            <v>0</v>
          </cell>
          <cell r="H20">
            <v>111.609804075063</v>
          </cell>
          <cell r="I20">
            <v>219.556494728143</v>
          </cell>
          <cell r="J20">
            <v>178.805604891625</v>
          </cell>
          <cell r="K20">
            <v>186.253055903378</v>
          </cell>
          <cell r="L20">
            <v>179.022988009101</v>
          </cell>
          <cell r="M20">
            <v>227.8017102332</v>
          </cell>
          <cell r="N20">
            <v>213.344362853272</v>
          </cell>
          <cell r="O20">
            <v>204.356429708502</v>
          </cell>
          <cell r="P20">
            <v>201.120727819294</v>
          </cell>
          <cell r="Q20">
            <v>241.025100776088</v>
          </cell>
        </row>
        <row r="20">
          <cell r="U20">
            <v>47.7878256245448</v>
          </cell>
          <cell r="V20">
            <v>0</v>
          </cell>
          <cell r="W20">
            <v>23.7463698413612</v>
          </cell>
          <cell r="X20">
            <v>46.7133668775274</v>
          </cell>
          <cell r="Y20">
            <v>38.043109730837</v>
          </cell>
          <cell r="Z20">
            <v>39.6276472861719</v>
          </cell>
          <cell r="AA20">
            <v>38.0893606847531</v>
          </cell>
          <cell r="AB20">
            <v>48.4676387215415</v>
          </cell>
          <cell r="AC20">
            <v>45.3916587872166</v>
          </cell>
          <cell r="AD20">
            <v>43.479364555237</v>
          </cell>
          <cell r="AE20">
            <v>42.7909288537833</v>
          </cell>
          <cell r="AF20">
            <v>51.2810790370265</v>
          </cell>
        </row>
        <row r="20">
          <cell r="AJ20">
            <v>84.9012703292034</v>
          </cell>
          <cell r="AK20">
            <v>0</v>
          </cell>
          <cell r="AL20">
            <v>42.1885059403737</v>
          </cell>
          <cell r="AM20">
            <v>82.9923550072381</v>
          </cell>
          <cell r="AN20">
            <v>67.5885186490343</v>
          </cell>
          <cell r="AO20">
            <v>70.403655131477</v>
          </cell>
          <cell r="AP20">
            <v>67.6706894674403</v>
          </cell>
          <cell r="AQ20">
            <v>86.1090464681497</v>
          </cell>
          <cell r="AR20">
            <v>80.6441691585366</v>
          </cell>
          <cell r="AS20">
            <v>77.2467304298139</v>
          </cell>
          <cell r="AT20">
            <v>76.0236351156932</v>
          </cell>
          <cell r="AU20">
            <v>91.1074880933612</v>
          </cell>
        </row>
        <row r="21">
          <cell r="F21">
            <v>215.379040819949</v>
          </cell>
          <cell r="G21">
            <v>229.689871407904</v>
          </cell>
          <cell r="H21">
            <v>0</v>
          </cell>
          <cell r="I21">
            <v>107.528735106182</v>
          </cell>
          <cell r="J21">
            <v>166.548086925381</v>
          </cell>
          <cell r="K21">
            <v>173.45962228877</v>
          </cell>
          <cell r="L21">
            <v>175.816715225163</v>
          </cell>
          <cell r="M21">
            <v>227.183767497855</v>
          </cell>
          <cell r="N21">
            <v>204.356429708502</v>
          </cell>
          <cell r="O21">
            <v>199.443812309566</v>
          </cell>
          <cell r="P21">
            <v>197.428289213822</v>
          </cell>
          <cell r="Q21">
            <v>234.101436473629</v>
          </cell>
        </row>
        <row r="21">
          <cell r="U21">
            <v>47.0410030535933</v>
          </cell>
          <cell r="V21">
            <v>50.1666359973773</v>
          </cell>
          <cell r="W21">
            <v>0</v>
          </cell>
          <cell r="X21">
            <v>23.4853843587664</v>
          </cell>
          <cell r="Y21">
            <v>36.375819280282</v>
          </cell>
          <cell r="Z21">
            <v>37.8853698609535</v>
          </cell>
          <cell r="AA21">
            <v>38.4001832596777</v>
          </cell>
          <cell r="AB21">
            <v>49.6192770657171</v>
          </cell>
          <cell r="AC21">
            <v>44.6335511447254</v>
          </cell>
          <cell r="AD21">
            <v>43.5605848561546</v>
          </cell>
          <cell r="AE21">
            <v>43.1203738321825</v>
          </cell>
          <cell r="AF21">
            <v>51.1301672905703</v>
          </cell>
        </row>
        <row r="21">
          <cell r="AJ21">
            <v>81.4132774299407</v>
          </cell>
          <cell r="AK21">
            <v>86.8227713921875</v>
          </cell>
          <cell r="AL21">
            <v>0</v>
          </cell>
          <cell r="AM21">
            <v>40.6458618701368</v>
          </cell>
          <cell r="AN21">
            <v>62.9551768577938</v>
          </cell>
          <cell r="AO21">
            <v>65.567737225155</v>
          </cell>
          <cell r="AP21">
            <v>66.4587183551117</v>
          </cell>
          <cell r="AQ21">
            <v>85.8754641141893</v>
          </cell>
          <cell r="AR21">
            <v>77.2467304298139</v>
          </cell>
          <cell r="AS21">
            <v>75.3897610530159</v>
          </cell>
          <cell r="AT21">
            <v>74.6278933228247</v>
          </cell>
          <cell r="AU21">
            <v>88.4903429870317</v>
          </cell>
        </row>
        <row r="22">
          <cell r="F22">
            <v>268.579172806749</v>
          </cell>
          <cell r="G22">
            <v>0</v>
          </cell>
          <cell r="H22">
            <v>148.187013811551</v>
          </cell>
          <cell r="I22">
            <v>264.612106893813</v>
          </cell>
          <cell r="J22">
            <v>210.445314476796</v>
          </cell>
          <cell r="K22">
            <v>230.997403882711</v>
          </cell>
          <cell r="L22">
            <v>223.168450489583</v>
          </cell>
          <cell r="M22">
            <v>302.91168999714</v>
          </cell>
          <cell r="N22">
            <v>266.663050001205</v>
          </cell>
          <cell r="O22">
            <v>265.608195694856</v>
          </cell>
          <cell r="P22">
            <v>256.772575020598</v>
          </cell>
          <cell r="Q22">
            <v>306.253161877205</v>
          </cell>
        </row>
        <row r="22">
          <cell r="U22">
            <v>109.335446348657</v>
          </cell>
          <cell r="V22">
            <v>0</v>
          </cell>
          <cell r="W22">
            <v>60.3252036591027</v>
          </cell>
          <cell r="X22">
            <v>107.720500119757</v>
          </cell>
          <cell r="Y22">
            <v>85.6698311706387</v>
          </cell>
          <cell r="Z22">
            <v>94.036346880366</v>
          </cell>
          <cell r="AA22">
            <v>90.8492713348754</v>
          </cell>
          <cell r="AB22">
            <v>123.311813361989</v>
          </cell>
          <cell r="AC22">
            <v>108.555415119825</v>
          </cell>
          <cell r="AD22">
            <v>108.125996244147</v>
          </cell>
          <cell r="AE22">
            <v>104.529118198496</v>
          </cell>
          <cell r="AF22">
            <v>124.672087562146</v>
          </cell>
        </row>
        <row r="22">
          <cell r="AJ22">
            <v>101.522927320951</v>
          </cell>
          <cell r="AK22">
            <v>0</v>
          </cell>
          <cell r="AL22">
            <v>56.0146912207662</v>
          </cell>
          <cell r="AM22">
            <v>100.023376405861</v>
          </cell>
          <cell r="AN22">
            <v>79.548328872229</v>
          </cell>
          <cell r="AO22">
            <v>87.3170186676649</v>
          </cell>
          <cell r="AP22">
            <v>84.3576742850625</v>
          </cell>
          <cell r="AQ22">
            <v>114.500618818919</v>
          </cell>
          <cell r="AR22">
            <v>100.798632900456</v>
          </cell>
          <cell r="AS22">
            <v>100.399897972656</v>
          </cell>
          <cell r="AT22">
            <v>97.0600333577861</v>
          </cell>
          <cell r="AU22">
            <v>115.763695189583</v>
          </cell>
        </row>
        <row r="23">
          <cell r="F23">
            <v>103.240181599861</v>
          </cell>
          <cell r="G23">
            <v>106.681520986523</v>
          </cell>
          <cell r="H23">
            <v>103.240181599861</v>
          </cell>
          <cell r="I23">
            <v>110.02748484757</v>
          </cell>
          <cell r="J23">
            <v>90.9046763335869</v>
          </cell>
          <cell r="K23">
            <v>102.791420858995</v>
          </cell>
          <cell r="L23">
            <v>88.6508413831674</v>
          </cell>
          <cell r="M23">
            <v>103.240181599861</v>
          </cell>
          <cell r="N23">
            <v>106.681520986523</v>
          </cell>
          <cell r="O23">
            <v>104.427686036104</v>
          </cell>
          <cell r="P23">
            <v>99.7988422131994</v>
          </cell>
          <cell r="Q23">
            <v>120.204530689041</v>
          </cell>
        </row>
        <row r="23">
          <cell r="U23">
            <v>18.4543600085279</v>
          </cell>
          <cell r="V23">
            <v>19.0695053421455</v>
          </cell>
          <cell r="W23">
            <v>18.4543600085279</v>
          </cell>
          <cell r="X23">
            <v>19.667602136537</v>
          </cell>
          <cell r="Y23">
            <v>16.2493672281662</v>
          </cell>
          <cell r="Z23">
            <v>18.3741432543407</v>
          </cell>
          <cell r="AA23">
            <v>15.8464903547406</v>
          </cell>
          <cell r="AB23">
            <v>18.4543600085279</v>
          </cell>
          <cell r="AC23">
            <v>19.0695053421455</v>
          </cell>
          <cell r="AD23">
            <v>18.6666284687199</v>
          </cell>
          <cell r="AE23">
            <v>17.8392146749103</v>
          </cell>
          <cell r="AF23">
            <v>21.4867665826992</v>
          </cell>
        </row>
        <row r="23">
          <cell r="AJ23">
            <v>30.7460260129259</v>
          </cell>
          <cell r="AK23">
            <v>31.7708935466901</v>
          </cell>
          <cell r="AL23">
            <v>30.7460260129259</v>
          </cell>
          <cell r="AM23">
            <v>32.7673572327845</v>
          </cell>
          <cell r="AN23">
            <v>27.0723811207711</v>
          </cell>
          <cell r="AO23">
            <v>30.6123802831486</v>
          </cell>
          <cell r="AP23">
            <v>26.4011650599256</v>
          </cell>
          <cell r="AQ23">
            <v>30.7460260129259</v>
          </cell>
          <cell r="AR23">
            <v>31.7708935466901</v>
          </cell>
          <cell r="AS23">
            <v>31.0996774858445</v>
          </cell>
          <cell r="AT23">
            <v>29.7211584791617</v>
          </cell>
          <cell r="AU23">
            <v>35.7981899117635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4"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F25">
            <v>0</v>
          </cell>
          <cell r="G25">
            <v>6.29908321888747</v>
          </cell>
          <cell r="H25">
            <v>12.1917739720404</v>
          </cell>
          <cell r="I25">
            <v>8.81871650644253</v>
          </cell>
          <cell r="J25">
            <v>7.55889986266506</v>
          </cell>
          <cell r="K25">
            <v>7.92465308182625</v>
          </cell>
          <cell r="L25">
            <v>7.55889986266506</v>
          </cell>
          <cell r="M25">
            <v>11.5858877558271</v>
          </cell>
          <cell r="N25">
            <v>8.81871650644253</v>
          </cell>
          <cell r="O25">
            <v>9.44862482833127</v>
          </cell>
          <cell r="P25">
            <v>10.0175742803598</v>
          </cell>
          <cell r="Q25">
            <v>11.9682581158862</v>
          </cell>
        </row>
        <row r="25">
          <cell r="U25">
            <v>0</v>
          </cell>
          <cell r="V25">
            <v>0.946682664206469</v>
          </cell>
          <cell r="W25">
            <v>1.83228902749641</v>
          </cell>
          <cell r="X25">
            <v>1.32535572988907</v>
          </cell>
          <cell r="Y25">
            <v>1.13601919704778</v>
          </cell>
          <cell r="Z25">
            <v>1.19098786787267</v>
          </cell>
          <cell r="AA25">
            <v>1.13601919704778</v>
          </cell>
          <cell r="AB25">
            <v>1.7412310183482</v>
          </cell>
          <cell r="AC25">
            <v>1.32535572988907</v>
          </cell>
          <cell r="AD25">
            <v>1.42002399630971</v>
          </cell>
          <cell r="AE25">
            <v>1.50553081759287</v>
          </cell>
          <cell r="AF25">
            <v>1.79869706199229</v>
          </cell>
        </row>
        <row r="25">
          <cell r="AJ25">
            <v>0</v>
          </cell>
          <cell r="AK25">
            <v>2.62937411385665</v>
          </cell>
          <cell r="AL25">
            <v>5.0891111881097</v>
          </cell>
          <cell r="AM25">
            <v>3.68112375939933</v>
          </cell>
          <cell r="AN25">
            <v>3.15524893662801</v>
          </cell>
          <cell r="AO25">
            <v>3.3079222722713</v>
          </cell>
          <cell r="AP25">
            <v>3.15524893662801</v>
          </cell>
          <cell r="AQ25">
            <v>4.83620112524896</v>
          </cell>
          <cell r="AR25">
            <v>3.68112375939933</v>
          </cell>
          <cell r="AS25">
            <v>3.94406117078499</v>
          </cell>
          <cell r="AT25">
            <v>4.1815530262301</v>
          </cell>
          <cell r="AU25">
            <v>4.99581081632763</v>
          </cell>
        </row>
        <row r="25">
          <cell r="AW25">
            <v>4.43701245275754</v>
          </cell>
        </row>
        <row r="26">
          <cell r="F26">
            <v>10.3630078762343</v>
          </cell>
          <cell r="G26">
            <v>12.5981664377751</v>
          </cell>
          <cell r="H26">
            <v>12.1917739720404</v>
          </cell>
          <cell r="I26">
            <v>8.81871650644253</v>
          </cell>
          <cell r="J26">
            <v>7.55889986266506</v>
          </cell>
          <cell r="K26">
            <v>7.92465308182625</v>
          </cell>
          <cell r="L26">
            <v>7.55889986266506</v>
          </cell>
          <cell r="M26">
            <v>11.2773909241373</v>
          </cell>
          <cell r="N26">
            <v>8.81871650644253</v>
          </cell>
          <cell r="O26">
            <v>0</v>
          </cell>
          <cell r="P26">
            <v>5.00878714017998</v>
          </cell>
          <cell r="Q26">
            <v>11.9682581158862</v>
          </cell>
        </row>
        <row r="26">
          <cell r="U26">
            <v>1.52907331906746</v>
          </cell>
          <cell r="V26">
            <v>1.85887344670947</v>
          </cell>
          <cell r="W26">
            <v>1.7989097871382</v>
          </cell>
          <cell r="X26">
            <v>1.30121141269662</v>
          </cell>
          <cell r="Y26">
            <v>1.11532406802568</v>
          </cell>
          <cell r="Z26">
            <v>1.16929136163983</v>
          </cell>
          <cell r="AA26">
            <v>1.11532406802568</v>
          </cell>
          <cell r="AB26">
            <v>1.66399155310282</v>
          </cell>
          <cell r="AC26">
            <v>1.30121141269662</v>
          </cell>
          <cell r="AD26">
            <v>0</v>
          </cell>
          <cell r="AE26">
            <v>0.73905210421595</v>
          </cell>
          <cell r="AF26">
            <v>1.76592977437398</v>
          </cell>
        </row>
        <row r="26">
          <cell r="AJ26">
            <v>4.32574450989321</v>
          </cell>
          <cell r="AK26">
            <v>5.25874822771336</v>
          </cell>
          <cell r="AL26">
            <v>5.0891111881097</v>
          </cell>
          <cell r="AM26">
            <v>3.68112375939933</v>
          </cell>
          <cell r="AN26">
            <v>3.15524893662801</v>
          </cell>
          <cell r="AO26">
            <v>3.3079222722713</v>
          </cell>
          <cell r="AP26">
            <v>3.15524893662801</v>
          </cell>
          <cell r="AQ26">
            <v>4.70742784900142</v>
          </cell>
          <cell r="AR26">
            <v>3.68112375939933</v>
          </cell>
          <cell r="AS26">
            <v>0</v>
          </cell>
          <cell r="AT26">
            <v>2.09077651311509</v>
          </cell>
          <cell r="AU26">
            <v>4.99581081632763</v>
          </cell>
        </row>
        <row r="27">
          <cell r="F27">
            <v>10.3630078762343</v>
          </cell>
          <cell r="G27">
            <v>12.5981664377751</v>
          </cell>
          <cell r="H27">
            <v>12.1917739720404</v>
          </cell>
          <cell r="I27">
            <v>8.81871650644253</v>
          </cell>
          <cell r="J27">
            <v>7.55889986266506</v>
          </cell>
          <cell r="K27">
            <v>7.92465308182625</v>
          </cell>
          <cell r="L27">
            <v>7.55889986266506</v>
          </cell>
          <cell r="M27">
            <v>11.2773909241373</v>
          </cell>
          <cell r="N27">
            <v>8.81871650644253</v>
          </cell>
          <cell r="O27">
            <v>9.44862482833127</v>
          </cell>
          <cell r="P27">
            <v>10.0175742803598</v>
          </cell>
          <cell r="Q27">
            <v>11.9682581158862</v>
          </cell>
        </row>
        <row r="27">
          <cell r="U27">
            <v>1.34259137417262</v>
          </cell>
          <cell r="V27">
            <v>1.63216990585692</v>
          </cell>
          <cell r="W27">
            <v>1.5795192637325</v>
          </cell>
          <cell r="X27">
            <v>1.14251893409984</v>
          </cell>
          <cell r="Y27">
            <v>0.979301943514153</v>
          </cell>
          <cell r="Z27">
            <v>1.02668752142613</v>
          </cell>
          <cell r="AA27">
            <v>0.979301943514153</v>
          </cell>
          <cell r="AB27">
            <v>1.46105531895255</v>
          </cell>
          <cell r="AC27">
            <v>1.14251893409984</v>
          </cell>
          <cell r="AD27">
            <v>1.22412742939268</v>
          </cell>
          <cell r="AE27">
            <v>1.29783832836686</v>
          </cell>
          <cell r="AF27">
            <v>1.55056141056406</v>
          </cell>
        </row>
        <row r="27">
          <cell r="AJ27">
            <v>4.32574450989321</v>
          </cell>
          <cell r="AK27">
            <v>5.25874822771336</v>
          </cell>
          <cell r="AL27">
            <v>5.0891111881097</v>
          </cell>
          <cell r="AM27">
            <v>3.68112375939933</v>
          </cell>
          <cell r="AN27">
            <v>3.15524893662801</v>
          </cell>
          <cell r="AO27">
            <v>3.3079222722713</v>
          </cell>
          <cell r="AP27">
            <v>3.15524893662801</v>
          </cell>
          <cell r="AQ27">
            <v>4.70742784900142</v>
          </cell>
          <cell r="AR27">
            <v>3.68112375939933</v>
          </cell>
          <cell r="AS27">
            <v>3.94406117078499</v>
          </cell>
          <cell r="AT27">
            <v>4.1815530262301</v>
          </cell>
          <cell r="AU27">
            <v>4.99581081632763</v>
          </cell>
        </row>
        <row r="28">
          <cell r="F28">
            <v>25.9075196905859</v>
          </cell>
          <cell r="G28">
            <v>31.4954160944377</v>
          </cell>
          <cell r="H28">
            <v>30.479434930101</v>
          </cell>
          <cell r="I28">
            <v>22.0467912661064</v>
          </cell>
          <cell r="J28">
            <v>18.8972496566627</v>
          </cell>
          <cell r="K28">
            <v>19.8116327045657</v>
          </cell>
          <cell r="L28">
            <v>18.8972496566627</v>
          </cell>
          <cell r="M28">
            <v>27.7221118372334</v>
          </cell>
          <cell r="N28">
            <v>22.0467912661064</v>
          </cell>
          <cell r="O28">
            <v>23.1745725544293</v>
          </cell>
          <cell r="P28">
            <v>25.0439357008997</v>
          </cell>
          <cell r="Q28">
            <v>29.9206452897159</v>
          </cell>
        </row>
        <row r="28">
          <cell r="U28">
            <v>3.36691170025747</v>
          </cell>
          <cell r="V28">
            <v>4.09310834148945</v>
          </cell>
          <cell r="W28">
            <v>3.96107258853818</v>
          </cell>
          <cell r="X28">
            <v>2.86517583904263</v>
          </cell>
          <cell r="Y28">
            <v>2.45586500489368</v>
          </cell>
          <cell r="Z28">
            <v>2.57469718254982</v>
          </cell>
          <cell r="AA28">
            <v>2.45586500489368</v>
          </cell>
          <cell r="AB28">
            <v>3.60273402530862</v>
          </cell>
          <cell r="AC28">
            <v>2.86517583904263</v>
          </cell>
          <cell r="AD28">
            <v>3.01174100855074</v>
          </cell>
          <cell r="AE28">
            <v>3.25468131024888</v>
          </cell>
          <cell r="AF28">
            <v>3.888452924415</v>
          </cell>
        </row>
        <row r="28">
          <cell r="AJ28">
            <v>10.8143612747331</v>
          </cell>
          <cell r="AK28">
            <v>13.1468705692834</v>
          </cell>
          <cell r="AL28">
            <v>12.7227779702742</v>
          </cell>
          <cell r="AM28">
            <v>9.20280939849838</v>
          </cell>
          <cell r="AN28">
            <v>7.88812234157003</v>
          </cell>
          <cell r="AO28">
            <v>8.26980568067827</v>
          </cell>
          <cell r="AP28">
            <v>7.88812234157003</v>
          </cell>
          <cell r="AQ28">
            <v>11.5718114387977</v>
          </cell>
          <cell r="AR28">
            <v>9.20280939849838</v>
          </cell>
          <cell r="AS28">
            <v>9.67356979688722</v>
          </cell>
          <cell r="AT28">
            <v>10.4538825655754</v>
          </cell>
          <cell r="AU28">
            <v>12.4895270408192</v>
          </cell>
        </row>
        <row r="29">
          <cell r="F29">
            <v>25.2199707434454</v>
          </cell>
          <cell r="G29">
            <v>31.4954160944377</v>
          </cell>
          <cell r="H29">
            <v>30.479434930101</v>
          </cell>
          <cell r="I29">
            <v>22.0467912661064</v>
          </cell>
          <cell r="J29">
            <v>18.8972496566627</v>
          </cell>
          <cell r="K29">
            <v>19.8116327045657</v>
          </cell>
          <cell r="L29">
            <v>18.8972496566627</v>
          </cell>
          <cell r="M29">
            <v>27.431491437091</v>
          </cell>
          <cell r="N29">
            <v>0</v>
          </cell>
          <cell r="O29">
            <v>11.4170883342337</v>
          </cell>
          <cell r="P29">
            <v>25.0439357008997</v>
          </cell>
          <cell r="Q29">
            <v>29.9206452897159</v>
          </cell>
        </row>
        <row r="29">
          <cell r="U29">
            <v>3.71491420493944</v>
          </cell>
          <cell r="V29">
            <v>4.63929041908637</v>
          </cell>
          <cell r="W29">
            <v>4.48963588943842</v>
          </cell>
          <cell r="X29">
            <v>3.24750329336047</v>
          </cell>
          <cell r="Y29">
            <v>2.78357425145183</v>
          </cell>
          <cell r="Z29">
            <v>2.91826332813498</v>
          </cell>
          <cell r="AA29">
            <v>2.78357425145183</v>
          </cell>
          <cell r="AB29">
            <v>4.0406723004946</v>
          </cell>
          <cell r="AC29">
            <v>0</v>
          </cell>
          <cell r="AD29">
            <v>1.68174277691882</v>
          </cell>
          <cell r="AE29">
            <v>3.68898415582192</v>
          </cell>
          <cell r="AF29">
            <v>4.40732589813207</v>
          </cell>
        </row>
        <row r="29">
          <cell r="AJ29">
            <v>10.5273634147588</v>
          </cell>
          <cell r="AK29">
            <v>13.1468705692834</v>
          </cell>
          <cell r="AL29">
            <v>12.7227779702742</v>
          </cell>
          <cell r="AM29">
            <v>9.20280939849838</v>
          </cell>
          <cell r="AN29">
            <v>7.88812234157003</v>
          </cell>
          <cell r="AO29">
            <v>8.26980568067826</v>
          </cell>
          <cell r="AP29">
            <v>7.88812234157003</v>
          </cell>
          <cell r="AQ29">
            <v>11.4505001732468</v>
          </cell>
          <cell r="AR29">
            <v>0</v>
          </cell>
          <cell r="AS29">
            <v>4.76574058136523</v>
          </cell>
          <cell r="AT29">
            <v>10.4538825655754</v>
          </cell>
          <cell r="AU29">
            <v>12.4895270408192</v>
          </cell>
        </row>
        <row r="30">
          <cell r="F30">
            <v>26.4809004858481</v>
          </cell>
          <cell r="G30">
            <v>31.4954160944377</v>
          </cell>
          <cell r="H30">
            <v>30.479434930101</v>
          </cell>
          <cell r="I30">
            <v>23.0988521440096</v>
          </cell>
          <cell r="J30">
            <v>19.6846350590236</v>
          </cell>
          <cell r="K30">
            <v>22.0975903243233</v>
          </cell>
          <cell r="L30">
            <v>18.8972496566627</v>
          </cell>
          <cell r="M30">
            <v>30.4794349301011</v>
          </cell>
          <cell r="N30">
            <v>25.9837182779112</v>
          </cell>
          <cell r="O30">
            <v>25.1963328755502</v>
          </cell>
          <cell r="P30">
            <v>25.0439357008997</v>
          </cell>
          <cell r="Q30">
            <v>30.7080306920769</v>
          </cell>
        </row>
        <row r="30">
          <cell r="U30">
            <v>3.28358333321137</v>
          </cell>
          <cell r="V30">
            <v>3.90537411730092</v>
          </cell>
          <cell r="W30">
            <v>3.7793943070654</v>
          </cell>
          <cell r="X30">
            <v>2.86421551098375</v>
          </cell>
          <cell r="Y30">
            <v>2.44085882331308</v>
          </cell>
          <cell r="Z30">
            <v>2.74006087262243</v>
          </cell>
          <cell r="AA30">
            <v>2.34322447038056</v>
          </cell>
          <cell r="AB30">
            <v>3.77939430706542</v>
          </cell>
          <cell r="AC30">
            <v>3.22193364677327</v>
          </cell>
          <cell r="AD30">
            <v>3.12429929384075</v>
          </cell>
          <cell r="AE30">
            <v>3.10540232230542</v>
          </cell>
          <cell r="AF30">
            <v>3.80773976436841</v>
          </cell>
        </row>
        <row r="30">
          <cell r="AJ30">
            <v>10.6485933398334</v>
          </cell>
          <cell r="AK30">
            <v>12.6650480876866</v>
          </cell>
          <cell r="AL30">
            <v>12.2564981493741</v>
          </cell>
          <cell r="AM30">
            <v>9.28859210169031</v>
          </cell>
          <cell r="AN30">
            <v>7.91565505480414</v>
          </cell>
          <cell r="AO30">
            <v>8.88596115829627</v>
          </cell>
          <cell r="AP30">
            <v>7.59902885261197</v>
          </cell>
          <cell r="AQ30">
            <v>12.2564981493742</v>
          </cell>
          <cell r="AR30">
            <v>10.4486646723415</v>
          </cell>
          <cell r="AS30">
            <v>10.1320384701493</v>
          </cell>
          <cell r="AT30">
            <v>10.0707559794024</v>
          </cell>
          <cell r="AU30">
            <v>12.3484218854945</v>
          </cell>
        </row>
        <row r="31">
          <cell r="F31">
            <v>27.0022897624969</v>
          </cell>
          <cell r="G31">
            <v>32.8263130446041</v>
          </cell>
          <cell r="H31">
            <v>31.7673997205846</v>
          </cell>
          <cell r="I31">
            <v>0</v>
          </cell>
          <cell r="J31">
            <v>10.2582228264388</v>
          </cell>
          <cell r="K31">
            <v>22.4213122051023</v>
          </cell>
          <cell r="L31">
            <v>19.6957878267624</v>
          </cell>
          <cell r="M31">
            <v>31.7673997205846</v>
          </cell>
          <cell r="N31">
            <v>25.8082286083957</v>
          </cell>
          <cell r="O31">
            <v>26.2610504356833</v>
          </cell>
          <cell r="P31">
            <v>26.1022134370803</v>
          </cell>
          <cell r="Q31">
            <v>31.5766613227496</v>
          </cell>
        </row>
        <row r="31">
          <cell r="U31">
            <v>3.63157109446783</v>
          </cell>
          <cell r="V31">
            <v>4.41485113445109</v>
          </cell>
          <cell r="W31">
            <v>4.27243658172686</v>
          </cell>
          <cell r="X31">
            <v>0</v>
          </cell>
          <cell r="Y31">
            <v>1.37964097951596</v>
          </cell>
          <cell r="Z31">
            <v>3.01546979979371</v>
          </cell>
          <cell r="AA31">
            <v>2.64891068067065</v>
          </cell>
          <cell r="AB31">
            <v>4.27243658172686</v>
          </cell>
          <cell r="AC31">
            <v>3.47098034418696</v>
          </cell>
          <cell r="AD31">
            <v>3.53188090756087</v>
          </cell>
          <cell r="AE31">
            <v>3.51051872465224</v>
          </cell>
          <cell r="AF31">
            <v>4.24678394047772</v>
          </cell>
        </row>
        <row r="31">
          <cell r="AJ31">
            <v>10.8582562393919</v>
          </cell>
          <cell r="AK31">
            <v>13.2002330753391</v>
          </cell>
          <cell r="AL31">
            <v>12.7744191051669</v>
          </cell>
          <cell r="AM31">
            <v>0</v>
          </cell>
          <cell r="AN31">
            <v>4.12507283604347</v>
          </cell>
          <cell r="AO31">
            <v>9.01613734567571</v>
          </cell>
          <cell r="AP31">
            <v>7.92013984520346</v>
          </cell>
          <cell r="AQ31">
            <v>12.7744191051669</v>
          </cell>
          <cell r="AR31">
            <v>10.3780961459044</v>
          </cell>
          <cell r="AS31">
            <v>10.5601864602713</v>
          </cell>
          <cell r="AT31">
            <v>10.4963143647455</v>
          </cell>
          <cell r="AU31">
            <v>12.6977187061785</v>
          </cell>
        </row>
        <row r="32">
          <cell r="F32">
            <v>10.4644998697771</v>
          </cell>
          <cell r="G32">
            <v>10.813316532103</v>
          </cell>
          <cell r="H32">
            <v>10.4644998697771</v>
          </cell>
          <cell r="I32">
            <v>10.813316532103</v>
          </cell>
          <cell r="J32">
            <v>10.813316532103</v>
          </cell>
          <cell r="K32">
            <v>10.4644998697771</v>
          </cell>
          <cell r="L32">
            <v>10.813316532103</v>
          </cell>
          <cell r="M32">
            <v>10.4644998697771</v>
          </cell>
          <cell r="N32">
            <v>10.813316532103</v>
          </cell>
          <cell r="O32">
            <v>10.813316532103</v>
          </cell>
          <cell r="P32">
            <v>10.1156832074512</v>
          </cell>
          <cell r="Q32">
            <v>10.813316532103</v>
          </cell>
        </row>
        <row r="32">
          <cell r="AJ32">
            <v>2.82541496483981</v>
          </cell>
          <cell r="AK32">
            <v>2.9195954636678</v>
          </cell>
          <cell r="AL32">
            <v>2.82541496483981</v>
          </cell>
          <cell r="AM32">
            <v>2.9195954636678</v>
          </cell>
          <cell r="AN32">
            <v>2.9195954636678</v>
          </cell>
          <cell r="AO32">
            <v>2.82541496483981</v>
          </cell>
          <cell r="AP32">
            <v>2.9195954636678</v>
          </cell>
          <cell r="AQ32">
            <v>2.82541496483981</v>
          </cell>
          <cell r="AR32">
            <v>2.9195954636678</v>
          </cell>
          <cell r="AS32">
            <v>2.9195954636678</v>
          </cell>
          <cell r="AT32">
            <v>2.73123446601182</v>
          </cell>
          <cell r="AU32">
            <v>2.9195954636678</v>
          </cell>
        </row>
        <row r="33">
          <cell r="F33">
            <v>1.64483310505934</v>
          </cell>
          <cell r="G33">
            <v>2.19311080674588</v>
          </cell>
          <cell r="H33">
            <v>2.1223652968507</v>
          </cell>
          <cell r="I33">
            <v>1.4255220243848</v>
          </cell>
          <cell r="J33">
            <v>1.31586648404752</v>
          </cell>
          <cell r="K33">
            <v>1.32647831053177</v>
          </cell>
          <cell r="L33">
            <v>1.31586648404752</v>
          </cell>
          <cell r="M33">
            <v>1.59177397263808</v>
          </cell>
          <cell r="N33">
            <v>1.4255220243848</v>
          </cell>
          <cell r="O33">
            <v>1.4255220243848</v>
          </cell>
          <cell r="P33">
            <v>1.69258632423847</v>
          </cell>
          <cell r="Q33">
            <v>1.91897195590254</v>
          </cell>
        </row>
        <row r="33">
          <cell r="U33">
            <v>0.11964168490153</v>
          </cell>
          <cell r="V33">
            <v>0.15952224653538</v>
          </cell>
          <cell r="W33">
            <v>0.154376367614873</v>
          </cell>
          <cell r="X33">
            <v>0.103689460247995</v>
          </cell>
          <cell r="Y33">
            <v>0.0957133479212277</v>
          </cell>
          <cell r="Z33">
            <v>0.0964852297593015</v>
          </cell>
          <cell r="AA33">
            <v>0.0957133479212277</v>
          </cell>
          <cell r="AB33">
            <v>0.115782275711159</v>
          </cell>
          <cell r="AC33">
            <v>0.103689460247995</v>
          </cell>
          <cell r="AD33">
            <v>0.103689460247995</v>
          </cell>
          <cell r="AE33">
            <v>0.123115153172864</v>
          </cell>
          <cell r="AF33">
            <v>0.13958196571845</v>
          </cell>
        </row>
        <row r="33">
          <cell r="AJ33">
            <v>1.20422687474276</v>
          </cell>
          <cell r="AK33">
            <v>1.60563583299041</v>
          </cell>
          <cell r="AL33">
            <v>1.55384112870029</v>
          </cell>
          <cell r="AM33">
            <v>1.04366329144375</v>
          </cell>
          <cell r="AN33">
            <v>0.963381499794244</v>
          </cell>
          <cell r="AO33">
            <v>0.97115070543774</v>
          </cell>
          <cell r="AP33">
            <v>0.963381499794244</v>
          </cell>
          <cell r="AQ33">
            <v>1.16538084652526</v>
          </cell>
          <cell r="AR33">
            <v>1.04366329144375</v>
          </cell>
          <cell r="AS33">
            <v>1.04366329144375</v>
          </cell>
          <cell r="AT33">
            <v>1.23918830013851</v>
          </cell>
          <cell r="AU33">
            <v>1.40493135386653</v>
          </cell>
        </row>
        <row r="34">
          <cell r="F34">
            <v>2.91271798301038</v>
          </cell>
          <cell r="G34">
            <v>3.00980858244406</v>
          </cell>
          <cell r="H34">
            <v>2.91271798301038</v>
          </cell>
          <cell r="I34">
            <v>3.07339608770696</v>
          </cell>
          <cell r="J34">
            <v>2.56469604560374</v>
          </cell>
          <cell r="K34">
            <v>2.78964539217895</v>
          </cell>
          <cell r="L34">
            <v>2.37393352981503</v>
          </cell>
          <cell r="M34">
            <v>2.91271798301038</v>
          </cell>
          <cell r="N34">
            <v>3.00980858244406</v>
          </cell>
          <cell r="O34">
            <v>2.75545856139244</v>
          </cell>
          <cell r="P34">
            <v>2.75614229800817</v>
          </cell>
          <cell r="Q34">
            <v>3.39133361402147</v>
          </cell>
        </row>
        <row r="34"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4">
          <cell r="AJ34">
            <v>1.02168059227813</v>
          </cell>
          <cell r="AK34">
            <v>1.05573661202074</v>
          </cell>
          <cell r="AL34">
            <v>1.02168059227813</v>
          </cell>
          <cell r="AM34">
            <v>1.07804090664089</v>
          </cell>
          <cell r="AN34">
            <v>0.899606549679643</v>
          </cell>
          <cell r="AO34">
            <v>0.978510989787509</v>
          </cell>
          <cell r="AP34">
            <v>0.832693665819174</v>
          </cell>
          <cell r="AQ34">
            <v>1.02168059227813</v>
          </cell>
          <cell r="AR34">
            <v>1.05573661202074</v>
          </cell>
          <cell r="AS34">
            <v>0.966519433540113</v>
          </cell>
          <cell r="AT34">
            <v>0.966759264665061</v>
          </cell>
          <cell r="AU34">
            <v>1.18956237974168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5"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F36">
            <v>16.5852843844904</v>
          </cell>
          <cell r="G36">
            <v>17.1381271973068</v>
          </cell>
          <cell r="H36">
            <v>16.5852843844904</v>
          </cell>
          <cell r="I36">
            <v>17.1381271973068</v>
          </cell>
          <cell r="J36">
            <v>17.1381271973068</v>
          </cell>
          <cell r="K36">
            <v>16.5852843844904</v>
          </cell>
          <cell r="L36">
            <v>17.1381271973068</v>
          </cell>
          <cell r="M36">
            <v>16.5852843844904</v>
          </cell>
          <cell r="N36">
            <v>17.1381271973068</v>
          </cell>
          <cell r="O36">
            <v>17.1381271973068</v>
          </cell>
          <cell r="P36">
            <v>16.0324415716741</v>
          </cell>
          <cell r="Q36">
            <v>17.1381271973068</v>
          </cell>
        </row>
        <row r="36">
          <cell r="AJ36">
            <v>6.053628800339</v>
          </cell>
          <cell r="AK36">
            <v>6.25541642701697</v>
          </cell>
          <cell r="AL36">
            <v>6.053628800339</v>
          </cell>
          <cell r="AM36">
            <v>6.25541642701697</v>
          </cell>
          <cell r="AN36">
            <v>6.25541642701697</v>
          </cell>
          <cell r="AO36">
            <v>6.053628800339</v>
          </cell>
          <cell r="AP36">
            <v>6.25541642701697</v>
          </cell>
          <cell r="AQ36">
            <v>6.053628800339</v>
          </cell>
          <cell r="AR36">
            <v>6.25541642701697</v>
          </cell>
          <cell r="AS36">
            <v>6.25541642701697</v>
          </cell>
          <cell r="AT36">
            <v>5.85184117366103</v>
          </cell>
          <cell r="AU36">
            <v>6.25541642701697</v>
          </cell>
        </row>
        <row r="37">
          <cell r="F37">
            <v>16.5852843844904</v>
          </cell>
          <cell r="G37">
            <v>17.1381271973068</v>
          </cell>
          <cell r="H37">
            <v>16.5852843844904</v>
          </cell>
          <cell r="I37">
            <v>17.1381271973068</v>
          </cell>
          <cell r="J37">
            <v>17.1381271973068</v>
          </cell>
          <cell r="K37">
            <v>16.5852843844904</v>
          </cell>
          <cell r="L37">
            <v>17.1381271973068</v>
          </cell>
          <cell r="M37">
            <v>16.5852843844904</v>
          </cell>
          <cell r="N37">
            <v>17.1381271973068</v>
          </cell>
          <cell r="O37">
            <v>17.1381271973068</v>
          </cell>
          <cell r="P37">
            <v>16.0324415716741</v>
          </cell>
          <cell r="Q37">
            <v>17.1381271973068</v>
          </cell>
        </row>
        <row r="37">
          <cell r="AJ37">
            <v>6.053628800339</v>
          </cell>
          <cell r="AK37">
            <v>6.25541642701697</v>
          </cell>
          <cell r="AL37">
            <v>6.053628800339</v>
          </cell>
          <cell r="AM37">
            <v>6.25541642701697</v>
          </cell>
          <cell r="AN37">
            <v>6.25541642701697</v>
          </cell>
          <cell r="AO37">
            <v>6.053628800339</v>
          </cell>
          <cell r="AP37">
            <v>6.25541642701697</v>
          </cell>
          <cell r="AQ37">
            <v>6.053628800339</v>
          </cell>
          <cell r="AR37">
            <v>6.25541642701697</v>
          </cell>
          <cell r="AS37">
            <v>6.25541642701697</v>
          </cell>
          <cell r="AT37">
            <v>5.85184117366103</v>
          </cell>
          <cell r="AU37">
            <v>6.25541642701697</v>
          </cell>
        </row>
        <row r="38">
          <cell r="F38">
            <v>16.5852843844904</v>
          </cell>
          <cell r="G38">
            <v>17.1381271973068</v>
          </cell>
          <cell r="H38">
            <v>16.5852843844904</v>
          </cell>
          <cell r="I38">
            <v>17.1381271973068</v>
          </cell>
          <cell r="J38">
            <v>17.1381271973068</v>
          </cell>
          <cell r="K38">
            <v>16.5852843844904</v>
          </cell>
          <cell r="L38">
            <v>17.1381271973068</v>
          </cell>
          <cell r="M38">
            <v>16.5852843844904</v>
          </cell>
          <cell r="N38">
            <v>17.1381271973068</v>
          </cell>
          <cell r="O38">
            <v>17.1381271973068</v>
          </cell>
          <cell r="P38">
            <v>16.0324415716741</v>
          </cell>
          <cell r="Q38">
            <v>17.1381271973068</v>
          </cell>
        </row>
        <row r="38">
          <cell r="AJ38">
            <v>6.053628800339</v>
          </cell>
          <cell r="AK38">
            <v>6.25541642701697</v>
          </cell>
          <cell r="AL38">
            <v>6.053628800339</v>
          </cell>
          <cell r="AM38">
            <v>6.25541642701697</v>
          </cell>
          <cell r="AN38">
            <v>6.25541642701697</v>
          </cell>
          <cell r="AO38">
            <v>6.053628800339</v>
          </cell>
          <cell r="AP38">
            <v>6.25541642701697</v>
          </cell>
          <cell r="AQ38">
            <v>6.053628800339</v>
          </cell>
          <cell r="AR38">
            <v>6.25541642701697</v>
          </cell>
          <cell r="AS38">
            <v>6.25541642701697</v>
          </cell>
          <cell r="AT38">
            <v>5.85184117366103</v>
          </cell>
          <cell r="AU38">
            <v>6.25541642701697</v>
          </cell>
        </row>
        <row r="39">
          <cell r="F39">
            <v>16.5852843844904</v>
          </cell>
          <cell r="G39">
            <v>17.1381271973068</v>
          </cell>
          <cell r="H39">
            <v>16.5852843844904</v>
          </cell>
          <cell r="I39">
            <v>17.1381271973068</v>
          </cell>
          <cell r="J39">
            <v>17.1381271973068</v>
          </cell>
          <cell r="K39">
            <v>16.5852843844904</v>
          </cell>
          <cell r="L39">
            <v>17.1381271973068</v>
          </cell>
          <cell r="M39">
            <v>16.5852843844904</v>
          </cell>
          <cell r="N39">
            <v>17.1381271973068</v>
          </cell>
          <cell r="O39">
            <v>17.1381271973068</v>
          </cell>
          <cell r="P39">
            <v>16.0324415716741</v>
          </cell>
          <cell r="Q39">
            <v>17.1381271973068</v>
          </cell>
        </row>
        <row r="39">
          <cell r="AJ39">
            <v>6.053628800339</v>
          </cell>
          <cell r="AK39">
            <v>6.25541642701697</v>
          </cell>
          <cell r="AL39">
            <v>6.053628800339</v>
          </cell>
          <cell r="AM39">
            <v>6.25541642701697</v>
          </cell>
          <cell r="AN39">
            <v>6.25541642701697</v>
          </cell>
          <cell r="AO39">
            <v>6.053628800339</v>
          </cell>
          <cell r="AP39">
            <v>6.25541642701697</v>
          </cell>
          <cell r="AQ39">
            <v>6.053628800339</v>
          </cell>
          <cell r="AR39">
            <v>6.25541642701697</v>
          </cell>
          <cell r="AS39">
            <v>6.25541642701697</v>
          </cell>
          <cell r="AT39">
            <v>5.85184117366103</v>
          </cell>
          <cell r="AU39">
            <v>6.25541642701697</v>
          </cell>
        </row>
        <row r="40">
          <cell r="F40">
            <v>155.102620243923</v>
          </cell>
          <cell r="G40">
            <v>200.340884481734</v>
          </cell>
          <cell r="H40">
            <v>193.878275304904</v>
          </cell>
          <cell r="I40">
            <v>131.151344937759</v>
          </cell>
          <cell r="J40">
            <v>120.20453068904</v>
          </cell>
          <cell r="K40">
            <v>126.020878948188</v>
          </cell>
          <cell r="L40">
            <v>120.20453068904</v>
          </cell>
          <cell r="M40">
            <v>0</v>
          </cell>
          <cell r="N40">
            <v>67.6150485125852</v>
          </cell>
          <cell r="O40">
            <v>135.23009702517</v>
          </cell>
          <cell r="P40">
            <v>159.303316208863</v>
          </cell>
          <cell r="Q40">
            <v>177.504099273312</v>
          </cell>
        </row>
        <row r="40">
          <cell r="U40">
            <v>25.9362524864202</v>
          </cell>
          <cell r="V40">
            <v>33.5009927949595</v>
          </cell>
          <cell r="W40">
            <v>32.4203156080253</v>
          </cell>
          <cell r="X40">
            <v>21.9311214142598</v>
          </cell>
          <cell r="Y40">
            <v>20.1005956769757</v>
          </cell>
          <cell r="Z40">
            <v>21.0732051452164</v>
          </cell>
          <cell r="AA40">
            <v>20.1005956769757</v>
          </cell>
          <cell r="AB40">
            <v>0</v>
          </cell>
          <cell r="AC40">
            <v>11.3065850682988</v>
          </cell>
          <cell r="AD40">
            <v>22.6131701365976</v>
          </cell>
          <cell r="AE40">
            <v>26.6386926579275</v>
          </cell>
          <cell r="AF40">
            <v>29.6822267018252</v>
          </cell>
        </row>
        <row r="40">
          <cell r="AJ40">
            <v>68.9803221108915</v>
          </cell>
          <cell r="AK40">
            <v>89.0995827265682</v>
          </cell>
          <cell r="AL40">
            <v>86.2254026386144</v>
          </cell>
          <cell r="AM40">
            <v>58.3282345898197</v>
          </cell>
          <cell r="AN40">
            <v>53.4597496359409</v>
          </cell>
          <cell r="AO40">
            <v>56.0465117150994</v>
          </cell>
          <cell r="AP40">
            <v>53.4597496359409</v>
          </cell>
          <cell r="AQ40">
            <v>0</v>
          </cell>
          <cell r="AR40">
            <v>30.0711091702168</v>
          </cell>
          <cell r="AS40">
            <v>60.1422183404336</v>
          </cell>
          <cell r="AT40">
            <v>70.8485391680615</v>
          </cell>
          <cell r="AU40">
            <v>78.9431534078579</v>
          </cell>
        </row>
        <row r="41">
          <cell r="F41">
            <v>74.2510553086018</v>
          </cell>
          <cell r="G41">
            <v>95.3933400594043</v>
          </cell>
          <cell r="H41">
            <v>0</v>
          </cell>
          <cell r="I41">
            <v>33.3876690207915</v>
          </cell>
          <cell r="J41">
            <v>57.2360040356426</v>
          </cell>
          <cell r="K41">
            <v>60.0054881018833</v>
          </cell>
          <cell r="L41">
            <v>57.2360040356426</v>
          </cell>
          <cell r="M41">
            <v>80.4181172419635</v>
          </cell>
          <cell r="N41">
            <v>66.0830575017526</v>
          </cell>
          <cell r="O41">
            <v>65.6933081633763</v>
          </cell>
          <cell r="P41">
            <v>75.8530913698166</v>
          </cell>
          <cell r="Q41">
            <v>87.4424071234922</v>
          </cell>
        </row>
        <row r="41">
          <cell r="U41">
            <v>26.1608175929714</v>
          </cell>
          <cell r="V41">
            <v>33.6098626276261</v>
          </cell>
          <cell r="W41">
            <v>0</v>
          </cell>
          <cell r="X41">
            <v>11.7634519196691</v>
          </cell>
          <cell r="Y41">
            <v>20.1659175765756</v>
          </cell>
          <cell r="Z41">
            <v>21.1416877818938</v>
          </cell>
          <cell r="AA41">
            <v>20.1659175765756</v>
          </cell>
          <cell r="AB41">
            <v>28.3336538126412</v>
          </cell>
          <cell r="AC41">
            <v>23.2829931656058</v>
          </cell>
          <cell r="AD41">
            <v>23.1456730789637</v>
          </cell>
          <cell r="AE41">
            <v>26.7252617345478</v>
          </cell>
          <cell r="AF41">
            <v>30.8085165004115</v>
          </cell>
        </row>
        <row r="41">
          <cell r="AJ41">
            <v>32.3733170327668</v>
          </cell>
          <cell r="AK41">
            <v>41.591312442934</v>
          </cell>
          <cell r="AL41">
            <v>0</v>
          </cell>
          <cell r="AM41">
            <v>14.5569593550269</v>
          </cell>
          <cell r="AN41">
            <v>24.9547874657604</v>
          </cell>
          <cell r="AO41">
            <v>26.1622771818456</v>
          </cell>
          <cell r="AP41">
            <v>24.9547874657604</v>
          </cell>
          <cell r="AQ41">
            <v>35.0621441517842</v>
          </cell>
          <cell r="AR41">
            <v>28.8120857287123</v>
          </cell>
          <cell r="AS41">
            <v>28.6421557682272</v>
          </cell>
          <cell r="AT41">
            <v>33.071801668333</v>
          </cell>
          <cell r="AU41">
            <v>38.1247210043241</v>
          </cell>
        </row>
        <row r="41">
          <cell r="AW41">
            <v>6.58258344391936</v>
          </cell>
        </row>
        <row r="42">
          <cell r="F42">
            <v>22.5549977082955</v>
          </cell>
          <cell r="G42">
            <v>22.3987726159437</v>
          </cell>
          <cell r="H42">
            <v>21.6762315638165</v>
          </cell>
          <cell r="I42">
            <v>24.2148893145337</v>
          </cell>
          <cell r="J42">
            <v>22.8528017905912</v>
          </cell>
          <cell r="K42">
            <v>23.4337638527746</v>
          </cell>
          <cell r="L42">
            <v>21.4907142666487</v>
          </cell>
          <cell r="M42">
            <v>21.6762315638165</v>
          </cell>
          <cell r="N42">
            <v>22.8528017905912</v>
          </cell>
          <cell r="O42">
            <v>22.8528017905912</v>
          </cell>
          <cell r="P42">
            <v>22.6526383910154</v>
          </cell>
          <cell r="Q42">
            <v>24.2148893145337</v>
          </cell>
        </row>
        <row r="42">
          <cell r="U42">
            <v>3.06154661585529</v>
          </cell>
          <cell r="V42">
            <v>3.04034109816972</v>
          </cell>
          <cell r="W42">
            <v>2.94226557887392</v>
          </cell>
          <cell r="X42">
            <v>3.28685524126456</v>
          </cell>
          <cell r="Y42">
            <v>3.10196963394343</v>
          </cell>
          <cell r="Z42">
            <v>3.18082765283667</v>
          </cell>
          <cell r="AA42">
            <v>2.9170840266223</v>
          </cell>
          <cell r="AB42">
            <v>2.94226557887392</v>
          </cell>
          <cell r="AC42">
            <v>3.10196963394343</v>
          </cell>
          <cell r="AD42">
            <v>3.10196963394343</v>
          </cell>
          <cell r="AE42">
            <v>3.07480006440878</v>
          </cell>
          <cell r="AF42">
            <v>3.28685524126456</v>
          </cell>
        </row>
        <row r="42">
          <cell r="AJ42">
            <v>4.23919025669634</v>
          </cell>
          <cell r="AK42">
            <v>4.20982789994</v>
          </cell>
          <cell r="AL42">
            <v>4.07402699994193</v>
          </cell>
          <cell r="AM42">
            <v>4.55116529723243</v>
          </cell>
          <cell r="AN42">
            <v>4.2951622492631</v>
          </cell>
          <cell r="AO42">
            <v>4.40435351345074</v>
          </cell>
          <cell r="AP42">
            <v>4.03915920129378</v>
          </cell>
          <cell r="AQ42">
            <v>4.07402699994193</v>
          </cell>
          <cell r="AR42">
            <v>4.2951622492631</v>
          </cell>
          <cell r="AS42">
            <v>4.2951622492631</v>
          </cell>
          <cell r="AT42">
            <v>4.25754172966905</v>
          </cell>
          <cell r="AU42">
            <v>4.55116529723243</v>
          </cell>
        </row>
        <row r="43">
          <cell r="F43">
            <v>22.5549977082955</v>
          </cell>
          <cell r="G43">
            <v>22.3987726159437</v>
          </cell>
          <cell r="H43">
            <v>21.6762315638165</v>
          </cell>
          <cell r="I43">
            <v>24.2148893145337</v>
          </cell>
          <cell r="J43">
            <v>22.8528017905912</v>
          </cell>
          <cell r="K43">
            <v>23.4337638527746</v>
          </cell>
          <cell r="L43">
            <v>21.4907142666487</v>
          </cell>
          <cell r="M43">
            <v>21.6762315638165</v>
          </cell>
          <cell r="N43">
            <v>22.8528017905912</v>
          </cell>
          <cell r="O43">
            <v>22.8528017905912</v>
          </cell>
          <cell r="P43">
            <v>22.6526383910154</v>
          </cell>
          <cell r="Q43">
            <v>24.2148893145337</v>
          </cell>
        </row>
        <row r="43">
          <cell r="U43">
            <v>3.06154661585529</v>
          </cell>
          <cell r="V43">
            <v>3.04034109816972</v>
          </cell>
          <cell r="W43">
            <v>2.94226557887392</v>
          </cell>
          <cell r="X43">
            <v>3.28685524126456</v>
          </cell>
          <cell r="Y43">
            <v>3.10196963394343</v>
          </cell>
          <cell r="Z43">
            <v>3.18082765283667</v>
          </cell>
          <cell r="AA43">
            <v>2.9170840266223</v>
          </cell>
          <cell r="AB43">
            <v>2.94226557887392</v>
          </cell>
          <cell r="AC43">
            <v>3.10196963394343</v>
          </cell>
          <cell r="AD43">
            <v>3.10196963394343</v>
          </cell>
          <cell r="AE43">
            <v>3.07480006440878</v>
          </cell>
          <cell r="AF43">
            <v>3.28685524126456</v>
          </cell>
        </row>
        <row r="43">
          <cell r="AJ43">
            <v>4.23919025669634</v>
          </cell>
          <cell r="AK43">
            <v>4.20982789994</v>
          </cell>
          <cell r="AL43">
            <v>4.07402699994193</v>
          </cell>
          <cell r="AM43">
            <v>4.55116529723243</v>
          </cell>
          <cell r="AN43">
            <v>4.2951622492631</v>
          </cell>
          <cell r="AO43">
            <v>4.40435351345074</v>
          </cell>
          <cell r="AP43">
            <v>4.03915920129378</v>
          </cell>
          <cell r="AQ43">
            <v>4.07402699994193</v>
          </cell>
          <cell r="AR43">
            <v>4.2951622492631</v>
          </cell>
          <cell r="AS43">
            <v>4.2951622492631</v>
          </cell>
          <cell r="AT43">
            <v>4.25754172966905</v>
          </cell>
          <cell r="AU43">
            <v>4.55116529723243</v>
          </cell>
        </row>
        <row r="44">
          <cell r="F44">
            <v>22.5549977082955</v>
          </cell>
          <cell r="G44">
            <v>22.3987726159437</v>
          </cell>
          <cell r="H44">
            <v>21.6762315638165</v>
          </cell>
          <cell r="I44">
            <v>24.2148893145337</v>
          </cell>
          <cell r="J44">
            <v>22.8528017905912</v>
          </cell>
          <cell r="K44">
            <v>23.4337638527746</v>
          </cell>
          <cell r="L44">
            <v>21.4907142666487</v>
          </cell>
          <cell r="M44">
            <v>21.6762315638165</v>
          </cell>
          <cell r="N44">
            <v>0</v>
          </cell>
          <cell r="O44">
            <v>11.4264008952956</v>
          </cell>
          <cell r="P44">
            <v>22.6526383910154</v>
          </cell>
          <cell r="Q44">
            <v>24.2148893145337</v>
          </cell>
        </row>
        <row r="44">
          <cell r="U44">
            <v>3.50140726190111</v>
          </cell>
          <cell r="V44">
            <v>3.4771550903901</v>
          </cell>
          <cell r="W44">
            <v>3.36498879715171</v>
          </cell>
          <cell r="X44">
            <v>3.75908658420552</v>
          </cell>
          <cell r="Y44">
            <v>3.54763796384396</v>
          </cell>
          <cell r="Z44">
            <v>3.6378257266505</v>
          </cell>
          <cell r="AA44">
            <v>3.3361893434824</v>
          </cell>
          <cell r="AB44">
            <v>3.36498879715171</v>
          </cell>
          <cell r="AC44">
            <v>0</v>
          </cell>
          <cell r="AD44">
            <v>1.77381898192198</v>
          </cell>
          <cell r="AE44">
            <v>3.51656486909548</v>
          </cell>
          <cell r="AF44">
            <v>3.75908658420552</v>
          </cell>
        </row>
        <row r="44">
          <cell r="AJ44">
            <v>4.23919025669633</v>
          </cell>
          <cell r="AK44">
            <v>4.20982789994</v>
          </cell>
          <cell r="AL44">
            <v>4.07402699994193</v>
          </cell>
          <cell r="AM44">
            <v>4.55116529723243</v>
          </cell>
          <cell r="AN44">
            <v>4.2951622492631</v>
          </cell>
          <cell r="AO44">
            <v>4.40435351345074</v>
          </cell>
          <cell r="AP44">
            <v>4.03915920129378</v>
          </cell>
          <cell r="AQ44">
            <v>4.07402699994193</v>
          </cell>
          <cell r="AR44">
            <v>0</v>
          </cell>
          <cell r="AS44">
            <v>2.14758112463155</v>
          </cell>
          <cell r="AT44">
            <v>4.25754172966904</v>
          </cell>
          <cell r="AU44">
            <v>4.55116529723243</v>
          </cell>
        </row>
        <row r="45">
          <cell r="F45">
            <v>22.5549977082955</v>
          </cell>
          <cell r="G45">
            <v>22.3987726159437</v>
          </cell>
          <cell r="H45">
            <v>21.6762315638165</v>
          </cell>
          <cell r="I45">
            <v>24.2148893145337</v>
          </cell>
          <cell r="J45">
            <v>22.5508550662487</v>
          </cell>
          <cell r="K45">
            <v>23.4337638527746</v>
          </cell>
          <cell r="L45">
            <v>21.4907142666487</v>
          </cell>
          <cell r="M45">
            <v>0</v>
          </cell>
          <cell r="N45">
            <v>11.4264008952956</v>
          </cell>
          <cell r="O45">
            <v>22.8528017905912</v>
          </cell>
          <cell r="P45">
            <v>22.6526383910154</v>
          </cell>
          <cell r="Q45">
            <v>24.2148893145337</v>
          </cell>
        </row>
        <row r="45">
          <cell r="U45">
            <v>3.48861880394597</v>
          </cell>
          <cell r="V45">
            <v>3.46445521049872</v>
          </cell>
          <cell r="W45">
            <v>3.35269859080522</v>
          </cell>
          <cell r="X45">
            <v>3.74535698432294</v>
          </cell>
          <cell r="Y45">
            <v>3.48797805464821</v>
          </cell>
          <cell r="Z45">
            <v>3.62453901708672</v>
          </cell>
          <cell r="AA45">
            <v>3.32400432358661</v>
          </cell>
          <cell r="AB45">
            <v>0</v>
          </cell>
          <cell r="AC45">
            <v>1.76734032697739</v>
          </cell>
          <cell r="AD45">
            <v>3.53468065395478</v>
          </cell>
          <cell r="AE45">
            <v>3.5037210498505</v>
          </cell>
          <cell r="AF45">
            <v>3.74535698432294</v>
          </cell>
        </row>
        <row r="45">
          <cell r="AJ45">
            <v>4.23919025669633</v>
          </cell>
          <cell r="AK45">
            <v>4.20982789994</v>
          </cell>
          <cell r="AL45">
            <v>4.07402699994193</v>
          </cell>
          <cell r="AM45">
            <v>4.55116529723243</v>
          </cell>
          <cell r="AN45">
            <v>4.238411651084</v>
          </cell>
          <cell r="AO45">
            <v>4.40435351345074</v>
          </cell>
          <cell r="AP45">
            <v>4.03915920129378</v>
          </cell>
          <cell r="AQ45">
            <v>0</v>
          </cell>
          <cell r="AR45">
            <v>2.14758112463155</v>
          </cell>
          <cell r="AS45">
            <v>4.2951622492631</v>
          </cell>
          <cell r="AT45">
            <v>4.25754172966904</v>
          </cell>
          <cell r="AU45">
            <v>4.55116529723243</v>
          </cell>
        </row>
        <row r="46">
          <cell r="F46">
            <v>30.6434885458722</v>
          </cell>
          <cell r="G46">
            <v>39.5811727050849</v>
          </cell>
          <cell r="H46">
            <v>38.3043606823402</v>
          </cell>
          <cell r="I46">
            <v>27.2692917296182</v>
          </cell>
          <cell r="J46">
            <v>23.7487036230509</v>
          </cell>
          <cell r="K46">
            <v>24.8978344435211</v>
          </cell>
          <cell r="L46">
            <v>23.7487036230509</v>
          </cell>
          <cell r="M46">
            <v>32.2252955134797</v>
          </cell>
          <cell r="N46">
            <v>26.7172915759323</v>
          </cell>
          <cell r="O46">
            <v>26.7172915759323</v>
          </cell>
          <cell r="P46">
            <v>31.4734163606562</v>
          </cell>
          <cell r="Q46">
            <v>35.6230554345764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6">
          <cell r="AJ46">
            <v>13.5948967271557</v>
          </cell>
          <cell r="AK46">
            <v>17.5600749392428</v>
          </cell>
          <cell r="AL46">
            <v>16.9936209089446</v>
          </cell>
          <cell r="AM46">
            <v>12.0979438855952</v>
          </cell>
          <cell r="AN46">
            <v>10.5360449635456</v>
          </cell>
          <cell r="AO46">
            <v>11.045853590814</v>
          </cell>
          <cell r="AP46">
            <v>10.5360449635456</v>
          </cell>
          <cell r="AQ46">
            <v>14.2966608991666</v>
          </cell>
          <cell r="AR46">
            <v>11.8530505839889</v>
          </cell>
          <cell r="AS46">
            <v>11.8530505839889</v>
          </cell>
          <cell r="AT46">
            <v>13.9630918468495</v>
          </cell>
          <cell r="AU46">
            <v>15.8040674453185</v>
          </cell>
        </row>
        <row r="47">
          <cell r="F47">
            <v>48.2712924029982</v>
          </cell>
          <cell r="G47">
            <v>0</v>
          </cell>
          <cell r="H47">
            <v>27.1276684578833</v>
          </cell>
          <cell r="I47">
            <v>46.1702278851818</v>
          </cell>
          <cell r="J47">
            <v>37.5133101567102</v>
          </cell>
          <cell r="K47">
            <v>41.4062982610847</v>
          </cell>
          <cell r="L47">
            <v>38.1247478463256</v>
          </cell>
          <cell r="M47">
            <v>55.4521458183203</v>
          </cell>
          <cell r="N47">
            <v>48.6436329504593</v>
          </cell>
          <cell r="O47">
            <v>47.4069304178205</v>
          </cell>
          <cell r="P47">
            <v>46.6622493228982</v>
          </cell>
          <cell r="Q47">
            <v>56.0638481462921</v>
          </cell>
        </row>
        <row r="47">
          <cell r="U47">
            <v>8.77569749789146</v>
          </cell>
          <cell r="V47">
            <v>0</v>
          </cell>
          <cell r="W47">
            <v>4.93179694096379</v>
          </cell>
          <cell r="X47">
            <v>8.39372498971879</v>
          </cell>
          <cell r="Y47">
            <v>6.81990155414651</v>
          </cell>
          <cell r="Z47">
            <v>7.5276448994388</v>
          </cell>
          <cell r="AA47">
            <v>6.93106062894562</v>
          </cell>
          <cell r="AB47">
            <v>10.0811731587348</v>
          </cell>
          <cell r="AC47">
            <v>8.8433888284537</v>
          </cell>
          <cell r="AD47">
            <v>8.61855690908624</v>
          </cell>
          <cell r="AE47">
            <v>8.48317424796174</v>
          </cell>
          <cell r="AF47">
            <v>10.1923803446585</v>
          </cell>
        </row>
        <row r="47">
          <cell r="AJ47">
            <v>18.5670652758452</v>
          </cell>
          <cell r="AK47">
            <v>0</v>
          </cell>
          <cell r="AL47">
            <v>10.434383791384</v>
          </cell>
          <cell r="AM47">
            <v>17.7589120214145</v>
          </cell>
          <cell r="AN47">
            <v>14.4291160173992</v>
          </cell>
          <cell r="AO47">
            <v>15.926514588139</v>
          </cell>
          <cell r="AP47">
            <v>14.6642993516349</v>
          </cell>
          <cell r="AQ47">
            <v>21.3291080441527</v>
          </cell>
          <cell r="AR47">
            <v>18.7102823082759</v>
          </cell>
          <cell r="AS47">
            <v>18.2345971648452</v>
          </cell>
          <cell r="AT47">
            <v>17.9481630999836</v>
          </cell>
          <cell r="AU47">
            <v>21.5643931688604</v>
          </cell>
        </row>
        <row r="48">
          <cell r="F48">
            <v>25.7999836164621</v>
          </cell>
          <cell r="G48">
            <v>26.6599830703442</v>
          </cell>
          <cell r="H48">
            <v>25.7999836164621</v>
          </cell>
          <cell r="I48">
            <v>26.6599830703442</v>
          </cell>
          <cell r="J48">
            <v>26.6599830703442</v>
          </cell>
          <cell r="K48">
            <v>25.7999836164621</v>
          </cell>
          <cell r="L48">
            <v>26.6599830703442</v>
          </cell>
          <cell r="M48">
            <v>25.7999836164621</v>
          </cell>
          <cell r="N48">
            <v>26.6599830703442</v>
          </cell>
          <cell r="O48">
            <v>26.6599830703442</v>
          </cell>
          <cell r="P48">
            <v>24.9399841625801</v>
          </cell>
          <cell r="Q48">
            <v>26.6599830703442</v>
          </cell>
        </row>
        <row r="48">
          <cell r="AJ48">
            <v>11.3519927912433</v>
          </cell>
          <cell r="AK48">
            <v>11.7303925509514</v>
          </cell>
          <cell r="AL48">
            <v>11.3519927912433</v>
          </cell>
          <cell r="AM48">
            <v>11.7303925509514</v>
          </cell>
          <cell r="AN48">
            <v>11.7303925509514</v>
          </cell>
          <cell r="AO48">
            <v>11.3519927912433</v>
          </cell>
          <cell r="AP48">
            <v>11.7303925509514</v>
          </cell>
          <cell r="AQ48">
            <v>11.3519927912433</v>
          </cell>
          <cell r="AR48">
            <v>11.7303925509514</v>
          </cell>
          <cell r="AS48">
            <v>11.7303925509514</v>
          </cell>
          <cell r="AT48">
            <v>10.9735930315352</v>
          </cell>
          <cell r="AU48">
            <v>11.7303925509514</v>
          </cell>
        </row>
        <row r="49">
          <cell r="F49">
            <v>26.8840704244654</v>
          </cell>
          <cell r="G49">
            <v>34.725257631601</v>
          </cell>
          <cell r="H49">
            <v>0</v>
          </cell>
          <cell r="I49">
            <v>11.2857087302703</v>
          </cell>
          <cell r="J49">
            <v>20.8351545789606</v>
          </cell>
          <cell r="K49">
            <v>21.8433072198781</v>
          </cell>
          <cell r="L49">
            <v>20.8351545789606</v>
          </cell>
          <cell r="M49">
            <v>26.0439432237008</v>
          </cell>
          <cell r="N49">
            <v>22.6161290284966</v>
          </cell>
          <cell r="O49">
            <v>23.20543981927</v>
          </cell>
          <cell r="P49">
            <v>27.612180665128</v>
          </cell>
          <cell r="Q49">
            <v>30.384600427651</v>
          </cell>
        </row>
        <row r="49">
          <cell r="U49">
            <v>7.38426705980478</v>
          </cell>
          <cell r="V49">
            <v>9.53801161891447</v>
          </cell>
          <cell r="W49">
            <v>0</v>
          </cell>
          <cell r="X49">
            <v>3.09985377614721</v>
          </cell>
          <cell r="Y49">
            <v>5.72280697134869</v>
          </cell>
          <cell r="Z49">
            <v>5.99971698609137</v>
          </cell>
          <cell r="AA49">
            <v>5.72280697134869</v>
          </cell>
          <cell r="AB49">
            <v>7.15350871418588</v>
          </cell>
          <cell r="AC49">
            <v>6.2119885109899</v>
          </cell>
          <cell r="AD49">
            <v>6.37385493194433</v>
          </cell>
          <cell r="AE49">
            <v>7.58425762600783</v>
          </cell>
          <cell r="AF49">
            <v>8.34576016655019</v>
          </cell>
        </row>
        <row r="49">
          <cell r="AJ49">
            <v>16.0398144940023</v>
          </cell>
          <cell r="AK49">
            <v>20.7180937214195</v>
          </cell>
          <cell r="AL49">
            <v>0</v>
          </cell>
          <cell r="AM49">
            <v>6.73338045946136</v>
          </cell>
          <cell r="AN49">
            <v>12.4308562328517</v>
          </cell>
          <cell r="AO49">
            <v>13.0323492763768</v>
          </cell>
          <cell r="AP49">
            <v>12.4308562328517</v>
          </cell>
          <cell r="AQ49">
            <v>15.5385702910647</v>
          </cell>
          <cell r="AR49">
            <v>13.4934371344074</v>
          </cell>
          <cell r="AS49">
            <v>13.8450370080157</v>
          </cell>
          <cell r="AT49">
            <v>16.4742261365482</v>
          </cell>
          <cell r="AU49">
            <v>18.1283320062422</v>
          </cell>
        </row>
        <row r="50">
          <cell r="F50">
            <v>26.8840704244654</v>
          </cell>
          <cell r="G50">
            <v>34.725257631601</v>
          </cell>
          <cell r="H50">
            <v>33.6050880305818</v>
          </cell>
          <cell r="I50">
            <v>22.5714174605407</v>
          </cell>
          <cell r="J50">
            <v>20.8351545789606</v>
          </cell>
          <cell r="K50">
            <v>21.632695015777</v>
          </cell>
          <cell r="L50">
            <v>20.8351545789606</v>
          </cell>
          <cell r="M50">
            <v>20.163052818349</v>
          </cell>
          <cell r="N50">
            <v>21.7032860197507</v>
          </cell>
          <cell r="O50">
            <v>22.5714174605407</v>
          </cell>
          <cell r="P50">
            <v>27.4102258316513</v>
          </cell>
          <cell r="Q50">
            <v>30.384600427651</v>
          </cell>
        </row>
        <row r="50">
          <cell r="U50">
            <v>6.48228462120567</v>
          </cell>
          <cell r="V50">
            <v>8.3729509690573</v>
          </cell>
          <cell r="W50">
            <v>8.1028557765071</v>
          </cell>
          <cell r="X50">
            <v>5.44241812988725</v>
          </cell>
          <cell r="Y50">
            <v>5.02377058143438</v>
          </cell>
          <cell r="Z50">
            <v>5.21607345918834</v>
          </cell>
          <cell r="AA50">
            <v>5.02377058143438</v>
          </cell>
          <cell r="AB50">
            <v>4.86171346590424</v>
          </cell>
          <cell r="AC50">
            <v>5.23309435566082</v>
          </cell>
          <cell r="AD50">
            <v>5.44241812988725</v>
          </cell>
          <cell r="AE50">
            <v>6.60915116524142</v>
          </cell>
          <cell r="AF50">
            <v>7.32633209792516</v>
          </cell>
        </row>
        <row r="50">
          <cell r="AJ50">
            <v>16.0398144940023</v>
          </cell>
          <cell r="AK50">
            <v>20.7180937214195</v>
          </cell>
          <cell r="AL50">
            <v>20.0497681175029</v>
          </cell>
          <cell r="AM50">
            <v>13.4667609189227</v>
          </cell>
          <cell r="AN50">
            <v>12.4308562328517</v>
          </cell>
          <cell r="AO50">
            <v>12.9066919398717</v>
          </cell>
          <cell r="AP50">
            <v>12.4308562328517</v>
          </cell>
          <cell r="AQ50">
            <v>12.0298608705017</v>
          </cell>
          <cell r="AR50">
            <v>12.9488085758872</v>
          </cell>
          <cell r="AS50">
            <v>13.4667609189227</v>
          </cell>
          <cell r="AT50">
            <v>16.3537340379192</v>
          </cell>
          <cell r="AU50">
            <v>18.1283320062422</v>
          </cell>
        </row>
        <row r="51">
          <cell r="F51">
            <v>26.8840704244654</v>
          </cell>
          <cell r="G51">
            <v>34.725257631601</v>
          </cell>
          <cell r="H51">
            <v>33.6050880305818</v>
          </cell>
          <cell r="I51">
            <v>22.5714174605407</v>
          </cell>
          <cell r="J51">
            <v>20.8351545789606</v>
          </cell>
          <cell r="K51">
            <v>21.8433072198781</v>
          </cell>
          <cell r="L51">
            <v>20.8351545789606</v>
          </cell>
          <cell r="M51">
            <v>5.54283357995339</v>
          </cell>
          <cell r="N51">
            <v>12.1538401710604</v>
          </cell>
          <cell r="O51">
            <v>22.5714174605407</v>
          </cell>
          <cell r="P51">
            <v>27.612180665128</v>
          </cell>
          <cell r="Q51">
            <v>30.384600427651</v>
          </cell>
        </row>
        <row r="51">
          <cell r="U51">
            <v>7.03314272106177</v>
          </cell>
          <cell r="V51">
            <v>9.08447601470476</v>
          </cell>
          <cell r="W51">
            <v>8.79142840132722</v>
          </cell>
          <cell r="X51">
            <v>5.9049094095581</v>
          </cell>
          <cell r="Y51">
            <v>5.45068560882286</v>
          </cell>
          <cell r="Z51">
            <v>5.71442846086268</v>
          </cell>
          <cell r="AA51">
            <v>5.45068560882286</v>
          </cell>
          <cell r="AB51">
            <v>1.45006091084442</v>
          </cell>
          <cell r="AC51">
            <v>3.17956660514667</v>
          </cell>
          <cell r="AD51">
            <v>5.9049094095581</v>
          </cell>
          <cell r="AE51">
            <v>7.22362366975719</v>
          </cell>
          <cell r="AF51">
            <v>7.94891651286669</v>
          </cell>
        </row>
        <row r="51">
          <cell r="AJ51">
            <v>16.0398144940023</v>
          </cell>
          <cell r="AK51">
            <v>20.7180937214195</v>
          </cell>
          <cell r="AL51">
            <v>20.0497681175029</v>
          </cell>
          <cell r="AM51">
            <v>13.4667609189227</v>
          </cell>
          <cell r="AN51">
            <v>12.4308562328517</v>
          </cell>
          <cell r="AO51">
            <v>13.0323492763768</v>
          </cell>
          <cell r="AP51">
            <v>12.4308562328517</v>
          </cell>
          <cell r="AQ51">
            <v>3.30701493448966</v>
          </cell>
          <cell r="AR51">
            <v>7.25133280249685</v>
          </cell>
          <cell r="AS51">
            <v>13.4667609189227</v>
          </cell>
          <cell r="AT51">
            <v>16.4742261365482</v>
          </cell>
          <cell r="AU51">
            <v>18.1283320062422</v>
          </cell>
        </row>
        <row r="52">
          <cell r="F52">
            <v>25.4029468920794</v>
          </cell>
          <cell r="G52">
            <v>26.2497117884821</v>
          </cell>
          <cell r="H52">
            <v>25.4029468920794</v>
          </cell>
          <cell r="I52">
            <v>27.9134259159211</v>
          </cell>
          <cell r="J52">
            <v>22.3677121577911</v>
          </cell>
          <cell r="K52">
            <v>25.4029468920794</v>
          </cell>
          <cell r="L52">
            <v>21.8131407819781</v>
          </cell>
          <cell r="M52">
            <v>25.4029468920794</v>
          </cell>
          <cell r="N52">
            <v>26.2497117884821</v>
          </cell>
          <cell r="O52">
            <v>25.6951404126691</v>
          </cell>
          <cell r="P52">
            <v>24.5561819956768</v>
          </cell>
          <cell r="Q52">
            <v>29.5771400433601</v>
          </cell>
        </row>
        <row r="52">
          <cell r="U52">
            <v>4.56778979365172</v>
          </cell>
          <cell r="V52">
            <v>4.72004945344011</v>
          </cell>
          <cell r="W52">
            <v>4.56778979365172</v>
          </cell>
          <cell r="X52">
            <v>5.01920751739054</v>
          </cell>
          <cell r="Y52">
            <v>4.02201397088911</v>
          </cell>
          <cell r="Z52">
            <v>4.56778979365172</v>
          </cell>
          <cell r="AA52">
            <v>3.92229461623897</v>
          </cell>
          <cell r="AB52">
            <v>4.56778979365172</v>
          </cell>
          <cell r="AC52">
            <v>4.72004945344011</v>
          </cell>
          <cell r="AD52">
            <v>4.62033009878997</v>
          </cell>
          <cell r="AE52">
            <v>4.41553013386333</v>
          </cell>
          <cell r="AF52">
            <v>5.31836558134097</v>
          </cell>
        </row>
        <row r="52">
          <cell r="AJ52">
            <v>7.18393803058944</v>
          </cell>
          <cell r="AK52">
            <v>7.42340263160909</v>
          </cell>
          <cell r="AL52">
            <v>7.18393803058944</v>
          </cell>
          <cell r="AM52">
            <v>7.89389998149981</v>
          </cell>
          <cell r="AN52">
            <v>6.32557548186409</v>
          </cell>
          <cell r="AO52">
            <v>7.18393803058944</v>
          </cell>
          <cell r="AP52">
            <v>6.16874303190052</v>
          </cell>
          <cell r="AQ52">
            <v>7.18393803058944</v>
          </cell>
          <cell r="AR52">
            <v>7.42340263160909</v>
          </cell>
          <cell r="AS52">
            <v>7.26657018164552</v>
          </cell>
          <cell r="AT52">
            <v>6.9444734295698</v>
          </cell>
          <cell r="AU52">
            <v>8.36439733139053</v>
          </cell>
        </row>
        <row r="53">
          <cell r="F53">
            <v>13.1837227207335</v>
          </cell>
          <cell r="G53">
            <v>17.0289751809474</v>
          </cell>
          <cell r="H53">
            <v>16.4796534009168</v>
          </cell>
          <cell r="I53">
            <v>11.0688338676158</v>
          </cell>
          <cell r="J53">
            <v>10.2173851085684</v>
          </cell>
          <cell r="K53">
            <v>10.7117747105959</v>
          </cell>
          <cell r="L53">
            <v>10.2173851085684</v>
          </cell>
          <cell r="M53">
            <v>13.1837227207335</v>
          </cell>
          <cell r="N53">
            <v>11.4945582471395</v>
          </cell>
          <cell r="O53">
            <v>11.4945582471395</v>
          </cell>
          <cell r="P53">
            <v>13.5407818777533</v>
          </cell>
          <cell r="Q53">
            <v>14.9003532833289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3">
          <cell r="AJ53">
            <v>6.13704536519749</v>
          </cell>
          <cell r="AK53">
            <v>7.92701693004675</v>
          </cell>
          <cell r="AL53">
            <v>7.67130670649686</v>
          </cell>
          <cell r="AM53">
            <v>5.1525610045304</v>
          </cell>
          <cell r="AN53">
            <v>4.75621015802806</v>
          </cell>
          <cell r="AO53">
            <v>4.98634935922296</v>
          </cell>
          <cell r="AP53">
            <v>4.75621015802806</v>
          </cell>
          <cell r="AQ53">
            <v>6.13704536519749</v>
          </cell>
          <cell r="AR53">
            <v>5.35073642778156</v>
          </cell>
          <cell r="AS53">
            <v>5.35073642778156</v>
          </cell>
          <cell r="AT53">
            <v>6.30325701050492</v>
          </cell>
          <cell r="AU53">
            <v>6.93613981379091</v>
          </cell>
        </row>
        <row r="54">
          <cell r="F54">
            <v>56.2710242427957</v>
          </cell>
          <cell r="G54">
            <v>74.3778080502144</v>
          </cell>
          <cell r="H54">
            <v>71.9785239195623</v>
          </cell>
          <cell r="I54">
            <v>48.3455752326393</v>
          </cell>
          <cell r="J54">
            <v>44.6266848301286</v>
          </cell>
          <cell r="K54">
            <v>44.9865774497264</v>
          </cell>
          <cell r="L54">
            <v>44.6266848301286</v>
          </cell>
          <cell r="M54">
            <v>53.9838929396717</v>
          </cell>
          <cell r="N54">
            <v>48.3455752326393</v>
          </cell>
          <cell r="O54">
            <v>48.3455752326393</v>
          </cell>
          <cell r="P54">
            <v>57.4028728258509</v>
          </cell>
          <cell r="Q54">
            <v>65.0805820439376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4">
          <cell r="AJ54">
            <v>34.6182324068674</v>
          </cell>
          <cell r="AK54">
            <v>45.7576217892523</v>
          </cell>
          <cell r="AL54">
            <v>44.28156947347</v>
          </cell>
          <cell r="AM54">
            <v>29.742454163014</v>
          </cell>
          <cell r="AN54">
            <v>27.4545730735514</v>
          </cell>
          <cell r="AO54">
            <v>27.6759809209188</v>
          </cell>
          <cell r="AP54">
            <v>27.4545730735514</v>
          </cell>
          <cell r="AQ54">
            <v>33.2111771051025</v>
          </cell>
          <cell r="AR54">
            <v>29.742454163014</v>
          </cell>
          <cell r="AS54">
            <v>29.742454163014</v>
          </cell>
          <cell r="AT54">
            <v>35.3145516550923</v>
          </cell>
          <cell r="AU54">
            <v>40.0379190655958</v>
          </cell>
        </row>
        <row r="55">
          <cell r="F55">
            <v>266.333833587912</v>
          </cell>
          <cell r="G55">
            <v>274.671913081755</v>
          </cell>
          <cell r="H55">
            <v>266.446643926503</v>
          </cell>
          <cell r="I55">
            <v>273.237200985585</v>
          </cell>
          <cell r="J55">
            <v>224.198161768501</v>
          </cell>
          <cell r="K55">
            <v>242.273590279646</v>
          </cell>
          <cell r="L55">
            <v>213.152082629989</v>
          </cell>
          <cell r="M55">
            <v>266.446643926503</v>
          </cell>
          <cell r="N55">
            <v>263.694612862474</v>
          </cell>
          <cell r="O55">
            <v>239.158696452169</v>
          </cell>
          <cell r="P55">
            <v>235.799025258901</v>
          </cell>
          <cell r="Q55">
            <v>292.778577516423</v>
          </cell>
        </row>
        <row r="55">
          <cell r="U55">
            <v>69.1826423828892</v>
          </cell>
          <cell r="V55">
            <v>71.348534579204</v>
          </cell>
          <cell r="W55">
            <v>69.2119458972295</v>
          </cell>
          <cell r="X55">
            <v>70.9758550268744</v>
          </cell>
          <cell r="Y55">
            <v>58.2375173277095</v>
          </cell>
          <cell r="Z55">
            <v>62.9327747411513</v>
          </cell>
          <cell r="AA55">
            <v>55.3681975252725</v>
          </cell>
          <cell r="AB55">
            <v>69.2119458972296</v>
          </cell>
          <cell r="AC55">
            <v>68.497080728338</v>
          </cell>
          <cell r="AD55">
            <v>62.1236526599501</v>
          </cell>
          <cell r="AE55">
            <v>61.2509474254825</v>
          </cell>
          <cell r="AF55">
            <v>76.0519058086694</v>
          </cell>
        </row>
        <row r="55">
          <cell r="AJ55">
            <v>99.8233486444313</v>
          </cell>
          <cell r="AK55">
            <v>102.948505539168</v>
          </cell>
          <cell r="AL55">
            <v>99.8656305641115</v>
          </cell>
          <cell r="AM55">
            <v>102.410767754032</v>
          </cell>
          <cell r="AN55">
            <v>84.0306729571793</v>
          </cell>
          <cell r="AO55">
            <v>90.8054404655287</v>
          </cell>
          <cell r="AP55">
            <v>79.8905432780348</v>
          </cell>
          <cell r="AQ55">
            <v>99.8656305641116</v>
          </cell>
          <cell r="AR55">
            <v>98.8341545676747</v>
          </cell>
          <cell r="AS55">
            <v>89.6379615600448</v>
          </cell>
          <cell r="AT55">
            <v>88.3787387856105</v>
          </cell>
          <cell r="AU55">
            <v>109.734980439109</v>
          </cell>
        </row>
        <row r="56">
          <cell r="F56">
            <v>260.829491294506</v>
          </cell>
          <cell r="G56">
            <v>266.723452196093</v>
          </cell>
          <cell r="H56">
            <v>263.664688868503</v>
          </cell>
          <cell r="I56">
            <v>259.182717805805</v>
          </cell>
          <cell r="J56">
            <v>217.170262296049</v>
          </cell>
          <cell r="K56">
            <v>227.011127720524</v>
          </cell>
          <cell r="L56">
            <v>209.785501225588</v>
          </cell>
          <cell r="M56">
            <v>266.458904775682</v>
          </cell>
          <cell r="N56">
            <v>257.256160994897</v>
          </cell>
          <cell r="O56">
            <v>234.621444087696</v>
          </cell>
          <cell r="P56">
            <v>235.809875822611</v>
          </cell>
          <cell r="Q56">
            <v>282.780385626654</v>
          </cell>
        </row>
        <row r="56">
          <cell r="U56">
            <v>69.5003985498398</v>
          </cell>
          <cell r="V56">
            <v>71.0708982263314</v>
          </cell>
          <cell r="W56">
            <v>70.2558628203193</v>
          </cell>
          <cell r="X56">
            <v>69.0616007236507</v>
          </cell>
          <cell r="Y56">
            <v>57.8669985048067</v>
          </cell>
          <cell r="Z56">
            <v>60.4891869148746</v>
          </cell>
          <cell r="AA56">
            <v>55.8992615167646</v>
          </cell>
          <cell r="AB56">
            <v>71.0004071516349</v>
          </cell>
          <cell r="AC56">
            <v>68.5482520776735</v>
          </cell>
          <cell r="AD56">
            <v>62.5170251703715</v>
          </cell>
          <cell r="AE56">
            <v>62.8336936529727</v>
          </cell>
          <cell r="AF56">
            <v>75.3494146907606</v>
          </cell>
        </row>
        <row r="56">
          <cell r="AJ56">
            <v>97.7602916440837</v>
          </cell>
          <cell r="AK56">
            <v>99.9693797875229</v>
          </cell>
          <cell r="AL56">
            <v>98.8229388943119</v>
          </cell>
          <cell r="AM56">
            <v>97.1430721121657</v>
          </cell>
          <cell r="AN56">
            <v>81.3965785583353</v>
          </cell>
          <cell r="AO56">
            <v>85.0849876763081</v>
          </cell>
          <cell r="AP56">
            <v>78.6287305194223</v>
          </cell>
          <cell r="AQ56">
            <v>99.8702259961143</v>
          </cell>
          <cell r="AR56">
            <v>96.4209882911667</v>
          </cell>
          <cell r="AS56">
            <v>87.9373750496302</v>
          </cell>
          <cell r="AT56">
            <v>88.3828056350589</v>
          </cell>
          <cell r="AU56">
            <v>105.987604518517</v>
          </cell>
        </row>
        <row r="57">
          <cell r="F57">
            <v>0.291792697242858</v>
          </cell>
          <cell r="G57">
            <v>0.312675828988634</v>
          </cell>
          <cell r="H57">
            <v>0.323947299931132</v>
          </cell>
          <cell r="I57">
            <v>0.7082219842504</v>
          </cell>
          <cell r="J57">
            <v>1.66277593233727</v>
          </cell>
          <cell r="K57">
            <v>0.839812200814249</v>
          </cell>
          <cell r="L57">
            <v>0.925685478933957</v>
          </cell>
          <cell r="M57">
            <v>0.317490985645716</v>
          </cell>
          <cell r="N57">
            <v>0.544657370197557</v>
          </cell>
          <cell r="O57">
            <v>1.03928118667895</v>
          </cell>
          <cell r="P57">
            <v>0.966726074065471</v>
          </cell>
          <cell r="Q57">
            <v>0.433562591112057</v>
          </cell>
        </row>
        <row r="57">
          <cell r="U57">
            <v>0.0697078085661087</v>
          </cell>
          <cell r="V57">
            <v>0.0746966837632966</v>
          </cell>
          <cell r="W57">
            <v>0.0773893815111916</v>
          </cell>
          <cell r="X57">
            <v>0.169190671894531</v>
          </cell>
          <cell r="Y57">
            <v>0.397228811669776</v>
          </cell>
          <cell r="Z57">
            <v>0.200626913144157</v>
          </cell>
          <cell r="AA57">
            <v>0.221141607612781</v>
          </cell>
          <cell r="AB57">
            <v>0.0758470004834862</v>
          </cell>
          <cell r="AC57">
            <v>0.130115907816061</v>
          </cell>
          <cell r="AD57">
            <v>0.248279051161715</v>
          </cell>
          <cell r="AE57">
            <v>0.230945999483787</v>
          </cell>
          <cell r="AF57">
            <v>0.103575923552025</v>
          </cell>
        </row>
        <row r="58">
          <cell r="F58">
            <v>0.291792697242858</v>
          </cell>
          <cell r="G58">
            <v>0.312675828988634</v>
          </cell>
          <cell r="H58">
            <v>0.323947299931132</v>
          </cell>
          <cell r="I58">
            <v>0.7082219842504</v>
          </cell>
          <cell r="J58">
            <v>1.66277593233727</v>
          </cell>
          <cell r="K58">
            <v>0.839812200814249</v>
          </cell>
          <cell r="L58">
            <v>0.925685478933957</v>
          </cell>
          <cell r="M58">
            <v>0.317490985645716</v>
          </cell>
          <cell r="N58">
            <v>0.544657370197557</v>
          </cell>
          <cell r="O58">
            <v>1.03928118667895</v>
          </cell>
          <cell r="P58">
            <v>0.966726074065471</v>
          </cell>
          <cell r="Q58">
            <v>0.433562591112057</v>
          </cell>
        </row>
        <row r="58">
          <cell r="U58">
            <v>0.0697078085661087</v>
          </cell>
          <cell r="V58">
            <v>0.0746966837632966</v>
          </cell>
          <cell r="W58">
            <v>0.0773893815111916</v>
          </cell>
          <cell r="X58">
            <v>0.169190671894531</v>
          </cell>
          <cell r="Y58">
            <v>0.397228811669776</v>
          </cell>
          <cell r="Z58">
            <v>0.200626913144157</v>
          </cell>
          <cell r="AA58">
            <v>0.221141607612781</v>
          </cell>
          <cell r="AB58">
            <v>0.0758470004834862</v>
          </cell>
          <cell r="AC58">
            <v>0.130115907816061</v>
          </cell>
          <cell r="AD58">
            <v>0.248279051161715</v>
          </cell>
          <cell r="AE58">
            <v>0.230945999483787</v>
          </cell>
          <cell r="AF58">
            <v>0.103575923552025</v>
          </cell>
        </row>
        <row r="59">
          <cell r="F59">
            <v>6.41943933934287</v>
          </cell>
          <cell r="G59">
            <v>6.87886823774996</v>
          </cell>
          <cell r="H59">
            <v>7.1268405984849</v>
          </cell>
          <cell r="I59">
            <v>15.5808836535088</v>
          </cell>
          <cell r="J59">
            <v>36.5810705114198</v>
          </cell>
          <cell r="K59">
            <v>18.4758684179135</v>
          </cell>
          <cell r="L59">
            <v>20.3650805365471</v>
          </cell>
          <cell r="M59">
            <v>6.98480168420576</v>
          </cell>
          <cell r="N59">
            <v>11.9824621443463</v>
          </cell>
          <cell r="O59">
            <v>22.8641861069368</v>
          </cell>
          <cell r="P59">
            <v>21.2679736294404</v>
          </cell>
          <cell r="Q59">
            <v>9.53837700446526</v>
          </cell>
        </row>
        <row r="59">
          <cell r="U59">
            <v>1.53357178845439</v>
          </cell>
          <cell r="V59">
            <v>1.64332704279252</v>
          </cell>
          <cell r="W59">
            <v>1.70256639324622</v>
          </cell>
          <cell r="X59">
            <v>3.72219478167968</v>
          </cell>
          <cell r="Y59">
            <v>8.73903385673507</v>
          </cell>
          <cell r="Z59">
            <v>4.41379208917146</v>
          </cell>
          <cell r="AA59">
            <v>4.86511536748118</v>
          </cell>
          <cell r="AB59">
            <v>1.6686340106367</v>
          </cell>
          <cell r="AC59">
            <v>2.86254997195335</v>
          </cell>
          <cell r="AD59">
            <v>5.46213912555773</v>
          </cell>
          <cell r="AE59">
            <v>5.08081198864331</v>
          </cell>
          <cell r="AF59">
            <v>2.27867031814455</v>
          </cell>
        </row>
        <row r="60">
          <cell r="F60">
            <v>5.88254077641601</v>
          </cell>
          <cell r="G60">
            <v>6.30354471241087</v>
          </cell>
          <cell r="H60">
            <v>6.53077756661162</v>
          </cell>
          <cell r="I60">
            <v>14.2777552024881</v>
          </cell>
          <cell r="J60">
            <v>33.5215627959193</v>
          </cell>
          <cell r="K60">
            <v>16.9306139684153</v>
          </cell>
          <cell r="L60">
            <v>18.6618192553086</v>
          </cell>
          <cell r="M60">
            <v>6.40061827061764</v>
          </cell>
          <cell r="N60">
            <v>10.9802925831827</v>
          </cell>
          <cell r="O60">
            <v>20.9519087234475</v>
          </cell>
          <cell r="P60">
            <v>19.4891976531599</v>
          </cell>
          <cell r="Q60">
            <v>8.74062183681907</v>
          </cell>
        </row>
        <row r="60">
          <cell r="U60">
            <v>1.40530942069275</v>
          </cell>
          <cell r="V60">
            <v>1.50588514466806</v>
          </cell>
          <cell r="W60">
            <v>1.56016993126562</v>
          </cell>
          <cell r="X60">
            <v>3.41088394539374</v>
          </cell>
          <cell r="Y60">
            <v>8.00813284326269</v>
          </cell>
          <cell r="Z60">
            <v>4.04463856898621</v>
          </cell>
          <cell r="AA60">
            <v>4.45821480947366</v>
          </cell>
          <cell r="AB60">
            <v>1.52907552974708</v>
          </cell>
          <cell r="AC60">
            <v>2.62313670157179</v>
          </cell>
          <cell r="AD60">
            <v>5.00530567142017</v>
          </cell>
          <cell r="AE60">
            <v>4.65587134959314</v>
          </cell>
          <cell r="AF60">
            <v>2.08809061880882</v>
          </cell>
        </row>
        <row r="61">
          <cell r="F61">
            <v>5.88254077641601</v>
          </cell>
          <cell r="G61">
            <v>6.30354471241087</v>
          </cell>
          <cell r="H61">
            <v>6.53077756661162</v>
          </cell>
          <cell r="I61">
            <v>14.2777552024881</v>
          </cell>
          <cell r="J61">
            <v>33.5215627959193</v>
          </cell>
          <cell r="K61">
            <v>16.9306139684153</v>
          </cell>
          <cell r="L61">
            <v>18.6618192553086</v>
          </cell>
          <cell r="M61">
            <v>6.40061827061764</v>
          </cell>
          <cell r="N61">
            <v>10.9802925831827</v>
          </cell>
          <cell r="O61">
            <v>20.9519087234475</v>
          </cell>
          <cell r="P61">
            <v>19.4891976531599</v>
          </cell>
          <cell r="Q61">
            <v>8.74062183681907</v>
          </cell>
        </row>
        <row r="61">
          <cell r="U61">
            <v>1.40530942069275</v>
          </cell>
          <cell r="V61">
            <v>1.50588514466806</v>
          </cell>
          <cell r="W61">
            <v>1.56016993126562</v>
          </cell>
          <cell r="X61">
            <v>3.41088394539374</v>
          </cell>
          <cell r="Y61">
            <v>8.00813284326269</v>
          </cell>
          <cell r="Z61">
            <v>4.04463856898621</v>
          </cell>
          <cell r="AA61">
            <v>4.45821480947366</v>
          </cell>
          <cell r="AB61">
            <v>1.52907552974708</v>
          </cell>
          <cell r="AC61">
            <v>2.62313670157179</v>
          </cell>
          <cell r="AD61">
            <v>5.00530567142017</v>
          </cell>
          <cell r="AE61">
            <v>4.65587134959314</v>
          </cell>
          <cell r="AF61">
            <v>2.08809061880882</v>
          </cell>
        </row>
        <row r="62">
          <cell r="F62">
            <v>5.88254077641601</v>
          </cell>
          <cell r="G62">
            <v>6.30354471241087</v>
          </cell>
          <cell r="H62">
            <v>6.53077756661162</v>
          </cell>
          <cell r="I62">
            <v>14.2777552024881</v>
          </cell>
          <cell r="J62">
            <v>33.5215627959193</v>
          </cell>
          <cell r="K62">
            <v>16.9306139684153</v>
          </cell>
          <cell r="L62">
            <v>18.6618192553086</v>
          </cell>
          <cell r="M62">
            <v>6.40061827061764</v>
          </cell>
          <cell r="N62">
            <v>10.9802925831827</v>
          </cell>
          <cell r="O62">
            <v>20.9519087234475</v>
          </cell>
          <cell r="P62">
            <v>19.4891976531599</v>
          </cell>
          <cell r="Q62">
            <v>8.74062183681907</v>
          </cell>
        </row>
        <row r="62">
          <cell r="U62">
            <v>1.40530942069275</v>
          </cell>
          <cell r="V62">
            <v>1.50588514466806</v>
          </cell>
          <cell r="W62">
            <v>1.56016993126562</v>
          </cell>
          <cell r="X62">
            <v>3.41088394539374</v>
          </cell>
          <cell r="Y62">
            <v>8.00813284326269</v>
          </cell>
          <cell r="Z62">
            <v>4.04463856898621</v>
          </cell>
          <cell r="AA62">
            <v>4.45821480947366</v>
          </cell>
          <cell r="AB62">
            <v>1.52907552974708</v>
          </cell>
          <cell r="AC62">
            <v>2.62313670157179</v>
          </cell>
          <cell r="AD62">
            <v>5.00530567142017</v>
          </cell>
          <cell r="AE62">
            <v>4.65587134959314</v>
          </cell>
          <cell r="AF62">
            <v>2.08809061880882</v>
          </cell>
        </row>
        <row r="63">
          <cell r="F63">
            <v>5.88254077641601</v>
          </cell>
          <cell r="G63">
            <v>6.30354471241087</v>
          </cell>
          <cell r="H63">
            <v>6.53077756661162</v>
          </cell>
          <cell r="I63">
            <v>14.2777552024881</v>
          </cell>
          <cell r="J63">
            <v>33.5215627959193</v>
          </cell>
          <cell r="K63">
            <v>16.9306139684153</v>
          </cell>
          <cell r="L63">
            <v>18.6618192553086</v>
          </cell>
          <cell r="M63">
            <v>6.40061827061764</v>
          </cell>
          <cell r="N63">
            <v>10.9802925831827</v>
          </cell>
          <cell r="O63">
            <v>20.9519087234475</v>
          </cell>
          <cell r="P63">
            <v>19.4891976531599</v>
          </cell>
          <cell r="Q63">
            <v>8.74062183681907</v>
          </cell>
        </row>
        <row r="63">
          <cell r="U63">
            <v>1.40530942069275</v>
          </cell>
          <cell r="V63">
            <v>1.50588514466806</v>
          </cell>
          <cell r="W63">
            <v>1.56016993126562</v>
          </cell>
          <cell r="X63">
            <v>3.41088394539374</v>
          </cell>
          <cell r="Y63">
            <v>8.00813284326269</v>
          </cell>
          <cell r="Z63">
            <v>4.04463856898621</v>
          </cell>
          <cell r="AA63">
            <v>4.45821480947366</v>
          </cell>
          <cell r="AB63">
            <v>1.52907552974708</v>
          </cell>
          <cell r="AC63">
            <v>2.62313670157179</v>
          </cell>
          <cell r="AD63">
            <v>5.00530567142017</v>
          </cell>
          <cell r="AE63">
            <v>4.65587134959314</v>
          </cell>
          <cell r="AF63">
            <v>2.08809061880882</v>
          </cell>
        </row>
        <row r="64">
          <cell r="F64">
            <v>5.88254077641601</v>
          </cell>
          <cell r="G64">
            <v>6.30354471241087</v>
          </cell>
          <cell r="H64">
            <v>6.53077756661162</v>
          </cell>
          <cell r="I64">
            <v>14.2777552024881</v>
          </cell>
          <cell r="J64">
            <v>33.5215627959193</v>
          </cell>
          <cell r="K64">
            <v>16.9306139684153</v>
          </cell>
          <cell r="L64">
            <v>18.6618192553086</v>
          </cell>
          <cell r="M64">
            <v>6.40061827061764</v>
          </cell>
          <cell r="N64">
            <v>10.9802925831827</v>
          </cell>
          <cell r="O64">
            <v>20.9519087234475</v>
          </cell>
          <cell r="P64">
            <v>19.4891976531599</v>
          </cell>
          <cell r="Q64">
            <v>8.74062183681907</v>
          </cell>
        </row>
        <row r="64">
          <cell r="U64">
            <v>1.40530942069275</v>
          </cell>
          <cell r="V64">
            <v>1.50588514466806</v>
          </cell>
          <cell r="W64">
            <v>1.56016993126562</v>
          </cell>
          <cell r="X64">
            <v>3.41088394539374</v>
          </cell>
          <cell r="Y64">
            <v>8.00813284326269</v>
          </cell>
          <cell r="Z64">
            <v>4.04463856898621</v>
          </cell>
          <cell r="AA64">
            <v>4.45821480947366</v>
          </cell>
          <cell r="AB64">
            <v>1.52907552974708</v>
          </cell>
          <cell r="AC64">
            <v>2.62313670157179</v>
          </cell>
          <cell r="AD64">
            <v>5.00530567142017</v>
          </cell>
          <cell r="AE64">
            <v>4.65587134959314</v>
          </cell>
          <cell r="AF64">
            <v>2.08809061880882</v>
          </cell>
        </row>
        <row r="65">
          <cell r="F65">
            <v>5.88254077641601</v>
          </cell>
          <cell r="G65">
            <v>6.30354471241087</v>
          </cell>
          <cell r="H65">
            <v>6.53077756661162</v>
          </cell>
          <cell r="I65">
            <v>14.2777552024881</v>
          </cell>
          <cell r="J65">
            <v>33.5215627959193</v>
          </cell>
          <cell r="K65">
            <v>16.9306139684153</v>
          </cell>
          <cell r="L65">
            <v>18.6618192553086</v>
          </cell>
          <cell r="M65">
            <v>6.40061827061764</v>
          </cell>
          <cell r="N65">
            <v>10.9802925831827</v>
          </cell>
          <cell r="O65">
            <v>20.9519087234475</v>
          </cell>
          <cell r="P65">
            <v>19.4891976531599</v>
          </cell>
          <cell r="Q65">
            <v>8.74062183681907</v>
          </cell>
        </row>
        <row r="65">
          <cell r="U65">
            <v>1.40530942069275</v>
          </cell>
          <cell r="V65">
            <v>1.50588514466806</v>
          </cell>
          <cell r="W65">
            <v>1.56016993126562</v>
          </cell>
          <cell r="X65">
            <v>3.41088394539374</v>
          </cell>
          <cell r="Y65">
            <v>8.00813284326269</v>
          </cell>
          <cell r="Z65">
            <v>4.04463856898621</v>
          </cell>
          <cell r="AA65">
            <v>4.45821480947366</v>
          </cell>
          <cell r="AB65">
            <v>1.52907552974708</v>
          </cell>
          <cell r="AC65">
            <v>2.62313670157179</v>
          </cell>
          <cell r="AD65">
            <v>5.00530567142017</v>
          </cell>
          <cell r="AE65">
            <v>4.65587134959314</v>
          </cell>
          <cell r="AF65">
            <v>2.08809061880882</v>
          </cell>
        </row>
        <row r="66">
          <cell r="F66">
            <v>5.88254077641601</v>
          </cell>
          <cell r="G66">
            <v>6.30354471241087</v>
          </cell>
          <cell r="H66">
            <v>6.53077756661162</v>
          </cell>
          <cell r="I66">
            <v>14.2777552024881</v>
          </cell>
          <cell r="J66">
            <v>33.5215627959193</v>
          </cell>
          <cell r="K66">
            <v>16.9306139684153</v>
          </cell>
          <cell r="L66">
            <v>18.6618192553086</v>
          </cell>
          <cell r="M66">
            <v>6.40061827061764</v>
          </cell>
          <cell r="N66">
            <v>10.9802925831827</v>
          </cell>
          <cell r="O66">
            <v>20.9519087234475</v>
          </cell>
          <cell r="P66">
            <v>19.4891976531599</v>
          </cell>
          <cell r="Q66">
            <v>8.74062183681907</v>
          </cell>
        </row>
        <row r="66">
          <cell r="U66">
            <v>1.40530942069275</v>
          </cell>
          <cell r="V66">
            <v>1.50588514466806</v>
          </cell>
          <cell r="W66">
            <v>1.56016993126562</v>
          </cell>
          <cell r="X66">
            <v>3.41088394539374</v>
          </cell>
          <cell r="Y66">
            <v>8.00813284326269</v>
          </cell>
          <cell r="Z66">
            <v>4.04463856898621</v>
          </cell>
          <cell r="AA66">
            <v>4.45821480947366</v>
          </cell>
          <cell r="AB66">
            <v>1.52907552974708</v>
          </cell>
          <cell r="AC66">
            <v>2.62313670157179</v>
          </cell>
          <cell r="AD66">
            <v>5.00530567142017</v>
          </cell>
          <cell r="AE66">
            <v>4.65587134959314</v>
          </cell>
          <cell r="AF66">
            <v>2.08809061880882</v>
          </cell>
        </row>
        <row r="67">
          <cell r="F67">
            <v>8.75378091728573</v>
          </cell>
          <cell r="G67">
            <v>9.38027486965903</v>
          </cell>
          <cell r="H67">
            <v>9.71841899793395</v>
          </cell>
          <cell r="I67">
            <v>21.246659527512</v>
          </cell>
          <cell r="J67">
            <v>49.883277970118</v>
          </cell>
          <cell r="K67">
            <v>25.1943660244275</v>
          </cell>
          <cell r="L67">
            <v>27.7705643680187</v>
          </cell>
          <cell r="M67">
            <v>9.52472956937149</v>
          </cell>
          <cell r="N67">
            <v>16.3397211059267</v>
          </cell>
          <cell r="O67">
            <v>31.1784356003684</v>
          </cell>
          <cell r="P67">
            <v>29.0017822219641</v>
          </cell>
          <cell r="Q67">
            <v>13.0068777333617</v>
          </cell>
        </row>
        <row r="67">
          <cell r="U67">
            <v>2.48062094314243</v>
          </cell>
          <cell r="V67">
            <v>2.65815497485899</v>
          </cell>
          <cell r="W67">
            <v>2.75397727316932</v>
          </cell>
          <cell r="X67">
            <v>6.02081650132328</v>
          </cell>
          <cell r="Y67">
            <v>14.1357780385985</v>
          </cell>
          <cell r="Z67">
            <v>7.13950607171116</v>
          </cell>
          <cell r="AA67">
            <v>7.86954165578456</v>
          </cell>
          <cell r="AB67">
            <v>2.69909012697532</v>
          </cell>
          <cell r="AC67">
            <v>4.6303025816456</v>
          </cell>
          <cell r="AD67">
            <v>8.83525428103499</v>
          </cell>
          <cell r="AE67">
            <v>8.21844058562148</v>
          </cell>
          <cell r="AF67">
            <v>3.68585113280107</v>
          </cell>
        </row>
        <row r="68">
          <cell r="F68">
            <v>8.75378091728573</v>
          </cell>
          <cell r="G68">
            <v>9.38027486965903</v>
          </cell>
          <cell r="H68">
            <v>9.71841899793395</v>
          </cell>
          <cell r="I68">
            <v>21.246659527512</v>
          </cell>
          <cell r="J68">
            <v>49.883277970118</v>
          </cell>
          <cell r="K68">
            <v>25.1943660244275</v>
          </cell>
          <cell r="L68">
            <v>27.7705643680187</v>
          </cell>
          <cell r="M68">
            <v>9.52472956937149</v>
          </cell>
          <cell r="N68">
            <v>16.3397211059267</v>
          </cell>
          <cell r="O68">
            <v>31.1784356003684</v>
          </cell>
          <cell r="P68">
            <v>29.0017822219641</v>
          </cell>
          <cell r="Q68">
            <v>13.0068777333617</v>
          </cell>
        </row>
        <row r="68">
          <cell r="U68">
            <v>2.48062094314243</v>
          </cell>
          <cell r="V68">
            <v>2.65815497485899</v>
          </cell>
          <cell r="W68">
            <v>2.75397727316932</v>
          </cell>
          <cell r="X68">
            <v>6.02081650132328</v>
          </cell>
          <cell r="Y68">
            <v>14.1357780385985</v>
          </cell>
          <cell r="Z68">
            <v>7.13950607171116</v>
          </cell>
          <cell r="AA68">
            <v>7.86954165578456</v>
          </cell>
          <cell r="AB68">
            <v>2.69909012697532</v>
          </cell>
          <cell r="AC68">
            <v>4.6303025816456</v>
          </cell>
          <cell r="AD68">
            <v>8.83525428103499</v>
          </cell>
          <cell r="AE68">
            <v>8.21844058562148</v>
          </cell>
          <cell r="AF68">
            <v>3.68585113280107</v>
          </cell>
        </row>
        <row r="69">
          <cell r="F69">
            <v>8.75378091728573</v>
          </cell>
          <cell r="G69">
            <v>9.38027486965903</v>
          </cell>
          <cell r="H69">
            <v>9.71841899793395</v>
          </cell>
          <cell r="I69">
            <v>21.246659527512</v>
          </cell>
          <cell r="J69">
            <v>49.883277970118</v>
          </cell>
          <cell r="K69">
            <v>25.1943660244275</v>
          </cell>
          <cell r="L69">
            <v>27.7705643680187</v>
          </cell>
          <cell r="M69">
            <v>9.52472956937149</v>
          </cell>
          <cell r="N69">
            <v>16.3397211059267</v>
          </cell>
          <cell r="O69">
            <v>31.1784356003684</v>
          </cell>
          <cell r="P69">
            <v>29.0017822219641</v>
          </cell>
          <cell r="Q69">
            <v>13.0068777333617</v>
          </cell>
        </row>
        <row r="69">
          <cell r="U69">
            <v>2.48062094314243</v>
          </cell>
          <cell r="V69">
            <v>2.65815497485899</v>
          </cell>
          <cell r="W69">
            <v>2.75397727316932</v>
          </cell>
          <cell r="X69">
            <v>6.02081650132328</v>
          </cell>
          <cell r="Y69">
            <v>14.1357780385985</v>
          </cell>
          <cell r="Z69">
            <v>7.13950607171116</v>
          </cell>
          <cell r="AA69">
            <v>7.86954165578456</v>
          </cell>
          <cell r="AB69">
            <v>2.69909012697532</v>
          </cell>
          <cell r="AC69">
            <v>4.6303025816456</v>
          </cell>
          <cell r="AD69">
            <v>8.83525428103499</v>
          </cell>
          <cell r="AE69">
            <v>8.21844058562148</v>
          </cell>
          <cell r="AF69">
            <v>3.68585113280107</v>
          </cell>
        </row>
        <row r="70">
          <cell r="F70">
            <v>8.75378091728573</v>
          </cell>
          <cell r="G70">
            <v>9.38027486965903</v>
          </cell>
          <cell r="H70">
            <v>9.71841899793395</v>
          </cell>
          <cell r="I70">
            <v>21.246659527512</v>
          </cell>
          <cell r="J70">
            <v>49.883277970118</v>
          </cell>
          <cell r="K70">
            <v>25.1943660244275</v>
          </cell>
          <cell r="L70">
            <v>27.7705643680187</v>
          </cell>
          <cell r="M70">
            <v>9.52472956937149</v>
          </cell>
          <cell r="N70">
            <v>16.3397211059267</v>
          </cell>
          <cell r="O70">
            <v>31.1784356003684</v>
          </cell>
          <cell r="P70">
            <v>29.0017822219641</v>
          </cell>
          <cell r="Q70">
            <v>13.0068777333617</v>
          </cell>
        </row>
        <row r="70">
          <cell r="U70">
            <v>2.48062094314243</v>
          </cell>
          <cell r="V70">
            <v>2.65815497485899</v>
          </cell>
          <cell r="W70">
            <v>2.75397727316932</v>
          </cell>
          <cell r="X70">
            <v>6.02081650132328</v>
          </cell>
          <cell r="Y70">
            <v>14.1357780385985</v>
          </cell>
          <cell r="Z70">
            <v>7.13950607171116</v>
          </cell>
          <cell r="AA70">
            <v>7.86954165578456</v>
          </cell>
          <cell r="AB70">
            <v>2.69909012697532</v>
          </cell>
          <cell r="AC70">
            <v>4.6303025816456</v>
          </cell>
          <cell r="AD70">
            <v>8.83525428103499</v>
          </cell>
          <cell r="AE70">
            <v>8.21844058562148</v>
          </cell>
          <cell r="AF70">
            <v>3.68585113280107</v>
          </cell>
        </row>
        <row r="71">
          <cell r="F71">
            <v>8.75378091728573</v>
          </cell>
          <cell r="G71">
            <v>9.38027486965903</v>
          </cell>
          <cell r="H71">
            <v>9.71841899793395</v>
          </cell>
          <cell r="I71">
            <v>21.246659527512</v>
          </cell>
          <cell r="J71">
            <v>49.883277970118</v>
          </cell>
          <cell r="K71">
            <v>25.1943660244275</v>
          </cell>
          <cell r="L71">
            <v>27.7705643680187</v>
          </cell>
          <cell r="M71">
            <v>9.52472956937149</v>
          </cell>
          <cell r="N71">
            <v>16.3397211059267</v>
          </cell>
          <cell r="O71">
            <v>31.1784356003684</v>
          </cell>
          <cell r="P71">
            <v>29.0017822219641</v>
          </cell>
          <cell r="Q71">
            <v>13.0068777333617</v>
          </cell>
        </row>
        <row r="71">
          <cell r="U71">
            <v>2.48062094314243</v>
          </cell>
          <cell r="V71">
            <v>2.65815497485899</v>
          </cell>
          <cell r="W71">
            <v>2.75397727316932</v>
          </cell>
          <cell r="X71">
            <v>6.02081650132328</v>
          </cell>
          <cell r="Y71">
            <v>14.1357780385985</v>
          </cell>
          <cell r="Z71">
            <v>7.13950607171116</v>
          </cell>
          <cell r="AA71">
            <v>7.86954165578456</v>
          </cell>
          <cell r="AB71">
            <v>2.69909012697532</v>
          </cell>
          <cell r="AC71">
            <v>4.6303025816456</v>
          </cell>
          <cell r="AD71">
            <v>8.83525428103499</v>
          </cell>
          <cell r="AE71">
            <v>8.21844058562148</v>
          </cell>
          <cell r="AF71">
            <v>3.68585113280107</v>
          </cell>
        </row>
        <row r="72">
          <cell r="F72">
            <v>8.75378091728573</v>
          </cell>
          <cell r="G72">
            <v>9.38027486965903</v>
          </cell>
          <cell r="H72">
            <v>9.71841899793395</v>
          </cell>
          <cell r="I72">
            <v>21.246659527512</v>
          </cell>
          <cell r="J72">
            <v>49.883277970118</v>
          </cell>
          <cell r="K72">
            <v>25.1943660244275</v>
          </cell>
          <cell r="L72">
            <v>27.7705643680187</v>
          </cell>
          <cell r="M72">
            <v>9.52472956937149</v>
          </cell>
          <cell r="N72">
            <v>16.3397211059267</v>
          </cell>
          <cell r="O72">
            <v>31.1784356003684</v>
          </cell>
          <cell r="P72">
            <v>29.0017822219641</v>
          </cell>
          <cell r="Q72">
            <v>13.0068777333617</v>
          </cell>
        </row>
        <row r="72">
          <cell r="U72">
            <v>2.48062094314243</v>
          </cell>
          <cell r="V72">
            <v>2.65815497485899</v>
          </cell>
          <cell r="W72">
            <v>2.75397727316932</v>
          </cell>
          <cell r="X72">
            <v>6.02081650132328</v>
          </cell>
          <cell r="Y72">
            <v>14.1357780385985</v>
          </cell>
          <cell r="Z72">
            <v>7.13950607171116</v>
          </cell>
          <cell r="AA72">
            <v>7.86954165578456</v>
          </cell>
          <cell r="AB72">
            <v>2.69909012697532</v>
          </cell>
          <cell r="AC72">
            <v>4.6303025816456</v>
          </cell>
          <cell r="AD72">
            <v>8.83525428103499</v>
          </cell>
          <cell r="AE72">
            <v>8.21844058562148</v>
          </cell>
          <cell r="AF72">
            <v>3.68585113280107</v>
          </cell>
        </row>
        <row r="73">
          <cell r="F73">
            <v>1.75075618345715</v>
          </cell>
          <cell r="G73">
            <v>1.87605497393181</v>
          </cell>
          <cell r="H73">
            <v>1.94368379958679</v>
          </cell>
          <cell r="I73">
            <v>4.2493319055024</v>
          </cell>
          <cell r="J73">
            <v>9.97665559402359</v>
          </cell>
          <cell r="K73">
            <v>5.03887320488549</v>
          </cell>
          <cell r="L73">
            <v>5.55411287360374</v>
          </cell>
          <cell r="M73">
            <v>1.9049459138743</v>
          </cell>
          <cell r="N73">
            <v>3.26794422118534</v>
          </cell>
          <cell r="O73">
            <v>6.23568712007367</v>
          </cell>
          <cell r="P73">
            <v>5.80035644439283</v>
          </cell>
          <cell r="Q73">
            <v>2.60137554667234</v>
          </cell>
        </row>
        <row r="73">
          <cell r="U73">
            <v>0.83533498556498</v>
          </cell>
          <cell r="V73">
            <v>0.895118560411924</v>
          </cell>
          <cell r="W73">
            <v>0.927386174050009</v>
          </cell>
          <cell r="X73">
            <v>2.02747569278</v>
          </cell>
          <cell r="Y73">
            <v>4.76014280878561</v>
          </cell>
          <cell r="Z73">
            <v>2.40418803922495</v>
          </cell>
          <cell r="AA73">
            <v>2.65002336758082</v>
          </cell>
          <cell r="AB73">
            <v>0.908903239928043</v>
          </cell>
          <cell r="AC73">
            <v>1.55922804364486</v>
          </cell>
          <cell r="AD73">
            <v>2.9752215983317</v>
          </cell>
          <cell r="AE73">
            <v>2.76751309664429</v>
          </cell>
          <cell r="AF73">
            <v>1.24118939305281</v>
          </cell>
        </row>
        <row r="74">
          <cell r="F74">
            <v>1.75075618345715</v>
          </cell>
          <cell r="G74">
            <v>1.87605497393181</v>
          </cell>
          <cell r="H74">
            <v>1.94368379958679</v>
          </cell>
          <cell r="I74">
            <v>4.2493319055024</v>
          </cell>
          <cell r="J74">
            <v>9.97665559402359</v>
          </cell>
          <cell r="K74">
            <v>5.03887320488549</v>
          </cell>
          <cell r="L74">
            <v>5.55411287360374</v>
          </cell>
          <cell r="M74">
            <v>1.9049459138743</v>
          </cell>
          <cell r="N74">
            <v>3.26794422118534</v>
          </cell>
          <cell r="O74">
            <v>6.23568712007367</v>
          </cell>
          <cell r="P74">
            <v>5.80035644439283</v>
          </cell>
          <cell r="Q74">
            <v>2.60137554667234</v>
          </cell>
        </row>
        <row r="74">
          <cell r="U74">
            <v>0.83533498556498</v>
          </cell>
          <cell r="V74">
            <v>0.895118560411924</v>
          </cell>
          <cell r="W74">
            <v>0.927386174050009</v>
          </cell>
          <cell r="X74">
            <v>2.02747569278</v>
          </cell>
          <cell r="Y74">
            <v>4.76014280878561</v>
          </cell>
          <cell r="Z74">
            <v>2.40418803922495</v>
          </cell>
          <cell r="AA74">
            <v>2.65002336758082</v>
          </cell>
          <cell r="AB74">
            <v>0.908903239928043</v>
          </cell>
          <cell r="AC74">
            <v>1.55922804364486</v>
          </cell>
          <cell r="AD74">
            <v>2.9752215983317</v>
          </cell>
          <cell r="AE74">
            <v>2.76751309664429</v>
          </cell>
          <cell r="AF74">
            <v>1.24118939305281</v>
          </cell>
        </row>
        <row r="75">
          <cell r="F75">
            <v>0.525226855037144</v>
          </cell>
          <cell r="G75">
            <v>0.562816492179542</v>
          </cell>
          <cell r="H75">
            <v>0.583105139876037</v>
          </cell>
          <cell r="I75">
            <v>1.27479957165072</v>
          </cell>
          <cell r="J75">
            <v>2.99299667820708</v>
          </cell>
          <cell r="K75">
            <v>1.51166196146565</v>
          </cell>
          <cell r="L75">
            <v>1.66623386208112</v>
          </cell>
          <cell r="M75">
            <v>0.571483774162289</v>
          </cell>
          <cell r="N75">
            <v>0.980383266355603</v>
          </cell>
          <cell r="O75">
            <v>1.8707061360221</v>
          </cell>
          <cell r="P75">
            <v>1.74010693331785</v>
          </cell>
          <cell r="Q75">
            <v>0.780412664001703</v>
          </cell>
        </row>
        <row r="75">
          <cell r="U75">
            <v>0.0770747228949131</v>
          </cell>
          <cell r="V75">
            <v>0.082590836244193</v>
          </cell>
          <cell r="W75">
            <v>0.0855681057499751</v>
          </cell>
          <cell r="X75">
            <v>0.187071210828671</v>
          </cell>
          <cell r="Y75">
            <v>0.43920905297558</v>
          </cell>
          <cell r="Z75">
            <v>0.221829721144982</v>
          </cell>
          <cell r="AA75">
            <v>0.244512465359261</v>
          </cell>
          <cell r="AB75">
            <v>0.0838627216222267</v>
          </cell>
          <cell r="AC75">
            <v>0.143866917429087</v>
          </cell>
          <cell r="AD75">
            <v>0.27451786912442</v>
          </cell>
          <cell r="AE75">
            <v>0.255353012525427</v>
          </cell>
          <cell r="AF75">
            <v>0.114522114101265</v>
          </cell>
        </row>
        <row r="76">
          <cell r="F76">
            <v>0.525226855037144</v>
          </cell>
          <cell r="G76">
            <v>0.562816492179542</v>
          </cell>
          <cell r="H76">
            <v>0.583105139876037</v>
          </cell>
          <cell r="I76">
            <v>1.27479957165072</v>
          </cell>
          <cell r="J76">
            <v>2.99299667820708</v>
          </cell>
          <cell r="K76">
            <v>1.51166196146565</v>
          </cell>
          <cell r="L76">
            <v>1.66623386208112</v>
          </cell>
          <cell r="M76">
            <v>0.571483774162289</v>
          </cell>
          <cell r="N76">
            <v>0.980383266355603</v>
          </cell>
          <cell r="O76">
            <v>1.8707061360221</v>
          </cell>
          <cell r="P76">
            <v>1.74010693331785</v>
          </cell>
          <cell r="Q76">
            <v>0.780412664001703</v>
          </cell>
        </row>
        <row r="76">
          <cell r="U76">
            <v>0.0770747228949131</v>
          </cell>
          <cell r="V76">
            <v>0.082590836244193</v>
          </cell>
          <cell r="W76">
            <v>0.0855681057499751</v>
          </cell>
          <cell r="X76">
            <v>0.187071210828671</v>
          </cell>
          <cell r="Y76">
            <v>0.43920905297558</v>
          </cell>
          <cell r="Z76">
            <v>0.221829721144982</v>
          </cell>
          <cell r="AA76">
            <v>0.244512465359261</v>
          </cell>
          <cell r="AB76">
            <v>0.0838627216222267</v>
          </cell>
          <cell r="AC76">
            <v>0.143866917429087</v>
          </cell>
          <cell r="AD76">
            <v>0.27451786912442</v>
          </cell>
          <cell r="AE76">
            <v>0.255353012525427</v>
          </cell>
          <cell r="AF76">
            <v>0.114522114101265</v>
          </cell>
        </row>
        <row r="77">
          <cell r="F77">
            <v>0.525226855037144</v>
          </cell>
          <cell r="G77">
            <v>0.562816492179542</v>
          </cell>
          <cell r="H77">
            <v>0.583105139876037</v>
          </cell>
          <cell r="I77">
            <v>1.27479957165072</v>
          </cell>
          <cell r="J77">
            <v>2.99299667820708</v>
          </cell>
          <cell r="K77">
            <v>1.51166196146565</v>
          </cell>
          <cell r="L77">
            <v>1.66623386208112</v>
          </cell>
          <cell r="M77">
            <v>0.571483774162289</v>
          </cell>
          <cell r="N77">
            <v>0.980383266355603</v>
          </cell>
          <cell r="O77">
            <v>1.8707061360221</v>
          </cell>
          <cell r="P77">
            <v>1.74010693331785</v>
          </cell>
          <cell r="Q77">
            <v>0.780412664001703</v>
          </cell>
        </row>
        <row r="77">
          <cell r="U77">
            <v>0.0770747228949131</v>
          </cell>
          <cell r="V77">
            <v>0.082590836244193</v>
          </cell>
          <cell r="W77">
            <v>0.0855681057499751</v>
          </cell>
          <cell r="X77">
            <v>0.187071210828671</v>
          </cell>
          <cell r="Y77">
            <v>0.43920905297558</v>
          </cell>
          <cell r="Z77">
            <v>0.221829721144982</v>
          </cell>
          <cell r="AA77">
            <v>0.244512465359261</v>
          </cell>
          <cell r="AB77">
            <v>0.0838627216222267</v>
          </cell>
          <cell r="AC77">
            <v>0.143866917429087</v>
          </cell>
          <cell r="AD77">
            <v>0.27451786912442</v>
          </cell>
          <cell r="AE77">
            <v>0.255353012525427</v>
          </cell>
          <cell r="AF77">
            <v>0.114522114101265</v>
          </cell>
        </row>
        <row r="78">
          <cell r="F78">
            <v>0.525226855037144</v>
          </cell>
          <cell r="G78">
            <v>0.562816492179542</v>
          </cell>
          <cell r="H78">
            <v>0.583105139876037</v>
          </cell>
          <cell r="I78">
            <v>1.27479957165072</v>
          </cell>
          <cell r="J78">
            <v>2.99299667820708</v>
          </cell>
          <cell r="K78">
            <v>1.51166196146565</v>
          </cell>
          <cell r="L78">
            <v>1.66623386208112</v>
          </cell>
          <cell r="M78">
            <v>0.571483774162289</v>
          </cell>
          <cell r="N78">
            <v>0.980383266355603</v>
          </cell>
          <cell r="O78">
            <v>1.8707061360221</v>
          </cell>
          <cell r="P78">
            <v>1.74010693331785</v>
          </cell>
          <cell r="Q78">
            <v>0.780412664001703</v>
          </cell>
        </row>
        <row r="78">
          <cell r="U78">
            <v>0.0770747228949131</v>
          </cell>
          <cell r="V78">
            <v>0.082590836244193</v>
          </cell>
          <cell r="W78">
            <v>0.0855681057499751</v>
          </cell>
          <cell r="X78">
            <v>0.187071210828671</v>
          </cell>
          <cell r="Y78">
            <v>0.43920905297558</v>
          </cell>
          <cell r="Z78">
            <v>0.221829721144982</v>
          </cell>
          <cell r="AA78">
            <v>0.244512465359261</v>
          </cell>
          <cell r="AB78">
            <v>0.0838627216222267</v>
          </cell>
          <cell r="AC78">
            <v>0.143866917429087</v>
          </cell>
          <cell r="AD78">
            <v>0.27451786912442</v>
          </cell>
          <cell r="AE78">
            <v>0.255353012525427</v>
          </cell>
          <cell r="AF78">
            <v>0.114522114101265</v>
          </cell>
        </row>
        <row r="79">
          <cell r="F79">
            <v>0.437689045864286</v>
          </cell>
          <cell r="G79">
            <v>0.469013743482952</v>
          </cell>
          <cell r="H79">
            <v>0.485920949896698</v>
          </cell>
          <cell r="I79">
            <v>1.0623329763756</v>
          </cell>
          <cell r="J79">
            <v>2.4941638985059</v>
          </cell>
          <cell r="K79">
            <v>1.25971830122137</v>
          </cell>
          <cell r="L79">
            <v>1.38852821840094</v>
          </cell>
          <cell r="M79">
            <v>0.476236478468575</v>
          </cell>
          <cell r="N79">
            <v>0.816986055296336</v>
          </cell>
          <cell r="O79">
            <v>1.55892178001842</v>
          </cell>
          <cell r="P79">
            <v>1.45008911109821</v>
          </cell>
          <cell r="Q79">
            <v>0.650343886668086</v>
          </cell>
        </row>
        <row r="79">
          <cell r="U79">
            <v>0.164606511146678</v>
          </cell>
          <cell r="V79">
            <v>0.176387133112099</v>
          </cell>
          <cell r="W79">
            <v>0.182745611322373</v>
          </cell>
          <cell r="X79">
            <v>0.399523192480066</v>
          </cell>
          <cell r="Y79">
            <v>0.938007522555987</v>
          </cell>
          <cell r="Z79">
            <v>0.473756052501176</v>
          </cell>
          <cell r="AA79">
            <v>0.522199008221375</v>
          </cell>
          <cell r="AB79">
            <v>0.17910346613015</v>
          </cell>
          <cell r="AC79">
            <v>0.307252889896438</v>
          </cell>
          <cell r="AD79">
            <v>0.586280780348721</v>
          </cell>
          <cell r="AE79">
            <v>0.545350887085428</v>
          </cell>
          <cell r="AF79">
            <v>0.244581945199509</v>
          </cell>
        </row>
        <row r="80">
          <cell r="F80">
            <v>0.437689045864286</v>
          </cell>
          <cell r="G80">
            <v>0.469013743482952</v>
          </cell>
          <cell r="H80">
            <v>0.485920949896698</v>
          </cell>
          <cell r="I80">
            <v>1.0623329763756</v>
          </cell>
          <cell r="J80">
            <v>2.4941638985059</v>
          </cell>
          <cell r="K80">
            <v>1.25971830122137</v>
          </cell>
          <cell r="L80">
            <v>1.38852821840094</v>
          </cell>
          <cell r="M80">
            <v>0.476236478468575</v>
          </cell>
          <cell r="N80">
            <v>0.816986055296336</v>
          </cell>
          <cell r="O80">
            <v>1.55892178001842</v>
          </cell>
          <cell r="P80">
            <v>1.45008911109821</v>
          </cell>
          <cell r="Q80">
            <v>0.650343886668086</v>
          </cell>
        </row>
        <row r="80">
          <cell r="U80">
            <v>0.164606511146678</v>
          </cell>
          <cell r="V80">
            <v>0.176387133112099</v>
          </cell>
          <cell r="W80">
            <v>0.182745611322373</v>
          </cell>
          <cell r="X80">
            <v>0.399523192480066</v>
          </cell>
          <cell r="Y80">
            <v>0.938007522555987</v>
          </cell>
          <cell r="Z80">
            <v>0.473756052501176</v>
          </cell>
          <cell r="AA80">
            <v>0.522199008221375</v>
          </cell>
          <cell r="AB80">
            <v>0.17910346613015</v>
          </cell>
          <cell r="AC80">
            <v>0.307252889896438</v>
          </cell>
          <cell r="AD80">
            <v>0.586280780348721</v>
          </cell>
          <cell r="AE80">
            <v>0.545350887085428</v>
          </cell>
          <cell r="AF80">
            <v>0.244581945199509</v>
          </cell>
        </row>
        <row r="81">
          <cell r="F81">
            <v>2.27598303849429</v>
          </cell>
          <cell r="G81">
            <v>2.43887146611135</v>
          </cell>
          <cell r="H81">
            <v>2.52678893946283</v>
          </cell>
          <cell r="I81">
            <v>5.52413147715312</v>
          </cell>
          <cell r="J81">
            <v>12.9696522722307</v>
          </cell>
          <cell r="K81">
            <v>6.55053516635114</v>
          </cell>
          <cell r="L81">
            <v>7.22034673568486</v>
          </cell>
          <cell r="M81">
            <v>2.47642968803659</v>
          </cell>
          <cell r="N81">
            <v>4.24832748754095</v>
          </cell>
          <cell r="O81">
            <v>8.10639325609578</v>
          </cell>
          <cell r="P81">
            <v>7.54046337771067</v>
          </cell>
          <cell r="Q81">
            <v>3.38178821067405</v>
          </cell>
        </row>
        <row r="81">
          <cell r="U81">
            <v>0.584160376503345</v>
          </cell>
          <cell r="V81">
            <v>0.625967790528614</v>
          </cell>
          <cell r="W81">
            <v>0.648532943021226</v>
          </cell>
          <cell r="X81">
            <v>1.41783953086162</v>
          </cell>
          <cell r="Y81">
            <v>3.32882839033633</v>
          </cell>
          <cell r="Z81">
            <v>1.68127926454391</v>
          </cell>
          <cell r="AA81">
            <v>1.85319503540446</v>
          </cell>
          <cell r="AB81">
            <v>0.635607592183356</v>
          </cell>
          <cell r="AC81">
            <v>1.09038799615714</v>
          </cell>
          <cell r="AD81">
            <v>2.08061029299141</v>
          </cell>
          <cell r="AE81">
            <v>1.9353570967942</v>
          </cell>
          <cell r="AF81">
            <v>0.867979524007723</v>
          </cell>
        </row>
        <row r="82">
          <cell r="F82">
            <v>2.27598303849429</v>
          </cell>
          <cell r="G82">
            <v>2.43887146611135</v>
          </cell>
          <cell r="H82">
            <v>2.52678893946283</v>
          </cell>
          <cell r="I82">
            <v>5.52413147715312</v>
          </cell>
          <cell r="J82">
            <v>12.9696522722307</v>
          </cell>
          <cell r="K82">
            <v>6.55053516635114</v>
          </cell>
          <cell r="L82">
            <v>7.22034673568486</v>
          </cell>
          <cell r="M82">
            <v>2.47642968803659</v>
          </cell>
          <cell r="N82">
            <v>4.24832748754095</v>
          </cell>
          <cell r="O82">
            <v>8.10639325609578</v>
          </cell>
          <cell r="P82">
            <v>7.54046337771067</v>
          </cell>
          <cell r="Q82">
            <v>3.38178821067405</v>
          </cell>
        </row>
        <row r="82">
          <cell r="U82">
            <v>0.584160376503345</v>
          </cell>
          <cell r="V82">
            <v>0.625967790528614</v>
          </cell>
          <cell r="W82">
            <v>0.648532943021226</v>
          </cell>
          <cell r="X82">
            <v>1.41783953086162</v>
          </cell>
          <cell r="Y82">
            <v>3.32882839033633</v>
          </cell>
          <cell r="Z82">
            <v>1.68127926454391</v>
          </cell>
          <cell r="AA82">
            <v>1.85319503540446</v>
          </cell>
          <cell r="AB82">
            <v>0.635607592183356</v>
          </cell>
          <cell r="AC82">
            <v>1.09038799615714</v>
          </cell>
          <cell r="AD82">
            <v>2.08061029299141</v>
          </cell>
          <cell r="AE82">
            <v>1.9353570967942</v>
          </cell>
          <cell r="AF82">
            <v>0.867979524007723</v>
          </cell>
        </row>
        <row r="83">
          <cell r="F83">
            <v>2.27598303849429</v>
          </cell>
          <cell r="G83">
            <v>2.43887146611135</v>
          </cell>
          <cell r="H83">
            <v>2.52678893946283</v>
          </cell>
          <cell r="I83">
            <v>5.52413147715312</v>
          </cell>
          <cell r="J83">
            <v>12.9696522722307</v>
          </cell>
          <cell r="K83">
            <v>6.55053516635114</v>
          </cell>
          <cell r="L83">
            <v>7.22034673568486</v>
          </cell>
          <cell r="M83">
            <v>2.47642968803659</v>
          </cell>
          <cell r="N83">
            <v>4.24832748754095</v>
          </cell>
          <cell r="O83">
            <v>8.10639325609578</v>
          </cell>
          <cell r="P83">
            <v>7.54046337771067</v>
          </cell>
          <cell r="Q83">
            <v>3.38178821067405</v>
          </cell>
        </row>
        <row r="83">
          <cell r="U83">
            <v>0.584160376503345</v>
          </cell>
          <cell r="V83">
            <v>0.625967790528614</v>
          </cell>
          <cell r="W83">
            <v>0.648532943021226</v>
          </cell>
          <cell r="X83">
            <v>1.41783953086162</v>
          </cell>
          <cell r="Y83">
            <v>3.32882839033633</v>
          </cell>
          <cell r="Z83">
            <v>1.68127926454391</v>
          </cell>
          <cell r="AA83">
            <v>1.85319503540446</v>
          </cell>
          <cell r="AB83">
            <v>0.635607592183356</v>
          </cell>
          <cell r="AC83">
            <v>1.09038799615714</v>
          </cell>
          <cell r="AD83">
            <v>2.08061029299141</v>
          </cell>
          <cell r="AE83">
            <v>1.9353570967942</v>
          </cell>
          <cell r="AF83">
            <v>0.867979524007723</v>
          </cell>
        </row>
        <row r="84">
          <cell r="F84">
            <v>2.27598303849429</v>
          </cell>
          <cell r="G84">
            <v>2.43887146611135</v>
          </cell>
          <cell r="H84">
            <v>2.52678893946283</v>
          </cell>
          <cell r="I84">
            <v>5.52413147715312</v>
          </cell>
          <cell r="J84">
            <v>12.9696522722307</v>
          </cell>
          <cell r="K84">
            <v>6.55053516635114</v>
          </cell>
          <cell r="L84">
            <v>7.22034673568486</v>
          </cell>
          <cell r="M84">
            <v>2.47642968803659</v>
          </cell>
          <cell r="N84">
            <v>4.24832748754095</v>
          </cell>
          <cell r="O84">
            <v>8.10639325609578</v>
          </cell>
          <cell r="P84">
            <v>7.54046337771067</v>
          </cell>
          <cell r="Q84">
            <v>3.38178821067405</v>
          </cell>
        </row>
        <row r="84">
          <cell r="U84">
            <v>0.584160376503345</v>
          </cell>
          <cell r="V84">
            <v>0.625967790528614</v>
          </cell>
          <cell r="W84">
            <v>0.648532943021226</v>
          </cell>
          <cell r="X84">
            <v>1.41783953086162</v>
          </cell>
          <cell r="Y84">
            <v>3.32882839033633</v>
          </cell>
          <cell r="Z84">
            <v>1.68127926454391</v>
          </cell>
          <cell r="AA84">
            <v>1.85319503540446</v>
          </cell>
          <cell r="AB84">
            <v>0.635607592183356</v>
          </cell>
          <cell r="AC84">
            <v>1.09038799615714</v>
          </cell>
          <cell r="AD84">
            <v>2.08061029299141</v>
          </cell>
          <cell r="AE84">
            <v>1.9353570967942</v>
          </cell>
          <cell r="AF84">
            <v>0.867979524007723</v>
          </cell>
        </row>
        <row r="85">
          <cell r="F85">
            <v>2.27598303849429</v>
          </cell>
          <cell r="G85">
            <v>2.43887146611135</v>
          </cell>
          <cell r="H85">
            <v>2.52678893946283</v>
          </cell>
          <cell r="I85">
            <v>5.52413147715312</v>
          </cell>
          <cell r="J85">
            <v>12.9696522722307</v>
          </cell>
          <cell r="K85">
            <v>6.55053516635114</v>
          </cell>
          <cell r="L85">
            <v>7.22034673568486</v>
          </cell>
          <cell r="M85">
            <v>2.47642968803659</v>
          </cell>
          <cell r="N85">
            <v>4.24832748754095</v>
          </cell>
          <cell r="O85">
            <v>8.10639325609578</v>
          </cell>
          <cell r="P85">
            <v>7.54046337771067</v>
          </cell>
          <cell r="Q85">
            <v>3.38178821067405</v>
          </cell>
        </row>
        <row r="85">
          <cell r="U85">
            <v>0.584160376503345</v>
          </cell>
          <cell r="V85">
            <v>0.625967790528614</v>
          </cell>
          <cell r="W85">
            <v>0.648532943021226</v>
          </cell>
          <cell r="X85">
            <v>1.41783953086162</v>
          </cell>
          <cell r="Y85">
            <v>3.32882839033633</v>
          </cell>
          <cell r="Z85">
            <v>1.68127926454391</v>
          </cell>
          <cell r="AA85">
            <v>1.85319503540446</v>
          </cell>
          <cell r="AB85">
            <v>0.635607592183356</v>
          </cell>
          <cell r="AC85">
            <v>1.09038799615714</v>
          </cell>
          <cell r="AD85">
            <v>2.08061029299141</v>
          </cell>
          <cell r="AE85">
            <v>1.9353570967942</v>
          </cell>
          <cell r="AF85">
            <v>0.867979524007723</v>
          </cell>
        </row>
        <row r="86">
          <cell r="F86">
            <v>2.27598303849429</v>
          </cell>
          <cell r="G86">
            <v>2.43887146611135</v>
          </cell>
          <cell r="H86">
            <v>2.52678893946283</v>
          </cell>
          <cell r="I86">
            <v>5.52413147715312</v>
          </cell>
          <cell r="J86">
            <v>12.9696522722307</v>
          </cell>
          <cell r="K86">
            <v>6.55053516635114</v>
          </cell>
          <cell r="L86">
            <v>7.22034673568486</v>
          </cell>
          <cell r="M86">
            <v>2.47642968803659</v>
          </cell>
          <cell r="N86">
            <v>4.24832748754095</v>
          </cell>
          <cell r="O86">
            <v>8.10639325609578</v>
          </cell>
          <cell r="P86">
            <v>7.54046337771067</v>
          </cell>
          <cell r="Q86">
            <v>3.38178821067405</v>
          </cell>
        </row>
        <row r="86">
          <cell r="U86">
            <v>0.584160376503345</v>
          </cell>
          <cell r="V86">
            <v>0.625967790528614</v>
          </cell>
          <cell r="W86">
            <v>0.648532943021226</v>
          </cell>
          <cell r="X86">
            <v>1.41783953086162</v>
          </cell>
          <cell r="Y86">
            <v>3.32882839033633</v>
          </cell>
          <cell r="Z86">
            <v>1.68127926454391</v>
          </cell>
          <cell r="AA86">
            <v>1.85319503540446</v>
          </cell>
          <cell r="AB86">
            <v>0.635607592183356</v>
          </cell>
          <cell r="AC86">
            <v>1.09038799615714</v>
          </cell>
          <cell r="AD86">
            <v>2.08061029299141</v>
          </cell>
          <cell r="AE86">
            <v>1.9353570967942</v>
          </cell>
          <cell r="AF86">
            <v>0.867979524007723</v>
          </cell>
        </row>
        <row r="87">
          <cell r="F87">
            <v>2.33434157794286</v>
          </cell>
          <cell r="G87">
            <v>2.50140663190907</v>
          </cell>
          <cell r="H87">
            <v>2.59157839944905</v>
          </cell>
          <cell r="I87">
            <v>5.6657758740032</v>
          </cell>
          <cell r="J87">
            <v>13.3022074586981</v>
          </cell>
          <cell r="K87">
            <v>6.71849760651399</v>
          </cell>
          <cell r="L87">
            <v>7.40548383147166</v>
          </cell>
          <cell r="M87">
            <v>2.53992788516573</v>
          </cell>
          <cell r="N87">
            <v>4.35725896158046</v>
          </cell>
          <cell r="O87">
            <v>8.31424949343157</v>
          </cell>
          <cell r="P87">
            <v>7.73380859252377</v>
          </cell>
          <cell r="Q87">
            <v>3.46850072889646</v>
          </cell>
        </row>
        <row r="87">
          <cell r="U87">
            <v>1.08175265509173</v>
          </cell>
          <cell r="V87">
            <v>1.15917194428602</v>
          </cell>
          <cell r="W87">
            <v>1.20095826633604</v>
          </cell>
          <cell r="X87">
            <v>2.62556609228492</v>
          </cell>
          <cell r="Y87">
            <v>6.16434988477937</v>
          </cell>
          <cell r="Z87">
            <v>3.11340580690795</v>
          </cell>
          <cell r="AA87">
            <v>3.43176074685393</v>
          </cell>
          <cell r="AB87">
            <v>1.17702300275218</v>
          </cell>
          <cell r="AC87">
            <v>2.01918883472301</v>
          </cell>
          <cell r="AD87">
            <v>3.85289006099126</v>
          </cell>
          <cell r="AE87">
            <v>3.58390908082374</v>
          </cell>
          <cell r="AF87">
            <v>1.60733112416987</v>
          </cell>
        </row>
        <row r="88">
          <cell r="F88">
            <v>2.33434157794286</v>
          </cell>
          <cell r="G88">
            <v>2.50140663190907</v>
          </cell>
          <cell r="H88">
            <v>2.59157839944905</v>
          </cell>
          <cell r="I88">
            <v>5.6657758740032</v>
          </cell>
          <cell r="J88">
            <v>13.3022074586981</v>
          </cell>
          <cell r="K88">
            <v>6.71849760651399</v>
          </cell>
          <cell r="L88">
            <v>7.40548383147166</v>
          </cell>
          <cell r="M88">
            <v>2.53992788516573</v>
          </cell>
          <cell r="N88">
            <v>4.35725896158046</v>
          </cell>
          <cell r="O88">
            <v>8.31424949343157</v>
          </cell>
          <cell r="P88">
            <v>7.73380859252377</v>
          </cell>
          <cell r="Q88">
            <v>3.46850072889646</v>
          </cell>
        </row>
        <row r="88">
          <cell r="U88">
            <v>1.08175265509173</v>
          </cell>
          <cell r="V88">
            <v>1.15917194428602</v>
          </cell>
          <cell r="W88">
            <v>1.20095826633604</v>
          </cell>
          <cell r="X88">
            <v>2.62556609228492</v>
          </cell>
          <cell r="Y88">
            <v>6.16434988477937</v>
          </cell>
          <cell r="Z88">
            <v>3.11340580690795</v>
          </cell>
          <cell r="AA88">
            <v>3.43176074685393</v>
          </cell>
          <cell r="AB88">
            <v>1.17702300275218</v>
          </cell>
          <cell r="AC88">
            <v>2.01918883472301</v>
          </cell>
          <cell r="AD88">
            <v>3.85289006099126</v>
          </cell>
          <cell r="AE88">
            <v>3.58390908082374</v>
          </cell>
          <cell r="AF88">
            <v>1.60733112416987</v>
          </cell>
        </row>
        <row r="89">
          <cell r="F89">
            <v>2.33434157794286</v>
          </cell>
          <cell r="G89">
            <v>2.50140663190907</v>
          </cell>
          <cell r="H89">
            <v>2.59157839944905</v>
          </cell>
          <cell r="I89">
            <v>5.6657758740032</v>
          </cell>
          <cell r="J89">
            <v>13.3022074586981</v>
          </cell>
          <cell r="K89">
            <v>6.71849760651399</v>
          </cell>
          <cell r="L89">
            <v>7.40548383147166</v>
          </cell>
          <cell r="M89">
            <v>2.53992788516573</v>
          </cell>
          <cell r="N89">
            <v>4.35725896158046</v>
          </cell>
          <cell r="O89">
            <v>8.31424949343157</v>
          </cell>
          <cell r="P89">
            <v>7.73380859252377</v>
          </cell>
          <cell r="Q89">
            <v>3.46850072889646</v>
          </cell>
        </row>
        <row r="89">
          <cell r="U89">
            <v>1.08175265509173</v>
          </cell>
          <cell r="V89">
            <v>1.15917194428602</v>
          </cell>
          <cell r="W89">
            <v>1.20095826633604</v>
          </cell>
          <cell r="X89">
            <v>2.62556609228492</v>
          </cell>
          <cell r="Y89">
            <v>6.16434988477937</v>
          </cell>
          <cell r="Z89">
            <v>3.11340580690795</v>
          </cell>
          <cell r="AA89">
            <v>3.43176074685393</v>
          </cell>
          <cell r="AB89">
            <v>1.17702300275218</v>
          </cell>
          <cell r="AC89">
            <v>2.01918883472301</v>
          </cell>
          <cell r="AD89">
            <v>3.85289006099126</v>
          </cell>
          <cell r="AE89">
            <v>3.58390908082374</v>
          </cell>
          <cell r="AF89">
            <v>1.60733112416987</v>
          </cell>
        </row>
        <row r="90">
          <cell r="F90">
            <v>2.33434157794286</v>
          </cell>
          <cell r="G90">
            <v>2.50140663190907</v>
          </cell>
          <cell r="H90">
            <v>2.59157839944905</v>
          </cell>
          <cell r="I90">
            <v>5.6657758740032</v>
          </cell>
          <cell r="J90">
            <v>13.3022074586981</v>
          </cell>
          <cell r="K90">
            <v>6.71849760651399</v>
          </cell>
          <cell r="L90">
            <v>7.40548383147166</v>
          </cell>
          <cell r="M90">
            <v>2.53992788516573</v>
          </cell>
          <cell r="N90">
            <v>4.35725896158046</v>
          </cell>
          <cell r="O90">
            <v>8.31424949343157</v>
          </cell>
          <cell r="P90">
            <v>7.73380859252377</v>
          </cell>
          <cell r="Q90">
            <v>3.46850072889646</v>
          </cell>
        </row>
        <row r="90">
          <cell r="U90">
            <v>1.08175265509173</v>
          </cell>
          <cell r="V90">
            <v>1.15917194428602</v>
          </cell>
          <cell r="W90">
            <v>1.20095826633604</v>
          </cell>
          <cell r="X90">
            <v>2.62556609228492</v>
          </cell>
          <cell r="Y90">
            <v>6.16434988477937</v>
          </cell>
          <cell r="Z90">
            <v>3.11340580690795</v>
          </cell>
          <cell r="AA90">
            <v>3.43176074685393</v>
          </cell>
          <cell r="AB90">
            <v>1.17702300275218</v>
          </cell>
          <cell r="AC90">
            <v>2.01918883472301</v>
          </cell>
          <cell r="AD90">
            <v>3.85289006099126</v>
          </cell>
          <cell r="AE90">
            <v>3.58390908082374</v>
          </cell>
          <cell r="AF90">
            <v>1.60733112416987</v>
          </cell>
        </row>
        <row r="91">
          <cell r="F91">
            <v>2.33434157794286</v>
          </cell>
          <cell r="G91">
            <v>2.50140663190907</v>
          </cell>
          <cell r="H91">
            <v>2.59157839944905</v>
          </cell>
          <cell r="I91">
            <v>5.6657758740032</v>
          </cell>
          <cell r="J91">
            <v>13.3022074586981</v>
          </cell>
          <cell r="K91">
            <v>6.71849760651399</v>
          </cell>
          <cell r="L91">
            <v>7.40548383147166</v>
          </cell>
          <cell r="M91">
            <v>2.53992788516573</v>
          </cell>
          <cell r="N91">
            <v>4.35725896158046</v>
          </cell>
          <cell r="O91">
            <v>8.31424949343157</v>
          </cell>
          <cell r="P91">
            <v>7.73380859252377</v>
          </cell>
          <cell r="Q91">
            <v>3.46850072889646</v>
          </cell>
        </row>
        <row r="91">
          <cell r="U91">
            <v>1.08175265509173</v>
          </cell>
          <cell r="V91">
            <v>1.15917194428602</v>
          </cell>
          <cell r="W91">
            <v>1.20095826633604</v>
          </cell>
          <cell r="X91">
            <v>2.62556609228492</v>
          </cell>
          <cell r="Y91">
            <v>6.16434988477937</v>
          </cell>
          <cell r="Z91">
            <v>3.11340580690795</v>
          </cell>
          <cell r="AA91">
            <v>3.43176074685393</v>
          </cell>
          <cell r="AB91">
            <v>1.17702300275218</v>
          </cell>
          <cell r="AC91">
            <v>2.01918883472301</v>
          </cell>
          <cell r="AD91">
            <v>3.85289006099126</v>
          </cell>
          <cell r="AE91">
            <v>3.58390908082374</v>
          </cell>
          <cell r="AF91">
            <v>1.60733112416987</v>
          </cell>
        </row>
        <row r="92">
          <cell r="F92">
            <v>2.33434157794286</v>
          </cell>
          <cell r="G92">
            <v>2.50140663190907</v>
          </cell>
          <cell r="H92">
            <v>2.59157839944905</v>
          </cell>
          <cell r="I92">
            <v>5.6657758740032</v>
          </cell>
          <cell r="J92">
            <v>13.3022074586981</v>
          </cell>
          <cell r="K92">
            <v>6.71849760651399</v>
          </cell>
          <cell r="L92">
            <v>7.40548383147166</v>
          </cell>
          <cell r="M92">
            <v>2.53992788516573</v>
          </cell>
          <cell r="N92">
            <v>4.35725896158046</v>
          </cell>
          <cell r="O92">
            <v>8.31424949343157</v>
          </cell>
          <cell r="P92">
            <v>7.73380859252377</v>
          </cell>
          <cell r="Q92">
            <v>3.46850072889646</v>
          </cell>
        </row>
        <row r="92">
          <cell r="U92">
            <v>1.08175265509173</v>
          </cell>
          <cell r="V92">
            <v>1.15917194428602</v>
          </cell>
          <cell r="W92">
            <v>1.20095826633604</v>
          </cell>
          <cell r="X92">
            <v>2.62556609228492</v>
          </cell>
          <cell r="Y92">
            <v>6.16434988477937</v>
          </cell>
          <cell r="Z92">
            <v>3.11340580690795</v>
          </cell>
          <cell r="AA92">
            <v>3.43176074685393</v>
          </cell>
          <cell r="AB92">
            <v>1.17702300275218</v>
          </cell>
          <cell r="AC92">
            <v>2.01918883472301</v>
          </cell>
          <cell r="AD92">
            <v>3.85289006099126</v>
          </cell>
          <cell r="AE92">
            <v>3.58390908082374</v>
          </cell>
          <cell r="AF92">
            <v>1.60733112416987</v>
          </cell>
        </row>
        <row r="93">
          <cell r="F93">
            <v>1.75075618345715</v>
          </cell>
          <cell r="G93">
            <v>1.87605497393181</v>
          </cell>
          <cell r="H93">
            <v>1.94368379958679</v>
          </cell>
          <cell r="I93">
            <v>4.2493319055024</v>
          </cell>
          <cell r="J93">
            <v>9.97665559402359</v>
          </cell>
          <cell r="K93">
            <v>5.03887320488549</v>
          </cell>
          <cell r="L93">
            <v>5.55411287360374</v>
          </cell>
          <cell r="M93">
            <v>1.9049459138743</v>
          </cell>
          <cell r="N93">
            <v>3.26794422118534</v>
          </cell>
          <cell r="O93">
            <v>6.23568712007367</v>
          </cell>
          <cell r="P93">
            <v>5.80035644439283</v>
          </cell>
          <cell r="Q93">
            <v>2.60137554667234</v>
          </cell>
        </row>
        <row r="93">
          <cell r="U93">
            <v>0.771177813993237</v>
          </cell>
          <cell r="V93">
            <v>0.82636976376173</v>
          </cell>
          <cell r="W93">
            <v>0.856159091610086</v>
          </cell>
          <cell r="X93">
            <v>1.87175719884999</v>
          </cell>
          <cell r="Y93">
            <v>4.394544211616</v>
          </cell>
          <cell r="Z93">
            <v>2.21953648363499</v>
          </cell>
          <cell r="AA93">
            <v>2.4464906450192</v>
          </cell>
          <cell r="AB93">
            <v>0.839095723046972</v>
          </cell>
          <cell r="AC93">
            <v>1.43947290008657</v>
          </cell>
          <cell r="AD93">
            <v>2.74671231062478</v>
          </cell>
          <cell r="AE93">
            <v>2.55495667839687</v>
          </cell>
          <cell r="AF93">
            <v>1.14586092935958</v>
          </cell>
        </row>
        <row r="94">
          <cell r="F94">
            <v>1.75075618345715</v>
          </cell>
          <cell r="G94">
            <v>1.87605497393181</v>
          </cell>
          <cell r="H94">
            <v>1.94368379958679</v>
          </cell>
          <cell r="I94">
            <v>4.2493319055024</v>
          </cell>
          <cell r="J94">
            <v>9.97665559402359</v>
          </cell>
          <cell r="K94">
            <v>5.03887320488549</v>
          </cell>
          <cell r="L94">
            <v>5.55411287360374</v>
          </cell>
          <cell r="M94">
            <v>1.9049459138743</v>
          </cell>
          <cell r="N94">
            <v>3.26794422118534</v>
          </cell>
          <cell r="O94">
            <v>6.23568712007367</v>
          </cell>
          <cell r="P94">
            <v>5.80035644439283</v>
          </cell>
          <cell r="Q94">
            <v>2.60137554667234</v>
          </cell>
        </row>
        <row r="94">
          <cell r="U94">
            <v>0.771177813993237</v>
          </cell>
          <cell r="V94">
            <v>0.82636976376173</v>
          </cell>
          <cell r="W94">
            <v>0.856159091610086</v>
          </cell>
          <cell r="X94">
            <v>1.87175719884999</v>
          </cell>
          <cell r="Y94">
            <v>4.394544211616</v>
          </cell>
          <cell r="Z94">
            <v>2.21953648363499</v>
          </cell>
          <cell r="AA94">
            <v>2.4464906450192</v>
          </cell>
          <cell r="AB94">
            <v>0.839095723046972</v>
          </cell>
          <cell r="AC94">
            <v>1.43947290008657</v>
          </cell>
          <cell r="AD94">
            <v>2.74671231062478</v>
          </cell>
          <cell r="AE94">
            <v>2.55495667839687</v>
          </cell>
          <cell r="AF94">
            <v>1.14586092935958</v>
          </cell>
        </row>
        <row r="95">
          <cell r="F95">
            <v>1.75075618345715</v>
          </cell>
          <cell r="G95">
            <v>1.87605497393181</v>
          </cell>
          <cell r="H95">
            <v>1.94368379958679</v>
          </cell>
          <cell r="I95">
            <v>4.2493319055024</v>
          </cell>
          <cell r="J95">
            <v>9.97665559402359</v>
          </cell>
          <cell r="K95">
            <v>5.03887320488549</v>
          </cell>
          <cell r="L95">
            <v>5.55411287360374</v>
          </cell>
          <cell r="M95">
            <v>1.9049459138743</v>
          </cell>
          <cell r="N95">
            <v>3.26794422118534</v>
          </cell>
          <cell r="O95">
            <v>6.23568712007367</v>
          </cell>
          <cell r="P95">
            <v>5.80035644439283</v>
          </cell>
          <cell r="Q95">
            <v>2.60137554667234</v>
          </cell>
        </row>
        <row r="95">
          <cell r="U95">
            <v>0.771177813993237</v>
          </cell>
          <cell r="V95">
            <v>0.82636976376173</v>
          </cell>
          <cell r="W95">
            <v>0.856159091610086</v>
          </cell>
          <cell r="X95">
            <v>1.87175719884999</v>
          </cell>
          <cell r="Y95">
            <v>4.394544211616</v>
          </cell>
          <cell r="Z95">
            <v>2.21953648363499</v>
          </cell>
          <cell r="AA95">
            <v>2.4464906450192</v>
          </cell>
          <cell r="AB95">
            <v>0.839095723046972</v>
          </cell>
          <cell r="AC95">
            <v>1.43947290008657</v>
          </cell>
          <cell r="AD95">
            <v>2.74671231062478</v>
          </cell>
          <cell r="AE95">
            <v>2.55495667839687</v>
          </cell>
          <cell r="AF95">
            <v>1.14586092935958</v>
          </cell>
        </row>
        <row r="96">
          <cell r="F96">
            <v>1.75075618345715</v>
          </cell>
          <cell r="G96">
            <v>1.87605497393181</v>
          </cell>
          <cell r="H96">
            <v>1.94368379958679</v>
          </cell>
          <cell r="I96">
            <v>4.2493319055024</v>
          </cell>
          <cell r="J96">
            <v>9.97665559402359</v>
          </cell>
          <cell r="K96">
            <v>5.03887320488549</v>
          </cell>
          <cell r="L96">
            <v>5.55411287360374</v>
          </cell>
          <cell r="M96">
            <v>1.9049459138743</v>
          </cell>
          <cell r="N96">
            <v>3.26794422118534</v>
          </cell>
          <cell r="O96">
            <v>6.23568712007367</v>
          </cell>
          <cell r="P96">
            <v>5.80035644439283</v>
          </cell>
          <cell r="Q96">
            <v>2.60137554667234</v>
          </cell>
        </row>
        <row r="96">
          <cell r="U96">
            <v>0.771177813993237</v>
          </cell>
          <cell r="V96">
            <v>0.82636976376173</v>
          </cell>
          <cell r="W96">
            <v>0.856159091610086</v>
          </cell>
          <cell r="X96">
            <v>1.87175719884999</v>
          </cell>
          <cell r="Y96">
            <v>4.394544211616</v>
          </cell>
          <cell r="Z96">
            <v>2.21953648363499</v>
          </cell>
          <cell r="AA96">
            <v>2.4464906450192</v>
          </cell>
          <cell r="AB96">
            <v>0.839095723046972</v>
          </cell>
          <cell r="AC96">
            <v>1.43947290008657</v>
          </cell>
          <cell r="AD96">
            <v>2.74671231062478</v>
          </cell>
          <cell r="AE96">
            <v>2.55495667839687</v>
          </cell>
          <cell r="AF96">
            <v>1.14586092935958</v>
          </cell>
        </row>
        <row r="99">
          <cell r="F99">
            <v>13.7786260155389</v>
          </cell>
          <cell r="G99">
            <v>11.815669059481</v>
          </cell>
          <cell r="H99">
            <v>28.1054936387515</v>
          </cell>
          <cell r="I99">
            <v>40.881178652334</v>
          </cell>
          <cell r="J99">
            <v>22.3080337939813</v>
          </cell>
          <cell r="K99">
            <v>16.4046749503255</v>
          </cell>
          <cell r="L99">
            <v>9.94827511153475</v>
          </cell>
          <cell r="M99">
            <v>13.8139674698731</v>
          </cell>
          <cell r="N99">
            <v>15.7958525364797</v>
          </cell>
          <cell r="O99">
            <v>15.2767534082244</v>
          </cell>
          <cell r="P99">
            <v>10.4744357946744</v>
          </cell>
          <cell r="Q99">
            <v>13.6035821572998</v>
          </cell>
        </row>
        <row r="100">
          <cell r="F100">
            <v>3.73171121254178</v>
          </cell>
          <cell r="G100">
            <v>3.20007703694278</v>
          </cell>
          <cell r="H100">
            <v>7.61190452716185</v>
          </cell>
          <cell r="I100">
            <v>11.0719858850071</v>
          </cell>
          <cell r="J100">
            <v>6.04175915253661</v>
          </cell>
          <cell r="K100">
            <v>4.44293279904648</v>
          </cell>
          <cell r="L100">
            <v>2.694324509374</v>
          </cell>
          <cell r="M100">
            <v>3.74128285642396</v>
          </cell>
          <cell r="N100">
            <v>4.27804339529659</v>
          </cell>
          <cell r="O100">
            <v>4.13745404806079</v>
          </cell>
          <cell r="P100">
            <v>2.83682636105766</v>
          </cell>
          <cell r="Q100">
            <v>3.68430350093537</v>
          </cell>
        </row>
        <row r="101">
          <cell r="F101">
            <v>8.15888271753782</v>
          </cell>
          <cell r="G101">
            <v>5.73685144293608</v>
          </cell>
          <cell r="H101">
            <v>4.76987925824405</v>
          </cell>
          <cell r="I101">
            <v>6.73515847710255</v>
          </cell>
          <cell r="J101">
            <v>6.73515847710255</v>
          </cell>
          <cell r="K101">
            <v>4.80119869461006</v>
          </cell>
          <cell r="L101">
            <v>6.73515847710255</v>
          </cell>
          <cell r="M101">
            <v>6.3284656287465</v>
          </cell>
          <cell r="N101">
            <v>10.3282109414344</v>
          </cell>
          <cell r="O101">
            <v>10.5007915167249</v>
          </cell>
          <cell r="P101">
            <v>11.4713942224139</v>
          </cell>
          <cell r="Q101">
            <v>11.1226744786754</v>
          </cell>
        </row>
        <row r="102">
          <cell r="F102">
            <v>3.47285019191451</v>
          </cell>
          <cell r="G102">
            <v>2.44190611929742</v>
          </cell>
          <cell r="H102">
            <v>2.03031182955905</v>
          </cell>
          <cell r="I102">
            <v>2.86683817129791</v>
          </cell>
          <cell r="J102">
            <v>2.86683817129791</v>
          </cell>
          <cell r="K102">
            <v>2.04364303119043</v>
          </cell>
          <cell r="L102">
            <v>2.86683817129791</v>
          </cell>
          <cell r="M102">
            <v>2.69372827557314</v>
          </cell>
          <cell r="N102">
            <v>4.39623053693294</v>
          </cell>
          <cell r="O102">
            <v>4.46968991915077</v>
          </cell>
          <cell r="P102">
            <v>4.88282954983567</v>
          </cell>
          <cell r="Q102">
            <v>4.73439606073018</v>
          </cell>
        </row>
        <row r="103">
          <cell r="F103">
            <v>0.00786650134380714</v>
          </cell>
          <cell r="G103">
            <v>0.00842949413112946</v>
          </cell>
          <cell r="H103">
            <v>0.00873336411195369</v>
          </cell>
          <cell r="I103">
            <v>0.019093107001861</v>
          </cell>
          <cell r="J103">
            <v>0.0448271297732124</v>
          </cell>
          <cell r="K103">
            <v>0.0226406756189394</v>
          </cell>
          <cell r="L103">
            <v>0.0249557515756333</v>
          </cell>
          <cell r="M103">
            <v>0.00855930696288121</v>
          </cell>
          <cell r="N103">
            <v>0.0146835338069052</v>
          </cell>
          <cell r="O103">
            <v>0.0280182024048359</v>
          </cell>
          <cell r="P103">
            <v>0.026062173702723</v>
          </cell>
          <cell r="Q103">
            <v>0.0116885060449915</v>
          </cell>
        </row>
        <row r="104">
          <cell r="F104">
            <v>0.0324651300743771</v>
          </cell>
          <cell r="G104">
            <v>0.0278400206594795</v>
          </cell>
          <cell r="H104">
            <v>0.066222024297461</v>
          </cell>
          <cell r="I104">
            <v>0.0963240297722795</v>
          </cell>
          <cell r="J104">
            <v>0.0525620782513762</v>
          </cell>
          <cell r="K104">
            <v>0.0386526135109243</v>
          </cell>
          <cell r="L104">
            <v>0.0234400763289047</v>
          </cell>
          <cell r="M104">
            <v>0.032548401433269</v>
          </cell>
          <cell r="N104">
            <v>0.0372181091680814</v>
          </cell>
          <cell r="O104">
            <v>0.0359950103844075</v>
          </cell>
          <cell r="P104">
            <v>0.0246798135130687</v>
          </cell>
          <cell r="Q104">
            <v>0.032052692606371</v>
          </cell>
        </row>
        <row r="107">
          <cell r="F107">
            <v>8.22262870902295</v>
          </cell>
          <cell r="G107">
            <v>8.47884041922372</v>
          </cell>
          <cell r="H107">
            <v>7.93832061928327</v>
          </cell>
          <cell r="I107">
            <v>6.21739896096264</v>
          </cell>
          <cell r="J107">
            <v>7.64696230759778</v>
          </cell>
          <cell r="K107">
            <v>6.74055075290614</v>
          </cell>
          <cell r="L107">
            <v>8.26376116959306</v>
          </cell>
          <cell r="M107">
            <v>6.3719493133674</v>
          </cell>
          <cell r="N107">
            <v>6.98505990972683</v>
          </cell>
          <cell r="O107">
            <v>7.44709697594605</v>
          </cell>
          <cell r="P107">
            <v>7.9169675527113</v>
          </cell>
          <cell r="Q107">
            <v>8.19648473707512</v>
          </cell>
        </row>
        <row r="108">
          <cell r="F108">
            <v>71.7953533937586</v>
          </cell>
          <cell r="G108">
            <v>74.0324494525041</v>
          </cell>
          <cell r="H108">
            <v>69.3129356052518</v>
          </cell>
          <cell r="I108">
            <v>54.2868188980092</v>
          </cell>
          <cell r="J108">
            <v>66.7689592575524</v>
          </cell>
          <cell r="K108">
            <v>58.8546851011792</v>
          </cell>
          <cell r="L108">
            <v>72.1544988260879</v>
          </cell>
          <cell r="M108">
            <v>55.6362653537215</v>
          </cell>
          <cell r="N108">
            <v>60.9896010682213</v>
          </cell>
          <cell r="O108">
            <v>65.0238479768557</v>
          </cell>
          <cell r="P108">
            <v>69.1264926786859</v>
          </cell>
          <cell r="Q108">
            <v>71.5670789852289</v>
          </cell>
        </row>
        <row r="109">
          <cell r="F109">
            <v>71.7953533937586</v>
          </cell>
          <cell r="G109">
            <v>74.0324494525041</v>
          </cell>
          <cell r="H109">
            <v>69.3129356052518</v>
          </cell>
          <cell r="I109">
            <v>54.2868188980092</v>
          </cell>
          <cell r="J109">
            <v>66.7689592575524</v>
          </cell>
          <cell r="K109">
            <v>58.8546851011792</v>
          </cell>
          <cell r="L109">
            <v>72.1544988260879</v>
          </cell>
          <cell r="M109">
            <v>55.6362653537215</v>
          </cell>
          <cell r="N109">
            <v>60.9896010682213</v>
          </cell>
          <cell r="O109">
            <v>65.0238479768557</v>
          </cell>
          <cell r="P109">
            <v>69.1264926786859</v>
          </cell>
          <cell r="Q109">
            <v>71.5670789852289</v>
          </cell>
        </row>
        <row r="110">
          <cell r="F110">
            <v>277.309552483393</v>
          </cell>
          <cell r="G110">
            <v>285.950336010297</v>
          </cell>
          <cell r="H110">
            <v>267.721213775285</v>
          </cell>
          <cell r="I110">
            <v>209.68283799356</v>
          </cell>
          <cell r="J110">
            <v>257.895105132296</v>
          </cell>
          <cell r="K110">
            <v>227.326221203305</v>
          </cell>
          <cell r="L110">
            <v>278.696751715765</v>
          </cell>
          <cell r="M110">
            <v>214.895074928749</v>
          </cell>
          <cell r="N110">
            <v>235.572334126005</v>
          </cell>
          <cell r="O110">
            <v>251.154612810605</v>
          </cell>
          <cell r="P110">
            <v>267.001077971424</v>
          </cell>
          <cell r="Q110">
            <v>276.427842580447</v>
          </cell>
        </row>
        <row r="112">
          <cell r="F112">
            <v>303.694344855599</v>
          </cell>
          <cell r="G112">
            <v>313.157261184092</v>
          </cell>
          <cell r="H112">
            <v>293.193717610215</v>
          </cell>
          <cell r="I112">
            <v>229.633243938579</v>
          </cell>
          <cell r="J112">
            <v>282.432697659447</v>
          </cell>
          <cell r="K112">
            <v>248.955317977988</v>
          </cell>
          <cell r="L112">
            <v>305.213530034352</v>
          </cell>
          <cell r="M112">
            <v>235.341402446242</v>
          </cell>
          <cell r="N112">
            <v>257.986012518576</v>
          </cell>
          <cell r="O112">
            <v>275.0508769421</v>
          </cell>
          <cell r="P112">
            <v>292.405064030841</v>
          </cell>
          <cell r="Q112">
            <v>302.728744107518</v>
          </cell>
        </row>
        <row r="113">
          <cell r="F113">
            <v>179.488383484396</v>
          </cell>
          <cell r="G113">
            <v>185.08112363126</v>
          </cell>
          <cell r="H113">
            <v>173.28233901313</v>
          </cell>
          <cell r="I113">
            <v>135.717047245023</v>
          </cell>
          <cell r="J113">
            <v>166.922398143881</v>
          </cell>
          <cell r="K113">
            <v>147.136712752948</v>
          </cell>
          <cell r="L113">
            <v>180.38624706522</v>
          </cell>
          <cell r="M113">
            <v>139.090663384304</v>
          </cell>
          <cell r="N113">
            <v>152.474002670553</v>
          </cell>
          <cell r="O113">
            <v>162.559619942139</v>
          </cell>
          <cell r="P113">
            <v>172.816231696715</v>
          </cell>
          <cell r="Q113">
            <v>178.917697463072</v>
          </cell>
        </row>
        <row r="114">
          <cell r="F114">
            <v>499.092191944266</v>
          </cell>
          <cell r="G114">
            <v>514.643576856681</v>
          </cell>
          <cell r="H114">
            <v>481.835429816608</v>
          </cell>
          <cell r="I114">
            <v>377.379957848974</v>
          </cell>
          <cell r="J114">
            <v>464.150737540435</v>
          </cell>
          <cell r="K114">
            <v>409.133911943258</v>
          </cell>
          <cell r="L114">
            <v>501.5888253972</v>
          </cell>
          <cell r="M114">
            <v>386.760762562047</v>
          </cell>
          <cell r="N114">
            <v>423.974982280554</v>
          </cell>
          <cell r="O114">
            <v>452.019431361151</v>
          </cell>
          <cell r="P114">
            <v>480.539354172521</v>
          </cell>
          <cell r="Q114">
            <v>497.505320795475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1.4 CGS"/>
      <sheetName val="Legend"/>
      <sheetName val="Inputs to COS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"/>
      <sheetName val="ST,D-D"/>
      <sheetName val="TGSPDCL MoD"/>
      <sheetName val="NCE - Summry"/>
      <sheetName val="Station wise Cost - FY25"/>
      <sheetName val="Source wise - Cost"/>
      <sheetName val="MoD"/>
      <sheetName val="TGNPDCL MoD for disp"/>
      <sheetName val="TGNPDCL MoD"/>
      <sheetName val="MoD_Model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9">
          <cell r="G59">
            <v>1373.0441</v>
          </cell>
        </row>
        <row r="60">
          <cell r="G60">
            <v>28.692685</v>
          </cell>
        </row>
      </sheetData>
      <sheetData sheetId="23"/>
      <sheetData sheetId="24"/>
      <sheetData sheetId="25">
        <row r="7">
          <cell r="L7">
            <v>6391.52201844319</v>
          </cell>
          <cell r="M7">
            <v>6144.00254342353</v>
          </cell>
          <cell r="N7">
            <v>5774.49693587612</v>
          </cell>
          <cell r="O7">
            <v>5470.34049593825</v>
          </cell>
          <cell r="P7">
            <v>6073.20491362417</v>
          </cell>
          <cell r="Q7">
            <v>5886.75600851348</v>
          </cell>
          <cell r="R7">
            <v>5512.62876087805</v>
          </cell>
          <cell r="S7">
            <v>5221.59303517907</v>
          </cell>
          <cell r="T7">
            <v>5602.74785004895</v>
          </cell>
          <cell r="U7">
            <v>6237.45718662315</v>
          </cell>
          <cell r="V7">
            <v>6282.34264918786</v>
          </cell>
          <cell r="W7">
            <v>7497.65619135131</v>
          </cell>
        </row>
        <row r="9">
          <cell r="L9">
            <v>1322.04435305344</v>
          </cell>
          <cell r="M9">
            <v>1418.67136519985</v>
          </cell>
          <cell r="N9">
            <v>1395.99861089801</v>
          </cell>
          <cell r="O9">
            <v>1359.76365536931</v>
          </cell>
          <cell r="P9">
            <v>1392.44886712209</v>
          </cell>
          <cell r="Q9">
            <v>1340.31369193298</v>
          </cell>
          <cell r="R9">
            <v>1358.36301870259</v>
          </cell>
          <cell r="S9">
            <v>1358.54357234172</v>
          </cell>
          <cell r="T9">
            <v>1351.74011074277</v>
          </cell>
          <cell r="U9">
            <v>1354.9480805474</v>
          </cell>
          <cell r="V9">
            <v>1338.80511101665</v>
          </cell>
          <cell r="W9">
            <v>1520.19825642442</v>
          </cell>
        </row>
        <row r="11">
          <cell r="L11">
            <v>198.137182571739</v>
          </cell>
          <cell r="M11">
            <v>190.464078846129</v>
          </cell>
          <cell r="N11">
            <v>179.00940501216</v>
          </cell>
          <cell r="O11">
            <v>169.580555374086</v>
          </cell>
          <cell r="P11">
            <v>188.26935232235</v>
          </cell>
          <cell r="Q11">
            <v>182.489436263918</v>
          </cell>
          <cell r="R11">
            <v>170.891491587219</v>
          </cell>
          <cell r="S11">
            <v>161.869384090552</v>
          </cell>
          <cell r="T11">
            <v>173.685183351517</v>
          </cell>
          <cell r="U11">
            <v>193.361172785318</v>
          </cell>
          <cell r="V11">
            <v>194.752622124824</v>
          </cell>
          <cell r="W11">
            <v>232.427341931891</v>
          </cell>
        </row>
        <row r="19">
          <cell r="L19">
            <v>4871.34048281801</v>
          </cell>
          <cell r="M19">
            <v>4534.86709937755</v>
          </cell>
          <cell r="N19">
            <v>4199.48891996595</v>
          </cell>
          <cell r="O19">
            <v>3940.99628519486</v>
          </cell>
          <cell r="P19">
            <v>4492.48669417973</v>
          </cell>
          <cell r="Q19">
            <v>4363.95288031658</v>
          </cell>
          <cell r="R19">
            <v>3983.37425058824</v>
          </cell>
          <cell r="S19">
            <v>3701.1800787468</v>
          </cell>
          <cell r="T19">
            <v>4077.32255595466</v>
          </cell>
          <cell r="U19">
            <v>4689.14793329043</v>
          </cell>
          <cell r="V19">
            <v>4748.78491604639</v>
          </cell>
          <cell r="W19">
            <v>5745.03059299501</v>
          </cell>
        </row>
        <row r="20">
          <cell r="L20">
            <v>982.208125537708</v>
          </cell>
          <cell r="M20">
            <v>1045.37235895217</v>
          </cell>
          <cell r="N20">
            <v>1031.84569991175</v>
          </cell>
          <cell r="O20">
            <v>939.384066097387</v>
          </cell>
          <cell r="P20">
            <v>995.454534308532</v>
          </cell>
          <cell r="Q20">
            <v>934.859278865978</v>
          </cell>
          <cell r="R20">
            <v>965.946661076807</v>
          </cell>
          <cell r="S20">
            <v>939.195773747378</v>
          </cell>
          <cell r="T20">
            <v>938.931102259989</v>
          </cell>
          <cell r="U20">
            <v>925.412150166942</v>
          </cell>
          <cell r="V20">
            <v>951.31922774701</v>
          </cell>
          <cell r="W20">
            <v>1061.1097923359</v>
          </cell>
        </row>
        <row r="22">
          <cell r="L22">
            <v>192.417949071311</v>
          </cell>
          <cell r="M22">
            <v>179.127250425413</v>
          </cell>
          <cell r="N22">
            <v>165.879812338655</v>
          </cell>
          <cell r="O22">
            <v>155.669353265197</v>
          </cell>
          <cell r="P22">
            <v>177.453224420099</v>
          </cell>
          <cell r="Q22">
            <v>172.376138772505</v>
          </cell>
          <cell r="R22">
            <v>157.343282898235</v>
          </cell>
          <cell r="S22">
            <v>146.196613110499</v>
          </cell>
          <cell r="T22">
            <v>161.054240960209</v>
          </cell>
          <cell r="U22">
            <v>185.221343364972</v>
          </cell>
          <cell r="V22">
            <v>187.577004183832</v>
          </cell>
          <cell r="W22">
            <v>226.928708423303</v>
          </cell>
        </row>
        <row r="27">
          <cell r="L27">
            <v>3696.71440820899</v>
          </cell>
          <cell r="M27">
            <v>3310.36748999997</v>
          </cell>
          <cell r="N27">
            <v>3001.76340771554</v>
          </cell>
          <cell r="O27">
            <v>2845.94286583227</v>
          </cell>
          <cell r="P27">
            <v>3319.5789354511</v>
          </cell>
          <cell r="Q27">
            <v>3256.7174626781</v>
          </cell>
          <cell r="R27">
            <v>2860.08430661319</v>
          </cell>
          <cell r="S27">
            <v>2615.78769188892</v>
          </cell>
          <cell r="T27">
            <v>2977.33721273446</v>
          </cell>
          <cell r="U27">
            <v>3578.51443975852</v>
          </cell>
          <cell r="V27">
            <v>3609.88868411555</v>
          </cell>
          <cell r="W27">
            <v>4456.9920922358</v>
          </cell>
        </row>
        <row r="28">
          <cell r="L28">
            <v>2124.68379716235</v>
          </cell>
          <cell r="M28">
            <v>2496.5643454047</v>
          </cell>
          <cell r="N28">
            <v>2257.57179284407</v>
          </cell>
          <cell r="O28">
            <v>1843.08807650249</v>
          </cell>
          <cell r="P28">
            <v>2092.50540368223</v>
          </cell>
          <cell r="Q28">
            <v>1940.36740164388</v>
          </cell>
          <cell r="R28">
            <v>1945.68632598929</v>
          </cell>
          <cell r="S28">
            <v>1832.47682551674</v>
          </cell>
          <cell r="T28">
            <v>1676.02590606318</v>
          </cell>
          <cell r="U28">
            <v>1849.83339925596</v>
          </cell>
          <cell r="V28">
            <v>1779.28952048743</v>
          </cell>
          <cell r="W28">
            <v>2320.86941306115</v>
          </cell>
        </row>
        <row r="29">
          <cell r="L29">
            <v>1405.67846267724</v>
          </cell>
          <cell r="M29">
            <v>664.836607545276</v>
          </cell>
          <cell r="N29">
            <v>609.112261524271</v>
          </cell>
          <cell r="O29">
            <v>874.787360367333</v>
          </cell>
          <cell r="P29">
            <v>1077.69247967357</v>
          </cell>
          <cell r="Q29">
            <v>1169.7977752137</v>
          </cell>
          <cell r="R29">
            <v>785.69418682631</v>
          </cell>
          <cell r="S29">
            <v>665.600420237178</v>
          </cell>
          <cell r="T29">
            <v>1167.33113209824</v>
          </cell>
          <cell r="U29">
            <v>1567.64789071343</v>
          </cell>
          <cell r="V29">
            <v>1668.15417284292</v>
          </cell>
          <cell r="W29">
            <v>1935.55803502404</v>
          </cell>
        </row>
        <row r="30">
          <cell r="L30">
            <v>166.352148369405</v>
          </cell>
          <cell r="M30">
            <v>148.966537049999</v>
          </cell>
          <cell r="N30">
            <v>135.079353347199</v>
          </cell>
          <cell r="O30">
            <v>128.067428962453</v>
          </cell>
          <cell r="P30">
            <v>149.381052095299</v>
          </cell>
          <cell r="Q30">
            <v>146.552285820514</v>
          </cell>
          <cell r="R30">
            <v>128.703793797594</v>
          </cell>
          <cell r="S30">
            <v>117.710446135002</v>
          </cell>
          <cell r="T30">
            <v>133.980174573051</v>
          </cell>
          <cell r="U30">
            <v>161.033149789133</v>
          </cell>
          <cell r="V30">
            <v>162.444990785199</v>
          </cell>
          <cell r="W30">
            <v>200.564644150611</v>
          </cell>
        </row>
        <row r="37">
          <cell r="L37">
            <v>1258.24981976829</v>
          </cell>
          <cell r="M37">
            <v>1225.60995366887</v>
          </cell>
          <cell r="N37">
            <v>1264.15837147093</v>
          </cell>
          <cell r="O37">
            <v>1255.3843130602</v>
          </cell>
          <cell r="P37">
            <v>1482.70600297879</v>
          </cell>
          <cell r="Q37">
            <v>1534.0985037172</v>
          </cell>
          <cell r="R37">
            <v>1631.42581122955</v>
          </cell>
          <cell r="S37">
            <v>1575.81105689137</v>
          </cell>
          <cell r="T37">
            <v>1449.83365849094</v>
          </cell>
          <cell r="U37">
            <v>1426.63620008041</v>
          </cell>
          <cell r="V37">
            <v>1340.46416569652</v>
          </cell>
          <cell r="W37">
            <v>1454.01556906791</v>
          </cell>
        </row>
        <row r="46">
          <cell r="L46">
            <v>7837.88098177405</v>
          </cell>
          <cell r="M46">
            <v>7550.8324765291</v>
          </cell>
          <cell r="N46">
            <v>7211.73699523263</v>
          </cell>
          <cell r="O46">
            <v>6891.11148462956</v>
          </cell>
          <cell r="P46">
            <v>7741.71200471614</v>
          </cell>
          <cell r="Q46">
            <v>7603.33454121996</v>
          </cell>
          <cell r="R46">
            <v>7319.72804519221</v>
          </cell>
          <cell r="S46">
            <v>6964.553373023</v>
          </cell>
          <cell r="T46">
            <v>7226.00564399579</v>
          </cell>
          <cell r="U46">
            <v>7852.55469949135</v>
          </cell>
          <cell r="V46">
            <v>7810.25288410285</v>
          </cell>
          <cell r="W46">
            <v>9171.7948364951</v>
          </cell>
        </row>
        <row r="47">
          <cell r="L47">
            <v>188.109143562577</v>
          </cell>
          <cell r="M47">
            <v>181.219979436698</v>
          </cell>
          <cell r="N47">
            <v>173.081687885583</v>
          </cell>
          <cell r="O47">
            <v>165.38667563111</v>
          </cell>
          <cell r="P47">
            <v>185.801088113187</v>
          </cell>
          <cell r="Q47">
            <v>182.480028989279</v>
          </cell>
          <cell r="R47">
            <v>175.673473084613</v>
          </cell>
          <cell r="S47">
            <v>167.149280952552</v>
          </cell>
          <cell r="T47">
            <v>173.424135455899</v>
          </cell>
          <cell r="U47">
            <v>188.461312787792</v>
          </cell>
          <cell r="V47">
            <v>187.446069218468</v>
          </cell>
          <cell r="W47">
            <v>220.123076075882</v>
          </cell>
        </row>
        <row r="48">
          <cell r="L48">
            <v>735.173254274452</v>
          </cell>
          <cell r="M48">
            <v>746.069305634791</v>
          </cell>
          <cell r="N48">
            <v>653.256178116467</v>
          </cell>
          <cell r="O48">
            <v>711.553651069648</v>
          </cell>
          <cell r="P48">
            <v>748.734300478753</v>
          </cell>
          <cell r="Q48">
            <v>703.622476882152</v>
          </cell>
          <cell r="R48">
            <v>760.881707149341</v>
          </cell>
          <cell r="S48">
            <v>705.189504274452</v>
          </cell>
          <cell r="T48">
            <v>704.427597149341</v>
          </cell>
          <cell r="U48">
            <v>748.464907149341</v>
          </cell>
          <cell r="V48">
            <v>690.719633524674</v>
          </cell>
          <cell r="W48">
            <v>764.268107149341</v>
          </cell>
        </row>
        <row r="49">
          <cell r="L49">
            <v>116.555655</v>
          </cell>
          <cell r="M49">
            <v>120.44296</v>
          </cell>
          <cell r="N49">
            <v>116.555655</v>
          </cell>
          <cell r="O49">
            <v>120.44296</v>
          </cell>
          <cell r="P49">
            <v>120.44296</v>
          </cell>
          <cell r="Q49">
            <v>116.555655</v>
          </cell>
          <cell r="R49">
            <v>120.44296</v>
          </cell>
          <cell r="S49">
            <v>91.79966</v>
          </cell>
          <cell r="T49">
            <v>108.061435</v>
          </cell>
          <cell r="U49">
            <v>120.44296</v>
          </cell>
          <cell r="V49">
            <v>108.7881</v>
          </cell>
          <cell r="W49">
            <v>120.44296</v>
          </cell>
        </row>
        <row r="52">
          <cell r="L52">
            <v>33.472946134486</v>
          </cell>
          <cell r="M52">
            <v>31.0211391097255</v>
          </cell>
          <cell r="N52">
            <v>25.3268093095318</v>
          </cell>
          <cell r="O52">
            <v>29.2030810485446</v>
          </cell>
          <cell r="P52">
            <v>29.291273678134</v>
          </cell>
          <cell r="Q52">
            <v>28.7062346158753</v>
          </cell>
          <cell r="R52">
            <v>29.2599789493581</v>
          </cell>
          <cell r="S52">
            <v>26.1213198590952</v>
          </cell>
          <cell r="T52">
            <v>32.012067866684</v>
          </cell>
          <cell r="U52">
            <v>33.7570706387519</v>
          </cell>
          <cell r="V52">
            <v>30.0215153938515</v>
          </cell>
          <cell r="W52">
            <v>31.4514784371591</v>
          </cell>
        </row>
      </sheetData>
      <sheetData sheetId="26"/>
      <sheetData sheetId="27"/>
      <sheetData sheetId="28"/>
      <sheetData sheetId="29">
        <row r="231">
          <cell r="BN231">
            <v>7.51</v>
          </cell>
        </row>
        <row r="233">
          <cell r="BN233">
            <v>9.36137000478736</v>
          </cell>
        </row>
        <row r="234">
          <cell r="BN234">
            <v>6.27164028228892</v>
          </cell>
        </row>
        <row r="235">
          <cell r="BN235">
            <v>4.29508196721312</v>
          </cell>
        </row>
        <row r="236">
          <cell r="BN236">
            <v>2.15</v>
          </cell>
        </row>
        <row r="237">
          <cell r="BN237">
            <v>5.87975128633889</v>
          </cell>
        </row>
        <row r="238">
          <cell r="BN238">
            <v>2.82287123260092</v>
          </cell>
        </row>
        <row r="239">
          <cell r="BN239">
            <v>2.52916252685639</v>
          </cell>
        </row>
        <row r="240">
          <cell r="BN240">
            <v>4.10484274920065</v>
          </cell>
        </row>
        <row r="241">
          <cell r="BN241">
            <v>2.44429249825459</v>
          </cell>
        </row>
        <row r="242">
          <cell r="BN242">
            <v>10.3953153015999</v>
          </cell>
        </row>
        <row r="243">
          <cell r="BN243">
            <v>4.73701304498574</v>
          </cell>
        </row>
      </sheetData>
      <sheetData sheetId="30">
        <row r="16">
          <cell r="D16">
            <v>305.642743063911</v>
          </cell>
          <cell r="E16">
            <v>1474.90393227482</v>
          </cell>
          <cell r="F16">
            <v>950.115724163643</v>
          </cell>
          <cell r="G16">
            <v>126.672663594045</v>
          </cell>
          <cell r="H16">
            <v>5.39092557874847</v>
          </cell>
          <cell r="I16">
            <v>62.190507379185</v>
          </cell>
          <cell r="J16">
            <v>0</v>
          </cell>
          <cell r="K16">
            <v>389.956468615001</v>
          </cell>
          <cell r="L16">
            <v>158.435393028083</v>
          </cell>
          <cell r="M16">
            <v>134.841341330226</v>
          </cell>
          <cell r="N16">
            <v>661.420146745556</v>
          </cell>
          <cell r="O16">
            <v>1253.58024486411</v>
          </cell>
        </row>
        <row r="17">
          <cell r="D17">
            <v>175.392703902047</v>
          </cell>
          <cell r="E17">
            <v>846.371767522551</v>
          </cell>
          <cell r="F17">
            <v>545.222713977762</v>
          </cell>
          <cell r="G17">
            <v>72.6909487708275</v>
          </cell>
          <cell r="H17">
            <v>3.09357586675529</v>
          </cell>
          <cell r="I17">
            <v>35.687944483585</v>
          </cell>
          <cell r="J17">
            <v>0</v>
          </cell>
          <cell r="K17">
            <v>223.776029323808</v>
          </cell>
          <cell r="L17">
            <v>90.9179511295266</v>
          </cell>
          <cell r="M17">
            <v>77.3785342213801</v>
          </cell>
          <cell r="N17">
            <v>379.555119778304</v>
          </cell>
          <cell r="O17">
            <v>719.365447714657</v>
          </cell>
        </row>
        <row r="18">
          <cell r="N18">
            <v>0</v>
          </cell>
        </row>
        <row r="20">
          <cell r="D20">
            <v>361.255859286046</v>
          </cell>
          <cell r="E20">
            <v>638.220090507092</v>
          </cell>
          <cell r="F20">
            <v>660.96766373913</v>
          </cell>
          <cell r="G20">
            <v>572.234380074791</v>
          </cell>
          <cell r="H20">
            <v>706.415135610559</v>
          </cell>
          <cell r="I20">
            <v>681.549168524583</v>
          </cell>
          <cell r="J20">
            <v>685.257135232333</v>
          </cell>
          <cell r="K20">
            <v>622.451147678284</v>
          </cell>
          <cell r="L20">
            <v>443.511971351129</v>
          </cell>
          <cell r="M20">
            <v>426.176589383515</v>
          </cell>
          <cell r="N20">
            <v>59.7484760477141</v>
          </cell>
          <cell r="O20">
            <v>59.9327479065005</v>
          </cell>
        </row>
        <row r="21">
          <cell r="D21">
            <v>173.183640561346</v>
          </cell>
          <cell r="E21">
            <v>267.83982727971</v>
          </cell>
          <cell r="F21">
            <v>272.285907771952</v>
          </cell>
          <cell r="G21">
            <v>229.07151999094</v>
          </cell>
          <cell r="H21">
            <v>267.97036831288</v>
          </cell>
          <cell r="I21">
            <v>261.381078834772</v>
          </cell>
          <cell r="J21">
            <v>262.216385174737</v>
          </cell>
          <cell r="K21">
            <v>242.324957901759</v>
          </cell>
          <cell r="L21">
            <v>185.713566134311</v>
          </cell>
          <cell r="M21">
            <v>188.393627672576</v>
          </cell>
          <cell r="N21">
            <v>32.035800317347</v>
          </cell>
          <cell r="O21">
            <v>34.0503361486841</v>
          </cell>
        </row>
      </sheetData>
      <sheetData sheetId="31">
        <row r="4">
          <cell r="F4">
            <v>82.0907168384714</v>
          </cell>
          <cell r="G4">
            <v>97.7667972290947</v>
          </cell>
          <cell r="H4">
            <v>94.6130295765434</v>
          </cell>
          <cell r="I4">
            <v>0</v>
          </cell>
          <cell r="J4">
            <v>32.7087446612045</v>
          </cell>
          <cell r="K4">
            <v>70.1955947927354</v>
          </cell>
          <cell r="L4">
            <v>63.2608687952966</v>
          </cell>
          <cell r="M4">
            <v>96.7000816995552</v>
          </cell>
          <cell r="N4">
            <v>79.9435901915918</v>
          </cell>
          <cell r="O4">
            <v>81.2497458372398</v>
          </cell>
          <cell r="P4">
            <v>78.5659176973844</v>
          </cell>
          <cell r="Q4">
            <v>95.6101767019823</v>
          </cell>
        </row>
        <row r="4">
          <cell r="U4">
            <v>15.5746413841816</v>
          </cell>
          <cell r="V4">
            <v>18.5487819422908</v>
          </cell>
          <cell r="W4">
            <v>17.9504341377008</v>
          </cell>
          <cell r="X4">
            <v>0</v>
          </cell>
          <cell r="Y4">
            <v>6.20565866451641</v>
          </cell>
          <cell r="Z4">
            <v>13.31784223297</v>
          </cell>
          <cell r="AA4">
            <v>12.0021530214823</v>
          </cell>
          <cell r="AB4">
            <v>18.3463995966206</v>
          </cell>
          <cell r="AC4">
            <v>15.1672783007604</v>
          </cell>
          <cell r="AD4">
            <v>15.4150883645088</v>
          </cell>
          <cell r="AE4">
            <v>14.905899720228</v>
          </cell>
          <cell r="AF4">
            <v>18.1396176347403</v>
          </cell>
        </row>
        <row r="4">
          <cell r="AJ4">
            <v>38.7499702137717</v>
          </cell>
          <cell r="AK4">
            <v>46.1496820399044</v>
          </cell>
          <cell r="AL4">
            <v>44.6609826192624</v>
          </cell>
          <cell r="AM4">
            <v>0</v>
          </cell>
          <cell r="AN4">
            <v>15.4397833295268</v>
          </cell>
          <cell r="AO4">
            <v>33.1350158959964</v>
          </cell>
          <cell r="AP4">
            <v>29.8615589669969</v>
          </cell>
          <cell r="AQ4">
            <v>45.6461513535107</v>
          </cell>
          <cell r="AR4">
            <v>37.7364439977016</v>
          </cell>
          <cell r="AS4">
            <v>38.3529996121812</v>
          </cell>
          <cell r="AT4">
            <v>37.0861296848188</v>
          </cell>
          <cell r="AU4">
            <v>45.1316743478476</v>
          </cell>
        </row>
        <row r="5">
          <cell r="F5">
            <v>82.0907168384714</v>
          </cell>
          <cell r="G5">
            <v>98.7525001948184</v>
          </cell>
          <cell r="H5">
            <v>95.4097239721339</v>
          </cell>
          <cell r="I5">
            <v>0</v>
          </cell>
          <cell r="J5">
            <v>32.7087446612045</v>
          </cell>
          <cell r="K5">
            <v>71.6554562234114</v>
          </cell>
          <cell r="L5">
            <v>63.2608687952966</v>
          </cell>
          <cell r="M5">
            <v>96.7000816995552</v>
          </cell>
          <cell r="N5">
            <v>82.670453539308</v>
          </cell>
          <cell r="O5">
            <v>82.670453539308</v>
          </cell>
          <cell r="P5">
            <v>78.7513284187352</v>
          </cell>
          <cell r="Q5">
            <v>95.6101767019823</v>
          </cell>
        </row>
        <row r="5">
          <cell r="U5">
            <v>15.4406140434019</v>
          </cell>
          <cell r="V5">
            <v>18.5745636054012</v>
          </cell>
          <cell r="W5">
            <v>17.9458138578567</v>
          </cell>
          <cell r="X5">
            <v>0</v>
          </cell>
          <cell r="Y5">
            <v>6.15225596277356</v>
          </cell>
          <cell r="Z5">
            <v>13.4778241226305</v>
          </cell>
          <cell r="AA5">
            <v>11.8988686752544</v>
          </cell>
          <cell r="AB5">
            <v>18.1885199324819</v>
          </cell>
          <cell r="AC5">
            <v>15.5496579278892</v>
          </cell>
          <cell r="AD5">
            <v>15.5496579278892</v>
          </cell>
          <cell r="AE5">
            <v>14.8125015147757</v>
          </cell>
          <cell r="AF5">
            <v>17.9835174296458</v>
          </cell>
        </row>
        <row r="5">
          <cell r="AJ5">
            <v>38.7130126837633</v>
          </cell>
          <cell r="AK5">
            <v>46.570512962115</v>
          </cell>
          <cell r="AL5">
            <v>44.9940991690377</v>
          </cell>
          <cell r="AM5">
            <v>0</v>
          </cell>
          <cell r="AN5">
            <v>15.4250577374147</v>
          </cell>
          <cell r="AO5">
            <v>33.7918670036239</v>
          </cell>
          <cell r="AP5">
            <v>29.833078700934</v>
          </cell>
          <cell r="AQ5">
            <v>45.6026166359585</v>
          </cell>
          <cell r="AR5">
            <v>38.9864096659933</v>
          </cell>
          <cell r="AS5">
            <v>38.9864096659933</v>
          </cell>
          <cell r="AT5">
            <v>37.1381965385512</v>
          </cell>
          <cell r="AU5">
            <v>45.0886303093661</v>
          </cell>
        </row>
        <row r="6">
          <cell r="F6">
            <v>171.148729838093</v>
          </cell>
          <cell r="G6">
            <v>0</v>
          </cell>
          <cell r="H6">
            <v>98.7871338225672</v>
          </cell>
          <cell r="I6">
            <v>169.152682154821</v>
          </cell>
          <cell r="J6">
            <v>140.359713900016</v>
          </cell>
          <cell r="K6">
            <v>147.485016692847</v>
          </cell>
          <cell r="L6">
            <v>147.271387447888</v>
          </cell>
          <cell r="M6">
            <v>193.40016339911</v>
          </cell>
          <cell r="N6">
            <v>173.967389187066</v>
          </cell>
          <cell r="O6">
            <v>170.494402168988</v>
          </cell>
          <cell r="P6">
            <v>163.718505713791</v>
          </cell>
          <cell r="Q6">
            <v>195.533594458189</v>
          </cell>
        </row>
        <row r="6">
          <cell r="U6">
            <v>39.3800582223217</v>
          </cell>
          <cell r="V6">
            <v>0</v>
          </cell>
          <cell r="W6">
            <v>22.7301896147821</v>
          </cell>
          <cell r="X6">
            <v>38.9207823979778</v>
          </cell>
          <cell r="Y6">
            <v>32.2957331362023</v>
          </cell>
          <cell r="Z6">
            <v>33.9352126643226</v>
          </cell>
          <cell r="AA6">
            <v>33.8860581534337</v>
          </cell>
          <cell r="AB6">
            <v>44.4999486824608</v>
          </cell>
          <cell r="AC6">
            <v>40.028610913168</v>
          </cell>
          <cell r="AD6">
            <v>39.229502260088</v>
          </cell>
          <cell r="AE6">
            <v>37.6704185487072</v>
          </cell>
          <cell r="AF6">
            <v>44.9908354065359</v>
          </cell>
        </row>
        <row r="6">
          <cell r="AJ6">
            <v>72.1204485779546</v>
          </cell>
          <cell r="AK6">
            <v>0</v>
          </cell>
          <cell r="AL6">
            <v>41.6279595633215</v>
          </cell>
          <cell r="AM6">
            <v>71.2793330497424</v>
          </cell>
          <cell r="AN6">
            <v>59.1462498045922</v>
          </cell>
          <cell r="AO6">
            <v>62.1487847001701</v>
          </cell>
          <cell r="AP6">
            <v>62.0587633661505</v>
          </cell>
          <cell r="AQ6">
            <v>81.4969912577702</v>
          </cell>
          <cell r="AR6">
            <v>73.3082048460182</v>
          </cell>
          <cell r="AS6">
            <v>71.8447211153114</v>
          </cell>
          <cell r="AT6">
            <v>68.9894227305155</v>
          </cell>
          <cell r="AU6">
            <v>82.395998835194</v>
          </cell>
        </row>
        <row r="7">
          <cell r="F7">
            <v>301.270979026202</v>
          </cell>
          <cell r="G7">
            <v>0</v>
          </cell>
          <cell r="H7">
            <v>158.059414116108</v>
          </cell>
          <cell r="I7">
            <v>296.956714617019</v>
          </cell>
          <cell r="J7">
            <v>240.517405216274</v>
          </cell>
          <cell r="K7">
            <v>240.07068355052</v>
          </cell>
          <cell r="L7">
            <v>243.841894265507</v>
          </cell>
          <cell r="M7">
            <v>312.391855395986</v>
          </cell>
          <cell r="N7">
            <v>278.708713130897</v>
          </cell>
          <cell r="O7">
            <v>278.347822699305</v>
          </cell>
          <cell r="P7">
            <v>268.150477200517</v>
          </cell>
          <cell r="Q7">
            <v>322.050302109213</v>
          </cell>
        </row>
        <row r="7">
          <cell r="U7">
            <v>108.744562448808</v>
          </cell>
          <cell r="V7">
            <v>0</v>
          </cell>
          <cell r="W7">
            <v>57.0519665867854</v>
          </cell>
          <cell r="X7">
            <v>107.18731721735</v>
          </cell>
          <cell r="Y7">
            <v>86.8153981379385</v>
          </cell>
          <cell r="Z7">
            <v>86.6541527626428</v>
          </cell>
          <cell r="AA7">
            <v>88.0153813165149</v>
          </cell>
          <cell r="AB7">
            <v>112.758672399883</v>
          </cell>
          <cell r="AC7">
            <v>100.600652469263</v>
          </cell>
          <cell r="AD7">
            <v>100.470388106588</v>
          </cell>
          <cell r="AE7">
            <v>96.7896290836333</v>
          </cell>
          <cell r="AF7">
            <v>116.244914470593</v>
          </cell>
        </row>
        <row r="7">
          <cell r="AJ7">
            <v>122.510738876292</v>
          </cell>
          <cell r="AK7">
            <v>0</v>
          </cell>
          <cell r="AL7">
            <v>64.2742811548207</v>
          </cell>
          <cell r="AM7">
            <v>120.756359074477</v>
          </cell>
          <cell r="AN7">
            <v>97.8055208666202</v>
          </cell>
          <cell r="AO7">
            <v>97.6238631393462</v>
          </cell>
          <cell r="AP7">
            <v>99.1574121477657</v>
          </cell>
          <cell r="AQ7">
            <v>127.033002472401</v>
          </cell>
          <cell r="AR7">
            <v>113.3358761846</v>
          </cell>
          <cell r="AS7">
            <v>113.189121413959</v>
          </cell>
          <cell r="AT7">
            <v>109.042408260002</v>
          </cell>
          <cell r="AU7">
            <v>130.960574411322</v>
          </cell>
        </row>
        <row r="8">
          <cell r="F8">
            <v>20.5226792096179</v>
          </cell>
          <cell r="G8">
            <v>0</v>
          </cell>
          <cell r="H8">
            <v>11.8266286970678</v>
          </cell>
          <cell r="I8">
            <v>19.5893031212709</v>
          </cell>
          <cell r="J8">
            <v>16.3543723306022</v>
          </cell>
          <cell r="K8">
            <v>17.3921010250999</v>
          </cell>
          <cell r="L8">
            <v>15.8152171988241</v>
          </cell>
          <cell r="M8">
            <v>24.1597375167663</v>
          </cell>
          <cell r="N8">
            <v>19.2049159155064</v>
          </cell>
          <cell r="O8">
            <v>20.128458253049</v>
          </cell>
          <cell r="P8">
            <v>19.6414794243462</v>
          </cell>
          <cell r="Q8">
            <v>23.9025441754957</v>
          </cell>
        </row>
        <row r="8">
          <cell r="U8">
            <v>9.97847680238404</v>
          </cell>
          <cell r="V8">
            <v>0</v>
          </cell>
          <cell r="W8">
            <v>5.75030866578057</v>
          </cell>
          <cell r="X8">
            <v>9.52465342238859</v>
          </cell>
          <cell r="Y8">
            <v>7.95177487557211</v>
          </cell>
          <cell r="Z8">
            <v>8.45633627320679</v>
          </cell>
          <cell r="AA8">
            <v>7.68962845110269</v>
          </cell>
          <cell r="AB8">
            <v>11.7468766090618</v>
          </cell>
          <cell r="AC8">
            <v>9.33775780429325</v>
          </cell>
          <cell r="AD8">
            <v>9.78679984685801</v>
          </cell>
          <cell r="AE8">
            <v>9.55002243120823</v>
          </cell>
          <cell r="AF8">
            <v>11.6218248181439</v>
          </cell>
        </row>
        <row r="8">
          <cell r="AJ8">
            <v>10.703824628673</v>
          </cell>
          <cell r="AK8">
            <v>0</v>
          </cell>
          <cell r="AL8">
            <v>6.16830571821829</v>
          </cell>
          <cell r="AM8">
            <v>10.2170122656176</v>
          </cell>
          <cell r="AN8">
            <v>8.5297992309284</v>
          </cell>
          <cell r="AO8">
            <v>9.07103782090933</v>
          </cell>
          <cell r="AP8">
            <v>8.2485970584802</v>
          </cell>
          <cell r="AQ8">
            <v>12.6007716055439</v>
          </cell>
          <cell r="AR8">
            <v>10.0165309737753</v>
          </cell>
          <cell r="AS8">
            <v>10.4982144380658</v>
          </cell>
          <cell r="AT8">
            <v>10.2442253790803</v>
          </cell>
          <cell r="AU8">
            <v>12.4666296452031</v>
          </cell>
        </row>
        <row r="9">
          <cell r="F9">
            <v>197.574267645134</v>
          </cell>
          <cell r="G9">
            <v>204.160076566639</v>
          </cell>
          <cell r="H9">
            <v>198.279623199133</v>
          </cell>
          <cell r="I9">
            <v>208.473317620864</v>
          </cell>
          <cell r="J9">
            <v>169.654148132841</v>
          </cell>
          <cell r="K9">
            <v>185.051954907063</v>
          </cell>
          <cell r="L9">
            <v>0</v>
          </cell>
          <cell r="M9">
            <v>98.7871338225672</v>
          </cell>
          <cell r="N9">
            <v>198.847432593468</v>
          </cell>
          <cell r="O9">
            <v>178.28063024129</v>
          </cell>
          <cell r="P9">
            <v>179.242722629421</v>
          </cell>
          <cell r="Q9">
            <v>218.776584849626</v>
          </cell>
        </row>
        <row r="9">
          <cell r="U9">
            <v>34.405006755406</v>
          </cell>
          <cell r="V9">
            <v>35.5518403139195</v>
          </cell>
          <cell r="W9">
            <v>34.5278353144564</v>
          </cell>
          <cell r="X9">
            <v>36.3029355318192</v>
          </cell>
          <cell r="Y9">
            <v>29.5430785707219</v>
          </cell>
          <cell r="Z9">
            <v>32.2244077356972</v>
          </cell>
          <cell r="AA9">
            <v>0</v>
          </cell>
          <cell r="AB9">
            <v>17.202503377703</v>
          </cell>
          <cell r="AC9">
            <v>34.6267119864073</v>
          </cell>
          <cell r="AD9">
            <v>31.0452690065213</v>
          </cell>
          <cell r="AE9">
            <v>31.2128049691114</v>
          </cell>
          <cell r="AF9">
            <v>38.0971164382367</v>
          </cell>
        </row>
        <row r="9">
          <cell r="AJ9">
            <v>74.9169849192468</v>
          </cell>
          <cell r="AK9">
            <v>77.4142177498884</v>
          </cell>
          <cell r="AL9">
            <v>75.184444401858</v>
          </cell>
          <cell r="AM9">
            <v>79.0497293924916</v>
          </cell>
          <cell r="AN9">
            <v>64.3301246090622</v>
          </cell>
          <cell r="AO9">
            <v>70.1687253116889</v>
          </cell>
          <cell r="AP9">
            <v>0</v>
          </cell>
          <cell r="AQ9">
            <v>37.4584924596234</v>
          </cell>
          <cell r="AR9">
            <v>75.3997485927297</v>
          </cell>
          <cell r="AS9">
            <v>67.6011478942687</v>
          </cell>
          <cell r="AT9">
            <v>67.9659578555637</v>
          </cell>
          <cell r="AU9">
            <v>82.9565626294116</v>
          </cell>
        </row>
        <row r="10">
          <cell r="F10">
            <v>247.106971364619</v>
          </cell>
          <cell r="G10">
            <v>250.995278779861</v>
          </cell>
          <cell r="H10">
            <v>247.106971364619</v>
          </cell>
          <cell r="I10">
            <v>274.101421054513</v>
          </cell>
          <cell r="J10">
            <v>226.042226935627</v>
          </cell>
          <cell r="K10">
            <v>256.016638010073</v>
          </cell>
          <cell r="L10">
            <v>229.897524917458</v>
          </cell>
          <cell r="M10">
            <v>0</v>
          </cell>
          <cell r="N10">
            <v>126.95416137362</v>
          </cell>
          <cell r="O10">
            <v>255.343870410106</v>
          </cell>
          <cell r="P10">
            <v>248.655594892824</v>
          </cell>
          <cell r="Q10">
            <v>276.047427470385</v>
          </cell>
        </row>
        <row r="10">
          <cell r="U10">
            <v>55.6767963634332</v>
          </cell>
          <cell r="V10">
            <v>56.5528886038152</v>
          </cell>
          <cell r="W10">
            <v>55.6767963634332</v>
          </cell>
          <cell r="X10">
            <v>61.7590386815161</v>
          </cell>
          <cell r="Y10">
            <v>50.9306029252473</v>
          </cell>
          <cell r="Z10">
            <v>57.6842739054287</v>
          </cell>
          <cell r="AA10">
            <v>51.7992576599534</v>
          </cell>
          <cell r="AB10">
            <v>0</v>
          </cell>
          <cell r="AC10">
            <v>28.6046198990464</v>
          </cell>
          <cell r="AD10">
            <v>57.5326895755476</v>
          </cell>
          <cell r="AE10">
            <v>56.0257237787438</v>
          </cell>
          <cell r="AF10">
            <v>62.1975022438352</v>
          </cell>
        </row>
        <row r="10">
          <cell r="AJ10">
            <v>87.9696954795066</v>
          </cell>
          <cell r="AK10">
            <v>89.3539268403646</v>
          </cell>
          <cell r="AL10">
            <v>87.9696954795066</v>
          </cell>
          <cell r="AM10">
            <v>97.5796773660674</v>
          </cell>
          <cell r="AN10">
            <v>80.4706793953439</v>
          </cell>
          <cell r="AO10">
            <v>91.1415228759421</v>
          </cell>
          <cell r="AP10">
            <v>81.8431594495144</v>
          </cell>
          <cell r="AQ10">
            <v>0</v>
          </cell>
          <cell r="AR10">
            <v>45.1954829692537</v>
          </cell>
          <cell r="AS10">
            <v>90.9020186621568</v>
          </cell>
          <cell r="AT10">
            <v>88.5210030344343</v>
          </cell>
          <cell r="AU10">
            <v>98.2724526077371</v>
          </cell>
        </row>
        <row r="11">
          <cell r="F11">
            <v>111.198137114078</v>
          </cell>
          <cell r="G11">
            <v>112.575591515266</v>
          </cell>
          <cell r="H11">
            <v>109.833393197061</v>
          </cell>
          <cell r="I11">
            <v>118.550630246917</v>
          </cell>
          <cell r="J11">
            <v>50.3509260968326</v>
          </cell>
          <cell r="K11">
            <v>0</v>
          </cell>
          <cell r="L11">
            <v>100.311133068112</v>
          </cell>
          <cell r="M11">
            <v>109.489490141497</v>
          </cell>
          <cell r="N11">
            <v>112.575591515266</v>
          </cell>
          <cell r="O11">
            <v>113.798023474977</v>
          </cell>
          <cell r="P11">
            <v>107.992425053132</v>
          </cell>
          <cell r="Q11">
            <v>124.221342361673</v>
          </cell>
        </row>
        <row r="11">
          <cell r="U11">
            <v>34.5109539659683</v>
          </cell>
          <cell r="V11">
            <v>34.9384545218531</v>
          </cell>
          <cell r="W11">
            <v>34.0873981788132</v>
          </cell>
          <cell r="X11">
            <v>36.7928406830289</v>
          </cell>
          <cell r="Y11">
            <v>15.6266870809984</v>
          </cell>
          <cell r="Z11">
            <v>0</v>
          </cell>
          <cell r="AA11">
            <v>31.1321123305891</v>
          </cell>
          <cell r="AB11">
            <v>33.980665972435</v>
          </cell>
          <cell r="AC11">
            <v>34.938454521853</v>
          </cell>
          <cell r="AD11">
            <v>35.3178430096728</v>
          </cell>
          <cell r="AE11">
            <v>33.5160435813638</v>
          </cell>
          <cell r="AF11">
            <v>38.5527774034241</v>
          </cell>
        </row>
        <row r="11">
          <cell r="AJ11">
            <v>41.7765664178839</v>
          </cell>
          <cell r="AK11">
            <v>42.2940689298172</v>
          </cell>
          <cell r="AL11">
            <v>41.2638391692772</v>
          </cell>
          <cell r="AM11">
            <v>44.5388601547471</v>
          </cell>
          <cell r="AN11">
            <v>18.9165831629744</v>
          </cell>
          <cell r="AO11">
            <v>0</v>
          </cell>
          <cell r="AP11">
            <v>37.6863751662852</v>
          </cell>
          <cell r="AQ11">
            <v>41.134636565574</v>
          </cell>
          <cell r="AR11">
            <v>42.2940689298172</v>
          </cell>
          <cell r="AS11">
            <v>42.7533303102824</v>
          </cell>
          <cell r="AT11">
            <v>40.5721969355665</v>
          </cell>
          <cell r="AU11">
            <v>46.6693174397982</v>
          </cell>
        </row>
        <row r="12">
          <cell r="F12">
            <v>111.198137114078</v>
          </cell>
          <cell r="G12">
            <v>0</v>
          </cell>
          <cell r="H12">
            <v>54.4720604106127</v>
          </cell>
          <cell r="I12">
            <v>117.233891853829</v>
          </cell>
          <cell r="J12">
            <v>98.6006904995781</v>
          </cell>
          <cell r="K12">
            <v>113.452153406931</v>
          </cell>
          <cell r="L12">
            <v>98.3870091517709</v>
          </cell>
          <cell r="M12">
            <v>108.944120821226</v>
          </cell>
          <cell r="N12">
            <v>112.575591515266</v>
          </cell>
          <cell r="O12">
            <v>111.866679430776</v>
          </cell>
          <cell r="P12">
            <v>105.889291590738</v>
          </cell>
          <cell r="Q12">
            <v>124.221342361673</v>
          </cell>
        </row>
        <row r="12">
          <cell r="U12">
            <v>34.9302649761767</v>
          </cell>
          <cell r="V12">
            <v>0</v>
          </cell>
          <cell r="W12">
            <v>17.1111095322487</v>
          </cell>
          <cell r="X12">
            <v>36.8262545841178</v>
          </cell>
          <cell r="Y12">
            <v>30.9730750475693</v>
          </cell>
          <cell r="Z12">
            <v>35.6383108878559</v>
          </cell>
          <cell r="AA12">
            <v>30.905952105647</v>
          </cell>
          <cell r="AB12">
            <v>34.2222190644974</v>
          </cell>
          <cell r="AC12">
            <v>35.3629596999807</v>
          </cell>
          <cell r="AD12">
            <v>35.1402717341682</v>
          </cell>
          <cell r="AE12">
            <v>33.2626167074146</v>
          </cell>
          <cell r="AF12">
            <v>39.0211969103235</v>
          </cell>
        </row>
        <row r="12">
          <cell r="AJ12">
            <v>41.7765664178839</v>
          </cell>
          <cell r="AK12">
            <v>0</v>
          </cell>
          <cell r="AL12">
            <v>20.4648720628148</v>
          </cell>
          <cell r="AM12">
            <v>44.0441683338096</v>
          </cell>
          <cell r="AN12">
            <v>37.0437707178399</v>
          </cell>
          <cell r="AO12">
            <v>42.6233887101383</v>
          </cell>
          <cell r="AP12">
            <v>36.9634917378982</v>
          </cell>
          <cell r="AQ12">
            <v>40.9297441256295</v>
          </cell>
          <cell r="AR12">
            <v>42.2940689298172</v>
          </cell>
          <cell r="AS12">
            <v>42.0277343171089</v>
          </cell>
          <cell r="AT12">
            <v>39.7820605442777</v>
          </cell>
          <cell r="AU12">
            <v>46.6693174397982</v>
          </cell>
        </row>
        <row r="13">
          <cell r="F13">
            <v>109.611013066871</v>
          </cell>
          <cell r="G13">
            <v>112.575591515266</v>
          </cell>
          <cell r="H13">
            <v>108.944120821226</v>
          </cell>
          <cell r="I13">
            <v>117.233891853829</v>
          </cell>
          <cell r="J13">
            <v>96.7792868348984</v>
          </cell>
          <cell r="K13">
            <v>113.452153406931</v>
          </cell>
          <cell r="L13">
            <v>96.2715403302967</v>
          </cell>
          <cell r="M13">
            <v>0</v>
          </cell>
          <cell r="N13">
            <v>56.2877957576331</v>
          </cell>
          <cell r="O13">
            <v>110.246441345985</v>
          </cell>
          <cell r="P13">
            <v>104.345171843251</v>
          </cell>
          <cell r="Q13">
            <v>124.221342361673</v>
          </cell>
        </row>
        <row r="13">
          <cell r="U13">
            <v>34.6374835966847</v>
          </cell>
          <cell r="V13">
            <v>35.5743012987047</v>
          </cell>
          <cell r="W13">
            <v>34.4267431922948</v>
          </cell>
          <cell r="X13">
            <v>37.0463413524442</v>
          </cell>
          <cell r="Y13">
            <v>30.5826108750363</v>
          </cell>
          <cell r="Z13">
            <v>35.8512980830104</v>
          </cell>
          <cell r="AA13">
            <v>30.4221611106164</v>
          </cell>
          <cell r="AB13">
            <v>0</v>
          </cell>
          <cell r="AC13">
            <v>17.7871506493523</v>
          </cell>
          <cell r="AD13">
            <v>34.8382812718349</v>
          </cell>
          <cell r="AE13">
            <v>32.9734583869678</v>
          </cell>
          <cell r="AF13">
            <v>39.2544014330534</v>
          </cell>
        </row>
        <row r="13">
          <cell r="AJ13">
            <v>41.1802921016733</v>
          </cell>
          <cell r="AK13">
            <v>42.2940689298172</v>
          </cell>
          <cell r="AL13">
            <v>40.9297441256295</v>
          </cell>
          <cell r="AM13">
            <v>44.0441683338096</v>
          </cell>
          <cell r="AN13">
            <v>36.3594787580455</v>
          </cell>
          <cell r="AO13">
            <v>42.6233887101383</v>
          </cell>
          <cell r="AP13">
            <v>36.1687210158436</v>
          </cell>
          <cell r="AQ13">
            <v>0</v>
          </cell>
          <cell r="AR13">
            <v>21.1470344649086</v>
          </cell>
          <cell r="AS13">
            <v>41.419019227821</v>
          </cell>
          <cell r="AT13">
            <v>39.2019427216033</v>
          </cell>
          <cell r="AU13">
            <v>46.6693174397983</v>
          </cell>
        </row>
        <row r="14">
          <cell r="F14">
            <v>106.690104528373</v>
          </cell>
          <cell r="G14">
            <v>0</v>
          </cell>
          <cell r="H14">
            <v>54.4720604106127</v>
          </cell>
          <cell r="I14">
            <v>117.233891853829</v>
          </cell>
          <cell r="J14">
            <v>96.2715403302967</v>
          </cell>
          <cell r="K14">
            <v>113.452153406931</v>
          </cell>
          <cell r="L14">
            <v>96.2715403302967</v>
          </cell>
          <cell r="M14">
            <v>108.944120821226</v>
          </cell>
          <cell r="N14">
            <v>112.575591515266</v>
          </cell>
          <cell r="O14">
            <v>110.224727044467</v>
          </cell>
          <cell r="P14">
            <v>103.78492797314</v>
          </cell>
          <cell r="Q14">
            <v>124.221342361673</v>
          </cell>
        </row>
        <row r="14">
          <cell r="U14">
            <v>33.8861509301712</v>
          </cell>
          <cell r="V14">
            <v>0</v>
          </cell>
          <cell r="W14">
            <v>17.3010277636437</v>
          </cell>
          <cell r="X14">
            <v>37.2349935455707</v>
          </cell>
          <cell r="Y14">
            <v>30.5770807923892</v>
          </cell>
          <cell r="Z14">
            <v>36.03386472152</v>
          </cell>
          <cell r="AA14">
            <v>30.5770807923892</v>
          </cell>
          <cell r="AB14">
            <v>34.6020555272875</v>
          </cell>
          <cell r="AC14">
            <v>35.755457378197</v>
          </cell>
          <cell r="AD14">
            <v>35.0087925527567</v>
          </cell>
          <cell r="AE14">
            <v>32.9634294494435</v>
          </cell>
          <cell r="AF14">
            <v>39.4542977966312</v>
          </cell>
        </row>
        <row r="14">
          <cell r="AJ14">
            <v>40.0829218333751</v>
          </cell>
          <cell r="AK14">
            <v>0</v>
          </cell>
          <cell r="AL14">
            <v>20.4648720628147</v>
          </cell>
          <cell r="AM14">
            <v>44.0441683338096</v>
          </cell>
          <cell r="AN14">
            <v>36.1687210158436</v>
          </cell>
          <cell r="AO14">
            <v>42.6233887101383</v>
          </cell>
          <cell r="AP14">
            <v>36.1687210158436</v>
          </cell>
          <cell r="AQ14">
            <v>40.9297441256295</v>
          </cell>
          <cell r="AR14">
            <v>42.2940689298172</v>
          </cell>
          <cell r="AS14">
            <v>41.4108612767694</v>
          </cell>
          <cell r="AT14">
            <v>38.991461990025</v>
          </cell>
          <cell r="AU14">
            <v>46.6693174397982</v>
          </cell>
        </row>
        <row r="15">
          <cell r="F15">
            <v>356.190228994045</v>
          </cell>
          <cell r="G15">
            <v>354.762108784114</v>
          </cell>
          <cell r="H15">
            <v>178.095114497023</v>
          </cell>
          <cell r="I15">
            <v>0</v>
          </cell>
          <cell r="J15">
            <v>367.281629808679</v>
          </cell>
          <cell r="K15">
            <v>356.190228994045</v>
          </cell>
          <cell r="L15">
            <v>338.497144265484</v>
          </cell>
          <cell r="M15">
            <v>345.246265728325</v>
          </cell>
          <cell r="N15">
            <v>368.06323662718</v>
          </cell>
          <cell r="O15">
            <v>368.06323662718</v>
          </cell>
          <cell r="P15">
            <v>332.444213727776</v>
          </cell>
          <cell r="Q15">
            <v>368.06323662718</v>
          </cell>
        </row>
        <row r="15">
          <cell r="U15">
            <v>90.3314763908465</v>
          </cell>
          <cell r="V15">
            <v>89.9692985529226</v>
          </cell>
          <cell r="W15">
            <v>45.1657381954232</v>
          </cell>
          <cell r="X15">
            <v>0</v>
          </cell>
          <cell r="Y15">
            <v>93.1443065284336</v>
          </cell>
          <cell r="Z15">
            <v>90.3314763908465</v>
          </cell>
          <cell r="AA15">
            <v>85.8444289219896</v>
          </cell>
          <cell r="AB15">
            <v>87.5560370921558</v>
          </cell>
          <cell r="AC15">
            <v>93.3425256038747</v>
          </cell>
          <cell r="AD15">
            <v>93.3425256038747</v>
          </cell>
          <cell r="AE15">
            <v>84.30937796479</v>
          </cell>
          <cell r="AF15">
            <v>93.3425256038747</v>
          </cell>
        </row>
        <row r="15">
          <cell r="AJ15">
            <v>101.827391155254</v>
          </cell>
          <cell r="AK15">
            <v>101.419121238237</v>
          </cell>
          <cell r="AL15">
            <v>50.9136955776269</v>
          </cell>
          <cell r="AM15">
            <v>0</v>
          </cell>
          <cell r="AN15">
            <v>104.99819236561</v>
          </cell>
          <cell r="AO15">
            <v>101.827391155254</v>
          </cell>
          <cell r="AP15">
            <v>96.7693055797834</v>
          </cell>
          <cell r="AQ15">
            <v>98.698739278995</v>
          </cell>
          <cell r="AR15">
            <v>105.221637527096</v>
          </cell>
          <cell r="AS15">
            <v>105.221637527096</v>
          </cell>
          <cell r="AT15">
            <v>95.0388984115701</v>
          </cell>
          <cell r="AU15">
            <v>105.221637527096</v>
          </cell>
        </row>
        <row r="15">
          <cell r="AW15">
            <v>2.16109147881525</v>
          </cell>
        </row>
        <row r="16">
          <cell r="F16">
            <v>356.190228994045</v>
          </cell>
          <cell r="G16">
            <v>345.234865881617</v>
          </cell>
          <cell r="H16">
            <v>175.093529076148</v>
          </cell>
          <cell r="I16">
            <v>0</v>
          </cell>
          <cell r="J16">
            <v>348.920694163782</v>
          </cell>
          <cell r="K16">
            <v>356.190228994045</v>
          </cell>
          <cell r="L16">
            <v>333.557308193382</v>
          </cell>
          <cell r="M16">
            <v>336.15452861313</v>
          </cell>
          <cell r="N16">
            <v>367.816168459222</v>
          </cell>
          <cell r="O16">
            <v>368.06323662718</v>
          </cell>
          <cell r="P16">
            <v>332.444213727776</v>
          </cell>
          <cell r="Q16">
            <v>368.06323662718</v>
          </cell>
        </row>
        <row r="16">
          <cell r="U16">
            <v>91.4378834995777</v>
          </cell>
          <cell r="V16">
            <v>88.6255233211447</v>
          </cell>
          <cell r="W16">
            <v>44.9484023141534</v>
          </cell>
          <cell r="X16">
            <v>0</v>
          </cell>
          <cell r="Y16">
            <v>89.5717152984369</v>
          </cell>
          <cell r="Z16">
            <v>91.4378834995777</v>
          </cell>
          <cell r="AA16">
            <v>85.6277679855421</v>
          </cell>
          <cell r="AB16">
            <v>86.2945025527265</v>
          </cell>
          <cell r="AC16">
            <v>94.4223878791399</v>
          </cell>
          <cell r="AD16">
            <v>94.4858129495637</v>
          </cell>
          <cell r="AE16">
            <v>85.3420245996059</v>
          </cell>
          <cell r="AF16">
            <v>94.4858129495637</v>
          </cell>
        </row>
        <row r="16">
          <cell r="AJ16">
            <v>101.827391155254</v>
          </cell>
          <cell r="AK16">
            <v>98.6954802995078</v>
          </cell>
          <cell r="AL16">
            <v>50.0556046254958</v>
          </cell>
          <cell r="AM16">
            <v>0</v>
          </cell>
          <cell r="AN16">
            <v>99.7491820792536</v>
          </cell>
          <cell r="AO16">
            <v>101.827391155254</v>
          </cell>
          <cell r="AP16">
            <v>95.3571090089303</v>
          </cell>
          <cell r="AQ16">
            <v>96.0996004027707</v>
          </cell>
          <cell r="AR16">
            <v>105.15100586757</v>
          </cell>
          <cell r="AS16">
            <v>105.221637527096</v>
          </cell>
          <cell r="AT16">
            <v>95.0388984115701</v>
          </cell>
          <cell r="AU16">
            <v>105.221637527096</v>
          </cell>
        </row>
        <row r="17">
          <cell r="F17">
            <v>348.93169693</v>
          </cell>
          <cell r="G17">
            <v>0</v>
          </cell>
          <cell r="H17">
            <v>172.81358135037</v>
          </cell>
          <cell r="I17">
            <v>368.06323662718</v>
          </cell>
          <cell r="J17">
            <v>347.359679566901</v>
          </cell>
          <cell r="K17">
            <v>356.190228994045</v>
          </cell>
          <cell r="L17">
            <v>326.900303632014</v>
          </cell>
          <cell r="M17">
            <v>333.932092794376</v>
          </cell>
          <cell r="N17">
            <v>351.848846831168</v>
          </cell>
          <cell r="O17">
            <v>360.383935348906</v>
          </cell>
          <cell r="P17">
            <v>332.444213727775</v>
          </cell>
          <cell r="Q17">
            <v>368.06323662718</v>
          </cell>
        </row>
        <row r="17">
          <cell r="U17">
            <v>90.082566409437</v>
          </cell>
          <cell r="V17">
            <v>0</v>
          </cell>
          <cell r="W17">
            <v>44.6147227535204</v>
          </cell>
          <cell r="X17">
            <v>95.0216940680852</v>
          </cell>
          <cell r="Y17">
            <v>89.6767237767554</v>
          </cell>
          <cell r="Z17">
            <v>91.956478130405</v>
          </cell>
          <cell r="AA17">
            <v>84.3947929359472</v>
          </cell>
          <cell r="AB17">
            <v>86.2101671761461</v>
          </cell>
          <cell r="AC17">
            <v>90.8356775541403</v>
          </cell>
          <cell r="AD17">
            <v>93.0391537214655</v>
          </cell>
          <cell r="AE17">
            <v>85.8260462550447</v>
          </cell>
          <cell r="AF17">
            <v>95.0216940680852</v>
          </cell>
        </row>
        <row r="17">
          <cell r="AJ17">
            <v>99.752327541673</v>
          </cell>
          <cell r="AK17">
            <v>0</v>
          </cell>
          <cell r="AL17">
            <v>49.4038149075633</v>
          </cell>
          <cell r="AM17">
            <v>105.221637527096</v>
          </cell>
          <cell r="AN17">
            <v>99.3029204161963</v>
          </cell>
          <cell r="AO17">
            <v>101.827391155254</v>
          </cell>
          <cell r="AP17">
            <v>93.4540096192947</v>
          </cell>
          <cell r="AQ17">
            <v>95.4642521449791</v>
          </cell>
          <cell r="AR17">
            <v>100.586280131792</v>
          </cell>
          <cell r="AS17">
            <v>103.026284731287</v>
          </cell>
          <cell r="AT17">
            <v>95.0388984115701</v>
          </cell>
          <cell r="AU17">
            <v>105.221637527095</v>
          </cell>
        </row>
        <row r="18">
          <cell r="F18">
            <v>337.530584695842</v>
          </cell>
          <cell r="G18">
            <v>340.458493880141</v>
          </cell>
          <cell r="H18">
            <v>336.15452861313</v>
          </cell>
          <cell r="I18">
            <v>368.06323662718</v>
          </cell>
          <cell r="J18">
            <v>326.315495982496</v>
          </cell>
          <cell r="K18">
            <v>356.190228994045</v>
          </cell>
          <cell r="L18">
            <v>326.656122506622</v>
          </cell>
          <cell r="M18">
            <v>0</v>
          </cell>
          <cell r="N18">
            <v>173.679839783451</v>
          </cell>
          <cell r="O18">
            <v>347.359679566901</v>
          </cell>
          <cell r="P18">
            <v>332.444213727775</v>
          </cell>
          <cell r="Q18">
            <v>368.06323662718</v>
          </cell>
        </row>
        <row r="18">
          <cell r="U18">
            <v>88.4419644213019</v>
          </cell>
          <cell r="V18">
            <v>89.209154275045</v>
          </cell>
          <cell r="W18">
            <v>88.0814012349508</v>
          </cell>
          <cell r="X18">
            <v>96.4423289459947</v>
          </cell>
          <cell r="Y18">
            <v>85.5033137569145</v>
          </cell>
          <cell r="Z18">
            <v>93.331286076769</v>
          </cell>
          <cell r="AA18">
            <v>85.5925669395702</v>
          </cell>
          <cell r="AB18">
            <v>0</v>
          </cell>
          <cell r="AC18">
            <v>45.5087239713913</v>
          </cell>
          <cell r="AD18">
            <v>91.0174479427824</v>
          </cell>
          <cell r="AE18">
            <v>87.1092003383177</v>
          </cell>
          <cell r="AF18">
            <v>96.4423289459946</v>
          </cell>
        </row>
        <row r="18">
          <cell r="AJ18">
            <v>96.4929862667838</v>
          </cell>
          <cell r="AK18">
            <v>97.3300147125633</v>
          </cell>
          <cell r="AL18">
            <v>96.0996004027707</v>
          </cell>
          <cell r="AM18">
            <v>105.221637527096</v>
          </cell>
          <cell r="AN18">
            <v>93.2868252542259</v>
          </cell>
          <cell r="AO18">
            <v>101.827391155254</v>
          </cell>
          <cell r="AP18">
            <v>93.3842033052972</v>
          </cell>
          <cell r="AQ18">
            <v>0</v>
          </cell>
          <cell r="AR18">
            <v>49.6514602080982</v>
          </cell>
          <cell r="AS18">
            <v>99.3029204161963</v>
          </cell>
          <cell r="AT18">
            <v>95.0388984115701</v>
          </cell>
          <cell r="AU18">
            <v>105.221637527095</v>
          </cell>
        </row>
        <row r="19">
          <cell r="F19">
            <v>329.475961819492</v>
          </cell>
          <cell r="G19">
            <v>0</v>
          </cell>
          <cell r="H19">
            <v>165.576131546403</v>
          </cell>
          <cell r="I19">
            <v>368.06323662718</v>
          </cell>
          <cell r="J19">
            <v>310.487716102316</v>
          </cell>
          <cell r="K19">
            <v>356.190228994045</v>
          </cell>
          <cell r="L19">
            <v>325.824156720701</v>
          </cell>
          <cell r="M19">
            <v>329.475961819492</v>
          </cell>
          <cell r="N19">
            <v>345.579237914163</v>
          </cell>
          <cell r="O19">
            <v>341.537389343913</v>
          </cell>
          <cell r="P19">
            <v>332.444213727775</v>
          </cell>
          <cell r="Q19">
            <v>368.06323662718</v>
          </cell>
        </row>
        <row r="19">
          <cell r="U19">
            <v>87.3027919936113</v>
          </cell>
          <cell r="V19">
            <v>0</v>
          </cell>
          <cell r="W19">
            <v>43.8734847048476</v>
          </cell>
          <cell r="X19">
            <v>97.5274433081784</v>
          </cell>
          <cell r="Y19">
            <v>82.2713874048953</v>
          </cell>
          <cell r="Z19">
            <v>94.3813967498501</v>
          </cell>
          <cell r="AA19">
            <v>86.3351560568942</v>
          </cell>
          <cell r="AB19">
            <v>87.3027919936113</v>
          </cell>
          <cell r="AC19">
            <v>91.5697526408921</v>
          </cell>
          <cell r="AD19">
            <v>90.4987650548798</v>
          </cell>
          <cell r="AE19">
            <v>88.0893036331934</v>
          </cell>
          <cell r="AF19">
            <v>97.5274433081784</v>
          </cell>
        </row>
        <row r="19">
          <cell r="AJ19">
            <v>94.1903368186096</v>
          </cell>
          <cell r="AK19">
            <v>0</v>
          </cell>
          <cell r="AL19">
            <v>47.3347782744236</v>
          </cell>
          <cell r="AM19">
            <v>105.221637527095</v>
          </cell>
          <cell r="AN19">
            <v>88.7619916069635</v>
          </cell>
          <cell r="AO19">
            <v>101.827391155254</v>
          </cell>
          <cell r="AP19">
            <v>93.1463615605922</v>
          </cell>
          <cell r="AQ19">
            <v>94.1903368186096</v>
          </cell>
          <cell r="AR19">
            <v>98.7939291136709</v>
          </cell>
          <cell r="AS19">
            <v>97.6384485253476</v>
          </cell>
          <cell r="AT19">
            <v>95.0388984115701</v>
          </cell>
          <cell r="AU19">
            <v>105.221637527095</v>
          </cell>
        </row>
        <row r="20">
          <cell r="F20">
            <v>237.089121174161</v>
          </cell>
          <cell r="G20">
            <v>0</v>
          </cell>
          <cell r="H20">
            <v>121.049023134695</v>
          </cell>
          <cell r="I20">
            <v>258.73671000574</v>
          </cell>
          <cell r="J20">
            <v>208.934368918301</v>
          </cell>
          <cell r="K20">
            <v>244.289031269399</v>
          </cell>
          <cell r="L20">
            <v>205.571377820606</v>
          </cell>
          <cell r="M20">
            <v>242.09804626939</v>
          </cell>
          <cell r="N20">
            <v>246.645336615892</v>
          </cell>
          <cell r="O20">
            <v>234.654620295688</v>
          </cell>
          <cell r="P20">
            <v>227.880711649755</v>
          </cell>
          <cell r="Q20">
            <v>276.047427470385</v>
          </cell>
        </row>
        <row r="20">
          <cell r="U20">
            <v>42.8778687011207</v>
          </cell>
          <cell r="V20">
            <v>0</v>
          </cell>
          <cell r="W20">
            <v>21.8918695833187</v>
          </cell>
          <cell r="X20">
            <v>46.7928626368165</v>
          </cell>
          <cell r="Y20">
            <v>37.7860459951242</v>
          </cell>
          <cell r="Z20">
            <v>44.1799815867504</v>
          </cell>
          <cell r="AA20">
            <v>37.1778447836308</v>
          </cell>
          <cell r="AB20">
            <v>43.7837391666374</v>
          </cell>
          <cell r="AC20">
            <v>44.6061224015051</v>
          </cell>
          <cell r="AD20">
            <v>42.4375861250877</v>
          </cell>
          <cell r="AE20">
            <v>41.2125161426472</v>
          </cell>
          <cell r="AF20">
            <v>49.9235278773612</v>
          </cell>
        </row>
        <row r="20">
          <cell r="AJ20">
            <v>89.619687803833</v>
          </cell>
          <cell r="AK20">
            <v>0</v>
          </cell>
          <cell r="AL20">
            <v>45.7565307449147</v>
          </cell>
          <cell r="AM20">
            <v>97.8024763821698</v>
          </cell>
          <cell r="AN20">
            <v>78.9771914511178</v>
          </cell>
          <cell r="AO20">
            <v>92.341253819833</v>
          </cell>
          <cell r="AP20">
            <v>77.7059808161889</v>
          </cell>
          <cell r="AQ20">
            <v>91.5130614898295</v>
          </cell>
          <cell r="AR20">
            <v>93.231937240807</v>
          </cell>
          <cell r="AS20">
            <v>88.69944647177</v>
          </cell>
          <cell r="AT20">
            <v>86.1389090036076</v>
          </cell>
          <cell r="AU20">
            <v>104.345927583806</v>
          </cell>
        </row>
        <row r="21">
          <cell r="F21">
            <v>237.089121174161</v>
          </cell>
          <cell r="G21">
            <v>248.13832033944</v>
          </cell>
          <cell r="H21">
            <v>0</v>
          </cell>
          <cell r="I21">
            <v>125.083990572518</v>
          </cell>
          <cell r="J21">
            <v>208.629755433526</v>
          </cell>
          <cell r="K21">
            <v>228.410989075216</v>
          </cell>
          <cell r="L21">
            <v>199.260762013688</v>
          </cell>
          <cell r="M21">
            <v>242.09804626939</v>
          </cell>
          <cell r="N21">
            <v>244.992091879967</v>
          </cell>
          <cell r="O21">
            <v>229.464424084758</v>
          </cell>
          <cell r="P21">
            <v>221.413987760047</v>
          </cell>
          <cell r="Q21">
            <v>276.047427470385</v>
          </cell>
        </row>
        <row r="21">
          <cell r="U21">
            <v>43.6161354858272</v>
          </cell>
          <cell r="V21">
            <v>45.6488030557941</v>
          </cell>
          <cell r="W21">
            <v>0</v>
          </cell>
          <cell r="X21">
            <v>23.0110949540837</v>
          </cell>
          <cell r="Y21">
            <v>38.3806040289772</v>
          </cell>
          <cell r="Z21">
            <v>42.0196616218347</v>
          </cell>
          <cell r="AA21">
            <v>36.6570357591985</v>
          </cell>
          <cell r="AB21">
            <v>44.5376031369363</v>
          </cell>
          <cell r="AC21">
            <v>45.0700066686881</v>
          </cell>
          <cell r="AD21">
            <v>42.2134569502501</v>
          </cell>
          <cell r="AE21">
            <v>40.7324572328458</v>
          </cell>
          <cell r="AF21">
            <v>50.7831061055641</v>
          </cell>
        </row>
        <row r="21">
          <cell r="AJ21">
            <v>89.619687803833</v>
          </cell>
          <cell r="AK21">
            <v>93.7962850883082</v>
          </cell>
          <cell r="AL21">
            <v>0</v>
          </cell>
          <cell r="AM21">
            <v>47.2817484364119</v>
          </cell>
          <cell r="AN21">
            <v>78.8620475538729</v>
          </cell>
          <cell r="AO21">
            <v>86.3393538704317</v>
          </cell>
          <cell r="AP21">
            <v>75.320568041174</v>
          </cell>
          <cell r="AQ21">
            <v>91.5130614898295</v>
          </cell>
          <cell r="AR21">
            <v>92.6070107306274</v>
          </cell>
          <cell r="AS21">
            <v>86.7375523040384</v>
          </cell>
          <cell r="AT21">
            <v>83.6944873732979</v>
          </cell>
          <cell r="AU21">
            <v>104.345927583806</v>
          </cell>
        </row>
        <row r="22">
          <cell r="F22">
            <v>316.118828232215</v>
          </cell>
          <cell r="G22">
            <v>0</v>
          </cell>
          <cell r="H22">
            <v>161.398697512927</v>
          </cell>
          <cell r="I22">
            <v>333.557308193382</v>
          </cell>
          <cell r="J22">
            <v>271.446637012545</v>
          </cell>
          <cell r="K22">
            <v>301.84498781251</v>
          </cell>
          <cell r="L22">
            <v>258.09408889063</v>
          </cell>
          <cell r="M22">
            <v>316.256278641852</v>
          </cell>
          <cell r="N22">
            <v>326.439824847926</v>
          </cell>
          <cell r="O22">
            <v>289.962499395445</v>
          </cell>
          <cell r="P22">
            <v>288.810910676005</v>
          </cell>
          <cell r="Q22">
            <v>364.285280438326</v>
          </cell>
        </row>
        <row r="22">
          <cell r="U22">
            <v>109.3936168473</v>
          </cell>
          <cell r="V22">
            <v>0</v>
          </cell>
          <cell r="W22">
            <v>55.8523747987976</v>
          </cell>
          <cell r="X22">
            <v>115.428241250848</v>
          </cell>
          <cell r="Y22">
            <v>93.9347066731041</v>
          </cell>
          <cell r="Z22">
            <v>104.454122928052</v>
          </cell>
          <cell r="AA22">
            <v>89.314027982903</v>
          </cell>
          <cell r="AB22">
            <v>109.441181864327</v>
          </cell>
          <cell r="AC22">
            <v>112.965220460964</v>
          </cell>
          <cell r="AD22">
            <v>100.34216163692</v>
          </cell>
          <cell r="AE22">
            <v>99.9436518238713</v>
          </cell>
          <cell r="AF22">
            <v>126.061723732912</v>
          </cell>
        </row>
        <row r="22">
          <cell r="AJ22">
            <v>119.492917071777</v>
          </cell>
          <cell r="AK22">
            <v>0</v>
          </cell>
          <cell r="AL22">
            <v>61.0087076598863</v>
          </cell>
          <cell r="AM22">
            <v>126.084662497098</v>
          </cell>
          <cell r="AN22">
            <v>102.606828790742</v>
          </cell>
          <cell r="AO22">
            <v>114.097405393129</v>
          </cell>
          <cell r="AP22">
            <v>97.5595656006581</v>
          </cell>
          <cell r="AQ22">
            <v>119.54487332662</v>
          </cell>
          <cell r="AR22">
            <v>123.394253792516</v>
          </cell>
          <cell r="AS22">
            <v>109.605824771478</v>
          </cell>
          <cell r="AT22">
            <v>109.17052423553</v>
          </cell>
          <cell r="AU22">
            <v>137.699836005687</v>
          </cell>
        </row>
        <row r="23">
          <cell r="F23">
            <v>109.921568329</v>
          </cell>
          <cell r="G23">
            <v>113.585620606633</v>
          </cell>
          <cell r="H23">
            <v>109.921568329</v>
          </cell>
          <cell r="I23">
            <v>122.795265520684</v>
          </cell>
          <cell r="J23">
            <v>102.073564464069</v>
          </cell>
          <cell r="K23">
            <v>118.834127923243</v>
          </cell>
          <cell r="L23">
            <v>106.678386921095</v>
          </cell>
          <cell r="M23">
            <v>109.921568329</v>
          </cell>
          <cell r="N23">
            <v>113.585620606633</v>
          </cell>
          <cell r="O23">
            <v>113.585620606633</v>
          </cell>
          <cell r="P23">
            <v>110.91185272836</v>
          </cell>
          <cell r="Q23">
            <v>122.795265520685</v>
          </cell>
        </row>
        <row r="23">
          <cell r="U23">
            <v>17.9846375308931</v>
          </cell>
          <cell r="V23">
            <v>18.5841254485896</v>
          </cell>
          <cell r="W23">
            <v>17.9846375308931</v>
          </cell>
          <cell r="X23">
            <v>20.0909464309076</v>
          </cell>
          <cell r="Y23">
            <v>16.700599220692</v>
          </cell>
          <cell r="Z23">
            <v>19.4428513847493</v>
          </cell>
          <cell r="AA23">
            <v>17.454009711851</v>
          </cell>
          <cell r="AB23">
            <v>17.9846375308931</v>
          </cell>
          <cell r="AC23">
            <v>18.5841254485896</v>
          </cell>
          <cell r="AD23">
            <v>18.5841254485896</v>
          </cell>
          <cell r="AE23">
            <v>18.1466612924327</v>
          </cell>
          <cell r="AF23">
            <v>20.0909464309077</v>
          </cell>
        </row>
        <row r="23">
          <cell r="AJ23">
            <v>33.717888590061</v>
          </cell>
          <cell r="AK23">
            <v>34.8418182097297</v>
          </cell>
          <cell r="AL23">
            <v>33.717888590061</v>
          </cell>
          <cell r="AM23">
            <v>37.666830497005</v>
          </cell>
          <cell r="AN23">
            <v>31.3105528506355</v>
          </cell>
          <cell r="AO23">
            <v>36.4517714487146</v>
          </cell>
          <cell r="AP23">
            <v>32.7230589942731</v>
          </cell>
          <cell r="AQ23">
            <v>33.717888590061</v>
          </cell>
          <cell r="AR23">
            <v>34.8418182097297</v>
          </cell>
          <cell r="AS23">
            <v>34.8418182097297</v>
          </cell>
          <cell r="AT23">
            <v>34.0216533521336</v>
          </cell>
          <cell r="AU23">
            <v>37.6668304970051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4"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F25">
            <v>0</v>
          </cell>
          <cell r="G25">
            <v>6.75658788869788</v>
          </cell>
          <cell r="H25">
            <v>13.0772668813509</v>
          </cell>
          <cell r="I25">
            <v>10.6174952536681</v>
          </cell>
          <cell r="J25">
            <v>8.68704157118307</v>
          </cell>
          <cell r="K25">
            <v>9.34090491525059</v>
          </cell>
          <cell r="L25">
            <v>9.00878385159725</v>
          </cell>
          <cell r="M25">
            <v>12.7659033841757</v>
          </cell>
          <cell r="N25">
            <v>11.2609798144965</v>
          </cell>
          <cell r="O25">
            <v>10.9392375340823</v>
          </cell>
          <cell r="P25">
            <v>10.4618135050806</v>
          </cell>
          <cell r="Q25">
            <v>12.8696912165674</v>
          </cell>
        </row>
        <row r="25">
          <cell r="U25">
            <v>0</v>
          </cell>
          <cell r="V25">
            <v>0.896215775574368</v>
          </cell>
          <cell r="W25">
            <v>1.73461117853106</v>
          </cell>
          <cell r="X25">
            <v>1.40833907590258</v>
          </cell>
          <cell r="Y25">
            <v>1.15227742573848</v>
          </cell>
          <cell r="Z25">
            <v>1.23900798466503</v>
          </cell>
          <cell r="AA25">
            <v>1.1949543674325</v>
          </cell>
          <cell r="AB25">
            <v>1.69331091237553</v>
          </cell>
          <cell r="AC25">
            <v>1.49369295929062</v>
          </cell>
          <cell r="AD25">
            <v>1.4510160175966</v>
          </cell>
          <cell r="AE25">
            <v>1.38768894282483</v>
          </cell>
          <cell r="AF25">
            <v>1.7070776677607</v>
          </cell>
        </row>
        <row r="25">
          <cell r="AJ25">
            <v>0</v>
          </cell>
          <cell r="AK25">
            <v>2.90495689221067</v>
          </cell>
          <cell r="AL25">
            <v>5.6224972107304</v>
          </cell>
          <cell r="AM25">
            <v>4.56493225918821</v>
          </cell>
          <cell r="AN25">
            <v>3.73494457569946</v>
          </cell>
          <cell r="AO25">
            <v>4.01606943623597</v>
          </cell>
          <cell r="AP25">
            <v>3.87327585628092</v>
          </cell>
          <cell r="AQ25">
            <v>5.48862822952246</v>
          </cell>
          <cell r="AR25">
            <v>4.84159482035113</v>
          </cell>
          <cell r="AS25">
            <v>4.70326353976967</v>
          </cell>
          <cell r="AT25">
            <v>4.49799776858427</v>
          </cell>
          <cell r="AU25">
            <v>5.53325122325842</v>
          </cell>
        </row>
        <row r="25">
          <cell r="AW25">
            <v>5.39486139775181</v>
          </cell>
        </row>
        <row r="26">
          <cell r="F26">
            <v>10.8977224011256</v>
          </cell>
          <cell r="G26">
            <v>13.5131757773959</v>
          </cell>
          <cell r="H26">
            <v>13.0772668813509</v>
          </cell>
          <cell r="I26">
            <v>10.6174952536681</v>
          </cell>
          <cell r="J26">
            <v>8.68704157118307</v>
          </cell>
          <cell r="K26">
            <v>9.34090491525059</v>
          </cell>
          <cell r="L26">
            <v>9.00878385159725</v>
          </cell>
          <cell r="M26">
            <v>12.7659033841757</v>
          </cell>
          <cell r="N26">
            <v>11.2609798144965</v>
          </cell>
          <cell r="O26">
            <v>0</v>
          </cell>
          <cell r="P26">
            <v>5.23090675254041</v>
          </cell>
          <cell r="Q26">
            <v>12.8696912165674</v>
          </cell>
        </row>
        <row r="26">
          <cell r="U26">
            <v>1.42721496796857</v>
          </cell>
          <cell r="V26">
            <v>1.76974656028104</v>
          </cell>
          <cell r="W26">
            <v>1.7126579615623</v>
          </cell>
          <cell r="X26">
            <v>1.39051515450652</v>
          </cell>
          <cell r="Y26">
            <v>1.13769421732352</v>
          </cell>
          <cell r="Z26">
            <v>1.22332711540164</v>
          </cell>
          <cell r="AA26">
            <v>1.17983104018736</v>
          </cell>
          <cell r="AB26">
            <v>1.67188039104889</v>
          </cell>
          <cell r="AC26">
            <v>1.47478880023419</v>
          </cell>
          <cell r="AD26">
            <v>0</v>
          </cell>
          <cell r="AE26">
            <v>0.685063184624927</v>
          </cell>
          <cell r="AF26">
            <v>1.68547291455335</v>
          </cell>
        </row>
        <row r="26">
          <cell r="AJ26">
            <v>4.68541434227528</v>
          </cell>
          <cell r="AK26">
            <v>5.80991378442141</v>
          </cell>
          <cell r="AL26">
            <v>5.62249721073039</v>
          </cell>
          <cell r="AM26">
            <v>4.56493225918821</v>
          </cell>
          <cell r="AN26">
            <v>3.73494457569946</v>
          </cell>
          <cell r="AO26">
            <v>4.01606943623597</v>
          </cell>
          <cell r="AP26">
            <v>3.87327585628092</v>
          </cell>
          <cell r="AQ26">
            <v>5.48862822952246</v>
          </cell>
          <cell r="AR26">
            <v>4.84159482035113</v>
          </cell>
          <cell r="AS26">
            <v>0</v>
          </cell>
          <cell r="AT26">
            <v>2.24899888429218</v>
          </cell>
          <cell r="AU26">
            <v>5.53325122325842</v>
          </cell>
        </row>
        <row r="27">
          <cell r="F27">
            <v>10.8977224011256</v>
          </cell>
          <cell r="G27">
            <v>13.5131757773959</v>
          </cell>
          <cell r="H27">
            <v>13.0772668813509</v>
          </cell>
          <cell r="I27">
            <v>10.4778403777832</v>
          </cell>
          <cell r="J27">
            <v>8.68704157118307</v>
          </cell>
          <cell r="K27">
            <v>9.34090491525059</v>
          </cell>
          <cell r="L27">
            <v>9.00878385159725</v>
          </cell>
          <cell r="M27">
            <v>12.7659033841757</v>
          </cell>
          <cell r="N27">
            <v>11.2609798144965</v>
          </cell>
          <cell r="O27">
            <v>10.9392375340823</v>
          </cell>
          <cell r="P27">
            <v>10.4618135050806</v>
          </cell>
          <cell r="Q27">
            <v>12.8696912165674</v>
          </cell>
        </row>
        <row r="27">
          <cell r="U27">
            <v>1.25558036608347</v>
          </cell>
          <cell r="V27">
            <v>1.55691965394352</v>
          </cell>
          <cell r="W27">
            <v>1.50669643930018</v>
          </cell>
          <cell r="X27">
            <v>1.20720368651915</v>
          </cell>
          <cell r="Y27">
            <v>1.00087692039226</v>
          </cell>
          <cell r="Z27">
            <v>1.07621174235726</v>
          </cell>
          <cell r="AA27">
            <v>1.03794643596234</v>
          </cell>
          <cell r="AB27">
            <v>1.47082271455492</v>
          </cell>
          <cell r="AC27">
            <v>1.29743304495292</v>
          </cell>
          <cell r="AD27">
            <v>1.26036352938284</v>
          </cell>
          <cell r="AE27">
            <v>1.20535715144013</v>
          </cell>
          <cell r="AF27">
            <v>1.48278062280333</v>
          </cell>
        </row>
        <row r="27">
          <cell r="AJ27">
            <v>4.68541434227528</v>
          </cell>
          <cell r="AK27">
            <v>5.80991378442141</v>
          </cell>
          <cell r="AL27">
            <v>5.62249721073039</v>
          </cell>
          <cell r="AM27">
            <v>4.50488843219804</v>
          </cell>
          <cell r="AN27">
            <v>3.73494457569946</v>
          </cell>
          <cell r="AO27">
            <v>4.01606943623597</v>
          </cell>
          <cell r="AP27">
            <v>3.87327585628092</v>
          </cell>
          <cell r="AQ27">
            <v>5.48862822952246</v>
          </cell>
          <cell r="AR27">
            <v>4.84159482035113</v>
          </cell>
          <cell r="AS27">
            <v>4.70326353976967</v>
          </cell>
          <cell r="AT27">
            <v>4.49799776858427</v>
          </cell>
          <cell r="AU27">
            <v>5.53325122325842</v>
          </cell>
        </row>
        <row r="28">
          <cell r="F28">
            <v>27.2443060028144</v>
          </cell>
          <cell r="G28">
            <v>33.7829394434897</v>
          </cell>
          <cell r="H28">
            <v>32.6931672033772</v>
          </cell>
          <cell r="I28">
            <v>25.7393824331351</v>
          </cell>
          <cell r="J28">
            <v>21.7176039279578</v>
          </cell>
          <cell r="K28">
            <v>23.3522622881266</v>
          </cell>
          <cell r="L28">
            <v>22.3926361147818</v>
          </cell>
          <cell r="M28">
            <v>31.9147584604398</v>
          </cell>
          <cell r="N28">
            <v>28.1524495362416</v>
          </cell>
          <cell r="O28">
            <v>27.3480938352061</v>
          </cell>
          <cell r="P28">
            <v>26.1545337627019</v>
          </cell>
          <cell r="Q28">
            <v>32.174228041419</v>
          </cell>
        </row>
        <row r="28">
          <cell r="U28">
            <v>3.14446649760854</v>
          </cell>
          <cell r="V28">
            <v>3.89913845703457</v>
          </cell>
          <cell r="W28">
            <v>3.77335979713023</v>
          </cell>
          <cell r="X28">
            <v>2.97077215774064</v>
          </cell>
          <cell r="Y28">
            <v>2.50658900809366</v>
          </cell>
          <cell r="Z28">
            <v>2.69525699795018</v>
          </cell>
          <cell r="AA28">
            <v>2.58449945646611</v>
          </cell>
          <cell r="AB28">
            <v>3.68351789719858</v>
          </cell>
          <cell r="AC28">
            <v>3.24928204752882</v>
          </cell>
          <cell r="AD28">
            <v>3.15644541759943</v>
          </cell>
          <cell r="AE28">
            <v>3.0186878377042</v>
          </cell>
          <cell r="AF28">
            <v>3.7134651971758</v>
          </cell>
        </row>
        <row r="28">
          <cell r="AJ28">
            <v>11.7135358556883</v>
          </cell>
          <cell r="AK28">
            <v>14.5247844610535</v>
          </cell>
          <cell r="AL28">
            <v>14.056243026826</v>
          </cell>
          <cell r="AM28">
            <v>11.066502446517</v>
          </cell>
          <cell r="AN28">
            <v>9.3373614392487</v>
          </cell>
          <cell r="AO28">
            <v>10.04017359059</v>
          </cell>
          <cell r="AP28">
            <v>9.62758772445081</v>
          </cell>
          <cell r="AQ28">
            <v>13.7215705738064</v>
          </cell>
          <cell r="AR28">
            <v>12.103987050878</v>
          </cell>
          <cell r="AS28">
            <v>11.7581588494243</v>
          </cell>
          <cell r="AT28">
            <v>11.2449944214608</v>
          </cell>
          <cell r="AU28">
            <v>13.8331280581462</v>
          </cell>
        </row>
        <row r="29">
          <cell r="F29">
            <v>27.2443060028144</v>
          </cell>
          <cell r="G29">
            <v>33.7829394434897</v>
          </cell>
          <cell r="H29">
            <v>32.6931672033772</v>
          </cell>
          <cell r="I29">
            <v>25.7393824331351</v>
          </cell>
          <cell r="J29">
            <v>21.7176039279578</v>
          </cell>
          <cell r="K29">
            <v>23.3522622881266</v>
          </cell>
          <cell r="L29">
            <v>21.7176039279578</v>
          </cell>
          <cell r="M29">
            <v>31.9147584604398</v>
          </cell>
          <cell r="N29">
            <v>0</v>
          </cell>
          <cell r="O29">
            <v>13.3703457332051</v>
          </cell>
          <cell r="P29">
            <v>26.1545337627019</v>
          </cell>
          <cell r="Q29">
            <v>32.174228041419</v>
          </cell>
        </row>
        <row r="29">
          <cell r="U29">
            <v>3.60882544956147</v>
          </cell>
          <cell r="V29">
            <v>4.4749435574562</v>
          </cell>
          <cell r="W29">
            <v>4.33059053947374</v>
          </cell>
          <cell r="X29">
            <v>3.40948080568093</v>
          </cell>
          <cell r="Y29">
            <v>2.87674942979328</v>
          </cell>
          <cell r="Z29">
            <v>3.09327895676697</v>
          </cell>
          <cell r="AA29">
            <v>2.87674942979328</v>
          </cell>
          <cell r="AB29">
            <v>4.22748124091486</v>
          </cell>
          <cell r="AC29">
            <v>0</v>
          </cell>
          <cell r="AD29">
            <v>1.77105792110988</v>
          </cell>
          <cell r="AE29">
            <v>3.46447243157901</v>
          </cell>
          <cell r="AF29">
            <v>4.26185100710116</v>
          </cell>
        </row>
        <row r="29">
          <cell r="AJ29">
            <v>11.7135358556883</v>
          </cell>
          <cell r="AK29">
            <v>14.5247844610535</v>
          </cell>
          <cell r="AL29">
            <v>14.056243026826</v>
          </cell>
          <cell r="AM29">
            <v>11.066502446517</v>
          </cell>
          <cell r="AN29">
            <v>9.3373614392487</v>
          </cell>
          <cell r="AO29">
            <v>10.04017359059</v>
          </cell>
          <cell r="AP29">
            <v>9.3373614392487</v>
          </cell>
          <cell r="AQ29">
            <v>13.7215705738064</v>
          </cell>
          <cell r="AR29">
            <v>0</v>
          </cell>
          <cell r="AS29">
            <v>5.74850481170885</v>
          </cell>
          <cell r="AT29">
            <v>11.2449944214608</v>
          </cell>
          <cell r="AU29">
            <v>13.8331280581462</v>
          </cell>
        </row>
        <row r="30">
          <cell r="F30">
            <v>28.858939388767</v>
          </cell>
          <cell r="G30">
            <v>33.7829394434897</v>
          </cell>
          <cell r="H30">
            <v>32.6931672033772</v>
          </cell>
          <cell r="I30">
            <v>29.7611609383125</v>
          </cell>
          <cell r="J30">
            <v>22.5219596289932</v>
          </cell>
          <cell r="K30">
            <v>23.3522622881266</v>
          </cell>
          <cell r="L30">
            <v>24.1306710310642</v>
          </cell>
          <cell r="M30">
            <v>31.9147584604398</v>
          </cell>
          <cell r="N30">
            <v>28.1524495362416</v>
          </cell>
          <cell r="O30">
            <v>28.1524495362416</v>
          </cell>
          <cell r="P30">
            <v>26.8810485894436</v>
          </cell>
          <cell r="Q30">
            <v>32.174228041419</v>
          </cell>
        </row>
        <row r="30">
          <cell r="U30">
            <v>3.2363621924651</v>
          </cell>
          <cell r="V30">
            <v>3.7885601578208</v>
          </cell>
          <cell r="W30">
            <v>3.66634853982658</v>
          </cell>
          <cell r="X30">
            <v>3.33754109141358</v>
          </cell>
          <cell r="Y30">
            <v>2.52570677188054</v>
          </cell>
          <cell r="Z30">
            <v>2.61882038559043</v>
          </cell>
          <cell r="AA30">
            <v>2.70611439844344</v>
          </cell>
          <cell r="AB30">
            <v>3.57905452697359</v>
          </cell>
          <cell r="AC30">
            <v>3.15713346485068</v>
          </cell>
          <cell r="AD30">
            <v>3.15713346485068</v>
          </cell>
          <cell r="AE30">
            <v>3.01455324385743</v>
          </cell>
          <cell r="AF30">
            <v>3.60815253125792</v>
          </cell>
        </row>
        <row r="30">
          <cell r="AJ30">
            <v>11.9530045147873</v>
          </cell>
          <cell r="AK30">
            <v>13.9924625174547</v>
          </cell>
          <cell r="AL30">
            <v>13.5410927588271</v>
          </cell>
          <cell r="AM30">
            <v>12.3266931701387</v>
          </cell>
          <cell r="AN30">
            <v>9.32830834496981</v>
          </cell>
          <cell r="AO30">
            <v>9.67220911344796</v>
          </cell>
          <cell r="AP30">
            <v>9.99461608389622</v>
          </cell>
          <cell r="AQ30">
            <v>13.2186857883789</v>
          </cell>
          <cell r="AR30">
            <v>11.6603854312123</v>
          </cell>
          <cell r="AS30">
            <v>11.6603854312123</v>
          </cell>
          <cell r="AT30">
            <v>11.1337873794801</v>
          </cell>
          <cell r="AU30">
            <v>13.3261547785283</v>
          </cell>
        </row>
        <row r="31">
          <cell r="F31">
            <v>30.018168130917</v>
          </cell>
          <cell r="G31">
            <v>35.2104999157242</v>
          </cell>
          <cell r="H31">
            <v>34.0746773377977</v>
          </cell>
          <cell r="I31">
            <v>0</v>
          </cell>
          <cell r="J31">
            <v>11.7368333052414</v>
          </cell>
          <cell r="K31">
            <v>24.339055241284</v>
          </cell>
          <cell r="L31">
            <v>25.1503570826602</v>
          </cell>
          <cell r="M31">
            <v>33.2633754964215</v>
          </cell>
          <cell r="N31">
            <v>29.3420832631035</v>
          </cell>
          <cell r="O31">
            <v>29.3420832631035</v>
          </cell>
          <cell r="P31">
            <v>28.0169569221892</v>
          </cell>
          <cell r="Q31">
            <v>33.5338094435469</v>
          </cell>
        </row>
        <row r="31">
          <cell r="U31">
            <v>3.67025350102016</v>
          </cell>
          <cell r="V31">
            <v>4.30510816065609</v>
          </cell>
          <cell r="W31">
            <v>4.16623370386073</v>
          </cell>
          <cell r="X31">
            <v>0</v>
          </cell>
          <cell r="Y31">
            <v>1.43503605355203</v>
          </cell>
          <cell r="Z31">
            <v>2.97588121704337</v>
          </cell>
          <cell r="AA31">
            <v>3.07507725761149</v>
          </cell>
          <cell r="AB31">
            <v>4.06703766329262</v>
          </cell>
          <cell r="AC31">
            <v>3.58759013388007</v>
          </cell>
          <cell r="AD31">
            <v>3.58759013388007</v>
          </cell>
          <cell r="AE31">
            <v>3.42556993428549</v>
          </cell>
          <cell r="AF31">
            <v>4.10010301014865</v>
          </cell>
        </row>
        <row r="31">
          <cell r="AJ31">
            <v>12.4331422704382</v>
          </cell>
          <cell r="AK31">
            <v>14.5837398523519</v>
          </cell>
          <cell r="AL31">
            <v>14.1132966313083</v>
          </cell>
          <cell r="AM31">
            <v>0</v>
          </cell>
          <cell r="AN31">
            <v>4.86124661745063</v>
          </cell>
          <cell r="AO31">
            <v>10.0809261652202</v>
          </cell>
          <cell r="AP31">
            <v>10.4169570373942</v>
          </cell>
          <cell r="AQ31">
            <v>13.7772657591343</v>
          </cell>
          <cell r="AR31">
            <v>12.1531165436266</v>
          </cell>
          <cell r="AS31">
            <v>12.1531165436266</v>
          </cell>
          <cell r="AT31">
            <v>11.6042661190757</v>
          </cell>
          <cell r="AU31">
            <v>13.8892760498589</v>
          </cell>
        </row>
        <row r="32">
          <cell r="F32">
            <v>10.6900383262143</v>
          </cell>
          <cell r="G32">
            <v>11.0463729370881</v>
          </cell>
          <cell r="H32">
            <v>10.6900383262143</v>
          </cell>
          <cell r="I32">
            <v>11.0463729370881</v>
          </cell>
          <cell r="J32">
            <v>11.0463729370881</v>
          </cell>
          <cell r="K32">
            <v>10.6900383262143</v>
          </cell>
          <cell r="L32">
            <v>11.0463729370881</v>
          </cell>
          <cell r="M32">
            <v>10.6900383262143</v>
          </cell>
          <cell r="N32">
            <v>11.0463729370881</v>
          </cell>
          <cell r="O32">
            <v>11.0463729370881</v>
          </cell>
          <cell r="P32">
            <v>9.97736910446667</v>
          </cell>
          <cell r="Q32">
            <v>11.0463729370881</v>
          </cell>
        </row>
        <row r="32">
          <cell r="AJ32">
            <v>2.88631034807786</v>
          </cell>
          <cell r="AK32">
            <v>2.98252069301379</v>
          </cell>
          <cell r="AL32">
            <v>2.88631034807786</v>
          </cell>
          <cell r="AM32">
            <v>2.98252069301379</v>
          </cell>
          <cell r="AN32">
            <v>2.98252069301379</v>
          </cell>
          <cell r="AO32">
            <v>2.88631034807786</v>
          </cell>
          <cell r="AP32">
            <v>2.98252069301379</v>
          </cell>
          <cell r="AQ32">
            <v>2.88631034807786</v>
          </cell>
          <cell r="AR32">
            <v>2.98252069301379</v>
          </cell>
          <cell r="AS32">
            <v>2.98252069301379</v>
          </cell>
          <cell r="AT32">
            <v>2.693889658206</v>
          </cell>
          <cell r="AU32">
            <v>2.98252069301379</v>
          </cell>
        </row>
        <row r="33">
          <cell r="F33">
            <v>1.84289183914321</v>
          </cell>
          <cell r="G33">
            <v>2.24037831425265</v>
          </cell>
          <cell r="H33">
            <v>2.1681080460508</v>
          </cell>
          <cell r="I33">
            <v>1.62427427783312</v>
          </cell>
          <cell r="J33">
            <v>1.40023644640789</v>
          </cell>
          <cell r="K33">
            <v>1.40927022993309</v>
          </cell>
          <cell r="L33">
            <v>1.34422698855158</v>
          </cell>
          <cell r="M33">
            <v>2.1681080460508</v>
          </cell>
          <cell r="N33">
            <v>1.56826481997681</v>
          </cell>
          <cell r="O33">
            <v>1.5122553621205</v>
          </cell>
          <cell r="P33">
            <v>1.77062157094151</v>
          </cell>
          <cell r="Q33">
            <v>2.07234994068357</v>
          </cell>
        </row>
        <row r="33">
          <cell r="U33">
            <v>0.123115483319074</v>
          </cell>
          <cell r="V33">
            <v>0.149669803250647</v>
          </cell>
          <cell r="W33">
            <v>0.144841745081261</v>
          </cell>
          <cell r="X33">
            <v>0.108510607356716</v>
          </cell>
          <cell r="Y33">
            <v>0.0935436270316535</v>
          </cell>
          <cell r="Z33">
            <v>0.0941471343028249</v>
          </cell>
          <cell r="AA33">
            <v>0.0898018819503879</v>
          </cell>
          <cell r="AB33">
            <v>0.144841745081261</v>
          </cell>
          <cell r="AC33">
            <v>0.10476886227545</v>
          </cell>
          <cell r="AD33">
            <v>0.101027117194185</v>
          </cell>
          <cell r="AE33">
            <v>0.118287425149699</v>
          </cell>
          <cell r="AF33">
            <v>0.13844456800684</v>
          </cell>
        </row>
        <row r="33">
          <cell r="AJ33">
            <v>1.38970797055797</v>
          </cell>
          <cell r="AK33">
            <v>1.68944890538428</v>
          </cell>
          <cell r="AL33">
            <v>1.63495055359758</v>
          </cell>
          <cell r="AM33">
            <v>1.22485045640356</v>
          </cell>
          <cell r="AN33">
            <v>1.05590556586516</v>
          </cell>
          <cell r="AO33">
            <v>1.06271785983848</v>
          </cell>
          <cell r="AP33">
            <v>1.01366934323056</v>
          </cell>
          <cell r="AQ33">
            <v>1.63495055359758</v>
          </cell>
          <cell r="AR33">
            <v>1.18261423376896</v>
          </cell>
          <cell r="AS33">
            <v>1.14037801113436</v>
          </cell>
          <cell r="AT33">
            <v>1.33520961877137</v>
          </cell>
          <cell r="AU33">
            <v>1.56274023748036</v>
          </cell>
        </row>
        <row r="34">
          <cell r="F34">
            <v>3.10122012409373</v>
          </cell>
          <cell r="G34">
            <v>3.13963613914444</v>
          </cell>
          <cell r="H34">
            <v>3.10122012409373</v>
          </cell>
          <cell r="I34">
            <v>3.33451010640168</v>
          </cell>
          <cell r="J34">
            <v>2.81484619371571</v>
          </cell>
          <cell r="K34">
            <v>3.16408269417671</v>
          </cell>
          <cell r="L34">
            <v>2.87980418280145</v>
          </cell>
          <cell r="M34">
            <v>3.10122012409373</v>
          </cell>
          <cell r="N34">
            <v>3.13963613914444</v>
          </cell>
          <cell r="O34">
            <v>3.20459412823019</v>
          </cell>
          <cell r="P34">
            <v>3.01181557997571</v>
          </cell>
          <cell r="Q34">
            <v>3.46442608457318</v>
          </cell>
        </row>
        <row r="34"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4">
          <cell r="AJ34">
            <v>1.12043463342479</v>
          </cell>
          <cell r="AK34">
            <v>1.13431389127127</v>
          </cell>
          <cell r="AL34">
            <v>1.12043463342479</v>
          </cell>
          <cell r="AM34">
            <v>1.20471958107431</v>
          </cell>
          <cell r="AN34">
            <v>1.01697107493286</v>
          </cell>
          <cell r="AO34">
            <v>1.14314614626448</v>
          </cell>
          <cell r="AP34">
            <v>1.04043963820054</v>
          </cell>
          <cell r="AQ34">
            <v>1.12043463342479</v>
          </cell>
          <cell r="AR34">
            <v>1.13431389127127</v>
          </cell>
          <cell r="AS34">
            <v>1.15778245453895</v>
          </cell>
          <cell r="AT34">
            <v>1.08813381516389</v>
          </cell>
          <cell r="AU34">
            <v>1.25165670760967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5"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F36">
            <v>16.942742407922</v>
          </cell>
          <cell r="G36">
            <v>17.507500488186</v>
          </cell>
          <cell r="H36">
            <v>16.942742407922</v>
          </cell>
          <cell r="I36">
            <v>17.507500488186</v>
          </cell>
          <cell r="J36">
            <v>17.507500488186</v>
          </cell>
          <cell r="K36">
            <v>16.942742407922</v>
          </cell>
          <cell r="L36">
            <v>17.507500488186</v>
          </cell>
          <cell r="M36">
            <v>16.942742407922</v>
          </cell>
          <cell r="N36">
            <v>17.507500488186</v>
          </cell>
          <cell r="O36">
            <v>17.507500488186</v>
          </cell>
          <cell r="P36">
            <v>15.8132262473938</v>
          </cell>
          <cell r="Q36">
            <v>17.507500488186</v>
          </cell>
        </row>
        <row r="36">
          <cell r="AJ36">
            <v>6.18410097889151</v>
          </cell>
          <cell r="AK36">
            <v>6.3902376781879</v>
          </cell>
          <cell r="AL36">
            <v>6.18410097889151</v>
          </cell>
          <cell r="AM36">
            <v>6.3902376781879</v>
          </cell>
          <cell r="AN36">
            <v>6.3902376781879</v>
          </cell>
          <cell r="AO36">
            <v>6.18410097889151</v>
          </cell>
          <cell r="AP36">
            <v>6.3902376781879</v>
          </cell>
          <cell r="AQ36">
            <v>6.18410097889151</v>
          </cell>
          <cell r="AR36">
            <v>6.3902376781879</v>
          </cell>
          <cell r="AS36">
            <v>6.3902376781879</v>
          </cell>
          <cell r="AT36">
            <v>5.77182758029874</v>
          </cell>
          <cell r="AU36">
            <v>6.3902376781879</v>
          </cell>
        </row>
        <row r="37">
          <cell r="F37">
            <v>16.942742407922</v>
          </cell>
          <cell r="G37">
            <v>17.507500488186</v>
          </cell>
          <cell r="H37">
            <v>16.942742407922</v>
          </cell>
          <cell r="I37">
            <v>17.507500488186</v>
          </cell>
          <cell r="J37">
            <v>17.507500488186</v>
          </cell>
          <cell r="K37">
            <v>16.942742407922</v>
          </cell>
          <cell r="L37">
            <v>17.507500488186</v>
          </cell>
          <cell r="M37">
            <v>16.942742407922</v>
          </cell>
          <cell r="N37">
            <v>17.507500488186</v>
          </cell>
          <cell r="O37">
            <v>17.507500488186</v>
          </cell>
          <cell r="P37">
            <v>15.8132262473938</v>
          </cell>
          <cell r="Q37">
            <v>17.507500488186</v>
          </cell>
        </row>
        <row r="37">
          <cell r="AJ37">
            <v>6.18410097889151</v>
          </cell>
          <cell r="AK37">
            <v>6.3902376781879</v>
          </cell>
          <cell r="AL37">
            <v>6.18410097889151</v>
          </cell>
          <cell r="AM37">
            <v>6.3902376781879</v>
          </cell>
          <cell r="AN37">
            <v>6.3902376781879</v>
          </cell>
          <cell r="AO37">
            <v>6.18410097889151</v>
          </cell>
          <cell r="AP37">
            <v>6.3902376781879</v>
          </cell>
          <cell r="AQ37">
            <v>6.18410097889151</v>
          </cell>
          <cell r="AR37">
            <v>6.3902376781879</v>
          </cell>
          <cell r="AS37">
            <v>6.3902376781879</v>
          </cell>
          <cell r="AT37">
            <v>5.77182758029874</v>
          </cell>
          <cell r="AU37">
            <v>6.3902376781879</v>
          </cell>
        </row>
        <row r="38">
          <cell r="F38">
            <v>16.942742407922</v>
          </cell>
          <cell r="G38">
            <v>17.507500488186</v>
          </cell>
          <cell r="H38">
            <v>16.942742407922</v>
          </cell>
          <cell r="I38">
            <v>17.507500488186</v>
          </cell>
          <cell r="J38">
            <v>17.507500488186</v>
          </cell>
          <cell r="K38">
            <v>16.942742407922</v>
          </cell>
          <cell r="L38">
            <v>17.507500488186</v>
          </cell>
          <cell r="M38">
            <v>16.942742407922</v>
          </cell>
          <cell r="N38">
            <v>17.507500488186</v>
          </cell>
          <cell r="O38">
            <v>17.507500488186</v>
          </cell>
          <cell r="P38">
            <v>15.8132262473938</v>
          </cell>
          <cell r="Q38">
            <v>17.507500488186</v>
          </cell>
        </row>
        <row r="38">
          <cell r="AJ38">
            <v>6.18410097889151</v>
          </cell>
          <cell r="AK38">
            <v>6.3902376781879</v>
          </cell>
          <cell r="AL38">
            <v>6.18410097889151</v>
          </cell>
          <cell r="AM38">
            <v>6.3902376781879</v>
          </cell>
          <cell r="AN38">
            <v>6.3902376781879</v>
          </cell>
          <cell r="AO38">
            <v>6.18410097889151</v>
          </cell>
          <cell r="AP38">
            <v>6.3902376781879</v>
          </cell>
          <cell r="AQ38">
            <v>6.18410097889151</v>
          </cell>
          <cell r="AR38">
            <v>6.3902376781879</v>
          </cell>
          <cell r="AS38">
            <v>6.3902376781879</v>
          </cell>
          <cell r="AT38">
            <v>5.77182758029874</v>
          </cell>
          <cell r="AU38">
            <v>6.3902376781879</v>
          </cell>
        </row>
        <row r="39">
          <cell r="F39">
            <v>16.942742407922</v>
          </cell>
          <cell r="G39">
            <v>17.507500488186</v>
          </cell>
          <cell r="H39">
            <v>16.942742407922</v>
          </cell>
          <cell r="I39">
            <v>17.507500488186</v>
          </cell>
          <cell r="J39">
            <v>17.507500488186</v>
          </cell>
          <cell r="K39">
            <v>16.942742407922</v>
          </cell>
          <cell r="L39">
            <v>17.507500488186</v>
          </cell>
          <cell r="M39">
            <v>16.942742407922</v>
          </cell>
          <cell r="N39">
            <v>17.507500488186</v>
          </cell>
          <cell r="O39">
            <v>17.507500488186</v>
          </cell>
          <cell r="P39">
            <v>15.8132262473938</v>
          </cell>
          <cell r="Q39">
            <v>17.507500488186</v>
          </cell>
        </row>
        <row r="39">
          <cell r="AJ39">
            <v>6.18410097889151</v>
          </cell>
          <cell r="AK39">
            <v>6.3902376781879</v>
          </cell>
          <cell r="AL39">
            <v>6.18410097889151</v>
          </cell>
          <cell r="AM39">
            <v>6.3902376781879</v>
          </cell>
          <cell r="AN39">
            <v>6.3902376781879</v>
          </cell>
          <cell r="AO39">
            <v>6.18410097889151</v>
          </cell>
          <cell r="AP39">
            <v>6.3902376781879</v>
          </cell>
          <cell r="AQ39">
            <v>6.18410097889151</v>
          </cell>
          <cell r="AR39">
            <v>6.3902376781879</v>
          </cell>
          <cell r="AS39">
            <v>6.3902376781879</v>
          </cell>
          <cell r="AT39">
            <v>5.77182758029874</v>
          </cell>
          <cell r="AU39">
            <v>6.3902376781879</v>
          </cell>
        </row>
        <row r="40">
          <cell r="F40">
            <v>173.233040617017</v>
          </cell>
          <cell r="G40">
            <v>209.910072991965</v>
          </cell>
          <cell r="H40">
            <v>203.412789500888</v>
          </cell>
          <cell r="I40">
            <v>163.727020694246</v>
          </cell>
          <cell r="J40">
            <v>127.91173491738</v>
          </cell>
          <cell r="K40">
            <v>143.591237907252</v>
          </cell>
          <cell r="L40">
            <v>127.075608193703</v>
          </cell>
          <cell r="M40">
            <v>0</v>
          </cell>
          <cell r="N40">
            <v>84.4217450454705</v>
          </cell>
          <cell r="O40">
            <v>168.843490090941</v>
          </cell>
          <cell r="P40">
            <v>166.36777909254</v>
          </cell>
          <cell r="Q40">
            <v>201.772858876183</v>
          </cell>
        </row>
        <row r="40">
          <cell r="U40">
            <v>25.9618272674491</v>
          </cell>
          <cell r="V40">
            <v>31.4584852710812</v>
          </cell>
          <cell r="W40">
            <v>30.4847602178107</v>
          </cell>
          <cell r="X40">
            <v>24.5371934541945</v>
          </cell>
          <cell r="Y40">
            <v>19.1696823860894</v>
          </cell>
          <cell r="Z40">
            <v>21.5195144205133</v>
          </cell>
          <cell r="AA40">
            <v>19.0443750111426</v>
          </cell>
          <cell r="AB40">
            <v>0</v>
          </cell>
          <cell r="AC40">
            <v>12.651990374819</v>
          </cell>
          <cell r="AD40">
            <v>25.3039807496381</v>
          </cell>
          <cell r="AE40">
            <v>24.9329546389396</v>
          </cell>
          <cell r="AF40">
            <v>30.2389895758043</v>
          </cell>
        </row>
        <row r="40">
          <cell r="AJ40">
            <v>79.354952552799</v>
          </cell>
          <cell r="AK40">
            <v>96.1560440393014</v>
          </cell>
          <cell r="AL40">
            <v>93.1797548665193</v>
          </cell>
          <cell r="AM40">
            <v>75.0004151201554</v>
          </cell>
          <cell r="AN40">
            <v>58.5940743126214</v>
          </cell>
          <cell r="AO40">
            <v>65.7765737444911</v>
          </cell>
          <cell r="AP40">
            <v>58.2110596391554</v>
          </cell>
          <cell r="AQ40">
            <v>0</v>
          </cell>
          <cell r="AR40">
            <v>38.6720890463301</v>
          </cell>
          <cell r="AS40">
            <v>77.3441780926603</v>
          </cell>
          <cell r="AT40">
            <v>76.2100992349966</v>
          </cell>
          <cell r="AU40">
            <v>92.4285320256007</v>
          </cell>
        </row>
        <row r="41">
          <cell r="F41">
            <v>82.5175746024808</v>
          </cell>
          <cell r="G41">
            <v>102.321792507076</v>
          </cell>
          <cell r="H41">
            <v>0</v>
          </cell>
          <cell r="I41">
            <v>38.9797304788861</v>
          </cell>
          <cell r="J41">
            <v>61.2529031465888</v>
          </cell>
          <cell r="K41">
            <v>69.2399380204134</v>
          </cell>
          <cell r="L41">
            <v>64.8119725611839</v>
          </cell>
          <cell r="M41">
            <v>96.6634445343346</v>
          </cell>
          <cell r="N41">
            <v>82.8094203853406</v>
          </cell>
          <cell r="O41">
            <v>80.3956941127027</v>
          </cell>
          <cell r="P41">
            <v>79.2168716183815</v>
          </cell>
          <cell r="Q41">
            <v>97.4493261972154</v>
          </cell>
        </row>
        <row r="41">
          <cell r="U41">
            <v>25.5852281702216</v>
          </cell>
          <cell r="V41">
            <v>31.7256829310748</v>
          </cell>
          <cell r="W41">
            <v>0</v>
          </cell>
          <cell r="X41">
            <v>12.0859744499332</v>
          </cell>
          <cell r="Y41">
            <v>18.9919482079257</v>
          </cell>
          <cell r="Z41">
            <v>21.4683916884176</v>
          </cell>
          <cell r="AA41">
            <v>20.0954658947305</v>
          </cell>
          <cell r="AB41">
            <v>29.9712672851168</v>
          </cell>
          <cell r="AC41">
            <v>25.6757172688283</v>
          </cell>
          <cell r="AD41">
            <v>24.9273223029874</v>
          </cell>
          <cell r="AE41">
            <v>24.5618190434128</v>
          </cell>
          <cell r="AF41">
            <v>30.2149361248332</v>
          </cell>
        </row>
        <row r="41">
          <cell r="AJ41">
            <v>37.0568286207748</v>
          </cell>
          <cell r="AK41">
            <v>45.9504674897608</v>
          </cell>
          <cell r="AL41">
            <v>0</v>
          </cell>
          <cell r="AM41">
            <v>17.5049399960993</v>
          </cell>
          <cell r="AN41">
            <v>27.5073321696954</v>
          </cell>
          <cell r="AO41">
            <v>31.0941339380859</v>
          </cell>
          <cell r="AP41">
            <v>29.1056319983252</v>
          </cell>
          <cell r="AQ41">
            <v>43.4094278129077</v>
          </cell>
          <cell r="AR41">
            <v>37.1878901456831</v>
          </cell>
          <cell r="AS41">
            <v>36.1039387419549</v>
          </cell>
          <cell r="AT41">
            <v>35.5745554759438</v>
          </cell>
          <cell r="AU41">
            <v>43.7623499902484</v>
          </cell>
        </row>
        <row r="41">
          <cell r="AW41">
            <v>7.35441095497688</v>
          </cell>
        </row>
        <row r="42">
          <cell r="F42">
            <v>23.9388252502269</v>
          </cell>
          <cell r="G42">
            <v>24.7367860919011</v>
          </cell>
          <cell r="H42">
            <v>23.9388252502269</v>
          </cell>
          <cell r="I42">
            <v>24.7367860919011</v>
          </cell>
          <cell r="J42">
            <v>24.7367860919011</v>
          </cell>
          <cell r="K42">
            <v>23.9388252502269</v>
          </cell>
          <cell r="L42">
            <v>22.8815271350085</v>
          </cell>
          <cell r="M42">
            <v>23.9388252502269</v>
          </cell>
          <cell r="N42">
            <v>24.7367860919011</v>
          </cell>
          <cell r="O42">
            <v>24.7367860919011</v>
          </cell>
          <cell r="P42">
            <v>22.3429035668784</v>
          </cell>
          <cell r="Q42">
            <v>24.7367860919011</v>
          </cell>
        </row>
        <row r="42">
          <cell r="U42">
            <v>3.06379678775764</v>
          </cell>
          <cell r="V42">
            <v>3.16592334734956</v>
          </cell>
          <cell r="W42">
            <v>3.06379678775764</v>
          </cell>
          <cell r="X42">
            <v>3.16592334734956</v>
          </cell>
          <cell r="Y42">
            <v>3.16592334734956</v>
          </cell>
          <cell r="Z42">
            <v>3.06379678775764</v>
          </cell>
          <cell r="AA42">
            <v>2.92847909629834</v>
          </cell>
          <cell r="AB42">
            <v>3.06379678775764</v>
          </cell>
          <cell r="AC42">
            <v>3.16592334734956</v>
          </cell>
          <cell r="AD42">
            <v>3.16592334734956</v>
          </cell>
          <cell r="AE42">
            <v>2.85954366857379</v>
          </cell>
          <cell r="AF42">
            <v>3.16592334734956</v>
          </cell>
        </row>
        <row r="42">
          <cell r="AJ42">
            <v>4.6342576998711</v>
          </cell>
          <cell r="AK42">
            <v>4.78873295653346</v>
          </cell>
          <cell r="AL42">
            <v>4.6342576998711</v>
          </cell>
          <cell r="AM42">
            <v>4.78873295653346</v>
          </cell>
          <cell r="AN42">
            <v>4.78873295653346</v>
          </cell>
          <cell r="AO42">
            <v>4.6342576998711</v>
          </cell>
          <cell r="AP42">
            <v>4.42957798479346</v>
          </cell>
          <cell r="AQ42">
            <v>4.6342576998711</v>
          </cell>
          <cell r="AR42">
            <v>4.78873295653346</v>
          </cell>
          <cell r="AS42">
            <v>4.78873295653346</v>
          </cell>
          <cell r="AT42">
            <v>4.32530718654636</v>
          </cell>
          <cell r="AU42">
            <v>4.78873295653346</v>
          </cell>
        </row>
        <row r="43">
          <cell r="F43">
            <v>23.9388252502269</v>
          </cell>
          <cell r="G43">
            <v>24.7367860919011</v>
          </cell>
          <cell r="H43">
            <v>23.9388252502269</v>
          </cell>
          <cell r="I43">
            <v>24.7367860919011</v>
          </cell>
          <cell r="J43">
            <v>24.7367860919011</v>
          </cell>
          <cell r="K43">
            <v>23.9388252502269</v>
          </cell>
          <cell r="L43">
            <v>22.8815271350085</v>
          </cell>
          <cell r="M43">
            <v>23.9388252502269</v>
          </cell>
          <cell r="N43">
            <v>24.7367860919011</v>
          </cell>
          <cell r="O43">
            <v>24.7367860919011</v>
          </cell>
          <cell r="P43">
            <v>22.3429035668784</v>
          </cell>
          <cell r="Q43">
            <v>24.7367860919011</v>
          </cell>
        </row>
        <row r="43">
          <cell r="U43">
            <v>3.06379678775764</v>
          </cell>
          <cell r="V43">
            <v>3.16592334734956</v>
          </cell>
          <cell r="W43">
            <v>3.06379678775764</v>
          </cell>
          <cell r="X43">
            <v>3.16592334734956</v>
          </cell>
          <cell r="Y43">
            <v>3.16592334734956</v>
          </cell>
          <cell r="Z43">
            <v>3.06379678775764</v>
          </cell>
          <cell r="AA43">
            <v>2.92847909629834</v>
          </cell>
          <cell r="AB43">
            <v>3.06379678775764</v>
          </cell>
          <cell r="AC43">
            <v>3.16592334734956</v>
          </cell>
          <cell r="AD43">
            <v>3.16592334734956</v>
          </cell>
          <cell r="AE43">
            <v>2.85954366857379</v>
          </cell>
          <cell r="AF43">
            <v>3.16592334734956</v>
          </cell>
        </row>
        <row r="43">
          <cell r="AJ43">
            <v>4.6342576998711</v>
          </cell>
          <cell r="AK43">
            <v>4.78873295653346</v>
          </cell>
          <cell r="AL43">
            <v>4.6342576998711</v>
          </cell>
          <cell r="AM43">
            <v>4.78873295653346</v>
          </cell>
          <cell r="AN43">
            <v>4.78873295653346</v>
          </cell>
          <cell r="AO43">
            <v>4.6342576998711</v>
          </cell>
          <cell r="AP43">
            <v>4.42957798479346</v>
          </cell>
          <cell r="AQ43">
            <v>4.6342576998711</v>
          </cell>
          <cell r="AR43">
            <v>4.78873295653346</v>
          </cell>
          <cell r="AS43">
            <v>4.78873295653346</v>
          </cell>
          <cell r="AT43">
            <v>4.32530718654636</v>
          </cell>
          <cell r="AU43">
            <v>4.78873295653346</v>
          </cell>
        </row>
        <row r="44">
          <cell r="F44">
            <v>23.9388252502269</v>
          </cell>
          <cell r="G44">
            <v>24.5008188685664</v>
          </cell>
          <cell r="H44">
            <v>23.9388252502269</v>
          </cell>
          <cell r="I44">
            <v>24.7367860919011</v>
          </cell>
          <cell r="J44">
            <v>24.7367860919011</v>
          </cell>
          <cell r="K44">
            <v>23.9388252502269</v>
          </cell>
          <cell r="L44">
            <v>22.8815271350085</v>
          </cell>
          <cell r="M44">
            <v>23.9388252502269</v>
          </cell>
          <cell r="N44">
            <v>0</v>
          </cell>
          <cell r="O44">
            <v>12.3683930459505</v>
          </cell>
          <cell r="P44">
            <v>22.3429035668784</v>
          </cell>
          <cell r="Q44">
            <v>24.7367860919011</v>
          </cell>
        </row>
        <row r="44">
          <cell r="U44">
            <v>3.51768078812335</v>
          </cell>
          <cell r="V44">
            <v>3.60026270823082</v>
          </cell>
          <cell r="W44">
            <v>3.51768078812335</v>
          </cell>
          <cell r="X44">
            <v>3.63493681439412</v>
          </cell>
          <cell r="Y44">
            <v>3.63493681439412</v>
          </cell>
          <cell r="Z44">
            <v>3.51768078812335</v>
          </cell>
          <cell r="AA44">
            <v>3.36231655331457</v>
          </cell>
          <cell r="AB44">
            <v>3.51768078812335</v>
          </cell>
          <cell r="AC44">
            <v>0</v>
          </cell>
          <cell r="AD44">
            <v>1.81746840719706</v>
          </cell>
          <cell r="AE44">
            <v>3.28316873558179</v>
          </cell>
          <cell r="AF44">
            <v>3.63493681439412</v>
          </cell>
        </row>
        <row r="44">
          <cell r="AJ44">
            <v>4.6342576998711</v>
          </cell>
          <cell r="AK44">
            <v>4.74305264807115</v>
          </cell>
          <cell r="AL44">
            <v>4.6342576998711</v>
          </cell>
          <cell r="AM44">
            <v>4.78873295653346</v>
          </cell>
          <cell r="AN44">
            <v>4.78873295653346</v>
          </cell>
          <cell r="AO44">
            <v>4.6342576998711</v>
          </cell>
          <cell r="AP44">
            <v>4.42957798479345</v>
          </cell>
          <cell r="AQ44">
            <v>4.6342576998711</v>
          </cell>
          <cell r="AR44">
            <v>0</v>
          </cell>
          <cell r="AS44">
            <v>2.39436647826673</v>
          </cell>
          <cell r="AT44">
            <v>4.32530718654636</v>
          </cell>
          <cell r="AU44">
            <v>4.78873295653346</v>
          </cell>
        </row>
        <row r="45">
          <cell r="F45">
            <v>23.9388252502269</v>
          </cell>
          <cell r="G45">
            <v>24.2729713526779</v>
          </cell>
          <cell r="H45">
            <v>23.9388252502269</v>
          </cell>
          <cell r="I45">
            <v>24.7367860919011</v>
          </cell>
          <cell r="J45">
            <v>24.7367860919011</v>
          </cell>
          <cell r="K45">
            <v>23.9388252502269</v>
          </cell>
          <cell r="L45">
            <v>22.8815271350085</v>
          </cell>
          <cell r="M45">
            <v>0</v>
          </cell>
          <cell r="N45">
            <v>12.3683930459505</v>
          </cell>
          <cell r="O45">
            <v>24.7367860919011</v>
          </cell>
          <cell r="P45">
            <v>22.3429035668784</v>
          </cell>
          <cell r="Q45">
            <v>24.7367860919011</v>
          </cell>
        </row>
        <row r="45">
          <cell r="U45">
            <v>3.50974237488896</v>
          </cell>
          <cell r="V45">
            <v>3.55873252887178</v>
          </cell>
          <cell r="W45">
            <v>3.50974237488896</v>
          </cell>
          <cell r="X45">
            <v>3.62673378738525</v>
          </cell>
          <cell r="Y45">
            <v>3.62673378738525</v>
          </cell>
          <cell r="Z45">
            <v>3.50974237488896</v>
          </cell>
          <cell r="AA45">
            <v>3.35472875333136</v>
          </cell>
          <cell r="AB45">
            <v>0</v>
          </cell>
          <cell r="AC45">
            <v>1.81336689369263</v>
          </cell>
          <cell r="AD45">
            <v>3.62673378738525</v>
          </cell>
          <cell r="AE45">
            <v>3.27575954989636</v>
          </cell>
          <cell r="AF45">
            <v>3.62673378738525</v>
          </cell>
        </row>
        <row r="45">
          <cell r="AJ45">
            <v>4.6342576998711</v>
          </cell>
          <cell r="AK45">
            <v>4.69894421359846</v>
          </cell>
          <cell r="AL45">
            <v>4.6342576998711</v>
          </cell>
          <cell r="AM45">
            <v>4.78873295653346</v>
          </cell>
          <cell r="AN45">
            <v>4.78873295653346</v>
          </cell>
          <cell r="AO45">
            <v>4.6342576998711</v>
          </cell>
          <cell r="AP45">
            <v>4.42957798479345</v>
          </cell>
          <cell r="AQ45">
            <v>0</v>
          </cell>
          <cell r="AR45">
            <v>2.39436647826673</v>
          </cell>
          <cell r="AS45">
            <v>4.78873295653346</v>
          </cell>
          <cell r="AT45">
            <v>4.32530718654636</v>
          </cell>
          <cell r="AU45">
            <v>4.78873295653346</v>
          </cell>
        </row>
        <row r="46">
          <cell r="F46">
            <v>34.2386834291743</v>
          </cell>
          <cell r="G46">
            <v>42.4559674521762</v>
          </cell>
          <cell r="H46">
            <v>41.0864201150092</v>
          </cell>
          <cell r="I46">
            <v>32.3474037730866</v>
          </cell>
          <cell r="J46">
            <v>25.2714091977239</v>
          </cell>
          <cell r="K46">
            <v>28.3691948413159</v>
          </cell>
          <cell r="L46">
            <v>25.4689961098999</v>
          </cell>
          <cell r="M46">
            <v>40.1081720170328</v>
          </cell>
          <cell r="N46">
            <v>33.3582601409956</v>
          </cell>
          <cell r="O46">
            <v>33.3582601409956</v>
          </cell>
          <cell r="P46">
            <v>32.8691360920074</v>
          </cell>
          <cell r="Q46">
            <v>40.4342547163583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6">
          <cell r="AJ46">
            <v>15.6455915759887</v>
          </cell>
          <cell r="AK46">
            <v>19.400533554226</v>
          </cell>
          <cell r="AL46">
            <v>18.7747098911865</v>
          </cell>
          <cell r="AM46">
            <v>14.7813588984579</v>
          </cell>
          <cell r="AN46">
            <v>11.5479366394202</v>
          </cell>
          <cell r="AO46">
            <v>12.9634901629621</v>
          </cell>
          <cell r="AP46">
            <v>11.6382252784405</v>
          </cell>
          <cell r="AQ46">
            <v>18.3276929890154</v>
          </cell>
          <cell r="AR46">
            <v>15.2432763640347</v>
          </cell>
          <cell r="AS46">
            <v>15.2432763640347</v>
          </cell>
          <cell r="AT46">
            <v>15.0197679129492</v>
          </cell>
          <cell r="AU46">
            <v>18.4766986230724</v>
          </cell>
        </row>
        <row r="47">
          <cell r="F47">
            <v>56.6472905007828</v>
          </cell>
          <cell r="G47">
            <v>0</v>
          </cell>
          <cell r="H47">
            <v>28.934946946443</v>
          </cell>
          <cell r="I47">
            <v>55.8388680799786</v>
          </cell>
          <cell r="J47">
            <v>45.901965132409</v>
          </cell>
          <cell r="K47">
            <v>48.0890667560603</v>
          </cell>
          <cell r="L47">
            <v>44.6386082939023</v>
          </cell>
          <cell r="M47">
            <v>57.8698938928862</v>
          </cell>
          <cell r="N47">
            <v>52.516863214378</v>
          </cell>
          <cell r="O47">
            <v>50.9553924864356</v>
          </cell>
          <cell r="P47">
            <v>49.8020094143925</v>
          </cell>
          <cell r="Q47">
            <v>62.3256040329956</v>
          </cell>
        </row>
        <row r="47">
          <cell r="U47">
            <v>9.16951075469668</v>
          </cell>
          <cell r="V47">
            <v>0</v>
          </cell>
          <cell r="W47">
            <v>4.68370693225514</v>
          </cell>
          <cell r="X47">
            <v>9.03865121990922</v>
          </cell>
          <cell r="Y47">
            <v>7.43016231177941</v>
          </cell>
          <cell r="Z47">
            <v>7.7841889860015</v>
          </cell>
          <cell r="AA47">
            <v>7.22566243163869</v>
          </cell>
          <cell r="AB47">
            <v>9.3674138645103</v>
          </cell>
          <cell r="AC47">
            <v>8.50091748060781</v>
          </cell>
          <cell r="AD47">
            <v>8.24816183234227</v>
          </cell>
          <cell r="AE47">
            <v>8.06146343265025</v>
          </cell>
          <cell r="AF47">
            <v>10.0886607536087</v>
          </cell>
        </row>
        <row r="47">
          <cell r="AJ47">
            <v>22.4424726314837</v>
          </cell>
          <cell r="AK47">
            <v>0</v>
          </cell>
          <cell r="AL47">
            <v>11.4634212721967</v>
          </cell>
          <cell r="AM47">
            <v>22.1221925634842</v>
          </cell>
          <cell r="AN47">
            <v>18.1853992857994</v>
          </cell>
          <cell r="AO47">
            <v>19.0518832411156</v>
          </cell>
          <cell r="AP47">
            <v>17.684883709126</v>
          </cell>
          <cell r="AQ47">
            <v>22.9268425443934</v>
          </cell>
          <cell r="AR47">
            <v>20.8060836619143</v>
          </cell>
          <cell r="AS47">
            <v>20.1874615924929</v>
          </cell>
          <cell r="AT47">
            <v>19.7305153237638</v>
          </cell>
          <cell r="AU47">
            <v>24.6921017825532</v>
          </cell>
        </row>
        <row r="48">
          <cell r="F48">
            <v>26.3560434906438</v>
          </cell>
          <cell r="G48">
            <v>27.2345782736653</v>
          </cell>
          <cell r="H48">
            <v>26.3560434906438</v>
          </cell>
          <cell r="I48">
            <v>27.2345782736653</v>
          </cell>
          <cell r="J48">
            <v>27.2345782736653</v>
          </cell>
          <cell r="K48">
            <v>26.3560434906438</v>
          </cell>
          <cell r="L48">
            <v>27.2345782736653</v>
          </cell>
          <cell r="M48">
            <v>26.3560434906438</v>
          </cell>
          <cell r="N48">
            <v>27.2345782736653</v>
          </cell>
          <cell r="O48">
            <v>27.2345782736653</v>
          </cell>
          <cell r="P48">
            <v>24.5989739246009</v>
          </cell>
          <cell r="Q48">
            <v>27.2345782736653</v>
          </cell>
        </row>
        <row r="48">
          <cell r="AJ48">
            <v>11.5966591358833</v>
          </cell>
          <cell r="AK48">
            <v>11.9832144404127</v>
          </cell>
          <cell r="AL48">
            <v>11.5966591358833</v>
          </cell>
          <cell r="AM48">
            <v>11.9832144404127</v>
          </cell>
          <cell r="AN48">
            <v>11.9832144404127</v>
          </cell>
          <cell r="AO48">
            <v>11.5966591358833</v>
          </cell>
          <cell r="AP48">
            <v>11.9832144404127</v>
          </cell>
          <cell r="AQ48">
            <v>11.5966591358833</v>
          </cell>
          <cell r="AR48">
            <v>11.9832144404127</v>
          </cell>
          <cell r="AS48">
            <v>11.9832144404127</v>
          </cell>
          <cell r="AT48">
            <v>10.8235485268244</v>
          </cell>
          <cell r="AU48">
            <v>11.9832144404127</v>
          </cell>
        </row>
        <row r="49">
          <cell r="F49">
            <v>29.1799637777453</v>
          </cell>
          <cell r="G49">
            <v>35.4736814552981</v>
          </cell>
          <cell r="H49">
            <v>0</v>
          </cell>
          <cell r="I49">
            <v>13.746051563928</v>
          </cell>
          <cell r="J49">
            <v>22.1710509095613</v>
          </cell>
          <cell r="K49">
            <v>24.030558405202</v>
          </cell>
          <cell r="L49">
            <v>21.2842088731789</v>
          </cell>
          <cell r="M49">
            <v>34.3293691502886</v>
          </cell>
          <cell r="N49">
            <v>25.7724266506763</v>
          </cell>
          <cell r="O49">
            <v>27.1281366490552</v>
          </cell>
          <cell r="P49">
            <v>28.0356514727357</v>
          </cell>
          <cell r="Q49">
            <v>34.5868394189158</v>
          </cell>
        </row>
        <row r="49">
          <cell r="U49">
            <v>7.21628804055883</v>
          </cell>
          <cell r="V49">
            <v>8.77274232381659</v>
          </cell>
          <cell r="W49">
            <v>0</v>
          </cell>
          <cell r="X49">
            <v>3.39943765047894</v>
          </cell>
          <cell r="Y49">
            <v>5.48296395238537</v>
          </cell>
          <cell r="Z49">
            <v>5.94282544516609</v>
          </cell>
          <cell r="AA49">
            <v>5.26364539428996</v>
          </cell>
          <cell r="AB49">
            <v>8.48975063595157</v>
          </cell>
          <cell r="AC49">
            <v>6.37359441677229</v>
          </cell>
          <cell r="AD49">
            <v>6.70886535549871</v>
          </cell>
          <cell r="AE49">
            <v>6.93329635269378</v>
          </cell>
          <cell r="AF49">
            <v>8.55342376572121</v>
          </cell>
        </row>
        <row r="49">
          <cell r="AJ49">
            <v>17.9318992438039</v>
          </cell>
          <cell r="AK49">
            <v>21.7995637865851</v>
          </cell>
          <cell r="AL49">
            <v>0</v>
          </cell>
          <cell r="AM49">
            <v>8.44733096730175</v>
          </cell>
          <cell r="AN49">
            <v>13.6247273666157</v>
          </cell>
          <cell r="AO49">
            <v>14.7674464360738</v>
          </cell>
          <cell r="AP49">
            <v>13.0797382719511</v>
          </cell>
          <cell r="AQ49">
            <v>21.096352051534</v>
          </cell>
          <cell r="AR49">
            <v>15.8378729147266</v>
          </cell>
          <cell r="AS49">
            <v>16.6709944113779</v>
          </cell>
          <cell r="AT49">
            <v>17.2286875087528</v>
          </cell>
          <cell r="AU49">
            <v>21.2545746919206</v>
          </cell>
        </row>
        <row r="50">
          <cell r="F50">
            <v>29.1799637777453</v>
          </cell>
          <cell r="G50">
            <v>35.4736814552981</v>
          </cell>
          <cell r="H50">
            <v>34.3293691502886</v>
          </cell>
          <cell r="I50">
            <v>26.1559445600415</v>
          </cell>
          <cell r="J50">
            <v>22.1710509095613</v>
          </cell>
          <cell r="K50">
            <v>24.030558405202</v>
          </cell>
          <cell r="L50">
            <v>21.2842088731789</v>
          </cell>
          <cell r="M50">
            <v>20.5976214901731</v>
          </cell>
          <cell r="N50">
            <v>23.501313964135</v>
          </cell>
          <cell r="O50">
            <v>25.9978326843671</v>
          </cell>
          <cell r="P50">
            <v>28.0356514727357</v>
          </cell>
          <cell r="Q50">
            <v>34.5868394189158</v>
          </cell>
        </row>
        <row r="50">
          <cell r="U50">
            <v>6.55961047469562</v>
          </cell>
          <cell r="V50">
            <v>7.97442842021818</v>
          </cell>
          <cell r="W50">
            <v>7.71718879375956</v>
          </cell>
          <cell r="X50">
            <v>5.87981565770344</v>
          </cell>
          <cell r="Y50">
            <v>4.98401776263637</v>
          </cell>
          <cell r="Z50">
            <v>5.40203215563168</v>
          </cell>
          <cell r="AA50">
            <v>4.78465705213091</v>
          </cell>
          <cell r="AB50">
            <v>4.63031327625572</v>
          </cell>
          <cell r="AC50">
            <v>5.28305882839455</v>
          </cell>
          <cell r="AD50">
            <v>5.84427235395752</v>
          </cell>
          <cell r="AE50">
            <v>6.30237084823697</v>
          </cell>
          <cell r="AF50">
            <v>7.77506770971276</v>
          </cell>
        </row>
        <row r="50">
          <cell r="AJ50">
            <v>17.9318992438039</v>
          </cell>
          <cell r="AK50">
            <v>21.7995637865851</v>
          </cell>
          <cell r="AL50">
            <v>21.0963520515341</v>
          </cell>
          <cell r="AM50">
            <v>16.0735553357642</v>
          </cell>
          <cell r="AN50">
            <v>13.6247273666157</v>
          </cell>
          <cell r="AO50">
            <v>14.7674464360738</v>
          </cell>
          <cell r="AP50">
            <v>13.0797382719511</v>
          </cell>
          <cell r="AQ50">
            <v>12.6578112309204</v>
          </cell>
          <cell r="AR50">
            <v>14.4422110086126</v>
          </cell>
          <cell r="AS50">
            <v>15.97639119103</v>
          </cell>
          <cell r="AT50">
            <v>17.2286875087528</v>
          </cell>
          <cell r="AU50">
            <v>21.2545746919206</v>
          </cell>
        </row>
        <row r="51">
          <cell r="F51">
            <v>29.1799637777453</v>
          </cell>
          <cell r="G51">
            <v>35.4736814552981</v>
          </cell>
          <cell r="H51">
            <v>34.3293691502886</v>
          </cell>
          <cell r="I51">
            <v>26.7736968373304</v>
          </cell>
          <cell r="J51">
            <v>22.1710509095613</v>
          </cell>
          <cell r="K51">
            <v>24.030558405202</v>
          </cell>
          <cell r="L51">
            <v>21.2842088731789</v>
          </cell>
          <cell r="M51">
            <v>13.7317476601155</v>
          </cell>
          <cell r="N51">
            <v>15.0763146185017</v>
          </cell>
          <cell r="O51">
            <v>26.6052610914736</v>
          </cell>
          <cell r="P51">
            <v>28.0356514727357</v>
          </cell>
          <cell r="Q51">
            <v>34.5868394189158</v>
          </cell>
        </row>
        <row r="51">
          <cell r="U51">
            <v>6.8560187076354</v>
          </cell>
          <cell r="V51">
            <v>8.33476784065478</v>
          </cell>
          <cell r="W51">
            <v>8.06590436192401</v>
          </cell>
          <cell r="X51">
            <v>6.29065093388816</v>
          </cell>
          <cell r="Y51">
            <v>5.20922990040924</v>
          </cell>
          <cell r="Z51">
            <v>5.6461330533468</v>
          </cell>
          <cell r="AA51">
            <v>5.00086070439287</v>
          </cell>
          <cell r="AB51">
            <v>3.22636174476962</v>
          </cell>
          <cell r="AC51">
            <v>3.54227633227829</v>
          </cell>
          <cell r="AD51">
            <v>6.2510758804911</v>
          </cell>
          <cell r="AE51">
            <v>6.5871552289046</v>
          </cell>
          <cell r="AF51">
            <v>8.12639864463844</v>
          </cell>
        </row>
        <row r="51">
          <cell r="AJ51">
            <v>17.9318992438039</v>
          </cell>
          <cell r="AK51">
            <v>21.7995637865851</v>
          </cell>
          <cell r="AL51">
            <v>21.0963520515341</v>
          </cell>
          <cell r="AM51">
            <v>16.4531812900097</v>
          </cell>
          <cell r="AN51">
            <v>13.6247273666157</v>
          </cell>
          <cell r="AO51">
            <v>14.7674464360738</v>
          </cell>
          <cell r="AP51">
            <v>13.0797382719511</v>
          </cell>
          <cell r="AQ51">
            <v>8.43854082061366</v>
          </cell>
          <cell r="AR51">
            <v>9.2648146092987</v>
          </cell>
          <cell r="AS51">
            <v>16.3496728399389</v>
          </cell>
          <cell r="AT51">
            <v>17.2286875087528</v>
          </cell>
          <cell r="AU51">
            <v>21.2545746919206</v>
          </cell>
        </row>
        <row r="52">
          <cell r="F52">
            <v>27.0469474121829</v>
          </cell>
          <cell r="G52">
            <v>27.9485123259223</v>
          </cell>
          <cell r="H52">
            <v>27.0469474121829</v>
          </cell>
          <cell r="I52">
            <v>30.214607919916</v>
          </cell>
          <cell r="J52">
            <v>25.1158928334302</v>
          </cell>
          <cell r="K52">
            <v>29.2399431483058</v>
          </cell>
          <cell r="L52">
            <v>26.2489406304271</v>
          </cell>
          <cell r="M52">
            <v>27.0469474121829</v>
          </cell>
          <cell r="N52">
            <v>27.9485123259223</v>
          </cell>
          <cell r="O52">
            <v>27.9485123259223</v>
          </cell>
          <cell r="P52">
            <v>27.2906136050854</v>
          </cell>
          <cell r="Q52">
            <v>30.214607919916</v>
          </cell>
        </row>
        <row r="52">
          <cell r="U52">
            <v>4.465398786461</v>
          </cell>
          <cell r="V52">
            <v>4.61424541267637</v>
          </cell>
          <cell r="W52">
            <v>4.465398786461</v>
          </cell>
          <cell r="X52">
            <v>4.98837341910958</v>
          </cell>
          <cell r="Y52">
            <v>4.14658540463484</v>
          </cell>
          <cell r="Z52">
            <v>4.8274581475254</v>
          </cell>
          <cell r="AA52">
            <v>4.33364940785145</v>
          </cell>
          <cell r="AB52">
            <v>4.465398786461</v>
          </cell>
          <cell r="AC52">
            <v>4.61424541267637</v>
          </cell>
          <cell r="AD52">
            <v>4.61424541267637</v>
          </cell>
          <cell r="AE52">
            <v>4.50562760435704</v>
          </cell>
          <cell r="AF52">
            <v>4.98837341910958</v>
          </cell>
        </row>
        <row r="52">
          <cell r="AJ52">
            <v>7.87832619576535</v>
          </cell>
          <cell r="AK52">
            <v>8.14093706895753</v>
          </cell>
          <cell r="AL52">
            <v>7.87832619576535</v>
          </cell>
          <cell r="AM52">
            <v>8.80101304752166</v>
          </cell>
          <cell r="AN52">
            <v>7.31584209575238</v>
          </cell>
          <cell r="AO52">
            <v>8.51710940082741</v>
          </cell>
          <cell r="AP52">
            <v>7.64588008503444</v>
          </cell>
          <cell r="AQ52">
            <v>7.87832619576535</v>
          </cell>
          <cell r="AR52">
            <v>8.14093706895753</v>
          </cell>
          <cell r="AS52">
            <v>8.14093706895753</v>
          </cell>
          <cell r="AT52">
            <v>7.94930210743891</v>
          </cell>
          <cell r="AU52">
            <v>8.80101304752166</v>
          </cell>
        </row>
        <row r="53">
          <cell r="F53">
            <v>14.3096095707572</v>
          </cell>
          <cell r="G53">
            <v>17.3959959487636</v>
          </cell>
          <cell r="H53">
            <v>16.8348347891261</v>
          </cell>
          <cell r="I53">
            <v>13.7783328415257</v>
          </cell>
          <cell r="J53">
            <v>10.8724974679773</v>
          </cell>
          <cell r="K53">
            <v>11.7843843523883</v>
          </cell>
          <cell r="L53">
            <v>10.4375975692582</v>
          </cell>
          <cell r="M53">
            <v>17.2557056588542</v>
          </cell>
          <cell r="N53">
            <v>13.4818968602918</v>
          </cell>
          <cell r="O53">
            <v>13.9167967590109</v>
          </cell>
          <cell r="P53">
            <v>13.7484484111196</v>
          </cell>
          <cell r="Q53">
            <v>16.9610960500445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3">
          <cell r="AJ53">
            <v>6.86098203844723</v>
          </cell>
          <cell r="AK53">
            <v>8.34080169379859</v>
          </cell>
          <cell r="AL53">
            <v>8.0717435746438</v>
          </cell>
          <cell r="AM53">
            <v>6.60625251010629</v>
          </cell>
          <cell r="AN53">
            <v>5.21300105862413</v>
          </cell>
          <cell r="AO53">
            <v>5.65022050225067</v>
          </cell>
          <cell r="AP53">
            <v>5.00448101627917</v>
          </cell>
          <cell r="AQ53">
            <v>8.2735371640099</v>
          </cell>
          <cell r="AR53">
            <v>6.46412131269391</v>
          </cell>
          <cell r="AS53">
            <v>6.67264135503888</v>
          </cell>
          <cell r="AT53">
            <v>6.59192391929244</v>
          </cell>
          <cell r="AU53">
            <v>8.13228165145363</v>
          </cell>
        </row>
        <row r="54">
          <cell r="F54">
            <v>62.5003784795037</v>
          </cell>
          <cell r="G54">
            <v>75.9808522692006</v>
          </cell>
          <cell r="H54">
            <v>73.5298570347103</v>
          </cell>
          <cell r="I54">
            <v>55.0861178951705</v>
          </cell>
          <cell r="J54">
            <v>47.4880326682504</v>
          </cell>
          <cell r="K54">
            <v>49.5145072653931</v>
          </cell>
          <cell r="L54">
            <v>45.5885113615204</v>
          </cell>
          <cell r="M54">
            <v>73.5298570347103</v>
          </cell>
          <cell r="N54">
            <v>53.3026121418442</v>
          </cell>
          <cell r="O54">
            <v>53.3203659878002</v>
          </cell>
          <cell r="P54">
            <v>60.0493832450134</v>
          </cell>
          <cell r="Q54">
            <v>72.2060517741675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4">
          <cell r="AJ54">
            <v>39.6040810797499</v>
          </cell>
          <cell r="AK54">
            <v>48.1461377832254</v>
          </cell>
          <cell r="AL54">
            <v>46.5930365644117</v>
          </cell>
          <cell r="AM54">
            <v>34.9059498928384</v>
          </cell>
          <cell r="AN54">
            <v>30.0913361145159</v>
          </cell>
          <cell r="AO54">
            <v>31.375434966455</v>
          </cell>
          <cell r="AP54">
            <v>28.8876826699352</v>
          </cell>
          <cell r="AQ54">
            <v>46.5930365644117</v>
          </cell>
          <cell r="AR54">
            <v>33.7758110332138</v>
          </cell>
          <cell r="AS54">
            <v>33.7870609611634</v>
          </cell>
          <cell r="AT54">
            <v>38.0509798609362</v>
          </cell>
          <cell r="AU54">
            <v>45.7541921902208</v>
          </cell>
        </row>
        <row r="55">
          <cell r="F55">
            <v>272.189294367698</v>
          </cell>
          <cell r="G55">
            <v>281.262270846622</v>
          </cell>
          <cell r="H55">
            <v>272.189294367698</v>
          </cell>
          <cell r="I55">
            <v>287.035401622686</v>
          </cell>
          <cell r="J55">
            <v>229.688522711869</v>
          </cell>
          <cell r="K55">
            <v>249.20324283175</v>
          </cell>
          <cell r="L55">
            <v>218.599611818115</v>
          </cell>
          <cell r="M55">
            <v>272.189294367698</v>
          </cell>
          <cell r="N55">
            <v>269.377949543243</v>
          </cell>
          <cell r="O55">
            <v>245.487023101604</v>
          </cell>
          <cell r="P55">
            <v>243.309115716478</v>
          </cell>
          <cell r="Q55">
            <v>299.088752801689</v>
          </cell>
        </row>
        <row r="55">
          <cell r="U55">
            <v>68.869890521319</v>
          </cell>
          <cell r="V55">
            <v>71.1655535386963</v>
          </cell>
          <cell r="W55">
            <v>68.869890521319</v>
          </cell>
          <cell r="X55">
            <v>72.6262828647209</v>
          </cell>
          <cell r="Y55">
            <v>58.1162585762856</v>
          </cell>
          <cell r="Z55">
            <v>63.0539128706343</v>
          </cell>
          <cell r="AA55">
            <v>55.3105197208044</v>
          </cell>
          <cell r="AB55">
            <v>68.869890521319</v>
          </cell>
          <cell r="AC55">
            <v>68.1585583187513</v>
          </cell>
          <cell r="AD55">
            <v>62.1136273735032</v>
          </cell>
          <cell r="AE55">
            <v>61.5625688040335</v>
          </cell>
          <cell r="AF55">
            <v>75.6760463686136</v>
          </cell>
        </row>
        <row r="55">
          <cell r="AJ55">
            <v>105.078546937895</v>
          </cell>
          <cell r="AK55">
            <v>108.581165169158</v>
          </cell>
          <cell r="AL55">
            <v>105.078546937895</v>
          </cell>
          <cell r="AM55">
            <v>110.80987954472</v>
          </cell>
          <cell r="AN55">
            <v>88.671144362756</v>
          </cell>
          <cell r="AO55">
            <v>96.2047927336824</v>
          </cell>
          <cell r="AP55">
            <v>84.390275614607</v>
          </cell>
          <cell r="AQ55">
            <v>105.078546937895</v>
          </cell>
          <cell r="AR55">
            <v>103.993228612715</v>
          </cell>
          <cell r="AS55">
            <v>94.7701478838445</v>
          </cell>
          <cell r="AT55">
            <v>93.9293677792264</v>
          </cell>
          <cell r="AU55">
            <v>115.463070003823</v>
          </cell>
        </row>
        <row r="56">
          <cell r="F56">
            <v>271.04113058171</v>
          </cell>
          <cell r="G56">
            <v>281.275213453936</v>
          </cell>
          <cell r="H56">
            <v>272.201819471551</v>
          </cell>
          <cell r="I56">
            <v>272.182494059409</v>
          </cell>
          <cell r="J56">
            <v>224.103884404988</v>
          </cell>
          <cell r="K56">
            <v>238.520643731193</v>
          </cell>
          <cell r="L56">
            <v>215.10457295904</v>
          </cell>
          <cell r="M56">
            <v>272.201819471551</v>
          </cell>
          <cell r="N56">
            <v>262.069029105925</v>
          </cell>
          <cell r="O56">
            <v>239.678174844551</v>
          </cell>
          <cell r="P56">
            <v>243.15490298689</v>
          </cell>
          <cell r="Q56">
            <v>298.252502758332</v>
          </cell>
        </row>
        <row r="56">
          <cell r="U56">
            <v>69.6854616330195</v>
          </cell>
          <cell r="V56">
            <v>72.3166740538466</v>
          </cell>
          <cell r="W56">
            <v>69.9838781166257</v>
          </cell>
          <cell r="X56">
            <v>69.9789094970534</v>
          </cell>
          <cell r="Y56">
            <v>57.6177593599818</v>
          </cell>
          <cell r="Z56">
            <v>61.324350041413</v>
          </cell>
          <cell r="AA56">
            <v>55.3040102579758</v>
          </cell>
          <cell r="AB56">
            <v>69.9838781166257</v>
          </cell>
          <cell r="AC56">
            <v>67.3787082933455</v>
          </cell>
          <cell r="AD56">
            <v>61.6219546515171</v>
          </cell>
          <cell r="AE56">
            <v>62.5158315514969</v>
          </cell>
          <cell r="AF56">
            <v>76.6815844270989</v>
          </cell>
        </row>
        <row r="56">
          <cell r="AJ56">
            <v>104.635298857332</v>
          </cell>
          <cell r="AK56">
            <v>108.586161656523</v>
          </cell>
          <cell r="AL56">
            <v>105.083382248248</v>
          </cell>
          <cell r="AM56">
            <v>105.075921682132</v>
          </cell>
          <cell r="AN56">
            <v>86.515197414791</v>
          </cell>
          <cell r="AO56">
            <v>92.0807804590107</v>
          </cell>
          <cell r="AP56">
            <v>83.0410175342839</v>
          </cell>
          <cell r="AQ56">
            <v>105.083382248248</v>
          </cell>
          <cell r="AR56">
            <v>101.171623372795</v>
          </cell>
          <cell r="AS56">
            <v>92.527644791826</v>
          </cell>
          <cell r="AT56">
            <v>93.8698340287088</v>
          </cell>
          <cell r="AU56">
            <v>115.140236074455</v>
          </cell>
        </row>
        <row r="57">
          <cell r="F57">
            <v>0.291792697242858</v>
          </cell>
          <cell r="G57">
            <v>0.312675828988634</v>
          </cell>
          <cell r="H57">
            <v>0.323947299931132</v>
          </cell>
          <cell r="I57">
            <v>0.7082219842504</v>
          </cell>
          <cell r="J57">
            <v>1.66277593233727</v>
          </cell>
          <cell r="K57">
            <v>0.839812200814249</v>
          </cell>
          <cell r="L57">
            <v>0.925685478933957</v>
          </cell>
          <cell r="M57">
            <v>0.317490985645716</v>
          </cell>
          <cell r="N57">
            <v>0.544657370197557</v>
          </cell>
          <cell r="O57">
            <v>1.03928118667895</v>
          </cell>
          <cell r="P57">
            <v>0.933390692201145</v>
          </cell>
          <cell r="Q57">
            <v>0.433562591112057</v>
          </cell>
        </row>
        <row r="57">
          <cell r="U57">
            <v>0.0719764456631477</v>
          </cell>
          <cell r="V57">
            <v>0.0771276835507951</v>
          </cell>
          <cell r="W57">
            <v>0.0799080150104313</v>
          </cell>
          <cell r="X57">
            <v>0.174696973736868</v>
          </cell>
          <cell r="Y57">
            <v>0.410156603214278</v>
          </cell>
          <cell r="Z57">
            <v>0.207156305864796</v>
          </cell>
          <cell r="AA57">
            <v>0.22833865002523</v>
          </cell>
          <cell r="AB57">
            <v>0.078315437270346</v>
          </cell>
          <cell r="AC57">
            <v>0.134350523441748</v>
          </cell>
          <cell r="AD57">
            <v>0.256359280299157</v>
          </cell>
          <cell r="AE57">
            <v>0.23023929342477</v>
          </cell>
          <cell r="AF57">
            <v>0.106946796734867</v>
          </cell>
        </row>
        <row r="58">
          <cell r="F58">
            <v>0.291792697242858</v>
          </cell>
          <cell r="G58">
            <v>0.312675828988634</v>
          </cell>
          <cell r="H58">
            <v>0.323947299931132</v>
          </cell>
          <cell r="I58">
            <v>0.7082219842504</v>
          </cell>
          <cell r="J58">
            <v>1.66277593233727</v>
          </cell>
          <cell r="K58">
            <v>0.839812200814249</v>
          </cell>
          <cell r="L58">
            <v>0.925685478933957</v>
          </cell>
          <cell r="M58">
            <v>0.317490985645716</v>
          </cell>
          <cell r="N58">
            <v>0.544657370197557</v>
          </cell>
          <cell r="O58">
            <v>1.03928118667895</v>
          </cell>
          <cell r="P58">
            <v>0.933390692201145</v>
          </cell>
          <cell r="Q58">
            <v>0.433562591112057</v>
          </cell>
        </row>
        <row r="58">
          <cell r="U58">
            <v>0.0719764456631477</v>
          </cell>
          <cell r="V58">
            <v>0.0771276835507951</v>
          </cell>
          <cell r="W58">
            <v>0.0799080150104313</v>
          </cell>
          <cell r="X58">
            <v>0.174696973736868</v>
          </cell>
          <cell r="Y58">
            <v>0.410156603214278</v>
          </cell>
          <cell r="Z58">
            <v>0.207156305864796</v>
          </cell>
          <cell r="AA58">
            <v>0.22833865002523</v>
          </cell>
          <cell r="AB58">
            <v>0.078315437270346</v>
          </cell>
          <cell r="AC58">
            <v>0.134350523441748</v>
          </cell>
          <cell r="AD58">
            <v>0.256359280299157</v>
          </cell>
          <cell r="AE58">
            <v>0.23023929342477</v>
          </cell>
          <cell r="AF58">
            <v>0.106946796734867</v>
          </cell>
        </row>
        <row r="59">
          <cell r="F59">
            <v>6.41943933934287</v>
          </cell>
          <cell r="G59">
            <v>6.87886823774996</v>
          </cell>
          <cell r="H59">
            <v>7.1268405984849</v>
          </cell>
          <cell r="I59">
            <v>15.5808836535088</v>
          </cell>
          <cell r="J59">
            <v>36.5810705114198</v>
          </cell>
          <cell r="K59">
            <v>18.4758684179135</v>
          </cell>
          <cell r="L59">
            <v>20.3650805365471</v>
          </cell>
          <cell r="M59">
            <v>6.98480168420576</v>
          </cell>
          <cell r="N59">
            <v>11.9824621443463</v>
          </cell>
          <cell r="O59">
            <v>22.8641861069368</v>
          </cell>
          <cell r="P59">
            <v>20.5345952284252</v>
          </cell>
          <cell r="Q59">
            <v>9.53837700446526</v>
          </cell>
        </row>
        <row r="59">
          <cell r="U59">
            <v>1.58348180458925</v>
          </cell>
          <cell r="V59">
            <v>1.69680903811749</v>
          </cell>
          <cell r="W59">
            <v>1.75797633022949</v>
          </cell>
          <cell r="X59">
            <v>3.8433334222111</v>
          </cell>
          <cell r="Y59">
            <v>9.02344527071412</v>
          </cell>
          <cell r="Z59">
            <v>4.55743872902551</v>
          </cell>
          <cell r="AA59">
            <v>5.02345030055506</v>
          </cell>
          <cell r="AB59">
            <v>1.72293961994761</v>
          </cell>
          <cell r="AC59">
            <v>2.95571151571845</v>
          </cell>
          <cell r="AD59">
            <v>5.63990416658145</v>
          </cell>
          <cell r="AE59">
            <v>5.06526445534494</v>
          </cell>
          <cell r="AF59">
            <v>2.35282952816707</v>
          </cell>
        </row>
        <row r="60">
          <cell r="F60">
            <v>5.88254077641601</v>
          </cell>
          <cell r="G60">
            <v>6.30354471241087</v>
          </cell>
          <cell r="H60">
            <v>6.53077756661162</v>
          </cell>
          <cell r="I60">
            <v>14.2777552024881</v>
          </cell>
          <cell r="J60">
            <v>33.5215627959193</v>
          </cell>
          <cell r="K60">
            <v>16.9306139684153</v>
          </cell>
          <cell r="L60">
            <v>18.6618192553086</v>
          </cell>
          <cell r="M60">
            <v>6.40061827061764</v>
          </cell>
          <cell r="N60">
            <v>10.9802925831827</v>
          </cell>
          <cell r="O60">
            <v>20.9519087234476</v>
          </cell>
          <cell r="P60">
            <v>18.8171563547751</v>
          </cell>
          <cell r="Q60">
            <v>8.74062183681908</v>
          </cell>
        </row>
        <row r="60">
          <cell r="U60">
            <v>1.45104514456906</v>
          </cell>
          <cell r="V60">
            <v>1.55489410038403</v>
          </cell>
          <cell r="W60">
            <v>1.61094558261029</v>
          </cell>
          <cell r="X60">
            <v>3.52189099053527</v>
          </cell>
          <cell r="Y60">
            <v>8.26875712079985</v>
          </cell>
          <cell r="Z60">
            <v>4.17627112623429</v>
          </cell>
          <cell r="AA60">
            <v>4.60330718450864</v>
          </cell>
          <cell r="AB60">
            <v>1.57883921537018</v>
          </cell>
          <cell r="AC60">
            <v>2.70850655258563</v>
          </cell>
          <cell r="AD60">
            <v>5.168203090831</v>
          </cell>
          <cell r="AE60">
            <v>4.64162415544337</v>
          </cell>
          <cell r="AF60">
            <v>2.15604742217492</v>
          </cell>
        </row>
        <row r="61">
          <cell r="F61">
            <v>5.88254077641601</v>
          </cell>
          <cell r="G61">
            <v>6.30354471241087</v>
          </cell>
          <cell r="H61">
            <v>6.53077756661162</v>
          </cell>
          <cell r="I61">
            <v>14.2777552024881</v>
          </cell>
          <cell r="J61">
            <v>33.5215627959193</v>
          </cell>
          <cell r="K61">
            <v>16.9306139684153</v>
          </cell>
          <cell r="L61">
            <v>18.6618192553086</v>
          </cell>
          <cell r="M61">
            <v>6.40061827061764</v>
          </cell>
          <cell r="N61">
            <v>10.9802925831827</v>
          </cell>
          <cell r="O61">
            <v>20.9519087234476</v>
          </cell>
          <cell r="P61">
            <v>18.8171563547751</v>
          </cell>
          <cell r="Q61">
            <v>8.74062183681908</v>
          </cell>
        </row>
        <row r="61">
          <cell r="U61">
            <v>1.45104514456906</v>
          </cell>
          <cell r="V61">
            <v>1.55489410038403</v>
          </cell>
          <cell r="W61">
            <v>1.61094558261029</v>
          </cell>
          <cell r="X61">
            <v>3.52189099053527</v>
          </cell>
          <cell r="Y61">
            <v>8.26875712079985</v>
          </cell>
          <cell r="Z61">
            <v>4.17627112623429</v>
          </cell>
          <cell r="AA61">
            <v>4.60330718450864</v>
          </cell>
          <cell r="AB61">
            <v>1.57883921537018</v>
          </cell>
          <cell r="AC61">
            <v>2.70850655258563</v>
          </cell>
          <cell r="AD61">
            <v>5.168203090831</v>
          </cell>
          <cell r="AE61">
            <v>4.64162415544337</v>
          </cell>
          <cell r="AF61">
            <v>2.15604742217492</v>
          </cell>
        </row>
        <row r="62">
          <cell r="F62">
            <v>5.88254077641601</v>
          </cell>
          <cell r="G62">
            <v>6.30354471241087</v>
          </cell>
          <cell r="H62">
            <v>6.53077756661162</v>
          </cell>
          <cell r="I62">
            <v>14.2777552024881</v>
          </cell>
          <cell r="J62">
            <v>33.5215627959193</v>
          </cell>
          <cell r="K62">
            <v>16.9306139684153</v>
          </cell>
          <cell r="L62">
            <v>18.6618192553086</v>
          </cell>
          <cell r="M62">
            <v>6.40061827061764</v>
          </cell>
          <cell r="N62">
            <v>10.9802925831827</v>
          </cell>
          <cell r="O62">
            <v>20.9519087234476</v>
          </cell>
          <cell r="P62">
            <v>18.8171563547751</v>
          </cell>
          <cell r="Q62">
            <v>8.74062183681908</v>
          </cell>
        </row>
        <row r="62">
          <cell r="U62">
            <v>1.45104514456906</v>
          </cell>
          <cell r="V62">
            <v>1.55489410038403</v>
          </cell>
          <cell r="W62">
            <v>1.61094558261029</v>
          </cell>
          <cell r="X62">
            <v>3.52189099053527</v>
          </cell>
          <cell r="Y62">
            <v>8.26875712079985</v>
          </cell>
          <cell r="Z62">
            <v>4.17627112623429</v>
          </cell>
          <cell r="AA62">
            <v>4.60330718450864</v>
          </cell>
          <cell r="AB62">
            <v>1.57883921537018</v>
          </cell>
          <cell r="AC62">
            <v>2.70850655258563</v>
          </cell>
          <cell r="AD62">
            <v>5.168203090831</v>
          </cell>
          <cell r="AE62">
            <v>4.64162415544337</v>
          </cell>
          <cell r="AF62">
            <v>2.15604742217492</v>
          </cell>
        </row>
        <row r="63">
          <cell r="F63">
            <v>5.88254077641601</v>
          </cell>
          <cell r="G63">
            <v>6.30354471241087</v>
          </cell>
          <cell r="H63">
            <v>6.53077756661162</v>
          </cell>
          <cell r="I63">
            <v>14.2777552024881</v>
          </cell>
          <cell r="J63">
            <v>33.5215627959193</v>
          </cell>
          <cell r="K63">
            <v>16.9306139684153</v>
          </cell>
          <cell r="L63">
            <v>18.6618192553086</v>
          </cell>
          <cell r="M63">
            <v>6.40061827061764</v>
          </cell>
          <cell r="N63">
            <v>10.9802925831827</v>
          </cell>
          <cell r="O63">
            <v>20.9519087234476</v>
          </cell>
          <cell r="P63">
            <v>18.8171563547751</v>
          </cell>
          <cell r="Q63">
            <v>8.74062183681908</v>
          </cell>
        </row>
        <row r="63">
          <cell r="U63">
            <v>1.45104514456906</v>
          </cell>
          <cell r="V63">
            <v>1.55489410038403</v>
          </cell>
          <cell r="W63">
            <v>1.61094558261029</v>
          </cell>
          <cell r="X63">
            <v>3.52189099053527</v>
          </cell>
          <cell r="Y63">
            <v>8.26875712079985</v>
          </cell>
          <cell r="Z63">
            <v>4.17627112623429</v>
          </cell>
          <cell r="AA63">
            <v>4.60330718450864</v>
          </cell>
          <cell r="AB63">
            <v>1.57883921537018</v>
          </cell>
          <cell r="AC63">
            <v>2.70850655258563</v>
          </cell>
          <cell r="AD63">
            <v>5.168203090831</v>
          </cell>
          <cell r="AE63">
            <v>4.64162415544337</v>
          </cell>
          <cell r="AF63">
            <v>2.15604742217492</v>
          </cell>
        </row>
        <row r="64">
          <cell r="F64">
            <v>5.88254077641601</v>
          </cell>
          <cell r="G64">
            <v>6.30354471241087</v>
          </cell>
          <cell r="H64">
            <v>6.53077756661162</v>
          </cell>
          <cell r="I64">
            <v>14.2777552024881</v>
          </cell>
          <cell r="J64">
            <v>33.5215627959193</v>
          </cell>
          <cell r="K64">
            <v>16.9306139684153</v>
          </cell>
          <cell r="L64">
            <v>18.6618192553086</v>
          </cell>
          <cell r="M64">
            <v>6.40061827061764</v>
          </cell>
          <cell r="N64">
            <v>10.9802925831827</v>
          </cell>
          <cell r="O64">
            <v>20.9519087234476</v>
          </cell>
          <cell r="P64">
            <v>18.8171563547751</v>
          </cell>
          <cell r="Q64">
            <v>8.74062183681908</v>
          </cell>
        </row>
        <row r="64">
          <cell r="U64">
            <v>1.45104514456906</v>
          </cell>
          <cell r="V64">
            <v>1.55489410038403</v>
          </cell>
          <cell r="W64">
            <v>1.61094558261029</v>
          </cell>
          <cell r="X64">
            <v>3.52189099053527</v>
          </cell>
          <cell r="Y64">
            <v>8.26875712079985</v>
          </cell>
          <cell r="Z64">
            <v>4.17627112623429</v>
          </cell>
          <cell r="AA64">
            <v>4.60330718450864</v>
          </cell>
          <cell r="AB64">
            <v>1.57883921537018</v>
          </cell>
          <cell r="AC64">
            <v>2.70850655258563</v>
          </cell>
          <cell r="AD64">
            <v>5.168203090831</v>
          </cell>
          <cell r="AE64">
            <v>4.64162415544337</v>
          </cell>
          <cell r="AF64">
            <v>2.15604742217492</v>
          </cell>
        </row>
        <row r="65">
          <cell r="F65">
            <v>5.88254077641601</v>
          </cell>
          <cell r="G65">
            <v>6.30354471241087</v>
          </cell>
          <cell r="H65">
            <v>6.53077756661162</v>
          </cell>
          <cell r="I65">
            <v>14.2777552024881</v>
          </cell>
          <cell r="J65">
            <v>33.5215627959193</v>
          </cell>
          <cell r="K65">
            <v>16.9306139684153</v>
          </cell>
          <cell r="L65">
            <v>18.6618192553086</v>
          </cell>
          <cell r="M65">
            <v>6.40061827061764</v>
          </cell>
          <cell r="N65">
            <v>10.9802925831827</v>
          </cell>
          <cell r="O65">
            <v>20.9519087234476</v>
          </cell>
          <cell r="P65">
            <v>18.8171563547751</v>
          </cell>
          <cell r="Q65">
            <v>8.74062183681908</v>
          </cell>
        </row>
        <row r="65">
          <cell r="U65">
            <v>1.45104514456906</v>
          </cell>
          <cell r="V65">
            <v>1.55489410038403</v>
          </cell>
          <cell r="W65">
            <v>1.61094558261029</v>
          </cell>
          <cell r="X65">
            <v>3.52189099053527</v>
          </cell>
          <cell r="Y65">
            <v>8.26875712079985</v>
          </cell>
          <cell r="Z65">
            <v>4.17627112623429</v>
          </cell>
          <cell r="AA65">
            <v>4.60330718450864</v>
          </cell>
          <cell r="AB65">
            <v>1.57883921537018</v>
          </cell>
          <cell r="AC65">
            <v>2.70850655258563</v>
          </cell>
          <cell r="AD65">
            <v>5.168203090831</v>
          </cell>
          <cell r="AE65">
            <v>4.64162415544337</v>
          </cell>
          <cell r="AF65">
            <v>2.15604742217492</v>
          </cell>
        </row>
        <row r="66">
          <cell r="F66">
            <v>5.88254077641601</v>
          </cell>
          <cell r="G66">
            <v>6.30354471241087</v>
          </cell>
          <cell r="H66">
            <v>6.53077756661162</v>
          </cell>
          <cell r="I66">
            <v>14.2777552024881</v>
          </cell>
          <cell r="J66">
            <v>33.5215627959193</v>
          </cell>
          <cell r="K66">
            <v>16.9306139684153</v>
          </cell>
          <cell r="L66">
            <v>18.6618192553086</v>
          </cell>
          <cell r="M66">
            <v>6.40061827061764</v>
          </cell>
          <cell r="N66">
            <v>10.9802925831827</v>
          </cell>
          <cell r="O66">
            <v>20.9519087234476</v>
          </cell>
          <cell r="P66">
            <v>18.8171563547751</v>
          </cell>
          <cell r="Q66">
            <v>8.74062183681908</v>
          </cell>
        </row>
        <row r="66">
          <cell r="U66">
            <v>1.45104514456906</v>
          </cell>
          <cell r="V66">
            <v>1.55489410038403</v>
          </cell>
          <cell r="W66">
            <v>1.61094558261029</v>
          </cell>
          <cell r="X66">
            <v>3.52189099053527</v>
          </cell>
          <cell r="Y66">
            <v>8.26875712079985</v>
          </cell>
          <cell r="Z66">
            <v>4.17627112623429</v>
          </cell>
          <cell r="AA66">
            <v>4.60330718450864</v>
          </cell>
          <cell r="AB66">
            <v>1.57883921537018</v>
          </cell>
          <cell r="AC66">
            <v>2.70850655258563</v>
          </cell>
          <cell r="AD66">
            <v>5.168203090831</v>
          </cell>
          <cell r="AE66">
            <v>4.64162415544337</v>
          </cell>
          <cell r="AF66">
            <v>2.15604742217492</v>
          </cell>
        </row>
        <row r="67">
          <cell r="F67">
            <v>8.75378091728573</v>
          </cell>
          <cell r="G67">
            <v>9.38027486965903</v>
          </cell>
          <cell r="H67">
            <v>9.71841899793395</v>
          </cell>
          <cell r="I67">
            <v>21.246659527512</v>
          </cell>
          <cell r="J67">
            <v>49.883277970118</v>
          </cell>
          <cell r="K67">
            <v>25.1943660244275</v>
          </cell>
          <cell r="L67">
            <v>27.7705643680187</v>
          </cell>
          <cell r="M67">
            <v>9.52472956937149</v>
          </cell>
          <cell r="N67">
            <v>16.3397211059267</v>
          </cell>
          <cell r="O67">
            <v>31.1784356003684</v>
          </cell>
          <cell r="P67">
            <v>28.0017207660343</v>
          </cell>
          <cell r="Q67">
            <v>13.0068777333617</v>
          </cell>
        </row>
        <row r="67">
          <cell r="U67">
            <v>2.51376517172719</v>
          </cell>
          <cell r="V67">
            <v>2.6936712823158</v>
          </cell>
          <cell r="W67">
            <v>2.79077388754585</v>
          </cell>
          <cell r="X67">
            <v>6.10126221348999</v>
          </cell>
          <cell r="Y67">
            <v>14.3246498853149</v>
          </cell>
          <cell r="Z67">
            <v>7.23489888933501</v>
          </cell>
          <cell r="AA67">
            <v>7.97468867077597</v>
          </cell>
          <cell r="AB67">
            <v>2.73515337976154</v>
          </cell>
          <cell r="AC67">
            <v>4.6921692717608</v>
          </cell>
          <cell r="AD67">
            <v>8.95330443630142</v>
          </cell>
          <cell r="AE67">
            <v>8.04106831952937</v>
          </cell>
          <cell r="AF67">
            <v>3.73509875880885</v>
          </cell>
        </row>
        <row r="68">
          <cell r="F68">
            <v>8.75378091728573</v>
          </cell>
          <cell r="G68">
            <v>9.38027486965903</v>
          </cell>
          <cell r="H68">
            <v>9.71841899793395</v>
          </cell>
          <cell r="I68">
            <v>21.246659527512</v>
          </cell>
          <cell r="J68">
            <v>49.883277970118</v>
          </cell>
          <cell r="K68">
            <v>25.1943660244275</v>
          </cell>
          <cell r="L68">
            <v>27.7705643680187</v>
          </cell>
          <cell r="M68">
            <v>9.52472956937149</v>
          </cell>
          <cell r="N68">
            <v>16.3397211059267</v>
          </cell>
          <cell r="O68">
            <v>31.1784356003684</v>
          </cell>
          <cell r="P68">
            <v>28.0017207660343</v>
          </cell>
          <cell r="Q68">
            <v>13.0068777333617</v>
          </cell>
        </row>
        <row r="68">
          <cell r="U68">
            <v>2.51376517172719</v>
          </cell>
          <cell r="V68">
            <v>2.6936712823158</v>
          </cell>
          <cell r="W68">
            <v>2.79077388754585</v>
          </cell>
          <cell r="X68">
            <v>6.10126221348999</v>
          </cell>
          <cell r="Y68">
            <v>14.3246498853149</v>
          </cell>
          <cell r="Z68">
            <v>7.23489888933501</v>
          </cell>
          <cell r="AA68">
            <v>7.97468867077597</v>
          </cell>
          <cell r="AB68">
            <v>2.73515337976154</v>
          </cell>
          <cell r="AC68">
            <v>4.6921692717608</v>
          </cell>
          <cell r="AD68">
            <v>8.95330443630142</v>
          </cell>
          <cell r="AE68">
            <v>8.04106831952937</v>
          </cell>
          <cell r="AF68">
            <v>3.73509875880885</v>
          </cell>
        </row>
        <row r="69">
          <cell r="F69">
            <v>8.75378091728573</v>
          </cell>
          <cell r="G69">
            <v>9.38027486965903</v>
          </cell>
          <cell r="H69">
            <v>9.71841899793395</v>
          </cell>
          <cell r="I69">
            <v>21.246659527512</v>
          </cell>
          <cell r="J69">
            <v>49.883277970118</v>
          </cell>
          <cell r="K69">
            <v>25.1943660244275</v>
          </cell>
          <cell r="L69">
            <v>27.7705643680187</v>
          </cell>
          <cell r="M69">
            <v>9.52472956937149</v>
          </cell>
          <cell r="N69">
            <v>16.3397211059267</v>
          </cell>
          <cell r="O69">
            <v>31.1784356003684</v>
          </cell>
          <cell r="P69">
            <v>28.0017207660343</v>
          </cell>
          <cell r="Q69">
            <v>13.0068777333617</v>
          </cell>
        </row>
        <row r="69">
          <cell r="U69">
            <v>2.51376517172719</v>
          </cell>
          <cell r="V69">
            <v>2.6936712823158</v>
          </cell>
          <cell r="W69">
            <v>2.79077388754585</v>
          </cell>
          <cell r="X69">
            <v>6.10126221348999</v>
          </cell>
          <cell r="Y69">
            <v>14.3246498853149</v>
          </cell>
          <cell r="Z69">
            <v>7.23489888933501</v>
          </cell>
          <cell r="AA69">
            <v>7.97468867077597</v>
          </cell>
          <cell r="AB69">
            <v>2.73515337976154</v>
          </cell>
          <cell r="AC69">
            <v>4.6921692717608</v>
          </cell>
          <cell r="AD69">
            <v>8.95330443630142</v>
          </cell>
          <cell r="AE69">
            <v>8.04106831952937</v>
          </cell>
          <cell r="AF69">
            <v>3.73509875880885</v>
          </cell>
        </row>
        <row r="70">
          <cell r="F70">
            <v>8.75378091728573</v>
          </cell>
          <cell r="G70">
            <v>9.38027486965903</v>
          </cell>
          <cell r="H70">
            <v>9.71841899793395</v>
          </cell>
          <cell r="I70">
            <v>21.246659527512</v>
          </cell>
          <cell r="J70">
            <v>49.883277970118</v>
          </cell>
          <cell r="K70">
            <v>25.1943660244275</v>
          </cell>
          <cell r="L70">
            <v>27.7705643680187</v>
          </cell>
          <cell r="M70">
            <v>9.52472956937149</v>
          </cell>
          <cell r="N70">
            <v>16.3397211059267</v>
          </cell>
          <cell r="O70">
            <v>31.1784356003684</v>
          </cell>
          <cell r="P70">
            <v>28.0017207660343</v>
          </cell>
          <cell r="Q70">
            <v>13.0068777333617</v>
          </cell>
        </row>
        <row r="70">
          <cell r="U70">
            <v>2.51376517172719</v>
          </cell>
          <cell r="V70">
            <v>2.6936712823158</v>
          </cell>
          <cell r="W70">
            <v>2.79077388754585</v>
          </cell>
          <cell r="X70">
            <v>6.10126221348999</v>
          </cell>
          <cell r="Y70">
            <v>14.3246498853149</v>
          </cell>
          <cell r="Z70">
            <v>7.23489888933501</v>
          </cell>
          <cell r="AA70">
            <v>7.97468867077597</v>
          </cell>
          <cell r="AB70">
            <v>2.73515337976154</v>
          </cell>
          <cell r="AC70">
            <v>4.6921692717608</v>
          </cell>
          <cell r="AD70">
            <v>8.95330443630142</v>
          </cell>
          <cell r="AE70">
            <v>8.04106831952937</v>
          </cell>
          <cell r="AF70">
            <v>3.73509875880885</v>
          </cell>
        </row>
        <row r="71">
          <cell r="F71">
            <v>8.75378091728573</v>
          </cell>
          <cell r="G71">
            <v>9.38027486965903</v>
          </cell>
          <cell r="H71">
            <v>9.71841899793395</v>
          </cell>
          <cell r="I71">
            <v>21.246659527512</v>
          </cell>
          <cell r="J71">
            <v>49.883277970118</v>
          </cell>
          <cell r="K71">
            <v>25.1943660244275</v>
          </cell>
          <cell r="L71">
            <v>27.7705643680187</v>
          </cell>
          <cell r="M71">
            <v>9.52472956937149</v>
          </cell>
          <cell r="N71">
            <v>16.3397211059267</v>
          </cell>
          <cell r="O71">
            <v>31.1784356003684</v>
          </cell>
          <cell r="P71">
            <v>28.0017207660343</v>
          </cell>
          <cell r="Q71">
            <v>13.0068777333617</v>
          </cell>
        </row>
        <row r="71">
          <cell r="U71">
            <v>2.51376517172719</v>
          </cell>
          <cell r="V71">
            <v>2.6936712823158</v>
          </cell>
          <cell r="W71">
            <v>2.79077388754585</v>
          </cell>
          <cell r="X71">
            <v>6.10126221348999</v>
          </cell>
          <cell r="Y71">
            <v>14.3246498853149</v>
          </cell>
          <cell r="Z71">
            <v>7.23489888933501</v>
          </cell>
          <cell r="AA71">
            <v>7.97468867077597</v>
          </cell>
          <cell r="AB71">
            <v>2.73515337976154</v>
          </cell>
          <cell r="AC71">
            <v>4.6921692717608</v>
          </cell>
          <cell r="AD71">
            <v>8.95330443630142</v>
          </cell>
          <cell r="AE71">
            <v>8.04106831952937</v>
          </cell>
          <cell r="AF71">
            <v>3.73509875880885</v>
          </cell>
        </row>
        <row r="72">
          <cell r="F72">
            <v>8.75378091728573</v>
          </cell>
          <cell r="G72">
            <v>9.38027486965903</v>
          </cell>
          <cell r="H72">
            <v>9.71841899793395</v>
          </cell>
          <cell r="I72">
            <v>21.246659527512</v>
          </cell>
          <cell r="J72">
            <v>49.883277970118</v>
          </cell>
          <cell r="K72">
            <v>25.1943660244275</v>
          </cell>
          <cell r="L72">
            <v>27.7705643680187</v>
          </cell>
          <cell r="M72">
            <v>9.52472956937149</v>
          </cell>
          <cell r="N72">
            <v>16.3397211059267</v>
          </cell>
          <cell r="O72">
            <v>31.1784356003684</v>
          </cell>
          <cell r="P72">
            <v>28.0017207660343</v>
          </cell>
          <cell r="Q72">
            <v>13.0068777333617</v>
          </cell>
        </row>
        <row r="72">
          <cell r="U72">
            <v>2.51376517172719</v>
          </cell>
          <cell r="V72">
            <v>2.6936712823158</v>
          </cell>
          <cell r="W72">
            <v>2.79077388754585</v>
          </cell>
          <cell r="X72">
            <v>6.10126221348999</v>
          </cell>
          <cell r="Y72">
            <v>14.3246498853149</v>
          </cell>
          <cell r="Z72">
            <v>7.23489888933501</v>
          </cell>
          <cell r="AA72">
            <v>7.97468867077597</v>
          </cell>
          <cell r="AB72">
            <v>2.73515337976154</v>
          </cell>
          <cell r="AC72">
            <v>4.6921692717608</v>
          </cell>
          <cell r="AD72">
            <v>8.95330443630142</v>
          </cell>
          <cell r="AE72">
            <v>8.04106831952937</v>
          </cell>
          <cell r="AF72">
            <v>3.73509875880885</v>
          </cell>
        </row>
        <row r="73">
          <cell r="F73">
            <v>1.75075618345715</v>
          </cell>
          <cell r="G73">
            <v>1.87605497393181</v>
          </cell>
          <cell r="H73">
            <v>1.94368379958679</v>
          </cell>
          <cell r="I73">
            <v>4.2493319055024</v>
          </cell>
          <cell r="J73">
            <v>9.97665559402359</v>
          </cell>
          <cell r="K73">
            <v>5.0388732048855</v>
          </cell>
          <cell r="L73">
            <v>5.55411287360374</v>
          </cell>
          <cell r="M73">
            <v>1.9049459138743</v>
          </cell>
          <cell r="N73">
            <v>3.26794422118534</v>
          </cell>
          <cell r="O73">
            <v>6.23568712007368</v>
          </cell>
          <cell r="P73">
            <v>5.60034415320687</v>
          </cell>
          <cell r="Q73">
            <v>2.60137554667234</v>
          </cell>
        </row>
        <row r="73">
          <cell r="U73">
            <v>0.8741257613781</v>
          </cell>
          <cell r="V73">
            <v>0.936685529356265</v>
          </cell>
          <cell r="W73">
            <v>0.970451566726492</v>
          </cell>
          <cell r="X73">
            <v>2.12162637056107</v>
          </cell>
          <cell r="Y73">
            <v>4.98119141290836</v>
          </cell>
          <cell r="Z73">
            <v>2.51583225484353</v>
          </cell>
          <cell r="AA73">
            <v>2.77308353401433</v>
          </cell>
          <cell r="AB73">
            <v>0.951110333399676</v>
          </cell>
          <cell r="AC73">
            <v>1.63163452311446</v>
          </cell>
          <cell r="AD73">
            <v>3.11338312156442</v>
          </cell>
          <cell r="AE73">
            <v>2.79616610419995</v>
          </cell>
          <cell r="AF73">
            <v>1.29882698793335</v>
          </cell>
        </row>
        <row r="74">
          <cell r="F74">
            <v>1.75075618345715</v>
          </cell>
          <cell r="G74">
            <v>1.87605497393181</v>
          </cell>
          <cell r="H74">
            <v>1.94368379958679</v>
          </cell>
          <cell r="I74">
            <v>4.2493319055024</v>
          </cell>
          <cell r="J74">
            <v>9.97665559402359</v>
          </cell>
          <cell r="K74">
            <v>5.0388732048855</v>
          </cell>
          <cell r="L74">
            <v>5.55411287360374</v>
          </cell>
          <cell r="M74">
            <v>1.9049459138743</v>
          </cell>
          <cell r="N74">
            <v>3.26794422118534</v>
          </cell>
          <cell r="O74">
            <v>6.23568712007368</v>
          </cell>
          <cell r="P74">
            <v>5.60034415320687</v>
          </cell>
          <cell r="Q74">
            <v>2.60137554667234</v>
          </cell>
        </row>
        <row r="74">
          <cell r="U74">
            <v>0.8741257613781</v>
          </cell>
          <cell r="V74">
            <v>0.936685529356265</v>
          </cell>
          <cell r="W74">
            <v>0.970451566726492</v>
          </cell>
          <cell r="X74">
            <v>2.12162637056107</v>
          </cell>
          <cell r="Y74">
            <v>4.98119141290836</v>
          </cell>
          <cell r="Z74">
            <v>2.51583225484353</v>
          </cell>
          <cell r="AA74">
            <v>2.77308353401433</v>
          </cell>
          <cell r="AB74">
            <v>0.951110333399676</v>
          </cell>
          <cell r="AC74">
            <v>1.63163452311446</v>
          </cell>
          <cell r="AD74">
            <v>3.11338312156442</v>
          </cell>
          <cell r="AE74">
            <v>2.79616610419995</v>
          </cell>
          <cell r="AF74">
            <v>1.29882698793335</v>
          </cell>
        </row>
        <row r="75">
          <cell r="F75">
            <v>0.525226855037144</v>
          </cell>
          <cell r="G75">
            <v>0.562816492179542</v>
          </cell>
          <cell r="H75">
            <v>0.583105139876037</v>
          </cell>
          <cell r="I75">
            <v>1.27479957165072</v>
          </cell>
          <cell r="J75">
            <v>2.99299667820708</v>
          </cell>
          <cell r="K75">
            <v>1.51166196146565</v>
          </cell>
          <cell r="L75">
            <v>1.66623386208112</v>
          </cell>
          <cell r="M75">
            <v>0.57148377416229</v>
          </cell>
          <cell r="N75">
            <v>0.980383266355603</v>
          </cell>
          <cell r="O75">
            <v>1.8707061360221</v>
          </cell>
          <cell r="P75">
            <v>1.68010324596206</v>
          </cell>
          <cell r="Q75">
            <v>0.780412664001703</v>
          </cell>
        </row>
        <row r="75">
          <cell r="U75">
            <v>0.0798533707405598</v>
          </cell>
          <cell r="V75">
            <v>0.0855683474252968</v>
          </cell>
          <cell r="W75">
            <v>0.0886529515174053</v>
          </cell>
          <cell r="X75">
            <v>0.193815380608695</v>
          </cell>
          <cell r="Y75">
            <v>0.455043132463651</v>
          </cell>
          <cell r="Z75">
            <v>0.229826982161416</v>
          </cell>
          <cell r="AA75">
            <v>0.253327469936451</v>
          </cell>
          <cell r="AB75">
            <v>0.0868860859888217</v>
          </cell>
          <cell r="AC75">
            <v>0.149053514086972</v>
          </cell>
          <cell r="AD75">
            <v>0.284414609028034</v>
          </cell>
          <cell r="AE75">
            <v>0.255436115072102</v>
          </cell>
          <cell r="AF75">
            <v>0.118650790970596</v>
          </cell>
        </row>
        <row r="76">
          <cell r="F76">
            <v>0.525226855037144</v>
          </cell>
          <cell r="G76">
            <v>0.562816492179542</v>
          </cell>
          <cell r="H76">
            <v>0.583105139876037</v>
          </cell>
          <cell r="I76">
            <v>1.27479957165072</v>
          </cell>
          <cell r="J76">
            <v>2.99299667820708</v>
          </cell>
          <cell r="K76">
            <v>1.51166196146565</v>
          </cell>
          <cell r="L76">
            <v>1.66623386208112</v>
          </cell>
          <cell r="M76">
            <v>0.57148377416229</v>
          </cell>
          <cell r="N76">
            <v>0.980383266355603</v>
          </cell>
          <cell r="O76">
            <v>1.8707061360221</v>
          </cell>
          <cell r="P76">
            <v>1.68010324596206</v>
          </cell>
          <cell r="Q76">
            <v>0.780412664001703</v>
          </cell>
        </row>
        <row r="76">
          <cell r="U76">
            <v>0.0798533707405598</v>
          </cell>
          <cell r="V76">
            <v>0.0855683474252968</v>
          </cell>
          <cell r="W76">
            <v>0.0886529515174053</v>
          </cell>
          <cell r="X76">
            <v>0.193815380608695</v>
          </cell>
          <cell r="Y76">
            <v>0.455043132463651</v>
          </cell>
          <cell r="Z76">
            <v>0.229826982161416</v>
          </cell>
          <cell r="AA76">
            <v>0.253327469936451</v>
          </cell>
          <cell r="AB76">
            <v>0.0868860859888217</v>
          </cell>
          <cell r="AC76">
            <v>0.149053514086972</v>
          </cell>
          <cell r="AD76">
            <v>0.284414609028034</v>
          </cell>
          <cell r="AE76">
            <v>0.255436115072102</v>
          </cell>
          <cell r="AF76">
            <v>0.118650790970596</v>
          </cell>
        </row>
        <row r="77">
          <cell r="F77">
            <v>0.525226855037144</v>
          </cell>
          <cell r="G77">
            <v>0.562816492179542</v>
          </cell>
          <cell r="H77">
            <v>0.583105139876037</v>
          </cell>
          <cell r="I77">
            <v>1.27479957165072</v>
          </cell>
          <cell r="J77">
            <v>2.99299667820708</v>
          </cell>
          <cell r="K77">
            <v>1.51166196146565</v>
          </cell>
          <cell r="L77">
            <v>1.66623386208112</v>
          </cell>
          <cell r="M77">
            <v>0.57148377416229</v>
          </cell>
          <cell r="N77">
            <v>0.980383266355603</v>
          </cell>
          <cell r="O77">
            <v>1.8707061360221</v>
          </cell>
          <cell r="P77">
            <v>1.68010324596206</v>
          </cell>
          <cell r="Q77">
            <v>0.780412664001703</v>
          </cell>
        </row>
        <row r="77">
          <cell r="U77">
            <v>0.0798533707405598</v>
          </cell>
          <cell r="V77">
            <v>0.0855683474252968</v>
          </cell>
          <cell r="W77">
            <v>0.0886529515174053</v>
          </cell>
          <cell r="X77">
            <v>0.193815380608695</v>
          </cell>
          <cell r="Y77">
            <v>0.455043132463651</v>
          </cell>
          <cell r="Z77">
            <v>0.229826982161416</v>
          </cell>
          <cell r="AA77">
            <v>0.253327469936451</v>
          </cell>
          <cell r="AB77">
            <v>0.0868860859888217</v>
          </cell>
          <cell r="AC77">
            <v>0.149053514086972</v>
          </cell>
          <cell r="AD77">
            <v>0.284414609028034</v>
          </cell>
          <cell r="AE77">
            <v>0.255436115072102</v>
          </cell>
          <cell r="AF77">
            <v>0.118650790970596</v>
          </cell>
        </row>
        <row r="78">
          <cell r="F78">
            <v>0.525226855037144</v>
          </cell>
          <cell r="G78">
            <v>0.562816492179542</v>
          </cell>
          <cell r="H78">
            <v>0.583105139876037</v>
          </cell>
          <cell r="I78">
            <v>1.27479957165072</v>
          </cell>
          <cell r="J78">
            <v>2.99299667820708</v>
          </cell>
          <cell r="K78">
            <v>1.51166196146565</v>
          </cell>
          <cell r="L78">
            <v>1.66623386208112</v>
          </cell>
          <cell r="M78">
            <v>0.57148377416229</v>
          </cell>
          <cell r="N78">
            <v>0.980383266355603</v>
          </cell>
          <cell r="O78">
            <v>1.8707061360221</v>
          </cell>
          <cell r="P78">
            <v>1.68010324596206</v>
          </cell>
          <cell r="Q78">
            <v>0.780412664001703</v>
          </cell>
        </row>
        <row r="78">
          <cell r="U78">
            <v>0.0798533707405598</v>
          </cell>
          <cell r="V78">
            <v>0.0855683474252968</v>
          </cell>
          <cell r="W78">
            <v>0.0886529515174053</v>
          </cell>
          <cell r="X78">
            <v>0.193815380608695</v>
          </cell>
          <cell r="Y78">
            <v>0.455043132463651</v>
          </cell>
          <cell r="Z78">
            <v>0.229826982161416</v>
          </cell>
          <cell r="AA78">
            <v>0.253327469936451</v>
          </cell>
          <cell r="AB78">
            <v>0.0868860859888217</v>
          </cell>
          <cell r="AC78">
            <v>0.149053514086972</v>
          </cell>
          <cell r="AD78">
            <v>0.284414609028034</v>
          </cell>
          <cell r="AE78">
            <v>0.255436115072102</v>
          </cell>
          <cell r="AF78">
            <v>0.118650790970596</v>
          </cell>
        </row>
        <row r="79">
          <cell r="F79">
            <v>0.437689045864287</v>
          </cell>
          <cell r="G79">
            <v>0.469013743482952</v>
          </cell>
          <cell r="H79">
            <v>0.485920949896698</v>
          </cell>
          <cell r="I79">
            <v>1.0623329763756</v>
          </cell>
          <cell r="J79">
            <v>2.4941638985059</v>
          </cell>
          <cell r="K79">
            <v>1.25971830122137</v>
          </cell>
          <cell r="L79">
            <v>1.38852821840094</v>
          </cell>
          <cell r="M79">
            <v>0.476236478468575</v>
          </cell>
          <cell r="N79">
            <v>0.816986055296336</v>
          </cell>
          <cell r="O79">
            <v>1.55892178001842</v>
          </cell>
          <cell r="P79">
            <v>1.40008603830172</v>
          </cell>
          <cell r="Q79">
            <v>0.650343886668086</v>
          </cell>
        </row>
        <row r="79">
          <cell r="U79">
            <v>0.165264980743804</v>
          </cell>
          <cell r="V79">
            <v>0.177092728314071</v>
          </cell>
          <cell r="W79">
            <v>0.183476642119549</v>
          </cell>
          <cell r="X79">
            <v>0.401121390958133</v>
          </cell>
          <cell r="Y79">
            <v>0.941759800829644</v>
          </cell>
          <cell r="Z79">
            <v>0.475651202060286</v>
          </cell>
          <cell r="AA79">
            <v>0.524287942420682</v>
          </cell>
          <cell r="AB79">
            <v>0.179819927382898</v>
          </cell>
          <cell r="AC79">
            <v>0.308481982750763</v>
          </cell>
          <cell r="AD79">
            <v>0.588626058591662</v>
          </cell>
          <cell r="AE79">
            <v>0.528652006135302</v>
          </cell>
          <cell r="AF79">
            <v>0.245560337693207</v>
          </cell>
        </row>
        <row r="80">
          <cell r="F80">
            <v>0.437689045864287</v>
          </cell>
          <cell r="G80">
            <v>0.469013743482952</v>
          </cell>
          <cell r="H80">
            <v>0.485920949896698</v>
          </cell>
          <cell r="I80">
            <v>1.0623329763756</v>
          </cell>
          <cell r="J80">
            <v>2.4941638985059</v>
          </cell>
          <cell r="K80">
            <v>1.25971830122137</v>
          </cell>
          <cell r="L80">
            <v>1.38852821840094</v>
          </cell>
          <cell r="M80">
            <v>0.476236478468575</v>
          </cell>
          <cell r="N80">
            <v>0.816986055296336</v>
          </cell>
          <cell r="O80">
            <v>1.55892178001842</v>
          </cell>
          <cell r="P80">
            <v>1.40008603830172</v>
          </cell>
          <cell r="Q80">
            <v>0.650343886668086</v>
          </cell>
        </row>
        <row r="80">
          <cell r="U80">
            <v>0.165264980743804</v>
          </cell>
          <cell r="V80">
            <v>0.177092728314071</v>
          </cell>
          <cell r="W80">
            <v>0.183476642119549</v>
          </cell>
          <cell r="X80">
            <v>0.401121390958133</v>
          </cell>
          <cell r="Y80">
            <v>0.941759800829644</v>
          </cell>
          <cell r="Z80">
            <v>0.475651202060286</v>
          </cell>
          <cell r="AA80">
            <v>0.524287942420682</v>
          </cell>
          <cell r="AB80">
            <v>0.179819927382898</v>
          </cell>
          <cell r="AC80">
            <v>0.308481982750763</v>
          </cell>
          <cell r="AD80">
            <v>0.588626058591662</v>
          </cell>
          <cell r="AE80">
            <v>0.528652006135302</v>
          </cell>
          <cell r="AF80">
            <v>0.245560337693207</v>
          </cell>
        </row>
        <row r="81">
          <cell r="F81">
            <v>2.27598303849429</v>
          </cell>
          <cell r="G81">
            <v>2.43887146611135</v>
          </cell>
          <cell r="H81">
            <v>2.52678893946283</v>
          </cell>
          <cell r="I81">
            <v>5.52413147715312</v>
          </cell>
          <cell r="J81">
            <v>12.9696522722307</v>
          </cell>
          <cell r="K81">
            <v>6.55053516635115</v>
          </cell>
          <cell r="L81">
            <v>7.22034673568486</v>
          </cell>
          <cell r="M81">
            <v>2.47642968803659</v>
          </cell>
          <cell r="N81">
            <v>4.24832748754095</v>
          </cell>
          <cell r="O81">
            <v>8.10639325609578</v>
          </cell>
          <cell r="P81">
            <v>7.28044739916893</v>
          </cell>
          <cell r="Q81">
            <v>3.38178821067405</v>
          </cell>
        </row>
        <row r="81">
          <cell r="U81">
            <v>0.596749036098826</v>
          </cell>
          <cell r="V81">
            <v>0.639457400145528</v>
          </cell>
          <cell r="W81">
            <v>0.662508831808854</v>
          </cell>
          <cell r="X81">
            <v>1.44839398120259</v>
          </cell>
          <cell r="Y81">
            <v>3.40056466198925</v>
          </cell>
          <cell r="Z81">
            <v>1.71751084271594</v>
          </cell>
          <cell r="AA81">
            <v>1.89313139946322</v>
          </cell>
          <cell r="AB81">
            <v>0.649304939583388</v>
          </cell>
          <cell r="AC81">
            <v>1.11388586397348</v>
          </cell>
          <cell r="AD81">
            <v>2.12544745720666</v>
          </cell>
          <cell r="AE81">
            <v>1.90888943122199</v>
          </cell>
          <cell r="AF81">
            <v>0.886684487923602</v>
          </cell>
        </row>
        <row r="82">
          <cell r="F82">
            <v>2.27598303849429</v>
          </cell>
          <cell r="G82">
            <v>2.43887146611135</v>
          </cell>
          <cell r="H82">
            <v>2.52678893946283</v>
          </cell>
          <cell r="I82">
            <v>5.52413147715312</v>
          </cell>
          <cell r="J82">
            <v>12.9696522722307</v>
          </cell>
          <cell r="K82">
            <v>6.55053516635115</v>
          </cell>
          <cell r="L82">
            <v>7.22034673568486</v>
          </cell>
          <cell r="M82">
            <v>2.47642968803659</v>
          </cell>
          <cell r="N82">
            <v>4.24832748754095</v>
          </cell>
          <cell r="O82">
            <v>8.10639325609578</v>
          </cell>
          <cell r="P82">
            <v>7.28044739916893</v>
          </cell>
          <cell r="Q82">
            <v>3.38178821067405</v>
          </cell>
        </row>
        <row r="82">
          <cell r="U82">
            <v>0.596749036098826</v>
          </cell>
          <cell r="V82">
            <v>0.639457400145528</v>
          </cell>
          <cell r="W82">
            <v>0.662508831808854</v>
          </cell>
          <cell r="X82">
            <v>1.44839398120259</v>
          </cell>
          <cell r="Y82">
            <v>3.40056466198925</v>
          </cell>
          <cell r="Z82">
            <v>1.71751084271594</v>
          </cell>
          <cell r="AA82">
            <v>1.89313139946322</v>
          </cell>
          <cell r="AB82">
            <v>0.649304939583388</v>
          </cell>
          <cell r="AC82">
            <v>1.11388586397348</v>
          </cell>
          <cell r="AD82">
            <v>2.12544745720666</v>
          </cell>
          <cell r="AE82">
            <v>1.90888943122199</v>
          </cell>
          <cell r="AF82">
            <v>0.886684487923602</v>
          </cell>
        </row>
        <row r="83">
          <cell r="F83">
            <v>2.27598303849429</v>
          </cell>
          <cell r="G83">
            <v>2.43887146611135</v>
          </cell>
          <cell r="H83">
            <v>2.52678893946283</v>
          </cell>
          <cell r="I83">
            <v>5.52413147715312</v>
          </cell>
          <cell r="J83">
            <v>12.9696522722307</v>
          </cell>
          <cell r="K83">
            <v>6.55053516635115</v>
          </cell>
          <cell r="L83">
            <v>7.22034673568486</v>
          </cell>
          <cell r="M83">
            <v>2.47642968803659</v>
          </cell>
          <cell r="N83">
            <v>4.24832748754095</v>
          </cell>
          <cell r="O83">
            <v>8.10639325609578</v>
          </cell>
          <cell r="P83">
            <v>7.28044739916893</v>
          </cell>
          <cell r="Q83">
            <v>3.38178821067405</v>
          </cell>
        </row>
        <row r="83">
          <cell r="U83">
            <v>0.596749036098826</v>
          </cell>
          <cell r="V83">
            <v>0.639457400145528</v>
          </cell>
          <cell r="W83">
            <v>0.662508831808854</v>
          </cell>
          <cell r="X83">
            <v>1.44839398120259</v>
          </cell>
          <cell r="Y83">
            <v>3.40056466198925</v>
          </cell>
          <cell r="Z83">
            <v>1.71751084271594</v>
          </cell>
          <cell r="AA83">
            <v>1.89313139946322</v>
          </cell>
          <cell r="AB83">
            <v>0.649304939583388</v>
          </cell>
          <cell r="AC83">
            <v>1.11388586397348</v>
          </cell>
          <cell r="AD83">
            <v>2.12544745720666</v>
          </cell>
          <cell r="AE83">
            <v>1.90888943122199</v>
          </cell>
          <cell r="AF83">
            <v>0.886684487923602</v>
          </cell>
        </row>
        <row r="84">
          <cell r="F84">
            <v>2.27598303849429</v>
          </cell>
          <cell r="G84">
            <v>2.43887146611135</v>
          </cell>
          <cell r="H84">
            <v>2.52678893946283</v>
          </cell>
          <cell r="I84">
            <v>5.52413147715312</v>
          </cell>
          <cell r="J84">
            <v>12.9696522722307</v>
          </cell>
          <cell r="K84">
            <v>6.55053516635115</v>
          </cell>
          <cell r="L84">
            <v>7.22034673568486</v>
          </cell>
          <cell r="M84">
            <v>2.47642968803659</v>
          </cell>
          <cell r="N84">
            <v>4.24832748754095</v>
          </cell>
          <cell r="O84">
            <v>8.10639325609578</v>
          </cell>
          <cell r="P84">
            <v>7.28044739916893</v>
          </cell>
          <cell r="Q84">
            <v>3.38178821067405</v>
          </cell>
        </row>
        <row r="84">
          <cell r="U84">
            <v>0.596749036098826</v>
          </cell>
          <cell r="V84">
            <v>0.639457400145528</v>
          </cell>
          <cell r="W84">
            <v>0.662508831808854</v>
          </cell>
          <cell r="X84">
            <v>1.44839398120259</v>
          </cell>
          <cell r="Y84">
            <v>3.40056466198925</v>
          </cell>
          <cell r="Z84">
            <v>1.71751084271594</v>
          </cell>
          <cell r="AA84">
            <v>1.89313139946322</v>
          </cell>
          <cell r="AB84">
            <v>0.649304939583388</v>
          </cell>
          <cell r="AC84">
            <v>1.11388586397348</v>
          </cell>
          <cell r="AD84">
            <v>2.12544745720666</v>
          </cell>
          <cell r="AE84">
            <v>1.90888943122199</v>
          </cell>
          <cell r="AF84">
            <v>0.886684487923602</v>
          </cell>
        </row>
        <row r="85">
          <cell r="F85">
            <v>2.27598303849429</v>
          </cell>
          <cell r="G85">
            <v>2.43887146611135</v>
          </cell>
          <cell r="H85">
            <v>2.52678893946283</v>
          </cell>
          <cell r="I85">
            <v>5.52413147715312</v>
          </cell>
          <cell r="J85">
            <v>12.9696522722307</v>
          </cell>
          <cell r="K85">
            <v>6.55053516635115</v>
          </cell>
          <cell r="L85">
            <v>7.22034673568486</v>
          </cell>
          <cell r="M85">
            <v>2.47642968803659</v>
          </cell>
          <cell r="N85">
            <v>4.24832748754095</v>
          </cell>
          <cell r="O85">
            <v>8.10639325609578</v>
          </cell>
          <cell r="P85">
            <v>7.28044739916893</v>
          </cell>
          <cell r="Q85">
            <v>3.38178821067405</v>
          </cell>
        </row>
        <row r="85">
          <cell r="U85">
            <v>0.596749036098826</v>
          </cell>
          <cell r="V85">
            <v>0.639457400145528</v>
          </cell>
          <cell r="W85">
            <v>0.662508831808854</v>
          </cell>
          <cell r="X85">
            <v>1.44839398120259</v>
          </cell>
          <cell r="Y85">
            <v>3.40056466198925</v>
          </cell>
          <cell r="Z85">
            <v>1.71751084271594</v>
          </cell>
          <cell r="AA85">
            <v>1.89313139946322</v>
          </cell>
          <cell r="AB85">
            <v>0.649304939583388</v>
          </cell>
          <cell r="AC85">
            <v>1.11388586397348</v>
          </cell>
          <cell r="AD85">
            <v>2.12544745720666</v>
          </cell>
          <cell r="AE85">
            <v>1.90888943122199</v>
          </cell>
          <cell r="AF85">
            <v>0.886684487923602</v>
          </cell>
        </row>
        <row r="86">
          <cell r="F86">
            <v>2.27598303849429</v>
          </cell>
          <cell r="G86">
            <v>2.43887146611135</v>
          </cell>
          <cell r="H86">
            <v>2.52678893946283</v>
          </cell>
          <cell r="I86">
            <v>5.52413147715312</v>
          </cell>
          <cell r="J86">
            <v>12.9696522722307</v>
          </cell>
          <cell r="K86">
            <v>6.55053516635115</v>
          </cell>
          <cell r="L86">
            <v>7.22034673568486</v>
          </cell>
          <cell r="M86">
            <v>2.47642968803659</v>
          </cell>
          <cell r="N86">
            <v>4.24832748754095</v>
          </cell>
          <cell r="O86">
            <v>8.10639325609578</v>
          </cell>
          <cell r="P86">
            <v>7.28044739916893</v>
          </cell>
          <cell r="Q86">
            <v>3.38178821067405</v>
          </cell>
        </row>
        <row r="86">
          <cell r="U86">
            <v>0.596749036098826</v>
          </cell>
          <cell r="V86">
            <v>0.639457400145528</v>
          </cell>
          <cell r="W86">
            <v>0.662508831808854</v>
          </cell>
          <cell r="X86">
            <v>1.44839398120259</v>
          </cell>
          <cell r="Y86">
            <v>3.40056466198925</v>
          </cell>
          <cell r="Z86">
            <v>1.71751084271594</v>
          </cell>
          <cell r="AA86">
            <v>1.89313139946322</v>
          </cell>
          <cell r="AB86">
            <v>0.649304939583388</v>
          </cell>
          <cell r="AC86">
            <v>1.11388586397348</v>
          </cell>
          <cell r="AD86">
            <v>2.12544745720666</v>
          </cell>
          <cell r="AE86">
            <v>1.90888943122199</v>
          </cell>
          <cell r="AF86">
            <v>0.886684487923602</v>
          </cell>
        </row>
        <row r="87">
          <cell r="F87">
            <v>2.33434157794286</v>
          </cell>
          <cell r="G87">
            <v>2.50140663190908</v>
          </cell>
          <cell r="H87">
            <v>2.59157839944905</v>
          </cell>
          <cell r="I87">
            <v>5.6657758740032</v>
          </cell>
          <cell r="J87">
            <v>13.3022074586981</v>
          </cell>
          <cell r="K87">
            <v>6.718497606514</v>
          </cell>
          <cell r="L87">
            <v>7.40548383147166</v>
          </cell>
          <cell r="M87">
            <v>2.53992788516573</v>
          </cell>
          <cell r="N87">
            <v>4.35725896158046</v>
          </cell>
          <cell r="O87">
            <v>8.31424949343157</v>
          </cell>
          <cell r="P87">
            <v>7.46712553760916</v>
          </cell>
          <cell r="Q87">
            <v>3.46850072889646</v>
          </cell>
        </row>
        <row r="87">
          <cell r="U87">
            <v>1.08418603336487</v>
          </cell>
          <cell r="V87">
            <v>1.16177947550933</v>
          </cell>
          <cell r="W87">
            <v>1.20365979495119</v>
          </cell>
          <cell r="X87">
            <v>2.63147224417053</v>
          </cell>
          <cell r="Y87">
            <v>6.17821645123244</v>
          </cell>
          <cell r="Z87">
            <v>3.12040934326196</v>
          </cell>
          <cell r="AA87">
            <v>3.43948041548675</v>
          </cell>
          <cell r="AB87">
            <v>1.17967068953011</v>
          </cell>
          <cell r="AC87">
            <v>2.02373095460285</v>
          </cell>
          <cell r="AD87">
            <v>3.86155705054664</v>
          </cell>
          <cell r="AE87">
            <v>3.46810993461906</v>
          </cell>
          <cell r="AF87">
            <v>1.61094677939093</v>
          </cell>
        </row>
        <row r="88">
          <cell r="F88">
            <v>2.33434157794286</v>
          </cell>
          <cell r="G88">
            <v>2.50140663190908</v>
          </cell>
          <cell r="H88">
            <v>2.59157839944905</v>
          </cell>
          <cell r="I88">
            <v>5.6657758740032</v>
          </cell>
          <cell r="J88">
            <v>13.3022074586981</v>
          </cell>
          <cell r="K88">
            <v>6.718497606514</v>
          </cell>
          <cell r="L88">
            <v>7.40548383147166</v>
          </cell>
          <cell r="M88">
            <v>2.53992788516573</v>
          </cell>
          <cell r="N88">
            <v>4.35725896158046</v>
          </cell>
          <cell r="O88">
            <v>8.31424949343157</v>
          </cell>
          <cell r="P88">
            <v>7.46712553760916</v>
          </cell>
          <cell r="Q88">
            <v>3.46850072889646</v>
          </cell>
        </row>
        <row r="88">
          <cell r="U88">
            <v>1.08418603336487</v>
          </cell>
          <cell r="V88">
            <v>1.16177947550933</v>
          </cell>
          <cell r="W88">
            <v>1.20365979495119</v>
          </cell>
          <cell r="X88">
            <v>2.63147224417053</v>
          </cell>
          <cell r="Y88">
            <v>6.17821645123244</v>
          </cell>
          <cell r="Z88">
            <v>3.12040934326196</v>
          </cell>
          <cell r="AA88">
            <v>3.43948041548675</v>
          </cell>
          <cell r="AB88">
            <v>1.17967068953011</v>
          </cell>
          <cell r="AC88">
            <v>2.02373095460285</v>
          </cell>
          <cell r="AD88">
            <v>3.86155705054664</v>
          </cell>
          <cell r="AE88">
            <v>3.46810993461906</v>
          </cell>
          <cell r="AF88">
            <v>1.61094677939093</v>
          </cell>
        </row>
        <row r="89">
          <cell r="F89">
            <v>2.33434157794286</v>
          </cell>
          <cell r="G89">
            <v>2.50140663190908</v>
          </cell>
          <cell r="H89">
            <v>2.59157839944905</v>
          </cell>
          <cell r="I89">
            <v>5.6657758740032</v>
          </cell>
          <cell r="J89">
            <v>13.3022074586981</v>
          </cell>
          <cell r="K89">
            <v>6.718497606514</v>
          </cell>
          <cell r="L89">
            <v>7.40548383147166</v>
          </cell>
          <cell r="M89">
            <v>2.53992788516573</v>
          </cell>
          <cell r="N89">
            <v>4.35725896158046</v>
          </cell>
          <cell r="O89">
            <v>8.31424949343157</v>
          </cell>
          <cell r="P89">
            <v>7.46712553760916</v>
          </cell>
          <cell r="Q89">
            <v>3.46850072889646</v>
          </cell>
        </row>
        <row r="89">
          <cell r="U89">
            <v>1.08418603336487</v>
          </cell>
          <cell r="V89">
            <v>1.16177947550933</v>
          </cell>
          <cell r="W89">
            <v>1.20365979495119</v>
          </cell>
          <cell r="X89">
            <v>2.63147224417053</v>
          </cell>
          <cell r="Y89">
            <v>6.17821645123244</v>
          </cell>
          <cell r="Z89">
            <v>3.12040934326196</v>
          </cell>
          <cell r="AA89">
            <v>3.43948041548675</v>
          </cell>
          <cell r="AB89">
            <v>1.17967068953011</v>
          </cell>
          <cell r="AC89">
            <v>2.02373095460285</v>
          </cell>
          <cell r="AD89">
            <v>3.86155705054664</v>
          </cell>
          <cell r="AE89">
            <v>3.46810993461906</v>
          </cell>
          <cell r="AF89">
            <v>1.61094677939093</v>
          </cell>
        </row>
        <row r="90">
          <cell r="F90">
            <v>2.33434157794286</v>
          </cell>
          <cell r="G90">
            <v>2.50140663190908</v>
          </cell>
          <cell r="H90">
            <v>2.59157839944905</v>
          </cell>
          <cell r="I90">
            <v>5.6657758740032</v>
          </cell>
          <cell r="J90">
            <v>13.3022074586981</v>
          </cell>
          <cell r="K90">
            <v>6.718497606514</v>
          </cell>
          <cell r="L90">
            <v>7.40548383147166</v>
          </cell>
          <cell r="M90">
            <v>2.53992788516573</v>
          </cell>
          <cell r="N90">
            <v>4.35725896158046</v>
          </cell>
          <cell r="O90">
            <v>8.31424949343157</v>
          </cell>
          <cell r="P90">
            <v>7.46712553760916</v>
          </cell>
          <cell r="Q90">
            <v>3.46850072889646</v>
          </cell>
        </row>
        <row r="90">
          <cell r="U90">
            <v>1.08418603336487</v>
          </cell>
          <cell r="V90">
            <v>1.16177947550933</v>
          </cell>
          <cell r="W90">
            <v>1.20365979495119</v>
          </cell>
          <cell r="X90">
            <v>2.63147224417053</v>
          </cell>
          <cell r="Y90">
            <v>6.17821645123244</v>
          </cell>
          <cell r="Z90">
            <v>3.12040934326196</v>
          </cell>
          <cell r="AA90">
            <v>3.43948041548675</v>
          </cell>
          <cell r="AB90">
            <v>1.17967068953011</v>
          </cell>
          <cell r="AC90">
            <v>2.02373095460285</v>
          </cell>
          <cell r="AD90">
            <v>3.86155705054664</v>
          </cell>
          <cell r="AE90">
            <v>3.46810993461906</v>
          </cell>
          <cell r="AF90">
            <v>1.61094677939093</v>
          </cell>
        </row>
        <row r="91">
          <cell r="F91">
            <v>2.33434157794286</v>
          </cell>
          <cell r="G91">
            <v>2.50140663190908</v>
          </cell>
          <cell r="H91">
            <v>2.59157839944905</v>
          </cell>
          <cell r="I91">
            <v>5.6657758740032</v>
          </cell>
          <cell r="J91">
            <v>13.3022074586981</v>
          </cell>
          <cell r="K91">
            <v>6.718497606514</v>
          </cell>
          <cell r="L91">
            <v>7.40548383147166</v>
          </cell>
          <cell r="M91">
            <v>2.53992788516573</v>
          </cell>
          <cell r="N91">
            <v>4.35725896158046</v>
          </cell>
          <cell r="O91">
            <v>8.31424949343157</v>
          </cell>
          <cell r="P91">
            <v>7.46712553760916</v>
          </cell>
          <cell r="Q91">
            <v>3.46850072889646</v>
          </cell>
        </row>
        <row r="91">
          <cell r="U91">
            <v>1.08418603336487</v>
          </cell>
          <cell r="V91">
            <v>1.16177947550933</v>
          </cell>
          <cell r="W91">
            <v>1.20365979495119</v>
          </cell>
          <cell r="X91">
            <v>2.63147224417053</v>
          </cell>
          <cell r="Y91">
            <v>6.17821645123244</v>
          </cell>
          <cell r="Z91">
            <v>3.12040934326196</v>
          </cell>
          <cell r="AA91">
            <v>3.43948041548675</v>
          </cell>
          <cell r="AB91">
            <v>1.17967068953011</v>
          </cell>
          <cell r="AC91">
            <v>2.02373095460285</v>
          </cell>
          <cell r="AD91">
            <v>3.86155705054664</v>
          </cell>
          <cell r="AE91">
            <v>3.46810993461906</v>
          </cell>
          <cell r="AF91">
            <v>1.61094677939093</v>
          </cell>
        </row>
        <row r="92">
          <cell r="F92">
            <v>2.33434157794286</v>
          </cell>
          <cell r="G92">
            <v>2.50140663190908</v>
          </cell>
          <cell r="H92">
            <v>2.59157839944905</v>
          </cell>
          <cell r="I92">
            <v>5.6657758740032</v>
          </cell>
          <cell r="J92">
            <v>13.3022074586981</v>
          </cell>
          <cell r="K92">
            <v>6.718497606514</v>
          </cell>
          <cell r="L92">
            <v>7.40548383147166</v>
          </cell>
          <cell r="M92">
            <v>2.53992788516573</v>
          </cell>
          <cell r="N92">
            <v>4.35725896158046</v>
          </cell>
          <cell r="O92">
            <v>8.31424949343157</v>
          </cell>
          <cell r="P92">
            <v>7.46712553760916</v>
          </cell>
          <cell r="Q92">
            <v>3.46850072889646</v>
          </cell>
        </row>
        <row r="92">
          <cell r="U92">
            <v>1.08418603336487</v>
          </cell>
          <cell r="V92">
            <v>1.16177947550933</v>
          </cell>
          <cell r="W92">
            <v>1.20365979495119</v>
          </cell>
          <cell r="X92">
            <v>2.63147224417053</v>
          </cell>
          <cell r="Y92">
            <v>6.17821645123244</v>
          </cell>
          <cell r="Z92">
            <v>3.12040934326196</v>
          </cell>
          <cell r="AA92">
            <v>3.43948041548675</v>
          </cell>
          <cell r="AB92">
            <v>1.17967068953011</v>
          </cell>
          <cell r="AC92">
            <v>2.02373095460285</v>
          </cell>
          <cell r="AD92">
            <v>3.86155705054664</v>
          </cell>
          <cell r="AE92">
            <v>3.46810993461906</v>
          </cell>
          <cell r="AF92">
            <v>1.61094677939093</v>
          </cell>
        </row>
        <row r="93">
          <cell r="F93">
            <v>1.75075618345715</v>
          </cell>
          <cell r="G93">
            <v>1.87605497393181</v>
          </cell>
          <cell r="H93">
            <v>1.94368379958679</v>
          </cell>
          <cell r="I93">
            <v>4.2493319055024</v>
          </cell>
          <cell r="J93">
            <v>9.97665559402359</v>
          </cell>
          <cell r="K93">
            <v>5.0388732048855</v>
          </cell>
          <cell r="L93">
            <v>5.55411287360374</v>
          </cell>
          <cell r="M93">
            <v>1.9049459138743</v>
          </cell>
          <cell r="N93">
            <v>3.26794422118534</v>
          </cell>
          <cell r="O93">
            <v>6.23568712007368</v>
          </cell>
          <cell r="P93">
            <v>5.60034415320687</v>
          </cell>
          <cell r="Q93">
            <v>2.60137554667234</v>
          </cell>
        </row>
        <row r="93">
          <cell r="U93">
            <v>0.790072832083512</v>
          </cell>
          <cell r="V93">
            <v>0.846617067758563</v>
          </cell>
          <cell r="W93">
            <v>0.877136279011729</v>
          </cell>
          <cell r="X93">
            <v>1.91761806970381</v>
          </cell>
          <cell r="Y93">
            <v>4.50221716442961</v>
          </cell>
          <cell r="Z93">
            <v>2.27391847083604</v>
          </cell>
          <cell r="AA93">
            <v>2.50643335104177</v>
          </cell>
          <cell r="AB93">
            <v>0.859654832215774</v>
          </cell>
          <cell r="AC93">
            <v>1.47474215445834</v>
          </cell>
          <cell r="AD93">
            <v>2.81401089968727</v>
          </cell>
          <cell r="AE93">
            <v>2.52729638060124</v>
          </cell>
          <cell r="AF93">
            <v>1.17393624817234</v>
          </cell>
        </row>
        <row r="94">
          <cell r="F94">
            <v>1.75075618345715</v>
          </cell>
          <cell r="G94">
            <v>1.87605497393181</v>
          </cell>
          <cell r="H94">
            <v>1.94368379958679</v>
          </cell>
          <cell r="I94">
            <v>4.2493319055024</v>
          </cell>
          <cell r="J94">
            <v>9.97665559402359</v>
          </cell>
          <cell r="K94">
            <v>5.0388732048855</v>
          </cell>
          <cell r="L94">
            <v>5.55411287360374</v>
          </cell>
          <cell r="M94">
            <v>1.9049459138743</v>
          </cell>
          <cell r="N94">
            <v>3.26794422118534</v>
          </cell>
          <cell r="O94">
            <v>6.23568712007368</v>
          </cell>
          <cell r="P94">
            <v>5.60034415320687</v>
          </cell>
          <cell r="Q94">
            <v>2.60137554667234</v>
          </cell>
        </row>
        <row r="94">
          <cell r="U94">
            <v>0.790072832083512</v>
          </cell>
          <cell r="V94">
            <v>0.846617067758563</v>
          </cell>
          <cell r="W94">
            <v>0.877136279011729</v>
          </cell>
          <cell r="X94">
            <v>1.91761806970381</v>
          </cell>
          <cell r="Y94">
            <v>4.50221716442961</v>
          </cell>
          <cell r="Z94">
            <v>2.27391847083604</v>
          </cell>
          <cell r="AA94">
            <v>2.50643335104177</v>
          </cell>
          <cell r="AB94">
            <v>0.859654832215774</v>
          </cell>
          <cell r="AC94">
            <v>1.47474215445834</v>
          </cell>
          <cell r="AD94">
            <v>2.81401089968727</v>
          </cell>
          <cell r="AE94">
            <v>2.52729638060124</v>
          </cell>
          <cell r="AF94">
            <v>1.17393624817234</v>
          </cell>
        </row>
        <row r="95">
          <cell r="F95">
            <v>1.75075618345715</v>
          </cell>
          <cell r="G95">
            <v>1.87605497393181</v>
          </cell>
          <cell r="H95">
            <v>1.94368379958679</v>
          </cell>
          <cell r="I95">
            <v>4.2493319055024</v>
          </cell>
          <cell r="J95">
            <v>9.97665559402359</v>
          </cell>
          <cell r="K95">
            <v>5.0388732048855</v>
          </cell>
          <cell r="L95">
            <v>5.55411287360374</v>
          </cell>
          <cell r="M95">
            <v>1.9049459138743</v>
          </cell>
          <cell r="N95">
            <v>3.26794422118534</v>
          </cell>
          <cell r="O95">
            <v>6.23568712007368</v>
          </cell>
          <cell r="P95">
            <v>5.60034415320687</v>
          </cell>
          <cell r="Q95">
            <v>2.60137554667234</v>
          </cell>
        </row>
        <row r="95">
          <cell r="U95">
            <v>0.790072832083512</v>
          </cell>
          <cell r="V95">
            <v>0.846617067758563</v>
          </cell>
          <cell r="W95">
            <v>0.877136279011729</v>
          </cell>
          <cell r="X95">
            <v>1.91761806970381</v>
          </cell>
          <cell r="Y95">
            <v>4.50221716442961</v>
          </cell>
          <cell r="Z95">
            <v>2.27391847083604</v>
          </cell>
          <cell r="AA95">
            <v>2.50643335104177</v>
          </cell>
          <cell r="AB95">
            <v>0.859654832215774</v>
          </cell>
          <cell r="AC95">
            <v>1.47474215445834</v>
          </cell>
          <cell r="AD95">
            <v>2.81401089968727</v>
          </cell>
          <cell r="AE95">
            <v>2.52729638060124</v>
          </cell>
          <cell r="AF95">
            <v>1.17393624817234</v>
          </cell>
        </row>
        <row r="96">
          <cell r="F96">
            <v>1.75075618345715</v>
          </cell>
          <cell r="G96">
            <v>1.87605497393181</v>
          </cell>
          <cell r="H96">
            <v>1.94368379958679</v>
          </cell>
          <cell r="I96">
            <v>4.2493319055024</v>
          </cell>
          <cell r="J96">
            <v>9.97665559402359</v>
          </cell>
          <cell r="K96">
            <v>5.0388732048855</v>
          </cell>
          <cell r="L96">
            <v>5.55411287360374</v>
          </cell>
          <cell r="M96">
            <v>1.9049459138743</v>
          </cell>
          <cell r="N96">
            <v>3.26794422118534</v>
          </cell>
          <cell r="O96">
            <v>6.23568712007368</v>
          </cell>
          <cell r="P96">
            <v>5.60034415320687</v>
          </cell>
          <cell r="Q96">
            <v>2.60137554667234</v>
          </cell>
        </row>
        <row r="96">
          <cell r="U96">
            <v>0.790072832083512</v>
          </cell>
          <cell r="V96">
            <v>0.846617067758563</v>
          </cell>
          <cell r="W96">
            <v>0.877136279011729</v>
          </cell>
          <cell r="X96">
            <v>1.91761806970381</v>
          </cell>
          <cell r="Y96">
            <v>4.50221716442961</v>
          </cell>
          <cell r="Z96">
            <v>2.27391847083604</v>
          </cell>
          <cell r="AA96">
            <v>2.50643335104177</v>
          </cell>
          <cell r="AB96">
            <v>0.859654832215774</v>
          </cell>
          <cell r="AC96">
            <v>1.47474215445834</v>
          </cell>
          <cell r="AD96">
            <v>2.81401089968727</v>
          </cell>
          <cell r="AE96">
            <v>2.52729638060124</v>
          </cell>
          <cell r="AF96">
            <v>1.17393624817234</v>
          </cell>
        </row>
        <row r="99">
          <cell r="F99">
            <v>14.075592911429</v>
          </cell>
          <cell r="G99">
            <v>12.0703288898228</v>
          </cell>
          <cell r="H99">
            <v>28.7112435294842</v>
          </cell>
          <cell r="I99">
            <v>41.7622793303713</v>
          </cell>
          <cell r="J99">
            <v>22.7888326444429</v>
          </cell>
          <cell r="K99">
            <v>16.758240348834</v>
          </cell>
          <cell r="L99">
            <v>10.1626875192742</v>
          </cell>
          <cell r="M99">
            <v>14.1116960703031</v>
          </cell>
          <cell r="N99">
            <v>16.1362961547626</v>
          </cell>
          <cell r="O99">
            <v>15.6060090273118</v>
          </cell>
          <cell r="P99">
            <v>10.7001883973387</v>
          </cell>
          <cell r="Q99">
            <v>13.8967763815776</v>
          </cell>
        </row>
        <row r="100">
          <cell r="F100">
            <v>3.81213974684536</v>
          </cell>
          <cell r="G100">
            <v>3.26904740766033</v>
          </cell>
          <cell r="H100">
            <v>7.7759617892353</v>
          </cell>
          <cell r="I100">
            <v>11.3106173186422</v>
          </cell>
          <cell r="J100">
            <v>6.17197550786994</v>
          </cell>
          <cell r="K100">
            <v>4.53869009447589</v>
          </cell>
          <cell r="L100">
            <v>2.7523945364701</v>
          </cell>
          <cell r="M100">
            <v>3.8219176857071</v>
          </cell>
          <cell r="N100">
            <v>4.37024687524819</v>
          </cell>
          <cell r="O100">
            <v>4.22662744489694</v>
          </cell>
          <cell r="P100">
            <v>2.89796769094589</v>
          </cell>
          <cell r="Q100">
            <v>3.7637102700106</v>
          </cell>
        </row>
        <row r="101">
          <cell r="F101">
            <v>8.33472884848195</v>
          </cell>
          <cell r="G101">
            <v>5.86049620717238</v>
          </cell>
          <cell r="H101">
            <v>4.87268313981352</v>
          </cell>
          <cell r="I101">
            <v>6.88031947530495</v>
          </cell>
          <cell r="J101">
            <v>6.88031947530495</v>
          </cell>
          <cell r="K101">
            <v>4.90467759528434</v>
          </cell>
          <cell r="L101">
            <v>6.88031947530495</v>
          </cell>
          <cell r="M101">
            <v>6.46486128905375</v>
          </cell>
          <cell r="N101">
            <v>10.550812000489</v>
          </cell>
          <cell r="O101">
            <v>10.7271121569393</v>
          </cell>
          <cell r="P101">
            <v>11.3145431655633</v>
          </cell>
          <cell r="Q101">
            <v>11.3623983894778</v>
          </cell>
        </row>
        <row r="102">
          <cell r="F102">
            <v>3.54769956660696</v>
          </cell>
          <cell r="G102">
            <v>2.49453584300754</v>
          </cell>
          <cell r="H102">
            <v>2.07407057597057</v>
          </cell>
          <cell r="I102">
            <v>2.9286263373886</v>
          </cell>
          <cell r="J102">
            <v>2.9286263373886</v>
          </cell>
          <cell r="K102">
            <v>2.08768910128448</v>
          </cell>
          <cell r="L102">
            <v>2.9286263373886</v>
          </cell>
          <cell r="M102">
            <v>2.7517854522079</v>
          </cell>
          <cell r="N102">
            <v>4.49098127149079</v>
          </cell>
          <cell r="O102">
            <v>4.56602390335099</v>
          </cell>
          <cell r="P102">
            <v>4.81606547909902</v>
          </cell>
          <cell r="Q102">
            <v>4.83643518280839</v>
          </cell>
        </row>
        <row r="103">
          <cell r="F103">
            <v>0.0078979694305466</v>
          </cell>
          <cell r="G103">
            <v>0.00846321433797808</v>
          </cell>
          <cell r="H103">
            <v>0.00876829987912528</v>
          </cell>
          <cell r="I103">
            <v>0.0191694844816327</v>
          </cell>
          <cell r="J103">
            <v>0.0450064501529255</v>
          </cell>
          <cell r="K103">
            <v>0.0227312443118155</v>
          </cell>
          <cell r="L103">
            <v>0.0250555811848723</v>
          </cell>
          <cell r="M103">
            <v>0.00859354645540347</v>
          </cell>
          <cell r="N103">
            <v>0.0147422718271867</v>
          </cell>
          <cell r="O103">
            <v>0.0281302826276727</v>
          </cell>
          <cell r="P103">
            <v>0.0252641386279307</v>
          </cell>
          <cell r="Q103">
            <v>0.0117352631617837</v>
          </cell>
        </row>
        <row r="104">
          <cell r="F104">
            <v>0.0324651300743771</v>
          </cell>
          <cell r="G104">
            <v>0.0278400206594795</v>
          </cell>
          <cell r="H104">
            <v>0.066222024297461</v>
          </cell>
          <cell r="I104">
            <v>0.0963240297722795</v>
          </cell>
          <cell r="J104">
            <v>0.0525620782513762</v>
          </cell>
          <cell r="K104">
            <v>0.0386526135109244</v>
          </cell>
          <cell r="L104">
            <v>0.0234400763289047</v>
          </cell>
          <cell r="M104">
            <v>0.032548401433269</v>
          </cell>
          <cell r="N104">
            <v>0.0372181091680814</v>
          </cell>
          <cell r="O104">
            <v>0.0359950103844075</v>
          </cell>
          <cell r="P104">
            <v>0.0246798135130687</v>
          </cell>
          <cell r="Q104">
            <v>0.032052692606371</v>
          </cell>
        </row>
        <row r="107">
          <cell r="F107">
            <v>8.39984873959942</v>
          </cell>
          <cell r="G107">
            <v>8.66158250956022</v>
          </cell>
          <cell r="H107">
            <v>8.10941303664263</v>
          </cell>
          <cell r="I107">
            <v>6.35140083225701</v>
          </cell>
          <cell r="J107">
            <v>7.81177516026648</v>
          </cell>
          <cell r="K107">
            <v>6.88582796932982</v>
          </cell>
          <cell r="L107">
            <v>8.44186771665688</v>
          </cell>
          <cell r="M107">
            <v>6.5092821654403</v>
          </cell>
          <cell r="N107">
            <v>7.13560696403099</v>
          </cell>
          <cell r="O107">
            <v>7.60760218668661</v>
          </cell>
          <cell r="P107">
            <v>7.80871700324727</v>
          </cell>
          <cell r="Q107">
            <v>8.37314129389253</v>
          </cell>
        </row>
        <row r="108">
          <cell r="F108">
            <v>73.3427386854875</v>
          </cell>
          <cell r="G108">
            <v>75.6280502536477</v>
          </cell>
          <cell r="H108">
            <v>70.8068180365269</v>
          </cell>
          <cell r="I108">
            <v>55.4568476133332</v>
          </cell>
          <cell r="J108">
            <v>68.2080120738614</v>
          </cell>
          <cell r="K108">
            <v>60.1231637668587</v>
          </cell>
          <cell r="L108">
            <v>73.7096246794732</v>
          </cell>
          <cell r="M108">
            <v>56.8353783133432</v>
          </cell>
          <cell r="N108">
            <v>62.3040929842063</v>
          </cell>
          <cell r="O108">
            <v>66.4252888948936</v>
          </cell>
          <cell r="P108">
            <v>68.1813099726602</v>
          </cell>
          <cell r="Q108">
            <v>73.1095443420938</v>
          </cell>
        </row>
        <row r="109">
          <cell r="F109">
            <v>73.3427386854875</v>
          </cell>
          <cell r="G109">
            <v>75.6280502536477</v>
          </cell>
          <cell r="H109">
            <v>70.8068180365269</v>
          </cell>
          <cell r="I109">
            <v>55.4568476133332</v>
          </cell>
          <cell r="J109">
            <v>68.2080120738614</v>
          </cell>
          <cell r="K109">
            <v>60.1231637668587</v>
          </cell>
          <cell r="L109">
            <v>73.7096246794731</v>
          </cell>
          <cell r="M109">
            <v>56.8353783133432</v>
          </cell>
          <cell r="N109">
            <v>62.3040929842063</v>
          </cell>
          <cell r="O109">
            <v>66.4252888948936</v>
          </cell>
          <cell r="P109">
            <v>68.1813099726602</v>
          </cell>
          <cell r="Q109">
            <v>73.1095443420938</v>
          </cell>
        </row>
        <row r="110">
          <cell r="F110">
            <v>283.286328172696</v>
          </cell>
          <cell r="G110">
            <v>292.113344104714</v>
          </cell>
          <cell r="H110">
            <v>273.491334666085</v>
          </cell>
          <cell r="I110">
            <v>214.202073906499</v>
          </cell>
          <cell r="J110">
            <v>263.45344663529</v>
          </cell>
          <cell r="K110">
            <v>232.225720049492</v>
          </cell>
          <cell r="L110">
            <v>284.703425324465</v>
          </cell>
          <cell r="M110">
            <v>219.526648735288</v>
          </cell>
          <cell r="N110">
            <v>240.649559151497</v>
          </cell>
          <cell r="O110">
            <v>256.567678356527</v>
          </cell>
          <cell r="P110">
            <v>263.3503097694</v>
          </cell>
          <cell r="Q110">
            <v>282.385615021337</v>
          </cell>
        </row>
        <row r="112">
          <cell r="F112">
            <v>310.239784639612</v>
          </cell>
          <cell r="G112">
            <v>319.90665257293</v>
          </cell>
          <cell r="H112">
            <v>299.512840294509</v>
          </cell>
          <cell r="I112">
            <v>234.582465404399</v>
          </cell>
          <cell r="J112">
            <v>288.519891072434</v>
          </cell>
          <cell r="K112">
            <v>254.320982733812</v>
          </cell>
          <cell r="L112">
            <v>311.791712394171</v>
          </cell>
          <cell r="M112">
            <v>240.413650265442</v>
          </cell>
          <cell r="N112">
            <v>263.546313323193</v>
          </cell>
          <cell r="O112">
            <v>280.9789720254</v>
          </cell>
          <cell r="P112">
            <v>288.406941184353</v>
          </cell>
          <cell r="Q112">
            <v>309.253372567057</v>
          </cell>
        </row>
        <row r="113">
          <cell r="F113">
            <v>183.356846713719</v>
          </cell>
          <cell r="G113">
            <v>189.070125634119</v>
          </cell>
          <cell r="H113">
            <v>177.017045091317</v>
          </cell>
          <cell r="I113">
            <v>138.642119033333</v>
          </cell>
          <cell r="J113">
            <v>170.520030184653</v>
          </cell>
          <cell r="K113">
            <v>150.307909417147</v>
          </cell>
          <cell r="L113">
            <v>184.274061698683</v>
          </cell>
          <cell r="M113">
            <v>142.088445783358</v>
          </cell>
          <cell r="N113">
            <v>155.760232460516</v>
          </cell>
          <cell r="O113">
            <v>166.063222237234</v>
          </cell>
          <cell r="P113">
            <v>170.453274931651</v>
          </cell>
          <cell r="Q113">
            <v>182.773860855235</v>
          </cell>
        </row>
        <row r="114">
          <cell r="F114">
            <v>509.848987203644</v>
          </cell>
          <cell r="G114">
            <v>525.735546791605</v>
          </cell>
          <cell r="H114">
            <v>492.220294879434</v>
          </cell>
          <cell r="I114">
            <v>385.513523164352</v>
          </cell>
          <cell r="J114">
            <v>474.154449347189</v>
          </cell>
          <cell r="K114">
            <v>417.951861403251</v>
          </cell>
          <cell r="L114">
            <v>512.399429903294</v>
          </cell>
          <cell r="M114">
            <v>395.09650975343</v>
          </cell>
          <cell r="N114">
            <v>433.112797203532</v>
          </cell>
          <cell r="O114">
            <v>461.761680498471</v>
          </cell>
          <cell r="P114">
            <v>473.968827164304</v>
          </cell>
          <cell r="Q114">
            <v>508.227914662151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1.4 CGS"/>
      <sheetName val="PP assumptions"/>
      <sheetName val="Legend"/>
      <sheetName val="Inputs to COS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 (2)"/>
      <sheetName val="Gen_Cost"/>
      <sheetName val="ST,D-D"/>
      <sheetName val="Dispatch"/>
      <sheetName val="NCE - Summry"/>
      <sheetName val="Source wise - Cost"/>
      <sheetName val="Station wise Cost - FY25"/>
      <sheetName val="TGSPDCL MoD"/>
      <sheetName val="MoD"/>
      <sheetName val="TGNPDCL MoD for disp"/>
      <sheetName val="TGNPDCL MoD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MoD_Model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7">
          <cell r="L7">
            <v>4668.46400042853</v>
          </cell>
          <cell r="M7">
            <v>4303.50494280635</v>
          </cell>
          <cell r="N7">
            <v>4020.54519432015</v>
          </cell>
          <cell r="O7">
            <v>3876.78292373368</v>
          </cell>
          <cell r="P7">
            <v>4347.58578057043</v>
          </cell>
          <cell r="Q7">
            <v>4247.05668186291</v>
          </cell>
          <cell r="R7">
            <v>3883.99453907475</v>
          </cell>
          <cell r="S7">
            <v>3652.3484088842</v>
          </cell>
          <cell r="T7">
            <v>4050.71244968621</v>
          </cell>
          <cell r="U7">
            <v>4595.96482697942</v>
          </cell>
          <cell r="V7">
            <v>4639.23378840823</v>
          </cell>
          <cell r="W7">
            <v>5534.34144734033</v>
          </cell>
        </row>
        <row r="9">
          <cell r="L9">
            <v>735.880009081892</v>
          </cell>
          <cell r="M9">
            <v>788.686883148107</v>
          </cell>
          <cell r="N9">
            <v>774.337847500418</v>
          </cell>
          <cell r="O9">
            <v>758.055023201292</v>
          </cell>
          <cell r="P9">
            <v>776.754400602116</v>
          </cell>
          <cell r="Q9">
            <v>749.384912631284</v>
          </cell>
          <cell r="R9">
            <v>760.10889328322</v>
          </cell>
          <cell r="S9">
            <v>760.321842220344</v>
          </cell>
          <cell r="T9">
            <v>760.703677748432</v>
          </cell>
          <cell r="U9">
            <v>761.541978753759</v>
          </cell>
          <cell r="V9">
            <v>750.085606142552</v>
          </cell>
          <cell r="W9">
            <v>848.572341010618</v>
          </cell>
        </row>
        <row r="11">
          <cell r="L11">
            <v>148.457155213628</v>
          </cell>
          <cell r="M11">
            <v>136.851457181242</v>
          </cell>
          <cell r="N11">
            <v>127.853337179381</v>
          </cell>
          <cell r="O11">
            <v>123.281696974731</v>
          </cell>
          <cell r="P11">
            <v>138.25322782214</v>
          </cell>
          <cell r="Q11">
            <v>135.056402483241</v>
          </cell>
          <cell r="R11">
            <v>123.511026342577</v>
          </cell>
          <cell r="S11">
            <v>116.144679402518</v>
          </cell>
          <cell r="T11">
            <v>128.812655900022</v>
          </cell>
          <cell r="U11">
            <v>146.151681497946</v>
          </cell>
          <cell r="V11">
            <v>147.527634471382</v>
          </cell>
          <cell r="W11">
            <v>175.992058025423</v>
          </cell>
        </row>
        <row r="19">
          <cell r="L19">
            <v>3784.12683613301</v>
          </cell>
          <cell r="M19">
            <v>3377.966602477</v>
          </cell>
          <cell r="N19">
            <v>3118.35400964035</v>
          </cell>
          <cell r="O19">
            <v>2995.44620355766</v>
          </cell>
          <cell r="P19">
            <v>3432.57815214617</v>
          </cell>
          <cell r="Q19">
            <v>3362.61536674839</v>
          </cell>
          <cell r="R19">
            <v>3000.37461944895</v>
          </cell>
          <cell r="S19">
            <v>2775.88188726133</v>
          </cell>
          <cell r="T19">
            <v>3161.19611603775</v>
          </cell>
          <cell r="U19">
            <v>3688.27116672771</v>
          </cell>
          <cell r="V19">
            <v>3741.6205477943</v>
          </cell>
          <cell r="W19">
            <v>4509.77704830429</v>
          </cell>
        </row>
        <row r="20">
          <cell r="L20">
            <v>663.216255130405</v>
          </cell>
          <cell r="M20">
            <v>700.903200756976</v>
          </cell>
          <cell r="N20">
            <v>690.111098312545</v>
          </cell>
          <cell r="O20">
            <v>635.053682021841</v>
          </cell>
          <cell r="P20">
            <v>670.92942053322</v>
          </cell>
          <cell r="Q20">
            <v>630.099943304359</v>
          </cell>
          <cell r="R20">
            <v>650.541441830685</v>
          </cell>
          <cell r="S20">
            <v>636.469728763249</v>
          </cell>
          <cell r="T20">
            <v>641.817789251859</v>
          </cell>
          <cell r="U20">
            <v>631.282346101699</v>
          </cell>
          <cell r="V20">
            <v>644.185658621051</v>
          </cell>
          <cell r="W20">
            <v>709.60369528669</v>
          </cell>
        </row>
        <row r="22">
          <cell r="L22">
            <v>154.013962230613</v>
          </cell>
          <cell r="M22">
            <v>137.483240720814</v>
          </cell>
          <cell r="N22">
            <v>126.917008192362</v>
          </cell>
          <cell r="O22">
            <v>121.914660484797</v>
          </cell>
          <cell r="P22">
            <v>139.705930792349</v>
          </cell>
          <cell r="Q22">
            <v>136.858445426659</v>
          </cell>
          <cell r="R22">
            <v>122.115247011572</v>
          </cell>
          <cell r="S22">
            <v>112.978392811536</v>
          </cell>
          <cell r="T22">
            <v>128.660681922736</v>
          </cell>
          <cell r="U22">
            <v>150.112636485818</v>
          </cell>
          <cell r="V22">
            <v>152.283956295228</v>
          </cell>
          <cell r="W22">
            <v>183.547925865984</v>
          </cell>
        </row>
        <row r="27">
          <cell r="L27">
            <v>2966.89661877199</v>
          </cell>
          <cell r="M27">
            <v>2539.58016099921</v>
          </cell>
          <cell r="N27">
            <v>2301.32590313545</v>
          </cell>
          <cell r="O27">
            <v>2238.47786105102</v>
          </cell>
          <cell r="P27">
            <v>2621.9428008206</v>
          </cell>
          <cell r="Q27">
            <v>2595.65697801737</v>
          </cell>
          <cell r="R27">
            <v>2227.7179306067</v>
          </cell>
          <cell r="S27">
            <v>2026.43376568655</v>
          </cell>
          <cell r="T27">
            <v>2390.71764486316</v>
          </cell>
          <cell r="U27">
            <v>2906.87618414019</v>
          </cell>
          <cell r="V27">
            <v>2945.15093287802</v>
          </cell>
          <cell r="W27">
            <v>3616.62542715161</v>
          </cell>
        </row>
        <row r="28">
          <cell r="L28">
            <v>1538.16193465656</v>
          </cell>
          <cell r="M28">
            <v>1810.43068947887</v>
          </cell>
          <cell r="N28">
            <v>1634.48484138047</v>
          </cell>
          <cell r="O28">
            <v>1330.91303002676</v>
          </cell>
          <cell r="P28">
            <v>1510.25021639941</v>
          </cell>
          <cell r="Q28">
            <v>1400.72070230716</v>
          </cell>
          <cell r="R28">
            <v>1402.37521814</v>
          </cell>
          <cell r="S28">
            <v>1320.70160451846</v>
          </cell>
          <cell r="T28">
            <v>1207.67592683733</v>
          </cell>
          <cell r="U28">
            <v>1332.40384098709</v>
          </cell>
          <cell r="V28">
            <v>1276.69515318444</v>
          </cell>
          <cell r="W28">
            <v>1671.34709447042</v>
          </cell>
        </row>
        <row r="29">
          <cell r="L29">
            <v>1289.29054303314</v>
          </cell>
          <cell r="M29">
            <v>609.789203953377</v>
          </cell>
          <cell r="N29">
            <v>558.67874430761</v>
          </cell>
          <cell r="O29">
            <v>802.356371554863</v>
          </cell>
          <cell r="P29">
            <v>988.461272782625</v>
          </cell>
          <cell r="Q29">
            <v>1072.94039774339</v>
          </cell>
          <cell r="R29">
            <v>720.639969728177</v>
          </cell>
          <cell r="S29">
            <v>610.489774180826</v>
          </cell>
          <cell r="T29">
            <v>1070.67798871725</v>
          </cell>
          <cell r="U29">
            <v>1437.84916249852</v>
          </cell>
          <cell r="V29">
            <v>1530.03368584831</v>
          </cell>
          <cell r="W29">
            <v>1775.29693760507</v>
          </cell>
        </row>
        <row r="30">
          <cell r="L30">
            <v>139.444141082284</v>
          </cell>
          <cell r="M30">
            <v>119.360267566963</v>
          </cell>
          <cell r="N30">
            <v>108.162317447366</v>
          </cell>
          <cell r="O30">
            <v>105.208459469398</v>
          </cell>
          <cell r="P30">
            <v>123.231311638569</v>
          </cell>
          <cell r="Q30">
            <v>121.995877966816</v>
          </cell>
          <cell r="R30">
            <v>104.702742738515</v>
          </cell>
          <cell r="S30">
            <v>95.242386987268</v>
          </cell>
          <cell r="T30">
            <v>112.363729308569</v>
          </cell>
          <cell r="U30">
            <v>136.623180654589</v>
          </cell>
          <cell r="V30">
            <v>138.422093845267</v>
          </cell>
          <cell r="W30">
            <v>169.981395076126</v>
          </cell>
        </row>
        <row r="37">
          <cell r="L37">
            <v>607.609933041974</v>
          </cell>
          <cell r="M37">
            <v>583.152950432383</v>
          </cell>
          <cell r="N37">
            <v>605.770899895486</v>
          </cell>
          <cell r="O37">
            <v>613.927347624491</v>
          </cell>
          <cell r="P37">
            <v>772.406121818497</v>
          </cell>
          <cell r="Q37">
            <v>826.817606407136</v>
          </cell>
          <cell r="R37">
            <v>840.896460635292</v>
          </cell>
          <cell r="S37">
            <v>812.593661898453</v>
          </cell>
          <cell r="T37">
            <v>689.605056646936</v>
          </cell>
          <cell r="U37">
            <v>666.932934066462</v>
          </cell>
          <cell r="V37">
            <v>633.495071816136</v>
          </cell>
          <cell r="W37">
            <v>674.615518751046</v>
          </cell>
        </row>
        <row r="46">
          <cell r="L46">
            <v>5410.24808600339</v>
          </cell>
          <cell r="M46">
            <v>5010.9289307206</v>
          </cell>
          <cell r="N46">
            <v>4743.96646248527</v>
          </cell>
          <cell r="O46">
            <v>4604.91209122044</v>
          </cell>
          <cell r="P46">
            <v>5250.19678259734</v>
          </cell>
          <cell r="Q46">
            <v>5202.90636615058</v>
          </cell>
          <cell r="R46">
            <v>4845.04819494467</v>
          </cell>
          <cell r="S46">
            <v>4578.48858775908</v>
          </cell>
          <cell r="T46">
            <v>4860.86700813489</v>
          </cell>
          <cell r="U46">
            <v>5396.73683454253</v>
          </cell>
          <cell r="V46">
            <v>5406.81794526699</v>
          </cell>
          <cell r="W46">
            <v>6366.85496933078</v>
          </cell>
        </row>
        <row r="47">
          <cell r="L47">
            <v>134.174152532884</v>
          </cell>
          <cell r="M47">
            <v>124.271037481871</v>
          </cell>
          <cell r="N47">
            <v>117.650368269635</v>
          </cell>
          <cell r="O47">
            <v>114.201819862267</v>
          </cell>
          <cell r="P47">
            <v>130.204880208414</v>
          </cell>
          <cell r="Q47">
            <v>129.032077880534</v>
          </cell>
          <cell r="R47">
            <v>120.157195234628</v>
          </cell>
          <cell r="S47">
            <v>113.546516976425</v>
          </cell>
          <cell r="T47">
            <v>120.549501801745</v>
          </cell>
          <cell r="U47">
            <v>133.839073496655</v>
          </cell>
          <cell r="V47">
            <v>134.089085042621</v>
          </cell>
          <cell r="W47">
            <v>157.898003239403</v>
          </cell>
        </row>
        <row r="48">
          <cell r="L48">
            <v>735.173254274452</v>
          </cell>
          <cell r="M48">
            <v>746.069305634791</v>
          </cell>
          <cell r="N48">
            <v>653.256178116467</v>
          </cell>
          <cell r="O48">
            <v>711.553651069648</v>
          </cell>
          <cell r="P48">
            <v>748.734300478753</v>
          </cell>
          <cell r="Q48">
            <v>703.622476882152</v>
          </cell>
          <cell r="R48">
            <v>707.301480542192</v>
          </cell>
          <cell r="S48">
            <v>705.189504274452</v>
          </cell>
          <cell r="T48">
            <v>704.427597149341</v>
          </cell>
          <cell r="U48">
            <v>748.464907149341</v>
          </cell>
          <cell r="V48">
            <v>690.719633524674</v>
          </cell>
          <cell r="W48">
            <v>764.268107149341</v>
          </cell>
        </row>
        <row r="49">
          <cell r="L49">
            <v>116.555655</v>
          </cell>
          <cell r="M49">
            <v>120.44296</v>
          </cell>
          <cell r="N49">
            <v>116.555655</v>
          </cell>
          <cell r="O49">
            <v>120.44296</v>
          </cell>
          <cell r="P49">
            <v>120.44296</v>
          </cell>
          <cell r="Q49">
            <v>116.555655</v>
          </cell>
          <cell r="R49">
            <v>120.44296</v>
          </cell>
          <cell r="S49">
            <v>91.79966</v>
          </cell>
          <cell r="T49">
            <v>108.061435</v>
          </cell>
          <cell r="U49">
            <v>120.44296</v>
          </cell>
          <cell r="V49">
            <v>108.7881</v>
          </cell>
          <cell r="W49">
            <v>120.44296</v>
          </cell>
        </row>
        <row r="52">
          <cell r="L52">
            <v>33.472946134486</v>
          </cell>
          <cell r="M52">
            <v>31.0211391097255</v>
          </cell>
          <cell r="N52">
            <v>25.3268093095318</v>
          </cell>
          <cell r="O52">
            <v>29.2030810485446</v>
          </cell>
          <cell r="P52">
            <v>29.291273678134</v>
          </cell>
          <cell r="Q52">
            <v>28.7062346158753</v>
          </cell>
          <cell r="R52">
            <v>27.4811154260008</v>
          </cell>
          <cell r="S52">
            <v>26.1213198590952</v>
          </cell>
          <cell r="T52">
            <v>32.012067866684</v>
          </cell>
          <cell r="U52">
            <v>33.7570706387519</v>
          </cell>
          <cell r="V52">
            <v>30.0215153938515</v>
          </cell>
          <cell r="W52">
            <v>31.4514784371591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Checklist"/>
      <sheetName val="Status - Formats"/>
      <sheetName val="F1"/>
      <sheetName val="F2"/>
      <sheetName val="F3"/>
      <sheetName val="F4"/>
      <sheetName val="F4A"/>
      <sheetName val="F4B"/>
      <sheetName val="F5"/>
      <sheetName val="F6"/>
      <sheetName val="F7"/>
      <sheetName val="F8"/>
      <sheetName val="F9-Year(n-1)"/>
      <sheetName val="F9-Year(n)"/>
      <sheetName val="F9-Year(n+1)"/>
      <sheetName val="F9-Year(n+2)"/>
      <sheetName val="F9-Year(n+3)"/>
      <sheetName val="F9-Year(n+4)"/>
      <sheetName val="F9-Year(n+5)"/>
      <sheetName val="F10"/>
      <sheetName val="F11-Year(n-1)"/>
      <sheetName val="F11-Year(n)"/>
      <sheetName val="F11-Year(n+1)"/>
      <sheetName val="F11-Year(n+2)"/>
      <sheetName val="F11-Year(n+3) "/>
      <sheetName val="F11-Year(n+4)"/>
      <sheetName val="F11-Year(n+5)"/>
      <sheetName val="F12"/>
      <sheetName val="F13-Year(n-1)"/>
      <sheetName val="F13-Year(n)"/>
      <sheetName val="F13-Year(n+1)"/>
      <sheetName val="F13-Year(n+2)"/>
      <sheetName val="F13-Year(n+3)"/>
      <sheetName val="F13-Year(n+4)"/>
      <sheetName val="F13-Year(n+5)"/>
      <sheetName val="F14"/>
      <sheetName val="F15"/>
      <sheetName val="F15.1"/>
      <sheetName val="F15.2"/>
      <sheetName val="F15.3"/>
      <sheetName val="F16"/>
      <sheetName val="F16.1"/>
      <sheetName val="F16.2"/>
      <sheetName val="F17"/>
      <sheetName val="F18"/>
      <sheetName val="F19"/>
      <sheetName val="F20"/>
      <sheetName val="F21"/>
      <sheetName val="F22"/>
      <sheetName val="F23"/>
      <sheetName val="F24"/>
      <sheetName val="F24.1"/>
      <sheetName val="F24.2"/>
      <sheetName val="F24.3"/>
      <sheetName val="F24.4"/>
      <sheetName val="F24.5"/>
      <sheetName val="F24.6"/>
      <sheetName val="F24.7"/>
      <sheetName val="F24.8"/>
      <sheetName val="F25"/>
      <sheetName val="F26-Year(n-1)"/>
      <sheetName val="F26-Year(n+1)(Current Tariff)"/>
      <sheetName val="F26-Year(n+1)(Proposed Tariff)"/>
      <sheetName val="F27"/>
      <sheetName val="F28"/>
      <sheetName val="F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6">
          <cell r="E96">
            <v>500</v>
          </cell>
        </row>
        <row r="97">
          <cell r="E97">
            <v>570</v>
          </cell>
        </row>
        <row r="107">
          <cell r="E107" t="str">
            <v>-</v>
          </cell>
        </row>
      </sheetData>
      <sheetData sheetId="14" refreshError="1">
        <row r="114">
          <cell r="E114">
            <v>12</v>
          </cell>
        </row>
        <row r="114">
          <cell r="G114">
            <v>12</v>
          </cell>
        </row>
        <row r="115">
          <cell r="E115">
            <v>46.7</v>
          </cell>
        </row>
        <row r="115">
          <cell r="G115">
            <v>46.7</v>
          </cell>
        </row>
        <row r="116">
          <cell r="E116">
            <v>19.8</v>
          </cell>
        </row>
        <row r="116">
          <cell r="G116">
            <v>19.8</v>
          </cell>
        </row>
        <row r="117">
          <cell r="E117">
            <v>15</v>
          </cell>
        </row>
        <row r="117">
          <cell r="G117">
            <v>15</v>
          </cell>
        </row>
        <row r="118">
          <cell r="E118">
            <v>128.1</v>
          </cell>
        </row>
        <row r="118">
          <cell r="G118">
            <v>128.1</v>
          </cell>
        </row>
        <row r="119">
          <cell r="E119">
            <v>3.55</v>
          </cell>
        </row>
        <row r="119">
          <cell r="G119">
            <v>3.55</v>
          </cell>
        </row>
        <row r="120">
          <cell r="E120">
            <v>2833.74</v>
          </cell>
        </row>
        <row r="120">
          <cell r="G120">
            <v>2833.74</v>
          </cell>
        </row>
        <row r="121">
          <cell r="E121">
            <v>55.81</v>
          </cell>
        </row>
        <row r="121">
          <cell r="G121">
            <v>55.81</v>
          </cell>
        </row>
        <row r="122">
          <cell r="E122">
            <v>400</v>
          </cell>
        </row>
        <row r="122">
          <cell r="G122">
            <v>400</v>
          </cell>
        </row>
        <row r="123">
          <cell r="E123">
            <v>400</v>
          </cell>
        </row>
        <row r="123">
          <cell r="G123">
            <v>400</v>
          </cell>
        </row>
        <row r="124">
          <cell r="E124">
            <v>735</v>
          </cell>
        </row>
        <row r="124">
          <cell r="G124">
            <v>735</v>
          </cell>
        </row>
        <row r="126">
          <cell r="E126">
            <v>1692</v>
          </cell>
        </row>
        <row r="126">
          <cell r="G126">
            <v>1692</v>
          </cell>
        </row>
        <row r="127">
          <cell r="E127">
            <v>1000</v>
          </cell>
        </row>
        <row r="127">
          <cell r="G127">
            <v>1000</v>
          </cell>
        </row>
      </sheetData>
      <sheetData sheetId="15" refreshError="1">
        <row r="29">
          <cell r="D29" t="str">
            <v>PJHES (Inter State)</v>
          </cell>
        </row>
        <row r="30">
          <cell r="D30" t="str">
            <v>Nagarjuna sagar complex</v>
          </cell>
        </row>
        <row r="31">
          <cell r="D31" t="str">
            <v>SLBHES</v>
          </cell>
        </row>
        <row r="32">
          <cell r="D32" t="str">
            <v>LJHES</v>
          </cell>
        </row>
        <row r="33">
          <cell r="D33" t="str">
            <v>PCHES</v>
          </cell>
        </row>
        <row r="34">
          <cell r="D34" t="str">
            <v>Pochampad-II</v>
          </cell>
        </row>
        <row r="35">
          <cell r="D35" t="str">
            <v>NSPH</v>
          </cell>
        </row>
        <row r="36">
          <cell r="D36" t="str">
            <v>SINGUR</v>
          </cell>
        </row>
        <row r="37">
          <cell r="D37" t="str">
            <v>SSLM LCPH</v>
          </cell>
        </row>
        <row r="38">
          <cell r="D38" t="str">
            <v>POCHAMPAD PH</v>
          </cell>
        </row>
        <row r="39">
          <cell r="D39" t="str">
            <v>NIZAMSAGAR PH</v>
          </cell>
        </row>
        <row r="116">
          <cell r="I116">
            <v>0.0324651300743771</v>
          </cell>
          <cell r="J116">
            <v>0.0324651300743771</v>
          </cell>
          <cell r="K116">
            <v>0.0324651300743771</v>
          </cell>
          <cell r="L116">
            <v>0.0324651300743771</v>
          </cell>
          <cell r="M116">
            <v>0.0324651300743771</v>
          </cell>
          <cell r="N116">
            <v>0.0324651300743771</v>
          </cell>
          <cell r="O116">
            <v>0.0324651300743771</v>
          </cell>
          <cell r="P116">
            <v>0.0324651300743771</v>
          </cell>
          <cell r="Q116">
            <v>0.0324651300743771</v>
          </cell>
          <cell r="R116">
            <v>0.0324651300743771</v>
          </cell>
          <cell r="S116">
            <v>0.0324651300743771</v>
          </cell>
          <cell r="T116">
            <v>0.0324651300743771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52">
          <cell r="E52">
            <v>148.5699179545</v>
          </cell>
          <cell r="F52">
            <v>154.471634988</v>
          </cell>
          <cell r="G52">
            <v>162.578766892</v>
          </cell>
          <cell r="H52">
            <v>131.087429709</v>
          </cell>
          <cell r="I52">
            <v>87.5032009805</v>
          </cell>
          <cell r="J52">
            <v>76.676289677</v>
          </cell>
          <cell r="K52">
            <v>45.1976578435</v>
          </cell>
          <cell r="L52">
            <v>50.178288187</v>
          </cell>
          <cell r="M52">
            <v>78.838364977</v>
          </cell>
          <cell r="N52">
            <v>120.2238394605</v>
          </cell>
          <cell r="O52">
            <v>167.5066230135</v>
          </cell>
          <cell r="P52">
            <v>176.6125679535</v>
          </cell>
        </row>
        <row r="53">
          <cell r="E53">
            <v>42.0512788205</v>
          </cell>
          <cell r="F53">
            <v>42.27460414</v>
          </cell>
          <cell r="G53">
            <v>15.603495526</v>
          </cell>
          <cell r="H53">
            <v>0</v>
          </cell>
          <cell r="I53">
            <v>17.503212308</v>
          </cell>
          <cell r="J53">
            <v>26.207914</v>
          </cell>
          <cell r="K53">
            <v>17.506200806</v>
          </cell>
          <cell r="L53">
            <v>19.988972419</v>
          </cell>
          <cell r="M53">
            <v>29.554020073</v>
          </cell>
          <cell r="N53">
            <v>37.6198456575</v>
          </cell>
          <cell r="O53">
            <v>43.740909696</v>
          </cell>
          <cell r="P53">
            <v>41.7129294865</v>
          </cell>
        </row>
        <row r="54">
          <cell r="E54">
            <v>99.075872347</v>
          </cell>
          <cell r="F54">
            <v>116.2879763065</v>
          </cell>
          <cell r="G54">
            <v>110.761866062</v>
          </cell>
          <cell r="H54">
            <v>130.1447102725</v>
          </cell>
          <cell r="I54">
            <v>110.6141858635</v>
          </cell>
          <cell r="J54">
            <v>103.9369133855</v>
          </cell>
          <cell r="K54">
            <v>92.5435130965</v>
          </cell>
          <cell r="L54">
            <v>76.144383596</v>
          </cell>
          <cell r="M54">
            <v>87.2588595215</v>
          </cell>
          <cell r="N54">
            <v>87.6373715595</v>
          </cell>
          <cell r="O54">
            <v>89.213373194</v>
          </cell>
          <cell r="P54">
            <v>103.585308412</v>
          </cell>
        </row>
        <row r="55">
          <cell r="E55">
            <v>246.1825861235</v>
          </cell>
          <cell r="F55">
            <v>232.7327125965</v>
          </cell>
          <cell r="G55">
            <v>232.3356854165</v>
          </cell>
          <cell r="H55">
            <v>202.3215354215</v>
          </cell>
          <cell r="I55">
            <v>174.12595066</v>
          </cell>
          <cell r="J55">
            <v>169.49003961</v>
          </cell>
          <cell r="K55">
            <v>19.9855542715</v>
          </cell>
          <cell r="L55">
            <v>27.7361716275</v>
          </cell>
          <cell r="M55">
            <v>219.1578301135</v>
          </cell>
          <cell r="N55">
            <v>258.6100363515</v>
          </cell>
          <cell r="O55">
            <v>234.492638081</v>
          </cell>
          <cell r="P55">
            <v>254.71647145</v>
          </cell>
        </row>
        <row r="56">
          <cell r="E56">
            <v>113.3320427755</v>
          </cell>
          <cell r="F56">
            <v>92.7786760005</v>
          </cell>
          <cell r="G56">
            <v>55.695893629</v>
          </cell>
          <cell r="H56">
            <v>77.308021186</v>
          </cell>
          <cell r="I56">
            <v>83.9169187205</v>
          </cell>
          <cell r="J56">
            <v>63.0921644385</v>
          </cell>
          <cell r="K56">
            <v>55.4765600285</v>
          </cell>
          <cell r="L56">
            <v>72.7007873</v>
          </cell>
          <cell r="M56">
            <v>108.2624552315</v>
          </cell>
          <cell r="N56">
            <v>116.6587814625</v>
          </cell>
          <cell r="O56">
            <v>113.6276063565</v>
          </cell>
          <cell r="P56">
            <v>131.0262466325</v>
          </cell>
        </row>
        <row r="57">
          <cell r="E57">
            <v>95.9003145495</v>
          </cell>
          <cell r="F57">
            <v>84.0100969275</v>
          </cell>
          <cell r="G57">
            <v>109.951520296</v>
          </cell>
          <cell r="H57">
            <v>75.150441332</v>
          </cell>
          <cell r="I57">
            <v>69.3667953675</v>
          </cell>
          <cell r="J57">
            <v>72.8287896925</v>
          </cell>
          <cell r="K57">
            <v>2.9763782155</v>
          </cell>
          <cell r="L57">
            <v>0</v>
          </cell>
          <cell r="M57">
            <v>47.19940333</v>
          </cell>
          <cell r="N57">
            <v>70.202618855</v>
          </cell>
          <cell r="O57">
            <v>104.79238787</v>
          </cell>
          <cell r="P57">
            <v>68.2386726475</v>
          </cell>
        </row>
        <row r="58">
          <cell r="E58">
            <v>18.89241518</v>
          </cell>
          <cell r="F58">
            <v>16.969305429</v>
          </cell>
          <cell r="G58">
            <v>18.2066966945</v>
          </cell>
          <cell r="H58">
            <v>12.4062972215</v>
          </cell>
          <cell r="I58">
            <v>10.9299848535</v>
          </cell>
          <cell r="J58">
            <v>14.628404222</v>
          </cell>
          <cell r="K58">
            <v>10.3152093315</v>
          </cell>
          <cell r="L58">
            <v>12.9467596065</v>
          </cell>
          <cell r="M58">
            <v>12.149916405</v>
          </cell>
          <cell r="N58">
            <v>21.6380440995</v>
          </cell>
          <cell r="O58">
            <v>10.630711048</v>
          </cell>
          <cell r="P58">
            <v>18.3701709215</v>
          </cell>
        </row>
        <row r="59">
          <cell r="E59">
            <v>84.250615282</v>
          </cell>
          <cell r="F59">
            <v>86.2810409795545</v>
          </cell>
          <cell r="G59">
            <v>97.643989273266</v>
          </cell>
          <cell r="H59">
            <v>68.1775673742455</v>
          </cell>
          <cell r="I59">
            <v>92.7886043305635</v>
          </cell>
          <cell r="J59">
            <v>66.5421011794075</v>
          </cell>
          <cell r="K59">
            <v>57.469289833141</v>
          </cell>
          <cell r="L59">
            <v>59.975286874412</v>
          </cell>
          <cell r="M59">
            <v>77.0967723848015</v>
          </cell>
          <cell r="N59">
            <v>80.736428116385</v>
          </cell>
          <cell r="O59">
            <v>136.855978680411</v>
          </cell>
          <cell r="P59">
            <v>161.985609461148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E61">
            <v>4.5508510315</v>
          </cell>
          <cell r="F61">
            <v>9.315582854</v>
          </cell>
          <cell r="G61">
            <v>4.8763405115</v>
          </cell>
          <cell r="H61">
            <v>5.5305929915</v>
          </cell>
          <cell r="I61">
            <v>3.331208735</v>
          </cell>
          <cell r="J61">
            <v>2.0236526725</v>
          </cell>
          <cell r="K61">
            <v>1.6977963325</v>
          </cell>
          <cell r="L61">
            <v>2.5154412015</v>
          </cell>
          <cell r="M61">
            <v>3.184971284</v>
          </cell>
          <cell r="N61">
            <v>4.5236977475</v>
          </cell>
          <cell r="O61">
            <v>3.6773432615</v>
          </cell>
          <cell r="P61">
            <v>2.874008049</v>
          </cell>
        </row>
        <row r="62">
          <cell r="E62">
            <v>5.630262504</v>
          </cell>
          <cell r="F62">
            <v>16.6848654665</v>
          </cell>
          <cell r="G62">
            <v>5.9044247425</v>
          </cell>
          <cell r="H62">
            <v>11.4464658825</v>
          </cell>
          <cell r="I62">
            <v>9.2234763015</v>
          </cell>
          <cell r="J62">
            <v>6.881219829</v>
          </cell>
          <cell r="K62">
            <v>2.6199553825</v>
          </cell>
          <cell r="L62">
            <v>2.1063796025</v>
          </cell>
          <cell r="M62">
            <v>2.3489290915</v>
          </cell>
          <cell r="N62">
            <v>1.7953952025</v>
          </cell>
          <cell r="O62">
            <v>4.023620299</v>
          </cell>
          <cell r="P62">
            <v>3.7299157105</v>
          </cell>
        </row>
        <row r="63">
          <cell r="E63">
            <v>24.8573915765</v>
          </cell>
          <cell r="F63">
            <v>31.8271050925</v>
          </cell>
          <cell r="G63">
            <v>25.500056219</v>
          </cell>
          <cell r="H63">
            <v>32.1522206575</v>
          </cell>
          <cell r="I63">
            <v>28.011946639</v>
          </cell>
          <cell r="J63">
            <v>25.7875947375</v>
          </cell>
          <cell r="K63">
            <v>25.46821136</v>
          </cell>
          <cell r="L63">
            <v>24.6783356765</v>
          </cell>
          <cell r="M63">
            <v>10.53126659</v>
          </cell>
          <cell r="N63">
            <v>26.2186270175</v>
          </cell>
          <cell r="O63">
            <v>26.24809928</v>
          </cell>
          <cell r="P63">
            <v>31.05918598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2.29633195</v>
          </cell>
          <cell r="L64">
            <v>3.295198604</v>
          </cell>
          <cell r="M64">
            <v>3.1342931025</v>
          </cell>
          <cell r="N64">
            <v>2.8213530565</v>
          </cell>
          <cell r="O64">
            <v>3.2776859775</v>
          </cell>
          <cell r="P64">
            <v>2.4315798275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1.7864424075</v>
          </cell>
          <cell r="L65">
            <v>0.751878159</v>
          </cell>
          <cell r="M65">
            <v>1.4919173225</v>
          </cell>
          <cell r="N65">
            <v>0.663247605</v>
          </cell>
          <cell r="O65">
            <v>1.686730565</v>
          </cell>
          <cell r="P65">
            <v>0.8333104965</v>
          </cell>
        </row>
        <row r="66">
          <cell r="E66">
            <v>60.247807849</v>
          </cell>
          <cell r="F66">
            <v>66.93792466</v>
          </cell>
          <cell r="G66">
            <v>54.78500988</v>
          </cell>
          <cell r="H66">
            <v>30.4016620965</v>
          </cell>
          <cell r="I66">
            <v>29.64121564</v>
          </cell>
          <cell r="J66">
            <v>36.4955382815</v>
          </cell>
          <cell r="K66">
            <v>21.39689785</v>
          </cell>
          <cell r="L66">
            <v>35.4654603075</v>
          </cell>
          <cell r="M66">
            <v>36.052256405</v>
          </cell>
          <cell r="N66">
            <v>32.088036384</v>
          </cell>
          <cell r="O66">
            <v>44.4692488475</v>
          </cell>
          <cell r="P66">
            <v>49.378783134</v>
          </cell>
        </row>
        <row r="67">
          <cell r="E67">
            <v>41.3926465965</v>
          </cell>
          <cell r="F67">
            <v>113.251466915</v>
          </cell>
          <cell r="G67">
            <v>64.674703236</v>
          </cell>
          <cell r="H67">
            <v>54.135920249</v>
          </cell>
          <cell r="I67">
            <v>56.539093119</v>
          </cell>
          <cell r="J67">
            <v>35.4316513365</v>
          </cell>
          <cell r="K67">
            <v>31.8356825615</v>
          </cell>
          <cell r="L67">
            <v>25.324691495</v>
          </cell>
          <cell r="M67">
            <v>56.3655097825</v>
          </cell>
          <cell r="N67">
            <v>58.651303679</v>
          </cell>
          <cell r="O67">
            <v>62.3534114015</v>
          </cell>
          <cell r="P67">
            <v>56.153404735</v>
          </cell>
        </row>
        <row r="79">
          <cell r="E79">
            <v>4.0544273675</v>
          </cell>
          <cell r="F79">
            <v>3.0483335715</v>
          </cell>
          <cell r="G79">
            <v>3.572536298</v>
          </cell>
          <cell r="H79">
            <v>5.087589082</v>
          </cell>
          <cell r="I79">
            <v>3.691727701</v>
          </cell>
          <cell r="J79">
            <v>4.5401076775</v>
          </cell>
          <cell r="K79">
            <v>4.357434679</v>
          </cell>
          <cell r="L79">
            <v>4.8229158185</v>
          </cell>
          <cell r="M79">
            <v>5.027727407</v>
          </cell>
          <cell r="N79">
            <v>5.005566241</v>
          </cell>
          <cell r="O79">
            <v>3.404892566</v>
          </cell>
          <cell r="P79">
            <v>4.6959977795</v>
          </cell>
        </row>
        <row r="80">
          <cell r="E80">
            <v>67.298399885</v>
          </cell>
          <cell r="F80">
            <v>69.867853461</v>
          </cell>
          <cell r="G80">
            <v>65.0072794635</v>
          </cell>
          <cell r="H80">
            <v>69.7371927445</v>
          </cell>
          <cell r="I80">
            <v>68.602831288</v>
          </cell>
          <cell r="J80">
            <v>53.8831261945</v>
          </cell>
          <cell r="K80">
            <v>65.0581234375</v>
          </cell>
          <cell r="L80">
            <v>61.43529275</v>
          </cell>
          <cell r="M80">
            <v>49.5160811945</v>
          </cell>
          <cell r="N80">
            <v>68.3512436385</v>
          </cell>
          <cell r="O80">
            <v>60.530752857</v>
          </cell>
          <cell r="P80">
            <v>67.5678620825</v>
          </cell>
        </row>
        <row r="82">
          <cell r="G82">
            <v>23.595214685</v>
          </cell>
          <cell r="H82">
            <v>23.875466094</v>
          </cell>
          <cell r="I82">
            <v>25.0483788925</v>
          </cell>
          <cell r="J82">
            <v>24.256203279</v>
          </cell>
          <cell r="K82">
            <v>25.1327496375</v>
          </cell>
          <cell r="L82">
            <v>25.2506090565</v>
          </cell>
          <cell r="M82">
            <v>26.2580856325</v>
          </cell>
          <cell r="N82">
            <v>22.976038254</v>
          </cell>
          <cell r="O82">
            <v>24.404646123</v>
          </cell>
          <cell r="P82">
            <v>27.1547408575</v>
          </cell>
        </row>
        <row r="96">
          <cell r="E96">
            <v>266.2407610375</v>
          </cell>
          <cell r="F96">
            <v>229.4338157615</v>
          </cell>
          <cell r="G96">
            <v>178.03891645875</v>
          </cell>
          <cell r="H96">
            <v>261.0924947225</v>
          </cell>
          <cell r="I96">
            <v>271.4434002375</v>
          </cell>
          <cell r="J96">
            <v>206.8318124425</v>
          </cell>
          <cell r="K96">
            <v>176.1025450715</v>
          </cell>
          <cell r="L96">
            <v>247.83757306875</v>
          </cell>
          <cell r="M96">
            <v>231.26201107</v>
          </cell>
          <cell r="N96">
            <v>239.492098925</v>
          </cell>
          <cell r="O96">
            <v>270.09585114375</v>
          </cell>
          <cell r="P96">
            <v>269.9554146665</v>
          </cell>
        </row>
        <row r="97">
          <cell r="E97">
            <v>125.8569620615</v>
          </cell>
          <cell r="F97">
            <v>134.8235778065</v>
          </cell>
          <cell r="G97">
            <v>85.6067492525</v>
          </cell>
          <cell r="H97">
            <v>136.5046728375</v>
          </cell>
          <cell r="I97">
            <v>141.0695104065</v>
          </cell>
          <cell r="J97">
            <v>123.576868605</v>
          </cell>
          <cell r="K97">
            <v>141.354339805</v>
          </cell>
          <cell r="L97">
            <v>126.189919259</v>
          </cell>
          <cell r="M97">
            <v>133.048155309</v>
          </cell>
          <cell r="N97">
            <v>126.072143089</v>
          </cell>
          <cell r="O97">
            <v>127.6795225415</v>
          </cell>
          <cell r="P97">
            <v>140.77733252</v>
          </cell>
        </row>
        <row r="105">
          <cell r="E105">
            <v>545.83124</v>
          </cell>
          <cell r="F105">
            <v>466.397584</v>
          </cell>
          <cell r="G105">
            <v>507.258733</v>
          </cell>
          <cell r="H105">
            <v>545.955408</v>
          </cell>
          <cell r="I105">
            <v>507.5388165</v>
          </cell>
          <cell r="J105">
            <v>560.190987</v>
          </cell>
          <cell r="K105">
            <v>543.5560025</v>
          </cell>
          <cell r="L105">
            <v>549.9619425</v>
          </cell>
          <cell r="M105">
            <v>547.2203695</v>
          </cell>
          <cell r="N105">
            <v>556.8617325</v>
          </cell>
          <cell r="O105">
            <v>236.449736</v>
          </cell>
          <cell r="P105">
            <v>585.7759445</v>
          </cell>
        </row>
        <row r="115">
          <cell r="E115">
            <v>1.93395</v>
          </cell>
          <cell r="F115">
            <v>0.775799999999996</v>
          </cell>
          <cell r="G115">
            <v>0</v>
          </cell>
          <cell r="H115">
            <v>0.876600000000002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4.85191</v>
          </cell>
          <cell r="N116">
            <v>0</v>
          </cell>
          <cell r="O116">
            <v>0</v>
          </cell>
          <cell r="P116">
            <v>0</v>
          </cell>
        </row>
        <row r="117">
          <cell r="E117">
            <v>9.833076</v>
          </cell>
          <cell r="F117">
            <v>9.51588</v>
          </cell>
          <cell r="G117">
            <v>9.833076</v>
          </cell>
          <cell r="H117">
            <v>9.51588</v>
          </cell>
          <cell r="I117">
            <v>9.8542224</v>
          </cell>
          <cell r="J117">
            <v>6.13479999999999</v>
          </cell>
          <cell r="K117">
            <v>12.68784</v>
          </cell>
          <cell r="L117">
            <v>12.3048612</v>
          </cell>
          <cell r="M117">
            <v>10.150272</v>
          </cell>
          <cell r="N117">
            <v>10.488615</v>
          </cell>
          <cell r="O117">
            <v>10.488614</v>
          </cell>
          <cell r="P117">
            <v>9.473587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0.833320000000007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E119">
            <v>14.9496000000001</v>
          </cell>
          <cell r="F119">
            <v>20.4507</v>
          </cell>
          <cell r="G119">
            <v>29.6814</v>
          </cell>
          <cell r="H119">
            <v>22.30538448</v>
          </cell>
          <cell r="I119">
            <v>23.1556749</v>
          </cell>
          <cell r="J119">
            <v>22.17744</v>
          </cell>
          <cell r="K119">
            <v>12.0731</v>
          </cell>
          <cell r="L119">
            <v>18.849</v>
          </cell>
          <cell r="M119">
            <v>19.716</v>
          </cell>
          <cell r="N119">
            <v>17.9961</v>
          </cell>
          <cell r="O119">
            <v>18.5581</v>
          </cell>
          <cell r="P119">
            <v>19.5057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E121">
            <v>428.07366865</v>
          </cell>
          <cell r="F121">
            <v>305.12937732</v>
          </cell>
          <cell r="G121">
            <v>323.82634593</v>
          </cell>
          <cell r="H121">
            <v>204.20170648</v>
          </cell>
          <cell r="I121">
            <v>255.86228024</v>
          </cell>
          <cell r="J121">
            <v>264.09524638</v>
          </cell>
          <cell r="K121">
            <v>247.75901632</v>
          </cell>
          <cell r="L121">
            <v>307.29421327</v>
          </cell>
          <cell r="M121">
            <v>261.7963656</v>
          </cell>
          <cell r="N121">
            <v>307.5207667</v>
          </cell>
          <cell r="O121">
            <v>367.49057372</v>
          </cell>
          <cell r="P121">
            <v>318.14222346</v>
          </cell>
        </row>
        <row r="122">
          <cell r="E122">
            <v>44.163556403</v>
          </cell>
          <cell r="F122">
            <v>56.9064547295</v>
          </cell>
          <cell r="G122">
            <v>45.7826669095</v>
          </cell>
          <cell r="H122">
            <v>50.5282041935</v>
          </cell>
          <cell r="I122">
            <v>18.5380545235</v>
          </cell>
          <cell r="J122">
            <v>51.175873653</v>
          </cell>
          <cell r="K122">
            <v>46.8271751805</v>
          </cell>
          <cell r="L122">
            <v>42.78525915</v>
          </cell>
          <cell r="M122">
            <v>53.9981368045</v>
          </cell>
          <cell r="N122">
            <v>42.239773605</v>
          </cell>
          <cell r="O122">
            <v>56.584573882</v>
          </cell>
          <cell r="P122">
            <v>68.00950861</v>
          </cell>
        </row>
        <row r="123">
          <cell r="E123">
            <v>30.82958806</v>
          </cell>
          <cell r="F123">
            <v>32.29177032125</v>
          </cell>
          <cell r="G123">
            <v>38.47977431625</v>
          </cell>
          <cell r="H123">
            <v>38.45204816625</v>
          </cell>
          <cell r="I123">
            <v>69.28944611125</v>
          </cell>
          <cell r="J123">
            <v>90.8591741765</v>
          </cell>
          <cell r="K123">
            <v>104.9195422515</v>
          </cell>
          <cell r="L123">
            <v>95.55883209</v>
          </cell>
          <cell r="M123">
            <v>134.829434162</v>
          </cell>
          <cell r="N123">
            <v>182.8097349825</v>
          </cell>
          <cell r="O123">
            <v>187.2998756225</v>
          </cell>
          <cell r="P123">
            <v>9.3899460815</v>
          </cell>
        </row>
        <row r="124">
          <cell r="E124">
            <v>36.89636775375</v>
          </cell>
          <cell r="F124">
            <v>38.478383423</v>
          </cell>
          <cell r="G124">
            <v>33.12406630875</v>
          </cell>
          <cell r="H124">
            <v>30.36213787</v>
          </cell>
          <cell r="I124">
            <v>33.2399238715</v>
          </cell>
          <cell r="J124">
            <v>39.742106065</v>
          </cell>
          <cell r="K124">
            <v>40.8171914115</v>
          </cell>
          <cell r="L124">
            <v>34.1247704375</v>
          </cell>
          <cell r="M124">
            <v>34.508437564</v>
          </cell>
          <cell r="N124">
            <v>37.728552625</v>
          </cell>
          <cell r="O124">
            <v>35.83957461125</v>
          </cell>
          <cell r="P124">
            <v>40.55002879125</v>
          </cell>
        </row>
        <row r="129">
          <cell r="E129">
            <v>2.6915354125</v>
          </cell>
          <cell r="F129">
            <v>2.260767695</v>
          </cell>
          <cell r="G129">
            <v>2.7854360515</v>
          </cell>
          <cell r="H129">
            <v>1.0050037985</v>
          </cell>
          <cell r="I129">
            <v>1.7829120855</v>
          </cell>
          <cell r="J129">
            <v>2.03230951025</v>
          </cell>
          <cell r="K129">
            <v>1.60807966125</v>
          </cell>
          <cell r="L129">
            <v>1.9714880025</v>
          </cell>
          <cell r="M129">
            <v>1.58454418125</v>
          </cell>
          <cell r="N129">
            <v>3.866547779</v>
          </cell>
          <cell r="O129">
            <v>3.555951404</v>
          </cell>
          <cell r="P129">
            <v>4.0431167915</v>
          </cell>
        </row>
        <row r="141">
          <cell r="E141">
            <v>1544.7334325</v>
          </cell>
          <cell r="F141">
            <v>247.02434</v>
          </cell>
          <cell r="G141">
            <v>196.1750975</v>
          </cell>
          <cell r="H141">
            <v>500.418595</v>
          </cell>
          <cell r="I141">
            <v>728.55769</v>
          </cell>
          <cell r="J141">
            <v>748.147375</v>
          </cell>
          <cell r="K141">
            <v>151.9730315</v>
          </cell>
          <cell r="L141">
            <v>34.8206325</v>
          </cell>
          <cell r="M141">
            <v>604.37437</v>
          </cell>
          <cell r="N141">
            <v>1051.7168675</v>
          </cell>
          <cell r="O141">
            <v>1519.8058425</v>
          </cell>
          <cell r="P141">
            <v>2076.65048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Sales_State"/>
      <sheetName val="TSERC Approved Sales"/>
      <sheetName val="Sales_SP"/>
      <sheetName val="Sales_NP"/>
      <sheetName val="Sheet4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36">
          <cell r="I136">
            <v>639.615715</v>
          </cell>
        </row>
        <row r="138">
          <cell r="I138">
            <v>470.13</v>
          </cell>
        </row>
        <row r="139">
          <cell r="I139">
            <v>-655.47</v>
          </cell>
        </row>
        <row r="141">
          <cell r="I141">
            <v>23585.681595</v>
          </cell>
        </row>
      </sheetData>
      <sheetData sheetId="15" refreshError="1"/>
      <sheetData sheetId="16" refreshError="1">
        <row r="20">
          <cell r="F20">
            <v>234</v>
          </cell>
        </row>
        <row r="20">
          <cell r="H20">
            <v>117</v>
          </cell>
        </row>
        <row r="21">
          <cell r="F21">
            <v>815.6</v>
          </cell>
        </row>
        <row r="21">
          <cell r="H21">
            <v>815.6</v>
          </cell>
        </row>
        <row r="22">
          <cell r="F22">
            <v>60</v>
          </cell>
        </row>
        <row r="22">
          <cell r="H22">
            <v>60</v>
          </cell>
        </row>
        <row r="23">
          <cell r="F23">
            <v>900</v>
          </cell>
        </row>
        <row r="23">
          <cell r="H23">
            <v>900</v>
          </cell>
        </row>
        <row r="24">
          <cell r="F24">
            <v>240</v>
          </cell>
        </row>
        <row r="24">
          <cell r="H24">
            <v>240</v>
          </cell>
        </row>
        <row r="25">
          <cell r="F25">
            <v>120</v>
          </cell>
        </row>
        <row r="25">
          <cell r="H25">
            <v>120</v>
          </cell>
        </row>
        <row r="26">
          <cell r="F26">
            <v>9</v>
          </cell>
        </row>
        <row r="26">
          <cell r="H26">
            <v>9</v>
          </cell>
        </row>
        <row r="27">
          <cell r="F27">
            <v>54</v>
          </cell>
        </row>
        <row r="27">
          <cell r="H27">
            <v>54</v>
          </cell>
        </row>
        <row r="28">
          <cell r="F28">
            <v>9.16</v>
          </cell>
        </row>
        <row r="28">
          <cell r="H28">
            <v>9.16</v>
          </cell>
        </row>
        <row r="31">
          <cell r="F31">
            <v>2100</v>
          </cell>
        </row>
        <row r="31">
          <cell r="H31">
            <v>358.68</v>
          </cell>
        </row>
        <row r="32">
          <cell r="F32">
            <v>500</v>
          </cell>
        </row>
        <row r="32">
          <cell r="H32">
            <v>89.85</v>
          </cell>
        </row>
        <row r="33">
          <cell r="F33">
            <v>2000</v>
          </cell>
        </row>
        <row r="33">
          <cell r="H33">
            <v>219.2</v>
          </cell>
        </row>
        <row r="34">
          <cell r="F34">
            <v>1000</v>
          </cell>
        </row>
        <row r="34">
          <cell r="H34">
            <v>538.9</v>
          </cell>
        </row>
        <row r="35">
          <cell r="F35">
            <v>1000</v>
          </cell>
        </row>
        <row r="35">
          <cell r="H35">
            <v>247</v>
          </cell>
        </row>
        <row r="36">
          <cell r="F36">
            <v>2400</v>
          </cell>
        </row>
        <row r="36">
          <cell r="H36">
            <v>289.44</v>
          </cell>
        </row>
        <row r="37">
          <cell r="F37">
            <v>630</v>
          </cell>
        </row>
        <row r="37">
          <cell r="H37">
            <v>59.031</v>
          </cell>
        </row>
        <row r="38">
          <cell r="F38">
            <v>840</v>
          </cell>
        </row>
        <row r="38">
          <cell r="H38">
            <v>105.924</v>
          </cell>
        </row>
        <row r="39">
          <cell r="F39">
            <v>1000</v>
          </cell>
        </row>
        <row r="39">
          <cell r="H39">
            <v>62.1</v>
          </cell>
        </row>
        <row r="40">
          <cell r="F40">
            <v>800</v>
          </cell>
        </row>
        <row r="40">
          <cell r="H40">
            <v>680</v>
          </cell>
        </row>
        <row r="41">
          <cell r="F41" t="str">
            <v>-</v>
          </cell>
        </row>
        <row r="41">
          <cell r="H41" t="str">
            <v>-</v>
          </cell>
        </row>
        <row r="42">
          <cell r="F42" t="str">
            <v>-</v>
          </cell>
        </row>
        <row r="42">
          <cell r="H42" t="str">
            <v>-</v>
          </cell>
        </row>
        <row r="44">
          <cell r="F44">
            <v>440</v>
          </cell>
        </row>
        <row r="44">
          <cell r="H44">
            <v>22.484</v>
          </cell>
        </row>
        <row r="45">
          <cell r="F45">
            <v>440</v>
          </cell>
        </row>
        <row r="45">
          <cell r="H45">
            <v>69.432</v>
          </cell>
        </row>
        <row r="46">
          <cell r="F46">
            <v>440</v>
          </cell>
        </row>
        <row r="46">
          <cell r="H46">
            <v>73.744</v>
          </cell>
        </row>
        <row r="47">
          <cell r="F47">
            <v>1000</v>
          </cell>
        </row>
        <row r="47">
          <cell r="H47">
            <v>50</v>
          </cell>
        </row>
        <row r="49">
          <cell r="F49">
            <v>85</v>
          </cell>
        </row>
        <row r="49">
          <cell r="H49">
            <v>45.8065</v>
          </cell>
        </row>
        <row r="50">
          <cell r="F50">
            <v>200</v>
          </cell>
        </row>
        <row r="50">
          <cell r="H50">
            <v>200</v>
          </cell>
        </row>
        <row r="55">
          <cell r="F55">
            <v>24</v>
          </cell>
        </row>
        <row r="55">
          <cell r="H55">
            <v>24</v>
          </cell>
        </row>
        <row r="56">
          <cell r="F56">
            <v>35.2</v>
          </cell>
        </row>
        <row r="56">
          <cell r="H56">
            <v>35.2</v>
          </cell>
        </row>
        <row r="57">
          <cell r="F57">
            <v>19.8</v>
          </cell>
        </row>
        <row r="57">
          <cell r="H57">
            <v>19.8</v>
          </cell>
        </row>
        <row r="58">
          <cell r="F58">
            <v>15</v>
          </cell>
        </row>
        <row r="58">
          <cell r="H58">
            <v>15</v>
          </cell>
        </row>
        <row r="59">
          <cell r="F59">
            <v>128.1</v>
          </cell>
        </row>
        <row r="59">
          <cell r="H59">
            <v>128.1</v>
          </cell>
        </row>
        <row r="60">
          <cell r="F60">
            <v>4.2</v>
          </cell>
        </row>
        <row r="60">
          <cell r="H60">
            <v>4.2</v>
          </cell>
        </row>
        <row r="61">
          <cell r="F61">
            <v>2764.71</v>
          </cell>
        </row>
        <row r="61">
          <cell r="H61">
            <v>2764.71</v>
          </cell>
        </row>
        <row r="62">
          <cell r="F62">
            <v>45.81</v>
          </cell>
        </row>
        <row r="62">
          <cell r="H62">
            <v>45.81</v>
          </cell>
        </row>
        <row r="63">
          <cell r="F63">
            <v>400</v>
          </cell>
        </row>
        <row r="63">
          <cell r="H63">
            <v>400</v>
          </cell>
        </row>
        <row r="64">
          <cell r="F64">
            <v>400</v>
          </cell>
        </row>
        <row r="64">
          <cell r="H64">
            <v>400</v>
          </cell>
        </row>
        <row r="65">
          <cell r="F65" t="str">
            <v>-</v>
          </cell>
        </row>
        <row r="65">
          <cell r="H65" t="str">
            <v>-</v>
          </cell>
        </row>
        <row r="67">
          <cell r="F67">
            <v>500</v>
          </cell>
        </row>
        <row r="67">
          <cell r="H67">
            <v>269.45</v>
          </cell>
        </row>
        <row r="68">
          <cell r="F68">
            <v>570</v>
          </cell>
        </row>
        <row r="68">
          <cell r="H68">
            <v>570</v>
          </cell>
        </row>
        <row r="69">
          <cell r="F69">
            <v>1200</v>
          </cell>
        </row>
        <row r="69">
          <cell r="H69">
            <v>1200</v>
          </cell>
        </row>
        <row r="70">
          <cell r="F70">
            <v>1000</v>
          </cell>
        </row>
        <row r="70">
          <cell r="H70">
            <v>1000</v>
          </cell>
        </row>
        <row r="71">
          <cell r="F71" t="str">
            <v>-</v>
          </cell>
        </row>
        <row r="71">
          <cell r="H71" t="str">
            <v>-</v>
          </cell>
        </row>
        <row r="82">
          <cell r="H82">
            <v>7.5</v>
          </cell>
        </row>
        <row r="89">
          <cell r="H89" t="str">
            <v>-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1.4 CGS"/>
      <sheetName val="Legend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"/>
      <sheetName val="MoD"/>
      <sheetName val="ST,D-D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2">
          <cell r="DB32">
            <v>815.6</v>
          </cell>
        </row>
        <row r="36">
          <cell r="DB36">
            <v>15</v>
          </cell>
        </row>
        <row r="37">
          <cell r="DB37">
            <v>900</v>
          </cell>
        </row>
        <row r="38">
          <cell r="DB38">
            <v>234</v>
          </cell>
        </row>
        <row r="39">
          <cell r="DB39">
            <v>240</v>
          </cell>
        </row>
        <row r="40">
          <cell r="DB40">
            <v>9</v>
          </cell>
        </row>
        <row r="41">
          <cell r="DB41">
            <v>120</v>
          </cell>
        </row>
        <row r="68">
          <cell r="DB68">
            <v>440</v>
          </cell>
        </row>
        <row r="68">
          <cell r="DD68">
            <v>22.044</v>
          </cell>
        </row>
        <row r="69">
          <cell r="DB69">
            <v>440</v>
          </cell>
        </row>
        <row r="69">
          <cell r="DD69">
            <v>67.716</v>
          </cell>
        </row>
        <row r="70">
          <cell r="DB70">
            <v>440</v>
          </cell>
        </row>
        <row r="70">
          <cell r="DD70">
            <v>72.028</v>
          </cell>
        </row>
        <row r="72">
          <cell r="DB72">
            <v>1000</v>
          </cell>
        </row>
        <row r="72">
          <cell r="DD72">
            <v>50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2023-24"/>
      <sheetName val="For FSA "/>
      <sheetName val="Intra &amp; Inter State 23-24"/>
      <sheetName val="STOA 23-24"/>
      <sheetName val="NCEs NP 23-24"/>
      <sheetName val="NCEs SP 23-24"/>
      <sheetName val="Sheet5"/>
      <sheetName val="Sheet6"/>
      <sheetName val="Sheet1"/>
      <sheetName val="Sheet2"/>
      <sheetName val="Sheet3"/>
      <sheetName val="Month wise stn wise"/>
      <sheetName val="Month wise stn wise (2)"/>
    </sheetNames>
    <sheetDataSet>
      <sheetData sheetId="0">
        <row r="103">
          <cell r="G103">
            <v>67153412.58</v>
          </cell>
        </row>
        <row r="103">
          <cell r="M103">
            <v>60480212.248</v>
          </cell>
        </row>
        <row r="103">
          <cell r="S103">
            <v>56241777.076</v>
          </cell>
        </row>
        <row r="103">
          <cell r="Y103">
            <v>63552963.1745</v>
          </cell>
        </row>
        <row r="103">
          <cell r="AE103">
            <v>66522911.463</v>
          </cell>
        </row>
        <row r="103">
          <cell r="AK103">
            <v>66434484.093</v>
          </cell>
        </row>
        <row r="103">
          <cell r="AQ103">
            <v>54438833.0235</v>
          </cell>
        </row>
        <row r="103">
          <cell r="AW103">
            <v>61471481.3725</v>
          </cell>
        </row>
        <row r="103">
          <cell r="BC103">
            <v>68496973.1295</v>
          </cell>
        </row>
        <row r="103">
          <cell r="BI103">
            <v>63362425.9675</v>
          </cell>
        </row>
        <row r="103">
          <cell r="BO103">
            <v>64477084.22</v>
          </cell>
        </row>
        <row r="103">
          <cell r="BU103">
            <v>68918651.185</v>
          </cell>
        </row>
        <row r="104">
          <cell r="G104">
            <v>4661692.842</v>
          </cell>
        </row>
        <row r="104">
          <cell r="M104">
            <v>4763468.272</v>
          </cell>
        </row>
        <row r="104">
          <cell r="S104">
            <v>4270235.5845</v>
          </cell>
        </row>
        <row r="104">
          <cell r="Y104">
            <v>0</v>
          </cell>
        </row>
        <row r="104">
          <cell r="AE104">
            <v>0</v>
          </cell>
        </row>
        <row r="104">
          <cell r="AK104">
            <v>2268478.81</v>
          </cell>
        </row>
        <row r="104">
          <cell r="AQ104">
            <v>4097211.7095</v>
          </cell>
        </row>
        <row r="104">
          <cell r="AW104">
            <v>4610698.5965</v>
          </cell>
        </row>
        <row r="104">
          <cell r="BC104">
            <v>4855506.391</v>
          </cell>
        </row>
        <row r="104">
          <cell r="BI104">
            <v>4807450.553</v>
          </cell>
        </row>
        <row r="104">
          <cell r="BO104">
            <v>4333322.1</v>
          </cell>
        </row>
        <row r="104">
          <cell r="BU104">
            <v>4794637.262</v>
          </cell>
        </row>
        <row r="105">
          <cell r="G105">
            <v>19181275.1</v>
          </cell>
        </row>
        <row r="105">
          <cell r="M105">
            <v>5417214.203</v>
          </cell>
        </row>
        <row r="105">
          <cell r="S105">
            <v>2052422.9625</v>
          </cell>
        </row>
        <row r="105">
          <cell r="Y105">
            <v>7333205.459</v>
          </cell>
        </row>
        <row r="105">
          <cell r="AE105">
            <v>26387576.63</v>
          </cell>
        </row>
        <row r="105">
          <cell r="AK105">
            <v>25937710.322</v>
          </cell>
        </row>
        <row r="105">
          <cell r="AQ105">
            <v>27150487.398</v>
          </cell>
        </row>
        <row r="105">
          <cell r="AW105">
            <v>26398918.9535</v>
          </cell>
        </row>
        <row r="105">
          <cell r="BC105">
            <v>20656839.638</v>
          </cell>
        </row>
        <row r="105">
          <cell r="BI105">
            <v>26870674.1045</v>
          </cell>
        </row>
        <row r="105">
          <cell r="BO105">
            <v>22765220.0385</v>
          </cell>
        </row>
        <row r="105">
          <cell r="BU105">
            <v>24542703.3015</v>
          </cell>
        </row>
        <row r="106">
          <cell r="G106">
            <v>1725564.8125</v>
          </cell>
        </row>
        <row r="106">
          <cell r="M106">
            <v>1245237.8365</v>
          </cell>
        </row>
        <row r="106">
          <cell r="S106">
            <v>1743724.3825</v>
          </cell>
        </row>
        <row r="106">
          <cell r="Y106">
            <v>1386896.5925</v>
          </cell>
        </row>
        <row r="106">
          <cell r="AE106">
            <v>1222592.6975</v>
          </cell>
        </row>
        <row r="106">
          <cell r="AK106">
            <v>2243506.2265</v>
          </cell>
        </row>
        <row r="106">
          <cell r="AQ106">
            <v>1012750.894</v>
          </cell>
        </row>
        <row r="106">
          <cell r="AW106">
            <v>1242546.354</v>
          </cell>
        </row>
        <row r="106">
          <cell r="BC106">
            <v>1115200.0765</v>
          </cell>
        </row>
        <row r="106">
          <cell r="BI106">
            <v>1489122.1315</v>
          </cell>
        </row>
        <row r="106">
          <cell r="BO106">
            <v>1254227.3175</v>
          </cell>
        </row>
        <row r="106">
          <cell r="BU106">
            <v>1840944.399</v>
          </cell>
        </row>
        <row r="107">
          <cell r="G107">
            <v>1716607.079</v>
          </cell>
        </row>
        <row r="107">
          <cell r="M107">
            <v>610749.939</v>
          </cell>
        </row>
        <row r="107">
          <cell r="S107">
            <v>886450.1675</v>
          </cell>
        </row>
        <row r="107">
          <cell r="Y107">
            <v>1509544.24</v>
          </cell>
        </row>
        <row r="107">
          <cell r="AE107">
            <v>1850784.0075</v>
          </cell>
        </row>
        <row r="107">
          <cell r="AK107">
            <v>2720397.4175</v>
          </cell>
        </row>
        <row r="107">
          <cell r="AQ107">
            <v>1541410.264</v>
          </cell>
        </row>
        <row r="107">
          <cell r="AW107">
            <v>1363473.9925</v>
          </cell>
        </row>
        <row r="107">
          <cell r="BC107">
            <v>1003582.9215</v>
          </cell>
        </row>
        <row r="107">
          <cell r="BI107">
            <v>2046271.0025</v>
          </cell>
        </row>
        <row r="107">
          <cell r="BO107">
            <v>1758467.9215</v>
          </cell>
        </row>
        <row r="107">
          <cell r="BU107">
            <v>2248294.455</v>
          </cell>
        </row>
        <row r="108">
          <cell r="G108">
            <v>28709465.3175</v>
          </cell>
        </row>
        <row r="108">
          <cell r="M108">
            <v>23567749.57</v>
          </cell>
        </row>
        <row r="108">
          <cell r="S108">
            <v>26981260.524</v>
          </cell>
        </row>
        <row r="108">
          <cell r="Y108">
            <v>27172801.6575</v>
          </cell>
        </row>
        <row r="108">
          <cell r="AE108">
            <v>18652749.775</v>
          </cell>
        </row>
        <row r="108">
          <cell r="AK108">
            <v>16074138.809</v>
          </cell>
        </row>
        <row r="108">
          <cell r="AQ108">
            <v>24831452.458</v>
          </cell>
        </row>
        <row r="108">
          <cell r="AW108">
            <v>26536729.9125</v>
          </cell>
        </row>
        <row r="108">
          <cell r="BC108">
            <v>29193855.268</v>
          </cell>
        </row>
        <row r="108">
          <cell r="BI108">
            <v>30093661.9615</v>
          </cell>
        </row>
        <row r="108">
          <cell r="BO108">
            <v>20514816.844</v>
          </cell>
        </row>
        <row r="108">
          <cell r="BU108">
            <v>30639225.1115</v>
          </cell>
        </row>
        <row r="109">
          <cell r="G109">
            <v>2532694.204</v>
          </cell>
        </row>
        <row r="109">
          <cell r="M109">
            <v>1838291.719</v>
          </cell>
        </row>
        <row r="109">
          <cell r="S109">
            <v>1636932.8475</v>
          </cell>
        </row>
        <row r="109">
          <cell r="Y109">
            <v>3637210.894</v>
          </cell>
        </row>
        <row r="109">
          <cell r="AE109">
            <v>2360993.1415</v>
          </cell>
        </row>
        <row r="109">
          <cell r="AK109">
            <v>3663765.2085</v>
          </cell>
        </row>
        <row r="109">
          <cell r="AQ109">
            <v>1683005.525</v>
          </cell>
        </row>
        <row r="109">
          <cell r="AW109">
            <v>2158080.759</v>
          </cell>
        </row>
        <row r="109">
          <cell r="BC109">
            <v>1472179.549</v>
          </cell>
        </row>
        <row r="109">
          <cell r="BI109">
            <v>3336064.6915</v>
          </cell>
        </row>
        <row r="109">
          <cell r="BO109">
            <v>2540253.6365</v>
          </cell>
        </row>
        <row r="109">
          <cell r="BU109">
            <v>2636739.2275</v>
          </cell>
        </row>
        <row r="110">
          <cell r="G110">
            <v>1931678.754</v>
          </cell>
        </row>
        <row r="110">
          <cell r="M110">
            <v>1245075.5715</v>
          </cell>
        </row>
        <row r="110">
          <cell r="S110">
            <v>1435099.88</v>
          </cell>
        </row>
        <row r="110">
          <cell r="Y110">
            <v>2190487.9015</v>
          </cell>
        </row>
        <row r="110">
          <cell r="AE110">
            <v>917640.3225</v>
          </cell>
        </row>
        <row r="110">
          <cell r="AK110">
            <v>1974080.715</v>
          </cell>
        </row>
        <row r="110">
          <cell r="AQ110">
            <v>1483282.0025</v>
          </cell>
        </row>
        <row r="110">
          <cell r="AW110">
            <v>1709837.8065</v>
          </cell>
        </row>
        <row r="110">
          <cell r="BC110">
            <v>1048813.9375</v>
          </cell>
        </row>
        <row r="110">
          <cell r="BI110">
            <v>1414432.2575</v>
          </cell>
        </row>
        <row r="110">
          <cell r="BO110">
            <v>921129.02</v>
          </cell>
        </row>
        <row r="110">
          <cell r="BU110">
            <v>1493416.51</v>
          </cell>
        </row>
        <row r="111">
          <cell r="G111">
            <v>0</v>
          </cell>
        </row>
        <row r="111">
          <cell r="M111">
            <v>0</v>
          </cell>
        </row>
        <row r="111">
          <cell r="S111">
            <v>131321.0645</v>
          </cell>
        </row>
        <row r="111">
          <cell r="Y111">
            <v>0</v>
          </cell>
        </row>
        <row r="111">
          <cell r="AE111">
            <v>0</v>
          </cell>
        </row>
        <row r="111">
          <cell r="AK111">
            <v>0</v>
          </cell>
        </row>
        <row r="111">
          <cell r="AQ111">
            <v>0</v>
          </cell>
        </row>
        <row r="111">
          <cell r="AW111">
            <v>0</v>
          </cell>
        </row>
        <row r="111">
          <cell r="BC111">
            <v>0</v>
          </cell>
        </row>
        <row r="111">
          <cell r="BI111">
            <v>0</v>
          </cell>
        </row>
        <row r="111">
          <cell r="BO111">
            <v>0</v>
          </cell>
        </row>
        <row r="111">
          <cell r="BU111">
            <v>0</v>
          </cell>
        </row>
        <row r="112">
          <cell r="G112">
            <v>0</v>
          </cell>
        </row>
        <row r="112">
          <cell r="M112">
            <v>0</v>
          </cell>
        </row>
        <row r="112">
          <cell r="S112">
            <v>995879.567</v>
          </cell>
        </row>
        <row r="112">
          <cell r="Y112">
            <v>0</v>
          </cell>
        </row>
        <row r="112">
          <cell r="AE112">
            <v>0</v>
          </cell>
        </row>
        <row r="112">
          <cell r="AK112">
            <v>0</v>
          </cell>
        </row>
        <row r="112">
          <cell r="AQ112">
            <v>0</v>
          </cell>
        </row>
        <row r="112">
          <cell r="AW112">
            <v>0</v>
          </cell>
        </row>
        <row r="112">
          <cell r="BC112">
            <v>0</v>
          </cell>
        </row>
        <row r="112">
          <cell r="BI112">
            <v>0</v>
          </cell>
        </row>
        <row r="112">
          <cell r="BO112">
            <v>0</v>
          </cell>
        </row>
        <row r="112">
          <cell r="BU112">
            <v>0</v>
          </cell>
        </row>
        <row r="113">
          <cell r="G113">
            <v>0</v>
          </cell>
        </row>
        <row r="113">
          <cell r="M113">
            <v>0</v>
          </cell>
        </row>
        <row r="113">
          <cell r="S113">
            <v>0</v>
          </cell>
        </row>
        <row r="113">
          <cell r="Y113">
            <v>0</v>
          </cell>
        </row>
        <row r="113">
          <cell r="AE113">
            <v>0</v>
          </cell>
        </row>
        <row r="113">
          <cell r="AK113">
            <v>0</v>
          </cell>
        </row>
        <row r="113">
          <cell r="AQ113">
            <v>0</v>
          </cell>
        </row>
        <row r="113">
          <cell r="AW113">
            <v>0</v>
          </cell>
        </row>
        <row r="113">
          <cell r="BC113">
            <v>0</v>
          </cell>
        </row>
        <row r="113">
          <cell r="BI113">
            <v>0</v>
          </cell>
        </row>
        <row r="113">
          <cell r="BO113">
            <v>0</v>
          </cell>
        </row>
        <row r="113">
          <cell r="BU113">
            <v>0</v>
          </cell>
        </row>
        <row r="114">
          <cell r="G114">
            <v>0</v>
          </cell>
        </row>
        <row r="114">
          <cell r="M114">
            <v>164051.326</v>
          </cell>
        </row>
        <row r="114">
          <cell r="S114">
            <v>0</v>
          </cell>
        </row>
        <row r="114">
          <cell r="Y114">
            <v>0</v>
          </cell>
        </row>
        <row r="114">
          <cell r="AE114">
            <v>0</v>
          </cell>
        </row>
        <row r="114">
          <cell r="AK114">
            <v>0</v>
          </cell>
        </row>
        <row r="114">
          <cell r="AQ114">
            <v>0</v>
          </cell>
        </row>
        <row r="114">
          <cell r="AW114">
            <v>0</v>
          </cell>
        </row>
        <row r="114">
          <cell r="BC114">
            <v>0</v>
          </cell>
        </row>
        <row r="114">
          <cell r="BI114">
            <v>0</v>
          </cell>
        </row>
        <row r="114">
          <cell r="BO114">
            <v>0</v>
          </cell>
        </row>
        <row r="114">
          <cell r="BU114">
            <v>0</v>
          </cell>
        </row>
        <row r="115">
          <cell r="G115">
            <v>0</v>
          </cell>
        </row>
        <row r="115">
          <cell r="M115">
            <v>414719.709</v>
          </cell>
        </row>
        <row r="115">
          <cell r="S115">
            <v>0</v>
          </cell>
        </row>
        <row r="115">
          <cell r="Y115">
            <v>0</v>
          </cell>
        </row>
        <row r="115">
          <cell r="AE115">
            <v>0</v>
          </cell>
        </row>
        <row r="115">
          <cell r="AK115">
            <v>0</v>
          </cell>
        </row>
        <row r="115">
          <cell r="AQ115">
            <v>0</v>
          </cell>
        </row>
        <row r="115">
          <cell r="AW115">
            <v>0</v>
          </cell>
        </row>
        <row r="115">
          <cell r="BC115">
            <v>0</v>
          </cell>
        </row>
        <row r="115">
          <cell r="BI115">
            <v>0</v>
          </cell>
        </row>
        <row r="115">
          <cell r="BO115">
            <v>0</v>
          </cell>
        </row>
        <row r="115">
          <cell r="BU115">
            <v>0</v>
          </cell>
        </row>
        <row r="116">
          <cell r="G116">
            <v>0</v>
          </cell>
        </row>
        <row r="116">
          <cell r="M116">
            <v>0</v>
          </cell>
        </row>
        <row r="116">
          <cell r="S116">
            <v>0</v>
          </cell>
        </row>
        <row r="116">
          <cell r="Y116">
            <v>0</v>
          </cell>
        </row>
        <row r="116">
          <cell r="AE116">
            <v>0</v>
          </cell>
        </row>
        <row r="116">
          <cell r="AK116">
            <v>0</v>
          </cell>
        </row>
        <row r="116">
          <cell r="AQ116">
            <v>41084.0859030837</v>
          </cell>
        </row>
        <row r="116">
          <cell r="AW116">
            <v>0</v>
          </cell>
        </row>
        <row r="116">
          <cell r="BC116">
            <v>0</v>
          </cell>
        </row>
        <row r="116">
          <cell r="BI116">
            <v>0</v>
          </cell>
        </row>
        <row r="116">
          <cell r="BO116">
            <v>0</v>
          </cell>
        </row>
        <row r="116">
          <cell r="BU116">
            <v>0</v>
          </cell>
        </row>
        <row r="117">
          <cell r="G117">
            <v>0</v>
          </cell>
        </row>
        <row r="117">
          <cell r="M117">
            <v>0</v>
          </cell>
        </row>
        <row r="117">
          <cell r="S117">
            <v>0</v>
          </cell>
        </row>
        <row r="117">
          <cell r="Y117">
            <v>0</v>
          </cell>
        </row>
        <row r="117">
          <cell r="AE117">
            <v>0</v>
          </cell>
        </row>
        <row r="117">
          <cell r="AK117">
            <v>0</v>
          </cell>
        </row>
        <row r="117">
          <cell r="AQ117">
            <v>0</v>
          </cell>
        </row>
        <row r="117">
          <cell r="AW117">
            <v>0</v>
          </cell>
        </row>
        <row r="117">
          <cell r="BC117">
            <v>0</v>
          </cell>
        </row>
        <row r="117">
          <cell r="BI117">
            <v>0</v>
          </cell>
        </row>
        <row r="117">
          <cell r="BO117">
            <v>0</v>
          </cell>
        </row>
        <row r="117">
          <cell r="BU117">
            <v>0</v>
          </cell>
        </row>
        <row r="118">
          <cell r="G118">
            <v>134960853.9965</v>
          </cell>
        </row>
        <row r="118">
          <cell r="M118">
            <v>110549180.388</v>
          </cell>
        </row>
        <row r="118">
          <cell r="S118">
            <v>103728732.329</v>
          </cell>
        </row>
        <row r="118">
          <cell r="Y118">
            <v>125536164.1565</v>
          </cell>
        </row>
        <row r="118">
          <cell r="AE118">
            <v>128300753.3885</v>
          </cell>
        </row>
        <row r="118">
          <cell r="AK118">
            <v>127750738.5335</v>
          </cell>
        </row>
        <row r="118">
          <cell r="AQ118">
            <v>111822039.255</v>
          </cell>
        </row>
        <row r="118">
          <cell r="AW118">
            <v>109280459.984</v>
          </cell>
        </row>
        <row r="118">
          <cell r="BC118">
            <v>115880540.885</v>
          </cell>
        </row>
        <row r="118">
          <cell r="BI118">
            <v>130658370.7125</v>
          </cell>
        </row>
        <row r="118">
          <cell r="BO118">
            <v>108576018.234</v>
          </cell>
        </row>
        <row r="118">
          <cell r="BU118">
            <v>122673046.2055</v>
          </cell>
        </row>
        <row r="119">
          <cell r="G119">
            <v>36058248.2165</v>
          </cell>
        </row>
        <row r="119">
          <cell r="M119">
            <v>30228193.051</v>
          </cell>
        </row>
        <row r="119">
          <cell r="S119">
            <v>33615298.551</v>
          </cell>
        </row>
        <row r="119">
          <cell r="Y119">
            <v>33317843.5245</v>
          </cell>
        </row>
        <row r="119">
          <cell r="AE119">
            <v>36719865.411</v>
          </cell>
        </row>
        <row r="119">
          <cell r="AK119">
            <v>31249651.9315</v>
          </cell>
        </row>
        <row r="119">
          <cell r="AQ119">
            <v>35721315.5265</v>
          </cell>
        </row>
        <row r="119">
          <cell r="AW119">
            <v>26273211.5525</v>
          </cell>
        </row>
        <row r="119">
          <cell r="BC119">
            <v>23746885.897</v>
          </cell>
        </row>
        <row r="119">
          <cell r="BI119">
            <v>32107650.695</v>
          </cell>
        </row>
        <row r="119">
          <cell r="BO119">
            <v>30744066.6445</v>
          </cell>
        </row>
        <row r="119">
          <cell r="BU119">
            <v>28184006.0955</v>
          </cell>
        </row>
        <row r="120">
          <cell r="G120">
            <v>143540804.24</v>
          </cell>
        </row>
        <row r="120">
          <cell r="M120">
            <v>98094624.85</v>
          </cell>
        </row>
        <row r="120">
          <cell r="S120">
            <v>168647168.1775</v>
          </cell>
        </row>
        <row r="120">
          <cell r="Y120">
            <v>164162183.3315</v>
          </cell>
        </row>
        <row r="120">
          <cell r="AE120">
            <v>198538738.253</v>
          </cell>
        </row>
        <row r="120">
          <cell r="AK120">
            <v>222674341.2455</v>
          </cell>
        </row>
        <row r="120">
          <cell r="AQ120">
            <v>250152912.247</v>
          </cell>
        </row>
        <row r="120">
          <cell r="AW120">
            <v>161455415.4685</v>
          </cell>
        </row>
        <row r="120">
          <cell r="BC120">
            <v>98933058.7295149</v>
          </cell>
        </row>
        <row r="120">
          <cell r="BI120">
            <v>225096890.673</v>
          </cell>
        </row>
        <row r="120">
          <cell r="BO120">
            <v>229834534.1175</v>
          </cell>
        </row>
        <row r="120">
          <cell r="BU120">
            <v>225708434.2995</v>
          </cell>
        </row>
        <row r="121">
          <cell r="G121">
            <v>78739348.7575</v>
          </cell>
        </row>
        <row r="121">
          <cell r="M121">
            <v>42716443.269</v>
          </cell>
        </row>
        <row r="121">
          <cell r="S121">
            <v>74991141.5485</v>
          </cell>
        </row>
        <row r="121">
          <cell r="Y121">
            <v>37763850.201</v>
          </cell>
        </row>
        <row r="121">
          <cell r="AE121">
            <v>73784502.3225</v>
          </cell>
        </row>
        <row r="121">
          <cell r="AK121">
            <v>103945184.6675</v>
          </cell>
        </row>
        <row r="121">
          <cell r="AQ121">
            <v>104120713.0675</v>
          </cell>
        </row>
        <row r="121">
          <cell r="AW121">
            <v>109901332.437</v>
          </cell>
        </row>
        <row r="121">
          <cell r="BC121">
            <v>107159180.927</v>
          </cell>
        </row>
        <row r="121">
          <cell r="BI121">
            <v>112471660.833</v>
          </cell>
        </row>
        <row r="121">
          <cell r="BO121">
            <v>97370074.2335</v>
          </cell>
        </row>
        <row r="121">
          <cell r="BU121">
            <v>101430269.769</v>
          </cell>
        </row>
        <row r="122">
          <cell r="G122">
            <v>99953117.856</v>
          </cell>
        </row>
        <row r="122">
          <cell r="M122">
            <v>99750714.8445</v>
          </cell>
        </row>
        <row r="122">
          <cell r="S122">
            <v>76266291.174</v>
          </cell>
        </row>
        <row r="122">
          <cell r="Y122">
            <v>84934033.8375</v>
          </cell>
        </row>
        <row r="122">
          <cell r="AE122">
            <v>67692037.843</v>
          </cell>
        </row>
        <row r="122">
          <cell r="AK122">
            <v>82322425.2255</v>
          </cell>
        </row>
        <row r="122">
          <cell r="AQ122">
            <v>111568929.1365</v>
          </cell>
        </row>
        <row r="122">
          <cell r="AW122">
            <v>102381689.4315</v>
          </cell>
        </row>
        <row r="122">
          <cell r="BC122">
            <v>105361252.9795</v>
          </cell>
        </row>
        <row r="122">
          <cell r="BI122">
            <v>105058297.1695</v>
          </cell>
        </row>
        <row r="122">
          <cell r="BO122">
            <v>98840777.8765</v>
          </cell>
        </row>
        <row r="122">
          <cell r="BU122">
            <v>105148977.201</v>
          </cell>
        </row>
        <row r="123">
          <cell r="G123">
            <v>48777170.1255</v>
          </cell>
        </row>
        <row r="123">
          <cell r="M123">
            <v>33948690.3365</v>
          </cell>
        </row>
        <row r="123">
          <cell r="S123">
            <v>61276170.7525</v>
          </cell>
        </row>
        <row r="123">
          <cell r="Y123">
            <v>35115463.874</v>
          </cell>
        </row>
        <row r="123">
          <cell r="AE123">
            <v>67747833.7215</v>
          </cell>
        </row>
        <row r="123">
          <cell r="AK123">
            <v>66375885.9685</v>
          </cell>
        </row>
        <row r="123">
          <cell r="AQ123">
            <v>83076654.816</v>
          </cell>
        </row>
        <row r="123">
          <cell r="AW123">
            <v>22206727.19</v>
          </cell>
        </row>
        <row r="123">
          <cell r="BC123">
            <v>30789187.6025</v>
          </cell>
        </row>
        <row r="123">
          <cell r="BI123">
            <v>74138449.556</v>
          </cell>
        </row>
        <row r="123">
          <cell r="BO123">
            <v>39065963.331</v>
          </cell>
        </row>
        <row r="123">
          <cell r="BU123">
            <v>28902956.453</v>
          </cell>
        </row>
        <row r="124">
          <cell r="G124">
            <v>0</v>
          </cell>
        </row>
        <row r="124">
          <cell r="M124">
            <v>0</v>
          </cell>
        </row>
        <row r="124">
          <cell r="S124">
            <v>0</v>
          </cell>
        </row>
        <row r="124">
          <cell r="Y124">
            <v>0</v>
          </cell>
        </row>
        <row r="124">
          <cell r="AE124">
            <v>0</v>
          </cell>
        </row>
        <row r="124">
          <cell r="AK124">
            <v>6088350.35625</v>
          </cell>
        </row>
        <row r="124">
          <cell r="AQ124">
            <v>313114516.15</v>
          </cell>
        </row>
        <row r="124">
          <cell r="AW124">
            <v>133244067.015</v>
          </cell>
        </row>
        <row r="124">
          <cell r="BC124">
            <v>141587580.2215</v>
          </cell>
        </row>
        <row r="124">
          <cell r="BI124">
            <v>243558522.6145</v>
          </cell>
        </row>
        <row r="124">
          <cell r="BO124">
            <v>265352820.1485</v>
          </cell>
        </row>
        <row r="124">
          <cell r="BU124">
            <v>763213317.442</v>
          </cell>
        </row>
        <row r="125">
          <cell r="G125">
            <v>43841928.83</v>
          </cell>
        </row>
        <row r="125">
          <cell r="M125">
            <v>29152228.6515</v>
          </cell>
        </row>
        <row r="125">
          <cell r="S125">
            <v>34229724.145</v>
          </cell>
        </row>
        <row r="125">
          <cell r="Y125">
            <v>41424681.235</v>
          </cell>
        </row>
        <row r="125">
          <cell r="AE125">
            <v>35227836.6195</v>
          </cell>
        </row>
        <row r="125">
          <cell r="AK125">
            <v>25980457.978</v>
          </cell>
        </row>
        <row r="125">
          <cell r="AQ125">
            <v>26500963.8845</v>
          </cell>
        </row>
        <row r="125">
          <cell r="AW125">
            <v>12602161.659</v>
          </cell>
        </row>
        <row r="125">
          <cell r="BC125">
            <v>7504170.685</v>
          </cell>
        </row>
        <row r="125">
          <cell r="BI125">
            <v>12436017.1145</v>
          </cell>
        </row>
        <row r="125">
          <cell r="BO125">
            <v>12658816.8365</v>
          </cell>
        </row>
        <row r="125">
          <cell r="BU125">
            <v>16922616.85</v>
          </cell>
        </row>
        <row r="126">
          <cell r="G126">
            <v>52416549.7265</v>
          </cell>
        </row>
        <row r="126">
          <cell r="M126">
            <v>35381802.1175</v>
          </cell>
        </row>
        <row r="126">
          <cell r="S126">
            <v>48974672.734</v>
          </cell>
        </row>
        <row r="126">
          <cell r="Y126">
            <v>38016162.399</v>
          </cell>
        </row>
        <row r="126">
          <cell r="AE126">
            <v>33619304.38</v>
          </cell>
        </row>
        <row r="126">
          <cell r="AK126">
            <v>60586402.697</v>
          </cell>
        </row>
        <row r="126">
          <cell r="AQ126">
            <v>70897498.258</v>
          </cell>
        </row>
        <row r="126">
          <cell r="AW126">
            <v>39644075.429</v>
          </cell>
        </row>
        <row r="126">
          <cell r="BC126">
            <v>27551920.4255</v>
          </cell>
        </row>
        <row r="126">
          <cell r="BI126">
            <v>41401572.5825</v>
          </cell>
        </row>
        <row r="126">
          <cell r="BO126">
            <v>37635752.566</v>
          </cell>
        </row>
        <row r="126">
          <cell r="BU126">
            <v>47783445.1555</v>
          </cell>
        </row>
        <row r="129">
          <cell r="G129">
            <v>266289077.205</v>
          </cell>
        </row>
        <row r="129">
          <cell r="M129">
            <v>251233594.325</v>
          </cell>
        </row>
        <row r="129">
          <cell r="S129">
            <v>266003944.08875</v>
          </cell>
        </row>
        <row r="129">
          <cell r="Y129">
            <v>271231143.5075</v>
          </cell>
        </row>
        <row r="129">
          <cell r="AE129">
            <v>268202352.63875</v>
          </cell>
        </row>
        <row r="129">
          <cell r="AK129">
            <v>251404836.8125</v>
          </cell>
        </row>
        <row r="129">
          <cell r="AQ129">
            <v>252507762.6</v>
          </cell>
        </row>
        <row r="129">
          <cell r="AW129">
            <v>213649866.74</v>
          </cell>
        </row>
        <row r="129">
          <cell r="BC129">
            <v>169615927.26625</v>
          </cell>
        </row>
        <row r="129">
          <cell r="BI129">
            <v>281986159.4225</v>
          </cell>
        </row>
        <row r="129">
          <cell r="BO129">
            <v>268205305.15625</v>
          </cell>
        </row>
        <row r="129">
          <cell r="BU129">
            <v>258377153.97625</v>
          </cell>
        </row>
        <row r="130">
          <cell r="G130">
            <v>131369418.059</v>
          </cell>
        </row>
        <row r="130">
          <cell r="M130">
            <v>137086966.434</v>
          </cell>
        </row>
        <row r="130">
          <cell r="S130">
            <v>132050682.0175</v>
          </cell>
        </row>
        <row r="130">
          <cell r="Y130">
            <v>137918808.785</v>
          </cell>
        </row>
        <row r="130">
          <cell r="AE130">
            <v>131738103.1875</v>
          </cell>
        </row>
        <row r="130">
          <cell r="AK130">
            <v>127353899.0165</v>
          </cell>
        </row>
        <row r="130">
          <cell r="AQ130">
            <v>119902866.5915</v>
          </cell>
        </row>
        <row r="130">
          <cell r="AW130">
            <v>103429760.4775</v>
          </cell>
        </row>
        <row r="130">
          <cell r="BC130">
            <v>82592072.264</v>
          </cell>
        </row>
        <row r="130">
          <cell r="BI130">
            <v>130836982.1475</v>
          </cell>
        </row>
        <row r="130">
          <cell r="BO130">
            <v>121159656.285</v>
          </cell>
        </row>
        <row r="130">
          <cell r="BU130">
            <v>123532799.5475</v>
          </cell>
        </row>
        <row r="132">
          <cell r="G132">
            <v>1093991838.16875</v>
          </cell>
        </row>
        <row r="132">
          <cell r="M132">
            <v>200233509.04875</v>
          </cell>
        </row>
        <row r="132">
          <cell r="S132">
            <v>425483642.435</v>
          </cell>
        </row>
        <row r="132">
          <cell r="Y132">
            <v>732414472.25</v>
          </cell>
        </row>
        <row r="132">
          <cell r="AE132">
            <v>1221982893.28375</v>
          </cell>
        </row>
        <row r="132">
          <cell r="AK132">
            <v>921902457.88625</v>
          </cell>
        </row>
        <row r="132">
          <cell r="AQ132">
            <v>1142731914.1625</v>
          </cell>
        </row>
        <row r="132">
          <cell r="AW132">
            <v>729373063.51375</v>
          </cell>
        </row>
        <row r="132">
          <cell r="BC132">
            <v>863094600.5825</v>
          </cell>
        </row>
        <row r="132">
          <cell r="BI132">
            <v>915066748.45125</v>
          </cell>
        </row>
        <row r="132">
          <cell r="BO132">
            <v>1391239941.51875</v>
          </cell>
        </row>
        <row r="132">
          <cell r="BU132">
            <v>1857858708.5875</v>
          </cell>
        </row>
        <row r="134">
          <cell r="G134">
            <v>787226973.98225</v>
          </cell>
        </row>
        <row r="134">
          <cell r="M134">
            <v>713852460.73725</v>
          </cell>
        </row>
        <row r="134">
          <cell r="S134">
            <v>680129274.65875</v>
          </cell>
        </row>
        <row r="134">
          <cell r="Y134">
            <v>555667602.62525</v>
          </cell>
        </row>
        <row r="134">
          <cell r="AE134">
            <v>623489984.96775</v>
          </cell>
        </row>
        <row r="134">
          <cell r="AK134">
            <v>606731034.905223</v>
          </cell>
        </row>
        <row r="134">
          <cell r="AQ134">
            <v>658642019.872</v>
          </cell>
        </row>
        <row r="134">
          <cell r="AW134">
            <v>552475648.72</v>
          </cell>
        </row>
        <row r="134">
          <cell r="BC134">
            <v>582970865.91075</v>
          </cell>
        </row>
        <row r="134">
          <cell r="BI134">
            <v>607603232.5805</v>
          </cell>
        </row>
        <row r="134">
          <cell r="BO134">
            <v>657876148.26325</v>
          </cell>
        </row>
        <row r="134">
          <cell r="BU134">
            <v>741577864.3405</v>
          </cell>
        </row>
        <row r="135">
          <cell r="G135">
            <v>18059303.6345</v>
          </cell>
        </row>
        <row r="135">
          <cell r="M135">
            <v>16356715.546</v>
          </cell>
        </row>
        <row r="135">
          <cell r="S135">
            <v>16160319.1615</v>
          </cell>
        </row>
        <row r="135">
          <cell r="Y135">
            <v>14434096.823</v>
          </cell>
        </row>
        <row r="135">
          <cell r="AE135">
            <v>15551067.7045</v>
          </cell>
        </row>
        <row r="135">
          <cell r="AK135">
            <v>17028611.17</v>
          </cell>
        </row>
        <row r="135">
          <cell r="AQ135">
            <v>18696470.3155</v>
          </cell>
        </row>
        <row r="135">
          <cell r="AW135">
            <v>16347337.3345</v>
          </cell>
        </row>
        <row r="135">
          <cell r="BC135">
            <v>14993106.0975</v>
          </cell>
        </row>
        <row r="135">
          <cell r="BI135">
            <v>18656870.6005</v>
          </cell>
        </row>
        <row r="135">
          <cell r="BO135">
            <v>23755875.378</v>
          </cell>
        </row>
        <row r="135">
          <cell r="BU135">
            <v>28162650.6105</v>
          </cell>
        </row>
        <row r="136">
          <cell r="G136">
            <v>82289685.1526115</v>
          </cell>
        </row>
        <row r="136">
          <cell r="M136">
            <v>82129334.317328</v>
          </cell>
        </row>
        <row r="136">
          <cell r="S136">
            <v>116277649.449363</v>
          </cell>
        </row>
        <row r="136">
          <cell r="Y136">
            <v>97994609.422384</v>
          </cell>
        </row>
        <row r="136">
          <cell r="AE136">
            <v>107204373.805786</v>
          </cell>
        </row>
        <row r="136">
          <cell r="AK136">
            <v>158002415.311137</v>
          </cell>
        </row>
        <row r="136">
          <cell r="AQ136">
            <v>145579103.951799</v>
          </cell>
        </row>
        <row r="136">
          <cell r="AW136">
            <v>145943296.398448</v>
          </cell>
        </row>
        <row r="136">
          <cell r="BC136">
            <v>115767855.389939</v>
          </cell>
        </row>
        <row r="136">
          <cell r="BI136">
            <v>100248323.958739</v>
          </cell>
        </row>
        <row r="136">
          <cell r="BO136">
            <v>96938165.0995435</v>
          </cell>
        </row>
        <row r="136">
          <cell r="BU136">
            <v>90350436.079139</v>
          </cell>
        </row>
        <row r="137">
          <cell r="G137">
            <v>181703253.475</v>
          </cell>
        </row>
        <row r="137">
          <cell r="M137">
            <v>174757747.075</v>
          </cell>
        </row>
        <row r="137">
          <cell r="S137">
            <v>190076268.575</v>
          </cell>
        </row>
        <row r="137">
          <cell r="Y137">
            <v>183353347.425</v>
          </cell>
        </row>
        <row r="137">
          <cell r="AE137">
            <v>178035605.9</v>
          </cell>
        </row>
        <row r="137">
          <cell r="AK137">
            <v>186448270.1</v>
          </cell>
        </row>
        <row r="137">
          <cell r="AQ137">
            <v>189368475.7</v>
          </cell>
        </row>
        <row r="137">
          <cell r="AW137">
            <v>184752142.275</v>
          </cell>
        </row>
        <row r="137">
          <cell r="BC137">
            <v>183387493.625</v>
          </cell>
        </row>
        <row r="137">
          <cell r="BI137">
            <v>185727989.875</v>
          </cell>
        </row>
        <row r="137">
          <cell r="BO137">
            <v>169851911.725</v>
          </cell>
        </row>
        <row r="137">
          <cell r="BU137">
            <v>180631352.05</v>
          </cell>
        </row>
        <row r="138">
          <cell r="G138">
            <v>207365992.35</v>
          </cell>
        </row>
        <row r="138">
          <cell r="M138">
            <v>215929210.25</v>
          </cell>
        </row>
        <row r="138">
          <cell r="S138">
            <v>200861494</v>
          </cell>
        </row>
        <row r="138">
          <cell r="Y138">
            <v>213700183</v>
          </cell>
        </row>
        <row r="138">
          <cell r="AE138">
            <v>182194105.1</v>
          </cell>
        </row>
        <row r="138">
          <cell r="AK138">
            <v>179414294</v>
          </cell>
        </row>
        <row r="138">
          <cell r="AQ138">
            <v>217300702.25</v>
          </cell>
        </row>
        <row r="138">
          <cell r="AW138">
            <v>109814673.05</v>
          </cell>
        </row>
        <row r="138">
          <cell r="BC138">
            <v>149296146.25</v>
          </cell>
        </row>
        <row r="138">
          <cell r="BI138">
            <v>195304623.25</v>
          </cell>
        </row>
        <row r="138">
          <cell r="BO138">
            <v>188250893.15</v>
          </cell>
        </row>
        <row r="138">
          <cell r="BU138">
            <v>179844790.1</v>
          </cell>
        </row>
        <row r="139">
          <cell r="G139">
            <v>352148470.946</v>
          </cell>
        </row>
        <row r="139">
          <cell r="M139">
            <v>367415290.584</v>
          </cell>
        </row>
        <row r="139">
          <cell r="S139">
            <v>376752220.457</v>
          </cell>
        </row>
        <row r="139">
          <cell r="Y139">
            <v>373303020.3745</v>
          </cell>
        </row>
        <row r="139">
          <cell r="AE139">
            <v>345296472.927</v>
          </cell>
        </row>
        <row r="139">
          <cell r="AK139">
            <v>272858102.7015</v>
          </cell>
        </row>
        <row r="139">
          <cell r="AQ139">
            <v>380884427.083</v>
          </cell>
        </row>
        <row r="139">
          <cell r="AW139">
            <v>225943690.3295</v>
          </cell>
        </row>
        <row r="139">
          <cell r="BC139">
            <v>357585079.344</v>
          </cell>
        </row>
        <row r="139">
          <cell r="BI139">
            <v>342387729.5855</v>
          </cell>
        </row>
        <row r="139">
          <cell r="BO139">
            <v>322559651.38</v>
          </cell>
        </row>
        <row r="139">
          <cell r="BU139">
            <v>344159096.1635</v>
          </cell>
        </row>
        <row r="140">
          <cell r="G140">
            <v>13851317.8425</v>
          </cell>
        </row>
        <row r="140">
          <cell r="M140">
            <v>17354315.8275</v>
          </cell>
        </row>
        <row r="140">
          <cell r="S140">
            <v>15006775.16</v>
          </cell>
        </row>
        <row r="140">
          <cell r="Y140">
            <v>17361543.675</v>
          </cell>
        </row>
        <row r="140">
          <cell r="AE140">
            <v>16943605.475</v>
          </cell>
        </row>
        <row r="140">
          <cell r="AK140">
            <v>2447513.545</v>
          </cell>
        </row>
        <row r="140">
          <cell r="AQ140">
            <v>1216133.845</v>
          </cell>
        </row>
        <row r="140">
          <cell r="AW140">
            <v>13150216.635</v>
          </cell>
        </row>
        <row r="140">
          <cell r="BC140">
            <v>16215226.11</v>
          </cell>
        </row>
        <row r="140">
          <cell r="BI140">
            <v>17455092.975</v>
          </cell>
        </row>
        <row r="140">
          <cell r="BO140">
            <v>14201072.995</v>
          </cell>
        </row>
        <row r="140">
          <cell r="BU140">
            <v>9342675.465</v>
          </cell>
        </row>
        <row r="141">
          <cell r="G141">
            <v>179806927.326</v>
          </cell>
        </row>
        <row r="141">
          <cell r="M141">
            <v>206043034.517</v>
          </cell>
        </row>
        <row r="141">
          <cell r="S141">
            <v>217871096.8835</v>
          </cell>
        </row>
        <row r="141">
          <cell r="Y141">
            <v>215408432.726</v>
          </cell>
        </row>
        <row r="141">
          <cell r="AE141">
            <v>205381734.7975</v>
          </cell>
        </row>
        <row r="141">
          <cell r="AK141">
            <v>195891012.274</v>
          </cell>
        </row>
        <row r="141">
          <cell r="AQ141">
            <v>199972587.987</v>
          </cell>
        </row>
        <row r="141">
          <cell r="AW141">
            <v>211232715.093</v>
          </cell>
        </row>
        <row r="141">
          <cell r="BC141">
            <v>212262891.837</v>
          </cell>
        </row>
        <row r="141">
          <cell r="BI141">
            <v>224575327.9275</v>
          </cell>
        </row>
        <row r="141">
          <cell r="BO141">
            <v>203268764.414</v>
          </cell>
        </row>
        <row r="141">
          <cell r="BU141">
            <v>212570930.7745</v>
          </cell>
        </row>
        <row r="142">
          <cell r="G142">
            <v>262918570.709</v>
          </cell>
        </row>
        <row r="142">
          <cell r="M142">
            <v>247948534.4615</v>
          </cell>
        </row>
        <row r="142">
          <cell r="S142">
            <v>254161028.478</v>
          </cell>
        </row>
        <row r="142">
          <cell r="Y142">
            <v>192948745.689</v>
          </cell>
        </row>
        <row r="142">
          <cell r="AE142">
            <v>268566335.9625</v>
          </cell>
        </row>
        <row r="142">
          <cell r="AK142">
            <v>233794376.511</v>
          </cell>
        </row>
        <row r="142">
          <cell r="AQ142">
            <v>248716857.8255</v>
          </cell>
        </row>
        <row r="142">
          <cell r="AW142">
            <v>239968227.4705</v>
          </cell>
        </row>
        <row r="142">
          <cell r="BC142">
            <v>248891991.1455</v>
          </cell>
        </row>
        <row r="142">
          <cell r="BI142">
            <v>268199046.313</v>
          </cell>
        </row>
        <row r="142">
          <cell r="BO142">
            <v>242012163.9735</v>
          </cell>
        </row>
        <row r="142">
          <cell r="BU142">
            <v>268379135.7705</v>
          </cell>
        </row>
        <row r="143">
          <cell r="G143">
            <v>361364155</v>
          </cell>
        </row>
        <row r="143">
          <cell r="M143">
            <v>382456488.5</v>
          </cell>
        </row>
        <row r="143">
          <cell r="S143">
            <v>360305199.5</v>
          </cell>
        </row>
        <row r="143">
          <cell r="Y143">
            <v>283124910.5</v>
          </cell>
        </row>
        <row r="143">
          <cell r="AE143">
            <v>299230770</v>
          </cell>
        </row>
        <row r="143">
          <cell r="AK143">
            <v>329050138.5</v>
          </cell>
        </row>
        <row r="143">
          <cell r="AQ143">
            <v>378185391.5</v>
          </cell>
        </row>
        <row r="143">
          <cell r="AW143">
            <v>413006049.5</v>
          </cell>
        </row>
        <row r="143">
          <cell r="BC143">
            <v>398674522.5</v>
          </cell>
        </row>
        <row r="143">
          <cell r="BI143">
            <v>436414539.5</v>
          </cell>
        </row>
        <row r="143">
          <cell r="BO143">
            <v>414386713</v>
          </cell>
        </row>
        <row r="143">
          <cell r="BU143">
            <v>406364472.5</v>
          </cell>
        </row>
        <row r="146">
          <cell r="G146">
            <v>36525940.393</v>
          </cell>
        </row>
        <row r="146">
          <cell r="M146">
            <v>36058947.0848</v>
          </cell>
        </row>
        <row r="146">
          <cell r="S146">
            <v>38628694.07825</v>
          </cell>
        </row>
        <row r="146">
          <cell r="Y146">
            <v>80832171.7542</v>
          </cell>
        </row>
        <row r="146">
          <cell r="AE146">
            <v>203569455.8512</v>
          </cell>
        </row>
        <row r="146">
          <cell r="AK146">
            <v>104157855.31435</v>
          </cell>
        </row>
        <row r="146">
          <cell r="AQ146">
            <v>108879551.07245</v>
          </cell>
        </row>
        <row r="146">
          <cell r="AW146">
            <v>39707905.9648</v>
          </cell>
        </row>
        <row r="146">
          <cell r="BC146">
            <v>65486618.7395</v>
          </cell>
        </row>
        <row r="146">
          <cell r="BI146">
            <v>67963234.4417</v>
          </cell>
        </row>
        <row r="146">
          <cell r="BO146">
            <v>31963344.12695</v>
          </cell>
        </row>
        <row r="146">
          <cell r="BU146">
            <v>19119060.1592</v>
          </cell>
        </row>
        <row r="151">
          <cell r="G151">
            <v>533007366.5</v>
          </cell>
        </row>
        <row r="151">
          <cell r="M151">
            <v>548713913</v>
          </cell>
        </row>
        <row r="151">
          <cell r="S151">
            <v>267021167.5</v>
          </cell>
        </row>
        <row r="151">
          <cell r="Y151">
            <v>480336147.5</v>
          </cell>
        </row>
        <row r="151">
          <cell r="AE151">
            <v>574899251</v>
          </cell>
        </row>
        <row r="151">
          <cell r="AK151">
            <v>525408426</v>
          </cell>
        </row>
        <row r="151">
          <cell r="AQ151">
            <v>581955662</v>
          </cell>
        </row>
        <row r="151">
          <cell r="AW151">
            <v>410256010.5</v>
          </cell>
        </row>
        <row r="151">
          <cell r="BC151">
            <v>387261649</v>
          </cell>
        </row>
        <row r="151">
          <cell r="BI151">
            <v>557345705.5</v>
          </cell>
        </row>
        <row r="151">
          <cell r="BO151">
            <v>463241882.5</v>
          </cell>
        </row>
        <row r="151">
          <cell r="BU151">
            <v>516569216.5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Sales_State"/>
      <sheetName val="TSERC Approved Sales"/>
      <sheetName val="Sales_SP"/>
      <sheetName val="Sales_NP"/>
      <sheetName val="Sheet4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78">
          <cell r="J78">
            <v>109.674745</v>
          </cell>
          <cell r="K78">
            <v>250.439855</v>
          </cell>
        </row>
        <row r="78">
          <cell r="M78">
            <v>360.1146</v>
          </cell>
        </row>
        <row r="79">
          <cell r="J79">
            <v>153.667155</v>
          </cell>
          <cell r="K79">
            <v>260.906385</v>
          </cell>
        </row>
        <row r="79">
          <cell r="M79">
            <v>414.57354</v>
          </cell>
        </row>
        <row r="80">
          <cell r="J80">
            <v>312.37615</v>
          </cell>
          <cell r="K80">
            <v>400.493495</v>
          </cell>
        </row>
        <row r="80">
          <cell r="M80">
            <v>712.869645</v>
          </cell>
        </row>
        <row r="81">
          <cell r="J81">
            <v>33.34918</v>
          </cell>
          <cell r="K81">
            <v>32.52458</v>
          </cell>
        </row>
        <row r="81">
          <cell r="M81">
            <v>65.87376</v>
          </cell>
        </row>
        <row r="82">
          <cell r="J82">
            <v>144.313835</v>
          </cell>
          <cell r="K82">
            <v>285.408785</v>
          </cell>
        </row>
        <row r="82">
          <cell r="M82">
            <v>429.72262</v>
          </cell>
        </row>
        <row r="83">
          <cell r="J83">
            <v>212.072395</v>
          </cell>
          <cell r="K83">
            <v>336.822595</v>
          </cell>
        </row>
        <row r="83">
          <cell r="M83">
            <v>548.89499</v>
          </cell>
        </row>
        <row r="84">
          <cell r="J84">
            <v>569.52177</v>
          </cell>
          <cell r="K84">
            <v>512.3122</v>
          </cell>
        </row>
        <row r="84">
          <cell r="M84">
            <v>1081.83397</v>
          </cell>
        </row>
        <row r="85">
          <cell r="M85">
            <v>0</v>
          </cell>
        </row>
        <row r="87">
          <cell r="J87">
            <v>18.332625</v>
          </cell>
          <cell r="K87">
            <v>0</v>
          </cell>
        </row>
        <row r="87">
          <cell r="M87">
            <v>18.332625</v>
          </cell>
        </row>
        <row r="88">
          <cell r="J88">
            <v>102.18561</v>
          </cell>
          <cell r="K88">
            <v>0</v>
          </cell>
        </row>
        <row r="88">
          <cell r="M88">
            <v>102.18561</v>
          </cell>
        </row>
        <row r="89">
          <cell r="J89">
            <v>136.64211</v>
          </cell>
          <cell r="K89">
            <v>0</v>
          </cell>
        </row>
        <row r="89">
          <cell r="M89">
            <v>136.64211</v>
          </cell>
        </row>
        <row r="90">
          <cell r="J90">
            <v>78.14852</v>
          </cell>
          <cell r="K90">
            <v>0</v>
          </cell>
        </row>
        <row r="90">
          <cell r="M90">
            <v>78.14852</v>
          </cell>
        </row>
        <row r="91">
          <cell r="J91">
            <v>36.379585</v>
          </cell>
          <cell r="K91">
            <v>0</v>
          </cell>
        </row>
        <row r="91">
          <cell r="M91">
            <v>36.379585</v>
          </cell>
        </row>
        <row r="92">
          <cell r="J92">
            <v>3.02157</v>
          </cell>
          <cell r="K92">
            <v>0</v>
          </cell>
        </row>
        <row r="92">
          <cell r="M92">
            <v>3.02157</v>
          </cell>
        </row>
        <row r="93">
          <cell r="J93">
            <v>14.498235</v>
          </cell>
          <cell r="K93">
            <v>0</v>
          </cell>
        </row>
        <row r="93">
          <cell r="M93">
            <v>14.498235</v>
          </cell>
        </row>
        <row r="94">
          <cell r="J94">
            <v>2.7094</v>
          </cell>
          <cell r="K94">
            <v>0</v>
          </cell>
        </row>
        <row r="94">
          <cell r="M94">
            <v>2.7094</v>
          </cell>
        </row>
        <row r="98">
          <cell r="J98">
            <v>53.36929</v>
          </cell>
          <cell r="K98">
            <v>205.90262</v>
          </cell>
        </row>
        <row r="98">
          <cell r="M98">
            <v>259.27191</v>
          </cell>
        </row>
        <row r="99">
          <cell r="J99">
            <v>15.870605</v>
          </cell>
          <cell r="K99">
            <v>54.238065</v>
          </cell>
        </row>
        <row r="99">
          <cell r="M99">
            <v>70.10867</v>
          </cell>
        </row>
        <row r="100">
          <cell r="J100">
            <v>32.509855</v>
          </cell>
          <cell r="K100">
            <v>81.644235</v>
          </cell>
        </row>
        <row r="100">
          <cell r="M100">
            <v>114.15409</v>
          </cell>
        </row>
        <row r="101">
          <cell r="J101">
            <v>105.062875</v>
          </cell>
          <cell r="K101">
            <v>339.81766</v>
          </cell>
        </row>
        <row r="101">
          <cell r="M101">
            <v>444.880535</v>
          </cell>
        </row>
        <row r="102">
          <cell r="J102">
            <v>72.184895</v>
          </cell>
          <cell r="K102">
            <v>159.592495</v>
          </cell>
        </row>
        <row r="102">
          <cell r="M102">
            <v>231.77739</v>
          </cell>
        </row>
        <row r="103">
          <cell r="J103">
            <v>86.65368</v>
          </cell>
          <cell r="K103">
            <v>176.496795</v>
          </cell>
        </row>
        <row r="103">
          <cell r="M103">
            <v>263.150475</v>
          </cell>
        </row>
        <row r="104">
          <cell r="J104">
            <v>8.27545</v>
          </cell>
          <cell r="K104">
            <v>30.036055</v>
          </cell>
        </row>
        <row r="104">
          <cell r="M104">
            <v>38.311505</v>
          </cell>
        </row>
        <row r="105">
          <cell r="J105">
            <v>15.39057</v>
          </cell>
          <cell r="K105">
            <v>53.955345</v>
          </cell>
        </row>
        <row r="105">
          <cell r="M105">
            <v>69.345915</v>
          </cell>
        </row>
        <row r="106">
          <cell r="J106">
            <v>23.03579</v>
          </cell>
          <cell r="K106">
            <v>25.27988</v>
          </cell>
        </row>
        <row r="106">
          <cell r="M106">
            <v>48.31567</v>
          </cell>
        </row>
        <row r="107">
          <cell r="J107">
            <v>209.63099</v>
          </cell>
          <cell r="K107">
            <v>228.15504</v>
          </cell>
        </row>
        <row r="107">
          <cell r="M107">
            <v>437.78603</v>
          </cell>
        </row>
        <row r="108">
          <cell r="M108">
            <v>0</v>
          </cell>
        </row>
        <row r="109">
          <cell r="M109">
            <v>0</v>
          </cell>
        </row>
        <row r="111">
          <cell r="J111">
            <v>0</v>
          </cell>
          <cell r="K111">
            <v>3.731315</v>
          </cell>
        </row>
        <row r="111">
          <cell r="M111">
            <v>3.731315</v>
          </cell>
        </row>
        <row r="112">
          <cell r="J112">
            <v>0</v>
          </cell>
          <cell r="K112">
            <v>46.39553</v>
          </cell>
        </row>
        <row r="112">
          <cell r="M112">
            <v>46.39553</v>
          </cell>
        </row>
        <row r="113">
          <cell r="J113">
            <v>0</v>
          </cell>
          <cell r="K113">
            <v>46.145205</v>
          </cell>
        </row>
        <row r="113">
          <cell r="M113">
            <v>46.145205</v>
          </cell>
        </row>
        <row r="114">
          <cell r="J114">
            <v>0</v>
          </cell>
          <cell r="K114">
            <v>33.193095</v>
          </cell>
        </row>
        <row r="114">
          <cell r="M114">
            <v>33.193095</v>
          </cell>
        </row>
        <row r="116">
          <cell r="J116">
            <v>0</v>
          </cell>
          <cell r="K116">
            <v>45.750575</v>
          </cell>
        </row>
        <row r="116">
          <cell r="M116">
            <v>45.750575</v>
          </cell>
        </row>
        <row r="117">
          <cell r="J117">
            <v>0</v>
          </cell>
          <cell r="K117">
            <v>161.74529</v>
          </cell>
        </row>
        <row r="117">
          <cell r="M117">
            <v>161.74529</v>
          </cell>
        </row>
        <row r="119">
          <cell r="K119">
            <v>46.36</v>
          </cell>
        </row>
        <row r="119">
          <cell r="M119">
            <v>46.36</v>
          </cell>
        </row>
        <row r="120">
          <cell r="K120">
            <v>6.87</v>
          </cell>
        </row>
        <row r="120">
          <cell r="M120">
            <v>6.87</v>
          </cell>
        </row>
        <row r="121">
          <cell r="K121">
            <v>0</v>
          </cell>
        </row>
        <row r="121">
          <cell r="M121">
            <v>0</v>
          </cell>
        </row>
        <row r="122">
          <cell r="K122">
            <v>24.82</v>
          </cell>
        </row>
        <row r="122">
          <cell r="M122">
            <v>24.82</v>
          </cell>
        </row>
        <row r="123">
          <cell r="K123">
            <v>0</v>
          </cell>
        </row>
        <row r="123">
          <cell r="M123">
            <v>0</v>
          </cell>
        </row>
        <row r="124">
          <cell r="K124">
            <v>0</v>
          </cell>
        </row>
        <row r="124">
          <cell r="M124">
            <v>0</v>
          </cell>
        </row>
        <row r="125">
          <cell r="K125">
            <v>1017.83</v>
          </cell>
        </row>
        <row r="125">
          <cell r="M125">
            <v>1017.83</v>
          </cell>
        </row>
        <row r="126">
          <cell r="K126">
            <v>26.69</v>
          </cell>
        </row>
        <row r="126">
          <cell r="M126">
            <v>26.69</v>
          </cell>
        </row>
        <row r="127">
          <cell r="K127">
            <v>114.46</v>
          </cell>
        </row>
        <row r="127">
          <cell r="M127">
            <v>114.46</v>
          </cell>
        </row>
        <row r="128">
          <cell r="K128">
            <v>58.03</v>
          </cell>
        </row>
        <row r="128">
          <cell r="M128">
            <v>58.03</v>
          </cell>
        </row>
        <row r="129">
          <cell r="K129">
            <v>0</v>
          </cell>
        </row>
        <row r="129">
          <cell r="M129">
            <v>0</v>
          </cell>
        </row>
        <row r="131">
          <cell r="J131">
            <v>98.44546</v>
          </cell>
          <cell r="K131">
            <v>157.12164</v>
          </cell>
        </row>
        <row r="131">
          <cell r="M131">
            <v>255.5671</v>
          </cell>
        </row>
        <row r="132">
          <cell r="J132">
            <v>334.849445</v>
          </cell>
          <cell r="K132">
            <v>342.771495</v>
          </cell>
        </row>
        <row r="132">
          <cell r="M132">
            <v>677.62094</v>
          </cell>
        </row>
        <row r="133">
          <cell r="J133">
            <v>417.05912</v>
          </cell>
          <cell r="K133">
            <v>624.607995</v>
          </cell>
        </row>
        <row r="133">
          <cell r="M133">
            <v>1041.667115</v>
          </cell>
        </row>
        <row r="134">
          <cell r="J134">
            <v>449.46001</v>
          </cell>
          <cell r="K134">
            <v>224.394275</v>
          </cell>
        </row>
        <row r="134">
          <cell r="M134">
            <v>673.854285</v>
          </cell>
        </row>
        <row r="135">
          <cell r="J135">
            <v>0</v>
          </cell>
          <cell r="K135">
            <v>0</v>
          </cell>
        </row>
        <row r="135">
          <cell r="M135">
            <v>0</v>
          </cell>
        </row>
        <row r="136">
          <cell r="J136">
            <v>0</v>
          </cell>
          <cell r="K136">
            <v>210.835495</v>
          </cell>
        </row>
        <row r="136">
          <cell r="M136">
            <v>210.835495</v>
          </cell>
        </row>
        <row r="138">
          <cell r="J138">
            <v>0</v>
          </cell>
          <cell r="K138">
            <v>152.52</v>
          </cell>
        </row>
        <row r="138">
          <cell r="M138">
            <v>152.52</v>
          </cell>
        </row>
        <row r="139">
          <cell r="J139">
            <v>0</v>
          </cell>
          <cell r="K139">
            <v>-212.64</v>
          </cell>
        </row>
        <row r="139">
          <cell r="M139">
            <v>-212.64</v>
          </cell>
        </row>
        <row r="140">
          <cell r="K140">
            <v>-476.84</v>
          </cell>
        </row>
        <row r="140">
          <cell r="M140">
            <v>-476.84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Sales_State"/>
      <sheetName val="TSERC Approved Sales"/>
      <sheetName val="Sales_SP"/>
      <sheetName val="Sales_NP (2)"/>
      <sheetName val="Sales_NP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  <sheetName val="P&amp;L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80">
          <cell r="J80">
            <v>116.053615</v>
          </cell>
          <cell r="K80">
            <v>247.771685</v>
          </cell>
        </row>
        <row r="80">
          <cell r="M80">
            <v>363.8253</v>
          </cell>
        </row>
        <row r="81">
          <cell r="J81">
            <v>149.92406</v>
          </cell>
          <cell r="K81">
            <v>245.17714</v>
          </cell>
        </row>
        <row r="81">
          <cell r="M81">
            <v>395.1012</v>
          </cell>
        </row>
        <row r="82">
          <cell r="J82">
            <v>392.94546</v>
          </cell>
          <cell r="K82">
            <v>379.913835</v>
          </cell>
        </row>
        <row r="82">
          <cell r="M82">
            <v>772.859295</v>
          </cell>
        </row>
        <row r="83">
          <cell r="J83">
            <v>34.36815</v>
          </cell>
          <cell r="K83">
            <v>27.108725</v>
          </cell>
        </row>
        <row r="83">
          <cell r="M83">
            <v>61.476875</v>
          </cell>
        </row>
        <row r="84">
          <cell r="J84">
            <v>118.456735</v>
          </cell>
          <cell r="K84">
            <v>236.51295</v>
          </cell>
        </row>
        <row r="84">
          <cell r="M84">
            <v>354.969685</v>
          </cell>
        </row>
        <row r="85">
          <cell r="J85">
            <v>220.436195</v>
          </cell>
          <cell r="K85">
            <v>310.517855</v>
          </cell>
        </row>
        <row r="85">
          <cell r="M85">
            <v>530.95405</v>
          </cell>
        </row>
        <row r="86">
          <cell r="J86">
            <v>415.730925</v>
          </cell>
          <cell r="K86">
            <v>504.929085</v>
          </cell>
        </row>
        <row r="86">
          <cell r="M86">
            <v>920.66001</v>
          </cell>
        </row>
        <row r="87">
          <cell r="J87">
            <v>32.745455</v>
          </cell>
          <cell r="K87">
            <v>63.020055</v>
          </cell>
        </row>
        <row r="87">
          <cell r="M87">
            <v>95.76551</v>
          </cell>
        </row>
        <row r="89">
          <cell r="J89">
            <v>14.486455</v>
          </cell>
          <cell r="K89">
            <v>0</v>
          </cell>
        </row>
        <row r="89">
          <cell r="M89">
            <v>14.486455</v>
          </cell>
        </row>
        <row r="90">
          <cell r="J90">
            <v>94.66408</v>
          </cell>
          <cell r="K90">
            <v>0</v>
          </cell>
        </row>
        <row r="90">
          <cell r="M90">
            <v>94.66408</v>
          </cell>
        </row>
        <row r="91">
          <cell r="J91">
            <v>125.106545</v>
          </cell>
          <cell r="K91">
            <v>0</v>
          </cell>
        </row>
        <row r="91">
          <cell r="M91">
            <v>125.106545</v>
          </cell>
        </row>
        <row r="92">
          <cell r="J92">
            <v>76.18715</v>
          </cell>
          <cell r="K92">
            <v>0</v>
          </cell>
        </row>
        <row r="92">
          <cell r="M92">
            <v>76.18715</v>
          </cell>
        </row>
        <row r="93">
          <cell r="J93">
            <v>27.132285</v>
          </cell>
          <cell r="K93">
            <v>0</v>
          </cell>
        </row>
        <row r="93">
          <cell r="M93">
            <v>27.132285</v>
          </cell>
        </row>
        <row r="94">
          <cell r="J94">
            <v>2.99801</v>
          </cell>
          <cell r="K94">
            <v>0</v>
          </cell>
        </row>
        <row r="94">
          <cell r="M94">
            <v>2.99801</v>
          </cell>
        </row>
        <row r="95">
          <cell r="J95">
            <v>16.818895</v>
          </cell>
          <cell r="K95">
            <v>0</v>
          </cell>
        </row>
        <row r="95">
          <cell r="M95">
            <v>16.818895</v>
          </cell>
        </row>
        <row r="96">
          <cell r="J96">
            <v>3.02157</v>
          </cell>
          <cell r="K96">
            <v>0</v>
          </cell>
        </row>
        <row r="96">
          <cell r="M96">
            <v>3.02157</v>
          </cell>
        </row>
        <row r="97">
          <cell r="M97">
            <v>406.106665</v>
          </cell>
        </row>
        <row r="100">
          <cell r="J100">
            <v>52.535855</v>
          </cell>
          <cell r="K100">
            <v>163.12355</v>
          </cell>
        </row>
        <row r="100">
          <cell r="M100">
            <v>215.659405</v>
          </cell>
        </row>
        <row r="101">
          <cell r="J101">
            <v>15.629115</v>
          </cell>
          <cell r="K101">
            <v>36.980365</v>
          </cell>
        </row>
        <row r="101">
          <cell r="M101">
            <v>52.60948</v>
          </cell>
        </row>
        <row r="102">
          <cell r="J102">
            <v>32.244805</v>
          </cell>
          <cell r="K102">
            <v>82.27152</v>
          </cell>
        </row>
        <row r="102">
          <cell r="M102">
            <v>114.516325</v>
          </cell>
        </row>
        <row r="103">
          <cell r="J103">
            <v>105.062875</v>
          </cell>
          <cell r="K103">
            <v>246.62019</v>
          </cell>
        </row>
        <row r="103">
          <cell r="M103">
            <v>351.683065</v>
          </cell>
        </row>
        <row r="104">
          <cell r="J104">
            <v>76.084075</v>
          </cell>
          <cell r="K104">
            <v>127.279955</v>
          </cell>
        </row>
        <row r="104">
          <cell r="M104">
            <v>203.36403</v>
          </cell>
        </row>
        <row r="105">
          <cell r="J105">
            <v>84.12687</v>
          </cell>
          <cell r="K105">
            <v>165.423595</v>
          </cell>
        </row>
        <row r="105">
          <cell r="M105">
            <v>249.550465</v>
          </cell>
        </row>
        <row r="106">
          <cell r="J106">
            <v>0.733305</v>
          </cell>
          <cell r="K106">
            <v>2.812475</v>
          </cell>
        </row>
        <row r="106">
          <cell r="M106">
            <v>3.54578</v>
          </cell>
        </row>
        <row r="107">
          <cell r="J107">
            <v>1.0013</v>
          </cell>
          <cell r="K107">
            <v>3.59879</v>
          </cell>
        </row>
        <row r="107">
          <cell r="M107">
            <v>4.60009</v>
          </cell>
        </row>
        <row r="108">
          <cell r="J108">
            <v>22.962165</v>
          </cell>
          <cell r="K108">
            <v>23.93696</v>
          </cell>
        </row>
        <row r="108">
          <cell r="M108">
            <v>46.899125</v>
          </cell>
        </row>
        <row r="109">
          <cell r="J109">
            <v>1.157385</v>
          </cell>
          <cell r="K109">
            <v>2.942055</v>
          </cell>
        </row>
        <row r="109">
          <cell r="M109">
            <v>4.09944</v>
          </cell>
        </row>
        <row r="110">
          <cell r="J110">
            <v>2.040885</v>
          </cell>
          <cell r="K110">
            <v>2.335385</v>
          </cell>
        </row>
        <row r="110">
          <cell r="M110">
            <v>4.37627</v>
          </cell>
        </row>
        <row r="111">
          <cell r="J111">
            <v>447.00977</v>
          </cell>
          <cell r="K111">
            <v>478.83933</v>
          </cell>
        </row>
        <row r="111">
          <cell r="M111">
            <v>925.8491</v>
          </cell>
        </row>
        <row r="112">
          <cell r="J112">
            <v>0</v>
          </cell>
          <cell r="K112">
            <v>0</v>
          </cell>
        </row>
        <row r="112">
          <cell r="M112">
            <v>0</v>
          </cell>
        </row>
        <row r="113">
          <cell r="J113">
            <v>0</v>
          </cell>
          <cell r="K113">
            <v>0</v>
          </cell>
        </row>
        <row r="113">
          <cell r="M113">
            <v>0</v>
          </cell>
        </row>
        <row r="115">
          <cell r="J115">
            <v>0</v>
          </cell>
          <cell r="K115">
            <v>4.22313</v>
          </cell>
        </row>
        <row r="115">
          <cell r="M115">
            <v>4.22313</v>
          </cell>
        </row>
        <row r="116">
          <cell r="J116">
            <v>0</v>
          </cell>
          <cell r="K116">
            <v>43.77448</v>
          </cell>
        </row>
        <row r="116">
          <cell r="M116">
            <v>43.77448</v>
          </cell>
        </row>
        <row r="117">
          <cell r="J117">
            <v>0</v>
          </cell>
          <cell r="K117">
            <v>47.435115</v>
          </cell>
        </row>
        <row r="117">
          <cell r="M117">
            <v>47.435115</v>
          </cell>
        </row>
        <row r="118">
          <cell r="J118">
            <v>0</v>
          </cell>
          <cell r="K118">
            <v>41.00029</v>
          </cell>
        </row>
        <row r="118">
          <cell r="M118">
            <v>41.00029</v>
          </cell>
        </row>
        <row r="120">
          <cell r="J120">
            <v>0</v>
          </cell>
          <cell r="K120">
            <v>35.448965</v>
          </cell>
        </row>
        <row r="120">
          <cell r="M120">
            <v>35.448965</v>
          </cell>
        </row>
        <row r="121">
          <cell r="J121">
            <v>0</v>
          </cell>
          <cell r="K121">
            <v>265.59777</v>
          </cell>
        </row>
        <row r="121">
          <cell r="M121">
            <v>265.59777</v>
          </cell>
        </row>
        <row r="123">
          <cell r="K123">
            <v>0</v>
          </cell>
        </row>
        <row r="123">
          <cell r="M123">
            <v>0</v>
          </cell>
        </row>
        <row r="124">
          <cell r="K124">
            <v>24.05</v>
          </cell>
        </row>
        <row r="124">
          <cell r="M124">
            <v>24.05</v>
          </cell>
        </row>
        <row r="125">
          <cell r="K125">
            <v>0</v>
          </cell>
        </row>
        <row r="125">
          <cell r="M125">
            <v>0</v>
          </cell>
        </row>
        <row r="126">
          <cell r="K126">
            <v>19.95</v>
          </cell>
        </row>
        <row r="126">
          <cell r="M126">
            <v>19.95</v>
          </cell>
        </row>
        <row r="127">
          <cell r="K127">
            <v>0</v>
          </cell>
        </row>
        <row r="127">
          <cell r="M127">
            <v>0</v>
          </cell>
        </row>
        <row r="128">
          <cell r="K128">
            <v>0.31</v>
          </cell>
        </row>
        <row r="128">
          <cell r="M128">
            <v>0.31</v>
          </cell>
        </row>
        <row r="129">
          <cell r="K129">
            <v>907.35</v>
          </cell>
        </row>
        <row r="129">
          <cell r="M129">
            <v>907.35</v>
          </cell>
        </row>
        <row r="130">
          <cell r="K130">
            <v>11.72</v>
          </cell>
        </row>
        <row r="130">
          <cell r="M130">
            <v>11.72</v>
          </cell>
        </row>
        <row r="131">
          <cell r="K131">
            <v>111.64</v>
          </cell>
        </row>
        <row r="131">
          <cell r="M131">
            <v>111.64</v>
          </cell>
        </row>
        <row r="132">
          <cell r="K132">
            <v>66.82</v>
          </cell>
        </row>
        <row r="132">
          <cell r="M132">
            <v>66.82</v>
          </cell>
        </row>
        <row r="133">
          <cell r="K133">
            <v>88.18</v>
          </cell>
        </row>
        <row r="133">
          <cell r="M133">
            <v>88.18</v>
          </cell>
        </row>
        <row r="134">
          <cell r="K134">
            <v>208.79</v>
          </cell>
        </row>
        <row r="134">
          <cell r="M134">
            <v>208.79</v>
          </cell>
        </row>
        <row r="135">
          <cell r="K135">
            <v>148.44</v>
          </cell>
        </row>
        <row r="135">
          <cell r="M135">
            <v>148.44</v>
          </cell>
        </row>
        <row r="137">
          <cell r="J137">
            <v>93.52699242</v>
          </cell>
          <cell r="K137">
            <v>150.30979765</v>
          </cell>
        </row>
        <row r="137">
          <cell r="M137">
            <v>243.83679007</v>
          </cell>
        </row>
        <row r="138">
          <cell r="J138">
            <v>334.26225498</v>
          </cell>
          <cell r="K138">
            <v>509.83747406</v>
          </cell>
        </row>
        <row r="138">
          <cell r="M138">
            <v>844.09972904</v>
          </cell>
        </row>
        <row r="139">
          <cell r="J139">
            <v>391.5953203</v>
          </cell>
          <cell r="K139">
            <v>734.1317434</v>
          </cell>
        </row>
        <row r="139">
          <cell r="M139">
            <v>1125.7270637</v>
          </cell>
        </row>
        <row r="140">
          <cell r="J140">
            <v>437.61373404</v>
          </cell>
          <cell r="K140">
            <v>239.93609781</v>
          </cell>
        </row>
        <row r="140">
          <cell r="M140">
            <v>677.54983185</v>
          </cell>
        </row>
        <row r="141">
          <cell r="J141">
            <v>0</v>
          </cell>
          <cell r="K141">
            <v>154.3674737</v>
          </cell>
        </row>
        <row r="141">
          <cell r="M141">
            <v>154.3674737</v>
          </cell>
        </row>
        <row r="142">
          <cell r="J142">
            <v>0</v>
          </cell>
          <cell r="K142">
            <v>25.39</v>
          </cell>
        </row>
        <row r="142">
          <cell r="M142">
            <v>25.39</v>
          </cell>
        </row>
        <row r="143">
          <cell r="J143">
            <v>0</v>
          </cell>
          <cell r="K143">
            <v>-235.3</v>
          </cell>
        </row>
        <row r="143">
          <cell r="M143">
            <v>-235.3</v>
          </cell>
        </row>
        <row r="144">
          <cell r="K144">
            <v>-548.83</v>
          </cell>
        </row>
        <row r="144">
          <cell r="M144">
            <v>-548.83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2022-23"/>
      <sheetName val="Intra &amp; Inter State 22-23"/>
      <sheetName val="STOA 22-23"/>
      <sheetName val="NCEs NP 22-23"/>
      <sheetName val="NCEs SP 22-23"/>
      <sheetName val="March-23 Prov-NCE"/>
      <sheetName val="Sheet2 "/>
      <sheetName val="Hydel Break up 22-23"/>
      <sheetName val="Sheet1"/>
    </sheetNames>
    <sheetDataSet>
      <sheetData sheetId="0">
        <row r="187">
          <cell r="H187">
            <v>0</v>
          </cell>
          <cell r="I187">
            <v>97506582.5145</v>
          </cell>
        </row>
        <row r="187">
          <cell r="M187">
            <v>0</v>
          </cell>
          <cell r="N187">
            <v>101228503.848</v>
          </cell>
        </row>
        <row r="187">
          <cell r="R187">
            <v>0</v>
          </cell>
          <cell r="S187">
            <v>108331156.485</v>
          </cell>
        </row>
        <row r="187">
          <cell r="W187">
            <v>0</v>
          </cell>
          <cell r="X187">
            <v>102260036.9235</v>
          </cell>
        </row>
        <row r="187">
          <cell r="AB187">
            <v>0</v>
          </cell>
          <cell r="AC187">
            <v>99853850.295</v>
          </cell>
        </row>
        <row r="187">
          <cell r="AG187">
            <v>0</v>
          </cell>
          <cell r="AH187">
            <v>78640911.631</v>
          </cell>
        </row>
        <row r="187">
          <cell r="AL187">
            <v>0</v>
          </cell>
          <cell r="AM187">
            <v>94946059.9215</v>
          </cell>
        </row>
        <row r="187">
          <cell r="AQ187">
            <v>0</v>
          </cell>
          <cell r="AR187">
            <v>89659198.8665</v>
          </cell>
        </row>
        <row r="187">
          <cell r="AV187">
            <v>0</v>
          </cell>
          <cell r="AW187">
            <v>72268164.875</v>
          </cell>
        </row>
        <row r="187">
          <cell r="BA187">
            <v>0</v>
          </cell>
          <cell r="BB187">
            <v>99749819.0535</v>
          </cell>
        </row>
        <row r="187">
          <cell r="BF187">
            <v>0</v>
          </cell>
          <cell r="BG187">
            <v>88339257.229</v>
          </cell>
        </row>
        <row r="187">
          <cell r="BL187">
            <v>98665065.705</v>
          </cell>
        </row>
        <row r="187">
          <cell r="BP187">
            <v>0</v>
          </cell>
          <cell r="BQ187">
            <v>0</v>
          </cell>
        </row>
        <row r="187">
          <cell r="BU187">
            <v>0</v>
          </cell>
          <cell r="BV187">
            <v>95608803.016</v>
          </cell>
        </row>
        <row r="188">
          <cell r="H188">
            <v>0</v>
          </cell>
          <cell r="I188">
            <v>4359947.3375</v>
          </cell>
        </row>
        <row r="188">
          <cell r="M188">
            <v>0</v>
          </cell>
          <cell r="N188">
            <v>3346892.6645</v>
          </cell>
        </row>
        <row r="188">
          <cell r="R188">
            <v>0</v>
          </cell>
          <cell r="S188">
            <v>3983237.957</v>
          </cell>
        </row>
        <row r="188">
          <cell r="W188">
            <v>0</v>
          </cell>
          <cell r="X188">
            <v>5533926.8235</v>
          </cell>
        </row>
        <row r="188">
          <cell r="AB188">
            <v>0</v>
          </cell>
          <cell r="AC188">
            <v>4000805.7655</v>
          </cell>
        </row>
        <row r="188">
          <cell r="AG188">
            <v>0</v>
          </cell>
          <cell r="AH188">
            <v>4919601.0015</v>
          </cell>
        </row>
        <row r="188">
          <cell r="AL188">
            <v>0</v>
          </cell>
          <cell r="AM188">
            <v>4721720.856</v>
          </cell>
        </row>
        <row r="188">
          <cell r="AQ188">
            <v>0</v>
          </cell>
          <cell r="AR188">
            <v>5225926.9435</v>
          </cell>
        </row>
        <row r="188">
          <cell r="AV188">
            <v>0</v>
          </cell>
          <cell r="AW188">
            <v>5447676.903</v>
          </cell>
        </row>
        <row r="188">
          <cell r="BA188">
            <v>0</v>
          </cell>
          <cell r="BB188">
            <v>5423642.758</v>
          </cell>
        </row>
        <row r="188">
          <cell r="BF188">
            <v>0</v>
          </cell>
          <cell r="BG188">
            <v>3711181.802</v>
          </cell>
        </row>
        <row r="188">
          <cell r="BK188">
            <v>0</v>
          </cell>
          <cell r="BL188">
            <v>5096522.4655</v>
          </cell>
        </row>
        <row r="188">
          <cell r="BP188">
            <v>0</v>
          </cell>
          <cell r="BQ188">
            <v>0</v>
          </cell>
        </row>
        <row r="188">
          <cell r="BU188">
            <v>0</v>
          </cell>
          <cell r="BV188">
            <v>0</v>
          </cell>
        </row>
        <row r="189">
          <cell r="H189">
            <v>0</v>
          </cell>
          <cell r="I189">
            <v>0</v>
          </cell>
        </row>
        <row r="189">
          <cell r="M189">
            <v>0</v>
          </cell>
          <cell r="N189">
            <v>0</v>
          </cell>
        </row>
        <row r="189">
          <cell r="R189">
            <v>0</v>
          </cell>
          <cell r="S189">
            <v>51638116.2195</v>
          </cell>
        </row>
        <row r="189">
          <cell r="W189">
            <v>0</v>
          </cell>
          <cell r="X189">
            <v>41079317.897</v>
          </cell>
        </row>
        <row r="189">
          <cell r="AB189">
            <v>0</v>
          </cell>
          <cell r="AC189">
            <v>43119319.1025</v>
          </cell>
        </row>
        <row r="189">
          <cell r="AG189">
            <v>0</v>
          </cell>
          <cell r="AH189">
            <v>44465164.371</v>
          </cell>
        </row>
        <row r="189">
          <cell r="AL189">
            <v>0</v>
          </cell>
          <cell r="AM189">
            <v>46102113.76</v>
          </cell>
        </row>
        <row r="189">
          <cell r="AQ189">
            <v>0</v>
          </cell>
          <cell r="AR189">
            <v>46278845.566</v>
          </cell>
        </row>
        <row r="189">
          <cell r="AV189">
            <v>0</v>
          </cell>
          <cell r="AW189">
            <v>48184349.7995</v>
          </cell>
        </row>
        <row r="189">
          <cell r="BA189">
            <v>0</v>
          </cell>
          <cell r="BB189">
            <v>42125454.344</v>
          </cell>
        </row>
        <row r="189">
          <cell r="BF189">
            <v>0</v>
          </cell>
          <cell r="BG189">
            <v>44789516.658</v>
          </cell>
        </row>
        <row r="189">
          <cell r="BK189">
            <v>0</v>
          </cell>
          <cell r="BL189">
            <v>49825168.624</v>
          </cell>
        </row>
        <row r="189">
          <cell r="BP189">
            <v>0</v>
          </cell>
          <cell r="BQ189">
            <v>0</v>
          </cell>
        </row>
        <row r="189">
          <cell r="BU189">
            <v>0</v>
          </cell>
          <cell r="BV189">
            <v>0</v>
          </cell>
        </row>
        <row r="190">
          <cell r="H190">
            <v>1801408.79679183</v>
          </cell>
          <cell r="I190">
            <v>5108244.8132965</v>
          </cell>
        </row>
        <row r="190">
          <cell r="M190">
            <v>1029612.3465</v>
          </cell>
          <cell r="N190">
            <v>8658579.4805</v>
          </cell>
        </row>
        <row r="190">
          <cell r="R190">
            <v>904496.66823271</v>
          </cell>
          <cell r="S190">
            <v>5825739.511</v>
          </cell>
        </row>
        <row r="190">
          <cell r="W190">
            <v>626030.7245</v>
          </cell>
          <cell r="X190">
            <v>6344197.6315</v>
          </cell>
        </row>
        <row r="190">
          <cell r="AB190">
            <v>453860.7235</v>
          </cell>
          <cell r="AC190">
            <v>3836558.4035</v>
          </cell>
        </row>
        <row r="190">
          <cell r="AG190">
            <v>394417.6655</v>
          </cell>
          <cell r="AH190">
            <v>2339091.2825</v>
          </cell>
        </row>
        <row r="190">
          <cell r="AL190">
            <v>266408.284085788</v>
          </cell>
          <cell r="AM190">
            <v>1944015.115</v>
          </cell>
        </row>
        <row r="190">
          <cell r="AQ190">
            <v>1014763.288375</v>
          </cell>
          <cell r="AR190">
            <v>2932738.787</v>
          </cell>
        </row>
        <row r="190">
          <cell r="AV190">
            <v>923941.0345</v>
          </cell>
          <cell r="AW190">
            <v>3612296.948</v>
          </cell>
        </row>
        <row r="190">
          <cell r="BA190">
            <v>1336856.20966</v>
          </cell>
          <cell r="BB190">
            <v>5149522.9575675</v>
          </cell>
        </row>
        <row r="190">
          <cell r="BF190">
            <v>1341712.064075</v>
          </cell>
          <cell r="BG190">
            <v>4205007.3535</v>
          </cell>
        </row>
        <row r="190">
          <cell r="BK190">
            <v>4496704.8915</v>
          </cell>
          <cell r="BL190">
            <v>3284303.971896</v>
          </cell>
        </row>
        <row r="190">
          <cell r="BP190">
            <v>-180714.9185</v>
          </cell>
          <cell r="BQ190">
            <v>148840184.556</v>
          </cell>
        </row>
        <row r="190">
          <cell r="BU190">
            <v>82485522.8425</v>
          </cell>
          <cell r="BV190">
            <v>100481525.266466</v>
          </cell>
        </row>
        <row r="191">
          <cell r="H191">
            <v>2360130.394895</v>
          </cell>
          <cell r="I191">
            <v>6319863.918744</v>
          </cell>
        </row>
        <row r="191">
          <cell r="M191">
            <v>1439238.2865</v>
          </cell>
          <cell r="N191">
            <v>16217081.0105</v>
          </cell>
        </row>
        <row r="191">
          <cell r="R191">
            <v>1020213.0845</v>
          </cell>
          <cell r="S191">
            <v>7205161.9025</v>
          </cell>
        </row>
        <row r="191">
          <cell r="W191">
            <v>1262458.7715</v>
          </cell>
          <cell r="X191">
            <v>13130353.769</v>
          </cell>
        </row>
        <row r="191">
          <cell r="AB191">
            <v>1229756.019</v>
          </cell>
          <cell r="AC191">
            <v>10622692.748</v>
          </cell>
        </row>
        <row r="191">
          <cell r="AG191">
            <v>1116087.854</v>
          </cell>
          <cell r="AH191">
            <v>7953836.563</v>
          </cell>
        </row>
        <row r="191">
          <cell r="AL191">
            <v>553311.710968966</v>
          </cell>
          <cell r="AM191">
            <v>2999908.3308025</v>
          </cell>
        </row>
        <row r="191">
          <cell r="AQ191">
            <v>1076091.86067493</v>
          </cell>
          <cell r="AR191">
            <v>2455816.1852175</v>
          </cell>
        </row>
        <row r="191">
          <cell r="AV191">
            <v>580934.5285</v>
          </cell>
          <cell r="AW191">
            <v>2664083.518</v>
          </cell>
        </row>
        <row r="191">
          <cell r="BA191">
            <v>549506.822585</v>
          </cell>
          <cell r="BB191">
            <v>2043776.8677825</v>
          </cell>
        </row>
        <row r="191">
          <cell r="BF191">
            <v>1526376.37217843</v>
          </cell>
          <cell r="BG191">
            <v>4597209.4955</v>
          </cell>
        </row>
        <row r="191">
          <cell r="BK191">
            <v>10053831.0429665</v>
          </cell>
          <cell r="BL191">
            <v>4260208.139</v>
          </cell>
        </row>
        <row r="191">
          <cell r="BP191">
            <v>0</v>
          </cell>
          <cell r="BQ191">
            <v>0</v>
          </cell>
        </row>
        <row r="191">
          <cell r="BU191">
            <v>-3229217.238</v>
          </cell>
          <cell r="BV191">
            <v>0</v>
          </cell>
        </row>
        <row r="192">
          <cell r="AL192">
            <v>937644.84636186</v>
          </cell>
          <cell r="AM192">
            <v>2349450.29055</v>
          </cell>
        </row>
        <row r="192">
          <cell r="AQ192">
            <v>1254992.87255</v>
          </cell>
          <cell r="AR192">
            <v>3372798.078992</v>
          </cell>
        </row>
        <row r="192">
          <cell r="AV192">
            <v>1160787.3585</v>
          </cell>
          <cell r="AW192">
            <v>3200253.163</v>
          </cell>
        </row>
        <row r="192">
          <cell r="BA192">
            <v>1228371.869</v>
          </cell>
          <cell r="BB192">
            <v>2874838.6145</v>
          </cell>
        </row>
        <row r="192">
          <cell r="BF192">
            <v>1529321.05971</v>
          </cell>
          <cell r="BG192">
            <v>3353504.7785</v>
          </cell>
        </row>
        <row r="192">
          <cell r="BK192">
            <v>1187505.8695275</v>
          </cell>
          <cell r="BL192">
            <v>2466616.8505</v>
          </cell>
        </row>
        <row r="193">
          <cell r="AL193">
            <v>1619797.66339314</v>
          </cell>
          <cell r="AM193">
            <v>1970944.784</v>
          </cell>
        </row>
        <row r="193">
          <cell r="AQ193">
            <v>852797.351648841</v>
          </cell>
          <cell r="AR193">
            <v>826392.916</v>
          </cell>
        </row>
        <row r="193">
          <cell r="AV193">
            <v>1422515.3985</v>
          </cell>
          <cell r="AW193">
            <v>1639150.7765</v>
          </cell>
        </row>
        <row r="193">
          <cell r="BA193">
            <v>605852.9819025</v>
          </cell>
          <cell r="BB193">
            <v>726209.906</v>
          </cell>
        </row>
        <row r="193">
          <cell r="BF193">
            <v>1687112.163</v>
          </cell>
          <cell r="BG193">
            <v>1854613.161</v>
          </cell>
        </row>
        <row r="193">
          <cell r="BK193">
            <v>519118.247011535</v>
          </cell>
          <cell r="BL193">
            <v>912545.946</v>
          </cell>
        </row>
        <row r="194">
          <cell r="H194">
            <v>19002057.647275</v>
          </cell>
          <cell r="I194">
            <v>22796800.1374295</v>
          </cell>
        </row>
        <row r="194">
          <cell r="M194">
            <v>20585742.603</v>
          </cell>
          <cell r="N194">
            <v>28928465.827</v>
          </cell>
        </row>
        <row r="194">
          <cell r="R194">
            <v>19351521.8952833</v>
          </cell>
          <cell r="S194">
            <v>23580193.8052165</v>
          </cell>
        </row>
        <row r="194">
          <cell r="W194">
            <v>20915548.441</v>
          </cell>
          <cell r="X194">
            <v>29809027.895</v>
          </cell>
        </row>
        <row r="194">
          <cell r="AB194">
            <v>19704899.8765</v>
          </cell>
          <cell r="AC194">
            <v>26017261.7635</v>
          </cell>
        </row>
        <row r="194">
          <cell r="AG194">
            <v>19225824.063</v>
          </cell>
          <cell r="AH194">
            <v>23832891.357</v>
          </cell>
        </row>
        <row r="194">
          <cell r="AL194">
            <v>18917673.384275</v>
          </cell>
          <cell r="AM194">
            <v>23346353.77344</v>
          </cell>
        </row>
        <row r="194">
          <cell r="AQ194">
            <v>19207136.7446542</v>
          </cell>
          <cell r="AR194">
            <v>22642888.937053</v>
          </cell>
        </row>
        <row r="194">
          <cell r="AV194">
            <v>17220567.673</v>
          </cell>
          <cell r="AW194">
            <v>9768163.891</v>
          </cell>
        </row>
        <row r="194">
          <cell r="BA194">
            <v>19631041.8045007</v>
          </cell>
          <cell r="BB194">
            <v>24154639.4673775</v>
          </cell>
        </row>
        <row r="194">
          <cell r="BF194">
            <v>20959693.0069811</v>
          </cell>
          <cell r="BG194">
            <v>23962852.7345</v>
          </cell>
        </row>
        <row r="194">
          <cell r="BK194">
            <v>21972557.7236979</v>
          </cell>
          <cell r="BL194">
            <v>28486088.6877775</v>
          </cell>
        </row>
        <row r="194">
          <cell r="BP194">
            <v>0</v>
          </cell>
          <cell r="BQ194">
            <v>0</v>
          </cell>
        </row>
        <row r="194">
          <cell r="BU194">
            <v>0</v>
          </cell>
          <cell r="BV194">
            <v>0</v>
          </cell>
        </row>
        <row r="195">
          <cell r="H195">
            <v>44415494.001</v>
          </cell>
          <cell r="I195">
            <v>170383097.910459</v>
          </cell>
        </row>
        <row r="195">
          <cell r="M195">
            <v>43409490.836</v>
          </cell>
          <cell r="N195">
            <v>209868321.999264</v>
          </cell>
        </row>
        <row r="195">
          <cell r="R195">
            <v>41660821.9885</v>
          </cell>
          <cell r="S195">
            <v>327385473.568992</v>
          </cell>
        </row>
        <row r="195">
          <cell r="W195">
            <v>43185407.2585</v>
          </cell>
          <cell r="X195">
            <v>273273719.005254</v>
          </cell>
        </row>
        <row r="195">
          <cell r="AB195">
            <v>42482606.274</v>
          </cell>
          <cell r="AC195">
            <v>175767202.293834</v>
          </cell>
        </row>
        <row r="195">
          <cell r="AG195">
            <v>42091153.34</v>
          </cell>
          <cell r="AH195">
            <v>163237354.0473</v>
          </cell>
        </row>
        <row r="195">
          <cell r="AL195">
            <v>49430141.049</v>
          </cell>
          <cell r="AM195">
            <v>90958510.2167995</v>
          </cell>
        </row>
        <row r="195">
          <cell r="AQ195">
            <v>46856002.2485</v>
          </cell>
          <cell r="AR195">
            <v>82401074.071042</v>
          </cell>
        </row>
        <row r="195">
          <cell r="AV195">
            <v>51875958.248</v>
          </cell>
          <cell r="AW195">
            <v>108750321.5745</v>
          </cell>
        </row>
        <row r="195">
          <cell r="BA195">
            <v>33801974.339</v>
          </cell>
          <cell r="BB195">
            <v>171670317.384669</v>
          </cell>
        </row>
        <row r="195">
          <cell r="BF195">
            <v>54201468.663</v>
          </cell>
          <cell r="BG195">
            <v>237109007.364721</v>
          </cell>
        </row>
        <row r="195">
          <cell r="BK195">
            <v>69569908.4605</v>
          </cell>
          <cell r="BL195">
            <v>284860042.550692</v>
          </cell>
        </row>
        <row r="195">
          <cell r="BP195">
            <v>0</v>
          </cell>
          <cell r="BQ195">
            <v>-46353.4165</v>
          </cell>
        </row>
        <row r="195">
          <cell r="BU195">
            <v>0</v>
          </cell>
          <cell r="BV195">
            <v>17064010.8966633</v>
          </cell>
        </row>
        <row r="196">
          <cell r="H196">
            <v>13418508.1775</v>
          </cell>
          <cell r="I196">
            <v>48716966.6062185</v>
          </cell>
        </row>
        <row r="196">
          <cell r="M196">
            <v>15622139.7675</v>
          </cell>
          <cell r="N196">
            <v>54248670.91096</v>
          </cell>
        </row>
        <row r="196">
          <cell r="R196">
            <v>6714751.6675</v>
          </cell>
          <cell r="S196">
            <v>23689368.455938</v>
          </cell>
        </row>
        <row r="196">
          <cell r="W196">
            <v>-93838.302</v>
          </cell>
          <cell r="X196">
            <v>0</v>
          </cell>
        </row>
        <row r="196">
          <cell r="AB196">
            <v>7771016.264</v>
          </cell>
          <cell r="AC196">
            <v>35458171.237276</v>
          </cell>
        </row>
        <row r="196">
          <cell r="AG196">
            <v>14830282.2775</v>
          </cell>
          <cell r="AH196">
            <v>57041608.404</v>
          </cell>
        </row>
        <row r="196">
          <cell r="AL196">
            <v>17232014.299</v>
          </cell>
          <cell r="AM196">
            <v>34015820.552264</v>
          </cell>
        </row>
        <row r="196">
          <cell r="AQ196">
            <v>14701837.2805</v>
          </cell>
          <cell r="AR196">
            <v>31271585.444831</v>
          </cell>
        </row>
        <row r="196">
          <cell r="AV196">
            <v>17463449.48</v>
          </cell>
          <cell r="AW196">
            <v>40761009.734808</v>
          </cell>
        </row>
        <row r="196">
          <cell r="BA196">
            <v>12598166.942</v>
          </cell>
          <cell r="BB196">
            <v>53006690.7138075</v>
          </cell>
        </row>
        <row r="196">
          <cell r="BF196">
            <v>17092167.44</v>
          </cell>
          <cell r="BG196">
            <v>60747487.775908</v>
          </cell>
        </row>
        <row r="196">
          <cell r="BK196">
            <v>15902107.076</v>
          </cell>
          <cell r="BL196">
            <v>65225571.9198055</v>
          </cell>
        </row>
        <row r="196">
          <cell r="BP196">
            <v>0</v>
          </cell>
          <cell r="BQ196">
            <v>-624121.76372</v>
          </cell>
        </row>
        <row r="196">
          <cell r="BU196">
            <v>0</v>
          </cell>
          <cell r="BV196">
            <v>0</v>
          </cell>
        </row>
        <row r="197">
          <cell r="H197">
            <v>90359144.379</v>
          </cell>
          <cell r="I197">
            <v>411922532.0196</v>
          </cell>
        </row>
        <row r="197">
          <cell r="M197">
            <v>238488459.534</v>
          </cell>
          <cell r="N197">
            <v>377818879.419212</v>
          </cell>
        </row>
        <row r="197">
          <cell r="R197">
            <v>87926870.057</v>
          </cell>
          <cell r="S197">
            <v>397928506.837532</v>
          </cell>
        </row>
        <row r="197">
          <cell r="W197">
            <v>85776346.5355</v>
          </cell>
          <cell r="X197">
            <v>389933248.479934</v>
          </cell>
        </row>
        <row r="197">
          <cell r="AB197">
            <v>87113167.146</v>
          </cell>
          <cell r="AC197">
            <v>333338772.59324</v>
          </cell>
        </row>
        <row r="197">
          <cell r="AG197">
            <v>87388581.19</v>
          </cell>
          <cell r="AH197">
            <v>352269131.36181</v>
          </cell>
        </row>
        <row r="197">
          <cell r="AL197">
            <v>354878751.646</v>
          </cell>
          <cell r="AM197">
            <v>140699145.113748</v>
          </cell>
        </row>
        <row r="197">
          <cell r="AQ197">
            <v>99805346.734</v>
          </cell>
          <cell r="AR197">
            <v>56916747.37187</v>
          </cell>
        </row>
        <row r="197">
          <cell r="AV197">
            <v>88920428.5355</v>
          </cell>
          <cell r="AW197">
            <v>355100053.3765</v>
          </cell>
        </row>
        <row r="197">
          <cell r="BA197">
            <v>119979016.9855</v>
          </cell>
          <cell r="BB197">
            <v>450066154.258895</v>
          </cell>
        </row>
        <row r="197">
          <cell r="BF197">
            <v>411580570.662</v>
          </cell>
          <cell r="BG197">
            <v>493891481.074818</v>
          </cell>
        </row>
        <row r="197">
          <cell r="BK197">
            <v>213754483.2875</v>
          </cell>
          <cell r="BL197">
            <v>528103623.63905</v>
          </cell>
        </row>
        <row r="197">
          <cell r="BP197">
            <v>0</v>
          </cell>
          <cell r="BQ197">
            <v>0</v>
          </cell>
        </row>
        <row r="197">
          <cell r="BU197">
            <v>0</v>
          </cell>
          <cell r="BV197">
            <v>0</v>
          </cell>
        </row>
        <row r="198">
          <cell r="H198">
            <v>63042554.211</v>
          </cell>
          <cell r="I198">
            <v>185834511.587487</v>
          </cell>
        </row>
        <row r="198">
          <cell r="M198">
            <v>179354699.2755</v>
          </cell>
          <cell r="N198">
            <v>141941839.973167</v>
          </cell>
        </row>
        <row r="198">
          <cell r="R198">
            <v>35812438.078</v>
          </cell>
          <cell r="S198">
            <v>92117395.037859</v>
          </cell>
        </row>
        <row r="198">
          <cell r="W198">
            <v>58172023.9775</v>
          </cell>
          <cell r="X198">
            <v>151673844.8258</v>
          </cell>
        </row>
        <row r="198">
          <cell r="AB198">
            <v>75331393.3725</v>
          </cell>
          <cell r="AC198">
            <v>161137136.4857</v>
          </cell>
        </row>
        <row r="198">
          <cell r="AG198">
            <v>65695041.7915</v>
          </cell>
          <cell r="AH198">
            <v>133632105.766564</v>
          </cell>
        </row>
        <row r="198">
          <cell r="AL198">
            <v>204629893.1915</v>
          </cell>
          <cell r="AM198">
            <v>129549338.085674</v>
          </cell>
        </row>
        <row r="198">
          <cell r="AQ198">
            <v>77784957.6885</v>
          </cell>
          <cell r="AR198">
            <v>127097953.1754</v>
          </cell>
        </row>
        <row r="198">
          <cell r="AV198">
            <v>64411298.6215</v>
          </cell>
          <cell r="AW198">
            <v>172802749.61377</v>
          </cell>
        </row>
        <row r="198">
          <cell r="BA198">
            <v>82138053.778</v>
          </cell>
          <cell r="BB198">
            <v>195880501.95605</v>
          </cell>
        </row>
        <row r="198">
          <cell r="BF198">
            <v>78517400.098</v>
          </cell>
          <cell r="BG198">
            <v>223354610.136312</v>
          </cell>
        </row>
        <row r="198">
          <cell r="BK198">
            <v>83942310.6785</v>
          </cell>
          <cell r="BL198">
            <v>263463773.921575</v>
          </cell>
        </row>
        <row r="198">
          <cell r="BP198">
            <v>0</v>
          </cell>
          <cell r="BQ198">
            <v>0</v>
          </cell>
        </row>
        <row r="198">
          <cell r="BU198">
            <v>0</v>
          </cell>
          <cell r="BV198">
            <v>0</v>
          </cell>
        </row>
        <row r="199">
          <cell r="H199">
            <v>30084845.1095</v>
          </cell>
          <cell r="I199">
            <v>76427836.189933</v>
          </cell>
        </row>
        <row r="199">
          <cell r="M199">
            <v>39022885.9475</v>
          </cell>
          <cell r="N199">
            <v>78319200.1393415</v>
          </cell>
        </row>
        <row r="199">
          <cell r="R199">
            <v>32337642.8855</v>
          </cell>
          <cell r="S199">
            <v>87663110.810448</v>
          </cell>
        </row>
        <row r="199">
          <cell r="W199">
            <v>36656316.3425</v>
          </cell>
          <cell r="X199">
            <v>129584453.669017</v>
          </cell>
        </row>
        <row r="199">
          <cell r="AB199">
            <v>32720375.6745</v>
          </cell>
          <cell r="AC199">
            <v>109022710.624643</v>
          </cell>
        </row>
        <row r="199">
          <cell r="AG199">
            <v>31740890.4675</v>
          </cell>
          <cell r="AH199">
            <v>97316699.1993235</v>
          </cell>
        </row>
        <row r="199">
          <cell r="AL199">
            <v>153592477.7515</v>
          </cell>
          <cell r="AM199">
            <v>77230500.8301055</v>
          </cell>
        </row>
        <row r="199">
          <cell r="AQ199">
            <v>21089374.71</v>
          </cell>
          <cell r="AR199">
            <v>49140055.872584</v>
          </cell>
        </row>
        <row r="199">
          <cell r="AV199">
            <v>32176215.0665</v>
          </cell>
          <cell r="AW199">
            <v>58862563.221256</v>
          </cell>
        </row>
        <row r="199">
          <cell r="BA199">
            <v>26678085.6015</v>
          </cell>
          <cell r="BB199">
            <v>63873669.091113</v>
          </cell>
        </row>
        <row r="199">
          <cell r="BF199">
            <v>31695475.328</v>
          </cell>
          <cell r="BG199">
            <v>63123045.49617</v>
          </cell>
        </row>
        <row r="199">
          <cell r="BK199">
            <v>38861444.5815</v>
          </cell>
          <cell r="BL199">
            <v>98633958.461616</v>
          </cell>
        </row>
        <row r="199">
          <cell r="BP199">
            <v>0</v>
          </cell>
          <cell r="BQ199">
            <v>6154793.196</v>
          </cell>
        </row>
        <row r="199">
          <cell r="BU199">
            <v>0</v>
          </cell>
          <cell r="BV199">
            <v>0</v>
          </cell>
        </row>
        <row r="200">
          <cell r="H200">
            <v>69857585.19</v>
          </cell>
          <cell r="I200">
            <v>194570548.941901</v>
          </cell>
        </row>
        <row r="200">
          <cell r="M200">
            <v>78007181.793</v>
          </cell>
          <cell r="N200">
            <v>186555711.662692</v>
          </cell>
        </row>
        <row r="200">
          <cell r="R200">
            <v>78077673.313</v>
          </cell>
          <cell r="S200">
            <v>245254232.629124</v>
          </cell>
        </row>
        <row r="200">
          <cell r="W200">
            <v>78424737.7345</v>
          </cell>
          <cell r="X200">
            <v>200572676.959368</v>
          </cell>
        </row>
        <row r="200">
          <cell r="AB200">
            <v>78396287.562</v>
          </cell>
          <cell r="AC200">
            <v>186393855.151822</v>
          </cell>
        </row>
        <row r="200">
          <cell r="AG200">
            <v>100704348.9195</v>
          </cell>
          <cell r="AH200">
            <v>193260716.419777</v>
          </cell>
        </row>
        <row r="200">
          <cell r="AL200">
            <v>146759384.204</v>
          </cell>
          <cell r="AM200">
            <v>12532897.5775765</v>
          </cell>
        </row>
        <row r="200">
          <cell r="AQ200">
            <v>69093059.656</v>
          </cell>
          <cell r="AR200">
            <v>1905225.342</v>
          </cell>
        </row>
        <row r="200">
          <cell r="AV200">
            <v>69221004.592</v>
          </cell>
          <cell r="AW200">
            <v>97130363.85346</v>
          </cell>
        </row>
        <row r="200">
          <cell r="BA200">
            <v>74048891.8145</v>
          </cell>
          <cell r="BB200">
            <v>156744709.476505</v>
          </cell>
        </row>
        <row r="200">
          <cell r="BF200">
            <v>89043158.76</v>
          </cell>
          <cell r="BG200">
            <v>232074043.66083</v>
          </cell>
        </row>
        <row r="200">
          <cell r="BK200">
            <v>90353982.6775</v>
          </cell>
          <cell r="BL200">
            <v>149375887.76601</v>
          </cell>
        </row>
        <row r="200">
          <cell r="BP200">
            <v>0</v>
          </cell>
          <cell r="BQ200">
            <v>0</v>
          </cell>
        </row>
        <row r="200">
          <cell r="BU200">
            <v>0</v>
          </cell>
          <cell r="BV200">
            <v>0</v>
          </cell>
        </row>
        <row r="201">
          <cell r="BV201">
            <v>5244529.3305</v>
          </cell>
        </row>
        <row r="202">
          <cell r="H202">
            <v>42460189.67025</v>
          </cell>
          <cell r="I202">
            <v>75770495.8175</v>
          </cell>
        </row>
        <row r="202">
          <cell r="M202">
            <v>35311064.4915</v>
          </cell>
          <cell r="N202">
            <v>106845324.47</v>
          </cell>
        </row>
        <row r="202">
          <cell r="R202">
            <v>34310075.778</v>
          </cell>
          <cell r="S202">
            <v>91422857.764</v>
          </cell>
        </row>
        <row r="202">
          <cell r="W202">
            <v>32820540.131</v>
          </cell>
          <cell r="X202">
            <v>52351260.9275</v>
          </cell>
        </row>
        <row r="202">
          <cell r="AB202">
            <v>30773154.338</v>
          </cell>
          <cell r="AC202">
            <v>53205995.64</v>
          </cell>
        </row>
        <row r="202">
          <cell r="AG202">
            <v>35144187.539</v>
          </cell>
          <cell r="AH202">
            <v>63584838.854</v>
          </cell>
        </row>
        <row r="202">
          <cell r="AL202">
            <v>32066583.3185</v>
          </cell>
          <cell r="AM202">
            <v>35182041.6855</v>
          </cell>
        </row>
        <row r="202">
          <cell r="AQ202">
            <v>30797949.7655</v>
          </cell>
          <cell r="AR202">
            <v>45463959.6485</v>
          </cell>
        </row>
        <row r="202">
          <cell r="AV202">
            <v>31865427.744</v>
          </cell>
          <cell r="AW202">
            <v>45947082.637085</v>
          </cell>
        </row>
        <row r="202">
          <cell r="BA202">
            <v>32294544.5775</v>
          </cell>
          <cell r="BB202">
            <v>41271272.408</v>
          </cell>
        </row>
        <row r="202">
          <cell r="BF202">
            <v>35626398.732025</v>
          </cell>
          <cell r="BG202">
            <v>62576291.6757825</v>
          </cell>
        </row>
        <row r="202">
          <cell r="BK202">
            <v>66833307.557</v>
          </cell>
          <cell r="BL202">
            <v>64674819.872</v>
          </cell>
        </row>
        <row r="202">
          <cell r="BP202">
            <v>203794000</v>
          </cell>
          <cell r="BQ202">
            <v>0</v>
          </cell>
        </row>
        <row r="202">
          <cell r="BU202">
            <v>0</v>
          </cell>
          <cell r="BV202">
            <v>1262898.1655</v>
          </cell>
        </row>
        <row r="203">
          <cell r="H203">
            <v>23263164.026</v>
          </cell>
          <cell r="I203">
            <v>66695845.2645</v>
          </cell>
        </row>
        <row r="203">
          <cell r="M203">
            <v>45124029.4612368</v>
          </cell>
          <cell r="N203">
            <v>190471229.169465</v>
          </cell>
        </row>
        <row r="203">
          <cell r="R203">
            <v>41256610.1365</v>
          </cell>
          <cell r="S203">
            <v>109150685.195</v>
          </cell>
        </row>
        <row r="203">
          <cell r="W203">
            <v>37388921.905</v>
          </cell>
          <cell r="X203">
            <v>93601735.1565</v>
          </cell>
        </row>
        <row r="203">
          <cell r="AB203">
            <v>40313152.8815</v>
          </cell>
          <cell r="AC203">
            <v>105450898.187</v>
          </cell>
        </row>
        <row r="203">
          <cell r="AG203">
            <v>40538841.7785</v>
          </cell>
          <cell r="AH203">
            <v>64885448.3335</v>
          </cell>
        </row>
        <row r="203">
          <cell r="AL203">
            <v>39172333.6018827</v>
          </cell>
          <cell r="AM203">
            <v>58831777.308</v>
          </cell>
        </row>
        <row r="203">
          <cell r="AQ203">
            <v>38635692.6615</v>
          </cell>
          <cell r="AR203">
            <v>50827283.8</v>
          </cell>
        </row>
        <row r="203">
          <cell r="AV203">
            <v>41411433.204</v>
          </cell>
          <cell r="AW203">
            <v>97880245.587</v>
          </cell>
        </row>
        <row r="203">
          <cell r="BA203">
            <v>40377139.4855</v>
          </cell>
          <cell r="BB203">
            <v>99205416.9555</v>
          </cell>
        </row>
        <row r="203">
          <cell r="BF203">
            <v>73304581.644</v>
          </cell>
          <cell r="BG203">
            <v>105909810.1745</v>
          </cell>
        </row>
        <row r="203">
          <cell r="BK203">
            <v>44145917.536</v>
          </cell>
          <cell r="BL203">
            <v>89682837.498</v>
          </cell>
        </row>
        <row r="203">
          <cell r="BP203">
            <v>0</v>
          </cell>
          <cell r="BQ203">
            <v>-434422523.118</v>
          </cell>
        </row>
        <row r="203">
          <cell r="BU203">
            <v>-57592.1255</v>
          </cell>
          <cell r="BV203">
            <v>629798472.3895</v>
          </cell>
        </row>
        <row r="206">
          <cell r="H206">
            <v>274530488.9285</v>
          </cell>
          <cell r="I206">
            <v>279367751.264</v>
          </cell>
        </row>
        <row r="206">
          <cell r="M206">
            <v>280635081.949</v>
          </cell>
          <cell r="N206">
            <v>326798599.8425</v>
          </cell>
        </row>
        <row r="206">
          <cell r="R206">
            <v>171800730.984</v>
          </cell>
          <cell r="S206">
            <v>181644475.944</v>
          </cell>
        </row>
        <row r="206">
          <cell r="W206">
            <v>280635081.949</v>
          </cell>
          <cell r="X206">
            <v>299915930.981</v>
          </cell>
        </row>
        <row r="206">
          <cell r="AB206">
            <v>281767905.9435</v>
          </cell>
          <cell r="AC206">
            <v>310298955.2115</v>
          </cell>
        </row>
        <row r="206">
          <cell r="AG206">
            <v>267282474.6255</v>
          </cell>
          <cell r="AH206">
            <v>221709205.7065</v>
          </cell>
        </row>
        <row r="206">
          <cell r="AL206">
            <v>280679929.587</v>
          </cell>
          <cell r="AM206">
            <v>173879309.039</v>
          </cell>
        </row>
        <row r="206">
          <cell r="AQ206">
            <v>271582337.484</v>
          </cell>
          <cell r="AR206">
            <v>268374931.2105</v>
          </cell>
        </row>
        <row r="206">
          <cell r="AV206">
            <v>280635081.949</v>
          </cell>
          <cell r="AW206">
            <v>260133241.218</v>
          </cell>
        </row>
        <row r="206">
          <cell r="BA206">
            <v>277953052.19</v>
          </cell>
          <cell r="BB206">
            <v>285910640.683</v>
          </cell>
        </row>
        <row r="206">
          <cell r="BF206">
            <v>267487091.5174</v>
          </cell>
          <cell r="BG206">
            <v>323720080.316</v>
          </cell>
        </row>
        <row r="206">
          <cell r="BK206">
            <v>365007500.159</v>
          </cell>
          <cell r="BL206">
            <v>349154631.4215</v>
          </cell>
        </row>
        <row r="206">
          <cell r="BP206">
            <v>0</v>
          </cell>
          <cell r="BQ206">
            <v>186371338.181</v>
          </cell>
        </row>
        <row r="206">
          <cell r="BU206">
            <v>0</v>
          </cell>
          <cell r="BV206">
            <v>415038401.4765</v>
          </cell>
        </row>
        <row r="207">
          <cell r="H207">
            <v>76995985.1205</v>
          </cell>
          <cell r="I207">
            <v>117893097.0455</v>
          </cell>
        </row>
        <row r="207">
          <cell r="M207">
            <v>80211001.5685</v>
          </cell>
          <cell r="N207">
            <v>126348611.4135</v>
          </cell>
        </row>
        <row r="207">
          <cell r="R207">
            <v>71882320.399</v>
          </cell>
          <cell r="S207">
            <v>78065356.145</v>
          </cell>
        </row>
        <row r="207">
          <cell r="W207">
            <v>84260731.1465</v>
          </cell>
          <cell r="X207">
            <v>128778760.0345</v>
          </cell>
        </row>
        <row r="207">
          <cell r="AB207">
            <v>81240878.965</v>
          </cell>
          <cell r="AC207">
            <v>133850770.676</v>
          </cell>
        </row>
        <row r="207">
          <cell r="AG207">
            <v>74646810.158</v>
          </cell>
          <cell r="AH207">
            <v>117201668.473</v>
          </cell>
        </row>
        <row r="207">
          <cell r="AL207">
            <v>81494737.0815</v>
          </cell>
          <cell r="AM207">
            <v>135655185.278305</v>
          </cell>
        </row>
        <row r="207">
          <cell r="AQ207">
            <v>77828222.6835</v>
          </cell>
          <cell r="AR207">
            <v>222474608.8505</v>
          </cell>
        </row>
        <row r="207">
          <cell r="AV207">
            <v>80878829.2055</v>
          </cell>
          <cell r="AW207">
            <v>143661626.7595</v>
          </cell>
        </row>
        <row r="207">
          <cell r="BA207">
            <v>80251188.155</v>
          </cell>
          <cell r="BB207">
            <v>139383112.5005</v>
          </cell>
        </row>
        <row r="207">
          <cell r="BF207">
            <v>74061897.818</v>
          </cell>
          <cell r="BG207">
            <v>145657374.039</v>
          </cell>
        </row>
        <row r="207">
          <cell r="BK207">
            <v>82036715.739</v>
          </cell>
          <cell r="BL207">
            <v>232343499.12756</v>
          </cell>
        </row>
        <row r="207">
          <cell r="BP207">
            <v>0</v>
          </cell>
          <cell r="BQ207">
            <v>-1261776321.349</v>
          </cell>
        </row>
        <row r="207">
          <cell r="BU207">
            <v>16469906.3155</v>
          </cell>
          <cell r="BV207">
            <v>779166090.837</v>
          </cell>
        </row>
        <row r="209">
          <cell r="I209">
            <v>4052133353.62178</v>
          </cell>
        </row>
        <row r="209">
          <cell r="N209">
            <v>612487942.490158</v>
          </cell>
        </row>
        <row r="209">
          <cell r="S209">
            <v>825285289.99538</v>
          </cell>
        </row>
        <row r="209">
          <cell r="X209">
            <v>747655318.970102</v>
          </cell>
        </row>
        <row r="209">
          <cell r="AC209">
            <v>628044549.784858</v>
          </cell>
        </row>
        <row r="209">
          <cell r="AH209">
            <v>662480019.023261</v>
          </cell>
        </row>
        <row r="209">
          <cell r="AM209">
            <v>123062525.020502</v>
          </cell>
        </row>
        <row r="209">
          <cell r="AR209">
            <v>380330487.939445</v>
          </cell>
        </row>
        <row r="209">
          <cell r="AW209">
            <v>1555797067.17964</v>
          </cell>
        </row>
        <row r="209">
          <cell r="BB209">
            <v>2224275856.89161</v>
          </cell>
        </row>
        <row r="209">
          <cell r="BG209">
            <v>3063913925.32815</v>
          </cell>
        </row>
        <row r="209">
          <cell r="BL209">
            <v>3206395644.10817</v>
          </cell>
        </row>
        <row r="209">
          <cell r="BQ209">
            <v>10142342.3385</v>
          </cell>
        </row>
        <row r="209">
          <cell r="BV209">
            <v>0</v>
          </cell>
        </row>
        <row r="212">
          <cell r="I212">
            <v>12273657.171125</v>
          </cell>
        </row>
        <row r="212">
          <cell r="N212">
            <v>10282043.50835</v>
          </cell>
        </row>
        <row r="212">
          <cell r="S212">
            <v>12366133.074895</v>
          </cell>
        </row>
        <row r="212">
          <cell r="X212">
            <v>4518484.017605</v>
          </cell>
        </row>
        <row r="212">
          <cell r="AC212">
            <v>7826072.824015</v>
          </cell>
        </row>
        <row r="212">
          <cell r="AH212">
            <v>8948630.3467825</v>
          </cell>
        </row>
        <row r="212">
          <cell r="AM212">
            <v>7366704.3777125</v>
          </cell>
        </row>
        <row r="212">
          <cell r="AR212">
            <v>8953014.646325</v>
          </cell>
        </row>
        <row r="212">
          <cell r="AW212">
            <v>7060589.2388125</v>
          </cell>
        </row>
        <row r="212">
          <cell r="BB212">
            <v>17232677.05947</v>
          </cell>
        </row>
        <row r="212">
          <cell r="BG212">
            <v>15757898.07122</v>
          </cell>
        </row>
        <row r="212">
          <cell r="BL212">
            <v>18311414.730095</v>
          </cell>
        </row>
        <row r="212">
          <cell r="BQ212">
            <v>0</v>
          </cell>
        </row>
        <row r="212">
          <cell r="BV212">
            <v>0</v>
          </cell>
        </row>
        <row r="213">
          <cell r="I213">
            <v>39890412.3264</v>
          </cell>
        </row>
        <row r="213">
          <cell r="N213">
            <v>34667308.53647</v>
          </cell>
        </row>
        <row r="213">
          <cell r="S213">
            <v>42742501.325385</v>
          </cell>
        </row>
        <row r="213">
          <cell r="X213">
            <v>38406337.212995</v>
          </cell>
        </row>
        <row r="213">
          <cell r="AC213">
            <v>35963048.496755</v>
          </cell>
        </row>
        <row r="213">
          <cell r="AH213">
            <v>40031664.26846</v>
          </cell>
        </row>
        <row r="213">
          <cell r="AM213">
            <v>31299128.189795</v>
          </cell>
        </row>
        <row r="213">
          <cell r="AR213">
            <v>41655440.534045</v>
          </cell>
        </row>
        <row r="213">
          <cell r="AW213">
            <v>24476279.82315</v>
          </cell>
        </row>
        <row r="213">
          <cell r="BB213">
            <v>43278493.593035</v>
          </cell>
        </row>
        <row r="213">
          <cell r="BG213">
            <v>29511088.715165</v>
          </cell>
        </row>
        <row r="213">
          <cell r="BL213">
            <v>42050704.621995</v>
          </cell>
        </row>
        <row r="213">
          <cell r="BQ213">
            <v>0</v>
          </cell>
        </row>
        <row r="213">
          <cell r="BV213">
            <v>148195555.115442</v>
          </cell>
        </row>
        <row r="214">
          <cell r="I214">
            <v>87833108.0305</v>
          </cell>
        </row>
        <row r="214">
          <cell r="N214">
            <v>114247555.465</v>
          </cell>
        </row>
        <row r="214">
          <cell r="S214">
            <v>92051756.3295</v>
          </cell>
        </row>
        <row r="214">
          <cell r="X214">
            <v>101386528.425</v>
          </cell>
        </row>
        <row r="214">
          <cell r="AC214">
            <v>37343745.016</v>
          </cell>
        </row>
        <row r="214">
          <cell r="AH214">
            <v>102804540.9185</v>
          </cell>
        </row>
        <row r="214">
          <cell r="AM214">
            <v>94003275.01</v>
          </cell>
        </row>
        <row r="214">
          <cell r="AR214">
            <v>85910851.1645</v>
          </cell>
        </row>
        <row r="214">
          <cell r="AW214">
            <v>108211576.2325</v>
          </cell>
        </row>
        <row r="214">
          <cell r="BB214">
            <v>84635393.2808</v>
          </cell>
        </row>
        <row r="214">
          <cell r="BG214">
            <v>113470165.2875</v>
          </cell>
        </row>
        <row r="214">
          <cell r="BL214">
            <v>136513273.0235</v>
          </cell>
        </row>
        <row r="214">
          <cell r="BQ214">
            <v>0</v>
          </cell>
        </row>
        <row r="214">
          <cell r="BV214">
            <v>0</v>
          </cell>
        </row>
        <row r="215">
          <cell r="I215">
            <v>130197602.1345</v>
          </cell>
        </row>
        <row r="215">
          <cell r="N215">
            <v>165344744.392</v>
          </cell>
        </row>
        <row r="215">
          <cell r="S215">
            <v>225773730.3755</v>
          </cell>
        </row>
        <row r="215">
          <cell r="X215">
            <v>130182287.519058</v>
          </cell>
        </row>
        <row r="215">
          <cell r="AC215">
            <v>175787247.0205</v>
          </cell>
        </row>
        <row r="215">
          <cell r="AH215">
            <v>130564032.461049</v>
          </cell>
        </row>
        <row r="215">
          <cell r="AM215">
            <v>120536435.9835</v>
          </cell>
        </row>
        <row r="215">
          <cell r="AR215">
            <v>174032844.847</v>
          </cell>
        </row>
        <row r="215">
          <cell r="AW215">
            <v>135371660.2655</v>
          </cell>
        </row>
        <row r="215">
          <cell r="BB215">
            <v>147221393.7425</v>
          </cell>
        </row>
        <row r="215">
          <cell r="BG215">
            <v>247797029.3755</v>
          </cell>
        </row>
        <row r="215">
          <cell r="BL215">
            <v>267925570.1525</v>
          </cell>
        </row>
        <row r="215">
          <cell r="BP215">
            <v>153736703.8255</v>
          </cell>
          <cell r="BQ215">
            <v>99445526.045</v>
          </cell>
        </row>
        <row r="215">
          <cell r="BV215">
            <v>5758498.7110923</v>
          </cell>
        </row>
        <row r="216">
          <cell r="H216">
            <v>17712.997</v>
          </cell>
          <cell r="I216">
            <v>36806289.2895</v>
          </cell>
        </row>
        <row r="216">
          <cell r="M216">
            <v>0</v>
          </cell>
          <cell r="N216">
            <v>38467078.748</v>
          </cell>
        </row>
        <row r="216">
          <cell r="R216">
            <v>57686.66</v>
          </cell>
          <cell r="S216">
            <v>45730932.7335</v>
          </cell>
        </row>
        <row r="216">
          <cell r="W216">
            <v>29765.9985</v>
          </cell>
          <cell r="X216">
            <v>45736590.373</v>
          </cell>
        </row>
        <row r="216">
          <cell r="AB216">
            <v>32779.095735</v>
          </cell>
          <cell r="AC216">
            <v>82417502.310025</v>
          </cell>
        </row>
        <row r="216">
          <cell r="AG216">
            <v>108083284.9645</v>
          </cell>
          <cell r="AH216">
            <v>43517.3815</v>
          </cell>
        </row>
        <row r="216">
          <cell r="AL216">
            <v>46097.496</v>
          </cell>
          <cell r="AM216">
            <v>124746201.5735</v>
          </cell>
        </row>
        <row r="216">
          <cell r="AQ216">
            <v>45490.826</v>
          </cell>
          <cell r="AR216">
            <v>113600202.9405</v>
          </cell>
        </row>
        <row r="216">
          <cell r="AV216">
            <v>0</v>
          </cell>
          <cell r="AW216">
            <v>158870754.426</v>
          </cell>
        </row>
        <row r="216">
          <cell r="BB216">
            <v>214828807.802</v>
          </cell>
        </row>
        <row r="216">
          <cell r="BG216">
            <v>220473491.3635</v>
          </cell>
        </row>
        <row r="216">
          <cell r="BK216">
            <v>95286.9475</v>
          </cell>
          <cell r="BL216">
            <v>10543957.2895</v>
          </cell>
        </row>
        <row r="216">
          <cell r="BP216">
            <v>0</v>
          </cell>
          <cell r="BQ216">
            <v>740710.2025</v>
          </cell>
        </row>
        <row r="216">
          <cell r="BU216">
            <v>0</v>
          </cell>
          <cell r="BV216">
            <v>0</v>
          </cell>
        </row>
        <row r="217">
          <cell r="BK217">
            <v>35624.1925</v>
          </cell>
          <cell r="BL217">
            <v>231371561.343</v>
          </cell>
        </row>
        <row r="218">
          <cell r="I218">
            <v>37773540.951775</v>
          </cell>
        </row>
        <row r="218">
          <cell r="N218">
            <v>42998203.6215</v>
          </cell>
        </row>
        <row r="218">
          <cell r="S218">
            <v>38439410.7675</v>
          </cell>
        </row>
        <row r="218">
          <cell r="X218">
            <v>35234281.8625</v>
          </cell>
        </row>
        <row r="218">
          <cell r="AC218">
            <v>38573859.4415</v>
          </cell>
        </row>
        <row r="218">
          <cell r="AH218">
            <v>46119432.5393</v>
          </cell>
        </row>
        <row r="218">
          <cell r="AM218">
            <v>47367033.9625</v>
          </cell>
        </row>
        <row r="218">
          <cell r="AR218">
            <v>39600695.831</v>
          </cell>
        </row>
        <row r="218">
          <cell r="AW218">
            <v>40045928.8825</v>
          </cell>
        </row>
        <row r="218">
          <cell r="BB218">
            <v>43782768.7025</v>
          </cell>
        </row>
        <row r="218">
          <cell r="BG218">
            <v>41590670.630725</v>
          </cell>
        </row>
        <row r="218">
          <cell r="BL218">
            <v>47057000.8545</v>
          </cell>
        </row>
        <row r="218">
          <cell r="BQ218">
            <v>0</v>
          </cell>
        </row>
        <row r="218">
          <cell r="BV218">
            <v>0</v>
          </cell>
        </row>
        <row r="219">
          <cell r="H219">
            <v>91395620.9315</v>
          </cell>
          <cell r="I219">
            <v>280428630.06598</v>
          </cell>
        </row>
        <row r="219">
          <cell r="M219">
            <v>91395620.9315</v>
          </cell>
          <cell r="N219">
            <v>290905116.025904</v>
          </cell>
        </row>
        <row r="219">
          <cell r="R219">
            <v>91395620.9315</v>
          </cell>
          <cell r="S219">
            <v>268969344.610829</v>
          </cell>
        </row>
        <row r="219">
          <cell r="W219">
            <v>77594882.0875</v>
          </cell>
          <cell r="X219">
            <v>145203155.911888</v>
          </cell>
        </row>
        <row r="219">
          <cell r="AB219">
            <v>80005441.452</v>
          </cell>
          <cell r="AC219">
            <v>246511070.085697</v>
          </cell>
        </row>
        <row r="219">
          <cell r="AG219">
            <v>98010378.9525</v>
          </cell>
          <cell r="AH219">
            <v>289989762.455777</v>
          </cell>
        </row>
        <row r="219">
          <cell r="AL219">
            <v>95017172.2475</v>
          </cell>
          <cell r="AM219">
            <v>291464393.698469</v>
          </cell>
        </row>
        <row r="219">
          <cell r="AQ219">
            <v>92366699.3415</v>
          </cell>
          <cell r="AR219">
            <v>283606799.093968</v>
          </cell>
        </row>
        <row r="219">
          <cell r="AV219">
            <v>102603008.973</v>
          </cell>
          <cell r="AW219">
            <v>317798119.323307</v>
          </cell>
        </row>
        <row r="219">
          <cell r="BA219">
            <v>94171762.8775</v>
          </cell>
          <cell r="BB219">
            <v>233753406.3685</v>
          </cell>
        </row>
        <row r="219">
          <cell r="BF219">
            <v>91395620.9315</v>
          </cell>
          <cell r="BG219">
            <v>214319180.853</v>
          </cell>
        </row>
        <row r="219">
          <cell r="BK219">
            <v>91395620.9315</v>
          </cell>
          <cell r="BL219">
            <v>231080641.5795</v>
          </cell>
        </row>
        <row r="219">
          <cell r="BQ219">
            <v>0</v>
          </cell>
          <cell r="BR219">
            <v>0</v>
          </cell>
        </row>
        <row r="219">
          <cell r="BU219">
            <v>0</v>
          </cell>
          <cell r="BV219">
            <v>0</v>
          </cell>
        </row>
        <row r="220">
          <cell r="H220">
            <v>128055962.5</v>
          </cell>
          <cell r="I220">
            <v>304506912.153246</v>
          </cell>
        </row>
        <row r="220">
          <cell r="M220">
            <v>128055962.5</v>
          </cell>
          <cell r="N220">
            <v>278575836.078645</v>
          </cell>
        </row>
        <row r="220">
          <cell r="R220">
            <v>128055962.5</v>
          </cell>
          <cell r="S220">
            <v>283876792.029757</v>
          </cell>
        </row>
        <row r="220">
          <cell r="W220">
            <v>128055962.5</v>
          </cell>
          <cell r="X220">
            <v>328719815.518466</v>
          </cell>
        </row>
        <row r="220">
          <cell r="AB220">
            <v>128055962.5</v>
          </cell>
          <cell r="AC220">
            <v>322199149.400102</v>
          </cell>
        </row>
        <row r="220">
          <cell r="AG220">
            <v>128055962.5</v>
          </cell>
          <cell r="AH220">
            <v>322984025.045356</v>
          </cell>
        </row>
        <row r="220">
          <cell r="AL220">
            <v>128055962.5</v>
          </cell>
          <cell r="AM220">
            <v>276655235.981923</v>
          </cell>
        </row>
        <row r="220">
          <cell r="AQ220">
            <v>128055962.5</v>
          </cell>
          <cell r="AR220">
            <v>322410018.47896</v>
          </cell>
        </row>
        <row r="220">
          <cell r="AV220">
            <v>128055962.5</v>
          </cell>
          <cell r="AW220">
            <v>323448478.070179</v>
          </cell>
        </row>
        <row r="220">
          <cell r="BA220">
            <v>128055962.5</v>
          </cell>
          <cell r="BB220">
            <v>230402944.6585</v>
          </cell>
        </row>
        <row r="220">
          <cell r="BF220">
            <v>128055962.5</v>
          </cell>
          <cell r="BG220">
            <v>221101964.671</v>
          </cell>
        </row>
        <row r="220">
          <cell r="BK220">
            <v>128055962.5</v>
          </cell>
          <cell r="BL220">
            <v>255215752.665</v>
          </cell>
        </row>
        <row r="220">
          <cell r="BQ220">
            <v>0</v>
          </cell>
          <cell r="BR220">
            <v>0</v>
          </cell>
        </row>
        <row r="220">
          <cell r="BU220">
            <v>0</v>
          </cell>
          <cell r="BV220">
            <v>0</v>
          </cell>
        </row>
        <row r="221">
          <cell r="H221">
            <v>240499010.445</v>
          </cell>
          <cell r="I221">
            <v>359178271.033374</v>
          </cell>
        </row>
        <row r="221">
          <cell r="M221">
            <v>274064134.0425</v>
          </cell>
          <cell r="N221">
            <v>427165391.714195</v>
          </cell>
        </row>
        <row r="221">
          <cell r="R221">
            <v>266377230.5125</v>
          </cell>
          <cell r="S221">
            <v>409011488.20433</v>
          </cell>
        </row>
        <row r="221">
          <cell r="W221">
            <v>16782561.6515</v>
          </cell>
          <cell r="X221">
            <v>16979436.3445493</v>
          </cell>
        </row>
        <row r="221">
          <cell r="AB221">
            <v>-2541884.277</v>
          </cell>
          <cell r="AC221">
            <v>-1347197.9519909</v>
          </cell>
        </row>
        <row r="221">
          <cell r="AG221">
            <v>17548189.499</v>
          </cell>
          <cell r="AH221">
            <v>24622649.9857252</v>
          </cell>
        </row>
        <row r="221">
          <cell r="AL221">
            <v>216488921.972</v>
          </cell>
          <cell r="AM221">
            <v>349841169.236964</v>
          </cell>
        </row>
        <row r="221">
          <cell r="AQ221">
            <v>191866331.221</v>
          </cell>
          <cell r="AR221">
            <v>310572840.838376</v>
          </cell>
        </row>
        <row r="221">
          <cell r="AV221">
            <v>244970276.721</v>
          </cell>
          <cell r="AW221">
            <v>427835344.29701</v>
          </cell>
        </row>
        <row r="221">
          <cell r="BA221">
            <v>254770312.8745</v>
          </cell>
          <cell r="BB221">
            <v>330230762.037</v>
          </cell>
        </row>
        <row r="221">
          <cell r="BF221">
            <v>260680959.6805</v>
          </cell>
          <cell r="BG221">
            <v>316422836.215</v>
          </cell>
        </row>
        <row r="221">
          <cell r="BK221">
            <v>255842191.861</v>
          </cell>
          <cell r="BL221">
            <v>331153738.584</v>
          </cell>
        </row>
        <row r="221">
          <cell r="BQ221">
            <v>0</v>
          </cell>
          <cell r="BR221">
            <v>0</v>
          </cell>
        </row>
        <row r="221">
          <cell r="BU221">
            <v>0</v>
          </cell>
          <cell r="BV221">
            <v>0</v>
          </cell>
        </row>
        <row r="222">
          <cell r="H222">
            <v>10419766.0505</v>
          </cell>
          <cell r="I222">
            <v>13809836.5494826</v>
          </cell>
        </row>
        <row r="222">
          <cell r="M222">
            <v>25701101.2885</v>
          </cell>
          <cell r="N222">
            <v>36772265.9192666</v>
          </cell>
        </row>
        <row r="222">
          <cell r="R222">
            <v>24685803.998</v>
          </cell>
          <cell r="S222">
            <v>33667315.053744</v>
          </cell>
        </row>
        <row r="222">
          <cell r="W222">
            <v>19320291.7115</v>
          </cell>
          <cell r="X222">
            <v>28270879.1832879</v>
          </cell>
        </row>
        <row r="222">
          <cell r="AB222">
            <v>24478298.12</v>
          </cell>
          <cell r="AC222">
            <v>36368148.0212407</v>
          </cell>
        </row>
        <row r="222">
          <cell r="AG222">
            <v>22366183.2885</v>
          </cell>
          <cell r="AH222">
            <v>33360969.2534911</v>
          </cell>
        </row>
        <row r="222">
          <cell r="AL222">
            <v>30525616.1915</v>
          </cell>
          <cell r="AM222">
            <v>8498277.34453777</v>
          </cell>
        </row>
        <row r="222">
          <cell r="AQ222">
            <v>23211029.28</v>
          </cell>
          <cell r="AR222">
            <v>24299921.3419846</v>
          </cell>
        </row>
        <row r="222">
          <cell r="AV222">
            <v>8948696.7315</v>
          </cell>
          <cell r="AW222">
            <v>14002861.2613602</v>
          </cell>
        </row>
        <row r="222">
          <cell r="BA222">
            <v>16478200.319</v>
          </cell>
          <cell r="BB222">
            <v>16438847.1675</v>
          </cell>
        </row>
        <row r="222">
          <cell r="BF222">
            <v>19676016.2</v>
          </cell>
          <cell r="BG222">
            <v>17585214.039</v>
          </cell>
        </row>
        <row r="222">
          <cell r="BK222">
            <v>22484758.118</v>
          </cell>
          <cell r="BL222">
            <v>15893488.239</v>
          </cell>
        </row>
        <row r="222">
          <cell r="BQ222">
            <v>0</v>
          </cell>
          <cell r="BR222">
            <v>0</v>
          </cell>
        </row>
        <row r="222">
          <cell r="BU222">
            <v>0</v>
          </cell>
          <cell r="BV222">
            <v>0</v>
          </cell>
        </row>
        <row r="223">
          <cell r="H223">
            <v>120261529.0685</v>
          </cell>
          <cell r="I223">
            <v>278057041.785487</v>
          </cell>
        </row>
        <row r="223">
          <cell r="M223">
            <v>117766102.461</v>
          </cell>
          <cell r="N223">
            <v>231916702.29704</v>
          </cell>
        </row>
        <row r="223">
          <cell r="R223">
            <v>1307844.1665</v>
          </cell>
          <cell r="S223">
            <v>-3448301.42906938</v>
          </cell>
        </row>
        <row r="223">
          <cell r="W223">
            <v>27103942.0255</v>
          </cell>
          <cell r="X223">
            <v>63744830.5994155</v>
          </cell>
        </row>
        <row r="223">
          <cell r="AB223">
            <v>128394215.187</v>
          </cell>
          <cell r="AC223">
            <v>294910845.547299</v>
          </cell>
        </row>
        <row r="223">
          <cell r="AG223">
            <v>136151083.671</v>
          </cell>
          <cell r="AH223">
            <v>291582886.779631</v>
          </cell>
        </row>
        <row r="223">
          <cell r="AL223">
            <v>135324285.8175</v>
          </cell>
          <cell r="AM223">
            <v>282349636.965228</v>
          </cell>
        </row>
        <row r="223">
          <cell r="AQ223">
            <v>139082458.334</v>
          </cell>
          <cell r="AR223">
            <v>323426973.471553</v>
          </cell>
        </row>
        <row r="223">
          <cell r="AV223">
            <v>148568086.582</v>
          </cell>
          <cell r="AW223">
            <v>346058661.924891</v>
          </cell>
        </row>
        <row r="223">
          <cell r="BA223">
            <v>149289655.757</v>
          </cell>
          <cell r="BB223">
            <v>293085907.596</v>
          </cell>
        </row>
        <row r="223">
          <cell r="BF223">
            <v>133309905.2285</v>
          </cell>
          <cell r="BG223">
            <v>249468587.8155</v>
          </cell>
        </row>
        <row r="223">
          <cell r="BK223">
            <v>151739984.4015</v>
          </cell>
          <cell r="BL223">
            <v>300794321.406</v>
          </cell>
        </row>
        <row r="223">
          <cell r="BQ223">
            <v>0</v>
          </cell>
          <cell r="BR223">
            <v>0</v>
          </cell>
        </row>
        <row r="223">
          <cell r="BU223">
            <v>0</v>
          </cell>
          <cell r="BV223">
            <v>0</v>
          </cell>
        </row>
        <row r="224">
          <cell r="H224">
            <v>176726995.9315</v>
          </cell>
          <cell r="I224">
            <v>313006562.909522</v>
          </cell>
        </row>
        <row r="224">
          <cell r="M224">
            <v>176726995.9315</v>
          </cell>
          <cell r="N224">
            <v>373629727.956912</v>
          </cell>
        </row>
        <row r="224">
          <cell r="R224">
            <v>176726995.9315</v>
          </cell>
          <cell r="S224">
            <v>364668227.598044</v>
          </cell>
        </row>
        <row r="224">
          <cell r="W224">
            <v>176726995.9315</v>
          </cell>
          <cell r="X224">
            <v>363043211.085832</v>
          </cell>
        </row>
        <row r="224">
          <cell r="AB224">
            <v>176726995.9315</v>
          </cell>
          <cell r="AC224">
            <v>305124153.526695</v>
          </cell>
        </row>
        <row r="224">
          <cell r="AG224">
            <v>176726995.9315</v>
          </cell>
          <cell r="AH224">
            <v>355219591.824778</v>
          </cell>
        </row>
        <row r="224">
          <cell r="AL224">
            <v>176726995.9315</v>
          </cell>
          <cell r="AM224">
            <v>362357273.329632</v>
          </cell>
        </row>
        <row r="224">
          <cell r="AQ224">
            <v>176726995.9315</v>
          </cell>
          <cell r="AR224">
            <v>238680782.743369</v>
          </cell>
        </row>
        <row r="224">
          <cell r="AV224">
            <v>176726995.9315</v>
          </cell>
          <cell r="AW224">
            <v>394752245.280636</v>
          </cell>
        </row>
        <row r="224">
          <cell r="BA224">
            <v>176726995.9315</v>
          </cell>
          <cell r="BB224">
            <v>301847924.606</v>
          </cell>
        </row>
        <row r="224">
          <cell r="BF224">
            <v>176726995.9315</v>
          </cell>
          <cell r="BG224">
            <v>310434014.0895</v>
          </cell>
        </row>
        <row r="224">
          <cell r="BK224">
            <v>176726995.9315</v>
          </cell>
          <cell r="BL224">
            <v>329179073.676</v>
          </cell>
        </row>
        <row r="224">
          <cell r="BQ224">
            <v>0</v>
          </cell>
          <cell r="BR224">
            <v>0</v>
          </cell>
        </row>
        <row r="224">
          <cell r="BU224">
            <v>0</v>
          </cell>
          <cell r="BV224">
            <v>0</v>
          </cell>
        </row>
        <row r="225">
          <cell r="H225">
            <v>393081692.166</v>
          </cell>
          <cell r="I225">
            <v>401932602.075838</v>
          </cell>
        </row>
        <row r="225">
          <cell r="M225">
            <v>336687869.7905</v>
          </cell>
          <cell r="N225">
            <v>391821225.822333</v>
          </cell>
        </row>
        <row r="225">
          <cell r="R225">
            <v>306760059.149</v>
          </cell>
          <cell r="S225">
            <v>337795578.996115</v>
          </cell>
        </row>
        <row r="225">
          <cell r="W225">
            <v>210164700.2755</v>
          </cell>
          <cell r="X225">
            <v>268952909.586902</v>
          </cell>
        </row>
        <row r="225">
          <cell r="AB225">
            <v>308323452.451</v>
          </cell>
          <cell r="AC225">
            <v>367433355.494274</v>
          </cell>
        </row>
        <row r="225">
          <cell r="AG225">
            <v>349865040.2245</v>
          </cell>
          <cell r="AH225">
            <v>408998985.953295</v>
          </cell>
        </row>
        <row r="225">
          <cell r="AL225">
            <v>389396551.232</v>
          </cell>
          <cell r="AM225">
            <v>458748805.954703</v>
          </cell>
        </row>
        <row r="225">
          <cell r="AQ225">
            <v>355001903.3</v>
          </cell>
          <cell r="AR225">
            <v>400849925.765772</v>
          </cell>
        </row>
        <row r="225">
          <cell r="AV225">
            <v>372366733.8595</v>
          </cell>
          <cell r="AW225">
            <v>427912009.560554</v>
          </cell>
        </row>
        <row r="225">
          <cell r="BA225">
            <v>492077976.4255</v>
          </cell>
          <cell r="BB225">
            <v>444506272.9145</v>
          </cell>
        </row>
        <row r="225">
          <cell r="BF225">
            <v>463769394.2245</v>
          </cell>
          <cell r="BG225">
            <v>391246690.349</v>
          </cell>
        </row>
        <row r="225">
          <cell r="BK225">
            <v>399781948.249</v>
          </cell>
          <cell r="BL225">
            <v>365937375.9575</v>
          </cell>
        </row>
        <row r="225">
          <cell r="BQ225">
            <v>0</v>
          </cell>
          <cell r="BR225">
            <v>0</v>
          </cell>
        </row>
        <row r="225">
          <cell r="BU225">
            <v>0</v>
          </cell>
          <cell r="BV225">
            <v>0</v>
          </cell>
        </row>
        <row r="226">
          <cell r="H226">
            <v>320867566.863</v>
          </cell>
        </row>
        <row r="226">
          <cell r="M226">
            <v>320867566.863</v>
          </cell>
        </row>
        <row r="226">
          <cell r="R226">
            <v>320867566.863</v>
          </cell>
        </row>
        <row r="226">
          <cell r="W226">
            <v>320867566.863</v>
          </cell>
        </row>
        <row r="226">
          <cell r="AB226">
            <v>320867566.863</v>
          </cell>
        </row>
        <row r="226">
          <cell r="AG226">
            <v>320867566.863</v>
          </cell>
        </row>
        <row r="226">
          <cell r="AL226">
            <v>320867566.863</v>
          </cell>
        </row>
        <row r="226">
          <cell r="AQ226">
            <v>320867566.863</v>
          </cell>
        </row>
        <row r="226">
          <cell r="AV226">
            <v>320867566.863</v>
          </cell>
        </row>
        <row r="226">
          <cell r="BA226">
            <v>320867566.863</v>
          </cell>
        </row>
        <row r="226">
          <cell r="BF226">
            <v>320867566.863</v>
          </cell>
        </row>
        <row r="226">
          <cell r="BK226">
            <v>320867566.863</v>
          </cell>
        </row>
        <row r="226">
          <cell r="BP226">
            <v>0</v>
          </cell>
        </row>
        <row r="226">
          <cell r="BU226">
            <v>0</v>
          </cell>
        </row>
        <row r="227">
          <cell r="H227">
            <v>326598045.9315</v>
          </cell>
        </row>
        <row r="227">
          <cell r="M227">
            <v>326598045.9315</v>
          </cell>
        </row>
        <row r="227">
          <cell r="R227">
            <v>326598045.9315</v>
          </cell>
        </row>
        <row r="227">
          <cell r="W227">
            <v>326598045.9315</v>
          </cell>
        </row>
        <row r="227">
          <cell r="AB227">
            <v>326598045.9315</v>
          </cell>
        </row>
        <row r="227">
          <cell r="AG227">
            <v>326598045.833333</v>
          </cell>
        </row>
        <row r="227">
          <cell r="AL227">
            <v>326598045.833333</v>
          </cell>
        </row>
        <row r="227">
          <cell r="AQ227">
            <v>326598045.833333</v>
          </cell>
        </row>
        <row r="227">
          <cell r="AV227">
            <v>326598045.833333</v>
          </cell>
        </row>
        <row r="227">
          <cell r="BA227">
            <v>326598045.833333</v>
          </cell>
        </row>
        <row r="227">
          <cell r="BF227">
            <v>326598045.833333</v>
          </cell>
        </row>
        <row r="227">
          <cell r="BK227">
            <v>326598045.833333</v>
          </cell>
        </row>
        <row r="227">
          <cell r="BP227">
            <v>0</v>
          </cell>
        </row>
        <row r="227">
          <cell r="BU227">
            <v>0</v>
          </cell>
        </row>
        <row r="228">
          <cell r="BK228">
            <v>70231510.3675</v>
          </cell>
        </row>
        <row r="229">
          <cell r="BU229">
            <v>2227133891.8545</v>
          </cell>
          <cell r="BV229">
            <v>1137970003.862</v>
          </cell>
        </row>
        <row r="231">
          <cell r="H231">
            <v>347549266.666667</v>
          </cell>
          <cell r="I231">
            <v>681267792.4</v>
          </cell>
        </row>
        <row r="231">
          <cell r="M231">
            <v>347549266.5685</v>
          </cell>
          <cell r="N231">
            <v>614832333.728</v>
          </cell>
        </row>
        <row r="231">
          <cell r="R231">
            <v>347549266.5685</v>
          </cell>
          <cell r="S231">
            <v>680767463.405</v>
          </cell>
        </row>
        <row r="231">
          <cell r="W231">
            <v>347549266.666667</v>
          </cell>
          <cell r="X231">
            <v>732244602.096</v>
          </cell>
        </row>
        <row r="231">
          <cell r="AB231">
            <v>347549266.666667</v>
          </cell>
          <cell r="AC231">
            <v>692372151.678</v>
          </cell>
        </row>
        <row r="231">
          <cell r="AG231">
            <v>347549266.666667</v>
          </cell>
          <cell r="AH231">
            <v>758119048.146</v>
          </cell>
        </row>
        <row r="231">
          <cell r="AL231">
            <v>347549266.666667</v>
          </cell>
          <cell r="AM231">
            <v>768733803.53</v>
          </cell>
        </row>
        <row r="231">
          <cell r="AQ231">
            <v>347549266.666667</v>
          </cell>
          <cell r="AR231">
            <v>797536801.755</v>
          </cell>
        </row>
        <row r="231">
          <cell r="AV231">
            <v>347549266.666667</v>
          </cell>
          <cell r="AW231">
            <v>788307203.8555</v>
          </cell>
        </row>
        <row r="231">
          <cell r="BA231">
            <v>347549266.666667</v>
          </cell>
          <cell r="BB231">
            <v>830090618.2425</v>
          </cell>
        </row>
        <row r="231">
          <cell r="BF231">
            <v>347549266.666667</v>
          </cell>
          <cell r="BG231">
            <v>360361965.864</v>
          </cell>
        </row>
        <row r="231">
          <cell r="BK231">
            <v>391731040.0685</v>
          </cell>
          <cell r="BL231">
            <v>892753675.6305</v>
          </cell>
        </row>
        <row r="231">
          <cell r="BP231">
            <v>-93945500</v>
          </cell>
          <cell r="BQ231">
            <v>319732067.0415</v>
          </cell>
        </row>
        <row r="231">
          <cell r="BU231">
            <v>0</v>
          </cell>
          <cell r="BV231">
            <v>0</v>
          </cell>
        </row>
        <row r="232">
          <cell r="H232">
            <v>0</v>
          </cell>
          <cell r="I232">
            <v>0</v>
          </cell>
        </row>
        <row r="232">
          <cell r="M232">
            <v>0</v>
          </cell>
          <cell r="N232">
            <v>0</v>
          </cell>
        </row>
        <row r="232">
          <cell r="R232">
            <v>0</v>
          </cell>
          <cell r="S232">
            <v>0</v>
          </cell>
        </row>
        <row r="232">
          <cell r="W232">
            <v>0</v>
          </cell>
          <cell r="X232">
            <v>0</v>
          </cell>
        </row>
        <row r="232">
          <cell r="AB232">
            <v>0</v>
          </cell>
          <cell r="AC232">
            <v>0</v>
          </cell>
        </row>
        <row r="232">
          <cell r="AG232">
            <v>0</v>
          </cell>
          <cell r="AH232">
            <v>0</v>
          </cell>
        </row>
        <row r="232">
          <cell r="AL232">
            <v>0</v>
          </cell>
          <cell r="AM232">
            <v>0</v>
          </cell>
        </row>
        <row r="232">
          <cell r="AQ232">
            <v>0</v>
          </cell>
          <cell r="AR232">
            <v>0</v>
          </cell>
        </row>
        <row r="232">
          <cell r="AV232">
            <v>0</v>
          </cell>
          <cell r="AW232">
            <v>0</v>
          </cell>
        </row>
        <row r="232">
          <cell r="BA232">
            <v>0</v>
          </cell>
          <cell r="BB232">
            <v>0</v>
          </cell>
        </row>
        <row r="232">
          <cell r="BF232">
            <v>0</v>
          </cell>
          <cell r="BG232">
            <v>0</v>
          </cell>
        </row>
        <row r="232">
          <cell r="BK232">
            <v>0</v>
          </cell>
          <cell r="BL232">
            <v>0</v>
          </cell>
        </row>
        <row r="232">
          <cell r="BP232">
            <v>0</v>
          </cell>
          <cell r="BQ232">
            <v>0</v>
          </cell>
        </row>
        <row r="232">
          <cell r="BU232">
            <v>0</v>
          </cell>
          <cell r="BV232">
            <v>2165118019.126</v>
          </cell>
        </row>
        <row r="233">
          <cell r="H233">
            <v>350434210.067</v>
          </cell>
          <cell r="I233">
            <v>0</v>
          </cell>
        </row>
        <row r="233">
          <cell r="M233">
            <v>301798592.6165</v>
          </cell>
          <cell r="N233">
            <v>0</v>
          </cell>
        </row>
        <row r="233">
          <cell r="R233">
            <v>303311906.488</v>
          </cell>
          <cell r="S233">
            <v>0</v>
          </cell>
        </row>
        <row r="233">
          <cell r="W233">
            <v>337149054.4345</v>
          </cell>
          <cell r="X233">
            <v>0</v>
          </cell>
        </row>
        <row r="233">
          <cell r="AB233">
            <v>302649540.3535</v>
          </cell>
          <cell r="AC233">
            <v>0</v>
          </cell>
        </row>
        <row r="233">
          <cell r="AG233">
            <v>316718869.971</v>
          </cell>
          <cell r="AH233">
            <v>0</v>
          </cell>
        </row>
        <row r="233">
          <cell r="AL233">
            <v>307880796.569</v>
          </cell>
          <cell r="AM233">
            <v>0</v>
          </cell>
        </row>
        <row r="233">
          <cell r="AQ233">
            <v>358295032.339</v>
          </cell>
          <cell r="AR233">
            <v>0</v>
          </cell>
        </row>
        <row r="233">
          <cell r="AV233">
            <v>318978221.55</v>
          </cell>
          <cell r="AW233">
            <v>0</v>
          </cell>
        </row>
        <row r="233">
          <cell r="BA233">
            <v>359835434.026</v>
          </cell>
          <cell r="BB233">
            <v>0</v>
          </cell>
        </row>
        <row r="233">
          <cell r="BF233">
            <v>459241496.7765</v>
          </cell>
          <cell r="BG233">
            <v>0</v>
          </cell>
        </row>
        <row r="233">
          <cell r="BK233">
            <v>446951437.207</v>
          </cell>
          <cell r="BL233">
            <v>0</v>
          </cell>
        </row>
        <row r="233">
          <cell r="BP233">
            <v>2966398280.7665</v>
          </cell>
          <cell r="BQ233">
            <v>0</v>
          </cell>
        </row>
        <row r="233">
          <cell r="BV233">
            <v>19483549.259</v>
          </cell>
        </row>
        <row r="234">
          <cell r="H234">
            <v>175915.7465</v>
          </cell>
          <cell r="I234">
            <v>0</v>
          </cell>
        </row>
        <row r="234">
          <cell r="M234">
            <v>175915.7465</v>
          </cell>
          <cell r="N234">
            <v>0</v>
          </cell>
        </row>
        <row r="234">
          <cell r="R234">
            <v>175915.7465</v>
          </cell>
          <cell r="S234">
            <v>0</v>
          </cell>
        </row>
        <row r="234">
          <cell r="W234">
            <v>175915.7465</v>
          </cell>
          <cell r="X234">
            <v>0</v>
          </cell>
        </row>
        <row r="234">
          <cell r="AB234">
            <v>4484383.306</v>
          </cell>
          <cell r="AC234">
            <v>0</v>
          </cell>
        </row>
        <row r="234">
          <cell r="AG234">
            <v>175915.7465</v>
          </cell>
          <cell r="AH234">
            <v>0</v>
          </cell>
        </row>
        <row r="234">
          <cell r="AL234">
            <v>175915.7465</v>
          </cell>
          <cell r="AM234">
            <v>0</v>
          </cell>
        </row>
        <row r="234">
          <cell r="AQ234">
            <v>175915.7465</v>
          </cell>
          <cell r="AR234">
            <v>0</v>
          </cell>
        </row>
        <row r="234">
          <cell r="AV234">
            <v>175915.7465</v>
          </cell>
          <cell r="AW234">
            <v>0</v>
          </cell>
        </row>
        <row r="234">
          <cell r="BA234">
            <v>175915.7465</v>
          </cell>
          <cell r="BB234">
            <v>0</v>
          </cell>
        </row>
        <row r="234">
          <cell r="BF234">
            <v>7548634.013</v>
          </cell>
          <cell r="BG234">
            <v>0</v>
          </cell>
        </row>
        <row r="234">
          <cell r="BK234">
            <v>175915.7465</v>
          </cell>
          <cell r="BL234">
            <v>0</v>
          </cell>
        </row>
        <row r="234">
          <cell r="BP234">
            <v>0</v>
          </cell>
          <cell r="BQ234">
            <v>0</v>
          </cell>
        </row>
        <row r="234">
          <cell r="BU234">
            <v>0</v>
          </cell>
          <cell r="BV234">
            <v>0</v>
          </cell>
        </row>
        <row r="235">
          <cell r="H235">
            <v>0</v>
          </cell>
          <cell r="I235">
            <v>5567889.447</v>
          </cell>
        </row>
        <row r="235">
          <cell r="M235">
            <v>0</v>
          </cell>
          <cell r="N235">
            <v>32869019.0381429</v>
          </cell>
        </row>
        <row r="235">
          <cell r="R235">
            <v>0</v>
          </cell>
          <cell r="S235">
            <v>41092839.7803571</v>
          </cell>
        </row>
        <row r="235">
          <cell r="W235">
            <v>0</v>
          </cell>
          <cell r="X235">
            <v>18297997.69</v>
          </cell>
        </row>
        <row r="235">
          <cell r="AB235">
            <v>0</v>
          </cell>
          <cell r="AC235">
            <v>52285543.4207857</v>
          </cell>
        </row>
        <row r="235">
          <cell r="AG235">
            <v>0</v>
          </cell>
          <cell r="AH235">
            <v>42455663.2683571</v>
          </cell>
        </row>
        <row r="235">
          <cell r="AL235">
            <v>0</v>
          </cell>
          <cell r="AM235">
            <v>27620111.6706429</v>
          </cell>
        </row>
        <row r="235">
          <cell r="AQ235">
            <v>0</v>
          </cell>
          <cell r="AR235">
            <v>6876423.75321428</v>
          </cell>
        </row>
        <row r="235">
          <cell r="AV235">
            <v>0</v>
          </cell>
          <cell r="AW235">
            <v>159034.712</v>
          </cell>
        </row>
        <row r="235">
          <cell r="BA235">
            <v>0</v>
          </cell>
          <cell r="BB235">
            <v>25386758.173</v>
          </cell>
        </row>
        <row r="235">
          <cell r="BF235">
            <v>0</v>
          </cell>
          <cell r="BG235">
            <v>107753466.378857</v>
          </cell>
        </row>
        <row r="235">
          <cell r="BK235">
            <v>0</v>
          </cell>
          <cell r="BL235">
            <v>45278447.4091429</v>
          </cell>
        </row>
        <row r="235">
          <cell r="BP235">
            <v>0</v>
          </cell>
          <cell r="BQ235">
            <v>-83896892.2995</v>
          </cell>
        </row>
        <row r="235">
          <cell r="BU235">
            <v>0</v>
          </cell>
          <cell r="BV235">
            <v>362775.113</v>
          </cell>
        </row>
        <row r="236">
          <cell r="H236">
            <v>2845437.24907143</v>
          </cell>
          <cell r="I236">
            <v>0</v>
          </cell>
        </row>
        <row r="236">
          <cell r="M236">
            <v>13713356.8655</v>
          </cell>
          <cell r="N236">
            <v>0</v>
          </cell>
        </row>
        <row r="236">
          <cell r="R236">
            <v>13738670.4026429</v>
          </cell>
          <cell r="S236">
            <v>0</v>
          </cell>
        </row>
        <row r="236">
          <cell r="W236">
            <v>13420171.0927857</v>
          </cell>
          <cell r="X236">
            <v>0</v>
          </cell>
        </row>
        <row r="236">
          <cell r="AB236">
            <v>8755637.59307143</v>
          </cell>
          <cell r="AC236">
            <v>0</v>
          </cell>
        </row>
        <row r="236">
          <cell r="AG236">
            <v>5502226.80142857</v>
          </cell>
          <cell r="AH236">
            <v>0</v>
          </cell>
        </row>
        <row r="236">
          <cell r="AL236">
            <v>7658162.13907143</v>
          </cell>
          <cell r="AM236">
            <v>0</v>
          </cell>
        </row>
        <row r="236">
          <cell r="AQ236">
            <v>8263229.38592857</v>
          </cell>
          <cell r="AR236">
            <v>0</v>
          </cell>
        </row>
        <row r="236">
          <cell r="AV236">
            <v>6587244.56885714</v>
          </cell>
          <cell r="AW236">
            <v>0</v>
          </cell>
        </row>
        <row r="236">
          <cell r="BA236">
            <v>7904297.49792857</v>
          </cell>
          <cell r="BB236">
            <v>0</v>
          </cell>
        </row>
        <row r="236">
          <cell r="BF236">
            <v>4571035.5135</v>
          </cell>
          <cell r="BG236">
            <v>0</v>
          </cell>
        </row>
        <row r="236">
          <cell r="BK236">
            <v>2899300.79421429</v>
          </cell>
          <cell r="BL236">
            <v>0</v>
          </cell>
        </row>
        <row r="236">
          <cell r="BP236">
            <v>0</v>
          </cell>
          <cell r="BQ236">
            <v>0</v>
          </cell>
        </row>
        <row r="236">
          <cell r="BU236">
            <v>0</v>
          </cell>
          <cell r="BV236">
            <v>0</v>
          </cell>
        </row>
        <row r="237">
          <cell r="H237">
            <v>0</v>
          </cell>
          <cell r="I237">
            <v>0</v>
          </cell>
        </row>
        <row r="237">
          <cell r="M237">
            <v>0</v>
          </cell>
          <cell r="N237">
            <v>0</v>
          </cell>
        </row>
        <row r="237">
          <cell r="R237">
            <v>0</v>
          </cell>
          <cell r="S237">
            <v>0</v>
          </cell>
        </row>
        <row r="237">
          <cell r="W237">
            <v>0</v>
          </cell>
          <cell r="X237">
            <v>0</v>
          </cell>
        </row>
        <row r="237">
          <cell r="AB237">
            <v>0</v>
          </cell>
          <cell r="AC237">
            <v>0</v>
          </cell>
        </row>
        <row r="237">
          <cell r="AG237">
            <v>0</v>
          </cell>
          <cell r="AH237">
            <v>0</v>
          </cell>
        </row>
        <row r="237">
          <cell r="AL237">
            <v>0</v>
          </cell>
          <cell r="AM237">
            <v>0</v>
          </cell>
        </row>
        <row r="237">
          <cell r="AQ237">
            <v>0</v>
          </cell>
          <cell r="AR237">
            <v>0</v>
          </cell>
        </row>
        <row r="237">
          <cell r="AV237">
            <v>0</v>
          </cell>
          <cell r="AW237">
            <v>0</v>
          </cell>
        </row>
        <row r="237">
          <cell r="BA237">
            <v>0</v>
          </cell>
          <cell r="BB237">
            <v>0</v>
          </cell>
        </row>
        <row r="237">
          <cell r="BF237">
            <v>0</v>
          </cell>
          <cell r="BG237">
            <v>-20309847.6405</v>
          </cell>
        </row>
        <row r="237">
          <cell r="BK237">
            <v>0</v>
          </cell>
          <cell r="BL237">
            <v>-8332972.329</v>
          </cell>
        </row>
        <row r="237">
          <cell r="BP237">
            <v>0</v>
          </cell>
          <cell r="BQ237">
            <v>0</v>
          </cell>
        </row>
        <row r="237">
          <cell r="BU237">
            <v>0</v>
          </cell>
          <cell r="BV237">
            <v>0</v>
          </cell>
        </row>
        <row r="238">
          <cell r="H238">
            <v>760482.049</v>
          </cell>
          <cell r="I238">
            <v>0</v>
          </cell>
        </row>
        <row r="238">
          <cell r="M238">
            <v>764569.594509813</v>
          </cell>
          <cell r="N238">
            <v>0</v>
          </cell>
        </row>
        <row r="238">
          <cell r="R238">
            <v>927704.1555</v>
          </cell>
          <cell r="S238">
            <v>0</v>
          </cell>
        </row>
        <row r="238">
          <cell r="W238">
            <v>810722.571</v>
          </cell>
          <cell r="X238">
            <v>0</v>
          </cell>
        </row>
        <row r="238">
          <cell r="AB238">
            <v>822382.1205</v>
          </cell>
          <cell r="AC238">
            <v>0</v>
          </cell>
        </row>
        <row r="238">
          <cell r="AG238">
            <v>834165.36</v>
          </cell>
          <cell r="AH238">
            <v>0</v>
          </cell>
        </row>
        <row r="238">
          <cell r="AL238">
            <v>834933.416</v>
          </cell>
          <cell r="AM238">
            <v>0</v>
          </cell>
        </row>
        <row r="238">
          <cell r="AQ238">
            <v>834533.7795</v>
          </cell>
          <cell r="AR238">
            <v>0</v>
          </cell>
        </row>
        <row r="238">
          <cell r="AV238">
            <v>794117.427658051</v>
          </cell>
          <cell r="AW238">
            <v>0</v>
          </cell>
        </row>
        <row r="238">
          <cell r="BA238">
            <v>838366.584106057</v>
          </cell>
          <cell r="BB238">
            <v>0</v>
          </cell>
        </row>
        <row r="238">
          <cell r="BF238">
            <v>838366.584106057</v>
          </cell>
          <cell r="BG238">
            <v>0</v>
          </cell>
        </row>
        <row r="238">
          <cell r="BK238">
            <v>2987572.331</v>
          </cell>
          <cell r="BL238">
            <v>0</v>
          </cell>
        </row>
        <row r="238">
          <cell r="BP238">
            <v>0</v>
          </cell>
          <cell r="BQ238">
            <v>0</v>
          </cell>
        </row>
        <row r="238">
          <cell r="BU238">
            <v>0</v>
          </cell>
          <cell r="BV238">
            <v>0</v>
          </cell>
        </row>
        <row r="239">
          <cell r="H239">
            <v>837859947</v>
          </cell>
          <cell r="I239">
            <v>0</v>
          </cell>
        </row>
        <row r="239">
          <cell r="M239">
            <v>837859947</v>
          </cell>
          <cell r="N239">
            <v>0</v>
          </cell>
        </row>
        <row r="239">
          <cell r="R239">
            <v>837859947</v>
          </cell>
          <cell r="S239">
            <v>0</v>
          </cell>
        </row>
        <row r="239">
          <cell r="W239">
            <v>837859947</v>
          </cell>
          <cell r="X239">
            <v>0</v>
          </cell>
        </row>
        <row r="239">
          <cell r="AB239">
            <v>837859947</v>
          </cell>
          <cell r="AC239">
            <v>0</v>
          </cell>
        </row>
        <row r="239">
          <cell r="AG239">
            <v>837859947</v>
          </cell>
          <cell r="AH239">
            <v>0</v>
          </cell>
        </row>
        <row r="239">
          <cell r="AL239">
            <v>837859947</v>
          </cell>
          <cell r="AM239">
            <v>0</v>
          </cell>
        </row>
        <row r="239">
          <cell r="AQ239">
            <v>837859947</v>
          </cell>
          <cell r="AR239">
            <v>0</v>
          </cell>
        </row>
        <row r="239">
          <cell r="AV239">
            <v>837859947</v>
          </cell>
          <cell r="AW239">
            <v>0</v>
          </cell>
        </row>
        <row r="239">
          <cell r="BA239">
            <v>837859947</v>
          </cell>
          <cell r="BB239">
            <v>0</v>
          </cell>
        </row>
        <row r="239">
          <cell r="BF239">
            <v>837859947</v>
          </cell>
          <cell r="BG239">
            <v>0</v>
          </cell>
        </row>
        <row r="239">
          <cell r="BK239">
            <v>837859947</v>
          </cell>
          <cell r="BL239">
            <v>0</v>
          </cell>
        </row>
        <row r="239">
          <cell r="BP239">
            <v>0</v>
          </cell>
          <cell r="BQ239">
            <v>0</v>
          </cell>
        </row>
        <row r="239">
          <cell r="BU239">
            <v>0</v>
          </cell>
          <cell r="BV239">
            <v>5167335</v>
          </cell>
        </row>
        <row r="241">
          <cell r="H241">
            <v>19007908</v>
          </cell>
        </row>
        <row r="241">
          <cell r="M241">
            <v>9439326</v>
          </cell>
        </row>
        <row r="241">
          <cell r="R241">
            <v>9439326</v>
          </cell>
        </row>
        <row r="241">
          <cell r="W241">
            <v>9439326</v>
          </cell>
        </row>
        <row r="241">
          <cell r="AB241">
            <v>9439326</v>
          </cell>
        </row>
        <row r="241">
          <cell r="AG241">
            <v>18955620</v>
          </cell>
        </row>
        <row r="241">
          <cell r="AL241">
            <v>9439326</v>
          </cell>
        </row>
        <row r="241">
          <cell r="AQ241">
            <v>9439326</v>
          </cell>
        </row>
        <row r="241">
          <cell r="AV241">
            <v>9439326</v>
          </cell>
        </row>
        <row r="241">
          <cell r="BA241">
            <v>9439326</v>
          </cell>
        </row>
        <row r="241">
          <cell r="BF241">
            <v>9439326</v>
          </cell>
        </row>
        <row r="241">
          <cell r="BK241">
            <v>9439326</v>
          </cell>
        </row>
        <row r="241">
          <cell r="BP241">
            <v>0</v>
          </cell>
        </row>
        <row r="241">
          <cell r="BU241">
            <v>0</v>
          </cell>
        </row>
        <row r="243">
          <cell r="BP243">
            <v>-26582839.884</v>
          </cell>
        </row>
        <row r="245">
          <cell r="H245">
            <v>10757496.1063679</v>
          </cell>
        </row>
        <row r="245">
          <cell r="M245">
            <v>3747040.16345582</v>
          </cell>
        </row>
        <row r="245">
          <cell r="R245">
            <v>3670683.5560555</v>
          </cell>
        </row>
        <row r="245">
          <cell r="W245">
            <v>4941251.3235725</v>
          </cell>
        </row>
        <row r="245">
          <cell r="AB245">
            <v>6949571.56286965</v>
          </cell>
        </row>
        <row r="245">
          <cell r="AG245">
            <v>8361574.87406193</v>
          </cell>
        </row>
        <row r="245">
          <cell r="AL245">
            <v>6438142.43357562</v>
          </cell>
        </row>
        <row r="245">
          <cell r="AQ245">
            <v>3446922.66132182</v>
          </cell>
        </row>
        <row r="245">
          <cell r="AV245">
            <v>6523480.2726344</v>
          </cell>
        </row>
        <row r="245">
          <cell r="BA245">
            <v>8145593.18909574</v>
          </cell>
        </row>
        <row r="245">
          <cell r="BF245">
            <v>11042024.315405</v>
          </cell>
        </row>
        <row r="245">
          <cell r="BK245">
            <v>15183354.327012</v>
          </cell>
        </row>
        <row r="245">
          <cell r="BP245">
            <v>131468473.56355</v>
          </cell>
        </row>
        <row r="245">
          <cell r="BU245">
            <v>0</v>
          </cell>
        </row>
        <row r="246">
          <cell r="H246">
            <v>129608.272</v>
          </cell>
        </row>
        <row r="246">
          <cell r="M246">
            <v>129392.698</v>
          </cell>
        </row>
        <row r="246">
          <cell r="R246">
            <v>147246.466</v>
          </cell>
        </row>
        <row r="246">
          <cell r="W246">
            <v>129178.302</v>
          </cell>
        </row>
        <row r="246">
          <cell r="AB246">
            <v>128931.2165</v>
          </cell>
        </row>
        <row r="246">
          <cell r="AG246">
            <v>128868.1935</v>
          </cell>
        </row>
        <row r="246">
          <cell r="AL246">
            <v>128823.724</v>
          </cell>
        </row>
        <row r="246">
          <cell r="AQ246">
            <v>128823.724</v>
          </cell>
        </row>
        <row r="246">
          <cell r="AV246">
            <v>128698.267</v>
          </cell>
        </row>
        <row r="246">
          <cell r="BA246">
            <v>127614.8015</v>
          </cell>
        </row>
        <row r="246">
          <cell r="BF246">
            <v>128416.725</v>
          </cell>
        </row>
        <row r="246">
          <cell r="BK246">
            <v>475060.306</v>
          </cell>
        </row>
        <row r="246">
          <cell r="BP246">
            <v>0</v>
          </cell>
        </row>
        <row r="246">
          <cell r="BU246">
            <v>0</v>
          </cell>
        </row>
      </sheetData>
      <sheetData sheetId="1"/>
      <sheetData sheetId="2"/>
      <sheetData sheetId="3">
        <row r="39">
          <cell r="F39">
            <v>881402032.250484</v>
          </cell>
        </row>
        <row r="39">
          <cell r="H39">
            <v>860568257.143</v>
          </cell>
        </row>
        <row r="39">
          <cell r="J39">
            <v>812635923.12</v>
          </cell>
        </row>
        <row r="39">
          <cell r="L39">
            <v>479271350.55</v>
          </cell>
        </row>
        <row r="39">
          <cell r="N39">
            <v>652933284.265</v>
          </cell>
        </row>
        <row r="39">
          <cell r="P39">
            <v>660125524.608</v>
          </cell>
        </row>
        <row r="39">
          <cell r="R39">
            <v>691015610.931</v>
          </cell>
        </row>
        <row r="39">
          <cell r="T39">
            <v>813360674.784</v>
          </cell>
        </row>
        <row r="39">
          <cell r="V39">
            <v>711391228.120999</v>
          </cell>
        </row>
        <row r="39">
          <cell r="X39">
            <v>782916338.904</v>
          </cell>
        </row>
        <row r="39">
          <cell r="Z39">
            <v>967526106.668</v>
          </cell>
        </row>
        <row r="39">
          <cell r="AB39">
            <v>939694793.87015</v>
          </cell>
        </row>
        <row r="39">
          <cell r="AD39">
            <v>20270498</v>
          </cell>
        </row>
        <row r="43">
          <cell r="F43">
            <v>0</v>
          </cell>
        </row>
        <row r="43">
          <cell r="H43">
            <v>0</v>
          </cell>
        </row>
        <row r="43">
          <cell r="J43">
            <v>0</v>
          </cell>
        </row>
        <row r="43">
          <cell r="L43">
            <v>117027.160332327</v>
          </cell>
        </row>
        <row r="43">
          <cell r="N43">
            <v>308263.876344087</v>
          </cell>
        </row>
        <row r="43">
          <cell r="P43">
            <v>870986.693548387</v>
          </cell>
        </row>
        <row r="43">
          <cell r="R43">
            <v>674874.972222221</v>
          </cell>
        </row>
        <row r="43">
          <cell r="T43">
            <v>298154.967741935</v>
          </cell>
        </row>
        <row r="43">
          <cell r="V43">
            <v>-73728</v>
          </cell>
        </row>
        <row r="43">
          <cell r="X43">
            <v>-58894</v>
          </cell>
        </row>
        <row r="43">
          <cell r="Z43">
            <v>-71681</v>
          </cell>
        </row>
        <row r="43">
          <cell r="AB43">
            <v>0</v>
          </cell>
        </row>
        <row r="43">
          <cell r="AD43">
            <v>15718</v>
          </cell>
        </row>
        <row r="47">
          <cell r="F47">
            <v>43913263.1182102</v>
          </cell>
        </row>
        <row r="47">
          <cell r="H47">
            <v>24688052.6588889</v>
          </cell>
        </row>
        <row r="47">
          <cell r="J47">
            <v>29591051.4670968</v>
          </cell>
        </row>
        <row r="47">
          <cell r="L47">
            <v>16528262.1533333</v>
          </cell>
        </row>
        <row r="47">
          <cell r="N47">
            <v>0</v>
          </cell>
        </row>
        <row r="47">
          <cell r="P47">
            <v>9473840.07000001</v>
          </cell>
        </row>
        <row r="47">
          <cell r="R47">
            <v>3946856.79722227</v>
          </cell>
        </row>
        <row r="47">
          <cell r="T47">
            <v>3510728.31669634</v>
          </cell>
        </row>
        <row r="47">
          <cell r="V47">
            <v>0</v>
          </cell>
        </row>
        <row r="47">
          <cell r="X47">
            <v>0</v>
          </cell>
        </row>
        <row r="47">
          <cell r="Z47">
            <v>0</v>
          </cell>
        </row>
        <row r="47">
          <cell r="AB47">
            <v>0</v>
          </cell>
        </row>
        <row r="47">
          <cell r="AD47">
            <v>0</v>
          </cell>
        </row>
        <row r="52">
          <cell r="F52">
            <v>124599972.15</v>
          </cell>
        </row>
        <row r="52">
          <cell r="H52">
            <v>0</v>
          </cell>
        </row>
        <row r="52">
          <cell r="J52">
            <v>-451789.035000004</v>
          </cell>
        </row>
        <row r="52">
          <cell r="L52">
            <v>-464898.531</v>
          </cell>
        </row>
        <row r="52">
          <cell r="N52">
            <v>-495465.976999999</v>
          </cell>
        </row>
        <row r="52">
          <cell r="P52">
            <v>-526572.824999998</v>
          </cell>
        </row>
        <row r="52">
          <cell r="R52">
            <v>-547175.460000001</v>
          </cell>
        </row>
        <row r="52">
          <cell r="T52">
            <v>22516918.3226801</v>
          </cell>
        </row>
        <row r="52">
          <cell r="V52">
            <v>90037749.9349599</v>
          </cell>
        </row>
        <row r="52">
          <cell r="X52">
            <v>71280089.8893601</v>
          </cell>
        </row>
        <row r="52">
          <cell r="Z52">
            <v>87229747.84312</v>
          </cell>
        </row>
        <row r="52">
          <cell r="AB52">
            <v>70185800.9096799</v>
          </cell>
        </row>
        <row r="52">
          <cell r="AD52">
            <v>32014269.9549</v>
          </cell>
        </row>
        <row r="55">
          <cell r="F55">
            <v>0</v>
          </cell>
        </row>
        <row r="55">
          <cell r="H55">
            <v>0</v>
          </cell>
        </row>
        <row r="55">
          <cell r="AD55">
            <v>-2228549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Checklist"/>
      <sheetName val="F1"/>
      <sheetName val="F2"/>
      <sheetName val="F3"/>
      <sheetName val="F4"/>
      <sheetName val="F4A"/>
      <sheetName val="F4B"/>
      <sheetName val="F5"/>
      <sheetName val="F6"/>
      <sheetName val="F7"/>
      <sheetName val="F8"/>
      <sheetName val="F9-Year(n-1)"/>
      <sheetName val="F9-Year(n)"/>
      <sheetName val="F9-Year(n+1)"/>
      <sheetName val="F9-Year(n+2)"/>
      <sheetName val="F9-Year(n+3)"/>
      <sheetName val="F9-Year(n+4)"/>
      <sheetName val="F9-Year(n+5)"/>
      <sheetName val="F10"/>
      <sheetName val="F11-Year(n-1)"/>
      <sheetName val="F11-Year(n)"/>
      <sheetName val="F11-Year(n+1)"/>
      <sheetName val="F11-Year(n+2)"/>
      <sheetName val="F11-Year(n+3)"/>
      <sheetName val="F11-Year(n+4)"/>
      <sheetName val="F11-Year(n+5)"/>
      <sheetName val="F12"/>
      <sheetName val="F13-Year(n-1)"/>
      <sheetName val="F13-Year(n)"/>
      <sheetName val="F13-Year(n+1)"/>
      <sheetName val="F13-Year(n+2)"/>
      <sheetName val="F13-Year(n+3)"/>
      <sheetName val="F13-Year(n+4)"/>
      <sheetName val="F13-Year(n+5)"/>
      <sheetName val="F14"/>
      <sheetName val="F15"/>
      <sheetName val="F15.1"/>
      <sheetName val="F15.2"/>
      <sheetName val="F15.3"/>
      <sheetName val="F16"/>
      <sheetName val="F16.1"/>
      <sheetName val="F16.2"/>
      <sheetName val="F17"/>
      <sheetName val="F18"/>
      <sheetName val="F19"/>
      <sheetName val="F20"/>
      <sheetName val="F21"/>
      <sheetName val="F22"/>
      <sheetName val="F23"/>
      <sheetName val="F24"/>
      <sheetName val="F24.1"/>
      <sheetName val="F24.2"/>
      <sheetName val="F24.3"/>
      <sheetName val="F24.4"/>
      <sheetName val="F24.5"/>
      <sheetName val="F24.6"/>
      <sheetName val="F24.7"/>
      <sheetName val="F24.8"/>
      <sheetName val="F25"/>
      <sheetName val="F26-Year(n-1)"/>
      <sheetName val="F26-Year(n)"/>
      <sheetName val="F26-Year(n+1)(Current Tariff)"/>
      <sheetName val="F26-Year(n+1)(Proposed Tarif)"/>
      <sheetName val="F27"/>
      <sheetName val="F28"/>
      <sheetName val="F29"/>
    </sheetNames>
    <sheetDataSet>
      <sheetData sheetId="0"/>
      <sheetData sheetId="1"/>
      <sheetData sheetId="2">
        <row r="33">
          <cell r="L33">
            <v>3603.8583151204</v>
          </cell>
          <cell r="M33">
            <v>3822.63081154491</v>
          </cell>
        </row>
        <row r="34">
          <cell r="L34">
            <v>784.294067752994</v>
          </cell>
          <cell r="M34">
            <v>830.806900106362</v>
          </cell>
        </row>
        <row r="35">
          <cell r="L35">
            <v>429.086851789245</v>
          </cell>
          <cell r="M35">
            <v>452.831902370144</v>
          </cell>
        </row>
        <row r="36">
          <cell r="L36">
            <v>124.872597135151</v>
          </cell>
          <cell r="M36">
            <v>135</v>
          </cell>
        </row>
        <row r="37">
          <cell r="L37">
            <v>170.215720855173</v>
          </cell>
          <cell r="M37">
            <v>306.894726311852</v>
          </cell>
        </row>
        <row r="39">
          <cell r="L39">
            <v>1.21</v>
          </cell>
          <cell r="M39">
            <v>1.19</v>
          </cell>
        </row>
        <row r="40">
          <cell r="L40">
            <v>130.8048</v>
          </cell>
          <cell r="M40">
            <v>133.420896</v>
          </cell>
        </row>
        <row r="41">
          <cell r="L41">
            <v>0</v>
          </cell>
          <cell r="M41">
            <v>0</v>
          </cell>
        </row>
        <row r="55">
          <cell r="L55">
            <v>400.428701680045</v>
          </cell>
          <cell r="M55">
            <v>424.736756838323</v>
          </cell>
        </row>
        <row r="56">
          <cell r="L56">
            <v>87.1437853058882</v>
          </cell>
          <cell r="M56">
            <v>92.3118777895958</v>
          </cell>
        </row>
        <row r="57">
          <cell r="L57">
            <v>47.6763168654716</v>
          </cell>
          <cell r="M57">
            <v>50.3146558189048</v>
          </cell>
        </row>
        <row r="58">
          <cell r="L58">
            <v>0</v>
          </cell>
          <cell r="M58">
            <v>0</v>
          </cell>
        </row>
        <row r="60">
          <cell r="L60">
            <v>18.912857872797</v>
          </cell>
          <cell r="M60">
            <v>34.0994140346503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2023-24"/>
      <sheetName val="Intra &amp; Inter State 23-24"/>
      <sheetName val="STOA 23-24"/>
      <sheetName val="NCEs NP 23-24"/>
      <sheetName val="NCEs SP 23-24"/>
      <sheetName val="Sheet5"/>
      <sheetName val="For FSA "/>
      <sheetName val="Sheet6"/>
      <sheetName val="Sheet1"/>
      <sheetName val="Sheet2"/>
      <sheetName val="Sheet3"/>
      <sheetName val="Month wise stn wise"/>
      <sheetName val="Month wise stn wise (2)"/>
    </sheetNames>
    <sheetDataSet>
      <sheetData sheetId="0">
        <row r="103">
          <cell r="H103">
            <v>0</v>
          </cell>
          <cell r="I103">
            <v>234975650.19</v>
          </cell>
          <cell r="J103">
            <v>0</v>
          </cell>
        </row>
        <row r="103">
          <cell r="N103">
            <v>0</v>
          </cell>
          <cell r="O103">
            <v>211461603.28</v>
          </cell>
          <cell r="P103">
            <v>0</v>
          </cell>
        </row>
        <row r="103">
          <cell r="T103">
            <v>0</v>
          </cell>
          <cell r="U103">
            <v>203376744.7165</v>
          </cell>
          <cell r="V103">
            <v>0</v>
          </cell>
        </row>
        <row r="103">
          <cell r="Z103">
            <v>0</v>
          </cell>
          <cell r="AA103">
            <v>222520679.1125</v>
          </cell>
          <cell r="AB103">
            <v>0</v>
          </cell>
        </row>
        <row r="103">
          <cell r="AF103">
            <v>0</v>
          </cell>
          <cell r="AG103">
            <v>241033416.7685</v>
          </cell>
          <cell r="AH103">
            <v>0</v>
          </cell>
        </row>
        <row r="103">
          <cell r="AL103">
            <v>0</v>
          </cell>
          <cell r="AM103">
            <v>232574588.8815</v>
          </cell>
          <cell r="AN103">
            <v>0</v>
          </cell>
        </row>
        <row r="103">
          <cell r="AR103">
            <v>0</v>
          </cell>
          <cell r="AS103">
            <v>195702997.935</v>
          </cell>
          <cell r="AT103">
            <v>0</v>
          </cell>
        </row>
        <row r="103">
          <cell r="AX103">
            <v>0</v>
          </cell>
          <cell r="AY103">
            <v>215232077.48</v>
          </cell>
          <cell r="AZ103">
            <v>0</v>
          </cell>
        </row>
        <row r="103">
          <cell r="BD103">
            <v>0</v>
          </cell>
          <cell r="BE103">
            <v>239939827.568</v>
          </cell>
          <cell r="BF103">
            <v>0</v>
          </cell>
        </row>
        <row r="103">
          <cell r="BJ103">
            <v>0</v>
          </cell>
          <cell r="BK103">
            <v>221850029.4015</v>
          </cell>
          <cell r="BL103">
            <v>0</v>
          </cell>
        </row>
        <row r="103">
          <cell r="BP103">
            <v>0</v>
          </cell>
          <cell r="BQ103">
            <v>232580426.894</v>
          </cell>
          <cell r="BR103">
            <v>0</v>
          </cell>
        </row>
        <row r="103">
          <cell r="BV103">
            <v>0</v>
          </cell>
          <cell r="BW103">
            <v>241299303.492</v>
          </cell>
          <cell r="BX103">
            <v>0</v>
          </cell>
        </row>
        <row r="103">
          <cell r="CC103">
            <v>6629203.2355</v>
          </cell>
        </row>
        <row r="104">
          <cell r="H104">
            <v>0</v>
          </cell>
          <cell r="I104">
            <v>12122852.7195</v>
          </cell>
          <cell r="J104">
            <v>0</v>
          </cell>
        </row>
        <row r="104">
          <cell r="N104">
            <v>0</v>
          </cell>
          <cell r="O104">
            <v>12447578.8485</v>
          </cell>
          <cell r="P104">
            <v>0</v>
          </cell>
        </row>
        <row r="104">
          <cell r="T104">
            <v>0</v>
          </cell>
          <cell r="U104">
            <v>11142927.3295</v>
          </cell>
          <cell r="V104">
            <v>0</v>
          </cell>
        </row>
        <row r="104">
          <cell r="Z104">
            <v>0</v>
          </cell>
          <cell r="AA104">
            <v>0</v>
          </cell>
          <cell r="AB104">
            <v>0</v>
          </cell>
        </row>
        <row r="104">
          <cell r="AF104">
            <v>0</v>
          </cell>
          <cell r="AG104">
            <v>0</v>
          </cell>
          <cell r="AH104">
            <v>0</v>
          </cell>
        </row>
        <row r="104">
          <cell r="AL104">
            <v>0</v>
          </cell>
          <cell r="AM104">
            <v>6084106.421</v>
          </cell>
          <cell r="AN104">
            <v>0</v>
          </cell>
        </row>
        <row r="104">
          <cell r="AR104">
            <v>0</v>
          </cell>
          <cell r="AS104">
            <v>10675690.2005</v>
          </cell>
          <cell r="AT104">
            <v>0</v>
          </cell>
        </row>
        <row r="104">
          <cell r="AX104">
            <v>0</v>
          </cell>
          <cell r="AY104">
            <v>12012786.959</v>
          </cell>
          <cell r="AZ104">
            <v>0</v>
          </cell>
        </row>
        <row r="104">
          <cell r="BD104">
            <v>0</v>
          </cell>
          <cell r="BE104">
            <v>13072457.1305</v>
          </cell>
          <cell r="BF104">
            <v>0</v>
          </cell>
        </row>
        <row r="104">
          <cell r="BJ104">
            <v>0</v>
          </cell>
          <cell r="BK104">
            <v>12528597.0575</v>
          </cell>
          <cell r="BL104">
            <v>0</v>
          </cell>
        </row>
        <row r="104">
          <cell r="BP104">
            <v>0</v>
          </cell>
          <cell r="BQ104">
            <v>11290546.1495</v>
          </cell>
          <cell r="BR104">
            <v>0</v>
          </cell>
        </row>
        <row r="104">
          <cell r="BV104">
            <v>0</v>
          </cell>
          <cell r="BW104">
            <v>12491878.6045</v>
          </cell>
          <cell r="BX104">
            <v>0</v>
          </cell>
        </row>
        <row r="105">
          <cell r="H105">
            <v>0</v>
          </cell>
          <cell r="I105">
            <v>84428858.446</v>
          </cell>
          <cell r="J105">
            <v>0</v>
          </cell>
        </row>
        <row r="105">
          <cell r="N105">
            <v>0</v>
          </cell>
          <cell r="O105">
            <v>23870962.182</v>
          </cell>
          <cell r="P105">
            <v>0</v>
          </cell>
        </row>
        <row r="105">
          <cell r="T105">
            <v>0</v>
          </cell>
          <cell r="U105">
            <v>8693139.2525</v>
          </cell>
          <cell r="V105">
            <v>0</v>
          </cell>
        </row>
        <row r="105">
          <cell r="Z105">
            <v>0</v>
          </cell>
          <cell r="AA105">
            <v>31156841.9955</v>
          </cell>
          <cell r="AB105">
            <v>7259108.205</v>
          </cell>
        </row>
        <row r="105">
          <cell r="AF105">
            <v>0</v>
          </cell>
          <cell r="AG105">
            <v>112127685.1365</v>
          </cell>
          <cell r="AH105">
            <v>0</v>
          </cell>
        </row>
        <row r="105">
          <cell r="AL105">
            <v>0</v>
          </cell>
          <cell r="AM105">
            <v>110259155.6875</v>
          </cell>
          <cell r="AN105">
            <v>0</v>
          </cell>
        </row>
        <row r="105">
          <cell r="AR105">
            <v>0</v>
          </cell>
          <cell r="AS105">
            <v>115417809.079</v>
          </cell>
          <cell r="AT105">
            <v>0</v>
          </cell>
        </row>
        <row r="105">
          <cell r="AX105">
            <v>0</v>
          </cell>
          <cell r="AY105">
            <v>113464505.339</v>
          </cell>
          <cell r="AZ105">
            <v>0</v>
          </cell>
        </row>
        <row r="105">
          <cell r="BD105">
            <v>0</v>
          </cell>
          <cell r="BE105">
            <v>87859654.15</v>
          </cell>
          <cell r="BF105">
            <v>0</v>
          </cell>
        </row>
        <row r="105">
          <cell r="BJ105">
            <v>0</v>
          </cell>
          <cell r="BK105">
            <v>114219408.682</v>
          </cell>
          <cell r="BL105">
            <v>0</v>
          </cell>
        </row>
        <row r="105">
          <cell r="BP105">
            <v>0</v>
          </cell>
          <cell r="BQ105">
            <v>96745591.0315</v>
          </cell>
          <cell r="BR105">
            <v>0</v>
          </cell>
        </row>
        <row r="105">
          <cell r="BV105">
            <v>0</v>
          </cell>
          <cell r="BW105">
            <v>104606190.899</v>
          </cell>
          <cell r="BX105">
            <v>0</v>
          </cell>
        </row>
        <row r="106">
          <cell r="H106">
            <v>1454804.19996815</v>
          </cell>
          <cell r="I106">
            <v>5530434.9595</v>
          </cell>
          <cell r="J106">
            <v>0</v>
          </cell>
        </row>
        <row r="106">
          <cell r="N106">
            <v>1187174.41013951</v>
          </cell>
          <cell r="O106">
            <v>3991138.3735</v>
          </cell>
          <cell r="P106">
            <v>201853916.617</v>
          </cell>
        </row>
        <row r="106">
          <cell r="T106">
            <v>1353963.8525</v>
          </cell>
          <cell r="U106">
            <v>5588636.6459125</v>
          </cell>
          <cell r="V106">
            <v>0</v>
          </cell>
        </row>
        <row r="106">
          <cell r="Z106">
            <v>874852.123762672</v>
          </cell>
          <cell r="AA106">
            <v>4453603.5005</v>
          </cell>
          <cell r="AB106">
            <v>173811892.421981</v>
          </cell>
        </row>
        <row r="106">
          <cell r="AF106">
            <v>700522.608607</v>
          </cell>
          <cell r="AG106">
            <v>4391637.319</v>
          </cell>
          <cell r="AH106">
            <v>0</v>
          </cell>
        </row>
        <row r="106">
          <cell r="AL106">
            <v>813558.613</v>
          </cell>
          <cell r="AM106">
            <v>9354352.901</v>
          </cell>
          <cell r="AN106">
            <v>0</v>
          </cell>
        </row>
        <row r="106">
          <cell r="AR106">
            <v>838260.146845719</v>
          </cell>
          <cell r="AS106">
            <v>7769672.843272</v>
          </cell>
          <cell r="AT106">
            <v>0</v>
          </cell>
        </row>
        <row r="106">
          <cell r="AX106">
            <v>948734.227545999</v>
          </cell>
          <cell r="AY106">
            <v>3747682.606255</v>
          </cell>
          <cell r="AZ106">
            <v>0</v>
          </cell>
        </row>
        <row r="106">
          <cell r="BD106">
            <v>1044378.459</v>
          </cell>
          <cell r="BE106">
            <v>51254086.435606</v>
          </cell>
          <cell r="BF106">
            <v>0</v>
          </cell>
        </row>
        <row r="106">
          <cell r="BJ106">
            <v>1096094.431</v>
          </cell>
          <cell r="BK106">
            <v>7509824.560589</v>
          </cell>
          <cell r="BL106">
            <v>0</v>
          </cell>
        </row>
        <row r="106">
          <cell r="BP106">
            <v>1129323.433026</v>
          </cell>
          <cell r="BQ106">
            <v>6446032.048175</v>
          </cell>
          <cell r="BR106">
            <v>0</v>
          </cell>
        </row>
        <row r="106">
          <cell r="BV106">
            <v>1575620.47303663</v>
          </cell>
          <cell r="BW106">
            <v>7362739.008285</v>
          </cell>
          <cell r="BX106">
            <v>0</v>
          </cell>
        </row>
        <row r="107">
          <cell r="H107">
            <v>1567080.587</v>
          </cell>
          <cell r="I107">
            <v>5501725.3425</v>
          </cell>
          <cell r="J107">
            <v>0</v>
          </cell>
        </row>
        <row r="107">
          <cell r="N107">
            <v>747983.088739375</v>
          </cell>
          <cell r="O107">
            <v>1957457.724</v>
          </cell>
          <cell r="P107">
            <v>0</v>
          </cell>
        </row>
        <row r="107">
          <cell r="T107">
            <v>201501.129920774</v>
          </cell>
          <cell r="U107">
            <v>2841072.487</v>
          </cell>
          <cell r="V107">
            <v>0</v>
          </cell>
        </row>
        <row r="107">
          <cell r="Z107">
            <v>892060.240005</v>
          </cell>
          <cell r="AA107">
            <v>4847288.727</v>
          </cell>
          <cell r="AB107">
            <v>257163352.233988</v>
          </cell>
        </row>
        <row r="107">
          <cell r="AF107">
            <v>1078689.746</v>
          </cell>
          <cell r="AG107">
            <v>5948419.7225</v>
          </cell>
          <cell r="AH107">
            <v>0</v>
          </cell>
        </row>
        <row r="107">
          <cell r="AL107">
            <v>857945.1455</v>
          </cell>
          <cell r="AM107">
            <v>8721594.120505</v>
          </cell>
          <cell r="AN107">
            <v>0</v>
          </cell>
        </row>
        <row r="107">
          <cell r="AR107">
            <v>1236336.98651117</v>
          </cell>
          <cell r="AS107">
            <v>8094435.0205</v>
          </cell>
          <cell r="AT107">
            <v>0</v>
          </cell>
        </row>
        <row r="107">
          <cell r="AX107">
            <v>1040967.07019</v>
          </cell>
          <cell r="AY107">
            <v>1215463.3187515</v>
          </cell>
          <cell r="AZ107">
            <v>0</v>
          </cell>
        </row>
        <row r="107">
          <cell r="BD107">
            <v>943569.9555525</v>
          </cell>
          <cell r="BE107">
            <v>3215479.680486</v>
          </cell>
          <cell r="BF107">
            <v>0</v>
          </cell>
        </row>
        <row r="107">
          <cell r="BJ107">
            <v>1481343.20995137</v>
          </cell>
          <cell r="BK107">
            <v>6560344.834015</v>
          </cell>
          <cell r="BL107">
            <v>0</v>
          </cell>
        </row>
        <row r="107">
          <cell r="BP107">
            <v>1628484.06837463</v>
          </cell>
          <cell r="BQ107">
            <v>5644682.028015</v>
          </cell>
          <cell r="BR107">
            <v>0</v>
          </cell>
        </row>
        <row r="107">
          <cell r="BV107">
            <v>1984188.4135</v>
          </cell>
          <cell r="BW107">
            <v>7228266.672825</v>
          </cell>
          <cell r="BX107">
            <v>0</v>
          </cell>
        </row>
        <row r="108">
          <cell r="H108">
            <v>47714131.0239438</v>
          </cell>
          <cell r="I108">
            <v>73438812.261</v>
          </cell>
          <cell r="J108">
            <v>0</v>
          </cell>
        </row>
        <row r="108">
          <cell r="N108">
            <v>45426165.7060325</v>
          </cell>
          <cell r="O108">
            <v>60734099.7322575</v>
          </cell>
          <cell r="P108">
            <v>0</v>
          </cell>
        </row>
        <row r="108">
          <cell r="T108">
            <v>48868327.0202749</v>
          </cell>
          <cell r="U108">
            <v>70987696.433</v>
          </cell>
          <cell r="V108">
            <v>0</v>
          </cell>
        </row>
        <row r="108">
          <cell r="Z108">
            <v>46420466.2417458</v>
          </cell>
          <cell r="AA108">
            <v>71111221.9376775</v>
          </cell>
          <cell r="AB108">
            <v>186205018.399568</v>
          </cell>
        </row>
        <row r="108">
          <cell r="AF108">
            <v>38160752.3726106</v>
          </cell>
          <cell r="AG108">
            <v>47769692.1385</v>
          </cell>
          <cell r="AH108">
            <v>0</v>
          </cell>
        </row>
        <row r="108">
          <cell r="AL108">
            <v>28854904.848</v>
          </cell>
          <cell r="AM108">
            <v>41230165.7135</v>
          </cell>
          <cell r="AN108">
            <v>0</v>
          </cell>
        </row>
        <row r="108">
          <cell r="AR108">
            <v>43874913.777</v>
          </cell>
          <cell r="AS108">
            <v>66052446.6715</v>
          </cell>
          <cell r="AT108">
            <v>0</v>
          </cell>
        </row>
        <row r="108">
          <cell r="AX108">
            <v>48626250.9765</v>
          </cell>
          <cell r="AY108">
            <v>65652434.521</v>
          </cell>
          <cell r="AZ108">
            <v>0</v>
          </cell>
        </row>
        <row r="108">
          <cell r="BD108">
            <v>55256091.2785</v>
          </cell>
          <cell r="BE108">
            <v>75553697.433584</v>
          </cell>
          <cell r="BF108">
            <v>0</v>
          </cell>
        </row>
        <row r="108">
          <cell r="BJ108">
            <v>56169990.7688406</v>
          </cell>
          <cell r="BK108">
            <v>78634738.6285</v>
          </cell>
          <cell r="BL108">
            <v>0</v>
          </cell>
        </row>
        <row r="108">
          <cell r="BP108">
            <v>44029929.5175576</v>
          </cell>
          <cell r="BQ108">
            <v>53625731.230216</v>
          </cell>
          <cell r="BR108">
            <v>0</v>
          </cell>
        </row>
        <row r="108">
          <cell r="BV108">
            <v>48007625.04715</v>
          </cell>
          <cell r="BW108">
            <v>79661985.2899</v>
          </cell>
          <cell r="BX108">
            <v>0</v>
          </cell>
        </row>
        <row r="109">
          <cell r="H109">
            <v>1970568.0305</v>
          </cell>
          <cell r="I109">
            <v>7228309.258216</v>
          </cell>
          <cell r="J109">
            <v>0</v>
          </cell>
        </row>
        <row r="109">
          <cell r="N109">
            <v>1990749.41037496</v>
          </cell>
          <cell r="O109">
            <v>5222586.773679</v>
          </cell>
          <cell r="P109">
            <v>0</v>
          </cell>
        </row>
        <row r="109">
          <cell r="T109">
            <v>1645194.457095</v>
          </cell>
          <cell r="U109">
            <v>4658710.6935</v>
          </cell>
          <cell r="V109">
            <v>0</v>
          </cell>
        </row>
        <row r="109">
          <cell r="Z109">
            <v>2906502.43124993</v>
          </cell>
          <cell r="AA109">
            <v>10362413.837006</v>
          </cell>
          <cell r="AB109">
            <v>5479533.46496605</v>
          </cell>
        </row>
        <row r="109">
          <cell r="AF109">
            <v>2076952.81653</v>
          </cell>
          <cell r="AG109">
            <v>6714664.494426</v>
          </cell>
          <cell r="AH109">
            <v>0</v>
          </cell>
        </row>
        <row r="109">
          <cell r="AL109">
            <v>1998167.83900921</v>
          </cell>
          <cell r="AM109">
            <v>10515006.148395</v>
          </cell>
          <cell r="AN109">
            <v>0</v>
          </cell>
        </row>
        <row r="109">
          <cell r="AR109">
            <v>1276800.89181205</v>
          </cell>
          <cell r="AS109">
            <v>7228773.082136</v>
          </cell>
          <cell r="AT109">
            <v>0</v>
          </cell>
        </row>
        <row r="109">
          <cell r="AX109">
            <v>2074530.5105</v>
          </cell>
          <cell r="AY109">
            <v>3740375.802017</v>
          </cell>
          <cell r="AZ109">
            <v>0</v>
          </cell>
        </row>
        <row r="109">
          <cell r="BD109">
            <v>1512557.911651</v>
          </cell>
          <cell r="BE109">
            <v>4198656.073748</v>
          </cell>
          <cell r="BF109">
            <v>0</v>
          </cell>
        </row>
        <row r="109">
          <cell r="BJ109">
            <v>3177281.78552</v>
          </cell>
          <cell r="BK109">
            <v>9614538.440903</v>
          </cell>
          <cell r="BL109">
            <v>0</v>
          </cell>
        </row>
        <row r="109">
          <cell r="BP109">
            <v>2353964.822099</v>
          </cell>
          <cell r="BQ109">
            <v>7239722.476</v>
          </cell>
          <cell r="BR109">
            <v>0</v>
          </cell>
        </row>
        <row r="109">
          <cell r="BV109">
            <v>2395462.6714445</v>
          </cell>
          <cell r="BW109">
            <v>7496249.6237825</v>
          </cell>
          <cell r="BX109">
            <v>0</v>
          </cell>
        </row>
        <row r="110">
          <cell r="H110">
            <v>4043625.24694206</v>
          </cell>
          <cell r="I110">
            <v>5866508.375898</v>
          </cell>
          <cell r="J110">
            <v>0</v>
          </cell>
        </row>
        <row r="110">
          <cell r="N110">
            <v>2852929.647714</v>
          </cell>
          <cell r="O110">
            <v>3771332.088</v>
          </cell>
          <cell r="P110">
            <v>0</v>
          </cell>
        </row>
        <row r="110">
          <cell r="T110">
            <v>2943067.73669</v>
          </cell>
          <cell r="U110">
            <v>4351222.83616</v>
          </cell>
          <cell r="V110">
            <v>0</v>
          </cell>
        </row>
        <row r="110">
          <cell r="Z110">
            <v>4243804.5914</v>
          </cell>
          <cell r="AA110">
            <v>6652511.5445</v>
          </cell>
          <cell r="AB110">
            <v>2270525.49253208</v>
          </cell>
        </row>
        <row r="110">
          <cell r="AF110">
            <v>2073562.5645</v>
          </cell>
          <cell r="AG110">
            <v>2830002.75459</v>
          </cell>
          <cell r="AH110">
            <v>0</v>
          </cell>
        </row>
        <row r="110">
          <cell r="AL110">
            <v>4139369.0033058</v>
          </cell>
          <cell r="AM110">
            <v>6005153.53503</v>
          </cell>
          <cell r="AN110">
            <v>0</v>
          </cell>
        </row>
        <row r="110">
          <cell r="AR110">
            <v>3088878.64744935</v>
          </cell>
          <cell r="AS110">
            <v>4593638.884068</v>
          </cell>
          <cell r="AT110">
            <v>0</v>
          </cell>
        </row>
        <row r="110">
          <cell r="AX110">
            <v>3879237.31119</v>
          </cell>
          <cell r="AY110">
            <v>5094585.3343095</v>
          </cell>
          <cell r="AZ110">
            <v>0</v>
          </cell>
        </row>
        <row r="110">
          <cell r="BD110">
            <v>2268471.403661</v>
          </cell>
          <cell r="BE110">
            <v>3168466.9051875</v>
          </cell>
          <cell r="BF110">
            <v>0</v>
          </cell>
        </row>
        <row r="110">
          <cell r="BJ110">
            <v>2964604.8315</v>
          </cell>
          <cell r="BK110">
            <v>4272999.7335</v>
          </cell>
          <cell r="BL110">
            <v>0</v>
          </cell>
        </row>
        <row r="110">
          <cell r="BP110">
            <v>2126665.06743295</v>
          </cell>
          <cell r="BQ110">
            <v>2800232.2208</v>
          </cell>
          <cell r="BR110">
            <v>0</v>
          </cell>
        </row>
        <row r="110">
          <cell r="BV110">
            <v>3167511.31602</v>
          </cell>
          <cell r="BW110">
            <v>4541479.60691</v>
          </cell>
          <cell r="BX110">
            <v>0</v>
          </cell>
        </row>
        <row r="111">
          <cell r="H111">
            <v>0</v>
          </cell>
          <cell r="I111">
            <v>0</v>
          </cell>
          <cell r="J111">
            <v>0</v>
          </cell>
        </row>
        <row r="111">
          <cell r="N111">
            <v>0</v>
          </cell>
          <cell r="O111">
            <v>0</v>
          </cell>
          <cell r="P111">
            <v>0</v>
          </cell>
        </row>
        <row r="111">
          <cell r="T111">
            <v>86279.828</v>
          </cell>
          <cell r="U111">
            <v>437693.1079785</v>
          </cell>
          <cell r="V111">
            <v>0</v>
          </cell>
        </row>
        <row r="111">
          <cell r="Z111">
            <v>-582.0375</v>
          </cell>
          <cell r="AA111">
            <v>0</v>
          </cell>
          <cell r="AB111">
            <v>0</v>
          </cell>
        </row>
        <row r="111">
          <cell r="AF111">
            <v>35015.376</v>
          </cell>
          <cell r="AG111">
            <v>0</v>
          </cell>
          <cell r="AH111">
            <v>0</v>
          </cell>
        </row>
        <row r="111">
          <cell r="AL111">
            <v>3842.8585</v>
          </cell>
          <cell r="AM111">
            <v>0</v>
          </cell>
          <cell r="AN111">
            <v>0</v>
          </cell>
        </row>
        <row r="111">
          <cell r="AR111">
            <v>3772.3085</v>
          </cell>
          <cell r="AS111">
            <v>0</v>
          </cell>
          <cell r="AT111">
            <v>0</v>
          </cell>
        </row>
        <row r="111">
          <cell r="AX111">
            <v>3859.085</v>
          </cell>
          <cell r="AY111">
            <v>0</v>
          </cell>
          <cell r="AZ111">
            <v>0</v>
          </cell>
        </row>
        <row r="111">
          <cell r="BD111">
            <v>-603.2025</v>
          </cell>
          <cell r="BE111">
            <v>0</v>
          </cell>
          <cell r="BF111">
            <v>0</v>
          </cell>
        </row>
        <row r="111">
          <cell r="BJ111">
            <v>1071.6545</v>
          </cell>
          <cell r="BK111">
            <v>0</v>
          </cell>
          <cell r="BL111">
            <v>0</v>
          </cell>
        </row>
        <row r="111">
          <cell r="BP111">
            <v>7012.67</v>
          </cell>
          <cell r="BQ111">
            <v>0</v>
          </cell>
          <cell r="BR111">
            <v>0</v>
          </cell>
        </row>
        <row r="111">
          <cell r="BV111">
            <v>-2673.845</v>
          </cell>
          <cell r="BW111">
            <v>0</v>
          </cell>
          <cell r="BX111">
            <v>0</v>
          </cell>
        </row>
        <row r="112">
          <cell r="H112">
            <v>0</v>
          </cell>
          <cell r="I112">
            <v>0</v>
          </cell>
          <cell r="J112">
            <v>0</v>
          </cell>
        </row>
        <row r="112">
          <cell r="N112">
            <v>0</v>
          </cell>
          <cell r="O112">
            <v>0</v>
          </cell>
          <cell r="P112">
            <v>0</v>
          </cell>
        </row>
        <row r="112">
          <cell r="T112">
            <v>924458.2745</v>
          </cell>
          <cell r="U112">
            <v>3127061.84038</v>
          </cell>
          <cell r="V112">
            <v>0</v>
          </cell>
        </row>
        <row r="112">
          <cell r="Z112">
            <v>-13436.2475</v>
          </cell>
          <cell r="AA112">
            <v>0</v>
          </cell>
          <cell r="AB112">
            <v>0</v>
          </cell>
        </row>
        <row r="112">
          <cell r="AF112">
            <v>17588.8205</v>
          </cell>
          <cell r="AG112">
            <v>0</v>
          </cell>
          <cell r="AH112">
            <v>0</v>
          </cell>
        </row>
        <row r="112">
          <cell r="AL112">
            <v>-35484.5335</v>
          </cell>
          <cell r="AM112">
            <v>0</v>
          </cell>
          <cell r="AN112">
            <v>0</v>
          </cell>
        </row>
        <row r="112">
          <cell r="AR112">
            <v>64156.759</v>
          </cell>
          <cell r="AS112">
            <v>0</v>
          </cell>
          <cell r="AT112">
            <v>0</v>
          </cell>
        </row>
        <row r="112">
          <cell r="AX112">
            <v>-18233.6475</v>
          </cell>
          <cell r="AY112">
            <v>0</v>
          </cell>
          <cell r="AZ112">
            <v>0</v>
          </cell>
        </row>
        <row r="112">
          <cell r="BD112">
            <v>3914.8195</v>
          </cell>
          <cell r="BE112">
            <v>0</v>
          </cell>
          <cell r="BF112">
            <v>0</v>
          </cell>
        </row>
        <row r="112">
          <cell r="BJ112">
            <v>0</v>
          </cell>
          <cell r="BK112">
            <v>0</v>
          </cell>
          <cell r="BL112">
            <v>0</v>
          </cell>
        </row>
        <row r="112">
          <cell r="BP112">
            <v>-16275.1795</v>
          </cell>
          <cell r="BQ112">
            <v>-98592.214</v>
          </cell>
          <cell r="BR112">
            <v>0</v>
          </cell>
        </row>
        <row r="112">
          <cell r="BV112">
            <v>-4309.194</v>
          </cell>
          <cell r="BW112">
            <v>0</v>
          </cell>
          <cell r="BX112">
            <v>0</v>
          </cell>
        </row>
        <row r="114">
          <cell r="H114">
            <v>0</v>
          </cell>
          <cell r="I114">
            <v>0</v>
          </cell>
          <cell r="J114">
            <v>0</v>
          </cell>
        </row>
        <row r="114">
          <cell r="N114">
            <v>153697.408</v>
          </cell>
          <cell r="O114">
            <v>576438.652</v>
          </cell>
          <cell r="P114">
            <v>0</v>
          </cell>
        </row>
        <row r="114">
          <cell r="T114">
            <v>138.9835</v>
          </cell>
          <cell r="U114">
            <v>0</v>
          </cell>
          <cell r="V114">
            <v>0</v>
          </cell>
        </row>
        <row r="114">
          <cell r="Z114">
            <v>462.1025</v>
          </cell>
          <cell r="AA114">
            <v>0</v>
          </cell>
          <cell r="AB114">
            <v>0</v>
          </cell>
        </row>
        <row r="114">
          <cell r="AF114">
            <v>6262.018</v>
          </cell>
          <cell r="AG114">
            <v>0</v>
          </cell>
          <cell r="AH114">
            <v>0</v>
          </cell>
        </row>
        <row r="114">
          <cell r="AL114">
            <v>-5470.447</v>
          </cell>
          <cell r="AM114">
            <v>0</v>
          </cell>
          <cell r="AN114">
            <v>0</v>
          </cell>
        </row>
        <row r="114">
          <cell r="AR114">
            <v>1804.669</v>
          </cell>
          <cell r="AS114">
            <v>0</v>
          </cell>
          <cell r="AT114">
            <v>0</v>
          </cell>
        </row>
        <row r="114">
          <cell r="AX114">
            <v>1474.495</v>
          </cell>
          <cell r="AY114">
            <v>0</v>
          </cell>
          <cell r="AZ114">
            <v>0</v>
          </cell>
        </row>
        <row r="114">
          <cell r="BD114">
            <v>1327.0455</v>
          </cell>
          <cell r="BE114">
            <v>0</v>
          </cell>
          <cell r="BF114">
            <v>0</v>
          </cell>
        </row>
        <row r="114">
          <cell r="BJ114">
            <v>2465.7225</v>
          </cell>
          <cell r="BK114">
            <v>0</v>
          </cell>
          <cell r="BL114">
            <v>0</v>
          </cell>
        </row>
        <row r="114">
          <cell r="BP114">
            <v>-898.1015</v>
          </cell>
          <cell r="BQ114">
            <v>0</v>
          </cell>
          <cell r="BR114">
            <v>0</v>
          </cell>
        </row>
        <row r="114">
          <cell r="BV114">
            <v>1040.6125</v>
          </cell>
          <cell r="BW114">
            <v>0</v>
          </cell>
          <cell r="BX114">
            <v>0</v>
          </cell>
        </row>
        <row r="115">
          <cell r="H115">
            <v>0</v>
          </cell>
          <cell r="I115">
            <v>0</v>
          </cell>
          <cell r="J115">
            <v>0</v>
          </cell>
        </row>
        <row r="115">
          <cell r="N115">
            <v>793007.398</v>
          </cell>
          <cell r="O115">
            <v>1120369.9805</v>
          </cell>
          <cell r="P115">
            <v>0</v>
          </cell>
        </row>
        <row r="115">
          <cell r="T115">
            <v>512.193</v>
          </cell>
          <cell r="U115">
            <v>0</v>
          </cell>
          <cell r="V115">
            <v>0</v>
          </cell>
        </row>
        <row r="115">
          <cell r="Z115">
            <v>-332.2905</v>
          </cell>
          <cell r="AA115">
            <v>0</v>
          </cell>
          <cell r="AB115">
            <v>0</v>
          </cell>
        </row>
        <row r="115">
          <cell r="AF115">
            <v>0</v>
          </cell>
          <cell r="AG115">
            <v>0</v>
          </cell>
          <cell r="AH115">
            <v>0</v>
          </cell>
        </row>
        <row r="115">
          <cell r="AL115">
            <v>0</v>
          </cell>
          <cell r="AM115">
            <v>0</v>
          </cell>
          <cell r="AN115">
            <v>0</v>
          </cell>
        </row>
        <row r="115">
          <cell r="AR115">
            <v>0</v>
          </cell>
          <cell r="AS115">
            <v>0</v>
          </cell>
          <cell r="AT115">
            <v>0</v>
          </cell>
        </row>
        <row r="115">
          <cell r="AX115">
            <v>0</v>
          </cell>
          <cell r="AY115">
            <v>0</v>
          </cell>
          <cell r="AZ115">
            <v>0</v>
          </cell>
        </row>
        <row r="115">
          <cell r="BD115">
            <v>0</v>
          </cell>
          <cell r="BE115">
            <v>-65526.1345</v>
          </cell>
          <cell r="BF115">
            <v>0</v>
          </cell>
        </row>
        <row r="115">
          <cell r="BJ115">
            <v>31400.394</v>
          </cell>
          <cell r="BK115">
            <v>0</v>
          </cell>
          <cell r="BL115">
            <v>0</v>
          </cell>
        </row>
        <row r="115">
          <cell r="BP115">
            <v>0</v>
          </cell>
          <cell r="BQ115">
            <v>0</v>
          </cell>
          <cell r="BR115">
            <v>0</v>
          </cell>
        </row>
        <row r="115">
          <cell r="BV115">
            <v>0</v>
          </cell>
          <cell r="BW115">
            <v>0</v>
          </cell>
          <cell r="BX115">
            <v>0</v>
          </cell>
        </row>
        <row r="115">
          <cell r="CC115">
            <v>9829509.401545</v>
          </cell>
        </row>
        <row r="116">
          <cell r="H116">
            <v>0</v>
          </cell>
          <cell r="I116">
            <v>0</v>
          </cell>
          <cell r="J116">
            <v>0</v>
          </cell>
        </row>
        <row r="116">
          <cell r="N116">
            <v>0</v>
          </cell>
          <cell r="O116">
            <v>0</v>
          </cell>
          <cell r="P116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</row>
        <row r="116">
          <cell r="Z116">
            <v>0</v>
          </cell>
          <cell r="AA116">
            <v>0</v>
          </cell>
          <cell r="AB116">
            <v>0</v>
          </cell>
        </row>
        <row r="116">
          <cell r="AF116">
            <v>0</v>
          </cell>
          <cell r="AG116">
            <v>0</v>
          </cell>
          <cell r="AH116">
            <v>0</v>
          </cell>
        </row>
        <row r="116">
          <cell r="AL116">
            <v>26381.467</v>
          </cell>
          <cell r="AM116">
            <v>0</v>
          </cell>
          <cell r="AN116">
            <v>0</v>
          </cell>
        </row>
        <row r="116">
          <cell r="AR116">
            <v>94179.3115</v>
          </cell>
          <cell r="AS116">
            <v>158543.4875</v>
          </cell>
          <cell r="AT116">
            <v>0</v>
          </cell>
        </row>
        <row r="116">
          <cell r="AX116">
            <v>1494.9545</v>
          </cell>
          <cell r="AY116">
            <v>-5893.0415</v>
          </cell>
          <cell r="AZ116">
            <v>0</v>
          </cell>
        </row>
        <row r="116">
          <cell r="BD116">
            <v>0</v>
          </cell>
          <cell r="BE116">
            <v>0</v>
          </cell>
          <cell r="BF116">
            <v>0</v>
          </cell>
        </row>
        <row r="116">
          <cell r="BJ116">
            <v>0</v>
          </cell>
          <cell r="BK116">
            <v>0</v>
          </cell>
          <cell r="BL116">
            <v>0</v>
          </cell>
        </row>
        <row r="116">
          <cell r="BP116">
            <v>0</v>
          </cell>
          <cell r="BQ116">
            <v>80494.728</v>
          </cell>
          <cell r="BR116">
            <v>0</v>
          </cell>
        </row>
        <row r="116">
          <cell r="BV116">
            <v>0</v>
          </cell>
          <cell r="BW116">
            <v>-34357.85</v>
          </cell>
          <cell r="BX116">
            <v>0</v>
          </cell>
        </row>
        <row r="117">
          <cell r="H117">
            <v>0</v>
          </cell>
          <cell r="I117">
            <v>0</v>
          </cell>
          <cell r="J117">
            <v>0</v>
          </cell>
        </row>
        <row r="117">
          <cell r="N117">
            <v>0</v>
          </cell>
          <cell r="O117">
            <v>0</v>
          </cell>
          <cell r="P117">
            <v>0</v>
          </cell>
        </row>
        <row r="117">
          <cell r="T117">
            <v>0</v>
          </cell>
          <cell r="U117">
            <v>0</v>
          </cell>
          <cell r="V117">
            <v>0</v>
          </cell>
        </row>
        <row r="117">
          <cell r="Z117">
            <v>0</v>
          </cell>
          <cell r="AA117">
            <v>0</v>
          </cell>
          <cell r="AB117">
            <v>0</v>
          </cell>
        </row>
        <row r="117">
          <cell r="AF117">
            <v>0</v>
          </cell>
          <cell r="AG117">
            <v>0</v>
          </cell>
          <cell r="AH117">
            <v>0</v>
          </cell>
        </row>
        <row r="117">
          <cell r="AL117">
            <v>59.262</v>
          </cell>
          <cell r="AM117">
            <v>0</v>
          </cell>
          <cell r="AN117">
            <v>0</v>
          </cell>
        </row>
        <row r="117">
          <cell r="AR117">
            <v>0</v>
          </cell>
          <cell r="AS117">
            <v>0</v>
          </cell>
          <cell r="AT117">
            <v>0</v>
          </cell>
        </row>
        <row r="117">
          <cell r="AX117">
            <v>0</v>
          </cell>
          <cell r="AY117">
            <v>0</v>
          </cell>
          <cell r="AZ117">
            <v>0</v>
          </cell>
        </row>
        <row r="117">
          <cell r="BD117">
            <v>-4.233</v>
          </cell>
          <cell r="BE117">
            <v>0</v>
          </cell>
          <cell r="BF117">
            <v>0</v>
          </cell>
        </row>
        <row r="117">
          <cell r="BJ117">
            <v>-4.233</v>
          </cell>
          <cell r="BK117">
            <v>0</v>
          </cell>
          <cell r="BL117">
            <v>0</v>
          </cell>
        </row>
        <row r="117">
          <cell r="BP117">
            <v>-200.362</v>
          </cell>
          <cell r="BQ117">
            <v>0</v>
          </cell>
          <cell r="BR117">
            <v>0</v>
          </cell>
        </row>
        <row r="117">
          <cell r="BV117">
            <v>-2.1165</v>
          </cell>
          <cell r="BW117">
            <v>0</v>
          </cell>
          <cell r="BX117">
            <v>0</v>
          </cell>
        </row>
        <row r="118">
          <cell r="H118">
            <v>105499852.6875</v>
          </cell>
          <cell r="I118">
            <v>458897704.82917</v>
          </cell>
          <cell r="J118">
            <v>0</v>
          </cell>
        </row>
        <row r="118">
          <cell r="N118">
            <v>95024329.0635</v>
          </cell>
          <cell r="O118">
            <v>423736154.108408</v>
          </cell>
          <cell r="P118">
            <v>0</v>
          </cell>
        </row>
        <row r="118">
          <cell r="T118">
            <v>94274893.3455</v>
          </cell>
          <cell r="U118">
            <v>374357059.881361</v>
          </cell>
          <cell r="V118">
            <v>0</v>
          </cell>
        </row>
        <row r="118">
          <cell r="Z118">
            <v>554357805.764</v>
          </cell>
          <cell r="AA118">
            <v>485197274.464873</v>
          </cell>
          <cell r="AB118">
            <v>0</v>
          </cell>
        </row>
        <row r="118">
          <cell r="AF118">
            <v>101623918.231</v>
          </cell>
          <cell r="AG118">
            <v>527923327.003678</v>
          </cell>
          <cell r="AH118">
            <v>0</v>
          </cell>
        </row>
        <row r="118">
          <cell r="AL118">
            <v>-105209905.592</v>
          </cell>
          <cell r="AM118">
            <v>490033514.501</v>
          </cell>
          <cell r="AN118">
            <v>0</v>
          </cell>
        </row>
        <row r="118">
          <cell r="AR118">
            <v>139890478.101</v>
          </cell>
          <cell r="AS118">
            <v>388090648.715125</v>
          </cell>
          <cell r="AT118">
            <v>0</v>
          </cell>
        </row>
        <row r="118">
          <cell r="AX118">
            <v>130132241.971</v>
          </cell>
          <cell r="AY118">
            <v>506930608.4775</v>
          </cell>
          <cell r="AZ118">
            <v>-10747872.8949435</v>
          </cell>
        </row>
        <row r="118">
          <cell r="BD118">
            <v>137475814.047</v>
          </cell>
          <cell r="BE118">
            <v>424864002.271795</v>
          </cell>
          <cell r="BF118">
            <v>6552168.21067188</v>
          </cell>
        </row>
        <row r="118">
          <cell r="BJ118">
            <v>120123829.897</v>
          </cell>
          <cell r="BK118">
            <v>458778527.2963</v>
          </cell>
          <cell r="BL118">
            <v>6368361.07405048</v>
          </cell>
        </row>
        <row r="118">
          <cell r="BP118">
            <v>116548650.0905</v>
          </cell>
          <cell r="BQ118">
            <v>427092197.510124</v>
          </cell>
          <cell r="BR118">
            <v>5673465.44690802</v>
          </cell>
        </row>
        <row r="118">
          <cell r="BV118">
            <v>121696740.0305</v>
          </cell>
          <cell r="BW118">
            <v>494051289.728267</v>
          </cell>
          <cell r="BX118">
            <v>4967369.39570204</v>
          </cell>
        </row>
        <row r="119">
          <cell r="H119">
            <v>31568487.841</v>
          </cell>
          <cell r="I119">
            <v>101628482.246661</v>
          </cell>
          <cell r="J119">
            <v>-697496.808</v>
          </cell>
        </row>
        <row r="119">
          <cell r="N119">
            <v>28825696.4425</v>
          </cell>
          <cell r="O119">
            <v>101699698.758615</v>
          </cell>
          <cell r="P119">
            <v>0</v>
          </cell>
        </row>
        <row r="119">
          <cell r="T119">
            <v>37395812.016</v>
          </cell>
          <cell r="U119">
            <v>119670462.84156</v>
          </cell>
          <cell r="V119">
            <v>0</v>
          </cell>
        </row>
        <row r="119">
          <cell r="Z119">
            <v>30056407.3285</v>
          </cell>
          <cell r="AA119">
            <v>126940983.828345</v>
          </cell>
          <cell r="AB119">
            <v>0</v>
          </cell>
        </row>
        <row r="119">
          <cell r="AF119">
            <v>30648901.7495</v>
          </cell>
          <cell r="AG119">
            <v>149060534.024338</v>
          </cell>
          <cell r="AH119">
            <v>0</v>
          </cell>
        </row>
        <row r="119">
          <cell r="AL119">
            <v>28544770.5755</v>
          </cell>
          <cell r="AM119">
            <v>117971794.5675</v>
          </cell>
          <cell r="AN119">
            <v>0</v>
          </cell>
        </row>
        <row r="119">
          <cell r="AR119">
            <v>30511560.6535</v>
          </cell>
          <cell r="AS119">
            <v>122488390.940368</v>
          </cell>
          <cell r="AT119">
            <v>0</v>
          </cell>
        </row>
        <row r="119">
          <cell r="AX119">
            <v>30517502.3745</v>
          </cell>
          <cell r="AY119">
            <v>124895414.600805</v>
          </cell>
          <cell r="AZ119">
            <v>12264994.083116</v>
          </cell>
        </row>
        <row r="119">
          <cell r="BD119">
            <v>30429259.14</v>
          </cell>
          <cell r="BE119">
            <v>85830310.086243</v>
          </cell>
          <cell r="BF119">
            <v>1354611.98294156</v>
          </cell>
        </row>
        <row r="119">
          <cell r="BJ119">
            <v>30597678.922</v>
          </cell>
          <cell r="BK119">
            <v>111230647.06487</v>
          </cell>
          <cell r="BL119">
            <v>1560218.19429375</v>
          </cell>
        </row>
        <row r="119">
          <cell r="BP119">
            <v>28520015.286</v>
          </cell>
          <cell r="BQ119">
            <v>116212569.79971</v>
          </cell>
          <cell r="BR119">
            <v>1543760.34752874</v>
          </cell>
        </row>
        <row r="119">
          <cell r="BV119">
            <v>29943956.2725</v>
          </cell>
          <cell r="BW119">
            <v>112017963.147102</v>
          </cell>
          <cell r="BX119">
            <v>1126268.89854257</v>
          </cell>
        </row>
        <row r="120">
          <cell r="H120">
            <v>233354502.1995</v>
          </cell>
          <cell r="I120">
            <v>712674149.80672</v>
          </cell>
          <cell r="J120">
            <v>0</v>
          </cell>
        </row>
        <row r="120">
          <cell r="N120">
            <v>496149644.2725</v>
          </cell>
          <cell r="O120">
            <v>452510504.43305</v>
          </cell>
          <cell r="P120">
            <v>0</v>
          </cell>
        </row>
        <row r="120">
          <cell r="T120">
            <v>284747033.4915</v>
          </cell>
          <cell r="U120">
            <v>839917507.594522</v>
          </cell>
          <cell r="V120">
            <v>0</v>
          </cell>
        </row>
        <row r="120">
          <cell r="Z120">
            <v>263738067.5155</v>
          </cell>
          <cell r="AA120">
            <v>876134241.655645</v>
          </cell>
          <cell r="AB120">
            <v>0</v>
          </cell>
        </row>
        <row r="120">
          <cell r="AF120">
            <v>238429572.184</v>
          </cell>
          <cell r="AG120">
            <v>830902767.534987</v>
          </cell>
          <cell r="AH120">
            <v>0</v>
          </cell>
        </row>
        <row r="120">
          <cell r="AL120">
            <v>230693668.736</v>
          </cell>
          <cell r="AM120">
            <v>732750056.7295</v>
          </cell>
          <cell r="AN120">
            <v>0</v>
          </cell>
        </row>
        <row r="120">
          <cell r="AR120">
            <v>252278853.9535</v>
          </cell>
          <cell r="AS120">
            <v>820663254.062636</v>
          </cell>
          <cell r="AT120">
            <v>0</v>
          </cell>
        </row>
        <row r="120">
          <cell r="AX120">
            <v>239310695.121</v>
          </cell>
          <cell r="AY120">
            <v>523393606.028057</v>
          </cell>
          <cell r="AZ120">
            <v>81208375.6233324</v>
          </cell>
        </row>
        <row r="120">
          <cell r="BD120">
            <v>256062277.606</v>
          </cell>
          <cell r="BE120">
            <v>396651500.537445</v>
          </cell>
          <cell r="BF120">
            <v>7605171.00819076</v>
          </cell>
        </row>
        <row r="120">
          <cell r="BJ120">
            <v>256830264.4465</v>
          </cell>
          <cell r="BK120">
            <v>870449939.117312</v>
          </cell>
          <cell r="BL120">
            <v>12400929.584618</v>
          </cell>
        </row>
        <row r="120">
          <cell r="BP120">
            <v>227620471.9335</v>
          </cell>
          <cell r="BQ120">
            <v>935163359.506155</v>
          </cell>
          <cell r="BR120">
            <v>12422650.2809076</v>
          </cell>
        </row>
        <row r="120">
          <cell r="BV120">
            <v>268351853.38</v>
          </cell>
          <cell r="BW120">
            <v>902950387.442207</v>
          </cell>
          <cell r="BX120">
            <v>9078588.02045567</v>
          </cell>
        </row>
        <row r="121">
          <cell r="H121">
            <v>144363274.729</v>
          </cell>
          <cell r="I121">
            <v>380056591.587503</v>
          </cell>
          <cell r="J121">
            <v>0</v>
          </cell>
        </row>
        <row r="121">
          <cell r="N121">
            <v>280963807.379</v>
          </cell>
          <cell r="O121">
            <v>199663267.948982</v>
          </cell>
          <cell r="P121">
            <v>0</v>
          </cell>
        </row>
        <row r="121">
          <cell r="T121">
            <v>147357963.4915</v>
          </cell>
          <cell r="U121">
            <v>375494652.886255</v>
          </cell>
          <cell r="V121">
            <v>0</v>
          </cell>
        </row>
        <row r="121">
          <cell r="Z121">
            <v>149910021.554</v>
          </cell>
          <cell r="AA121">
            <v>203843906.148172</v>
          </cell>
          <cell r="AB121">
            <v>0</v>
          </cell>
        </row>
        <row r="121">
          <cell r="AF121">
            <v>192335779.069</v>
          </cell>
          <cell r="AG121">
            <v>296531886.610988</v>
          </cell>
          <cell r="AH121">
            <v>0</v>
          </cell>
        </row>
        <row r="121">
          <cell r="AL121">
            <v>179876894.583</v>
          </cell>
          <cell r="AM121">
            <v>330969606.46</v>
          </cell>
          <cell r="AN121">
            <v>0</v>
          </cell>
        </row>
        <row r="121">
          <cell r="AR121">
            <v>158245472.3065</v>
          </cell>
          <cell r="AS121">
            <v>338263741.297252</v>
          </cell>
          <cell r="AT121">
            <v>0</v>
          </cell>
        </row>
        <row r="121">
          <cell r="AX121">
            <v>152062561.316</v>
          </cell>
          <cell r="AY121">
            <v>369112022.184366</v>
          </cell>
          <cell r="AZ121">
            <v>39443138.2326329</v>
          </cell>
        </row>
        <row r="121">
          <cell r="BD121">
            <v>162889426.762</v>
          </cell>
          <cell r="BE121">
            <v>427630861.279314</v>
          </cell>
          <cell r="BF121">
            <v>6880516.27642106</v>
          </cell>
        </row>
        <row r="121">
          <cell r="BJ121">
            <v>168141937.0515</v>
          </cell>
          <cell r="BK121">
            <v>438799917.804535</v>
          </cell>
          <cell r="BL121">
            <v>6676816.62485706</v>
          </cell>
        </row>
        <row r="121">
          <cell r="BP121">
            <v>148539955.3695</v>
          </cell>
          <cell r="BQ121">
            <v>399599631.546749</v>
          </cell>
          <cell r="BR121">
            <v>5308255.95830257</v>
          </cell>
        </row>
        <row r="121">
          <cell r="BV121">
            <v>168388161.49</v>
          </cell>
          <cell r="BW121">
            <v>406511193.963508</v>
          </cell>
          <cell r="BX121">
            <v>4087209.78142827</v>
          </cell>
        </row>
        <row r="122">
          <cell r="H122">
            <v>410067486.79</v>
          </cell>
          <cell r="I122">
            <v>152654449.379504</v>
          </cell>
          <cell r="J122">
            <v>0</v>
          </cell>
        </row>
        <row r="122">
          <cell r="N122">
            <v>95312699.3665</v>
          </cell>
          <cell r="O122">
            <v>167381699.509071</v>
          </cell>
          <cell r="P122">
            <v>0</v>
          </cell>
        </row>
        <row r="122">
          <cell r="T122">
            <v>96163094.251</v>
          </cell>
          <cell r="U122">
            <v>151528698.824238</v>
          </cell>
          <cell r="V122">
            <v>0</v>
          </cell>
        </row>
        <row r="122">
          <cell r="Z122">
            <v>83310384.8495</v>
          </cell>
          <cell r="AA122">
            <v>186260336.205638</v>
          </cell>
          <cell r="AB122">
            <v>0</v>
          </cell>
        </row>
        <row r="122">
          <cell r="AF122">
            <v>78347037.845</v>
          </cell>
          <cell r="AG122">
            <v>161778422.39277</v>
          </cell>
          <cell r="AH122">
            <v>0</v>
          </cell>
        </row>
        <row r="122">
          <cell r="AL122">
            <v>84934256.07</v>
          </cell>
          <cell r="AM122">
            <v>153720396.7175</v>
          </cell>
          <cell r="AN122">
            <v>0</v>
          </cell>
        </row>
        <row r="122">
          <cell r="AR122">
            <v>110219081.171</v>
          </cell>
          <cell r="AS122">
            <v>196026609.90383</v>
          </cell>
          <cell r="AT122">
            <v>0</v>
          </cell>
        </row>
        <row r="122">
          <cell r="AX122">
            <v>93086041.1855</v>
          </cell>
          <cell r="AY122">
            <v>146894337.817</v>
          </cell>
          <cell r="AZ122">
            <v>23951704.4665366</v>
          </cell>
        </row>
        <row r="122">
          <cell r="BD122">
            <v>99619000.8165</v>
          </cell>
          <cell r="BE122">
            <v>163277955.453725</v>
          </cell>
          <cell r="BF122">
            <v>3063174.6669342</v>
          </cell>
        </row>
        <row r="122">
          <cell r="BJ122">
            <v>114444577.473</v>
          </cell>
          <cell r="BK122">
            <v>147488481.40069</v>
          </cell>
          <cell r="BL122">
            <v>2881460.53546158</v>
          </cell>
        </row>
        <row r="122">
          <cell r="BP122">
            <v>95743817.7175</v>
          </cell>
          <cell r="BQ122">
            <v>165157824.564374</v>
          </cell>
          <cell r="BR122">
            <v>2193945.9826593</v>
          </cell>
        </row>
        <row r="122">
          <cell r="BV122">
            <v>95126428.318</v>
          </cell>
          <cell r="BW122">
            <v>170434642.1671</v>
          </cell>
          <cell r="BX122">
            <v>1713611.20407949</v>
          </cell>
        </row>
        <row r="123">
          <cell r="H123">
            <v>175058905.271</v>
          </cell>
          <cell r="I123">
            <v>132610585.031393</v>
          </cell>
          <cell r="J123">
            <v>0</v>
          </cell>
        </row>
        <row r="123">
          <cell r="N123">
            <v>234308803.124</v>
          </cell>
          <cell r="O123">
            <v>175073660.702614</v>
          </cell>
          <cell r="P123">
            <v>0</v>
          </cell>
        </row>
        <row r="123">
          <cell r="T123">
            <v>172124574.8555</v>
          </cell>
          <cell r="U123">
            <v>381983436.774045</v>
          </cell>
          <cell r="V123">
            <v>0</v>
          </cell>
        </row>
        <row r="123">
          <cell r="Z123">
            <v>179807336.516</v>
          </cell>
          <cell r="AA123">
            <v>206225454.447006</v>
          </cell>
          <cell r="AB123">
            <v>0</v>
          </cell>
        </row>
        <row r="123">
          <cell r="AF123">
            <v>184932095.571</v>
          </cell>
          <cell r="AG123">
            <v>371346641.219606</v>
          </cell>
          <cell r="AH123">
            <v>0</v>
          </cell>
        </row>
        <row r="123">
          <cell r="AL123">
            <v>182159366.9855</v>
          </cell>
          <cell r="AM123">
            <v>363849115.074</v>
          </cell>
          <cell r="AN123">
            <v>0</v>
          </cell>
        </row>
        <row r="123">
          <cell r="AR123">
            <v>182794191.4065</v>
          </cell>
          <cell r="AS123">
            <v>441086147.439</v>
          </cell>
          <cell r="AT123">
            <v>0</v>
          </cell>
        </row>
        <row r="123">
          <cell r="AX123">
            <v>179199239.9625</v>
          </cell>
          <cell r="AY123">
            <v>167819356.74308</v>
          </cell>
          <cell r="AZ123">
            <v>-176923272.246405</v>
          </cell>
        </row>
        <row r="123">
          <cell r="BD123">
            <v>185411964.6775</v>
          </cell>
          <cell r="BE123">
            <v>188561554.550935</v>
          </cell>
          <cell r="BF123">
            <v>4144188.61379313</v>
          </cell>
        </row>
        <row r="123">
          <cell r="BJ123">
            <v>179913662.421</v>
          </cell>
          <cell r="BK123">
            <v>413144603.976984</v>
          </cell>
          <cell r="BL123">
            <v>6524086.71590825</v>
          </cell>
        </row>
        <row r="123">
          <cell r="BP123">
            <v>158182027.397</v>
          </cell>
          <cell r="BQ123">
            <v>232356149.608075</v>
          </cell>
          <cell r="BR123">
            <v>3086604.23642311</v>
          </cell>
        </row>
        <row r="123">
          <cell r="BV123">
            <v>168602347.7625</v>
          </cell>
          <cell r="BW123">
            <v>156143653.514575</v>
          </cell>
          <cell r="BX123">
            <v>1569924.46316253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4">
          <cell r="N124">
            <v>0</v>
          </cell>
          <cell r="O124">
            <v>0</v>
          </cell>
          <cell r="P124">
            <v>0</v>
          </cell>
        </row>
        <row r="124">
          <cell r="T124">
            <v>0</v>
          </cell>
          <cell r="U124">
            <v>0</v>
          </cell>
          <cell r="V124">
            <v>0</v>
          </cell>
        </row>
        <row r="124">
          <cell r="Z124">
            <v>0</v>
          </cell>
          <cell r="AA124">
            <v>0</v>
          </cell>
          <cell r="AB124">
            <v>0</v>
          </cell>
        </row>
        <row r="124">
          <cell r="AF124">
            <v>0</v>
          </cell>
          <cell r="AG124">
            <v>0</v>
          </cell>
          <cell r="AH124">
            <v>0</v>
          </cell>
        </row>
        <row r="124">
          <cell r="AL124">
            <v>374707.982</v>
          </cell>
          <cell r="AM124">
            <v>22405127.9</v>
          </cell>
          <cell r="AN124">
            <v>0</v>
          </cell>
        </row>
        <row r="124">
          <cell r="AR124">
            <v>626362500.201</v>
          </cell>
          <cell r="AS124">
            <v>1424612907.87475</v>
          </cell>
          <cell r="AT124">
            <v>0</v>
          </cell>
        </row>
        <row r="124">
          <cell r="AX124">
            <v>462202914.5205</v>
          </cell>
          <cell r="AY124">
            <v>508987677.863</v>
          </cell>
          <cell r="AZ124">
            <v>30802932.7357305</v>
          </cell>
        </row>
        <row r="124">
          <cell r="BD124">
            <v>447870702.48</v>
          </cell>
          <cell r="BE124">
            <v>518918481.511797</v>
          </cell>
          <cell r="BF124">
            <v>11264657.3725474</v>
          </cell>
        </row>
        <row r="124">
          <cell r="BJ124">
            <v>557241747.9585</v>
          </cell>
          <cell r="BK124">
            <v>854403297.331666</v>
          </cell>
          <cell r="BL124">
            <v>15529156.5928109</v>
          </cell>
        </row>
        <row r="124">
          <cell r="BP124">
            <v>552833015.669</v>
          </cell>
          <cell r="BQ124">
            <v>965088206.880095</v>
          </cell>
          <cell r="BR124">
            <v>12820170.0402706</v>
          </cell>
        </row>
        <row r="124">
          <cell r="BV124">
            <v>595191980.677</v>
          </cell>
          <cell r="BW124">
            <v>2097923514.16122</v>
          </cell>
          <cell r="BX124">
            <v>21093277.7131294</v>
          </cell>
        </row>
        <row r="125">
          <cell r="H125">
            <v>78795659.651</v>
          </cell>
          <cell r="I125">
            <v>139666495.79168</v>
          </cell>
          <cell r="J125">
            <v>0</v>
          </cell>
        </row>
        <row r="125">
          <cell r="N125">
            <v>58844092.1365</v>
          </cell>
          <cell r="O125">
            <v>109311577.990337</v>
          </cell>
          <cell r="P125">
            <v>0</v>
          </cell>
        </row>
        <row r="125">
          <cell r="T125">
            <v>76978343.858</v>
          </cell>
          <cell r="U125">
            <v>125952337.901</v>
          </cell>
          <cell r="V125">
            <v>0</v>
          </cell>
        </row>
        <row r="125">
          <cell r="Z125">
            <v>84889799.693</v>
          </cell>
          <cell r="AA125">
            <v>164190690.708542</v>
          </cell>
          <cell r="AB125">
            <v>0</v>
          </cell>
        </row>
        <row r="125">
          <cell r="AF125">
            <v>64791830.98095</v>
          </cell>
          <cell r="AG125">
            <v>141558564.401443</v>
          </cell>
          <cell r="AH125">
            <v>0</v>
          </cell>
        </row>
        <row r="125">
          <cell r="AL125">
            <v>54456870.542</v>
          </cell>
          <cell r="AM125">
            <v>108327551.7165</v>
          </cell>
          <cell r="AN125">
            <v>0</v>
          </cell>
        </row>
        <row r="125">
          <cell r="AR125">
            <v>54825015.2575</v>
          </cell>
          <cell r="AS125">
            <v>115811133.464199</v>
          </cell>
          <cell r="AT125">
            <v>0</v>
          </cell>
        </row>
        <row r="125">
          <cell r="AX125">
            <v>48408492.052</v>
          </cell>
          <cell r="AY125">
            <v>54604218.33712</v>
          </cell>
          <cell r="AZ125">
            <v>0</v>
          </cell>
        </row>
        <row r="125">
          <cell r="BD125">
            <v>30877178.268</v>
          </cell>
          <cell r="BE125">
            <v>85845953.027685</v>
          </cell>
          <cell r="BF125">
            <v>0</v>
          </cell>
        </row>
        <row r="125">
          <cell r="BJ125">
            <v>29809686.218</v>
          </cell>
          <cell r="BK125">
            <v>48806444.6165837</v>
          </cell>
          <cell r="BL125">
            <v>0</v>
          </cell>
        </row>
        <row r="125">
          <cell r="BP125">
            <v>39082390.193</v>
          </cell>
          <cell r="BQ125">
            <v>46268306.445833</v>
          </cell>
          <cell r="BR125">
            <v>0</v>
          </cell>
        </row>
        <row r="125">
          <cell r="BV125">
            <v>27508352.9785</v>
          </cell>
          <cell r="BW125">
            <v>71273563.83365</v>
          </cell>
          <cell r="BX125">
            <v>0</v>
          </cell>
        </row>
        <row r="126">
          <cell r="H126">
            <v>91546947.7835</v>
          </cell>
          <cell r="I126">
            <v>183510340.929</v>
          </cell>
          <cell r="J126">
            <v>0</v>
          </cell>
        </row>
        <row r="126">
          <cell r="N126">
            <v>77752191.287</v>
          </cell>
          <cell r="O126">
            <v>121925689.596</v>
          </cell>
          <cell r="P126">
            <v>0</v>
          </cell>
        </row>
        <row r="126">
          <cell r="T126">
            <v>101071363.572473</v>
          </cell>
          <cell r="U126">
            <v>197221006.764</v>
          </cell>
          <cell r="V126">
            <v>0</v>
          </cell>
        </row>
        <row r="126">
          <cell r="Z126">
            <v>60727361.5986694</v>
          </cell>
          <cell r="AA126">
            <v>130205355.758</v>
          </cell>
          <cell r="AB126">
            <v>0</v>
          </cell>
        </row>
        <row r="126">
          <cell r="AF126">
            <v>48258078.041</v>
          </cell>
          <cell r="AG126">
            <v>113431532.97812</v>
          </cell>
          <cell r="AH126">
            <v>0</v>
          </cell>
        </row>
        <row r="126">
          <cell r="AL126">
            <v>74053740.3525512</v>
          </cell>
          <cell r="AM126">
            <v>202722103.424162</v>
          </cell>
          <cell r="AN126">
            <v>0</v>
          </cell>
        </row>
        <row r="126">
          <cell r="AR126">
            <v>103023687.478904</v>
          </cell>
          <cell r="AS126">
            <v>245163548.519</v>
          </cell>
          <cell r="AT126">
            <v>0</v>
          </cell>
        </row>
        <row r="126">
          <cell r="AX126">
            <v>62907664.195</v>
          </cell>
          <cell r="AY126">
            <v>135582737.431</v>
          </cell>
          <cell r="AZ126">
            <v>0</v>
          </cell>
        </row>
        <row r="126">
          <cell r="BD126">
            <v>64278907.1833112</v>
          </cell>
          <cell r="BE126">
            <v>97726661.7492485</v>
          </cell>
          <cell r="BF126">
            <v>0</v>
          </cell>
        </row>
        <row r="126">
          <cell r="BJ126">
            <v>60687737.11677</v>
          </cell>
          <cell r="BK126">
            <v>146147551.216225</v>
          </cell>
          <cell r="BL126">
            <v>0</v>
          </cell>
        </row>
        <row r="126">
          <cell r="BP126">
            <v>77186963.7355</v>
          </cell>
          <cell r="BQ126">
            <v>130746604.414284</v>
          </cell>
          <cell r="BR126">
            <v>0</v>
          </cell>
        </row>
        <row r="126">
          <cell r="BV126">
            <v>84274570.5345</v>
          </cell>
          <cell r="BW126">
            <v>177515498.752683</v>
          </cell>
          <cell r="BX126">
            <v>0</v>
          </cell>
        </row>
        <row r="129">
          <cell r="H129">
            <v>656653100.44155</v>
          </cell>
          <cell r="I129">
            <v>734997098.2165</v>
          </cell>
          <cell r="J129">
            <v>0</v>
          </cell>
        </row>
        <row r="129">
          <cell r="N129">
            <v>670427077.0705</v>
          </cell>
          <cell r="O129">
            <v>747358781.7345</v>
          </cell>
          <cell r="P129">
            <v>0</v>
          </cell>
        </row>
        <row r="129">
          <cell r="T129">
            <v>655548858.10004</v>
          </cell>
          <cell r="U129">
            <v>684207919.696</v>
          </cell>
          <cell r="V129">
            <v>0</v>
          </cell>
        </row>
        <row r="129">
          <cell r="Z129">
            <v>672862475.209333</v>
          </cell>
          <cell r="AA129">
            <v>777772806.3075</v>
          </cell>
          <cell r="AB129">
            <v>0</v>
          </cell>
        </row>
        <row r="129">
          <cell r="AF129">
            <v>670417397.6105</v>
          </cell>
          <cell r="AG129">
            <v>889898451.8435</v>
          </cell>
          <cell r="AH129">
            <v>0</v>
          </cell>
        </row>
        <row r="129">
          <cell r="AL129">
            <v>648796460.475</v>
          </cell>
          <cell r="AM129">
            <v>832579479.976</v>
          </cell>
          <cell r="AN129">
            <v>0</v>
          </cell>
        </row>
        <row r="129">
          <cell r="AR129">
            <v>631113704.7665</v>
          </cell>
          <cell r="AS129">
            <v>764456105.7825</v>
          </cell>
          <cell r="AT129">
            <v>0</v>
          </cell>
        </row>
        <row r="129">
          <cell r="AX129">
            <v>527813776.463478</v>
          </cell>
          <cell r="AY129">
            <v>581445315.999</v>
          </cell>
          <cell r="AZ129">
            <v>0</v>
          </cell>
        </row>
        <row r="129">
          <cell r="BD129">
            <v>386046503.389063</v>
          </cell>
          <cell r="BE129">
            <v>430106854.485</v>
          </cell>
          <cell r="BF129">
            <v>11710.5945</v>
          </cell>
        </row>
        <row r="129">
          <cell r="BJ129">
            <v>686237741.966</v>
          </cell>
          <cell r="BK129">
            <v>724678074.2465</v>
          </cell>
          <cell r="BL129">
            <v>0</v>
          </cell>
        </row>
        <row r="129">
          <cell r="BP129">
            <v>647474186.977</v>
          </cell>
          <cell r="BQ129">
            <v>673422878.4065</v>
          </cell>
          <cell r="BR129">
            <v>0</v>
          </cell>
        </row>
        <row r="129">
          <cell r="BV129">
            <v>1013549024.0335</v>
          </cell>
          <cell r="BW129">
            <v>634246330.067</v>
          </cell>
          <cell r="BX129">
            <v>169615.6045</v>
          </cell>
        </row>
        <row r="130">
          <cell r="H130">
            <v>184072038.91519</v>
          </cell>
          <cell r="I130">
            <v>360916038.674873</v>
          </cell>
          <cell r="J130">
            <v>0</v>
          </cell>
        </row>
        <row r="130">
          <cell r="N130">
            <v>190367231.353455</v>
          </cell>
          <cell r="O130">
            <v>374244754.933</v>
          </cell>
          <cell r="P130">
            <v>0</v>
          </cell>
        </row>
        <row r="130">
          <cell r="T130">
            <v>184167076.769</v>
          </cell>
          <cell r="U130">
            <v>338870980.040358</v>
          </cell>
          <cell r="V130">
            <v>0</v>
          </cell>
        </row>
        <row r="130">
          <cell r="Z130">
            <v>190803926.919</v>
          </cell>
          <cell r="AA130">
            <v>422994517.10311</v>
          </cell>
          <cell r="AB130">
            <v>0</v>
          </cell>
        </row>
        <row r="130">
          <cell r="AF130">
            <v>189339591.8245</v>
          </cell>
          <cell r="AG130">
            <v>329096733.2475</v>
          </cell>
          <cell r="AH130">
            <v>0</v>
          </cell>
        </row>
        <row r="130">
          <cell r="AL130">
            <v>183336023.167</v>
          </cell>
          <cell r="AM130">
            <v>319078409.572958</v>
          </cell>
          <cell r="AN130">
            <v>0</v>
          </cell>
        </row>
        <row r="130">
          <cell r="AR130">
            <v>186499543.7235</v>
          </cell>
          <cell r="AS130">
            <v>294601342.509815</v>
          </cell>
          <cell r="AT130">
            <v>0</v>
          </cell>
        </row>
        <row r="130">
          <cell r="AX130">
            <v>177336778.519</v>
          </cell>
          <cell r="AY130">
            <v>309141474.701627</v>
          </cell>
          <cell r="AZ130">
            <v>0</v>
          </cell>
        </row>
        <row r="130">
          <cell r="BD130">
            <v>177393404.771</v>
          </cell>
          <cell r="BE130">
            <v>275473608.01576</v>
          </cell>
          <cell r="BF130">
            <v>0</v>
          </cell>
        </row>
        <row r="130">
          <cell r="BJ130">
            <v>190186872.632</v>
          </cell>
          <cell r="BK130">
            <v>371609568.104211</v>
          </cell>
          <cell r="BL130">
            <v>0</v>
          </cell>
        </row>
        <row r="130">
          <cell r="BP130">
            <v>178369140.54925</v>
          </cell>
          <cell r="BQ130">
            <v>336723228.39045</v>
          </cell>
          <cell r="BR130">
            <v>0</v>
          </cell>
        </row>
        <row r="130">
          <cell r="BV130">
            <v>190011069.7925</v>
          </cell>
          <cell r="BW130">
            <v>414848070.492</v>
          </cell>
          <cell r="BX130">
            <v>0</v>
          </cell>
        </row>
        <row r="132">
          <cell r="I132">
            <v>4758155162.84971</v>
          </cell>
        </row>
        <row r="132">
          <cell r="O132">
            <v>1103224030.78546</v>
          </cell>
        </row>
        <row r="132">
          <cell r="U132">
            <v>2606871600.21013</v>
          </cell>
        </row>
        <row r="132">
          <cell r="AA132">
            <v>3277963155.56907</v>
          </cell>
        </row>
        <row r="132">
          <cell r="AG132">
            <v>7994818014.15325</v>
          </cell>
        </row>
        <row r="132">
          <cell r="AM132">
            <v>4869792429.925</v>
          </cell>
        </row>
        <row r="132">
          <cell r="AS132">
            <v>9915801591.91996</v>
          </cell>
        </row>
        <row r="132">
          <cell r="AY132">
            <v>3553860300.22045</v>
          </cell>
        </row>
        <row r="132">
          <cell r="BE132">
            <v>4324721994.59666</v>
          </cell>
        </row>
        <row r="132">
          <cell r="BK132">
            <v>5373435017.84917</v>
          </cell>
        </row>
        <row r="132">
          <cell r="BQ132">
            <v>5769920576.8569</v>
          </cell>
        </row>
        <row r="132">
          <cell r="BW132">
            <v>6882712927.50335</v>
          </cell>
        </row>
        <row r="134">
          <cell r="I134">
            <v>3893453978.36101</v>
          </cell>
        </row>
        <row r="134">
          <cell r="O134">
            <v>3298307820.64071</v>
          </cell>
        </row>
        <row r="134">
          <cell r="U134">
            <v>3804843832.92273</v>
          </cell>
        </row>
        <row r="134">
          <cell r="AA134">
            <v>2417254254.55406</v>
          </cell>
        </row>
        <row r="134">
          <cell r="AG134">
            <v>2827646092.49309</v>
          </cell>
        </row>
        <row r="134">
          <cell r="AM134">
            <v>2690324568.36158</v>
          </cell>
        </row>
        <row r="134">
          <cell r="AS134">
            <v>3031120433.16435</v>
          </cell>
        </row>
        <row r="134">
          <cell r="AY134">
            <v>2581281673.5542</v>
          </cell>
        </row>
        <row r="134">
          <cell r="BE134">
            <v>2701932882.36365</v>
          </cell>
        </row>
        <row r="134">
          <cell r="BK134">
            <v>2834943242.18587</v>
          </cell>
        </row>
        <row r="134">
          <cell r="BQ134">
            <v>3100108103.08145</v>
          </cell>
        </row>
        <row r="134">
          <cell r="BW134">
            <v>4543569604.84105</v>
          </cell>
        </row>
        <row r="134">
          <cell r="CC134">
            <v>-38661091</v>
          </cell>
        </row>
        <row r="135">
          <cell r="H135">
            <v>0</v>
          </cell>
          <cell r="I135">
            <v>104371697.888415</v>
          </cell>
        </row>
        <row r="135">
          <cell r="N135">
            <v>0</v>
          </cell>
          <cell r="O135">
            <v>88901154.90272</v>
          </cell>
        </row>
        <row r="135">
          <cell r="T135">
            <v>0</v>
          </cell>
          <cell r="U135">
            <v>96425959.28978</v>
          </cell>
        </row>
        <row r="135">
          <cell r="Z135">
            <v>0</v>
          </cell>
          <cell r="AA135">
            <v>86350678.55711</v>
          </cell>
        </row>
        <row r="135">
          <cell r="AF135">
            <v>0</v>
          </cell>
          <cell r="AG135">
            <v>114508530.575315</v>
          </cell>
        </row>
        <row r="135">
          <cell r="AL135">
            <v>0</v>
          </cell>
          <cell r="AM135">
            <v>96874813.7979</v>
          </cell>
        </row>
        <row r="135">
          <cell r="AR135">
            <v>0</v>
          </cell>
          <cell r="AS135">
            <v>86711887.819585</v>
          </cell>
        </row>
        <row r="135">
          <cell r="AX135">
            <v>0</v>
          </cell>
          <cell r="AY135">
            <v>81216703.915415</v>
          </cell>
        </row>
        <row r="135">
          <cell r="BD135">
            <v>0</v>
          </cell>
          <cell r="BE135">
            <v>92014395.962825</v>
          </cell>
        </row>
        <row r="135">
          <cell r="BJ135">
            <v>0</v>
          </cell>
          <cell r="BK135">
            <v>104183629.113035</v>
          </cell>
        </row>
        <row r="135">
          <cell r="BP135">
            <v>0</v>
          </cell>
          <cell r="BQ135">
            <v>129258819.105476</v>
          </cell>
        </row>
        <row r="135">
          <cell r="BV135">
            <v>0</v>
          </cell>
          <cell r="BW135">
            <v>148224255.950735</v>
          </cell>
        </row>
        <row r="136">
          <cell r="H136">
            <v>0</v>
          </cell>
          <cell r="I136">
            <v>364390913.676</v>
          </cell>
          <cell r="J136">
            <v>0</v>
          </cell>
        </row>
        <row r="136">
          <cell r="N136">
            <v>0</v>
          </cell>
          <cell r="O136">
            <v>312014664.226</v>
          </cell>
          <cell r="P136">
            <v>0</v>
          </cell>
        </row>
        <row r="136">
          <cell r="T136">
            <v>0</v>
          </cell>
          <cell r="U136">
            <v>556675365.5035</v>
          </cell>
          <cell r="V136">
            <v>0</v>
          </cell>
        </row>
        <row r="136">
          <cell r="Z136">
            <v>0</v>
          </cell>
          <cell r="AA136">
            <v>452249909.858583</v>
          </cell>
          <cell r="AB136">
            <v>0</v>
          </cell>
        </row>
        <row r="136">
          <cell r="AF136">
            <v>0</v>
          </cell>
          <cell r="AG136">
            <v>481132794.269588</v>
          </cell>
          <cell r="AH136">
            <v>0</v>
          </cell>
        </row>
        <row r="136">
          <cell r="AL136">
            <v>0</v>
          </cell>
          <cell r="AM136">
            <v>670839457.043153</v>
          </cell>
          <cell r="AN136">
            <v>0</v>
          </cell>
        </row>
        <row r="136">
          <cell r="AR136">
            <v>0</v>
          </cell>
          <cell r="AS136">
            <v>563861199.773</v>
          </cell>
          <cell r="AT136">
            <v>0</v>
          </cell>
        </row>
        <row r="136">
          <cell r="AX136">
            <v>0</v>
          </cell>
          <cell r="AY136">
            <v>608927516.0925</v>
          </cell>
          <cell r="AZ136">
            <v>0</v>
          </cell>
        </row>
        <row r="136">
          <cell r="BD136">
            <v>0</v>
          </cell>
          <cell r="BE136">
            <v>462092119.9785</v>
          </cell>
          <cell r="BF136">
            <v>0</v>
          </cell>
        </row>
        <row r="136">
          <cell r="BJ136">
            <v>0</v>
          </cell>
          <cell r="BK136">
            <v>416147051.9075</v>
          </cell>
          <cell r="BL136">
            <v>0</v>
          </cell>
        </row>
        <row r="136">
          <cell r="BP136">
            <v>0</v>
          </cell>
          <cell r="BQ136">
            <v>415861917.0275</v>
          </cell>
          <cell r="BR136">
            <v>0</v>
          </cell>
        </row>
        <row r="136">
          <cell r="BV136">
            <v>0</v>
          </cell>
          <cell r="BW136">
            <v>397734250.443</v>
          </cell>
          <cell r="BX136">
            <v>0</v>
          </cell>
        </row>
        <row r="137">
          <cell r="H137">
            <v>224895762.5</v>
          </cell>
          <cell r="I137">
            <v>721592206.664</v>
          </cell>
        </row>
        <row r="137">
          <cell r="N137">
            <v>224895762.5</v>
          </cell>
          <cell r="O137">
            <v>665780624.4395</v>
          </cell>
        </row>
        <row r="137">
          <cell r="T137">
            <v>224895762.5</v>
          </cell>
          <cell r="U137">
            <v>801522525.450992</v>
          </cell>
        </row>
        <row r="137">
          <cell r="Z137">
            <v>224895762.5</v>
          </cell>
          <cell r="AA137">
            <v>766438834.159905</v>
          </cell>
        </row>
        <row r="137">
          <cell r="AF137">
            <v>224895762.5</v>
          </cell>
          <cell r="AG137">
            <v>782331838.349459</v>
          </cell>
        </row>
        <row r="137">
          <cell r="AL137">
            <v>224895762.5</v>
          </cell>
          <cell r="AM137">
            <v>744957661.164</v>
          </cell>
        </row>
        <row r="137">
          <cell r="AR137">
            <v>224895762.5</v>
          </cell>
          <cell r="AS137">
            <v>522656992.932001</v>
          </cell>
        </row>
        <row r="137">
          <cell r="AX137">
            <v>224895762.5</v>
          </cell>
          <cell r="AY137">
            <v>1023407298.31325</v>
          </cell>
        </row>
        <row r="137">
          <cell r="BD137">
            <v>224895762.5</v>
          </cell>
          <cell r="BE137">
            <v>784803470.7905</v>
          </cell>
        </row>
        <row r="137">
          <cell r="BJ137">
            <v>224895762.5</v>
          </cell>
          <cell r="BK137">
            <v>798592077.4435</v>
          </cell>
        </row>
        <row r="137">
          <cell r="BP137">
            <v>224895762.5</v>
          </cell>
          <cell r="BQ137">
            <v>716219617.4525</v>
          </cell>
        </row>
        <row r="137">
          <cell r="BV137">
            <v>224895762.5</v>
          </cell>
          <cell r="BW137">
            <v>768154700.8205</v>
          </cell>
        </row>
        <row r="138">
          <cell r="H138">
            <v>351503616.4315</v>
          </cell>
          <cell r="I138">
            <v>814366839.444</v>
          </cell>
        </row>
        <row r="138">
          <cell r="N138">
            <v>351503616.4315</v>
          </cell>
          <cell r="O138">
            <v>792396705.2065</v>
          </cell>
        </row>
        <row r="138">
          <cell r="T138">
            <v>351503616.4315</v>
          </cell>
          <cell r="U138">
            <v>845262525.562914</v>
          </cell>
        </row>
        <row r="138">
          <cell r="Z138">
            <v>351503616.4315</v>
          </cell>
          <cell r="AA138">
            <v>893983799.709487</v>
          </cell>
        </row>
        <row r="138">
          <cell r="AF138">
            <v>351503616.4315</v>
          </cell>
          <cell r="AG138">
            <v>746047901.409765</v>
          </cell>
        </row>
        <row r="138">
          <cell r="AL138">
            <v>351503616.4315</v>
          </cell>
          <cell r="AM138">
            <v>710337596.568</v>
          </cell>
        </row>
        <row r="138">
          <cell r="AR138">
            <v>351503616.4315</v>
          </cell>
          <cell r="AS138">
            <v>593230917.142502</v>
          </cell>
        </row>
        <row r="138">
          <cell r="AX138">
            <v>351503616.4315</v>
          </cell>
          <cell r="AY138">
            <v>668386105.470396</v>
          </cell>
        </row>
        <row r="138">
          <cell r="BD138">
            <v>351503616.4315</v>
          </cell>
          <cell r="BE138">
            <v>617321890.9105</v>
          </cell>
        </row>
        <row r="138">
          <cell r="BJ138">
            <v>351503616.4315</v>
          </cell>
          <cell r="BK138">
            <v>774803861.24</v>
          </cell>
        </row>
        <row r="138">
          <cell r="BP138">
            <v>351503616.4315</v>
          </cell>
          <cell r="BQ138">
            <v>704286156.208</v>
          </cell>
        </row>
        <row r="138">
          <cell r="BV138">
            <v>351503616.4315</v>
          </cell>
          <cell r="BW138">
            <v>726733042.653</v>
          </cell>
        </row>
        <row r="139">
          <cell r="H139">
            <v>790988962.5</v>
          </cell>
          <cell r="I139">
            <v>1181424101.477</v>
          </cell>
        </row>
        <row r="139">
          <cell r="N139">
            <v>790988962.5</v>
          </cell>
          <cell r="O139">
            <v>1248137940.2885</v>
          </cell>
        </row>
        <row r="139">
          <cell r="T139">
            <v>790988962.5</v>
          </cell>
          <cell r="U139">
            <v>1245933819.62637</v>
          </cell>
        </row>
        <row r="139">
          <cell r="Z139">
            <v>790988962.5</v>
          </cell>
          <cell r="AA139">
            <v>1394604262.54736</v>
          </cell>
        </row>
        <row r="139">
          <cell r="AF139">
            <v>790988962.5</v>
          </cell>
          <cell r="AG139">
            <v>1140303575.67544</v>
          </cell>
        </row>
        <row r="139">
          <cell r="AL139">
            <v>790988962.5</v>
          </cell>
          <cell r="AM139">
            <v>991581805.6275</v>
          </cell>
        </row>
        <row r="139">
          <cell r="AR139">
            <v>790988962.5</v>
          </cell>
          <cell r="AS139">
            <v>917550585.0165</v>
          </cell>
        </row>
        <row r="139">
          <cell r="AX139">
            <v>790988962.5</v>
          </cell>
          <cell r="AY139">
            <v>1177501442.80626</v>
          </cell>
        </row>
        <row r="139">
          <cell r="BD139">
            <v>790988962.5</v>
          </cell>
          <cell r="BE139">
            <v>1261740356.32</v>
          </cell>
        </row>
        <row r="139">
          <cell r="BJ139">
            <v>790988962.5</v>
          </cell>
          <cell r="BK139">
            <v>1253988611.575</v>
          </cell>
        </row>
        <row r="139">
          <cell r="BP139">
            <v>790988962.5</v>
          </cell>
          <cell r="BQ139">
            <v>1150479093.617</v>
          </cell>
        </row>
        <row r="139">
          <cell r="BV139">
            <v>790988962.5</v>
          </cell>
          <cell r="BW139">
            <v>1244527120.7385</v>
          </cell>
        </row>
        <row r="140">
          <cell r="H140">
            <v>44775056.2885</v>
          </cell>
          <cell r="I140">
            <v>57955198.8225</v>
          </cell>
        </row>
        <row r="140">
          <cell r="N140">
            <v>62212206.282</v>
          </cell>
          <cell r="O140">
            <v>80371487.027</v>
          </cell>
        </row>
        <row r="140">
          <cell r="T140">
            <v>48561725.241</v>
          </cell>
          <cell r="U140">
            <v>70305037.8751009</v>
          </cell>
        </row>
        <row r="140">
          <cell r="Z140">
            <v>54361794.54</v>
          </cell>
          <cell r="AA140">
            <v>84544837.6069444</v>
          </cell>
        </row>
        <row r="140">
          <cell r="AF140">
            <v>52985663.172</v>
          </cell>
          <cell r="AG140">
            <v>82487286.8286491</v>
          </cell>
        </row>
        <row r="140">
          <cell r="AL140">
            <v>8635453.3395</v>
          </cell>
          <cell r="AM140">
            <v>11792953.8645</v>
          </cell>
        </row>
        <row r="140">
          <cell r="AR140">
            <v>3232522.6895</v>
          </cell>
          <cell r="AS140">
            <v>3697047.171</v>
          </cell>
        </row>
        <row r="140">
          <cell r="AX140">
            <v>42429167.902</v>
          </cell>
          <cell r="AY140">
            <v>65379351.516683</v>
          </cell>
        </row>
        <row r="140">
          <cell r="BD140">
            <v>50953792.13</v>
          </cell>
          <cell r="BE140">
            <v>76906426.599</v>
          </cell>
        </row>
        <row r="140">
          <cell r="BJ140">
            <v>54758933.189</v>
          </cell>
          <cell r="BK140">
            <v>82173922.414</v>
          </cell>
        </row>
        <row r="140">
          <cell r="BP140">
            <v>47268716.5885</v>
          </cell>
          <cell r="BQ140">
            <v>66882775.725</v>
          </cell>
        </row>
        <row r="140">
          <cell r="BV140">
            <v>28122946.4815</v>
          </cell>
          <cell r="BW140">
            <v>45384178.639</v>
          </cell>
        </row>
        <row r="141">
          <cell r="H141">
            <v>246848571.0685</v>
          </cell>
          <cell r="I141">
            <v>661971833.1235</v>
          </cell>
        </row>
        <row r="141">
          <cell r="N141">
            <v>246848571.0685</v>
          </cell>
          <cell r="O141">
            <v>702584851.424</v>
          </cell>
        </row>
        <row r="141">
          <cell r="T141">
            <v>246848571.0685</v>
          </cell>
          <cell r="U141">
            <v>710194167.975429</v>
          </cell>
        </row>
        <row r="141">
          <cell r="Z141">
            <v>246848571.0685</v>
          </cell>
          <cell r="AA141">
            <v>738960714.791315</v>
          </cell>
        </row>
        <row r="141">
          <cell r="AF141">
            <v>246848571.0685</v>
          </cell>
          <cell r="AG141">
            <v>703456677.10291</v>
          </cell>
        </row>
        <row r="141">
          <cell r="AL141">
            <v>246848571.0685</v>
          </cell>
          <cell r="AM141">
            <v>709403589.351</v>
          </cell>
        </row>
        <row r="141">
          <cell r="AR141">
            <v>246848571.0685</v>
          </cell>
          <cell r="AS141">
            <v>603917215.9465</v>
          </cell>
        </row>
        <row r="141">
          <cell r="AX141">
            <v>246848571.0685</v>
          </cell>
          <cell r="AY141">
            <v>858914723.440801</v>
          </cell>
        </row>
        <row r="141">
          <cell r="BD141">
            <v>246848571.0685</v>
          </cell>
          <cell r="BE141">
            <v>765873619.664</v>
          </cell>
        </row>
        <row r="141">
          <cell r="BJ141">
            <v>246848571.0685</v>
          </cell>
          <cell r="BK141">
            <v>770986548.895</v>
          </cell>
        </row>
        <row r="141">
          <cell r="BP141">
            <v>246848571.0685</v>
          </cell>
          <cell r="BQ141">
            <v>713797410.1925</v>
          </cell>
        </row>
        <row r="141">
          <cell r="BV141">
            <v>246848571.0685</v>
          </cell>
          <cell r="BW141">
            <v>777953257.6865</v>
          </cell>
        </row>
        <row r="142">
          <cell r="H142">
            <v>440467166.4315</v>
          </cell>
          <cell r="I142">
            <v>941474239.5825</v>
          </cell>
        </row>
        <row r="142">
          <cell r="N142">
            <v>440467166.4315</v>
          </cell>
          <cell r="O142">
            <v>824155347.168</v>
          </cell>
        </row>
        <row r="142">
          <cell r="T142">
            <v>440467166.4315</v>
          </cell>
          <cell r="U142">
            <v>807812817.629701</v>
          </cell>
        </row>
        <row r="142">
          <cell r="Z142">
            <v>440467166.4315</v>
          </cell>
          <cell r="AA142">
            <v>647525104.33858</v>
          </cell>
        </row>
        <row r="142">
          <cell r="AF142">
            <v>440467166.4315</v>
          </cell>
          <cell r="AG142">
            <v>895999385.296723</v>
          </cell>
        </row>
        <row r="142">
          <cell r="AL142">
            <v>440467166.4315</v>
          </cell>
          <cell r="AM142">
            <v>826496948.9365</v>
          </cell>
        </row>
        <row r="142">
          <cell r="AR142">
            <v>440467166.4315</v>
          </cell>
          <cell r="AS142">
            <v>721278887.764499</v>
          </cell>
        </row>
        <row r="142">
          <cell r="AX142">
            <v>440467166.4315</v>
          </cell>
          <cell r="AY142">
            <v>973167845.414702</v>
          </cell>
        </row>
        <row r="142">
          <cell r="BD142">
            <v>440467166.4315</v>
          </cell>
          <cell r="BE142">
            <v>875389296.8755</v>
          </cell>
        </row>
        <row r="142">
          <cell r="BJ142">
            <v>440467166.4315</v>
          </cell>
          <cell r="BK142">
            <v>897503741.138</v>
          </cell>
        </row>
        <row r="142">
          <cell r="BP142">
            <v>440467166.4315</v>
          </cell>
          <cell r="BQ142">
            <v>828567584.3815</v>
          </cell>
        </row>
        <row r="142">
          <cell r="BV142">
            <v>440467166.4315</v>
          </cell>
          <cell r="BW142">
            <v>956926281.1905</v>
          </cell>
        </row>
        <row r="143">
          <cell r="H143">
            <v>712005644.082</v>
          </cell>
          <cell r="I143">
            <v>1163558246.648</v>
          </cell>
        </row>
        <row r="143">
          <cell r="N143">
            <v>739307377.2755</v>
          </cell>
          <cell r="O143">
            <v>1267563747.3325</v>
          </cell>
        </row>
        <row r="143">
          <cell r="T143">
            <v>719469428.4195</v>
          </cell>
          <cell r="U143">
            <v>1193477910.41316</v>
          </cell>
        </row>
        <row r="143">
          <cell r="Z143">
            <v>534249752</v>
          </cell>
          <cell r="AA143">
            <v>945976197.793268</v>
          </cell>
        </row>
        <row r="143">
          <cell r="AF143">
            <v>566265454.1745</v>
          </cell>
          <cell r="AG143">
            <v>1021292028.37095</v>
          </cell>
        </row>
        <row r="143">
          <cell r="AL143">
            <v>644242347.917</v>
          </cell>
          <cell r="AM143">
            <v>1112200923.3335</v>
          </cell>
        </row>
        <row r="143">
          <cell r="AR143">
            <v>717898104.25</v>
          </cell>
          <cell r="AS143">
            <v>893652080.114499</v>
          </cell>
        </row>
        <row r="143">
          <cell r="AX143">
            <v>825337300.949</v>
          </cell>
          <cell r="AY143">
            <v>1712093379.30562</v>
          </cell>
        </row>
        <row r="143">
          <cell r="BD143">
            <v>772501571.3425</v>
          </cell>
          <cell r="BE143">
            <v>1351952622.977</v>
          </cell>
        </row>
        <row r="143">
          <cell r="BJ143">
            <v>849496388.6255</v>
          </cell>
          <cell r="BK143">
            <v>1405607800.7105</v>
          </cell>
        </row>
        <row r="143">
          <cell r="BP143">
            <v>865798862.5095</v>
          </cell>
          <cell r="BQ143">
            <v>1330349123.685</v>
          </cell>
        </row>
        <row r="143">
          <cell r="BV143">
            <v>775840632.2925</v>
          </cell>
          <cell r="BW143">
            <v>1379668583.4405</v>
          </cell>
        </row>
        <row r="145">
          <cell r="J145">
            <v>686733700</v>
          </cell>
        </row>
        <row r="145">
          <cell r="P145">
            <v>686733700</v>
          </cell>
        </row>
        <row r="145">
          <cell r="V145">
            <v>686733700</v>
          </cell>
        </row>
        <row r="145">
          <cell r="AB145">
            <v>686733700</v>
          </cell>
        </row>
        <row r="145">
          <cell r="AH145">
            <v>686733700</v>
          </cell>
        </row>
        <row r="145">
          <cell r="AN145">
            <v>686733700</v>
          </cell>
        </row>
        <row r="145">
          <cell r="AT145">
            <v>686733700</v>
          </cell>
        </row>
        <row r="145">
          <cell r="AZ145">
            <v>686733700</v>
          </cell>
        </row>
        <row r="145">
          <cell r="BF145">
            <v>686733700</v>
          </cell>
        </row>
        <row r="145">
          <cell r="BL145">
            <v>686733700</v>
          </cell>
        </row>
        <row r="145">
          <cell r="BR145">
            <v>686733700</v>
          </cell>
        </row>
        <row r="145">
          <cell r="BX145">
            <v>686733700</v>
          </cell>
        </row>
        <row r="146">
          <cell r="H146">
            <v>730395331.25</v>
          </cell>
        </row>
        <row r="146">
          <cell r="N146">
            <v>730395331.25</v>
          </cell>
        </row>
        <row r="146">
          <cell r="T146">
            <v>730395331.25</v>
          </cell>
        </row>
        <row r="146">
          <cell r="Z146">
            <v>730395331.25</v>
          </cell>
        </row>
        <row r="146">
          <cell r="AF146">
            <v>730395331.25</v>
          </cell>
        </row>
        <row r="146">
          <cell r="AL146">
            <v>730395331.25</v>
          </cell>
        </row>
        <row r="146">
          <cell r="AR146">
            <v>730395331.25</v>
          </cell>
        </row>
        <row r="146">
          <cell r="AX146">
            <v>730395331.25</v>
          </cell>
        </row>
        <row r="146">
          <cell r="BD146">
            <v>730395331.25</v>
          </cell>
        </row>
        <row r="146">
          <cell r="BJ146">
            <v>730395331.25</v>
          </cell>
        </row>
        <row r="146">
          <cell r="BP146">
            <v>730395331.25</v>
          </cell>
        </row>
        <row r="146">
          <cell r="BV146">
            <v>730395331.25</v>
          </cell>
        </row>
        <row r="147">
          <cell r="J147">
            <v>40166466.6666667</v>
          </cell>
        </row>
        <row r="147">
          <cell r="P147">
            <v>40166466.6666667</v>
          </cell>
        </row>
        <row r="147">
          <cell r="V147">
            <v>40166466.6666667</v>
          </cell>
        </row>
        <row r="147">
          <cell r="AB147">
            <v>40166466.6666667</v>
          </cell>
        </row>
        <row r="147">
          <cell r="AH147">
            <v>40166466.6666667</v>
          </cell>
        </row>
        <row r="147">
          <cell r="AN147">
            <v>40166466.6666667</v>
          </cell>
        </row>
        <row r="147">
          <cell r="AT147">
            <v>40166466.6666667</v>
          </cell>
        </row>
        <row r="147">
          <cell r="AZ147">
            <v>40166466.6666667</v>
          </cell>
        </row>
        <row r="147">
          <cell r="BF147">
            <v>40166466.6666667</v>
          </cell>
        </row>
        <row r="147">
          <cell r="BL147">
            <v>40166466.6666667</v>
          </cell>
        </row>
        <row r="147">
          <cell r="BR147">
            <v>40166466.6666667</v>
          </cell>
        </row>
        <row r="147">
          <cell r="BX147">
            <v>40166466.6666667</v>
          </cell>
        </row>
        <row r="151">
          <cell r="H151">
            <v>781752791.4315</v>
          </cell>
          <cell r="I151">
            <v>1813993464.3935</v>
          </cell>
          <cell r="J151">
            <v>-457798950</v>
          </cell>
        </row>
        <row r="151">
          <cell r="N151">
            <v>781752791.4315</v>
          </cell>
          <cell r="O151">
            <v>2046778382.579</v>
          </cell>
          <cell r="P151">
            <v>232744450</v>
          </cell>
        </row>
        <row r="151">
          <cell r="T151">
            <v>781752791.4315</v>
          </cell>
          <cell r="U151">
            <v>995375689.023</v>
          </cell>
          <cell r="V151">
            <v>0</v>
          </cell>
        </row>
        <row r="151">
          <cell r="Z151">
            <v>783479798.9915</v>
          </cell>
          <cell r="AA151">
            <v>1774898790.74</v>
          </cell>
          <cell r="AB151">
            <v>-107495606.3625</v>
          </cell>
        </row>
        <row r="151">
          <cell r="AF151">
            <v>782074493.082</v>
          </cell>
          <cell r="AG151">
            <v>2346914922.1585</v>
          </cell>
          <cell r="AH151">
            <v>7327986.17</v>
          </cell>
        </row>
        <row r="151">
          <cell r="AL151">
            <v>781752791.4315</v>
          </cell>
          <cell r="AM151">
            <v>1947289655.865</v>
          </cell>
          <cell r="AN151">
            <v>98118912.393</v>
          </cell>
        </row>
        <row r="151">
          <cell r="AR151">
            <v>781752791.4315</v>
          </cell>
          <cell r="AS151">
            <v>2262596452.592</v>
          </cell>
          <cell r="AT151">
            <v>0</v>
          </cell>
        </row>
        <row r="151">
          <cell r="AX151">
            <v>781752791.4315</v>
          </cell>
          <cell r="AY151">
            <v>1534836115.1625</v>
          </cell>
          <cell r="AZ151">
            <v>0</v>
          </cell>
        </row>
        <row r="151">
          <cell r="BD151">
            <v>753895035.345</v>
          </cell>
          <cell r="BE151">
            <v>1501443692.5275</v>
          </cell>
          <cell r="BF151">
            <v>0</v>
          </cell>
        </row>
        <row r="151">
          <cell r="BJ151">
            <v>781752791.4315</v>
          </cell>
          <cell r="BK151">
            <v>2219554526.898</v>
          </cell>
          <cell r="BL151">
            <v>40461.836</v>
          </cell>
        </row>
        <row r="151">
          <cell r="BP151">
            <v>781752791.4315</v>
          </cell>
          <cell r="BQ151">
            <v>1755381694.818</v>
          </cell>
          <cell r="BR151">
            <v>27817294.956</v>
          </cell>
        </row>
        <row r="151">
          <cell r="BV151">
            <v>781752791.4315</v>
          </cell>
          <cell r="BW151">
            <v>1968908401.012</v>
          </cell>
          <cell r="BX151">
            <v>0</v>
          </cell>
        </row>
        <row r="152">
          <cell r="H152">
            <v>0</v>
          </cell>
          <cell r="I152">
            <v>0</v>
          </cell>
          <cell r="J152">
            <v>0</v>
          </cell>
        </row>
        <row r="152">
          <cell r="N152">
            <v>0</v>
          </cell>
          <cell r="O152">
            <v>0</v>
          </cell>
          <cell r="P152">
            <v>0</v>
          </cell>
        </row>
        <row r="152">
          <cell r="T152">
            <v>0</v>
          </cell>
          <cell r="U152">
            <v>0</v>
          </cell>
          <cell r="V152">
            <v>0</v>
          </cell>
        </row>
        <row r="152">
          <cell r="Z152">
            <v>0</v>
          </cell>
          <cell r="AA152">
            <v>0</v>
          </cell>
          <cell r="AB152">
            <v>0</v>
          </cell>
        </row>
        <row r="152">
          <cell r="AF152">
            <v>0</v>
          </cell>
          <cell r="AG152">
            <v>0</v>
          </cell>
          <cell r="AH152">
            <v>0</v>
          </cell>
        </row>
        <row r="152">
          <cell r="AL152">
            <v>0</v>
          </cell>
          <cell r="AM152">
            <v>0</v>
          </cell>
          <cell r="AN152">
            <v>0</v>
          </cell>
        </row>
        <row r="152">
          <cell r="AR152">
            <v>0</v>
          </cell>
          <cell r="AS152">
            <v>0</v>
          </cell>
          <cell r="AT152">
            <v>0</v>
          </cell>
        </row>
        <row r="152">
          <cell r="AX152">
            <v>0</v>
          </cell>
          <cell r="AY152">
            <v>0</v>
          </cell>
          <cell r="AZ152">
            <v>0</v>
          </cell>
        </row>
        <row r="152">
          <cell r="BD152">
            <v>0</v>
          </cell>
          <cell r="BE152">
            <v>0</v>
          </cell>
          <cell r="BF152">
            <v>0</v>
          </cell>
        </row>
        <row r="152">
          <cell r="BJ152">
            <v>0</v>
          </cell>
          <cell r="BK152">
            <v>0</v>
          </cell>
          <cell r="BL152">
            <v>0</v>
          </cell>
        </row>
        <row r="152">
          <cell r="BP152">
            <v>0</v>
          </cell>
          <cell r="BQ152">
            <v>0</v>
          </cell>
          <cell r="BR152">
            <v>0</v>
          </cell>
        </row>
        <row r="152">
          <cell r="BV152">
            <v>0</v>
          </cell>
          <cell r="BW152">
            <v>0</v>
          </cell>
          <cell r="BX15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2023-24"/>
      <sheetName val="Intra &amp; Inter State 23-24"/>
      <sheetName val="STOA 23-24"/>
      <sheetName val="NCEs NP 23-24"/>
      <sheetName val="NCEs SP 23-24"/>
      <sheetName val="For FSA "/>
      <sheetName val="Sheet2"/>
      <sheetName val="Sheet5"/>
      <sheetName val="Sheet1"/>
      <sheetName val="Month wise stn wise"/>
      <sheetName val="Month wise stn wise (2)"/>
    </sheetNames>
    <sheetDataSet>
      <sheetData sheetId="0">
        <row r="108">
          <cell r="J108">
            <v>0</v>
          </cell>
        </row>
        <row r="108">
          <cell r="P108">
            <v>0</v>
          </cell>
        </row>
        <row r="108">
          <cell r="V108">
            <v>0</v>
          </cell>
        </row>
        <row r="108">
          <cell r="AB108">
            <v>0</v>
          </cell>
        </row>
        <row r="108">
          <cell r="AH108">
            <v>0</v>
          </cell>
        </row>
        <row r="108">
          <cell r="AN108">
            <v>0</v>
          </cell>
        </row>
        <row r="108">
          <cell r="AT108">
            <v>0</v>
          </cell>
        </row>
        <row r="108">
          <cell r="AZ108">
            <v>0</v>
          </cell>
        </row>
        <row r="108">
          <cell r="BF108">
            <v>0</v>
          </cell>
        </row>
        <row r="108">
          <cell r="BL108">
            <v>0</v>
          </cell>
        </row>
        <row r="108">
          <cell r="BR108">
            <v>0</v>
          </cell>
        </row>
        <row r="108">
          <cell r="BX10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PP Summary"/>
      <sheetName val="22-23 SPDCL"/>
      <sheetName val="22-23 NPDCL"/>
      <sheetName val="Energy Req"/>
      <sheetName val="FY 2022-23 Input"/>
      <sheetName val="FY 2022-23 Input SP"/>
      <sheetName val="FY 2022-23 Input NP"/>
      <sheetName val="Agri Adjusted Dispatch"/>
      <sheetName val="FY 2022-23 Agri Adj"/>
      <sheetName val="FY 2022-23 agri adj SP"/>
      <sheetName val="FY 2022-23 agri adj NP"/>
      <sheetName val="FY 2018-19 TSSPDCL Unadjuted"/>
      <sheetName val="FY 2018-19 TSNPDCL Unadjuted"/>
      <sheetName val="FY 2018-19 TSSPDCL Adjusted"/>
      <sheetName val="FY 2018-19 TSNPDCL Adjusted"/>
      <sheetName val="Summary"/>
      <sheetName val="Annexure F"/>
    </sheetNames>
    <sheetDataSet>
      <sheetData sheetId="0" refreshError="1"/>
      <sheetData sheetId="1">
        <row r="27">
          <cell r="E27">
            <v>8657.366875</v>
          </cell>
          <cell r="F27">
            <v>8331.88343998933</v>
          </cell>
        </row>
        <row r="28">
          <cell r="E28">
            <v>938.872345</v>
          </cell>
          <cell r="F28">
            <v>938.872345117583</v>
          </cell>
        </row>
        <row r="29">
          <cell r="E29">
            <v>5543.5368</v>
          </cell>
          <cell r="F29">
            <v>6245.29814743227</v>
          </cell>
        </row>
        <row r="31">
          <cell r="E31">
            <v>2981.96</v>
          </cell>
          <cell r="F31">
            <v>3078.53706061093</v>
          </cell>
        </row>
        <row r="32">
          <cell r="E32">
            <v>6345.21056</v>
          </cell>
          <cell r="F32">
            <v>5889.86900991192</v>
          </cell>
        </row>
        <row r="33">
          <cell r="E33">
            <v>505.064505</v>
          </cell>
          <cell r="F33">
            <v>2955.26329523741</v>
          </cell>
        </row>
        <row r="34">
          <cell r="E34">
            <v>-1142.30327</v>
          </cell>
          <cell r="F34">
            <v>-1195.17265666338</v>
          </cell>
        </row>
        <row r="35">
          <cell r="E35">
            <v>60.12</v>
          </cell>
          <cell r="F35">
            <v>0</v>
          </cell>
        </row>
        <row r="36">
          <cell r="E36">
            <v>922.39892</v>
          </cell>
          <cell r="F36">
            <v>922.3989205644</v>
          </cell>
        </row>
        <row r="37">
          <cell r="E37">
            <v>3530.04</v>
          </cell>
          <cell r="F37">
            <v>4134.13541784763</v>
          </cell>
        </row>
        <row r="39">
          <cell r="E39">
            <v>0</v>
          </cell>
          <cell r="F39">
            <v>963.184501381943</v>
          </cell>
        </row>
        <row r="42">
          <cell r="G42">
            <v>811.38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>
        <row r="176">
          <cell r="P176">
            <v>2383.6425912</v>
          </cell>
        </row>
        <row r="177">
          <cell r="P177">
            <v>31.6680813</v>
          </cell>
        </row>
        <row r="178">
          <cell r="P178">
            <v>1718.82474534763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TGSPDCL"/>
      <sheetName val="TGNPDCL"/>
      <sheetName val="Total Discoms"/>
      <sheetName val="TGSPDCL (2)"/>
      <sheetName val="TGNPDCL (2)"/>
      <sheetName val="State level"/>
      <sheetName val="TGSPDCL (3)"/>
      <sheetName val="TGNPDCL (3)"/>
      <sheetName val="IOWC_SP"/>
      <sheetName val="IOWC_NP"/>
      <sheetName val="Security Deposit_SP"/>
      <sheetName val="Security Deposit_NP"/>
      <sheetName val="ACoS"/>
      <sheetName val="FY26_Discussion"/>
      <sheetName val="FY26_Discussion 01.15.25"/>
      <sheetName val="Sheet4"/>
      <sheetName val="Agriculture data"/>
    </sheetNames>
    <sheetDataSet>
      <sheetData sheetId="0"/>
      <sheetData sheetId="1">
        <row r="4">
          <cell r="D4">
            <v>2670</v>
          </cell>
        </row>
        <row r="5">
          <cell r="D5">
            <v>1714</v>
          </cell>
        </row>
        <row r="6">
          <cell r="D6">
            <v>33</v>
          </cell>
        </row>
      </sheetData>
      <sheetData sheetId="2"/>
      <sheetData sheetId="3"/>
      <sheetData sheetId="4"/>
      <sheetData sheetId="5"/>
      <sheetData sheetId="6"/>
      <sheetData sheetId="7">
        <row r="37">
          <cell r="H37">
            <v>-5980.63540401572</v>
          </cell>
        </row>
      </sheetData>
      <sheetData sheetId="8"/>
      <sheetData sheetId="9">
        <row r="3">
          <cell r="C3">
            <v>32.5991632844595</v>
          </cell>
          <cell r="D3">
            <v>35.1350362867854</v>
          </cell>
          <cell r="E3">
            <v>44.193433859399</v>
          </cell>
          <cell r="F3">
            <v>47.6356702290156</v>
          </cell>
          <cell r="G3">
            <v>51.3184603653247</v>
          </cell>
        </row>
        <row r="4">
          <cell r="C4">
            <v>22.9565379502279</v>
          </cell>
          <cell r="D4">
            <v>27.0537512298841</v>
          </cell>
          <cell r="E4">
            <v>32.4506500904725</v>
          </cell>
          <cell r="F4">
            <v>39.2845097111648</v>
          </cell>
          <cell r="G4">
            <v>46.6934115499079</v>
          </cell>
        </row>
        <row r="5">
          <cell r="C5">
            <v>6705.77436854548</v>
          </cell>
          <cell r="D5">
            <v>8051.15825866891</v>
          </cell>
          <cell r="E5">
            <v>9008.05267624204</v>
          </cell>
          <cell r="F5">
            <v>10156.3189662563</v>
          </cell>
          <cell r="G5">
            <v>11217.2097358269</v>
          </cell>
        </row>
        <row r="7">
          <cell r="C7">
            <v>4790.83632204228</v>
          </cell>
          <cell r="D7">
            <v>4902.07623104599</v>
          </cell>
          <cell r="E7">
            <v>5022.61062304584</v>
          </cell>
          <cell r="F7">
            <v>5151.89334325817</v>
          </cell>
          <cell r="G7">
            <v>5291.79272078446</v>
          </cell>
        </row>
        <row r="8">
          <cell r="C8">
            <v>4290.55737564023</v>
          </cell>
          <cell r="D8">
            <v>5192.65323210032</v>
          </cell>
          <cell r="E8">
            <v>5676.58072271561</v>
          </cell>
          <cell r="F8">
            <v>6372.34429836509</v>
          </cell>
          <cell r="G8">
            <v>6992.44117818403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Approved ARR_Revenue"/>
      <sheetName val="Sheet9"/>
      <sheetName val="Approved sales"/>
      <sheetName val="Actual_sales"/>
      <sheetName val="Sheet2"/>
      <sheetName val="Summary"/>
      <sheetName val="Sheet1"/>
      <sheetName val="Energy balance"/>
      <sheetName val="Actual_Apprvd_FY 24_25"/>
      <sheetName val="Actual_FY24_Projected_25_Sales"/>
      <sheetName val="Sales revision_TSNPDCL"/>
      <sheetName val="LT-Consumer impact"/>
      <sheetName val="HT-Consumer impact"/>
      <sheetName val="Revenue impact"/>
      <sheetName val="ARR summary with actuals_V2"/>
      <sheetName val="ARR summary - 5 year"/>
      <sheetName val="ARR summary with actuals"/>
      <sheetName val="Revenue gap_Ways"/>
      <sheetName val="Sheet5"/>
      <sheetName val="Sheet6"/>
      <sheetName val="FY 24_filed vs approved"/>
      <sheetName val="TRANSMISSION projections"/>
      <sheetName val="SLDC projections"/>
      <sheetName val="PP Cost actuals FY 24"/>
      <sheetName val="Revenue actuals FY 24"/>
      <sheetName val="RevenActual_Apprvd_FY 24_25"/>
      <sheetName val="Agri and LIS sales comparison"/>
      <sheetName val="Sheet4"/>
      <sheetName val="SPDCL load factor"/>
      <sheetName val="Energy charges"/>
      <sheetName val="ED"/>
      <sheetName val="EC with ED"/>
      <sheetName val="Sales_scenarios"/>
      <sheetName val="SPDCL_Resource plan"/>
      <sheetName val="NPDCL_Resource plan"/>
      <sheetName val="Actual_FY24_Projected_25_Sa (2)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E5">
            <v>22590.84</v>
          </cell>
        </row>
        <row r="5">
          <cell r="G5">
            <v>22276.22</v>
          </cell>
          <cell r="H5">
            <v>22131.05</v>
          </cell>
          <cell r="I5">
            <v>21606.63</v>
          </cell>
        </row>
        <row r="6">
          <cell r="E6">
            <v>109.55</v>
          </cell>
        </row>
        <row r="6">
          <cell r="G6">
            <v>166.83</v>
          </cell>
          <cell r="H6">
            <v>188.64</v>
          </cell>
          <cell r="I6">
            <v>211.85</v>
          </cell>
        </row>
        <row r="10">
          <cell r="E10">
            <v>2095.10924</v>
          </cell>
        </row>
        <row r="10">
          <cell r="G10">
            <v>3146.33246</v>
          </cell>
          <cell r="H10">
            <v>3534.435065</v>
          </cell>
          <cell r="I10">
            <v>3875.149235</v>
          </cell>
        </row>
        <row r="17">
          <cell r="E17">
            <v>1623.6925924152</v>
          </cell>
        </row>
        <row r="17">
          <cell r="G17">
            <v>1790.12108313776</v>
          </cell>
          <cell r="H17">
            <v>1879.62713729465</v>
          </cell>
          <cell r="I17">
            <v>1973.60849415938</v>
          </cell>
        </row>
      </sheetData>
      <sheetData sheetId="22">
        <row r="6">
          <cell r="D6">
            <v>23598.52</v>
          </cell>
        </row>
        <row r="6">
          <cell r="F6">
            <v>23283.9</v>
          </cell>
          <cell r="G6">
            <v>23130.72</v>
          </cell>
          <cell r="H6">
            <v>22600.31</v>
          </cell>
        </row>
        <row r="7">
          <cell r="D7">
            <v>2.9518</v>
          </cell>
        </row>
        <row r="7">
          <cell r="F7">
            <v>3.94622</v>
          </cell>
          <cell r="G7">
            <v>4.10997</v>
          </cell>
          <cell r="H7">
            <v>4.35503</v>
          </cell>
        </row>
        <row r="10">
          <cell r="D10">
            <v>58.972745</v>
          </cell>
        </row>
        <row r="10">
          <cell r="F10">
            <v>77.78843</v>
          </cell>
          <cell r="G10">
            <v>80.48344</v>
          </cell>
          <cell r="H10">
            <v>83.326605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 sheet"/>
      <sheetName val="O&amp;M Projections New Methodo (2)"/>
      <sheetName val="O&amp;M Projections New Methodology"/>
      <sheetName val="O&amp;M cost projections"/>
      <sheetName val="Escalation method"/>
      <sheetName val="Sales Method"/>
      <sheetName val="Inflation rates"/>
      <sheetName val="Revised Norms method"/>
      <sheetName val="R&amp;M Cost"/>
      <sheetName val="Network elements - Projected"/>
      <sheetName val="Network element - actuals"/>
      <sheetName val="Inflation for CAPEX"/>
      <sheetName val="Total DTR projections"/>
      <sheetName val="DTR Projections_Non Agri"/>
      <sheetName val="DTR Projections_Agri"/>
      <sheetName val="Network length summary"/>
      <sheetName val="Updated_DISCOM_Summary"/>
      <sheetName val="Updated summary - SS &amp; Feeders"/>
      <sheetName val="Consumer data projections"/>
      <sheetName val="Provisional O&amp;M cost FY 18-19"/>
      <sheetName val="4th CP GFA - Actuals "/>
      <sheetName val="GFA Projections"/>
      <sheetName val="tables for presenattion"/>
    </sheetNames>
    <sheetDataSet>
      <sheetData sheetId="0"/>
      <sheetData sheetId="1"/>
      <sheetData sheetId="2">
        <row r="5">
          <cell r="J5">
            <v>3510.7241</v>
          </cell>
          <cell r="K5">
            <v>3763.397479</v>
          </cell>
          <cell r="L5">
            <v>4786.99130569</v>
          </cell>
          <cell r="M5">
            <v>5131.6506265091</v>
          </cell>
          <cell r="N5">
            <v>5501.2016941392</v>
          </cell>
        </row>
        <row r="6">
          <cell r="J6">
            <v>187.48414050811</v>
          </cell>
          <cell r="K6">
            <v>196.486659966624</v>
          </cell>
          <cell r="L6">
            <v>205.921457890833</v>
          </cell>
          <cell r="M6">
            <v>215.809291211367</v>
          </cell>
          <cell r="N6">
            <v>226.171913554745</v>
          </cell>
        </row>
        <row r="7">
          <cell r="J7">
            <v>213.691353627035</v>
          </cell>
          <cell r="K7">
            <v>256.320215447624</v>
          </cell>
          <cell r="L7">
            <v>310.299299547051</v>
          </cell>
          <cell r="M7">
            <v>368.820509761403</v>
          </cell>
          <cell r="N7">
            <v>430.84163614502</v>
          </cell>
        </row>
        <row r="12">
          <cell r="J12">
            <v>27053.7512298841</v>
          </cell>
          <cell r="K12">
            <v>32450.6500904725</v>
          </cell>
          <cell r="L12">
            <v>39284.5097111648</v>
          </cell>
          <cell r="M12">
            <v>46693.4115499079</v>
          </cell>
          <cell r="N12">
            <v>54545.4097505842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Checklist"/>
      <sheetName val="F1"/>
      <sheetName val="F2"/>
      <sheetName val="F3"/>
      <sheetName val="F4"/>
      <sheetName val="F4A"/>
      <sheetName val="F4B"/>
      <sheetName val="F5"/>
      <sheetName val="F6"/>
      <sheetName val="F7"/>
      <sheetName val="F8"/>
      <sheetName val="F9-Year(n-1)"/>
      <sheetName val="F9-Year(n)"/>
      <sheetName val="F9-Year(n+1)"/>
      <sheetName val="F9-Year(n+2)"/>
      <sheetName val="F9-Year(n+3)"/>
      <sheetName val="F9-Year(n+4)"/>
      <sheetName val="F9-Year(n+5)"/>
      <sheetName val="F10"/>
      <sheetName val="F11-Year(n-1)"/>
      <sheetName val="F11-Year(n)"/>
      <sheetName val="F11-Year(n+1)"/>
      <sheetName val="F11-Year(n+2)"/>
      <sheetName val="F11-Year(n+3)"/>
      <sheetName val="F11-Year(n+4)"/>
      <sheetName val="F11-Year(n+5)"/>
      <sheetName val="F12"/>
      <sheetName val="F13-Year(n-1)"/>
      <sheetName val="F13-Year(n)"/>
      <sheetName val="F13-Year(n+1)"/>
      <sheetName val="F13-Year(n+2)"/>
      <sheetName val="F13-Year(n+3)"/>
      <sheetName val="F13-Year(n+4)"/>
      <sheetName val="F13-Year(n+5)"/>
      <sheetName val="F14"/>
      <sheetName val="F15"/>
      <sheetName val="F15.1"/>
      <sheetName val="F15.2"/>
      <sheetName val="F15.3"/>
      <sheetName val="F16"/>
      <sheetName val="F16.1"/>
      <sheetName val="F16.2"/>
      <sheetName val="F17"/>
      <sheetName val="F18"/>
      <sheetName val="F19"/>
      <sheetName val="F20"/>
      <sheetName val="F21"/>
      <sheetName val="F22"/>
      <sheetName val="F23"/>
      <sheetName val="F24"/>
      <sheetName val="F24.1"/>
      <sheetName val="F24.2"/>
      <sheetName val="F24.3"/>
      <sheetName val="F24.4"/>
      <sheetName val="F24.5"/>
      <sheetName val="F24.6"/>
      <sheetName val="F24.7"/>
      <sheetName val="F24.8"/>
      <sheetName val="F25"/>
      <sheetName val="F26-Year(n-1)"/>
      <sheetName val="F26-Year(n)"/>
      <sheetName val="F26-Year(n+1)(Current Tariff)"/>
      <sheetName val="F26-Year(n+1)(Proposed Tarif)"/>
      <sheetName val="F27"/>
      <sheetName val="F28"/>
      <sheetName val="F2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66">
          <cell r="G66">
            <v>5292.306</v>
          </cell>
          <cell r="H66">
            <v>0</v>
          </cell>
          <cell r="I66">
            <v>0</v>
          </cell>
          <cell r="J66">
            <v>4693.329</v>
          </cell>
        </row>
        <row r="99">
          <cell r="G99">
            <v>469.52</v>
          </cell>
          <cell r="H99">
            <v>0</v>
          </cell>
          <cell r="I99">
            <v>0</v>
          </cell>
          <cell r="J99">
            <v>469.52</v>
          </cell>
        </row>
      </sheetData>
      <sheetData sheetId="38">
        <row r="75">
          <cell r="G75">
            <v>154.089</v>
          </cell>
          <cell r="H75">
            <v>0</v>
          </cell>
          <cell r="I75">
            <v>0</v>
          </cell>
          <cell r="J75">
            <v>153.072</v>
          </cell>
        </row>
        <row r="112">
          <cell r="G112">
            <v>15.86552551</v>
          </cell>
          <cell r="H112">
            <v>0</v>
          </cell>
          <cell r="I112">
            <v>0</v>
          </cell>
          <cell r="J112">
            <v>17.008</v>
          </cell>
        </row>
      </sheetData>
      <sheetData sheetId="39">
        <row r="40">
          <cell r="G40">
            <v>174.537</v>
          </cell>
          <cell r="H40">
            <v>0</v>
          </cell>
          <cell r="I40">
            <v>0</v>
          </cell>
          <cell r="J40">
            <v>218.196</v>
          </cell>
        </row>
        <row r="60">
          <cell r="G60">
            <v>19.393</v>
          </cell>
          <cell r="H60">
            <v>0</v>
          </cell>
          <cell r="I60">
            <v>0</v>
          </cell>
          <cell r="J60">
            <v>24.244</v>
          </cell>
        </row>
      </sheetData>
      <sheetData sheetId="40"/>
      <sheetData sheetId="41">
        <row r="11">
          <cell r="G11">
            <v>0</v>
          </cell>
          <cell r="H11">
            <v>0</v>
          </cell>
        </row>
        <row r="17">
          <cell r="H17">
            <v>0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2"/>
      <sheetName val="2a"/>
      <sheetName val="2b"/>
      <sheetName val="2c"/>
      <sheetName val="3"/>
      <sheetName val="4"/>
      <sheetName val="5"/>
      <sheetName val="6"/>
      <sheetName val="7"/>
      <sheetName val="8"/>
      <sheetName val="9"/>
      <sheetName val="10"/>
      <sheetName val="Sheet2"/>
      <sheetName val="2a Empl.Cost Info"/>
      <sheetName val="Sheet3"/>
      <sheetName val="2b A&amp;G Info"/>
      <sheetName val="Sheet1"/>
    </sheetNames>
    <sheetDataSet>
      <sheetData sheetId="0"/>
      <sheetData sheetId="1"/>
      <sheetData sheetId="2">
        <row r="5">
          <cell r="B5">
            <v>1</v>
          </cell>
          <cell r="C5" t="str">
            <v>Basic Salary</v>
          </cell>
          <cell r="D5">
            <v>1253.1523894</v>
          </cell>
          <cell r="E5">
            <v>1182.7793555</v>
          </cell>
          <cell r="F5">
            <v>1215.03</v>
          </cell>
          <cell r="G5">
            <v>1822.16</v>
          </cell>
          <cell r="H5">
            <v>1823.8</v>
          </cell>
        </row>
        <row r="6">
          <cell r="B6">
            <v>2</v>
          </cell>
          <cell r="C6" t="str">
            <v>Dearness Allowance (DA)</v>
          </cell>
          <cell r="D6">
            <v>92.1167606</v>
          </cell>
          <cell r="E6">
            <v>173.047033</v>
          </cell>
          <cell r="F6">
            <v>253.99</v>
          </cell>
          <cell r="G6">
            <v>83.23</v>
          </cell>
          <cell r="H6">
            <v>109.48</v>
          </cell>
        </row>
        <row r="7">
          <cell r="B7">
            <v>3</v>
          </cell>
          <cell r="C7" t="str">
            <v>House Rent Allowance</v>
          </cell>
          <cell r="D7">
            <v>154.4344023</v>
          </cell>
          <cell r="E7">
            <v>166.4789801</v>
          </cell>
          <cell r="F7">
            <v>181.06</v>
          </cell>
          <cell r="G7">
            <v>266.5</v>
          </cell>
          <cell r="H7">
            <v>275.48</v>
          </cell>
        </row>
        <row r="8">
          <cell r="B8">
            <v>4</v>
          </cell>
          <cell r="C8" t="str">
            <v>Conveyance Allowance</v>
          </cell>
          <cell r="D8">
            <v>16.5764275</v>
          </cell>
          <cell r="E8">
            <v>22.6750677</v>
          </cell>
          <cell r="F8">
            <v>22.9</v>
          </cell>
          <cell r="G8">
            <v>23.36</v>
          </cell>
          <cell r="H8">
            <v>23.88</v>
          </cell>
        </row>
        <row r="9">
          <cell r="B9">
            <v>5</v>
          </cell>
          <cell r="C9" t="str">
            <v>Leave Travel Allowance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B10">
            <v>6</v>
          </cell>
          <cell r="C10" t="str">
            <v>Earned Leave Encashment</v>
          </cell>
          <cell r="D10">
            <v>44.397469</v>
          </cell>
          <cell r="E10">
            <v>44.2553225</v>
          </cell>
          <cell r="F10">
            <v>47.26</v>
          </cell>
          <cell r="G10">
            <v>56.57</v>
          </cell>
          <cell r="H10">
            <v>71.49</v>
          </cell>
        </row>
        <row r="11">
          <cell r="B11">
            <v>7</v>
          </cell>
          <cell r="C11" t="str">
            <v>Other Allowances</v>
          </cell>
          <cell r="D11">
            <v>33.1412989</v>
          </cell>
          <cell r="E11">
            <v>33.2496564</v>
          </cell>
          <cell r="F11">
            <v>34.22</v>
          </cell>
          <cell r="G11">
            <v>43.13</v>
          </cell>
          <cell r="H11">
            <v>48.72</v>
          </cell>
        </row>
        <row r="12">
          <cell r="B12">
            <v>8</v>
          </cell>
          <cell r="C12" t="str">
            <v>Medical Reimbursement</v>
          </cell>
          <cell r="D12">
            <v>39.5844298</v>
          </cell>
          <cell r="E12">
            <v>45.566492</v>
          </cell>
          <cell r="F12">
            <v>518.12</v>
          </cell>
          <cell r="G12">
            <v>361.28</v>
          </cell>
          <cell r="H12">
            <v>100</v>
          </cell>
        </row>
        <row r="13">
          <cell r="B13">
            <v>9</v>
          </cell>
          <cell r="C13" t="str">
            <v>Overtime Payment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B14">
            <v>10</v>
          </cell>
          <cell r="C14" t="str">
            <v>Bonus/Ex-Gratia Payments</v>
          </cell>
          <cell r="D14">
            <v>0</v>
          </cell>
          <cell r="E14">
            <v>0</v>
          </cell>
          <cell r="F14">
            <v>0</v>
          </cell>
          <cell r="G14">
            <v>0.51</v>
          </cell>
          <cell r="H14">
            <v>0.2</v>
          </cell>
        </row>
        <row r="15">
          <cell r="B15">
            <v>11</v>
          </cell>
          <cell r="C15" t="str">
            <v>Interim Relief / Wage Revision</v>
          </cell>
          <cell r="D15">
            <v>-0.0152015</v>
          </cell>
          <cell r="E15">
            <v>-0.0132248</v>
          </cell>
          <cell r="F15">
            <v>0</v>
          </cell>
          <cell r="G15">
            <v>-0.02</v>
          </cell>
          <cell r="H15">
            <v>0.09</v>
          </cell>
        </row>
        <row r="16">
          <cell r="B16">
            <v>12</v>
          </cell>
          <cell r="C16" t="str">
            <v>Staff welfare expenses</v>
          </cell>
          <cell r="D16">
            <v>25.2644197</v>
          </cell>
          <cell r="E16">
            <v>34.1383647</v>
          </cell>
          <cell r="F16">
            <v>34.99</v>
          </cell>
          <cell r="G16">
            <v>35.18</v>
          </cell>
          <cell r="H16">
            <v>35.79</v>
          </cell>
        </row>
        <row r="17">
          <cell r="B17">
            <v>13</v>
          </cell>
          <cell r="C17" t="str">
            <v>VRS Expenses/Retrenchment Compensation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B18">
            <v>14</v>
          </cell>
          <cell r="C18" t="str">
            <v>Commission to Directors</v>
          </cell>
          <cell r="D18">
            <v>0.010689</v>
          </cell>
          <cell r="E18">
            <v>0.01018</v>
          </cell>
          <cell r="F18">
            <v>0</v>
          </cell>
          <cell r="G18">
            <v>0</v>
          </cell>
          <cell r="H18">
            <v>0</v>
          </cell>
        </row>
        <row r="19">
          <cell r="B19">
            <v>15</v>
          </cell>
          <cell r="C19" t="str">
            <v>Training Expenses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B20">
            <v>16</v>
          </cell>
          <cell r="C20" t="str">
            <v>Payment under Workmen's Compensation Act</v>
          </cell>
          <cell r="D20">
            <v>0.004314</v>
          </cell>
          <cell r="E20">
            <v>0.004314</v>
          </cell>
          <cell r="F20">
            <v>0</v>
          </cell>
          <cell r="G20">
            <v>0</v>
          </cell>
          <cell r="H20">
            <v>0</v>
          </cell>
        </row>
        <row r="21">
          <cell r="B21">
            <v>17</v>
          </cell>
          <cell r="C21" t="str">
            <v>Net Employee Costs</v>
          </cell>
          <cell r="D21">
            <v>1658.6673987</v>
          </cell>
          <cell r="E21">
            <v>1702.1915411</v>
          </cell>
          <cell r="F21">
            <v>2307.57</v>
          </cell>
          <cell r="G21">
            <v>2691.9</v>
          </cell>
          <cell r="H21">
            <v>2488.93</v>
          </cell>
        </row>
        <row r="22">
          <cell r="B22">
            <v>18</v>
          </cell>
          <cell r="C22" t="str">
            <v>Terminal Benefits</v>
          </cell>
          <cell r="D22">
            <v>193.3571419</v>
          </cell>
          <cell r="E22">
            <v>193.9784374</v>
          </cell>
          <cell r="F22">
            <v>-20.02</v>
          </cell>
          <cell r="G22">
            <v>385.73</v>
          </cell>
          <cell r="H22">
            <v>91.8</v>
          </cell>
        </row>
        <row r="23">
          <cell r="B23">
            <v>18.1</v>
          </cell>
          <cell r="C23" t="str">
            <v>Provident Fund Contribution</v>
          </cell>
          <cell r="D23">
            <v>82.1072482</v>
          </cell>
          <cell r="E23">
            <v>88.5661353</v>
          </cell>
          <cell r="F23">
            <v>100.08</v>
          </cell>
          <cell r="G23">
            <v>110.81</v>
          </cell>
          <cell r="H23">
            <v>145.15</v>
          </cell>
        </row>
        <row r="24">
          <cell r="B24">
            <v>18.2</v>
          </cell>
          <cell r="C24" t="str">
            <v>Provision for PF Fund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B25">
            <v>18.3</v>
          </cell>
          <cell r="C25" t="str">
            <v>Pension Payments</v>
          </cell>
          <cell r="D25">
            <v>448.8075925</v>
          </cell>
          <cell r="E25">
            <v>285.4318346</v>
          </cell>
          <cell r="F25">
            <v>-99.05</v>
          </cell>
          <cell r="G25">
            <v>14</v>
          </cell>
          <cell r="H25">
            <v>477.71</v>
          </cell>
        </row>
        <row r="26">
          <cell r="B26">
            <v>18.4</v>
          </cell>
          <cell r="C26" t="str">
            <v>Gratuity Payment</v>
          </cell>
          <cell r="D26">
            <v>40.3633625</v>
          </cell>
          <cell r="E26">
            <v>63.2734621</v>
          </cell>
          <cell r="F26">
            <v>51.89</v>
          </cell>
          <cell r="G26">
            <v>157.08</v>
          </cell>
          <cell r="H26">
            <v>71.48</v>
          </cell>
        </row>
        <row r="27">
          <cell r="B27">
            <v>19</v>
          </cell>
          <cell r="C27" t="str">
            <v>Unfunded past liabilities of pension and gratuity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B28">
            <v>20</v>
          </cell>
          <cell r="C28" t="str">
            <v>Others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B29">
            <v>21</v>
          </cell>
          <cell r="C29" t="str">
            <v>Gross Employee Expenses</v>
          </cell>
          <cell r="D29">
            <v>2423.3027438</v>
          </cell>
          <cell r="E29">
            <v>2333.4414105</v>
          </cell>
          <cell r="F29">
            <v>2340.47</v>
          </cell>
          <cell r="G29">
            <v>3359.52</v>
          </cell>
          <cell r="H29">
            <v>3275.07</v>
          </cell>
        </row>
        <row r="30">
          <cell r="B30">
            <v>22</v>
          </cell>
          <cell r="C30" t="str">
            <v>Less: Expenses Capitalised</v>
          </cell>
          <cell r="D30">
            <v>-89.5138324</v>
          </cell>
          <cell r="E30">
            <v>-69.8766477</v>
          </cell>
          <cell r="F30">
            <v>-86.45</v>
          </cell>
          <cell r="G30">
            <v>-97.78</v>
          </cell>
          <cell r="H30">
            <v>102.45</v>
          </cell>
        </row>
        <row r="31">
          <cell r="B31">
            <v>23</v>
          </cell>
          <cell r="C31" t="str">
            <v>Net Employee Expenses</v>
          </cell>
          <cell r="D31">
            <v>2512.8165762</v>
          </cell>
          <cell r="E31">
            <v>2403.3180582</v>
          </cell>
          <cell r="F31">
            <v>2426.92</v>
          </cell>
          <cell r="G31">
            <v>3457.3</v>
          </cell>
          <cell r="H31">
            <v>3172.62</v>
          </cell>
        </row>
      </sheetData>
      <sheetData sheetId="3">
        <row r="4">
          <cell r="B4">
            <v>1</v>
          </cell>
          <cell r="C4" t="str">
            <v>Rent Rates &amp; Taxes</v>
          </cell>
          <cell r="D4">
            <v>5.2498565</v>
          </cell>
          <cell r="E4">
            <v>4.0025321</v>
          </cell>
          <cell r="F4">
            <v>4.23</v>
          </cell>
          <cell r="G4">
            <v>5.55</v>
          </cell>
          <cell r="H4">
            <v>5.17</v>
          </cell>
        </row>
        <row r="5">
          <cell r="B5">
            <v>2</v>
          </cell>
          <cell r="C5" t="str">
            <v>Insurance</v>
          </cell>
          <cell r="D5">
            <v>0.0404141</v>
          </cell>
          <cell r="E5">
            <v>0.2188383</v>
          </cell>
          <cell r="F5">
            <v>0.36</v>
          </cell>
          <cell r="G5">
            <v>0.3</v>
          </cell>
          <cell r="H5">
            <v>0.39</v>
          </cell>
        </row>
        <row r="6">
          <cell r="B6">
            <v>3</v>
          </cell>
          <cell r="C6" t="str">
            <v>Telephone &amp; Postage, etc.</v>
          </cell>
          <cell r="D6">
            <v>2.2356406</v>
          </cell>
          <cell r="E6">
            <v>2.3183892</v>
          </cell>
          <cell r="F6">
            <v>2.52</v>
          </cell>
          <cell r="G6">
            <v>2.44</v>
          </cell>
          <cell r="H6">
            <v>2.47</v>
          </cell>
        </row>
        <row r="7">
          <cell r="B7">
            <v>4</v>
          </cell>
          <cell r="C7" t="str">
            <v>Legal charges &amp; Audit fee</v>
          </cell>
          <cell r="D7">
            <v>2.077349</v>
          </cell>
          <cell r="E7">
            <v>1.9335188</v>
          </cell>
          <cell r="F7">
            <v>1.03</v>
          </cell>
          <cell r="G7">
            <v>2.11</v>
          </cell>
          <cell r="H7">
            <v>3.28</v>
          </cell>
        </row>
        <row r="8">
          <cell r="B8">
            <v>5</v>
          </cell>
          <cell r="C8" t="str">
            <v>Professional, Consultancy, Technical fee</v>
          </cell>
          <cell r="D8">
            <v>37.343403</v>
          </cell>
          <cell r="E8">
            <v>32.2622878</v>
          </cell>
          <cell r="F8">
            <v>36.19</v>
          </cell>
          <cell r="G8">
            <v>47.01</v>
          </cell>
          <cell r="H8">
            <v>49.36</v>
          </cell>
        </row>
        <row r="9">
          <cell r="B9">
            <v>6</v>
          </cell>
          <cell r="C9" t="str">
            <v>Conveyance &amp; Travel</v>
          </cell>
          <cell r="D9">
            <v>20.1164301</v>
          </cell>
          <cell r="E9">
            <v>17.65032</v>
          </cell>
          <cell r="F9">
            <v>27.7</v>
          </cell>
          <cell r="G9">
            <v>28.3</v>
          </cell>
          <cell r="H9">
            <v>25.68</v>
          </cell>
        </row>
        <row r="10">
          <cell r="B10">
            <v>7</v>
          </cell>
          <cell r="C10" t="str">
            <v>Electricity charges</v>
          </cell>
          <cell r="D10">
            <v>8.1906836</v>
          </cell>
          <cell r="E10">
            <v>7.6570782</v>
          </cell>
          <cell r="F10">
            <v>7.69</v>
          </cell>
          <cell r="G10">
            <v>12.97</v>
          </cell>
          <cell r="H10">
            <v>8.82</v>
          </cell>
        </row>
        <row r="11">
          <cell r="B11">
            <v>8</v>
          </cell>
          <cell r="C11" t="str">
            <v>Water charges</v>
          </cell>
          <cell r="D11">
            <v>0.8266267</v>
          </cell>
          <cell r="E11">
            <v>1.1314812</v>
          </cell>
          <cell r="F11">
            <v>0.51</v>
          </cell>
          <cell r="G11">
            <v>0.66</v>
          </cell>
          <cell r="H11">
            <v>0.51</v>
          </cell>
        </row>
        <row r="12">
          <cell r="B12">
            <v>9</v>
          </cell>
          <cell r="C12" t="str">
            <v>Security arrangements</v>
          </cell>
          <cell r="D12">
            <v>0.285328</v>
          </cell>
          <cell r="E12">
            <v>0.2935107</v>
          </cell>
          <cell r="F12">
            <v>0.32</v>
          </cell>
          <cell r="G12">
            <v>0.37</v>
          </cell>
          <cell r="H12">
            <v>0.34</v>
          </cell>
        </row>
        <row r="13">
          <cell r="B13">
            <v>10</v>
          </cell>
          <cell r="C13" t="str">
            <v>Fees &amp; subscription</v>
          </cell>
          <cell r="D13">
            <v>0.5616071</v>
          </cell>
          <cell r="E13">
            <v>0.4296227</v>
          </cell>
          <cell r="F13">
            <v>0.25</v>
          </cell>
          <cell r="G13">
            <v>0.97</v>
          </cell>
          <cell r="H13">
            <v>1.62</v>
          </cell>
        </row>
        <row r="14">
          <cell r="B14">
            <v>11</v>
          </cell>
          <cell r="C14" t="str">
            <v>Books &amp; periodicals</v>
          </cell>
          <cell r="D14">
            <v>0.0505607</v>
          </cell>
          <cell r="E14">
            <v>0.0905663</v>
          </cell>
          <cell r="F14">
            <v>0.06</v>
          </cell>
          <cell r="G14">
            <v>0.14</v>
          </cell>
          <cell r="H14">
            <v>0.09</v>
          </cell>
        </row>
        <row r="15">
          <cell r="B15">
            <v>12</v>
          </cell>
          <cell r="C15" t="str">
            <v>Computer Stationery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13</v>
          </cell>
          <cell r="C16" t="str">
            <v>Printing &amp; Stationery</v>
          </cell>
          <cell r="D16">
            <v>6.7557033</v>
          </cell>
          <cell r="E16">
            <v>4.7628501</v>
          </cell>
          <cell r="F16">
            <v>6.64</v>
          </cell>
          <cell r="G16">
            <v>6.85</v>
          </cell>
          <cell r="H16">
            <v>9.98</v>
          </cell>
        </row>
        <row r="17">
          <cell r="B17">
            <v>14</v>
          </cell>
          <cell r="C17" t="str">
            <v>Advertisements</v>
          </cell>
          <cell r="D17">
            <v>1.7569117</v>
          </cell>
          <cell r="E17">
            <v>0.4558137</v>
          </cell>
          <cell r="F17">
            <v>1.27</v>
          </cell>
          <cell r="G17">
            <v>2.03</v>
          </cell>
          <cell r="H17">
            <v>1.45</v>
          </cell>
        </row>
        <row r="18">
          <cell r="B18">
            <v>15</v>
          </cell>
          <cell r="C18" t="str">
            <v>Purchase Related Advertisement Expenses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B19">
            <v>16</v>
          </cell>
          <cell r="C19" t="str">
            <v>Contribution/Donations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B20">
            <v>17</v>
          </cell>
          <cell r="C20" t="str">
            <v>License Fee  and other related fee</v>
          </cell>
          <cell r="D20">
            <v>5.932071</v>
          </cell>
          <cell r="E20">
            <v>5.932071</v>
          </cell>
          <cell r="F20">
            <v>5.93</v>
          </cell>
          <cell r="G20">
            <v>8.2</v>
          </cell>
          <cell r="H20">
            <v>9.01</v>
          </cell>
        </row>
        <row r="21">
          <cell r="B21">
            <v>18</v>
          </cell>
          <cell r="C21" t="str">
            <v>Vehicle Running Expenses Truck / Delivery Van</v>
          </cell>
          <cell r="D21">
            <v>0.3742913</v>
          </cell>
          <cell r="E21">
            <v>0.3000031</v>
          </cell>
          <cell r="F21">
            <v>0.28</v>
          </cell>
          <cell r="G21">
            <v>0.45</v>
          </cell>
          <cell r="H21">
            <v>0.41</v>
          </cell>
        </row>
        <row r="22">
          <cell r="B22">
            <v>19</v>
          </cell>
          <cell r="C22" t="str">
            <v>Vehicle Hiring Expenses Truck / Delivery Van</v>
          </cell>
          <cell r="D22">
            <v>38.3184536</v>
          </cell>
          <cell r="E22">
            <v>40.3292459</v>
          </cell>
          <cell r="F22">
            <v>5.37</v>
          </cell>
          <cell r="G22">
            <v>13.88</v>
          </cell>
          <cell r="H22">
            <v>12.42</v>
          </cell>
        </row>
        <row r="23">
          <cell r="B23">
            <v>20</v>
          </cell>
          <cell r="C23" t="str">
            <v>Cost of services procured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B24">
            <v>21</v>
          </cell>
          <cell r="C24" t="str">
            <v>Outsourcing of metering and billing system</v>
          </cell>
          <cell r="D24">
            <v>13.1880313</v>
          </cell>
          <cell r="E24">
            <v>16.1119042</v>
          </cell>
          <cell r="F24">
            <v>14.5</v>
          </cell>
          <cell r="G24">
            <v>17.14</v>
          </cell>
          <cell r="H24">
            <v>10.87</v>
          </cell>
        </row>
        <row r="25">
          <cell r="B25">
            <v>22</v>
          </cell>
          <cell r="C25" t="str">
            <v>Freight On Capital Equipments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B26">
            <v>23</v>
          </cell>
          <cell r="C26" t="str">
            <v>V-sat, Internet and related charges</v>
          </cell>
          <cell r="D26">
            <v>2.2295694</v>
          </cell>
          <cell r="E26">
            <v>3.8097902</v>
          </cell>
          <cell r="F26">
            <v>3.88</v>
          </cell>
          <cell r="G26">
            <v>4.24</v>
          </cell>
          <cell r="H26">
            <v>2.32</v>
          </cell>
        </row>
        <row r="27">
          <cell r="B27">
            <v>24</v>
          </cell>
          <cell r="C27" t="str">
            <v>Training</v>
          </cell>
          <cell r="D27">
            <v>0.08747</v>
          </cell>
          <cell r="E27">
            <v>0.0725025</v>
          </cell>
          <cell r="F27">
            <v>0.04</v>
          </cell>
          <cell r="G27">
            <v>0.06</v>
          </cell>
          <cell r="H27">
            <v>0.11</v>
          </cell>
        </row>
        <row r="28">
          <cell r="B28">
            <v>25</v>
          </cell>
          <cell r="C28" t="str">
            <v>Bank Charges</v>
          </cell>
          <cell r="D28">
            <v>0</v>
          </cell>
          <cell r="E28">
            <v>0</v>
          </cell>
          <cell r="F28">
            <v>0</v>
          </cell>
          <cell r="G28">
            <v>1.98</v>
          </cell>
          <cell r="H28">
            <v>2.41</v>
          </cell>
        </row>
        <row r="29">
          <cell r="B29">
            <v>26</v>
          </cell>
          <cell r="C29" t="str">
            <v>Miscellaneous Expenses</v>
          </cell>
          <cell r="D29">
            <v>5.7003685</v>
          </cell>
          <cell r="E29">
            <v>5.3319507</v>
          </cell>
          <cell r="F29">
            <v>3.47</v>
          </cell>
          <cell r="G29">
            <v>9.57</v>
          </cell>
          <cell r="H29">
            <v>13.45</v>
          </cell>
        </row>
        <row r="30">
          <cell r="B30">
            <v>27</v>
          </cell>
          <cell r="C30" t="str">
            <v>Office Expenses</v>
          </cell>
          <cell r="D30">
            <v>5.4529457</v>
          </cell>
          <cell r="E30">
            <v>3.5095684</v>
          </cell>
          <cell r="F30">
            <v>4.05</v>
          </cell>
          <cell r="G30">
            <v>5.62</v>
          </cell>
          <cell r="H30">
            <v>7.51</v>
          </cell>
        </row>
        <row r="31">
          <cell r="B31">
            <v>28</v>
          </cell>
          <cell r="C31" t="str">
            <v>Others</v>
          </cell>
          <cell r="D31">
            <v>1.8815399</v>
          </cell>
          <cell r="E31">
            <v>0.9337292</v>
          </cell>
          <cell r="F31">
            <v>1.04</v>
          </cell>
          <cell r="G31">
            <v>0.37</v>
          </cell>
          <cell r="H31">
            <v>2.41</v>
          </cell>
        </row>
        <row r="32">
          <cell r="B32">
            <v>29</v>
          </cell>
          <cell r="C32" t="str">
            <v>Gross A &amp;G Expenses</v>
          </cell>
          <cell r="D32">
            <v>158.6552551</v>
          </cell>
          <cell r="E32">
            <v>149.5375743</v>
          </cell>
          <cell r="F32">
            <v>127.33</v>
          </cell>
          <cell r="G32">
            <v>171.21</v>
          </cell>
          <cell r="H32">
            <v>170.08</v>
          </cell>
        </row>
        <row r="33">
          <cell r="B33">
            <v>30</v>
          </cell>
          <cell r="C33" t="str">
            <v>Less: Expenses Capitalised</v>
          </cell>
          <cell r="D33">
            <v>-15.7478052</v>
          </cell>
          <cell r="E33">
            <v>-12.271288</v>
          </cell>
          <cell r="F33">
            <v>-15.2</v>
          </cell>
          <cell r="G33">
            <v>-17.23</v>
          </cell>
          <cell r="H33">
            <v>18.07</v>
          </cell>
        </row>
        <row r="34">
          <cell r="B34">
            <v>31</v>
          </cell>
          <cell r="C34" t="str">
            <v>Net A &amp;G Expenses</v>
          </cell>
          <cell r="D34">
            <v>174.4030603</v>
          </cell>
          <cell r="E34">
            <v>161.8088623</v>
          </cell>
          <cell r="F34">
            <v>142.53</v>
          </cell>
          <cell r="G34">
            <v>188.44</v>
          </cell>
          <cell r="H34">
            <v>152.01</v>
          </cell>
        </row>
      </sheetData>
      <sheetData sheetId="4">
        <row r="4">
          <cell r="B4">
            <v>1</v>
          </cell>
          <cell r="C4" t="str">
            <v>Plant &amp; Machinery &amp; Meters</v>
          </cell>
          <cell r="D4">
            <v>68.8837685</v>
          </cell>
          <cell r="E4">
            <v>77.5958344</v>
          </cell>
          <cell r="F4">
            <v>87.77</v>
          </cell>
          <cell r="G4">
            <v>84.41</v>
          </cell>
          <cell r="H4">
            <v>120.94</v>
          </cell>
        </row>
        <row r="5">
          <cell r="B5">
            <v>2</v>
          </cell>
          <cell r="C5" t="str">
            <v>Buildings</v>
          </cell>
          <cell r="D5">
            <v>1.6172103</v>
          </cell>
          <cell r="E5">
            <v>1.6109865</v>
          </cell>
          <cell r="F5">
            <v>1.5</v>
          </cell>
          <cell r="G5">
            <v>0.76</v>
          </cell>
          <cell r="H5">
            <v>0.06</v>
          </cell>
        </row>
        <row r="6">
          <cell r="B6">
            <v>3</v>
          </cell>
          <cell r="C6" t="str">
            <v>Civil Works</v>
          </cell>
          <cell r="D6">
            <v>6.8628019</v>
          </cell>
          <cell r="E6">
            <v>8.286688</v>
          </cell>
          <cell r="F6">
            <v>12.39</v>
          </cell>
          <cell r="G6">
            <v>9.81</v>
          </cell>
          <cell r="H6">
            <v>9.97</v>
          </cell>
        </row>
        <row r="7">
          <cell r="B7">
            <v>4</v>
          </cell>
          <cell r="C7" t="str">
            <v>Hydraulic Works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</row>
        <row r="8">
          <cell r="B8">
            <v>5</v>
          </cell>
          <cell r="C8" t="str">
            <v>Lines &amp; Cable Networks</v>
          </cell>
          <cell r="D8">
            <v>32.1927425</v>
          </cell>
          <cell r="E8">
            <v>56.6803026</v>
          </cell>
          <cell r="F8">
            <v>49.9</v>
          </cell>
          <cell r="G8">
            <v>57.35</v>
          </cell>
          <cell r="H8">
            <v>63.63</v>
          </cell>
        </row>
        <row r="9">
          <cell r="B9">
            <v>6</v>
          </cell>
          <cell r="C9" t="str">
            <v>Vehicles</v>
          </cell>
          <cell r="D9">
            <v>2.1406478</v>
          </cell>
          <cell r="E9">
            <v>1.1694712</v>
          </cell>
          <cell r="F9">
            <v>40.1</v>
          </cell>
          <cell r="G9">
            <v>35.2</v>
          </cell>
          <cell r="H9">
            <v>39.3</v>
          </cell>
        </row>
        <row r="10">
          <cell r="B10">
            <v>7</v>
          </cell>
          <cell r="C10" t="str">
            <v>Furniture &amp; Fixtures</v>
          </cell>
          <cell r="D10">
            <v>0.4639077</v>
          </cell>
          <cell r="E10">
            <v>0.5043186</v>
          </cell>
          <cell r="F10">
            <v>0.34</v>
          </cell>
          <cell r="G10">
            <v>0.23</v>
          </cell>
          <cell r="H10">
            <v>0</v>
          </cell>
        </row>
        <row r="11">
          <cell r="B11">
            <v>8</v>
          </cell>
          <cell r="C11" t="str">
            <v>Office Equipment</v>
          </cell>
          <cell r="D11">
            <v>1.3818494</v>
          </cell>
          <cell r="E11">
            <v>0.5996207</v>
          </cell>
          <cell r="F11">
            <v>4.41</v>
          </cell>
          <cell r="G11">
            <v>0.59</v>
          </cell>
          <cell r="H11">
            <v>0.01</v>
          </cell>
        </row>
        <row r="12">
          <cell r="B12">
            <v>9</v>
          </cell>
          <cell r="C12" t="str">
            <v>Computer &amp; IT Equipment, Air Conditioners</v>
          </cell>
          <cell r="D12">
            <v>3.5528336</v>
          </cell>
          <cell r="E12">
            <v>1.681648</v>
          </cell>
          <cell r="F12">
            <v>2.29</v>
          </cell>
          <cell r="G12">
            <v>5.54</v>
          </cell>
          <cell r="H12">
            <v>8.47</v>
          </cell>
        </row>
        <row r="13">
          <cell r="B13">
            <v>10</v>
          </cell>
          <cell r="C13" t="str">
            <v>Air Conditioners</v>
          </cell>
          <cell r="D13">
            <v>0.1125318</v>
          </cell>
          <cell r="E13">
            <v>0.1096673</v>
          </cell>
          <cell r="F13">
            <v>0.01</v>
          </cell>
          <cell r="G13">
            <v>0.04</v>
          </cell>
          <cell r="H13">
            <v>0.06</v>
          </cell>
        </row>
        <row r="14">
          <cell r="B14">
            <v>11</v>
          </cell>
          <cell r="C14" t="str">
            <v>Land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12</v>
          </cell>
          <cell r="C15" t="str">
            <v>Computer Software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13</v>
          </cell>
          <cell r="C16" t="str">
            <v>Gross R&amp;M Expenses</v>
          </cell>
          <cell r="D16">
            <v>117.2082935</v>
          </cell>
          <cell r="E16">
            <v>148.2385373</v>
          </cell>
          <cell r="F16">
            <v>198.71</v>
          </cell>
          <cell r="G16">
            <v>193.93</v>
          </cell>
          <cell r="H16">
            <v>242.44</v>
          </cell>
        </row>
        <row r="17">
          <cell r="B17">
            <v>14</v>
          </cell>
          <cell r="C17" t="str">
            <v>Gross Fixed Assets at beginning of year (Icl.Intangible Assets)</v>
          </cell>
          <cell r="D17">
            <v>14192.11</v>
          </cell>
          <cell r="E17">
            <v>16417.37</v>
          </cell>
        </row>
        <row r="17">
          <cell r="H17">
            <v>20432.89</v>
          </cell>
        </row>
        <row r="18">
          <cell r="B18">
            <v>15</v>
          </cell>
          <cell r="C18" t="str">
            <v>R&amp;M Expenses as % of GFA at beginning of year</v>
          </cell>
        </row>
        <row r="18">
          <cell r="H18">
            <v>1.18651840243842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TSSPDCL_Int on CSD_13k GAP"/>
      <sheetName val="TSSPDCL_Int on CSD _20k GAP"/>
      <sheetName val="TSSPDCL_Int on CSD "/>
    </sheetNames>
    <sheetDataSet>
      <sheetData sheetId="0">
        <row r="8">
          <cell r="F8">
            <v>4581</v>
          </cell>
          <cell r="G8">
            <v>4663</v>
          </cell>
        </row>
        <row r="9">
          <cell r="F9">
            <v>82</v>
          </cell>
          <cell r="G9">
            <v>633.586474452158</v>
          </cell>
        </row>
        <row r="10">
          <cell r="F10">
            <v>4663</v>
          </cell>
          <cell r="G10">
            <v>5296.58647445216</v>
          </cell>
        </row>
        <row r="11">
          <cell r="F11">
            <v>4622</v>
          </cell>
          <cell r="G11">
            <v>4979.79323722608</v>
          </cell>
        </row>
        <row r="12">
          <cell r="F12">
            <v>0.0675</v>
          </cell>
          <cell r="G12">
            <v>0.065</v>
          </cell>
        </row>
        <row r="13">
          <cell r="F13">
            <v>311.985</v>
          </cell>
          <cell r="G13">
            <v>323.686560419695</v>
          </cell>
        </row>
        <row r="15">
          <cell r="H15">
            <v>333.397157232286</v>
          </cell>
          <cell r="I15">
            <v>343.399071949255</v>
          </cell>
          <cell r="J15">
            <v>353.701044107732</v>
          </cell>
          <cell r="K15">
            <v>364.312075430964</v>
          </cell>
        </row>
      </sheetData>
      <sheetData sheetId="1"/>
      <sheetData sheetId="2" refreshError="1">
        <row r="8">
          <cell r="F8">
            <v>4581</v>
          </cell>
          <cell r="G8">
            <v>4663</v>
          </cell>
        </row>
        <row r="9">
          <cell r="F9">
            <v>82</v>
          </cell>
          <cell r="G9">
            <v>941.588339980783</v>
          </cell>
        </row>
        <row r="10">
          <cell r="F10">
            <v>4663</v>
          </cell>
          <cell r="G10">
            <v>5604.58833998078</v>
          </cell>
        </row>
        <row r="11">
          <cell r="F11">
            <v>4622</v>
          </cell>
          <cell r="G11">
            <v>5133.79416999039</v>
          </cell>
        </row>
        <row r="12">
          <cell r="F12">
            <v>0.0675</v>
          </cell>
          <cell r="G12">
            <v>0.065</v>
          </cell>
        </row>
        <row r="13">
          <cell r="F13">
            <v>311.985</v>
          </cell>
          <cell r="G13">
            <v>333.696621049375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 sheet"/>
      <sheetName val="O&amp;M Projections New Methodo (2)"/>
      <sheetName val="O&amp;M Projections New Methodology"/>
      <sheetName val="O&amp;M cost projections"/>
      <sheetName val="Escalation method"/>
      <sheetName val="Sales Method"/>
      <sheetName val="Inflation rates"/>
      <sheetName val="Revised Norms method"/>
      <sheetName val="R&amp;M Cost"/>
      <sheetName val="Network elements - Projected"/>
      <sheetName val="Network element - actuals"/>
      <sheetName val="Inflation for CAPEX"/>
      <sheetName val="Total DTR projections"/>
      <sheetName val="DTR Projections_Non Agri"/>
      <sheetName val="DTR Projections_Agri"/>
      <sheetName val="Network length summary"/>
      <sheetName val="Updated_DISCOM_Summary"/>
      <sheetName val="Updated summary - SS &amp; Feeders"/>
      <sheetName val="Consumer data projections"/>
      <sheetName val="Provisional O&amp;M cost FY 18-19"/>
      <sheetName val="4th CP GFA - Actuals "/>
      <sheetName val="GFA Projections"/>
      <sheetName val="tables for presenattion"/>
    </sheetNames>
    <sheetDataSet>
      <sheetData sheetId="0"/>
      <sheetData sheetId="1"/>
      <sheetData sheetId="2">
        <row r="5">
          <cell r="J5">
            <v>3572.61428087846</v>
          </cell>
          <cell r="K5">
            <v>3779.46864774132</v>
          </cell>
        </row>
        <row r="6">
          <cell r="J6">
            <v>217.64</v>
          </cell>
          <cell r="K6">
            <v>228.369652</v>
          </cell>
          <cell r="L6">
            <v>239.6282758436</v>
          </cell>
          <cell r="M6">
            <v>251.441949842689</v>
          </cell>
          <cell r="N6">
            <v>263.838037969934</v>
          </cell>
        </row>
        <row r="7">
          <cell r="J7">
            <v>214.032735921987</v>
          </cell>
          <cell r="K7">
            <v>239.529268641909</v>
          </cell>
          <cell r="L7">
            <v>248.434107644449</v>
          </cell>
          <cell r="M7">
            <v>280.897297615883</v>
          </cell>
          <cell r="N7">
            <v>318.420602122948</v>
          </cell>
        </row>
        <row r="12">
          <cell r="J12">
            <v>22956.5379502279</v>
          </cell>
          <cell r="K12">
            <v>25363.9218359233</v>
          </cell>
          <cell r="L12">
            <v>31413.810776431</v>
          </cell>
          <cell r="M12">
            <v>35518.6920128731</v>
          </cell>
          <cell r="N12">
            <v>40263.4108385922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Wheeling Charges"/>
      <sheetName val="InputSheet"/>
      <sheetName val="Dist ARR"/>
      <sheetName val="Int on Working cap"/>
      <sheetName val="GFA &amp; Dep-MYT 5th Control"/>
      <sheetName val="True Up &amp; True Down"/>
      <sheetName val="Capex Summary 5th MYT"/>
      <sheetName val="Investment for 5th MYT"/>
      <sheetName val="Employee Cost"/>
      <sheetName val="Interest cost"/>
      <sheetName val="Voltage wise FA from SAP"/>
      <sheetName val="RoE"/>
      <sheetName val="NTI proj"/>
      <sheetName val="Loan Portfolio"/>
      <sheetName val="Open Access"/>
      <sheetName val="Capex Summary inputs"/>
      <sheetName val="Internal Discussion Notes"/>
      <sheetName val="Claim vs Approved Depreciation"/>
      <sheetName val="Base Capex"/>
      <sheetName val="New Loans 5th MYT"/>
      <sheetName val="NTI"/>
      <sheetName val="Load for Wheeling "/>
      <sheetName val="Working for O&amp;M"/>
      <sheetName val="For Wheeling"/>
      <sheetName val="Sheet3 (2)"/>
      <sheetName val="Status"/>
      <sheetName val="Existing loans Repayment &amp;Int"/>
      <sheetName val="Proposed Assets as per Invest"/>
      <sheetName val="Working for 1.1d"/>
      <sheetName val="Form 1.2"/>
      <sheetName val="Form 1.1"/>
      <sheetName val="Form 1.1j"/>
      <sheetName val="Form 1.1k"/>
      <sheetName val="Form 1.1d"/>
      <sheetName val="Form 1.1 g(i)"/>
      <sheetName val="Form 1.1a"/>
      <sheetName val="Form 1.1b"/>
      <sheetName val="Existing Loans Details"/>
      <sheetName val="Form 1.1g"/>
      <sheetName val="Form 1.1 c"/>
      <sheetName val="Form 1.1e"/>
      <sheetName val="Form 1.1n"/>
      <sheetName val="Form 1.0"/>
      <sheetName val="Form 1a"/>
      <sheetName val="Form 1c"/>
      <sheetName val="Form 1b"/>
      <sheetName val="Form 1.1h"/>
      <sheetName val="Form 1.3"/>
      <sheetName val="Form 1.3a"/>
      <sheetName val="Form 1.3(i)"/>
      <sheetName val="Form 1.3 i"/>
      <sheetName val="Form 3.3"/>
      <sheetName val="Form 7.0"/>
      <sheetName val="Form 8"/>
      <sheetName val="Form 9"/>
      <sheetName val="Form 10"/>
      <sheetName val="Sheet1"/>
      <sheetName val="Sheet2"/>
      <sheetName val="Sheet3"/>
    </sheetNames>
    <sheetDataSet>
      <sheetData sheetId="0"/>
      <sheetData sheetId="1"/>
      <sheetData sheetId="2"/>
      <sheetData sheetId="3">
        <row r="5">
          <cell r="J5">
            <v>4772.89085681509</v>
          </cell>
          <cell r="K5">
            <v>5144.65238473368</v>
          </cell>
          <cell r="L5">
            <v>5542.39371945507</v>
          </cell>
        </row>
        <row r="6">
          <cell r="J6">
            <v>1373.13821131461</v>
          </cell>
          <cell r="K6">
            <v>1712.38608417023</v>
          </cell>
          <cell r="L6">
            <v>2078.77527399428</v>
          </cell>
        </row>
        <row r="7">
          <cell r="J7">
            <v>874.618450827052</v>
          </cell>
          <cell r="K7">
            <v>1145.30650154405</v>
          </cell>
          <cell r="L7">
            <v>1419.33402046457</v>
          </cell>
        </row>
        <row r="8">
          <cell r="J8">
            <v>175.33397479549</v>
          </cell>
          <cell r="K8">
            <v>201.407001149755</v>
          </cell>
          <cell r="L8">
            <v>229.249794321874</v>
          </cell>
        </row>
        <row r="9">
          <cell r="J9">
            <v>526.806184342601</v>
          </cell>
          <cell r="K9">
            <v>724.280639343706</v>
          </cell>
          <cell r="L9">
            <v>937.439368584169</v>
          </cell>
        </row>
        <row r="12">
          <cell r="J12">
            <v>1.26988116913062</v>
          </cell>
          <cell r="K12">
            <v>1.25458920832696</v>
          </cell>
          <cell r="L12">
            <v>1.22466424184411</v>
          </cell>
        </row>
        <row r="13">
          <cell r="J13">
            <v>143.778827088</v>
          </cell>
          <cell r="K13">
            <v>146.65440362976</v>
          </cell>
          <cell r="L13">
            <v>149.587491702355</v>
          </cell>
        </row>
        <row r="14">
          <cell r="J14">
            <v>0</v>
          </cell>
          <cell r="K14">
            <v>0</v>
          </cell>
          <cell r="L14">
            <v>0</v>
          </cell>
        </row>
      </sheetData>
      <sheetData sheetId="4">
        <row r="4">
          <cell r="E4">
            <v>293.392469560136</v>
          </cell>
          <cell r="F4">
            <v>316.215326581069</v>
          </cell>
          <cell r="G4">
            <v>397.740904734591</v>
          </cell>
          <cell r="H4">
            <v>428.72103206114</v>
          </cell>
          <cell r="I4">
            <v>461.866143287922</v>
          </cell>
        </row>
        <row r="5">
          <cell r="E5">
            <v>270.537512298841</v>
          </cell>
          <cell r="F5">
            <v>324.506500904725</v>
          </cell>
          <cell r="G5">
            <v>392.845097111648</v>
          </cell>
          <cell r="H5">
            <v>466.934115499079</v>
          </cell>
          <cell r="I5">
            <v>545.454097505842</v>
          </cell>
        </row>
        <row r="6">
          <cell r="E6">
            <v>628.812030552137</v>
          </cell>
          <cell r="F6">
            <v>724.299733061859</v>
          </cell>
          <cell r="G6">
            <v>934.24179080191</v>
          </cell>
          <cell r="H6">
            <v>1082.48099401274</v>
          </cell>
          <cell r="I6">
            <v>1239.8276738066</v>
          </cell>
        </row>
        <row r="9">
          <cell r="E9">
            <v>1192.74201241111</v>
          </cell>
          <cell r="F9">
            <v>1365.02156054765</v>
          </cell>
          <cell r="G9">
            <v>1724.82779264815</v>
          </cell>
          <cell r="H9">
            <v>1978.13614157296</v>
          </cell>
          <cell r="I9">
            <v>2247.14791460037</v>
          </cell>
        </row>
        <row r="10">
          <cell r="E10">
            <v>0.1015</v>
          </cell>
          <cell r="F10">
            <v>0.1015</v>
          </cell>
          <cell r="G10">
            <v>0.1015</v>
          </cell>
          <cell r="H10">
            <v>0.1015</v>
          </cell>
          <cell r="I10">
            <v>0.1015</v>
          </cell>
        </row>
        <row r="65">
          <cell r="E65">
            <v>293.392469560136</v>
          </cell>
          <cell r="F65">
            <v>316.215326581069</v>
          </cell>
          <cell r="G65">
            <v>397.740904734591</v>
          </cell>
          <cell r="H65">
            <v>428.72103206114</v>
          </cell>
          <cell r="I65">
            <v>461.866143287922</v>
          </cell>
        </row>
        <row r="66">
          <cell r="E66">
            <v>206.608841552051</v>
          </cell>
          <cell r="F66">
            <v>243.483761068957</v>
          </cell>
          <cell r="G66">
            <v>292.055850814252</v>
          </cell>
          <cell r="H66">
            <v>353.560587400483</v>
          </cell>
          <cell r="I66">
            <v>420.240703949171</v>
          </cell>
        </row>
        <row r="67">
          <cell r="E67">
            <v>698.922212702711</v>
          </cell>
          <cell r="F67">
            <v>804.833834832004</v>
          </cell>
          <cell r="G67">
            <v>1037.63156755944</v>
          </cell>
          <cell r="H67">
            <v>1202.02381058523</v>
          </cell>
          <cell r="I67">
            <v>1376.5118160326</v>
          </cell>
        </row>
        <row r="70">
          <cell r="E70">
            <v>1198.9235238149</v>
          </cell>
          <cell r="F70">
            <v>1364.53292248203</v>
          </cell>
          <cell r="G70">
            <v>1727.42832310828</v>
          </cell>
          <cell r="H70">
            <v>1984.30543004685</v>
          </cell>
          <cell r="I70">
            <v>2258.6186632697</v>
          </cell>
        </row>
        <row r="71">
          <cell r="E71">
            <v>0.1015</v>
          </cell>
          <cell r="F71">
            <v>0.1015</v>
          </cell>
          <cell r="G71">
            <v>0.1015</v>
          </cell>
          <cell r="H71">
            <v>0.1015</v>
          </cell>
          <cell r="I71">
            <v>0.1015</v>
          </cell>
        </row>
        <row r="72">
          <cell r="E72">
            <v>121.690737667212</v>
          </cell>
          <cell r="F72">
            <v>138</v>
          </cell>
          <cell r="G72">
            <v>175.33397479549</v>
          </cell>
          <cell r="H72">
            <v>201.407001149755</v>
          </cell>
          <cell r="I72">
            <v>229.249794321874</v>
          </cell>
        </row>
      </sheetData>
      <sheetData sheetId="5">
        <row r="34">
          <cell r="L34">
            <v>638.166249884847</v>
          </cell>
          <cell r="M34">
            <v>1035.93248343991</v>
          </cell>
          <cell r="N34">
            <v>1364.54278992094</v>
          </cell>
          <cell r="O34">
            <v>1727.86152077919</v>
          </cell>
          <cell r="P34">
            <v>1873.2542236648</v>
          </cell>
          <cell r="Q34">
            <v>1985.28595921048</v>
          </cell>
        </row>
        <row r="35">
          <cell r="L35">
            <v>719.951738685159</v>
          </cell>
          <cell r="M35">
            <v>1168.69450985158</v>
          </cell>
          <cell r="N35">
            <v>1539.41853598674</v>
          </cell>
          <cell r="O35">
            <v>1949.29911495104</v>
          </cell>
          <cell r="P35">
            <v>2113.32491426826</v>
          </cell>
          <cell r="Q35">
            <v>2239.71430388042</v>
          </cell>
        </row>
        <row r="36">
          <cell r="L36">
            <v>1104.0508964106</v>
          </cell>
          <cell r="M36">
            <v>1792.2009933447</v>
          </cell>
          <cell r="N36">
            <v>2360.70881322019</v>
          </cell>
          <cell r="O36">
            <v>2989.26347363851</v>
          </cell>
          <cell r="P36">
            <v>3240.79815442332</v>
          </cell>
          <cell r="Q36">
            <v>3434.61714450303</v>
          </cell>
        </row>
        <row r="37">
          <cell r="L37">
            <v>0.0815121993505444</v>
          </cell>
          <cell r="M37">
            <v>0.132318396842664</v>
          </cell>
          <cell r="N37">
            <v>0.174291391834736</v>
          </cell>
          <cell r="O37">
            <v>0.220697651681363</v>
          </cell>
          <cell r="P37">
            <v>0.239268484883315</v>
          </cell>
          <cell r="Q37">
            <v>0.253578162280129</v>
          </cell>
        </row>
        <row r="38">
          <cell r="L38">
            <v>26.7029080822163</v>
          </cell>
          <cell r="M38">
            <v>43.3467139474539</v>
          </cell>
          <cell r="N38">
            <v>57.0968156026503</v>
          </cell>
          <cell r="O38">
            <v>72.2992282598627</v>
          </cell>
          <cell r="P38">
            <v>78.3829219394957</v>
          </cell>
          <cell r="Q38">
            <v>83.0706865104163</v>
          </cell>
        </row>
        <row r="39">
          <cell r="L39">
            <v>28.6544741660671</v>
          </cell>
          <cell r="M39">
            <v>46.5146826393199</v>
          </cell>
          <cell r="N39">
            <v>61.2697022591499</v>
          </cell>
          <cell r="O39">
            <v>77.5831741629123</v>
          </cell>
          <cell r="P39">
            <v>84.1114909604901</v>
          </cell>
          <cell r="Q39">
            <v>89.1418580044267</v>
          </cell>
        </row>
        <row r="40">
          <cell r="L40">
            <v>6.40153146263202</v>
          </cell>
          <cell r="M40">
            <v>10.3915780364438</v>
          </cell>
          <cell r="N40">
            <v>13.6879122068314</v>
          </cell>
          <cell r="O40">
            <v>17.3324112491613</v>
          </cell>
          <cell r="P40">
            <v>18.7908650018116</v>
          </cell>
          <cell r="Q40">
            <v>19.9146704052443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3">
          <cell r="D173">
            <v>20.3502718106166</v>
          </cell>
        </row>
        <row r="173">
          <cell r="F173">
            <v>19.6846249405875</v>
          </cell>
          <cell r="G173">
            <v>20.559686600172</v>
          </cell>
          <cell r="H173">
            <v>21.5798446204976</v>
          </cell>
          <cell r="I173">
            <v>22.6979800769291</v>
          </cell>
        </row>
        <row r="174">
          <cell r="D174">
            <v>4.66</v>
          </cell>
          <cell r="E174">
            <v>4.515921614</v>
          </cell>
          <cell r="F174">
            <v>4.466468187</v>
          </cell>
          <cell r="G174">
            <v>4.152617751</v>
          </cell>
          <cell r="H174">
            <v>3.046486616</v>
          </cell>
        </row>
        <row r="176">
          <cell r="D176">
            <v>0</v>
          </cell>
        </row>
        <row r="176">
          <cell r="F176">
            <v>0</v>
          </cell>
        </row>
        <row r="178">
          <cell r="D178">
            <v>11.6670743007263</v>
          </cell>
          <cell r="E178">
            <v>11.9382043187838</v>
          </cell>
          <cell r="F178">
            <v>13.3574173824893</v>
          </cell>
          <cell r="G178">
            <v>15.2638514102822</v>
          </cell>
          <cell r="H178">
            <v>17.1635067977954</v>
          </cell>
          <cell r="I178">
            <v>19.3000931531659</v>
          </cell>
        </row>
        <row r="179">
          <cell r="D179">
            <v>84.9123032827552</v>
          </cell>
          <cell r="E179">
            <v>84.6412532962919</v>
          </cell>
          <cell r="F179">
            <v>93.7158839192049</v>
          </cell>
          <cell r="G179">
            <v>106.266341759662</v>
          </cell>
          <cell r="H179">
            <v>121.928064052445</v>
          </cell>
          <cell r="I179">
            <v>138.838914477065</v>
          </cell>
        </row>
        <row r="180">
          <cell r="D180">
            <v>282.754949310844</v>
          </cell>
          <cell r="E180">
            <v>283.004520850628</v>
          </cell>
          <cell r="F180">
            <v>311.247633961417</v>
          </cell>
          <cell r="G180">
            <v>352.046067794177</v>
          </cell>
          <cell r="H180">
            <v>401.412531155987</v>
          </cell>
          <cell r="I180">
            <v>454.384293940468</v>
          </cell>
        </row>
        <row r="184">
          <cell r="D184">
            <v>88.0952928680627</v>
          </cell>
          <cell r="E184">
            <v>188.068993248026</v>
          </cell>
          <cell r="F184">
            <v>349.705901866762</v>
          </cell>
          <cell r="G184">
            <v>566.271770817202</v>
          </cell>
          <cell r="H184">
            <v>820.393997164436</v>
          </cell>
          <cell r="I184">
            <v>1095.13742890232</v>
          </cell>
        </row>
        <row r="187">
          <cell r="D187">
            <v>76.6583324808928</v>
          </cell>
          <cell r="E187">
            <v>75.8853647340214</v>
          </cell>
          <cell r="F187">
            <v>83.0786371242728</v>
          </cell>
          <cell r="G187">
            <v>93.2563128091379</v>
          </cell>
          <cell r="H187">
            <v>104.918466983341</v>
          </cell>
          <cell r="I187">
            <v>117.331568702364</v>
          </cell>
        </row>
        <row r="188">
          <cell r="D188">
            <v>138.461196889005</v>
          </cell>
          <cell r="E188">
            <v>135.42762285373</v>
          </cell>
          <cell r="F188">
            <v>146.239920114263</v>
          </cell>
          <cell r="G188">
            <v>163.244547371837</v>
          </cell>
          <cell r="H188">
            <v>182.697656530123</v>
          </cell>
          <cell r="I188">
            <v>204.283570781414</v>
          </cell>
        </row>
        <row r="189">
          <cell r="D189">
            <v>162.832702085751</v>
          </cell>
          <cell r="E189">
            <v>159.334916781288</v>
          </cell>
          <cell r="F189">
            <v>172.751120491242</v>
          </cell>
          <cell r="G189">
            <v>193.518904177606</v>
          </cell>
          <cell r="H189">
            <v>217.060821739172</v>
          </cell>
          <cell r="I189">
            <v>242.16775249153</v>
          </cell>
        </row>
        <row r="191">
          <cell r="D191">
            <v>0.02</v>
          </cell>
          <cell r="E191">
            <v>0</v>
          </cell>
          <cell r="F191">
            <v>0</v>
          </cell>
        </row>
        <row r="191">
          <cell r="H191">
            <v>0</v>
          </cell>
          <cell r="I191">
            <v>0</v>
          </cell>
        </row>
        <row r="192">
          <cell r="D192">
            <v>0.58</v>
          </cell>
          <cell r="E192">
            <v>0.493995032</v>
          </cell>
          <cell r="F192">
            <v>0.472833391</v>
          </cell>
          <cell r="G192">
            <v>0.441010919</v>
          </cell>
          <cell r="H192">
            <v>0.405165171</v>
          </cell>
          <cell r="I192">
            <v>0.332381284</v>
          </cell>
        </row>
        <row r="193">
          <cell r="D193">
            <v>2.12366804897077</v>
          </cell>
          <cell r="E193">
            <v>1.68601268879947</v>
          </cell>
          <cell r="F193">
            <v>1.57919280728995</v>
          </cell>
          <cell r="G193">
            <v>1.46376696824818</v>
          </cell>
          <cell r="H193">
            <v>1.39702427939359</v>
          </cell>
          <cell r="I193">
            <v>1.35265748651594</v>
          </cell>
        </row>
        <row r="195">
          <cell r="D195">
            <v>13.2001148596974</v>
          </cell>
          <cell r="E195">
            <v>11.5532517431281</v>
          </cell>
          <cell r="F195">
            <v>9.11531378037373</v>
          </cell>
          <cell r="G195">
            <v>9.22424530457317</v>
          </cell>
          <cell r="H195">
            <v>10.6476395233961</v>
          </cell>
          <cell r="I195">
            <v>13.2031315483186</v>
          </cell>
        </row>
      </sheetData>
      <sheetData sheetId="6"/>
      <sheetData sheetId="7"/>
      <sheetData sheetId="8">
        <row r="133">
          <cell r="B133">
            <v>1206.97</v>
          </cell>
        </row>
        <row r="133">
          <cell r="F133">
            <v>3013.04931089087</v>
          </cell>
        </row>
        <row r="133">
          <cell r="I133">
            <v>2524.00931089087</v>
          </cell>
          <cell r="J133">
            <v>1696.01</v>
          </cell>
        </row>
        <row r="160">
          <cell r="B160">
            <v>1696.01</v>
          </cell>
        </row>
        <row r="160">
          <cell r="F160">
            <v>5209.79360636482</v>
          </cell>
        </row>
        <row r="160">
          <cell r="I160">
            <v>4097.21327965625</v>
          </cell>
          <cell r="J160">
            <v>2808.59032670857</v>
          </cell>
        </row>
        <row r="187">
          <cell r="B187">
            <v>2808.59032670857</v>
          </cell>
        </row>
        <row r="187">
          <cell r="F187">
            <v>6287.81766349594</v>
          </cell>
        </row>
        <row r="187">
          <cell r="I187">
            <v>5396.89886058834</v>
          </cell>
          <cell r="J187">
            <v>3699.50912961617</v>
          </cell>
        </row>
        <row r="214">
          <cell r="B214">
            <v>3699.50912961617</v>
          </cell>
        </row>
        <row r="214">
          <cell r="F214">
            <v>7818.87890458634</v>
          </cell>
        </row>
        <row r="214">
          <cell r="I214">
            <v>6833.85962069235</v>
          </cell>
          <cell r="J214">
            <v>4684.52841351016</v>
          </cell>
        </row>
        <row r="241">
          <cell r="B241">
            <v>4684.52841351016</v>
          </cell>
        </row>
        <row r="241">
          <cell r="F241">
            <v>7803.08634924571</v>
          </cell>
        </row>
        <row r="241">
          <cell r="I241">
            <v>7408.90183874306</v>
          </cell>
          <cell r="J241">
            <v>5078.71292401281</v>
          </cell>
        </row>
        <row r="268">
          <cell r="B268">
            <v>5078.71292401281</v>
          </cell>
        </row>
        <row r="268">
          <cell r="F268">
            <v>8155.73541692145</v>
          </cell>
        </row>
        <row r="268">
          <cell r="I268">
            <v>7851.9982006763</v>
          </cell>
          <cell r="J268">
            <v>5382.45014025796</v>
          </cell>
        </row>
      </sheetData>
      <sheetData sheetId="9">
        <row r="9">
          <cell r="E9">
            <v>2005.3</v>
          </cell>
          <cell r="F9">
            <v>2145.671</v>
          </cell>
          <cell r="G9">
            <v>2295.86797</v>
          </cell>
          <cell r="H9">
            <v>2915.7523219</v>
          </cell>
          <cell r="I9">
            <v>3119.854984433</v>
          </cell>
          <cell r="J9">
            <v>3338.24483334331</v>
          </cell>
        </row>
        <row r="10">
          <cell r="E10">
            <v>377.56</v>
          </cell>
          <cell r="F10">
            <v>403.9892</v>
          </cell>
          <cell r="G10">
            <v>432.268444</v>
          </cell>
          <cell r="H10">
            <v>548.98092388</v>
          </cell>
          <cell r="I10">
            <v>587.4095885516</v>
          </cell>
          <cell r="J10">
            <v>628.528259750212</v>
          </cell>
        </row>
        <row r="11">
          <cell r="E11">
            <v>124.25</v>
          </cell>
          <cell r="F11">
            <v>132.9475</v>
          </cell>
          <cell r="G11">
            <v>142.253825</v>
          </cell>
          <cell r="H11">
            <v>180.66235775</v>
          </cell>
          <cell r="I11">
            <v>193.3087227925</v>
          </cell>
          <cell r="J11">
            <v>206.840333387975</v>
          </cell>
        </row>
        <row r="12">
          <cell r="E12">
            <v>20.9</v>
          </cell>
          <cell r="F12">
            <v>22.363</v>
          </cell>
          <cell r="G12">
            <v>23.92841</v>
          </cell>
          <cell r="H12">
            <v>30.3890807</v>
          </cell>
          <cell r="I12">
            <v>32.516316349</v>
          </cell>
          <cell r="J12">
            <v>34.79245849343</v>
          </cell>
        </row>
        <row r="13">
          <cell r="E13">
            <v>640.99</v>
          </cell>
          <cell r="F13">
            <v>692.2692</v>
          </cell>
          <cell r="G13">
            <v>747.650736</v>
          </cell>
          <cell r="H13">
            <v>956.99294208</v>
          </cell>
          <cell r="I13">
            <v>1033.5523774464</v>
          </cell>
          <cell r="J13">
            <v>1116.23656764211</v>
          </cell>
        </row>
        <row r="14">
          <cell r="E14">
            <v>2.99</v>
          </cell>
          <cell r="F14">
            <v>3.1993</v>
          </cell>
          <cell r="G14">
            <v>3.423251</v>
          </cell>
          <cell r="H14">
            <v>4.34752877</v>
          </cell>
          <cell r="I14">
            <v>4.6518557839</v>
          </cell>
          <cell r="J14">
            <v>4.977485688773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103.07</v>
          </cell>
          <cell r="F16">
            <v>110.2849</v>
          </cell>
          <cell r="G16">
            <v>118.004843</v>
          </cell>
          <cell r="H16">
            <v>149.86615061</v>
          </cell>
          <cell r="I16">
            <v>160.3567811527</v>
          </cell>
          <cell r="J16">
            <v>171.581755833389</v>
          </cell>
        </row>
        <row r="17">
          <cell r="E17">
            <v>-102.45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</sheetData>
      <sheetData sheetId="10">
        <row r="5">
          <cell r="D5">
            <v>4336.63357910525</v>
          </cell>
          <cell r="E5">
            <v>4480.09722804268</v>
          </cell>
          <cell r="F5">
            <v>5989.0544699363</v>
          </cell>
          <cell r="G5">
            <v>8238.71187971843</v>
          </cell>
          <cell r="H5">
            <v>11243.2810486707</v>
          </cell>
          <cell r="I5">
            <v>14297.4253274807</v>
          </cell>
        </row>
        <row r="6">
          <cell r="D6">
            <v>1024.65698316815</v>
          </cell>
          <cell r="E6">
            <v>2476.34227291471</v>
          </cell>
          <cell r="F6">
            <v>3448.9178733365</v>
          </cell>
          <cell r="G6">
            <v>4522.69879691027</v>
          </cell>
          <cell r="H6">
            <v>4949.51658001482</v>
          </cell>
          <cell r="I6">
            <v>5275.19109387078</v>
          </cell>
        </row>
        <row r="7">
          <cell r="D7">
            <v>886.315905937322</v>
          </cell>
          <cell r="E7">
            <v>975.587554955341</v>
          </cell>
          <cell r="F7">
            <v>1205.4149479659</v>
          </cell>
          <cell r="G7">
            <v>1525.7091236829</v>
          </cell>
          <cell r="H7">
            <v>1902.65120463359</v>
          </cell>
          <cell r="I7">
            <v>2309.75030443809</v>
          </cell>
        </row>
        <row r="9">
          <cell r="D9">
            <v>4480.09722804268</v>
          </cell>
          <cell r="E9">
            <v>5989.0544699363</v>
          </cell>
          <cell r="F9">
            <v>8238.71187971843</v>
          </cell>
          <cell r="G9">
            <v>11243.2810486707</v>
          </cell>
          <cell r="H9">
            <v>14297.4253274807</v>
          </cell>
          <cell r="I9">
            <v>17273.967287185</v>
          </cell>
        </row>
        <row r="12">
          <cell r="D12">
            <v>0.102788696309569</v>
          </cell>
          <cell r="E12">
            <v>0.102189425887538</v>
          </cell>
          <cell r="F12">
            <v>0.0997458570704077</v>
          </cell>
          <cell r="G12">
            <v>0.099763744116817</v>
          </cell>
          <cell r="H12">
            <v>0.0996497716822462</v>
          </cell>
          <cell r="I12">
            <v>0.0999029608712046</v>
          </cell>
        </row>
        <row r="14">
          <cell r="D14">
            <v>453.130132689575</v>
          </cell>
          <cell r="E14">
            <v>534.918300773007</v>
          </cell>
          <cell r="F14">
            <v>709.580374371908</v>
          </cell>
          <cell r="G14">
            <v>971.798278696725</v>
          </cell>
          <cell r="H14">
            <v>1272.56277949339</v>
          </cell>
          <cell r="I14">
            <v>1577.03780051619</v>
          </cell>
        </row>
      </sheetData>
      <sheetData sheetId="11">
        <row r="31">
          <cell r="P31">
            <v>8.64</v>
          </cell>
        </row>
        <row r="31">
          <cell r="S31">
            <v>0.00489906200000156</v>
          </cell>
        </row>
        <row r="32">
          <cell r="P32">
            <v>374.22</v>
          </cell>
        </row>
        <row r="32">
          <cell r="S32">
            <v>118.902630197</v>
          </cell>
        </row>
        <row r="33">
          <cell r="P33">
            <v>70.8</v>
          </cell>
        </row>
        <row r="33">
          <cell r="S33">
            <v>49.245021156</v>
          </cell>
        </row>
        <row r="35">
          <cell r="P35">
            <v>221.08</v>
          </cell>
        </row>
        <row r="35">
          <cell r="S35">
            <v>44.413445081</v>
          </cell>
        </row>
        <row r="36">
          <cell r="P36">
            <v>8986.88</v>
          </cell>
        </row>
        <row r="36">
          <cell r="S36">
            <v>4735.332433661</v>
          </cell>
        </row>
        <row r="40">
          <cell r="P40">
            <v>8680.09</v>
          </cell>
        </row>
        <row r="40">
          <cell r="S40">
            <v>4126.22608089</v>
          </cell>
        </row>
        <row r="44">
          <cell r="P44">
            <v>1827.32</v>
          </cell>
        </row>
        <row r="44">
          <cell r="S44">
            <v>1152.021040442</v>
          </cell>
        </row>
        <row r="48">
          <cell r="P48">
            <v>7.08</v>
          </cell>
        </row>
        <row r="48">
          <cell r="S48">
            <v>6.372199932</v>
          </cell>
        </row>
        <row r="49">
          <cell r="P49">
            <v>17.25</v>
          </cell>
        </row>
        <row r="49">
          <cell r="S49">
            <v>11.470196043</v>
          </cell>
        </row>
        <row r="50">
          <cell r="P50">
            <v>51.37</v>
          </cell>
        </row>
        <row r="50">
          <cell r="S50">
            <v>32.56355336</v>
          </cell>
        </row>
        <row r="51">
          <cell r="P51">
            <v>185.56</v>
          </cell>
        </row>
        <row r="51">
          <cell r="S51">
            <v>145.428216707</v>
          </cell>
        </row>
        <row r="52">
          <cell r="P52">
            <v>2.6</v>
          </cell>
        </row>
        <row r="52">
          <cell r="S52">
            <v>1.701644132</v>
          </cell>
        </row>
      </sheetData>
      <sheetData sheetId="12">
        <row r="4">
          <cell r="E4">
            <v>1479.46884454543</v>
          </cell>
          <cell r="F4">
            <v>2296.37864933933</v>
          </cell>
          <cell r="G4">
            <v>3432.34706722775</v>
          </cell>
          <cell r="H4">
            <v>4929.65585884528</v>
          </cell>
          <cell r="I4">
            <v>6566.86222597544</v>
          </cell>
        </row>
        <row r="5">
          <cell r="E5">
            <v>3301.78969721961</v>
          </cell>
          <cell r="F5">
            <v>4598.55716444867</v>
          </cell>
          <cell r="G5">
            <v>6030.26506254703</v>
          </cell>
          <cell r="H5">
            <v>6599.35544001976</v>
          </cell>
          <cell r="I5">
            <v>7033.58812516103</v>
          </cell>
        </row>
        <row r="6">
          <cell r="E6">
            <v>825.447424304902</v>
          </cell>
          <cell r="F6">
            <v>1149.63929111217</v>
          </cell>
          <cell r="G6">
            <v>1507.56626563676</v>
          </cell>
          <cell r="H6">
            <v>1649.83886000494</v>
          </cell>
          <cell r="I6">
            <v>1758.39703129026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E9">
            <v>2296.37864933933</v>
          </cell>
          <cell r="F9">
            <v>3432.34706722775</v>
          </cell>
          <cell r="G9">
            <v>4929.65585884528</v>
          </cell>
          <cell r="H9">
            <v>6566.86222597544</v>
          </cell>
          <cell r="I9">
            <v>8313.12775155105</v>
          </cell>
        </row>
        <row r="11">
          <cell r="E11">
            <v>0.14</v>
          </cell>
          <cell r="F11">
            <v>0.14</v>
          </cell>
          <cell r="G11">
            <v>0.14</v>
          </cell>
          <cell r="H11">
            <v>0.14</v>
          </cell>
          <cell r="I11">
            <v>0.14</v>
          </cell>
        </row>
        <row r="12"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</row>
        <row r="13">
          <cell r="E13">
            <v>0.14</v>
          </cell>
          <cell r="F13">
            <v>0.14</v>
          </cell>
          <cell r="G13">
            <v>0.14</v>
          </cell>
          <cell r="H13">
            <v>0.14</v>
          </cell>
          <cell r="I13">
            <v>0.14</v>
          </cell>
        </row>
        <row r="15">
          <cell r="E15">
            <v>207.12563823636</v>
          </cell>
          <cell r="F15">
            <v>321.493010907506</v>
          </cell>
          <cell r="G15">
            <v>480.528589411885</v>
          </cell>
          <cell r="H15">
            <v>690.151820238339</v>
          </cell>
          <cell r="I15">
            <v>919.360711636562</v>
          </cell>
        </row>
        <row r="16">
          <cell r="E16">
            <v>57.7813197013432</v>
          </cell>
          <cell r="F16">
            <v>80.4747503778517</v>
          </cell>
          <cell r="G16">
            <v>105.529638594573</v>
          </cell>
          <cell r="H16">
            <v>115.488720200346</v>
          </cell>
          <cell r="I16">
            <v>123.087792190318</v>
          </cell>
        </row>
      </sheetData>
      <sheetData sheetId="13">
        <row r="6">
          <cell r="J6">
            <v>116.21</v>
          </cell>
          <cell r="K6">
            <v>118.5342</v>
          </cell>
          <cell r="L6">
            <v>120.904884</v>
          </cell>
          <cell r="M6">
            <v>123.32298168</v>
          </cell>
          <cell r="N6">
            <v>125.7894413136</v>
          </cell>
          <cell r="O6">
            <v>128.305230139872</v>
          </cell>
        </row>
        <row r="7">
          <cell r="J7">
            <v>0.02</v>
          </cell>
          <cell r="K7">
            <v>0.0204</v>
          </cell>
          <cell r="L7">
            <v>0.020808</v>
          </cell>
          <cell r="M7">
            <v>0.02122416</v>
          </cell>
          <cell r="N7">
            <v>0.0216486432</v>
          </cell>
          <cell r="O7">
            <v>0.022081616064</v>
          </cell>
        </row>
        <row r="8">
          <cell r="J8">
            <v>6.89</v>
          </cell>
          <cell r="K8">
            <v>7.0278</v>
          </cell>
          <cell r="L8">
            <v>7.168356</v>
          </cell>
          <cell r="M8">
            <v>7.31172312</v>
          </cell>
          <cell r="N8">
            <v>7.4579575824</v>
          </cell>
          <cell r="O8">
            <v>7.607116734048</v>
          </cell>
        </row>
        <row r="9">
          <cell r="J9">
            <v>11.46</v>
          </cell>
          <cell r="K9">
            <v>11.6892</v>
          </cell>
          <cell r="L9">
            <v>11.922984</v>
          </cell>
          <cell r="M9">
            <v>12.16144368</v>
          </cell>
          <cell r="N9">
            <v>12.4046725536</v>
          </cell>
          <cell r="O9">
            <v>12.652766004672</v>
          </cell>
        </row>
        <row r="10">
          <cell r="J10">
            <v>9.41</v>
          </cell>
          <cell r="K10">
            <v>9.5982</v>
          </cell>
          <cell r="L10">
            <v>9.790164</v>
          </cell>
          <cell r="M10">
            <v>9.98596728</v>
          </cell>
          <cell r="N10">
            <v>10.1856866256</v>
          </cell>
          <cell r="O10">
            <v>10.389400358112</v>
          </cell>
        </row>
        <row r="11">
          <cell r="J11">
            <v>0.29</v>
          </cell>
          <cell r="K11">
            <v>0.2958</v>
          </cell>
          <cell r="L11">
            <v>0.301716</v>
          </cell>
          <cell r="M11">
            <v>0.30775032</v>
          </cell>
          <cell r="N11">
            <v>0.3139053264</v>
          </cell>
          <cell r="O11">
            <v>0.320183432928</v>
          </cell>
        </row>
        <row r="12">
          <cell r="J12">
            <v>0.4</v>
          </cell>
          <cell r="K12">
            <v>0.408</v>
          </cell>
          <cell r="L12">
            <v>0.41616</v>
          </cell>
          <cell r="M12">
            <v>0.4244832</v>
          </cell>
          <cell r="N12">
            <v>0.432972864</v>
          </cell>
          <cell r="O12">
            <v>0.44163232128</v>
          </cell>
        </row>
        <row r="13">
          <cell r="J13">
            <v>0.5</v>
          </cell>
          <cell r="K13">
            <v>0.51</v>
          </cell>
          <cell r="L13">
            <v>0.5202</v>
          </cell>
          <cell r="M13">
            <v>0.530604</v>
          </cell>
          <cell r="N13">
            <v>0.54121608</v>
          </cell>
          <cell r="O13">
            <v>0.5520404016</v>
          </cell>
        </row>
        <row r="14">
          <cell r="J14">
            <v>5.19</v>
          </cell>
          <cell r="K14">
            <v>5.2938</v>
          </cell>
          <cell r="L14">
            <v>5.399676</v>
          </cell>
          <cell r="M14">
            <v>5.50766952</v>
          </cell>
          <cell r="N14">
            <v>5.6178229104</v>
          </cell>
          <cell r="O14">
            <v>5.730179368608</v>
          </cell>
        </row>
        <row r="15">
          <cell r="J15">
            <v>0.12</v>
          </cell>
          <cell r="K15">
            <v>0.1224</v>
          </cell>
          <cell r="L15">
            <v>0.124848</v>
          </cell>
          <cell r="M15">
            <v>0.12734496</v>
          </cell>
          <cell r="N15">
            <v>0.1298918592</v>
          </cell>
          <cell r="O15">
            <v>0.132489696384</v>
          </cell>
        </row>
        <row r="16">
          <cell r="J16">
            <v>0.05</v>
          </cell>
          <cell r="K16">
            <v>0.051</v>
          </cell>
          <cell r="L16">
            <v>0.05202</v>
          </cell>
          <cell r="M16">
            <v>0.0530604</v>
          </cell>
          <cell r="N16">
            <v>0.054121608</v>
          </cell>
          <cell r="O16">
            <v>0.05520404016</v>
          </cell>
        </row>
      </sheetData>
      <sheetData sheetId="14">
        <row r="13">
          <cell r="C13">
            <v>5187.68</v>
          </cell>
          <cell r="D13">
            <v>2069.45</v>
          </cell>
          <cell r="E13">
            <v>421.0952378</v>
          </cell>
          <cell r="F13">
            <v>635.4311856</v>
          </cell>
          <cell r="G13">
            <v>6836.0349916</v>
          </cell>
          <cell r="H13">
            <v>6011.8574958</v>
          </cell>
          <cell r="I13">
            <v>0.105696315330815</v>
          </cell>
          <cell r="J13">
            <v>606.6428568</v>
          </cell>
          <cell r="K13">
            <v>465.6228228</v>
          </cell>
          <cell r="L13">
            <v>665.34</v>
          </cell>
          <cell r="M13">
            <v>6695.0149576</v>
          </cell>
          <cell r="N13">
            <v>6353.4362267</v>
          </cell>
          <cell r="O13">
            <v>0.104721284083083</v>
          </cell>
          <cell r="P13">
            <v>723.46</v>
          </cell>
          <cell r="Q13">
            <v>328.4</v>
          </cell>
          <cell r="R13">
            <v>643.59</v>
          </cell>
          <cell r="S13">
            <v>6299.9549576</v>
          </cell>
          <cell r="T13">
            <v>6497.4849576</v>
          </cell>
          <cell r="U13">
            <v>0.0990521723712809</v>
          </cell>
          <cell r="V13">
            <v>957.11</v>
          </cell>
          <cell r="W13">
            <v>577.87</v>
          </cell>
          <cell r="X13">
            <v>5342.8449576</v>
          </cell>
          <cell r="Y13">
            <v>5821.3999576</v>
          </cell>
          <cell r="Z13">
            <v>0.0992665001904868</v>
          </cell>
          <cell r="AA13">
            <v>957.11</v>
          </cell>
          <cell r="AB13">
            <v>483.92</v>
          </cell>
          <cell r="AC13">
            <v>4385.7349576</v>
          </cell>
          <cell r="AD13">
            <v>4864.2899576</v>
          </cell>
          <cell r="AE13">
            <v>0.099484201027926</v>
          </cell>
          <cell r="AF13">
            <v>957.11</v>
          </cell>
          <cell r="AG13">
            <v>389.98</v>
          </cell>
          <cell r="AH13">
            <v>3428.6249576</v>
          </cell>
          <cell r="AI13">
            <v>3907.1799576</v>
          </cell>
          <cell r="AJ13">
            <v>0.0998111180524039</v>
          </cell>
        </row>
        <row r="14">
          <cell r="C14">
            <v>5361.25</v>
          </cell>
          <cell r="D14">
            <v>934.82</v>
          </cell>
          <cell r="E14">
            <v>278.5471516</v>
          </cell>
          <cell r="F14">
            <v>562.0004333</v>
          </cell>
          <cell r="G14">
            <v>6017.520044</v>
          </cell>
          <cell r="H14">
            <v>5689.385022</v>
          </cell>
          <cell r="I14">
            <v>0.0987805239277758</v>
          </cell>
          <cell r="J14">
            <v>383.1324024</v>
          </cell>
          <cell r="K14">
            <v>465.62</v>
          </cell>
          <cell r="L14">
            <v>597.7</v>
          </cell>
          <cell r="M14">
            <v>6100.0076416</v>
          </cell>
          <cell r="N14">
            <v>5894.6963318</v>
          </cell>
          <cell r="O14">
            <v>0.101396232537985</v>
          </cell>
          <cell r="P14">
            <v>499.95</v>
          </cell>
        </row>
        <row r="14">
          <cell r="R14">
            <v>597.49</v>
          </cell>
          <cell r="S14">
            <v>5928.4476416</v>
          </cell>
          <cell r="T14">
            <v>6014.2276416</v>
          </cell>
          <cell r="U14">
            <v>0.0993460899064084</v>
          </cell>
          <cell r="V14">
            <v>733.6</v>
          </cell>
          <cell r="W14">
            <v>553.31</v>
          </cell>
          <cell r="X14">
            <v>5194.8476416</v>
          </cell>
          <cell r="Y14">
            <v>5561.6476416</v>
          </cell>
          <cell r="Z14">
            <v>0.0994867053175669</v>
          </cell>
          <cell r="AA14">
            <v>733.6</v>
          </cell>
          <cell r="AB14">
            <v>480.91</v>
          </cell>
          <cell r="AC14">
            <v>4461.2476416</v>
          </cell>
          <cell r="AD14">
            <v>4828.0476416</v>
          </cell>
          <cell r="AE14">
            <v>0.0996075506497338</v>
          </cell>
          <cell r="AF14">
            <v>733.6</v>
          </cell>
          <cell r="AG14">
            <v>408.51</v>
          </cell>
          <cell r="AH14">
            <v>3727.6476416</v>
          </cell>
          <cell r="AI14">
            <v>4094.4476416</v>
          </cell>
          <cell r="AJ14">
            <v>0.0997716995693137</v>
          </cell>
        </row>
        <row r="15">
          <cell r="C15">
            <v>1318.82</v>
          </cell>
          <cell r="D15">
            <v>0</v>
          </cell>
          <cell r="E15">
            <v>447.26</v>
          </cell>
          <cell r="F15">
            <v>117.0574706</v>
          </cell>
          <cell r="G15">
            <v>871.5563477</v>
          </cell>
          <cell r="H15">
            <v>1095.18817385</v>
          </cell>
          <cell r="I15">
            <v>0.106883431902391</v>
          </cell>
          <cell r="J15">
            <v>413.6269032</v>
          </cell>
        </row>
        <row r="15">
          <cell r="L15">
            <v>77.9330969903</v>
          </cell>
          <cell r="M15">
            <v>457.9294445</v>
          </cell>
          <cell r="N15">
            <v>776.558809175</v>
          </cell>
          <cell r="O15">
            <v>0.100356980140493</v>
          </cell>
          <cell r="P15">
            <v>319.5602384</v>
          </cell>
        </row>
        <row r="15">
          <cell r="R15">
            <v>31.9414407184667</v>
          </cell>
          <cell r="S15">
            <v>138.3692061</v>
          </cell>
          <cell r="T15">
            <v>298.1493253</v>
          </cell>
          <cell r="U15">
            <v>0.107132359552808</v>
          </cell>
          <cell r="V15">
            <v>123.962714</v>
          </cell>
          <cell r="W15">
            <v>8.9383701268</v>
          </cell>
          <cell r="X15">
            <v>14.4064920999999</v>
          </cell>
          <cell r="Y15">
            <v>76.3878490999999</v>
          </cell>
          <cell r="Z15">
            <v>0.117012983506038</v>
          </cell>
          <cell r="AA15">
            <v>14.4064921</v>
          </cell>
          <cell r="AB15">
            <v>0.35422754825</v>
          </cell>
          <cell r="AC15">
            <v>-7.63833440942108e-14</v>
          </cell>
          <cell r="AD15">
            <v>7.20324604999992</v>
          </cell>
          <cell r="AE15">
            <v>0.0491761000236836</v>
          </cell>
          <cell r="AF15">
            <v>0</v>
          </cell>
          <cell r="AG15">
            <v>0</v>
          </cell>
          <cell r="AH15">
            <v>-7.63833440942108e-14</v>
          </cell>
          <cell r="AI15">
            <v>-7.63833440942108e-14</v>
          </cell>
          <cell r="AJ15">
            <v>0</v>
          </cell>
        </row>
        <row r="16">
          <cell r="C16">
            <v>425.34</v>
          </cell>
          <cell r="D16">
            <v>0.00319780000000947</v>
          </cell>
          <cell r="E16">
            <v>64.8714984</v>
          </cell>
          <cell r="F16">
            <v>47.1634017</v>
          </cell>
          <cell r="G16">
            <v>360.4716994</v>
          </cell>
          <cell r="H16">
            <v>392.9058497</v>
          </cell>
          <cell r="I16">
            <v>0.120037412871331</v>
          </cell>
          <cell r="J16">
            <v>80.4939984</v>
          </cell>
        </row>
        <row r="16">
          <cell r="L16">
            <v>38.4180895395</v>
          </cell>
          <cell r="M16">
            <v>279.977701</v>
          </cell>
          <cell r="N16">
            <v>336.44177535</v>
          </cell>
          <cell r="O16">
            <v>0.114189415091315</v>
          </cell>
          <cell r="P16">
            <v>80.4939984</v>
          </cell>
        </row>
        <row r="16">
          <cell r="R16">
            <v>28.8368097291</v>
          </cell>
          <cell r="S16">
            <v>199.4837026</v>
          </cell>
          <cell r="T16">
            <v>239.7307018</v>
          </cell>
          <cell r="U16">
            <v>0.120288346517909</v>
          </cell>
          <cell r="V16">
            <v>80.4939984</v>
          </cell>
          <cell r="W16">
            <v>19.2555299187</v>
          </cell>
          <cell r="X16">
            <v>118.9897042</v>
          </cell>
          <cell r="Y16">
            <v>159.2367034</v>
          </cell>
          <cell r="Z16">
            <v>0.120923942204018</v>
          </cell>
          <cell r="AA16">
            <v>58.6464984</v>
          </cell>
          <cell r="AB16">
            <v>10.3289551083</v>
          </cell>
          <cell r="AC16">
            <v>60.3432058</v>
          </cell>
          <cell r="AD16">
            <v>89.666455</v>
          </cell>
          <cell r="AE16">
            <v>0.115193079823441</v>
          </cell>
          <cell r="AF16">
            <v>42.9999984</v>
          </cell>
          <cell r="AG16">
            <v>4.7768402979</v>
          </cell>
          <cell r="AH16">
            <v>17.3432074</v>
          </cell>
          <cell r="AI16">
            <v>38.8432066</v>
          </cell>
          <cell r="AJ16">
            <v>0.122977496350675</v>
          </cell>
        </row>
        <row r="17">
          <cell r="C17">
            <v>698.67</v>
          </cell>
        </row>
        <row r="17">
          <cell r="E17">
            <v>434.69</v>
          </cell>
          <cell r="F17">
            <v>49.9141482</v>
          </cell>
          <cell r="G17">
            <v>264.0000001</v>
          </cell>
          <cell r="H17">
            <v>481.33500005</v>
          </cell>
          <cell r="I17">
            <v>0.103699394797418</v>
          </cell>
          <cell r="J17">
            <v>264.0000001</v>
          </cell>
        </row>
        <row r="17">
          <cell r="L17">
            <v>15.7318333434258</v>
          </cell>
          <cell r="M17">
            <v>0</v>
          </cell>
          <cell r="N17">
            <v>240.667500025</v>
          </cell>
          <cell r="O17">
            <v>0.0653675022252346</v>
          </cell>
        </row>
        <row r="18">
          <cell r="C18">
            <v>2024.65</v>
          </cell>
        </row>
        <row r="18">
          <cell r="E18">
            <v>0</v>
          </cell>
          <cell r="F18">
            <v>201.735</v>
          </cell>
          <cell r="G18">
            <v>2024.65</v>
          </cell>
          <cell r="H18">
            <v>2024.65</v>
          </cell>
          <cell r="I18">
            <v>0.0996394438544934</v>
          </cell>
          <cell r="J18">
            <v>0</v>
          </cell>
        </row>
        <row r="18">
          <cell r="L18">
            <v>201.735</v>
          </cell>
          <cell r="M18">
            <v>2024.65</v>
          </cell>
          <cell r="N18">
            <v>2024.65</v>
          </cell>
          <cell r="O18">
            <v>0.0996394438544934</v>
          </cell>
          <cell r="P18">
            <v>0</v>
          </cell>
        </row>
        <row r="18">
          <cell r="R18">
            <v>201.735</v>
          </cell>
          <cell r="S18">
            <v>2024.65</v>
          </cell>
          <cell r="T18">
            <v>2024.65</v>
          </cell>
          <cell r="U18">
            <v>0.0996394438544934</v>
          </cell>
          <cell r="V18">
            <v>0</v>
          </cell>
          <cell r="W18">
            <v>201.735</v>
          </cell>
          <cell r="X18">
            <v>2024.65</v>
          </cell>
          <cell r="Y18">
            <v>2024.65</v>
          </cell>
          <cell r="Z18">
            <v>0.0996394438544934</v>
          </cell>
          <cell r="AA18">
            <v>0</v>
          </cell>
          <cell r="AB18">
            <v>201.735</v>
          </cell>
          <cell r="AC18">
            <v>2024.65</v>
          </cell>
          <cell r="AD18">
            <v>2024.65</v>
          </cell>
          <cell r="AE18">
            <v>0.0996394438544934</v>
          </cell>
          <cell r="AF18">
            <v>2024.65</v>
          </cell>
          <cell r="AG18">
            <v>201.735</v>
          </cell>
          <cell r="AH18">
            <v>0</v>
          </cell>
          <cell r="AI18">
            <v>0</v>
          </cell>
          <cell r="AJ18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Wheeling Charges"/>
      <sheetName val="InputSheet"/>
      <sheetName val="Dist ARR"/>
      <sheetName val="Int on Working cap"/>
      <sheetName val="GFA &amp; Dep-MYT 5th Control"/>
      <sheetName val="Capex Summary 5th MYT"/>
      <sheetName val="Capex Summary inputs"/>
      <sheetName val="Investment for 5th MYT"/>
      <sheetName val="True Up &amp; True Down"/>
      <sheetName val="Employee Cost"/>
      <sheetName val="Interest cost"/>
      <sheetName val="Voltage wise FA from SAP"/>
      <sheetName val="RoE"/>
      <sheetName val="NTI proj"/>
      <sheetName val="Loan Portfolio"/>
      <sheetName val="Open Access"/>
      <sheetName val="Internal Discussion Notes"/>
      <sheetName val="Claim vs Approved Depreciation"/>
      <sheetName val="Base Capex"/>
      <sheetName val="SP NTI"/>
      <sheetName val="New Loans 5th MYT"/>
      <sheetName val="NTI"/>
      <sheetName val="Load for Wheeling "/>
      <sheetName val="Working for O&amp;M"/>
      <sheetName val="For Wheeling"/>
      <sheetName val="Sheet3 (2)"/>
      <sheetName val="Status"/>
      <sheetName val="Existing loans Repayment &amp;Int"/>
      <sheetName val="Proposed Assets as per Invest"/>
      <sheetName val="Working for 1.1d"/>
      <sheetName val="Form 1.2"/>
      <sheetName val="Form 1.1"/>
      <sheetName val="Form 1.1j"/>
      <sheetName val="Form 1.1k"/>
      <sheetName val="Form 1.1d"/>
      <sheetName val="Form 1.1 g(i)"/>
      <sheetName val="Form 1.1a"/>
      <sheetName val="Form 1.1b"/>
      <sheetName val="Existing Loans Details"/>
      <sheetName val="Form 1.1g"/>
      <sheetName val="Form 1.1 c"/>
      <sheetName val="Form 1.1e"/>
      <sheetName val="Form 1.1n"/>
      <sheetName val="Form 1.0"/>
      <sheetName val="Form 1a"/>
      <sheetName val="Form 1c"/>
      <sheetName val="Form 1b"/>
      <sheetName val="Form 1.1h"/>
      <sheetName val="Form 1.3"/>
      <sheetName val="Form 1.3a"/>
      <sheetName val="Form 1.3(i)"/>
      <sheetName val="Form 1.3 i"/>
      <sheetName val="Form 3.3"/>
      <sheetName val="Form 7.0"/>
      <sheetName val="Form 8"/>
      <sheetName val="Form 9"/>
      <sheetName val="Form 10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>
        <row r="4">
          <cell r="G4">
            <v>395.629026688354</v>
          </cell>
          <cell r="H4">
            <v>424.799240547575</v>
          </cell>
          <cell r="I4">
            <v>456.259525067406</v>
          </cell>
        </row>
        <row r="5">
          <cell r="G5">
            <v>314.13810776431</v>
          </cell>
          <cell r="H5">
            <v>355.186920128731</v>
          </cell>
          <cell r="I5">
            <v>402.634108385922</v>
          </cell>
        </row>
        <row r="6">
          <cell r="G6">
            <v>742.717609931084</v>
          </cell>
          <cell r="H6">
            <v>824.166169036709</v>
          </cell>
          <cell r="I6">
            <v>918.722088008256</v>
          </cell>
        </row>
        <row r="9">
          <cell r="G9">
            <v>1452.48474438375</v>
          </cell>
          <cell r="H9">
            <v>1604.15232971302</v>
          </cell>
          <cell r="I9">
            <v>1777.61572146159</v>
          </cell>
        </row>
        <row r="10">
          <cell r="E10">
            <v>0.105</v>
          </cell>
          <cell r="F10">
            <v>0.105</v>
          </cell>
          <cell r="G10">
            <v>0.105</v>
          </cell>
          <cell r="H10">
            <v>0.105</v>
          </cell>
          <cell r="I10">
            <v>0.105</v>
          </cell>
        </row>
        <row r="65">
          <cell r="E65">
            <v>300.321526260033</v>
          </cell>
          <cell r="F65">
            <v>318.552567628742</v>
          </cell>
        </row>
        <row r="66">
          <cell r="E66">
            <v>206.608841552051</v>
          </cell>
          <cell r="F66">
            <v>228.27529652331</v>
          </cell>
        </row>
        <row r="67">
          <cell r="E67">
            <v>682.3324620465</v>
          </cell>
          <cell r="F67">
            <v>741.577333415516</v>
          </cell>
        </row>
        <row r="70">
          <cell r="E70">
            <v>1189.26282985858</v>
          </cell>
          <cell r="F70">
            <v>1288.40519756757</v>
          </cell>
        </row>
        <row r="72">
          <cell r="E72">
            <v>124.872597135151</v>
          </cell>
          <cell r="F72">
            <v>135</v>
          </cell>
        </row>
      </sheetData>
      <sheetData sheetId="5">
        <row r="34">
          <cell r="L34">
            <v>1077.90765088188</v>
          </cell>
          <cell r="M34">
            <v>1028.10140113349</v>
          </cell>
          <cell r="N34">
            <v>1097.59833081481</v>
          </cell>
          <cell r="O34">
            <v>1486.07739011872</v>
          </cell>
          <cell r="P34">
            <v>1753.03746766316</v>
          </cell>
          <cell r="Q34">
            <v>2026.28758200611</v>
          </cell>
        </row>
        <row r="35">
          <cell r="L35">
            <v>1251.74182488406</v>
          </cell>
          <cell r="M35">
            <v>1193.90332090862</v>
          </cell>
          <cell r="N35">
            <v>1274.60802090028</v>
          </cell>
          <cell r="O35">
            <v>1725.73710067301</v>
          </cell>
          <cell r="P35">
            <v>2035.74983169247</v>
          </cell>
          <cell r="Q35">
            <v>2353.06699378663</v>
          </cell>
        </row>
        <row r="36">
          <cell r="L36">
            <v>83.25975504842</v>
          </cell>
          <cell r="M36">
            <v>79.412620137986</v>
          </cell>
          <cell r="N36">
            <v>84.7807027721061</v>
          </cell>
          <cell r="O36">
            <v>114.787606696224</v>
          </cell>
          <cell r="P36">
            <v>135.408140046992</v>
          </cell>
          <cell r="Q36">
            <v>156.514528491802</v>
          </cell>
        </row>
        <row r="37">
          <cell r="L37">
            <v>0.152431740548698</v>
          </cell>
          <cell r="M37">
            <v>0.145388416073601</v>
          </cell>
          <cell r="N37">
            <v>0.155216287640751</v>
          </cell>
          <cell r="O37">
            <v>0.210152848419375</v>
          </cell>
          <cell r="P37">
            <v>0.247904866640808</v>
          </cell>
          <cell r="Q37">
            <v>0.286546387090494</v>
          </cell>
        </row>
        <row r="38">
          <cell r="L38">
            <v>45.391228594579</v>
          </cell>
          <cell r="M38">
            <v>43.2938625856093</v>
          </cell>
          <cell r="N38">
            <v>46.2204129438014</v>
          </cell>
          <cell r="O38">
            <v>62.5794598163643</v>
          </cell>
          <cell r="P38">
            <v>73.8212817809198</v>
          </cell>
          <cell r="Q38">
            <v>85.3279803311043</v>
          </cell>
        </row>
        <row r="39">
          <cell r="L39">
            <v>53.5852474407827</v>
          </cell>
          <cell r="M39">
            <v>51.1092651850843</v>
          </cell>
          <cell r="N39">
            <v>54.5641160438769</v>
          </cell>
          <cell r="O39">
            <v>73.8762959892847</v>
          </cell>
          <cell r="P39">
            <v>87.147490233361</v>
          </cell>
          <cell r="Q39">
            <v>100.731376550811</v>
          </cell>
        </row>
        <row r="40">
          <cell r="L40">
            <v>11.9711723006004</v>
          </cell>
          <cell r="M40">
            <v>11.4180273285827</v>
          </cell>
          <cell r="N40">
            <v>12.1898557119299</v>
          </cell>
          <cell r="O40">
            <v>16.5042788912232</v>
          </cell>
          <cell r="P40">
            <v>19.4691201585168</v>
          </cell>
          <cell r="Q40">
            <v>22.5038181656067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3">
          <cell r="D173">
            <v>20.4904342144593</v>
          </cell>
          <cell r="E173">
            <v>19.3174262171162</v>
          </cell>
          <cell r="F173">
            <v>19.8825839579039</v>
          </cell>
          <cell r="G173">
            <v>20.6031743342208</v>
          </cell>
          <cell r="H173">
            <v>21.5162217900308</v>
          </cell>
          <cell r="I173">
            <v>22.6170746489282</v>
          </cell>
        </row>
        <row r="174">
          <cell r="D174">
            <v>4.66</v>
          </cell>
          <cell r="E174">
            <v>4.515921614</v>
          </cell>
          <cell r="F174">
            <v>4.466468187</v>
          </cell>
          <cell r="G174">
            <v>4.152617751</v>
          </cell>
          <cell r="H174">
            <v>3.046486616</v>
          </cell>
        </row>
        <row r="176">
          <cell r="D176">
            <v>0</v>
          </cell>
        </row>
        <row r="176">
          <cell r="F176">
            <v>0</v>
          </cell>
        </row>
        <row r="178">
          <cell r="D178">
            <v>11.9607761788204</v>
          </cell>
          <cell r="E178">
            <v>12.4122369213894</v>
          </cell>
          <cell r="F178">
            <v>13.4933649813373</v>
          </cell>
          <cell r="G178">
            <v>14.9231281051409</v>
          </cell>
          <cell r="H178">
            <v>16.4564689391092</v>
          </cell>
          <cell r="I178">
            <v>18.4485488403616</v>
          </cell>
        </row>
        <row r="179">
          <cell r="D179">
            <v>87.0435253316355</v>
          </cell>
          <cell r="E179">
            <v>88.0810295112661</v>
          </cell>
          <cell r="F179">
            <v>94.7023758069561</v>
          </cell>
          <cell r="G179">
            <v>103.793912828678</v>
          </cell>
          <cell r="H179">
            <v>116.797505529622</v>
          </cell>
          <cell r="I179">
            <v>132.659757480099</v>
          </cell>
        </row>
        <row r="180">
          <cell r="D180">
            <v>289.65807094608</v>
          </cell>
          <cell r="E180">
            <v>294.146106788345</v>
          </cell>
          <cell r="F180">
            <v>314.442924427231</v>
          </cell>
          <cell r="G180">
            <v>344.037762111515</v>
          </cell>
          <cell r="H180">
            <v>384.794427210246</v>
          </cell>
          <cell r="I180">
            <v>434.369733573244</v>
          </cell>
        </row>
        <row r="184">
          <cell r="D184">
            <v>58.0209906248337</v>
          </cell>
          <cell r="E184">
            <v>55.8767675132107</v>
          </cell>
          <cell r="F184">
            <v>59.4955205588713</v>
          </cell>
          <cell r="G184">
            <v>65.6877051543748</v>
          </cell>
          <cell r="H184">
            <v>73.777049815896</v>
          </cell>
          <cell r="I184">
            <v>84.3717514678585</v>
          </cell>
        </row>
        <row r="187">
          <cell r="D187">
            <v>78.2386243432315</v>
          </cell>
          <cell r="E187">
            <v>78.3154973367314</v>
          </cell>
          <cell r="F187">
            <v>83.5970719384644</v>
          </cell>
          <cell r="G187">
            <v>91.2631321250406</v>
          </cell>
          <cell r="H187">
            <v>101.090406217317</v>
          </cell>
          <cell r="I187">
            <v>112.956685689929</v>
          </cell>
        </row>
        <row r="188">
          <cell r="D188">
            <v>141.27658907438</v>
          </cell>
          <cell r="E188">
            <v>139.757061296176</v>
          </cell>
          <cell r="F188">
            <v>147.163545274454</v>
          </cell>
          <cell r="G188">
            <v>159.693567039798</v>
          </cell>
          <cell r="H188">
            <v>175.877718629633</v>
          </cell>
          <cell r="I188">
            <v>196.489433673787</v>
          </cell>
        </row>
        <row r="189">
          <cell r="D189">
            <v>166.102510974912</v>
          </cell>
          <cell r="E189">
            <v>164.363145664541</v>
          </cell>
          <cell r="F189">
            <v>173.823822821928</v>
          </cell>
          <cell r="G189">
            <v>189.394779973789</v>
          </cell>
          <cell r="H189">
            <v>209.140115811807</v>
          </cell>
          <cell r="I189">
            <v>233.115607312518</v>
          </cell>
        </row>
        <row r="191">
          <cell r="D191">
            <v>0.02</v>
          </cell>
          <cell r="E191">
            <v>0</v>
          </cell>
          <cell r="F191">
            <v>0</v>
          </cell>
        </row>
        <row r="191">
          <cell r="H191">
            <v>0</v>
          </cell>
          <cell r="I191">
            <v>0</v>
          </cell>
        </row>
        <row r="192">
          <cell r="D192">
            <v>0.58</v>
          </cell>
          <cell r="E192">
            <v>0.493995032</v>
          </cell>
          <cell r="F192">
            <v>0.472833391</v>
          </cell>
          <cell r="G192">
            <v>0.441010919</v>
          </cell>
          <cell r="H192">
            <v>0.405165171</v>
          </cell>
          <cell r="I192">
            <v>0.332381284</v>
          </cell>
        </row>
        <row r="193">
          <cell r="D193">
            <v>2.12685942832469</v>
          </cell>
          <cell r="E193">
            <v>1.6929835983727</v>
          </cell>
          <cell r="F193">
            <v>1.58589348803984</v>
          </cell>
          <cell r="G193">
            <v>1.46913475316255</v>
          </cell>
          <cell r="H193">
            <v>1.40230618534025</v>
          </cell>
          <cell r="I193">
            <v>1.35981159975816</v>
          </cell>
        </row>
        <row r="195">
          <cell r="D195">
            <v>13.617837922545</v>
          </cell>
          <cell r="E195">
            <v>12.4656815657338</v>
          </cell>
          <cell r="F195">
            <v>9.99237306277221</v>
          </cell>
          <cell r="G195">
            <v>9.92684042300869</v>
          </cell>
          <cell r="H195">
            <v>11.3389938517392</v>
          </cell>
          <cell r="I195">
            <v>14.3337271774689</v>
          </cell>
        </row>
      </sheetData>
      <sheetData sheetId="6"/>
      <sheetData sheetId="7"/>
      <sheetData sheetId="8">
        <row r="133">
          <cell r="B133">
            <v>1206.97</v>
          </cell>
        </row>
        <row r="133">
          <cell r="F133">
            <v>3013.04931089087</v>
          </cell>
        </row>
        <row r="133">
          <cell r="I133">
            <v>2524.00931089087</v>
          </cell>
          <cell r="J133">
            <v>1696.01</v>
          </cell>
        </row>
        <row r="160">
          <cell r="B160">
            <v>1696.01</v>
          </cell>
        </row>
        <row r="160">
          <cell r="F160">
            <v>2361.6065273815</v>
          </cell>
        </row>
        <row r="160">
          <cell r="I160">
            <v>2407.38388569544</v>
          </cell>
          <cell r="J160">
            <v>1650.23264168606</v>
          </cell>
        </row>
        <row r="187">
          <cell r="B187">
            <v>1650.23264168606</v>
          </cell>
        </row>
        <row r="187">
          <cell r="F187">
            <v>2681.66800802648</v>
          </cell>
        </row>
        <row r="187">
          <cell r="I187">
            <v>2570.11665547445</v>
          </cell>
          <cell r="J187">
            <v>1761.78399423809</v>
          </cell>
        </row>
        <row r="214">
          <cell r="B214">
            <v>1761.78399423809</v>
          </cell>
        </row>
        <row r="214">
          <cell r="F214">
            <v>4103.33025661855</v>
          </cell>
        </row>
        <row r="214">
          <cell r="I214">
            <v>3479.77228503324</v>
          </cell>
          <cell r="J214">
            <v>2385.34196582339</v>
          </cell>
        </row>
        <row r="241">
          <cell r="B241">
            <v>2385.34196582339</v>
          </cell>
        </row>
        <row r="241">
          <cell r="F241">
            <v>4533.38588929555</v>
          </cell>
        </row>
        <row r="241">
          <cell r="I241">
            <v>4104.88123644207</v>
          </cell>
          <cell r="J241">
            <v>2813.84661867687</v>
          </cell>
        </row>
        <row r="268">
          <cell r="B268">
            <v>2813.84661867687</v>
          </cell>
        </row>
        <row r="268">
          <cell r="F268">
            <v>5183.31978233298</v>
          </cell>
        </row>
        <row r="268">
          <cell r="I268">
            <v>4744.71882571915</v>
          </cell>
          <cell r="J268">
            <v>3252.44757529071</v>
          </cell>
        </row>
      </sheetData>
      <sheetData sheetId="9"/>
      <sheetData sheetId="10">
        <row r="9">
          <cell r="E9">
            <v>2005.3</v>
          </cell>
          <cell r="F9">
            <v>2145.671</v>
          </cell>
          <cell r="G9">
            <v>2295.86797</v>
          </cell>
          <cell r="H9">
            <v>2915.7523219</v>
          </cell>
          <cell r="I9">
            <v>3119.854984433</v>
          </cell>
          <cell r="J9">
            <v>3338.24483334331</v>
          </cell>
        </row>
        <row r="10">
          <cell r="E10">
            <v>377.56</v>
          </cell>
          <cell r="F10">
            <v>403.9892</v>
          </cell>
          <cell r="G10">
            <v>432.268444</v>
          </cell>
          <cell r="H10">
            <v>548.98092388</v>
          </cell>
          <cell r="I10">
            <v>587.4095885516</v>
          </cell>
          <cell r="J10">
            <v>628.528259750212</v>
          </cell>
        </row>
        <row r="11">
          <cell r="E11">
            <v>124.25</v>
          </cell>
          <cell r="F11">
            <v>132.9475</v>
          </cell>
          <cell r="G11">
            <v>142.253825</v>
          </cell>
          <cell r="H11">
            <v>180.66235775</v>
          </cell>
          <cell r="I11">
            <v>193.3087227925</v>
          </cell>
          <cell r="J11">
            <v>206.840333387975</v>
          </cell>
        </row>
        <row r="12">
          <cell r="E12">
            <v>20.9</v>
          </cell>
          <cell r="F12">
            <v>22.363</v>
          </cell>
          <cell r="G12">
            <v>23.92841</v>
          </cell>
          <cell r="H12">
            <v>30.3890807</v>
          </cell>
          <cell r="I12">
            <v>32.516316349</v>
          </cell>
          <cell r="J12">
            <v>34.79245849343</v>
          </cell>
        </row>
        <row r="13">
          <cell r="E13">
            <v>640.99</v>
          </cell>
          <cell r="F13">
            <v>692.2692</v>
          </cell>
          <cell r="G13">
            <v>747.650736</v>
          </cell>
          <cell r="H13">
            <v>956.99294208</v>
          </cell>
          <cell r="I13">
            <v>1033.5523774464</v>
          </cell>
          <cell r="J13">
            <v>1116.23656764211</v>
          </cell>
        </row>
        <row r="14">
          <cell r="E14">
            <v>2.99</v>
          </cell>
          <cell r="F14">
            <v>3.1993</v>
          </cell>
          <cell r="G14">
            <v>3.423251</v>
          </cell>
          <cell r="H14">
            <v>4.34752877</v>
          </cell>
          <cell r="I14">
            <v>4.6518557839</v>
          </cell>
          <cell r="J14">
            <v>4.977485688773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103.07</v>
          </cell>
          <cell r="F16">
            <v>110.2849</v>
          </cell>
          <cell r="G16">
            <v>118.004843</v>
          </cell>
          <cell r="H16">
            <v>149.86615061</v>
          </cell>
          <cell r="I16">
            <v>160.3567811527</v>
          </cell>
          <cell r="J16">
            <v>171.581755833389</v>
          </cell>
        </row>
        <row r="17">
          <cell r="E17">
            <v>-102.45</v>
          </cell>
        </row>
        <row r="17">
          <cell r="H17">
            <v>0</v>
          </cell>
          <cell r="I17">
            <v>0</v>
          </cell>
          <cell r="J17">
            <v>0</v>
          </cell>
        </row>
      </sheetData>
      <sheetData sheetId="11">
        <row r="5">
          <cell r="D5">
            <v>4336.63357910525</v>
          </cell>
          <cell r="E5">
            <v>4492.61691494078</v>
          </cell>
          <cell r="F5">
            <v>4838.35181326025</v>
          </cell>
          <cell r="G5">
            <v>5250.21873927692</v>
          </cell>
          <cell r="H5">
            <v>6259.54476464899</v>
          </cell>
          <cell r="I5">
            <v>7622.68193059912</v>
          </cell>
        </row>
        <row r="6">
          <cell r="D6">
            <v>1024.65698316815</v>
          </cell>
          <cell r="E6">
            <v>1208.97022744411</v>
          </cell>
          <cell r="F6">
            <v>1328.83121950109</v>
          </cell>
          <cell r="G6">
            <v>2007.13329516594</v>
          </cell>
          <cell r="H6">
            <v>2471.50112828908</v>
          </cell>
          <cell r="I6">
            <v>2944.73156265291</v>
          </cell>
        </row>
        <row r="7">
          <cell r="D7">
            <v>873.796219039222</v>
          </cell>
          <cell r="E7">
            <v>871.437853058882</v>
          </cell>
          <cell r="F7">
            <v>923.118777895958</v>
          </cell>
          <cell r="G7">
            <v>1005.38676551873</v>
          </cell>
          <cell r="H7">
            <v>1115.64286576774</v>
          </cell>
          <cell r="I7">
            <v>1251.77504434195</v>
          </cell>
        </row>
        <row r="9">
          <cell r="D9">
            <v>4492.61691494078</v>
          </cell>
          <cell r="E9">
            <v>4838.35181326025</v>
          </cell>
          <cell r="F9">
            <v>5250.21873927692</v>
          </cell>
          <cell r="G9">
            <v>6259.54476464899</v>
          </cell>
          <cell r="H9">
            <v>7622.68193059912</v>
          </cell>
          <cell r="I9">
            <v>9326.73961918166</v>
          </cell>
        </row>
        <row r="12">
          <cell r="D12">
            <v>0.102788696309569</v>
          </cell>
          <cell r="E12">
            <v>0.102189425887538</v>
          </cell>
          <cell r="F12">
            <v>0.0997458570704077</v>
          </cell>
          <cell r="G12">
            <v>0.099763744116817</v>
          </cell>
          <cell r="H12">
            <v>0.0996497716822462</v>
          </cell>
          <cell r="I12">
            <v>0.0999029608712046</v>
          </cell>
        </row>
        <row r="14">
          <cell r="D14">
            <v>453.773573836805</v>
          </cell>
          <cell r="E14">
            <v>476.763168654716</v>
          </cell>
          <cell r="F14">
            <v>503.146558189048</v>
          </cell>
          <cell r="G14">
            <v>574.128550525372</v>
          </cell>
          <cell r="H14">
            <v>691.680360311329</v>
          </cell>
          <cell r="I14">
            <v>846.64869893865</v>
          </cell>
        </row>
      </sheetData>
      <sheetData sheetId="12">
        <row r="31">
          <cell r="P31">
            <v>8.64</v>
          </cell>
        </row>
        <row r="31">
          <cell r="S31">
            <v>0.00489906200000156</v>
          </cell>
        </row>
        <row r="32">
          <cell r="P32">
            <v>374.22</v>
          </cell>
        </row>
        <row r="32">
          <cell r="S32">
            <v>118.902630197</v>
          </cell>
        </row>
        <row r="33">
          <cell r="P33">
            <v>70.8</v>
          </cell>
        </row>
        <row r="33">
          <cell r="S33">
            <v>49.245021156</v>
          </cell>
        </row>
        <row r="35">
          <cell r="P35">
            <v>221.08</v>
          </cell>
        </row>
        <row r="35">
          <cell r="S35">
            <v>44.413445081</v>
          </cell>
        </row>
        <row r="36">
          <cell r="P36">
            <v>8986.88</v>
          </cell>
        </row>
        <row r="36">
          <cell r="S36">
            <v>4735.332433661</v>
          </cell>
        </row>
        <row r="40">
          <cell r="P40">
            <v>8680.09</v>
          </cell>
        </row>
        <row r="40">
          <cell r="S40">
            <v>4126.22608089</v>
          </cell>
        </row>
        <row r="44">
          <cell r="P44">
            <v>1827.32</v>
          </cell>
        </row>
        <row r="44">
          <cell r="S44">
            <v>1152.021040442</v>
          </cell>
        </row>
        <row r="48">
          <cell r="P48">
            <v>7.08</v>
          </cell>
        </row>
        <row r="48">
          <cell r="S48">
            <v>6.372199932</v>
          </cell>
        </row>
        <row r="49">
          <cell r="P49">
            <v>17.25</v>
          </cell>
        </row>
        <row r="49">
          <cell r="S49">
            <v>11.470196043</v>
          </cell>
        </row>
        <row r="50">
          <cell r="P50">
            <v>51.37</v>
          </cell>
        </row>
        <row r="50">
          <cell r="S50">
            <v>32.56355336</v>
          </cell>
        </row>
        <row r="51">
          <cell r="P51">
            <v>185.56</v>
          </cell>
        </row>
        <row r="51">
          <cell r="S51">
            <v>145.428216707</v>
          </cell>
        </row>
        <row r="52">
          <cell r="P52">
            <v>2.6</v>
          </cell>
        </row>
        <row r="52">
          <cell r="S52">
            <v>1.701644132</v>
          </cell>
        </row>
      </sheetData>
      <sheetData sheetId="13">
        <row r="4">
          <cell r="E4">
            <v>1522.12448755697</v>
          </cell>
          <cell r="F4">
            <v>1916.57694386067</v>
          </cell>
          <cell r="G4">
            <v>2345.84981047062</v>
          </cell>
          <cell r="H4">
            <v>3004.63676817337</v>
          </cell>
          <cell r="I4">
            <v>3815.83798472829</v>
          </cell>
        </row>
        <row r="5">
          <cell r="E5">
            <v>1611.96030325881</v>
          </cell>
          <cell r="F5">
            <v>1771.77495933478</v>
          </cell>
          <cell r="G5">
            <v>2676.17772688792</v>
          </cell>
          <cell r="H5">
            <v>3295.33483771877</v>
          </cell>
          <cell r="I5">
            <v>3926.30875020388</v>
          </cell>
        </row>
        <row r="6">
          <cell r="E6">
            <v>402.990075814702</v>
          </cell>
          <cell r="F6">
            <v>442.943739833696</v>
          </cell>
          <cell r="G6">
            <v>669.044431721979</v>
          </cell>
          <cell r="H6">
            <v>823.833709429693</v>
          </cell>
          <cell r="I6">
            <v>981.577187550971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E9">
            <v>1916.57694386067</v>
          </cell>
          <cell r="F9">
            <v>2345.84981047062</v>
          </cell>
          <cell r="G9">
            <v>3004.63676817337</v>
          </cell>
          <cell r="H9">
            <v>3815.83798472829</v>
          </cell>
          <cell r="I9">
            <v>4785.28366656461</v>
          </cell>
        </row>
        <row r="11">
          <cell r="E11">
            <v>0.11</v>
          </cell>
          <cell r="F11">
            <v>0.16</v>
          </cell>
          <cell r="G11">
            <v>0.14</v>
          </cell>
          <cell r="H11">
            <v>0.14</v>
          </cell>
          <cell r="I11">
            <v>0.14</v>
          </cell>
        </row>
        <row r="12">
          <cell r="G12">
            <v>1</v>
          </cell>
          <cell r="H12">
            <v>1</v>
          </cell>
          <cell r="I12">
            <v>1</v>
          </cell>
        </row>
        <row r="13">
          <cell r="E13">
            <v>0.11</v>
          </cell>
          <cell r="F13">
            <v>0.16</v>
          </cell>
          <cell r="G13">
            <v>0.14</v>
          </cell>
          <cell r="H13">
            <v>0.14</v>
          </cell>
          <cell r="I13">
            <v>0.14</v>
          </cell>
        </row>
        <row r="15">
          <cell r="E15">
            <v>167.433693631266</v>
          </cell>
          <cell r="F15">
            <v>306.652311017707</v>
          </cell>
          <cell r="G15">
            <v>328.418973465886</v>
          </cell>
          <cell r="H15">
            <v>420.649147544272</v>
          </cell>
          <cell r="I15">
            <v>534.21731786196</v>
          </cell>
        </row>
        <row r="16">
          <cell r="E16">
            <v>22.1644541698086</v>
          </cell>
          <cell r="F16">
            <v>35.4354991866957</v>
          </cell>
          <cell r="G16">
            <v>46.8331102205385</v>
          </cell>
          <cell r="H16">
            <v>57.6683596600785</v>
          </cell>
          <cell r="I16">
            <v>68.7104031285679</v>
          </cell>
        </row>
      </sheetData>
      <sheetData sheetId="14">
        <row r="6">
          <cell r="M6">
            <v>123.32298168</v>
          </cell>
          <cell r="N6">
            <v>125.7894413136</v>
          </cell>
          <cell r="O6">
            <v>128.305230139872</v>
          </cell>
        </row>
        <row r="7">
          <cell r="M7">
            <v>0.02122416</v>
          </cell>
          <cell r="N7">
            <v>0.0216486432</v>
          </cell>
          <cell r="O7">
            <v>0.022081616064</v>
          </cell>
        </row>
        <row r="8">
          <cell r="M8">
            <v>7.31172312</v>
          </cell>
          <cell r="N8">
            <v>7.4579575824</v>
          </cell>
          <cell r="O8">
            <v>7.607116734048</v>
          </cell>
        </row>
        <row r="9">
          <cell r="M9">
            <v>12.16144368</v>
          </cell>
          <cell r="N9">
            <v>12.4046725536</v>
          </cell>
          <cell r="O9">
            <v>12.652766004672</v>
          </cell>
        </row>
        <row r="10">
          <cell r="M10">
            <v>9.98596728</v>
          </cell>
          <cell r="N10">
            <v>10.1856866256</v>
          </cell>
          <cell r="O10">
            <v>10.389400358112</v>
          </cell>
        </row>
        <row r="11">
          <cell r="M11">
            <v>0.30775032</v>
          </cell>
          <cell r="N11">
            <v>0.3139053264</v>
          </cell>
          <cell r="O11">
            <v>0.320183432928</v>
          </cell>
        </row>
        <row r="12">
          <cell r="M12">
            <v>0.4244832</v>
          </cell>
          <cell r="N12">
            <v>0.432972864</v>
          </cell>
          <cell r="O12">
            <v>0.44163232128</v>
          </cell>
        </row>
        <row r="13">
          <cell r="M13">
            <v>0.530604</v>
          </cell>
          <cell r="N13">
            <v>0.54121608</v>
          </cell>
          <cell r="O13">
            <v>0.5520404016</v>
          </cell>
        </row>
        <row r="14">
          <cell r="M14">
            <v>5.50766952</v>
          </cell>
          <cell r="N14">
            <v>5.6178229104</v>
          </cell>
          <cell r="O14">
            <v>5.730179368608</v>
          </cell>
        </row>
        <row r="15">
          <cell r="M15">
            <v>0.12734496</v>
          </cell>
          <cell r="N15">
            <v>0.1298918592</v>
          </cell>
          <cell r="O15">
            <v>0.132489696384</v>
          </cell>
        </row>
        <row r="16">
          <cell r="M16">
            <v>0.0530604</v>
          </cell>
          <cell r="N16">
            <v>0.054121608</v>
          </cell>
          <cell r="O16">
            <v>0.05520404016</v>
          </cell>
        </row>
      </sheetData>
      <sheetData sheetId="15">
        <row r="13">
          <cell r="C13">
            <v>5187.68</v>
          </cell>
          <cell r="D13">
            <v>2069.45</v>
          </cell>
          <cell r="E13">
            <v>421.0952378</v>
          </cell>
          <cell r="F13">
            <v>635.4311856</v>
          </cell>
          <cell r="G13">
            <v>6836.0349916</v>
          </cell>
          <cell r="H13">
            <v>6011.8574958</v>
          </cell>
          <cell r="I13">
            <v>0.105696315330815</v>
          </cell>
          <cell r="J13">
            <v>606.6428568</v>
          </cell>
          <cell r="K13">
            <v>465.6228228</v>
          </cell>
          <cell r="L13">
            <v>665.34</v>
          </cell>
          <cell r="M13">
            <v>6695.0149576</v>
          </cell>
          <cell r="N13">
            <v>6353.4362267</v>
          </cell>
          <cell r="O13">
            <v>0.104721284083083</v>
          </cell>
          <cell r="P13">
            <v>723.46</v>
          </cell>
          <cell r="Q13">
            <v>328.4</v>
          </cell>
          <cell r="R13">
            <v>643.59</v>
          </cell>
          <cell r="S13">
            <v>6299.9549576</v>
          </cell>
          <cell r="T13">
            <v>6497.4849576</v>
          </cell>
          <cell r="U13">
            <v>0.0990521723712809</v>
          </cell>
          <cell r="V13">
            <v>957.11</v>
          </cell>
          <cell r="W13">
            <v>577.87</v>
          </cell>
          <cell r="X13">
            <v>5342.8449576</v>
          </cell>
          <cell r="Y13">
            <v>5821.3999576</v>
          </cell>
          <cell r="Z13">
            <v>0.0992665001904868</v>
          </cell>
          <cell r="AA13">
            <v>957.11</v>
          </cell>
          <cell r="AB13">
            <v>483.92</v>
          </cell>
          <cell r="AC13">
            <v>4385.7349576</v>
          </cell>
          <cell r="AD13">
            <v>4864.2899576</v>
          </cell>
          <cell r="AE13">
            <v>0.099484201027926</v>
          </cell>
          <cell r="AF13">
            <v>957.11</v>
          </cell>
          <cell r="AG13">
            <v>389.98</v>
          </cell>
          <cell r="AH13">
            <v>3428.6249576</v>
          </cell>
          <cell r="AI13">
            <v>3907.1799576</v>
          </cell>
          <cell r="AJ13">
            <v>0.0998111180524039</v>
          </cell>
        </row>
        <row r="14">
          <cell r="C14">
            <v>5361.25</v>
          </cell>
          <cell r="D14">
            <v>934.82</v>
          </cell>
          <cell r="E14">
            <v>278.5471516</v>
          </cell>
          <cell r="F14">
            <v>562.0004333</v>
          </cell>
          <cell r="G14">
            <v>6017.520044</v>
          </cell>
          <cell r="H14">
            <v>5689.385022</v>
          </cell>
          <cell r="I14">
            <v>0.0987805239277758</v>
          </cell>
          <cell r="J14">
            <v>383.1324024</v>
          </cell>
          <cell r="K14">
            <v>465.62</v>
          </cell>
          <cell r="L14">
            <v>597.7</v>
          </cell>
          <cell r="M14">
            <v>6100.0076416</v>
          </cell>
          <cell r="N14">
            <v>5894.6963318</v>
          </cell>
          <cell r="O14">
            <v>0.101396232537985</v>
          </cell>
          <cell r="P14">
            <v>499.95</v>
          </cell>
        </row>
        <row r="14">
          <cell r="R14">
            <v>597.49</v>
          </cell>
          <cell r="S14">
            <v>5928.4476416</v>
          </cell>
          <cell r="T14">
            <v>6014.2276416</v>
          </cell>
          <cell r="U14">
            <v>0.0993460899064084</v>
          </cell>
          <cell r="V14">
            <v>733.6</v>
          </cell>
          <cell r="W14">
            <v>553.31</v>
          </cell>
          <cell r="X14">
            <v>5194.8476416</v>
          </cell>
          <cell r="Y14">
            <v>5561.6476416</v>
          </cell>
          <cell r="Z14">
            <v>0.0994867053175669</v>
          </cell>
          <cell r="AA14">
            <v>733.6</v>
          </cell>
          <cell r="AB14">
            <v>480.91</v>
          </cell>
          <cell r="AC14">
            <v>4461.2476416</v>
          </cell>
          <cell r="AD14">
            <v>4828.0476416</v>
          </cell>
          <cell r="AE14">
            <v>0.0996075506497338</v>
          </cell>
          <cell r="AF14">
            <v>733.6</v>
          </cell>
          <cell r="AG14">
            <v>408.51</v>
          </cell>
          <cell r="AH14">
            <v>3727.6476416</v>
          </cell>
          <cell r="AI14">
            <v>4094.4476416</v>
          </cell>
          <cell r="AJ14">
            <v>0.0997716995693137</v>
          </cell>
        </row>
        <row r="15">
          <cell r="C15">
            <v>1318.82</v>
          </cell>
          <cell r="D15">
            <v>0</v>
          </cell>
          <cell r="E15">
            <v>447.26</v>
          </cell>
          <cell r="F15">
            <v>117.0574706</v>
          </cell>
          <cell r="G15">
            <v>871.5563477</v>
          </cell>
          <cell r="H15">
            <v>1095.18817385</v>
          </cell>
          <cell r="I15">
            <v>0.106883431902391</v>
          </cell>
          <cell r="J15">
            <v>413.6269032</v>
          </cell>
        </row>
        <row r="15">
          <cell r="L15">
            <v>77.9330969903</v>
          </cell>
          <cell r="M15">
            <v>457.9294445</v>
          </cell>
          <cell r="N15">
            <v>776.558809175</v>
          </cell>
          <cell r="O15">
            <v>0.100356980140493</v>
          </cell>
          <cell r="P15">
            <v>319.5602384</v>
          </cell>
        </row>
        <row r="15">
          <cell r="R15">
            <v>31.9414407184667</v>
          </cell>
          <cell r="S15">
            <v>138.3692061</v>
          </cell>
          <cell r="T15">
            <v>298.1493253</v>
          </cell>
          <cell r="U15">
            <v>0.107132359552808</v>
          </cell>
          <cell r="V15">
            <v>123.962714</v>
          </cell>
          <cell r="W15">
            <v>8.9383701268</v>
          </cell>
          <cell r="X15">
            <v>14.4064920999999</v>
          </cell>
          <cell r="Y15">
            <v>76.3878490999999</v>
          </cell>
          <cell r="Z15">
            <v>0.117012983506038</v>
          </cell>
          <cell r="AA15">
            <v>14.4064921</v>
          </cell>
          <cell r="AB15">
            <v>0.35422754825</v>
          </cell>
          <cell r="AC15">
            <v>-7.63833440942108e-14</v>
          </cell>
          <cell r="AD15">
            <v>7.20324604999992</v>
          </cell>
          <cell r="AE15">
            <v>0.0491761000236836</v>
          </cell>
          <cell r="AF15">
            <v>0</v>
          </cell>
          <cell r="AG15">
            <v>0</v>
          </cell>
          <cell r="AH15">
            <v>-7.63833440942108e-14</v>
          </cell>
          <cell r="AI15">
            <v>-7.63833440942108e-14</v>
          </cell>
          <cell r="AJ15">
            <v>0</v>
          </cell>
        </row>
        <row r="16">
          <cell r="C16">
            <v>425.34</v>
          </cell>
          <cell r="D16">
            <v>0.00319780000000947</v>
          </cell>
          <cell r="E16">
            <v>64.8714984</v>
          </cell>
          <cell r="F16">
            <v>47.1634017</v>
          </cell>
          <cell r="G16">
            <v>360.4716994</v>
          </cell>
          <cell r="H16">
            <v>392.9058497</v>
          </cell>
          <cell r="I16">
            <v>0.120037412871331</v>
          </cell>
          <cell r="J16">
            <v>80.4939984</v>
          </cell>
        </row>
        <row r="16">
          <cell r="L16">
            <v>38.4180895395</v>
          </cell>
          <cell r="M16">
            <v>279.977701</v>
          </cell>
          <cell r="N16">
            <v>336.44177535</v>
          </cell>
          <cell r="O16">
            <v>0.114189415091315</v>
          </cell>
          <cell r="P16">
            <v>80.4939984</v>
          </cell>
        </row>
        <row r="16">
          <cell r="R16">
            <v>28.8368097291</v>
          </cell>
          <cell r="S16">
            <v>199.4837026</v>
          </cell>
          <cell r="T16">
            <v>239.7307018</v>
          </cell>
          <cell r="U16">
            <v>0.120288346517909</v>
          </cell>
          <cell r="V16">
            <v>80.4939984</v>
          </cell>
          <cell r="W16">
            <v>19.2555299187</v>
          </cell>
          <cell r="X16">
            <v>118.9897042</v>
          </cell>
          <cell r="Y16">
            <v>159.2367034</v>
          </cell>
          <cell r="Z16">
            <v>0.120923942204018</v>
          </cell>
          <cell r="AA16">
            <v>58.6464984</v>
          </cell>
          <cell r="AB16">
            <v>10.3289551083</v>
          </cell>
          <cell r="AC16">
            <v>60.3432058</v>
          </cell>
          <cell r="AD16">
            <v>89.666455</v>
          </cell>
          <cell r="AE16">
            <v>0.115193079823441</v>
          </cell>
          <cell r="AF16">
            <v>42.9999984</v>
          </cell>
          <cell r="AG16">
            <v>4.7768402979</v>
          </cell>
          <cell r="AH16">
            <v>17.3432074</v>
          </cell>
          <cell r="AI16">
            <v>38.8432066</v>
          </cell>
          <cell r="AJ16">
            <v>0.122977496350675</v>
          </cell>
        </row>
        <row r="17">
          <cell r="C17">
            <v>698.67</v>
          </cell>
        </row>
        <row r="17">
          <cell r="E17">
            <v>434.69</v>
          </cell>
          <cell r="F17">
            <v>49.9141482</v>
          </cell>
          <cell r="G17">
            <v>264.0000001</v>
          </cell>
          <cell r="H17">
            <v>481.33500005</v>
          </cell>
          <cell r="I17">
            <v>0.103699394797418</v>
          </cell>
          <cell r="J17">
            <v>264.0000001</v>
          </cell>
        </row>
        <row r="17">
          <cell r="L17">
            <v>15.7318333434258</v>
          </cell>
          <cell r="M17">
            <v>0</v>
          </cell>
          <cell r="N17">
            <v>240.667500025</v>
          </cell>
          <cell r="O17">
            <v>0.0653675022252346</v>
          </cell>
        </row>
        <row r="18">
          <cell r="C18">
            <v>2024.65</v>
          </cell>
        </row>
        <row r="18">
          <cell r="E18">
            <v>0</v>
          </cell>
          <cell r="F18">
            <v>201.735</v>
          </cell>
          <cell r="G18">
            <v>2024.65</v>
          </cell>
          <cell r="H18">
            <v>2024.65</v>
          </cell>
          <cell r="I18">
            <v>0.0996394438544934</v>
          </cell>
          <cell r="J18">
            <v>0</v>
          </cell>
        </row>
        <row r="18">
          <cell r="L18">
            <v>201.735</v>
          </cell>
          <cell r="M18">
            <v>2024.65</v>
          </cell>
          <cell r="N18">
            <v>2024.65</v>
          </cell>
          <cell r="O18">
            <v>0.0996394438544934</v>
          </cell>
          <cell r="P18">
            <v>0</v>
          </cell>
        </row>
        <row r="18">
          <cell r="R18">
            <v>201.735</v>
          </cell>
          <cell r="S18">
            <v>2024.65</v>
          </cell>
          <cell r="T18">
            <v>2024.65</v>
          </cell>
          <cell r="U18">
            <v>0.0996394438544934</v>
          </cell>
          <cell r="V18">
            <v>0</v>
          </cell>
          <cell r="W18">
            <v>201.735</v>
          </cell>
          <cell r="X18">
            <v>2024.65</v>
          </cell>
          <cell r="Y18">
            <v>2024.65</v>
          </cell>
          <cell r="Z18">
            <v>0.0996394438544934</v>
          </cell>
          <cell r="AA18">
            <v>0</v>
          </cell>
          <cell r="AB18">
            <v>201.735</v>
          </cell>
          <cell r="AC18">
            <v>2024.65</v>
          </cell>
          <cell r="AD18">
            <v>2024.65</v>
          </cell>
          <cell r="AE18">
            <v>0.0996394438544934</v>
          </cell>
          <cell r="AF18">
            <v>2024.65</v>
          </cell>
          <cell r="AG18">
            <v>201.735</v>
          </cell>
          <cell r="AH18">
            <v>0</v>
          </cell>
          <cell r="AI18">
            <v>0</v>
          </cell>
          <cell r="AJ18">
            <v>0</v>
          </cell>
        </row>
      </sheetData>
      <sheetData sheetId="16"/>
      <sheetData sheetId="17"/>
      <sheetData sheetId="18"/>
      <sheetData sheetId="19"/>
      <sheetData sheetId="20">
        <row r="33">
          <cell r="D33">
            <v>0.4</v>
          </cell>
          <cell r="E33">
            <v>0.408</v>
          </cell>
          <cell r="F33">
            <v>0.41616</v>
          </cell>
        </row>
        <row r="34">
          <cell r="D34">
            <v>0</v>
          </cell>
          <cell r="E34">
            <v>0</v>
          </cell>
          <cell r="F34">
            <v>0</v>
          </cell>
        </row>
        <row r="35">
          <cell r="D35">
            <v>1.7</v>
          </cell>
          <cell r="E35">
            <v>1.734</v>
          </cell>
          <cell r="F35">
            <v>1.76868</v>
          </cell>
        </row>
        <row r="36">
          <cell r="D36">
            <v>0</v>
          </cell>
          <cell r="E36">
            <v>0</v>
          </cell>
          <cell r="F36">
            <v>0</v>
          </cell>
        </row>
        <row r="37">
          <cell r="D37">
            <v>0.02</v>
          </cell>
          <cell r="E37">
            <v>0.0204</v>
          </cell>
          <cell r="F37">
            <v>0.020808</v>
          </cell>
        </row>
        <row r="38">
          <cell r="D38">
            <v>0.01</v>
          </cell>
          <cell r="E38">
            <v>0.0102</v>
          </cell>
          <cell r="F38">
            <v>0.010404</v>
          </cell>
        </row>
        <row r="39">
          <cell r="D39">
            <v>7.11</v>
          </cell>
          <cell r="E39">
            <v>7.2522</v>
          </cell>
          <cell r="F39">
            <v>7.397244</v>
          </cell>
        </row>
        <row r="40">
          <cell r="D40">
            <v>0.06</v>
          </cell>
          <cell r="E40">
            <v>0.0612</v>
          </cell>
          <cell r="F40">
            <v>0.062424</v>
          </cell>
        </row>
        <row r="41">
          <cell r="D41">
            <v>0.61</v>
          </cell>
          <cell r="E41">
            <v>0.6222</v>
          </cell>
          <cell r="F41">
            <v>0.634644</v>
          </cell>
        </row>
        <row r="42">
          <cell r="D42">
            <v>116.21</v>
          </cell>
          <cell r="E42">
            <v>118.5342</v>
          </cell>
          <cell r="F42">
            <v>120.904884</v>
          </cell>
        </row>
        <row r="43">
          <cell r="D43">
            <v>0</v>
          </cell>
          <cell r="E43">
            <v>0</v>
          </cell>
          <cell r="F43">
            <v>0</v>
          </cell>
        </row>
        <row r="44">
          <cell r="D44">
            <v>0.29</v>
          </cell>
          <cell r="E44">
            <v>0.2958</v>
          </cell>
          <cell r="F44">
            <v>0.301716</v>
          </cell>
        </row>
        <row r="45">
          <cell r="D45">
            <v>1.82999999999999</v>
          </cell>
          <cell r="E45">
            <v>1.86659999999999</v>
          </cell>
          <cell r="F45">
            <v>1.90393199999999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Checklist"/>
      <sheetName val="F1"/>
      <sheetName val="F2"/>
      <sheetName val="F3"/>
      <sheetName val="F4"/>
      <sheetName val="F4A"/>
      <sheetName val="F4B"/>
      <sheetName val="F5"/>
      <sheetName val="F6"/>
      <sheetName val="F7"/>
      <sheetName val="F8"/>
      <sheetName val="F9-Year(n-1)"/>
      <sheetName val="F9-Year(n)"/>
      <sheetName val="F9-Year(n+1)"/>
      <sheetName val="F9-Year(n+2)"/>
      <sheetName val="F9-Year(n+3)"/>
      <sheetName val="F9-Year(n+4)"/>
      <sheetName val="F9-Year(n+5)"/>
      <sheetName val="F10"/>
      <sheetName val="F11-Year(n-1)"/>
      <sheetName val="F11-Year(n)"/>
      <sheetName val="F11-Year(n+1)"/>
      <sheetName val="F11-Year(n+2)"/>
      <sheetName val="F11-Year(n+3)"/>
      <sheetName val="F11-Year(n+4)"/>
      <sheetName val="F11-Year(n+5)"/>
      <sheetName val="F12"/>
      <sheetName val="F13-Year(n-1)"/>
      <sheetName val="F13-Year(n)"/>
      <sheetName val="F13-Year(n+1)"/>
      <sheetName val="F13-Year(n+2)"/>
      <sheetName val="F13-Year(n+3)"/>
      <sheetName val="F13-Year(n+4)"/>
      <sheetName val="F13-Year(n+5)"/>
      <sheetName val="F14"/>
      <sheetName val="F15"/>
      <sheetName val="F15.1"/>
      <sheetName val="F15.2"/>
      <sheetName val="F15.3"/>
      <sheetName val="F16"/>
      <sheetName val="F16.1"/>
      <sheetName val="F16.2"/>
      <sheetName val="F17"/>
      <sheetName val="F18"/>
      <sheetName val="F19"/>
      <sheetName val="F20"/>
      <sheetName val="F21"/>
      <sheetName val="F22"/>
      <sheetName val="F23"/>
      <sheetName val="F24"/>
      <sheetName val="F24.1"/>
      <sheetName val="F24.2"/>
      <sheetName val="F24.3"/>
      <sheetName val="F24.4"/>
      <sheetName val="F24.5"/>
      <sheetName val="F24.6"/>
      <sheetName val="F24.7"/>
      <sheetName val="F24.8"/>
      <sheetName val="F25"/>
      <sheetName val="F26-Year(n-1)"/>
      <sheetName val="F26-Year(n)"/>
      <sheetName val="F26-Year(n+1)(Current Tariff)"/>
      <sheetName val="F26-Year(n+1)(Proposed Tarif)"/>
      <sheetName val="F27"/>
      <sheetName val="F28"/>
      <sheetName val="F29"/>
    </sheetNames>
    <sheetDataSet>
      <sheetData sheetId="0"/>
      <sheetData sheetId="1"/>
      <sheetData sheetId="2">
        <row r="44">
          <cell r="F44" t="e">
            <v>#N/A</v>
          </cell>
        </row>
        <row r="44">
          <cell r="I44">
            <v>0</v>
          </cell>
          <cell r="J44">
            <v>0</v>
          </cell>
        </row>
        <row r="67">
          <cell r="F67" t="e">
            <v>#N/A</v>
          </cell>
        </row>
        <row r="67">
          <cell r="I67">
            <v>0</v>
          </cell>
          <cell r="J6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90">
          <cell r="F90">
            <v>0</v>
          </cell>
        </row>
        <row r="90">
          <cell r="I90">
            <v>0</v>
          </cell>
          <cell r="J90">
            <v>0</v>
          </cell>
        </row>
        <row r="90"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1">
          <cell r="G11">
            <v>0</v>
          </cell>
          <cell r="H11">
            <v>0</v>
          </cell>
        </row>
        <row r="17">
          <cell r="H17">
            <v>0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Weighted Average PP cost"/>
      <sheetName val="CSS SPDCL"/>
      <sheetName val="Sheet1"/>
      <sheetName val="CSS NPDCL"/>
      <sheetName val="Open Access Sales_SP"/>
      <sheetName val="Open Access Sales_NP"/>
      <sheetName val="Calc"/>
      <sheetName val="OA"/>
      <sheetName val="T Cost"/>
    </sheetNames>
    <sheetDataSet>
      <sheetData sheetId="0"/>
      <sheetData sheetId="1">
        <row r="8">
          <cell r="AA8">
            <v>2.03</v>
          </cell>
        </row>
        <row r="8">
          <cell r="AC8">
            <v>1.95462156951599</v>
          </cell>
        </row>
        <row r="9">
          <cell r="AA9">
            <v>2.45</v>
          </cell>
        </row>
        <row r="9">
          <cell r="AC9">
            <v>2.18769487082237</v>
          </cell>
        </row>
        <row r="19">
          <cell r="AA19">
            <v>1.79</v>
          </cell>
          <cell r="AB19">
            <v>121.2315704691</v>
          </cell>
          <cell r="AC19">
            <v>1.68289012411021</v>
          </cell>
          <cell r="AD19">
            <v>44.063572</v>
          </cell>
        </row>
        <row r="19">
          <cell r="AG19">
            <v>29.1158661291508</v>
          </cell>
        </row>
        <row r="21">
          <cell r="AA21">
            <v>2.04</v>
          </cell>
          <cell r="AB21">
            <v>9.8899300164</v>
          </cell>
          <cell r="AC21">
            <v>1.95855742639936</v>
          </cell>
          <cell r="AD21">
            <v>15.4146314</v>
          </cell>
        </row>
        <row r="21">
          <cell r="AG21">
            <v>5.03658980371347</v>
          </cell>
        </row>
        <row r="31">
          <cell r="AA31">
            <v>1.59</v>
          </cell>
          <cell r="AB31">
            <v>203.71992165</v>
          </cell>
          <cell r="AC31">
            <v>1.57635812221731</v>
          </cell>
          <cell r="AD31">
            <v>12.23000835</v>
          </cell>
        </row>
        <row r="31">
          <cell r="AG31">
            <v>34.3193548420808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Weighted Average PP cost"/>
      <sheetName val="CSS SPDCL"/>
      <sheetName val="Sheet1"/>
      <sheetName val="CSS NPDCL"/>
      <sheetName val="Open Access Sales_SP"/>
      <sheetName val="Open Access Sales_NP"/>
      <sheetName val="Calc"/>
      <sheetName val="OA"/>
      <sheetName val="T Cost"/>
    </sheetNames>
    <sheetDataSet>
      <sheetData sheetId="0"/>
      <sheetData sheetId="1">
        <row r="8">
          <cell r="AB8">
            <v>0</v>
          </cell>
        </row>
        <row r="8">
          <cell r="AD8">
            <v>0</v>
          </cell>
        </row>
        <row r="8">
          <cell r="AG8">
            <v>0</v>
          </cell>
        </row>
        <row r="9">
          <cell r="AB9">
            <v>0</v>
          </cell>
        </row>
        <row r="9">
          <cell r="AD9">
            <v>0</v>
          </cell>
        </row>
        <row r="9">
          <cell r="AG9">
            <v>0</v>
          </cell>
        </row>
        <row r="70">
          <cell r="AH70">
            <v>0</v>
          </cell>
        </row>
        <row r="71">
          <cell r="AH71">
            <v>12.011295692837</v>
          </cell>
        </row>
        <row r="72">
          <cell r="AH72">
            <v>15.2387951835</v>
          </cell>
        </row>
        <row r="75">
          <cell r="AH75">
            <v>0</v>
          </cell>
        </row>
        <row r="76">
          <cell r="AH76">
            <v>1.925465613148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TSSPDCL&gt;&gt;"/>
      <sheetName val="SPDCL_Switch_Selection"/>
      <sheetName val="SPDCL_Output"/>
      <sheetName val="SPDCL_Output -FC VC"/>
      <sheetName val="FCRT_SPDCL"/>
      <sheetName val="SPDCL_Inp_Category"/>
      <sheetName val="SPDCL_Inp_Losses"/>
      <sheetName val="SPDCL_Cost Alloc_Factors"/>
      <sheetName val="SPDCL_Gen_Cost_Alloc"/>
      <sheetName val="SPDCL_Trans_Cost_Alloc"/>
      <sheetName val="SPDCL_Dist_Cost_Alloc"/>
      <sheetName val="SPDCL_Retail_Supply_Cost_Alloc"/>
      <sheetName val="SP Allocation percentages"/>
      <sheetName val="TSSPDCL&lt;&lt;"/>
      <sheetName val="TGNPDCL&gt;&gt;"/>
      <sheetName val="NPDCL_Switch_Selection"/>
      <sheetName val="NPDCL_Output"/>
      <sheetName val="FCRT_NPDCL"/>
      <sheetName val="NPDCL_Inp_Category"/>
      <sheetName val="NPDCL_Inp_Losses"/>
      <sheetName val="NPDCL_Cost Alloc_Factors"/>
      <sheetName val="NPDCL_Gen_Cost_Alloc"/>
      <sheetName val="NPDCL_Trans_Cost_Alloc"/>
      <sheetName val="NPDCL_Dist_Cost_Alloc"/>
      <sheetName val="NPDCL_Retail_Supply_Cost_Alloc"/>
      <sheetName val="NP Allocation percentages"/>
      <sheetName val="TSNPDCL&lt;&lt;"/>
    </sheetNames>
    <sheetDataSet>
      <sheetData sheetId="0"/>
      <sheetData sheetId="1">
        <row r="45">
          <cell r="I45">
            <v>0.471998486780409</v>
          </cell>
        </row>
        <row r="46">
          <cell r="I46">
            <v>0.528001513219591</v>
          </cell>
        </row>
      </sheetData>
      <sheetData sheetId="2">
        <row r="9">
          <cell r="H9">
            <v>2860.08687229615</v>
          </cell>
          <cell r="I9">
            <v>4551.60752393969</v>
          </cell>
        </row>
        <row r="9">
          <cell r="K9">
            <v>825.850709847921</v>
          </cell>
          <cell r="L9">
            <v>0</v>
          </cell>
        </row>
        <row r="9">
          <cell r="N9">
            <v>1813.8890762657</v>
          </cell>
        </row>
        <row r="9">
          <cell r="Q9">
            <v>0</v>
          </cell>
          <cell r="R9">
            <v>69.0372789725501</v>
          </cell>
        </row>
        <row r="10">
          <cell r="H10">
            <v>1076.68788409886</v>
          </cell>
          <cell r="I10">
            <v>1590.47019815334</v>
          </cell>
        </row>
        <row r="10">
          <cell r="K10">
            <v>310.058252440679</v>
          </cell>
          <cell r="L10">
            <v>0</v>
          </cell>
        </row>
        <row r="10">
          <cell r="N10">
            <v>681.008407938217</v>
          </cell>
        </row>
        <row r="10">
          <cell r="Q10">
            <v>0</v>
          </cell>
          <cell r="R10">
            <v>24.1037101548384</v>
          </cell>
        </row>
        <row r="11">
          <cell r="H11">
            <v>270.437544251772</v>
          </cell>
          <cell r="I11">
            <v>378.939223859728</v>
          </cell>
        </row>
        <row r="11">
          <cell r="K11">
            <v>76.6106707745565</v>
          </cell>
          <cell r="L11">
            <v>0</v>
          </cell>
        </row>
        <row r="11">
          <cell r="N11">
            <v>168.266803171902</v>
          </cell>
        </row>
        <row r="11">
          <cell r="Q11">
            <v>0</v>
          </cell>
          <cell r="R11">
            <v>5.73951333246226</v>
          </cell>
        </row>
        <row r="12">
          <cell r="H12">
            <v>2.47027630730939</v>
          </cell>
          <cell r="I12">
            <v>3.47975760024477</v>
          </cell>
        </row>
        <row r="12">
          <cell r="K12">
            <v>0.716210696095236</v>
          </cell>
          <cell r="L12">
            <v>0</v>
          </cell>
        </row>
        <row r="12">
          <cell r="N12">
            <v>1.57307700103695</v>
          </cell>
        </row>
        <row r="12">
          <cell r="Q12">
            <v>0</v>
          </cell>
          <cell r="R12">
            <v>0.0527157884212725</v>
          </cell>
        </row>
        <row r="13">
          <cell r="H13">
            <v>4497.5723226755</v>
          </cell>
          <cell r="I13">
            <v>6193.04835854391</v>
          </cell>
        </row>
        <row r="13">
          <cell r="K13">
            <v>1271.85882070977</v>
          </cell>
          <cell r="L13">
            <v>0</v>
          </cell>
        </row>
        <row r="13">
          <cell r="N13">
            <v>2793.49620207078</v>
          </cell>
        </row>
        <row r="13">
          <cell r="Q13">
            <v>0</v>
          </cell>
          <cell r="R13">
            <v>93.7419789125918</v>
          </cell>
        </row>
        <row r="14">
          <cell r="H14">
            <v>130.587324290344</v>
          </cell>
          <cell r="I14">
            <v>188.995378671643</v>
          </cell>
        </row>
        <row r="14">
          <cell r="K14">
            <v>38.7465429613836</v>
          </cell>
          <cell r="L14">
            <v>0</v>
          </cell>
        </row>
        <row r="14">
          <cell r="N14">
            <v>85.1024648675977</v>
          </cell>
        </row>
        <row r="14">
          <cell r="Q14">
            <v>0</v>
          </cell>
          <cell r="R14">
            <v>2.8626652231408</v>
          </cell>
        </row>
        <row r="15">
          <cell r="H15">
            <v>61.9415025006799</v>
          </cell>
          <cell r="I15">
            <v>96.0189750212103</v>
          </cell>
        </row>
        <row r="15">
          <cell r="K15">
            <v>18.0821354509879</v>
          </cell>
          <cell r="L15">
            <v>0</v>
          </cell>
        </row>
        <row r="15">
          <cell r="N15">
            <v>39.7153959898437</v>
          </cell>
        </row>
        <row r="15">
          <cell r="Q15">
            <v>0</v>
          </cell>
          <cell r="R15">
            <v>1.4554955008008</v>
          </cell>
        </row>
        <row r="16">
          <cell r="H16">
            <v>8.83669036624993</v>
          </cell>
          <cell r="I16">
            <v>16.8965427816583</v>
          </cell>
        </row>
        <row r="16">
          <cell r="K16">
            <v>2.24238471242783</v>
          </cell>
          <cell r="L16">
            <v>0</v>
          </cell>
        </row>
        <row r="16">
          <cell r="N16">
            <v>4.92514819707191</v>
          </cell>
        </row>
        <row r="16">
          <cell r="Q16">
            <v>0</v>
          </cell>
          <cell r="R16">
            <v>0.256582125387515</v>
          </cell>
        </row>
        <row r="17">
          <cell r="H17">
            <v>0</v>
          </cell>
          <cell r="I17">
            <v>0</v>
          </cell>
        </row>
        <row r="17">
          <cell r="K17">
            <v>0</v>
          </cell>
          <cell r="L17">
            <v>0</v>
          </cell>
        </row>
        <row r="17">
          <cell r="N17">
            <v>0</v>
          </cell>
        </row>
        <row r="17">
          <cell r="Q17">
            <v>0</v>
          </cell>
          <cell r="R17">
            <v>0</v>
          </cell>
        </row>
        <row r="18">
          <cell r="H18">
            <v>0</v>
          </cell>
          <cell r="I18">
            <v>0</v>
          </cell>
        </row>
        <row r="18">
          <cell r="K18">
            <v>0</v>
          </cell>
          <cell r="L18">
            <v>0</v>
          </cell>
        </row>
        <row r="18">
          <cell r="N18">
            <v>0</v>
          </cell>
        </row>
        <row r="18">
          <cell r="Q18">
            <v>0</v>
          </cell>
          <cell r="R18">
            <v>0</v>
          </cell>
        </row>
        <row r="23">
          <cell r="H23">
            <v>1095.51478028519</v>
          </cell>
          <cell r="I23">
            <v>1592.62576307612</v>
          </cell>
        </row>
        <row r="23">
          <cell r="K23">
            <v>160.236390696514</v>
          </cell>
          <cell r="L23">
            <v>0</v>
          </cell>
        </row>
        <row r="23">
          <cell r="N23">
            <v>165.657908198555</v>
          </cell>
        </row>
        <row r="23">
          <cell r="Q23">
            <v>0</v>
          </cell>
          <cell r="R23">
            <v>25.3111726896635</v>
          </cell>
        </row>
        <row r="24">
          <cell r="H24">
            <v>0.148837437895967</v>
          </cell>
          <cell r="I24">
            <v>0.186378358263898</v>
          </cell>
        </row>
        <row r="24">
          <cell r="K24">
            <v>0</v>
          </cell>
          <cell r="L24">
            <v>0</v>
          </cell>
        </row>
        <row r="24">
          <cell r="N24">
            <v>0.0268300371591424</v>
          </cell>
        </row>
        <row r="24">
          <cell r="Q24">
            <v>0</v>
          </cell>
          <cell r="R24">
            <v>0.00295826404881611</v>
          </cell>
        </row>
        <row r="25">
          <cell r="H25">
            <v>542.17022686298</v>
          </cell>
          <cell r="I25">
            <v>885.878153409585</v>
          </cell>
        </row>
        <row r="25">
          <cell r="K25">
            <v>101.984954104283</v>
          </cell>
          <cell r="L25">
            <v>0</v>
          </cell>
        </row>
        <row r="25">
          <cell r="N25">
            <v>84.3327251765049</v>
          </cell>
        </row>
        <row r="25">
          <cell r="Q25">
            <v>0</v>
          </cell>
          <cell r="R25">
            <v>14.0909423637489</v>
          </cell>
        </row>
        <row r="26">
          <cell r="H26">
            <v>1.59003342050587</v>
          </cell>
          <cell r="I26">
            <v>2.06230620699967</v>
          </cell>
        </row>
        <row r="26">
          <cell r="K26">
            <v>0.306886907325048</v>
          </cell>
          <cell r="L26">
            <v>0</v>
          </cell>
        </row>
        <row r="26">
          <cell r="N26">
            <v>0.252729060551646</v>
          </cell>
        </row>
        <row r="26">
          <cell r="Q26">
            <v>0</v>
          </cell>
          <cell r="R26">
            <v>0.0327364080603353</v>
          </cell>
        </row>
        <row r="27">
          <cell r="H27">
            <v>35.983913962728</v>
          </cell>
          <cell r="I27">
            <v>56.1043787064951</v>
          </cell>
        </row>
        <row r="27">
          <cell r="K27">
            <v>6.38048477885708</v>
          </cell>
          <cell r="L27">
            <v>0</v>
          </cell>
        </row>
        <row r="27">
          <cell r="N27">
            <v>5.4235063786722</v>
          </cell>
        </row>
        <row r="27">
          <cell r="Q27">
            <v>0</v>
          </cell>
          <cell r="R27">
            <v>0.892359277208623</v>
          </cell>
        </row>
        <row r="28">
          <cell r="H28">
            <v>72.9412182870084</v>
          </cell>
          <cell r="I28">
            <v>112.014810268724</v>
          </cell>
        </row>
        <row r="28">
          <cell r="K28">
            <v>9.00764811824954</v>
          </cell>
          <cell r="L28">
            <v>0</v>
          </cell>
        </row>
        <row r="28">
          <cell r="N28">
            <v>12.7677362836155</v>
          </cell>
        </row>
        <row r="28">
          <cell r="Q28">
            <v>0</v>
          </cell>
          <cell r="R28">
            <v>1.80190459611522</v>
          </cell>
        </row>
        <row r="29">
          <cell r="H29">
            <v>71.0809184653423</v>
          </cell>
          <cell r="I29">
            <v>116.745581585708</v>
          </cell>
        </row>
        <row r="29">
          <cell r="K29">
            <v>17.1734959638341</v>
          </cell>
          <cell r="L29">
            <v>0</v>
          </cell>
        </row>
        <row r="29">
          <cell r="N29">
            <v>11.239856108162</v>
          </cell>
        </row>
        <row r="29">
          <cell r="Q29">
            <v>0</v>
          </cell>
          <cell r="R29">
            <v>1.87811940059167</v>
          </cell>
        </row>
        <row r="30">
          <cell r="H30">
            <v>0.0807727238770132</v>
          </cell>
          <cell r="I30">
            <v>0.156889161449057</v>
          </cell>
        </row>
        <row r="30">
          <cell r="K30">
            <v>0</v>
          </cell>
          <cell r="L30">
            <v>0</v>
          </cell>
        </row>
        <row r="30">
          <cell r="N30">
            <v>0.0109745450451226</v>
          </cell>
        </row>
        <row r="30">
          <cell r="Q30">
            <v>0</v>
          </cell>
          <cell r="R30">
            <v>0.002525215369044</v>
          </cell>
        </row>
        <row r="31">
          <cell r="H31">
            <v>0</v>
          </cell>
          <cell r="I31">
            <v>0</v>
          </cell>
        </row>
        <row r="31">
          <cell r="K31">
            <v>0</v>
          </cell>
          <cell r="L31">
            <v>0</v>
          </cell>
        </row>
        <row r="31">
          <cell r="N31">
            <v>0</v>
          </cell>
        </row>
        <row r="31">
          <cell r="Q31">
            <v>0</v>
          </cell>
          <cell r="R31">
            <v>0</v>
          </cell>
        </row>
        <row r="36">
          <cell r="H36">
            <v>1477.45668440042</v>
          </cell>
          <cell r="I36">
            <v>2517.02699161997</v>
          </cell>
        </row>
        <row r="36">
          <cell r="K36">
            <v>127.966739223239</v>
          </cell>
          <cell r="L36">
            <v>0</v>
          </cell>
        </row>
        <row r="36">
          <cell r="N36">
            <v>110.25028194374</v>
          </cell>
        </row>
        <row r="36">
          <cell r="Q36">
            <v>0</v>
          </cell>
          <cell r="R36">
            <v>42.0695884388457</v>
          </cell>
        </row>
        <row r="37">
          <cell r="H37">
            <v>0.0988650147787263</v>
          </cell>
          <cell r="I37">
            <v>0.175716134474115</v>
          </cell>
        </row>
        <row r="37">
          <cell r="K37">
            <v>0</v>
          </cell>
          <cell r="L37">
            <v>0</v>
          </cell>
        </row>
        <row r="37">
          <cell r="N37">
            <v>0.00710807361485306</v>
          </cell>
        </row>
        <row r="37">
          <cell r="Q37">
            <v>0</v>
          </cell>
          <cell r="R37">
            <v>0.00293718515838214</v>
          </cell>
        </row>
        <row r="38">
          <cell r="H38">
            <v>360.010854702583</v>
          </cell>
          <cell r="I38">
            <v>580.362868373959</v>
          </cell>
        </row>
        <row r="38">
          <cell r="K38">
            <v>49.5086499943348</v>
          </cell>
          <cell r="L38">
            <v>0</v>
          </cell>
        </row>
        <row r="38">
          <cell r="N38">
            <v>26.7850667537062</v>
          </cell>
        </row>
        <row r="38">
          <cell r="Q38">
            <v>0</v>
          </cell>
          <cell r="R38">
            <v>9.69884010648019</v>
          </cell>
        </row>
        <row r="39">
          <cell r="H39">
            <v>0</v>
          </cell>
          <cell r="I39">
            <v>0</v>
          </cell>
        </row>
        <row r="39">
          <cell r="K39">
            <v>0</v>
          </cell>
          <cell r="L39">
            <v>0</v>
          </cell>
        </row>
        <row r="39">
          <cell r="N39">
            <v>0</v>
          </cell>
        </row>
        <row r="39">
          <cell r="Q39">
            <v>0</v>
          </cell>
          <cell r="R39">
            <v>0</v>
          </cell>
        </row>
        <row r="40">
          <cell r="H40">
            <v>86.5149950395889</v>
          </cell>
          <cell r="I40">
            <v>120.718463027867</v>
          </cell>
        </row>
        <row r="40">
          <cell r="K40">
            <v>6.86893105594198</v>
          </cell>
          <cell r="L40">
            <v>0</v>
          </cell>
        </row>
        <row r="40">
          <cell r="N40">
            <v>6.78019006299563</v>
          </cell>
        </row>
        <row r="40">
          <cell r="Q40">
            <v>0</v>
          </cell>
          <cell r="R40">
            <v>2.01642444224578</v>
          </cell>
        </row>
        <row r="41">
          <cell r="H41">
            <v>6.2212116965042e-9</v>
          </cell>
          <cell r="I41">
            <v>0</v>
          </cell>
        </row>
        <row r="41">
          <cell r="K41">
            <v>0</v>
          </cell>
          <cell r="L41">
            <v>0</v>
          </cell>
        </row>
        <row r="41">
          <cell r="N41">
            <v>0</v>
          </cell>
        </row>
        <row r="41">
          <cell r="Q41">
            <v>0</v>
          </cell>
          <cell r="R41">
            <v>0</v>
          </cell>
        </row>
        <row r="42">
          <cell r="H42">
            <v>43.856332238756</v>
          </cell>
          <cell r="I42">
            <v>62.9891520392024</v>
          </cell>
        </row>
        <row r="42">
          <cell r="K42">
            <v>4.40367913798099</v>
          </cell>
          <cell r="L42">
            <v>0</v>
          </cell>
        </row>
        <row r="42">
          <cell r="N42">
            <v>3.44921983958871</v>
          </cell>
        </row>
        <row r="42">
          <cell r="Q42">
            <v>0</v>
          </cell>
          <cell r="R42">
            <v>1.03140011610629</v>
          </cell>
        </row>
        <row r="43">
          <cell r="H43">
            <v>0</v>
          </cell>
          <cell r="I43">
            <v>12.8419763564572</v>
          </cell>
        </row>
        <row r="43">
          <cell r="K43">
            <v>2.57364348827311</v>
          </cell>
          <cell r="L43">
            <v>0</v>
          </cell>
        </row>
        <row r="43">
          <cell r="N43">
            <v>0</v>
          </cell>
        </row>
        <row r="43">
          <cell r="Q43">
            <v>0</v>
          </cell>
          <cell r="R43">
            <v>0.197762747300181</v>
          </cell>
        </row>
        <row r="44">
          <cell r="H44">
            <v>0.856526051910028</v>
          </cell>
          <cell r="I44">
            <v>1.73113763524665</v>
          </cell>
        </row>
        <row r="44">
          <cell r="K44">
            <v>0</v>
          </cell>
          <cell r="L44">
            <v>0</v>
          </cell>
        </row>
        <row r="44">
          <cell r="N44">
            <v>0.0554408506791253</v>
          </cell>
        </row>
        <row r="44">
          <cell r="Q44">
            <v>0</v>
          </cell>
          <cell r="R44">
            <v>0.0289124542373271</v>
          </cell>
        </row>
        <row r="45">
          <cell r="H45">
            <v>0</v>
          </cell>
          <cell r="I45">
            <v>0</v>
          </cell>
        </row>
        <row r="45">
          <cell r="K45">
            <v>0</v>
          </cell>
          <cell r="L45">
            <v>0</v>
          </cell>
        </row>
        <row r="45">
          <cell r="N45">
            <v>0</v>
          </cell>
        </row>
        <row r="45">
          <cell r="Q45">
            <v>0</v>
          </cell>
          <cell r="R45">
            <v>0</v>
          </cell>
        </row>
        <row r="50">
          <cell r="H50">
            <v>894.932176398206</v>
          </cell>
          <cell r="I50">
            <v>1598.86351548694</v>
          </cell>
        </row>
        <row r="50">
          <cell r="K50">
            <v>83.5661174343656</v>
          </cell>
          <cell r="L50">
            <v>0</v>
          </cell>
        </row>
        <row r="50">
          <cell r="N50">
            <v>0</v>
          </cell>
        </row>
        <row r="50">
          <cell r="Q50">
            <v>0</v>
          </cell>
          <cell r="R50">
            <v>27.3850884922185</v>
          </cell>
        </row>
        <row r="51">
          <cell r="H51">
            <v>27.2376671344947</v>
          </cell>
          <cell r="I51">
            <v>48.8797405563625</v>
          </cell>
        </row>
        <row r="51">
          <cell r="K51">
            <v>0</v>
          </cell>
          <cell r="L51">
            <v>0</v>
          </cell>
        </row>
        <row r="51">
          <cell r="N51">
            <v>0</v>
          </cell>
        </row>
        <row r="51">
          <cell r="Q51">
            <v>0</v>
          </cell>
          <cell r="R51">
            <v>0.83720468172982</v>
          </cell>
        </row>
        <row r="52">
          <cell r="H52">
            <v>78.6216143622587</v>
          </cell>
          <cell r="I52">
            <v>110.473763883458</v>
          </cell>
        </row>
        <row r="52">
          <cell r="K52">
            <v>8.95754722147803</v>
          </cell>
          <cell r="L52">
            <v>0</v>
          </cell>
        </row>
        <row r="52">
          <cell r="N52">
            <v>0</v>
          </cell>
        </row>
        <row r="52">
          <cell r="Q52">
            <v>0</v>
          </cell>
          <cell r="R52">
            <v>1.89217764412595</v>
          </cell>
        </row>
        <row r="53">
          <cell r="H53">
            <v>24.50026747074</v>
          </cell>
          <cell r="I53">
            <v>42.7226602940936</v>
          </cell>
        </row>
        <row r="53">
          <cell r="K53">
            <v>1.88057362050376</v>
          </cell>
          <cell r="L53">
            <v>0</v>
          </cell>
        </row>
        <row r="53">
          <cell r="N53">
            <v>0</v>
          </cell>
        </row>
        <row r="53">
          <cell r="Q53">
            <v>0</v>
          </cell>
          <cell r="R53">
            <v>0.731747157555513</v>
          </cell>
        </row>
        <row r="54">
          <cell r="H54">
            <v>399.790041697827</v>
          </cell>
          <cell r="I54">
            <v>625.130654370775</v>
          </cell>
        </row>
        <row r="54">
          <cell r="K54">
            <v>77.8856545682611</v>
          </cell>
          <cell r="L54">
            <v>0</v>
          </cell>
        </row>
        <row r="54">
          <cell r="N54">
            <v>0</v>
          </cell>
        </row>
        <row r="54">
          <cell r="Q54">
            <v>0</v>
          </cell>
          <cell r="R54">
            <v>10.7071417436896</v>
          </cell>
        </row>
        <row r="55">
          <cell r="H55">
            <v>302.883820917083</v>
          </cell>
          <cell r="I55">
            <v>467.716614458746</v>
          </cell>
        </row>
        <row r="55">
          <cell r="K55">
            <v>21.3092418373547</v>
          </cell>
          <cell r="L55">
            <v>0</v>
          </cell>
        </row>
        <row r="55">
          <cell r="N55">
            <v>0</v>
          </cell>
        </row>
        <row r="55">
          <cell r="Q55">
            <v>0</v>
          </cell>
          <cell r="R55">
            <v>8.01097826810165</v>
          </cell>
        </row>
        <row r="56">
          <cell r="H56">
            <v>50.1559136385218</v>
          </cell>
          <cell r="I56">
            <v>80.2375127340712</v>
          </cell>
        </row>
        <row r="56">
          <cell r="K56">
            <v>0</v>
          </cell>
          <cell r="L56">
            <v>0</v>
          </cell>
        </row>
        <row r="56">
          <cell r="N56">
            <v>0</v>
          </cell>
        </row>
        <row r="56">
          <cell r="Q56">
            <v>0</v>
          </cell>
          <cell r="R56">
            <v>1.37429578280671</v>
          </cell>
        </row>
        <row r="57">
          <cell r="H57">
            <v>0</v>
          </cell>
          <cell r="I57">
            <v>0</v>
          </cell>
        </row>
        <row r="57">
          <cell r="K57">
            <v>0</v>
          </cell>
          <cell r="L57">
            <v>0</v>
          </cell>
        </row>
        <row r="57">
          <cell r="N57">
            <v>0</v>
          </cell>
        </row>
        <row r="57">
          <cell r="Q57">
            <v>0</v>
          </cell>
          <cell r="R57">
            <v>0</v>
          </cell>
        </row>
        <row r="58">
          <cell r="H58">
            <v>0</v>
          </cell>
          <cell r="I58">
            <v>0</v>
          </cell>
        </row>
        <row r="58">
          <cell r="K58">
            <v>0</v>
          </cell>
          <cell r="L58">
            <v>0</v>
          </cell>
        </row>
        <row r="58">
          <cell r="N58">
            <v>0</v>
          </cell>
        </row>
        <row r="58">
          <cell r="Q58">
            <v>0</v>
          </cell>
          <cell r="R58">
            <v>0</v>
          </cell>
        </row>
        <row r="59">
          <cell r="H59">
            <v>0</v>
          </cell>
          <cell r="I59">
            <v>0</v>
          </cell>
        </row>
        <row r="59">
          <cell r="K59">
            <v>0</v>
          </cell>
          <cell r="L59">
            <v>0</v>
          </cell>
        </row>
        <row r="59">
          <cell r="N59">
            <v>0</v>
          </cell>
        </row>
        <row r="59">
          <cell r="Q59">
            <v>0</v>
          </cell>
          <cell r="R59">
            <v>0</v>
          </cell>
        </row>
        <row r="64">
          <cell r="H64">
            <v>14475.0468773058</v>
          </cell>
          <cell r="I64">
            <v>22055.1009863164</v>
          </cell>
        </row>
        <row r="64">
          <cell r="K64">
            <v>3224.17636574462</v>
          </cell>
        </row>
        <row r="64">
          <cell r="N64">
            <v>6015.01614881474</v>
          </cell>
          <cell r="O64">
            <v>0</v>
          </cell>
        </row>
        <row r="64">
          <cell r="Q64">
            <v>0</v>
          </cell>
          <cell r="R64">
            <v>347.247157485601</v>
          </cell>
        </row>
        <row r="64">
          <cell r="AF64">
            <v>7.27022219848439</v>
          </cell>
        </row>
      </sheetData>
      <sheetData sheetId="3"/>
      <sheetData sheetId="4"/>
      <sheetData sheetId="5">
        <row r="9">
          <cell r="H9">
            <v>12611.1428672529</v>
          </cell>
        </row>
        <row r="9">
          <cell r="K9">
            <v>0.73057674668142</v>
          </cell>
        </row>
        <row r="9">
          <cell r="M9">
            <v>0.718598171268772</v>
          </cell>
        </row>
        <row r="9">
          <cell r="O9">
            <v>1</v>
          </cell>
        </row>
        <row r="10">
          <cell r="H10">
            <v>4403.06073642308</v>
          </cell>
        </row>
        <row r="10">
          <cell r="K10">
            <v>0.67939809857961</v>
          </cell>
        </row>
        <row r="10">
          <cell r="M10">
            <v>0.723229807548908</v>
          </cell>
        </row>
        <row r="10">
          <cell r="O10">
            <v>1</v>
          </cell>
        </row>
        <row r="11">
          <cell r="H11">
            <v>1048.4454732488</v>
          </cell>
        </row>
        <row r="11">
          <cell r="K11">
            <v>0.65474098864541</v>
          </cell>
        </row>
        <row r="11">
          <cell r="M11">
            <v>0.751759114707544</v>
          </cell>
        </row>
        <row r="11">
          <cell r="O11">
            <v>1</v>
          </cell>
        </row>
        <row r="12">
          <cell r="H12">
            <v>9.62967180970268</v>
          </cell>
        </row>
        <row r="12">
          <cell r="K12">
            <v>0.643255679332353</v>
          </cell>
        </row>
        <row r="12">
          <cell r="M12">
            <v>0.711596530910146</v>
          </cell>
        </row>
        <row r="12">
          <cell r="O12">
            <v>1</v>
          </cell>
        </row>
        <row r="13">
          <cell r="H13">
            <v>17123.9873054058</v>
          </cell>
        </row>
        <row r="13">
          <cell r="K13">
            <v>0.64413802403926</v>
          </cell>
        </row>
        <row r="13">
          <cell r="M13">
            <v>0.754833500028535</v>
          </cell>
        </row>
        <row r="13">
          <cell r="O13">
            <v>1</v>
          </cell>
        </row>
        <row r="14">
          <cell r="H14">
            <v>522.927332122974</v>
          </cell>
        </row>
        <row r="14">
          <cell r="K14">
            <v>0.645685937147674</v>
          </cell>
        </row>
        <row r="14">
          <cell r="M14">
            <v>0.672494624136642</v>
          </cell>
        </row>
        <row r="14">
          <cell r="O14">
            <v>1</v>
          </cell>
        </row>
        <row r="15">
          <cell r="H15">
            <v>265.877537128035</v>
          </cell>
        </row>
        <row r="15">
          <cell r="K15">
            <v>0.703468855511347</v>
          </cell>
        </row>
        <row r="15">
          <cell r="M15">
            <v>0.699920787565779</v>
          </cell>
        </row>
        <row r="15">
          <cell r="O15">
            <v>1</v>
          </cell>
        </row>
        <row r="16">
          <cell r="H16">
            <v>46.8702400877059</v>
          </cell>
        </row>
        <row r="16">
          <cell r="K16">
            <v>1</v>
          </cell>
        </row>
        <row r="16">
          <cell r="M16">
            <v>0.955582674559537</v>
          </cell>
        </row>
        <row r="16">
          <cell r="O16">
            <v>1</v>
          </cell>
        </row>
        <row r="17">
          <cell r="H17">
            <v>0</v>
          </cell>
        </row>
        <row r="17">
          <cell r="K17">
            <v>0</v>
          </cell>
        </row>
        <row r="17">
          <cell r="M17">
            <v>0</v>
          </cell>
        </row>
        <row r="17">
          <cell r="O17">
            <v>0</v>
          </cell>
        </row>
        <row r="18">
          <cell r="H18">
            <v>0</v>
          </cell>
        </row>
        <row r="23">
          <cell r="H23">
            <v>4623.62972118259</v>
          </cell>
        </row>
        <row r="23">
          <cell r="K23">
            <v>0.664030756279721</v>
          </cell>
        </row>
        <row r="23">
          <cell r="M23">
            <v>0.771051510514648</v>
          </cell>
        </row>
        <row r="23">
          <cell r="O23">
            <v>1</v>
          </cell>
        </row>
        <row r="24">
          <cell r="H24">
            <v>0.5403905124</v>
          </cell>
        </row>
        <row r="24">
          <cell r="K24">
            <v>0.464656769933757</v>
          </cell>
        </row>
        <row r="24">
          <cell r="M24">
            <v>0.731923755923052</v>
          </cell>
        </row>
        <row r="24">
          <cell r="O24">
            <v>0.753724631187732</v>
          </cell>
        </row>
        <row r="25">
          <cell r="H25">
            <v>2574.01348848237</v>
          </cell>
        </row>
        <row r="25">
          <cell r="K25">
            <v>0.726159469966099</v>
          </cell>
        </row>
        <row r="25">
          <cell r="M25">
            <v>0.72172844535029</v>
          </cell>
        </row>
        <row r="25">
          <cell r="O25">
            <v>1</v>
          </cell>
        </row>
        <row r="26">
          <cell r="H26">
            <v>5.98000855702511</v>
          </cell>
        </row>
        <row r="26">
          <cell r="K26">
            <v>0.562942378957219</v>
          </cell>
        </row>
        <row r="26">
          <cell r="M26">
            <v>0.684908007530884</v>
          </cell>
        </row>
        <row r="26">
          <cell r="O26">
            <v>1</v>
          </cell>
        </row>
        <row r="27">
          <cell r="H27">
            <v>163.008602037619</v>
          </cell>
        </row>
        <row r="27">
          <cell r="K27">
            <v>0.715068569579714</v>
          </cell>
        </row>
        <row r="27">
          <cell r="M27">
            <v>0.783711317567016</v>
          </cell>
        </row>
        <row r="27">
          <cell r="O27">
            <v>1</v>
          </cell>
        </row>
        <row r="28">
          <cell r="H28">
            <v>329.15660398209</v>
          </cell>
        </row>
        <row r="28">
          <cell r="K28">
            <v>0.613346640405483</v>
          </cell>
        </row>
        <row r="28">
          <cell r="M28">
            <v>0.529974644432652</v>
          </cell>
        </row>
        <row r="28">
          <cell r="O28">
            <v>1</v>
          </cell>
        </row>
        <row r="29">
          <cell r="H29">
            <v>343.07887615383</v>
          </cell>
        </row>
        <row r="29">
          <cell r="K29">
            <v>0.726190476190476</v>
          </cell>
        </row>
        <row r="29">
          <cell r="M29">
            <v>0.693625577790046</v>
          </cell>
        </row>
        <row r="29">
          <cell r="O29">
            <v>1</v>
          </cell>
        </row>
        <row r="30">
          <cell r="H30">
            <v>0.461284863244088</v>
          </cell>
        </row>
        <row r="30">
          <cell r="K30">
            <v>1</v>
          </cell>
        </row>
        <row r="30">
          <cell r="M30">
            <v>0.971075808906064</v>
          </cell>
        </row>
        <row r="30">
          <cell r="O30">
            <v>1</v>
          </cell>
        </row>
        <row r="31">
          <cell r="H31">
            <v>0</v>
          </cell>
        </row>
        <row r="31">
          <cell r="K31">
            <v>0</v>
          </cell>
        </row>
        <row r="31">
          <cell r="M31">
            <v>0</v>
          </cell>
        </row>
        <row r="31">
          <cell r="O31">
            <v>0</v>
          </cell>
        </row>
        <row r="36">
          <cell r="K36">
            <v>0.731700718812412</v>
          </cell>
        </row>
        <row r="36">
          <cell r="M36">
            <v>0.724263477900837</v>
          </cell>
        </row>
        <row r="36">
          <cell r="O36">
            <v>1</v>
          </cell>
        </row>
        <row r="37">
          <cell r="K37">
            <v>0.792363269186309</v>
          </cell>
        </row>
        <row r="37">
          <cell r="M37">
            <v>0.789613715873011</v>
          </cell>
        </row>
        <row r="37">
          <cell r="O37">
            <v>0.077298962268135</v>
          </cell>
        </row>
        <row r="38">
          <cell r="K38">
            <v>0.694339693948197</v>
          </cell>
        </row>
        <row r="38">
          <cell r="M38">
            <v>0.729384026377585</v>
          </cell>
        </row>
        <row r="38">
          <cell r="O38">
            <v>1</v>
          </cell>
        </row>
        <row r="39">
          <cell r="K39">
            <v>0</v>
          </cell>
        </row>
        <row r="39">
          <cell r="M39">
            <v>0</v>
          </cell>
        </row>
        <row r="39">
          <cell r="O39">
            <v>0</v>
          </cell>
        </row>
        <row r="40">
          <cell r="K40">
            <v>0.570275891301933</v>
          </cell>
        </row>
        <row r="40">
          <cell r="M40">
            <v>0.641791866820287</v>
          </cell>
        </row>
        <row r="40">
          <cell r="O40">
            <v>1</v>
          </cell>
        </row>
        <row r="41">
          <cell r="K41" t="e">
            <v>#DIV/0!</v>
          </cell>
        </row>
        <row r="41">
          <cell r="M41" t="e">
            <v>#DIV/0!</v>
          </cell>
        </row>
        <row r="41">
          <cell r="O41" t="e">
            <v>#DIV/0!</v>
          </cell>
        </row>
        <row r="42">
          <cell r="K42">
            <v>0.573391469515401</v>
          </cell>
        </row>
        <row r="42">
          <cell r="M42">
            <v>0.635987623026585</v>
          </cell>
        </row>
        <row r="42">
          <cell r="O42">
            <v>1</v>
          </cell>
        </row>
        <row r="43">
          <cell r="K43" t="e">
            <v>#DIV/0!</v>
          </cell>
        </row>
        <row r="43">
          <cell r="M43" t="e">
            <v>#DIV/0!</v>
          </cell>
        </row>
        <row r="43">
          <cell r="O43" t="e">
            <v>#DIV/0!</v>
          </cell>
        </row>
        <row r="44">
          <cell r="K44">
            <v>1</v>
          </cell>
        </row>
        <row r="44">
          <cell r="M44">
            <v>0.987830145476363</v>
          </cell>
        </row>
        <row r="44">
          <cell r="O44">
            <v>1</v>
          </cell>
        </row>
        <row r="45">
          <cell r="K45">
            <v>0</v>
          </cell>
        </row>
        <row r="45">
          <cell r="M45">
            <v>0</v>
          </cell>
        </row>
        <row r="45">
          <cell r="O45">
            <v>0</v>
          </cell>
        </row>
        <row r="50">
          <cell r="K50">
            <v>0.774500894751207</v>
          </cell>
        </row>
        <row r="50">
          <cell r="M50">
            <v>0.78326641657895</v>
          </cell>
        </row>
        <row r="50">
          <cell r="O50">
            <v>1</v>
          </cell>
        </row>
        <row r="51">
          <cell r="K51">
            <v>0.755521792858271</v>
          </cell>
        </row>
        <row r="51">
          <cell r="M51">
            <v>0.731823340349737</v>
          </cell>
        </row>
        <row r="51">
          <cell r="O51">
            <v>1</v>
          </cell>
        </row>
        <row r="52">
          <cell r="K52">
            <v>0.605192230115096</v>
          </cell>
        </row>
        <row r="52">
          <cell r="M52">
            <v>0.771706286926107</v>
          </cell>
        </row>
        <row r="52">
          <cell r="O52">
            <v>1</v>
          </cell>
        </row>
        <row r="53">
          <cell r="K53">
            <v>0.721013351912156</v>
          </cell>
        </row>
        <row r="53">
          <cell r="M53">
            <v>0.700871175618783</v>
          </cell>
        </row>
        <row r="53">
          <cell r="O53">
            <v>1</v>
          </cell>
        </row>
        <row r="54">
          <cell r="K54">
            <v>0.678028290661438</v>
          </cell>
        </row>
        <row r="54">
          <cell r="M54">
            <v>0.783711317567016</v>
          </cell>
        </row>
        <row r="54">
          <cell r="O54">
            <v>1</v>
          </cell>
        </row>
        <row r="55">
          <cell r="K55">
            <v>0.571433150545012</v>
          </cell>
        </row>
        <row r="55">
          <cell r="M55">
            <v>0.522209001728029</v>
          </cell>
        </row>
        <row r="55">
          <cell r="O55">
            <v>1</v>
          </cell>
        </row>
        <row r="56">
          <cell r="K56">
            <v>0.630105146585162</v>
          </cell>
        </row>
        <row r="56">
          <cell r="M56">
            <v>0.620217398929795</v>
          </cell>
        </row>
        <row r="56">
          <cell r="O56">
            <v>1</v>
          </cell>
        </row>
        <row r="57">
          <cell r="K57">
            <v>0</v>
          </cell>
        </row>
        <row r="57">
          <cell r="M57">
            <v>0</v>
          </cell>
        </row>
        <row r="57">
          <cell r="O57">
            <v>0</v>
          </cell>
        </row>
        <row r="58">
          <cell r="K58">
            <v>0</v>
          </cell>
        </row>
        <row r="58">
          <cell r="M58">
            <v>0</v>
          </cell>
        </row>
        <row r="58">
          <cell r="O58">
            <v>0</v>
          </cell>
        </row>
        <row r="59">
          <cell r="K59">
            <v>0</v>
          </cell>
        </row>
        <row r="59">
          <cell r="M59">
            <v>0</v>
          </cell>
        </row>
        <row r="59">
          <cell r="O59">
            <v>0</v>
          </cell>
        </row>
        <row r="65">
          <cell r="H65">
            <v>63432.156922633</v>
          </cell>
        </row>
        <row r="65">
          <cell r="N65">
            <v>7977.10258728345</v>
          </cell>
        </row>
        <row r="65">
          <cell r="P65">
            <v>10528.7101370174</v>
          </cell>
        </row>
        <row r="65">
          <cell r="R65">
            <v>9252.90636215041</v>
          </cell>
        </row>
      </sheetData>
      <sheetData sheetId="6">
        <row r="9">
          <cell r="R9">
            <v>0.27219180614411</v>
          </cell>
          <cell r="S9">
            <v>0.289057597241036</v>
          </cell>
        </row>
        <row r="9">
          <cell r="Y9">
            <v>0.281901882446742</v>
          </cell>
        </row>
        <row r="9">
          <cell r="AE9">
            <v>0.28905843996459</v>
          </cell>
        </row>
        <row r="10">
          <cell r="R10">
            <v>0.102191975783681</v>
          </cell>
          <cell r="S10">
            <v>0.108524085995835</v>
          </cell>
        </row>
        <row r="10">
          <cell r="Y10">
            <v>0.10651969981438</v>
          </cell>
        </row>
        <row r="10">
          <cell r="AE10">
            <v>0.108524402388846</v>
          </cell>
        </row>
        <row r="11">
          <cell r="R11">
            <v>0.02525008043146</v>
          </cell>
          <cell r="S11">
            <v>0.026814648402004</v>
          </cell>
        </row>
        <row r="11">
          <cell r="Y11">
            <v>0.0273576185078891</v>
          </cell>
        </row>
        <row r="11">
          <cell r="AE11">
            <v>0.026814726577897</v>
          </cell>
        </row>
        <row r="12">
          <cell r="R12">
            <v>0.000236055597731207</v>
          </cell>
          <cell r="S12">
            <v>0.000250682284900794</v>
          </cell>
        </row>
        <row r="12">
          <cell r="Y12">
            <v>0.000242094513162009</v>
          </cell>
        </row>
        <row r="12">
          <cell r="AE12">
            <v>0.000250683015744294</v>
          </cell>
        </row>
        <row r="13">
          <cell r="R13">
            <v>0.419191441553718</v>
          </cell>
          <cell r="S13">
            <v>0.445165754972694</v>
          </cell>
        </row>
        <row r="13">
          <cell r="Y13">
            <v>0.456037330082626</v>
          </cell>
        </row>
        <row r="13">
          <cell r="AE13">
            <v>0.44516705281669</v>
          </cell>
        </row>
        <row r="14">
          <cell r="R14">
            <v>0.0127704576441443</v>
          </cell>
          <cell r="S14">
            <v>0.0135617521136194</v>
          </cell>
        </row>
        <row r="14">
          <cell r="Y14">
            <v>0.0123774761701679</v>
          </cell>
        </row>
        <row r="14">
          <cell r="AE14">
            <v>0.0135617916517878</v>
          </cell>
        </row>
        <row r="15">
          <cell r="R15">
            <v>0.005959683812893</v>
          </cell>
          <cell r="S15">
            <v>0.00632896304879612</v>
          </cell>
        </row>
        <row r="15">
          <cell r="Y15">
            <v>0.00601186102117099</v>
          </cell>
        </row>
        <row r="15">
          <cell r="AE15">
            <v>0.00632898150036523</v>
          </cell>
        </row>
        <row r="16">
          <cell r="R16">
            <v>0.000739066683200006</v>
          </cell>
          <cell r="S16">
            <v>0.000784861391211716</v>
          </cell>
        </row>
        <row r="16">
          <cell r="Y16">
            <v>0.00101786155892086</v>
          </cell>
        </row>
        <row r="16">
          <cell r="AE16">
            <v>0.000784863679410287</v>
          </cell>
        </row>
        <row r="17">
          <cell r="R17">
            <v>0</v>
          </cell>
          <cell r="S17">
            <v>0</v>
          </cell>
        </row>
        <row r="17">
          <cell r="Y17">
            <v>0</v>
          </cell>
        </row>
        <row r="17">
          <cell r="AE17">
            <v>0</v>
          </cell>
        </row>
        <row r="18">
          <cell r="R18">
            <v>0</v>
          </cell>
          <cell r="S18">
            <v>0</v>
          </cell>
        </row>
        <row r="18">
          <cell r="Y18">
            <v>0</v>
          </cell>
        </row>
        <row r="18">
          <cell r="AE18">
            <v>0</v>
          </cell>
        </row>
        <row r="23">
          <cell r="R23">
            <v>0.0657761939118439</v>
          </cell>
          <cell r="S23">
            <v>0.0648574246641575</v>
          </cell>
        </row>
        <row r="23">
          <cell r="Y23">
            <v>0.066786041642669</v>
          </cell>
        </row>
        <row r="23">
          <cell r="AE23">
            <v>0.0648576137506231</v>
          </cell>
        </row>
        <row r="24">
          <cell r="R24">
            <v>8.09088577393386e-6</v>
          </cell>
          <cell r="S24">
            <v>1.08327892683121e-5</v>
          </cell>
        </row>
        <row r="24">
          <cell r="Y24">
            <v>1.02677965753242e-5</v>
          </cell>
        </row>
        <row r="24">
          <cell r="AE24">
            <v>7.91740343165064e-6</v>
          </cell>
        </row>
        <row r="25">
          <cell r="R25">
            <v>0.0334851848888215</v>
          </cell>
          <cell r="S25">
            <v>0.0330174600738196</v>
          </cell>
        </row>
        <row r="25">
          <cell r="Y25">
            <v>0.0318243905515456</v>
          </cell>
        </row>
        <row r="25">
          <cell r="AE25">
            <v>0.0330175563334979</v>
          </cell>
        </row>
        <row r="26">
          <cell r="R26">
            <v>0.000100348699767949</v>
          </cell>
          <cell r="S26">
            <v>9.89470178841404e-5</v>
          </cell>
        </row>
        <row r="26">
          <cell r="Y26">
            <v>9.05060404304117e-5</v>
          </cell>
        </row>
        <row r="26">
          <cell r="AE26">
            <v>9.89473063559999e-5</v>
          </cell>
        </row>
        <row r="27">
          <cell r="R27">
            <v>0.00215345956691718</v>
          </cell>
          <cell r="S27">
            <v>0.00212337980236176</v>
          </cell>
        </row>
        <row r="27">
          <cell r="Y27">
            <v>0.00220299451598837</v>
          </cell>
        </row>
        <row r="27">
          <cell r="AE27">
            <v>0.00212338599290022</v>
          </cell>
        </row>
        <row r="28">
          <cell r="R28">
            <v>0.00506956236945713</v>
          </cell>
          <cell r="S28">
            <v>0.00499875015416648</v>
          </cell>
        </row>
        <row r="28">
          <cell r="Y28">
            <v>0.00353801063841933</v>
          </cell>
        </row>
        <row r="28">
          <cell r="AE28">
            <v>0.00499876472760975</v>
          </cell>
        </row>
        <row r="29">
          <cell r="R29">
            <v>0.00446290166857328</v>
          </cell>
          <cell r="S29">
            <v>0.00440056335793723</v>
          </cell>
        </row>
        <row r="29">
          <cell r="Y29">
            <v>0.00407639245949695</v>
          </cell>
        </row>
        <row r="29">
          <cell r="AE29">
            <v>0.00440057618741629</v>
          </cell>
        </row>
        <row r="30">
          <cell r="R30">
            <v>4.3575571539696e-6</v>
          </cell>
          <cell r="S30">
            <v>4.29669030731884e-6</v>
          </cell>
        </row>
        <row r="30">
          <cell r="Y30">
            <v>5.57223981632698e-6</v>
          </cell>
        </row>
        <row r="30">
          <cell r="AE30">
            <v>4.2967028339646e-6</v>
          </cell>
        </row>
        <row r="31">
          <cell r="R31">
            <v>0</v>
          </cell>
          <cell r="S31">
            <v>0</v>
          </cell>
        </row>
        <row r="31">
          <cell r="Y31">
            <v>0</v>
          </cell>
        </row>
        <row r="31">
          <cell r="AE31">
            <v>0</v>
          </cell>
        </row>
        <row r="36">
          <cell r="R36">
            <v>0.0377231026529056</v>
          </cell>
          <cell r="S36">
            <v>0</v>
          </cell>
        </row>
        <row r="36">
          <cell r="Y36">
            <v>0</v>
          </cell>
        </row>
        <row r="36">
          <cell r="AE36">
            <v>0</v>
          </cell>
        </row>
        <row r="37">
          <cell r="R37">
            <v>2.43208984058962e-6</v>
          </cell>
          <cell r="S37">
            <v>0</v>
          </cell>
        </row>
        <row r="37">
          <cell r="Y37">
            <v>0</v>
          </cell>
        </row>
        <row r="37">
          <cell r="AE37">
            <v>0</v>
          </cell>
        </row>
        <row r="38">
          <cell r="R38">
            <v>0.00916474592990698</v>
          </cell>
          <cell r="S38">
            <v>0</v>
          </cell>
        </row>
        <row r="38">
          <cell r="Y38">
            <v>0</v>
          </cell>
        </row>
        <row r="38">
          <cell r="AE38">
            <v>0</v>
          </cell>
        </row>
        <row r="39">
          <cell r="R39">
            <v>0</v>
          </cell>
          <cell r="S39">
            <v>0</v>
          </cell>
        </row>
        <row r="39">
          <cell r="Y39">
            <v>0</v>
          </cell>
        </row>
        <row r="39">
          <cell r="AE39">
            <v>0</v>
          </cell>
        </row>
        <row r="40">
          <cell r="R40">
            <v>0.00231990160245678</v>
          </cell>
          <cell r="S40">
            <v>0</v>
          </cell>
        </row>
        <row r="40">
          <cell r="Y40">
            <v>0</v>
          </cell>
        </row>
        <row r="40">
          <cell r="AE40">
            <v>0</v>
          </cell>
        </row>
        <row r="41">
          <cell r="R41">
            <v>0</v>
          </cell>
          <cell r="S41">
            <v>0</v>
          </cell>
        </row>
        <row r="41">
          <cell r="Y41">
            <v>0</v>
          </cell>
        </row>
        <row r="41">
          <cell r="AE41">
            <v>0</v>
          </cell>
        </row>
        <row r="42">
          <cell r="R42">
            <v>0.00118018087380167</v>
          </cell>
          <cell r="S42">
            <v>0</v>
          </cell>
        </row>
        <row r="42">
          <cell r="Y42">
            <v>0</v>
          </cell>
        </row>
        <row r="42">
          <cell r="AE42">
            <v>0</v>
          </cell>
        </row>
        <row r="43">
          <cell r="R43">
            <v>0</v>
          </cell>
          <cell r="S43">
            <v>0</v>
          </cell>
        </row>
        <row r="43">
          <cell r="Y43">
            <v>0</v>
          </cell>
        </row>
        <row r="43">
          <cell r="AE43">
            <v>0</v>
          </cell>
        </row>
        <row r="44">
          <cell r="R44">
            <v>1.89695741766926e-5</v>
          </cell>
          <cell r="S44">
            <v>0</v>
          </cell>
        </row>
        <row r="44">
          <cell r="Y44">
            <v>0</v>
          </cell>
        </row>
        <row r="44">
          <cell r="AE44">
            <v>0</v>
          </cell>
        </row>
        <row r="45">
          <cell r="R45">
            <v>0</v>
          </cell>
          <cell r="S45">
            <v>0</v>
          </cell>
        </row>
        <row r="45">
          <cell r="Y45">
            <v>0</v>
          </cell>
        </row>
        <row r="45">
          <cell r="AE45">
            <v>0</v>
          </cell>
        </row>
        <row r="50">
          <cell r="R50">
            <v>3.78252761038376e-11</v>
          </cell>
          <cell r="S50">
            <v>0</v>
          </cell>
        </row>
        <row r="50">
          <cell r="Y50">
            <v>0</v>
          </cell>
        </row>
        <row r="50">
          <cell r="AE50">
            <v>0</v>
          </cell>
        </row>
        <row r="51">
          <cell r="R51">
            <v>1.18542623444324e-12</v>
          </cell>
          <cell r="S51">
            <v>0</v>
          </cell>
        </row>
        <row r="51">
          <cell r="Y51">
            <v>0</v>
          </cell>
        </row>
        <row r="51">
          <cell r="AE51">
            <v>0</v>
          </cell>
        </row>
        <row r="52">
          <cell r="R52">
            <v>3.34470982121405e-12</v>
          </cell>
          <cell r="S52">
            <v>0</v>
          </cell>
        </row>
        <row r="52">
          <cell r="Y52">
            <v>0</v>
          </cell>
        </row>
        <row r="52">
          <cell r="AE52">
            <v>0</v>
          </cell>
        </row>
        <row r="53">
          <cell r="R53">
            <v>1.0856944529499e-12</v>
          </cell>
          <cell r="S53">
            <v>0</v>
          </cell>
        </row>
        <row r="53">
          <cell r="Y53">
            <v>0</v>
          </cell>
        </row>
        <row r="53">
          <cell r="AE53">
            <v>0</v>
          </cell>
        </row>
        <row r="54">
          <cell r="R54">
            <v>1.68933437335288e-11</v>
          </cell>
          <cell r="S54">
            <v>0</v>
          </cell>
        </row>
        <row r="54">
          <cell r="Y54">
            <v>0</v>
          </cell>
        </row>
        <row r="54">
          <cell r="AE54">
            <v>0</v>
          </cell>
        </row>
        <row r="55">
          <cell r="R55">
            <v>1.49971938155112e-11</v>
          </cell>
          <cell r="S55">
            <v>0</v>
          </cell>
        </row>
        <row r="55">
          <cell r="Y55">
            <v>0</v>
          </cell>
        </row>
        <row r="55">
          <cell r="AE55">
            <v>0</v>
          </cell>
        </row>
        <row r="56">
          <cell r="R56">
            <v>2.33322740568306e-12</v>
          </cell>
          <cell r="S56">
            <v>0</v>
          </cell>
        </row>
        <row r="56">
          <cell r="Y56">
            <v>0</v>
          </cell>
        </row>
        <row r="56">
          <cell r="AE56">
            <v>0</v>
          </cell>
        </row>
        <row r="57">
          <cell r="R57">
            <v>0</v>
          </cell>
          <cell r="S57">
            <v>0</v>
          </cell>
        </row>
        <row r="57">
          <cell r="Y57">
            <v>0</v>
          </cell>
        </row>
        <row r="57">
          <cell r="AE57">
            <v>0</v>
          </cell>
        </row>
        <row r="58">
          <cell r="R58">
            <v>0</v>
          </cell>
          <cell r="S58">
            <v>0</v>
          </cell>
        </row>
        <row r="58">
          <cell r="Y58">
            <v>0</v>
          </cell>
        </row>
        <row r="58">
          <cell r="AE58">
            <v>0</v>
          </cell>
        </row>
        <row r="59">
          <cell r="R59">
            <v>0</v>
          </cell>
          <cell r="S59">
            <v>0</v>
          </cell>
        </row>
        <row r="59">
          <cell r="Y59">
            <v>0</v>
          </cell>
        </row>
        <row r="59">
          <cell r="AE59">
            <v>0</v>
          </cell>
        </row>
      </sheetData>
      <sheetData sheetId="7">
        <row r="11">
          <cell r="H11">
            <v>12611.1428672529</v>
          </cell>
          <cell r="I11">
            <v>1361.88768613932</v>
          </cell>
          <cell r="J11">
            <v>267.899152641276</v>
          </cell>
        </row>
        <row r="11">
          <cell r="R11">
            <v>1970.53654901095</v>
          </cell>
          <cell r="S11">
            <v>432.665295961865</v>
          </cell>
          <cell r="T11">
            <v>41.8602086492493</v>
          </cell>
          <cell r="U11">
            <v>2445.06205362207</v>
          </cell>
          <cell r="V11">
            <v>2506.72755138617</v>
          </cell>
        </row>
        <row r="11">
          <cell r="AB11">
            <v>1481.84348485624</v>
          </cell>
          <cell r="AC11">
            <v>243.694758611014</v>
          </cell>
          <cell r="AD11">
            <v>31.4788769042355</v>
          </cell>
        </row>
        <row r="11">
          <cell r="AJ11">
            <v>1970.53654901095</v>
          </cell>
          <cell r="AK11">
            <v>432.665295961865</v>
          </cell>
          <cell r="AL11">
            <v>41.8602086492493</v>
          </cell>
        </row>
        <row r="12">
          <cell r="H12">
            <v>4403.06073642308</v>
          </cell>
          <cell r="I12">
            <v>479.619084726548</v>
          </cell>
          <cell r="J12">
            <v>93.5344443189838</v>
          </cell>
        </row>
        <row r="12">
          <cell r="R12">
            <v>739.820298597714</v>
          </cell>
          <cell r="S12">
            <v>162.440310286067</v>
          </cell>
          <cell r="T12">
            <v>15.71604042452</v>
          </cell>
          <cell r="U12">
            <v>917.976649308301</v>
          </cell>
          <cell r="V12">
            <v>941.12840814876</v>
          </cell>
        </row>
        <row r="12">
          <cell r="AB12">
            <v>559.930717059337</v>
          </cell>
          <cell r="AC12">
            <v>92.0827215067891</v>
          </cell>
          <cell r="AD12">
            <v>11.8946368475083</v>
          </cell>
        </row>
        <row r="12">
          <cell r="AJ12">
            <v>739.820298597714</v>
          </cell>
          <cell r="AK12">
            <v>162.440310286067</v>
          </cell>
          <cell r="AL12">
            <v>15.71604042452</v>
          </cell>
        </row>
        <row r="13">
          <cell r="H13">
            <v>1048.4454732488</v>
          </cell>
          <cell r="I13">
            <v>114.895741113213</v>
          </cell>
          <cell r="J13">
            <v>22.2721807873007</v>
          </cell>
        </row>
        <row r="13">
          <cell r="R13">
            <v>182.798325418051</v>
          </cell>
          <cell r="S13">
            <v>40.1365260685123</v>
          </cell>
          <cell r="T13">
            <v>3.8831941719496</v>
          </cell>
          <cell r="U13">
            <v>226.818045658513</v>
          </cell>
          <cell r="V13">
            <v>232.53849257588</v>
          </cell>
        </row>
        <row r="13">
          <cell r="AB13">
            <v>143.807868167595</v>
          </cell>
          <cell r="AC13">
            <v>23.6497471410528</v>
          </cell>
          <cell r="AD13">
            <v>3.05491789529137</v>
          </cell>
        </row>
        <row r="13">
          <cell r="AJ13">
            <v>182.798325418051</v>
          </cell>
          <cell r="AK13">
            <v>40.1365260685123</v>
          </cell>
          <cell r="AL13">
            <v>3.8831941719496</v>
          </cell>
        </row>
        <row r="14">
          <cell r="H14">
            <v>9.62967180970268</v>
          </cell>
          <cell r="I14">
            <v>1.05312319283098</v>
          </cell>
          <cell r="J14">
            <v>0.204563610545702</v>
          </cell>
        </row>
        <row r="14">
          <cell r="R14">
            <v>1.70892794135654</v>
          </cell>
          <cell r="S14">
            <v>0.375224612756175</v>
          </cell>
          <cell r="T14">
            <v>0.0363028436227797</v>
          </cell>
          <cell r="U14">
            <v>2.12045539773549</v>
          </cell>
          <cell r="V14">
            <v>2.17393417852726</v>
          </cell>
        </row>
        <row r="14">
          <cell r="AB14">
            <v>1.272592342892</v>
          </cell>
          <cell r="AC14">
            <v>0.209282617888203</v>
          </cell>
          <cell r="AD14">
            <v>0.0270337441980632</v>
          </cell>
        </row>
        <row r="14">
          <cell r="AJ14">
            <v>1.70892794135654</v>
          </cell>
          <cell r="AK14">
            <v>0.375224612756175</v>
          </cell>
          <cell r="AL14">
            <v>0.0363028436227797</v>
          </cell>
        </row>
        <row r="15">
          <cell r="H15">
            <v>17123.9873054058</v>
          </cell>
          <cell r="I15">
            <v>1888.86628885526</v>
          </cell>
          <cell r="J15">
            <v>363.765737748516</v>
          </cell>
        </row>
        <row r="15">
          <cell r="R15">
            <v>3034.74255274552</v>
          </cell>
          <cell r="S15">
            <v>666.330084266001</v>
          </cell>
          <cell r="T15">
            <v>64.4671911913757</v>
          </cell>
          <cell r="U15">
            <v>3765.53982820289</v>
          </cell>
          <cell r="V15">
            <v>3860.5083331996</v>
          </cell>
        </row>
        <row r="15">
          <cell r="AB15">
            <v>2397.20267409652</v>
          </cell>
          <cell r="AC15">
            <v>394.229034966067</v>
          </cell>
          <cell r="AD15">
            <v>50.9238989566496</v>
          </cell>
        </row>
        <row r="15">
          <cell r="AJ15">
            <v>3034.74255274552</v>
          </cell>
          <cell r="AK15">
            <v>666.330084266001</v>
          </cell>
          <cell r="AL15">
            <v>64.4671911913757</v>
          </cell>
        </row>
        <row r="16">
          <cell r="H16">
            <v>522.927332122974</v>
          </cell>
          <cell r="I16">
            <v>57.2870269615265</v>
          </cell>
          <cell r="J16">
            <v>11.1085720496024</v>
          </cell>
        </row>
        <row r="16">
          <cell r="R16">
            <v>92.4519143021499</v>
          </cell>
          <cell r="S16">
            <v>20.2994128090939</v>
          </cell>
          <cell r="T16">
            <v>1.96396074188675</v>
          </cell>
          <cell r="U16">
            <v>114.71528785313</v>
          </cell>
          <cell r="V16">
            <v>117.60845586747</v>
          </cell>
        </row>
        <row r="16">
          <cell r="AB16">
            <v>65.0633555992372</v>
          </cell>
          <cell r="AC16">
            <v>10.6999145990893</v>
          </cell>
          <cell r="AD16">
            <v>1.3821441891912</v>
          </cell>
        </row>
        <row r="16">
          <cell r="AJ16">
            <v>92.4519143021499</v>
          </cell>
          <cell r="AK16">
            <v>20.2994128090939</v>
          </cell>
          <cell r="AL16">
            <v>1.96396074188675</v>
          </cell>
        </row>
        <row r="17">
          <cell r="H17">
            <v>265.877537128035</v>
          </cell>
          <cell r="I17">
            <v>28.8956302141397</v>
          </cell>
          <cell r="J17">
            <v>5.64805011351567</v>
          </cell>
        </row>
        <row r="17">
          <cell r="R17">
            <v>43.1452178528731</v>
          </cell>
          <cell r="S17">
            <v>9.47327694125844</v>
          </cell>
          <cell r="T17">
            <v>0.916536068536805</v>
          </cell>
          <cell r="U17">
            <v>53.5350308626683</v>
          </cell>
          <cell r="V17">
            <v>54.8852069537301</v>
          </cell>
        </row>
        <row r="17">
          <cell r="AB17">
            <v>31.6019070492247</v>
          </cell>
          <cell r="AC17">
            <v>5.19705298751955</v>
          </cell>
          <cell r="AD17">
            <v>0.671320927012846</v>
          </cell>
        </row>
        <row r="17">
          <cell r="AJ17">
            <v>43.1452178528731</v>
          </cell>
          <cell r="AK17">
            <v>9.47327694125844</v>
          </cell>
          <cell r="AL17">
            <v>0.916536068536805</v>
          </cell>
        </row>
        <row r="18">
          <cell r="H18">
            <v>46.8702400877059</v>
          </cell>
          <cell r="I18">
            <v>4.99947666725829</v>
          </cell>
          <cell r="J18">
            <v>0.995666906303534</v>
          </cell>
        </row>
        <row r="18">
          <cell r="R18">
            <v>5.35048402827693</v>
          </cell>
          <cell r="S18">
            <v>1.17479107748374</v>
          </cell>
          <cell r="T18">
            <v>0.113660605742413</v>
          </cell>
          <cell r="U18">
            <v>6.63893571150308</v>
          </cell>
          <cell r="V18">
            <v>6.80637247437265</v>
          </cell>
        </row>
        <row r="18">
          <cell r="AB18">
            <v>5.35048402827693</v>
          </cell>
          <cell r="AC18">
            <v>0.879907309407597</v>
          </cell>
          <cell r="AD18">
            <v>0.113660605742413</v>
          </cell>
        </row>
        <row r="18">
          <cell r="AJ18">
            <v>5.35048402827693</v>
          </cell>
          <cell r="AK18">
            <v>1.17479107748374</v>
          </cell>
          <cell r="AL18">
            <v>0.113660605742413</v>
          </cell>
        </row>
        <row r="19">
          <cell r="H19">
            <v>0</v>
          </cell>
          <cell r="I19">
            <v>0</v>
          </cell>
          <cell r="J19">
            <v>0</v>
          </cell>
        </row>
        <row r="19"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19">
          <cell r="AB19">
            <v>0</v>
          </cell>
          <cell r="AC19">
            <v>0</v>
          </cell>
          <cell r="AD19">
            <v>0</v>
          </cell>
        </row>
        <row r="19">
          <cell r="AJ19">
            <v>0</v>
          </cell>
          <cell r="AK19">
            <v>0</v>
          </cell>
          <cell r="AL19">
            <v>0</v>
          </cell>
        </row>
        <row r="20">
          <cell r="H20">
            <v>0</v>
          </cell>
          <cell r="I20">
            <v>0</v>
          </cell>
          <cell r="J20">
            <v>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0">
          <cell r="AB20">
            <v>0</v>
          </cell>
          <cell r="AC20">
            <v>0</v>
          </cell>
          <cell r="AD20">
            <v>0</v>
          </cell>
        </row>
        <row r="20">
          <cell r="AJ20">
            <v>0</v>
          </cell>
          <cell r="AK20">
            <v>0</v>
          </cell>
          <cell r="AL20">
            <v>0</v>
          </cell>
        </row>
        <row r="22">
          <cell r="I22">
            <v>3937.5040578701</v>
          </cell>
          <cell r="J22">
            <v>765.428368176044</v>
          </cell>
        </row>
        <row r="22">
          <cell r="S22">
            <v>1332.89492202304</v>
          </cell>
          <cell r="T22">
            <v>128.957094696883</v>
          </cell>
        </row>
        <row r="25">
          <cell r="H25">
            <v>4623.62972118259</v>
          </cell>
          <cell r="I25">
            <v>304.694054327159</v>
          </cell>
          <cell r="J25">
            <v>54.6347552279205</v>
          </cell>
        </row>
        <row r="25">
          <cell r="R25">
            <v>794.860188350682</v>
          </cell>
          <cell r="S25">
            <v>104.555228202003</v>
          </cell>
          <cell r="T25">
            <v>9.39240260352227</v>
          </cell>
          <cell r="U25">
            <v>908.807819156208</v>
          </cell>
          <cell r="V25">
            <v>931.728336227402</v>
          </cell>
        </row>
        <row r="25">
          <cell r="AB25">
            <v>631.133165150278</v>
          </cell>
          <cell r="AC25">
            <v>62.1467414055869</v>
          </cell>
          <cell r="AD25">
            <v>7.45773517205196</v>
          </cell>
        </row>
        <row r="25">
          <cell r="AJ25">
            <v>794.860188350682</v>
          </cell>
          <cell r="AK25">
            <v>104.555228202003</v>
          </cell>
          <cell r="AL25">
            <v>9.39240260352227</v>
          </cell>
        </row>
        <row r="26">
          <cell r="H26">
            <v>0.5403905124</v>
          </cell>
          <cell r="I26">
            <v>0.0363588839420962</v>
          </cell>
          <cell r="J26">
            <v>0.00638548178657203</v>
          </cell>
        </row>
        <row r="26">
          <cell r="R26">
            <v>0.132761252281612</v>
          </cell>
          <cell r="S26">
            <v>0.0128609510240706</v>
          </cell>
          <cell r="T26">
            <v>0.00156876284641212</v>
          </cell>
          <cell r="U26">
            <v>0.147190966152094</v>
          </cell>
          <cell r="V26">
            <v>0.150903184490562</v>
          </cell>
        </row>
        <row r="26">
          <cell r="AB26">
            <v>0.0970314573571511</v>
          </cell>
          <cell r="AC26">
            <v>0.00955454287867485</v>
          </cell>
          <cell r="AD26">
            <v>0.00114656454815773</v>
          </cell>
        </row>
        <row r="26">
          <cell r="AJ26">
            <v>0.0970314573571511</v>
          </cell>
          <cell r="AK26">
            <v>0.0127634347718444</v>
          </cell>
          <cell r="AL26">
            <v>0.00114656454815773</v>
          </cell>
        </row>
        <row r="27">
          <cell r="H27">
            <v>2574.01348848237</v>
          </cell>
          <cell r="I27">
            <v>167.279219331312</v>
          </cell>
          <cell r="J27">
            <v>30.4156269807502</v>
          </cell>
        </row>
        <row r="27">
          <cell r="R27">
            <v>404.645492309239</v>
          </cell>
          <cell r="S27">
            <v>53.2267213899495</v>
          </cell>
          <cell r="T27">
            <v>4.78146148362896</v>
          </cell>
          <cell r="U27">
            <v>462.653675182818</v>
          </cell>
          <cell r="V27">
            <v>474.321996291591</v>
          </cell>
        </row>
        <row r="27">
          <cell r="AB27">
            <v>300.742907406316</v>
          </cell>
          <cell r="AC27">
            <v>29.6137055191743</v>
          </cell>
          <cell r="AD27">
            <v>3.55370479980276</v>
          </cell>
        </row>
        <row r="27">
          <cell r="AJ27">
            <v>404.645492309239</v>
          </cell>
          <cell r="AK27">
            <v>53.2267213899495</v>
          </cell>
          <cell r="AL27">
            <v>4.78146148362896</v>
          </cell>
        </row>
        <row r="28">
          <cell r="H28">
            <v>5.98000855702511</v>
          </cell>
          <cell r="I28">
            <v>0.401809410286556</v>
          </cell>
          <cell r="J28">
            <v>0.0706622985567218</v>
          </cell>
        </row>
        <row r="28">
          <cell r="R28">
            <v>1.2126452087696</v>
          </cell>
          <cell r="S28">
            <v>0.159510311862587</v>
          </cell>
          <cell r="T28">
            <v>0.0143291262827362</v>
          </cell>
          <cell r="U28">
            <v>1.38648464691493</v>
          </cell>
          <cell r="V28">
            <v>1.4214523753485</v>
          </cell>
        </row>
        <row r="28">
          <cell r="AB28">
            <v>0.855288954953882</v>
          </cell>
          <cell r="AC28">
            <v>0.0842190276879481</v>
          </cell>
          <cell r="AD28">
            <v>0.0101064543488352</v>
          </cell>
        </row>
        <row r="28">
          <cell r="AJ28">
            <v>1.2126452087696</v>
          </cell>
          <cell r="AK28">
            <v>0.159510311862587</v>
          </cell>
          <cell r="AL28">
            <v>0.0143291262827362</v>
          </cell>
        </row>
        <row r="29">
          <cell r="H29">
            <v>163.008602037619</v>
          </cell>
          <cell r="I29">
            <v>10.6028751651496</v>
          </cell>
          <cell r="J29">
            <v>1.92617826457196</v>
          </cell>
        </row>
        <row r="29">
          <cell r="R29">
            <v>26.0230818350399</v>
          </cell>
          <cell r="S29">
            <v>3.42305389005293</v>
          </cell>
          <cell r="T29">
            <v>0.307499690085455</v>
          </cell>
          <cell r="U29">
            <v>29.7536354151782</v>
          </cell>
          <cell r="V29">
            <v>30.5040346680113</v>
          </cell>
        </row>
        <row r="29">
          <cell r="AB29">
            <v>20.8184654680319</v>
          </cell>
          <cell r="AC29">
            <v>2.04996324285201</v>
          </cell>
          <cell r="AD29">
            <v>0.245999752068364</v>
          </cell>
        </row>
        <row r="29">
          <cell r="AJ29">
            <v>26.0230818350399</v>
          </cell>
          <cell r="AK29">
            <v>3.42305389005293</v>
          </cell>
          <cell r="AL29">
            <v>0.307499690085455</v>
          </cell>
        </row>
        <row r="30">
          <cell r="H30">
            <v>329.15660398209</v>
          </cell>
          <cell r="I30">
            <v>21.3118910894791</v>
          </cell>
          <cell r="J30">
            <v>0</v>
          </cell>
        </row>
        <row r="30">
          <cell r="R30">
            <v>61.2621840850637</v>
          </cell>
          <cell r="S30">
            <v>8.05837520993196</v>
          </cell>
          <cell r="T30">
            <v>0.723899757128299</v>
          </cell>
          <cell r="U30">
            <v>70.0444590521239</v>
          </cell>
          <cell r="V30">
            <v>71.8110098955546</v>
          </cell>
        </row>
        <row r="30">
          <cell r="AB30">
            <v>33.434469204031</v>
          </cell>
          <cell r="AC30">
            <v>3.2922423133337</v>
          </cell>
          <cell r="AD30">
            <v>0.39507576326213</v>
          </cell>
        </row>
        <row r="30">
          <cell r="AJ30">
            <v>61.2621840850637</v>
          </cell>
          <cell r="AK30">
            <v>8.05837520993196</v>
          </cell>
          <cell r="AL30">
            <v>0.723899757128299</v>
          </cell>
        </row>
        <row r="31">
          <cell r="H31">
            <v>343.07887615383</v>
          </cell>
          <cell r="I31">
            <v>22.1911107920162</v>
          </cell>
          <cell r="J31">
            <v>0</v>
          </cell>
        </row>
        <row r="31">
          <cell r="R31">
            <v>53.9311056159176</v>
          </cell>
          <cell r="S31">
            <v>7.09405142879147</v>
          </cell>
          <cell r="T31">
            <v>0.637272647720405</v>
          </cell>
          <cell r="U31">
            <v>61.6624296924294</v>
          </cell>
          <cell r="V31">
            <v>63.2175822149164</v>
          </cell>
        </row>
        <row r="31">
          <cell r="AB31">
            <v>38.522218297084</v>
          </cell>
          <cell r="AC31">
            <v>3.79322537789376</v>
          </cell>
          <cell r="AD31">
            <v>0.455194748371718</v>
          </cell>
        </row>
        <row r="31">
          <cell r="AJ31">
            <v>53.9311056159176</v>
          </cell>
          <cell r="AK31">
            <v>7.09405142879147</v>
          </cell>
          <cell r="AL31">
            <v>0.637272647720405</v>
          </cell>
        </row>
        <row r="32">
          <cell r="H32">
            <v>0.461284863244088</v>
          </cell>
          <cell r="I32">
            <v>0.0295851223781973</v>
          </cell>
          <cell r="J32">
            <v>0</v>
          </cell>
        </row>
        <row r="32">
          <cell r="R32">
            <v>0.0526580894114256</v>
          </cell>
          <cell r="S32">
            <v>0.00692659996787268</v>
          </cell>
          <cell r="T32">
            <v>0.000622230152337403</v>
          </cell>
          <cell r="U32">
            <v>0.0602069195316356</v>
          </cell>
          <cell r="V32">
            <v>0.0617253634730732</v>
          </cell>
        </row>
        <row r="32">
          <cell r="AB32">
            <v>0.0526580894114256</v>
          </cell>
          <cell r="AC32">
            <v>0.00518516352216243</v>
          </cell>
          <cell r="AD32">
            <v>0.000622230152337403</v>
          </cell>
        </row>
        <row r="32">
          <cell r="AJ32">
            <v>0.0526580894114256</v>
          </cell>
          <cell r="AK32">
            <v>0.00692659996787268</v>
          </cell>
          <cell r="AL32">
            <v>0.000622230152337403</v>
          </cell>
        </row>
        <row r="33">
          <cell r="H33">
            <v>0</v>
          </cell>
          <cell r="I33">
            <v>0</v>
          </cell>
          <cell r="J33">
            <v>0</v>
          </cell>
        </row>
        <row r="33"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3">
          <cell r="AB33">
            <v>0</v>
          </cell>
          <cell r="AC33">
            <v>0</v>
          </cell>
          <cell r="AD33">
            <v>0</v>
          </cell>
        </row>
        <row r="33">
          <cell r="AJ33">
            <v>0</v>
          </cell>
          <cell r="AK33">
            <v>0</v>
          </cell>
          <cell r="AL33">
            <v>0</v>
          </cell>
        </row>
        <row r="35">
          <cell r="I35">
            <v>526.546904121722</v>
          </cell>
          <cell r="J35">
            <v>87.053608253586</v>
          </cell>
        </row>
        <row r="35">
          <cell r="S35">
            <v>176.536727983584</v>
          </cell>
          <cell r="T35">
            <v>15.8590563013669</v>
          </cell>
        </row>
        <row r="38">
          <cell r="H38">
            <v>7684.91455724616</v>
          </cell>
          <cell r="I38">
            <v>190.282121579772</v>
          </cell>
          <cell r="J38">
            <v>0</v>
          </cell>
        </row>
        <row r="38">
          <cell r="R38">
            <v>1198.95105844322</v>
          </cell>
          <cell r="S38">
            <v>59.963147330298</v>
          </cell>
          <cell r="T38">
            <v>0</v>
          </cell>
          <cell r="U38">
            <v>1258.91420577352</v>
          </cell>
          <cell r="V38">
            <v>1290.66455379692</v>
          </cell>
        </row>
        <row r="38">
          <cell r="AB38">
            <v>879.054427927211</v>
          </cell>
          <cell r="AC38">
            <v>32.7311531250891</v>
          </cell>
          <cell r="AD38">
            <v>0</v>
          </cell>
        </row>
        <row r="38">
          <cell r="AJ38">
            <v>1198.95105844322</v>
          </cell>
          <cell r="AK38">
            <v>59.963147330298</v>
          </cell>
          <cell r="AL38">
            <v>0</v>
          </cell>
        </row>
        <row r="39">
          <cell r="H39">
            <v>0.53654</v>
          </cell>
          <cell r="I39">
            <v>0.0132352400883322</v>
          </cell>
          <cell r="J39">
            <v>0</v>
          </cell>
        </row>
        <row r="39">
          <cell r="R39">
            <v>0.077298962268135</v>
          </cell>
          <cell r="S39">
            <v>0.00386595351855459</v>
          </cell>
          <cell r="T39">
            <v>0</v>
          </cell>
          <cell r="U39">
            <v>0.0811649157866896</v>
          </cell>
          <cell r="V39">
            <v>0.0832119292461448</v>
          </cell>
        </row>
        <row r="39">
          <cell r="AB39">
            <v>0.0617882751495057</v>
          </cell>
          <cell r="AC39">
            <v>0.00230065560334231</v>
          </cell>
          <cell r="AD39">
            <v>0</v>
          </cell>
        </row>
        <row r="39">
          <cell r="AJ39">
            <v>0.077298962268135</v>
          </cell>
          <cell r="AK39">
            <v>0.00386595351855459</v>
          </cell>
          <cell r="AL39">
            <v>0</v>
          </cell>
        </row>
        <row r="40">
          <cell r="H40">
            <v>1771.70160889593</v>
          </cell>
          <cell r="I40">
            <v>44.1198935151018</v>
          </cell>
          <cell r="J40">
            <v>0</v>
          </cell>
        </row>
        <row r="40">
          <cell r="R40">
            <v>291.282557909612</v>
          </cell>
          <cell r="S40">
            <v>14.5679165230974</v>
          </cell>
          <cell r="T40">
            <v>0</v>
          </cell>
          <cell r="U40">
            <v>305.850474432709</v>
          </cell>
          <cell r="V40">
            <v>313.564152586333</v>
          </cell>
        </row>
        <row r="40">
          <cell r="AB40">
            <v>215.074267448298</v>
          </cell>
          <cell r="AC40">
            <v>8.00818306292579</v>
          </cell>
          <cell r="AD40">
            <v>0</v>
          </cell>
        </row>
        <row r="40">
          <cell r="AJ40">
            <v>291.282557909612</v>
          </cell>
          <cell r="AK40">
            <v>14.5679165230974</v>
          </cell>
          <cell r="AL40">
            <v>0</v>
          </cell>
        </row>
        <row r="41">
          <cell r="H41">
            <v>0</v>
          </cell>
          <cell r="I41">
            <v>0</v>
          </cell>
          <cell r="J41">
            <v>0</v>
          </cell>
        </row>
        <row r="41"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1">
          <cell r="AB41">
            <v>0</v>
          </cell>
          <cell r="AC41">
            <v>0</v>
          </cell>
          <cell r="AD41">
            <v>0</v>
          </cell>
        </row>
        <row r="41">
          <cell r="AJ41">
            <v>0</v>
          </cell>
          <cell r="AK41">
            <v>0</v>
          </cell>
          <cell r="AL41">
            <v>0</v>
          </cell>
        </row>
        <row r="42">
          <cell r="H42">
            <v>368.343264691723</v>
          </cell>
          <cell r="I42">
            <v>9.35695158532614</v>
          </cell>
          <cell r="J42">
            <v>0</v>
          </cell>
        </row>
        <row r="42">
          <cell r="R42">
            <v>73.7332903749222</v>
          </cell>
          <cell r="S42">
            <v>3.68762354623542</v>
          </cell>
          <cell r="T42">
            <v>0</v>
          </cell>
          <cell r="U42">
            <v>77.4209139211576</v>
          </cell>
          <cell r="V42">
            <v>79.373502072132</v>
          </cell>
        </row>
        <row r="42">
          <cell r="AB42">
            <v>47.9044158484389</v>
          </cell>
          <cell r="AC42">
            <v>1.78369702795358</v>
          </cell>
          <cell r="AD42">
            <v>0</v>
          </cell>
        </row>
        <row r="42">
          <cell r="AJ42">
            <v>73.7332903749222</v>
          </cell>
          <cell r="AK42">
            <v>3.68762354623542</v>
          </cell>
          <cell r="AL42">
            <v>0</v>
          </cell>
        </row>
        <row r="43">
          <cell r="H43">
            <v>0</v>
          </cell>
          <cell r="I43">
            <v>0</v>
          </cell>
          <cell r="J43">
            <v>0</v>
          </cell>
        </row>
        <row r="43"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3">
          <cell r="AB43">
            <v>0</v>
          </cell>
          <cell r="AC43">
            <v>0</v>
          </cell>
          <cell r="AD43">
            <v>0</v>
          </cell>
        </row>
        <row r="43">
          <cell r="AJ43">
            <v>0</v>
          </cell>
          <cell r="AK43">
            <v>0</v>
          </cell>
          <cell r="AL43">
            <v>0</v>
          </cell>
        </row>
        <row r="44">
          <cell r="H44">
            <v>188.407399757014</v>
          </cell>
          <cell r="I44">
            <v>4.78166987804912</v>
          </cell>
          <cell r="J44">
            <v>3.88945300005889</v>
          </cell>
        </row>
        <row r="44">
          <cell r="R44">
            <v>37.5096163435531</v>
          </cell>
          <cell r="S44">
            <v>1.87596869386136</v>
          </cell>
          <cell r="T44">
            <v>0</v>
          </cell>
          <cell r="U44">
            <v>39.3855850374145</v>
          </cell>
          <cell r="V44">
            <v>40.3789061281674</v>
          </cell>
        </row>
        <row r="44">
          <cell r="AB44">
            <v>24.1495482277184</v>
          </cell>
          <cell r="AC44">
            <v>0.899196381738294</v>
          </cell>
          <cell r="AD44">
            <v>0</v>
          </cell>
        </row>
        <row r="44">
          <cell r="AJ44">
            <v>37.5096163435531</v>
          </cell>
          <cell r="AK44">
            <v>1.87596869386136</v>
          </cell>
          <cell r="AL44">
            <v>0</v>
          </cell>
        </row>
        <row r="45">
          <cell r="H45">
            <v>36.1256164370943</v>
          </cell>
          <cell r="I45">
            <v>0</v>
          </cell>
          <cell r="J45">
            <v>4.05396442899852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5">
          <cell r="AB45">
            <v>0</v>
          </cell>
          <cell r="AC45">
            <v>0</v>
          </cell>
          <cell r="AD45">
            <v>0</v>
          </cell>
        </row>
        <row r="45">
          <cell r="AJ45">
            <v>0</v>
          </cell>
          <cell r="AK45">
            <v>0</v>
          </cell>
          <cell r="AL45">
            <v>0</v>
          </cell>
        </row>
        <row r="46">
          <cell r="H46">
            <v>5.28148120053833</v>
          </cell>
          <cell r="I46">
            <v>0.129398281904112</v>
          </cell>
          <cell r="J46">
            <v>0.00545073613447565</v>
          </cell>
        </row>
        <row r="46">
          <cell r="R46">
            <v>0.602908812846842</v>
          </cell>
          <cell r="S46">
            <v>0.0301532825021333</v>
          </cell>
          <cell r="T46">
            <v>0</v>
          </cell>
          <cell r="U46">
            <v>0.633062095348975</v>
          </cell>
          <cell r="V46">
            <v>0.64902818879329</v>
          </cell>
        </row>
        <row r="46">
          <cell r="AB46">
            <v>0.602908812846842</v>
          </cell>
          <cell r="AC46">
            <v>0.0224490088973077</v>
          </cell>
          <cell r="AD46">
            <v>0</v>
          </cell>
        </row>
        <row r="46">
          <cell r="AJ46">
            <v>0.602908812846842</v>
          </cell>
          <cell r="AK46">
            <v>0.0301532825021333</v>
          </cell>
          <cell r="AL46">
            <v>0</v>
          </cell>
        </row>
        <row r="47">
          <cell r="H47">
            <v>0</v>
          </cell>
          <cell r="I47">
            <v>0</v>
          </cell>
          <cell r="J47">
            <v>0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7">
          <cell r="AB47">
            <v>0</v>
          </cell>
          <cell r="AC47">
            <v>0</v>
          </cell>
          <cell r="AD47">
            <v>0</v>
          </cell>
        </row>
        <row r="47">
          <cell r="AJ47">
            <v>0</v>
          </cell>
          <cell r="AK47">
            <v>0</v>
          </cell>
          <cell r="AL47">
            <v>0</v>
          </cell>
        </row>
        <row r="49">
          <cell r="I49">
            <v>248.683270080242</v>
          </cell>
          <cell r="J49">
            <v>7.94886816519188</v>
          </cell>
        </row>
        <row r="49">
          <cell r="S49">
            <v>80.1286753295129</v>
          </cell>
          <cell r="T49">
            <v>0</v>
          </cell>
        </row>
        <row r="52">
          <cell r="H52">
            <v>5002.47501853381</v>
          </cell>
          <cell r="I52">
            <v>2.00445411238539e-7</v>
          </cell>
          <cell r="J52">
            <v>0</v>
          </cell>
        </row>
        <row r="52">
          <cell r="R52">
            <v>737.324896510947</v>
          </cell>
          <cell r="S52">
            <v>6.01255581942149e-8</v>
          </cell>
          <cell r="T52">
            <v>0</v>
          </cell>
          <cell r="U52">
            <v>737.324896571073</v>
          </cell>
          <cell r="V52">
            <v>755.920541901859</v>
          </cell>
        </row>
        <row r="52">
          <cell r="AB52">
            <v>577.521829557091</v>
          </cell>
          <cell r="AC52">
            <v>3.45777907009659e-8</v>
          </cell>
          <cell r="AD52">
            <v>0</v>
          </cell>
        </row>
        <row r="52">
          <cell r="AJ52">
            <v>737.324896510947</v>
          </cell>
          <cell r="AK52">
            <v>6.01255581942149e-8</v>
          </cell>
          <cell r="AL52">
            <v>0</v>
          </cell>
        </row>
        <row r="53">
          <cell r="H53">
            <v>152.9334297</v>
          </cell>
          <cell r="I53">
            <v>6.12817747521713e-9</v>
          </cell>
          <cell r="J53">
            <v>0</v>
          </cell>
        </row>
        <row r="53">
          <cell r="R53">
            <v>23.1074129699095</v>
          </cell>
          <cell r="S53">
            <v>1.88430651102993e-9</v>
          </cell>
          <cell r="T53">
            <v>0</v>
          </cell>
          <cell r="U53">
            <v>23.1074129717938</v>
          </cell>
          <cell r="V53">
            <v>23.6901916873014</v>
          </cell>
        </row>
        <row r="53">
          <cell r="AB53">
            <v>16.9105441468465</v>
          </cell>
          <cell r="AC53">
            <v>1.01247992062488e-9</v>
          </cell>
          <cell r="AD53">
            <v>0</v>
          </cell>
        </row>
        <row r="53">
          <cell r="AJ53">
            <v>23.1074129699095</v>
          </cell>
          <cell r="AK53">
            <v>1.88430651102993e-9</v>
          </cell>
          <cell r="AL53">
            <v>0</v>
          </cell>
        </row>
        <row r="54">
          <cell r="H54">
            <v>345.646916498293</v>
          </cell>
          <cell r="I54">
            <v>1.4298832135395e-8</v>
          </cell>
          <cell r="J54">
            <v>0</v>
          </cell>
        </row>
        <row r="54">
          <cell r="R54">
            <v>65.1981446484563</v>
          </cell>
          <cell r="S54">
            <v>5.31661803197689e-9</v>
          </cell>
          <cell r="T54">
            <v>0</v>
          </cell>
          <cell r="U54">
            <v>65.1981446537729</v>
          </cell>
          <cell r="V54">
            <v>66.8424694010385</v>
          </cell>
        </row>
        <row r="54">
          <cell r="AB54">
            <v>50.3138181222219</v>
          </cell>
          <cell r="AC54">
            <v>3.01242409093156e-9</v>
          </cell>
          <cell r="AD54">
            <v>0</v>
          </cell>
        </row>
        <row r="54">
          <cell r="AJ54">
            <v>65.1981446484563</v>
          </cell>
          <cell r="AK54">
            <v>5.31661803197689e-9</v>
          </cell>
          <cell r="AL54">
            <v>0</v>
          </cell>
        </row>
        <row r="55">
          <cell r="H55">
            <v>133.669346242745</v>
          </cell>
          <cell r="I55">
            <v>5.35123264337351e-9</v>
          </cell>
          <cell r="J55">
            <v>0</v>
          </cell>
        </row>
        <row r="55">
          <cell r="R55">
            <v>21.1633498184189</v>
          </cell>
          <cell r="S55">
            <v>1.72577682798072e-9</v>
          </cell>
          <cell r="T55">
            <v>0</v>
          </cell>
          <cell r="U55">
            <v>21.1633498201447</v>
          </cell>
          <cell r="V55">
            <v>21.6970984418133</v>
          </cell>
        </row>
        <row r="55">
          <cell r="AB55">
            <v>14.8327818675883</v>
          </cell>
          <cell r="AC55">
            <v>8.88078684963107e-10</v>
          </cell>
          <cell r="AD55">
            <v>0</v>
          </cell>
        </row>
        <row r="55">
          <cell r="AJ55">
            <v>21.1633498184189</v>
          </cell>
          <cell r="AK55">
            <v>1.72577682798072e-9</v>
          </cell>
          <cell r="AL55">
            <v>0</v>
          </cell>
        </row>
        <row r="56">
          <cell r="H56">
            <v>1955.88957501188</v>
          </cell>
          <cell r="I56">
            <v>7.94568409100494e-8</v>
          </cell>
          <cell r="J56">
            <v>0</v>
          </cell>
        </row>
        <row r="56">
          <cell r="R56">
            <v>329.30051550329</v>
          </cell>
          <cell r="S56">
            <v>2.68529889631687e-8</v>
          </cell>
          <cell r="T56">
            <v>0</v>
          </cell>
          <cell r="U56">
            <v>329.300515530143</v>
          </cell>
          <cell r="V56">
            <v>337.605613625326</v>
          </cell>
        </row>
        <row r="56">
          <cell r="AB56">
            <v>258.076540886174</v>
          </cell>
          <cell r="AC56">
            <v>1.54517390666169e-8</v>
          </cell>
          <cell r="AD56">
            <v>0</v>
          </cell>
        </row>
        <row r="56">
          <cell r="AJ56">
            <v>329.30051550329</v>
          </cell>
          <cell r="AK56">
            <v>2.68529889631687e-8</v>
          </cell>
          <cell r="AL56">
            <v>0</v>
          </cell>
        </row>
        <row r="57">
          <cell r="H57">
            <v>1463.37736580925</v>
          </cell>
          <cell r="I57">
            <v>5.94448557040757e-8</v>
          </cell>
          <cell r="J57">
            <v>0</v>
          </cell>
        </row>
        <row r="57">
          <cell r="R57">
            <v>292.33902609516</v>
          </cell>
          <cell r="S57">
            <v>2.38389442823645e-8</v>
          </cell>
          <cell r="T57">
            <v>0</v>
          </cell>
          <cell r="U57">
            <v>292.339026118999</v>
          </cell>
          <cell r="V57">
            <v>299.71193983904</v>
          </cell>
        </row>
        <row r="57">
          <cell r="AB57">
            <v>152.662070986607</v>
          </cell>
          <cell r="AC57">
            <v>9.14029023387599e-9</v>
          </cell>
          <cell r="AD57">
            <v>0</v>
          </cell>
        </row>
        <row r="57">
          <cell r="AJ57">
            <v>292.33902609516</v>
          </cell>
          <cell r="AK57">
            <v>2.38389442823645e-8</v>
          </cell>
          <cell r="AL57">
            <v>0</v>
          </cell>
        </row>
        <row r="58">
          <cell r="H58">
            <v>251.044663358325</v>
          </cell>
          <cell r="I58">
            <v>1.01545326099312e-8</v>
          </cell>
          <cell r="J58">
            <v>0</v>
          </cell>
        </row>
        <row r="58">
          <cell r="R58">
            <v>45.4814037763819</v>
          </cell>
          <cell r="S58">
            <v>3.70880571434879e-9</v>
          </cell>
          <cell r="T58">
            <v>0</v>
          </cell>
          <cell r="U58">
            <v>45.4814037800907</v>
          </cell>
          <cell r="V58">
            <v>46.6284639943518</v>
          </cell>
        </row>
        <row r="58">
          <cell r="AB58">
            <v>28.2083579504747</v>
          </cell>
          <cell r="AC58">
            <v>1.688910526512e-9</v>
          </cell>
          <cell r="AD58">
            <v>0</v>
          </cell>
        </row>
        <row r="58">
          <cell r="AJ58">
            <v>45.4814037763819</v>
          </cell>
          <cell r="AK58">
            <v>3.70880571434879e-9</v>
          </cell>
          <cell r="AL58">
            <v>0</v>
          </cell>
        </row>
        <row r="59">
          <cell r="H59">
            <v>0</v>
          </cell>
          <cell r="I59">
            <v>0</v>
          </cell>
          <cell r="J59">
            <v>0</v>
          </cell>
        </row>
        <row r="59"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59">
          <cell r="AB59">
            <v>0</v>
          </cell>
          <cell r="AC59">
            <v>0</v>
          </cell>
          <cell r="AD59">
            <v>0</v>
          </cell>
        </row>
        <row r="59">
          <cell r="AJ59">
            <v>0</v>
          </cell>
          <cell r="AK59">
            <v>0</v>
          </cell>
          <cell r="AL59">
            <v>0</v>
          </cell>
        </row>
        <row r="60">
          <cell r="H60">
            <v>0</v>
          </cell>
          <cell r="I60">
            <v>0</v>
          </cell>
          <cell r="J60">
            <v>0</v>
          </cell>
        </row>
        <row r="60"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0">
          <cell r="AB60">
            <v>0</v>
          </cell>
          <cell r="AC60">
            <v>0</v>
          </cell>
          <cell r="AD60">
            <v>0</v>
          </cell>
        </row>
        <row r="60">
          <cell r="AJ60">
            <v>0</v>
          </cell>
          <cell r="AK60">
            <v>0</v>
          </cell>
          <cell r="AL60">
            <v>0</v>
          </cell>
        </row>
        <row r="61">
          <cell r="H61">
            <v>0</v>
          </cell>
          <cell r="I61">
            <v>0</v>
          </cell>
          <cell r="J61">
            <v>0</v>
          </cell>
        </row>
        <row r="61"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1">
          <cell r="AB61">
            <v>0</v>
          </cell>
          <cell r="AC61">
            <v>0</v>
          </cell>
          <cell r="AD61">
            <v>0</v>
          </cell>
        </row>
        <row r="61">
          <cell r="AJ61">
            <v>0</v>
          </cell>
          <cell r="AK61">
            <v>0</v>
          </cell>
          <cell r="AL61">
            <v>0</v>
          </cell>
        </row>
        <row r="63">
          <cell r="I63">
            <v>3.75279882716581e-7</v>
          </cell>
          <cell r="J63">
            <v>0</v>
          </cell>
        </row>
        <row r="63">
          <cell r="S63">
            <v>1.23452998525084e-7</v>
          </cell>
          <cell r="T63">
            <v>0</v>
          </cell>
        </row>
        <row r="66">
          <cell r="H66">
            <v>63432.156922633</v>
          </cell>
          <cell r="I66">
            <v>4712.73423244734</v>
          </cell>
          <cell r="J66">
            <v>860.430844594822</v>
          </cell>
          <cell r="K66">
            <v>69005.3219996751</v>
          </cell>
        </row>
        <row r="66">
          <cell r="R66">
            <v>10528.7458668123</v>
          </cell>
          <cell r="S66">
            <v>1589.56032545959</v>
          </cell>
          <cell r="T66">
            <v>144.81615099825</v>
          </cell>
          <cell r="U66">
            <v>12263.1223432701</v>
          </cell>
          <cell r="V66">
            <v>12572.4034685976</v>
          </cell>
        </row>
        <row r="66">
          <cell r="AB66">
            <v>7977.10258728345</v>
          </cell>
          <cell r="AC66">
            <v>915.084235659736</v>
          </cell>
          <cell r="AD66">
            <v>111.666075554436</v>
          </cell>
          <cell r="AE66">
            <v>9003.85289849763</v>
          </cell>
        </row>
        <row r="66">
          <cell r="AJ66">
            <v>10528.7101370174</v>
          </cell>
          <cell r="AK66">
            <v>1589.56022794334</v>
          </cell>
          <cell r="AL66">
            <v>144.815728799952</v>
          </cell>
          <cell r="AM66">
            <v>12263.0860937607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TSSPDCL&gt;&gt;"/>
      <sheetName val="SPDCL_Output"/>
      <sheetName val="SPDCL_Output -FC VC"/>
      <sheetName val="FCRT_SPDCL"/>
      <sheetName val="SPDCL_Switch_Selection"/>
      <sheetName val="SPDCL_Inp_Category"/>
      <sheetName val="SPDCL_Inp_Losses"/>
      <sheetName val="SPDCL_Cost Alloc_Factors"/>
      <sheetName val="SPDCL_Gen_Cost_Alloc"/>
      <sheetName val="SPDCL_Trans_Cost_Alloc"/>
      <sheetName val="SPDCL_Dist_Cost_Alloc"/>
      <sheetName val="SPDCL_Retail_Supply_Cost_Alloc"/>
      <sheetName val="SP Allocation percentages"/>
      <sheetName val="TSSPDCL&lt;&lt;"/>
      <sheetName val="TGNPDCL&gt;&gt;"/>
      <sheetName val="NPDCL_Switch_Selection"/>
      <sheetName val="NPDCL_Output"/>
      <sheetName val="FCRT_NPDCL"/>
      <sheetName val="NPDCL_Inp_Category"/>
      <sheetName val="NPDCL_Inp_Losses"/>
      <sheetName val="NPDCL_Cost Alloc_Factors"/>
      <sheetName val="NPDCL_Gen_Cost_Alloc"/>
      <sheetName val="NPDCL_Trans_Cost_Alloc"/>
      <sheetName val="NPDCL_Dist_Cost_Alloc"/>
      <sheetName val="NPDCL_Retail_Supply_Cost_Alloc"/>
      <sheetName val="NP Allocation percentages"/>
      <sheetName val="TSNPDCL&lt;&lt;"/>
      <sheetName val="TSNPDCL&gt;&gt;"/>
    </sheetNames>
    <sheetDataSet>
      <sheetData sheetId="0"/>
      <sheetData sheetId="1"/>
      <sheetData sheetId="2"/>
      <sheetData sheetId="3">
        <row r="4">
          <cell r="K4">
            <v>1.86730498083869</v>
          </cell>
        </row>
        <row r="8">
          <cell r="K8">
            <v>5.55112441948925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1.5|Int CSD"/>
      <sheetName val="6|NTI current"/>
      <sheetName val="2022-23"/>
    </sheetNames>
    <sheetDataSet>
      <sheetData sheetId="0"/>
      <sheetData sheetId="1"/>
      <sheetData sheetId="2">
        <row r="10">
          <cell r="H10">
            <v>9952.10895307</v>
          </cell>
        </row>
        <row r="10">
          <cell r="L10">
            <v>4660.4909776601</v>
          </cell>
          <cell r="M10">
            <v>147.01029196</v>
          </cell>
        </row>
        <row r="10">
          <cell r="O10">
            <v>625.906236</v>
          </cell>
        </row>
        <row r="11">
          <cell r="H11">
            <v>2199.44399885</v>
          </cell>
        </row>
        <row r="11">
          <cell r="L11">
            <v>493.6220089963</v>
          </cell>
          <cell r="M11">
            <v>65.3776</v>
          </cell>
        </row>
        <row r="11">
          <cell r="O11">
            <v>288.372144</v>
          </cell>
        </row>
        <row r="12">
          <cell r="H12">
            <v>1636.57070128</v>
          </cell>
        </row>
        <row r="12">
          <cell r="L12">
            <v>319.1312867496</v>
          </cell>
          <cell r="M12">
            <v>32.9288</v>
          </cell>
        </row>
        <row r="12">
          <cell r="O12">
            <v>131.557584</v>
          </cell>
        </row>
        <row r="13">
          <cell r="H13">
            <v>562.87329757</v>
          </cell>
        </row>
        <row r="13">
          <cell r="L13">
            <v>174.4907222467</v>
          </cell>
          <cell r="M13">
            <v>32.4488</v>
          </cell>
        </row>
        <row r="13">
          <cell r="O13">
            <v>156.81456</v>
          </cell>
        </row>
        <row r="14">
          <cell r="H14">
            <v>3459.64286664</v>
          </cell>
        </row>
        <row r="14">
          <cell r="L14">
            <v>1318.4741759872</v>
          </cell>
          <cell r="M14">
            <v>40.22966784</v>
          </cell>
        </row>
        <row r="14">
          <cell r="O14">
            <v>176.842764</v>
          </cell>
        </row>
        <row r="15">
          <cell r="H15">
            <v>2443.96</v>
          </cell>
        </row>
        <row r="15">
          <cell r="L15">
            <v>830.9464</v>
          </cell>
          <cell r="M15">
            <v>0</v>
          </cell>
        </row>
        <row r="16">
          <cell r="H16">
            <v>1015.68286664</v>
          </cell>
        </row>
        <row r="16">
          <cell r="L16">
            <v>487.5277759872</v>
          </cell>
          <cell r="M16">
            <v>40.22966784</v>
          </cell>
        </row>
        <row r="16">
          <cell r="O16">
            <v>176.842764</v>
          </cell>
        </row>
        <row r="17">
          <cell r="H17">
            <v>4293.02208758</v>
          </cell>
        </row>
        <row r="17">
          <cell r="L17">
            <v>2848.3947926766</v>
          </cell>
          <cell r="M17">
            <v>41.40302412</v>
          </cell>
        </row>
        <row r="17">
          <cell r="O17">
            <v>160.691328</v>
          </cell>
        </row>
        <row r="18">
          <cell r="H18">
            <v>2461.9374</v>
          </cell>
        </row>
        <row r="18">
          <cell r="L18">
            <v>1255.588074</v>
          </cell>
          <cell r="M18">
            <v>0</v>
          </cell>
        </row>
        <row r="19">
          <cell r="H19">
            <v>791.87810458</v>
          </cell>
        </row>
        <row r="19">
          <cell r="L19">
            <v>609.7461405266</v>
          </cell>
          <cell r="M19">
            <v>20.56898076</v>
          </cell>
        </row>
        <row r="19">
          <cell r="O19">
            <v>88.7754</v>
          </cell>
        </row>
        <row r="20">
          <cell r="H20">
            <v>349.203177</v>
          </cell>
        </row>
        <row r="20">
          <cell r="L20">
            <v>314.2828593</v>
          </cell>
          <cell r="M20">
            <v>8.80632</v>
          </cell>
        </row>
        <row r="20">
          <cell r="O20">
            <v>35.553744</v>
          </cell>
        </row>
        <row r="21">
          <cell r="H21">
            <v>424.513743</v>
          </cell>
        </row>
        <row r="21">
          <cell r="L21">
            <v>403.28805585</v>
          </cell>
          <cell r="M21">
            <v>8.36261628</v>
          </cell>
        </row>
        <row r="21">
          <cell r="O21">
            <v>29.860488</v>
          </cell>
        </row>
        <row r="22">
          <cell r="H22">
            <v>265.489663</v>
          </cell>
        </row>
        <row r="22">
          <cell r="L22">
            <v>265.489663</v>
          </cell>
          <cell r="M22">
            <v>3.66510708</v>
          </cell>
        </row>
        <row r="22">
          <cell r="O22">
            <v>6.501696</v>
          </cell>
        </row>
        <row r="23">
          <cell r="H23">
            <v>3196.05971843</v>
          </cell>
        </row>
        <row r="23">
          <cell r="L23">
            <v>3240.0718093101</v>
          </cell>
          <cell r="M23">
            <v>365.5005296</v>
          </cell>
        </row>
        <row r="23">
          <cell r="O23">
            <v>107.58243</v>
          </cell>
        </row>
        <row r="25">
          <cell r="H25">
            <v>89.62853038</v>
          </cell>
        </row>
        <row r="25">
          <cell r="L25">
            <v>62.739971266</v>
          </cell>
          <cell r="M25">
            <v>65.4755</v>
          </cell>
        </row>
        <row r="25">
          <cell r="O25">
            <v>30.39576</v>
          </cell>
        </row>
        <row r="26">
          <cell r="H26">
            <v>89.62853038</v>
          </cell>
        </row>
        <row r="26">
          <cell r="L26">
            <v>62.739971266</v>
          </cell>
          <cell r="M26">
            <v>65.4755</v>
          </cell>
        </row>
        <row r="26">
          <cell r="O26">
            <v>30.39576</v>
          </cell>
        </row>
        <row r="27">
          <cell r="H27">
            <v>3098.12182443</v>
          </cell>
        </row>
        <row r="27">
          <cell r="L27">
            <v>3169.5850125305</v>
          </cell>
          <cell r="M27">
            <v>298.632</v>
          </cell>
        </row>
        <row r="27">
          <cell r="O27">
            <v>76.091214</v>
          </cell>
        </row>
        <row r="28">
          <cell r="H28">
            <v>641.75563818</v>
          </cell>
        </row>
        <row r="28">
          <cell r="M28">
            <v>27.4419</v>
          </cell>
          <cell r="N28">
            <v>0.0052</v>
          </cell>
          <cell r="O28">
            <v>19.569924</v>
          </cell>
        </row>
        <row r="29">
          <cell r="H29">
            <v>547.54657025</v>
          </cell>
        </row>
        <row r="29">
          <cell r="M29">
            <v>51.4251</v>
          </cell>
          <cell r="N29">
            <v>0.0047</v>
          </cell>
          <cell r="O29">
            <v>27.93609</v>
          </cell>
        </row>
        <row r="30">
          <cell r="H30">
            <v>294.6660345</v>
          </cell>
        </row>
        <row r="30">
          <cell r="M30">
            <v>24.3226</v>
          </cell>
          <cell r="N30">
            <v>0.0006</v>
          </cell>
          <cell r="O30">
            <v>8.569008</v>
          </cell>
        </row>
        <row r="31">
          <cell r="H31">
            <v>1614.1535815</v>
          </cell>
        </row>
        <row r="31">
          <cell r="M31">
            <v>195.4424</v>
          </cell>
          <cell r="N31">
            <v>0.0008</v>
          </cell>
          <cell r="O31">
            <v>20.016192</v>
          </cell>
        </row>
        <row r="32">
          <cell r="H32">
            <v>4.0713565</v>
          </cell>
        </row>
        <row r="32">
          <cell r="L32">
            <v>5.29276345</v>
          </cell>
          <cell r="M32">
            <v>0.51828</v>
          </cell>
        </row>
        <row r="32">
          <cell r="O32">
            <v>0.402048</v>
          </cell>
        </row>
        <row r="33">
          <cell r="H33">
            <v>4.23800712</v>
          </cell>
        </row>
        <row r="33">
          <cell r="L33">
            <v>2.4540620636</v>
          </cell>
          <cell r="M33">
            <v>0.8747496</v>
          </cell>
        </row>
        <row r="33">
          <cell r="O33">
            <v>0.693408</v>
          </cell>
        </row>
        <row r="34">
          <cell r="H34">
            <v>2.88849712</v>
          </cell>
        </row>
        <row r="34">
          <cell r="M34">
            <v>0.63936</v>
          </cell>
          <cell r="N34">
            <v>0.3046</v>
          </cell>
          <cell r="O34">
            <v>0.47277</v>
          </cell>
        </row>
        <row r="35">
          <cell r="H35">
            <v>0.988599</v>
          </cell>
        </row>
        <row r="35">
          <cell r="M35">
            <v>0.15173856</v>
          </cell>
          <cell r="N35">
            <v>0</v>
          </cell>
          <cell r="O35">
            <v>0.13827</v>
          </cell>
        </row>
        <row r="36">
          <cell r="H36">
            <v>0.360911</v>
          </cell>
        </row>
        <row r="36">
          <cell r="M36">
            <v>0.08365104</v>
          </cell>
          <cell r="N36">
            <v>0</v>
          </cell>
          <cell r="O36">
            <v>0.082368</v>
          </cell>
        </row>
        <row r="38">
          <cell r="H38">
            <v>1025.47027175</v>
          </cell>
        </row>
        <row r="38">
          <cell r="L38">
            <v>786.9733191425</v>
          </cell>
          <cell r="M38">
            <v>92.14904061</v>
          </cell>
        </row>
        <row r="38">
          <cell r="O38">
            <v>21.94016</v>
          </cell>
        </row>
        <row r="39">
          <cell r="H39">
            <v>987.77327025</v>
          </cell>
        </row>
        <row r="39">
          <cell r="L39">
            <v>760.5854180925</v>
          </cell>
          <cell r="M39">
            <v>88.937817075</v>
          </cell>
        </row>
        <row r="39">
          <cell r="O39">
            <v>21.5</v>
          </cell>
        </row>
        <row r="40">
          <cell r="L40">
            <v>0</v>
          </cell>
        </row>
        <row r="41">
          <cell r="L41">
            <v>0</v>
          </cell>
        </row>
        <row r="42">
          <cell r="H42">
            <v>37.6970015</v>
          </cell>
        </row>
        <row r="42">
          <cell r="L42">
            <v>26.38790105</v>
          </cell>
          <cell r="M42">
            <v>3.211223535</v>
          </cell>
        </row>
        <row r="42">
          <cell r="O42">
            <v>0.44016</v>
          </cell>
        </row>
        <row r="43">
          <cell r="L43">
            <v>0</v>
          </cell>
        </row>
        <row r="44">
          <cell r="L44">
            <v>0</v>
          </cell>
        </row>
        <row r="45">
          <cell r="H45">
            <v>9.52599</v>
          </cell>
        </row>
        <row r="45">
          <cell r="L45">
            <v>3.810396</v>
          </cell>
          <cell r="M45">
            <v>0.31968</v>
          </cell>
        </row>
        <row r="45">
          <cell r="O45">
            <v>0.27468</v>
          </cell>
        </row>
        <row r="46">
          <cell r="H46">
            <v>9.52599</v>
          </cell>
        </row>
        <row r="46">
          <cell r="L46">
            <v>3.810396</v>
          </cell>
          <cell r="M46">
            <v>0.31968</v>
          </cell>
        </row>
        <row r="46">
          <cell r="O46">
            <v>0.27024</v>
          </cell>
        </row>
        <row r="47">
          <cell r="L47">
            <v>0</v>
          </cell>
          <cell r="M47">
            <v>0</v>
          </cell>
        </row>
        <row r="47">
          <cell r="O47">
            <v>0.00444</v>
          </cell>
        </row>
        <row r="48">
          <cell r="H48">
            <v>12127.2243701067</v>
          </cell>
        </row>
        <row r="48">
          <cell r="L48">
            <v>2.74293625</v>
          </cell>
          <cell r="M48">
            <v>0.0377052</v>
          </cell>
        </row>
        <row r="48">
          <cell r="O48">
            <v>46.46</v>
          </cell>
        </row>
        <row r="49">
          <cell r="H49">
            <v>12124.8693741067</v>
          </cell>
        </row>
        <row r="49">
          <cell r="L49">
            <v>1.80093785</v>
          </cell>
          <cell r="M49">
            <v>0</v>
          </cell>
        </row>
        <row r="49">
          <cell r="O49">
            <v>46.46</v>
          </cell>
        </row>
        <row r="50">
          <cell r="H50">
            <v>7.2037514</v>
          </cell>
        </row>
        <row r="50">
          <cell r="L50">
            <v>1.80093785</v>
          </cell>
          <cell r="M50">
            <v>0</v>
          </cell>
        </row>
        <row r="51">
          <cell r="H51">
            <v>12117.6656227067</v>
          </cell>
        </row>
        <row r="51">
          <cell r="L51">
            <v>0</v>
          </cell>
          <cell r="M51">
            <v>0</v>
          </cell>
        </row>
        <row r="51">
          <cell r="O51">
            <v>46.46</v>
          </cell>
        </row>
        <row r="52">
          <cell r="H52">
            <v>2.354996</v>
          </cell>
        </row>
        <row r="52">
          <cell r="L52">
            <v>0.9419984</v>
          </cell>
          <cell r="M52">
            <v>0.0377052</v>
          </cell>
        </row>
        <row r="52">
          <cell r="O52">
            <v>0</v>
          </cell>
        </row>
        <row r="53">
          <cell r="H53">
            <v>2.354996</v>
          </cell>
        </row>
        <row r="53">
          <cell r="L53">
            <v>0.9419984</v>
          </cell>
          <cell r="M53">
            <v>0.0377052</v>
          </cell>
        </row>
        <row r="55">
          <cell r="H55">
            <v>247.1596055</v>
          </cell>
        </row>
        <row r="55">
          <cell r="L55">
            <v>190.505071205</v>
          </cell>
          <cell r="M55">
            <v>6.471598848</v>
          </cell>
        </row>
        <row r="55">
          <cell r="O55">
            <v>10.626912</v>
          </cell>
        </row>
        <row r="56">
          <cell r="H56">
            <v>73.8281015</v>
          </cell>
        </row>
        <row r="56">
          <cell r="L56">
            <v>52.417952065</v>
          </cell>
          <cell r="M56">
            <v>2.340096</v>
          </cell>
        </row>
        <row r="56">
          <cell r="O56">
            <v>4.933152</v>
          </cell>
        </row>
        <row r="57">
          <cell r="H57">
            <v>46.227982</v>
          </cell>
        </row>
        <row r="57">
          <cell r="L57">
            <v>35.13326632</v>
          </cell>
          <cell r="M57">
            <v>1.132483968</v>
          </cell>
        </row>
        <row r="57">
          <cell r="O57">
            <v>1.635696</v>
          </cell>
        </row>
        <row r="58">
          <cell r="H58">
            <v>127.103522</v>
          </cell>
        </row>
        <row r="58">
          <cell r="L58">
            <v>102.95385282</v>
          </cell>
          <cell r="M58">
            <v>2.99901888</v>
          </cell>
        </row>
        <row r="58">
          <cell r="O58">
            <v>4.058064</v>
          </cell>
        </row>
        <row r="59">
          <cell r="H59">
            <v>227.05478375</v>
          </cell>
        </row>
        <row r="59">
          <cell r="L59">
            <v>143.53775809</v>
          </cell>
          <cell r="M59">
            <v>5.847567744</v>
          </cell>
        </row>
        <row r="59">
          <cell r="O59">
            <v>4.964256</v>
          </cell>
        </row>
        <row r="60">
          <cell r="H60">
            <v>167.25096475</v>
          </cell>
        </row>
        <row r="60">
          <cell r="L60">
            <v>100.35057885</v>
          </cell>
          <cell r="M60">
            <v>4.0447488</v>
          </cell>
        </row>
        <row r="60">
          <cell r="O60">
            <v>3.584592</v>
          </cell>
        </row>
        <row r="61">
          <cell r="H61">
            <v>45.274464</v>
          </cell>
        </row>
        <row r="61">
          <cell r="L61">
            <v>32.14486944</v>
          </cell>
          <cell r="M61">
            <v>1.055626752</v>
          </cell>
        </row>
        <row r="61">
          <cell r="O61">
            <v>0.848016</v>
          </cell>
        </row>
        <row r="62">
          <cell r="H62">
            <v>14.529355</v>
          </cell>
        </row>
        <row r="62">
          <cell r="L62">
            <v>11.0423098</v>
          </cell>
          <cell r="M62">
            <v>0.747192192</v>
          </cell>
        </row>
        <row r="62">
          <cell r="O62">
            <v>0.531648</v>
          </cell>
        </row>
        <row r="63">
          <cell r="H63">
            <v>88.86011975</v>
          </cell>
        </row>
        <row r="63">
          <cell r="L63">
            <v>71.96217664</v>
          </cell>
          <cell r="M63">
            <v>1.798272</v>
          </cell>
        </row>
        <row r="63">
          <cell r="O63">
            <v>2.96376</v>
          </cell>
        </row>
        <row r="64">
          <cell r="H64">
            <v>79.43</v>
          </cell>
        </row>
        <row r="64">
          <cell r="L64">
            <v>65.9269</v>
          </cell>
          <cell r="M64">
            <v>1.62666</v>
          </cell>
        </row>
        <row r="64">
          <cell r="O64">
            <v>2.41656</v>
          </cell>
        </row>
        <row r="65">
          <cell r="H65">
            <v>9.43011975</v>
          </cell>
        </row>
        <row r="65">
          <cell r="L65">
            <v>6.03527664</v>
          </cell>
          <cell r="M65">
            <v>0.171612</v>
          </cell>
        </row>
        <row r="65">
          <cell r="O65">
            <v>0.5472</v>
          </cell>
        </row>
        <row r="66">
          <cell r="H66">
            <v>9.43011975</v>
          </cell>
        </row>
        <row r="66">
          <cell r="L66">
            <v>6.03527664</v>
          </cell>
          <cell r="M66">
            <v>0.171612</v>
          </cell>
        </row>
        <row r="66">
          <cell r="O66">
            <v>0.5472</v>
          </cell>
        </row>
        <row r="67">
          <cell r="L67">
            <v>0</v>
          </cell>
          <cell r="M67">
            <v>0</v>
          </cell>
        </row>
        <row r="68">
          <cell r="H68">
            <v>102.58438565</v>
          </cell>
        </row>
        <row r="68">
          <cell r="L68">
            <v>123.10126278</v>
          </cell>
          <cell r="M68">
            <v>2.576952</v>
          </cell>
        </row>
        <row r="68">
          <cell r="O68">
            <v>1.81</v>
          </cell>
        </row>
        <row r="70">
          <cell r="H70">
            <v>0.5449</v>
          </cell>
        </row>
        <row r="70">
          <cell r="L70">
            <v>0.32694</v>
          </cell>
          <cell r="M70">
            <v>0.1158</v>
          </cell>
        </row>
        <row r="70">
          <cell r="O70">
            <v>0.007416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Revenue impact_Summary"/>
      <sheetName val="Tariff hike_Summary"/>
      <sheetName val="Rev_NP-12me"/>
      <sheetName val="Rev_SP-12me"/>
      <sheetName val="Sales_Progress tracker"/>
      <sheetName val="Sales_NP"/>
      <sheetName val="Sales_SP"/>
      <sheetName val="NPDCL_Write-up"/>
      <sheetName val="SPDCL_Write-up"/>
      <sheetName val="Sales_Summary_FY 25_29"/>
      <sheetName val="Sales_Summary_FY 18_25"/>
      <sheetName val="PPT Slides(correct)"/>
      <sheetName val="OUTPUT"/>
      <sheetName val="Rev SP FY24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</sheetNames>
    <sheetDataSet>
      <sheetData sheetId="0"/>
      <sheetData sheetId="1"/>
      <sheetData sheetId="2"/>
      <sheetData sheetId="3"/>
      <sheetData sheetId="4">
        <row r="10">
          <cell r="AJ10">
            <v>8309136</v>
          </cell>
        </row>
        <row r="10">
          <cell r="AL10">
            <v>12920</v>
          </cell>
        </row>
        <row r="10">
          <cell r="AQ10">
            <v>11473.8264427974</v>
          </cell>
        </row>
        <row r="10">
          <cell r="AT10">
            <v>155.04</v>
          </cell>
          <cell r="AU10">
            <v>5469.40144102544</v>
          </cell>
        </row>
        <row r="10">
          <cell r="AW10">
            <v>688.640478</v>
          </cell>
        </row>
        <row r="11">
          <cell r="AJ11">
            <v>4531836</v>
          </cell>
        </row>
        <row r="11">
          <cell r="AL11">
            <v>4841.16426945736</v>
          </cell>
        </row>
        <row r="11">
          <cell r="AQ11">
            <v>2385.91096265481</v>
          </cell>
        </row>
        <row r="11">
          <cell r="AT11">
            <v>58.0939712334883</v>
          </cell>
          <cell r="AU11">
            <v>535.816521924513</v>
          </cell>
        </row>
        <row r="11">
          <cell r="AW11">
            <v>305.20092</v>
          </cell>
        </row>
        <row r="12">
          <cell r="O12">
            <v>10</v>
          </cell>
          <cell r="P12">
            <v>1.95</v>
          </cell>
        </row>
        <row r="12">
          <cell r="AA12">
            <v>40</v>
          </cell>
        </row>
        <row r="12">
          <cell r="AJ12">
            <v>2447853</v>
          </cell>
        </row>
        <row r="12">
          <cell r="AL12">
            <v>2562.35803949017</v>
          </cell>
        </row>
        <row r="12">
          <cell r="AQ12">
            <v>1772.31196955199</v>
          </cell>
        </row>
        <row r="12">
          <cell r="AT12">
            <v>30.7482964738821</v>
          </cell>
          <cell r="AU12">
            <v>345.600834062637</v>
          </cell>
        </row>
        <row r="12">
          <cell r="AW12">
            <v>123.680616</v>
          </cell>
        </row>
        <row r="13">
          <cell r="O13">
            <v>10</v>
          </cell>
          <cell r="P13">
            <v>3.1</v>
          </cell>
        </row>
        <row r="13">
          <cell r="AA13">
            <v>70</v>
          </cell>
        </row>
        <row r="13">
          <cell r="AJ13">
            <v>2083983</v>
          </cell>
        </row>
        <row r="13">
          <cell r="AL13">
            <v>2278.80622996719</v>
          </cell>
        </row>
        <row r="13">
          <cell r="AQ13">
            <v>613.598993102826</v>
          </cell>
        </row>
        <row r="13">
          <cell r="AT13">
            <v>27.3456747596062</v>
          </cell>
          <cell r="AU13">
            <v>190.215687861876</v>
          </cell>
        </row>
        <row r="13">
          <cell r="AW13">
            <v>181.520304</v>
          </cell>
        </row>
        <row r="14">
          <cell r="AJ14">
            <v>2439619</v>
          </cell>
        </row>
        <row r="14">
          <cell r="AL14">
            <v>3981.35685802091</v>
          </cell>
        </row>
        <row r="14">
          <cell r="AQ14">
            <v>3895.78581543346</v>
          </cell>
        </row>
        <row r="14">
          <cell r="AT14">
            <v>47.7762822962509</v>
          </cell>
          <cell r="AU14">
            <v>1485.55947463375</v>
          </cell>
        </row>
        <row r="14">
          <cell r="AW14">
            <v>243.91449</v>
          </cell>
        </row>
        <row r="15">
          <cell r="O15">
            <v>10</v>
          </cell>
          <cell r="P15">
            <v>3.4</v>
          </cell>
        </row>
        <row r="15">
          <cell r="AJ15">
            <v>0</v>
          </cell>
        </row>
        <row r="15">
          <cell r="AQ15">
            <v>2745.8408341022</v>
          </cell>
        </row>
        <row r="15">
          <cell r="AT15">
            <v>0</v>
          </cell>
          <cell r="AU15">
            <v>933.585883594748</v>
          </cell>
        </row>
        <row r="15">
          <cell r="AW15">
            <v>0</v>
          </cell>
        </row>
        <row r="16">
          <cell r="O16">
            <v>10</v>
          </cell>
          <cell r="P16">
            <v>4.8</v>
          </cell>
        </row>
        <row r="16">
          <cell r="AA16">
            <v>90</v>
          </cell>
        </row>
        <row r="16">
          <cell r="AJ16">
            <v>2439619</v>
          </cell>
        </row>
        <row r="16">
          <cell r="AL16">
            <v>3981.35685802091</v>
          </cell>
        </row>
        <row r="16">
          <cell r="AQ16">
            <v>1149.94498133126</v>
          </cell>
        </row>
        <row r="16">
          <cell r="AT16">
            <v>47.7762822962509</v>
          </cell>
          <cell r="AU16">
            <v>551.973591039006</v>
          </cell>
        </row>
        <row r="16">
          <cell r="AW16">
            <v>243.91449</v>
          </cell>
        </row>
        <row r="17">
          <cell r="AJ17">
            <v>1337681</v>
          </cell>
        </row>
        <row r="17">
          <cell r="AL17">
            <v>4097.47887252173</v>
          </cell>
        </row>
        <row r="17">
          <cell r="AQ17">
            <v>5192.12966470916</v>
          </cell>
        </row>
        <row r="17">
          <cell r="AT17">
            <v>49.1697464702608</v>
          </cell>
          <cell r="AU17">
            <v>3448.02544446718</v>
          </cell>
        </row>
        <row r="17">
          <cell r="AW17">
            <v>139.525068</v>
          </cell>
        </row>
        <row r="18">
          <cell r="O18">
            <v>10</v>
          </cell>
          <cell r="P18">
            <v>5.1</v>
          </cell>
        </row>
        <row r="18">
          <cell r="AJ18">
            <v>0</v>
          </cell>
        </row>
        <row r="18">
          <cell r="AQ18">
            <v>2963.72526800487</v>
          </cell>
        </row>
        <row r="18">
          <cell r="AT18">
            <v>0</v>
          </cell>
          <cell r="AU18">
            <v>1511.49988668249</v>
          </cell>
        </row>
        <row r="18">
          <cell r="AW18">
            <v>0</v>
          </cell>
        </row>
        <row r="19">
          <cell r="O19">
            <v>10</v>
          </cell>
          <cell r="P19">
            <v>7.7</v>
          </cell>
        </row>
        <row r="19">
          <cell r="AA19">
            <v>100</v>
          </cell>
        </row>
        <row r="19">
          <cell r="AJ19">
            <v>825845</v>
          </cell>
        </row>
        <row r="19">
          <cell r="AL19">
            <v>2035.62338463807</v>
          </cell>
        </row>
        <row r="19">
          <cell r="AQ19">
            <v>966.725687041103</v>
          </cell>
        </row>
        <row r="19">
          <cell r="AT19">
            <v>24.4274806156568</v>
          </cell>
          <cell r="AU19">
            <v>744.378779021649</v>
          </cell>
        </row>
        <row r="19">
          <cell r="AW19">
            <v>79.35516</v>
          </cell>
        </row>
        <row r="20">
          <cell r="O20">
            <v>10</v>
          </cell>
          <cell r="P20">
            <v>9</v>
          </cell>
        </row>
        <row r="20">
          <cell r="AA20">
            <v>120</v>
          </cell>
        </row>
        <row r="20">
          <cell r="AJ20">
            <v>275619</v>
          </cell>
        </row>
        <row r="20">
          <cell r="AL20">
            <v>871.523539925073</v>
          </cell>
        </row>
        <row r="20">
          <cell r="AQ20">
            <v>434.125943632544</v>
          </cell>
        </row>
        <row r="20">
          <cell r="AT20">
            <v>10.4582824791009</v>
          </cell>
          <cell r="AU20">
            <v>390.71334926929</v>
          </cell>
        </row>
        <row r="20">
          <cell r="AW20">
            <v>29.69604</v>
          </cell>
        </row>
        <row r="21">
          <cell r="O21">
            <v>10</v>
          </cell>
          <cell r="P21">
            <v>9.5</v>
          </cell>
        </row>
        <row r="21">
          <cell r="AA21">
            <v>140</v>
          </cell>
        </row>
        <row r="21">
          <cell r="AJ21">
            <v>198415</v>
          </cell>
        </row>
        <row r="21">
          <cell r="AL21">
            <v>827.61209487966</v>
          </cell>
        </row>
        <row r="21">
          <cell r="AQ21">
            <v>522.386730737686</v>
          </cell>
        </row>
        <row r="21">
          <cell r="AT21">
            <v>9.93134513855592</v>
          </cell>
          <cell r="AU21">
            <v>496.267394200802</v>
          </cell>
        </row>
        <row r="21">
          <cell r="AW21">
            <v>24.63678</v>
          </cell>
        </row>
        <row r="22">
          <cell r="O22">
            <v>10</v>
          </cell>
          <cell r="P22">
            <v>10</v>
          </cell>
        </row>
        <row r="22">
          <cell r="AA22">
            <v>160</v>
          </cell>
        </row>
        <row r="22">
          <cell r="AJ22">
            <v>37802</v>
          </cell>
        </row>
        <row r="22">
          <cell r="AL22">
            <v>362.719853078931</v>
          </cell>
        </row>
        <row r="22">
          <cell r="AQ22">
            <v>305.16603529295</v>
          </cell>
        </row>
        <row r="22">
          <cell r="AT22">
            <v>4.35263823694717</v>
          </cell>
          <cell r="AU22">
            <v>305.16603529295</v>
          </cell>
        </row>
        <row r="22">
          <cell r="AW22">
            <v>5.837088</v>
          </cell>
        </row>
        <row r="23">
          <cell r="AJ23">
            <v>1238732</v>
          </cell>
        </row>
        <row r="23">
          <cell r="AL23">
            <v>4240</v>
          </cell>
        </row>
        <row r="23">
          <cell r="AQ23">
            <v>4147.96617049626</v>
          </cell>
        </row>
        <row r="23">
          <cell r="AT23">
            <v>343.825130439376</v>
          </cell>
          <cell r="AU23">
            <v>4239.20395571748</v>
          </cell>
        </row>
        <row r="23">
          <cell r="AW23">
            <v>116.878419</v>
          </cell>
        </row>
        <row r="24">
          <cell r="AJ24">
            <v>571811</v>
          </cell>
        </row>
        <row r="24">
          <cell r="AL24">
            <v>1013.52178667271</v>
          </cell>
        </row>
        <row r="24">
          <cell r="AQ24">
            <v>103.356981263684</v>
          </cell>
        </row>
        <row r="24">
          <cell r="AT24">
            <v>72.9735686404349</v>
          </cell>
          <cell r="AU24">
            <v>72.349886884579</v>
          </cell>
        </row>
        <row r="24">
          <cell r="AW24">
            <v>34.46214</v>
          </cell>
        </row>
        <row r="25">
          <cell r="O25">
            <v>60</v>
          </cell>
          <cell r="P25">
            <v>7</v>
          </cell>
        </row>
        <row r="25">
          <cell r="AA25">
            <v>50</v>
          </cell>
        </row>
        <row r="25">
          <cell r="AJ25">
            <v>571811</v>
          </cell>
        </row>
        <row r="25">
          <cell r="AL25">
            <v>1013.52178667271</v>
          </cell>
        </row>
        <row r="25">
          <cell r="AQ25">
            <v>103.356981263684</v>
          </cell>
        </row>
        <row r="25">
          <cell r="AT25">
            <v>72.9735686404349</v>
          </cell>
          <cell r="AU25">
            <v>72.349886884579</v>
          </cell>
        </row>
        <row r="25">
          <cell r="AW25">
            <v>34.46214</v>
          </cell>
        </row>
        <row r="26">
          <cell r="AJ26">
            <v>650970</v>
          </cell>
        </row>
        <row r="26">
          <cell r="AL26">
            <v>3204.78930983204</v>
          </cell>
        </row>
        <row r="26">
          <cell r="AQ26">
            <v>4033.11439725458</v>
          </cell>
        </row>
        <row r="26">
          <cell r="AT26">
            <v>269.202302025892</v>
          </cell>
          <cell r="AU26">
            <v>4156.01804443367</v>
          </cell>
        </row>
        <row r="26">
          <cell r="AW26">
            <v>81.214347</v>
          </cell>
        </row>
        <row r="27">
          <cell r="O27">
            <v>70</v>
          </cell>
          <cell r="P27">
            <v>8.5</v>
          </cell>
        </row>
        <row r="27">
          <cell r="AA27">
            <v>90</v>
          </cell>
        </row>
        <row r="27">
          <cell r="AJ27">
            <v>206445</v>
          </cell>
        </row>
        <row r="27">
          <cell r="AL27">
            <v>358.570178296888</v>
          </cell>
        </row>
        <row r="27">
          <cell r="AQ27">
            <v>728.71303927241</v>
          </cell>
        </row>
        <row r="27">
          <cell r="AT27">
            <v>30.1198949769386</v>
          </cell>
          <cell r="AU27">
            <v>619.406083381549</v>
          </cell>
        </row>
        <row r="27">
          <cell r="AW27">
            <v>21.102984</v>
          </cell>
        </row>
        <row r="28">
          <cell r="O28">
            <v>70</v>
          </cell>
          <cell r="P28">
            <v>9.9</v>
          </cell>
        </row>
        <row r="28">
          <cell r="AA28">
            <v>105</v>
          </cell>
        </row>
        <row r="28">
          <cell r="AJ28">
            <v>252600</v>
          </cell>
        </row>
        <row r="28">
          <cell r="AL28">
            <v>657.90534263401</v>
          </cell>
        </row>
        <row r="28">
          <cell r="AQ28">
            <v>691.073123423813</v>
          </cell>
        </row>
        <row r="28">
          <cell r="AT28">
            <v>55.2640487812568</v>
          </cell>
          <cell r="AU28">
            <v>684.162392189575</v>
          </cell>
        </row>
        <row r="28">
          <cell r="AW28">
            <v>29.353779</v>
          </cell>
        </row>
        <row r="29">
          <cell r="O29">
            <v>70</v>
          </cell>
          <cell r="P29">
            <v>10.4</v>
          </cell>
        </row>
        <row r="29">
          <cell r="AA29">
            <v>120</v>
          </cell>
        </row>
        <row r="29">
          <cell r="AJ29">
            <v>67797</v>
          </cell>
        </row>
        <row r="29">
          <cell r="AL29">
            <v>312.8876478247</v>
          </cell>
        </row>
        <row r="29">
          <cell r="AQ29">
            <v>370.191485860811</v>
          </cell>
        </row>
        <row r="29">
          <cell r="AT29">
            <v>26.2825624172748</v>
          </cell>
          <cell r="AU29">
            <v>384.999145295244</v>
          </cell>
        </row>
        <row r="29">
          <cell r="AW29">
            <v>8.895312</v>
          </cell>
        </row>
        <row r="30">
          <cell r="O30">
            <v>70</v>
          </cell>
          <cell r="P30">
            <v>11</v>
          </cell>
        </row>
        <row r="30">
          <cell r="AA30">
            <v>160</v>
          </cell>
        </row>
        <row r="30">
          <cell r="AJ30">
            <v>124128</v>
          </cell>
        </row>
        <row r="30">
          <cell r="AL30">
            <v>1875.42614107644</v>
          </cell>
        </row>
        <row r="30">
          <cell r="AQ30">
            <v>2243.13674869754</v>
          </cell>
        </row>
        <row r="30">
          <cell r="AT30">
            <v>157.535795850421</v>
          </cell>
          <cell r="AU30">
            <v>2467.4504235673</v>
          </cell>
        </row>
        <row r="30">
          <cell r="AW30">
            <v>21.862272</v>
          </cell>
        </row>
        <row r="31">
          <cell r="O31">
            <v>70</v>
          </cell>
          <cell r="P31">
            <v>13</v>
          </cell>
        </row>
        <row r="31">
          <cell r="AA31">
            <v>160</v>
          </cell>
        </row>
        <row r="31">
          <cell r="AJ31">
            <v>2386</v>
          </cell>
        </row>
        <row r="31">
          <cell r="AL31">
            <v>7.30489344929642</v>
          </cell>
        </row>
        <row r="31">
          <cell r="AQ31">
            <v>5.77332180955847</v>
          </cell>
        </row>
        <row r="31">
          <cell r="AT31">
            <v>0.613611049740899</v>
          </cell>
          <cell r="AU31">
            <v>7.50531835242601</v>
          </cell>
        </row>
        <row r="31">
          <cell r="AW31">
            <v>0.446976</v>
          </cell>
        </row>
        <row r="32">
          <cell r="AJ32">
            <v>13565</v>
          </cell>
        </row>
        <row r="32">
          <cell r="AL32">
            <v>14.3840100459541</v>
          </cell>
        </row>
        <row r="32">
          <cell r="AQ32">
            <v>5.72147016843429</v>
          </cell>
        </row>
        <row r="32">
          <cell r="AT32">
            <v>1.0356487233087</v>
          </cell>
          <cell r="AU32">
            <v>3.33070604680903</v>
          </cell>
        </row>
        <row r="32">
          <cell r="AW32">
            <v>0.754956</v>
          </cell>
        </row>
        <row r="33">
          <cell r="O33">
            <v>60</v>
          </cell>
          <cell r="P33">
            <v>5.3</v>
          </cell>
        </row>
        <row r="33">
          <cell r="AA33">
            <v>45</v>
          </cell>
        </row>
        <row r="33">
          <cell r="AJ33">
            <v>9975</v>
          </cell>
        </row>
        <row r="33">
          <cell r="AL33">
            <v>10.513363667707</v>
          </cell>
        </row>
        <row r="33">
          <cell r="AQ33">
            <v>3.80137270422356</v>
          </cell>
        </row>
        <row r="33">
          <cell r="AT33">
            <v>0.756962184074905</v>
          </cell>
          <cell r="AU33">
            <v>2.01472753323849</v>
          </cell>
        </row>
        <row r="33">
          <cell r="AW33">
            <v>0.527013</v>
          </cell>
        </row>
        <row r="34">
          <cell r="O34">
            <v>60</v>
          </cell>
          <cell r="P34">
            <v>6.6</v>
          </cell>
        </row>
        <row r="34">
          <cell r="AA34">
            <v>55</v>
          </cell>
        </row>
        <row r="34">
          <cell r="AJ34">
            <v>2387</v>
          </cell>
        </row>
        <row r="34">
          <cell r="AL34">
            <v>2.49512428630846</v>
          </cell>
        </row>
        <row r="34">
          <cell r="AQ34">
            <v>1.37882871763885</v>
          </cell>
        </row>
        <row r="34">
          <cell r="AT34">
            <v>0.179648948614209</v>
          </cell>
          <cell r="AU34">
            <v>0.910026953641638</v>
          </cell>
        </row>
        <row r="34">
          <cell r="AW34">
            <v>0.145497</v>
          </cell>
        </row>
        <row r="35">
          <cell r="O35">
            <v>60</v>
          </cell>
          <cell r="P35">
            <v>7.5</v>
          </cell>
        </row>
        <row r="35">
          <cell r="AA35">
            <v>65</v>
          </cell>
        </row>
        <row r="35">
          <cell r="AJ35">
            <v>1203</v>
          </cell>
        </row>
        <row r="35">
          <cell r="AL35">
            <v>1.37552209193867</v>
          </cell>
        </row>
        <row r="35">
          <cell r="AQ35">
            <v>0.541268746571877</v>
          </cell>
        </row>
        <row r="35">
          <cell r="AT35">
            <v>0.099037590619584</v>
          </cell>
          <cell r="AU35">
            <v>0.405951559928908</v>
          </cell>
        </row>
        <row r="35">
          <cell r="AW35">
            <v>0.082446</v>
          </cell>
        </row>
        <row r="36">
          <cell r="AJ36">
            <v>49847</v>
          </cell>
        </row>
        <row r="36">
          <cell r="AN36">
            <v>1728577.47401</v>
          </cell>
        </row>
        <row r="36">
          <cell r="AQ36">
            <v>1036.18376443982</v>
          </cell>
        </row>
        <row r="36">
          <cell r="AT36">
            <v>154.742359604397</v>
          </cell>
          <cell r="AU36">
            <v>795.059183653803</v>
          </cell>
        </row>
        <row r="36">
          <cell r="AW36">
            <v>20.6877165</v>
          </cell>
        </row>
        <row r="37">
          <cell r="O37">
            <v>75</v>
          </cell>
          <cell r="P37">
            <v>7.7</v>
          </cell>
        </row>
        <row r="37">
          <cell r="AA37">
            <v>360.25</v>
          </cell>
        </row>
        <row r="37">
          <cell r="AJ37">
            <v>45803.0569747639</v>
          </cell>
        </row>
        <row r="37">
          <cell r="AN37">
            <v>1659443.05263472</v>
          </cell>
        </row>
        <row r="37">
          <cell r="AQ37">
            <v>996.150693513266</v>
          </cell>
        </row>
        <row r="37">
          <cell r="AT37">
            <v>149.349874737124</v>
          </cell>
          <cell r="AU37">
            <v>767.036034005215</v>
          </cell>
        </row>
        <row r="37">
          <cell r="AW37">
            <v>18.9853314150952</v>
          </cell>
        </row>
        <row r="38">
          <cell r="O38">
            <v>75</v>
          </cell>
          <cell r="P38">
            <v>8.4</v>
          </cell>
        </row>
        <row r="38">
          <cell r="AA38">
            <v>360.25</v>
          </cell>
        </row>
        <row r="38">
          <cell r="AN38">
            <v>0</v>
          </cell>
        </row>
        <row r="38">
          <cell r="AQ38">
            <v>0</v>
          </cell>
        </row>
        <row r="38">
          <cell r="AT38">
            <v>0</v>
          </cell>
          <cell r="AU38">
            <v>0</v>
          </cell>
        </row>
        <row r="38">
          <cell r="AW38">
            <v>0</v>
          </cell>
        </row>
        <row r="39">
          <cell r="O39">
            <v>36</v>
          </cell>
          <cell r="P39">
            <v>6.2</v>
          </cell>
        </row>
        <row r="39">
          <cell r="AA39">
            <v>360.25</v>
          </cell>
        </row>
        <row r="39">
          <cell r="AN39">
            <v>0</v>
          </cell>
        </row>
        <row r="39">
          <cell r="AQ39">
            <v>0</v>
          </cell>
        </row>
        <row r="39">
          <cell r="AT39">
            <v>0</v>
          </cell>
          <cell r="AU39">
            <v>0</v>
          </cell>
        </row>
        <row r="39">
          <cell r="AW39">
            <v>0</v>
          </cell>
        </row>
        <row r="40">
          <cell r="O40">
            <v>36</v>
          </cell>
          <cell r="P40">
            <v>6.2</v>
          </cell>
        </row>
        <row r="40">
          <cell r="AA40">
            <v>360.25</v>
          </cell>
        </row>
        <row r="40">
          <cell r="AN40">
            <v>0</v>
          </cell>
        </row>
        <row r="40">
          <cell r="AQ40">
            <v>0</v>
          </cell>
        </row>
        <row r="40">
          <cell r="AT40">
            <v>0</v>
          </cell>
          <cell r="AU40">
            <v>0</v>
          </cell>
        </row>
        <row r="40">
          <cell r="AW40">
            <v>0</v>
          </cell>
        </row>
        <row r="41">
          <cell r="O41">
            <v>65</v>
          </cell>
          <cell r="P41">
            <v>7</v>
          </cell>
        </row>
        <row r="41">
          <cell r="AA41">
            <v>360.25</v>
          </cell>
        </row>
        <row r="41">
          <cell r="AJ41">
            <v>4043.9430252361</v>
          </cell>
        </row>
        <row r="41">
          <cell r="AN41">
            <v>69134.4213752839</v>
          </cell>
        </row>
        <row r="41">
          <cell r="AQ41">
            <v>40.0330709265554</v>
          </cell>
        </row>
        <row r="41">
          <cell r="AT41">
            <v>5.39248486727215</v>
          </cell>
          <cell r="AU41">
            <v>28.0231496485888</v>
          </cell>
        </row>
        <row r="41">
          <cell r="AW41">
            <v>1.70238508490478</v>
          </cell>
        </row>
        <row r="42">
          <cell r="O42">
            <v>75</v>
          </cell>
          <cell r="P42">
            <v>7.3</v>
          </cell>
        </row>
        <row r="42">
          <cell r="AA42">
            <v>360.25</v>
          </cell>
        </row>
        <row r="42">
          <cell r="AN42">
            <v>0</v>
          </cell>
        </row>
        <row r="42">
          <cell r="AQ42">
            <v>0</v>
          </cell>
        </row>
        <row r="42">
          <cell r="AT42">
            <v>0</v>
          </cell>
          <cell r="AU42">
            <v>0</v>
          </cell>
        </row>
        <row r="42">
          <cell r="AW42">
            <v>0</v>
          </cell>
        </row>
        <row r="43">
          <cell r="AJ43">
            <v>4866</v>
          </cell>
        </row>
        <row r="43">
          <cell r="AN43">
            <v>21456.35344</v>
          </cell>
        </row>
        <row r="43">
          <cell r="AQ43">
            <v>9.52513978314638</v>
          </cell>
        </row>
        <row r="43">
          <cell r="AT43">
            <v>0.51495248256</v>
          </cell>
          <cell r="AU43">
            <v>3.81005591325855</v>
          </cell>
        </row>
        <row r="43">
          <cell r="AW43">
            <v>0.29886</v>
          </cell>
        </row>
        <row r="44">
          <cell r="O44">
            <v>20</v>
          </cell>
          <cell r="P44">
            <v>4</v>
          </cell>
        </row>
        <row r="44">
          <cell r="AA44">
            <v>50</v>
          </cell>
        </row>
        <row r="44">
          <cell r="AJ44">
            <v>4788</v>
          </cell>
        </row>
        <row r="44">
          <cell r="AN44">
            <v>21456.35344</v>
          </cell>
        </row>
        <row r="44">
          <cell r="AQ44">
            <v>9.29472129132821</v>
          </cell>
        </row>
        <row r="44">
          <cell r="AT44">
            <v>0.51495248256</v>
          </cell>
          <cell r="AU44">
            <v>3.71788851653129</v>
          </cell>
        </row>
        <row r="44">
          <cell r="AW44">
            <v>0.28668</v>
          </cell>
        </row>
        <row r="45">
          <cell r="O45">
            <v>20</v>
          </cell>
          <cell r="P45">
            <v>4</v>
          </cell>
        </row>
        <row r="45">
          <cell r="AA45">
            <v>50</v>
          </cell>
        </row>
        <row r="45">
          <cell r="AJ45">
            <v>78</v>
          </cell>
        </row>
        <row r="45">
          <cell r="AN45">
            <v>0</v>
          </cell>
        </row>
        <row r="45">
          <cell r="AQ45">
            <v>0.230418491818164</v>
          </cell>
        </row>
        <row r="45">
          <cell r="AT45">
            <v>0</v>
          </cell>
          <cell r="AU45">
            <v>0.0921673967272658</v>
          </cell>
        </row>
        <row r="45">
          <cell r="AW45">
            <v>0.01218</v>
          </cell>
        </row>
        <row r="46">
          <cell r="AJ46">
            <v>1421589.06964707</v>
          </cell>
        </row>
        <row r="46">
          <cell r="AN46">
            <v>8154755.32929</v>
          </cell>
        </row>
        <row r="46">
          <cell r="AQ46">
            <v>12466.5040519532</v>
          </cell>
        </row>
        <row r="46">
          <cell r="AT46">
            <v>0.0473311198610199</v>
          </cell>
          <cell r="AU46">
            <v>9.89304547766604</v>
          </cell>
        </row>
        <row r="46">
          <cell r="AW46">
            <v>50.1030012536472</v>
          </cell>
        </row>
        <row r="47">
          <cell r="AJ47">
            <v>1421274.37706827</v>
          </cell>
        </row>
        <row r="47">
          <cell r="AN47">
            <v>8152783.19929579</v>
          </cell>
        </row>
        <row r="47">
          <cell r="AQ47">
            <v>12464.0831709436</v>
          </cell>
        </row>
        <row r="47">
          <cell r="AT47">
            <v>0</v>
          </cell>
          <cell r="AU47">
            <v>8.92469307383976</v>
          </cell>
        </row>
        <row r="47">
          <cell r="AW47">
            <v>50.0906947872289</v>
          </cell>
        </row>
        <row r="48">
          <cell r="P48">
            <v>2.5</v>
          </cell>
        </row>
        <row r="48">
          <cell r="AA48">
            <v>30</v>
          </cell>
        </row>
        <row r="48">
          <cell r="AJ48">
            <v>2183.91710885706</v>
          </cell>
        </row>
        <row r="48">
          <cell r="AN48">
            <v>14432.6198373193</v>
          </cell>
        </row>
        <row r="48">
          <cell r="AQ48">
            <v>35.698772295359</v>
          </cell>
        </row>
        <row r="48">
          <cell r="AT48">
            <v>0</v>
          </cell>
          <cell r="AU48">
            <v>8.92469307383976</v>
          </cell>
        </row>
        <row r="48">
          <cell r="AW48">
            <v>0.0751665079594271</v>
          </cell>
        </row>
        <row r="49">
          <cell r="AJ49">
            <v>1419090.45995941</v>
          </cell>
        </row>
        <row r="49">
          <cell r="AN49">
            <v>8138350.57945847</v>
          </cell>
        </row>
        <row r="49">
          <cell r="AQ49">
            <v>12428.3843986482</v>
          </cell>
        </row>
        <row r="50">
          <cell r="AA50">
            <v>30</v>
          </cell>
        </row>
        <row r="50">
          <cell r="AJ50">
            <v>1419090.45995941</v>
          </cell>
        </row>
        <row r="50">
          <cell r="AN50">
            <v>8138350.57945847</v>
          </cell>
        </row>
        <row r="50">
          <cell r="AQ50">
            <v>12428.3843986482</v>
          </cell>
        </row>
        <row r="50">
          <cell r="AT50">
            <v>0</v>
          </cell>
          <cell r="AU50">
            <v>0</v>
          </cell>
        </row>
        <row r="50">
          <cell r="AW50">
            <v>50.0155282792695</v>
          </cell>
        </row>
        <row r="51">
          <cell r="AA51">
            <v>30</v>
          </cell>
        </row>
        <row r="51">
          <cell r="AN51">
            <v>0</v>
          </cell>
        </row>
        <row r="51">
          <cell r="AQ51">
            <v>0</v>
          </cell>
        </row>
        <row r="51">
          <cell r="AT51">
            <v>0</v>
          </cell>
          <cell r="AU51">
            <v>0</v>
          </cell>
        </row>
        <row r="52">
          <cell r="AJ52">
            <v>314.692578793215</v>
          </cell>
        </row>
        <row r="52">
          <cell r="AN52">
            <v>1972.12999420916</v>
          </cell>
        </row>
        <row r="52">
          <cell r="AQ52">
            <v>2.4208810095657</v>
          </cell>
        </row>
        <row r="52">
          <cell r="AT52">
            <v>0.0473311198610199</v>
          </cell>
          <cell r="AU52">
            <v>0.968352403826278</v>
          </cell>
        </row>
        <row r="52">
          <cell r="AW52">
            <v>0.0123064664182779</v>
          </cell>
        </row>
        <row r="53">
          <cell r="O53">
            <v>20</v>
          </cell>
          <cell r="P53">
            <v>4</v>
          </cell>
        </row>
        <row r="53">
          <cell r="AA53">
            <v>30</v>
          </cell>
        </row>
        <row r="53">
          <cell r="AJ53">
            <v>314.692578793215</v>
          </cell>
        </row>
        <row r="53">
          <cell r="AN53">
            <v>1972.12999420916</v>
          </cell>
        </row>
        <row r="53">
          <cell r="AQ53">
            <v>2.4208810095657</v>
          </cell>
        </row>
        <row r="53">
          <cell r="AT53">
            <v>0.0473311198610199</v>
          </cell>
          <cell r="AU53">
            <v>0.968352403826278</v>
          </cell>
        </row>
        <row r="53">
          <cell r="AW53">
            <v>0.0123064664182779</v>
          </cell>
        </row>
        <row r="54">
          <cell r="AJ54">
            <v>81362.3767917837</v>
          </cell>
        </row>
        <row r="54">
          <cell r="AL54">
            <v>200.052230407724</v>
          </cell>
        </row>
        <row r="54">
          <cell r="AQ54">
            <v>255.647601489391</v>
          </cell>
        </row>
        <row r="54">
          <cell r="AT54">
            <v>7.68200564765661</v>
          </cell>
          <cell r="AU54">
            <v>196.717130003172</v>
          </cell>
        </row>
        <row r="54">
          <cell r="AW54">
            <v>11.2106431290084</v>
          </cell>
        </row>
        <row r="55">
          <cell r="O55">
            <v>32</v>
          </cell>
          <cell r="P55">
            <v>7.1</v>
          </cell>
        </row>
        <row r="55">
          <cell r="AA55">
            <v>120</v>
          </cell>
        </row>
        <row r="55">
          <cell r="AJ55">
            <v>37769.4829688193</v>
          </cell>
        </row>
        <row r="55">
          <cell r="AL55">
            <v>72.3378310620829</v>
          </cell>
        </row>
        <row r="55">
          <cell r="AQ55">
            <v>78.5415369147259</v>
          </cell>
        </row>
        <row r="55">
          <cell r="AT55">
            <v>2.77777271278398</v>
          </cell>
          <cell r="AU55">
            <v>55.7644912094554</v>
          </cell>
        </row>
        <row r="55">
          <cell r="AW55">
            <v>5.19058677375499</v>
          </cell>
        </row>
        <row r="56">
          <cell r="O56">
            <v>32</v>
          </cell>
          <cell r="P56">
            <v>7.6</v>
          </cell>
        </row>
        <row r="56">
          <cell r="AA56">
            <v>120</v>
          </cell>
        </row>
        <row r="56">
          <cell r="AJ56">
            <v>12523.3100894045</v>
          </cell>
        </row>
        <row r="56">
          <cell r="AL56">
            <v>35.007723596682</v>
          </cell>
        </row>
        <row r="56">
          <cell r="AQ56">
            <v>50.0654702352401</v>
          </cell>
        </row>
        <row r="56">
          <cell r="AT56">
            <v>1.34429658611259</v>
          </cell>
          <cell r="AU56">
            <v>38.0497573787824</v>
          </cell>
        </row>
        <row r="56">
          <cell r="AW56">
            <v>1.75466232643712</v>
          </cell>
        </row>
        <row r="57">
          <cell r="O57">
            <v>32</v>
          </cell>
          <cell r="P57">
            <v>8.1</v>
          </cell>
        </row>
        <row r="57">
          <cell r="AA57">
            <v>120</v>
          </cell>
        </row>
        <row r="57">
          <cell r="AJ57">
            <v>31069.5837335599</v>
          </cell>
        </row>
        <row r="57">
          <cell r="AL57">
            <v>92.7066757489594</v>
          </cell>
        </row>
        <row r="57">
          <cell r="AQ57">
            <v>127.040594339425</v>
          </cell>
        </row>
        <row r="57">
          <cell r="AT57">
            <v>3.55993634876004</v>
          </cell>
          <cell r="AU57">
            <v>102.902881414934</v>
          </cell>
        </row>
        <row r="57">
          <cell r="AW57">
            <v>4.26539402881631</v>
          </cell>
        </row>
        <row r="58">
          <cell r="AJ58">
            <v>25868.7978783707</v>
          </cell>
        </row>
        <row r="58">
          <cell r="AL58">
            <v>82</v>
          </cell>
        </row>
        <row r="58">
          <cell r="AQ58">
            <v>98.8499963533782</v>
          </cell>
        </row>
        <row r="58">
          <cell r="AT58">
            <v>2.15091423766816</v>
          </cell>
          <cell r="AU58">
            <v>78.4507610181164</v>
          </cell>
        </row>
        <row r="58">
          <cell r="AW58">
            <v>3.08386787270224</v>
          </cell>
        </row>
        <row r="59">
          <cell r="O59">
            <v>21</v>
          </cell>
          <cell r="P59">
            <v>8.3</v>
          </cell>
        </row>
        <row r="59">
          <cell r="AA59">
            <v>100</v>
          </cell>
        </row>
        <row r="59">
          <cell r="AJ59">
            <v>21092.7978783707</v>
          </cell>
        </row>
        <row r="59">
          <cell r="AL59">
            <v>74.1746076233184</v>
          </cell>
        </row>
        <row r="59">
          <cell r="AQ59">
            <v>87.9568570952341</v>
          </cell>
        </row>
        <row r="59">
          <cell r="AT59">
            <v>1.86920011210762</v>
          </cell>
          <cell r="AU59">
            <v>73.0041913890443</v>
          </cell>
        </row>
        <row r="59">
          <cell r="AW59">
            <v>2.51728787270224</v>
          </cell>
        </row>
        <row r="60">
          <cell r="O60">
            <v>30</v>
          </cell>
          <cell r="P60">
            <v>5</v>
          </cell>
        </row>
        <row r="60">
          <cell r="AA60">
            <v>100</v>
          </cell>
        </row>
        <row r="60">
          <cell r="AJ60">
            <v>4776</v>
          </cell>
        </row>
        <row r="60">
          <cell r="AL60">
            <v>7.82539237668161</v>
          </cell>
        </row>
        <row r="60">
          <cell r="AQ60">
            <v>10.8931392581442</v>
          </cell>
        </row>
        <row r="60">
          <cell r="AT60">
            <v>0.281714125560538</v>
          </cell>
          <cell r="AU60">
            <v>5.44656962907208</v>
          </cell>
        </row>
        <row r="60">
          <cell r="AW60">
            <v>0.56658</v>
          </cell>
        </row>
        <row r="61">
          <cell r="O61">
            <v>30</v>
          </cell>
          <cell r="P61">
            <v>5</v>
          </cell>
        </row>
        <row r="61">
          <cell r="AA61">
            <v>100</v>
          </cell>
        </row>
        <row r="61">
          <cell r="AJ61">
            <v>4776</v>
          </cell>
        </row>
        <row r="61">
          <cell r="AL61">
            <v>7.82539237668161</v>
          </cell>
        </row>
        <row r="61">
          <cell r="AQ61">
            <v>10.8931392581442</v>
          </cell>
        </row>
        <row r="62">
          <cell r="O62">
            <v>30</v>
          </cell>
          <cell r="P62">
            <v>5</v>
          </cell>
        </row>
        <row r="62">
          <cell r="AA62">
            <v>100</v>
          </cell>
        </row>
        <row r="62">
          <cell r="AQ62">
            <v>0</v>
          </cell>
        </row>
        <row r="63">
          <cell r="O63">
            <v>21</v>
          </cell>
          <cell r="P63">
            <v>12</v>
          </cell>
        </row>
        <row r="63">
          <cell r="AA63">
            <v>100</v>
          </cell>
        </row>
        <row r="63">
          <cell r="AJ63">
            <v>14038</v>
          </cell>
        </row>
        <row r="63">
          <cell r="AL63">
            <v>113</v>
          </cell>
        </row>
        <row r="63">
          <cell r="AQ63">
            <v>160.627107885078</v>
          </cell>
        </row>
        <row r="63">
          <cell r="AT63">
            <v>2.8476</v>
          </cell>
          <cell r="AU63">
            <v>192.752529462093</v>
          </cell>
        </row>
        <row r="63">
          <cell r="AW63">
            <v>1.71366</v>
          </cell>
        </row>
        <row r="64">
          <cell r="O64">
            <v>50</v>
          </cell>
          <cell r="P64">
            <v>6</v>
          </cell>
        </row>
        <row r="64">
          <cell r="AA64">
            <v>120</v>
          </cell>
        </row>
        <row r="64">
          <cell r="AJ64">
            <v>244.65</v>
          </cell>
        </row>
        <row r="64">
          <cell r="AL64">
            <v>7.6125</v>
          </cell>
        </row>
        <row r="64">
          <cell r="AQ64">
            <v>2.510541</v>
          </cell>
        </row>
        <row r="64">
          <cell r="AT64">
            <v>0.45675</v>
          </cell>
          <cell r="AU64">
            <v>1.5063246</v>
          </cell>
        </row>
        <row r="64">
          <cell r="AW64">
            <v>0.0343908</v>
          </cell>
        </row>
        <row r="65">
          <cell r="AA65">
            <v>120</v>
          </cell>
        </row>
        <row r="65">
          <cell r="AJ65">
            <v>38007.6232082163</v>
          </cell>
        </row>
        <row r="65">
          <cell r="AN65">
            <v>178285.895839472</v>
          </cell>
        </row>
        <row r="65">
          <cell r="AQ65">
            <v>251.023488142463</v>
          </cell>
        </row>
        <row r="65">
          <cell r="AT65">
            <v>6.84617840023572</v>
          </cell>
          <cell r="AU65">
            <v>157.615050852138</v>
          </cell>
        </row>
        <row r="65">
          <cell r="AW65">
            <v>5.23430087099158</v>
          </cell>
        </row>
        <row r="66">
          <cell r="O66">
            <v>32</v>
          </cell>
          <cell r="P66">
            <v>6</v>
          </cell>
        </row>
        <row r="66">
          <cell r="AA66">
            <v>120</v>
          </cell>
        </row>
        <row r="66">
          <cell r="AJ66">
            <v>27444.5600894045</v>
          </cell>
        </row>
        <row r="66">
          <cell r="AN66">
            <v>123319.93314546</v>
          </cell>
        </row>
        <row r="66">
          <cell r="AQ66">
            <v>193.328843493908</v>
          </cell>
        </row>
        <row r="66">
          <cell r="AT66">
            <v>4.73548543278567</v>
          </cell>
          <cell r="AU66">
            <v>115.997306096345</v>
          </cell>
        </row>
        <row r="66">
          <cell r="AW66">
            <v>3.77032032643712</v>
          </cell>
        </row>
        <row r="67">
          <cell r="O67">
            <v>32</v>
          </cell>
          <cell r="P67">
            <v>7.1</v>
          </cell>
        </row>
        <row r="67">
          <cell r="AA67">
            <v>120</v>
          </cell>
        </row>
        <row r="67">
          <cell r="AJ67">
            <v>6492.62902689523</v>
          </cell>
        </row>
        <row r="67">
          <cell r="AN67">
            <v>32184.8962494777</v>
          </cell>
        </row>
        <row r="67">
          <cell r="AQ67">
            <v>44.6037035421728</v>
          </cell>
        </row>
        <row r="67">
          <cell r="AT67">
            <v>1.23590001597994</v>
          </cell>
          <cell r="AU67">
            <v>31.6686295149427</v>
          </cell>
        </row>
        <row r="67">
          <cell r="AW67">
            <v>0.908037289936456</v>
          </cell>
        </row>
        <row r="68">
          <cell r="O68">
            <v>32</v>
          </cell>
          <cell r="P68">
            <v>7.6</v>
          </cell>
        </row>
        <row r="68">
          <cell r="AA68">
            <v>120</v>
          </cell>
        </row>
        <row r="68">
          <cell r="AJ68">
            <v>4070.43409191665</v>
          </cell>
        </row>
        <row r="68">
          <cell r="AN68">
            <v>22781.0664445342</v>
          </cell>
        </row>
        <row r="68">
          <cell r="AQ68">
            <v>13.0909411063816</v>
          </cell>
        </row>
        <row r="68">
          <cell r="AT68">
            <v>0.874792951470112</v>
          </cell>
          <cell r="AU68">
            <v>9.94911524085001</v>
          </cell>
        </row>
        <row r="68">
          <cell r="AW68">
            <v>0.555943254617999</v>
          </cell>
        </row>
        <row r="69">
          <cell r="AQ69">
            <v>0</v>
          </cell>
        </row>
        <row r="69">
          <cell r="AT69">
            <v>0</v>
          </cell>
          <cell r="AU69">
            <v>0</v>
          </cell>
        </row>
        <row r="69">
          <cell r="AW69">
            <v>0</v>
          </cell>
        </row>
        <row r="84">
          <cell r="AJ84">
            <v>6123.6103208733</v>
          </cell>
        </row>
        <row r="84">
          <cell r="AL84">
            <v>2135.11947075882</v>
          </cell>
        </row>
        <row r="84">
          <cell r="AT84">
            <v>973.614478666021</v>
          </cell>
          <cell r="AU84">
            <v>3567.44159103852</v>
          </cell>
        </row>
        <row r="84">
          <cell r="AW84">
            <v>14.387532385048</v>
          </cell>
        </row>
        <row r="85">
          <cell r="AJ85">
            <v>5906.50744293748</v>
          </cell>
        </row>
        <row r="85">
          <cell r="AL85">
            <v>2135.11947075882</v>
          </cell>
        </row>
        <row r="85">
          <cell r="AQ85">
            <v>4487.97540980577</v>
          </cell>
        </row>
        <row r="85">
          <cell r="AT85">
            <v>973.614478666021</v>
          </cell>
          <cell r="AU85">
            <v>3453.13901947095</v>
          </cell>
        </row>
        <row r="85">
          <cell r="AW85">
            <v>13.888208931525</v>
          </cell>
        </row>
        <row r="86">
          <cell r="O86">
            <v>475</v>
          </cell>
          <cell r="P86">
            <v>7.65</v>
          </cell>
        </row>
        <row r="86">
          <cell r="AA86">
            <v>2000</v>
          </cell>
        </row>
        <row r="86">
          <cell r="AJ86">
            <v>4427.15315911346</v>
          </cell>
        </row>
        <row r="86">
          <cell r="AL86">
            <v>2135.11947075882</v>
          </cell>
        </row>
        <row r="86">
          <cell r="AQ86">
            <v>1451.20758836827</v>
          </cell>
        </row>
        <row r="86">
          <cell r="AT86">
            <v>973.614478666021</v>
          </cell>
          <cell r="AU86">
            <v>1110.17380510173</v>
          </cell>
        </row>
        <row r="86">
          <cell r="AW86">
            <v>10.2277837909362</v>
          </cell>
        </row>
        <row r="87">
          <cell r="O87">
            <v>100</v>
          </cell>
          <cell r="P87">
            <v>8</v>
          </cell>
        </row>
        <row r="87">
          <cell r="AA87">
            <v>2000</v>
          </cell>
        </row>
        <row r="87">
          <cell r="AJ87">
            <v>1274.25206748263</v>
          </cell>
        </row>
        <row r="87">
          <cell r="AQ87">
            <v>254.475934903587</v>
          </cell>
        </row>
        <row r="87">
          <cell r="AT87">
            <v>0</v>
          </cell>
          <cell r="AU87">
            <v>203.58074792287</v>
          </cell>
        </row>
        <row r="87">
          <cell r="AW87">
            <v>3.18030248097916</v>
          </cell>
        </row>
        <row r="88">
          <cell r="P88">
            <v>7.65</v>
          </cell>
        </row>
        <row r="88">
          <cell r="AA88">
            <v>2000</v>
          </cell>
        </row>
        <row r="88">
          <cell r="AQ88">
            <v>0.120384060018199</v>
          </cell>
        </row>
        <row r="88">
          <cell r="AT88">
            <v>0</v>
          </cell>
          <cell r="AU88">
            <v>0.0920938059139223</v>
          </cell>
        </row>
        <row r="88">
          <cell r="AW88">
            <v>0</v>
          </cell>
        </row>
        <row r="89">
          <cell r="P89">
            <v>7.3</v>
          </cell>
        </row>
        <row r="89">
          <cell r="AA89">
            <v>2000</v>
          </cell>
        </row>
        <row r="89">
          <cell r="AQ89">
            <v>0.676168993671561</v>
          </cell>
        </row>
        <row r="89">
          <cell r="AT89">
            <v>0</v>
          </cell>
          <cell r="AU89">
            <v>0.493603365380239</v>
          </cell>
        </row>
        <row r="89">
          <cell r="AW89">
            <v>0</v>
          </cell>
        </row>
        <row r="90">
          <cell r="O90">
            <v>475</v>
          </cell>
          <cell r="P90">
            <v>8.6</v>
          </cell>
        </row>
        <row r="90">
          <cell r="AA90">
            <v>2000</v>
          </cell>
        </row>
        <row r="90">
          <cell r="AJ90">
            <v>205.102216341383</v>
          </cell>
        </row>
        <row r="90">
          <cell r="AQ90">
            <v>61.24319367364</v>
          </cell>
        </row>
        <row r="90">
          <cell r="AT90">
            <v>0</v>
          </cell>
          <cell r="AU90">
            <v>52.6691465593304</v>
          </cell>
        </row>
        <row r="90">
          <cell r="AW90">
            <v>0.480122659609659</v>
          </cell>
        </row>
        <row r="91">
          <cell r="P91">
            <v>8.65</v>
          </cell>
        </row>
        <row r="91">
          <cell r="AA91">
            <v>2000</v>
          </cell>
        </row>
        <row r="91">
          <cell r="AJ91">
            <v>0</v>
          </cell>
        </row>
        <row r="91">
          <cell r="AQ91">
            <v>714.356738920289</v>
          </cell>
        </row>
        <row r="91">
          <cell r="AT91">
            <v>0</v>
          </cell>
          <cell r="AU91">
            <v>617.91857916605</v>
          </cell>
        </row>
        <row r="91">
          <cell r="AW91">
            <v>0</v>
          </cell>
        </row>
        <row r="92">
          <cell r="O92">
            <v>0</v>
          </cell>
          <cell r="P92">
            <v>8.65</v>
          </cell>
        </row>
        <row r="92">
          <cell r="AA92">
            <v>2000</v>
          </cell>
        </row>
        <row r="92">
          <cell r="AJ92">
            <v>0</v>
          </cell>
        </row>
        <row r="92">
          <cell r="AQ92">
            <v>671.453009801455</v>
          </cell>
        </row>
        <row r="92">
          <cell r="AU92">
            <v>580.806853478259</v>
          </cell>
        </row>
        <row r="92">
          <cell r="AW92">
            <v>0</v>
          </cell>
        </row>
        <row r="93">
          <cell r="P93">
            <v>6.65</v>
          </cell>
        </row>
        <row r="93">
          <cell r="AA93">
            <v>2000</v>
          </cell>
        </row>
        <row r="93">
          <cell r="AJ93">
            <v>0</v>
          </cell>
        </row>
        <row r="93">
          <cell r="AQ93">
            <v>1334.44239108484</v>
          </cell>
        </row>
        <row r="93">
          <cell r="AT93">
            <v>0</v>
          </cell>
          <cell r="AU93">
            <v>887.404190071419</v>
          </cell>
        </row>
        <row r="93">
          <cell r="AW93">
            <v>0</v>
          </cell>
        </row>
        <row r="94">
          <cell r="AJ94">
            <v>217.102877935825</v>
          </cell>
        </row>
        <row r="94">
          <cell r="AL94">
            <v>0</v>
          </cell>
        </row>
        <row r="94">
          <cell r="AQ94">
            <v>148.319694761227</v>
          </cell>
        </row>
        <row r="94">
          <cell r="AT94">
            <v>0</v>
          </cell>
          <cell r="AU94">
            <v>114.302571567576</v>
          </cell>
        </row>
        <row r="94">
          <cell r="AW94">
            <v>0.49932345352299</v>
          </cell>
        </row>
        <row r="95">
          <cell r="O95">
            <v>475</v>
          </cell>
          <cell r="P95">
            <v>7.65</v>
          </cell>
        </row>
        <row r="95">
          <cell r="AA95">
            <v>2000</v>
          </cell>
        </row>
        <row r="95">
          <cell r="AJ95">
            <v>217.102877935825</v>
          </cell>
        </row>
        <row r="95">
          <cell r="AQ95">
            <v>51.5023836007563</v>
          </cell>
        </row>
        <row r="95">
          <cell r="AT95">
            <v>0</v>
          </cell>
          <cell r="AU95">
            <v>39.3993234545786</v>
          </cell>
        </row>
        <row r="95">
          <cell r="AW95">
            <v>0.49932345352299</v>
          </cell>
        </row>
        <row r="96">
          <cell r="P96">
            <v>8.65</v>
          </cell>
        </row>
        <row r="96">
          <cell r="AA96">
            <v>2000</v>
          </cell>
        </row>
        <row r="96">
          <cell r="AQ96">
            <v>28.4156071447196</v>
          </cell>
        </row>
        <row r="96">
          <cell r="AT96">
            <v>0</v>
          </cell>
          <cell r="AU96">
            <v>24.5795001801825</v>
          </cell>
        </row>
        <row r="96">
          <cell r="AW96">
            <v>0</v>
          </cell>
        </row>
        <row r="97">
          <cell r="P97">
            <v>8.65</v>
          </cell>
        </row>
        <row r="97">
          <cell r="AA97">
            <v>2000</v>
          </cell>
        </row>
        <row r="97">
          <cell r="AQ97">
            <v>24.1830738117007</v>
          </cell>
        </row>
        <row r="97">
          <cell r="AT97">
            <v>0</v>
          </cell>
          <cell r="AU97">
            <v>20.9183588471211</v>
          </cell>
        </row>
        <row r="97">
          <cell r="AW97">
            <v>0</v>
          </cell>
        </row>
        <row r="98">
          <cell r="P98">
            <v>6.65</v>
          </cell>
        </row>
        <row r="98">
          <cell r="AA98">
            <v>2000</v>
          </cell>
        </row>
        <row r="98">
          <cell r="AQ98">
            <v>44.2186302040508</v>
          </cell>
        </row>
        <row r="98">
          <cell r="AT98">
            <v>0</v>
          </cell>
          <cell r="AU98">
            <v>29.4053890856938</v>
          </cell>
        </row>
        <row r="98">
          <cell r="AW98">
            <v>0</v>
          </cell>
        </row>
        <row r="99">
          <cell r="O99">
            <v>475</v>
          </cell>
          <cell r="P99">
            <v>7.65</v>
          </cell>
        </row>
        <row r="99">
          <cell r="AA99">
            <v>2000</v>
          </cell>
        </row>
        <row r="99">
          <cell r="AJ99">
            <v>1</v>
          </cell>
        </row>
        <row r="99">
          <cell r="AL99">
            <v>0</v>
          </cell>
        </row>
        <row r="99">
          <cell r="AQ99">
            <v>0.26805906</v>
          </cell>
        </row>
        <row r="99">
          <cell r="AT99">
            <v>0</v>
          </cell>
          <cell r="AU99">
            <v>0.2050651809</v>
          </cell>
        </row>
        <row r="99">
          <cell r="AW99">
            <v>0.0024</v>
          </cell>
        </row>
        <row r="100">
          <cell r="AJ100">
            <v>0</v>
          </cell>
        </row>
        <row r="100">
          <cell r="AL100">
            <v>14.7137145555292</v>
          </cell>
        </row>
        <row r="100">
          <cell r="AQ100">
            <v>51.1237873396121</v>
          </cell>
        </row>
        <row r="100">
          <cell r="AT100">
            <v>6.70945383732131</v>
          </cell>
          <cell r="AU100">
            <v>39.4155915876943</v>
          </cell>
        </row>
        <row r="100">
          <cell r="AW100">
            <v>0</v>
          </cell>
        </row>
        <row r="101">
          <cell r="O101">
            <v>475</v>
          </cell>
          <cell r="P101">
            <v>7.65</v>
          </cell>
        </row>
        <row r="101">
          <cell r="AA101">
            <v>2000</v>
          </cell>
        </row>
        <row r="101">
          <cell r="AJ101">
            <v>0</v>
          </cell>
        </row>
        <row r="101">
          <cell r="AL101">
            <v>14.7137145555292</v>
          </cell>
        </row>
        <row r="101">
          <cell r="AQ101">
            <v>18.6089083006961</v>
          </cell>
        </row>
        <row r="101">
          <cell r="AT101">
            <v>6.70945383732131</v>
          </cell>
          <cell r="AU101">
            <v>14.2358148500325</v>
          </cell>
        </row>
        <row r="101">
          <cell r="AW101">
            <v>0</v>
          </cell>
        </row>
        <row r="102">
          <cell r="P102">
            <v>8.65</v>
          </cell>
        </row>
        <row r="102">
          <cell r="AA102">
            <v>2000</v>
          </cell>
        </row>
        <row r="102">
          <cell r="AQ102">
            <v>8.14008642924429</v>
          </cell>
        </row>
        <row r="102">
          <cell r="AT102">
            <v>0</v>
          </cell>
          <cell r="AU102">
            <v>7.04117476129631</v>
          </cell>
        </row>
        <row r="102">
          <cell r="AW102">
            <v>0</v>
          </cell>
        </row>
        <row r="103">
          <cell r="P103">
            <v>8.65</v>
          </cell>
        </row>
        <row r="103">
          <cell r="AA103">
            <v>2000</v>
          </cell>
        </row>
        <row r="103">
          <cell r="AQ103">
            <v>9.64682445466898</v>
          </cell>
        </row>
        <row r="103">
          <cell r="AT103">
            <v>0</v>
          </cell>
          <cell r="AU103">
            <v>8.34450315328867</v>
          </cell>
        </row>
        <row r="103">
          <cell r="AW103">
            <v>0</v>
          </cell>
        </row>
        <row r="104">
          <cell r="P104">
            <v>6.65</v>
          </cell>
        </row>
        <row r="104">
          <cell r="AA104">
            <v>2000</v>
          </cell>
        </row>
        <row r="104">
          <cell r="AQ104">
            <v>14.7279681550028</v>
          </cell>
        </row>
        <row r="104">
          <cell r="AT104">
            <v>0</v>
          </cell>
          <cell r="AU104">
            <v>9.79409882307684</v>
          </cell>
        </row>
        <row r="104">
          <cell r="AW104">
            <v>0</v>
          </cell>
        </row>
        <row r="105">
          <cell r="AJ105">
            <v>4829.02148835105</v>
          </cell>
        </row>
        <row r="105">
          <cell r="AL105">
            <v>1086.972639034</v>
          </cell>
        </row>
        <row r="105">
          <cell r="AQ105">
            <v>2551.17546243369</v>
          </cell>
        </row>
        <row r="105">
          <cell r="AT105">
            <v>495.659523399504</v>
          </cell>
          <cell r="AU105">
            <v>2270.4479160131</v>
          </cell>
        </row>
        <row r="105">
          <cell r="AW105">
            <v>11.4456257860213</v>
          </cell>
        </row>
        <row r="106">
          <cell r="O106">
            <v>475</v>
          </cell>
          <cell r="P106">
            <v>8.8</v>
          </cell>
        </row>
        <row r="106">
          <cell r="AA106">
            <v>2000</v>
          </cell>
        </row>
        <row r="106">
          <cell r="AJ106">
            <v>4829.02148835105</v>
          </cell>
        </row>
        <row r="106">
          <cell r="AL106">
            <v>1086.972639034</v>
          </cell>
        </row>
        <row r="106">
          <cell r="AQ106">
            <v>1082.28791759842</v>
          </cell>
        </row>
        <row r="106">
          <cell r="AT106">
            <v>495.659523399504</v>
          </cell>
          <cell r="AU106">
            <v>952.41336748661</v>
          </cell>
        </row>
        <row r="106">
          <cell r="AW106">
            <v>11.4456257860213</v>
          </cell>
        </row>
        <row r="107">
          <cell r="P107">
            <v>9.8</v>
          </cell>
        </row>
        <row r="107">
          <cell r="AA107">
            <v>2000</v>
          </cell>
        </row>
        <row r="107">
          <cell r="AQ107">
            <v>506.93215059366</v>
          </cell>
        </row>
        <row r="107">
          <cell r="AT107">
            <v>0</v>
          </cell>
          <cell r="AU107">
            <v>496.793507581786</v>
          </cell>
        </row>
        <row r="107">
          <cell r="AW107">
            <v>0</v>
          </cell>
        </row>
        <row r="108">
          <cell r="P108">
            <v>9.8</v>
          </cell>
        </row>
        <row r="108">
          <cell r="AA108">
            <v>2000</v>
          </cell>
        </row>
        <row r="108">
          <cell r="AQ108">
            <v>354.579167181269</v>
          </cell>
        </row>
        <row r="108">
          <cell r="AT108">
            <v>0</v>
          </cell>
          <cell r="AU108">
            <v>347.487583837643</v>
          </cell>
        </row>
        <row r="108">
          <cell r="AW108">
            <v>0</v>
          </cell>
        </row>
        <row r="109">
          <cell r="P109">
            <v>7.8</v>
          </cell>
        </row>
        <row r="109">
          <cell r="AA109">
            <v>2000</v>
          </cell>
        </row>
        <row r="109">
          <cell r="AQ109">
            <v>607.37622706034</v>
          </cell>
        </row>
        <row r="109">
          <cell r="AT109">
            <v>0</v>
          </cell>
          <cell r="AU109">
            <v>473.753457107065</v>
          </cell>
        </row>
        <row r="109">
          <cell r="AW109">
            <v>0</v>
          </cell>
        </row>
        <row r="110">
          <cell r="AJ110">
            <v>0</v>
          </cell>
        </row>
        <row r="110">
          <cell r="AL110">
            <v>0</v>
          </cell>
        </row>
        <row r="110">
          <cell r="AQ110">
            <v>0.34405518</v>
          </cell>
        </row>
        <row r="110">
          <cell r="AT110">
            <v>0</v>
          </cell>
          <cell r="AU110">
            <v>0.171413652</v>
          </cell>
        </row>
        <row r="110">
          <cell r="AW110">
            <v>0.0048</v>
          </cell>
        </row>
        <row r="111">
          <cell r="O111">
            <v>260</v>
          </cell>
          <cell r="P111">
            <v>5</v>
          </cell>
        </row>
        <row r="111">
          <cell r="AA111">
            <v>2000</v>
          </cell>
        </row>
        <row r="111">
          <cell r="AQ111">
            <v>0.08968248</v>
          </cell>
        </row>
        <row r="111">
          <cell r="AT111">
            <v>0</v>
          </cell>
          <cell r="AU111">
            <v>0.04484124</v>
          </cell>
        </row>
        <row r="111">
          <cell r="AW111">
            <v>0.0048</v>
          </cell>
        </row>
        <row r="112">
          <cell r="P112">
            <v>6</v>
          </cell>
        </row>
        <row r="112">
          <cell r="AA112">
            <v>2000</v>
          </cell>
        </row>
        <row r="112">
          <cell r="AQ112">
            <v>0.0651474</v>
          </cell>
        </row>
        <row r="112">
          <cell r="AT112">
            <v>0</v>
          </cell>
          <cell r="AU112">
            <v>0.03908844</v>
          </cell>
        </row>
        <row r="112">
          <cell r="AW112">
            <v>0</v>
          </cell>
        </row>
        <row r="113">
          <cell r="P113">
            <v>6</v>
          </cell>
        </row>
        <row r="113">
          <cell r="AA113">
            <v>2000</v>
          </cell>
        </row>
        <row r="113">
          <cell r="AQ113">
            <v>0.05896926</v>
          </cell>
        </row>
        <row r="113">
          <cell r="AT113">
            <v>0</v>
          </cell>
          <cell r="AU113">
            <v>0.035381556</v>
          </cell>
        </row>
        <row r="113">
          <cell r="AW113">
            <v>0</v>
          </cell>
        </row>
        <row r="114">
          <cell r="P114">
            <v>4</v>
          </cell>
        </row>
        <row r="114">
          <cell r="AA114">
            <v>2000</v>
          </cell>
        </row>
        <row r="114">
          <cell r="AQ114">
            <v>0.13025604</v>
          </cell>
        </row>
        <row r="114">
          <cell r="AT114">
            <v>0</v>
          </cell>
          <cell r="AU114">
            <v>0.052102416</v>
          </cell>
        </row>
        <row r="114">
          <cell r="AW114">
            <v>0</v>
          </cell>
        </row>
        <row r="115">
          <cell r="AJ115">
            <v>11.9166666666667</v>
          </cell>
        </row>
        <row r="115">
          <cell r="AL115">
            <v>1.40321141837645</v>
          </cell>
        </row>
        <row r="115">
          <cell r="AQ115">
            <v>4.82725997546507</v>
          </cell>
        </row>
        <row r="115">
          <cell r="AT115">
            <v>0.639864406779661</v>
          </cell>
          <cell r="AU115">
            <v>4.0912429488117</v>
          </cell>
        </row>
        <row r="115">
          <cell r="AW115">
            <v>0.0299</v>
          </cell>
        </row>
        <row r="116">
          <cell r="O116">
            <v>475</v>
          </cell>
          <cell r="P116">
            <v>8.5</v>
          </cell>
        </row>
        <row r="116">
          <cell r="AA116">
            <v>2000</v>
          </cell>
        </row>
        <row r="116">
          <cell r="AJ116">
            <v>11.9166666666667</v>
          </cell>
        </row>
        <row r="116">
          <cell r="AL116">
            <v>1.40321141837645</v>
          </cell>
        </row>
        <row r="116">
          <cell r="AQ116">
            <v>1.19738079956967</v>
          </cell>
        </row>
        <row r="116">
          <cell r="AT116">
            <v>0.639864406779661</v>
          </cell>
          <cell r="AU116">
            <v>1.01777367963422</v>
          </cell>
        </row>
        <row r="116">
          <cell r="AW116">
            <v>0.0299</v>
          </cell>
        </row>
        <row r="117">
          <cell r="P117">
            <v>9.5</v>
          </cell>
        </row>
        <row r="117">
          <cell r="AA117">
            <v>2000</v>
          </cell>
        </row>
        <row r="117">
          <cell r="AQ117">
            <v>1.15482289647434</v>
          </cell>
        </row>
        <row r="117">
          <cell r="AT117">
            <v>0</v>
          </cell>
          <cell r="AU117">
            <v>1.09708175165062</v>
          </cell>
        </row>
        <row r="117">
          <cell r="AW117">
            <v>0</v>
          </cell>
        </row>
        <row r="118">
          <cell r="P118">
            <v>9.5</v>
          </cell>
        </row>
        <row r="118">
          <cell r="AA118">
            <v>2000</v>
          </cell>
        </row>
        <row r="118">
          <cell r="AQ118">
            <v>0.600476539805321</v>
          </cell>
        </row>
        <row r="118">
          <cell r="AT118">
            <v>0</v>
          </cell>
          <cell r="AU118">
            <v>0.570452712815055</v>
          </cell>
        </row>
        <row r="118">
          <cell r="AW118">
            <v>0</v>
          </cell>
        </row>
        <row r="119">
          <cell r="P119">
            <v>7.5</v>
          </cell>
        </row>
        <row r="119">
          <cell r="AA119">
            <v>2000</v>
          </cell>
        </row>
        <row r="119">
          <cell r="AQ119">
            <v>1.87457973961573</v>
          </cell>
        </row>
        <row r="119">
          <cell r="AT119">
            <v>0</v>
          </cell>
          <cell r="AU119">
            <v>1.4059348047118</v>
          </cell>
        </row>
        <row r="119">
          <cell r="AW119">
            <v>0</v>
          </cell>
        </row>
        <row r="120">
          <cell r="AJ120">
            <v>134.722972972973</v>
          </cell>
        </row>
        <row r="120">
          <cell r="AL120">
            <v>51.510819358386</v>
          </cell>
        </row>
        <row r="120">
          <cell r="AQ120">
            <v>17.82871427</v>
          </cell>
        </row>
        <row r="120">
          <cell r="AT120">
            <v>8.14514831104479</v>
          </cell>
          <cell r="AU120">
            <v>11.2320899901</v>
          </cell>
        </row>
        <row r="120">
          <cell r="AW120">
            <v>0.312867567567568</v>
          </cell>
        </row>
        <row r="121">
          <cell r="O121">
            <v>275</v>
          </cell>
          <cell r="P121">
            <v>6.3</v>
          </cell>
        </row>
        <row r="121">
          <cell r="AA121">
            <v>2000</v>
          </cell>
        </row>
        <row r="121">
          <cell r="AJ121">
            <v>134.722972972973</v>
          </cell>
        </row>
        <row r="121">
          <cell r="AL121">
            <v>51.510819358386</v>
          </cell>
        </row>
        <row r="121">
          <cell r="AQ121">
            <v>17.82871427</v>
          </cell>
        </row>
        <row r="121">
          <cell r="AT121">
            <v>8.14514831104479</v>
          </cell>
          <cell r="AU121">
            <v>11.2320899901</v>
          </cell>
        </row>
        <row r="121">
          <cell r="AW121">
            <v>0.312867567567568</v>
          </cell>
        </row>
        <row r="124">
          <cell r="O124">
            <v>260</v>
          </cell>
          <cell r="P124">
            <v>7.3</v>
          </cell>
        </row>
        <row r="124">
          <cell r="AA124">
            <v>2000</v>
          </cell>
        </row>
        <row r="124">
          <cell r="AJ124">
            <v>230.093023255814</v>
          </cell>
        </row>
        <row r="124">
          <cell r="AL124">
            <v>98.017351997667</v>
          </cell>
        </row>
        <row r="124">
          <cell r="AQ124">
            <v>257.262624469925</v>
          </cell>
        </row>
        <row r="124">
          <cell r="AT124">
            <v>24.4651310586177</v>
          </cell>
          <cell r="AU124">
            <v>187.801715863045</v>
          </cell>
        </row>
        <row r="124">
          <cell r="AW124">
            <v>0.524511627906977</v>
          </cell>
        </row>
        <row r="125">
          <cell r="O125">
            <v>500</v>
          </cell>
          <cell r="P125">
            <v>11.8</v>
          </cell>
        </row>
        <row r="125">
          <cell r="AA125">
            <v>2000</v>
          </cell>
        </row>
        <row r="125">
          <cell r="AJ125">
            <v>533.186991869919</v>
          </cell>
        </row>
        <row r="125">
          <cell r="AL125">
            <v>114.091646539519</v>
          </cell>
        </row>
        <row r="125">
          <cell r="AQ125">
            <v>222.811945960286</v>
          </cell>
        </row>
        <row r="125">
          <cell r="AT125">
            <v>54.763990338969</v>
          </cell>
          <cell r="AU125">
            <v>262.918096233138</v>
          </cell>
        </row>
        <row r="125">
          <cell r="AW125">
            <v>1.3502243902439</v>
          </cell>
        </row>
        <row r="126">
          <cell r="P126">
            <v>4.84</v>
          </cell>
        </row>
        <row r="126">
          <cell r="AA126">
            <v>2000</v>
          </cell>
        </row>
        <row r="126">
          <cell r="AJ126">
            <v>0</v>
          </cell>
        </row>
        <row r="126">
          <cell r="AQ126">
            <v>0</v>
          </cell>
        </row>
        <row r="127">
          <cell r="O127">
            <v>100</v>
          </cell>
          <cell r="P127">
            <v>6</v>
          </cell>
        </row>
        <row r="127">
          <cell r="AA127">
            <v>2000</v>
          </cell>
        </row>
        <row r="127">
          <cell r="AJ127">
            <v>17.85</v>
          </cell>
        </row>
        <row r="127">
          <cell r="AL127">
            <v>10.29735</v>
          </cell>
        </row>
        <row r="127">
          <cell r="AQ127">
            <v>13.2238799</v>
          </cell>
        </row>
        <row r="127">
          <cell r="AT127">
            <v>0.9885456</v>
          </cell>
          <cell r="AU127">
            <v>7.81636526</v>
          </cell>
        </row>
        <row r="127">
          <cell r="AW127">
            <v>0.04182</v>
          </cell>
        </row>
        <row r="128">
          <cell r="O128">
            <v>100</v>
          </cell>
          <cell r="P128">
            <v>6</v>
          </cell>
        </row>
        <row r="128">
          <cell r="AA128">
            <v>2000</v>
          </cell>
        </row>
        <row r="128">
          <cell r="AJ128">
            <v>17.85</v>
          </cell>
        </row>
        <row r="128">
          <cell r="AL128">
            <v>10.29735</v>
          </cell>
        </row>
        <row r="128">
          <cell r="AQ128">
            <v>3.8922103</v>
          </cell>
        </row>
        <row r="128">
          <cell r="AT128">
            <v>0.9885456</v>
          </cell>
          <cell r="AU128">
            <v>2.33532618</v>
          </cell>
        </row>
        <row r="128">
          <cell r="AW128">
            <v>0.04182</v>
          </cell>
        </row>
        <row r="129">
          <cell r="P129">
            <v>7</v>
          </cell>
        </row>
        <row r="129">
          <cell r="AA129">
            <v>2000</v>
          </cell>
        </row>
        <row r="129">
          <cell r="AQ129">
            <v>2.0686996</v>
          </cell>
        </row>
        <row r="129">
          <cell r="AU129">
            <v>1.44808972</v>
          </cell>
        </row>
        <row r="129">
          <cell r="AW129">
            <v>0</v>
          </cell>
        </row>
        <row r="130">
          <cell r="P130">
            <v>7</v>
          </cell>
        </row>
        <row r="130">
          <cell r="AA130">
            <v>2000</v>
          </cell>
        </row>
        <row r="130">
          <cell r="AQ130">
            <v>2.0073218</v>
          </cell>
        </row>
        <row r="130">
          <cell r="AU130">
            <v>1.40512526</v>
          </cell>
        </row>
        <row r="130">
          <cell r="AW130">
            <v>0</v>
          </cell>
        </row>
        <row r="131">
          <cell r="P131">
            <v>5</v>
          </cell>
        </row>
        <row r="131">
          <cell r="AA131">
            <v>2000</v>
          </cell>
        </row>
        <row r="131">
          <cell r="AQ131">
            <v>5.2556482</v>
          </cell>
        </row>
        <row r="131">
          <cell r="AU131">
            <v>2.6278241</v>
          </cell>
        </row>
        <row r="131">
          <cell r="AW131">
            <v>0</v>
          </cell>
        </row>
        <row r="132">
          <cell r="AJ132">
            <v>123</v>
          </cell>
        </row>
        <row r="132">
          <cell r="AL132">
            <v>40.3104272844545</v>
          </cell>
        </row>
        <row r="132">
          <cell r="AQ132">
            <v>149.053366758604</v>
          </cell>
        </row>
        <row r="132">
          <cell r="AT132">
            <v>0</v>
          </cell>
          <cell r="AU132">
            <v>90.9225537227485</v>
          </cell>
        </row>
        <row r="132">
          <cell r="AW132">
            <v>0.2856</v>
          </cell>
        </row>
        <row r="133">
          <cell r="O133">
            <v>0</v>
          </cell>
          <cell r="P133">
            <v>6.1</v>
          </cell>
        </row>
        <row r="133">
          <cell r="AA133">
            <v>2000</v>
          </cell>
        </row>
        <row r="133">
          <cell r="AJ133">
            <v>123</v>
          </cell>
        </row>
        <row r="133">
          <cell r="AL133">
            <v>40.3104272844545</v>
          </cell>
        </row>
        <row r="133">
          <cell r="AQ133">
            <v>149.053366758604</v>
          </cell>
        </row>
        <row r="133">
          <cell r="AT133">
            <v>0</v>
          </cell>
          <cell r="AU133">
            <v>90.9225537227485</v>
          </cell>
        </row>
        <row r="133">
          <cell r="AW133">
            <v>0.2856</v>
          </cell>
        </row>
        <row r="134">
          <cell r="AA134">
            <v>2000</v>
          </cell>
        </row>
        <row r="149">
          <cell r="AJ149">
            <v>424.296063513067</v>
          </cell>
        </row>
        <row r="149">
          <cell r="AL149">
            <v>1574.66954189788</v>
          </cell>
        </row>
        <row r="149">
          <cell r="AT149">
            <v>718.049311105433</v>
          </cell>
          <cell r="AU149">
            <v>4871.36543912948</v>
          </cell>
        </row>
        <row r="149">
          <cell r="AW149">
            <v>1.77932173337744</v>
          </cell>
        </row>
        <row r="150">
          <cell r="AJ150">
            <v>419.932186569633</v>
          </cell>
        </row>
        <row r="150">
          <cell r="AL150">
            <v>1574.66954189788</v>
          </cell>
        </row>
        <row r="150">
          <cell r="AQ150">
            <v>6769.95246162194</v>
          </cell>
        </row>
        <row r="150">
          <cell r="AT150">
            <v>718.049311105433</v>
          </cell>
          <cell r="AU150">
            <v>4850.55361476065</v>
          </cell>
        </row>
        <row r="150">
          <cell r="AW150">
            <v>1.76175759179623</v>
          </cell>
        </row>
        <row r="151">
          <cell r="O151">
            <v>475</v>
          </cell>
          <cell r="P151">
            <v>7.15</v>
          </cell>
        </row>
        <row r="151">
          <cell r="AA151">
            <v>3500</v>
          </cell>
        </row>
        <row r="151">
          <cell r="AJ151">
            <v>418.932186569633</v>
          </cell>
        </row>
        <row r="151">
          <cell r="AL151">
            <v>1574.66954189788</v>
          </cell>
        </row>
        <row r="151">
          <cell r="AQ151">
            <v>2276.99246933565</v>
          </cell>
        </row>
        <row r="151">
          <cell r="AT151">
            <v>718.049311105433</v>
          </cell>
          <cell r="AU151">
            <v>1628.04961557499</v>
          </cell>
        </row>
        <row r="151">
          <cell r="AW151">
            <v>1.75755759179623</v>
          </cell>
        </row>
        <row r="152">
          <cell r="O152">
            <v>0</v>
          </cell>
          <cell r="P152">
            <v>7.15</v>
          </cell>
        </row>
        <row r="152">
          <cell r="AA152">
            <v>3500</v>
          </cell>
        </row>
        <row r="152">
          <cell r="AJ152">
            <v>0</v>
          </cell>
        </row>
        <row r="152">
          <cell r="AQ152">
            <v>0.065585414387559</v>
          </cell>
        </row>
        <row r="152">
          <cell r="AT152">
            <v>0</v>
          </cell>
          <cell r="AU152">
            <v>0.0468935712871047</v>
          </cell>
        </row>
        <row r="152">
          <cell r="AW152">
            <v>0</v>
          </cell>
        </row>
        <row r="153">
          <cell r="O153">
            <v>0</v>
          </cell>
          <cell r="P153">
            <v>7.3</v>
          </cell>
        </row>
        <row r="153">
          <cell r="AA153">
            <v>3500</v>
          </cell>
        </row>
        <row r="153">
          <cell r="AJ153">
            <v>0</v>
          </cell>
        </row>
        <row r="153">
          <cell r="AQ153">
            <v>1.81177147797605</v>
          </cell>
        </row>
        <row r="153">
          <cell r="AT153">
            <v>0</v>
          </cell>
          <cell r="AU153">
            <v>1.32259317892252</v>
          </cell>
        </row>
        <row r="153">
          <cell r="AW153">
            <v>0</v>
          </cell>
        </row>
        <row r="154">
          <cell r="O154">
            <v>475</v>
          </cell>
          <cell r="P154">
            <v>7.9</v>
          </cell>
        </row>
        <row r="154">
          <cell r="AA154">
            <v>3500</v>
          </cell>
        </row>
        <row r="154">
          <cell r="AJ154">
            <v>1</v>
          </cell>
        </row>
        <row r="154">
          <cell r="AQ154">
            <v>1.95685393643664</v>
          </cell>
        </row>
        <row r="154">
          <cell r="AT154">
            <v>0</v>
          </cell>
          <cell r="AU154">
            <v>1.54591460978494</v>
          </cell>
        </row>
        <row r="154">
          <cell r="AW154">
            <v>0.0042</v>
          </cell>
        </row>
        <row r="155">
          <cell r="O155">
            <v>0</v>
          </cell>
          <cell r="P155">
            <v>8.15</v>
          </cell>
        </row>
        <row r="155">
          <cell r="AA155">
            <v>3500</v>
          </cell>
        </row>
        <row r="155">
          <cell r="AQ155">
            <v>1191.50707552599</v>
          </cell>
        </row>
        <row r="155">
          <cell r="AT155">
            <v>0</v>
          </cell>
          <cell r="AU155">
            <v>971.078266553686</v>
          </cell>
        </row>
        <row r="155">
          <cell r="AW155">
            <v>0</v>
          </cell>
        </row>
        <row r="156">
          <cell r="O156">
            <v>0</v>
          </cell>
          <cell r="P156">
            <v>8.15</v>
          </cell>
        </row>
        <row r="156">
          <cell r="AA156">
            <v>3500</v>
          </cell>
        </row>
        <row r="156">
          <cell r="AQ156">
            <v>1102.37413562057</v>
          </cell>
        </row>
        <row r="156">
          <cell r="AT156">
            <v>0</v>
          </cell>
          <cell r="AU156">
            <v>898.434920530766</v>
          </cell>
        </row>
        <row r="156">
          <cell r="AW156">
            <v>0</v>
          </cell>
        </row>
        <row r="157">
          <cell r="P157">
            <v>6.15</v>
          </cell>
        </row>
        <row r="157">
          <cell r="AA157">
            <v>3500</v>
          </cell>
        </row>
        <row r="157">
          <cell r="AQ157">
            <v>2195.24457031092</v>
          </cell>
        </row>
        <row r="157">
          <cell r="AT157">
            <v>0</v>
          </cell>
          <cell r="AU157">
            <v>1350.07541074122</v>
          </cell>
        </row>
        <row r="157">
          <cell r="AW157">
            <v>0</v>
          </cell>
        </row>
        <row r="158">
          <cell r="AJ158">
            <v>4.36387694343367</v>
          </cell>
        </row>
        <row r="158">
          <cell r="AL158">
            <v>0</v>
          </cell>
        </row>
        <row r="158">
          <cell r="AQ158">
            <v>29.1818967562842</v>
          </cell>
        </row>
        <row r="158">
          <cell r="AT158">
            <v>0</v>
          </cell>
          <cell r="AU158">
            <v>20.8118243688288</v>
          </cell>
        </row>
        <row r="158">
          <cell r="AW158">
            <v>0.0175641415812107</v>
          </cell>
        </row>
        <row r="159">
          <cell r="O159">
            <v>475</v>
          </cell>
          <cell r="P159">
            <v>7.15</v>
          </cell>
        </row>
        <row r="159">
          <cell r="AA159">
            <v>3500</v>
          </cell>
        </row>
        <row r="159">
          <cell r="AJ159">
            <v>4.36387694343367</v>
          </cell>
        </row>
        <row r="159">
          <cell r="AQ159">
            <v>8.54502613441094</v>
          </cell>
        </row>
        <row r="159">
          <cell r="AT159">
            <v>0</v>
          </cell>
          <cell r="AU159">
            <v>6.10969368610382</v>
          </cell>
        </row>
        <row r="159">
          <cell r="AW159">
            <v>0.0175641415812107</v>
          </cell>
        </row>
        <row r="160">
          <cell r="P160">
            <v>8.15</v>
          </cell>
        </row>
        <row r="160">
          <cell r="AA160">
            <v>3500</v>
          </cell>
        </row>
        <row r="160">
          <cell r="AQ160">
            <v>4.94450055932905</v>
          </cell>
        </row>
        <row r="160">
          <cell r="AT160">
            <v>0</v>
          </cell>
          <cell r="AU160">
            <v>4.02976795585318</v>
          </cell>
        </row>
        <row r="160">
          <cell r="AW160">
            <v>0</v>
          </cell>
        </row>
        <row r="161">
          <cell r="P161">
            <v>8.15</v>
          </cell>
        </row>
        <row r="161">
          <cell r="AA161">
            <v>3500</v>
          </cell>
        </row>
        <row r="161">
          <cell r="AQ161">
            <v>5.10777569203572</v>
          </cell>
        </row>
        <row r="161">
          <cell r="AT161">
            <v>0</v>
          </cell>
          <cell r="AU161">
            <v>4.16283718900911</v>
          </cell>
        </row>
        <row r="161">
          <cell r="AW161">
            <v>0</v>
          </cell>
        </row>
        <row r="162">
          <cell r="P162">
            <v>6.15</v>
          </cell>
        </row>
        <row r="162">
          <cell r="AA162">
            <v>3500</v>
          </cell>
        </row>
        <row r="162">
          <cell r="AQ162">
            <v>10.5845943705085</v>
          </cell>
        </row>
        <row r="162">
          <cell r="AT162">
            <v>0</v>
          </cell>
          <cell r="AU162">
            <v>6.50952553786272</v>
          </cell>
        </row>
        <row r="162">
          <cell r="AW162">
            <v>0</v>
          </cell>
        </row>
        <row r="163">
          <cell r="O163">
            <v>475</v>
          </cell>
          <cell r="P163">
            <v>7.15</v>
          </cell>
        </row>
        <row r="163">
          <cell r="AA163">
            <v>3500</v>
          </cell>
        </row>
        <row r="163">
          <cell r="AJ163">
            <v>1</v>
          </cell>
        </row>
        <row r="163">
          <cell r="AL163">
            <v>15.5503512880562</v>
          </cell>
        </row>
        <row r="163">
          <cell r="AQ163">
            <v>0</v>
          </cell>
        </row>
        <row r="163">
          <cell r="AT163">
            <v>7.09096018735363</v>
          </cell>
          <cell r="AU163">
            <v>0</v>
          </cell>
        </row>
        <row r="163">
          <cell r="AW163">
            <v>0.0021</v>
          </cell>
        </row>
        <row r="164">
          <cell r="AA164">
            <v>14000</v>
          </cell>
        </row>
        <row r="164">
          <cell r="AJ164">
            <v>0</v>
          </cell>
        </row>
        <row r="164">
          <cell r="AL164">
            <v>12.1559149244853</v>
          </cell>
        </row>
        <row r="164">
          <cell r="AQ164">
            <v>74.6043920804725</v>
          </cell>
        </row>
        <row r="164">
          <cell r="AT164">
            <v>5.54309720556531</v>
          </cell>
          <cell r="AU164">
            <v>53.4537435101387</v>
          </cell>
        </row>
        <row r="164">
          <cell r="AW164">
            <v>0.0084</v>
          </cell>
        </row>
        <row r="165">
          <cell r="O165">
            <v>475</v>
          </cell>
          <cell r="P165">
            <v>7.15</v>
          </cell>
        </row>
        <row r="165">
          <cell r="AA165">
            <v>3500</v>
          </cell>
        </row>
        <row r="165">
          <cell r="AJ165">
            <v>0</v>
          </cell>
        </row>
        <row r="165">
          <cell r="AL165">
            <v>12.1559149244853</v>
          </cell>
        </row>
        <row r="165">
          <cell r="AQ165">
            <v>25.2018651860719</v>
          </cell>
        </row>
        <row r="165">
          <cell r="AT165">
            <v>5.54309720556531</v>
          </cell>
          <cell r="AU165">
            <v>18.0193336080414</v>
          </cell>
        </row>
        <row r="165">
          <cell r="AW165">
            <v>0.0084</v>
          </cell>
        </row>
        <row r="166">
          <cell r="P166">
            <v>8.15</v>
          </cell>
        </row>
        <row r="166">
          <cell r="AA166">
            <v>3500</v>
          </cell>
        </row>
        <row r="166">
          <cell r="AQ166">
            <v>12.0224322937836</v>
          </cell>
        </row>
        <row r="166">
          <cell r="AT166">
            <v>0</v>
          </cell>
          <cell r="AU166">
            <v>9.79828231943363</v>
          </cell>
        </row>
        <row r="166">
          <cell r="AW166">
            <v>0</v>
          </cell>
        </row>
        <row r="167">
          <cell r="P167">
            <v>8.15</v>
          </cell>
        </row>
        <row r="167">
          <cell r="AA167">
            <v>3500</v>
          </cell>
        </row>
        <row r="167">
          <cell r="AQ167">
            <v>13.2368470164208</v>
          </cell>
        </row>
        <row r="167">
          <cell r="AT167">
            <v>0</v>
          </cell>
          <cell r="AU167">
            <v>10.788030318383</v>
          </cell>
        </row>
        <row r="167">
          <cell r="AW167">
            <v>0</v>
          </cell>
        </row>
        <row r="168">
          <cell r="P168">
            <v>6.15</v>
          </cell>
        </row>
        <row r="168">
          <cell r="AA168">
            <v>3500</v>
          </cell>
        </row>
        <row r="168">
          <cell r="AQ168">
            <v>24.1432475841962</v>
          </cell>
        </row>
        <row r="168">
          <cell r="AT168">
            <v>0</v>
          </cell>
          <cell r="AU168">
            <v>14.8480972642806</v>
          </cell>
        </row>
        <row r="168">
          <cell r="AW168">
            <v>0</v>
          </cell>
        </row>
        <row r="169">
          <cell r="AA169">
            <v>3500</v>
          </cell>
        </row>
        <row r="169">
          <cell r="AJ169">
            <v>174</v>
          </cell>
        </row>
        <row r="169">
          <cell r="AL169">
            <v>515.939730389015</v>
          </cell>
        </row>
        <row r="169">
          <cell r="AQ169">
            <v>1830.09692975173</v>
          </cell>
        </row>
        <row r="169">
          <cell r="AT169">
            <v>235.268517057391</v>
          </cell>
          <cell r="AU169">
            <v>1480.2781636137</v>
          </cell>
        </row>
        <row r="169">
          <cell r="AW169">
            <v>0.7203</v>
          </cell>
        </row>
        <row r="170">
          <cell r="O170">
            <v>475</v>
          </cell>
          <cell r="P170">
            <v>8</v>
          </cell>
        </row>
        <row r="170">
          <cell r="AA170">
            <v>3500</v>
          </cell>
        </row>
        <row r="170">
          <cell r="AJ170">
            <v>174</v>
          </cell>
        </row>
        <row r="170">
          <cell r="AL170">
            <v>515.939730389015</v>
          </cell>
        </row>
        <row r="170">
          <cell r="AQ170">
            <v>737.117850993037</v>
          </cell>
        </row>
        <row r="170">
          <cell r="AT170">
            <v>235.268517057391</v>
          </cell>
          <cell r="AU170">
            <v>589.694280794429</v>
          </cell>
        </row>
        <row r="170">
          <cell r="AW170">
            <v>0.7203</v>
          </cell>
        </row>
        <row r="171">
          <cell r="P171">
            <v>9</v>
          </cell>
        </row>
        <row r="171">
          <cell r="AA171">
            <v>3500</v>
          </cell>
        </row>
        <row r="171">
          <cell r="AQ171">
            <v>339.731194992278</v>
          </cell>
        </row>
        <row r="171">
          <cell r="AT171">
            <v>0</v>
          </cell>
          <cell r="AU171">
            <v>305.75807549305</v>
          </cell>
        </row>
        <row r="171">
          <cell r="AW171">
            <v>0</v>
          </cell>
        </row>
        <row r="172">
          <cell r="P172">
            <v>9</v>
          </cell>
        </row>
        <row r="172">
          <cell r="AA172">
            <v>3500</v>
          </cell>
        </row>
        <row r="172">
          <cell r="AQ172">
            <v>287.761443448651</v>
          </cell>
        </row>
        <row r="172">
          <cell r="AT172">
            <v>0</v>
          </cell>
          <cell r="AU172">
            <v>258.985299103786</v>
          </cell>
        </row>
        <row r="172">
          <cell r="AW172">
            <v>0</v>
          </cell>
        </row>
        <row r="173">
          <cell r="P173">
            <v>7</v>
          </cell>
        </row>
        <row r="173">
          <cell r="AA173">
            <v>3500</v>
          </cell>
        </row>
        <row r="173">
          <cell r="AQ173">
            <v>465.486440317764</v>
          </cell>
        </row>
        <row r="173">
          <cell r="AT173">
            <v>0</v>
          </cell>
          <cell r="AU173">
            <v>325.840508222434</v>
          </cell>
        </row>
        <row r="173">
          <cell r="AW173">
            <v>0</v>
          </cell>
        </row>
        <row r="174">
          <cell r="O174">
            <v>475</v>
          </cell>
          <cell r="P174">
            <v>8</v>
          </cell>
        </row>
        <row r="174">
          <cell r="AA174">
            <v>3500</v>
          </cell>
        </row>
        <row r="174">
          <cell r="AJ174">
            <v>0</v>
          </cell>
        </row>
        <row r="174">
          <cell r="AQ174">
            <v>0</v>
          </cell>
        </row>
        <row r="174">
          <cell r="AT174">
            <v>0</v>
          </cell>
          <cell r="AU174">
            <v>0</v>
          </cell>
        </row>
        <row r="174">
          <cell r="AW174">
            <v>0</v>
          </cell>
        </row>
        <row r="175">
          <cell r="AJ175">
            <v>0</v>
          </cell>
        </row>
        <row r="175">
          <cell r="AL175">
            <v>0</v>
          </cell>
        </row>
        <row r="175">
          <cell r="AQ175">
            <v>3.896349</v>
          </cell>
        </row>
        <row r="175">
          <cell r="AT175">
            <v>0</v>
          </cell>
          <cell r="AU175">
            <v>2.00284446</v>
          </cell>
        </row>
        <row r="175">
          <cell r="AW175">
            <v>0.0042</v>
          </cell>
        </row>
        <row r="176">
          <cell r="O176">
            <v>260</v>
          </cell>
          <cell r="P176">
            <v>5</v>
          </cell>
        </row>
        <row r="176">
          <cell r="AA176">
            <v>3500</v>
          </cell>
        </row>
        <row r="176">
          <cell r="AQ176">
            <v>1.5774606</v>
          </cell>
        </row>
        <row r="176">
          <cell r="AT176">
            <v>0</v>
          </cell>
          <cell r="AU176">
            <v>0.7887303</v>
          </cell>
        </row>
        <row r="176">
          <cell r="AW176">
            <v>0.0042</v>
          </cell>
        </row>
        <row r="177">
          <cell r="P177">
            <v>6</v>
          </cell>
        </row>
        <row r="177">
          <cell r="AA177">
            <v>3500</v>
          </cell>
        </row>
        <row r="177">
          <cell r="AQ177">
            <v>0.7272906</v>
          </cell>
        </row>
        <row r="177">
          <cell r="AT177">
            <v>0</v>
          </cell>
          <cell r="AU177">
            <v>0.43637436</v>
          </cell>
        </row>
        <row r="177">
          <cell r="AW177">
            <v>0</v>
          </cell>
        </row>
        <row r="178">
          <cell r="P178">
            <v>6</v>
          </cell>
        </row>
        <row r="178">
          <cell r="AA178">
            <v>3500</v>
          </cell>
        </row>
        <row r="178">
          <cell r="AQ178">
            <v>0.7055034</v>
          </cell>
        </row>
        <row r="178">
          <cell r="AT178">
            <v>0</v>
          </cell>
          <cell r="AU178">
            <v>0.42330204</v>
          </cell>
        </row>
        <row r="178">
          <cell r="AW178">
            <v>0</v>
          </cell>
        </row>
        <row r="179">
          <cell r="P179">
            <v>4</v>
          </cell>
        </row>
        <row r="179">
          <cell r="AA179">
            <v>3500</v>
          </cell>
        </row>
        <row r="179">
          <cell r="AQ179">
            <v>0.8860944</v>
          </cell>
        </row>
        <row r="179">
          <cell r="AT179">
            <v>0</v>
          </cell>
          <cell r="AU179">
            <v>0.35443776</v>
          </cell>
        </row>
        <row r="179">
          <cell r="AW179">
            <v>0</v>
          </cell>
        </row>
        <row r="180">
          <cell r="AQ180">
            <v>0</v>
          </cell>
        </row>
        <row r="180">
          <cell r="AT180">
            <v>0</v>
          </cell>
          <cell r="AU180">
            <v>0</v>
          </cell>
        </row>
        <row r="180">
          <cell r="AW180">
            <v>0</v>
          </cell>
        </row>
        <row r="181">
          <cell r="O181">
            <v>475</v>
          </cell>
          <cell r="P181">
            <v>7.85</v>
          </cell>
        </row>
        <row r="181">
          <cell r="AA181">
            <v>3500</v>
          </cell>
        </row>
        <row r="181">
          <cell r="AT181">
            <v>0</v>
          </cell>
          <cell r="AU181">
            <v>0</v>
          </cell>
        </row>
        <row r="181">
          <cell r="AW181">
            <v>0</v>
          </cell>
        </row>
        <row r="182">
          <cell r="P182">
            <v>8.85</v>
          </cell>
        </row>
        <row r="182">
          <cell r="AA182">
            <v>3500</v>
          </cell>
        </row>
        <row r="182">
          <cell r="AT182">
            <v>0</v>
          </cell>
          <cell r="AU182">
            <v>0</v>
          </cell>
        </row>
        <row r="182">
          <cell r="AW182">
            <v>0</v>
          </cell>
        </row>
        <row r="183">
          <cell r="P183">
            <v>8.85</v>
          </cell>
        </row>
        <row r="183">
          <cell r="AA183">
            <v>3500</v>
          </cell>
        </row>
        <row r="183">
          <cell r="AT183">
            <v>0</v>
          </cell>
          <cell r="AU183">
            <v>0</v>
          </cell>
        </row>
        <row r="183">
          <cell r="AW183">
            <v>0</v>
          </cell>
        </row>
        <row r="184">
          <cell r="P184">
            <v>6.85</v>
          </cell>
        </row>
        <row r="184">
          <cell r="AA184">
            <v>3500</v>
          </cell>
        </row>
        <row r="184">
          <cell r="AT184">
            <v>0</v>
          </cell>
          <cell r="AU184">
            <v>0</v>
          </cell>
        </row>
        <row r="184">
          <cell r="AW184">
            <v>0</v>
          </cell>
        </row>
        <row r="185">
          <cell r="AJ185">
            <v>20.1554054054054</v>
          </cell>
        </row>
        <row r="185">
          <cell r="AL185">
            <v>47.7301768985133</v>
          </cell>
        </row>
        <row r="185">
          <cell r="AQ185">
            <v>47.2317922301778</v>
          </cell>
        </row>
        <row r="185">
          <cell r="AT185">
            <v>7.54733422207742</v>
          </cell>
          <cell r="AU185">
            <v>29.756029105012</v>
          </cell>
        </row>
        <row r="185">
          <cell r="AW185">
            <v>0.0885263513513513</v>
          </cell>
        </row>
        <row r="186">
          <cell r="O186">
            <v>275</v>
          </cell>
          <cell r="P186">
            <v>6.3</v>
          </cell>
        </row>
        <row r="186">
          <cell r="AA186">
            <v>3500</v>
          </cell>
        </row>
        <row r="186">
          <cell r="AJ186">
            <v>20.1554054054054</v>
          </cell>
        </row>
        <row r="186">
          <cell r="AL186">
            <v>47.7301768985133</v>
          </cell>
        </row>
        <row r="186">
          <cell r="AQ186">
            <v>47.2317922301778</v>
          </cell>
        </row>
        <row r="186">
          <cell r="AT186">
            <v>7.54733422207742</v>
          </cell>
          <cell r="AU186">
            <v>29.756029105012</v>
          </cell>
        </row>
        <row r="186">
          <cell r="AW186">
            <v>0.0885263513513513</v>
          </cell>
        </row>
        <row r="187">
          <cell r="O187">
            <v>475</v>
          </cell>
          <cell r="P187">
            <v>5.05</v>
          </cell>
        </row>
        <row r="187">
          <cell r="AA187">
            <v>3500</v>
          </cell>
        </row>
        <row r="187">
          <cell r="AJ187">
            <v>1</v>
          </cell>
        </row>
        <row r="187">
          <cell r="AL187">
            <v>4.44293015332198</v>
          </cell>
        </row>
        <row r="187">
          <cell r="AQ187">
            <v>9.623565</v>
          </cell>
        </row>
        <row r="187">
          <cell r="AT187">
            <v>2.02597614991482</v>
          </cell>
          <cell r="AU187">
            <v>4.859900325</v>
          </cell>
        </row>
        <row r="187">
          <cell r="AW187">
            <v>0.0021</v>
          </cell>
        </row>
        <row r="188">
          <cell r="O188">
            <v>475</v>
          </cell>
          <cell r="P188">
            <v>4.95</v>
          </cell>
        </row>
        <row r="188">
          <cell r="AA188">
            <v>3500</v>
          </cell>
        </row>
        <row r="188">
          <cell r="AQ188">
            <v>0</v>
          </cell>
        </row>
        <row r="188">
          <cell r="AT188">
            <v>0</v>
          </cell>
          <cell r="AU188">
            <v>0</v>
          </cell>
        </row>
        <row r="188">
          <cell r="AW188">
            <v>0</v>
          </cell>
        </row>
        <row r="189">
          <cell r="O189">
            <v>260</v>
          </cell>
          <cell r="P189">
            <v>7.3</v>
          </cell>
        </row>
        <row r="189">
          <cell r="AA189">
            <v>3500</v>
          </cell>
        </row>
        <row r="189">
          <cell r="AJ189">
            <v>24.906976744186</v>
          </cell>
        </row>
        <row r="189">
          <cell r="AL189">
            <v>62.9826480023331</v>
          </cell>
        </row>
        <row r="189">
          <cell r="AQ189">
            <v>161.409051058846</v>
          </cell>
        </row>
        <row r="189">
          <cell r="AT189">
            <v>15.7204689413823</v>
          </cell>
          <cell r="AU189">
            <v>117.828607272957</v>
          </cell>
        </row>
        <row r="189">
          <cell r="AW189">
            <v>0.0985046511627907</v>
          </cell>
        </row>
        <row r="190">
          <cell r="O190">
            <v>500</v>
          </cell>
          <cell r="P190">
            <v>11</v>
          </cell>
        </row>
        <row r="190">
          <cell r="AA190">
            <v>3500</v>
          </cell>
        </row>
        <row r="190">
          <cell r="AJ190">
            <v>8.8130081300813</v>
          </cell>
        </row>
        <row r="190">
          <cell r="AL190">
            <v>23.9083534604814</v>
          </cell>
        </row>
        <row r="190">
          <cell r="AQ190">
            <v>42.6818863552615</v>
          </cell>
        </row>
        <row r="190">
          <cell r="AT190">
            <v>11.4760096610311</v>
          </cell>
          <cell r="AU190">
            <v>46.9500749907876</v>
          </cell>
        </row>
        <row r="190">
          <cell r="AW190">
            <v>0.0374073170731707</v>
          </cell>
        </row>
        <row r="191">
          <cell r="AJ191">
            <v>13.7905405405405</v>
          </cell>
        </row>
        <row r="191">
          <cell r="AL191">
            <v>47.4859633725971</v>
          </cell>
        </row>
        <row r="191">
          <cell r="AQ191">
            <v>259.563838699508</v>
          </cell>
        </row>
        <row r="191">
          <cell r="AT191">
            <v>0</v>
          </cell>
          <cell r="AU191">
            <v>158.3339416067</v>
          </cell>
        </row>
        <row r="191">
          <cell r="AW191">
            <v>0.0562601351351351</v>
          </cell>
        </row>
        <row r="192">
          <cell r="O192">
            <v>0</v>
          </cell>
          <cell r="P192">
            <v>6.1</v>
          </cell>
        </row>
        <row r="192">
          <cell r="AA192">
            <v>3500</v>
          </cell>
        </row>
        <row r="192">
          <cell r="AJ192">
            <v>13.7905405405405</v>
          </cell>
        </row>
        <row r="192">
          <cell r="AL192">
            <v>47.4859633725971</v>
          </cell>
        </row>
        <row r="192">
          <cell r="AQ192">
            <v>259.563838699508</v>
          </cell>
        </row>
        <row r="192">
          <cell r="AT192">
            <v>0</v>
          </cell>
          <cell r="AU192">
            <v>158.3339416067</v>
          </cell>
        </row>
        <row r="192">
          <cell r="AW192">
            <v>0.0562601351351351</v>
          </cell>
        </row>
        <row r="193">
          <cell r="AA193">
            <v>3500</v>
          </cell>
        </row>
        <row r="208">
          <cell r="AJ208">
            <v>48.0026463777704</v>
          </cell>
        </row>
        <row r="208">
          <cell r="AL208">
            <v>675.417012004775</v>
          </cell>
        </row>
        <row r="208">
          <cell r="AQ208">
            <v>4308.31691400761</v>
          </cell>
        </row>
        <row r="208">
          <cell r="AT208">
            <v>307.990157474177</v>
          </cell>
          <cell r="AU208">
            <v>2850.92931790483</v>
          </cell>
        </row>
        <row r="208">
          <cell r="AW208">
            <v>0.258007939133311</v>
          </cell>
        </row>
        <row r="209">
          <cell r="O209">
            <v>475</v>
          </cell>
          <cell r="P209">
            <v>6.65</v>
          </cell>
        </row>
        <row r="209">
          <cell r="AA209">
            <v>5000</v>
          </cell>
        </row>
        <row r="209">
          <cell r="AJ209">
            <v>48.0026463777704</v>
          </cell>
        </row>
        <row r="209">
          <cell r="AL209">
            <v>675.417012004775</v>
          </cell>
        </row>
        <row r="209">
          <cell r="AQ209">
            <v>1356.63102840322</v>
          </cell>
        </row>
        <row r="209">
          <cell r="AT209">
            <v>307.990157474177</v>
          </cell>
          <cell r="AU209">
            <v>902.159633888142</v>
          </cell>
        </row>
        <row r="209">
          <cell r="AW209">
            <v>0.258007939133311</v>
          </cell>
        </row>
        <row r="210">
          <cell r="P210">
            <v>6.65</v>
          </cell>
        </row>
        <row r="210">
          <cell r="AA210">
            <v>5000</v>
          </cell>
        </row>
        <row r="210">
          <cell r="AQ210">
            <v>0.000251502132230239</v>
          </cell>
        </row>
        <row r="210">
          <cell r="AT210">
            <v>0</v>
          </cell>
          <cell r="AU210">
            <v>0.000167248917933109</v>
          </cell>
        </row>
        <row r="210">
          <cell r="AW210">
            <v>0</v>
          </cell>
        </row>
        <row r="211">
          <cell r="P211">
            <v>7.3</v>
          </cell>
        </row>
        <row r="211">
          <cell r="AA211">
            <v>5000</v>
          </cell>
        </row>
        <row r="211">
          <cell r="AQ211">
            <v>6.61057504693225</v>
          </cell>
        </row>
        <row r="211">
          <cell r="AT211">
            <v>0</v>
          </cell>
          <cell r="AU211">
            <v>4.82571978426054</v>
          </cell>
        </row>
        <row r="211">
          <cell r="AW211">
            <v>0</v>
          </cell>
        </row>
        <row r="212">
          <cell r="O212">
            <v>475</v>
          </cell>
          <cell r="P212">
            <v>7.7</v>
          </cell>
        </row>
        <row r="212">
          <cell r="AA212">
            <v>5000</v>
          </cell>
        </row>
        <row r="212">
          <cell r="AT212">
            <v>0</v>
          </cell>
          <cell r="AU212">
            <v>0</v>
          </cell>
        </row>
        <row r="212">
          <cell r="AW212">
            <v>0</v>
          </cell>
        </row>
        <row r="213">
          <cell r="P213">
            <v>7.65</v>
          </cell>
        </row>
        <row r="213">
          <cell r="AA213">
            <v>5000</v>
          </cell>
        </row>
        <row r="213">
          <cell r="AQ213">
            <v>738.587705461526</v>
          </cell>
        </row>
        <row r="213">
          <cell r="AT213">
            <v>0</v>
          </cell>
          <cell r="AU213">
            <v>565.019594678067</v>
          </cell>
        </row>
        <row r="213">
          <cell r="AW213">
            <v>0</v>
          </cell>
        </row>
        <row r="214">
          <cell r="P214">
            <v>7.65</v>
          </cell>
        </row>
        <row r="214">
          <cell r="AA214">
            <v>5000</v>
          </cell>
        </row>
        <row r="214">
          <cell r="AQ214">
            <v>661.294237624722</v>
          </cell>
        </row>
        <row r="214">
          <cell r="AT214">
            <v>0</v>
          </cell>
          <cell r="AU214">
            <v>505.890091782912</v>
          </cell>
        </row>
        <row r="214">
          <cell r="AW214">
            <v>0</v>
          </cell>
        </row>
        <row r="215">
          <cell r="P215">
            <v>5.65</v>
          </cell>
        </row>
        <row r="215">
          <cell r="AA215">
            <v>5000</v>
          </cell>
        </row>
        <row r="215">
          <cell r="AQ215">
            <v>1545.19311596908</v>
          </cell>
        </row>
        <row r="215">
          <cell r="AT215">
            <v>0</v>
          </cell>
          <cell r="AU215">
            <v>873.034110522528</v>
          </cell>
        </row>
        <row r="215">
          <cell r="AW215">
            <v>0</v>
          </cell>
        </row>
        <row r="216">
          <cell r="O216">
            <v>475</v>
          </cell>
          <cell r="P216">
            <v>6.65</v>
          </cell>
        </row>
        <row r="216">
          <cell r="AA216">
            <v>5000</v>
          </cell>
        </row>
        <row r="216">
          <cell r="AJ216">
            <v>2</v>
          </cell>
        </row>
        <row r="216">
          <cell r="AL216">
            <v>67.4496487119438</v>
          </cell>
        </row>
        <row r="216">
          <cell r="AQ216">
            <v>156.21657</v>
          </cell>
        </row>
        <row r="216">
          <cell r="AT216">
            <v>30.7570398126464</v>
          </cell>
          <cell r="AU216">
            <v>103.88401905</v>
          </cell>
        </row>
        <row r="216">
          <cell r="AW216">
            <v>0.012</v>
          </cell>
        </row>
        <row r="217">
          <cell r="AJ217">
            <v>0</v>
          </cell>
        </row>
        <row r="217">
          <cell r="AL217">
            <v>150.924345858515</v>
          </cell>
        </row>
        <row r="217">
          <cell r="AQ217">
            <v>1343.25870090449</v>
          </cell>
        </row>
        <row r="217">
          <cell r="AT217">
            <v>68.821501711483</v>
          </cell>
          <cell r="AU217">
            <v>893.612747824878</v>
          </cell>
        </row>
        <row r="217">
          <cell r="AW217">
            <v>0.018</v>
          </cell>
        </row>
        <row r="218">
          <cell r="O218">
            <v>475</v>
          </cell>
          <cell r="P218">
            <v>6.65</v>
          </cell>
        </row>
        <row r="218">
          <cell r="AA218">
            <v>5000</v>
          </cell>
        </row>
        <row r="218">
          <cell r="AJ218">
            <v>0</v>
          </cell>
        </row>
        <row r="218">
          <cell r="AL218">
            <v>150.924345858515</v>
          </cell>
        </row>
        <row r="218">
          <cell r="AQ218">
            <v>447.622590867763</v>
          </cell>
        </row>
        <row r="218">
          <cell r="AT218">
            <v>68.821501711483</v>
          </cell>
          <cell r="AU218">
            <v>297.669022927063</v>
          </cell>
        </row>
        <row r="218">
          <cell r="AW218">
            <v>0.018</v>
          </cell>
        </row>
        <row r="219">
          <cell r="P219">
            <v>7.65</v>
          </cell>
        </row>
        <row r="219">
          <cell r="AA219">
            <v>5000</v>
          </cell>
        </row>
        <row r="219">
          <cell r="AQ219">
            <v>225.309387219424</v>
          </cell>
        </row>
        <row r="219">
          <cell r="AT219">
            <v>0</v>
          </cell>
          <cell r="AU219">
            <v>172.36168122286</v>
          </cell>
        </row>
        <row r="219">
          <cell r="AW219">
            <v>0</v>
          </cell>
        </row>
        <row r="220">
          <cell r="P220">
            <v>7.65</v>
          </cell>
        </row>
        <row r="220">
          <cell r="AA220">
            <v>5000</v>
          </cell>
        </row>
        <row r="220">
          <cell r="AQ220">
            <v>224.237226415884</v>
          </cell>
        </row>
        <row r="220">
          <cell r="AT220">
            <v>0</v>
          </cell>
          <cell r="AU220">
            <v>171.541478208151</v>
          </cell>
        </row>
        <row r="220">
          <cell r="AW220">
            <v>0</v>
          </cell>
        </row>
        <row r="221">
          <cell r="P221">
            <v>5.65</v>
          </cell>
        </row>
        <row r="221">
          <cell r="AA221">
            <v>5000</v>
          </cell>
        </row>
        <row r="221">
          <cell r="AQ221">
            <v>446.089496401423</v>
          </cell>
        </row>
        <row r="221">
          <cell r="AT221">
            <v>0</v>
          </cell>
          <cell r="AU221">
            <v>252.040565466804</v>
          </cell>
        </row>
        <row r="221">
          <cell r="AW221">
            <v>0</v>
          </cell>
        </row>
        <row r="222">
          <cell r="AJ222">
            <v>4.53110156073287</v>
          </cell>
        </row>
        <row r="222">
          <cell r="AL222">
            <v>20.0876305769858</v>
          </cell>
        </row>
        <row r="222">
          <cell r="AQ222">
            <v>128.68271607192</v>
          </cell>
        </row>
        <row r="222">
          <cell r="AT222">
            <v>9.15995954310553</v>
          </cell>
          <cell r="AU222">
            <v>101.033225544465</v>
          </cell>
        </row>
        <row r="222">
          <cell r="AW222">
            <v>0.0315933046821986</v>
          </cell>
        </row>
        <row r="223">
          <cell r="O223">
            <v>475</v>
          </cell>
          <cell r="P223">
            <v>7.8</v>
          </cell>
        </row>
        <row r="223">
          <cell r="AA223">
            <v>5000</v>
          </cell>
        </row>
        <row r="223">
          <cell r="AJ223">
            <v>4.53110156073287</v>
          </cell>
        </row>
        <row r="223">
          <cell r="AL223">
            <v>20.0876305769858</v>
          </cell>
        </row>
        <row r="223">
          <cell r="AQ223">
            <v>54.3927802623834</v>
          </cell>
        </row>
        <row r="223">
          <cell r="AT223">
            <v>9.15995954310553</v>
          </cell>
          <cell r="AU223">
            <v>42.4263686046591</v>
          </cell>
        </row>
        <row r="223">
          <cell r="AW223">
            <v>0.0315933046821986</v>
          </cell>
        </row>
        <row r="224">
          <cell r="P224">
            <v>8.8</v>
          </cell>
        </row>
        <row r="224">
          <cell r="AA224">
            <v>5000</v>
          </cell>
        </row>
        <row r="224">
          <cell r="AQ224">
            <v>20.3178791064403</v>
          </cell>
        </row>
        <row r="224">
          <cell r="AT224">
            <v>0</v>
          </cell>
          <cell r="AU224">
            <v>17.8797336136675</v>
          </cell>
        </row>
        <row r="224">
          <cell r="AW224">
            <v>0</v>
          </cell>
        </row>
        <row r="225">
          <cell r="P225">
            <v>8.8</v>
          </cell>
        </row>
        <row r="225">
          <cell r="AA225">
            <v>5000</v>
          </cell>
        </row>
        <row r="225">
          <cell r="AQ225">
            <v>20.1306238401664</v>
          </cell>
        </row>
        <row r="225">
          <cell r="AT225">
            <v>0</v>
          </cell>
          <cell r="AU225">
            <v>17.7149489793464</v>
          </cell>
        </row>
        <row r="225">
          <cell r="AW225">
            <v>0</v>
          </cell>
        </row>
        <row r="226">
          <cell r="P226">
            <v>6.8</v>
          </cell>
        </row>
        <row r="226">
          <cell r="AA226">
            <v>5000</v>
          </cell>
        </row>
        <row r="226">
          <cell r="AQ226">
            <v>33.8414328629297</v>
          </cell>
        </row>
        <row r="226">
          <cell r="AT226">
            <v>0</v>
          </cell>
          <cell r="AU226">
            <v>23.0121743467922</v>
          </cell>
        </row>
        <row r="226">
          <cell r="AW226">
            <v>0</v>
          </cell>
        </row>
        <row r="227">
          <cell r="AQ227">
            <v>0</v>
          </cell>
        </row>
        <row r="227">
          <cell r="AT227">
            <v>0</v>
          </cell>
          <cell r="AU227">
            <v>0</v>
          </cell>
        </row>
        <row r="227">
          <cell r="AW227">
            <v>0</v>
          </cell>
        </row>
        <row r="228">
          <cell r="O228">
            <v>260</v>
          </cell>
          <cell r="P228">
            <v>5</v>
          </cell>
        </row>
        <row r="228">
          <cell r="AA228">
            <v>5000</v>
          </cell>
        </row>
        <row r="228">
          <cell r="AQ228">
            <v>0</v>
          </cell>
        </row>
        <row r="228">
          <cell r="AT228">
            <v>0</v>
          </cell>
          <cell r="AU228">
            <v>0</v>
          </cell>
        </row>
        <row r="228">
          <cell r="AW228">
            <v>0</v>
          </cell>
        </row>
        <row r="229">
          <cell r="P229">
            <v>6</v>
          </cell>
        </row>
        <row r="229">
          <cell r="AA229">
            <v>5000</v>
          </cell>
        </row>
        <row r="229">
          <cell r="AQ229">
            <v>0</v>
          </cell>
        </row>
        <row r="229">
          <cell r="AT229">
            <v>0</v>
          </cell>
          <cell r="AU229">
            <v>0</v>
          </cell>
        </row>
        <row r="229">
          <cell r="AW229">
            <v>0</v>
          </cell>
        </row>
        <row r="230">
          <cell r="P230">
            <v>6</v>
          </cell>
        </row>
        <row r="230">
          <cell r="AA230">
            <v>5000</v>
          </cell>
        </row>
        <row r="230">
          <cell r="AQ230">
            <v>0</v>
          </cell>
        </row>
        <row r="230">
          <cell r="AT230">
            <v>0</v>
          </cell>
          <cell r="AU230">
            <v>0</v>
          </cell>
        </row>
        <row r="230">
          <cell r="AW230">
            <v>0</v>
          </cell>
        </row>
        <row r="231">
          <cell r="P231">
            <v>4</v>
          </cell>
        </row>
        <row r="231">
          <cell r="AA231">
            <v>5000</v>
          </cell>
        </row>
        <row r="231">
          <cell r="AQ231">
            <v>0</v>
          </cell>
        </row>
        <row r="231">
          <cell r="AT231">
            <v>0</v>
          </cell>
          <cell r="AU231">
            <v>0</v>
          </cell>
        </row>
        <row r="231">
          <cell r="AW231">
            <v>0</v>
          </cell>
        </row>
        <row r="232">
          <cell r="AJ232">
            <v>1</v>
          </cell>
        </row>
        <row r="232">
          <cell r="AL232">
            <v>11.5967885816235</v>
          </cell>
        </row>
        <row r="232">
          <cell r="AQ232">
            <v>88.1845563705598</v>
          </cell>
        </row>
        <row r="232">
          <cell r="AT232">
            <v>5.28813559322034</v>
          </cell>
          <cell r="AU232">
            <v>65.6242295866007</v>
          </cell>
        </row>
        <row r="232">
          <cell r="AW232">
            <v>0.006</v>
          </cell>
        </row>
        <row r="233">
          <cell r="O233">
            <v>475</v>
          </cell>
          <cell r="P233">
            <v>7.45</v>
          </cell>
        </row>
        <row r="233">
          <cell r="AA233">
            <v>5000</v>
          </cell>
        </row>
        <row r="233">
          <cell r="AJ233">
            <v>1</v>
          </cell>
        </row>
        <row r="233">
          <cell r="AL233">
            <v>11.5967885816235</v>
          </cell>
        </row>
        <row r="233">
          <cell r="AQ233">
            <v>25.129291143283</v>
          </cell>
        </row>
        <row r="233">
          <cell r="AT233">
            <v>5.28813559322034</v>
          </cell>
          <cell r="AU233">
            <v>18.7213219017458</v>
          </cell>
        </row>
        <row r="233">
          <cell r="AW233">
            <v>0.006</v>
          </cell>
        </row>
        <row r="234">
          <cell r="P234">
            <v>8.45</v>
          </cell>
        </row>
        <row r="234">
          <cell r="AA234">
            <v>5000</v>
          </cell>
        </row>
        <row r="234">
          <cell r="AQ234">
            <v>17.9391627505141</v>
          </cell>
        </row>
        <row r="234">
          <cell r="AT234">
            <v>0</v>
          </cell>
          <cell r="AU234">
            <v>15.1585925241844</v>
          </cell>
        </row>
        <row r="234">
          <cell r="AW234">
            <v>0</v>
          </cell>
        </row>
        <row r="235">
          <cell r="P235">
            <v>8.45</v>
          </cell>
        </row>
        <row r="235">
          <cell r="AA235">
            <v>5000</v>
          </cell>
        </row>
        <row r="235">
          <cell r="AQ235">
            <v>13.2221453157927</v>
          </cell>
        </row>
        <row r="235">
          <cell r="AT235">
            <v>0</v>
          </cell>
          <cell r="AU235">
            <v>11.1727127918448</v>
          </cell>
        </row>
        <row r="235">
          <cell r="AW235">
            <v>0</v>
          </cell>
        </row>
        <row r="236">
          <cell r="P236">
            <v>6.45</v>
          </cell>
        </row>
        <row r="236">
          <cell r="AA236">
            <v>5000</v>
          </cell>
        </row>
        <row r="236">
          <cell r="AQ236">
            <v>31.89395716097</v>
          </cell>
        </row>
        <row r="236">
          <cell r="AT236">
            <v>0</v>
          </cell>
          <cell r="AU236">
            <v>20.5716023688257</v>
          </cell>
        </row>
        <row r="236">
          <cell r="AW236">
            <v>0</v>
          </cell>
        </row>
        <row r="237">
          <cell r="AJ237">
            <v>20.1554054054054</v>
          </cell>
        </row>
        <row r="237">
          <cell r="AL237">
            <v>1795.6833872946</v>
          </cell>
        </row>
        <row r="237">
          <cell r="AQ237">
            <v>2643.94096147</v>
          </cell>
        </row>
        <row r="237">
          <cell r="AT237">
            <v>283.942435615959</v>
          </cell>
          <cell r="AU237">
            <v>1665.6828057261</v>
          </cell>
        </row>
        <row r="237">
          <cell r="AW237">
            <v>0.123466216216216</v>
          </cell>
        </row>
        <row r="238">
          <cell r="O238">
            <v>275</v>
          </cell>
          <cell r="P238">
            <v>6.3</v>
          </cell>
        </row>
        <row r="238">
          <cell r="AA238">
            <v>5000</v>
          </cell>
        </row>
        <row r="238">
          <cell r="AJ238">
            <v>20.1554054054054</v>
          </cell>
        </row>
        <row r="238">
          <cell r="AL238">
            <v>1795.6833872946</v>
          </cell>
        </row>
        <row r="238">
          <cell r="AQ238">
            <v>2643.94096147</v>
          </cell>
        </row>
        <row r="238">
          <cell r="AT238">
            <v>283.942435615959</v>
          </cell>
          <cell r="AU238">
            <v>1665.6828057261</v>
          </cell>
        </row>
        <row r="238">
          <cell r="AW238">
            <v>0.123466216216216</v>
          </cell>
        </row>
        <row r="239">
          <cell r="O239">
            <v>275</v>
          </cell>
          <cell r="P239">
            <v>6.3</v>
          </cell>
        </row>
        <row r="239">
          <cell r="AA239">
            <v>5000</v>
          </cell>
        </row>
        <row r="239">
          <cell r="AJ239">
            <v>0</v>
          </cell>
        </row>
        <row r="239">
          <cell r="AU239">
            <v>0</v>
          </cell>
        </row>
        <row r="239">
          <cell r="AW239">
            <v>0</v>
          </cell>
        </row>
        <row r="240">
          <cell r="AJ240">
            <v>18.75</v>
          </cell>
        </row>
        <row r="240">
          <cell r="AL240">
            <v>158.557069846678</v>
          </cell>
        </row>
        <row r="240">
          <cell r="AQ240">
            <v>809.568318320509</v>
          </cell>
        </row>
        <row r="240">
          <cell r="AT240">
            <v>72.3020238500852</v>
          </cell>
          <cell r="AU240">
            <v>407.493840181101</v>
          </cell>
        </row>
        <row r="240">
          <cell r="AW240">
            <v>0.10725</v>
          </cell>
        </row>
        <row r="241">
          <cell r="O241">
            <v>475</v>
          </cell>
          <cell r="P241">
            <v>5.05</v>
          </cell>
        </row>
        <row r="241">
          <cell r="AA241">
            <v>5000</v>
          </cell>
        </row>
        <row r="241">
          <cell r="AJ241">
            <v>13.75</v>
          </cell>
        </row>
        <row r="241">
          <cell r="AL241">
            <v>134.954003407155</v>
          </cell>
        </row>
        <row r="241">
          <cell r="AQ241">
            <v>675.752261244861</v>
          </cell>
        </row>
        <row r="241">
          <cell r="AT241">
            <v>61.5390255536627</v>
          </cell>
          <cell r="AU241">
            <v>341.254891928655</v>
          </cell>
        </row>
        <row r="241">
          <cell r="AW241">
            <v>0.08025</v>
          </cell>
        </row>
        <row r="242">
          <cell r="AA242">
            <v>5000</v>
          </cell>
        </row>
        <row r="242">
          <cell r="AT242">
            <v>0</v>
          </cell>
          <cell r="AU242">
            <v>0</v>
          </cell>
        </row>
        <row r="242">
          <cell r="AW242">
            <v>0</v>
          </cell>
        </row>
        <row r="243">
          <cell r="O243">
            <v>475</v>
          </cell>
          <cell r="P243">
            <v>4.95</v>
          </cell>
        </row>
        <row r="243">
          <cell r="AA243">
            <v>5000</v>
          </cell>
        </row>
        <row r="243">
          <cell r="AJ243">
            <v>5</v>
          </cell>
        </row>
        <row r="243">
          <cell r="AL243">
            <v>23.603066439523</v>
          </cell>
        </row>
        <row r="243">
          <cell r="AQ243">
            <v>133.816057075648</v>
          </cell>
        </row>
        <row r="243">
          <cell r="AT243">
            <v>10.7629982964225</v>
          </cell>
          <cell r="AU243">
            <v>66.2389482524458</v>
          </cell>
        </row>
        <row r="243">
          <cell r="AW243">
            <v>0.027</v>
          </cell>
        </row>
        <row r="244">
          <cell r="O244">
            <v>475</v>
          </cell>
          <cell r="P244">
            <v>4.95</v>
          </cell>
        </row>
        <row r="244">
          <cell r="AA244">
            <v>5000</v>
          </cell>
        </row>
        <row r="244">
          <cell r="AT244">
            <v>0</v>
          </cell>
          <cell r="AU244">
            <v>0</v>
          </cell>
        </row>
        <row r="244">
          <cell r="AW244">
            <v>0</v>
          </cell>
        </row>
        <row r="245">
          <cell r="O245">
            <v>260</v>
          </cell>
          <cell r="P245">
            <v>7.3</v>
          </cell>
        </row>
        <row r="245">
          <cell r="AA245">
            <v>5000</v>
          </cell>
        </row>
        <row r="245">
          <cell r="AJ245">
            <v>0</v>
          </cell>
        </row>
        <row r="245">
          <cell r="AL245">
            <v>0</v>
          </cell>
        </row>
        <row r="245">
          <cell r="AQ245">
            <v>0</v>
          </cell>
        </row>
        <row r="245">
          <cell r="AT245">
            <v>0</v>
          </cell>
          <cell r="AU245">
            <v>0</v>
          </cell>
        </row>
        <row r="245">
          <cell r="AW245">
            <v>0</v>
          </cell>
        </row>
        <row r="246">
          <cell r="O246">
            <v>500</v>
          </cell>
          <cell r="P246">
            <v>10.8</v>
          </cell>
        </row>
        <row r="246">
          <cell r="AA246">
            <v>5000</v>
          </cell>
        </row>
        <row r="246">
          <cell r="AJ246">
            <v>0</v>
          </cell>
        </row>
        <row r="246">
          <cell r="AL246">
            <v>0</v>
          </cell>
        </row>
        <row r="246">
          <cell r="AQ246">
            <v>0</v>
          </cell>
        </row>
        <row r="246">
          <cell r="AT246">
            <v>0</v>
          </cell>
          <cell r="AU246">
            <v>0</v>
          </cell>
        </row>
        <row r="246">
          <cell r="AW246">
            <v>0</v>
          </cell>
        </row>
        <row r="247">
          <cell r="AJ247">
            <v>2</v>
          </cell>
        </row>
        <row r="247">
          <cell r="AL247">
            <v>70.2792257914437</v>
          </cell>
        </row>
        <row r="247">
          <cell r="AQ247">
            <v>287.7540258892</v>
          </cell>
        </row>
        <row r="247">
          <cell r="AT247">
            <v>0</v>
          </cell>
          <cell r="AU247">
            <v>175.529955792412</v>
          </cell>
        </row>
        <row r="247">
          <cell r="AW247">
            <v>0.012</v>
          </cell>
        </row>
        <row r="248">
          <cell r="O248">
            <v>0</v>
          </cell>
          <cell r="P248">
            <v>6.1</v>
          </cell>
        </row>
        <row r="248">
          <cell r="AA248">
            <v>5000</v>
          </cell>
        </row>
        <row r="248">
          <cell r="AJ248">
            <v>2</v>
          </cell>
        </row>
        <row r="248">
          <cell r="AL248">
            <v>70.2792257914437</v>
          </cell>
        </row>
        <row r="248">
          <cell r="AQ248">
            <v>287.7540258892</v>
          </cell>
        </row>
        <row r="248">
          <cell r="AT248">
            <v>0</v>
          </cell>
          <cell r="AU248">
            <v>175.529955792412</v>
          </cell>
        </row>
        <row r="248">
          <cell r="AW248">
            <v>0.012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PP Summary"/>
      <sheetName val="22-23 SPDCL"/>
      <sheetName val="22-23 NPDCL"/>
      <sheetName val="Energy Req"/>
      <sheetName val="FY 2022-23 Input"/>
      <sheetName val="FY 2022-23 Input SP"/>
      <sheetName val="FY 2022-23 Input NP"/>
      <sheetName val="Agri Adjusted Dispatch"/>
      <sheetName val="FY 2022-23 Agri Adj"/>
      <sheetName val="FY 2022-23 agri adj SP"/>
      <sheetName val="FY 2022-23 agri adj NP"/>
      <sheetName val="FY 2018-19 TSSPDCL Unadjuted"/>
      <sheetName val="FY 2018-19 TSNPDCL Unadjuted"/>
      <sheetName val="FY 2018-19 TSSPDCL Adjusted"/>
      <sheetName val="FY 2018-19 TSNPDCL Adjusted"/>
      <sheetName val="Summary"/>
      <sheetName val="Annexure F"/>
    </sheetNames>
    <sheetDataSet>
      <sheetData sheetId="0"/>
      <sheetData sheetId="1">
        <row r="27">
          <cell r="E27">
            <v>8657.366875</v>
          </cell>
          <cell r="F27">
            <v>8331.88343998933</v>
          </cell>
        </row>
        <row r="28">
          <cell r="E28">
            <v>938.872345</v>
          </cell>
          <cell r="F28">
            <v>938.872345117583</v>
          </cell>
        </row>
        <row r="29">
          <cell r="E29">
            <v>5543.5368</v>
          </cell>
          <cell r="F29">
            <v>6317.77947011066</v>
          </cell>
        </row>
        <row r="31">
          <cell r="E31">
            <v>2981.96</v>
          </cell>
          <cell r="F31">
            <v>3078.53706061093</v>
          </cell>
        </row>
        <row r="32">
          <cell r="E32">
            <v>6345.21056</v>
          </cell>
          <cell r="F32">
            <v>5889.86900991192</v>
          </cell>
        </row>
        <row r="33">
          <cell r="E33">
            <v>505.064505</v>
          </cell>
          <cell r="F33">
            <v>4334.0947537042</v>
          </cell>
        </row>
        <row r="34">
          <cell r="E34">
            <v>-1142.30327</v>
          </cell>
          <cell r="F34">
            <v>-1195.17265666338</v>
          </cell>
        </row>
        <row r="35">
          <cell r="E35">
            <v>60.12</v>
          </cell>
          <cell r="F35">
            <v>0</v>
          </cell>
        </row>
        <row r="36">
          <cell r="E36">
            <v>922.39892</v>
          </cell>
          <cell r="F36">
            <v>922.3989205644</v>
          </cell>
        </row>
        <row r="37">
          <cell r="E37">
            <v>3530.04</v>
          </cell>
          <cell r="F37">
            <v>4134.13541784763</v>
          </cell>
        </row>
        <row r="39">
          <cell r="E39">
            <v>0</v>
          </cell>
          <cell r="F39">
            <v>963.184501381943</v>
          </cell>
        </row>
        <row r="42">
          <cell r="G42">
            <v>811.38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PP True-up after FCA impact"/>
      <sheetName val="PP Summary"/>
      <sheetName val="23-24 SPDCL"/>
      <sheetName val="23-24 NPDCL"/>
      <sheetName val="Energy Req"/>
      <sheetName val="FY 2023-24 Input"/>
      <sheetName val="FY 2023-24 Input SP"/>
      <sheetName val="FY 2023-24 Input NP"/>
      <sheetName val="FY 2023-24 Agri Adj"/>
      <sheetName val="FY 2023-24 agri adj SP"/>
      <sheetName val="FY 2023-24 agri adj NP"/>
      <sheetName val="Agri Adjusted Dispatch"/>
      <sheetName val="FY 2018-19 TSSPDCL Unadjuted"/>
      <sheetName val="FY 2018-19 TSNPDCL Unadjuted"/>
      <sheetName val="FY 2018-19 TSSPDCL Adjusted"/>
      <sheetName val="FY 2018-19 TSNPDCL Adjusted"/>
      <sheetName val="Summary"/>
      <sheetName val="Annexure F"/>
    </sheetNames>
    <sheetDataSet>
      <sheetData sheetId="0"/>
      <sheetData sheetId="1"/>
      <sheetData sheetId="2">
        <row r="23">
          <cell r="E23">
            <v>8374.04513</v>
          </cell>
          <cell r="F23">
            <v>10048.8132931204</v>
          </cell>
        </row>
        <row r="24">
          <cell r="E24">
            <v>863.40501</v>
          </cell>
          <cell r="F24">
            <v>876.4743975</v>
          </cell>
        </row>
        <row r="25">
          <cell r="E25">
            <v>6262.617675</v>
          </cell>
          <cell r="F25">
            <v>6046.2256583879</v>
          </cell>
        </row>
        <row r="26">
          <cell r="E26">
            <v>3487.21</v>
          </cell>
          <cell r="F26">
            <v>3768.61253955237</v>
          </cell>
        </row>
        <row r="27">
          <cell r="E27">
            <v>6946.56465</v>
          </cell>
          <cell r="F27">
            <v>5403.57239412465</v>
          </cell>
        </row>
        <row r="28">
          <cell r="E28">
            <v>371.72795</v>
          </cell>
          <cell r="F28">
            <v>3423.62939467857</v>
          </cell>
        </row>
        <row r="29">
          <cell r="E29">
            <v>-1313.65511</v>
          </cell>
          <cell r="F29">
            <v>-518.720455770264</v>
          </cell>
        </row>
        <row r="30">
          <cell r="E30">
            <v>209.91</v>
          </cell>
          <cell r="F30">
            <v>0</v>
          </cell>
        </row>
        <row r="31">
          <cell r="E31">
            <v>972.863335</v>
          </cell>
          <cell r="F31">
            <v>824.08044</v>
          </cell>
        </row>
        <row r="32">
          <cell r="E32">
            <v>3785.06</v>
          </cell>
          <cell r="F32">
            <v>4417.5178212119</v>
          </cell>
        </row>
        <row r="33">
          <cell r="E33">
            <v>0</v>
          </cell>
          <cell r="F33">
            <v>92.6747782854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1.4 CGS"/>
      <sheetName val="Legend"/>
      <sheetName val="Inputs to COS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Gen_Cost (2)"/>
      <sheetName val="Gen_Cost"/>
      <sheetName val="PPC_act"/>
      <sheetName val="ST,D-D"/>
      <sheetName val="TGSPDCL MoD"/>
      <sheetName val="NCE - Summry"/>
      <sheetName val="Station wise Cost - FY25"/>
      <sheetName val="Source wise - Cost"/>
      <sheetName val="MoD"/>
      <sheetName val="TGNPDCL MoD for disp"/>
      <sheetName val="TGNPDCL MoD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MoD_Model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9">
          <cell r="G59">
            <v>1050.81403</v>
          </cell>
        </row>
        <row r="60">
          <cell r="G60">
            <v>23.740075</v>
          </cell>
        </row>
        <row r="63">
          <cell r="G63">
            <v>-2767.58097418909</v>
          </cell>
        </row>
        <row r="64">
          <cell r="G64">
            <v>36530.1478636222</v>
          </cell>
        </row>
      </sheetData>
      <sheetData sheetId="23"/>
      <sheetData sheetId="24"/>
      <sheetData sheetId="25">
        <row r="7">
          <cell r="L7">
            <v>5124.442154013</v>
          </cell>
          <cell r="M7">
            <v>4455.17566403892</v>
          </cell>
          <cell r="N7">
            <v>4128.95968036952</v>
          </cell>
          <cell r="O7">
            <v>4622.99928342457</v>
          </cell>
          <cell r="P7">
            <v>5003.33157457792</v>
          </cell>
          <cell r="Q7">
            <v>4490.56136470604</v>
          </cell>
          <cell r="R7">
            <v>5640.93976592821</v>
          </cell>
          <cell r="S7">
            <v>4268.39069401477</v>
          </cell>
          <cell r="T7">
            <v>4587.65624013564</v>
          </cell>
          <cell r="U7">
            <v>5337.81181220299</v>
          </cell>
          <cell r="V7">
            <v>5555.36281331652</v>
          </cell>
          <cell r="W7">
            <v>6484.65463779271</v>
          </cell>
        </row>
        <row r="9">
          <cell r="L9">
            <v>830.025559674359</v>
          </cell>
          <cell r="M9">
            <v>865.486155594721</v>
          </cell>
          <cell r="N9">
            <v>828.906046186692</v>
          </cell>
          <cell r="O9">
            <v>844.410678365175</v>
          </cell>
          <cell r="P9">
            <v>834.967595846969</v>
          </cell>
          <cell r="Q9">
            <v>804.99827341985</v>
          </cell>
          <cell r="R9">
            <v>826.693739023693</v>
          </cell>
          <cell r="S9">
            <v>826.842349462774</v>
          </cell>
          <cell r="T9">
            <v>827.011502569429</v>
          </cell>
          <cell r="U9">
            <v>828.893722497324</v>
          </cell>
          <cell r="V9">
            <v>816.906286949874</v>
          </cell>
          <cell r="W9">
            <v>920.168558637605</v>
          </cell>
        </row>
        <row r="11">
          <cell r="L11">
            <v>161.932372066811</v>
          </cell>
          <cell r="M11">
            <v>140.78355098363</v>
          </cell>
          <cell r="N11">
            <v>130.475125899677</v>
          </cell>
          <cell r="O11">
            <v>146.086777356216</v>
          </cell>
          <cell r="P11">
            <v>158.105277756662</v>
          </cell>
          <cell r="Q11">
            <v>141.901739124711</v>
          </cell>
          <cell r="R11">
            <v>178.253696603331</v>
          </cell>
          <cell r="S11">
            <v>134.881145930866</v>
          </cell>
          <cell r="T11">
            <v>144.969937188286</v>
          </cell>
          <cell r="U11">
            <v>168.674853265614</v>
          </cell>
          <cell r="V11">
            <v>175.549464900802</v>
          </cell>
          <cell r="W11">
            <v>204.91508655425</v>
          </cell>
        </row>
        <row r="19">
          <cell r="L19">
            <v>4132.48422227183</v>
          </cell>
          <cell r="M19">
            <v>3448.90595746057</v>
          </cell>
          <cell r="N19">
            <v>3169.57850828315</v>
          </cell>
          <cell r="O19">
            <v>3632.50182770318</v>
          </cell>
          <cell r="P19">
            <v>4010.25870097429</v>
          </cell>
          <cell r="Q19">
            <v>3543.66135216148</v>
          </cell>
          <cell r="R19">
            <v>4635.99233030118</v>
          </cell>
          <cell r="S19">
            <v>3306.66719862113</v>
          </cell>
          <cell r="T19">
            <v>3615.67480037793</v>
          </cell>
          <cell r="U19">
            <v>4340.24323644005</v>
          </cell>
          <cell r="V19">
            <v>4562.90706146585</v>
          </cell>
          <cell r="W19">
            <v>5359.57099260085</v>
          </cell>
        </row>
        <row r="20">
          <cell r="L20">
            <v>696.723770151352</v>
          </cell>
          <cell r="M20">
            <v>706.291434956513</v>
          </cell>
          <cell r="N20">
            <v>667.414090234621</v>
          </cell>
          <cell r="O20">
            <v>656.367991191299</v>
          </cell>
          <cell r="P20">
            <v>673.393305679788</v>
          </cell>
          <cell r="Q20">
            <v>631.071797934617</v>
          </cell>
          <cell r="R20">
            <v>666.256246109061</v>
          </cell>
          <cell r="S20">
            <v>651.246079022945</v>
          </cell>
          <cell r="T20">
            <v>656.435749800073</v>
          </cell>
          <cell r="U20">
            <v>646.216771229033</v>
          </cell>
          <cell r="V20">
            <v>659.878272462086</v>
          </cell>
          <cell r="W20">
            <v>728.573466999778</v>
          </cell>
        </row>
        <row r="22">
          <cell r="L22">
            <v>166.952362579782</v>
          </cell>
          <cell r="M22">
            <v>139.335800681407</v>
          </cell>
          <cell r="N22">
            <v>128.050971734639</v>
          </cell>
          <cell r="O22">
            <v>146.753073839208</v>
          </cell>
          <cell r="P22">
            <v>162.014451519361</v>
          </cell>
          <cell r="Q22">
            <v>143.163918627324</v>
          </cell>
          <cell r="R22">
            <v>187.294090144168</v>
          </cell>
          <cell r="S22">
            <v>133.589354824294</v>
          </cell>
          <cell r="T22">
            <v>146.073261935268</v>
          </cell>
          <cell r="U22">
            <v>175.345826752178</v>
          </cell>
          <cell r="V22">
            <v>184.34144528322</v>
          </cell>
          <cell r="W22">
            <v>216.526668101074</v>
          </cell>
        </row>
        <row r="27">
          <cell r="L27">
            <v>3268.8080895407</v>
          </cell>
          <cell r="M27">
            <v>2603.27872182265</v>
          </cell>
          <cell r="N27">
            <v>2374.11344631389</v>
          </cell>
          <cell r="O27">
            <v>2829.38076267267</v>
          </cell>
          <cell r="P27">
            <v>3174.85094377514</v>
          </cell>
          <cell r="Q27">
            <v>2769.42563559954</v>
          </cell>
          <cell r="R27">
            <v>3782.44199404795</v>
          </cell>
          <cell r="S27">
            <v>2521.83176477389</v>
          </cell>
          <cell r="T27">
            <v>2813.16578864259</v>
          </cell>
          <cell r="U27">
            <v>3518.68063845884</v>
          </cell>
          <cell r="V27">
            <v>3718.68734372054</v>
          </cell>
          <cell r="W27">
            <v>4414.4708575</v>
          </cell>
        </row>
        <row r="28">
          <cell r="L28">
            <v>1915.99238537915</v>
          </cell>
          <cell r="M28">
            <v>1923.47451599191</v>
          </cell>
          <cell r="N28">
            <v>1597.29285739143</v>
          </cell>
          <cell r="O28">
            <v>1484.9727574683</v>
          </cell>
          <cell r="P28">
            <v>1583.63773715528</v>
          </cell>
          <cell r="Q28">
            <v>1441.81605085368</v>
          </cell>
          <cell r="R28">
            <v>1529.48002046035</v>
          </cell>
          <cell r="S28">
            <v>1440.91651633531</v>
          </cell>
          <cell r="T28">
            <v>1316.79453027256</v>
          </cell>
          <cell r="U28">
            <v>1454.58639183822</v>
          </cell>
          <cell r="V28">
            <v>1393.52261993458</v>
          </cell>
          <cell r="W28">
            <v>1825.46747499247</v>
          </cell>
        </row>
        <row r="29">
          <cell r="L29">
            <v>1200.81612799791</v>
          </cell>
          <cell r="M29">
            <v>558.751745265995</v>
          </cell>
          <cell r="N29">
            <v>666.42431366887</v>
          </cell>
          <cell r="O29">
            <v>1212.84179974009</v>
          </cell>
          <cell r="P29">
            <v>1443.58263773431</v>
          </cell>
          <cell r="Q29">
            <v>1198.83129269048</v>
          </cell>
          <cell r="R29">
            <v>2077.07842086438</v>
          </cell>
          <cell r="S29">
            <v>963.6500713766</v>
          </cell>
          <cell r="T29">
            <v>1365.55904919814</v>
          </cell>
          <cell r="U29">
            <v>1900.47559693229</v>
          </cell>
          <cell r="V29">
            <v>2152.24576230295</v>
          </cell>
          <cell r="W29">
            <v>2383.73048763379</v>
          </cell>
        </row>
        <row r="30">
          <cell r="L30">
            <v>151.999576163642</v>
          </cell>
          <cell r="M30">
            <v>121.052460564753</v>
          </cell>
          <cell r="N30">
            <v>110.396275253596</v>
          </cell>
          <cell r="O30">
            <v>131.566205464279</v>
          </cell>
          <cell r="P30">
            <v>147.630568885544</v>
          </cell>
          <cell r="Q30">
            <v>128.778292055379</v>
          </cell>
          <cell r="R30">
            <v>175.88355272323</v>
          </cell>
          <cell r="S30">
            <v>117.265177061986</v>
          </cell>
          <cell r="T30">
            <v>130.81220917188</v>
          </cell>
          <cell r="U30">
            <v>163.618649688336</v>
          </cell>
          <cell r="V30">
            <v>172.918961483005</v>
          </cell>
          <cell r="W30">
            <v>205.27289487375</v>
          </cell>
        </row>
        <row r="37">
          <cell r="L37">
            <v>641.808181175491</v>
          </cell>
          <cell r="M37">
            <v>662.480384593688</v>
          </cell>
          <cell r="N37">
            <v>681.565054947639</v>
          </cell>
          <cell r="O37">
            <v>754.617921120109</v>
          </cell>
          <cell r="P37">
            <v>1102.32449513118</v>
          </cell>
          <cell r="Q37">
            <v>893.514128423406</v>
          </cell>
          <cell r="R37">
            <v>889.896702391827</v>
          </cell>
          <cell r="S37">
            <v>861.836013702315</v>
          </cell>
          <cell r="T37">
            <v>724.184266032442</v>
          </cell>
          <cell r="U37">
            <v>700.755729372461</v>
          </cell>
          <cell r="V37">
            <v>675.210592513097</v>
          </cell>
          <cell r="W37">
            <v>716.842845750652</v>
          </cell>
        </row>
        <row r="46">
          <cell r="L46">
            <v>5911.67760425312</v>
          </cell>
          <cell r="M46">
            <v>5246.72549583003</v>
          </cell>
          <cell r="N46">
            <v>4931.84820106332</v>
          </cell>
          <cell r="O46">
            <v>5513.2429818994</v>
          </cell>
          <cell r="P46">
            <v>6259.6432947602</v>
          </cell>
          <cell r="Q46">
            <v>5519.86415125021</v>
          </cell>
          <cell r="R46">
            <v>6695.5469226164</v>
          </cell>
          <cell r="S46">
            <v>5259.61319224635</v>
          </cell>
          <cell r="T46">
            <v>5445.80736740628</v>
          </cell>
          <cell r="U46">
            <v>6190.86276560944</v>
          </cell>
          <cell r="V46">
            <v>6387.71109886162</v>
          </cell>
          <cell r="W46">
            <v>7383.12229192471</v>
          </cell>
        </row>
        <row r="47">
          <cell r="L47">
            <v>145.427269064627</v>
          </cell>
          <cell r="M47">
            <v>129.069447197419</v>
          </cell>
          <cell r="N47">
            <v>121.323465746158</v>
          </cell>
          <cell r="O47">
            <v>135.625777354725</v>
          </cell>
          <cell r="P47">
            <v>153.987225051101</v>
          </cell>
          <cell r="Q47">
            <v>135.788658120755</v>
          </cell>
          <cell r="R47">
            <v>164.710454296363</v>
          </cell>
          <cell r="S47">
            <v>129.38648452926</v>
          </cell>
          <cell r="T47">
            <v>133.966861238194</v>
          </cell>
          <cell r="U47">
            <v>152.295224033992</v>
          </cell>
          <cell r="V47">
            <v>157.137693031996</v>
          </cell>
          <cell r="W47">
            <v>181.624808381348</v>
          </cell>
        </row>
        <row r="48">
          <cell r="L48">
            <v>892.526342228301</v>
          </cell>
          <cell r="M48">
            <v>768.41772575894</v>
          </cell>
          <cell r="N48">
            <v>740.575092752985</v>
          </cell>
          <cell r="O48">
            <v>844.106622087091</v>
          </cell>
          <cell r="P48">
            <v>999.152055721897</v>
          </cell>
          <cell r="Q48">
            <v>856.549020738376</v>
          </cell>
          <cell r="R48">
            <v>1034.55116117957</v>
          </cell>
          <cell r="S48">
            <v>792.671346562922</v>
          </cell>
          <cell r="T48">
            <v>826.667559105805</v>
          </cell>
          <cell r="U48">
            <v>974.277925283343</v>
          </cell>
          <cell r="V48">
            <v>1018.45324339271</v>
          </cell>
          <cell r="W48">
            <v>1169.95366018806</v>
          </cell>
        </row>
        <row r="49">
          <cell r="L49">
            <v>102.243609328535</v>
          </cell>
          <cell r="M49">
            <v>88.0263114223268</v>
          </cell>
          <cell r="N49">
            <v>84.836790668652</v>
          </cell>
          <cell r="O49">
            <v>96.6968744976563</v>
          </cell>
          <cell r="P49">
            <v>114.458148305164</v>
          </cell>
          <cell r="Q49">
            <v>98.1222170187921</v>
          </cell>
          <cell r="R49">
            <v>118.513302912655</v>
          </cell>
          <cell r="S49">
            <v>90.8046918610416</v>
          </cell>
          <cell r="T49">
            <v>94.6991376711299</v>
          </cell>
          <cell r="U49">
            <v>111.608685208538</v>
          </cell>
          <cell r="V49">
            <v>116.669201355839</v>
          </cell>
          <cell r="W49">
            <v>134.02437474967</v>
          </cell>
        </row>
        <row r="52">
          <cell r="L52">
            <v>35.214856285112</v>
          </cell>
          <cell r="M52">
            <v>30.3181189162168</v>
          </cell>
          <cell r="N52">
            <v>29.219580673126</v>
          </cell>
          <cell r="O52">
            <v>33.3044437791001</v>
          </cell>
          <cell r="P52">
            <v>39.421801222558</v>
          </cell>
          <cell r="Q52">
            <v>33.7953618166038</v>
          </cell>
          <cell r="R52">
            <v>40.8184820288646</v>
          </cell>
          <cell r="S52">
            <v>31.2750517602083</v>
          </cell>
          <cell r="T52">
            <v>32.6163810659035</v>
          </cell>
          <cell r="U52">
            <v>38.4403860114126</v>
          </cell>
          <cell r="V52">
            <v>40.1833345440988</v>
          </cell>
          <cell r="W52">
            <v>46.1608224367955</v>
          </cell>
        </row>
      </sheetData>
      <sheetData sheetId="26"/>
      <sheetData sheetId="27"/>
      <sheetData sheetId="28"/>
      <sheetData sheetId="29">
        <row r="231">
          <cell r="BN231">
            <v>9.74</v>
          </cell>
        </row>
        <row r="233">
          <cell r="BN233">
            <v>8.317456</v>
          </cell>
        </row>
        <row r="234">
          <cell r="BN234">
            <v>5.57227116</v>
          </cell>
        </row>
        <row r="235">
          <cell r="BN235">
            <v>4.27221994750134</v>
          </cell>
        </row>
        <row r="236">
          <cell r="BN236">
            <v>5.24</v>
          </cell>
        </row>
        <row r="237">
          <cell r="BN237">
            <v>5.87975666580378</v>
          </cell>
        </row>
        <row r="238">
          <cell r="BN238">
            <v>2.82284636617194</v>
          </cell>
        </row>
        <row r="239">
          <cell r="BN239">
            <v>2.52916040199414</v>
          </cell>
        </row>
        <row r="240">
          <cell r="BN240">
            <v>4.10489959348351</v>
          </cell>
        </row>
        <row r="241">
          <cell r="BN241">
            <v>2.44434120279242</v>
          </cell>
        </row>
        <row r="242">
          <cell r="BN242">
            <v>10.3953997809419</v>
          </cell>
        </row>
        <row r="243">
          <cell r="BN243">
            <v>4.73698688755082</v>
          </cell>
        </row>
      </sheetData>
      <sheetData sheetId="30"/>
      <sheetData sheetId="31"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3.41452953217458</v>
          </cell>
          <cell r="I16">
            <v>0</v>
          </cell>
          <cell r="J16">
            <v>74.1375190620661</v>
          </cell>
          <cell r="K16">
            <v>205.729042625166</v>
          </cell>
          <cell r="L16">
            <v>0</v>
          </cell>
          <cell r="M16">
            <v>0</v>
          </cell>
          <cell r="N16">
            <v>16.4558373698555</v>
          </cell>
          <cell r="O16">
            <v>326.479882477829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1.89631056193818</v>
          </cell>
          <cell r="I17">
            <v>0</v>
          </cell>
          <cell r="J17">
            <v>41.1733912706136</v>
          </cell>
          <cell r="K17">
            <v>114.254731948116</v>
          </cell>
          <cell r="L17">
            <v>0</v>
          </cell>
          <cell r="M17">
            <v>0</v>
          </cell>
          <cell r="N17">
            <v>9.13899789588893</v>
          </cell>
          <cell r="O17">
            <v>181.315535147461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317.569280603394</v>
          </cell>
          <cell r="E20">
            <v>242.662508102198</v>
          </cell>
          <cell r="F20">
            <v>89.6801726723079</v>
          </cell>
          <cell r="G20">
            <v>232.031564610988</v>
          </cell>
          <cell r="H20">
            <v>1.58845618813712</v>
          </cell>
          <cell r="I20">
            <v>158.649548191599</v>
          </cell>
          <cell r="J20">
            <v>70.9309649138108</v>
          </cell>
          <cell r="K20">
            <v>190.582686381791</v>
          </cell>
          <cell r="L20">
            <v>157.784460801427</v>
          </cell>
          <cell r="M20">
            <v>-28.3753652930454</v>
          </cell>
          <cell r="N20">
            <v>0</v>
          </cell>
          <cell r="O20">
            <v>0</v>
          </cell>
        </row>
        <row r="21">
          <cell r="D21">
            <v>141.656983194721</v>
          </cell>
          <cell r="E21">
            <v>111.139073051789</v>
          </cell>
          <cell r="F21">
            <v>44.895720919969</v>
          </cell>
          <cell r="G21">
            <v>99.6700715879036</v>
          </cell>
          <cell r="H21">
            <v>0</v>
          </cell>
          <cell r="I21">
            <v>75.9134361287803</v>
          </cell>
          <cell r="J21">
            <v>37.0331772853707</v>
          </cell>
          <cell r="K21">
            <v>92.2226929025454</v>
          </cell>
          <cell r="L21">
            <v>74.2883544123709</v>
          </cell>
          <cell r="M21">
            <v>-21.2666841289011</v>
          </cell>
          <cell r="N21">
            <v>0</v>
          </cell>
          <cell r="O21">
            <v>0</v>
          </cell>
        </row>
      </sheetData>
      <sheetData sheetId="32">
        <row r="4">
          <cell r="F4">
            <v>73.4558649631426</v>
          </cell>
          <cell r="G4">
            <v>64.7967358461845</v>
          </cell>
          <cell r="H4">
            <v>62.7065185608237</v>
          </cell>
          <cell r="I4">
            <v>0</v>
          </cell>
          <cell r="J4">
            <v>33.5028577386522</v>
          </cell>
          <cell r="K4">
            <v>62.7065185608237</v>
          </cell>
          <cell r="L4">
            <v>78.050613632904</v>
          </cell>
          <cell r="M4">
            <v>92.6666008749353</v>
          </cell>
          <cell r="N4">
            <v>67.0057154773044</v>
          </cell>
          <cell r="O4">
            <v>69.2146951084244</v>
          </cell>
          <cell r="P4">
            <v>78.4781580776369</v>
          </cell>
          <cell r="Q4">
            <v>89.0955117885037</v>
          </cell>
        </row>
        <row r="4">
          <cell r="U4">
            <v>12.7805039132721</v>
          </cell>
          <cell r="V4">
            <v>11.2739117082747</v>
          </cell>
          <cell r="W4">
            <v>10.91023713704</v>
          </cell>
          <cell r="X4">
            <v>0</v>
          </cell>
          <cell r="Y4">
            <v>5.82912480371022</v>
          </cell>
          <cell r="Z4">
            <v>10.91023713704</v>
          </cell>
          <cell r="AA4">
            <v>13.5799391031491</v>
          </cell>
          <cell r="AB4">
            <v>16.1229584010206</v>
          </cell>
          <cell r="AC4">
            <v>11.6582496074204</v>
          </cell>
          <cell r="AD4">
            <v>12.0425875065662</v>
          </cell>
          <cell r="AE4">
            <v>13.6543270836289</v>
          </cell>
          <cell r="AF4">
            <v>15.5016285988777</v>
          </cell>
        </row>
        <row r="4">
          <cell r="AJ4">
            <v>32.3631649549705</v>
          </cell>
          <cell r="AK4">
            <v>28.5481282098567</v>
          </cell>
          <cell r="AL4">
            <v>27.6272208482484</v>
          </cell>
          <cell r="AM4">
            <v>0</v>
          </cell>
          <cell r="AN4">
            <v>14.7606799266873</v>
          </cell>
          <cell r="AO4">
            <v>27.6272208482484</v>
          </cell>
          <cell r="AP4">
            <v>34.3875180709638</v>
          </cell>
          <cell r="AQ4">
            <v>40.8270257444619</v>
          </cell>
          <cell r="AR4">
            <v>29.5213598533746</v>
          </cell>
          <cell r="AS4">
            <v>30.4945914968924</v>
          </cell>
          <cell r="AT4">
            <v>34.5758854858382</v>
          </cell>
          <cell r="AU4">
            <v>39.253676288553</v>
          </cell>
        </row>
        <row r="5">
          <cell r="F5">
            <v>66.643540539157</v>
          </cell>
          <cell r="G5">
            <v>64.7967358461845</v>
          </cell>
          <cell r="H5">
            <v>62.7065185608237</v>
          </cell>
          <cell r="I5">
            <v>0</v>
          </cell>
          <cell r="J5">
            <v>33.5028577386522</v>
          </cell>
          <cell r="K5">
            <v>62.7065185608237</v>
          </cell>
          <cell r="L5">
            <v>78.050613632904</v>
          </cell>
          <cell r="M5">
            <v>92.6346296921259</v>
          </cell>
          <cell r="N5">
            <v>67.0057154773044</v>
          </cell>
          <cell r="O5">
            <v>67.2505198541092</v>
          </cell>
          <cell r="P5">
            <v>78.4781580776369</v>
          </cell>
          <cell r="Q5">
            <v>89.0955117885037</v>
          </cell>
        </row>
        <row r="5">
          <cell r="U5">
            <v>11.729119230519</v>
          </cell>
          <cell r="V5">
            <v>11.4040855923883</v>
          </cell>
          <cell r="W5">
            <v>11.0362118636016</v>
          </cell>
          <cell r="X5">
            <v>0</v>
          </cell>
          <cell r="Y5">
            <v>5.89643061879166</v>
          </cell>
          <cell r="Z5">
            <v>11.0362118636016</v>
          </cell>
          <cell r="AA5">
            <v>13.7367394635586</v>
          </cell>
          <cell r="AB5">
            <v>16.3034947985023</v>
          </cell>
          <cell r="AC5">
            <v>11.7928612375833</v>
          </cell>
          <cell r="AD5">
            <v>11.8359462792913</v>
          </cell>
          <cell r="AE5">
            <v>13.8119863626286</v>
          </cell>
          <cell r="AF5">
            <v>15.6806176895339</v>
          </cell>
        </row>
        <row r="5">
          <cell r="AJ5">
            <v>29.3617929178861</v>
          </cell>
          <cell r="AK5">
            <v>28.5481282098567</v>
          </cell>
          <cell r="AL5">
            <v>27.6272208482484</v>
          </cell>
          <cell r="AM5">
            <v>0</v>
          </cell>
          <cell r="AN5">
            <v>14.7606799266873</v>
          </cell>
          <cell r="AO5">
            <v>27.6272208482484</v>
          </cell>
          <cell r="AP5">
            <v>34.3875180709638</v>
          </cell>
          <cell r="AQ5">
            <v>40.8129398894579</v>
          </cell>
          <cell r="AR5">
            <v>29.5213598533746</v>
          </cell>
          <cell r="AS5">
            <v>29.6292156989521</v>
          </cell>
          <cell r="AT5">
            <v>34.5758854858382</v>
          </cell>
          <cell r="AU5">
            <v>39.253676288553</v>
          </cell>
        </row>
        <row r="6">
          <cell r="F6">
            <v>160.105364066225</v>
          </cell>
          <cell r="G6">
            <v>186.345071789924</v>
          </cell>
          <cell r="H6">
            <v>127.507446373767</v>
          </cell>
          <cell r="I6">
            <v>135.920099541858</v>
          </cell>
          <cell r="J6">
            <v>148.719496427994</v>
          </cell>
          <cell r="K6">
            <v>125.456394629848</v>
          </cell>
          <cell r="L6">
            <v>173.773064314768</v>
          </cell>
          <cell r="M6">
            <v>99.0477963631192</v>
          </cell>
          <cell r="N6">
            <v>138.517924831147</v>
          </cell>
          <cell r="O6">
            <v>142.847349479089</v>
          </cell>
          <cell r="P6">
            <v>160.946730972781</v>
          </cell>
          <cell r="Q6">
            <v>190.118879952421</v>
          </cell>
        </row>
        <row r="6">
          <cell r="U6">
            <v>27.9250670310889</v>
          </cell>
          <cell r="V6">
            <v>32.5017131749206</v>
          </cell>
          <cell r="W6">
            <v>22.2394421805731</v>
          </cell>
          <cell r="X6">
            <v>23.7067503185507</v>
          </cell>
          <cell r="Y6">
            <v>25.9391803066866</v>
          </cell>
          <cell r="Z6">
            <v>21.8817042761174</v>
          </cell>
          <cell r="AA6">
            <v>30.3089437227124</v>
          </cell>
          <cell r="AB6">
            <v>17.2756007823552</v>
          </cell>
          <cell r="AC6">
            <v>24.1598547211518</v>
          </cell>
          <cell r="AD6">
            <v>24.9149791618907</v>
          </cell>
          <cell r="AE6">
            <v>28.0718155638463</v>
          </cell>
          <cell r="AF6">
            <v>33.1599287601063</v>
          </cell>
        </row>
        <row r="6">
          <cell r="AJ6">
            <v>62.9800838159508</v>
          </cell>
          <cell r="AK6">
            <v>73.301905332568</v>
          </cell>
          <cell r="AL6">
            <v>50.1571556119509</v>
          </cell>
          <cell r="AM6">
            <v>53.4664113931735</v>
          </cell>
          <cell r="AN6">
            <v>58.5012651183054</v>
          </cell>
          <cell r="AO6">
            <v>49.3503406029958</v>
          </cell>
          <cell r="AP6">
            <v>68.3564989800826</v>
          </cell>
          <cell r="AQ6">
            <v>38.9620832076195</v>
          </cell>
          <cell r="AR6">
            <v>54.4883087881349</v>
          </cell>
          <cell r="AS6">
            <v>56.1913593310848</v>
          </cell>
          <cell r="AT6">
            <v>63.3110493560743</v>
          </cell>
          <cell r="AU6">
            <v>74.7863949732843</v>
          </cell>
        </row>
        <row r="7">
          <cell r="F7">
            <v>276.384550828565</v>
          </cell>
          <cell r="G7">
            <v>0</v>
          </cell>
          <cell r="H7">
            <v>103.750785255181</v>
          </cell>
          <cell r="I7">
            <v>221.500601131001</v>
          </cell>
          <cell r="J7">
            <v>273.879809477492</v>
          </cell>
          <cell r="K7">
            <v>214.342281626088</v>
          </cell>
          <cell r="L7">
            <v>301.490717491897</v>
          </cell>
          <cell r="M7">
            <v>321.721023273365</v>
          </cell>
          <cell r="N7">
            <v>256.073531013443</v>
          </cell>
          <cell r="O7">
            <v>264.923557372884</v>
          </cell>
          <cell r="P7">
            <v>263.899433264461</v>
          </cell>
          <cell r="Q7">
            <v>318.606528507556</v>
          </cell>
        </row>
        <row r="7">
          <cell r="U7">
            <v>90.0132908712754</v>
          </cell>
          <cell r="V7">
            <v>0</v>
          </cell>
          <cell r="W7">
            <v>33.7896947687593</v>
          </cell>
          <cell r="X7">
            <v>72.1386125888572</v>
          </cell>
          <cell r="Y7">
            <v>89.1975433516855</v>
          </cell>
          <cell r="Z7">
            <v>69.807281500294</v>
          </cell>
          <cell r="AA7">
            <v>98.1899008726462</v>
          </cell>
          <cell r="AB7">
            <v>104.77853396832</v>
          </cell>
          <cell r="AC7">
            <v>83.3983707209635</v>
          </cell>
          <cell r="AD7">
            <v>86.2806591648097</v>
          </cell>
          <cell r="AE7">
            <v>85.9471210528442</v>
          </cell>
          <cell r="AF7">
            <v>103.764201139545</v>
          </cell>
        </row>
        <row r="7">
          <cell r="AJ7">
            <v>105.052949644597</v>
          </cell>
          <cell r="AK7">
            <v>0</v>
          </cell>
          <cell r="AL7">
            <v>39.4353663630082</v>
          </cell>
          <cell r="AM7">
            <v>84.1917228264196</v>
          </cell>
          <cell r="AN7">
            <v>104.100904871334</v>
          </cell>
          <cell r="AO7">
            <v>81.4708667719291</v>
          </cell>
          <cell r="AP7">
            <v>114.595729276617</v>
          </cell>
          <cell r="AQ7">
            <v>122.285208620467</v>
          </cell>
          <cell r="AR7">
            <v>97.3327911354772</v>
          </cell>
          <cell r="AS7">
            <v>100.696659957756</v>
          </cell>
          <cell r="AT7">
            <v>100.307393415652</v>
          </cell>
          <cell r="AU7">
            <v>121.101398379192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8"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</row>
        <row r="8"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</row>
        <row r="9">
          <cell r="F9">
            <v>199.698836068292</v>
          </cell>
          <cell r="G9">
            <v>195.862860625967</v>
          </cell>
          <cell r="H9">
            <v>160.351130246949</v>
          </cell>
          <cell r="I9">
            <v>155.970002115057</v>
          </cell>
          <cell r="J9">
            <v>178.823254703672</v>
          </cell>
          <cell r="K9">
            <v>148.272290054028</v>
          </cell>
          <cell r="L9">
            <v>0</v>
          </cell>
          <cell r="M9">
            <v>101.185518586784</v>
          </cell>
          <cell r="N9">
            <v>173.773064314768</v>
          </cell>
          <cell r="O9">
            <v>178.191023577007</v>
          </cell>
          <cell r="P9">
            <v>180.898805060316</v>
          </cell>
          <cell r="Q9">
            <v>217.964012671307</v>
          </cell>
        </row>
        <row r="9">
          <cell r="U9">
            <v>32.7470105187528</v>
          </cell>
          <cell r="V9">
            <v>32.1179796709389</v>
          </cell>
          <cell r="W9">
            <v>26.2946958143262</v>
          </cell>
          <cell r="X9">
            <v>25.5762697491388</v>
          </cell>
          <cell r="Y9">
            <v>29.3237913553796</v>
          </cell>
          <cell r="Z9">
            <v>24.3139836848042</v>
          </cell>
          <cell r="AA9">
            <v>0</v>
          </cell>
          <cell r="AB9">
            <v>16.5926016733203</v>
          </cell>
          <cell r="AC9">
            <v>28.4956511366224</v>
          </cell>
          <cell r="AD9">
            <v>29.2201168434857</v>
          </cell>
          <cell r="AE9">
            <v>29.6641442122084</v>
          </cell>
          <cell r="AF9">
            <v>35.7421703410227</v>
          </cell>
        </row>
        <row r="9">
          <cell r="AJ9">
            <v>70.674272576433</v>
          </cell>
          <cell r="AK9">
            <v>69.3167044536289</v>
          </cell>
          <cell r="AL9">
            <v>56.7489511212597</v>
          </cell>
          <cell r="AM9">
            <v>55.1984511289629</v>
          </cell>
          <cell r="AN9">
            <v>63.286315006915</v>
          </cell>
          <cell r="AO9">
            <v>52.4741978928048</v>
          </cell>
          <cell r="AP9">
            <v>0</v>
          </cell>
          <cell r="AQ9">
            <v>35.8099879908391</v>
          </cell>
          <cell r="AR9">
            <v>61.4990310190091</v>
          </cell>
          <cell r="AS9">
            <v>63.0625657059331</v>
          </cell>
          <cell r="AT9">
            <v>64.020861159209</v>
          </cell>
          <cell r="AU9">
            <v>77.1383967311513</v>
          </cell>
        </row>
        <row r="10">
          <cell r="F10">
            <v>253.10631128187</v>
          </cell>
          <cell r="G10">
            <v>241.029165519993</v>
          </cell>
          <cell r="H10">
            <v>233.49670878845</v>
          </cell>
          <cell r="I10">
            <v>268.275871570208</v>
          </cell>
          <cell r="J10">
            <v>282.749392783351</v>
          </cell>
          <cell r="K10">
            <v>255.5638429857</v>
          </cell>
          <cell r="L10">
            <v>282.749392783351</v>
          </cell>
          <cell r="M10">
            <v>0</v>
          </cell>
          <cell r="N10">
            <v>126.912599028392</v>
          </cell>
          <cell r="O10">
            <v>266.844739439287</v>
          </cell>
          <cell r="P10">
            <v>255.386548320446</v>
          </cell>
          <cell r="Q10">
            <v>282.749392783351</v>
          </cell>
        </row>
        <row r="10">
          <cell r="U10">
            <v>43.5544538331261</v>
          </cell>
          <cell r="V10">
            <v>41.4762224178066</v>
          </cell>
          <cell r="W10">
            <v>40.1800396505637</v>
          </cell>
          <cell r="X10">
            <v>46.1648269601377</v>
          </cell>
          <cell r="Y10">
            <v>48.6554259036724</v>
          </cell>
          <cell r="Z10">
            <v>43.9773451099016</v>
          </cell>
          <cell r="AA10">
            <v>48.6554259036724</v>
          </cell>
          <cell r="AB10">
            <v>0</v>
          </cell>
          <cell r="AC10">
            <v>21.8390798207649</v>
          </cell>
          <cell r="AD10">
            <v>45.9185581965909</v>
          </cell>
          <cell r="AE10">
            <v>43.9468363000912</v>
          </cell>
          <cell r="AF10">
            <v>48.6554259036724</v>
          </cell>
        </row>
        <row r="10">
          <cell r="AJ10">
            <v>84.1194001753547</v>
          </cell>
          <cell r="AK10">
            <v>80.1055837984565</v>
          </cell>
          <cell r="AL10">
            <v>77.6021861593572</v>
          </cell>
          <cell r="AM10">
            <v>89.1609746264862</v>
          </cell>
          <cell r="AN10">
            <v>93.9712218175133</v>
          </cell>
          <cell r="AO10">
            <v>84.9361561534697</v>
          </cell>
          <cell r="AP10">
            <v>93.9712218175133</v>
          </cell>
          <cell r="AQ10">
            <v>0</v>
          </cell>
          <cell r="AR10">
            <v>42.1791604124583</v>
          </cell>
          <cell r="AS10">
            <v>88.6853405902782</v>
          </cell>
          <cell r="AT10">
            <v>84.8772326093669</v>
          </cell>
          <cell r="AU10">
            <v>93.9712218175133</v>
          </cell>
        </row>
        <row r="11">
          <cell r="F11">
            <v>113.897840076842</v>
          </cell>
          <cell r="G11">
            <v>108.151642739632</v>
          </cell>
          <cell r="H11">
            <v>104.662880070611</v>
          </cell>
          <cell r="I11">
            <v>120.080132747679</v>
          </cell>
          <cell r="J11">
            <v>63.6186133762538</v>
          </cell>
          <cell r="K11">
            <v>0</v>
          </cell>
          <cell r="L11">
            <v>127.237226752508</v>
          </cell>
          <cell r="M11">
            <v>116.206580078399</v>
          </cell>
          <cell r="N11">
            <v>112.923038742851</v>
          </cell>
          <cell r="O11">
            <v>119.450129490429</v>
          </cell>
          <cell r="P11">
            <v>114.923946744201</v>
          </cell>
          <cell r="Q11">
            <v>127.237226752508</v>
          </cell>
        </row>
        <row r="11">
          <cell r="U11">
            <v>23.4267010711423</v>
          </cell>
          <cell r="V11">
            <v>22.2448134495351</v>
          </cell>
          <cell r="W11">
            <v>21.5272388221307</v>
          </cell>
          <cell r="X11">
            <v>24.698285521175</v>
          </cell>
          <cell r="Y11">
            <v>13.0851843820795</v>
          </cell>
          <cell r="Z11">
            <v>0</v>
          </cell>
          <cell r="AA11">
            <v>26.1703687641589</v>
          </cell>
          <cell r="AB11">
            <v>23.9015666333952</v>
          </cell>
          <cell r="AC11">
            <v>23.2262022781911</v>
          </cell>
          <cell r="AD11">
            <v>24.5687053818898</v>
          </cell>
          <cell r="AE11">
            <v>23.6377524321436</v>
          </cell>
          <cell r="AF11">
            <v>26.1703687641589</v>
          </cell>
        </row>
        <row r="11">
          <cell r="AJ11">
            <v>39.9380811769013</v>
          </cell>
          <cell r="AK11">
            <v>37.9231869914</v>
          </cell>
          <cell r="AL11">
            <v>36.6998583787741</v>
          </cell>
          <cell r="AM11">
            <v>42.1058914389808</v>
          </cell>
          <cell r="AN11">
            <v>22.3077570537647</v>
          </cell>
          <cell r="AO11">
            <v>0</v>
          </cell>
          <cell r="AP11">
            <v>44.6155141075293</v>
          </cell>
          <cell r="AQ11">
            <v>40.7476368764331</v>
          </cell>
          <cell r="AR11">
            <v>39.5962687704323</v>
          </cell>
          <cell r="AS11">
            <v>41.8849818834283</v>
          </cell>
          <cell r="AT11">
            <v>40.2978837100265</v>
          </cell>
          <cell r="AU11">
            <v>44.6155141075293</v>
          </cell>
        </row>
        <row r="12">
          <cell r="F12">
            <v>112.434405267878</v>
          </cell>
          <cell r="G12">
            <v>108.151642739632</v>
          </cell>
          <cell r="H12">
            <v>104.662880070611</v>
          </cell>
          <cell r="I12">
            <v>60.0400663738396</v>
          </cell>
          <cell r="J12">
            <v>127.237226752508</v>
          </cell>
          <cell r="K12">
            <v>113.094182070329</v>
          </cell>
          <cell r="L12">
            <v>127.237226752508</v>
          </cell>
          <cell r="M12">
            <v>116.206580078399</v>
          </cell>
          <cell r="N12">
            <v>112.923038742851</v>
          </cell>
          <cell r="O12">
            <v>117.69443474607</v>
          </cell>
          <cell r="P12">
            <v>114.923946744201</v>
          </cell>
          <cell r="Q12">
            <v>127.237226752508</v>
          </cell>
        </row>
        <row r="12">
          <cell r="U12">
            <v>21.1704078932125</v>
          </cell>
          <cell r="V12">
            <v>20.3640014430097</v>
          </cell>
          <cell r="W12">
            <v>19.7070981706545</v>
          </cell>
          <cell r="X12">
            <v>11.3050155069649</v>
          </cell>
          <cell r="Y12">
            <v>23.957648756482</v>
          </cell>
          <cell r="Z12">
            <v>21.2946380520601</v>
          </cell>
          <cell r="AA12">
            <v>23.957648756482</v>
          </cell>
          <cell r="AB12">
            <v>21.8806751747708</v>
          </cell>
          <cell r="AC12">
            <v>21.2624132713777</v>
          </cell>
          <cell r="AD12">
            <v>22.1608250997458</v>
          </cell>
          <cell r="AE12">
            <v>21.6391666187579</v>
          </cell>
          <cell r="AF12">
            <v>23.957648756482</v>
          </cell>
        </row>
        <row r="12">
          <cell r="AJ12">
            <v>39.4249302852069</v>
          </cell>
          <cell r="AK12">
            <v>37.9231869914</v>
          </cell>
          <cell r="AL12">
            <v>36.6998583787742</v>
          </cell>
          <cell r="AM12">
            <v>21.0529457194904</v>
          </cell>
          <cell r="AN12">
            <v>44.6155141075294</v>
          </cell>
          <cell r="AO12">
            <v>39.6562798830319</v>
          </cell>
          <cell r="AP12">
            <v>44.6155141075294</v>
          </cell>
          <cell r="AQ12">
            <v>40.7476368764331</v>
          </cell>
          <cell r="AR12">
            <v>39.5962687704323</v>
          </cell>
          <cell r="AS12">
            <v>41.2693505494647</v>
          </cell>
          <cell r="AT12">
            <v>40.2978837100265</v>
          </cell>
          <cell r="AU12">
            <v>44.6155141075294</v>
          </cell>
        </row>
        <row r="13">
          <cell r="F13">
            <v>109.280360073726</v>
          </cell>
          <cell r="G13">
            <v>108.151642739632</v>
          </cell>
          <cell r="H13">
            <v>104.662880070611</v>
          </cell>
          <cell r="I13">
            <v>119.701481514267</v>
          </cell>
          <cell r="J13">
            <v>62.7180133081152</v>
          </cell>
          <cell r="K13">
            <v>110.269307942007</v>
          </cell>
          <cell r="L13">
            <v>127.237226752508</v>
          </cell>
          <cell r="M13">
            <v>116.206580078399</v>
          </cell>
          <cell r="N13">
            <v>112.923038742851</v>
          </cell>
          <cell r="O13">
            <v>117.638100526376</v>
          </cell>
          <cell r="P13">
            <v>114.923946744201</v>
          </cell>
          <cell r="Q13">
            <v>127.237226752508</v>
          </cell>
        </row>
        <row r="13">
          <cell r="U13">
            <v>20.7449359220037</v>
          </cell>
          <cell r="V13">
            <v>20.5306689782084</v>
          </cell>
          <cell r="W13">
            <v>19.86838933375</v>
          </cell>
          <cell r="X13">
            <v>22.7232007847254</v>
          </cell>
          <cell r="Y13">
            <v>11.905901173408</v>
          </cell>
          <cell r="Z13">
            <v>20.9326701145325</v>
          </cell>
          <cell r="AA13">
            <v>24.1537282096569</v>
          </cell>
          <cell r="AB13">
            <v>22.0597558043842</v>
          </cell>
          <cell r="AC13">
            <v>21.4364337860705</v>
          </cell>
          <cell r="AD13">
            <v>22.3315045426231</v>
          </cell>
          <cell r="AE13">
            <v>21.8162706409804</v>
          </cell>
          <cell r="AF13">
            <v>24.1537282096569</v>
          </cell>
        </row>
        <row r="13">
          <cell r="AJ13">
            <v>38.3189697778377</v>
          </cell>
          <cell r="AK13">
            <v>37.9231869914</v>
          </cell>
          <cell r="AL13">
            <v>36.6998583787742</v>
          </cell>
          <cell r="AM13">
            <v>41.973118037066</v>
          </cell>
          <cell r="AN13">
            <v>21.9919631931877</v>
          </cell>
          <cell r="AO13">
            <v>38.6657426421562</v>
          </cell>
          <cell r="AP13">
            <v>44.6155141075294</v>
          </cell>
          <cell r="AQ13">
            <v>40.7476368764331</v>
          </cell>
          <cell r="AR13">
            <v>39.5962687704323</v>
          </cell>
          <cell r="AS13">
            <v>41.249597052492</v>
          </cell>
          <cell r="AT13">
            <v>40.2978837100265</v>
          </cell>
          <cell r="AU13">
            <v>44.6155141075294</v>
          </cell>
        </row>
        <row r="14">
          <cell r="F14">
            <v>109.280360073726</v>
          </cell>
          <cell r="G14">
            <v>0</v>
          </cell>
          <cell r="H14">
            <v>52.3314400353056</v>
          </cell>
          <cell r="I14">
            <v>115.551405705422</v>
          </cell>
          <cell r="J14">
            <v>123.872766542242</v>
          </cell>
          <cell r="K14">
            <v>105.997488827343</v>
          </cell>
          <cell r="L14">
            <v>127.237226752508</v>
          </cell>
          <cell r="M14">
            <v>115.726009573531</v>
          </cell>
          <cell r="N14">
            <v>112.923038742851</v>
          </cell>
          <cell r="O14">
            <v>115.30873674446</v>
          </cell>
          <cell r="P14">
            <v>114.923946744201</v>
          </cell>
          <cell r="Q14">
            <v>127.237226752508</v>
          </cell>
        </row>
        <row r="14">
          <cell r="U14">
            <v>22.6243056916565</v>
          </cell>
          <cell r="V14">
            <v>0</v>
          </cell>
          <cell r="W14">
            <v>10.8341745565679</v>
          </cell>
          <cell r="X14">
            <v>23.9225998524929</v>
          </cell>
          <cell r="Y14">
            <v>25.6453706341389</v>
          </cell>
          <cell r="Z14">
            <v>21.9446530754461</v>
          </cell>
          <cell r="AA14">
            <v>26.3419146081258</v>
          </cell>
          <cell r="AB14">
            <v>23.9587480797165</v>
          </cell>
          <cell r="AC14">
            <v>23.3784492147117</v>
          </cell>
          <cell r="AD14">
            <v>23.872360113614</v>
          </cell>
          <cell r="AE14">
            <v>23.792697065404</v>
          </cell>
          <cell r="AF14">
            <v>26.3419146081258</v>
          </cell>
        </row>
        <row r="14">
          <cell r="AJ14">
            <v>38.3189697778377</v>
          </cell>
          <cell r="AK14">
            <v>0</v>
          </cell>
          <cell r="AL14">
            <v>18.3499291893871</v>
          </cell>
          <cell r="AM14">
            <v>40.517901112565</v>
          </cell>
          <cell r="AN14">
            <v>43.4357719376742</v>
          </cell>
          <cell r="AO14">
            <v>37.1678366374471</v>
          </cell>
          <cell r="AP14">
            <v>44.6155141075294</v>
          </cell>
          <cell r="AQ14">
            <v>40.579125657768</v>
          </cell>
          <cell r="AR14">
            <v>39.5962687704323</v>
          </cell>
          <cell r="AS14">
            <v>40.4328096599485</v>
          </cell>
          <cell r="AT14">
            <v>40.2978837100265</v>
          </cell>
          <cell r="AU14">
            <v>44.6155141075294</v>
          </cell>
        </row>
        <row r="15">
          <cell r="F15">
            <v>323.793659477708</v>
          </cell>
          <cell r="G15">
            <v>320.44931182113</v>
          </cell>
          <cell r="H15">
            <v>310.112237246255</v>
          </cell>
          <cell r="I15">
            <v>340.85868356626</v>
          </cell>
          <cell r="J15">
            <v>347.036219334167</v>
          </cell>
          <cell r="K15">
            <v>310.112237246255</v>
          </cell>
          <cell r="L15">
            <v>376.999190377801</v>
          </cell>
          <cell r="M15">
            <v>168.73754085458</v>
          </cell>
          <cell r="N15">
            <v>324.847283091199</v>
          </cell>
          <cell r="O15">
            <v>333.276016805055</v>
          </cell>
          <cell r="P15">
            <v>340.515397760594</v>
          </cell>
          <cell r="Q15">
            <v>376.999190377801</v>
          </cell>
        </row>
        <row r="15">
          <cell r="U15">
            <v>85.1354393509139</v>
          </cell>
          <cell r="V15">
            <v>84.2561061745194</v>
          </cell>
          <cell r="W15">
            <v>81.538167265664</v>
          </cell>
          <cell r="X15">
            <v>89.6223657646562</v>
          </cell>
          <cell r="Y15">
            <v>91.246632350219</v>
          </cell>
          <cell r="Z15">
            <v>81.538167265664</v>
          </cell>
          <cell r="AA15">
            <v>99.1248307935523</v>
          </cell>
          <cell r="AB15">
            <v>44.3663557180819</v>
          </cell>
          <cell r="AC15">
            <v>85.4124698196072</v>
          </cell>
          <cell r="AD15">
            <v>87.6286464706835</v>
          </cell>
          <cell r="AE15">
            <v>89.532105232886</v>
          </cell>
          <cell r="AF15">
            <v>99.1248307935523</v>
          </cell>
        </row>
        <row r="15">
          <cell r="AJ15">
            <v>114.305176115814</v>
          </cell>
          <cell r="AK15">
            <v>113.124559273303</v>
          </cell>
          <cell r="AL15">
            <v>109.475379941906</v>
          </cell>
          <cell r="AM15">
            <v>120.329446594145</v>
          </cell>
          <cell r="AN15">
            <v>122.510231465138</v>
          </cell>
          <cell r="AO15">
            <v>109.475379941906</v>
          </cell>
          <cell r="AP15">
            <v>133.087716792121</v>
          </cell>
          <cell r="AQ15">
            <v>59.5674861448606</v>
          </cell>
          <cell r="AR15">
            <v>114.677124821956</v>
          </cell>
          <cell r="AS15">
            <v>117.652624382848</v>
          </cell>
          <cell r="AT15">
            <v>120.208260328367</v>
          </cell>
          <cell r="AU15">
            <v>133.087716792121</v>
          </cell>
        </row>
        <row r="15">
          <cell r="AW15">
            <v>1.77453501448781</v>
          </cell>
        </row>
        <row r="16">
          <cell r="F16">
            <v>323.793659477708</v>
          </cell>
          <cell r="G16">
            <v>320.44931182113</v>
          </cell>
          <cell r="H16">
            <v>310.112237246255</v>
          </cell>
          <cell r="I16">
            <v>328.58241637372</v>
          </cell>
          <cell r="J16">
            <v>325.327070448318</v>
          </cell>
          <cell r="K16">
            <v>301.450291396343</v>
          </cell>
          <cell r="L16">
            <v>369.367100204056</v>
          </cell>
          <cell r="M16">
            <v>336.804600086418</v>
          </cell>
          <cell r="N16">
            <v>160.224655910565</v>
          </cell>
          <cell r="O16">
            <v>314.895755513159</v>
          </cell>
          <cell r="P16">
            <v>323.074242154307</v>
          </cell>
          <cell r="Q16">
            <v>376.999190377801</v>
          </cell>
        </row>
        <row r="16">
          <cell r="U16">
            <v>86.9916362893002</v>
          </cell>
          <cell r="V16">
            <v>86.0931311257487</v>
          </cell>
          <cell r="W16">
            <v>83.3159333474988</v>
          </cell>
          <cell r="X16">
            <v>88.2782019337533</v>
          </cell>
          <cell r="Y16">
            <v>87.4036083138683</v>
          </cell>
          <cell r="Z16">
            <v>80.9887820248057</v>
          </cell>
          <cell r="AA16">
            <v>99.235570239438</v>
          </cell>
          <cell r="AB16">
            <v>90.4872050877762</v>
          </cell>
          <cell r="AC16">
            <v>43.0465655628744</v>
          </cell>
          <cell r="AD16">
            <v>84.6010915619274</v>
          </cell>
          <cell r="AE16">
            <v>86.798354894481</v>
          </cell>
          <cell r="AF16">
            <v>101.286036618528</v>
          </cell>
        </row>
        <row r="16">
          <cell r="AJ16">
            <v>114.305176115814</v>
          </cell>
          <cell r="AK16">
            <v>113.124559273303</v>
          </cell>
          <cell r="AL16">
            <v>109.475379941906</v>
          </cell>
          <cell r="AM16">
            <v>115.99569624909</v>
          </cell>
          <cell r="AN16">
            <v>114.846498670851</v>
          </cell>
          <cell r="AO16">
            <v>106.417552165176</v>
          </cell>
          <cell r="AP16">
            <v>130.39344719818</v>
          </cell>
          <cell r="AQ16">
            <v>118.898279823002</v>
          </cell>
          <cell r="AR16">
            <v>56.5622796366515</v>
          </cell>
          <cell r="AS16">
            <v>111.164050741802</v>
          </cell>
          <cell r="AT16">
            <v>114.051208437803</v>
          </cell>
          <cell r="AU16">
            <v>133.087716792121</v>
          </cell>
        </row>
        <row r="17">
          <cell r="F17">
            <v>323.793659477708</v>
          </cell>
          <cell r="G17">
            <v>0</v>
          </cell>
          <cell r="H17">
            <v>153.182366075809</v>
          </cell>
          <cell r="I17">
            <v>309.107251775493</v>
          </cell>
          <cell r="J17">
            <v>307.742327705847</v>
          </cell>
          <cell r="K17">
            <v>289.395091012978</v>
          </cell>
          <cell r="L17">
            <v>357.640765319115</v>
          </cell>
          <cell r="M17">
            <v>330.634370593434</v>
          </cell>
          <cell r="N17">
            <v>320.44931182113</v>
          </cell>
          <cell r="O17">
            <v>300.582583250233</v>
          </cell>
          <cell r="P17">
            <v>305.142690072685</v>
          </cell>
          <cell r="Q17">
            <v>376.999190377801</v>
          </cell>
        </row>
        <row r="17">
          <cell r="U17">
            <v>97.725803428532</v>
          </cell>
          <cell r="V17">
            <v>0</v>
          </cell>
          <cell r="W17">
            <v>46.2327453230213</v>
          </cell>
          <cell r="X17">
            <v>93.2932243765117</v>
          </cell>
          <cell r="Y17">
            <v>92.8812697337298</v>
          </cell>
          <cell r="Z17">
            <v>87.3437973527197</v>
          </cell>
          <cell r="AA17">
            <v>107.941369778465</v>
          </cell>
          <cell r="AB17">
            <v>99.7904330784305</v>
          </cell>
          <cell r="AC17">
            <v>96.716428933026</v>
          </cell>
          <cell r="AD17">
            <v>90.7203510165552</v>
          </cell>
          <cell r="AE17">
            <v>92.0966599401546</v>
          </cell>
          <cell r="AF17">
            <v>113.784034038854</v>
          </cell>
        </row>
        <row r="17">
          <cell r="AJ17">
            <v>114.305176115814</v>
          </cell>
          <cell r="AK17">
            <v>0</v>
          </cell>
          <cell r="AL17">
            <v>54.0762205176469</v>
          </cell>
          <cell r="AM17">
            <v>109.120601403578</v>
          </cell>
          <cell r="AN17">
            <v>108.638757854148</v>
          </cell>
          <cell r="AO17">
            <v>102.161842509976</v>
          </cell>
          <cell r="AP17">
            <v>126.253833172451</v>
          </cell>
          <cell r="AQ17">
            <v>116.720074202767</v>
          </cell>
          <cell r="AR17">
            <v>113.124559273303</v>
          </cell>
          <cell r="AS17">
            <v>106.111235072315</v>
          </cell>
          <cell r="AT17">
            <v>107.721037482554</v>
          </cell>
          <cell r="AU17">
            <v>133.087716792121</v>
          </cell>
        </row>
        <row r="18">
          <cell r="F18">
            <v>0</v>
          </cell>
          <cell r="G18">
            <v>317.842769340846</v>
          </cell>
          <cell r="H18">
            <v>286.878036123187</v>
          </cell>
          <cell r="I18">
            <v>278.896270324251</v>
          </cell>
          <cell r="J18">
            <v>299.243107362379</v>
          </cell>
          <cell r="K18">
            <v>258.726081786991</v>
          </cell>
          <cell r="L18">
            <v>348.850071654096</v>
          </cell>
          <cell r="M18">
            <v>0</v>
          </cell>
          <cell r="N18">
            <v>159.281887935417</v>
          </cell>
          <cell r="O18">
            <v>288.01634595127</v>
          </cell>
          <cell r="P18">
            <v>297.045033771862</v>
          </cell>
          <cell r="Q18">
            <v>376.999190377801</v>
          </cell>
        </row>
        <row r="18">
          <cell r="U18">
            <v>0</v>
          </cell>
          <cell r="V18">
            <v>101.914872590813</v>
          </cell>
          <cell r="W18">
            <v>91.9861683851745</v>
          </cell>
          <cell r="X18">
            <v>89.4268506252165</v>
          </cell>
          <cell r="Y18">
            <v>95.9509735702414</v>
          </cell>
          <cell r="Z18">
            <v>82.9593692375775</v>
          </cell>
          <cell r="AA18">
            <v>111.857226387922</v>
          </cell>
          <cell r="AB18">
            <v>0</v>
          </cell>
          <cell r="AC18">
            <v>51.0730300664922</v>
          </cell>
          <cell r="AD18">
            <v>92.3511623768217</v>
          </cell>
          <cell r="AE18">
            <v>95.2461710341088</v>
          </cell>
          <cell r="AF18">
            <v>120.883116308966</v>
          </cell>
        </row>
        <row r="18">
          <cell r="AJ18">
            <v>0</v>
          </cell>
          <cell r="AK18">
            <v>112.204401362419</v>
          </cell>
          <cell r="AL18">
            <v>101.273275380728</v>
          </cell>
          <cell r="AM18">
            <v>98.4555637960288</v>
          </cell>
          <cell r="AN18">
            <v>105.638375203746</v>
          </cell>
          <cell r="AO18">
            <v>91.3351125902836</v>
          </cell>
          <cell r="AP18">
            <v>123.150555025556</v>
          </cell>
          <cell r="AQ18">
            <v>0</v>
          </cell>
          <cell r="AR18">
            <v>56.2294650299371</v>
          </cell>
          <cell r="AS18">
            <v>101.675119893629</v>
          </cell>
          <cell r="AT18">
            <v>104.862414398075</v>
          </cell>
          <cell r="AU18">
            <v>133.087716792121</v>
          </cell>
        </row>
        <row r="19">
          <cell r="F19">
            <v>0</v>
          </cell>
          <cell r="G19">
            <v>0</v>
          </cell>
          <cell r="H19">
            <v>137.785625044504</v>
          </cell>
          <cell r="I19">
            <v>263.191340601426</v>
          </cell>
          <cell r="J19">
            <v>299.243107362379</v>
          </cell>
          <cell r="K19">
            <v>241.705126088993</v>
          </cell>
          <cell r="L19">
            <v>340.944989777931</v>
          </cell>
          <cell r="M19">
            <v>329.208785308987</v>
          </cell>
          <cell r="N19">
            <v>294.222390120544</v>
          </cell>
          <cell r="O19">
            <v>285.105637723212</v>
          </cell>
          <cell r="P19">
            <v>289.438088096505</v>
          </cell>
          <cell r="Q19">
            <v>368.195892589524</v>
          </cell>
        </row>
        <row r="19">
          <cell r="U19">
            <v>0</v>
          </cell>
          <cell r="V19">
            <v>0</v>
          </cell>
          <cell r="W19">
            <v>41.0483909341397</v>
          </cell>
          <cell r="X19">
            <v>78.4086223508308</v>
          </cell>
          <cell r="Y19">
            <v>89.1489808997872</v>
          </cell>
          <cell r="Z19">
            <v>72.0075588674938</v>
          </cell>
          <cell r="AA19">
            <v>101.572593098304</v>
          </cell>
          <cell r="AB19">
            <v>98.0762028981749</v>
          </cell>
          <cell r="AC19">
            <v>87.6532344164654</v>
          </cell>
          <cell r="AD19">
            <v>84.9372180226319</v>
          </cell>
          <cell r="AE19">
            <v>86.2279195495021</v>
          </cell>
          <cell r="AF19">
            <v>109.691043129337</v>
          </cell>
        </row>
        <row r="19">
          <cell r="AJ19">
            <v>0</v>
          </cell>
          <cell r="AK19">
            <v>0</v>
          </cell>
          <cell r="AL19">
            <v>48.6408849461234</v>
          </cell>
          <cell r="AM19">
            <v>92.9114318919339</v>
          </cell>
          <cell r="AN19">
            <v>105.638375203746</v>
          </cell>
          <cell r="AO19">
            <v>85.3263990723679</v>
          </cell>
          <cell r="AP19">
            <v>120.359914289964</v>
          </cell>
          <cell r="AQ19">
            <v>116.216816117758</v>
          </cell>
          <cell r="AR19">
            <v>103.865968759836</v>
          </cell>
          <cell r="AS19">
            <v>100.647585824042</v>
          </cell>
          <cell r="AT19">
            <v>102.177021279112</v>
          </cell>
          <cell r="AU19">
            <v>129.979989155601</v>
          </cell>
        </row>
        <row r="20">
          <cell r="F20">
            <v>205.669460075738</v>
          </cell>
          <cell r="G20">
            <v>0</v>
          </cell>
          <cell r="H20">
            <v>77.8130889413858</v>
          </cell>
          <cell r="I20">
            <v>166.115268260218</v>
          </cell>
          <cell r="J20">
            <v>203.053490634263</v>
          </cell>
          <cell r="K20">
            <v>159.753054022308</v>
          </cell>
          <cell r="L20">
            <v>223.188961849441</v>
          </cell>
          <cell r="M20">
            <v>0</v>
          </cell>
          <cell r="N20">
            <v>173.013212166853</v>
          </cell>
          <cell r="O20">
            <v>182.742423197273</v>
          </cell>
          <cell r="P20">
            <v>193.282806359277</v>
          </cell>
          <cell r="Q20">
            <v>235.03543275116</v>
          </cell>
        </row>
        <row r="20">
          <cell r="U20">
            <v>53.3714082234932</v>
          </cell>
          <cell r="V20">
            <v>0</v>
          </cell>
          <cell r="W20">
            <v>20.1925659429083</v>
          </cell>
          <cell r="X20">
            <v>43.1070601887434</v>
          </cell>
          <cell r="Y20">
            <v>52.6925618215543</v>
          </cell>
          <cell r="Z20">
            <v>41.4560599227252</v>
          </cell>
          <cell r="AA20">
            <v>57.9177345506601</v>
          </cell>
          <cell r="AB20">
            <v>0</v>
          </cell>
          <cell r="AC20">
            <v>44.897082781345</v>
          </cell>
          <cell r="AD20">
            <v>47.4218217163617</v>
          </cell>
          <cell r="AE20">
            <v>50.1570605426034</v>
          </cell>
          <cell r="AF20">
            <v>60.9919043096051</v>
          </cell>
        </row>
        <row r="20">
          <cell r="AJ20">
            <v>80.5962685715701</v>
          </cell>
          <cell r="AK20">
            <v>0</v>
          </cell>
          <cell r="AL20">
            <v>30.4928335611613</v>
          </cell>
          <cell r="AM20">
            <v>65.0960564082228</v>
          </cell>
          <cell r="AN20">
            <v>79.5711412843078</v>
          </cell>
          <cell r="AO20">
            <v>62.6028776580102</v>
          </cell>
          <cell r="AP20">
            <v>87.4616849035501</v>
          </cell>
          <cell r="AQ20">
            <v>0</v>
          </cell>
          <cell r="AR20">
            <v>67.7991730473484</v>
          </cell>
          <cell r="AS20">
            <v>71.6117862807789</v>
          </cell>
          <cell r="AT20">
            <v>75.7422758141265</v>
          </cell>
          <cell r="AU20">
            <v>92.1039947052514</v>
          </cell>
        </row>
        <row r="21">
          <cell r="F21">
            <v>200.879958795213</v>
          </cell>
          <cell r="G21">
            <v>229.733881636472</v>
          </cell>
          <cell r="H21">
            <v>0</v>
          </cell>
          <cell r="I21">
            <v>83.0576341301092</v>
          </cell>
          <cell r="J21">
            <v>192.915363714231</v>
          </cell>
          <cell r="K21">
            <v>155.626177882772</v>
          </cell>
          <cell r="L21">
            <v>213.863731140463</v>
          </cell>
          <cell r="M21">
            <v>0</v>
          </cell>
          <cell r="N21">
            <v>171.416819374906</v>
          </cell>
          <cell r="O21">
            <v>171.416819374906</v>
          </cell>
          <cell r="P21">
            <v>193.136077167337</v>
          </cell>
          <cell r="Q21">
            <v>232.96594056995</v>
          </cell>
        </row>
        <row r="21">
          <cell r="U21">
            <v>51.4124311451875</v>
          </cell>
          <cell r="V21">
            <v>58.7971913285419</v>
          </cell>
          <cell r="W21">
            <v>0</v>
          </cell>
          <cell r="X21">
            <v>21.2574460957036</v>
          </cell>
          <cell r="Y21">
            <v>49.3740038244325</v>
          </cell>
          <cell r="Z21">
            <v>39.830355416109</v>
          </cell>
          <cell r="AA21">
            <v>54.7354470682713</v>
          </cell>
          <cell r="AB21">
            <v>0</v>
          </cell>
          <cell r="AC21">
            <v>43.8717504528351</v>
          </cell>
          <cell r="AD21">
            <v>43.8717504528351</v>
          </cell>
          <cell r="AE21">
            <v>49.4304923625558</v>
          </cell>
          <cell r="AF21">
            <v>59.624391853528</v>
          </cell>
        </row>
        <row r="21">
          <cell r="AJ21">
            <v>78.7193932620958</v>
          </cell>
          <cell r="AK21">
            <v>90.0264609900954</v>
          </cell>
          <cell r="AL21">
            <v>0</v>
          </cell>
          <cell r="AM21">
            <v>32.5480282041114</v>
          </cell>
          <cell r="AN21">
            <v>75.5982850335127</v>
          </cell>
          <cell r="AO21">
            <v>60.9856671223227</v>
          </cell>
          <cell r="AP21">
            <v>83.8073805725331</v>
          </cell>
          <cell r="AQ21">
            <v>0</v>
          </cell>
          <cell r="AR21">
            <v>67.1735901233788</v>
          </cell>
          <cell r="AS21">
            <v>67.1735901233788</v>
          </cell>
          <cell r="AT21">
            <v>75.6847766338569</v>
          </cell>
          <cell r="AU21">
            <v>91.2930169957646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2"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</row>
        <row r="23">
          <cell r="F23">
            <v>114.888039140512</v>
          </cell>
          <cell r="G23">
            <v>111.992841623491</v>
          </cell>
          <cell r="H23">
            <v>108.72063174003</v>
          </cell>
          <cell r="I23">
            <v>127.15546212081</v>
          </cell>
          <cell r="J23">
            <v>128.343395075888</v>
          </cell>
          <cell r="K23">
            <v>0</v>
          </cell>
          <cell r="L23">
            <v>128.343395075888</v>
          </cell>
          <cell r="M23">
            <v>58.9136223501456</v>
          </cell>
          <cell r="N23">
            <v>118.394808627395</v>
          </cell>
          <cell r="O23">
            <v>121.905060659129</v>
          </cell>
          <cell r="P23">
            <v>115.923066520157</v>
          </cell>
          <cell r="Q23">
            <v>128.343395075888</v>
          </cell>
        </row>
        <row r="23">
          <cell r="U23">
            <v>20.1619150153883</v>
          </cell>
          <cell r="V23">
            <v>19.6538314348202</v>
          </cell>
          <cell r="W23">
            <v>19.0795852550055</v>
          </cell>
          <cell r="X23">
            <v>22.3147478205864</v>
          </cell>
          <cell r="Y23">
            <v>22.5232203775509</v>
          </cell>
          <cell r="Z23">
            <v>0</v>
          </cell>
          <cell r="AA23">
            <v>22.5232203775509</v>
          </cell>
          <cell r="AB23">
            <v>10.33886082449</v>
          </cell>
          <cell r="AC23">
            <v>20.7773244949304</v>
          </cell>
          <cell r="AD23">
            <v>21.3933451327259</v>
          </cell>
          <cell r="AE23">
            <v>20.3435538894008</v>
          </cell>
          <cell r="AF23">
            <v>22.5232203775509</v>
          </cell>
        </row>
        <row r="23">
          <cell r="AJ23">
            <v>32.5152871338226</v>
          </cell>
          <cell r="AK23">
            <v>31.6958965403426</v>
          </cell>
          <cell r="AL23">
            <v>30.7698049757305</v>
          </cell>
          <cell r="AM23">
            <v>35.9871784079749</v>
          </cell>
          <cell r="AN23">
            <v>36.3233838251711</v>
          </cell>
          <cell r="AO23">
            <v>0</v>
          </cell>
          <cell r="AP23">
            <v>36.3233838251711</v>
          </cell>
          <cell r="AQ23">
            <v>16.6735663794011</v>
          </cell>
          <cell r="AR23">
            <v>33.5077630924265</v>
          </cell>
          <cell r="AS23">
            <v>34.5012246710014</v>
          </cell>
          <cell r="AT23">
            <v>32.8082176485417</v>
          </cell>
          <cell r="AU23">
            <v>36.3233838251711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4"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F25">
            <v>0</v>
          </cell>
          <cell r="G25">
            <v>5.8716634069869</v>
          </cell>
          <cell r="H25">
            <v>7.74858871856891</v>
          </cell>
          <cell r="I25">
            <v>8.34049480123736</v>
          </cell>
          <cell r="J25">
            <v>9.34135417738582</v>
          </cell>
          <cell r="K25">
            <v>7.74858871856891</v>
          </cell>
          <cell r="L25">
            <v>11.3430729296827</v>
          </cell>
          <cell r="M25">
            <v>13.2371723942219</v>
          </cell>
          <cell r="N25">
            <v>8.67411459328684</v>
          </cell>
          <cell r="O25">
            <v>9.00773438533633</v>
          </cell>
          <cell r="P25">
            <v>10.5466902002743</v>
          </cell>
          <cell r="Q25">
            <v>12.0103125137817</v>
          </cell>
        </row>
        <row r="25">
          <cell r="U25">
            <v>0</v>
          </cell>
          <cell r="V25">
            <v>0.7471838629195</v>
          </cell>
          <cell r="W25">
            <v>0.986027305997395</v>
          </cell>
          <cell r="X25">
            <v>1.06134883631664</v>
          </cell>
          <cell r="Y25">
            <v>1.18871069667463</v>
          </cell>
          <cell r="Z25">
            <v>0.986027305997395</v>
          </cell>
          <cell r="AA25">
            <v>1.44343441739062</v>
          </cell>
          <cell r="AB25">
            <v>1.68446331441222</v>
          </cell>
          <cell r="AC25">
            <v>1.1038027897693</v>
          </cell>
          <cell r="AD25">
            <v>1.14625674322197</v>
          </cell>
          <cell r="AE25">
            <v>1.342092722052</v>
          </cell>
          <cell r="AF25">
            <v>1.52834232429595</v>
          </cell>
        </row>
        <row r="25">
          <cell r="AJ25">
            <v>0</v>
          </cell>
          <cell r="AK25">
            <v>2.3950529869594</v>
          </cell>
          <cell r="AL25">
            <v>3.16065129568654</v>
          </cell>
          <cell r="AM25">
            <v>3.40208993632926</v>
          </cell>
          <cell r="AN25">
            <v>3.81034072868876</v>
          </cell>
          <cell r="AO25">
            <v>3.16065129568654</v>
          </cell>
          <cell r="AP25">
            <v>4.62684231340776</v>
          </cell>
          <cell r="AQ25">
            <v>5.39944596346451</v>
          </cell>
          <cell r="AR25">
            <v>3.53817353378242</v>
          </cell>
          <cell r="AS25">
            <v>3.67425713123559</v>
          </cell>
          <cell r="AT25">
            <v>4.30199759690664</v>
          </cell>
          <cell r="AU25">
            <v>4.89900950831409</v>
          </cell>
        </row>
        <row r="25">
          <cell r="AW25">
            <v>0</v>
          </cell>
        </row>
        <row r="26">
          <cell r="F26">
            <v>10.3314516247585</v>
          </cell>
          <cell r="G26">
            <v>11.3430729296828</v>
          </cell>
          <cell r="H26">
            <v>7.74858871856891</v>
          </cell>
          <cell r="I26">
            <v>8.34049480123736</v>
          </cell>
          <cell r="J26">
            <v>9.34135417738582</v>
          </cell>
          <cell r="K26">
            <v>7.74858871856891</v>
          </cell>
          <cell r="L26">
            <v>11.3430729296827</v>
          </cell>
          <cell r="M26">
            <v>13.2371723942219</v>
          </cell>
          <cell r="N26">
            <v>8.67411459328684</v>
          </cell>
          <cell r="O26">
            <v>0</v>
          </cell>
          <cell r="P26">
            <v>5.27334510013723</v>
          </cell>
          <cell r="Q26">
            <v>12.0103125137817</v>
          </cell>
        </row>
        <row r="26">
          <cell r="U26">
            <v>1.29571966775101</v>
          </cell>
          <cell r="V26">
            <v>1.42259221855164</v>
          </cell>
          <cell r="W26">
            <v>0.971789750813265</v>
          </cell>
          <cell r="X26">
            <v>1.0460236901115</v>
          </cell>
          <cell r="Y26">
            <v>1.17154653292488</v>
          </cell>
          <cell r="Z26">
            <v>0.971789750813265</v>
          </cell>
          <cell r="AA26">
            <v>1.42259221855163</v>
          </cell>
          <cell r="AB26">
            <v>1.660140824306</v>
          </cell>
          <cell r="AC26">
            <v>1.08786463771596</v>
          </cell>
          <cell r="AD26">
            <v>0</v>
          </cell>
          <cell r="AE26">
            <v>0.661356913747923</v>
          </cell>
          <cell r="AF26">
            <v>1.50627411376055</v>
          </cell>
        </row>
        <row r="26">
          <cell r="AJ26">
            <v>4.21420172758202</v>
          </cell>
          <cell r="AK26">
            <v>4.6268423134078</v>
          </cell>
          <cell r="AL26">
            <v>3.16065129568654</v>
          </cell>
          <cell r="AM26">
            <v>3.40208993632926</v>
          </cell>
          <cell r="AN26">
            <v>3.81034072868876</v>
          </cell>
          <cell r="AO26">
            <v>3.16065129568654</v>
          </cell>
          <cell r="AP26">
            <v>4.62684231340776</v>
          </cell>
          <cell r="AQ26">
            <v>5.39944596346451</v>
          </cell>
          <cell r="AR26">
            <v>3.53817353378242</v>
          </cell>
          <cell r="AS26">
            <v>0</v>
          </cell>
          <cell r="AT26">
            <v>2.15099879845336</v>
          </cell>
          <cell r="AU26">
            <v>4.89900950831409</v>
          </cell>
        </row>
        <row r="27">
          <cell r="F27">
            <v>10.3314516247585</v>
          </cell>
          <cell r="G27">
            <v>11.3430729296828</v>
          </cell>
          <cell r="H27">
            <v>7.74858871856891</v>
          </cell>
          <cell r="I27">
            <v>8.34049480123736</v>
          </cell>
          <cell r="J27">
            <v>9.34135417738582</v>
          </cell>
          <cell r="K27">
            <v>7.74858871856891</v>
          </cell>
          <cell r="L27">
            <v>11.3430729296827</v>
          </cell>
          <cell r="M27">
            <v>13.2371723942219</v>
          </cell>
          <cell r="N27">
            <v>8.67411459328684</v>
          </cell>
          <cell r="O27">
            <v>8.67411459328684</v>
          </cell>
          <cell r="P27">
            <v>10.5466902002743</v>
          </cell>
          <cell r="Q27">
            <v>12.0103125137817</v>
          </cell>
        </row>
        <row r="27">
          <cell r="U27">
            <v>1.1442855718537</v>
          </cell>
          <cell r="V27">
            <v>1.25633020076438</v>
          </cell>
          <cell r="W27">
            <v>0.85821417889028</v>
          </cell>
          <cell r="X27">
            <v>0.923772206444398</v>
          </cell>
          <cell r="Y27">
            <v>1.03462487121772</v>
          </cell>
          <cell r="Z27">
            <v>0.85821417889028</v>
          </cell>
          <cell r="AA27">
            <v>1.25633020076437</v>
          </cell>
          <cell r="AB27">
            <v>1.46611588893756</v>
          </cell>
          <cell r="AC27">
            <v>0.960723094702173</v>
          </cell>
          <cell r="AD27">
            <v>0.960723094702173</v>
          </cell>
          <cell r="AE27">
            <v>1.16812485460065</v>
          </cell>
          <cell r="AF27">
            <v>1.33023197727992</v>
          </cell>
        </row>
        <row r="27">
          <cell r="AJ27">
            <v>4.21420172758202</v>
          </cell>
          <cell r="AK27">
            <v>4.62684231340779</v>
          </cell>
          <cell r="AL27">
            <v>3.16065129568654</v>
          </cell>
          <cell r="AM27">
            <v>3.40208993632926</v>
          </cell>
          <cell r="AN27">
            <v>3.81034072868875</v>
          </cell>
          <cell r="AO27">
            <v>3.16065129568654</v>
          </cell>
          <cell r="AP27">
            <v>4.62684231340775</v>
          </cell>
          <cell r="AQ27">
            <v>5.3994459634645</v>
          </cell>
          <cell r="AR27">
            <v>3.53817353378242</v>
          </cell>
          <cell r="AS27">
            <v>3.53817353378242</v>
          </cell>
          <cell r="AT27">
            <v>4.30199759690664</v>
          </cell>
          <cell r="AU27">
            <v>4.89900950831409</v>
          </cell>
        </row>
        <row r="28">
          <cell r="F28">
            <v>25.8286290618964</v>
          </cell>
          <cell r="G28">
            <v>28.357682324207</v>
          </cell>
          <cell r="H28">
            <v>19.3714717964223</v>
          </cell>
          <cell r="I28">
            <v>20.8512370030934</v>
          </cell>
          <cell r="J28">
            <v>22.574692828068</v>
          </cell>
          <cell r="K28">
            <v>19.3714717964223</v>
          </cell>
          <cell r="L28">
            <v>28.3576823242071</v>
          </cell>
          <cell r="M28">
            <v>33.0929309855547</v>
          </cell>
          <cell r="N28">
            <v>21.6852864832172</v>
          </cell>
          <cell r="O28">
            <v>21.6852864832172</v>
          </cell>
          <cell r="P28">
            <v>26.2669575575924</v>
          </cell>
          <cell r="Q28">
            <v>30.0257812844546</v>
          </cell>
        </row>
        <row r="28">
          <cell r="U28">
            <v>2.86916194750379</v>
          </cell>
          <cell r="V28">
            <v>3.15010072153019</v>
          </cell>
          <cell r="W28">
            <v>2.15187146062784</v>
          </cell>
          <cell r="X28">
            <v>2.31625053053691</v>
          </cell>
          <cell r="Y28">
            <v>2.50769986605413</v>
          </cell>
          <cell r="Z28">
            <v>2.15187146062784</v>
          </cell>
          <cell r="AA28">
            <v>3.1501007215302</v>
          </cell>
          <cell r="AB28">
            <v>3.67611374523922</v>
          </cell>
          <cell r="AC28">
            <v>2.40890055175839</v>
          </cell>
          <cell r="AD28">
            <v>2.40890055175839</v>
          </cell>
          <cell r="AE28">
            <v>2.91785347647901</v>
          </cell>
          <cell r="AF28">
            <v>3.33540076397316</v>
          </cell>
        </row>
        <row r="28">
          <cell r="AJ28">
            <v>10.5355043189552</v>
          </cell>
          <cell r="AK28">
            <v>11.5671057835195</v>
          </cell>
          <cell r="AL28">
            <v>7.90162823921635</v>
          </cell>
          <cell r="AM28">
            <v>8.50522484082316</v>
          </cell>
          <cell r="AN28">
            <v>9.20822290719496</v>
          </cell>
          <cell r="AO28">
            <v>7.90162823921635</v>
          </cell>
          <cell r="AP28">
            <v>11.5671057835195</v>
          </cell>
          <cell r="AQ28">
            <v>13.4986149086612</v>
          </cell>
          <cell r="AR28">
            <v>8.84543383445608</v>
          </cell>
          <cell r="AS28">
            <v>8.84543383445608</v>
          </cell>
          <cell r="AT28">
            <v>10.7142986230764</v>
          </cell>
          <cell r="AU28">
            <v>12.2475237707854</v>
          </cell>
        </row>
        <row r="29">
          <cell r="F29">
            <v>25.8286290618964</v>
          </cell>
          <cell r="G29">
            <v>28.357682324207</v>
          </cell>
          <cell r="H29">
            <v>19.3714717964223</v>
          </cell>
          <cell r="I29">
            <v>20.8512370030934</v>
          </cell>
          <cell r="J29">
            <v>22.5193359633409</v>
          </cell>
          <cell r="K29">
            <v>19.3714717964223</v>
          </cell>
          <cell r="L29">
            <v>28.3576823242071</v>
          </cell>
          <cell r="M29">
            <v>33.0929309855547</v>
          </cell>
          <cell r="N29">
            <v>0</v>
          </cell>
          <cell r="O29">
            <v>10.8426432416086</v>
          </cell>
          <cell r="P29">
            <v>25.6133904863806</v>
          </cell>
          <cell r="Q29">
            <v>30.0257812844546</v>
          </cell>
        </row>
        <row r="29">
          <cell r="U29">
            <v>3.23006381893029</v>
          </cell>
          <cell r="V29">
            <v>3.54634090120053</v>
          </cell>
          <cell r="W29">
            <v>2.42254786419771</v>
          </cell>
          <cell r="X29">
            <v>2.60760360382393</v>
          </cell>
          <cell r="Y29">
            <v>2.81621189212984</v>
          </cell>
          <cell r="Z29">
            <v>2.42254786419771</v>
          </cell>
          <cell r="AA29">
            <v>3.54634090120054</v>
          </cell>
          <cell r="AB29">
            <v>4.13851926800441</v>
          </cell>
          <cell r="AC29">
            <v>0</v>
          </cell>
          <cell r="AD29">
            <v>1.35595387398844</v>
          </cell>
          <cell r="AE29">
            <v>3.2031466204392</v>
          </cell>
          <cell r="AF29">
            <v>3.75494918950646</v>
          </cell>
        </row>
        <row r="29">
          <cell r="AJ29">
            <v>10.5355043189552</v>
          </cell>
          <cell r="AK29">
            <v>11.5671057835195</v>
          </cell>
          <cell r="AL29">
            <v>7.90162823921635</v>
          </cell>
          <cell r="AM29">
            <v>8.50522484082316</v>
          </cell>
          <cell r="AN29">
            <v>9.18564282808901</v>
          </cell>
          <cell r="AO29">
            <v>7.90162823921635</v>
          </cell>
          <cell r="AP29">
            <v>11.5671057835195</v>
          </cell>
          <cell r="AQ29">
            <v>13.4986149086612</v>
          </cell>
          <cell r="AR29">
            <v>0</v>
          </cell>
          <cell r="AS29">
            <v>4.42271691722804</v>
          </cell>
          <cell r="AT29">
            <v>10.4477084496305</v>
          </cell>
          <cell r="AU29">
            <v>12.2475237707854</v>
          </cell>
        </row>
        <row r="30">
          <cell r="F30">
            <v>25.8286290618964</v>
          </cell>
          <cell r="G30">
            <v>28.357682324207</v>
          </cell>
          <cell r="H30">
            <v>19.3714717964223</v>
          </cell>
          <cell r="I30">
            <v>20.8512370030934</v>
          </cell>
          <cell r="J30">
            <v>22.5193359633409</v>
          </cell>
          <cell r="K30">
            <v>19.3714717964223</v>
          </cell>
          <cell r="L30">
            <v>28.3576823242071</v>
          </cell>
          <cell r="M30">
            <v>33.0929309855547</v>
          </cell>
          <cell r="N30">
            <v>21.6852864832172</v>
          </cell>
          <cell r="O30">
            <v>21.6852864832172</v>
          </cell>
          <cell r="P30">
            <v>25.6133904863806</v>
          </cell>
          <cell r="Q30">
            <v>30.0257812844546</v>
          </cell>
        </row>
        <row r="30">
          <cell r="U30">
            <v>2.87601602590338</v>
          </cell>
          <cell r="V30">
            <v>3.15762592843975</v>
          </cell>
          <cell r="W30">
            <v>2.15701201942754</v>
          </cell>
          <cell r="X30">
            <v>2.32178377091158</v>
          </cell>
          <cell r="Y30">
            <v>2.50752647258451</v>
          </cell>
          <cell r="Z30">
            <v>2.15701201942754</v>
          </cell>
          <cell r="AA30">
            <v>3.15762592843976</v>
          </cell>
          <cell r="AB30">
            <v>3.6848955331887</v>
          </cell>
          <cell r="AC30">
            <v>2.41465512174805</v>
          </cell>
          <cell r="AD30">
            <v>2.41465512174805</v>
          </cell>
          <cell r="AE30">
            <v>2.85204922568752</v>
          </cell>
          <cell r="AF30">
            <v>3.34336863011269</v>
          </cell>
        </row>
        <row r="30">
          <cell r="AJ30">
            <v>10.5355043189551</v>
          </cell>
          <cell r="AK30">
            <v>11.5671057835195</v>
          </cell>
          <cell r="AL30">
            <v>7.90162823921635</v>
          </cell>
          <cell r="AM30">
            <v>8.50522484082316</v>
          </cell>
          <cell r="AN30">
            <v>9.18564282808901</v>
          </cell>
          <cell r="AO30">
            <v>7.90162823921635</v>
          </cell>
          <cell r="AP30">
            <v>11.5671057835195</v>
          </cell>
          <cell r="AQ30">
            <v>13.4986149086612</v>
          </cell>
          <cell r="AR30">
            <v>8.84543383445608</v>
          </cell>
          <cell r="AS30">
            <v>8.84543383445608</v>
          </cell>
          <cell r="AT30">
            <v>10.4477084496305</v>
          </cell>
          <cell r="AU30">
            <v>12.2475237707854</v>
          </cell>
        </row>
        <row r="31">
          <cell r="F31">
            <v>27.0424670725388</v>
          </cell>
          <cell r="G31">
            <v>28.7961431678527</v>
          </cell>
          <cell r="H31">
            <v>20.2818503044041</v>
          </cell>
          <cell r="I31">
            <v>0</v>
          </cell>
          <cell r="J31">
            <v>11.7888254894348</v>
          </cell>
          <cell r="K31">
            <v>20.2818503044041</v>
          </cell>
          <cell r="L31">
            <v>29.5347494285347</v>
          </cell>
          <cell r="M31">
            <v>34.6481609366903</v>
          </cell>
          <cell r="N31">
            <v>22.704404646319</v>
          </cell>
          <cell r="O31">
            <v>22.704404646319</v>
          </cell>
          <cell r="P31">
            <v>26.8171131802676</v>
          </cell>
          <cell r="Q31">
            <v>31.4368679718263</v>
          </cell>
        </row>
        <row r="31">
          <cell r="U31">
            <v>3.75736076144449</v>
          </cell>
          <cell r="V31">
            <v>4.00102173110162</v>
          </cell>
          <cell r="W31">
            <v>2.81802057108337</v>
          </cell>
          <cell r="X31">
            <v>0</v>
          </cell>
          <cell r="Y31">
            <v>1.6379744569422</v>
          </cell>
          <cell r="Z31">
            <v>2.81802057108337</v>
          </cell>
          <cell r="AA31">
            <v>4.10364588054033</v>
          </cell>
          <cell r="AB31">
            <v>4.81411847560076</v>
          </cell>
          <cell r="AC31">
            <v>3.15461747262944</v>
          </cell>
          <cell r="AD31">
            <v>3.15461747262944</v>
          </cell>
          <cell r="AE31">
            <v>3.72604942176579</v>
          </cell>
          <cell r="AF31">
            <v>4.36793188517922</v>
          </cell>
        </row>
        <row r="31">
          <cell r="AJ31">
            <v>11.0307564382809</v>
          </cell>
          <cell r="AK31">
            <v>11.7460896150637</v>
          </cell>
          <cell r="AL31">
            <v>8.27306732871069</v>
          </cell>
          <cell r="AM31">
            <v>0</v>
          </cell>
          <cell r="AN31">
            <v>4.80872038481308</v>
          </cell>
          <cell r="AO31">
            <v>8.27306732871069</v>
          </cell>
          <cell r="AP31">
            <v>12.0473707719758</v>
          </cell>
          <cell r="AQ31">
            <v>14.1331566865474</v>
          </cell>
          <cell r="AR31">
            <v>9.26123925964002</v>
          </cell>
          <cell r="AS31">
            <v>9.26123925964002</v>
          </cell>
          <cell r="AT31">
            <v>10.9388334679619</v>
          </cell>
          <cell r="AU31">
            <v>12.8232543595016</v>
          </cell>
        </row>
        <row r="32">
          <cell r="F32">
            <v>10.9495744020006</v>
          </cell>
          <cell r="G32">
            <v>11.3145602154006</v>
          </cell>
          <cell r="H32">
            <v>10.9495744020006</v>
          </cell>
          <cell r="I32">
            <v>11.3145602154006</v>
          </cell>
          <cell r="J32">
            <v>11.3145602154006</v>
          </cell>
          <cell r="K32">
            <v>10.9495744020006</v>
          </cell>
          <cell r="L32">
            <v>11.3145602154006</v>
          </cell>
          <cell r="M32">
            <v>10.9495744020006</v>
          </cell>
          <cell r="N32">
            <v>11.3145602154006</v>
          </cell>
          <cell r="O32">
            <v>11.3145602154006</v>
          </cell>
          <cell r="P32">
            <v>10.2196027752005</v>
          </cell>
          <cell r="Q32">
            <v>11.3145602154006</v>
          </cell>
        </row>
        <row r="32">
          <cell r="AJ32">
            <v>3.06304565642507</v>
          </cell>
          <cell r="AK32">
            <v>3.16514717830591</v>
          </cell>
          <cell r="AL32">
            <v>3.06304565642507</v>
          </cell>
          <cell r="AM32">
            <v>3.16514717830591</v>
          </cell>
          <cell r="AN32">
            <v>3.16514717830591</v>
          </cell>
          <cell r="AO32">
            <v>3.06304565642507</v>
          </cell>
          <cell r="AP32">
            <v>3.16514717830591</v>
          </cell>
          <cell r="AQ32">
            <v>3.06304565642507</v>
          </cell>
          <cell r="AR32">
            <v>3.16514717830591</v>
          </cell>
          <cell r="AS32">
            <v>3.16514717830591</v>
          </cell>
          <cell r="AT32">
            <v>2.8588426126634</v>
          </cell>
          <cell r="AU32">
            <v>3.16514717830591</v>
          </cell>
        </row>
        <row r="33">
          <cell r="F33">
            <v>2.3101257972288</v>
          </cell>
          <cell r="G33">
            <v>2.1935789101614</v>
          </cell>
          <cell r="H33">
            <v>2.12281830015619</v>
          </cell>
          <cell r="I33">
            <v>2.43551776054685</v>
          </cell>
          <cell r="J33">
            <v>2.58068107077812</v>
          </cell>
          <cell r="K33">
            <v>0</v>
          </cell>
          <cell r="L33">
            <v>2.58068107077812</v>
          </cell>
          <cell r="M33">
            <v>2.35695267149693</v>
          </cell>
          <cell r="N33">
            <v>2.29035445031558</v>
          </cell>
          <cell r="O33">
            <v>2.43551776054685</v>
          </cell>
          <cell r="P33">
            <v>2.33093774134798</v>
          </cell>
          <cell r="Q33">
            <v>2.58068107077812</v>
          </cell>
        </row>
        <row r="33">
          <cell r="U33">
            <v>0.196567280849375</v>
          </cell>
          <cell r="V33">
            <v>0.186650372986704</v>
          </cell>
          <cell r="W33">
            <v>0.180629393212939</v>
          </cell>
          <cell r="X33">
            <v>0.207236811183767</v>
          </cell>
          <cell r="Y33">
            <v>0.219588674102005</v>
          </cell>
          <cell r="Z33">
            <v>0</v>
          </cell>
          <cell r="AA33">
            <v>0.219588674102005</v>
          </cell>
          <cell r="AB33">
            <v>0.200551752758482</v>
          </cell>
          <cell r="AC33">
            <v>0.194884948265529</v>
          </cell>
          <cell r="AD33">
            <v>0.207236811183767</v>
          </cell>
          <cell r="AE33">
            <v>0.198338157253424</v>
          </cell>
          <cell r="AF33">
            <v>0.219588674102005</v>
          </cell>
        </row>
        <row r="33">
          <cell r="AJ33">
            <v>0.79178739005645</v>
          </cell>
          <cell r="AK33">
            <v>0.751841359567115</v>
          </cell>
          <cell r="AL33">
            <v>0.727588412484305</v>
          </cell>
          <cell r="AM33">
            <v>0.834765038931136</v>
          </cell>
          <cell r="AN33">
            <v>0.884519246549548</v>
          </cell>
          <cell r="AO33">
            <v>0</v>
          </cell>
          <cell r="AP33">
            <v>0.884519246549548</v>
          </cell>
          <cell r="AQ33">
            <v>0.807837134449478</v>
          </cell>
          <cell r="AR33">
            <v>0.785010831312723</v>
          </cell>
          <cell r="AS33">
            <v>0.834765038931136</v>
          </cell>
          <cell r="AT33">
            <v>0.798920609786689</v>
          </cell>
          <cell r="AU33">
            <v>0.884519246549548</v>
          </cell>
        </row>
        <row r="34">
          <cell r="F34">
            <v>3.04435182580537</v>
          </cell>
          <cell r="G34">
            <v>2.89076290486384</v>
          </cell>
          <cell r="H34">
            <v>2.79751248857791</v>
          </cell>
          <cell r="I34">
            <v>3.20959704878265</v>
          </cell>
          <cell r="J34">
            <v>3.40089753513393</v>
          </cell>
          <cell r="K34">
            <v>0</v>
          </cell>
          <cell r="L34">
            <v>3.40089753513393</v>
          </cell>
          <cell r="M34">
            <v>3.10606166011224</v>
          </cell>
          <cell r="N34">
            <v>3.01829656243136</v>
          </cell>
          <cell r="O34">
            <v>3.20959704878262</v>
          </cell>
          <cell r="P34">
            <v>3.07177841883065</v>
          </cell>
          <cell r="Q34">
            <v>3.40089753513393</v>
          </cell>
        </row>
        <row r="34">
          <cell r="U34">
            <v>0.26635826981544</v>
          </cell>
          <cell r="V34">
            <v>0.252920375122048</v>
          </cell>
          <cell r="W34">
            <v>0.244761653343918</v>
          </cell>
          <cell r="X34">
            <v>0.280816004731098</v>
          </cell>
          <cell r="Y34">
            <v>0.297553382496527</v>
          </cell>
          <cell r="Z34">
            <v>0</v>
          </cell>
          <cell r="AA34">
            <v>0.297553382496527</v>
          </cell>
          <cell r="AB34">
            <v>0.27175742393332</v>
          </cell>
          <cell r="AC34">
            <v>0.264078626965668</v>
          </cell>
          <cell r="AD34">
            <v>0.280816004731095</v>
          </cell>
          <cell r="AE34">
            <v>0.268757893867831</v>
          </cell>
          <cell r="AF34">
            <v>0.297553382496527</v>
          </cell>
        </row>
        <row r="34">
          <cell r="AJ34">
            <v>1.04364206642907</v>
          </cell>
          <cell r="AK34">
            <v>0.990989854068686</v>
          </cell>
          <cell r="AL34">
            <v>0.959022439421309</v>
          </cell>
          <cell r="AM34">
            <v>1.10029020562038</v>
          </cell>
          <cell r="AN34">
            <v>1.1658704165514</v>
          </cell>
          <cell r="AO34">
            <v>0</v>
          </cell>
          <cell r="AP34">
            <v>1.1658704165514</v>
          </cell>
          <cell r="AQ34">
            <v>1.06479697318101</v>
          </cell>
          <cell r="AR34">
            <v>1.03470999468936</v>
          </cell>
          <cell r="AS34">
            <v>1.10029020562037</v>
          </cell>
          <cell r="AT34">
            <v>1.05304424720771</v>
          </cell>
          <cell r="AU34">
            <v>1.1658704165514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5"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F36">
            <v>16.8178312784062</v>
          </cell>
          <cell r="G36">
            <v>17.3784256543531</v>
          </cell>
          <cell r="H36">
            <v>16.8178312784062</v>
          </cell>
          <cell r="I36">
            <v>17.3784256543531</v>
          </cell>
          <cell r="J36">
            <v>17.3784256543531</v>
          </cell>
          <cell r="K36">
            <v>16.8178312784062</v>
          </cell>
          <cell r="L36">
            <v>17.3784256543531</v>
          </cell>
          <cell r="M36">
            <v>16.8178312784062</v>
          </cell>
          <cell r="N36">
            <v>17.3784256543531</v>
          </cell>
          <cell r="O36">
            <v>17.3784256543531</v>
          </cell>
          <cell r="P36">
            <v>15.6966425265125</v>
          </cell>
          <cell r="Q36">
            <v>17.3784256543531</v>
          </cell>
        </row>
        <row r="36">
          <cell r="AJ36">
            <v>6.35713470546322</v>
          </cell>
          <cell r="AK36">
            <v>6.56903919564533</v>
          </cell>
          <cell r="AL36">
            <v>6.35713470546322</v>
          </cell>
          <cell r="AM36">
            <v>6.56903919564533</v>
          </cell>
          <cell r="AN36">
            <v>6.56903919564533</v>
          </cell>
          <cell r="AO36">
            <v>6.35713470546322</v>
          </cell>
          <cell r="AP36">
            <v>6.56903919564533</v>
          </cell>
          <cell r="AQ36">
            <v>6.35713470546322</v>
          </cell>
          <cell r="AR36">
            <v>6.56903919564533</v>
          </cell>
          <cell r="AS36">
            <v>6.56903919564533</v>
          </cell>
          <cell r="AT36">
            <v>5.933325725099</v>
          </cell>
          <cell r="AU36">
            <v>6.56903919564533</v>
          </cell>
        </row>
        <row r="37">
          <cell r="F37">
            <v>16.8178312784062</v>
          </cell>
          <cell r="G37">
            <v>17.3784256543531</v>
          </cell>
          <cell r="H37">
            <v>16.8178312784062</v>
          </cell>
          <cell r="I37">
            <v>17.3784256543531</v>
          </cell>
          <cell r="J37">
            <v>17.3784256543531</v>
          </cell>
          <cell r="K37">
            <v>16.8178312784062</v>
          </cell>
          <cell r="L37">
            <v>17.3784256543531</v>
          </cell>
          <cell r="M37">
            <v>16.8178312784062</v>
          </cell>
          <cell r="N37">
            <v>17.3784256543531</v>
          </cell>
          <cell r="O37">
            <v>17.3784256543531</v>
          </cell>
          <cell r="P37">
            <v>15.6966425265125</v>
          </cell>
          <cell r="Q37">
            <v>17.3784256543531</v>
          </cell>
        </row>
        <row r="37">
          <cell r="AJ37">
            <v>6.35713470546322</v>
          </cell>
          <cell r="AK37">
            <v>6.56903919564533</v>
          </cell>
          <cell r="AL37">
            <v>6.35713470546322</v>
          </cell>
          <cell r="AM37">
            <v>6.56903919564533</v>
          </cell>
          <cell r="AN37">
            <v>6.56903919564533</v>
          </cell>
          <cell r="AO37">
            <v>6.35713470546322</v>
          </cell>
          <cell r="AP37">
            <v>6.56903919564533</v>
          </cell>
          <cell r="AQ37">
            <v>6.35713470546322</v>
          </cell>
          <cell r="AR37">
            <v>6.56903919564533</v>
          </cell>
          <cell r="AS37">
            <v>6.56903919564533</v>
          </cell>
          <cell r="AT37">
            <v>5.933325725099</v>
          </cell>
          <cell r="AU37">
            <v>6.56903919564533</v>
          </cell>
        </row>
        <row r="38">
          <cell r="F38">
            <v>17.8859761036063</v>
          </cell>
          <cell r="G38">
            <v>18.4821753070599</v>
          </cell>
          <cell r="H38">
            <v>17.8859761036063</v>
          </cell>
          <cell r="I38">
            <v>18.4821753070599</v>
          </cell>
          <cell r="J38">
            <v>18.4821753070599</v>
          </cell>
          <cell r="K38">
            <v>17.8859761036063</v>
          </cell>
          <cell r="L38">
            <v>18.4821753070599</v>
          </cell>
          <cell r="M38">
            <v>17.8859761036063</v>
          </cell>
          <cell r="N38">
            <v>18.4821753070599</v>
          </cell>
          <cell r="O38">
            <v>18.4821753070599</v>
          </cell>
          <cell r="P38">
            <v>16.6935776966992</v>
          </cell>
          <cell r="Q38">
            <v>18.4821753070599</v>
          </cell>
        </row>
        <row r="38">
          <cell r="AJ38">
            <v>4.85092006403481</v>
          </cell>
          <cell r="AK38">
            <v>5.01261739950264</v>
          </cell>
          <cell r="AL38">
            <v>4.85092006403481</v>
          </cell>
          <cell r="AM38">
            <v>5.01261739950264</v>
          </cell>
          <cell r="AN38">
            <v>5.01261739950264</v>
          </cell>
          <cell r="AO38">
            <v>4.85092006403481</v>
          </cell>
          <cell r="AP38">
            <v>5.01261739950264</v>
          </cell>
          <cell r="AQ38">
            <v>4.85092006403481</v>
          </cell>
          <cell r="AR38">
            <v>5.01261739950264</v>
          </cell>
          <cell r="AS38">
            <v>5.01261739950264</v>
          </cell>
          <cell r="AT38">
            <v>4.52752539309916</v>
          </cell>
          <cell r="AU38">
            <v>5.01261739950264</v>
          </cell>
        </row>
        <row r="39">
          <cell r="F39">
            <v>17.8859761036063</v>
          </cell>
          <cell r="G39">
            <v>18.4821753070599</v>
          </cell>
          <cell r="H39">
            <v>17.8859761036063</v>
          </cell>
          <cell r="I39">
            <v>18.4821753070599</v>
          </cell>
          <cell r="J39">
            <v>18.4821753070599</v>
          </cell>
          <cell r="K39">
            <v>17.8859761036063</v>
          </cell>
          <cell r="L39">
            <v>18.4821753070599</v>
          </cell>
          <cell r="M39">
            <v>17.8859761036063</v>
          </cell>
          <cell r="N39">
            <v>18.4821753070599</v>
          </cell>
          <cell r="O39">
            <v>18.4821753070599</v>
          </cell>
          <cell r="P39">
            <v>16.6935776966992</v>
          </cell>
          <cell r="Q39">
            <v>18.4821753070599</v>
          </cell>
        </row>
        <row r="39">
          <cell r="AJ39">
            <v>4.85092006403481</v>
          </cell>
          <cell r="AK39">
            <v>5.01261739950264</v>
          </cell>
          <cell r="AL39">
            <v>4.85092006403481</v>
          </cell>
          <cell r="AM39">
            <v>5.01261739950264</v>
          </cell>
          <cell r="AN39">
            <v>5.01261739950264</v>
          </cell>
          <cell r="AO39">
            <v>4.85092006403481</v>
          </cell>
          <cell r="AP39">
            <v>5.01261739950264</v>
          </cell>
          <cell r="AQ39">
            <v>4.85092006403481</v>
          </cell>
          <cell r="AR39">
            <v>5.01261739950264</v>
          </cell>
          <cell r="AS39">
            <v>5.01261739950264</v>
          </cell>
          <cell r="AT39">
            <v>4.52752539309916</v>
          </cell>
          <cell r="AU39">
            <v>5.01261739950264</v>
          </cell>
        </row>
        <row r="40">
          <cell r="F40">
            <v>160.412607347683</v>
          </cell>
          <cell r="G40">
            <v>133.633290070707</v>
          </cell>
          <cell r="H40">
            <v>124.203285557311</v>
          </cell>
          <cell r="I40">
            <v>128.343395075888</v>
          </cell>
          <cell r="J40">
            <v>133.691036537383</v>
          </cell>
          <cell r="K40">
            <v>124.203285557311</v>
          </cell>
          <cell r="L40">
            <v>164.685904087775</v>
          </cell>
          <cell r="M40">
            <v>104.677065979368</v>
          </cell>
          <cell r="N40">
            <v>138.458934410985</v>
          </cell>
          <cell r="O40">
            <v>139.038677998878</v>
          </cell>
          <cell r="P40">
            <v>164.224344236889</v>
          </cell>
          <cell r="Q40">
            <v>187.167451152336</v>
          </cell>
        </row>
        <row r="40">
          <cell r="U40">
            <v>26.2461355467928</v>
          </cell>
          <cell r="V40">
            <v>21.8645996892109</v>
          </cell>
          <cell r="W40">
            <v>20.3216961683609</v>
          </cell>
          <cell r="X40">
            <v>20.9990860406396</v>
          </cell>
          <cell r="Y40">
            <v>21.8740479589996</v>
          </cell>
          <cell r="Z40">
            <v>20.3216961683609</v>
          </cell>
          <cell r="AA40">
            <v>26.9453170346234</v>
          </cell>
          <cell r="AB40">
            <v>17.1268861454284</v>
          </cell>
          <cell r="AC40">
            <v>22.6541543105695</v>
          </cell>
          <cell r="AD40">
            <v>22.7490098773596</v>
          </cell>
          <cell r="AE40">
            <v>26.869798267055</v>
          </cell>
          <cell r="AF40">
            <v>30.6236671425995</v>
          </cell>
        </row>
        <row r="40">
          <cell r="AJ40">
            <v>69.7143543646285</v>
          </cell>
          <cell r="AK40">
            <v>58.0762241380963</v>
          </cell>
          <cell r="AL40">
            <v>53.9780008925751</v>
          </cell>
          <cell r="AM40">
            <v>55.7772675889942</v>
          </cell>
          <cell r="AN40">
            <v>58.1013204052023</v>
          </cell>
          <cell r="AO40">
            <v>53.9780008925751</v>
          </cell>
          <cell r="AP40">
            <v>71.5715034264746</v>
          </cell>
          <cell r="AQ40">
            <v>45.4920233028722</v>
          </cell>
          <cell r="AR40">
            <v>60.1734201449328</v>
          </cell>
          <cell r="AS40">
            <v>60.4253732214104</v>
          </cell>
          <cell r="AT40">
            <v>71.3709122912937</v>
          </cell>
          <cell r="AU40">
            <v>81.3418485672833</v>
          </cell>
        </row>
        <row r="41">
          <cell r="F41">
            <v>78.1924117291527</v>
          </cell>
          <cell r="G41">
            <v>76.9078369565903</v>
          </cell>
          <cell r="H41">
            <v>59.0939365687409</v>
          </cell>
          <cell r="I41">
            <v>30.5318672271828</v>
          </cell>
          <cell r="J41">
            <v>66.8645329252178</v>
          </cell>
          <cell r="K41">
            <v>59.0939365687409</v>
          </cell>
          <cell r="L41">
            <v>81.5385755461813</v>
          </cell>
          <cell r="M41">
            <v>100.952141638266</v>
          </cell>
          <cell r="N41">
            <v>66.1523789922294</v>
          </cell>
          <cell r="O41">
            <v>66.1523789922294</v>
          </cell>
          <cell r="P41">
            <v>78.1353161297796</v>
          </cell>
          <cell r="Q41">
            <v>89.0512794126165</v>
          </cell>
        </row>
        <row r="41">
          <cell r="U41">
            <v>17.1865135586787</v>
          </cell>
          <cell r="V41">
            <v>16.9041669567827</v>
          </cell>
          <cell r="W41">
            <v>12.9887123266171</v>
          </cell>
          <cell r="X41">
            <v>6.71083470208552</v>
          </cell>
          <cell r="Y41">
            <v>14.6966716629042</v>
          </cell>
          <cell r="Z41">
            <v>12.9887123266171</v>
          </cell>
          <cell r="AA41">
            <v>17.9219927252522</v>
          </cell>
          <cell r="AB41">
            <v>22.1890502246376</v>
          </cell>
          <cell r="AC41">
            <v>14.5401418545186</v>
          </cell>
          <cell r="AD41">
            <v>14.5401418545186</v>
          </cell>
          <cell r="AE41">
            <v>17.1739640763048</v>
          </cell>
          <cell r="AF41">
            <v>19.5732678810827</v>
          </cell>
        </row>
        <row r="41">
          <cell r="AJ41">
            <v>33.3139983606683</v>
          </cell>
          <cell r="AK41">
            <v>32.7667032853414</v>
          </cell>
          <cell r="AL41">
            <v>25.1770633804673</v>
          </cell>
          <cell r="AM41">
            <v>13.0081494132414</v>
          </cell>
          <cell r="AN41">
            <v>28.4877380170008</v>
          </cell>
          <cell r="AO41">
            <v>25.1770633804673</v>
          </cell>
          <cell r="AP41">
            <v>34.739636647682</v>
          </cell>
          <cell r="AQ41">
            <v>43.0108166082984</v>
          </cell>
          <cell r="AR41">
            <v>28.1843237286898</v>
          </cell>
          <cell r="AS41">
            <v>28.1843237286898</v>
          </cell>
          <cell r="AT41">
            <v>33.2896726919512</v>
          </cell>
          <cell r="AU41">
            <v>37.9404357886209</v>
          </cell>
        </row>
        <row r="41">
          <cell r="AW41">
            <v>-0.299999999999943</v>
          </cell>
        </row>
        <row r="42">
          <cell r="F42">
            <v>23.0884665780618</v>
          </cell>
          <cell r="G42">
            <v>22.8908625848261</v>
          </cell>
          <cell r="H42">
            <v>22.152447662735</v>
          </cell>
          <cell r="I42">
            <v>0</v>
          </cell>
          <cell r="J42">
            <v>25.7925212223393</v>
          </cell>
          <cell r="K42">
            <v>24.0775838981394</v>
          </cell>
          <cell r="L42">
            <v>25.7925212223393</v>
          </cell>
          <cell r="M42">
            <v>24.0244854933886</v>
          </cell>
          <cell r="N42">
            <v>23.8580821306638</v>
          </cell>
          <cell r="O42">
            <v>24.8253016765016</v>
          </cell>
          <cell r="P42">
            <v>23.2964707814677</v>
          </cell>
          <cell r="Q42">
            <v>25.7925212223393</v>
          </cell>
        </row>
        <row r="42">
          <cell r="U42">
            <v>1.9579752017589</v>
          </cell>
          <cell r="V42">
            <v>1.94121775633844</v>
          </cell>
          <cell r="W42">
            <v>1.87859782871462</v>
          </cell>
          <cell r="X42">
            <v>0</v>
          </cell>
          <cell r="Y42">
            <v>2.18728761277571</v>
          </cell>
          <cell r="Z42">
            <v>2.04185548795263</v>
          </cell>
          <cell r="AA42">
            <v>2.18728761277571</v>
          </cell>
          <cell r="AB42">
            <v>2.03735257480318</v>
          </cell>
          <cell r="AC42">
            <v>2.02324104181753</v>
          </cell>
          <cell r="AD42">
            <v>2.10526432729662</v>
          </cell>
          <cell r="AE42">
            <v>1.97561461799096</v>
          </cell>
          <cell r="AF42">
            <v>2.18728761277571</v>
          </cell>
        </row>
        <row r="42">
          <cell r="AJ42">
            <v>4.24038722810349</v>
          </cell>
          <cell r="AK42">
            <v>4.2040956257008</v>
          </cell>
          <cell r="AL42">
            <v>4.06847963777497</v>
          </cell>
          <cell r="AM42">
            <v>0</v>
          </cell>
          <cell r="AN42">
            <v>4.73700915571921</v>
          </cell>
          <cell r="AO42">
            <v>4.42204677820711</v>
          </cell>
          <cell r="AP42">
            <v>4.73700915571921</v>
          </cell>
          <cell r="AQ42">
            <v>4.41229481843201</v>
          </cell>
          <cell r="AR42">
            <v>4.38173346904027</v>
          </cell>
          <cell r="AS42">
            <v>4.55937131237974</v>
          </cell>
          <cell r="AT42">
            <v>4.27858891484316</v>
          </cell>
          <cell r="AU42">
            <v>4.73700915571921</v>
          </cell>
        </row>
        <row r="43">
          <cell r="F43">
            <v>23.0884665780618</v>
          </cell>
          <cell r="G43">
            <v>22.8908625848261</v>
          </cell>
          <cell r="H43">
            <v>22.152447662735</v>
          </cell>
          <cell r="I43">
            <v>25.7925212223393</v>
          </cell>
          <cell r="J43">
            <v>0</v>
          </cell>
          <cell r="K43">
            <v>24.0244854933886</v>
          </cell>
          <cell r="L43">
            <v>25.7925212223393</v>
          </cell>
          <cell r="M43">
            <v>24.0244854933886</v>
          </cell>
          <cell r="N43">
            <v>23.8580821306638</v>
          </cell>
          <cell r="O43">
            <v>24.8253016765016</v>
          </cell>
          <cell r="P43">
            <v>23.2964707814677</v>
          </cell>
          <cell r="Q43">
            <v>25.7925212223393</v>
          </cell>
        </row>
        <row r="43">
          <cell r="U43">
            <v>1.95836672875215</v>
          </cell>
          <cell r="V43">
            <v>1.941605932425</v>
          </cell>
          <cell r="W43">
            <v>1.87897348299193</v>
          </cell>
          <cell r="X43">
            <v>2.18772499428169</v>
          </cell>
          <cell r="Y43">
            <v>0</v>
          </cell>
          <cell r="Z43">
            <v>2.03775997451238</v>
          </cell>
          <cell r="AA43">
            <v>2.18772499428169</v>
          </cell>
          <cell r="AB43">
            <v>2.03775997451238</v>
          </cell>
          <cell r="AC43">
            <v>2.02364561971056</v>
          </cell>
          <cell r="AD43">
            <v>2.10568530699612</v>
          </cell>
          <cell r="AE43">
            <v>1.97600967225443</v>
          </cell>
          <cell r="AF43">
            <v>2.18772499428169</v>
          </cell>
        </row>
        <row r="43">
          <cell r="AJ43">
            <v>4.24038722810349</v>
          </cell>
          <cell r="AK43">
            <v>4.2040956257008</v>
          </cell>
          <cell r="AL43">
            <v>4.06847963777497</v>
          </cell>
          <cell r="AM43">
            <v>4.73700915571921</v>
          </cell>
          <cell r="AN43">
            <v>0</v>
          </cell>
          <cell r="AO43">
            <v>4.41229481843201</v>
          </cell>
          <cell r="AP43">
            <v>4.73700915571921</v>
          </cell>
          <cell r="AQ43">
            <v>4.41229481843201</v>
          </cell>
          <cell r="AR43">
            <v>4.38173346904027</v>
          </cell>
          <cell r="AS43">
            <v>4.55937131237974</v>
          </cell>
          <cell r="AT43">
            <v>4.27858891484316</v>
          </cell>
          <cell r="AU43">
            <v>4.73700915571921</v>
          </cell>
        </row>
        <row r="44">
          <cell r="F44">
            <v>23.0884665780618</v>
          </cell>
          <cell r="G44">
            <v>22.8908625848261</v>
          </cell>
          <cell r="H44">
            <v>22.152447662735</v>
          </cell>
          <cell r="I44">
            <v>25.7925212223393</v>
          </cell>
          <cell r="J44">
            <v>25.7925212223393</v>
          </cell>
          <cell r="K44">
            <v>23.6129544330401</v>
          </cell>
          <cell r="L44">
            <v>25.7925212223393</v>
          </cell>
          <cell r="M44">
            <v>24.0244854933886</v>
          </cell>
          <cell r="N44">
            <v>0</v>
          </cell>
          <cell r="O44">
            <v>12.4126508382508</v>
          </cell>
          <cell r="P44">
            <v>23.2964707814677</v>
          </cell>
          <cell r="Q44">
            <v>25.7925212223393</v>
          </cell>
        </row>
        <row r="44">
          <cell r="U44">
            <v>2.04211399773045</v>
          </cell>
          <cell r="V44">
            <v>2.02463644549762</v>
          </cell>
          <cell r="W44">
            <v>1.95932559241705</v>
          </cell>
          <cell r="X44">
            <v>2.28128050196915</v>
          </cell>
          <cell r="Y44">
            <v>2.28128050196915</v>
          </cell>
          <cell r="Z44">
            <v>2.08850356572837</v>
          </cell>
          <cell r="AA44">
            <v>2.28128050196915</v>
          </cell>
          <cell r="AB44">
            <v>2.12490240304384</v>
          </cell>
          <cell r="AC44">
            <v>0</v>
          </cell>
          <cell r="AD44">
            <v>1.09786624157265</v>
          </cell>
          <cell r="AE44">
            <v>2.06051142113342</v>
          </cell>
          <cell r="AF44">
            <v>2.28128050196915</v>
          </cell>
        </row>
        <row r="44">
          <cell r="AJ44">
            <v>4.24038722810349</v>
          </cell>
          <cell r="AK44">
            <v>4.2040956257008</v>
          </cell>
          <cell r="AL44">
            <v>4.06847963777497</v>
          </cell>
          <cell r="AM44">
            <v>4.73700915571921</v>
          </cell>
          <cell r="AN44">
            <v>4.73700915571921</v>
          </cell>
          <cell r="AO44">
            <v>4.33671374654185</v>
          </cell>
          <cell r="AP44">
            <v>4.73700915571921</v>
          </cell>
          <cell r="AQ44">
            <v>4.41229481843201</v>
          </cell>
          <cell r="AR44">
            <v>0</v>
          </cell>
          <cell r="AS44">
            <v>2.27968565618987</v>
          </cell>
          <cell r="AT44">
            <v>4.27858891484316</v>
          </cell>
          <cell r="AU44">
            <v>4.73700915571921</v>
          </cell>
        </row>
        <row r="45">
          <cell r="F45">
            <v>23.0884665780618</v>
          </cell>
          <cell r="G45">
            <v>22.8908625848261</v>
          </cell>
          <cell r="H45">
            <v>22.152447662735</v>
          </cell>
          <cell r="I45">
            <v>25.7925212223393</v>
          </cell>
          <cell r="J45">
            <v>25.7925212223393</v>
          </cell>
          <cell r="K45">
            <v>23.5564760357252</v>
          </cell>
          <cell r="L45">
            <v>25.7925212223393</v>
          </cell>
          <cell r="M45">
            <v>0</v>
          </cell>
          <cell r="N45">
            <v>11.9290410653319</v>
          </cell>
          <cell r="O45">
            <v>24.8253016765016</v>
          </cell>
          <cell r="P45">
            <v>23.2964707814677</v>
          </cell>
          <cell r="Q45">
            <v>25.7925212223393</v>
          </cell>
        </row>
        <row r="45">
          <cell r="U45">
            <v>2.04002526799266</v>
          </cell>
          <cell r="V45">
            <v>2.0225655922756</v>
          </cell>
          <cell r="W45">
            <v>1.95732154091187</v>
          </cell>
          <cell r="X45">
            <v>2.27894714622603</v>
          </cell>
          <cell r="Y45">
            <v>2.27894714622603</v>
          </cell>
          <cell r="Z45">
            <v>2.08137713153305</v>
          </cell>
          <cell r="AA45">
            <v>2.27894714622603</v>
          </cell>
          <cell r="AB45">
            <v>0</v>
          </cell>
          <cell r="AC45">
            <v>1.05401305512954</v>
          </cell>
          <cell r="AD45">
            <v>2.19348662824255</v>
          </cell>
          <cell r="AE45">
            <v>2.05840387401061</v>
          </cell>
          <cell r="AF45">
            <v>2.27894714622603</v>
          </cell>
        </row>
        <row r="45">
          <cell r="AJ45">
            <v>4.24038722810348</v>
          </cell>
          <cell r="AK45">
            <v>4.2040956257008</v>
          </cell>
          <cell r="AL45">
            <v>4.06847963777497</v>
          </cell>
          <cell r="AM45">
            <v>4.73700915571921</v>
          </cell>
          <cell r="AN45">
            <v>4.73700915571921</v>
          </cell>
          <cell r="AO45">
            <v>4.32634102326775</v>
          </cell>
          <cell r="AP45">
            <v>4.73700915571921</v>
          </cell>
          <cell r="AQ45">
            <v>0</v>
          </cell>
          <cell r="AR45">
            <v>2.19086673452013</v>
          </cell>
          <cell r="AS45">
            <v>4.55937131237974</v>
          </cell>
          <cell r="AT45">
            <v>4.27858891484316</v>
          </cell>
          <cell r="AU45">
            <v>4.73700915571921</v>
          </cell>
        </row>
        <row r="46">
          <cell r="F46">
            <v>31.7134386577954</v>
          </cell>
          <cell r="G46">
            <v>35.7101798256121</v>
          </cell>
          <cell r="H46">
            <v>23.7850789933466</v>
          </cell>
          <cell r="I46">
            <v>25.6019947497828</v>
          </cell>
          <cell r="J46">
            <v>28.6742341197567</v>
          </cell>
          <cell r="K46">
            <v>23.7850789933466</v>
          </cell>
          <cell r="L46">
            <v>34.8187128597046</v>
          </cell>
          <cell r="M46">
            <v>40.6328432803003</v>
          </cell>
          <cell r="N46">
            <v>26.6260745397741</v>
          </cell>
          <cell r="O46">
            <v>27.3255854951538</v>
          </cell>
          <cell r="P46">
            <v>32.3741352964996</v>
          </cell>
          <cell r="Q46">
            <v>36.8668724396873</v>
          </cell>
        </row>
        <row r="46">
          <cell r="U46">
            <v>4.97346278375032</v>
          </cell>
          <cell r="V46">
            <v>5.60025206601356</v>
          </cell>
          <cell r="W46">
            <v>3.73009708781274</v>
          </cell>
          <cell r="X46">
            <v>4.01503505979844</v>
          </cell>
          <cell r="Y46">
            <v>4.49683926697425</v>
          </cell>
          <cell r="Z46">
            <v>3.73009708781274</v>
          </cell>
          <cell r="AA46">
            <v>5.46044768132588</v>
          </cell>
          <cell r="AB46">
            <v>6.37224919168009</v>
          </cell>
          <cell r="AC46">
            <v>4.17563646219038</v>
          </cell>
          <cell r="AD46">
            <v>4.28533732878345</v>
          </cell>
          <cell r="AE46">
            <v>5.07707659174513</v>
          </cell>
          <cell r="AF46">
            <v>5.78165048610976</v>
          </cell>
        </row>
        <row r="46">
          <cell r="AJ46">
            <v>12.9352773597416</v>
          </cell>
          <cell r="AK46">
            <v>14.5654681472706</v>
          </cell>
          <cell r="AL46">
            <v>9.7014580198062</v>
          </cell>
          <cell r="AM46">
            <v>10.4425416185414</v>
          </cell>
          <cell r="AN46">
            <v>11.6956466127664</v>
          </cell>
          <cell r="AO46">
            <v>9.7014580198062</v>
          </cell>
          <cell r="AP46">
            <v>14.2018566012163</v>
          </cell>
          <cell r="AQ46">
            <v>16.5733241171689</v>
          </cell>
          <cell r="AR46">
            <v>10.8602432832831</v>
          </cell>
          <cell r="AS46">
            <v>11.1455598117633</v>
          </cell>
          <cell r="AT46">
            <v>13.2047623047362</v>
          </cell>
          <cell r="AU46">
            <v>15.0372599306996</v>
          </cell>
        </row>
        <row r="47">
          <cell r="F47">
            <v>44.3742300599386</v>
          </cell>
          <cell r="G47">
            <v>0</v>
          </cell>
          <cell r="H47">
            <v>16.640336272477</v>
          </cell>
          <cell r="I47">
            <v>34.4626442588763</v>
          </cell>
          <cell r="J47">
            <v>38.688781833509</v>
          </cell>
          <cell r="K47">
            <v>33.2806725449539</v>
          </cell>
          <cell r="L47">
            <v>47.2862889076221</v>
          </cell>
          <cell r="M47">
            <v>56.8544822642963</v>
          </cell>
          <cell r="N47">
            <v>37.2558639878234</v>
          </cell>
          <cell r="O47">
            <v>37.2558639878234</v>
          </cell>
          <cell r="P47">
            <v>44.0044448094392</v>
          </cell>
          <cell r="Q47">
            <v>50.6186478394728</v>
          </cell>
        </row>
        <row r="47">
          <cell r="U47">
            <v>8.70310792863818</v>
          </cell>
          <cell r="V47">
            <v>0</v>
          </cell>
          <cell r="W47">
            <v>3.26366547323931</v>
          </cell>
          <cell r="X47">
            <v>6.75915079734633</v>
          </cell>
          <cell r="Y47">
            <v>7.58802222528141</v>
          </cell>
          <cell r="Z47">
            <v>6.52733094647863</v>
          </cell>
          <cell r="AA47">
            <v>9.27424938645506</v>
          </cell>
          <cell r="AB47">
            <v>11.1508570335677</v>
          </cell>
          <cell r="AC47">
            <v>7.3069843650858</v>
          </cell>
          <cell r="AD47">
            <v>7.3069843650858</v>
          </cell>
          <cell r="AE47">
            <v>8.63058202923287</v>
          </cell>
          <cell r="AF47">
            <v>9.92782420683354</v>
          </cell>
        </row>
        <row r="47">
          <cell r="AJ47">
            <v>18.8047360094778</v>
          </cell>
          <cell r="AK47">
            <v>0</v>
          </cell>
          <cell r="AL47">
            <v>7.05177600355418</v>
          </cell>
          <cell r="AM47">
            <v>14.6044433131875</v>
          </cell>
          <cell r="AN47">
            <v>16.3953792082635</v>
          </cell>
          <cell r="AO47">
            <v>14.1035520071084</v>
          </cell>
          <cell r="AP47">
            <v>20.0387968100998</v>
          </cell>
          <cell r="AQ47">
            <v>24.0935680121434</v>
          </cell>
          <cell r="AR47">
            <v>15.7881429412908</v>
          </cell>
          <cell r="AS47">
            <v>15.7881429412908</v>
          </cell>
          <cell r="AT47">
            <v>18.6480298760655</v>
          </cell>
          <cell r="AU47">
            <v>21.4509707208952</v>
          </cell>
        </row>
        <row r="48">
          <cell r="F48">
            <v>26.9959237129663</v>
          </cell>
          <cell r="G48">
            <v>27.8957878367318</v>
          </cell>
          <cell r="H48">
            <v>26.9959237129663</v>
          </cell>
          <cell r="I48">
            <v>27.8957878367318</v>
          </cell>
          <cell r="J48">
            <v>27.8957878367318</v>
          </cell>
          <cell r="K48">
            <v>26.9959237129663</v>
          </cell>
          <cell r="L48">
            <v>27.8957878367318</v>
          </cell>
          <cell r="M48">
            <v>26.9959237129663</v>
          </cell>
          <cell r="N48">
            <v>27.8957878367318</v>
          </cell>
          <cell r="O48">
            <v>27.8957878367318</v>
          </cell>
          <cell r="P48">
            <v>25.1961954654352</v>
          </cell>
          <cell r="Q48">
            <v>27.8957878367318</v>
          </cell>
        </row>
        <row r="48">
          <cell r="AJ48">
            <v>12.3090090847644</v>
          </cell>
          <cell r="AK48">
            <v>12.7193093875899</v>
          </cell>
          <cell r="AL48">
            <v>12.3090090847644</v>
          </cell>
          <cell r="AM48">
            <v>12.7193093875899</v>
          </cell>
          <cell r="AN48">
            <v>12.7193093875899</v>
          </cell>
          <cell r="AO48">
            <v>12.3090090847644</v>
          </cell>
          <cell r="AP48">
            <v>12.7193093875899</v>
          </cell>
          <cell r="AQ48">
            <v>12.3090090847644</v>
          </cell>
          <cell r="AR48">
            <v>12.7193093875899</v>
          </cell>
          <cell r="AS48">
            <v>12.7193093875899</v>
          </cell>
          <cell r="AT48">
            <v>11.4884084791135</v>
          </cell>
          <cell r="AU48">
            <v>12.7193093875899</v>
          </cell>
        </row>
        <row r="49">
          <cell r="F49">
            <v>22.3177178538992</v>
          </cell>
          <cell r="G49">
            <v>22.139176111068</v>
          </cell>
          <cell r="H49">
            <v>0</v>
          </cell>
          <cell r="I49">
            <v>11.069588055534</v>
          </cell>
          <cell r="J49">
            <v>23.0616417823625</v>
          </cell>
          <cell r="K49">
            <v>21.4250091397432</v>
          </cell>
          <cell r="L49">
            <v>27.6739701388349</v>
          </cell>
          <cell r="M49">
            <v>33.308060885662</v>
          </cell>
          <cell r="N49">
            <v>23.0616417823625</v>
          </cell>
          <cell r="O49">
            <v>23.0616417823625</v>
          </cell>
          <cell r="P49">
            <v>28.0905741105863</v>
          </cell>
          <cell r="Q49">
            <v>32.2862984953074</v>
          </cell>
        </row>
        <row r="49">
          <cell r="U49">
            <v>6.64777746916225</v>
          </cell>
          <cell r="V49">
            <v>6.59459524940895</v>
          </cell>
          <cell r="W49">
            <v>0</v>
          </cell>
          <cell r="X49">
            <v>3.29729762470447</v>
          </cell>
          <cell r="Y49">
            <v>6.86937005146766</v>
          </cell>
          <cell r="Z49">
            <v>6.38186637039576</v>
          </cell>
          <cell r="AA49">
            <v>8.24324406176118</v>
          </cell>
          <cell r="AB49">
            <v>9.92147038271221</v>
          </cell>
          <cell r="AC49">
            <v>6.86937005146766</v>
          </cell>
          <cell r="AD49">
            <v>6.86937005146766</v>
          </cell>
          <cell r="AE49">
            <v>8.36733786539749</v>
          </cell>
          <cell r="AF49">
            <v>9.61711807205471</v>
          </cell>
        </row>
        <row r="49">
          <cell r="AJ49">
            <v>13.0117314660606</v>
          </cell>
          <cell r="AK49">
            <v>12.9076376143321</v>
          </cell>
          <cell r="AL49">
            <v>0</v>
          </cell>
          <cell r="AM49">
            <v>6.45381880716607</v>
          </cell>
          <cell r="AN49">
            <v>13.4454558482626</v>
          </cell>
          <cell r="AO49">
            <v>12.4912622074182</v>
          </cell>
          <cell r="AP49">
            <v>16.1345470179152</v>
          </cell>
          <cell r="AQ49">
            <v>19.4193486420347</v>
          </cell>
          <cell r="AR49">
            <v>13.4454558482626</v>
          </cell>
          <cell r="AS49">
            <v>13.4454558482626</v>
          </cell>
          <cell r="AT49">
            <v>16.3774365034625</v>
          </cell>
          <cell r="AU49">
            <v>18.8236381875677</v>
          </cell>
        </row>
        <row r="50">
          <cell r="F50">
            <v>22.3177178538992</v>
          </cell>
          <cell r="G50">
            <v>22.139176111068</v>
          </cell>
          <cell r="H50">
            <v>21.4250091397432</v>
          </cell>
          <cell r="I50">
            <v>0</v>
          </cell>
          <cell r="J50">
            <v>11.5308208911812</v>
          </cell>
          <cell r="K50">
            <v>21.4250091397432</v>
          </cell>
          <cell r="L50">
            <v>27.6739701388349</v>
          </cell>
          <cell r="M50">
            <v>32.3607670518655</v>
          </cell>
          <cell r="N50">
            <v>23.0616417823625</v>
          </cell>
          <cell r="O50">
            <v>23.0616417823625</v>
          </cell>
          <cell r="P50">
            <v>27.4954283960037</v>
          </cell>
          <cell r="Q50">
            <v>32.2862984953074</v>
          </cell>
        </row>
        <row r="50">
          <cell r="U50">
            <v>6.71601435689877</v>
          </cell>
          <cell r="V50">
            <v>6.66228624204358</v>
          </cell>
          <cell r="W50">
            <v>6.44737378262282</v>
          </cell>
          <cell r="X50">
            <v>0</v>
          </cell>
          <cell r="Y50">
            <v>3.46994075106436</v>
          </cell>
          <cell r="Z50">
            <v>6.44737378262282</v>
          </cell>
          <cell r="AA50">
            <v>8.32785780255447</v>
          </cell>
          <cell r="AB50">
            <v>9.73824373725625</v>
          </cell>
          <cell r="AC50">
            <v>6.93988150212873</v>
          </cell>
          <cell r="AD50">
            <v>6.93988150212873</v>
          </cell>
          <cell r="AE50">
            <v>8.27412968769928</v>
          </cell>
          <cell r="AF50">
            <v>9.71583410298021</v>
          </cell>
        </row>
        <row r="50">
          <cell r="AJ50">
            <v>13.0117314660606</v>
          </cell>
          <cell r="AK50">
            <v>12.9076376143321</v>
          </cell>
          <cell r="AL50">
            <v>12.4912622074182</v>
          </cell>
          <cell r="AM50">
            <v>0</v>
          </cell>
          <cell r="AN50">
            <v>6.72272792413132</v>
          </cell>
          <cell r="AO50">
            <v>12.4912622074182</v>
          </cell>
          <cell r="AP50">
            <v>16.1345470179152</v>
          </cell>
          <cell r="AQ50">
            <v>18.8670550309449</v>
          </cell>
          <cell r="AR50">
            <v>13.4454558482626</v>
          </cell>
          <cell r="AS50">
            <v>13.4454558482626</v>
          </cell>
          <cell r="AT50">
            <v>16.0304531661867</v>
          </cell>
          <cell r="AU50">
            <v>18.8236381875677</v>
          </cell>
        </row>
        <row r="51">
          <cell r="F51">
            <v>22.3177178538992</v>
          </cell>
          <cell r="G51">
            <v>22.139176111068</v>
          </cell>
          <cell r="H51">
            <v>21.4250091397432</v>
          </cell>
          <cell r="I51">
            <v>22.139176111068</v>
          </cell>
          <cell r="J51">
            <v>23.0616417823625</v>
          </cell>
          <cell r="K51">
            <v>21.4250091397432</v>
          </cell>
          <cell r="L51">
            <v>27.6739701388349</v>
          </cell>
          <cell r="M51">
            <v>16.0687568548074</v>
          </cell>
          <cell r="N51">
            <v>0</v>
          </cell>
          <cell r="O51">
            <v>23.0616417823625</v>
          </cell>
          <cell r="P51">
            <v>27.4954283960037</v>
          </cell>
          <cell r="Q51">
            <v>32.2862984953074</v>
          </cell>
        </row>
        <row r="51">
          <cell r="U51">
            <v>6.86334132738027</v>
          </cell>
          <cell r="V51">
            <v>6.80843459676123</v>
          </cell>
          <cell r="W51">
            <v>6.58880767428506</v>
          </cell>
          <cell r="X51">
            <v>6.80843459676123</v>
          </cell>
          <cell r="Y51">
            <v>7.09211937162628</v>
          </cell>
          <cell r="Z51">
            <v>6.58880767428506</v>
          </cell>
          <cell r="AA51">
            <v>8.51054324595153</v>
          </cell>
          <cell r="AB51">
            <v>4.94160575571379</v>
          </cell>
          <cell r="AC51">
            <v>0</v>
          </cell>
          <cell r="AD51">
            <v>7.09211937162628</v>
          </cell>
          <cell r="AE51">
            <v>8.45563651533249</v>
          </cell>
          <cell r="AF51">
            <v>9.92896712027678</v>
          </cell>
        </row>
        <row r="51">
          <cell r="AJ51">
            <v>13.0117314660606</v>
          </cell>
          <cell r="AK51">
            <v>12.9076376143321</v>
          </cell>
          <cell r="AL51">
            <v>12.4912622074182</v>
          </cell>
          <cell r="AM51">
            <v>12.9076376143321</v>
          </cell>
          <cell r="AN51">
            <v>13.4454558482626</v>
          </cell>
          <cell r="AO51">
            <v>12.4912622074182</v>
          </cell>
          <cell r="AP51">
            <v>16.1345470179152</v>
          </cell>
          <cell r="AQ51">
            <v>9.36844665556364</v>
          </cell>
          <cell r="AR51">
            <v>0</v>
          </cell>
          <cell r="AS51">
            <v>13.4454558482626</v>
          </cell>
          <cell r="AT51">
            <v>16.0304531661867</v>
          </cell>
          <cell r="AU51">
            <v>18.8236381875677</v>
          </cell>
        </row>
        <row r="52">
          <cell r="F52">
            <v>26.392910086464</v>
          </cell>
          <cell r="G52">
            <v>26.1670248199582</v>
          </cell>
          <cell r="H52">
            <v>25.3229272451208</v>
          </cell>
          <cell r="I52">
            <v>29.4839716281219</v>
          </cell>
          <cell r="J52">
            <v>0</v>
          </cell>
          <cell r="K52">
            <v>26.9279015071356</v>
          </cell>
          <cell r="L52">
            <v>29.4839716281219</v>
          </cell>
          <cell r="M52">
            <v>27.4628929278071</v>
          </cell>
          <cell r="N52">
            <v>27.2726737560128</v>
          </cell>
          <cell r="O52">
            <v>28.3783226920674</v>
          </cell>
          <cell r="P52">
            <v>26.6306840512069</v>
          </cell>
          <cell r="Q52">
            <v>29.4839716281219</v>
          </cell>
        </row>
        <row r="52">
          <cell r="U52">
            <v>5.26360122054381</v>
          </cell>
          <cell r="V52">
            <v>5.21855238126888</v>
          </cell>
          <cell r="W52">
            <v>5.05021198187311</v>
          </cell>
          <cell r="X52">
            <v>5.88005902114804</v>
          </cell>
          <cell r="Y52">
            <v>0</v>
          </cell>
          <cell r="Z52">
            <v>5.37029583987916</v>
          </cell>
          <cell r="AA52">
            <v>5.88005902114804</v>
          </cell>
          <cell r="AB52">
            <v>5.4769904592145</v>
          </cell>
          <cell r="AC52">
            <v>5.43905459456194</v>
          </cell>
          <cell r="AD52">
            <v>5.65955680785499</v>
          </cell>
          <cell r="AE52">
            <v>5.31102105135952</v>
          </cell>
          <cell r="AF52">
            <v>5.88005902114804</v>
          </cell>
        </row>
        <row r="52">
          <cell r="AJ52">
            <v>7.29905148809932</v>
          </cell>
          <cell r="AK52">
            <v>7.23658212851649</v>
          </cell>
          <cell r="AL52">
            <v>7.00314399533854</v>
          </cell>
          <cell r="AM52">
            <v>8.15389535607492</v>
          </cell>
          <cell r="AN52">
            <v>0</v>
          </cell>
          <cell r="AO52">
            <v>7.44700523447972</v>
          </cell>
          <cell r="AP52">
            <v>8.15389535607492</v>
          </cell>
          <cell r="AQ52">
            <v>7.59495898086011</v>
          </cell>
          <cell r="AR52">
            <v>7.5423532043693</v>
          </cell>
          <cell r="AS52">
            <v>7.84812428022211</v>
          </cell>
          <cell r="AT52">
            <v>7.36480870871283</v>
          </cell>
          <cell r="AU52">
            <v>8.15389535607492</v>
          </cell>
        </row>
        <row r="53">
          <cell r="F53">
            <v>10.9971659087202</v>
          </cell>
          <cell r="G53">
            <v>10.9091885814505</v>
          </cell>
          <cell r="H53">
            <v>10.5572792723714</v>
          </cell>
          <cell r="I53">
            <v>10.9091885814505</v>
          </cell>
          <cell r="J53">
            <v>11.3637381056776</v>
          </cell>
          <cell r="K53">
            <v>10.5572792723714</v>
          </cell>
          <cell r="L53">
            <v>13.6364857268131</v>
          </cell>
          <cell r="M53">
            <v>16.7156921812547</v>
          </cell>
          <cell r="N53">
            <v>11.3637381056776</v>
          </cell>
          <cell r="O53">
            <v>11.3637381056776</v>
          </cell>
          <cell r="P53">
            <v>13.9590692601355</v>
          </cell>
          <cell r="Q53">
            <v>15.9092333479486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3">
          <cell r="AJ53">
            <v>5.00235510389702</v>
          </cell>
          <cell r="AK53">
            <v>4.96233626306585</v>
          </cell>
          <cell r="AL53">
            <v>4.80226089974114</v>
          </cell>
          <cell r="AM53">
            <v>4.96233626306585</v>
          </cell>
          <cell r="AN53">
            <v>5.16910027402692</v>
          </cell>
          <cell r="AO53">
            <v>4.80226089974114</v>
          </cell>
          <cell r="AP53">
            <v>6.2029203288323</v>
          </cell>
          <cell r="AQ53">
            <v>7.60357975792346</v>
          </cell>
          <cell r="AR53">
            <v>5.16910027402692</v>
          </cell>
          <cell r="AS53">
            <v>5.16910027402692</v>
          </cell>
          <cell r="AT53">
            <v>6.34965607854661</v>
          </cell>
          <cell r="AU53">
            <v>7.23674038363768</v>
          </cell>
        </row>
        <row r="54">
          <cell r="F54">
            <v>48.0325496022978</v>
          </cell>
          <cell r="G54">
            <v>47.6482892054794</v>
          </cell>
          <cell r="H54">
            <v>46.1112476182059</v>
          </cell>
          <cell r="I54">
            <v>47.6482892054794</v>
          </cell>
          <cell r="J54">
            <v>49.6336345890411</v>
          </cell>
          <cell r="K54">
            <v>46.1112476182059</v>
          </cell>
          <cell r="L54">
            <v>59.5603615068493</v>
          </cell>
          <cell r="M54">
            <v>66.9753190824395</v>
          </cell>
          <cell r="N54">
            <v>47.9159155066514</v>
          </cell>
          <cell r="O54">
            <v>49.6336345890411</v>
          </cell>
          <cell r="P54">
            <v>59.1761011100309</v>
          </cell>
          <cell r="Q54">
            <v>69.4870884246575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4">
          <cell r="AJ54">
            <v>28.875830732373</v>
          </cell>
          <cell r="AK54">
            <v>28.644824086514</v>
          </cell>
          <cell r="AL54">
            <v>27.7207975030781</v>
          </cell>
          <cell r="AM54">
            <v>28.644824086514</v>
          </cell>
          <cell r="AN54">
            <v>29.8383584234521</v>
          </cell>
          <cell r="AO54">
            <v>27.7207975030781</v>
          </cell>
          <cell r="AP54">
            <v>35.8060301081426</v>
          </cell>
          <cell r="AQ54">
            <v>40.2636960370448</v>
          </cell>
          <cell r="AR54">
            <v>28.8057135632576</v>
          </cell>
          <cell r="AS54">
            <v>29.8383584234521</v>
          </cell>
          <cell r="AT54">
            <v>35.5750234622836</v>
          </cell>
          <cell r="AU54">
            <v>41.773701792833</v>
          </cell>
        </row>
        <row r="55">
          <cell r="F55">
            <v>268.724259857558</v>
          </cell>
          <cell r="G55">
            <v>264.737020098483</v>
          </cell>
          <cell r="H55">
            <v>202.340644837258</v>
          </cell>
          <cell r="I55">
            <v>104.253704202022</v>
          </cell>
          <cell r="J55">
            <v>0</v>
          </cell>
          <cell r="K55">
            <v>201.781362971656</v>
          </cell>
          <cell r="L55">
            <v>278.50788769346</v>
          </cell>
          <cell r="M55">
            <v>278.184014970633</v>
          </cell>
          <cell r="N55">
            <v>238.307098175236</v>
          </cell>
          <cell r="O55">
            <v>239.72929285828</v>
          </cell>
          <cell r="P55">
            <v>243.421435905505</v>
          </cell>
          <cell r="Q55">
            <v>291.231731105122</v>
          </cell>
        </row>
        <row r="55">
          <cell r="U55">
            <v>75.7842247086342</v>
          </cell>
          <cell r="V55">
            <v>74.6597639918044</v>
          </cell>
          <cell r="W55">
            <v>57.0630612366924</v>
          </cell>
          <cell r="X55">
            <v>29.4010899877126</v>
          </cell>
          <cell r="Y55">
            <v>0</v>
          </cell>
          <cell r="Z55">
            <v>56.905335460089</v>
          </cell>
          <cell r="AA55">
            <v>78.543352785774</v>
          </cell>
          <cell r="AB55">
            <v>78.4520158770158</v>
          </cell>
          <cell r="AC55">
            <v>67.206134226019</v>
          </cell>
          <cell r="AD55">
            <v>67.6072142085124</v>
          </cell>
          <cell r="AE55">
            <v>68.64845327824</v>
          </cell>
          <cell r="AF55">
            <v>82.1316652395065</v>
          </cell>
        </row>
        <row r="55">
          <cell r="AJ55">
            <v>98.4218593247378</v>
          </cell>
          <cell r="AK55">
            <v>96.9615090353007</v>
          </cell>
          <cell r="AL55">
            <v>74.108465281123</v>
          </cell>
          <cell r="AM55">
            <v>38.1835395676341</v>
          </cell>
          <cell r="AN55">
            <v>0</v>
          </cell>
          <cell r="AO55">
            <v>73.9036249696145</v>
          </cell>
          <cell r="AP55">
            <v>102.005171241053</v>
          </cell>
          <cell r="AQ55">
            <v>101.886550928983</v>
          </cell>
          <cell r="AR55">
            <v>87.2813928490197</v>
          </cell>
          <cell r="AS55">
            <v>87.8022801150266</v>
          </cell>
          <cell r="AT55">
            <v>89.1545494776566</v>
          </cell>
          <cell r="AU55">
            <v>106.665354608928</v>
          </cell>
        </row>
        <row r="56">
          <cell r="F56">
            <v>255.185867462035</v>
          </cell>
          <cell r="G56">
            <v>263.164690218697</v>
          </cell>
          <cell r="H56">
            <v>186.28985242052</v>
          </cell>
          <cell r="I56">
            <v>202.146593388418</v>
          </cell>
          <cell r="J56">
            <v>239.347965114255</v>
          </cell>
          <cell r="K56">
            <v>190.297056958893</v>
          </cell>
          <cell r="L56">
            <v>0</v>
          </cell>
          <cell r="M56">
            <v>278.184014970633</v>
          </cell>
          <cell r="N56">
            <v>116.399766827501</v>
          </cell>
          <cell r="O56">
            <v>234.605314923331</v>
          </cell>
          <cell r="P56">
            <v>231.018376202773</v>
          </cell>
          <cell r="Q56">
            <v>279.003940242625</v>
          </cell>
        </row>
        <row r="56">
          <cell r="U56">
            <v>75.9073215446603</v>
          </cell>
          <cell r="V56">
            <v>78.2806938264459</v>
          </cell>
          <cell r="W56">
            <v>55.4135848855168</v>
          </cell>
          <cell r="X56">
            <v>60.1303144884197</v>
          </cell>
          <cell r="Y56">
            <v>71.196195658017</v>
          </cell>
          <cell r="Z56">
            <v>56.6055637612073</v>
          </cell>
          <cell r="AA56">
            <v>0</v>
          </cell>
          <cell r="AB56">
            <v>82.7483264765904</v>
          </cell>
          <cell r="AC56">
            <v>34.6241530386203</v>
          </cell>
          <cell r="AD56">
            <v>69.7854518868329</v>
          </cell>
          <cell r="AE56">
            <v>68.7184848422614</v>
          </cell>
          <cell r="AF56">
            <v>82.9922205914278</v>
          </cell>
        </row>
        <row r="56">
          <cell r="AJ56">
            <v>93.4633425442224</v>
          </cell>
          <cell r="AK56">
            <v>96.3856338600473</v>
          </cell>
          <cell r="AL56">
            <v>68.2297670417898</v>
          </cell>
          <cell r="AM56">
            <v>74.0373927832041</v>
          </cell>
          <cell r="AN56">
            <v>87.6626165595329</v>
          </cell>
          <cell r="AO56">
            <v>69.697429550453</v>
          </cell>
          <cell r="AP56">
            <v>0</v>
          </cell>
          <cell r="AQ56">
            <v>101.886550928983</v>
          </cell>
          <cell r="AR56">
            <v>42.6321072842517</v>
          </cell>
          <cell r="AS56">
            <v>85.9255927040576</v>
          </cell>
          <cell r="AT56">
            <v>84.6118550521302</v>
          </cell>
          <cell r="AU56">
            <v>102.186853439145</v>
          </cell>
        </row>
        <row r="57">
          <cell r="F57">
            <v>0.30654881134098</v>
          </cell>
          <cell r="G57">
            <v>0.3284880143239</v>
          </cell>
          <cell r="H57">
            <v>0.340329489632006</v>
          </cell>
          <cell r="I57">
            <v>0.744037152022398</v>
          </cell>
          <cell r="J57">
            <v>1.74686340816864</v>
          </cell>
          <cell r="K57">
            <v>0.882281956820157</v>
          </cell>
          <cell r="L57">
            <v>0.972497892936063</v>
          </cell>
          <cell r="M57">
            <v>0.333546676050518</v>
          </cell>
          <cell r="N57">
            <v>0.572200987207029</v>
          </cell>
          <cell r="O57">
            <v>1.09183819689741</v>
          </cell>
          <cell r="P57">
            <v>0.980592762994512</v>
          </cell>
          <cell r="Q57">
            <v>0.455488085216531</v>
          </cell>
        </row>
        <row r="57">
          <cell r="U57">
            <v>0.313879946985167</v>
          </cell>
          <cell r="V57">
            <v>0.336343827497547</v>
          </cell>
          <cell r="W57">
            <v>0.348468492491926</v>
          </cell>
          <cell r="X57">
            <v>0.761830851048437</v>
          </cell>
          <cell r="Y57">
            <v>1.78863976522294</v>
          </cell>
          <cell r="Z57">
            <v>0.903381789742599</v>
          </cell>
          <cell r="AA57">
            <v>0.995755246098234</v>
          </cell>
          <cell r="AB57">
            <v>0.341523467462944</v>
          </cell>
          <cell r="AC57">
            <v>0.585885212680299</v>
          </cell>
          <cell r="AD57">
            <v>1.11794958153448</v>
          </cell>
          <cell r="AE57">
            <v>1.00404370552394</v>
          </cell>
          <cell r="AF57">
            <v>0.466381113711492</v>
          </cell>
        </row>
        <row r="58">
          <cell r="F58">
            <v>0.30654881134098</v>
          </cell>
          <cell r="G58">
            <v>0.3284880143239</v>
          </cell>
          <cell r="H58">
            <v>0.340329489632006</v>
          </cell>
          <cell r="I58">
            <v>0.744037152022398</v>
          </cell>
          <cell r="J58">
            <v>1.74686340816864</v>
          </cell>
          <cell r="K58">
            <v>0.882281956820157</v>
          </cell>
          <cell r="L58">
            <v>0.972497892936063</v>
          </cell>
          <cell r="M58">
            <v>0.333546676050518</v>
          </cell>
          <cell r="N58">
            <v>0.572200987207029</v>
          </cell>
          <cell r="O58">
            <v>1.09183819689741</v>
          </cell>
          <cell r="P58">
            <v>0.980592762994512</v>
          </cell>
          <cell r="Q58">
            <v>0.455488085216531</v>
          </cell>
        </row>
        <row r="58">
          <cell r="U58">
            <v>0.313879946985167</v>
          </cell>
          <cell r="V58">
            <v>0.336343827497547</v>
          </cell>
          <cell r="W58">
            <v>0.348468492491926</v>
          </cell>
          <cell r="X58">
            <v>0.761830851048437</v>
          </cell>
          <cell r="Y58">
            <v>1.78863976522294</v>
          </cell>
          <cell r="Z58">
            <v>0.903381789742599</v>
          </cell>
          <cell r="AA58">
            <v>0.995755246098234</v>
          </cell>
          <cell r="AB58">
            <v>0.341523467462944</v>
          </cell>
          <cell r="AC58">
            <v>0.585885212680299</v>
          </cell>
          <cell r="AD58">
            <v>1.11794958153448</v>
          </cell>
          <cell r="AE58">
            <v>1.00404370552394</v>
          </cell>
          <cell r="AF58">
            <v>0.466381113711492</v>
          </cell>
        </row>
        <row r="59">
          <cell r="F59">
            <v>6.74407384950155</v>
          </cell>
          <cell r="G59">
            <v>7.2267363151258</v>
          </cell>
          <cell r="H59">
            <v>7.48724877190413</v>
          </cell>
          <cell r="I59">
            <v>16.3688173444928</v>
          </cell>
          <cell r="J59">
            <v>38.43099497971</v>
          </cell>
          <cell r="K59">
            <v>19.4102030500434</v>
          </cell>
          <cell r="L59">
            <v>21.3949536445934</v>
          </cell>
          <cell r="M59">
            <v>7.3380268731114</v>
          </cell>
          <cell r="N59">
            <v>12.5884217185546</v>
          </cell>
          <cell r="O59">
            <v>24.020440331743</v>
          </cell>
          <cell r="P59">
            <v>21.5730407858793</v>
          </cell>
          <cell r="Q59">
            <v>10.0207378747637</v>
          </cell>
        </row>
        <row r="59">
          <cell r="U59">
            <v>0.981707328846914</v>
          </cell>
          <cell r="V59">
            <v>1.05196653573529</v>
          </cell>
          <cell r="W59">
            <v>1.0898882717338</v>
          </cell>
          <cell r="X59">
            <v>2.38274199100484</v>
          </cell>
          <cell r="Y59">
            <v>5.59424322277383</v>
          </cell>
          <cell r="Z59">
            <v>2.82546410580049</v>
          </cell>
          <cell r="AA59">
            <v>3.11437615630346</v>
          </cell>
          <cell r="AB59">
            <v>1.06816664843335</v>
          </cell>
          <cell r="AC59">
            <v>1.83244521568134</v>
          </cell>
          <cell r="AD59">
            <v>3.49655754697066</v>
          </cell>
          <cell r="AE59">
            <v>3.14029957524506</v>
          </cell>
          <cell r="AF59">
            <v>1.45867794920965</v>
          </cell>
        </row>
        <row r="60">
          <cell r="F60">
            <v>6.18002403663415</v>
          </cell>
          <cell r="G60">
            <v>6.62231836876982</v>
          </cell>
          <cell r="H60">
            <v>6.86104251098124</v>
          </cell>
          <cell r="I60">
            <v>14.9997889847716</v>
          </cell>
          <cell r="J60">
            <v>35.2167663086797</v>
          </cell>
          <cell r="K60">
            <v>17.7868042494944</v>
          </cell>
          <cell r="L60">
            <v>19.605557521591</v>
          </cell>
          <cell r="M60">
            <v>6.72430098917844</v>
          </cell>
          <cell r="N60">
            <v>11.5355719020937</v>
          </cell>
          <cell r="O60">
            <v>22.0114580494518</v>
          </cell>
          <cell r="P60">
            <v>19.7687501019694</v>
          </cell>
          <cell r="Q60">
            <v>9.18263979796527</v>
          </cell>
        </row>
        <row r="60">
          <cell r="U60">
            <v>0.89960089770699</v>
          </cell>
          <cell r="V60">
            <v>0.963983880019251</v>
          </cell>
          <cell r="W60">
            <v>0.998733979916061</v>
          </cell>
          <cell r="X60">
            <v>2.18345811539353</v>
          </cell>
          <cell r="Y60">
            <v>5.12636106232365</v>
          </cell>
          <cell r="Z60">
            <v>2.58915256240627</v>
          </cell>
          <cell r="AA60">
            <v>2.85390105959444</v>
          </cell>
          <cell r="AB60">
            <v>0.978829074200741</v>
          </cell>
          <cell r="AC60">
            <v>1.6791861612789</v>
          </cell>
          <cell r="AD60">
            <v>3.20411818849675</v>
          </cell>
          <cell r="AE60">
            <v>2.87765633804275</v>
          </cell>
          <cell r="AF60">
            <v>1.33667942982121</v>
          </cell>
        </row>
        <row r="61">
          <cell r="F61">
            <v>6.18002403663415</v>
          </cell>
          <cell r="G61">
            <v>6.62231836876982</v>
          </cell>
          <cell r="H61">
            <v>6.86104251098124</v>
          </cell>
          <cell r="I61">
            <v>14.9997889847716</v>
          </cell>
          <cell r="J61">
            <v>35.2167663086797</v>
          </cell>
          <cell r="K61">
            <v>17.7868042494944</v>
          </cell>
          <cell r="L61">
            <v>19.605557521591</v>
          </cell>
          <cell r="M61">
            <v>6.72430098917844</v>
          </cell>
          <cell r="N61">
            <v>11.5355719020937</v>
          </cell>
          <cell r="O61">
            <v>22.0114580494518</v>
          </cell>
          <cell r="P61">
            <v>19.7687501019694</v>
          </cell>
          <cell r="Q61">
            <v>9.18263979796527</v>
          </cell>
        </row>
        <row r="61">
          <cell r="U61">
            <v>0.89960089770699</v>
          </cell>
          <cell r="V61">
            <v>0.963983880019251</v>
          </cell>
          <cell r="W61">
            <v>0.998733979916061</v>
          </cell>
          <cell r="X61">
            <v>2.18345811539353</v>
          </cell>
          <cell r="Y61">
            <v>5.12636106232365</v>
          </cell>
          <cell r="Z61">
            <v>2.58915256240627</v>
          </cell>
          <cell r="AA61">
            <v>2.85390105959444</v>
          </cell>
          <cell r="AB61">
            <v>0.978829074200741</v>
          </cell>
          <cell r="AC61">
            <v>1.6791861612789</v>
          </cell>
          <cell r="AD61">
            <v>3.20411818849675</v>
          </cell>
          <cell r="AE61">
            <v>2.87765633804275</v>
          </cell>
          <cell r="AF61">
            <v>1.33667942982121</v>
          </cell>
        </row>
        <row r="62">
          <cell r="F62">
            <v>6.18002403663415</v>
          </cell>
          <cell r="G62">
            <v>6.62231836876982</v>
          </cell>
          <cell r="H62">
            <v>6.86104251098124</v>
          </cell>
          <cell r="I62">
            <v>14.9997889847716</v>
          </cell>
          <cell r="J62">
            <v>35.2167663086797</v>
          </cell>
          <cell r="K62">
            <v>17.7868042494944</v>
          </cell>
          <cell r="L62">
            <v>19.605557521591</v>
          </cell>
          <cell r="M62">
            <v>6.72430098917844</v>
          </cell>
          <cell r="N62">
            <v>11.5355719020937</v>
          </cell>
          <cell r="O62">
            <v>22.0114580494518</v>
          </cell>
          <cell r="P62">
            <v>19.7687501019694</v>
          </cell>
          <cell r="Q62">
            <v>9.18263979796527</v>
          </cell>
        </row>
        <row r="62">
          <cell r="U62">
            <v>0.89960089770699</v>
          </cell>
          <cell r="V62">
            <v>0.963983880019251</v>
          </cell>
          <cell r="W62">
            <v>0.998733979916061</v>
          </cell>
          <cell r="X62">
            <v>2.18345811539353</v>
          </cell>
          <cell r="Y62">
            <v>5.12636106232365</v>
          </cell>
          <cell r="Z62">
            <v>2.58915256240627</v>
          </cell>
          <cell r="AA62">
            <v>2.85390105959444</v>
          </cell>
          <cell r="AB62">
            <v>0.978829074200741</v>
          </cell>
          <cell r="AC62">
            <v>1.6791861612789</v>
          </cell>
          <cell r="AD62">
            <v>3.20411818849675</v>
          </cell>
          <cell r="AE62">
            <v>2.87765633804275</v>
          </cell>
          <cell r="AF62">
            <v>1.33667942982121</v>
          </cell>
        </row>
        <row r="63">
          <cell r="F63">
            <v>6.18002403663415</v>
          </cell>
          <cell r="G63">
            <v>6.62231836876982</v>
          </cell>
          <cell r="H63">
            <v>6.86104251098124</v>
          </cell>
          <cell r="I63">
            <v>14.9997889847716</v>
          </cell>
          <cell r="J63">
            <v>35.2167663086797</v>
          </cell>
          <cell r="K63">
            <v>17.7868042494944</v>
          </cell>
          <cell r="L63">
            <v>19.605557521591</v>
          </cell>
          <cell r="M63">
            <v>6.72430098917844</v>
          </cell>
          <cell r="N63">
            <v>11.5355719020937</v>
          </cell>
          <cell r="O63">
            <v>22.0114580494518</v>
          </cell>
          <cell r="P63">
            <v>19.7687501019694</v>
          </cell>
          <cell r="Q63">
            <v>9.18263979796527</v>
          </cell>
        </row>
        <row r="63">
          <cell r="U63">
            <v>0.89960089770699</v>
          </cell>
          <cell r="V63">
            <v>0.963983880019251</v>
          </cell>
          <cell r="W63">
            <v>0.998733979916061</v>
          </cell>
          <cell r="X63">
            <v>2.18345811539353</v>
          </cell>
          <cell r="Y63">
            <v>5.12636106232365</v>
          </cell>
          <cell r="Z63">
            <v>2.58915256240627</v>
          </cell>
          <cell r="AA63">
            <v>2.85390105959444</v>
          </cell>
          <cell r="AB63">
            <v>0.978829074200741</v>
          </cell>
          <cell r="AC63">
            <v>1.6791861612789</v>
          </cell>
          <cell r="AD63">
            <v>3.20411818849675</v>
          </cell>
          <cell r="AE63">
            <v>2.87765633804275</v>
          </cell>
          <cell r="AF63">
            <v>1.33667942982121</v>
          </cell>
        </row>
        <row r="64">
          <cell r="F64">
            <v>6.18002403663415</v>
          </cell>
          <cell r="G64">
            <v>6.62231836876982</v>
          </cell>
          <cell r="H64">
            <v>6.86104251098124</v>
          </cell>
          <cell r="I64">
            <v>14.9997889847716</v>
          </cell>
          <cell r="J64">
            <v>35.2167663086797</v>
          </cell>
          <cell r="K64">
            <v>17.7868042494944</v>
          </cell>
          <cell r="L64">
            <v>19.605557521591</v>
          </cell>
          <cell r="M64">
            <v>6.72430098917844</v>
          </cell>
          <cell r="N64">
            <v>11.5355719020937</v>
          </cell>
          <cell r="O64">
            <v>22.0114580494518</v>
          </cell>
          <cell r="P64">
            <v>19.7687501019694</v>
          </cell>
          <cell r="Q64">
            <v>9.18263979796527</v>
          </cell>
        </row>
        <row r="64">
          <cell r="U64">
            <v>0.89960089770699</v>
          </cell>
          <cell r="V64">
            <v>0.963983880019251</v>
          </cell>
          <cell r="W64">
            <v>0.998733979916061</v>
          </cell>
          <cell r="X64">
            <v>2.18345811539353</v>
          </cell>
          <cell r="Y64">
            <v>5.12636106232365</v>
          </cell>
          <cell r="Z64">
            <v>2.58915256240627</v>
          </cell>
          <cell r="AA64">
            <v>2.85390105959444</v>
          </cell>
          <cell r="AB64">
            <v>0.978829074200741</v>
          </cell>
          <cell r="AC64">
            <v>1.6791861612789</v>
          </cell>
          <cell r="AD64">
            <v>3.20411818849675</v>
          </cell>
          <cell r="AE64">
            <v>2.87765633804275</v>
          </cell>
          <cell r="AF64">
            <v>1.33667942982121</v>
          </cell>
        </row>
        <row r="65">
          <cell r="F65">
            <v>6.18002403663415</v>
          </cell>
          <cell r="G65">
            <v>6.62231836876982</v>
          </cell>
          <cell r="H65">
            <v>6.86104251098124</v>
          </cell>
          <cell r="I65">
            <v>14.9997889847716</v>
          </cell>
          <cell r="J65">
            <v>35.2167663086797</v>
          </cell>
          <cell r="K65">
            <v>17.7868042494944</v>
          </cell>
          <cell r="L65">
            <v>19.605557521591</v>
          </cell>
          <cell r="M65">
            <v>6.72430098917844</v>
          </cell>
          <cell r="N65">
            <v>11.5355719020937</v>
          </cell>
          <cell r="O65">
            <v>22.0114580494518</v>
          </cell>
          <cell r="P65">
            <v>19.7687501019694</v>
          </cell>
          <cell r="Q65">
            <v>9.18263979796527</v>
          </cell>
        </row>
        <row r="65">
          <cell r="U65">
            <v>0.89960089770699</v>
          </cell>
          <cell r="V65">
            <v>0.963983880019251</v>
          </cell>
          <cell r="W65">
            <v>0.998733979916061</v>
          </cell>
          <cell r="X65">
            <v>2.18345811539353</v>
          </cell>
          <cell r="Y65">
            <v>5.12636106232365</v>
          </cell>
          <cell r="Z65">
            <v>2.58915256240627</v>
          </cell>
          <cell r="AA65">
            <v>2.85390105959444</v>
          </cell>
          <cell r="AB65">
            <v>0.978829074200741</v>
          </cell>
          <cell r="AC65">
            <v>1.6791861612789</v>
          </cell>
          <cell r="AD65">
            <v>3.20411818849675</v>
          </cell>
          <cell r="AE65">
            <v>2.87765633804275</v>
          </cell>
          <cell r="AF65">
            <v>1.33667942982121</v>
          </cell>
        </row>
        <row r="66">
          <cell r="F66">
            <v>6.18002403663415</v>
          </cell>
          <cell r="G66">
            <v>6.62231836876982</v>
          </cell>
          <cell r="H66">
            <v>6.86104251098124</v>
          </cell>
          <cell r="I66">
            <v>14.9997889847716</v>
          </cell>
          <cell r="J66">
            <v>35.2167663086797</v>
          </cell>
          <cell r="K66">
            <v>17.7868042494944</v>
          </cell>
          <cell r="L66">
            <v>19.605557521591</v>
          </cell>
          <cell r="M66">
            <v>6.72430098917844</v>
          </cell>
          <cell r="N66">
            <v>11.5355719020937</v>
          </cell>
          <cell r="O66">
            <v>22.0114580494518</v>
          </cell>
          <cell r="P66">
            <v>19.7687501019694</v>
          </cell>
          <cell r="Q66">
            <v>9.18263979796527</v>
          </cell>
        </row>
        <row r="66">
          <cell r="U66">
            <v>0.89960089770699</v>
          </cell>
          <cell r="V66">
            <v>0.963983880019251</v>
          </cell>
          <cell r="W66">
            <v>0.998733979916061</v>
          </cell>
          <cell r="X66">
            <v>2.18345811539353</v>
          </cell>
          <cell r="Y66">
            <v>5.12636106232365</v>
          </cell>
          <cell r="Z66">
            <v>2.58915256240627</v>
          </cell>
          <cell r="AA66">
            <v>2.85390105959444</v>
          </cell>
          <cell r="AB66">
            <v>0.978829074200741</v>
          </cell>
          <cell r="AC66">
            <v>1.6791861612789</v>
          </cell>
          <cell r="AD66">
            <v>3.20411818849675</v>
          </cell>
          <cell r="AE66">
            <v>2.87765633804275</v>
          </cell>
          <cell r="AF66">
            <v>1.33667942982121</v>
          </cell>
        </row>
        <row r="67">
          <cell r="F67">
            <v>9.19646434022939</v>
          </cell>
          <cell r="G67">
            <v>9.854640429717</v>
          </cell>
          <cell r="H67">
            <v>10.2098846889602</v>
          </cell>
          <cell r="I67">
            <v>22.321114560672</v>
          </cell>
          <cell r="J67">
            <v>52.4059022450591</v>
          </cell>
          <cell r="K67">
            <v>26.4684587046047</v>
          </cell>
          <cell r="L67">
            <v>29.1749367880819</v>
          </cell>
          <cell r="M67">
            <v>10.0064002815155</v>
          </cell>
          <cell r="N67">
            <v>17.1660296162109</v>
          </cell>
          <cell r="O67">
            <v>32.7551459069223</v>
          </cell>
          <cell r="P67">
            <v>29.4177828898354</v>
          </cell>
          <cell r="Q67">
            <v>13.6646425564959</v>
          </cell>
        </row>
        <row r="67">
          <cell r="U67">
            <v>1.56660002922315</v>
          </cell>
          <cell r="V67">
            <v>1.6787190613728</v>
          </cell>
          <cell r="W67">
            <v>1.73923423832806</v>
          </cell>
          <cell r="X67">
            <v>3.80235897507648</v>
          </cell>
          <cell r="Y67">
            <v>8.92724474877128</v>
          </cell>
          <cell r="Z67">
            <v>4.50885108081561</v>
          </cell>
          <cell r="AA67">
            <v>4.96989442180044</v>
          </cell>
          <cell r="AB67">
            <v>1.704571060518</v>
          </cell>
          <cell r="AC67">
            <v>2.92420016035539</v>
          </cell>
          <cell r="AD67">
            <v>5.57977616577297</v>
          </cell>
          <cell r="AE67">
            <v>5.01126278860196</v>
          </cell>
          <cell r="AF67">
            <v>2.32774560269719</v>
          </cell>
        </row>
        <row r="68">
          <cell r="F68">
            <v>9.19646434022939</v>
          </cell>
          <cell r="G68">
            <v>9.854640429717</v>
          </cell>
          <cell r="H68">
            <v>10.2098846889602</v>
          </cell>
          <cell r="I68">
            <v>22.321114560672</v>
          </cell>
          <cell r="J68">
            <v>52.4059022450591</v>
          </cell>
          <cell r="K68">
            <v>26.4684587046047</v>
          </cell>
          <cell r="L68">
            <v>29.1749367880819</v>
          </cell>
          <cell r="M68">
            <v>10.0064002815155</v>
          </cell>
          <cell r="N68">
            <v>17.1660296162109</v>
          </cell>
          <cell r="O68">
            <v>32.7551459069223</v>
          </cell>
          <cell r="P68">
            <v>29.4177828898354</v>
          </cell>
          <cell r="Q68">
            <v>13.6646425564959</v>
          </cell>
        </row>
        <row r="68">
          <cell r="U68">
            <v>1.56660002922315</v>
          </cell>
          <cell r="V68">
            <v>1.6787190613728</v>
          </cell>
          <cell r="W68">
            <v>1.73923423832806</v>
          </cell>
          <cell r="X68">
            <v>3.80235897507648</v>
          </cell>
          <cell r="Y68">
            <v>8.92724474877128</v>
          </cell>
          <cell r="Z68">
            <v>4.50885108081561</v>
          </cell>
          <cell r="AA68">
            <v>4.96989442180044</v>
          </cell>
          <cell r="AB68">
            <v>1.704571060518</v>
          </cell>
          <cell r="AC68">
            <v>2.92420016035539</v>
          </cell>
          <cell r="AD68">
            <v>5.57977616577297</v>
          </cell>
          <cell r="AE68">
            <v>5.01126278860196</v>
          </cell>
          <cell r="AF68">
            <v>2.32774560269719</v>
          </cell>
        </row>
        <row r="69">
          <cell r="F69">
            <v>9.19646434022939</v>
          </cell>
          <cell r="G69">
            <v>9.854640429717</v>
          </cell>
          <cell r="H69">
            <v>10.2098846889602</v>
          </cell>
          <cell r="I69">
            <v>22.321114560672</v>
          </cell>
          <cell r="J69">
            <v>52.4059022450591</v>
          </cell>
          <cell r="K69">
            <v>26.4684587046047</v>
          </cell>
          <cell r="L69">
            <v>29.1749367880819</v>
          </cell>
          <cell r="M69">
            <v>10.0064002815155</v>
          </cell>
          <cell r="N69">
            <v>17.1660296162109</v>
          </cell>
          <cell r="O69">
            <v>32.7551459069223</v>
          </cell>
          <cell r="P69">
            <v>29.4177828898354</v>
          </cell>
          <cell r="Q69">
            <v>13.6646425564959</v>
          </cell>
        </row>
        <row r="69">
          <cell r="U69">
            <v>1.56660002922315</v>
          </cell>
          <cell r="V69">
            <v>1.6787190613728</v>
          </cell>
          <cell r="W69">
            <v>1.73923423832806</v>
          </cell>
          <cell r="X69">
            <v>3.80235897507648</v>
          </cell>
          <cell r="Y69">
            <v>8.92724474877128</v>
          </cell>
          <cell r="Z69">
            <v>4.50885108081561</v>
          </cell>
          <cell r="AA69">
            <v>4.96989442180044</v>
          </cell>
          <cell r="AB69">
            <v>1.704571060518</v>
          </cell>
          <cell r="AC69">
            <v>2.92420016035539</v>
          </cell>
          <cell r="AD69">
            <v>5.57977616577297</v>
          </cell>
          <cell r="AE69">
            <v>5.01126278860196</v>
          </cell>
          <cell r="AF69">
            <v>2.32774560269719</v>
          </cell>
        </row>
        <row r="70">
          <cell r="F70">
            <v>9.19646434022939</v>
          </cell>
          <cell r="G70">
            <v>9.854640429717</v>
          </cell>
          <cell r="H70">
            <v>10.2098846889602</v>
          </cell>
          <cell r="I70">
            <v>22.321114560672</v>
          </cell>
          <cell r="J70">
            <v>52.4059022450591</v>
          </cell>
          <cell r="K70">
            <v>26.4684587046047</v>
          </cell>
          <cell r="L70">
            <v>29.1749367880819</v>
          </cell>
          <cell r="M70">
            <v>10.0064002815155</v>
          </cell>
          <cell r="N70">
            <v>17.1660296162109</v>
          </cell>
          <cell r="O70">
            <v>32.7551459069223</v>
          </cell>
          <cell r="P70">
            <v>29.4177828898354</v>
          </cell>
          <cell r="Q70">
            <v>13.6646425564959</v>
          </cell>
        </row>
        <row r="70">
          <cell r="U70">
            <v>1.56660002922315</v>
          </cell>
          <cell r="V70">
            <v>1.6787190613728</v>
          </cell>
          <cell r="W70">
            <v>1.73923423832806</v>
          </cell>
          <cell r="X70">
            <v>3.80235897507648</v>
          </cell>
          <cell r="Y70">
            <v>8.92724474877128</v>
          </cell>
          <cell r="Z70">
            <v>4.50885108081561</v>
          </cell>
          <cell r="AA70">
            <v>4.96989442180044</v>
          </cell>
          <cell r="AB70">
            <v>1.704571060518</v>
          </cell>
          <cell r="AC70">
            <v>2.92420016035539</v>
          </cell>
          <cell r="AD70">
            <v>5.57977616577297</v>
          </cell>
          <cell r="AE70">
            <v>5.01126278860196</v>
          </cell>
          <cell r="AF70">
            <v>2.32774560269719</v>
          </cell>
        </row>
        <row r="71">
          <cell r="F71">
            <v>9.19646434022939</v>
          </cell>
          <cell r="G71">
            <v>9.854640429717</v>
          </cell>
          <cell r="H71">
            <v>10.2098846889602</v>
          </cell>
          <cell r="I71">
            <v>22.321114560672</v>
          </cell>
          <cell r="J71">
            <v>52.4059022450591</v>
          </cell>
          <cell r="K71">
            <v>26.4684587046047</v>
          </cell>
          <cell r="L71">
            <v>29.1749367880819</v>
          </cell>
          <cell r="M71">
            <v>10.0064002815155</v>
          </cell>
          <cell r="N71">
            <v>17.1660296162109</v>
          </cell>
          <cell r="O71">
            <v>32.7551459069223</v>
          </cell>
          <cell r="P71">
            <v>29.4177828898354</v>
          </cell>
          <cell r="Q71">
            <v>13.6646425564959</v>
          </cell>
        </row>
        <row r="71">
          <cell r="U71">
            <v>1.56660002922315</v>
          </cell>
          <cell r="V71">
            <v>1.6787190613728</v>
          </cell>
          <cell r="W71">
            <v>1.73923423832806</v>
          </cell>
          <cell r="X71">
            <v>3.80235897507648</v>
          </cell>
          <cell r="Y71">
            <v>8.92724474877128</v>
          </cell>
          <cell r="Z71">
            <v>4.50885108081561</v>
          </cell>
          <cell r="AA71">
            <v>4.96989442180044</v>
          </cell>
          <cell r="AB71">
            <v>1.704571060518</v>
          </cell>
          <cell r="AC71">
            <v>2.92420016035539</v>
          </cell>
          <cell r="AD71">
            <v>5.57977616577297</v>
          </cell>
          <cell r="AE71">
            <v>5.01126278860196</v>
          </cell>
          <cell r="AF71">
            <v>2.32774560269719</v>
          </cell>
        </row>
        <row r="72">
          <cell r="F72">
            <v>9.19646434022939</v>
          </cell>
          <cell r="G72">
            <v>9.854640429717</v>
          </cell>
          <cell r="H72">
            <v>10.2098846889602</v>
          </cell>
          <cell r="I72">
            <v>22.321114560672</v>
          </cell>
          <cell r="J72">
            <v>52.4059022450591</v>
          </cell>
          <cell r="K72">
            <v>26.4684587046047</v>
          </cell>
          <cell r="L72">
            <v>29.1749367880819</v>
          </cell>
          <cell r="M72">
            <v>10.0064002815155</v>
          </cell>
          <cell r="N72">
            <v>17.1660296162109</v>
          </cell>
          <cell r="O72">
            <v>32.7551459069223</v>
          </cell>
          <cell r="P72">
            <v>29.4177828898354</v>
          </cell>
          <cell r="Q72">
            <v>13.6646425564959</v>
          </cell>
        </row>
        <row r="72">
          <cell r="U72">
            <v>1.56660002922315</v>
          </cell>
          <cell r="V72">
            <v>1.6787190613728</v>
          </cell>
          <cell r="W72">
            <v>1.73923423832806</v>
          </cell>
          <cell r="X72">
            <v>3.80235897507648</v>
          </cell>
          <cell r="Y72">
            <v>8.92724474877128</v>
          </cell>
          <cell r="Z72">
            <v>4.50885108081561</v>
          </cell>
          <cell r="AA72">
            <v>4.96989442180044</v>
          </cell>
          <cell r="AB72">
            <v>1.704571060518</v>
          </cell>
          <cell r="AC72">
            <v>2.92420016035539</v>
          </cell>
          <cell r="AD72">
            <v>5.57977616577297</v>
          </cell>
          <cell r="AE72">
            <v>5.01126278860196</v>
          </cell>
          <cell r="AF72">
            <v>2.32774560269719</v>
          </cell>
        </row>
        <row r="73">
          <cell r="F73">
            <v>1.83929286804588</v>
          </cell>
          <cell r="G73">
            <v>1.9709280859434</v>
          </cell>
          <cell r="H73">
            <v>2.04197693779204</v>
          </cell>
          <cell r="I73">
            <v>4.46422291213439</v>
          </cell>
          <cell r="J73">
            <v>10.4811804490118</v>
          </cell>
          <cell r="K73">
            <v>5.29369174092094</v>
          </cell>
          <cell r="L73">
            <v>5.83498735761638</v>
          </cell>
          <cell r="M73">
            <v>2.00128005630311</v>
          </cell>
          <cell r="N73">
            <v>3.43320592324217</v>
          </cell>
          <cell r="O73">
            <v>6.55102918138446</v>
          </cell>
          <cell r="P73">
            <v>5.88355657796707</v>
          </cell>
          <cell r="Q73">
            <v>2.73292851129919</v>
          </cell>
        </row>
        <row r="73">
          <cell r="U73">
            <v>0.267738362412795</v>
          </cell>
          <cell r="V73">
            <v>0.286899964291444</v>
          </cell>
          <cell r="W73">
            <v>0.297242255927399</v>
          </cell>
          <cell r="X73">
            <v>0.649838724819503</v>
          </cell>
          <cell r="Y73">
            <v>1.52570269712014</v>
          </cell>
          <cell r="Z73">
            <v>0.770581119763771</v>
          </cell>
          <cell r="AA73">
            <v>0.84937531535549</v>
          </cell>
          <cell r="AB73">
            <v>0.291318176845459</v>
          </cell>
          <cell r="AC73">
            <v>0.499757786094911</v>
          </cell>
          <cell r="AD73">
            <v>0.953606603719271</v>
          </cell>
          <cell r="AE73">
            <v>0.856445338703199</v>
          </cell>
          <cell r="AF73">
            <v>0.39782125887536</v>
          </cell>
        </row>
        <row r="74">
          <cell r="F74">
            <v>1.83929286804588</v>
          </cell>
          <cell r="G74">
            <v>1.9709280859434</v>
          </cell>
          <cell r="H74">
            <v>2.04197693779204</v>
          </cell>
          <cell r="I74">
            <v>4.46422291213439</v>
          </cell>
          <cell r="J74">
            <v>10.4811804490118</v>
          </cell>
          <cell r="K74">
            <v>5.29369174092094</v>
          </cell>
          <cell r="L74">
            <v>5.83498735761638</v>
          </cell>
          <cell r="M74">
            <v>2.00128005630311</v>
          </cell>
          <cell r="N74">
            <v>3.43320592324217</v>
          </cell>
          <cell r="O74">
            <v>6.55102918138446</v>
          </cell>
          <cell r="P74">
            <v>5.88355657796707</v>
          </cell>
          <cell r="Q74">
            <v>2.73292851129919</v>
          </cell>
        </row>
        <row r="74">
          <cell r="U74">
            <v>0.267738362412795</v>
          </cell>
          <cell r="V74">
            <v>0.286899964291444</v>
          </cell>
          <cell r="W74">
            <v>0.297242255927399</v>
          </cell>
          <cell r="X74">
            <v>0.649838724819503</v>
          </cell>
          <cell r="Y74">
            <v>1.52570269712014</v>
          </cell>
          <cell r="Z74">
            <v>0.770581119763771</v>
          </cell>
          <cell r="AA74">
            <v>0.84937531535549</v>
          </cell>
          <cell r="AB74">
            <v>0.291318176845459</v>
          </cell>
          <cell r="AC74">
            <v>0.499757786094911</v>
          </cell>
          <cell r="AD74">
            <v>0.953606603719271</v>
          </cell>
          <cell r="AE74">
            <v>0.856445338703199</v>
          </cell>
          <cell r="AF74">
            <v>0.39782125887536</v>
          </cell>
        </row>
        <row r="75">
          <cell r="F75">
            <v>0.551787860413763</v>
          </cell>
          <cell r="G75">
            <v>0.59127842578302</v>
          </cell>
          <cell r="H75">
            <v>0.612593081337611</v>
          </cell>
          <cell r="I75">
            <v>1.33926687364032</v>
          </cell>
          <cell r="J75">
            <v>3.14435413470355</v>
          </cell>
          <cell r="K75">
            <v>1.58810752227628</v>
          </cell>
          <cell r="L75">
            <v>1.75049620728491</v>
          </cell>
          <cell r="M75">
            <v>0.600384016890933</v>
          </cell>
          <cell r="N75">
            <v>1.02996177697265</v>
          </cell>
          <cell r="O75">
            <v>1.96530875441534</v>
          </cell>
          <cell r="P75">
            <v>1.76506697339012</v>
          </cell>
          <cell r="Q75">
            <v>0.819878553389756</v>
          </cell>
        </row>
        <row r="75">
          <cell r="U75">
            <v>0.0629933783104184</v>
          </cell>
          <cell r="V75">
            <v>0.067501712586081</v>
          </cell>
          <cell r="W75">
            <v>0.0699350429603661</v>
          </cell>
          <cell r="X75">
            <v>0.152893803728436</v>
          </cell>
          <cell r="Y75">
            <v>0.358966740226546</v>
          </cell>
          <cell r="Z75">
            <v>0.18130202769114</v>
          </cell>
          <cell r="AA75">
            <v>0.199840695541516</v>
          </cell>
          <cell r="AB75">
            <v>0.0685412279262166</v>
          </cell>
          <cell r="AC75">
            <v>0.117582818537286</v>
          </cell>
          <cell r="AD75">
            <v>0.224364192736732</v>
          </cell>
          <cell r="AE75">
            <v>0.201504127899106</v>
          </cell>
          <cell r="AF75">
            <v>0.093599231856155</v>
          </cell>
        </row>
        <row r="76">
          <cell r="F76">
            <v>0.551787860413763</v>
          </cell>
          <cell r="G76">
            <v>0.59127842578302</v>
          </cell>
          <cell r="H76">
            <v>0.612593081337611</v>
          </cell>
          <cell r="I76">
            <v>1.33926687364032</v>
          </cell>
          <cell r="J76">
            <v>3.14435413470355</v>
          </cell>
          <cell r="K76">
            <v>1.58810752227628</v>
          </cell>
          <cell r="L76">
            <v>1.75049620728491</v>
          </cell>
          <cell r="M76">
            <v>0.600384016890933</v>
          </cell>
          <cell r="N76">
            <v>1.02996177697265</v>
          </cell>
          <cell r="O76">
            <v>1.96530875441534</v>
          </cell>
          <cell r="P76">
            <v>1.76506697339012</v>
          </cell>
          <cell r="Q76">
            <v>0.819878553389756</v>
          </cell>
        </row>
        <row r="76">
          <cell r="U76">
            <v>0.0629933783104184</v>
          </cell>
          <cell r="V76">
            <v>0.067501712586081</v>
          </cell>
          <cell r="W76">
            <v>0.0699350429603661</v>
          </cell>
          <cell r="X76">
            <v>0.152893803728436</v>
          </cell>
          <cell r="Y76">
            <v>0.358966740226546</v>
          </cell>
          <cell r="Z76">
            <v>0.18130202769114</v>
          </cell>
          <cell r="AA76">
            <v>0.199840695541516</v>
          </cell>
          <cell r="AB76">
            <v>0.0685412279262166</v>
          </cell>
          <cell r="AC76">
            <v>0.117582818537286</v>
          </cell>
          <cell r="AD76">
            <v>0.224364192736732</v>
          </cell>
          <cell r="AE76">
            <v>0.201504127899106</v>
          </cell>
          <cell r="AF76">
            <v>0.093599231856155</v>
          </cell>
        </row>
        <row r="77">
          <cell r="F77">
            <v>0.551787860413763</v>
          </cell>
          <cell r="G77">
            <v>0.59127842578302</v>
          </cell>
          <cell r="H77">
            <v>0.612593081337611</v>
          </cell>
          <cell r="I77">
            <v>1.33926687364032</v>
          </cell>
          <cell r="J77">
            <v>3.14435413470355</v>
          </cell>
          <cell r="K77">
            <v>1.58810752227628</v>
          </cell>
          <cell r="L77">
            <v>1.75049620728491</v>
          </cell>
          <cell r="M77">
            <v>0.600384016890933</v>
          </cell>
          <cell r="N77">
            <v>1.02996177697265</v>
          </cell>
          <cell r="O77">
            <v>1.96530875441534</v>
          </cell>
          <cell r="P77">
            <v>1.76506697339012</v>
          </cell>
          <cell r="Q77">
            <v>0.819878553389756</v>
          </cell>
        </row>
        <row r="77">
          <cell r="U77">
            <v>0.0629933783104184</v>
          </cell>
          <cell r="V77">
            <v>0.067501712586081</v>
          </cell>
          <cell r="W77">
            <v>0.0699350429603661</v>
          </cell>
          <cell r="X77">
            <v>0.152893803728436</v>
          </cell>
          <cell r="Y77">
            <v>0.358966740226546</v>
          </cell>
          <cell r="Z77">
            <v>0.18130202769114</v>
          </cell>
          <cell r="AA77">
            <v>0.199840695541516</v>
          </cell>
          <cell r="AB77">
            <v>0.0685412279262166</v>
          </cell>
          <cell r="AC77">
            <v>0.117582818537286</v>
          </cell>
          <cell r="AD77">
            <v>0.224364192736732</v>
          </cell>
          <cell r="AE77">
            <v>0.201504127899106</v>
          </cell>
          <cell r="AF77">
            <v>0.093599231856155</v>
          </cell>
        </row>
        <row r="78">
          <cell r="F78">
            <v>0.551787860413763</v>
          </cell>
          <cell r="G78">
            <v>0.59127842578302</v>
          </cell>
          <cell r="H78">
            <v>0.612593081337611</v>
          </cell>
          <cell r="I78">
            <v>1.33926687364032</v>
          </cell>
          <cell r="J78">
            <v>3.14435413470355</v>
          </cell>
          <cell r="K78">
            <v>1.58810752227628</v>
          </cell>
          <cell r="L78">
            <v>1.75049620728491</v>
          </cell>
          <cell r="M78">
            <v>0.600384016890933</v>
          </cell>
          <cell r="N78">
            <v>1.02996177697265</v>
          </cell>
          <cell r="O78">
            <v>1.96530875441534</v>
          </cell>
          <cell r="P78">
            <v>1.76506697339012</v>
          </cell>
          <cell r="Q78">
            <v>0.819878553389756</v>
          </cell>
        </row>
        <row r="78">
          <cell r="U78">
            <v>0.0629933783104184</v>
          </cell>
          <cell r="V78">
            <v>0.067501712586081</v>
          </cell>
          <cell r="W78">
            <v>0.0699350429603661</v>
          </cell>
          <cell r="X78">
            <v>0.152893803728436</v>
          </cell>
          <cell r="Y78">
            <v>0.358966740226546</v>
          </cell>
          <cell r="Z78">
            <v>0.18130202769114</v>
          </cell>
          <cell r="AA78">
            <v>0.199840695541516</v>
          </cell>
          <cell r="AB78">
            <v>0.0685412279262166</v>
          </cell>
          <cell r="AC78">
            <v>0.117582818537286</v>
          </cell>
          <cell r="AD78">
            <v>0.224364192736732</v>
          </cell>
          <cell r="AE78">
            <v>0.201504127899106</v>
          </cell>
          <cell r="AF78">
            <v>0.093599231856155</v>
          </cell>
        </row>
        <row r="79">
          <cell r="F79">
            <v>0.459823217011469</v>
          </cell>
          <cell r="G79">
            <v>0.49273202148585</v>
          </cell>
          <cell r="H79">
            <v>0.510494234448009</v>
          </cell>
          <cell r="I79">
            <v>1.1160557280336</v>
          </cell>
          <cell r="J79">
            <v>2.62029511225296</v>
          </cell>
          <cell r="K79">
            <v>1.32342293523024</v>
          </cell>
          <cell r="L79">
            <v>1.45874683940409</v>
          </cell>
          <cell r="M79">
            <v>0.500320014075777</v>
          </cell>
          <cell r="N79">
            <v>0.858301480810544</v>
          </cell>
          <cell r="O79">
            <v>1.63775729534611</v>
          </cell>
          <cell r="P79">
            <v>1.47088914449177</v>
          </cell>
          <cell r="Q79">
            <v>0.683232127824797</v>
          </cell>
        </row>
        <row r="79">
          <cell r="U79">
            <v>0.470819920477751</v>
          </cell>
          <cell r="V79">
            <v>0.504515741246321</v>
          </cell>
          <cell r="W79">
            <v>0.52270273873789</v>
          </cell>
          <cell r="X79">
            <v>1.14274627657266</v>
          </cell>
          <cell r="Y79">
            <v>2.68295964783441</v>
          </cell>
          <cell r="Z79">
            <v>1.3550726846139</v>
          </cell>
          <cell r="AA79">
            <v>1.49363286914735</v>
          </cell>
          <cell r="AB79">
            <v>0.512285201194417</v>
          </cell>
          <cell r="AC79">
            <v>0.878827819020448</v>
          </cell>
          <cell r="AD79">
            <v>1.67692437230172</v>
          </cell>
          <cell r="AE79">
            <v>1.50606555828591</v>
          </cell>
          <cell r="AF79">
            <v>0.699571670567238</v>
          </cell>
        </row>
        <row r="80">
          <cell r="F80">
            <v>0.459823217011469</v>
          </cell>
          <cell r="G80">
            <v>0.49273202148585</v>
          </cell>
          <cell r="H80">
            <v>0.510494234448009</v>
          </cell>
          <cell r="I80">
            <v>1.1160557280336</v>
          </cell>
          <cell r="J80">
            <v>2.62029511225296</v>
          </cell>
          <cell r="K80">
            <v>1.32342293523024</v>
          </cell>
          <cell r="L80">
            <v>1.45874683940409</v>
          </cell>
          <cell r="M80">
            <v>0.500320014075777</v>
          </cell>
          <cell r="N80">
            <v>0.858301480810544</v>
          </cell>
          <cell r="O80">
            <v>1.63775729534611</v>
          </cell>
          <cell r="P80">
            <v>1.47088914449177</v>
          </cell>
          <cell r="Q80">
            <v>0.683232127824797</v>
          </cell>
        </row>
        <row r="80">
          <cell r="U80">
            <v>0.470819920477751</v>
          </cell>
          <cell r="V80">
            <v>0.504515741246321</v>
          </cell>
          <cell r="W80">
            <v>0.52270273873789</v>
          </cell>
          <cell r="X80">
            <v>1.14274627657266</v>
          </cell>
          <cell r="Y80">
            <v>2.68295964783441</v>
          </cell>
          <cell r="Z80">
            <v>1.3550726846139</v>
          </cell>
          <cell r="AA80">
            <v>1.49363286914735</v>
          </cell>
          <cell r="AB80">
            <v>0.512285201194417</v>
          </cell>
          <cell r="AC80">
            <v>0.878827819020448</v>
          </cell>
          <cell r="AD80">
            <v>1.67692437230172</v>
          </cell>
          <cell r="AE80">
            <v>1.50606555828591</v>
          </cell>
          <cell r="AF80">
            <v>0.699571670567238</v>
          </cell>
        </row>
        <row r="81">
          <cell r="F81">
            <v>1.19554036422982</v>
          </cell>
          <cell r="G81">
            <v>1.28110325586321</v>
          </cell>
          <cell r="H81">
            <v>1.32728500956482</v>
          </cell>
          <cell r="I81">
            <v>2.90174489288735</v>
          </cell>
          <cell r="J81">
            <v>6.81276729185769</v>
          </cell>
          <cell r="K81">
            <v>3.44089963159861</v>
          </cell>
          <cell r="L81">
            <v>3.79274178245065</v>
          </cell>
          <cell r="M81">
            <v>1.30083203659702</v>
          </cell>
          <cell r="N81">
            <v>2.23158385010741</v>
          </cell>
          <cell r="O81">
            <v>4.2581689678999</v>
          </cell>
          <cell r="P81">
            <v>3.8243117756786</v>
          </cell>
          <cell r="Q81">
            <v>1.77640353234447</v>
          </cell>
        </row>
        <row r="81">
          <cell r="U81">
            <v>0.189803577784986</v>
          </cell>
          <cell r="V81">
            <v>0.203387513086166</v>
          </cell>
          <cell r="W81">
            <v>0.210719312449208</v>
          </cell>
          <cell r="X81">
            <v>0.460680022998753</v>
          </cell>
          <cell r="Y81">
            <v>1.08159259636887</v>
          </cell>
          <cell r="Z81">
            <v>0.54627604421971</v>
          </cell>
          <cell r="AA81">
            <v>0.602134383298292</v>
          </cell>
          <cell r="AB81">
            <v>0.206519647542391</v>
          </cell>
          <cell r="AC81">
            <v>0.354285485919536</v>
          </cell>
          <cell r="AD81">
            <v>0.676025443474728</v>
          </cell>
          <cell r="AE81">
            <v>0.607146424584889</v>
          </cell>
          <cell r="AF81">
            <v>0.282021214939134</v>
          </cell>
        </row>
        <row r="82">
          <cell r="F82">
            <v>1.19554036422982</v>
          </cell>
          <cell r="G82">
            <v>1.28110325586321</v>
          </cell>
          <cell r="H82">
            <v>1.32728500956482</v>
          </cell>
          <cell r="I82">
            <v>2.90174489288735</v>
          </cell>
          <cell r="J82">
            <v>6.81276729185769</v>
          </cell>
          <cell r="K82">
            <v>3.44089963159861</v>
          </cell>
          <cell r="L82">
            <v>3.79274178245065</v>
          </cell>
          <cell r="M82">
            <v>1.30083203659702</v>
          </cell>
          <cell r="N82">
            <v>2.23158385010741</v>
          </cell>
          <cell r="O82">
            <v>4.2581689678999</v>
          </cell>
          <cell r="P82">
            <v>3.8243117756786</v>
          </cell>
          <cell r="Q82">
            <v>1.77640353234447</v>
          </cell>
        </row>
        <row r="82">
          <cell r="U82">
            <v>0.189803577784986</v>
          </cell>
          <cell r="V82">
            <v>0.203387513086166</v>
          </cell>
          <cell r="W82">
            <v>0.210719312449208</v>
          </cell>
          <cell r="X82">
            <v>0.460680022998753</v>
          </cell>
          <cell r="Y82">
            <v>1.08159259636887</v>
          </cell>
          <cell r="Z82">
            <v>0.54627604421971</v>
          </cell>
          <cell r="AA82">
            <v>0.602134383298292</v>
          </cell>
          <cell r="AB82">
            <v>0.206519647542391</v>
          </cell>
          <cell r="AC82">
            <v>0.354285485919536</v>
          </cell>
          <cell r="AD82">
            <v>0.676025443474728</v>
          </cell>
          <cell r="AE82">
            <v>0.607146424584889</v>
          </cell>
          <cell r="AF82">
            <v>0.282021214939134</v>
          </cell>
        </row>
        <row r="83">
          <cell r="F83">
            <v>1.19554036422982</v>
          </cell>
          <cell r="G83">
            <v>1.28110325586321</v>
          </cell>
          <cell r="H83">
            <v>1.32728500956482</v>
          </cell>
          <cell r="I83">
            <v>2.90174489288735</v>
          </cell>
          <cell r="J83">
            <v>6.81276729185769</v>
          </cell>
          <cell r="K83">
            <v>3.44089963159861</v>
          </cell>
          <cell r="L83">
            <v>3.79274178245065</v>
          </cell>
          <cell r="M83">
            <v>1.30083203659702</v>
          </cell>
          <cell r="N83">
            <v>2.23158385010741</v>
          </cell>
          <cell r="O83">
            <v>4.2581689678999</v>
          </cell>
          <cell r="P83">
            <v>3.8243117756786</v>
          </cell>
          <cell r="Q83">
            <v>1.77640353234447</v>
          </cell>
        </row>
        <row r="83">
          <cell r="U83">
            <v>0.189803577784986</v>
          </cell>
          <cell r="V83">
            <v>0.203387513086166</v>
          </cell>
          <cell r="W83">
            <v>0.210719312449208</v>
          </cell>
          <cell r="X83">
            <v>0.460680022998753</v>
          </cell>
          <cell r="Y83">
            <v>1.08159259636887</v>
          </cell>
          <cell r="Z83">
            <v>0.54627604421971</v>
          </cell>
          <cell r="AA83">
            <v>0.602134383298292</v>
          </cell>
          <cell r="AB83">
            <v>0.206519647542391</v>
          </cell>
          <cell r="AC83">
            <v>0.354285485919536</v>
          </cell>
          <cell r="AD83">
            <v>0.676025443474728</v>
          </cell>
          <cell r="AE83">
            <v>0.607146424584889</v>
          </cell>
          <cell r="AF83">
            <v>0.282021214939134</v>
          </cell>
        </row>
        <row r="84">
          <cell r="F84">
            <v>1.19554036422982</v>
          </cell>
          <cell r="G84">
            <v>1.28110325586321</v>
          </cell>
          <cell r="H84">
            <v>1.32728500956482</v>
          </cell>
          <cell r="I84">
            <v>2.90174489288735</v>
          </cell>
          <cell r="J84">
            <v>6.81276729185769</v>
          </cell>
          <cell r="K84">
            <v>3.44089963159861</v>
          </cell>
          <cell r="L84">
            <v>3.79274178245065</v>
          </cell>
          <cell r="M84">
            <v>1.30083203659702</v>
          </cell>
          <cell r="N84">
            <v>2.23158385010741</v>
          </cell>
          <cell r="O84">
            <v>4.2581689678999</v>
          </cell>
          <cell r="P84">
            <v>3.8243117756786</v>
          </cell>
          <cell r="Q84">
            <v>1.77640353234447</v>
          </cell>
        </row>
        <row r="84">
          <cell r="U84">
            <v>0.189803577784986</v>
          </cell>
          <cell r="V84">
            <v>0.203387513086166</v>
          </cell>
          <cell r="W84">
            <v>0.210719312449208</v>
          </cell>
          <cell r="X84">
            <v>0.460680022998753</v>
          </cell>
          <cell r="Y84">
            <v>1.08159259636887</v>
          </cell>
          <cell r="Z84">
            <v>0.54627604421971</v>
          </cell>
          <cell r="AA84">
            <v>0.602134383298292</v>
          </cell>
          <cell r="AB84">
            <v>0.206519647542391</v>
          </cell>
          <cell r="AC84">
            <v>0.354285485919536</v>
          </cell>
          <cell r="AD84">
            <v>0.676025443474728</v>
          </cell>
          <cell r="AE84">
            <v>0.607146424584889</v>
          </cell>
          <cell r="AF84">
            <v>0.282021214939134</v>
          </cell>
        </row>
        <row r="85">
          <cell r="F85">
            <v>1.19554036422982</v>
          </cell>
          <cell r="G85">
            <v>1.28110325586321</v>
          </cell>
          <cell r="H85">
            <v>1.32728500956482</v>
          </cell>
          <cell r="I85">
            <v>2.90174489288735</v>
          </cell>
          <cell r="J85">
            <v>6.81276729185769</v>
          </cell>
          <cell r="K85">
            <v>3.44089963159861</v>
          </cell>
          <cell r="L85">
            <v>3.79274178245065</v>
          </cell>
          <cell r="M85">
            <v>1.30083203659702</v>
          </cell>
          <cell r="N85">
            <v>2.23158385010741</v>
          </cell>
          <cell r="O85">
            <v>4.2581689678999</v>
          </cell>
          <cell r="P85">
            <v>3.8243117756786</v>
          </cell>
          <cell r="Q85">
            <v>1.77640353234447</v>
          </cell>
        </row>
        <row r="85">
          <cell r="U85">
            <v>0.189803577784986</v>
          </cell>
          <cell r="V85">
            <v>0.203387513086166</v>
          </cell>
          <cell r="W85">
            <v>0.210719312449208</v>
          </cell>
          <cell r="X85">
            <v>0.460680022998753</v>
          </cell>
          <cell r="Y85">
            <v>1.08159259636887</v>
          </cell>
          <cell r="Z85">
            <v>0.54627604421971</v>
          </cell>
          <cell r="AA85">
            <v>0.602134383298292</v>
          </cell>
          <cell r="AB85">
            <v>0.206519647542391</v>
          </cell>
          <cell r="AC85">
            <v>0.354285485919536</v>
          </cell>
          <cell r="AD85">
            <v>0.676025443474728</v>
          </cell>
          <cell r="AE85">
            <v>0.607146424584889</v>
          </cell>
          <cell r="AF85">
            <v>0.282021214939134</v>
          </cell>
        </row>
        <row r="86">
          <cell r="F86">
            <v>1.19554036422982</v>
          </cell>
          <cell r="G86">
            <v>1.28110325586321</v>
          </cell>
          <cell r="H86">
            <v>1.32728500956482</v>
          </cell>
          <cell r="I86">
            <v>2.90174489288735</v>
          </cell>
          <cell r="J86">
            <v>6.81276729185769</v>
          </cell>
          <cell r="K86">
            <v>3.44089963159861</v>
          </cell>
          <cell r="L86">
            <v>3.79274178245065</v>
          </cell>
          <cell r="M86">
            <v>1.30083203659702</v>
          </cell>
          <cell r="N86">
            <v>2.23158385010741</v>
          </cell>
          <cell r="O86">
            <v>4.2581689678999</v>
          </cell>
          <cell r="P86">
            <v>3.8243117756786</v>
          </cell>
          <cell r="Q86">
            <v>1.77640353234447</v>
          </cell>
        </row>
        <row r="86">
          <cell r="U86">
            <v>0.189803577784986</v>
          </cell>
          <cell r="V86">
            <v>0.203387513086166</v>
          </cell>
          <cell r="W86">
            <v>0.210719312449208</v>
          </cell>
          <cell r="X86">
            <v>0.460680022998753</v>
          </cell>
          <cell r="Y86">
            <v>1.08159259636887</v>
          </cell>
          <cell r="Z86">
            <v>0.54627604421971</v>
          </cell>
          <cell r="AA86">
            <v>0.602134383298292</v>
          </cell>
          <cell r="AB86">
            <v>0.206519647542391</v>
          </cell>
          <cell r="AC86">
            <v>0.354285485919536</v>
          </cell>
          <cell r="AD86">
            <v>0.676025443474728</v>
          </cell>
          <cell r="AE86">
            <v>0.607146424584889</v>
          </cell>
          <cell r="AF86">
            <v>0.282021214939134</v>
          </cell>
        </row>
        <row r="87">
          <cell r="F87">
            <v>2.45239049072784</v>
          </cell>
          <cell r="G87">
            <v>2.6279041145912</v>
          </cell>
          <cell r="H87">
            <v>2.72263591705605</v>
          </cell>
          <cell r="I87">
            <v>5.95229721617919</v>
          </cell>
          <cell r="J87">
            <v>13.9749072653491</v>
          </cell>
          <cell r="K87">
            <v>7.05825565456126</v>
          </cell>
          <cell r="L87">
            <v>7.77998314348851</v>
          </cell>
          <cell r="M87">
            <v>2.66837340840414</v>
          </cell>
          <cell r="N87">
            <v>4.57760789765623</v>
          </cell>
          <cell r="O87">
            <v>8.73470557517928</v>
          </cell>
          <cell r="P87">
            <v>7.84474210395609</v>
          </cell>
          <cell r="Q87">
            <v>3.64390468173225</v>
          </cell>
        </row>
        <row r="87">
          <cell r="U87">
            <v>0.887630224179288</v>
          </cell>
          <cell r="V87">
            <v>0.951156484734196</v>
          </cell>
          <cell r="W87">
            <v>0.985444177243486</v>
          </cell>
          <cell r="X87">
            <v>2.15440360430154</v>
          </cell>
          <cell r="Y87">
            <v>5.05814637421183</v>
          </cell>
          <cell r="Z87">
            <v>2.55469961764267</v>
          </cell>
          <cell r="AA87">
            <v>2.81592519946375</v>
          </cell>
          <cell r="AB87">
            <v>0.965804139125035</v>
          </cell>
          <cell r="AC87">
            <v>1.65684182016037</v>
          </cell>
          <cell r="AD87">
            <v>3.16148211190275</v>
          </cell>
          <cell r="AE87">
            <v>2.8393643747561</v>
          </cell>
          <cell r="AF87">
            <v>1.31889270561232</v>
          </cell>
        </row>
        <row r="88">
          <cell r="F88">
            <v>2.45239049072784</v>
          </cell>
          <cell r="G88">
            <v>2.6279041145912</v>
          </cell>
          <cell r="H88">
            <v>2.72263591705605</v>
          </cell>
          <cell r="I88">
            <v>5.95229721617919</v>
          </cell>
          <cell r="J88">
            <v>13.9749072653491</v>
          </cell>
          <cell r="K88">
            <v>7.05825565456126</v>
          </cell>
          <cell r="L88">
            <v>7.77998314348851</v>
          </cell>
          <cell r="M88">
            <v>2.66837340840414</v>
          </cell>
          <cell r="N88">
            <v>4.57760789765623</v>
          </cell>
          <cell r="O88">
            <v>8.73470557517928</v>
          </cell>
          <cell r="P88">
            <v>7.84474210395609</v>
          </cell>
          <cell r="Q88">
            <v>3.64390468173225</v>
          </cell>
        </row>
        <row r="88">
          <cell r="U88">
            <v>0.887630224179288</v>
          </cell>
          <cell r="V88">
            <v>0.951156484734196</v>
          </cell>
          <cell r="W88">
            <v>0.985444177243486</v>
          </cell>
          <cell r="X88">
            <v>2.15440360430154</v>
          </cell>
          <cell r="Y88">
            <v>5.05814637421183</v>
          </cell>
          <cell r="Z88">
            <v>2.55469961764267</v>
          </cell>
          <cell r="AA88">
            <v>2.81592519946375</v>
          </cell>
          <cell r="AB88">
            <v>0.965804139125035</v>
          </cell>
          <cell r="AC88">
            <v>1.65684182016037</v>
          </cell>
          <cell r="AD88">
            <v>3.16148211190275</v>
          </cell>
          <cell r="AE88">
            <v>2.8393643747561</v>
          </cell>
          <cell r="AF88">
            <v>1.31889270561232</v>
          </cell>
        </row>
        <row r="89">
          <cell r="F89">
            <v>2.45239049072784</v>
          </cell>
          <cell r="G89">
            <v>2.6279041145912</v>
          </cell>
          <cell r="H89">
            <v>2.72263591705605</v>
          </cell>
          <cell r="I89">
            <v>5.95229721617919</v>
          </cell>
          <cell r="J89">
            <v>13.9749072653491</v>
          </cell>
          <cell r="K89">
            <v>7.05825565456126</v>
          </cell>
          <cell r="L89">
            <v>7.77998314348851</v>
          </cell>
          <cell r="M89">
            <v>2.66837340840414</v>
          </cell>
          <cell r="N89">
            <v>4.57760789765623</v>
          </cell>
          <cell r="O89">
            <v>8.73470557517928</v>
          </cell>
          <cell r="P89">
            <v>7.84474210395609</v>
          </cell>
          <cell r="Q89">
            <v>3.64390468173225</v>
          </cell>
        </row>
        <row r="89">
          <cell r="U89">
            <v>0.887630224179288</v>
          </cell>
          <cell r="V89">
            <v>0.951156484734196</v>
          </cell>
          <cell r="W89">
            <v>0.985444177243486</v>
          </cell>
          <cell r="X89">
            <v>2.15440360430154</v>
          </cell>
          <cell r="Y89">
            <v>5.05814637421183</v>
          </cell>
          <cell r="Z89">
            <v>2.55469961764267</v>
          </cell>
          <cell r="AA89">
            <v>2.81592519946375</v>
          </cell>
          <cell r="AB89">
            <v>0.965804139125035</v>
          </cell>
          <cell r="AC89">
            <v>1.65684182016037</v>
          </cell>
          <cell r="AD89">
            <v>3.16148211190275</v>
          </cell>
          <cell r="AE89">
            <v>2.8393643747561</v>
          </cell>
          <cell r="AF89">
            <v>1.31889270561232</v>
          </cell>
        </row>
        <row r="90">
          <cell r="F90">
            <v>2.45239049072784</v>
          </cell>
          <cell r="G90">
            <v>2.6279041145912</v>
          </cell>
          <cell r="H90">
            <v>2.72263591705605</v>
          </cell>
          <cell r="I90">
            <v>5.95229721617919</v>
          </cell>
          <cell r="J90">
            <v>13.9749072653491</v>
          </cell>
          <cell r="K90">
            <v>7.05825565456126</v>
          </cell>
          <cell r="L90">
            <v>7.77998314348851</v>
          </cell>
          <cell r="M90">
            <v>2.66837340840414</v>
          </cell>
          <cell r="N90">
            <v>4.57760789765623</v>
          </cell>
          <cell r="O90">
            <v>8.73470557517928</v>
          </cell>
          <cell r="P90">
            <v>7.84474210395609</v>
          </cell>
          <cell r="Q90">
            <v>3.64390468173225</v>
          </cell>
        </row>
        <row r="90">
          <cell r="U90">
            <v>0.887630224179288</v>
          </cell>
          <cell r="V90">
            <v>0.951156484734196</v>
          </cell>
          <cell r="W90">
            <v>0.985444177243486</v>
          </cell>
          <cell r="X90">
            <v>2.15440360430154</v>
          </cell>
          <cell r="Y90">
            <v>5.05814637421183</v>
          </cell>
          <cell r="Z90">
            <v>2.55469961764267</v>
          </cell>
          <cell r="AA90">
            <v>2.81592519946375</v>
          </cell>
          <cell r="AB90">
            <v>0.965804139125035</v>
          </cell>
          <cell r="AC90">
            <v>1.65684182016037</v>
          </cell>
          <cell r="AD90">
            <v>3.16148211190275</v>
          </cell>
          <cell r="AE90">
            <v>2.8393643747561</v>
          </cell>
          <cell r="AF90">
            <v>1.31889270561232</v>
          </cell>
        </row>
        <row r="91">
          <cell r="F91">
            <v>2.45239049072784</v>
          </cell>
          <cell r="G91">
            <v>2.6279041145912</v>
          </cell>
          <cell r="H91">
            <v>2.72263591705605</v>
          </cell>
          <cell r="I91">
            <v>5.95229721617919</v>
          </cell>
          <cell r="J91">
            <v>13.9749072653491</v>
          </cell>
          <cell r="K91">
            <v>7.05825565456126</v>
          </cell>
          <cell r="L91">
            <v>7.77998314348851</v>
          </cell>
          <cell r="M91">
            <v>2.66837340840414</v>
          </cell>
          <cell r="N91">
            <v>4.57760789765623</v>
          </cell>
          <cell r="O91">
            <v>8.73470557517928</v>
          </cell>
          <cell r="P91">
            <v>7.84474210395609</v>
          </cell>
          <cell r="Q91">
            <v>3.64390468173225</v>
          </cell>
        </row>
        <row r="91">
          <cell r="U91">
            <v>0.887630224179288</v>
          </cell>
          <cell r="V91">
            <v>0.951156484734196</v>
          </cell>
          <cell r="W91">
            <v>0.985444177243486</v>
          </cell>
          <cell r="X91">
            <v>2.15440360430154</v>
          </cell>
          <cell r="Y91">
            <v>5.05814637421183</v>
          </cell>
          <cell r="Z91">
            <v>2.55469961764267</v>
          </cell>
          <cell r="AA91">
            <v>2.81592519946375</v>
          </cell>
          <cell r="AB91">
            <v>0.965804139125035</v>
          </cell>
          <cell r="AC91">
            <v>1.65684182016037</v>
          </cell>
          <cell r="AD91">
            <v>3.16148211190275</v>
          </cell>
          <cell r="AE91">
            <v>2.8393643747561</v>
          </cell>
          <cell r="AF91">
            <v>1.31889270561232</v>
          </cell>
        </row>
        <row r="92">
          <cell r="F92">
            <v>2.45239049072784</v>
          </cell>
          <cell r="G92">
            <v>2.6279041145912</v>
          </cell>
          <cell r="H92">
            <v>2.72263591705605</v>
          </cell>
          <cell r="I92">
            <v>5.95229721617919</v>
          </cell>
          <cell r="J92">
            <v>13.9749072653491</v>
          </cell>
          <cell r="K92">
            <v>7.05825565456126</v>
          </cell>
          <cell r="L92">
            <v>7.77998314348851</v>
          </cell>
          <cell r="M92">
            <v>2.66837340840414</v>
          </cell>
          <cell r="N92">
            <v>4.57760789765623</v>
          </cell>
          <cell r="O92">
            <v>8.73470557517928</v>
          </cell>
          <cell r="P92">
            <v>7.84474210395609</v>
          </cell>
          <cell r="Q92">
            <v>3.64390468173225</v>
          </cell>
        </row>
        <row r="92">
          <cell r="U92">
            <v>0.887630224179288</v>
          </cell>
          <cell r="V92">
            <v>0.951156484734196</v>
          </cell>
          <cell r="W92">
            <v>0.985444177243486</v>
          </cell>
          <cell r="X92">
            <v>2.15440360430154</v>
          </cell>
          <cell r="Y92">
            <v>5.05814637421183</v>
          </cell>
          <cell r="Z92">
            <v>2.55469961764267</v>
          </cell>
          <cell r="AA92">
            <v>2.81592519946375</v>
          </cell>
          <cell r="AB92">
            <v>0.965804139125035</v>
          </cell>
          <cell r="AC92">
            <v>1.65684182016037</v>
          </cell>
          <cell r="AD92">
            <v>3.16148211190275</v>
          </cell>
          <cell r="AE92">
            <v>2.8393643747561</v>
          </cell>
          <cell r="AF92">
            <v>1.31889270561232</v>
          </cell>
        </row>
        <row r="93">
          <cell r="F93">
            <v>1.83929286804588</v>
          </cell>
          <cell r="G93">
            <v>1.9709280859434</v>
          </cell>
          <cell r="H93">
            <v>2.04197693779204</v>
          </cell>
          <cell r="I93">
            <v>4.46422291213439</v>
          </cell>
          <cell r="J93">
            <v>10.4811804490118</v>
          </cell>
          <cell r="K93">
            <v>5.29369174092094</v>
          </cell>
          <cell r="L93">
            <v>5.83498735761638</v>
          </cell>
          <cell r="M93">
            <v>2.00128005630311</v>
          </cell>
          <cell r="N93">
            <v>3.43320592324217</v>
          </cell>
          <cell r="O93">
            <v>6.55102918138446</v>
          </cell>
          <cell r="P93">
            <v>5.88355657796707</v>
          </cell>
          <cell r="Q93">
            <v>2.73292851129919</v>
          </cell>
        </row>
        <row r="93">
          <cell r="U93">
            <v>0.578489190817343</v>
          </cell>
          <cell r="V93">
            <v>0.619890727248844</v>
          </cell>
          <cell r="W93">
            <v>0.642236811186029</v>
          </cell>
          <cell r="X93">
            <v>1.40407476423948</v>
          </cell>
          <cell r="Y93">
            <v>3.29651123108045</v>
          </cell>
          <cell r="Z93">
            <v>1.66495695429697</v>
          </cell>
          <cell r="AA93">
            <v>1.83520372072292</v>
          </cell>
          <cell r="AB93">
            <v>0.629436943122423</v>
          </cell>
          <cell r="AC93">
            <v>1.07980221690075</v>
          </cell>
          <cell r="AD93">
            <v>2.06041116996566</v>
          </cell>
          <cell r="AE93">
            <v>1.85047957454013</v>
          </cell>
          <cell r="AF93">
            <v>0.859552945879024</v>
          </cell>
        </row>
        <row r="94">
          <cell r="F94">
            <v>1.83929286804588</v>
          </cell>
          <cell r="G94">
            <v>1.9709280859434</v>
          </cell>
          <cell r="H94">
            <v>2.04197693779204</v>
          </cell>
          <cell r="I94">
            <v>4.46422291213439</v>
          </cell>
          <cell r="J94">
            <v>10.4811804490118</v>
          </cell>
          <cell r="K94">
            <v>5.29369174092094</v>
          </cell>
          <cell r="L94">
            <v>5.83498735761638</v>
          </cell>
          <cell r="M94">
            <v>2.00128005630311</v>
          </cell>
          <cell r="N94">
            <v>3.43320592324217</v>
          </cell>
          <cell r="O94">
            <v>6.55102918138446</v>
          </cell>
          <cell r="P94">
            <v>5.88355657796707</v>
          </cell>
          <cell r="Q94">
            <v>2.73292851129919</v>
          </cell>
        </row>
        <row r="94">
          <cell r="U94">
            <v>0.578489190817343</v>
          </cell>
          <cell r="V94">
            <v>0.619890727248844</v>
          </cell>
          <cell r="W94">
            <v>0.642236811186029</v>
          </cell>
          <cell r="X94">
            <v>1.40407476423948</v>
          </cell>
          <cell r="Y94">
            <v>3.29651123108045</v>
          </cell>
          <cell r="Z94">
            <v>1.66495695429697</v>
          </cell>
          <cell r="AA94">
            <v>1.83520372072292</v>
          </cell>
          <cell r="AB94">
            <v>0.629436943122423</v>
          </cell>
          <cell r="AC94">
            <v>1.07980221690075</v>
          </cell>
          <cell r="AD94">
            <v>2.06041116996566</v>
          </cell>
          <cell r="AE94">
            <v>1.85047957454013</v>
          </cell>
          <cell r="AF94">
            <v>0.859552945879024</v>
          </cell>
        </row>
        <row r="95">
          <cell r="F95">
            <v>1.83929286804588</v>
          </cell>
          <cell r="G95">
            <v>1.9709280859434</v>
          </cell>
          <cell r="H95">
            <v>2.04197693779204</v>
          </cell>
          <cell r="I95">
            <v>4.46422291213439</v>
          </cell>
          <cell r="J95">
            <v>10.4811804490118</v>
          </cell>
          <cell r="K95">
            <v>5.29369174092094</v>
          </cell>
          <cell r="L95">
            <v>5.83498735761638</v>
          </cell>
          <cell r="M95">
            <v>2.00128005630311</v>
          </cell>
          <cell r="N95">
            <v>3.43320592324217</v>
          </cell>
          <cell r="O95">
            <v>6.55102918138446</v>
          </cell>
          <cell r="P95">
            <v>5.88355657796707</v>
          </cell>
          <cell r="Q95">
            <v>2.73292851129919</v>
          </cell>
        </row>
        <row r="95">
          <cell r="U95">
            <v>0.578489190817343</v>
          </cell>
          <cell r="V95">
            <v>0.619890727248844</v>
          </cell>
          <cell r="W95">
            <v>0.642236811186029</v>
          </cell>
          <cell r="X95">
            <v>1.40407476423948</v>
          </cell>
          <cell r="Y95">
            <v>3.29651123108045</v>
          </cell>
          <cell r="Z95">
            <v>1.66495695429697</v>
          </cell>
          <cell r="AA95">
            <v>1.83520372072292</v>
          </cell>
          <cell r="AB95">
            <v>0.629436943122423</v>
          </cell>
          <cell r="AC95">
            <v>1.07980221690075</v>
          </cell>
          <cell r="AD95">
            <v>2.06041116996566</v>
          </cell>
          <cell r="AE95">
            <v>1.85047957454013</v>
          </cell>
          <cell r="AF95">
            <v>0.859552945879024</v>
          </cell>
        </row>
        <row r="96">
          <cell r="F96">
            <v>1.83929286804588</v>
          </cell>
          <cell r="G96">
            <v>1.9709280859434</v>
          </cell>
          <cell r="H96">
            <v>2.04197693779204</v>
          </cell>
          <cell r="I96">
            <v>4.46422291213439</v>
          </cell>
          <cell r="J96">
            <v>10.4811804490118</v>
          </cell>
          <cell r="K96">
            <v>5.29369174092094</v>
          </cell>
          <cell r="L96">
            <v>5.83498735761638</v>
          </cell>
          <cell r="M96">
            <v>2.00128005630311</v>
          </cell>
          <cell r="N96">
            <v>3.43320592324217</v>
          </cell>
          <cell r="O96">
            <v>6.55102918138446</v>
          </cell>
          <cell r="P96">
            <v>5.88355657796707</v>
          </cell>
          <cell r="Q96">
            <v>2.73292851129919</v>
          </cell>
        </row>
        <row r="96">
          <cell r="U96">
            <v>0.578489190817343</v>
          </cell>
          <cell r="V96">
            <v>0.619890727248844</v>
          </cell>
          <cell r="W96">
            <v>0.642236811186029</v>
          </cell>
          <cell r="X96">
            <v>1.40407476423948</v>
          </cell>
          <cell r="Y96">
            <v>3.29651123108045</v>
          </cell>
          <cell r="Z96">
            <v>1.66495695429697</v>
          </cell>
          <cell r="AA96">
            <v>1.83520372072292</v>
          </cell>
          <cell r="AB96">
            <v>0.629436943122423</v>
          </cell>
          <cell r="AC96">
            <v>1.07980221690075</v>
          </cell>
          <cell r="AD96">
            <v>2.06041116996566</v>
          </cell>
          <cell r="AE96">
            <v>1.85047957454013</v>
          </cell>
          <cell r="AF96">
            <v>0.859552945879024</v>
          </cell>
        </row>
        <row r="99">
          <cell r="F99">
            <v>14.4173245345645</v>
          </cell>
          <cell r="G99">
            <v>12.3633760892731</v>
          </cell>
          <cell r="H99">
            <v>29.4083040309712</v>
          </cell>
          <cell r="I99">
            <v>42.7761969387596</v>
          </cell>
          <cell r="J99">
            <v>23.342107012205</v>
          </cell>
          <cell r="K99">
            <v>17.165102120934</v>
          </cell>
          <cell r="L99">
            <v>10.4094204081289</v>
          </cell>
          <cell r="M99">
            <v>14.4543042171602</v>
          </cell>
          <cell r="N99">
            <v>16.5280581722534</v>
          </cell>
          <cell r="O99">
            <v>15.9848965689683</v>
          </cell>
          <cell r="P99">
            <v>10.959970899709</v>
          </cell>
          <cell r="Q99">
            <v>14.2341666413777</v>
          </cell>
        </row>
        <row r="100">
          <cell r="F100">
            <v>3.90469206144454</v>
          </cell>
          <cell r="G100">
            <v>3.34841435751147</v>
          </cell>
          <cell r="H100">
            <v>7.96474900838803</v>
          </cell>
          <cell r="I100">
            <v>11.5852200042474</v>
          </cell>
          <cell r="J100">
            <v>6.32182064913884</v>
          </cell>
          <cell r="K100">
            <v>4.64888182441962</v>
          </cell>
          <cell r="L100">
            <v>2.81921802720159</v>
          </cell>
          <cell r="M100">
            <v>3.91470739214755</v>
          </cell>
          <cell r="N100">
            <v>4.47634908831863</v>
          </cell>
          <cell r="O100">
            <v>4.32924282076226</v>
          </cell>
          <cell r="P100">
            <v>2.96832545200453</v>
          </cell>
          <cell r="Q100">
            <v>3.85508679870645</v>
          </cell>
        </row>
        <row r="101">
          <cell r="F101">
            <v>8.53708198811225</v>
          </cell>
          <cell r="G101">
            <v>6.00277915708847</v>
          </cell>
          <cell r="H101">
            <v>4.99098365680568</v>
          </cell>
          <cell r="I101">
            <v>7.04736201175663</v>
          </cell>
          <cell r="J101">
            <v>7.04736201175663</v>
          </cell>
          <cell r="K101">
            <v>5.02375488361879</v>
          </cell>
          <cell r="L101">
            <v>7.04736201175663</v>
          </cell>
          <cell r="M101">
            <v>6.62181720242491</v>
          </cell>
          <cell r="N101">
            <v>10.8069678962308</v>
          </cell>
          <cell r="O101">
            <v>10.9875483227203</v>
          </cell>
          <cell r="P101">
            <v>11.5892411641012</v>
          </cell>
          <cell r="Q101">
            <v>11.6382582320281</v>
          </cell>
        </row>
        <row r="102">
          <cell r="F102">
            <v>3.63383172025209</v>
          </cell>
          <cell r="G102">
            <v>2.55509896016819</v>
          </cell>
          <cell r="H102">
            <v>2.12442550658584</v>
          </cell>
          <cell r="I102">
            <v>2.99972843860243</v>
          </cell>
          <cell r="J102">
            <v>2.99972843860243</v>
          </cell>
          <cell r="K102">
            <v>2.13837466669358</v>
          </cell>
          <cell r="L102">
            <v>2.99972843860243</v>
          </cell>
          <cell r="M102">
            <v>2.8185941554022</v>
          </cell>
          <cell r="N102">
            <v>4.60001471178952</v>
          </cell>
          <cell r="O102">
            <v>4.67687925200919</v>
          </cell>
          <cell r="P102">
            <v>4.93299141491255</v>
          </cell>
          <cell r="Q102">
            <v>4.95385566062488</v>
          </cell>
        </row>
        <row r="103">
          <cell r="F103">
            <v>0.00789796943054661</v>
          </cell>
          <cell r="G103">
            <v>0.00846321433797809</v>
          </cell>
          <cell r="H103">
            <v>0.00876829987912529</v>
          </cell>
          <cell r="I103">
            <v>0.0191694844816327</v>
          </cell>
          <cell r="J103">
            <v>0.0450064501529255</v>
          </cell>
          <cell r="K103">
            <v>0.0227312443118155</v>
          </cell>
          <cell r="L103">
            <v>0.0250555811848723</v>
          </cell>
          <cell r="M103">
            <v>0.00859354645540347</v>
          </cell>
          <cell r="N103">
            <v>0.0147422718271867</v>
          </cell>
          <cell r="O103">
            <v>0.0281302826276727</v>
          </cell>
          <cell r="P103">
            <v>0.0252641386279307</v>
          </cell>
          <cell r="Q103">
            <v>0.0117352631617837</v>
          </cell>
        </row>
        <row r="104">
          <cell r="F104">
            <v>0.0168818676386761</v>
          </cell>
          <cell r="G104">
            <v>0.0144768107429294</v>
          </cell>
          <cell r="H104">
            <v>0.0344354526346797</v>
          </cell>
          <cell r="I104">
            <v>0.0500884954815853</v>
          </cell>
          <cell r="J104">
            <v>0.0273322806907156</v>
          </cell>
          <cell r="K104">
            <v>0.0200993590256807</v>
          </cell>
          <cell r="L104">
            <v>0.0121888396910305</v>
          </cell>
          <cell r="M104">
            <v>0.0169251687452999</v>
          </cell>
          <cell r="N104">
            <v>0.0193534167674023</v>
          </cell>
          <cell r="O104">
            <v>0.0187174053998919</v>
          </cell>
          <cell r="P104">
            <v>0.0128335030267957</v>
          </cell>
          <cell r="Q104">
            <v>0.0166674001553129</v>
          </cell>
        </row>
        <row r="107">
          <cell r="F107">
            <v>6.82054152715133</v>
          </cell>
          <cell r="G107">
            <v>7.03306512161318</v>
          </cell>
          <cell r="H107">
            <v>6.58471242660509</v>
          </cell>
          <cell r="I107">
            <v>5.15723490683456</v>
          </cell>
          <cell r="J107">
            <v>6.34303527755044</v>
          </cell>
          <cell r="K107">
            <v>5.59118111165819</v>
          </cell>
          <cell r="L107">
            <v>6.8546602579563</v>
          </cell>
          <cell r="M107">
            <v>5.28543199974912</v>
          </cell>
          <cell r="N107">
            <v>5.79399762166724</v>
          </cell>
          <cell r="O107">
            <v>6.17725012019893</v>
          </cell>
          <cell r="P107">
            <v>6.34055210343711</v>
          </cell>
          <cell r="Q107">
            <v>6.79885551253666</v>
          </cell>
        </row>
        <row r="108">
          <cell r="F108">
            <v>59.55311939858</v>
          </cell>
          <cell r="G108">
            <v>61.4087554863626</v>
          </cell>
          <cell r="H108">
            <v>57.4939927842808</v>
          </cell>
          <cell r="I108">
            <v>45.0300646877696</v>
          </cell>
          <cell r="J108">
            <v>55.3838043107901</v>
          </cell>
          <cell r="K108">
            <v>48.8190380479561</v>
          </cell>
          <cell r="L108">
            <v>59.8510249008437</v>
          </cell>
          <cell r="M108">
            <v>46.1494093542451</v>
          </cell>
          <cell r="N108">
            <v>50.5899173525525</v>
          </cell>
          <cell r="O108">
            <v>53.9362618787171</v>
          </cell>
          <cell r="P108">
            <v>55.3621226358277</v>
          </cell>
          <cell r="Q108">
            <v>59.3637693576066</v>
          </cell>
        </row>
        <row r="109">
          <cell r="F109">
            <v>59.55311939858</v>
          </cell>
          <cell r="G109">
            <v>61.4087554863626</v>
          </cell>
          <cell r="H109">
            <v>57.4939927842808</v>
          </cell>
          <cell r="I109">
            <v>45.0300646877696</v>
          </cell>
          <cell r="J109">
            <v>55.38380431079</v>
          </cell>
          <cell r="K109">
            <v>48.8190380479561</v>
          </cell>
          <cell r="L109">
            <v>59.8510249008437</v>
          </cell>
          <cell r="M109">
            <v>46.1494093542451</v>
          </cell>
          <cell r="N109">
            <v>50.5899173525525</v>
          </cell>
          <cell r="O109">
            <v>53.9362618787171</v>
          </cell>
          <cell r="P109">
            <v>55.3621226358277</v>
          </cell>
          <cell r="Q109">
            <v>59.3637693576066</v>
          </cell>
        </row>
        <row r="110">
          <cell r="F110">
            <v>230.023923677015</v>
          </cell>
          <cell r="G110">
            <v>237.191318066076</v>
          </cell>
          <cell r="H110">
            <v>222.070547129285</v>
          </cell>
          <cell r="I110">
            <v>173.92862485651</v>
          </cell>
          <cell r="J110">
            <v>213.919944150427</v>
          </cell>
          <cell r="K110">
            <v>188.56353446023</v>
          </cell>
          <cell r="L110">
            <v>231.174583679509</v>
          </cell>
          <cell r="M110">
            <v>178.252093630772</v>
          </cell>
          <cell r="N110">
            <v>195.403555774234</v>
          </cell>
          <cell r="O110">
            <v>208.328811506545</v>
          </cell>
          <cell r="P110">
            <v>213.836198680885</v>
          </cell>
          <cell r="Q110">
            <v>229.292559143755</v>
          </cell>
        </row>
        <row r="112">
          <cell r="F112">
            <v>251.909695055993</v>
          </cell>
          <cell r="G112">
            <v>259.759035707314</v>
          </cell>
          <cell r="H112">
            <v>243.199589477508</v>
          </cell>
          <cell r="I112">
            <v>190.477173629265</v>
          </cell>
          <cell r="J112">
            <v>234.273492234642</v>
          </cell>
          <cell r="K112">
            <v>206.504530942854</v>
          </cell>
          <cell r="L112">
            <v>253.169835330569</v>
          </cell>
          <cell r="M112">
            <v>195.212001568457</v>
          </cell>
          <cell r="N112">
            <v>213.995350401297</v>
          </cell>
          <cell r="O112">
            <v>228.150387746973</v>
          </cell>
          <cell r="P112">
            <v>234.181778749551</v>
          </cell>
          <cell r="Q112">
            <v>251.108744382676</v>
          </cell>
        </row>
        <row r="113">
          <cell r="F113">
            <v>148.88279849645</v>
          </cell>
          <cell r="G113">
            <v>153.521888715907</v>
          </cell>
          <cell r="H113">
            <v>143.734981960702</v>
          </cell>
          <cell r="I113">
            <v>112.575161719424</v>
          </cell>
          <cell r="J113">
            <v>138.459510776975</v>
          </cell>
          <cell r="K113">
            <v>122.04759511989</v>
          </cell>
          <cell r="L113">
            <v>149.627562252109</v>
          </cell>
          <cell r="M113">
            <v>115.373523385613</v>
          </cell>
          <cell r="N113">
            <v>126.474793381381</v>
          </cell>
          <cell r="O113">
            <v>134.840654696793</v>
          </cell>
          <cell r="P113">
            <v>138.405306589569</v>
          </cell>
          <cell r="Q113">
            <v>148.409423394017</v>
          </cell>
        </row>
        <row r="114">
          <cell r="F114">
            <v>411.878827976558</v>
          </cell>
          <cell r="G114">
            <v>424.712701746823</v>
          </cell>
          <cell r="H114">
            <v>397.637581420242</v>
          </cell>
          <cell r="I114">
            <v>311.43507602306</v>
          </cell>
          <cell r="J114">
            <v>383.043182939551</v>
          </cell>
          <cell r="K114">
            <v>337.6402172917</v>
          </cell>
          <cell r="L114">
            <v>413.939189723503</v>
          </cell>
          <cell r="M114">
            <v>319.176641435345</v>
          </cell>
          <cell r="N114">
            <v>349.887899694085</v>
          </cell>
          <cell r="O114">
            <v>373.031749678127</v>
          </cell>
          <cell r="P114">
            <v>382.893229033489</v>
          </cell>
          <cell r="Q114">
            <v>410.569253033363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PP True-up after FCA impact"/>
      <sheetName val="PP Summary"/>
      <sheetName val="23-24 SPDCL"/>
      <sheetName val="23-24 NPDCL"/>
      <sheetName val="Energy Req"/>
      <sheetName val="FY 2023-24 Input"/>
      <sheetName val="FY 2023-24 Input SP"/>
      <sheetName val="FY 2023-24 Input NP"/>
      <sheetName val="FY 2023-24 Agri Adj"/>
      <sheetName val="FY 2023-24 agri adj SP"/>
      <sheetName val="FY 2023-24 agri adj NP"/>
      <sheetName val="Agri Adjusted Dispatch"/>
      <sheetName val="FY 2018-19 TSSPDCL Unadjuted"/>
      <sheetName val="FY 2018-19 TSNPDCL Unadjuted"/>
      <sheetName val="FY 2018-19 TSSPDCL Adjusted"/>
      <sheetName val="FY 2018-19 TSNPDCL Adjusted"/>
      <sheetName val="Summary"/>
      <sheetName val="Annexure F"/>
    </sheetNames>
    <sheetDataSet>
      <sheetData sheetId="0"/>
      <sheetData sheetId="1"/>
      <sheetData sheetId="2">
        <row r="23">
          <cell r="E23">
            <v>8374.04513</v>
          </cell>
          <cell r="F23">
            <v>10048.8132931204</v>
          </cell>
        </row>
        <row r="24">
          <cell r="E24">
            <v>863.40501</v>
          </cell>
          <cell r="F24">
            <v>876.4743975</v>
          </cell>
        </row>
        <row r="25">
          <cell r="E25">
            <v>6262.617675</v>
          </cell>
          <cell r="F25">
            <v>6046.2256583879</v>
          </cell>
        </row>
        <row r="26">
          <cell r="E26">
            <v>3487.21</v>
          </cell>
          <cell r="F26">
            <v>3768.61253955237</v>
          </cell>
        </row>
        <row r="27">
          <cell r="E27">
            <v>6946.56465</v>
          </cell>
          <cell r="F27">
            <v>5403.57239412465</v>
          </cell>
        </row>
        <row r="28">
          <cell r="E28">
            <v>371.72795</v>
          </cell>
          <cell r="F28">
            <v>5975.98128909948</v>
          </cell>
        </row>
        <row r="29">
          <cell r="E29">
            <v>-1313.65511</v>
          </cell>
          <cell r="F29">
            <v>-518.720455770264</v>
          </cell>
        </row>
        <row r="30">
          <cell r="E30">
            <v>209.91</v>
          </cell>
          <cell r="F30">
            <v>0</v>
          </cell>
        </row>
        <row r="31">
          <cell r="E31">
            <v>972.863335</v>
          </cell>
          <cell r="F31">
            <v>824.08044</v>
          </cell>
        </row>
        <row r="32">
          <cell r="E32">
            <v>3785.06</v>
          </cell>
          <cell r="F32">
            <v>4417.5178212119</v>
          </cell>
        </row>
        <row r="33">
          <cell r="E33">
            <v>0</v>
          </cell>
          <cell r="F33">
            <v>92.6747782854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PP Summary"/>
      <sheetName val="22-23 SPDCL"/>
      <sheetName val="22-23 NPDCL"/>
      <sheetName val="Energy Req"/>
      <sheetName val="FY 2022-23 Input"/>
      <sheetName val="FY 2022-23 Input SP"/>
      <sheetName val="FY 2022-23 Input NP"/>
      <sheetName val="Agri Adjusted Dispatch"/>
      <sheetName val="FY 2022-23 Agri Adj"/>
      <sheetName val="FY 2022-23 agri adj SP"/>
      <sheetName val="FY 2022-23 agri adj NP"/>
      <sheetName val="FY 2018-19 TSSPDCL Unadjuted"/>
      <sheetName val="FY 2018-19 TSNPDCL Unadjuted"/>
      <sheetName val="FY 2018-19 TSSPDCL Adjusted"/>
      <sheetName val="FY 2018-19 TSNPDCL Adjusted"/>
      <sheetName val="Summary"/>
      <sheetName val="Annexure F"/>
    </sheetNames>
    <sheetDataSet>
      <sheetData sheetId="0"/>
      <sheetData sheetId="1">
        <row r="6">
          <cell r="L6">
            <v>12271.25</v>
          </cell>
          <cell r="M6">
            <v>11888.4712998568</v>
          </cell>
        </row>
        <row r="7">
          <cell r="L7">
            <v>1330.79</v>
          </cell>
          <cell r="M7">
            <v>1330.79000016667</v>
          </cell>
        </row>
        <row r="8">
          <cell r="L8">
            <v>7857.6</v>
          </cell>
          <cell r="M8">
            <v>8773.72441117763</v>
          </cell>
        </row>
        <row r="9">
          <cell r="L9">
            <v>0</v>
          </cell>
          <cell r="M9">
            <v>0</v>
          </cell>
        </row>
        <row r="10">
          <cell r="L10">
            <v>4277.02</v>
          </cell>
          <cell r="M10">
            <v>4367.25904387979</v>
          </cell>
        </row>
        <row r="11">
          <cell r="L11">
            <v>8993.92</v>
          </cell>
          <cell r="M11">
            <v>8348.503203277</v>
          </cell>
        </row>
        <row r="12">
          <cell r="L12">
            <v>715.91</v>
          </cell>
          <cell r="M12">
            <v>4256.69772251001</v>
          </cell>
        </row>
        <row r="13">
          <cell r="L13">
            <v>-1619.14</v>
          </cell>
          <cell r="M13">
            <v>-1694.07888967169</v>
          </cell>
        </row>
        <row r="14">
          <cell r="L14">
            <v>0</v>
          </cell>
        </row>
        <row r="15">
          <cell r="L15">
            <v>1307.44</v>
          </cell>
          <cell r="M15">
            <v>1307.4400008</v>
          </cell>
        </row>
        <row r="16">
          <cell r="L16">
            <v>5014.03</v>
          </cell>
          <cell r="M16">
            <v>5870.81641786566</v>
          </cell>
        </row>
        <row r="52">
          <cell r="F5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TGSPDCL"/>
      <sheetName val="TGNPDCL"/>
      <sheetName val="Total Discoms"/>
      <sheetName val="TGSPDCL (2)"/>
      <sheetName val="TGNPDCL (2)"/>
      <sheetName val="State level"/>
      <sheetName val="TGSPDCL (3)"/>
      <sheetName val="TGNPDCL (3)"/>
      <sheetName val="IOWC_SP"/>
      <sheetName val="IOWC_NP"/>
      <sheetName val="Security Deposit_SP"/>
      <sheetName val="Security Deposit_N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526.049367486187</v>
          </cell>
          <cell r="H8">
            <v>565.440684178659</v>
          </cell>
          <cell r="I8">
            <v>607.723791202346</v>
          </cell>
        </row>
        <row r="9">
          <cell r="G9">
            <v>152.57091236829</v>
          </cell>
          <cell r="H9">
            <v>190.265120463359</v>
          </cell>
          <cell r="I9">
            <v>230.975030443809</v>
          </cell>
        </row>
        <row r="10">
          <cell r="G10">
            <v>97.1798278696725</v>
          </cell>
          <cell r="H10">
            <v>127.256277949339</v>
          </cell>
          <cell r="I10">
            <v>157.703780051619</v>
          </cell>
        </row>
        <row r="12">
          <cell r="G12">
            <v>58.6871089690796</v>
          </cell>
          <cell r="H12">
            <v>80.6928069876167</v>
          </cell>
          <cell r="I12">
            <v>104.446449432607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TSSPDCL"/>
      <sheetName val="TGNPDCL"/>
      <sheetName val="TSSPDCL_Int on CSD _20k GAP"/>
    </sheetNames>
    <sheetDataSet>
      <sheetData sheetId="0">
        <row r="13">
          <cell r="G13">
            <v>325.379840625</v>
          </cell>
          <cell r="H13">
            <v>347.247157485601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</a:theme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O50"/>
  <sheetViews>
    <sheetView showGridLines="0" zoomScale="77" zoomScaleNormal="77" zoomScaleSheetLayoutView="80" workbookViewId="0">
      <selection activeCell="D3" sqref="D3"/>
    </sheetView>
  </sheetViews>
  <sheetFormatPr defaultColWidth="9.14285714285714" defaultRowHeight="14.25"/>
  <cols>
    <col min="1" max="1" width="6.14285714285714" style="15" customWidth="1"/>
    <col min="2" max="2" width="9.14285714285714" style="15" customWidth="1"/>
    <col min="3" max="3" width="16.1428571428571" style="15" customWidth="1"/>
    <col min="4" max="4" width="80.8571428571429" style="15" customWidth="1"/>
    <col min="5" max="5" width="38.8571428571429" style="15" customWidth="1"/>
    <col min="6" max="6" width="20.8571428571429" style="15" customWidth="1"/>
    <col min="7" max="15" width="18.8571428571429" style="15" customWidth="1"/>
    <col min="16" max="16384" width="9.14285714285714" style="15"/>
  </cols>
  <sheetData>
    <row r="2" ht="15" spans="4:15">
      <c r="D2" s="2" t="s">
        <v>0</v>
      </c>
      <c r="E2" s="12"/>
      <c r="F2" s="13"/>
      <c r="G2" s="13"/>
      <c r="H2" s="13"/>
      <c r="I2" s="13"/>
      <c r="J2" s="13"/>
      <c r="K2" s="13"/>
      <c r="L2" s="13"/>
      <c r="M2" s="13"/>
      <c r="N2" s="13"/>
      <c r="O2" s="13"/>
    </row>
    <row r="3" s="479" customFormat="1" ht="15.75" customHeight="1" spans="3:15">
      <c r="C3" s="968"/>
      <c r="D3" s="218" t="s">
        <v>1</v>
      </c>
      <c r="E3" s="969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ht="15" spans="4:4">
      <c r="D4" s="2" t="s">
        <v>2</v>
      </c>
    </row>
    <row r="5" ht="15" spans="14:14">
      <c r="N5" s="33"/>
    </row>
    <row r="6" ht="15" spans="2:5">
      <c r="B6" s="17" t="s">
        <v>3</v>
      </c>
      <c r="C6" s="17" t="s">
        <v>4</v>
      </c>
      <c r="D6" s="6" t="s">
        <v>5</v>
      </c>
      <c r="E6" s="6" t="s">
        <v>6</v>
      </c>
    </row>
    <row r="7" spans="2:5">
      <c r="B7" s="20">
        <v>1</v>
      </c>
      <c r="C7" s="970" t="s">
        <v>7</v>
      </c>
      <c r="D7" s="21" t="s">
        <v>8</v>
      </c>
      <c r="E7" s="20"/>
    </row>
    <row r="8" spans="2:5">
      <c r="B8" s="20">
        <f t="shared" ref="B8:B13" si="0">B7+1</f>
        <v>2</v>
      </c>
      <c r="C8" s="971" t="s">
        <v>9</v>
      </c>
      <c r="D8" s="21" t="s">
        <v>10</v>
      </c>
      <c r="E8" s="20"/>
    </row>
    <row r="9" spans="2:5">
      <c r="B9" s="20">
        <f t="shared" si="0"/>
        <v>3</v>
      </c>
      <c r="C9" s="971" t="s">
        <v>11</v>
      </c>
      <c r="D9" s="21" t="s">
        <v>12</v>
      </c>
      <c r="E9" s="20"/>
    </row>
    <row r="10" spans="2:5">
      <c r="B10" s="20">
        <f t="shared" si="0"/>
        <v>4</v>
      </c>
      <c r="C10" s="971" t="s">
        <v>13</v>
      </c>
      <c r="D10" s="21" t="s">
        <v>14</v>
      </c>
      <c r="E10" s="20"/>
    </row>
    <row r="11" spans="2:5">
      <c r="B11" s="20">
        <f t="shared" si="0"/>
        <v>5</v>
      </c>
      <c r="C11" s="971" t="s">
        <v>15</v>
      </c>
      <c r="D11" s="21" t="s">
        <v>16</v>
      </c>
      <c r="E11" s="20"/>
    </row>
    <row r="12" spans="2:5">
      <c r="B12" s="20">
        <f t="shared" si="0"/>
        <v>6</v>
      </c>
      <c r="C12" s="971" t="s">
        <v>17</v>
      </c>
      <c r="D12" s="21" t="s">
        <v>18</v>
      </c>
      <c r="E12" s="20"/>
    </row>
    <row r="13" spans="2:5">
      <c r="B13" s="20">
        <f t="shared" si="0"/>
        <v>7</v>
      </c>
      <c r="C13" s="957" t="s">
        <v>19</v>
      </c>
      <c r="D13" s="21" t="s">
        <v>20</v>
      </c>
      <c r="E13" s="20"/>
    </row>
    <row r="14" spans="2:5">
      <c r="B14" s="20">
        <f t="shared" ref="B14:B50" si="1">B13+1</f>
        <v>8</v>
      </c>
      <c r="C14" s="954" t="s">
        <v>21</v>
      </c>
      <c r="D14" s="21" t="s">
        <v>22</v>
      </c>
      <c r="E14" s="20"/>
    </row>
    <row r="15" spans="2:5">
      <c r="B15" s="20">
        <f t="shared" si="1"/>
        <v>9</v>
      </c>
      <c r="C15" s="954" t="s">
        <v>23</v>
      </c>
      <c r="D15" s="21" t="s">
        <v>24</v>
      </c>
      <c r="E15" s="20"/>
    </row>
    <row r="16" spans="2:5">
      <c r="B16" s="20">
        <f t="shared" si="1"/>
        <v>10</v>
      </c>
      <c r="C16" s="954" t="s">
        <v>25</v>
      </c>
      <c r="D16" s="28" t="s">
        <v>26</v>
      </c>
      <c r="E16" s="20"/>
    </row>
    <row r="17" spans="2:5">
      <c r="B17" s="20">
        <f t="shared" si="1"/>
        <v>11</v>
      </c>
      <c r="C17" s="954" t="s">
        <v>27</v>
      </c>
      <c r="D17" s="28" t="s">
        <v>28</v>
      </c>
      <c r="E17" s="972"/>
    </row>
    <row r="18" spans="2:5">
      <c r="B18" s="20">
        <f t="shared" si="1"/>
        <v>12</v>
      </c>
      <c r="C18" s="954" t="s">
        <v>29</v>
      </c>
      <c r="D18" s="21" t="s">
        <v>30</v>
      </c>
      <c r="E18" s="20"/>
    </row>
    <row r="19" spans="2:5">
      <c r="B19" s="20">
        <f t="shared" si="1"/>
        <v>13</v>
      </c>
      <c r="C19" s="954" t="s">
        <v>31</v>
      </c>
      <c r="D19" s="28" t="s">
        <v>32</v>
      </c>
      <c r="E19" s="972"/>
    </row>
    <row r="20" spans="2:5">
      <c r="B20" s="20">
        <f t="shared" si="1"/>
        <v>14</v>
      </c>
      <c r="C20" s="954" t="s">
        <v>33</v>
      </c>
      <c r="D20" s="28" t="s">
        <v>34</v>
      </c>
      <c r="E20" s="20"/>
    </row>
    <row r="21" spans="2:5">
      <c r="B21" s="20">
        <f t="shared" si="1"/>
        <v>15</v>
      </c>
      <c r="C21" s="954" t="s">
        <v>35</v>
      </c>
      <c r="D21" s="28" t="s">
        <v>36</v>
      </c>
      <c r="E21" s="972"/>
    </row>
    <row r="22" spans="2:5">
      <c r="B22" s="20">
        <f t="shared" si="1"/>
        <v>16</v>
      </c>
      <c r="C22" s="954" t="s">
        <v>37</v>
      </c>
      <c r="D22" s="28" t="s">
        <v>38</v>
      </c>
      <c r="E22" s="20"/>
    </row>
    <row r="23" spans="2:6">
      <c r="B23" s="20">
        <f t="shared" si="1"/>
        <v>17</v>
      </c>
      <c r="C23" s="957" t="s">
        <v>39</v>
      </c>
      <c r="D23" s="973" t="s">
        <v>40</v>
      </c>
      <c r="E23" s="20"/>
      <c r="F23" s="974"/>
    </row>
    <row r="24" spans="2:5">
      <c r="B24" s="20">
        <f t="shared" si="1"/>
        <v>18</v>
      </c>
      <c r="C24" s="957" t="s">
        <v>41</v>
      </c>
      <c r="D24" s="973" t="s">
        <v>42</v>
      </c>
      <c r="E24" s="20"/>
    </row>
    <row r="25" spans="2:5">
      <c r="B25" s="20">
        <f t="shared" si="1"/>
        <v>19</v>
      </c>
      <c r="C25" s="957" t="s">
        <v>43</v>
      </c>
      <c r="D25" s="973" t="s">
        <v>44</v>
      </c>
      <c r="E25" s="20"/>
    </row>
    <row r="26" spans="2:5">
      <c r="B26" s="20">
        <f t="shared" si="1"/>
        <v>20</v>
      </c>
      <c r="C26" s="957" t="s">
        <v>45</v>
      </c>
      <c r="D26" s="973" t="s">
        <v>46</v>
      </c>
      <c r="E26" s="20"/>
    </row>
    <row r="27" spans="2:5">
      <c r="B27" s="20">
        <f t="shared" si="1"/>
        <v>21</v>
      </c>
      <c r="C27" s="957" t="s">
        <v>47</v>
      </c>
      <c r="D27" s="973" t="s">
        <v>48</v>
      </c>
      <c r="E27" s="20"/>
    </row>
    <row r="28" spans="2:5">
      <c r="B28" s="20">
        <f t="shared" si="1"/>
        <v>22</v>
      </c>
      <c r="C28" s="957" t="s">
        <v>49</v>
      </c>
      <c r="D28" s="973" t="s">
        <v>50</v>
      </c>
      <c r="E28" s="20"/>
    </row>
    <row r="29" spans="2:5">
      <c r="B29" s="20">
        <f t="shared" si="1"/>
        <v>23</v>
      </c>
      <c r="C29" s="957" t="s">
        <v>51</v>
      </c>
      <c r="D29" s="973" t="s">
        <v>52</v>
      </c>
      <c r="E29" s="20"/>
    </row>
    <row r="30" spans="2:5">
      <c r="B30" s="20">
        <f t="shared" si="1"/>
        <v>24</v>
      </c>
      <c r="C30" s="957" t="s">
        <v>53</v>
      </c>
      <c r="D30" s="975" t="s">
        <v>54</v>
      </c>
      <c r="E30" s="20"/>
    </row>
    <row r="31" spans="2:5">
      <c r="B31" s="20">
        <f t="shared" si="1"/>
        <v>25</v>
      </c>
      <c r="C31" s="957" t="s">
        <v>55</v>
      </c>
      <c r="D31" s="975" t="s">
        <v>56</v>
      </c>
      <c r="E31" s="20"/>
    </row>
    <row r="32" spans="2:5">
      <c r="B32" s="20">
        <f t="shared" si="1"/>
        <v>26</v>
      </c>
      <c r="C32" s="957" t="s">
        <v>57</v>
      </c>
      <c r="D32" s="973" t="s">
        <v>58</v>
      </c>
      <c r="E32" s="20"/>
    </row>
    <row r="33" spans="2:5">
      <c r="B33" s="20">
        <f t="shared" si="1"/>
        <v>27</v>
      </c>
      <c r="C33" s="957" t="s">
        <v>59</v>
      </c>
      <c r="D33" s="973" t="s">
        <v>60</v>
      </c>
      <c r="E33" s="20"/>
    </row>
    <row r="34" spans="2:5">
      <c r="B34" s="20">
        <f t="shared" si="1"/>
        <v>28</v>
      </c>
      <c r="C34" s="957" t="s">
        <v>61</v>
      </c>
      <c r="D34" s="973" t="s">
        <v>62</v>
      </c>
      <c r="E34" s="20"/>
    </row>
    <row r="35" spans="2:5">
      <c r="B35" s="20">
        <f t="shared" si="1"/>
        <v>29</v>
      </c>
      <c r="C35" s="957" t="s">
        <v>63</v>
      </c>
      <c r="D35" s="973" t="s">
        <v>64</v>
      </c>
      <c r="E35" s="20"/>
    </row>
    <row r="36" spans="2:5">
      <c r="B36" s="20">
        <f t="shared" si="1"/>
        <v>30</v>
      </c>
      <c r="C36" s="960" t="s">
        <v>65</v>
      </c>
      <c r="D36" s="926" t="s">
        <v>66</v>
      </c>
      <c r="E36" s="20"/>
    </row>
    <row r="37" spans="2:5">
      <c r="B37" s="20">
        <f t="shared" si="1"/>
        <v>31</v>
      </c>
      <c r="C37" s="960" t="s">
        <v>67</v>
      </c>
      <c r="D37" s="28" t="s">
        <v>68</v>
      </c>
      <c r="E37" s="20"/>
    </row>
    <row r="38" spans="2:5">
      <c r="B38" s="20">
        <f t="shared" si="1"/>
        <v>32</v>
      </c>
      <c r="C38" s="960" t="s">
        <v>69</v>
      </c>
      <c r="D38" s="28" t="s">
        <v>70</v>
      </c>
      <c r="E38" s="20"/>
    </row>
    <row r="39" spans="2:5">
      <c r="B39" s="20">
        <f t="shared" si="1"/>
        <v>33</v>
      </c>
      <c r="C39" s="960" t="s">
        <v>71</v>
      </c>
      <c r="D39" s="28" t="s">
        <v>72</v>
      </c>
      <c r="E39" s="20"/>
    </row>
    <row r="40" spans="2:5">
      <c r="B40" s="20">
        <f t="shared" si="1"/>
        <v>34</v>
      </c>
      <c r="C40" s="960" t="s">
        <v>73</v>
      </c>
      <c r="D40" s="28" t="s">
        <v>74</v>
      </c>
      <c r="E40" s="20"/>
    </row>
    <row r="41" spans="2:5">
      <c r="B41" s="20">
        <f t="shared" si="1"/>
        <v>35</v>
      </c>
      <c r="C41" s="960" t="s">
        <v>75</v>
      </c>
      <c r="D41" s="28" t="s">
        <v>76</v>
      </c>
      <c r="E41" s="20"/>
    </row>
    <row r="42" spans="2:5">
      <c r="B42" s="20">
        <f t="shared" si="1"/>
        <v>36</v>
      </c>
      <c r="C42" s="960" t="s">
        <v>77</v>
      </c>
      <c r="D42" s="926" t="s">
        <v>78</v>
      </c>
      <c r="E42" s="20"/>
    </row>
    <row r="43" spans="2:5">
      <c r="B43" s="20">
        <f t="shared" si="1"/>
        <v>37</v>
      </c>
      <c r="C43" s="960" t="s">
        <v>79</v>
      </c>
      <c r="D43" s="28" t="s">
        <v>80</v>
      </c>
      <c r="E43" s="20"/>
    </row>
    <row r="44" spans="2:5">
      <c r="B44" s="20">
        <f t="shared" si="1"/>
        <v>38</v>
      </c>
      <c r="C44" s="960" t="s">
        <v>81</v>
      </c>
      <c r="D44" s="28" t="s">
        <v>82</v>
      </c>
      <c r="E44" s="20"/>
    </row>
    <row r="45" spans="2:5">
      <c r="B45" s="20">
        <f t="shared" si="1"/>
        <v>39</v>
      </c>
      <c r="C45" s="960" t="s">
        <v>83</v>
      </c>
      <c r="D45" s="28" t="s">
        <v>84</v>
      </c>
      <c r="E45" s="20"/>
    </row>
    <row r="46" spans="2:5">
      <c r="B46" s="20">
        <f t="shared" si="1"/>
        <v>40</v>
      </c>
      <c r="C46" s="971" t="s">
        <v>85</v>
      </c>
      <c r="D46" s="28" t="s">
        <v>86</v>
      </c>
      <c r="E46" s="20"/>
    </row>
    <row r="47" spans="2:5">
      <c r="B47" s="20">
        <f t="shared" si="1"/>
        <v>41</v>
      </c>
      <c r="C47" s="971" t="s">
        <v>87</v>
      </c>
      <c r="D47" s="28" t="s">
        <v>88</v>
      </c>
      <c r="E47" s="972"/>
    </row>
    <row r="48" spans="2:5">
      <c r="B48" s="20">
        <f t="shared" si="1"/>
        <v>42</v>
      </c>
      <c r="C48" s="971" t="s">
        <v>89</v>
      </c>
      <c r="D48" s="28" t="s">
        <v>90</v>
      </c>
      <c r="E48" s="20"/>
    </row>
    <row r="49" spans="2:5">
      <c r="B49" s="20">
        <f t="shared" si="1"/>
        <v>43</v>
      </c>
      <c r="C49" s="971" t="s">
        <v>91</v>
      </c>
      <c r="D49" s="28" t="s">
        <v>92</v>
      </c>
      <c r="E49" s="20"/>
    </row>
    <row r="50" spans="2:5">
      <c r="B50" s="20">
        <f t="shared" si="1"/>
        <v>44</v>
      </c>
      <c r="C50" s="971" t="s">
        <v>93</v>
      </c>
      <c r="D50" s="28" t="s">
        <v>94</v>
      </c>
      <c r="E50" s="20"/>
    </row>
  </sheetData>
  <printOptions horizontalCentered="1"/>
  <pageMargins left="0.551181102362205" right="0.236220472440945" top="1.10236220472441" bottom="0.984251968503937" header="0.236220472440945" footer="0.236220472440945"/>
  <pageSetup paperSize="9" scale="64" orientation="portrait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O81"/>
  <sheetViews>
    <sheetView showGridLines="0" zoomScaleSheetLayoutView="70" topLeftCell="C1" workbookViewId="0">
      <pane xSplit="2" ySplit="8" topLeftCell="F9" activePane="bottomRight" state="frozen"/>
      <selection/>
      <selection pane="topRight"/>
      <selection pane="bottomLeft"/>
      <selection pane="bottomRight" activeCell="J1" sqref="J$1:K$1048576"/>
    </sheetView>
  </sheetViews>
  <sheetFormatPr defaultColWidth="9.14285714285714" defaultRowHeight="14.25"/>
  <cols>
    <col min="1" max="1" width="3.14285714285714" style="12" customWidth="1"/>
    <col min="2" max="2" width="8.42857142857143" style="12" customWidth="1"/>
    <col min="3" max="3" width="21.4285714285714" style="12" customWidth="1"/>
    <col min="4" max="4" width="43.4285714285714" style="12" customWidth="1"/>
    <col min="5" max="5" width="15" style="12" customWidth="1"/>
    <col min="6" max="7" width="13.4285714285714" style="12" customWidth="1"/>
    <col min="8" max="8" width="13.5714285714286" style="12" customWidth="1"/>
    <col min="9" max="9" width="17.1428571428571" style="12" customWidth="1"/>
    <col min="10" max="10" width="13.4285714285714" style="12" customWidth="1"/>
    <col min="11" max="11" width="11.8571428571429" style="12" customWidth="1"/>
    <col min="12" max="12" width="14" style="12" customWidth="1"/>
    <col min="13" max="13" width="12.4285714285714" style="12" customWidth="1"/>
    <col min="14" max="14" width="12.5714285714286" style="12" customWidth="1"/>
    <col min="15" max="16384" width="9.14285714285714" style="12"/>
  </cols>
  <sheetData>
    <row r="2" ht="15" spans="4:8">
      <c r="D2" s="894" t="e">
        <f>'[15]Rev_NP-12me'!$I$71</f>
        <v>#REF!</v>
      </c>
      <c r="H2" s="2" t="s">
        <v>156</v>
      </c>
    </row>
    <row r="3" ht="15" spans="8:8">
      <c r="H3" s="3" t="s">
        <v>157</v>
      </c>
    </row>
    <row r="4" ht="15" spans="2:14">
      <c r="B4" s="14"/>
      <c r="C4" s="14"/>
      <c r="D4" s="655"/>
      <c r="E4" s="655"/>
      <c r="F4" s="655"/>
      <c r="G4" s="655"/>
      <c r="N4" s="3" t="s">
        <v>158</v>
      </c>
    </row>
    <row r="5" ht="15" spans="2:14">
      <c r="B5" s="656"/>
      <c r="C5" s="658" t="s">
        <v>159</v>
      </c>
      <c r="D5" s="873"/>
      <c r="E5" s="16" t="s">
        <v>160</v>
      </c>
      <c r="F5" s="16" t="s">
        <v>161</v>
      </c>
      <c r="G5" s="16" t="s">
        <v>162</v>
      </c>
      <c r="H5" s="16" t="s">
        <v>163</v>
      </c>
      <c r="I5" s="16" t="s">
        <v>164</v>
      </c>
      <c r="J5" s="884" t="s">
        <v>114</v>
      </c>
      <c r="K5" s="885"/>
      <c r="L5" s="885"/>
      <c r="M5" s="885"/>
      <c r="N5" s="886"/>
    </row>
    <row r="6" ht="30" spans="2:14">
      <c r="B6" s="656"/>
      <c r="C6" s="660"/>
      <c r="D6" s="874"/>
      <c r="E6" s="535"/>
      <c r="F6" s="535"/>
      <c r="G6" s="535"/>
      <c r="H6" s="535"/>
      <c r="I6" s="535"/>
      <c r="J6" s="5" t="s">
        <v>165</v>
      </c>
      <c r="K6" s="5" t="s">
        <v>166</v>
      </c>
      <c r="L6" s="5" t="s">
        <v>167</v>
      </c>
      <c r="M6" s="5" t="s">
        <v>168</v>
      </c>
      <c r="N6" s="5" t="s">
        <v>169</v>
      </c>
    </row>
    <row r="7" ht="15" spans="2:14">
      <c r="B7" s="656"/>
      <c r="C7" s="662"/>
      <c r="D7" s="875"/>
      <c r="E7" s="5" t="s">
        <v>128</v>
      </c>
      <c r="F7" s="5" t="s">
        <v>128</v>
      </c>
      <c r="G7" s="5" t="s">
        <v>128</v>
      </c>
      <c r="H7" s="5" t="s">
        <v>128</v>
      </c>
      <c r="I7" s="5" t="s">
        <v>131</v>
      </c>
      <c r="J7" s="5" t="s">
        <v>132</v>
      </c>
      <c r="K7" s="5" t="s">
        <v>132</v>
      </c>
      <c r="L7" s="5" t="s">
        <v>132</v>
      </c>
      <c r="M7" s="5" t="s">
        <v>132</v>
      </c>
      <c r="N7" s="5" t="s">
        <v>132</v>
      </c>
    </row>
    <row r="8" ht="15" spans="2:14">
      <c r="B8" s="656"/>
      <c r="C8" s="44" t="s">
        <v>170</v>
      </c>
      <c r="D8" s="45"/>
      <c r="E8" s="45"/>
      <c r="F8" s="45"/>
      <c r="G8" s="45"/>
      <c r="H8" s="47"/>
      <c r="I8" s="47"/>
      <c r="J8" s="55"/>
      <c r="K8" s="55"/>
      <c r="L8" s="55"/>
      <c r="M8" s="55"/>
      <c r="N8" s="55"/>
    </row>
    <row r="9" spans="2:14">
      <c r="B9" s="656"/>
      <c r="C9" s="47" t="s">
        <v>171</v>
      </c>
      <c r="D9" s="47" t="s">
        <v>172</v>
      </c>
      <c r="E9" s="882">
        <v>6542568</v>
      </c>
      <c r="F9" s="882">
        <v>6817306</v>
      </c>
      <c r="G9" s="882">
        <v>7121821</v>
      </c>
      <c r="H9" s="882">
        <v>7443356</v>
      </c>
      <c r="I9" s="882">
        <f>'[17]Rev SP FY24'!$AI$10</f>
        <v>7772199</v>
      </c>
      <c r="J9" s="882">
        <f>'[18]Rev_SP-12me'!$H$10</f>
        <v>8117951</v>
      </c>
      <c r="K9" s="882">
        <f>'[18]Rev_SP-12me'!$AJ$10</f>
        <v>8480176</v>
      </c>
      <c r="L9" s="882">
        <f>'[19]Rev_SP-12me'!$AJ$10</f>
        <v>9275620</v>
      </c>
      <c r="M9" s="882">
        <f>'[20]Rev_SP-12me'!$AJ$10</f>
        <v>9800235</v>
      </c>
      <c r="N9" s="882">
        <f>'[21]Rev_SP-12me'!$AJ$10</f>
        <v>10354521</v>
      </c>
    </row>
    <row r="10" spans="3:14">
      <c r="C10" s="55" t="s">
        <v>173</v>
      </c>
      <c r="D10" s="55" t="s">
        <v>174</v>
      </c>
      <c r="E10" s="153">
        <v>873555</v>
      </c>
      <c r="F10" s="153">
        <v>904559</v>
      </c>
      <c r="G10" s="153">
        <v>1010316</v>
      </c>
      <c r="H10" s="153">
        <v>1087272</v>
      </c>
      <c r="I10" s="153">
        <f>'[17]Rev SP FY24'!$AI$23</f>
        <v>1148711</v>
      </c>
      <c r="J10" s="882">
        <f>'[18]Rev_SP-12me'!$H$23</f>
        <v>1226970</v>
      </c>
      <c r="K10" s="882">
        <f>'[18]Rev_SP-12me'!$AJ$23</f>
        <v>1310560</v>
      </c>
      <c r="L10" s="882">
        <f>'[19]Rev_SP-12me'!$AJ$23</f>
        <v>1411291</v>
      </c>
      <c r="M10" s="882">
        <f>'[20]Rev_SP-12me'!$AJ$23</f>
        <v>1506386</v>
      </c>
      <c r="N10" s="882">
        <f>'[21]Rev_SP-12me'!$AJ$23</f>
        <v>1607888</v>
      </c>
    </row>
    <row r="11" spans="3:14">
      <c r="C11" s="55" t="s">
        <v>175</v>
      </c>
      <c r="D11" s="55" t="s">
        <v>176</v>
      </c>
      <c r="E11" s="153">
        <v>43778</v>
      </c>
      <c r="F11" s="153">
        <v>44492</v>
      </c>
      <c r="G11" s="153">
        <v>44611</v>
      </c>
      <c r="H11" s="153">
        <v>45213</v>
      </c>
      <c r="I11" s="153">
        <f>'[17]Rev SP FY24'!$AI$36</f>
        <v>45863</v>
      </c>
      <c r="J11" s="882">
        <f>'[18]Rev_SP-12me'!$H$36</f>
        <v>46475</v>
      </c>
      <c r="K11" s="882">
        <f>'[18]Rev_SP-12me'!$AJ$36</f>
        <v>47096</v>
      </c>
      <c r="L11" s="882">
        <f>'[19]Rev_SP-12me'!$AJ$36</f>
        <v>54957</v>
      </c>
      <c r="M11" s="882">
        <f>'[20]Rev_SP-12me'!$AJ$36</f>
        <v>57705</v>
      </c>
      <c r="N11" s="882">
        <f>'[21]Rev_SP-12me'!$AJ$36</f>
        <v>60590</v>
      </c>
    </row>
    <row r="12" spans="3:14">
      <c r="C12" s="55" t="s">
        <v>177</v>
      </c>
      <c r="D12" s="55" t="s">
        <v>178</v>
      </c>
      <c r="E12" s="153">
        <v>4243</v>
      </c>
      <c r="F12" s="153">
        <v>4354</v>
      </c>
      <c r="G12" s="153">
        <v>4410</v>
      </c>
      <c r="H12" s="153">
        <v>4578</v>
      </c>
      <c r="I12" s="153">
        <f>'[17]Rev SP FY24'!$AI$43</f>
        <v>5096</v>
      </c>
      <c r="J12" s="882">
        <f>'[18]Rev_SP-12me'!$H$43</f>
        <v>5371</v>
      </c>
      <c r="K12" s="882">
        <f>'[18]Rev_SP-12me'!$AJ$43</f>
        <v>5661</v>
      </c>
      <c r="L12" s="882">
        <f>'[19]Rev_SP-12me'!$AJ$43</f>
        <v>5173</v>
      </c>
      <c r="M12" s="882">
        <f>'[20]Rev_SP-12me'!$AJ$43</f>
        <v>5333</v>
      </c>
      <c r="N12" s="882">
        <f>'[21]Rev_SP-12me'!$AJ$43</f>
        <v>5498</v>
      </c>
    </row>
    <row r="13" spans="3:14">
      <c r="C13" s="55" t="s">
        <v>179</v>
      </c>
      <c r="D13" s="55" t="s">
        <v>180</v>
      </c>
      <c r="E13" s="153">
        <v>1145031</v>
      </c>
      <c r="F13" s="153">
        <v>1190930</v>
      </c>
      <c r="G13" s="153">
        <v>1262600</v>
      </c>
      <c r="H13" s="153">
        <v>1310333</v>
      </c>
      <c r="I13" s="153">
        <f>'[17]Rev SP FY24'!$AI$46</f>
        <v>1361911</v>
      </c>
      <c r="J13" s="882">
        <f>'[18]Rev_SP-12me'!$H$46</f>
        <v>1434508</v>
      </c>
      <c r="K13" s="882">
        <f>'[18]Rev_SP-12me'!$AJ$46</f>
        <v>1510736</v>
      </c>
      <c r="L13" s="882">
        <f>'[19]Rev_SP-12me'!$AJ$46</f>
        <v>1542291</v>
      </c>
      <c r="M13" s="882">
        <f>'[20]Rev_SP-12me'!$AJ$46</f>
        <v>1606432</v>
      </c>
      <c r="N13" s="882">
        <f>'[21]Rev_SP-12me'!$AJ$46</f>
        <v>1673241</v>
      </c>
    </row>
    <row r="14" spans="3:14">
      <c r="C14" s="55" t="s">
        <v>181</v>
      </c>
      <c r="D14" s="55" t="s">
        <v>182</v>
      </c>
      <c r="E14" s="153">
        <v>105304</v>
      </c>
      <c r="F14" s="153">
        <v>104891</v>
      </c>
      <c r="G14" s="153">
        <v>106561</v>
      </c>
      <c r="H14" s="153">
        <v>108272</v>
      </c>
      <c r="I14" s="153">
        <f>'[17]Rev SP FY24'!$AI$54+'[17]Rev SP FY24'!$AI$65</f>
        <v>109032</v>
      </c>
      <c r="J14" s="882">
        <f>'[18]Rev_SP-12me'!$H$54+'[18]Rev_SP-12me'!$H$65</f>
        <v>109669</v>
      </c>
      <c r="K14" s="882">
        <f>'[18]Rev_SP-12me'!$AJ$54+'[18]Rev_SP-12me'!$AJ$65</f>
        <v>110330</v>
      </c>
      <c r="L14" s="882">
        <f>'[19]Rev_SP-12me'!$AJ$54+'[19]Rev_SP-12me'!$AJ$65</f>
        <v>131605</v>
      </c>
      <c r="M14" s="882">
        <f>'[20]Rev_SP-12me'!$AJ$54+'[20]Rev_SP-12me'!$AJ$65</f>
        <v>138186</v>
      </c>
      <c r="N14" s="882">
        <f>'[21]Rev_SP-12me'!$AJ$54+'[21]Rev_SP-12me'!$AJ$65</f>
        <v>145095</v>
      </c>
    </row>
    <row r="15" spans="3:14">
      <c r="C15" s="55" t="s">
        <v>183</v>
      </c>
      <c r="D15" s="55" t="s">
        <v>184</v>
      </c>
      <c r="E15" s="153">
        <v>22934</v>
      </c>
      <c r="F15" s="153">
        <v>23176</v>
      </c>
      <c r="G15" s="153">
        <v>23724</v>
      </c>
      <c r="H15" s="153">
        <v>24698</v>
      </c>
      <c r="I15" s="153">
        <f>'[17]Rev SP FY24'!$AI$58</f>
        <v>25529</v>
      </c>
      <c r="J15" s="882">
        <f>'[18]Rev_SP-12me'!$H$58</f>
        <v>26365</v>
      </c>
      <c r="K15" s="882">
        <f>'[18]Rev_SP-12me'!$AJ$58</f>
        <v>27229</v>
      </c>
      <c r="L15" s="882">
        <f>'[19]Rev_SP-12me'!$AJ$58</f>
        <v>27095</v>
      </c>
      <c r="M15" s="882">
        <f>'[20]Rev_SP-12me'!$AJ$58</f>
        <v>27729</v>
      </c>
      <c r="N15" s="882">
        <f>'[21]Rev_SP-12me'!$AJ$58</f>
        <v>28379</v>
      </c>
    </row>
    <row r="16" spans="3:14">
      <c r="C16" s="55" t="s">
        <v>185</v>
      </c>
      <c r="D16" s="55" t="s">
        <v>186</v>
      </c>
      <c r="E16" s="153">
        <v>4272</v>
      </c>
      <c r="F16" s="153">
        <v>7589</v>
      </c>
      <c r="G16" s="153">
        <v>10536</v>
      </c>
      <c r="H16" s="153">
        <v>12733</v>
      </c>
      <c r="I16" s="153">
        <f>'[17]Rev SP FY24'!$AI$63</f>
        <v>14523</v>
      </c>
      <c r="J16" s="882">
        <f>'[18]Rev_SP-12me'!$H$63</f>
        <v>17051</v>
      </c>
      <c r="K16" s="882">
        <f>'[18]Rev_SP-12me'!$AJ$63</f>
        <v>20019</v>
      </c>
      <c r="L16" s="882">
        <f>'[19]Rev_SP-12me'!$AJ$63</f>
        <v>15477</v>
      </c>
      <c r="M16" s="882">
        <f>'[20]Rev_SP-12me'!$AJ$63</f>
        <v>16251</v>
      </c>
      <c r="N16" s="882">
        <f>'[21]Rev_SP-12me'!$AJ$63</f>
        <v>17063</v>
      </c>
    </row>
    <row r="17" spans="3:14">
      <c r="C17" s="55" t="s">
        <v>187</v>
      </c>
      <c r="D17" s="55" t="s">
        <v>188</v>
      </c>
      <c r="E17" s="153">
        <v>3</v>
      </c>
      <c r="F17" s="153">
        <v>19</v>
      </c>
      <c r="G17" s="153">
        <v>53</v>
      </c>
      <c r="H17" s="153">
        <v>103</v>
      </c>
      <c r="I17" s="153">
        <f>'[17]Rev SP FY24'!$AI$64</f>
        <v>233</v>
      </c>
      <c r="J17" s="882">
        <f>'[18]Rev_SP-12me'!$H$64</f>
        <v>303</v>
      </c>
      <c r="K17" s="882">
        <f>'[18]Rev_SP-12me'!$AJ$64</f>
        <v>415</v>
      </c>
      <c r="L17" s="882">
        <f>'[19]Rev_SP-12me'!$AJ$64</f>
        <v>269.726625</v>
      </c>
      <c r="M17" s="882">
        <f>'[20]Rev_SP-12me'!$AJ$64</f>
        <v>283.21295625</v>
      </c>
      <c r="N17" s="882">
        <f>'[21]Rev_SP-12me'!$AJ$64</f>
        <v>297.3736040625</v>
      </c>
    </row>
    <row r="18" spans="3:14">
      <c r="C18" s="55"/>
      <c r="D18" s="55"/>
      <c r="E18" s="895"/>
      <c r="F18" s="895"/>
      <c r="G18" s="895"/>
      <c r="H18" s="895"/>
      <c r="I18" s="895"/>
      <c r="J18" s="895"/>
      <c r="K18" s="895"/>
      <c r="L18" s="895"/>
      <c r="M18" s="895"/>
      <c r="N18" s="895"/>
    </row>
    <row r="19" spans="3:14">
      <c r="C19" s="55"/>
      <c r="D19" s="55"/>
      <c r="E19" s="895"/>
      <c r="F19" s="895"/>
      <c r="G19" s="895"/>
      <c r="H19" s="895"/>
      <c r="I19" s="895"/>
      <c r="J19" s="895"/>
      <c r="K19" s="895"/>
      <c r="L19" s="895"/>
      <c r="M19" s="895"/>
      <c r="N19" s="895"/>
    </row>
    <row r="20" spans="3:14">
      <c r="C20" s="55"/>
      <c r="D20" s="55"/>
      <c r="E20" s="895"/>
      <c r="F20" s="895"/>
      <c r="G20" s="895"/>
      <c r="H20" s="895"/>
      <c r="I20" s="895"/>
      <c r="J20" s="895"/>
      <c r="K20" s="895"/>
      <c r="L20" s="895"/>
      <c r="M20" s="895"/>
      <c r="N20" s="895"/>
    </row>
    <row r="21" spans="3:14">
      <c r="C21" s="55"/>
      <c r="D21" s="55"/>
      <c r="E21" s="895"/>
      <c r="F21" s="895"/>
      <c r="G21" s="895"/>
      <c r="H21" s="895"/>
      <c r="I21" s="895"/>
      <c r="J21" s="895"/>
      <c r="K21" s="895"/>
      <c r="L21" s="895"/>
      <c r="M21" s="895"/>
      <c r="N21" s="895"/>
    </row>
    <row r="22" ht="15" spans="3:15">
      <c r="C22" s="537" t="s">
        <v>189</v>
      </c>
      <c r="D22" s="540"/>
      <c r="E22" s="877">
        <f>SUM(E9:E21)</f>
        <v>8741688</v>
      </c>
      <c r="F22" s="877">
        <f>SUM(F9:F21)</f>
        <v>9097316</v>
      </c>
      <c r="G22" s="877">
        <f t="shared" ref="G22:N22" si="0">SUM(G9:G21)</f>
        <v>9584632</v>
      </c>
      <c r="H22" s="877">
        <f t="shared" si="0"/>
        <v>10036558</v>
      </c>
      <c r="I22" s="877">
        <f t="shared" si="0"/>
        <v>10483097</v>
      </c>
      <c r="J22" s="877">
        <f t="shared" si="0"/>
        <v>10984663</v>
      </c>
      <c r="K22" s="877">
        <f t="shared" si="0"/>
        <v>11512222</v>
      </c>
      <c r="L22" s="877">
        <f t="shared" si="0"/>
        <v>12463778.726625</v>
      </c>
      <c r="M22" s="877">
        <f t="shared" si="0"/>
        <v>13158540.2129562</v>
      </c>
      <c r="N22" s="877">
        <f t="shared" si="0"/>
        <v>13892572.3736041</v>
      </c>
      <c r="O22" s="887"/>
    </row>
    <row r="23" ht="15" spans="3:15">
      <c r="C23" s="44" t="s">
        <v>190</v>
      </c>
      <c r="D23" s="45"/>
      <c r="E23" s="876"/>
      <c r="F23" s="876"/>
      <c r="G23" s="876"/>
      <c r="H23" s="146"/>
      <c r="I23" s="146"/>
      <c r="J23" s="146"/>
      <c r="K23" s="146"/>
      <c r="L23" s="146"/>
      <c r="M23" s="146"/>
      <c r="N23" s="146"/>
      <c r="O23" s="887"/>
    </row>
    <row r="24" spans="3:14">
      <c r="C24" s="55" t="s">
        <v>191</v>
      </c>
      <c r="D24" s="55" t="s">
        <v>192</v>
      </c>
      <c r="E24" s="882">
        <v>4869</v>
      </c>
      <c r="F24" s="882">
        <f>4984+49</f>
        <v>5033</v>
      </c>
      <c r="G24" s="882">
        <f>5293+50</f>
        <v>5343</v>
      </c>
      <c r="H24" s="882">
        <f>5564+49</f>
        <v>5613</v>
      </c>
      <c r="I24" s="882">
        <f>'[17]Rev SP FY24'!$AI$85+'[17]Rev SP FY24'!$AI$94+'[17]Rev_SP-12me'!$H$100</f>
        <v>5914</v>
      </c>
      <c r="J24" s="882">
        <f>'[18]Rev_SP-12me'!$H$84</f>
        <v>5914</v>
      </c>
      <c r="K24" s="882">
        <f>'[18]Rev_SP-12me'!$AJ$84</f>
        <v>6196</v>
      </c>
      <c r="L24" s="882">
        <f>'[19]Rev_SP-12me'!$AJ$84</f>
        <v>6681.56814422759</v>
      </c>
      <c r="M24" s="882">
        <f>'[20]Rev_SP-12me'!$AJ$84</f>
        <v>6979.57889513728</v>
      </c>
      <c r="N24" s="882">
        <f>'[21]Rev_SP-12me'!$AJ$84</f>
        <v>7291.51538207079</v>
      </c>
    </row>
    <row r="25" spans="3:14">
      <c r="C25" s="55" t="s">
        <v>193</v>
      </c>
      <c r="D25" s="55" t="s">
        <v>194</v>
      </c>
      <c r="E25" s="153">
        <v>0</v>
      </c>
      <c r="F25" s="153">
        <v>0</v>
      </c>
      <c r="G25" s="153">
        <v>0</v>
      </c>
      <c r="H25" s="153">
        <v>0</v>
      </c>
      <c r="I25" s="153">
        <f>'[17]Rev SP FY24'!$AI$99</f>
        <v>1</v>
      </c>
      <c r="J25" s="882">
        <f>'[18]Rev_SP-12me'!$H$99</f>
        <v>0</v>
      </c>
      <c r="K25" s="882">
        <f>'[18]Rev_SP-12me'!$AJ$99</f>
        <v>0</v>
      </c>
      <c r="L25" s="882">
        <f>'[19]Rev_SP-12me'!$AJ$99</f>
        <v>0</v>
      </c>
      <c r="M25" s="882">
        <f>'[20]Rev_SP-12me'!$AJ$99</f>
        <v>0</v>
      </c>
      <c r="N25" s="882">
        <f>'[21]Rev_SP-12me'!$AJ$99</f>
        <v>0</v>
      </c>
    </row>
    <row r="26" spans="3:14">
      <c r="C26" s="55" t="s">
        <v>195</v>
      </c>
      <c r="D26" s="55" t="s">
        <v>196</v>
      </c>
      <c r="E26" s="153">
        <v>3500</v>
      </c>
      <c r="F26" s="153">
        <v>3612</v>
      </c>
      <c r="G26" s="153">
        <v>3849</v>
      </c>
      <c r="H26" s="153">
        <v>4263</v>
      </c>
      <c r="I26" s="153">
        <f>'[17]Rev SP FY24'!$AI$105</f>
        <v>4709</v>
      </c>
      <c r="J26" s="882">
        <f>'[18]Rev_SP-12me'!$H$105</f>
        <v>4809</v>
      </c>
      <c r="K26" s="882">
        <f>'[18]Rev_SP-12me'!$AJ$105</f>
        <v>5386</v>
      </c>
      <c r="L26" s="882">
        <f>'[19]Rev_SP-12me'!$AJ$105</f>
        <v>5470.25537208776</v>
      </c>
      <c r="M26" s="882">
        <f>'[20]Rev_SP-12me'!$AJ$105</f>
        <v>5823.17507351278</v>
      </c>
      <c r="N26" s="882">
        <f>'[21]Rev_SP-12me'!$AJ$105</f>
        <v>6198.27278896177</v>
      </c>
    </row>
    <row r="27" spans="3:14">
      <c r="C27" s="55" t="s">
        <v>197</v>
      </c>
      <c r="D27" s="55" t="s">
        <v>198</v>
      </c>
      <c r="E27" s="153">
        <v>0</v>
      </c>
      <c r="F27" s="153">
        <v>0</v>
      </c>
      <c r="G27" s="153">
        <v>0</v>
      </c>
      <c r="H27" s="153">
        <v>0</v>
      </c>
      <c r="I27" s="153">
        <f>'[17]Rev SP FY24'!$AI$110</f>
        <v>2</v>
      </c>
      <c r="J27" s="882">
        <f>'[18]Rev_SP-12me'!$H$110</f>
        <v>0</v>
      </c>
      <c r="K27" s="882">
        <f>'[18]Rev_SP-12me'!$AJ$110</f>
        <v>0</v>
      </c>
      <c r="L27" s="882">
        <f>'[19]Rev_SP-12me'!$AJ$110</f>
        <v>0</v>
      </c>
      <c r="M27" s="882">
        <f>'[20]Rev_SP-12me'!$AJ$110</f>
        <v>0</v>
      </c>
      <c r="N27" s="882">
        <f>'[21]Rev_SP-12me'!$AJ$110</f>
        <v>0</v>
      </c>
    </row>
    <row r="28" spans="3:14">
      <c r="C28" s="55" t="s">
        <v>199</v>
      </c>
      <c r="D28" s="55" t="s">
        <v>200</v>
      </c>
      <c r="E28" s="153">
        <v>10</v>
      </c>
      <c r="F28" s="153">
        <v>10</v>
      </c>
      <c r="G28" s="153">
        <v>11</v>
      </c>
      <c r="H28" s="153">
        <v>11</v>
      </c>
      <c r="I28" s="153">
        <f>'[17]Rev SP FY24'!$AI$115</f>
        <v>13</v>
      </c>
      <c r="J28" s="882">
        <f>'[18]Rev_SP-12me'!$H$115</f>
        <v>14</v>
      </c>
      <c r="K28" s="882">
        <f>'[18]Rev_SP-12me'!$AJ$115</f>
        <v>14</v>
      </c>
      <c r="L28" s="882">
        <f>'[19]Rev_SP-12me'!$AJ$115</f>
        <v>12.8333333333333</v>
      </c>
      <c r="M28" s="882">
        <f>'[20]Rev_SP-12me'!$AJ$115</f>
        <v>11.9166666666667</v>
      </c>
      <c r="N28" s="882">
        <f>'[21]Rev_SP-12me'!$AJ$115</f>
        <v>12.7678571428571</v>
      </c>
    </row>
    <row r="29" spans="3:14">
      <c r="C29" s="55" t="s">
        <v>201</v>
      </c>
      <c r="D29" s="55" t="s">
        <v>202</v>
      </c>
      <c r="E29" s="153">
        <v>137</v>
      </c>
      <c r="F29" s="153">
        <v>132</v>
      </c>
      <c r="G29" s="153">
        <v>127</v>
      </c>
      <c r="H29" s="153">
        <v>127</v>
      </c>
      <c r="I29" s="153">
        <f>'[17]Rev SP FY24'!$AI$120</f>
        <v>126</v>
      </c>
      <c r="J29" s="882">
        <f>'[18]Rev_SP-12me'!$H$120</f>
        <v>132</v>
      </c>
      <c r="K29" s="882">
        <f>'[18]Rev_SP-12me'!$AJ$120</f>
        <v>139</v>
      </c>
      <c r="L29" s="882">
        <f>'[19]Rev_SP-12me'!$AJ$120</f>
        <v>142.875</v>
      </c>
      <c r="M29" s="882">
        <f>'[20]Rev_SP-12me'!$AJ$120</f>
        <v>147.594594594595</v>
      </c>
      <c r="N29" s="882">
        <f>'[21]Rev_SP-12me'!$AJ$120</f>
        <v>152.314189189189</v>
      </c>
    </row>
    <row r="30" spans="3:14">
      <c r="C30" s="55" t="s">
        <v>203</v>
      </c>
      <c r="D30" s="55" t="s">
        <v>204</v>
      </c>
      <c r="E30" s="153">
        <v>133</v>
      </c>
      <c r="F30" s="153">
        <v>131</v>
      </c>
      <c r="G30" s="153">
        <v>127</v>
      </c>
      <c r="H30" s="153">
        <v>116</v>
      </c>
      <c r="I30" s="153">
        <f>'[17]Rev SP FY24'!$AI$132</f>
        <v>115</v>
      </c>
      <c r="J30" s="882">
        <f>'[18]Rev_SP-12me'!$H$132</f>
        <v>119</v>
      </c>
      <c r="K30" s="882">
        <f>'[18]Rev_SP-12me'!$AJ$132</f>
        <v>123</v>
      </c>
      <c r="L30" s="882">
        <f>'[19]Rev_SP-12me'!$AJ$132</f>
        <v>130.442675159236</v>
      </c>
      <c r="M30" s="882">
        <f>'[20]Rev_SP-12me'!$AJ$132</f>
        <v>134.751592356688</v>
      </c>
      <c r="N30" s="882">
        <f>'[21]Rev_SP-12me'!$AJ$132</f>
        <v>139.06050955414</v>
      </c>
    </row>
    <row r="31" spans="3:14">
      <c r="C31" s="55" t="s">
        <v>205</v>
      </c>
      <c r="D31" s="55" t="s">
        <v>206</v>
      </c>
      <c r="E31" s="153">
        <v>156</v>
      </c>
      <c r="F31" s="153">
        <v>167</v>
      </c>
      <c r="G31" s="153">
        <v>180</v>
      </c>
      <c r="H31" s="153">
        <v>194</v>
      </c>
      <c r="I31" s="153">
        <f>'[17]Rev SP FY24'!$AI$124</f>
        <v>207</v>
      </c>
      <c r="J31" s="882">
        <f>'[18]Rev_SP-12me'!$H$124</f>
        <v>215</v>
      </c>
      <c r="K31" s="882">
        <f>'[18]Rev_SP-12me'!$AJ$124</f>
        <v>237</v>
      </c>
      <c r="L31" s="882">
        <f>'[19]Rev_SP-12me'!$AJ$124</f>
        <v>273.404651162791</v>
      </c>
      <c r="M31" s="882">
        <f>'[20]Rev_SP-12me'!$AJ$124</f>
        <v>298.66976744186</v>
      </c>
      <c r="N31" s="882">
        <f>'[21]Rev_SP-12me'!$AJ$124</f>
        <v>325.739534883721</v>
      </c>
    </row>
    <row r="32" spans="3:14">
      <c r="C32" s="55" t="s">
        <v>207</v>
      </c>
      <c r="D32" s="55" t="s">
        <v>186</v>
      </c>
      <c r="E32" s="153">
        <v>245</v>
      </c>
      <c r="F32" s="153">
        <v>294</v>
      </c>
      <c r="G32" s="153">
        <v>371</v>
      </c>
      <c r="H32" s="153">
        <v>484</v>
      </c>
      <c r="I32" s="153">
        <f>'[17]Rev SP FY24'!$AI$125</f>
        <v>592</v>
      </c>
      <c r="J32" s="882">
        <f>'[18]Rev_SP-12me'!$H$125</f>
        <v>608</v>
      </c>
      <c r="K32" s="882">
        <f>'[18]Rev_SP-12me'!$AJ$125</f>
        <v>656</v>
      </c>
      <c r="L32" s="882">
        <f>'[19]Rev_SP-12me'!$AJ$125</f>
        <v>588.276422764228</v>
      </c>
      <c r="M32" s="882">
        <f>'[20]Rev_SP-12me'!$AJ$125</f>
        <v>617.788617886179</v>
      </c>
      <c r="N32" s="882">
        <f>'[21]Rev_SP-12me'!$AJ$125</f>
        <v>648.284552845528</v>
      </c>
    </row>
    <row r="33" spans="3:14">
      <c r="C33" s="55" t="s">
        <v>208</v>
      </c>
      <c r="D33" s="55" t="s">
        <v>209</v>
      </c>
      <c r="E33" s="882">
        <v>0</v>
      </c>
      <c r="F33" s="882">
        <v>0</v>
      </c>
      <c r="G33" s="882">
        <v>0</v>
      </c>
      <c r="H33" s="882">
        <v>0</v>
      </c>
      <c r="I33" s="882">
        <f>'[17]Rev SP FY24'!$AI$126</f>
        <v>0</v>
      </c>
      <c r="J33" s="882">
        <f>'[18]Rev_SP-12me'!$H$126</f>
        <v>0</v>
      </c>
      <c r="K33" s="882">
        <f>'[18]Rev_SP-12me'!$AJ$126</f>
        <v>0</v>
      </c>
      <c r="L33" s="882">
        <f>'[19]Rev_SP-12me'!$AJ$126</f>
        <v>0</v>
      </c>
      <c r="M33" s="882">
        <f>'[20]Rev_SP-12me'!$AJ$126</f>
        <v>0</v>
      </c>
      <c r="N33" s="882">
        <f>'[21]Rev_SP-12me'!$AJ$126</f>
        <v>0</v>
      </c>
    </row>
    <row r="34" spans="3:14">
      <c r="C34" s="55" t="s">
        <v>210</v>
      </c>
      <c r="D34" s="55" t="s">
        <v>188</v>
      </c>
      <c r="E34" s="153">
        <v>2</v>
      </c>
      <c r="F34" s="153">
        <v>3</v>
      </c>
      <c r="G34" s="153">
        <v>3</v>
      </c>
      <c r="H34" s="153">
        <v>9</v>
      </c>
      <c r="I34" s="153">
        <f>'[17]Rev SP FY24'!$AI$127</f>
        <v>17</v>
      </c>
      <c r="J34" s="882">
        <f>'[18]Rev_SP-12me'!$H$127</f>
        <v>27</v>
      </c>
      <c r="K34" s="882">
        <f>'[18]Rev_SP-12me'!$AJ$127</f>
        <v>33</v>
      </c>
      <c r="L34" s="882">
        <f>'[19]Rev_SP-12me'!$AJ$127</f>
        <v>19.679625</v>
      </c>
      <c r="M34" s="882">
        <f>'[20]Rev_SP-12me'!$AJ$127</f>
        <v>20.66360625</v>
      </c>
      <c r="N34" s="882">
        <f>'[21]Rev_SP-12me'!$AJ$127</f>
        <v>21.6967865625</v>
      </c>
    </row>
    <row r="35" spans="3:14">
      <c r="C35" s="55"/>
      <c r="D35" s="55"/>
      <c r="E35" s="895"/>
      <c r="F35" s="895"/>
      <c r="G35" s="895"/>
      <c r="H35" s="895"/>
      <c r="I35" s="895"/>
      <c r="J35" s="895"/>
      <c r="K35" s="895"/>
      <c r="L35" s="895"/>
      <c r="M35" s="895"/>
      <c r="N35" s="895"/>
    </row>
    <row r="36" spans="3:14">
      <c r="C36" s="55"/>
      <c r="D36" s="55"/>
      <c r="E36" s="895"/>
      <c r="F36" s="895"/>
      <c r="G36" s="895"/>
      <c r="H36" s="895"/>
      <c r="I36" s="895"/>
      <c r="J36" s="895"/>
      <c r="K36" s="895"/>
      <c r="L36" s="895"/>
      <c r="M36" s="895"/>
      <c r="N36" s="895"/>
    </row>
    <row r="37" spans="3:14">
      <c r="C37" s="55"/>
      <c r="D37" s="55"/>
      <c r="E37" s="895"/>
      <c r="F37" s="895"/>
      <c r="G37" s="895"/>
      <c r="H37" s="895"/>
      <c r="I37" s="895"/>
      <c r="J37" s="895"/>
      <c r="K37" s="895"/>
      <c r="L37" s="895"/>
      <c r="M37" s="895"/>
      <c r="N37" s="895"/>
    </row>
    <row r="38" spans="3:14">
      <c r="C38" s="55"/>
      <c r="D38" s="55"/>
      <c r="E38" s="895"/>
      <c r="F38" s="895"/>
      <c r="G38" s="895"/>
      <c r="H38" s="895"/>
      <c r="I38" s="895"/>
      <c r="J38" s="895"/>
      <c r="K38" s="895"/>
      <c r="L38" s="895"/>
      <c r="M38" s="895"/>
      <c r="N38" s="895"/>
    </row>
    <row r="39" ht="15" spans="3:14">
      <c r="C39" s="537" t="s">
        <v>211</v>
      </c>
      <c r="D39" s="540"/>
      <c r="E39" s="877">
        <f>SUM(E24:E38)</f>
        <v>9052</v>
      </c>
      <c r="F39" s="877">
        <f t="shared" ref="F39:N39" si="1">SUM(F24:F38)</f>
        <v>9382</v>
      </c>
      <c r="G39" s="877">
        <f t="shared" si="1"/>
        <v>10011</v>
      </c>
      <c r="H39" s="877">
        <f t="shared" si="1"/>
        <v>10817</v>
      </c>
      <c r="I39" s="877">
        <f t="shared" si="1"/>
        <v>11696</v>
      </c>
      <c r="J39" s="877">
        <f t="shared" si="1"/>
        <v>11838</v>
      </c>
      <c r="K39" s="877">
        <f t="shared" si="1"/>
        <v>12784</v>
      </c>
      <c r="L39" s="877">
        <f t="shared" si="1"/>
        <v>13319.3352237349</v>
      </c>
      <c r="M39" s="877">
        <f t="shared" si="1"/>
        <v>14034.138813846</v>
      </c>
      <c r="N39" s="877">
        <f t="shared" si="1"/>
        <v>14789.6516012105</v>
      </c>
    </row>
    <row r="40" ht="15" spans="3:14">
      <c r="C40" s="44" t="s">
        <v>212</v>
      </c>
      <c r="D40" s="45"/>
      <c r="E40" s="45"/>
      <c r="F40" s="45"/>
      <c r="G40" s="45"/>
      <c r="H40" s="55"/>
      <c r="I40" s="55"/>
      <c r="J40" s="55"/>
      <c r="K40" s="55"/>
      <c r="L40" s="55"/>
      <c r="M40" s="55"/>
      <c r="N40" s="55"/>
    </row>
    <row r="41" spans="3:14">
      <c r="C41" s="55" t="s">
        <v>191</v>
      </c>
      <c r="D41" s="55" t="s">
        <v>192</v>
      </c>
      <c r="E41" s="882">
        <v>352</v>
      </c>
      <c r="F41" s="882">
        <v>361</v>
      </c>
      <c r="G41" s="882">
        <v>385</v>
      </c>
      <c r="H41" s="882">
        <v>389</v>
      </c>
      <c r="I41" s="882">
        <f>'[17]Rev SP FY24'!$AI$149+'[17]Rev_SP-12me'!$H$164</f>
        <v>427</v>
      </c>
      <c r="J41" s="882">
        <f>'[18]Rev_SP-12me'!$H$149</f>
        <v>435</v>
      </c>
      <c r="K41" s="882">
        <f>'[18]Rev_SP-12me'!$AJ$149</f>
        <v>483</v>
      </c>
      <c r="L41" s="882">
        <f>'[19]Rev_SP-12me'!$AJ$149</f>
        <v>462.956150561483</v>
      </c>
      <c r="M41" s="882">
        <f>'[20]Rev_SP-12me'!$AJ$149</f>
        <v>483.604882579023</v>
      </c>
      <c r="N41" s="882">
        <f>'[21]Rev_SP-12me'!$AJ$149</f>
        <v>505.218508616074</v>
      </c>
    </row>
    <row r="42" spans="3:14">
      <c r="C42" s="55" t="s">
        <v>193</v>
      </c>
      <c r="D42" s="55" t="s">
        <v>194</v>
      </c>
      <c r="E42" s="882">
        <v>2</v>
      </c>
      <c r="F42" s="882">
        <v>1</v>
      </c>
      <c r="G42" s="882">
        <v>2</v>
      </c>
      <c r="H42" s="882">
        <v>1</v>
      </c>
      <c r="I42" s="882">
        <f>'[17]Rev SP FY24'!$AI$163</f>
        <v>0</v>
      </c>
      <c r="J42" s="882">
        <f>'[18]Rev_SP-12me'!$H$163</f>
        <v>0</v>
      </c>
      <c r="K42" s="882">
        <f>'[18]Rev_SP-12me'!$AJ$163</f>
        <v>0</v>
      </c>
      <c r="L42" s="882">
        <f>'[19]Rev_SP-12me'!$AJ$163</f>
        <v>1</v>
      </c>
      <c r="M42" s="882">
        <f>'[20]Rev_SP-12me'!$AJ$163</f>
        <v>1</v>
      </c>
      <c r="N42" s="882">
        <f>'[21]Rev_SP-12me'!$AJ$163</f>
        <v>1</v>
      </c>
    </row>
    <row r="43" spans="3:14">
      <c r="C43" s="55" t="s">
        <v>195</v>
      </c>
      <c r="D43" s="55" t="s">
        <v>196</v>
      </c>
      <c r="E43" s="882">
        <v>141</v>
      </c>
      <c r="F43" s="882">
        <v>132</v>
      </c>
      <c r="G43" s="882">
        <v>146</v>
      </c>
      <c r="H43" s="882">
        <v>154</v>
      </c>
      <c r="I43" s="882">
        <f>'[17]Rev SP FY24'!$AI$169</f>
        <v>169</v>
      </c>
      <c r="J43" s="882">
        <f>'[18]Rev_SP-12me'!$H$169</f>
        <v>178</v>
      </c>
      <c r="K43" s="882">
        <f>'[18]Rev_SP-12me'!$AJ$169</f>
        <v>205</v>
      </c>
      <c r="L43" s="882">
        <f>'[19]Rev_SP-12me'!$AJ$169</f>
        <v>197.105031948882</v>
      </c>
      <c r="M43" s="882">
        <f>'[20]Rev_SP-12me'!$AJ$169</f>
        <v>209.821485623003</v>
      </c>
      <c r="N43" s="882">
        <f>'[21]Rev_SP-12me'!$AJ$169</f>
        <v>223.337060702875</v>
      </c>
    </row>
    <row r="44" spans="3:14">
      <c r="C44" s="55" t="s">
        <v>197</v>
      </c>
      <c r="D44" s="55" t="s">
        <v>198</v>
      </c>
      <c r="E44" s="882">
        <v>0</v>
      </c>
      <c r="F44" s="882">
        <v>0</v>
      </c>
      <c r="G44" s="882">
        <v>0</v>
      </c>
      <c r="H44" s="882">
        <v>0</v>
      </c>
      <c r="I44" s="882">
        <f>'[17]Rev_SP-12me'!$H$175</f>
        <v>1</v>
      </c>
      <c r="J44" s="882">
        <f>'[18]Rev_SP-12me'!$H$175</f>
        <v>0</v>
      </c>
      <c r="K44" s="882">
        <f>'[18]Rev_SP-12me'!$AJ$175</f>
        <v>0</v>
      </c>
      <c r="L44" s="882">
        <f>'[19]Rev_SP-12me'!$AJ$175</f>
        <v>0</v>
      </c>
      <c r="M44" s="882">
        <f>'[20]Rev_SP-12me'!$AJ$175</f>
        <v>0</v>
      </c>
      <c r="N44" s="882">
        <f>'[21]Rev_SP-12me'!$AJ$175</f>
        <v>0</v>
      </c>
    </row>
    <row r="45" spans="3:14">
      <c r="C45" s="55" t="s">
        <v>199</v>
      </c>
      <c r="D45" s="55" t="s">
        <v>200</v>
      </c>
      <c r="E45" s="882">
        <v>0</v>
      </c>
      <c r="F45" s="882">
        <v>0</v>
      </c>
      <c r="G45" s="882">
        <v>0</v>
      </c>
      <c r="H45" s="882">
        <v>0</v>
      </c>
      <c r="I45" s="882">
        <f>'[17]Rev SP FY24'!$AI$180</f>
        <v>0</v>
      </c>
      <c r="J45" s="882">
        <f>'[18]Rev_SP-12me'!$H$180</f>
        <v>0</v>
      </c>
      <c r="K45" s="882">
        <f>'[18]Rev_SP-12me'!$AJ$180</f>
        <v>0</v>
      </c>
      <c r="L45" s="882">
        <f>'[19]Rev_SP-12me'!$AJ$180</f>
        <v>0</v>
      </c>
      <c r="M45" s="882">
        <f>'[20]Rev_SP-12me'!$AJ$180</f>
        <v>0</v>
      </c>
      <c r="N45" s="882">
        <f>'[21]Rev_SP-12me'!$AJ$180</f>
        <v>0</v>
      </c>
    </row>
    <row r="46" spans="3:14">
      <c r="C46" s="55" t="s">
        <v>201</v>
      </c>
      <c r="D46" s="55" t="s">
        <v>202</v>
      </c>
      <c r="E46" s="882">
        <v>19</v>
      </c>
      <c r="F46" s="882">
        <v>19</v>
      </c>
      <c r="G46" s="882">
        <v>20</v>
      </c>
      <c r="H46" s="882">
        <v>19</v>
      </c>
      <c r="I46" s="882">
        <f>'[17]Rev SP FY24'!$AI$185</f>
        <v>22</v>
      </c>
      <c r="J46" s="882">
        <f>'[18]Rev_SP-12me'!$H$185</f>
        <v>13</v>
      </c>
      <c r="K46" s="882">
        <f>'[18]Rev_SP-12me'!$AJ$185</f>
        <v>13</v>
      </c>
      <c r="L46" s="882">
        <f>'[19]Rev_SP-12me'!$AJ$185</f>
        <v>21.375</v>
      </c>
      <c r="M46" s="882">
        <f>'[20]Rev_SP-12me'!$AJ$185</f>
        <v>22.0810810810811</v>
      </c>
      <c r="N46" s="882">
        <f>'[21]Rev_SP-12me'!$AJ$185</f>
        <v>22.7871621621622</v>
      </c>
    </row>
    <row r="47" spans="3:14">
      <c r="C47" s="55" t="s">
        <v>203</v>
      </c>
      <c r="D47" s="55" t="s">
        <v>204</v>
      </c>
      <c r="E47" s="882">
        <v>13</v>
      </c>
      <c r="F47" s="882">
        <v>13</v>
      </c>
      <c r="G47" s="882">
        <v>13</v>
      </c>
      <c r="H47" s="882">
        <v>13</v>
      </c>
      <c r="I47" s="882">
        <f>'[17]Rev SP FY24'!$AI$191</f>
        <v>13</v>
      </c>
      <c r="J47" s="882">
        <f>'[18]Rev_SP-12me'!$H$191</f>
        <v>23</v>
      </c>
      <c r="K47" s="882">
        <f>'[18]Rev_SP-12me'!$AJ$191</f>
        <v>26</v>
      </c>
      <c r="L47" s="882">
        <f>'[19]Rev_SP-12me'!$AJ$191</f>
        <v>14.625</v>
      </c>
      <c r="M47" s="882">
        <f>'[20]Rev_SP-12me'!$AJ$191</f>
        <v>15.1081081081081</v>
      </c>
      <c r="N47" s="882">
        <f>'[21]Rev_SP-12me'!$AJ$191</f>
        <v>15.5912162162162</v>
      </c>
    </row>
    <row r="48" spans="3:14">
      <c r="C48" s="55" t="s">
        <v>213</v>
      </c>
      <c r="D48" s="55" t="s">
        <v>214</v>
      </c>
      <c r="E48" s="882"/>
      <c r="F48" s="882"/>
      <c r="G48" s="882"/>
      <c r="H48" s="882">
        <v>1</v>
      </c>
      <c r="I48" s="882">
        <f>'[17]Rev SP FY24'!$AI$187</f>
        <v>0</v>
      </c>
      <c r="J48" s="882">
        <f>'[18]Rev_SP-12me'!$H$187</f>
        <v>1</v>
      </c>
      <c r="K48" s="882">
        <f>'[18]Rev_SP-12me'!$AJ$187</f>
        <v>1</v>
      </c>
      <c r="L48" s="882">
        <f>'[19]Rev_SP-12me'!$AJ$187</f>
        <v>1.2</v>
      </c>
      <c r="M48" s="882">
        <f>'[20]Rev_SP-12me'!$AJ$187</f>
        <v>1</v>
      </c>
      <c r="N48" s="882">
        <f>'[21]Rev_SP-12me'!$AJ$187</f>
        <v>1.11111111111111</v>
      </c>
    </row>
    <row r="49" spans="3:14">
      <c r="C49" s="55" t="s">
        <v>215</v>
      </c>
      <c r="D49" s="55" t="s">
        <v>216</v>
      </c>
      <c r="E49" s="882"/>
      <c r="F49" s="882"/>
      <c r="G49" s="882"/>
      <c r="H49" s="882"/>
      <c r="I49" s="882">
        <f>'[17]Rev SP FY24'!$AI$188</f>
        <v>0</v>
      </c>
      <c r="J49" s="882">
        <f>'[18]Rev_SP-12me'!$H$188</f>
        <v>0</v>
      </c>
      <c r="K49" s="882">
        <f>'[18]Rev_SP-12me'!$AJ$188</f>
        <v>0</v>
      </c>
      <c r="L49" s="882">
        <f>'[19]Rev_SP-12me'!$AJ$188</f>
        <v>0</v>
      </c>
      <c r="M49" s="882">
        <f>'[20]Rev_SP-12me'!$AJ$188</f>
        <v>0</v>
      </c>
      <c r="N49" s="882">
        <f>'[21]Rev_SP-12me'!$AJ$188</f>
        <v>0</v>
      </c>
    </row>
    <row r="50" spans="3:14">
      <c r="C50" s="55" t="s">
        <v>217</v>
      </c>
      <c r="D50" s="55" t="s">
        <v>206</v>
      </c>
      <c r="E50" s="882">
        <v>17</v>
      </c>
      <c r="F50" s="882">
        <v>20</v>
      </c>
      <c r="G50" s="882">
        <v>20</v>
      </c>
      <c r="H50" s="882">
        <v>21</v>
      </c>
      <c r="I50" s="882">
        <f>'[17]Rev SP FY24'!$AI$189</f>
        <v>22</v>
      </c>
      <c r="J50" s="882">
        <f>'[18]Rev_SP-12me'!$H$189</f>
        <v>37</v>
      </c>
      <c r="K50" s="882">
        <f>'[18]Rev_SP-12me'!$AJ$189</f>
        <v>38</v>
      </c>
      <c r="L50" s="882">
        <f>'[19]Rev_SP-12me'!$AJ$189</f>
        <v>29.5953488372093</v>
      </c>
      <c r="M50" s="882">
        <f>'[20]Rev_SP-12me'!$AJ$189</f>
        <v>32.3302325581395</v>
      </c>
      <c r="N50" s="882">
        <f>'[21]Rev_SP-12me'!$AJ$189</f>
        <v>35.2604651162791</v>
      </c>
    </row>
    <row r="51" spans="3:14">
      <c r="C51" s="55" t="s">
        <v>218</v>
      </c>
      <c r="D51" s="55" t="s">
        <v>186</v>
      </c>
      <c r="E51" s="882">
        <v>5</v>
      </c>
      <c r="F51" s="882">
        <v>4</v>
      </c>
      <c r="G51" s="882">
        <v>8</v>
      </c>
      <c r="H51" s="882">
        <v>8</v>
      </c>
      <c r="I51" s="882">
        <f>'[17]Rev SP FY24'!$AI$190</f>
        <v>9</v>
      </c>
      <c r="J51" s="882">
        <f>'[18]Rev_SP-12me'!$H$190</f>
        <v>9</v>
      </c>
      <c r="K51" s="882">
        <f>'[18]Rev_SP-12me'!$AJ$190</f>
        <v>10</v>
      </c>
      <c r="L51" s="882">
        <f>'[19]Rev_SP-12me'!$AJ$190</f>
        <v>9.72357723577236</v>
      </c>
      <c r="M51" s="882">
        <f>'[20]Rev_SP-12me'!$AJ$190</f>
        <v>10.2113821138211</v>
      </c>
      <c r="N51" s="882">
        <f>'[21]Rev_SP-12me'!$AJ$190</f>
        <v>10.7154471544715</v>
      </c>
    </row>
    <row r="52" spans="3:14">
      <c r="C52" s="55" t="s">
        <v>208</v>
      </c>
      <c r="D52" s="55" t="s">
        <v>209</v>
      </c>
      <c r="E52" s="882">
        <v>0</v>
      </c>
      <c r="F52" s="882">
        <v>0</v>
      </c>
      <c r="G52" s="882">
        <v>0</v>
      </c>
      <c r="H52" s="882">
        <v>0</v>
      </c>
      <c r="I52" s="882">
        <v>0</v>
      </c>
      <c r="J52" s="882">
        <v>0</v>
      </c>
      <c r="K52" s="882">
        <v>0</v>
      </c>
      <c r="L52" s="882">
        <v>0</v>
      </c>
      <c r="M52" s="882">
        <v>0</v>
      </c>
      <c r="N52" s="882">
        <v>0</v>
      </c>
    </row>
    <row r="53" spans="3:14">
      <c r="C53" s="55" t="s">
        <v>210</v>
      </c>
      <c r="D53" s="55" t="s">
        <v>188</v>
      </c>
      <c r="E53" s="882">
        <v>0</v>
      </c>
      <c r="F53" s="882">
        <v>0</v>
      </c>
      <c r="G53" s="882">
        <v>0</v>
      </c>
      <c r="H53" s="882">
        <v>0</v>
      </c>
      <c r="I53" s="882">
        <v>0</v>
      </c>
      <c r="J53" s="882">
        <v>0</v>
      </c>
      <c r="K53" s="882">
        <v>0</v>
      </c>
      <c r="L53" s="882">
        <v>0</v>
      </c>
      <c r="M53" s="882">
        <v>0</v>
      </c>
      <c r="N53" s="882">
        <v>0</v>
      </c>
    </row>
    <row r="54" spans="3:14">
      <c r="C54" s="55"/>
      <c r="D54" s="55"/>
      <c r="E54" s="882"/>
      <c r="F54" s="882"/>
      <c r="G54" s="882"/>
      <c r="H54" s="882"/>
      <c r="I54" s="882"/>
      <c r="J54" s="882"/>
      <c r="K54" s="882"/>
      <c r="L54" s="882"/>
      <c r="M54" s="882"/>
      <c r="N54" s="882"/>
    </row>
    <row r="55" spans="3:14">
      <c r="C55" s="55"/>
      <c r="D55" s="55"/>
      <c r="E55" s="882"/>
      <c r="F55" s="882"/>
      <c r="G55" s="882"/>
      <c r="H55" s="882"/>
      <c r="I55" s="882"/>
      <c r="J55" s="882"/>
      <c r="K55" s="882"/>
      <c r="L55" s="882"/>
      <c r="M55" s="882"/>
      <c r="N55" s="882"/>
    </row>
    <row r="56" spans="3:14">
      <c r="C56" s="55"/>
      <c r="D56" s="55"/>
      <c r="E56" s="882"/>
      <c r="F56" s="882"/>
      <c r="G56" s="882"/>
      <c r="H56" s="882"/>
      <c r="I56" s="882"/>
      <c r="J56" s="882"/>
      <c r="K56" s="882"/>
      <c r="L56" s="882"/>
      <c r="M56" s="882"/>
      <c r="N56" s="882"/>
    </row>
    <row r="57" spans="3:14">
      <c r="C57" s="55"/>
      <c r="D57" s="55"/>
      <c r="E57" s="882"/>
      <c r="F57" s="882"/>
      <c r="G57" s="882"/>
      <c r="H57" s="882"/>
      <c r="I57" s="882"/>
      <c r="J57" s="882"/>
      <c r="K57" s="882"/>
      <c r="L57" s="882"/>
      <c r="M57" s="882"/>
      <c r="N57" s="882"/>
    </row>
    <row r="58" ht="15" spans="3:14">
      <c r="C58" s="537" t="s">
        <v>211</v>
      </c>
      <c r="D58" s="540"/>
      <c r="E58" s="877">
        <f>SUM(E41:E57)</f>
        <v>549</v>
      </c>
      <c r="F58" s="877">
        <f t="shared" ref="F58:N58" si="2">SUM(F41:F57)</f>
        <v>550</v>
      </c>
      <c r="G58" s="877">
        <f t="shared" si="2"/>
        <v>594</v>
      </c>
      <c r="H58" s="877">
        <f t="shared" si="2"/>
        <v>606</v>
      </c>
      <c r="I58" s="877">
        <f t="shared" si="2"/>
        <v>663</v>
      </c>
      <c r="J58" s="877">
        <f t="shared" si="2"/>
        <v>696</v>
      </c>
      <c r="K58" s="877">
        <f t="shared" si="2"/>
        <v>776</v>
      </c>
      <c r="L58" s="877">
        <f t="shared" si="2"/>
        <v>737.580108583347</v>
      </c>
      <c r="M58" s="877">
        <f t="shared" si="2"/>
        <v>775.157172063176</v>
      </c>
      <c r="N58" s="877">
        <f t="shared" si="2"/>
        <v>815.020971079189</v>
      </c>
    </row>
    <row r="59" ht="15" spans="3:14">
      <c r="C59" s="44" t="s">
        <v>219</v>
      </c>
      <c r="D59" s="45"/>
      <c r="E59" s="45"/>
      <c r="F59" s="45"/>
      <c r="G59" s="45"/>
      <c r="H59" s="55"/>
      <c r="I59" s="55"/>
      <c r="J59" s="55"/>
      <c r="K59" s="55"/>
      <c r="L59" s="55"/>
      <c r="M59" s="55"/>
      <c r="N59" s="55"/>
    </row>
    <row r="60" spans="3:15">
      <c r="C60" s="55" t="s">
        <v>191</v>
      </c>
      <c r="D60" s="55" t="s">
        <v>192</v>
      </c>
      <c r="E60" s="882">
        <v>37</v>
      </c>
      <c r="F60" s="882">
        <v>39</v>
      </c>
      <c r="G60" s="882">
        <v>40</v>
      </c>
      <c r="H60" s="882">
        <v>44</v>
      </c>
      <c r="I60" s="882">
        <f>'[17]Rev SP FY24'!$AI$208+'[17]Rev_SP-12me'!$H$217</f>
        <v>44</v>
      </c>
      <c r="J60" s="882">
        <f>'[18]Rev_SP-12me'!$H$208</f>
        <v>48</v>
      </c>
      <c r="K60" s="882">
        <f>'[18]Rev_SP-12me'!$AJ$208</f>
        <v>50</v>
      </c>
      <c r="L60" s="882">
        <f>'[19]Rev_SP-12me'!$AJ$208</f>
        <v>52.3764472378432</v>
      </c>
      <c r="M60" s="882">
        <f>'[20]Rev_SP-12me'!$AJ$208</f>
        <v>54.7125372146874</v>
      </c>
      <c r="N60" s="882">
        <f>'[21]Rev_SP-12me'!$AJ$208</f>
        <v>57.1577902745616</v>
      </c>
      <c r="O60" s="887"/>
    </row>
    <row r="61" spans="3:15">
      <c r="C61" s="55" t="s">
        <v>193</v>
      </c>
      <c r="D61" s="55" t="s">
        <v>194</v>
      </c>
      <c r="E61" s="882">
        <v>2</v>
      </c>
      <c r="F61" s="882">
        <v>1</v>
      </c>
      <c r="G61" s="882">
        <v>2</v>
      </c>
      <c r="H61" s="882">
        <v>2</v>
      </c>
      <c r="I61" s="882">
        <f>'[17]Rev SP FY24'!$AI$216</f>
        <v>2</v>
      </c>
      <c r="J61" s="882">
        <f>'[18]Rev_SP-12me'!$H$216</f>
        <v>0</v>
      </c>
      <c r="K61" s="882">
        <f>'[18]Rev_SP-12me'!$AJ$216</f>
        <v>0</v>
      </c>
      <c r="L61" s="882">
        <f>'[19]Rev_SP-12me'!$AJ$216</f>
        <v>2</v>
      </c>
      <c r="M61" s="882">
        <f>'[20]Rev_SP-12me'!$AJ$216</f>
        <v>2</v>
      </c>
      <c r="N61" s="882">
        <f>'[21]Rev_SP-12me'!$AJ$216</f>
        <v>2</v>
      </c>
      <c r="O61" s="887"/>
    </row>
    <row r="62" spans="3:15">
      <c r="C62" s="55" t="s">
        <v>195</v>
      </c>
      <c r="D62" s="55" t="s">
        <v>196</v>
      </c>
      <c r="E62" s="882">
        <v>5</v>
      </c>
      <c r="F62" s="882">
        <v>4</v>
      </c>
      <c r="G62" s="882">
        <v>4</v>
      </c>
      <c r="H62" s="882">
        <v>4</v>
      </c>
      <c r="I62" s="882">
        <f>'[17]Rev SP FY24'!$AI$222</f>
        <v>6</v>
      </c>
      <c r="J62" s="882">
        <f>'[18]Rev_SP-12me'!$H$222</f>
        <v>9</v>
      </c>
      <c r="K62" s="882">
        <f>'[18]Rev_SP-12me'!$AJ$222</f>
        <v>10</v>
      </c>
      <c r="L62" s="882">
        <f>'[19]Rev_SP-12me'!$AJ$222</f>
        <v>5.03764948144474</v>
      </c>
      <c r="M62" s="882">
        <f>'[20]Rev_SP-12me'!$AJ$222</f>
        <v>5.36265912540892</v>
      </c>
      <c r="N62" s="882">
        <f>'[21]Rev_SP-12me'!$AJ$222</f>
        <v>5.70809287268232</v>
      </c>
      <c r="O62" s="887"/>
    </row>
    <row r="63" spans="3:15">
      <c r="C63" s="55" t="s">
        <v>197</v>
      </c>
      <c r="D63" s="55" t="s">
        <v>198</v>
      </c>
      <c r="E63" s="882">
        <v>0</v>
      </c>
      <c r="F63" s="882">
        <v>0</v>
      </c>
      <c r="G63" s="882">
        <v>0</v>
      </c>
      <c r="H63" s="882">
        <v>0</v>
      </c>
      <c r="I63" s="882">
        <v>0</v>
      </c>
      <c r="J63" s="882">
        <f>'[18]Rev_SP-12me'!$H$227</f>
        <v>0</v>
      </c>
      <c r="K63" s="882">
        <f>'[18]Rev_SP-12me'!$AJ$227</f>
        <v>0</v>
      </c>
      <c r="L63" s="882">
        <f>'[19]Rev_SP-12me'!$AJ$227</f>
        <v>0</v>
      </c>
      <c r="M63" s="882">
        <f>'[20]Rev_SP-12me'!$AJ$227</f>
        <v>0</v>
      </c>
      <c r="N63" s="882">
        <f>'[21]Rev_SP-12me'!$AJ$227</f>
        <v>0</v>
      </c>
      <c r="O63" s="887"/>
    </row>
    <row r="64" spans="3:15">
      <c r="C64" s="55" t="s">
        <v>199</v>
      </c>
      <c r="D64" s="55" t="s">
        <v>200</v>
      </c>
      <c r="E64" s="882">
        <v>1</v>
      </c>
      <c r="F64" s="882">
        <v>1</v>
      </c>
      <c r="G64" s="882">
        <v>1</v>
      </c>
      <c r="H64" s="882">
        <v>1</v>
      </c>
      <c r="I64" s="882">
        <f>'[17]Rev SP FY24'!$AI$232</f>
        <v>1</v>
      </c>
      <c r="J64" s="882">
        <f>'[18]Rev_SP-12me'!$H$232</f>
        <v>1</v>
      </c>
      <c r="K64" s="882">
        <f>'[18]Rev_SP-12me'!$AJ$232</f>
        <v>1</v>
      </c>
      <c r="L64" s="882">
        <f>'[19]Rev_SP-12me'!$AJ$232</f>
        <v>1.07692307692308</v>
      </c>
      <c r="M64" s="882">
        <f>'[20]Rev_SP-12me'!$AJ$232</f>
        <v>1</v>
      </c>
      <c r="N64" s="882">
        <f>'[21]Rev_SP-12me'!$AJ$232</f>
        <v>1.07142857142857</v>
      </c>
      <c r="O64" s="887"/>
    </row>
    <row r="65" spans="3:15">
      <c r="C65" s="55" t="s">
        <v>201</v>
      </c>
      <c r="D65" s="55" t="s">
        <v>202</v>
      </c>
      <c r="E65" s="882">
        <v>15</v>
      </c>
      <c r="F65" s="882">
        <v>18</v>
      </c>
      <c r="G65" s="882">
        <v>18</v>
      </c>
      <c r="H65" s="882">
        <v>19</v>
      </c>
      <c r="I65" s="882">
        <f>'[17]Rev SP FY24'!$AI$237</f>
        <v>21</v>
      </c>
      <c r="J65" s="882">
        <f>'[18]Rev_SP-12me'!$H$237</f>
        <v>21</v>
      </c>
      <c r="K65" s="882">
        <f>'[18]Rev_SP-12me'!$AJ$237</f>
        <v>21</v>
      </c>
      <c r="L65" s="882">
        <f>'[19]Rev_SP-12me'!$AJ$237</f>
        <v>21.375</v>
      </c>
      <c r="M65" s="882">
        <f>'[20]Rev_SP-12me'!$AJ$237</f>
        <v>22.0810810810811</v>
      </c>
      <c r="N65" s="882">
        <f>'[21]Rev_SP-12me'!$AJ$237</f>
        <v>22.7871621621622</v>
      </c>
      <c r="O65" s="887"/>
    </row>
    <row r="66" spans="3:15">
      <c r="C66" s="55" t="s">
        <v>203</v>
      </c>
      <c r="D66" s="55" t="s">
        <v>220</v>
      </c>
      <c r="E66" s="882">
        <v>2</v>
      </c>
      <c r="F66" s="882">
        <v>2</v>
      </c>
      <c r="G66" s="882">
        <v>2</v>
      </c>
      <c r="H66" s="882">
        <v>2</v>
      </c>
      <c r="I66" s="882">
        <f>'[17]Rev SP FY24'!$AI$247</f>
        <v>2</v>
      </c>
      <c r="J66" s="882">
        <f>'[18]Rev_SP-12me'!$H$247</f>
        <v>2</v>
      </c>
      <c r="K66" s="882">
        <f>'[18]Rev_SP-12me'!$AJ$247</f>
        <v>2</v>
      </c>
      <c r="L66" s="882">
        <f>'[19]Rev_SP-12me'!$AJ$247</f>
        <v>2.12101910828025</v>
      </c>
      <c r="M66" s="882">
        <f>'[20]Rev_SP-12me'!$AJ$247</f>
        <v>2.19108280254777</v>
      </c>
      <c r="N66" s="882">
        <f>'[21]Rev_SP-12me'!$AJ$247</f>
        <v>2.26114649681529</v>
      </c>
      <c r="O66" s="887"/>
    </row>
    <row r="67" spans="3:15">
      <c r="C67" s="55" t="s">
        <v>221</v>
      </c>
      <c r="D67" s="55" t="s">
        <v>222</v>
      </c>
      <c r="E67" s="882">
        <v>13</v>
      </c>
      <c r="F67" s="882">
        <v>13</v>
      </c>
      <c r="G67" s="882">
        <v>13</v>
      </c>
      <c r="H67" s="882">
        <v>15</v>
      </c>
      <c r="I67" s="882">
        <f>'[17]Rev SP FY24'!$AI$240</f>
        <v>17</v>
      </c>
      <c r="J67" s="882">
        <f>'[18]Rev_SP-12me'!$H$240</f>
        <v>17</v>
      </c>
      <c r="K67" s="882">
        <f>'[18]Rev_SP-12me'!$AJ$240</f>
        <v>17</v>
      </c>
      <c r="L67" s="882">
        <f>'[19]Rev_SP-12me'!$AJ$240</f>
        <v>22.5</v>
      </c>
      <c r="M67" s="882">
        <f>'[20]Rev_SP-12me'!$AJ$240</f>
        <v>25.3125</v>
      </c>
      <c r="N67" s="882">
        <f>'[21]Rev_SP-12me'!$AJ$240</f>
        <v>28.125</v>
      </c>
      <c r="O67" s="887"/>
    </row>
    <row r="68" spans="3:15">
      <c r="C68" s="55" t="s">
        <v>205</v>
      </c>
      <c r="D68" s="55" t="s">
        <v>206</v>
      </c>
      <c r="E68" s="882">
        <v>0</v>
      </c>
      <c r="F68" s="882">
        <v>0</v>
      </c>
      <c r="G68" s="882">
        <v>0</v>
      </c>
      <c r="H68" s="882">
        <v>0</v>
      </c>
      <c r="I68" s="882">
        <v>0</v>
      </c>
      <c r="J68" s="882">
        <f>'[18]Rev_SP-12me'!$H$245</f>
        <v>0</v>
      </c>
      <c r="K68" s="882">
        <f>'[18]Rev_SP-12me'!$AJ$245</f>
        <v>0</v>
      </c>
      <c r="L68" s="882">
        <f>'[19]Rev_SP-12me'!$AJ$245</f>
        <v>0</v>
      </c>
      <c r="M68" s="882">
        <f>'[20]Rev_SP-12me'!$AJ$245</f>
        <v>0</v>
      </c>
      <c r="N68" s="882">
        <f>'[21]Rev_SP-12me'!$AJ$245</f>
        <v>0</v>
      </c>
      <c r="O68" s="887"/>
    </row>
    <row r="69" spans="3:15">
      <c r="C69" s="55" t="s">
        <v>207</v>
      </c>
      <c r="D69" s="55" t="s">
        <v>186</v>
      </c>
      <c r="E69" s="882">
        <v>0</v>
      </c>
      <c r="F69" s="882">
        <v>0</v>
      </c>
      <c r="G69" s="882">
        <v>0</v>
      </c>
      <c r="H69" s="882">
        <v>0</v>
      </c>
      <c r="I69" s="882">
        <v>0</v>
      </c>
      <c r="J69" s="882">
        <f>'[18]Rev_SP-12me'!$H$246</f>
        <v>0</v>
      </c>
      <c r="K69" s="882">
        <f>'[18]Rev_SP-12me'!$AJ$246</f>
        <v>0</v>
      </c>
      <c r="L69" s="882">
        <f>'[19]Rev_SP-12me'!$AJ$246</f>
        <v>0</v>
      </c>
      <c r="M69" s="882">
        <f>'[20]Rev_SP-12me'!$AJ$246</f>
        <v>0</v>
      </c>
      <c r="N69" s="882">
        <f>'[21]Rev_SP-12me'!$AJ$246</f>
        <v>0</v>
      </c>
      <c r="O69" s="887"/>
    </row>
    <row r="70" spans="3:15">
      <c r="C70" s="55" t="s">
        <v>208</v>
      </c>
      <c r="D70" s="55" t="s">
        <v>209</v>
      </c>
      <c r="E70" s="882">
        <v>0</v>
      </c>
      <c r="F70" s="882">
        <v>0</v>
      </c>
      <c r="G70" s="882">
        <v>0</v>
      </c>
      <c r="H70" s="882">
        <v>0</v>
      </c>
      <c r="I70" s="882">
        <v>0</v>
      </c>
      <c r="J70" s="882">
        <v>0</v>
      </c>
      <c r="K70" s="882">
        <v>0</v>
      </c>
      <c r="L70" s="882">
        <v>0</v>
      </c>
      <c r="M70" s="882">
        <v>0</v>
      </c>
      <c r="N70" s="882">
        <v>0</v>
      </c>
      <c r="O70" s="887"/>
    </row>
    <row r="71" spans="3:15">
      <c r="C71" s="55" t="s">
        <v>210</v>
      </c>
      <c r="D71" s="55" t="s">
        <v>188</v>
      </c>
      <c r="E71" s="882">
        <v>0</v>
      </c>
      <c r="F71" s="882">
        <v>0</v>
      </c>
      <c r="G71" s="882">
        <v>0</v>
      </c>
      <c r="H71" s="882">
        <v>0</v>
      </c>
      <c r="I71" s="882">
        <v>0</v>
      </c>
      <c r="J71" s="882">
        <v>0</v>
      </c>
      <c r="K71" s="882">
        <v>0</v>
      </c>
      <c r="L71" s="882">
        <v>0</v>
      </c>
      <c r="M71" s="882">
        <v>0</v>
      </c>
      <c r="N71" s="882">
        <v>0</v>
      </c>
      <c r="O71" s="887"/>
    </row>
    <row r="72" spans="3:14">
      <c r="C72" s="55"/>
      <c r="D72" s="55"/>
      <c r="E72" s="882"/>
      <c r="F72" s="882"/>
      <c r="G72" s="882"/>
      <c r="H72" s="882"/>
      <c r="I72" s="882"/>
      <c r="J72" s="882"/>
      <c r="K72" s="882"/>
      <c r="L72" s="882"/>
      <c r="M72" s="882"/>
      <c r="N72" s="882"/>
    </row>
    <row r="73" spans="3:14">
      <c r="C73" s="55"/>
      <c r="D73" s="55"/>
      <c r="E73" s="882"/>
      <c r="F73" s="882"/>
      <c r="G73" s="882"/>
      <c r="H73" s="882"/>
      <c r="I73" s="882"/>
      <c r="J73" s="882"/>
      <c r="K73" s="882"/>
      <c r="L73" s="882"/>
      <c r="M73" s="882"/>
      <c r="N73" s="882"/>
    </row>
    <row r="74" spans="3:14">
      <c r="C74" s="55"/>
      <c r="D74" s="55"/>
      <c r="E74" s="882"/>
      <c r="F74" s="882"/>
      <c r="G74" s="882"/>
      <c r="H74" s="882"/>
      <c r="I74" s="882"/>
      <c r="J74" s="882"/>
      <c r="K74" s="882"/>
      <c r="L74" s="882"/>
      <c r="M74" s="882"/>
      <c r="N74" s="882"/>
    </row>
    <row r="75" spans="3:14">
      <c r="C75" s="55"/>
      <c r="D75" s="55"/>
      <c r="E75" s="882"/>
      <c r="F75" s="882"/>
      <c r="G75" s="882"/>
      <c r="H75" s="882"/>
      <c r="I75" s="882"/>
      <c r="J75" s="882"/>
      <c r="K75" s="882"/>
      <c r="L75" s="882"/>
      <c r="M75" s="882"/>
      <c r="N75" s="882"/>
    </row>
    <row r="76" ht="15" spans="3:14">
      <c r="C76" s="537" t="s">
        <v>211</v>
      </c>
      <c r="D76" s="540"/>
      <c r="E76" s="877">
        <f>SUM(E60:E75)</f>
        <v>75</v>
      </c>
      <c r="F76" s="877">
        <f t="shared" ref="F76:N76" si="3">SUM(F60:F75)</f>
        <v>78</v>
      </c>
      <c r="G76" s="877">
        <f t="shared" si="3"/>
        <v>80</v>
      </c>
      <c r="H76" s="877">
        <f t="shared" si="3"/>
        <v>87</v>
      </c>
      <c r="I76" s="877">
        <f t="shared" si="3"/>
        <v>93</v>
      </c>
      <c r="J76" s="877">
        <f t="shared" si="3"/>
        <v>98</v>
      </c>
      <c r="K76" s="877">
        <f t="shared" si="3"/>
        <v>101</v>
      </c>
      <c r="L76" s="877">
        <f t="shared" si="3"/>
        <v>106.487038904491</v>
      </c>
      <c r="M76" s="877">
        <f t="shared" si="3"/>
        <v>112.659860223725</v>
      </c>
      <c r="N76" s="877">
        <f t="shared" si="3"/>
        <v>119.11062037765</v>
      </c>
    </row>
    <row r="77" ht="15" spans="3:14">
      <c r="C77" s="537" t="s">
        <v>223</v>
      </c>
      <c r="D77" s="540"/>
      <c r="E77" s="877">
        <f t="shared" ref="E77:N77" si="4">E39+E58+E76</f>
        <v>9676</v>
      </c>
      <c r="F77" s="877">
        <f t="shared" si="4"/>
        <v>10010</v>
      </c>
      <c r="G77" s="877">
        <f t="shared" si="4"/>
        <v>10685</v>
      </c>
      <c r="H77" s="877">
        <f t="shared" si="4"/>
        <v>11510</v>
      </c>
      <c r="I77" s="877">
        <f t="shared" si="4"/>
        <v>12452</v>
      </c>
      <c r="J77" s="877">
        <f t="shared" si="4"/>
        <v>12632</v>
      </c>
      <c r="K77" s="877">
        <f t="shared" si="4"/>
        <v>13661</v>
      </c>
      <c r="L77" s="877">
        <f t="shared" si="4"/>
        <v>14163.4023712228</v>
      </c>
      <c r="M77" s="877">
        <f t="shared" si="4"/>
        <v>14921.9558461329</v>
      </c>
      <c r="N77" s="877">
        <f t="shared" si="4"/>
        <v>15723.7831926673</v>
      </c>
    </row>
    <row r="78" ht="15" spans="3:14">
      <c r="C78" s="537" t="s">
        <v>224</v>
      </c>
      <c r="D78" s="540"/>
      <c r="E78" s="877">
        <f t="shared" ref="E78:N78" si="5">E77+E22</f>
        <v>8751364</v>
      </c>
      <c r="F78" s="877">
        <f t="shared" si="5"/>
        <v>9107326</v>
      </c>
      <c r="G78" s="877">
        <f t="shared" si="5"/>
        <v>9595317</v>
      </c>
      <c r="H78" s="877">
        <f t="shared" si="5"/>
        <v>10048068</v>
      </c>
      <c r="I78" s="877">
        <f t="shared" si="5"/>
        <v>10495549</v>
      </c>
      <c r="J78" s="877">
        <f t="shared" si="5"/>
        <v>10997295</v>
      </c>
      <c r="K78" s="877">
        <f t="shared" si="5"/>
        <v>11525883</v>
      </c>
      <c r="L78" s="877">
        <f t="shared" si="5"/>
        <v>12477942.1289962</v>
      </c>
      <c r="M78" s="877">
        <f t="shared" si="5"/>
        <v>13173462.1688024</v>
      </c>
      <c r="N78" s="877">
        <f t="shared" si="5"/>
        <v>13908296.1567967</v>
      </c>
    </row>
    <row r="80" ht="15" spans="4:5">
      <c r="D80" s="11"/>
      <c r="E80" s="11" t="s">
        <v>225</v>
      </c>
    </row>
    <row r="81" spans="4:6">
      <c r="D81" s="13"/>
      <c r="E81" s="13">
        <v>1</v>
      </c>
      <c r="F81" s="12" t="s">
        <v>226</v>
      </c>
    </row>
  </sheetData>
  <mergeCells count="17">
    <mergeCell ref="J5:N5"/>
    <mergeCell ref="C8:D8"/>
    <mergeCell ref="C22:D22"/>
    <mergeCell ref="C23:D23"/>
    <mergeCell ref="C39:D39"/>
    <mergeCell ref="C40:D40"/>
    <mergeCell ref="C58:D58"/>
    <mergeCell ref="C59:D59"/>
    <mergeCell ref="C76:D76"/>
    <mergeCell ref="C77:D77"/>
    <mergeCell ref="C78:D78"/>
    <mergeCell ref="E5:E6"/>
    <mergeCell ref="F5:F6"/>
    <mergeCell ref="G5:G6"/>
    <mergeCell ref="H5:H6"/>
    <mergeCell ref="I5:I6"/>
    <mergeCell ref="C5:D7"/>
  </mergeCells>
  <pageMargins left="0.75" right="0.75" top="1" bottom="1" header="0.5" footer="0.5"/>
  <pageSetup paperSize="9" scale="42" orientation="landscape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98"/>
  <sheetViews>
    <sheetView view="pageBreakPreview" zoomScale="70" zoomScaleNormal="100" topLeftCell="B11" workbookViewId="0">
      <selection activeCell="B2" sqref="$A1:$XFD2"/>
    </sheetView>
  </sheetViews>
  <sheetFormatPr defaultColWidth="9.14285714285714" defaultRowHeight="14.25"/>
  <cols>
    <col min="1" max="1" width="9.14285714285714" style="12" hidden="1" customWidth="1"/>
    <col min="2" max="2" width="67.1428571428571" style="12" customWidth="1"/>
    <col min="3" max="3" width="6.85714285714286" style="12" customWidth="1"/>
    <col min="4" max="4" width="7.42857142857143" style="12" customWidth="1"/>
    <col min="5" max="5" width="24.5714285714286" style="12" customWidth="1"/>
    <col min="6" max="6" width="17.1428571428571" style="12" customWidth="1"/>
    <col min="7" max="7" width="19.8571428571429" style="12" customWidth="1"/>
    <col min="8" max="8" width="17.8571428571429" style="12" customWidth="1"/>
    <col min="9" max="9" width="24.5714285714286" style="12" customWidth="1"/>
    <col min="10" max="10" width="17.1428571428571" style="12" customWidth="1"/>
    <col min="11" max="11" width="19.8571428571429" style="12" customWidth="1"/>
    <col min="12" max="12" width="10.4285714285714" style="12" customWidth="1"/>
    <col min="13" max="13" width="21.5714285714286" style="12" customWidth="1"/>
    <col min="14" max="16384" width="9.14285714285714" style="12"/>
  </cols>
  <sheetData>
    <row r="1" ht="15" spans="1:18">
      <c r="A1" s="3" t="s">
        <v>1189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</row>
    <row r="3" ht="15" spans="2:13">
      <c r="B3" s="36" t="s">
        <v>159</v>
      </c>
      <c r="C3" s="37"/>
      <c r="D3" s="38" t="s">
        <v>879</v>
      </c>
      <c r="E3" s="135" t="s">
        <v>1190</v>
      </c>
      <c r="F3" s="135"/>
      <c r="G3" s="135"/>
      <c r="H3" s="135"/>
      <c r="I3" s="135" t="s">
        <v>1191</v>
      </c>
      <c r="J3" s="135"/>
      <c r="K3" s="135"/>
      <c r="L3" s="135"/>
      <c r="M3" s="135"/>
    </row>
    <row r="4" ht="30" customHeight="1" spans="2:13">
      <c r="B4" s="40"/>
      <c r="C4" s="41"/>
      <c r="D4" s="38"/>
      <c r="E4" s="90" t="s">
        <v>1092</v>
      </c>
      <c r="F4" s="90" t="s">
        <v>1093</v>
      </c>
      <c r="G4" s="90" t="s">
        <v>1089</v>
      </c>
      <c r="H4" s="90" t="s">
        <v>97</v>
      </c>
      <c r="I4" s="90" t="s">
        <v>1092</v>
      </c>
      <c r="J4" s="90" t="s">
        <v>1093</v>
      </c>
      <c r="K4" s="90" t="s">
        <v>1089</v>
      </c>
      <c r="L4" s="90" t="s">
        <v>97</v>
      </c>
      <c r="M4" s="175" t="s">
        <v>1192</v>
      </c>
    </row>
    <row r="5" ht="27" customHeight="1" spans="2:13">
      <c r="B5" s="42"/>
      <c r="C5" s="43"/>
      <c r="D5" s="135" t="s">
        <v>1096</v>
      </c>
      <c r="E5" s="38" t="s">
        <v>550</v>
      </c>
      <c r="F5" s="38" t="s">
        <v>550</v>
      </c>
      <c r="G5" s="38" t="s">
        <v>550</v>
      </c>
      <c r="H5" s="38" t="s">
        <v>550</v>
      </c>
      <c r="I5" s="38" t="s">
        <v>550</v>
      </c>
      <c r="J5" s="38" t="s">
        <v>550</v>
      </c>
      <c r="K5" s="38" t="s">
        <v>550</v>
      </c>
      <c r="L5" s="38" t="s">
        <v>550</v>
      </c>
      <c r="M5" s="135" t="s">
        <v>754</v>
      </c>
    </row>
    <row r="6" ht="15" spans="2:13">
      <c r="B6" s="44" t="s">
        <v>890</v>
      </c>
      <c r="C6" s="45"/>
      <c r="E6" s="55"/>
      <c r="F6" s="55"/>
      <c r="G6" s="55"/>
      <c r="H6" s="55"/>
      <c r="I6" s="55"/>
      <c r="J6" s="55"/>
      <c r="K6" s="55"/>
      <c r="L6" s="141"/>
      <c r="M6" s="55"/>
    </row>
    <row r="7" ht="15" spans="2:13">
      <c r="B7" s="46" t="s">
        <v>1000</v>
      </c>
      <c r="C7" s="47"/>
      <c r="D7" s="150">
        <f>'[18]Rev_SP-12me'!AQ10</f>
        <v>12611.1428672529</v>
      </c>
      <c r="E7" s="150">
        <f>'[18]Rev_SP-12me'!AT10</f>
        <v>179.711140598826</v>
      </c>
      <c r="F7" s="150">
        <f>'[18]Rev_SP-12me'!AU10</f>
        <v>6059.35533170682</v>
      </c>
      <c r="G7" s="150">
        <f>'[18]Rev_SP-12me'!AW10</f>
        <v>760.158102</v>
      </c>
      <c r="H7" s="137">
        <f t="shared" ref="H7:H66" si="0">SUM(E7:G7)</f>
        <v>6999.22457430565</v>
      </c>
      <c r="I7" s="150">
        <f t="shared" ref="I7:K7" si="1">E7</f>
        <v>179.711140598826</v>
      </c>
      <c r="J7" s="150">
        <f t="shared" si="1"/>
        <v>6059.35533170682</v>
      </c>
      <c r="K7" s="150">
        <f t="shared" si="1"/>
        <v>760.158102</v>
      </c>
      <c r="L7" s="142">
        <f t="shared" ref="L7:L66" si="2">SUM(I7:K7)</f>
        <v>6999.22457430565</v>
      </c>
      <c r="M7" s="101">
        <f t="shared" ref="M7:M34" si="3">L7*10/D7</f>
        <v>5.55003194237089</v>
      </c>
    </row>
    <row r="8" spans="2:13">
      <c r="B8" s="50" t="s">
        <v>1001</v>
      </c>
      <c r="C8" s="47"/>
      <c r="D8" s="153">
        <f>'[18]Rev_SP-12me'!AQ11</f>
        <v>2523.21347447065</v>
      </c>
      <c r="E8" s="153">
        <f>'[18]Rev_SP-12me'!AT11</f>
        <v>76.5673576200467</v>
      </c>
      <c r="F8" s="153">
        <f>'[18]Rev_SP-12me'!AU11</f>
        <v>567.477897363406</v>
      </c>
      <c r="G8" s="153">
        <f>'[18]Rev_SP-12me'!AW11</f>
        <v>272.577252</v>
      </c>
      <c r="H8" s="101">
        <f t="shared" si="0"/>
        <v>916.622506983453</v>
      </c>
      <c r="I8" s="153">
        <f t="shared" ref="I8:K8" si="4">E8</f>
        <v>76.5673576200467</v>
      </c>
      <c r="J8" s="153">
        <f t="shared" si="4"/>
        <v>567.477897363406</v>
      </c>
      <c r="K8" s="153">
        <f t="shared" si="4"/>
        <v>272.577252</v>
      </c>
      <c r="L8" s="143">
        <f t="shared" si="2"/>
        <v>916.622506983453</v>
      </c>
      <c r="M8" s="101">
        <f t="shared" si="3"/>
        <v>3.63275844972155</v>
      </c>
    </row>
    <row r="9" spans="2:13">
      <c r="B9" s="52" t="s">
        <v>1002</v>
      </c>
      <c r="C9" s="47"/>
      <c r="D9" s="174">
        <f>'[18]Rev_SP-12me'!AQ12</f>
        <v>1867.11547584778</v>
      </c>
      <c r="E9" s="174">
        <f>'[18]Rev_SP-12me'!AT12</f>
        <v>39.5643766936629</v>
      </c>
      <c r="F9" s="174">
        <f>'[18]Rev_SP-12me'!AU12</f>
        <v>364.087517790317</v>
      </c>
      <c r="G9" s="174">
        <f>'[18]Rev_SP-12me'!AW12</f>
        <v>108.119952</v>
      </c>
      <c r="H9" s="101">
        <f t="shared" si="0"/>
        <v>511.77184648398</v>
      </c>
      <c r="I9" s="174">
        <f t="shared" ref="I9:K9" si="5">E9</f>
        <v>39.5643766936629</v>
      </c>
      <c r="J9" s="174">
        <f t="shared" si="5"/>
        <v>364.087517790317</v>
      </c>
      <c r="K9" s="174">
        <f t="shared" si="5"/>
        <v>108.119952</v>
      </c>
      <c r="L9" s="143">
        <f t="shared" si="2"/>
        <v>511.77184648398</v>
      </c>
      <c r="M9" s="101">
        <f t="shared" si="3"/>
        <v>2.74097586948448</v>
      </c>
    </row>
    <row r="10" spans="2:13">
      <c r="B10" s="52" t="s">
        <v>1004</v>
      </c>
      <c r="C10" s="47"/>
      <c r="D10" s="174">
        <f>'[18]Rev_SP-12me'!AQ13</f>
        <v>656.097998622869</v>
      </c>
      <c r="E10" s="174">
        <f>'[18]Rev_SP-12me'!AT13</f>
        <v>37.0029809263839</v>
      </c>
      <c r="F10" s="174">
        <f>'[18]Rev_SP-12me'!AU13</f>
        <v>203.390379573089</v>
      </c>
      <c r="G10" s="174">
        <f>'[18]Rev_SP-12me'!AW13</f>
        <v>164.4573</v>
      </c>
      <c r="H10" s="101">
        <f t="shared" si="0"/>
        <v>404.850660499473</v>
      </c>
      <c r="I10" s="174">
        <f t="shared" ref="I10:K10" si="6">E10</f>
        <v>37.0029809263839</v>
      </c>
      <c r="J10" s="174">
        <f t="shared" si="6"/>
        <v>203.390379573089</v>
      </c>
      <c r="K10" s="174">
        <f t="shared" si="6"/>
        <v>164.4573</v>
      </c>
      <c r="L10" s="143">
        <f t="shared" si="2"/>
        <v>404.850660499473</v>
      </c>
      <c r="M10" s="101">
        <f t="shared" si="3"/>
        <v>6.17058215920858</v>
      </c>
    </row>
    <row r="11" spans="2:13">
      <c r="B11" s="50" t="s">
        <v>1005</v>
      </c>
      <c r="C11" s="47"/>
      <c r="D11" s="153">
        <f>'[18]Rev_SP-12me'!AQ14</f>
        <v>4332.35968698975</v>
      </c>
      <c r="E11" s="153">
        <f>'[18]Rev_SP-12me'!AT14</f>
        <v>53.1853398015827</v>
      </c>
      <c r="F11" s="153">
        <f>'[18]Rev_SP-12me'!AU14</f>
        <v>1652.51545925465</v>
      </c>
      <c r="G11" s="153">
        <f>'[18]Rev_SP-12me'!AW14</f>
        <v>269.656182</v>
      </c>
      <c r="H11" s="101">
        <f t="shared" si="0"/>
        <v>1975.35698105623</v>
      </c>
      <c r="I11" s="153">
        <f t="shared" ref="I11:K11" si="7">E11</f>
        <v>53.1853398015827</v>
      </c>
      <c r="J11" s="153">
        <f t="shared" si="7"/>
        <v>1652.51545925465</v>
      </c>
      <c r="K11" s="153">
        <f t="shared" si="7"/>
        <v>269.656182</v>
      </c>
      <c r="L11" s="143">
        <f t="shared" si="2"/>
        <v>1975.35698105623</v>
      </c>
      <c r="M11" s="101">
        <f t="shared" si="3"/>
        <v>4.55954058244127</v>
      </c>
    </row>
    <row r="12" spans="2:13">
      <c r="B12" s="52" t="s">
        <v>1006</v>
      </c>
      <c r="C12" s="47"/>
      <c r="D12" s="174">
        <f>'[18]Rev_SP-12me'!AQ15</f>
        <v>3050.12278928877</v>
      </c>
      <c r="E12" s="174">
        <f>'[18]Rev_SP-12me'!AT15</f>
        <v>0</v>
      </c>
      <c r="F12" s="174">
        <f>'[18]Rev_SP-12me'!AU15</f>
        <v>1037.04174835818</v>
      </c>
      <c r="G12" s="174">
        <f>'[18]Rev_SP-12me'!AW15</f>
        <v>0</v>
      </c>
      <c r="H12" s="101">
        <f t="shared" si="0"/>
        <v>1037.04174835818</v>
      </c>
      <c r="I12" s="174">
        <f t="shared" ref="I12:K12" si="8">E12</f>
        <v>0</v>
      </c>
      <c r="J12" s="174">
        <f t="shared" si="8"/>
        <v>1037.04174835818</v>
      </c>
      <c r="K12" s="174">
        <f t="shared" si="8"/>
        <v>0</v>
      </c>
      <c r="L12" s="143">
        <f t="shared" si="2"/>
        <v>1037.04174835818</v>
      </c>
      <c r="M12" s="101">
        <f t="shared" si="3"/>
        <v>3.39999999999999</v>
      </c>
    </row>
    <row r="13" spans="2:13">
      <c r="B13" s="52" t="s">
        <v>1007</v>
      </c>
      <c r="C13" s="47"/>
      <c r="D13" s="174">
        <f>'[18]Rev_SP-12me'!AQ16</f>
        <v>1282.23689770098</v>
      </c>
      <c r="E13" s="174">
        <f>'[18]Rev_SP-12me'!AT16</f>
        <v>53.1853398015827</v>
      </c>
      <c r="F13" s="174">
        <f>'[18]Rev_SP-12me'!AU16</f>
        <v>615.473710896472</v>
      </c>
      <c r="G13" s="174">
        <f>'[18]Rev_SP-12me'!AW16</f>
        <v>269.656182</v>
      </c>
      <c r="H13" s="101">
        <f t="shared" si="0"/>
        <v>938.315232698055</v>
      </c>
      <c r="I13" s="174">
        <f t="shared" ref="I13:K13" si="9">E13</f>
        <v>53.1853398015827</v>
      </c>
      <c r="J13" s="174">
        <f t="shared" si="9"/>
        <v>615.473710896472</v>
      </c>
      <c r="K13" s="174">
        <f t="shared" si="9"/>
        <v>269.656182</v>
      </c>
      <c r="L13" s="143">
        <f t="shared" si="2"/>
        <v>938.315232698055</v>
      </c>
      <c r="M13" s="101">
        <f t="shared" si="3"/>
        <v>7.31779934254295</v>
      </c>
    </row>
    <row r="14" spans="2:13">
      <c r="B14" s="50" t="s">
        <v>1008</v>
      </c>
      <c r="C14" s="47"/>
      <c r="D14" s="153">
        <f>'[18]Rev_SP-12me'!AQ17</f>
        <v>5755.56970579253</v>
      </c>
      <c r="E14" s="153">
        <f>'[18]Rev_SP-12me'!AT17</f>
        <v>49.9584431771968</v>
      </c>
      <c r="F14" s="153">
        <f>'[18]Rev_SP-12me'!AU17</f>
        <v>3839.36197508876</v>
      </c>
      <c r="G14" s="153">
        <f>'[18]Rev_SP-12me'!AW17</f>
        <v>217.924668</v>
      </c>
      <c r="H14" s="101">
        <f t="shared" si="0"/>
        <v>4107.24508626596</v>
      </c>
      <c r="I14" s="153">
        <f t="shared" ref="I14:K14" si="10">E14</f>
        <v>49.9584431771968</v>
      </c>
      <c r="J14" s="153">
        <f t="shared" si="10"/>
        <v>3839.36197508876</v>
      </c>
      <c r="K14" s="153">
        <f t="shared" si="10"/>
        <v>217.924668</v>
      </c>
      <c r="L14" s="143">
        <f t="shared" si="2"/>
        <v>4107.24508626596</v>
      </c>
      <c r="M14" s="101">
        <f t="shared" si="3"/>
        <v>7.13612256686308</v>
      </c>
    </row>
    <row r="15" spans="2:13">
      <c r="B15" s="52" t="s">
        <v>1009</v>
      </c>
      <c r="C15" s="47"/>
      <c r="D15" s="174">
        <f>'[18]Rev_SP-12me'!AQ18</f>
        <v>3248.76208837518</v>
      </c>
      <c r="E15" s="174">
        <f>'[18]Rev_SP-12me'!AT18</f>
        <v>0</v>
      </c>
      <c r="F15" s="174">
        <f>'[18]Rev_SP-12me'!AU18</f>
        <v>1656.86866507134</v>
      </c>
      <c r="G15" s="174">
        <f>'[18]Rev_SP-12me'!AW18</f>
        <v>0</v>
      </c>
      <c r="H15" s="101">
        <f t="shared" si="0"/>
        <v>1656.86866507134</v>
      </c>
      <c r="I15" s="174">
        <f t="shared" ref="I15:K15" si="11">E15</f>
        <v>0</v>
      </c>
      <c r="J15" s="174">
        <f t="shared" si="11"/>
        <v>1656.86866507134</v>
      </c>
      <c r="K15" s="174">
        <f t="shared" si="11"/>
        <v>0</v>
      </c>
      <c r="L15" s="143">
        <f t="shared" si="2"/>
        <v>1656.86866507134</v>
      </c>
      <c r="M15" s="101">
        <f t="shared" si="3"/>
        <v>5.09999999999999</v>
      </c>
    </row>
    <row r="16" spans="2:13">
      <c r="B16" s="52" t="s">
        <v>1010</v>
      </c>
      <c r="C16" s="47"/>
      <c r="D16" s="174">
        <f>'[18]Rev_SP-12me'!AQ19</f>
        <v>1066.51795368837</v>
      </c>
      <c r="E16" s="174">
        <f>'[18]Rev_SP-12me'!AT19</f>
        <v>19.0371957604043</v>
      </c>
      <c r="F16" s="174">
        <f>'[18]Rev_SP-12me'!AU19</f>
        <v>821.218824340045</v>
      </c>
      <c r="G16" s="174">
        <f>'[18]Rev_SP-12me'!AW19</f>
        <v>106.22658</v>
      </c>
      <c r="H16" s="101">
        <f t="shared" si="0"/>
        <v>946.482600100449</v>
      </c>
      <c r="I16" s="174">
        <f t="shared" ref="I16:K16" si="12">E16</f>
        <v>19.0371957604043</v>
      </c>
      <c r="J16" s="174">
        <f t="shared" si="12"/>
        <v>821.218824340045</v>
      </c>
      <c r="K16" s="174">
        <f t="shared" si="12"/>
        <v>106.22658</v>
      </c>
      <c r="L16" s="143">
        <f t="shared" si="2"/>
        <v>946.482600100449</v>
      </c>
      <c r="M16" s="101">
        <f t="shared" si="3"/>
        <v>8.87451164630845</v>
      </c>
    </row>
    <row r="17" spans="2:13">
      <c r="B17" s="52" t="s">
        <v>1011</v>
      </c>
      <c r="C17" s="47"/>
      <c r="D17" s="174">
        <f>'[18]Rev_SP-12me'!AQ20</f>
        <v>489.086662975253</v>
      </c>
      <c r="E17" s="174">
        <f>'[18]Rev_SP-12me'!AT20</f>
        <v>6.66064586111938</v>
      </c>
      <c r="F17" s="174">
        <f>'[18]Rev_SP-12me'!AU20</f>
        <v>440.177996677728</v>
      </c>
      <c r="G17" s="174">
        <f>'[18]Rev_SP-12me'!AW20</f>
        <v>50.227056</v>
      </c>
      <c r="H17" s="101">
        <f t="shared" si="0"/>
        <v>497.065698538847</v>
      </c>
      <c r="I17" s="174">
        <f t="shared" ref="I17:K17" si="13">E17</f>
        <v>6.66064586111938</v>
      </c>
      <c r="J17" s="174">
        <f t="shared" si="13"/>
        <v>440.177996677728</v>
      </c>
      <c r="K17" s="174">
        <f t="shared" si="13"/>
        <v>50.227056</v>
      </c>
      <c r="L17" s="143">
        <f t="shared" si="2"/>
        <v>497.065698538847</v>
      </c>
      <c r="M17" s="101">
        <f t="shared" si="3"/>
        <v>10.1631415486788</v>
      </c>
    </row>
    <row r="18" spans="2:13">
      <c r="B18" s="52" t="s">
        <v>1012</v>
      </c>
      <c r="C18" s="47"/>
      <c r="D18" s="174">
        <f>'[18]Rev_SP-12me'!AQ21</f>
        <v>602.130235081579</v>
      </c>
      <c r="E18" s="174">
        <f>'[18]Rev_SP-12me'!AT21</f>
        <v>6.17962945266724</v>
      </c>
      <c r="F18" s="174">
        <f>'[18]Rev_SP-12me'!AU21</f>
        <v>572.0237233275</v>
      </c>
      <c r="G18" s="174">
        <f>'[18]Rev_SP-12me'!AW21</f>
        <v>50.723736</v>
      </c>
      <c r="H18" s="101">
        <f t="shared" si="0"/>
        <v>628.927088780167</v>
      </c>
      <c r="I18" s="174">
        <f t="shared" ref="I18:K18" si="14">E18</f>
        <v>6.17962945266724</v>
      </c>
      <c r="J18" s="174">
        <f t="shared" si="14"/>
        <v>572.0237233275</v>
      </c>
      <c r="K18" s="174">
        <f t="shared" si="14"/>
        <v>50.723736</v>
      </c>
      <c r="L18" s="143">
        <f t="shared" si="2"/>
        <v>628.927088780167</v>
      </c>
      <c r="M18" s="101">
        <f t="shared" si="3"/>
        <v>10.445034182596</v>
      </c>
    </row>
    <row r="19" spans="2:13">
      <c r="B19" s="52" t="s">
        <v>1013</v>
      </c>
      <c r="C19" s="47"/>
      <c r="D19" s="174">
        <f>'[18]Rev_SP-12me'!AQ22</f>
        <v>349.072765672148</v>
      </c>
      <c r="E19" s="174">
        <f>'[18]Rev_SP-12me'!AT22</f>
        <v>18.0809721030059</v>
      </c>
      <c r="F19" s="174">
        <f>'[18]Rev_SP-12me'!AU22</f>
        <v>349.072765672148</v>
      </c>
      <c r="G19" s="174">
        <f>'[18]Rev_SP-12me'!AW22</f>
        <v>10.747296</v>
      </c>
      <c r="H19" s="101">
        <f t="shared" si="0"/>
        <v>377.901033775154</v>
      </c>
      <c r="I19" s="174">
        <f t="shared" ref="I19:K19" si="15">E19</f>
        <v>18.0809721030059</v>
      </c>
      <c r="J19" s="174">
        <f t="shared" si="15"/>
        <v>349.072765672148</v>
      </c>
      <c r="K19" s="174">
        <f t="shared" si="15"/>
        <v>10.747296</v>
      </c>
      <c r="L19" s="143">
        <f t="shared" si="2"/>
        <v>377.901033775154</v>
      </c>
      <c r="M19" s="101">
        <f t="shared" si="3"/>
        <v>10.8258526856856</v>
      </c>
    </row>
    <row r="20" ht="15" spans="2:13">
      <c r="B20" s="54" t="s">
        <v>1014</v>
      </c>
      <c r="C20" s="55"/>
      <c r="D20" s="150">
        <f>'[18]Rev_SP-12me'!AQ23</f>
        <v>4403.06073642308</v>
      </c>
      <c r="E20" s="150">
        <f>'[18]Rev_SP-12me'!AT23</f>
        <v>397.488727609221</v>
      </c>
      <c r="F20" s="150">
        <f>'[18]Rev_SP-12me'!AU23</f>
        <v>4503.76517459675</v>
      </c>
      <c r="G20" s="150">
        <f>'[18]Rev_SP-12me'!AW23</f>
        <v>122.027607</v>
      </c>
      <c r="H20" s="137">
        <f t="shared" si="0"/>
        <v>5023.28150920597</v>
      </c>
      <c r="I20" s="150">
        <f t="shared" ref="I20:K20" si="16">E20</f>
        <v>397.488727609221</v>
      </c>
      <c r="J20" s="150">
        <f t="shared" si="16"/>
        <v>4503.76517459675</v>
      </c>
      <c r="K20" s="150">
        <f t="shared" si="16"/>
        <v>122.027607</v>
      </c>
      <c r="L20" s="142">
        <f t="shared" si="2"/>
        <v>5023.28150920597</v>
      </c>
      <c r="M20" s="101">
        <f t="shared" si="3"/>
        <v>11.4086128034807</v>
      </c>
    </row>
    <row r="21" spans="2:13">
      <c r="B21" s="56" t="s">
        <v>1015</v>
      </c>
      <c r="C21" s="55"/>
      <c r="D21" s="153">
        <f>'[18]Rev_SP-12me'!AQ24</f>
        <v>107.187322987852</v>
      </c>
      <c r="E21" s="153">
        <f>'[18]Rev_SP-12me'!AT24</f>
        <v>47.3775006818844</v>
      </c>
      <c r="F21" s="153">
        <f>'[18]Rev_SP-12me'!AU24</f>
        <v>75.0311260914961</v>
      </c>
      <c r="G21" s="153">
        <f>'[18]Rev_SP-12me'!AW24</f>
        <v>38.23341</v>
      </c>
      <c r="H21" s="101">
        <f t="shared" si="0"/>
        <v>160.642036773381</v>
      </c>
      <c r="I21" s="153">
        <f t="shared" ref="I21:K21" si="17">E21</f>
        <v>47.3775006818844</v>
      </c>
      <c r="J21" s="153">
        <f t="shared" si="17"/>
        <v>75.0311260914961</v>
      </c>
      <c r="K21" s="153">
        <f t="shared" si="17"/>
        <v>38.23341</v>
      </c>
      <c r="L21" s="143">
        <f t="shared" si="2"/>
        <v>160.642036773381</v>
      </c>
      <c r="M21" s="101">
        <f t="shared" si="3"/>
        <v>14.9870369270802</v>
      </c>
    </row>
    <row r="22" spans="2:13">
      <c r="B22" s="140" t="s">
        <v>1002</v>
      </c>
      <c r="C22" s="55"/>
      <c r="D22" s="174">
        <f>'[18]Rev_SP-12me'!AQ25</f>
        <v>107.187322987852</v>
      </c>
      <c r="E22" s="174">
        <f>'[18]Rev_SP-12me'!AT25</f>
        <v>47.3775006818844</v>
      </c>
      <c r="F22" s="174">
        <f>'[18]Rev_SP-12me'!AU25</f>
        <v>75.0311260914961</v>
      </c>
      <c r="G22" s="174">
        <f>'[18]Rev_SP-12me'!AW25</f>
        <v>38.23341</v>
      </c>
      <c r="H22" s="101">
        <f t="shared" si="0"/>
        <v>160.642036773381</v>
      </c>
      <c r="I22" s="153">
        <f t="shared" ref="I22:K22" si="18">E22</f>
        <v>47.3775006818844</v>
      </c>
      <c r="J22" s="153">
        <f t="shared" si="18"/>
        <v>75.0311260914961</v>
      </c>
      <c r="K22" s="153">
        <f t="shared" si="18"/>
        <v>38.23341</v>
      </c>
      <c r="L22" s="143">
        <f t="shared" si="2"/>
        <v>160.642036773381</v>
      </c>
      <c r="M22" s="101">
        <f t="shared" si="3"/>
        <v>14.9870369270802</v>
      </c>
    </row>
    <row r="23" spans="2:13">
      <c r="B23" s="56" t="s">
        <v>1016</v>
      </c>
      <c r="C23" s="55"/>
      <c r="D23" s="153">
        <f>'[18]Rev_SP-12me'!AQ26</f>
        <v>4284.00411599089</v>
      </c>
      <c r="E23" s="153">
        <f>'[18]Rev_SP-12me'!AT26</f>
        <v>347.632517119324</v>
      </c>
      <c r="F23" s="153">
        <f>'[18]Rev_SP-12me'!AU26</f>
        <v>4417.50921731783</v>
      </c>
      <c r="G23" s="153">
        <f>'[18]Rev_SP-12me'!AW26</f>
        <v>82.517664</v>
      </c>
      <c r="H23" s="101">
        <f t="shared" si="0"/>
        <v>4847.65939843715</v>
      </c>
      <c r="I23" s="153">
        <f t="shared" ref="I23:K23" si="19">E23</f>
        <v>347.632517119324</v>
      </c>
      <c r="J23" s="153">
        <f t="shared" si="19"/>
        <v>4417.50921731783</v>
      </c>
      <c r="K23" s="153">
        <f t="shared" si="19"/>
        <v>82.517664</v>
      </c>
      <c r="L23" s="143">
        <f t="shared" si="2"/>
        <v>4847.65939843715</v>
      </c>
      <c r="M23" s="101">
        <f t="shared" si="3"/>
        <v>11.3157206836994</v>
      </c>
    </row>
    <row r="24" spans="2:13">
      <c r="B24" s="58" t="s">
        <v>1006</v>
      </c>
      <c r="C24" s="55"/>
      <c r="D24" s="174">
        <f>'[18]Rev_SP-12me'!AQ27</f>
        <v>763.670011998976</v>
      </c>
      <c r="E24" s="174">
        <f>'[18]Rev_SP-12me'!AT27</f>
        <v>32.2766674190656</v>
      </c>
      <c r="F24" s="174">
        <f>'[18]Rev_SP-12me'!AU27</f>
        <v>649.119510199129</v>
      </c>
      <c r="G24" s="174">
        <f>'[18]Rev_SP-12me'!AW27</f>
        <v>21.99069</v>
      </c>
      <c r="H24" s="101">
        <f t="shared" si="0"/>
        <v>703.386867618195</v>
      </c>
      <c r="I24" s="174">
        <f t="shared" ref="I24:K24" si="20">E24</f>
        <v>32.2766674190656</v>
      </c>
      <c r="J24" s="174">
        <f t="shared" si="20"/>
        <v>649.119510199129</v>
      </c>
      <c r="K24" s="174">
        <f t="shared" si="20"/>
        <v>21.99069</v>
      </c>
      <c r="L24" s="143">
        <f t="shared" si="2"/>
        <v>703.386867618195</v>
      </c>
      <c r="M24" s="101">
        <f t="shared" si="3"/>
        <v>9.21061265424074</v>
      </c>
    </row>
    <row r="25" spans="2:13">
      <c r="B25" s="58" t="s">
        <v>1017</v>
      </c>
      <c r="C25" s="55"/>
      <c r="D25" s="174">
        <f>'[18]Rev_SP-12me'!AQ28</f>
        <v>731.145911717307</v>
      </c>
      <c r="E25" s="174">
        <f>'[18]Rev_SP-12me'!AT28</f>
        <v>58.4332838450223</v>
      </c>
      <c r="F25" s="174">
        <f>'[18]Rev_SP-12me'!AU28</f>
        <v>723.834452600134</v>
      </c>
      <c r="G25" s="174">
        <f>'[18]Rev_SP-12me'!AW28</f>
        <v>29.689254</v>
      </c>
      <c r="H25" s="101">
        <f t="shared" si="0"/>
        <v>811.956990445156</v>
      </c>
      <c r="I25" s="174">
        <f t="shared" ref="I25:K25" si="21">E25</f>
        <v>58.4332838450223</v>
      </c>
      <c r="J25" s="174">
        <f t="shared" si="21"/>
        <v>723.834452600134</v>
      </c>
      <c r="K25" s="174">
        <f t="shared" si="21"/>
        <v>29.689254</v>
      </c>
      <c r="L25" s="143">
        <f t="shared" si="2"/>
        <v>811.956990445156</v>
      </c>
      <c r="M25" s="101">
        <f t="shared" si="3"/>
        <v>11.1052660957652</v>
      </c>
    </row>
    <row r="26" spans="2:13">
      <c r="B26" s="58" t="s">
        <v>1018</v>
      </c>
      <c r="C26" s="55"/>
      <c r="D26" s="174">
        <f>'[18]Rev_SP-12me'!AQ29</f>
        <v>392.529283058289</v>
      </c>
      <c r="E26" s="174">
        <f>'[18]Rev_SP-12me'!AT29</f>
        <v>39.0264609575675</v>
      </c>
      <c r="F26" s="174">
        <f>'[18]Rev_SP-12me'!AU29</f>
        <v>408.23045438062</v>
      </c>
      <c r="G26" s="174">
        <f>'[18]Rev_SP-12me'!AW29</f>
        <v>8.866872</v>
      </c>
      <c r="H26" s="101">
        <f t="shared" si="0"/>
        <v>456.123787338188</v>
      </c>
      <c r="I26" s="174">
        <f t="shared" ref="I26:K26" si="22">E26</f>
        <v>39.0264609575675</v>
      </c>
      <c r="J26" s="174">
        <f t="shared" si="22"/>
        <v>408.23045438062</v>
      </c>
      <c r="K26" s="174">
        <f t="shared" si="22"/>
        <v>8.866872</v>
      </c>
      <c r="L26" s="143">
        <f t="shared" si="2"/>
        <v>456.123787338188</v>
      </c>
      <c r="M26" s="101">
        <f t="shared" si="3"/>
        <v>11.6201212756516</v>
      </c>
    </row>
    <row r="27" spans="2:13">
      <c r="B27" s="58" t="s">
        <v>1019</v>
      </c>
      <c r="C27" s="55"/>
      <c r="D27" s="174">
        <f>'[18]Rev_SP-12me'!AQ30</f>
        <v>2396.65890921632</v>
      </c>
      <c r="E27" s="174">
        <f>'[18]Rev_SP-12me'!AT30</f>
        <v>217.896104897668</v>
      </c>
      <c r="F27" s="174">
        <f>'[18]Rev_SP-12me'!AU30</f>
        <v>2636.32480013795</v>
      </c>
      <c r="G27" s="174">
        <f>'[18]Rev_SP-12me'!AW30</f>
        <v>21.970848</v>
      </c>
      <c r="H27" s="101">
        <f t="shared" si="0"/>
        <v>2876.19175303562</v>
      </c>
      <c r="I27" s="174">
        <f t="shared" ref="I27:K27" si="23">E27</f>
        <v>217.896104897668</v>
      </c>
      <c r="J27" s="174">
        <f t="shared" si="23"/>
        <v>2636.32480013795</v>
      </c>
      <c r="K27" s="174">
        <f t="shared" si="23"/>
        <v>21.970848</v>
      </c>
      <c r="L27" s="143">
        <f t="shared" si="2"/>
        <v>2876.19175303562</v>
      </c>
      <c r="M27" s="101">
        <f t="shared" si="3"/>
        <v>12.0008389261203</v>
      </c>
    </row>
    <row r="28" spans="2:13">
      <c r="B28" s="56" t="s">
        <v>1020</v>
      </c>
      <c r="C28" s="55"/>
      <c r="D28" s="153">
        <f>'[18]Rev_SP-12me'!AQ31</f>
        <v>6.01010412127545</v>
      </c>
      <c r="E28" s="153">
        <f>'[18]Rev_SP-12me'!AT31</f>
        <v>1.395570403019</v>
      </c>
      <c r="F28" s="153">
        <f>'[18]Rev_SP-12me'!AU31</f>
        <v>7.81313535765808</v>
      </c>
      <c r="G28" s="153">
        <f>'[18]Rev_SP-12me'!AW31</f>
        <v>0.48144</v>
      </c>
      <c r="H28" s="101">
        <f t="shared" si="0"/>
        <v>9.69014576067708</v>
      </c>
      <c r="I28" s="153">
        <f t="shared" ref="I28:K28" si="24">E28</f>
        <v>1.395570403019</v>
      </c>
      <c r="J28" s="153">
        <f t="shared" si="24"/>
        <v>7.81313535765808</v>
      </c>
      <c r="K28" s="153">
        <f t="shared" si="24"/>
        <v>0.48144</v>
      </c>
      <c r="L28" s="143">
        <f t="shared" si="2"/>
        <v>9.69014576067708</v>
      </c>
      <c r="M28" s="101">
        <f t="shared" si="3"/>
        <v>16.123091322785</v>
      </c>
    </row>
    <row r="29" spans="2:13">
      <c r="B29" s="56" t="s">
        <v>1021</v>
      </c>
      <c r="C29" s="55"/>
      <c r="D29" s="153">
        <f>'[18]Rev_SP-12me'!AQ32</f>
        <v>5.85919332306855</v>
      </c>
      <c r="E29" s="153">
        <f>'[18]Rev_SP-12me'!AT32</f>
        <v>1.08313940499379</v>
      </c>
      <c r="F29" s="153">
        <f>'[18]Rev_SP-12me'!AU32</f>
        <v>3.41169582976564</v>
      </c>
      <c r="G29" s="153">
        <f>'[18]Rev_SP-12me'!AW32</f>
        <v>0.795093</v>
      </c>
      <c r="H29" s="101">
        <f t="shared" si="0"/>
        <v>5.28992823475943</v>
      </c>
      <c r="I29" s="153">
        <f t="shared" ref="I29:K29" si="25">E29</f>
        <v>1.08313940499379</v>
      </c>
      <c r="J29" s="153">
        <f t="shared" si="25"/>
        <v>3.41169582976564</v>
      </c>
      <c r="K29" s="153">
        <f t="shared" si="25"/>
        <v>0.795093</v>
      </c>
      <c r="L29" s="143">
        <f t="shared" si="2"/>
        <v>5.28992823475943</v>
      </c>
      <c r="M29" s="101">
        <f t="shared" si="3"/>
        <v>9.02842412441345</v>
      </c>
    </row>
    <row r="30" spans="2:13">
      <c r="B30" s="58" t="s">
        <v>1002</v>
      </c>
      <c r="C30" s="55"/>
      <c r="D30" s="174">
        <f>'[18]Rev_SP-12me'!AQ33</f>
        <v>3.89201528713353</v>
      </c>
      <c r="E30" s="174">
        <f>'[18]Rev_SP-12me'!AT33</f>
        <v>0.821272037170574</v>
      </c>
      <c r="F30" s="174">
        <f>'[18]Rev_SP-12me'!AU33</f>
        <v>2.06276810218077</v>
      </c>
      <c r="G30" s="174">
        <f>'[18]Rev_SP-12me'!AW33</f>
        <v>0.569214</v>
      </c>
      <c r="H30" s="101">
        <f t="shared" si="0"/>
        <v>3.45325413935134</v>
      </c>
      <c r="I30" s="174">
        <f t="shared" ref="I30:K30" si="26">E30</f>
        <v>0.821272037170574</v>
      </c>
      <c r="J30" s="174">
        <f t="shared" si="26"/>
        <v>2.06276810218077</v>
      </c>
      <c r="K30" s="174">
        <f t="shared" si="26"/>
        <v>0.569214</v>
      </c>
      <c r="L30" s="143">
        <f t="shared" si="2"/>
        <v>3.45325413935134</v>
      </c>
      <c r="M30" s="101">
        <f t="shared" si="3"/>
        <v>8.87266334941522</v>
      </c>
    </row>
    <row r="31" spans="2:13">
      <c r="B31" s="58" t="s">
        <v>1022</v>
      </c>
      <c r="C31" s="55"/>
      <c r="D31" s="174">
        <f>'[18]Rev_SP-12me'!AQ34</f>
        <v>1.40506443740441</v>
      </c>
      <c r="E31" s="174">
        <f>'[18]Rev_SP-12me'!AT34</f>
        <v>0.174068227668193</v>
      </c>
      <c r="F31" s="174">
        <f>'[18]Rev_SP-12me'!AU34</f>
        <v>0.927342528686913</v>
      </c>
      <c r="G31" s="174">
        <f>'[18]Rev_SP-12me'!AW34</f>
        <v>0.147411</v>
      </c>
      <c r="H31" s="101">
        <f t="shared" si="0"/>
        <v>1.24882175635511</v>
      </c>
      <c r="I31" s="174">
        <f t="shared" ref="I31:K31" si="27">E31</f>
        <v>0.174068227668193</v>
      </c>
      <c r="J31" s="174">
        <f t="shared" si="27"/>
        <v>0.927342528686913</v>
      </c>
      <c r="K31" s="174">
        <f t="shared" si="27"/>
        <v>0.147411</v>
      </c>
      <c r="L31" s="143">
        <f t="shared" si="2"/>
        <v>1.24882175635511</v>
      </c>
      <c r="M31" s="101">
        <f t="shared" si="3"/>
        <v>8.88800344745802</v>
      </c>
    </row>
    <row r="32" spans="2:13">
      <c r="B32" s="58" t="s">
        <v>1023</v>
      </c>
      <c r="C32" s="55"/>
      <c r="D32" s="174">
        <f>'[18]Rev_SP-12me'!AQ35</f>
        <v>0.562113598530601</v>
      </c>
      <c r="E32" s="174">
        <f>'[18]Rev_SP-12me'!AT35</f>
        <v>0.0877991401550243</v>
      </c>
      <c r="F32" s="174">
        <f>'[18]Rev_SP-12me'!AU35</f>
        <v>0.421585198897951</v>
      </c>
      <c r="G32" s="174">
        <f>'[18]Rev_SP-12me'!AW35</f>
        <v>0.078468</v>
      </c>
      <c r="H32" s="101">
        <f t="shared" si="0"/>
        <v>0.587852339052975</v>
      </c>
      <c r="I32" s="174">
        <f t="shared" ref="I32:K32" si="28">E32</f>
        <v>0.0877991401550243</v>
      </c>
      <c r="J32" s="174">
        <f t="shared" si="28"/>
        <v>0.421585198897951</v>
      </c>
      <c r="K32" s="174">
        <f t="shared" si="28"/>
        <v>0.078468</v>
      </c>
      <c r="L32" s="143">
        <f t="shared" si="2"/>
        <v>0.587852339052975</v>
      </c>
      <c r="M32" s="101">
        <f t="shared" si="3"/>
        <v>10.457892151865</v>
      </c>
    </row>
    <row r="33" ht="15" spans="2:13">
      <c r="B33" s="54" t="s">
        <v>1024</v>
      </c>
      <c r="C33" s="55"/>
      <c r="D33" s="150">
        <f>'[18]Rev_SP-12me'!AQ36</f>
        <v>1048.4454732488</v>
      </c>
      <c r="E33" s="150">
        <f>'[18]Rev_SP-12me'!AT36</f>
        <v>136.303791151216</v>
      </c>
      <c r="F33" s="150">
        <f>'[18]Rev_SP-12me'!AU36</f>
        <v>804.392938083021</v>
      </c>
      <c r="G33" s="150">
        <f>'[18]Rev_SP-12me'!AW36</f>
        <v>20.22537165</v>
      </c>
      <c r="H33" s="137">
        <f t="shared" si="0"/>
        <v>960.922100884237</v>
      </c>
      <c r="I33" s="150">
        <f t="shared" ref="I33:K33" si="29">E33</f>
        <v>136.303791151216</v>
      </c>
      <c r="J33" s="150">
        <f t="shared" si="29"/>
        <v>804.392938083021</v>
      </c>
      <c r="K33" s="150">
        <f t="shared" si="29"/>
        <v>20.22537165</v>
      </c>
      <c r="L33" s="142">
        <f t="shared" si="2"/>
        <v>960.922100884237</v>
      </c>
      <c r="M33" s="101">
        <f t="shared" si="3"/>
        <v>9.16520816201003</v>
      </c>
    </row>
    <row r="34" spans="2:13">
      <c r="B34" s="58" t="s">
        <v>1025</v>
      </c>
      <c r="C34" s="55"/>
      <c r="D34" s="174">
        <f>'[18]Rev_SP-12me'!AQ37</f>
        <v>1006.87295441233</v>
      </c>
      <c r="E34" s="174">
        <f>'[18]Rev_SP-12me'!AT37</f>
        <v>136.303791151216</v>
      </c>
      <c r="F34" s="174">
        <f>'[18]Rev_SP-12me'!AU37</f>
        <v>775.292174897491</v>
      </c>
      <c r="G34" s="174">
        <f>'[18]Rev_SP-12me'!AW37</f>
        <v>20.22537165</v>
      </c>
      <c r="H34" s="101">
        <f t="shared" si="0"/>
        <v>931.821337698707</v>
      </c>
      <c r="I34" s="174">
        <f t="shared" ref="I34:K34" si="30">E34</f>
        <v>136.303791151216</v>
      </c>
      <c r="J34" s="174">
        <f t="shared" si="30"/>
        <v>775.292174897491</v>
      </c>
      <c r="K34" s="174">
        <f t="shared" si="30"/>
        <v>20.22537165</v>
      </c>
      <c r="L34" s="143">
        <f t="shared" si="2"/>
        <v>931.821337698707</v>
      </c>
      <c r="M34" s="101">
        <f t="shared" si="3"/>
        <v>9.25460688575722</v>
      </c>
    </row>
    <row r="35" spans="2:13">
      <c r="B35" s="58" t="s">
        <v>1026</v>
      </c>
      <c r="C35" s="55"/>
      <c r="D35" s="174">
        <f>'[18]Rev_SP-12me'!AQ38</f>
        <v>0</v>
      </c>
      <c r="E35" s="174">
        <f>'[18]Rev_SP-12me'!AT38</f>
        <v>0</v>
      </c>
      <c r="F35" s="174">
        <f>'[18]Rev_SP-12me'!AU38</f>
        <v>0</v>
      </c>
      <c r="G35" s="174">
        <f>'[18]Rev_SP-12me'!AW38</f>
        <v>0</v>
      </c>
      <c r="H35" s="101">
        <f t="shared" si="0"/>
        <v>0</v>
      </c>
      <c r="I35" s="174">
        <f t="shared" ref="I35:K35" si="31">E35</f>
        <v>0</v>
      </c>
      <c r="J35" s="174">
        <f t="shared" si="31"/>
        <v>0</v>
      </c>
      <c r="K35" s="174">
        <f t="shared" si="31"/>
        <v>0</v>
      </c>
      <c r="L35" s="143">
        <f t="shared" si="2"/>
        <v>0</v>
      </c>
      <c r="M35" s="101"/>
    </row>
    <row r="36" spans="2:13">
      <c r="B36" s="58" t="s">
        <v>1027</v>
      </c>
      <c r="C36" s="55"/>
      <c r="D36" s="174">
        <f>'[18]Rev_SP-12me'!AQ39</f>
        <v>0</v>
      </c>
      <c r="E36" s="174">
        <f>'[18]Rev_SP-12me'!AT39</f>
        <v>0</v>
      </c>
      <c r="F36" s="174">
        <f>'[18]Rev_SP-12me'!AU39</f>
        <v>0</v>
      </c>
      <c r="G36" s="174">
        <f>'[18]Rev_SP-12me'!AW39</f>
        <v>0</v>
      </c>
      <c r="H36" s="101">
        <f t="shared" si="0"/>
        <v>0</v>
      </c>
      <c r="I36" s="174">
        <f t="shared" ref="I36:K36" si="32">E36</f>
        <v>0</v>
      </c>
      <c r="J36" s="174">
        <f t="shared" si="32"/>
        <v>0</v>
      </c>
      <c r="K36" s="174">
        <f t="shared" si="32"/>
        <v>0</v>
      </c>
      <c r="L36" s="143">
        <f t="shared" si="2"/>
        <v>0</v>
      </c>
      <c r="M36" s="101"/>
    </row>
    <row r="37" spans="2:13">
      <c r="B37" s="58" t="s">
        <v>1028</v>
      </c>
      <c r="C37" s="55"/>
      <c r="D37" s="174">
        <f>'[18]Rev_SP-12me'!AQ40</f>
        <v>0</v>
      </c>
      <c r="E37" s="174">
        <f>'[18]Rev_SP-12me'!AT40</f>
        <v>0</v>
      </c>
      <c r="F37" s="174">
        <f>'[18]Rev_SP-12me'!AU40</f>
        <v>0</v>
      </c>
      <c r="G37" s="174">
        <f>'[18]Rev_SP-12me'!AW40</f>
        <v>0</v>
      </c>
      <c r="H37" s="101">
        <f t="shared" si="0"/>
        <v>0</v>
      </c>
      <c r="I37" s="174">
        <f t="shared" ref="I37:K37" si="33">E37</f>
        <v>0</v>
      </c>
      <c r="J37" s="174">
        <f t="shared" si="33"/>
        <v>0</v>
      </c>
      <c r="K37" s="174">
        <f t="shared" si="33"/>
        <v>0</v>
      </c>
      <c r="L37" s="143">
        <f t="shared" si="2"/>
        <v>0</v>
      </c>
      <c r="M37" s="101"/>
    </row>
    <row r="38" spans="2:13">
      <c r="B38" s="58" t="s">
        <v>1029</v>
      </c>
      <c r="C38" s="55"/>
      <c r="D38" s="174">
        <f>'[18]Rev_SP-12me'!AQ41</f>
        <v>41.5725188364717</v>
      </c>
      <c r="E38" s="174">
        <f>'[18]Rev_SP-12me'!AT41</f>
        <v>0</v>
      </c>
      <c r="F38" s="174">
        <f>'[18]Rev_SP-12me'!AU41</f>
        <v>29.1007631855302</v>
      </c>
      <c r="G38" s="174">
        <f>'[18]Rev_SP-12me'!AW41</f>
        <v>0</v>
      </c>
      <c r="H38" s="101">
        <f t="shared" si="0"/>
        <v>29.1007631855302</v>
      </c>
      <c r="I38" s="174">
        <f t="shared" ref="I38:K38" si="34">E38</f>
        <v>0</v>
      </c>
      <c r="J38" s="174">
        <f t="shared" si="34"/>
        <v>29.1007631855302</v>
      </c>
      <c r="K38" s="174">
        <f t="shared" si="34"/>
        <v>0</v>
      </c>
      <c r="L38" s="143">
        <f t="shared" si="2"/>
        <v>29.1007631855302</v>
      </c>
      <c r="M38" s="101">
        <f t="shared" ref="M38:M47" si="35">L38*10/D38</f>
        <v>7</v>
      </c>
    </row>
    <row r="39" spans="2:13">
      <c r="B39" s="58" t="s">
        <v>1030</v>
      </c>
      <c r="C39" s="55"/>
      <c r="D39" s="174">
        <f>'[18]Rev_SP-12me'!AQ42</f>
        <v>0</v>
      </c>
      <c r="E39" s="174">
        <f>'[18]Rev_SP-12me'!AT42</f>
        <v>0</v>
      </c>
      <c r="F39" s="174">
        <f>'[18]Rev_SP-12me'!AU42</f>
        <v>0</v>
      </c>
      <c r="G39" s="174">
        <f>'[18]Rev_SP-12me'!AW42</f>
        <v>0</v>
      </c>
      <c r="H39" s="101">
        <f t="shared" si="0"/>
        <v>0</v>
      </c>
      <c r="I39" s="174">
        <f t="shared" ref="I39:K39" si="36">E39</f>
        <v>0</v>
      </c>
      <c r="J39" s="174">
        <f t="shared" si="36"/>
        <v>0</v>
      </c>
      <c r="K39" s="174">
        <f t="shared" si="36"/>
        <v>0</v>
      </c>
      <c r="L39" s="143">
        <f t="shared" si="2"/>
        <v>0</v>
      </c>
      <c r="M39" s="101"/>
    </row>
    <row r="40" ht="15" spans="2:13">
      <c r="B40" s="54" t="s">
        <v>1031</v>
      </c>
      <c r="C40" s="55"/>
      <c r="D40" s="150">
        <f>'[18]Rev_SP-12me'!AQ43</f>
        <v>9.62967180970268</v>
      </c>
      <c r="E40" s="150">
        <f>'[18]Rev_SP-12me'!AT43</f>
        <v>0.424933338668921</v>
      </c>
      <c r="F40" s="150">
        <f>'[18]Rev_SP-12me'!AU43</f>
        <v>3.85186872388107</v>
      </c>
      <c r="G40" s="150">
        <f>'[18]Rev_SP-12me'!AW43</f>
        <v>0.33096</v>
      </c>
      <c r="H40" s="137">
        <f t="shared" si="0"/>
        <v>4.60776206254999</v>
      </c>
      <c r="I40" s="150">
        <f t="shared" ref="I40:K40" si="37">E40</f>
        <v>0.424933338668921</v>
      </c>
      <c r="J40" s="150">
        <f t="shared" si="37"/>
        <v>3.85186872388107</v>
      </c>
      <c r="K40" s="150">
        <f t="shared" si="37"/>
        <v>0.33096</v>
      </c>
      <c r="L40" s="142">
        <f t="shared" si="2"/>
        <v>4.60776206254999</v>
      </c>
      <c r="M40" s="101">
        <f t="shared" si="35"/>
        <v>4.78496272106314</v>
      </c>
    </row>
    <row r="41" spans="2:13">
      <c r="B41" s="58" t="s">
        <v>178</v>
      </c>
      <c r="C41" s="55"/>
      <c r="D41" s="174">
        <f>'[18]Rev_SP-12me'!AQ44</f>
        <v>9.30795034937294</v>
      </c>
      <c r="E41" s="174">
        <f>'[18]Rev_SP-12me'!AT44</f>
        <v>0.397638928988921</v>
      </c>
      <c r="F41" s="174">
        <f>'[18]Rev_SP-12me'!AU44</f>
        <v>3.72318013974917</v>
      </c>
      <c r="G41" s="174">
        <f>'[18]Rev_SP-12me'!AW44</f>
        <v>0.30963</v>
      </c>
      <c r="H41" s="101">
        <f t="shared" si="0"/>
        <v>4.43044906873809</v>
      </c>
      <c r="I41" s="174">
        <f t="shared" ref="I41:K41" si="38">E41</f>
        <v>0.397638928988921</v>
      </c>
      <c r="J41" s="174">
        <f t="shared" si="38"/>
        <v>3.72318013974917</v>
      </c>
      <c r="K41" s="174">
        <f t="shared" si="38"/>
        <v>0.30963</v>
      </c>
      <c r="L41" s="143">
        <f t="shared" si="2"/>
        <v>4.43044906873809</v>
      </c>
      <c r="M41" s="101">
        <f t="shared" si="35"/>
        <v>4.75985464301124</v>
      </c>
    </row>
    <row r="42" spans="2:13">
      <c r="B42" s="58" t="s">
        <v>1033</v>
      </c>
      <c r="C42" s="55"/>
      <c r="D42" s="174">
        <f>'[18]Rev_SP-12me'!AQ45</f>
        <v>0.321721460329742</v>
      </c>
      <c r="E42" s="174">
        <f>'[18]Rev_SP-12me'!AT45</f>
        <v>0.02729440968</v>
      </c>
      <c r="F42" s="174">
        <f>'[18]Rev_SP-12me'!AU45</f>
        <v>0.128688584131897</v>
      </c>
      <c r="G42" s="174">
        <f>'[18]Rev_SP-12me'!AW45</f>
        <v>0.02133</v>
      </c>
      <c r="H42" s="101">
        <f t="shared" si="0"/>
        <v>0.177312993811897</v>
      </c>
      <c r="I42" s="174">
        <f t="shared" ref="I42:K42" si="39">E42</f>
        <v>0.02729440968</v>
      </c>
      <c r="J42" s="174">
        <f t="shared" si="39"/>
        <v>0.128688584131897</v>
      </c>
      <c r="K42" s="174">
        <f t="shared" si="39"/>
        <v>0.02133</v>
      </c>
      <c r="L42" s="143">
        <f t="shared" si="2"/>
        <v>0.177312993811897</v>
      </c>
      <c r="M42" s="101">
        <f t="shared" si="35"/>
        <v>5.51138222579754</v>
      </c>
    </row>
    <row r="43" ht="15" spans="2:13">
      <c r="B43" s="54" t="s">
        <v>1034</v>
      </c>
      <c r="C43" s="55"/>
      <c r="D43" s="150">
        <f>'[18]Rev_SP-12me'!AQ46</f>
        <v>17123.9873054058</v>
      </c>
      <c r="E43" s="150">
        <f>'[18]Rev_SP-12me'!AT46</f>
        <v>0.04666464</v>
      </c>
      <c r="F43" s="150">
        <f>'[18]Rev_SP-12me'!AU46</f>
        <v>10.3761823234898</v>
      </c>
      <c r="G43" s="150">
        <f>'[18]Rev_SP-12me'!AW46</f>
        <v>53.014392</v>
      </c>
      <c r="H43" s="137">
        <f t="shared" si="0"/>
        <v>63.4372389634898</v>
      </c>
      <c r="I43" s="150">
        <f t="shared" ref="I43:K43" si="40">E43</f>
        <v>0.04666464</v>
      </c>
      <c r="J43" s="150">
        <f t="shared" si="40"/>
        <v>10.3761823234898</v>
      </c>
      <c r="K43" s="150">
        <f t="shared" si="40"/>
        <v>53.014392</v>
      </c>
      <c r="L43" s="142">
        <f t="shared" si="2"/>
        <v>63.4372389634898</v>
      </c>
      <c r="M43" s="101">
        <f t="shared" si="35"/>
        <v>0.0370458339124461</v>
      </c>
    </row>
    <row r="44" spans="2:13">
      <c r="B44" s="56" t="s">
        <v>1035</v>
      </c>
      <c r="C44" s="55"/>
      <c r="D44" s="153">
        <f>'[18]Rev_SP-12me'!AQ47</f>
        <v>17120.6509295268</v>
      </c>
      <c r="E44" s="153">
        <f>'[18]Rev_SP-12me'!AT47</f>
        <v>0</v>
      </c>
      <c r="F44" s="153">
        <f>'[18]Rev_SP-12me'!AU47</f>
        <v>9.04163197188246</v>
      </c>
      <c r="G44" s="153">
        <f>'[18]Rev_SP-12me'!AW47</f>
        <v>53.001108</v>
      </c>
      <c r="H44" s="101">
        <f t="shared" si="0"/>
        <v>62.0427399718825</v>
      </c>
      <c r="I44" s="153">
        <f t="shared" ref="I44:K44" si="41">E44</f>
        <v>0</v>
      </c>
      <c r="J44" s="153">
        <f t="shared" si="41"/>
        <v>9.04163197188246</v>
      </c>
      <c r="K44" s="153">
        <f t="shared" si="41"/>
        <v>53.001108</v>
      </c>
      <c r="L44" s="143">
        <f t="shared" si="2"/>
        <v>62.0427399718825</v>
      </c>
      <c r="M44" s="101">
        <f t="shared" si="35"/>
        <v>0.0362385403611504</v>
      </c>
    </row>
    <row r="45" spans="2:13">
      <c r="B45" s="58" t="s">
        <v>1036</v>
      </c>
      <c r="C45" s="55"/>
      <c r="D45" s="174">
        <f>'[18]Rev_SP-12me'!AQ48</f>
        <v>36.1665278875299</v>
      </c>
      <c r="E45" s="174">
        <f>'[18]Rev_SP-12me'!AT48</f>
        <v>0</v>
      </c>
      <c r="F45" s="174">
        <f>'[18]Rev_SP-12me'!AU48</f>
        <v>9.04163197188246</v>
      </c>
      <c r="G45" s="174">
        <f>'[18]Rev_SP-12me'!AW48</f>
        <v>0.071712</v>
      </c>
      <c r="H45" s="101">
        <f t="shared" si="0"/>
        <v>9.11334397188246</v>
      </c>
      <c r="I45" s="174">
        <f t="shared" ref="I45:K45" si="42">E45</f>
        <v>0</v>
      </c>
      <c r="J45" s="174">
        <f t="shared" si="42"/>
        <v>9.04163197188246</v>
      </c>
      <c r="K45" s="174">
        <f t="shared" si="42"/>
        <v>0.071712</v>
      </c>
      <c r="L45" s="143">
        <f t="shared" si="2"/>
        <v>9.11334397188246</v>
      </c>
      <c r="M45" s="101">
        <f t="shared" si="35"/>
        <v>2.51982827885026</v>
      </c>
    </row>
    <row r="46" spans="2:13">
      <c r="B46" s="56" t="s">
        <v>1038</v>
      </c>
      <c r="C46" s="55"/>
      <c r="D46" s="174">
        <f>'[18]Rev_SP-12me'!AQ49</f>
        <v>17084.4844016393</v>
      </c>
      <c r="E46" s="174">
        <f>'[18]Rev_SP-12me'!AT49</f>
        <v>0</v>
      </c>
      <c r="F46" s="174">
        <f>'[18]Rev_SP-12me'!AU49</f>
        <v>0</v>
      </c>
      <c r="G46" s="174">
        <f>'[18]Rev_SP-12me'!AW49</f>
        <v>0</v>
      </c>
      <c r="H46" s="101">
        <f t="shared" si="0"/>
        <v>0</v>
      </c>
      <c r="I46" s="174">
        <f t="shared" ref="I46:K46" si="43">E46</f>
        <v>0</v>
      </c>
      <c r="J46" s="174">
        <f t="shared" si="43"/>
        <v>0</v>
      </c>
      <c r="K46" s="174">
        <f t="shared" si="43"/>
        <v>0</v>
      </c>
      <c r="L46" s="143">
        <f t="shared" si="2"/>
        <v>0</v>
      </c>
      <c r="M46" s="101">
        <f t="shared" si="35"/>
        <v>0</v>
      </c>
    </row>
    <row r="47" spans="2:13">
      <c r="B47" s="58" t="s">
        <v>1099</v>
      </c>
      <c r="C47" s="55"/>
      <c r="D47" s="174">
        <f>'[18]Rev_SP-12me'!AQ50</f>
        <v>17084.4844016393</v>
      </c>
      <c r="E47" s="174">
        <f>'[18]Rev_SP-12me'!AT50</f>
        <v>0</v>
      </c>
      <c r="F47" s="174">
        <f>'[18]Rev_SP-12me'!AU50</f>
        <v>0</v>
      </c>
      <c r="G47" s="174">
        <f>'[18]Rev_SP-12me'!AW50</f>
        <v>52.929396</v>
      </c>
      <c r="H47" s="101">
        <f t="shared" si="0"/>
        <v>52.929396</v>
      </c>
      <c r="I47" s="174">
        <f t="shared" ref="I47:K47" si="44">E47</f>
        <v>0</v>
      </c>
      <c r="J47" s="174">
        <f t="shared" si="44"/>
        <v>0</v>
      </c>
      <c r="K47" s="174">
        <f t="shared" si="44"/>
        <v>52.929396</v>
      </c>
      <c r="L47" s="143">
        <f t="shared" si="2"/>
        <v>52.929396</v>
      </c>
      <c r="M47" s="101">
        <f t="shared" si="35"/>
        <v>0.0309809735873102</v>
      </c>
    </row>
    <row r="48" spans="2:13">
      <c r="B48" s="58" t="s">
        <v>1100</v>
      </c>
      <c r="C48" s="55"/>
      <c r="D48" s="174">
        <f>'[18]Rev_SP-12me'!AQ51</f>
        <v>0</v>
      </c>
      <c r="E48" s="174">
        <f>'[18]Rev_SP-12me'!AT51</f>
        <v>0</v>
      </c>
      <c r="F48" s="174">
        <f>'[18]Rev_SP-12me'!AU51</f>
        <v>0</v>
      </c>
      <c r="G48" s="174">
        <f>'[18]Rev_SP-12me'!AW51</f>
        <v>0</v>
      </c>
      <c r="H48" s="101">
        <f t="shared" si="0"/>
        <v>0</v>
      </c>
      <c r="I48" s="174">
        <f t="shared" ref="I48:K48" si="45">E48</f>
        <v>0</v>
      </c>
      <c r="J48" s="174">
        <f t="shared" si="45"/>
        <v>0</v>
      </c>
      <c r="K48" s="174">
        <f t="shared" si="45"/>
        <v>0</v>
      </c>
      <c r="L48" s="143">
        <f t="shared" si="2"/>
        <v>0</v>
      </c>
      <c r="M48" s="101"/>
    </row>
    <row r="49" spans="2:13">
      <c r="B49" s="56" t="s">
        <v>1039</v>
      </c>
      <c r="C49" s="55"/>
      <c r="D49" s="153">
        <f>'[18]Rev_SP-12me'!AQ52</f>
        <v>3.33637587901833</v>
      </c>
      <c r="E49" s="153">
        <f>'[18]Rev_SP-12me'!AT52</f>
        <v>0.04666464</v>
      </c>
      <c r="F49" s="153">
        <f>'[18]Rev_SP-12me'!AU52</f>
        <v>1.33455035160733</v>
      </c>
      <c r="G49" s="153">
        <f>'[18]Rev_SP-12me'!AW52</f>
        <v>0.013284</v>
      </c>
      <c r="H49" s="101">
        <f t="shared" si="0"/>
        <v>1.39449899160733</v>
      </c>
      <c r="I49" s="153">
        <f t="shared" ref="I49:K49" si="46">E49</f>
        <v>0.04666464</v>
      </c>
      <c r="J49" s="153">
        <f t="shared" si="46"/>
        <v>1.33455035160733</v>
      </c>
      <c r="K49" s="153">
        <f t="shared" si="46"/>
        <v>0.013284</v>
      </c>
      <c r="L49" s="143">
        <f t="shared" si="2"/>
        <v>1.39449899160733</v>
      </c>
      <c r="M49" s="101">
        <f t="shared" ref="M49:M58" si="47">L49*10/D49</f>
        <v>4.17968191287139</v>
      </c>
    </row>
    <row r="50" spans="2:13">
      <c r="B50" s="58" t="s">
        <v>1040</v>
      </c>
      <c r="C50" s="55"/>
      <c r="D50" s="174">
        <f>'[18]Rev_SP-12me'!AQ53</f>
        <v>3.33637587901833</v>
      </c>
      <c r="E50" s="174">
        <f>'[18]Rev_SP-12me'!AT53</f>
        <v>0.04666464</v>
      </c>
      <c r="F50" s="174">
        <f>'[18]Rev_SP-12me'!AU53</f>
        <v>1.33455035160733</v>
      </c>
      <c r="G50" s="174">
        <f>'[18]Rev_SP-12me'!AW53</f>
        <v>0.013284</v>
      </c>
      <c r="H50" s="101">
        <f t="shared" si="0"/>
        <v>1.39449899160733</v>
      </c>
      <c r="I50" s="153">
        <f t="shared" ref="I50:K50" si="48">E50</f>
        <v>0.04666464</v>
      </c>
      <c r="J50" s="153">
        <f t="shared" si="48"/>
        <v>1.33455035160733</v>
      </c>
      <c r="K50" s="153">
        <f t="shared" si="48"/>
        <v>0.013284</v>
      </c>
      <c r="L50" s="143">
        <f t="shared" si="2"/>
        <v>1.39449899160733</v>
      </c>
      <c r="M50" s="101">
        <f t="shared" si="47"/>
        <v>4.17968191287139</v>
      </c>
    </row>
    <row r="51" ht="15" spans="2:13">
      <c r="B51" s="54" t="s">
        <v>1042</v>
      </c>
      <c r="C51" s="55"/>
      <c r="D51" s="150">
        <f>'[18]Rev_SP-12me'!AQ54</f>
        <v>264.600089857505</v>
      </c>
      <c r="E51" s="150">
        <f>'[18]Rev_SP-12me'!AT54</f>
        <v>6.7407576461227</v>
      </c>
      <c r="F51" s="150">
        <f>'[18]Rev_SP-12me'!AU54</f>
        <v>203.555442600523</v>
      </c>
      <c r="G51" s="150">
        <f>'[18]Rev_SP-12me'!AW54</f>
        <v>10.828512</v>
      </c>
      <c r="H51" s="137">
        <f t="shared" si="0"/>
        <v>221.124712246646</v>
      </c>
      <c r="I51" s="150">
        <f t="shared" ref="I51:K51" si="49">E51</f>
        <v>6.7407576461227</v>
      </c>
      <c r="J51" s="150">
        <f t="shared" si="49"/>
        <v>203.555442600523</v>
      </c>
      <c r="K51" s="150">
        <f t="shared" si="49"/>
        <v>10.828512</v>
      </c>
      <c r="L51" s="142">
        <f t="shared" si="2"/>
        <v>221.124712246646</v>
      </c>
      <c r="M51" s="101">
        <f t="shared" si="47"/>
        <v>8.35694017963969</v>
      </c>
    </row>
    <row r="52" spans="2:13">
      <c r="B52" s="58" t="s">
        <v>1043</v>
      </c>
      <c r="C52" s="55"/>
      <c r="D52" s="174">
        <f>'[18]Rev_SP-12me'!AQ55</f>
        <v>81.1033079982226</v>
      </c>
      <c r="E52" s="174">
        <f>'[18]Rev_SP-12me'!AT55</f>
        <v>2.46899571277061</v>
      </c>
      <c r="F52" s="174">
        <f>'[18]Rev_SP-12me'!AU55</f>
        <v>57.583348678738</v>
      </c>
      <c r="G52" s="174">
        <f>'[18]Rev_SP-12me'!AW55</f>
        <v>4.956192</v>
      </c>
      <c r="H52" s="101">
        <f t="shared" si="0"/>
        <v>65.0085363915086</v>
      </c>
      <c r="I52" s="174">
        <f t="shared" ref="I52:K52" si="50">E52</f>
        <v>2.46899571277061</v>
      </c>
      <c r="J52" s="174">
        <f t="shared" si="50"/>
        <v>57.583348678738</v>
      </c>
      <c r="K52" s="174">
        <f t="shared" si="50"/>
        <v>4.956192</v>
      </c>
      <c r="L52" s="143">
        <f t="shared" si="2"/>
        <v>65.0085363915086</v>
      </c>
      <c r="M52" s="101">
        <f t="shared" si="47"/>
        <v>8.01552217733625</v>
      </c>
    </row>
    <row r="53" spans="2:13">
      <c r="B53" s="58" t="s">
        <v>1044</v>
      </c>
      <c r="C53" s="55"/>
      <c r="D53" s="174">
        <f>'[18]Rev_SP-12me'!AQ56</f>
        <v>53.2059876846675</v>
      </c>
      <c r="E53" s="174">
        <f>'[18]Rev_SP-12me'!AT56</f>
        <v>1.21203665776847</v>
      </c>
      <c r="F53" s="174">
        <f>'[18]Rev_SP-12me'!AU56</f>
        <v>40.4365506403473</v>
      </c>
      <c r="G53" s="174">
        <f>'[18]Rev_SP-12me'!AW56</f>
        <v>1.817496</v>
      </c>
      <c r="H53" s="101">
        <f t="shared" si="0"/>
        <v>43.4660832981158</v>
      </c>
      <c r="I53" s="174">
        <f t="shared" ref="I53:K53" si="51">E53</f>
        <v>1.21203665776847</v>
      </c>
      <c r="J53" s="174">
        <f t="shared" si="51"/>
        <v>40.4365506403473</v>
      </c>
      <c r="K53" s="174">
        <f t="shared" si="51"/>
        <v>1.817496</v>
      </c>
      <c r="L53" s="143">
        <f t="shared" si="2"/>
        <v>43.4660832981158</v>
      </c>
      <c r="M53" s="101">
        <f t="shared" si="47"/>
        <v>8.16939694000672</v>
      </c>
    </row>
    <row r="54" spans="2:13">
      <c r="B54" s="58" t="s">
        <v>1045</v>
      </c>
      <c r="C54" s="55"/>
      <c r="D54" s="174">
        <f>'[18]Rev_SP-12me'!AQ57</f>
        <v>130.290794174615</v>
      </c>
      <c r="E54" s="174">
        <f>'[18]Rev_SP-12me'!AT57</f>
        <v>3.05972527558361</v>
      </c>
      <c r="F54" s="174">
        <f>'[18]Rev_SP-12me'!AU57</f>
        <v>105.535543281438</v>
      </c>
      <c r="G54" s="174">
        <f>'[18]Rev_SP-12me'!AW57</f>
        <v>4.054824</v>
      </c>
      <c r="H54" s="101">
        <f t="shared" si="0"/>
        <v>112.650092557022</v>
      </c>
      <c r="I54" s="174">
        <f t="shared" ref="I54:K54" si="52">E54</f>
        <v>3.05972527558361</v>
      </c>
      <c r="J54" s="174">
        <f t="shared" si="52"/>
        <v>105.535543281438</v>
      </c>
      <c r="K54" s="174">
        <f t="shared" si="52"/>
        <v>4.054824</v>
      </c>
      <c r="L54" s="143">
        <f t="shared" si="2"/>
        <v>112.650092557022</v>
      </c>
      <c r="M54" s="101">
        <f t="shared" si="47"/>
        <v>8.64605157030884</v>
      </c>
    </row>
    <row r="55" ht="15" spans="2:13">
      <c r="B55" s="54" t="s">
        <v>1046</v>
      </c>
      <c r="C55" s="55"/>
      <c r="D55" s="150">
        <f>'[18]Rev_SP-12me'!AQ65</f>
        <v>258.327242265469</v>
      </c>
      <c r="E55" s="150">
        <f>'[18]Rev_SP-12me'!AT65</f>
        <v>6.0336530087808</v>
      </c>
      <c r="F55" s="150">
        <f>'[18]Rev_SP-12me'!AU65</f>
        <v>162.225779929009</v>
      </c>
      <c r="G55" s="150">
        <f>'[18]Rev_SP-12me'!AW65</f>
        <v>5.011416</v>
      </c>
      <c r="H55" s="137">
        <f t="shared" si="0"/>
        <v>173.27084893779</v>
      </c>
      <c r="I55" s="150">
        <f t="shared" ref="I55:K55" si="53">E55</f>
        <v>6.0336530087808</v>
      </c>
      <c r="J55" s="150">
        <f t="shared" si="53"/>
        <v>162.225779929009</v>
      </c>
      <c r="K55" s="150">
        <f t="shared" si="53"/>
        <v>5.011416</v>
      </c>
      <c r="L55" s="142">
        <f t="shared" si="2"/>
        <v>173.27084893779</v>
      </c>
      <c r="M55" s="101">
        <f t="shared" si="47"/>
        <v>6.70741681822812</v>
      </c>
    </row>
    <row r="56" spans="2:13">
      <c r="B56" s="58" t="s">
        <v>1043</v>
      </c>
      <c r="C56" s="55"/>
      <c r="D56" s="174">
        <f>'[18]Rev_SP-12me'!AQ66</f>
        <v>198.64014654436</v>
      </c>
      <c r="E56" s="174">
        <f>'[18]Rev_SP-12me'!AT66</f>
        <v>4.18034042112</v>
      </c>
      <c r="F56" s="174">
        <f>'[18]Rev_SP-12me'!AU66</f>
        <v>119.184087926616</v>
      </c>
      <c r="G56" s="174">
        <f>'[18]Rev_SP-12me'!AW66</f>
        <v>3.594672</v>
      </c>
      <c r="H56" s="101">
        <f t="shared" si="0"/>
        <v>126.959100347736</v>
      </c>
      <c r="I56" s="174">
        <f t="shared" ref="I56:K56" si="54">E56</f>
        <v>4.18034042112</v>
      </c>
      <c r="J56" s="174">
        <f t="shared" si="54"/>
        <v>119.184087926616</v>
      </c>
      <c r="K56" s="174">
        <f t="shared" si="54"/>
        <v>3.594672</v>
      </c>
      <c r="L56" s="143">
        <f t="shared" si="2"/>
        <v>126.959100347736</v>
      </c>
      <c r="M56" s="101">
        <f t="shared" si="47"/>
        <v>6.3914119354208</v>
      </c>
    </row>
    <row r="57" spans="2:13">
      <c r="B57" s="58" t="s">
        <v>1044</v>
      </c>
      <c r="C57" s="55"/>
      <c r="D57" s="174">
        <f>'[18]Rev_SP-12me'!AQ67</f>
        <v>46.4100149129969</v>
      </c>
      <c r="E57" s="174">
        <f>'[18]Rev_SP-12me'!AT67</f>
        <v>1.1204720947968</v>
      </c>
      <c r="F57" s="174">
        <f>'[18]Rev_SP-12me'!AU67</f>
        <v>32.9511105882278</v>
      </c>
      <c r="G57" s="174">
        <f>'[18]Rev_SP-12me'!AW67</f>
        <v>0.899784</v>
      </c>
      <c r="H57" s="101">
        <f t="shared" si="0"/>
        <v>34.9713666830246</v>
      </c>
      <c r="I57" s="174">
        <f t="shared" ref="I57:K57" si="55">E57</f>
        <v>1.1204720947968</v>
      </c>
      <c r="J57" s="174">
        <f t="shared" si="55"/>
        <v>32.9511105882278</v>
      </c>
      <c r="K57" s="174">
        <f t="shared" si="55"/>
        <v>0.899784</v>
      </c>
      <c r="L57" s="143">
        <f t="shared" si="2"/>
        <v>34.9713666830246</v>
      </c>
      <c r="M57" s="101">
        <f t="shared" si="47"/>
        <v>7.53530606456044</v>
      </c>
    </row>
    <row r="58" spans="2:13">
      <c r="B58" s="58" t="s">
        <v>1045</v>
      </c>
      <c r="C58" s="55"/>
      <c r="D58" s="174">
        <f>'[18]Rev_SP-12me'!AQ68</f>
        <v>13.277080808112</v>
      </c>
      <c r="E58" s="174">
        <f>'[18]Rev_SP-12me'!AT68</f>
        <v>0.732840492864</v>
      </c>
      <c r="F58" s="174">
        <f>'[18]Rev_SP-12me'!AU68</f>
        <v>10.0905814141651</v>
      </c>
      <c r="G58" s="174">
        <f>'[18]Rev_SP-12me'!AW68</f>
        <v>0.51696</v>
      </c>
      <c r="H58" s="101">
        <f t="shared" si="0"/>
        <v>11.3403819070291</v>
      </c>
      <c r="I58" s="174">
        <f t="shared" ref="I58:K58" si="56">E58</f>
        <v>0.732840492864</v>
      </c>
      <c r="J58" s="174">
        <f t="shared" si="56"/>
        <v>10.0905814141651</v>
      </c>
      <c r="K58" s="174">
        <f t="shared" si="56"/>
        <v>0.51696</v>
      </c>
      <c r="L58" s="143">
        <f t="shared" si="2"/>
        <v>11.3403819070291</v>
      </c>
      <c r="M58" s="101">
        <f t="shared" si="47"/>
        <v>8.54132174905524</v>
      </c>
    </row>
    <row r="59" ht="15" spans="2:13">
      <c r="B59" s="54" t="s">
        <v>1168</v>
      </c>
      <c r="C59" s="55"/>
      <c r="D59" s="150">
        <f>'[18]Rev_SP-12me'!AQ69</f>
        <v>0</v>
      </c>
      <c r="E59" s="150">
        <f>'[18]Rev_SP-12me'!AT69</f>
        <v>0</v>
      </c>
      <c r="F59" s="150">
        <f>'[18]Rev_SP-12me'!AU69</f>
        <v>0</v>
      </c>
      <c r="G59" s="150">
        <f>'[18]Rev_SP-12me'!AW69</f>
        <v>0</v>
      </c>
      <c r="H59" s="101">
        <f t="shared" si="0"/>
        <v>0</v>
      </c>
      <c r="I59" s="153">
        <f t="shared" ref="I59:K59" si="57">E59</f>
        <v>0</v>
      </c>
      <c r="J59" s="153">
        <f t="shared" si="57"/>
        <v>0</v>
      </c>
      <c r="K59" s="153">
        <f t="shared" si="57"/>
        <v>0</v>
      </c>
      <c r="L59" s="143">
        <f t="shared" si="2"/>
        <v>0</v>
      </c>
      <c r="M59" s="101"/>
    </row>
    <row r="60" ht="15" spans="2:13">
      <c r="B60" s="54" t="s">
        <v>1049</v>
      </c>
      <c r="C60" s="55"/>
      <c r="D60" s="150">
        <f>'[18]Rev_SP-12me'!AQ58</f>
        <v>108.549426556406</v>
      </c>
      <c r="E60" s="150">
        <f>'[18]Rev_SP-12me'!AT58</f>
        <v>2.28193387149977</v>
      </c>
      <c r="F60" s="150">
        <f>'[18]Rev_SP-12me'!AU58</f>
        <v>86.1905748190285</v>
      </c>
      <c r="G60" s="150">
        <f>'[18]Rev_SP-12me'!AW58</f>
        <v>3.21564</v>
      </c>
      <c r="H60" s="137">
        <f t="shared" si="0"/>
        <v>91.6881486905283</v>
      </c>
      <c r="I60" s="150">
        <f t="shared" ref="I60:K60" si="58">E60</f>
        <v>2.28193387149977</v>
      </c>
      <c r="J60" s="150">
        <f t="shared" si="58"/>
        <v>86.1905748190285</v>
      </c>
      <c r="K60" s="150">
        <f t="shared" si="58"/>
        <v>3.21564</v>
      </c>
      <c r="L60" s="142">
        <f t="shared" si="2"/>
        <v>91.6881486905283</v>
      </c>
      <c r="M60" s="101">
        <f t="shared" ref="M60:M63" si="59">L60*10/D60</f>
        <v>8.44667278300949</v>
      </c>
    </row>
    <row r="61" spans="2:13">
      <c r="B61" s="56" t="s">
        <v>1050</v>
      </c>
      <c r="C61" s="55"/>
      <c r="D61" s="174">
        <f>'[18]Rev_SP-12me'!AQ59</f>
        <v>96.7147319418951</v>
      </c>
      <c r="E61" s="174">
        <f>'[18]Rev_SP-12me'!AT59</f>
        <v>1.97574681121626</v>
      </c>
      <c r="F61" s="174">
        <f>'[18]Rev_SP-12me'!AU59</f>
        <v>80.273227511773</v>
      </c>
      <c r="G61" s="174">
        <f>'[18]Rev_SP-12me'!AW59</f>
        <v>2.62776</v>
      </c>
      <c r="H61" s="101">
        <f t="shared" si="0"/>
        <v>84.8767343229893</v>
      </c>
      <c r="I61" s="174">
        <f t="shared" ref="I61:K61" si="60">E61</f>
        <v>1.97574681121626</v>
      </c>
      <c r="J61" s="174">
        <f t="shared" si="60"/>
        <v>80.273227511773</v>
      </c>
      <c r="K61" s="174">
        <f t="shared" si="60"/>
        <v>2.62776</v>
      </c>
      <c r="L61" s="143">
        <f t="shared" si="2"/>
        <v>84.8767343229893</v>
      </c>
      <c r="M61" s="101">
        <f t="shared" si="59"/>
        <v>8.7759881683777</v>
      </c>
    </row>
    <row r="62" spans="2:13">
      <c r="B62" s="56" t="s">
        <v>1051</v>
      </c>
      <c r="C62" s="55"/>
      <c r="D62" s="174">
        <f>'[18]Rev_SP-12me'!AQ60</f>
        <v>11.8346946145112</v>
      </c>
      <c r="E62" s="174">
        <f>'[18]Rev_SP-12me'!AT60</f>
        <v>0.306187060283504</v>
      </c>
      <c r="F62" s="174">
        <f>'[18]Rev_SP-12me'!AU60</f>
        <v>5.91734730725558</v>
      </c>
      <c r="G62" s="174">
        <f>'[18]Rev_SP-12me'!AW60</f>
        <v>0.58788</v>
      </c>
      <c r="H62" s="101">
        <f t="shared" si="0"/>
        <v>6.81141436753908</v>
      </c>
      <c r="I62" s="174">
        <f t="shared" ref="I62:K62" si="61">E62</f>
        <v>0.306187060283504</v>
      </c>
      <c r="J62" s="174">
        <f t="shared" si="61"/>
        <v>5.91734730725558</v>
      </c>
      <c r="K62" s="174">
        <f t="shared" si="61"/>
        <v>0.58788</v>
      </c>
      <c r="L62" s="143">
        <f t="shared" si="2"/>
        <v>6.81141436753908</v>
      </c>
      <c r="M62" s="101">
        <f t="shared" si="59"/>
        <v>5.75546272160434</v>
      </c>
    </row>
    <row r="63" spans="2:13">
      <c r="B63" s="56" t="s">
        <v>1052</v>
      </c>
      <c r="C63" s="55"/>
      <c r="D63" s="153">
        <f>'[18]Rev_SP-12me'!AQ61</f>
        <v>11.8346946145112</v>
      </c>
      <c r="E63" s="153">
        <f>'[18]Rev_SP-12me'!AT61</f>
        <v>0</v>
      </c>
      <c r="F63" s="153">
        <f>'[18]Rev_SP-12me'!AU61</f>
        <v>0</v>
      </c>
      <c r="G63" s="153">
        <f>'[18]Rev_SP-12me'!AW61</f>
        <v>0</v>
      </c>
      <c r="H63" s="101">
        <f t="shared" si="0"/>
        <v>0</v>
      </c>
      <c r="I63" s="174">
        <f t="shared" ref="I63:K63" si="62">E63</f>
        <v>0</v>
      </c>
      <c r="J63" s="174">
        <f t="shared" si="62"/>
        <v>0</v>
      </c>
      <c r="K63" s="174">
        <f t="shared" si="62"/>
        <v>0</v>
      </c>
      <c r="L63" s="143">
        <f t="shared" si="2"/>
        <v>0</v>
      </c>
      <c r="M63" s="101">
        <f t="shared" si="59"/>
        <v>0</v>
      </c>
    </row>
    <row r="64" spans="2:13">
      <c r="B64" s="56" t="s">
        <v>1053</v>
      </c>
      <c r="C64" s="55"/>
      <c r="D64" s="153">
        <f>'[18]Rev_SP-12me'!AQ62</f>
        <v>0</v>
      </c>
      <c r="E64" s="153">
        <f>'[18]Rev_SP-12me'!AT62</f>
        <v>0</v>
      </c>
      <c r="F64" s="153">
        <f>'[18]Rev_SP-12me'!AU62</f>
        <v>0</v>
      </c>
      <c r="G64" s="153">
        <f>'[18]Rev_SP-12me'!AW62</f>
        <v>0</v>
      </c>
      <c r="H64" s="101">
        <f t="shared" si="0"/>
        <v>0</v>
      </c>
      <c r="I64" s="174">
        <f t="shared" ref="I64:K64" si="63">E64</f>
        <v>0</v>
      </c>
      <c r="J64" s="174">
        <f t="shared" si="63"/>
        <v>0</v>
      </c>
      <c r="K64" s="174">
        <f t="shared" si="63"/>
        <v>0</v>
      </c>
      <c r="L64" s="143">
        <f t="shared" si="2"/>
        <v>0</v>
      </c>
      <c r="M64" s="101"/>
    </row>
    <row r="65" ht="15" spans="2:13">
      <c r="B65" s="54" t="s">
        <v>1054</v>
      </c>
      <c r="C65" s="55"/>
      <c r="D65" s="150">
        <f>'[18]Rev_SP-12me'!AQ63</f>
        <v>157.328110571629</v>
      </c>
      <c r="E65" s="150">
        <f>'[18]Rev_SP-12me'!AT63</f>
        <v>4.67887478041938</v>
      </c>
      <c r="F65" s="150">
        <f>'[18]Rev_SP-12me'!AU63</f>
        <v>188.793732685955</v>
      </c>
      <c r="G65" s="150">
        <f>'[18]Rev_SP-12me'!AW63</f>
        <v>2.2242</v>
      </c>
      <c r="H65" s="137">
        <f t="shared" si="0"/>
        <v>195.696807466374</v>
      </c>
      <c r="I65" s="150">
        <f t="shared" ref="I65:K65" si="64">E65</f>
        <v>4.67887478041938</v>
      </c>
      <c r="J65" s="150">
        <f t="shared" si="64"/>
        <v>188.793732685955</v>
      </c>
      <c r="K65" s="150">
        <f t="shared" si="64"/>
        <v>2.2242</v>
      </c>
      <c r="L65" s="142">
        <f t="shared" si="2"/>
        <v>195.696807466374</v>
      </c>
      <c r="M65" s="101">
        <f t="shared" ref="M65:M68" si="65">L65*10/D65</f>
        <v>12.4387693181681</v>
      </c>
    </row>
    <row r="66" ht="15" spans="2:13">
      <c r="B66" s="54" t="s">
        <v>1101</v>
      </c>
      <c r="C66" s="55"/>
      <c r="D66" s="150">
        <f>'[18]Rev_SP-12me'!AQ64</f>
        <v>46.8702400877059</v>
      </c>
      <c r="E66" s="150">
        <f>'[18]Rev_SP-12me'!AT64</f>
        <v>0</v>
      </c>
      <c r="F66" s="150">
        <f>'[18]Rev_SP-12me'!AU64</f>
        <v>28.1221440526235</v>
      </c>
      <c r="G66" s="150">
        <f>'[18]Rev_SP-12me'!AW64</f>
        <v>0.051696</v>
      </c>
      <c r="H66" s="137">
        <f t="shared" si="0"/>
        <v>28.1738400526235</v>
      </c>
      <c r="I66" s="150">
        <f t="shared" ref="I66:K66" si="66">E66</f>
        <v>0</v>
      </c>
      <c r="J66" s="150">
        <f t="shared" si="66"/>
        <v>28.1221440526235</v>
      </c>
      <c r="K66" s="150">
        <f t="shared" si="66"/>
        <v>0.051696</v>
      </c>
      <c r="L66" s="142">
        <f t="shared" si="2"/>
        <v>28.1738400526235</v>
      </c>
      <c r="M66" s="101">
        <f t="shared" si="65"/>
        <v>6.01102959999847</v>
      </c>
    </row>
    <row r="67" ht="15" spans="2:13">
      <c r="B67" s="54"/>
      <c r="C67" s="55"/>
      <c r="D67" s="101"/>
      <c r="E67" s="101"/>
      <c r="F67" s="101"/>
      <c r="G67" s="101"/>
      <c r="H67" s="101"/>
      <c r="I67" s="101"/>
      <c r="J67" s="101"/>
      <c r="K67" s="101"/>
      <c r="L67" s="143"/>
      <c r="M67" s="101"/>
    </row>
    <row r="68" ht="15" spans="2:13">
      <c r="B68" s="54" t="s">
        <v>1102</v>
      </c>
      <c r="C68" s="55"/>
      <c r="D68" s="148">
        <f t="shared" ref="D68:K68" si="67">SUM(D7,D20,D33,D40,D43,D51,D55,D59,D60,D65,D66)</f>
        <v>36031.941163479</v>
      </c>
      <c r="E68" s="149">
        <f t="shared" si="67"/>
        <v>733.710476644754</v>
      </c>
      <c r="F68" s="148">
        <f t="shared" si="67"/>
        <v>12050.6291695211</v>
      </c>
      <c r="G68" s="148">
        <f t="shared" si="67"/>
        <v>977.08789665</v>
      </c>
      <c r="H68" s="148">
        <f t="shared" si="67"/>
        <v>13761.4275428159</v>
      </c>
      <c r="I68" s="149">
        <f t="shared" si="67"/>
        <v>733.710476644754</v>
      </c>
      <c r="J68" s="148">
        <f t="shared" si="67"/>
        <v>12050.6291695211</v>
      </c>
      <c r="K68" s="148">
        <f t="shared" si="67"/>
        <v>977.08789665</v>
      </c>
      <c r="L68" s="148">
        <f t="shared" ref="L68:L123" si="68">SUM(I68:K68)</f>
        <v>13761.4275428159</v>
      </c>
      <c r="M68" s="101">
        <f t="shared" si="65"/>
        <v>3.81923013261469</v>
      </c>
    </row>
    <row r="69" ht="15" spans="2:13">
      <c r="B69" s="66"/>
      <c r="C69" s="67"/>
      <c r="D69" s="150"/>
      <c r="E69" s="137"/>
      <c r="F69" s="150"/>
      <c r="G69" s="150"/>
      <c r="H69" s="150"/>
      <c r="I69" s="137"/>
      <c r="J69" s="150"/>
      <c r="K69" s="150"/>
      <c r="L69" s="143"/>
      <c r="M69" s="101"/>
    </row>
    <row r="70" ht="15" spans="2:13">
      <c r="B70" s="70" t="s">
        <v>907</v>
      </c>
      <c r="C70" s="70"/>
      <c r="D70" s="100"/>
      <c r="E70" s="100"/>
      <c r="F70" s="100"/>
      <c r="G70" s="100"/>
      <c r="H70" s="100"/>
      <c r="I70" s="100"/>
      <c r="J70" s="100"/>
      <c r="K70" s="100"/>
      <c r="L70" s="143"/>
      <c r="M70" s="101"/>
    </row>
    <row r="71" spans="2:13">
      <c r="B71" s="151" t="s">
        <v>190</v>
      </c>
      <c r="C71" s="55"/>
      <c r="D71" s="101"/>
      <c r="E71" s="101"/>
      <c r="F71" s="101"/>
      <c r="G71" s="101"/>
      <c r="H71" s="101"/>
      <c r="I71" s="101"/>
      <c r="J71" s="101"/>
      <c r="K71" s="101"/>
      <c r="L71" s="143"/>
      <c r="M71" s="101"/>
    </row>
    <row r="72" ht="15" spans="2:13">
      <c r="B72" s="151" t="s">
        <v>1103</v>
      </c>
      <c r="C72" s="72"/>
      <c r="D72" s="150">
        <f>D73+D82</f>
        <v>4574.57872354559</v>
      </c>
      <c r="E72" s="150">
        <f>'[18]Rev_SP-12me'!AT84</f>
        <v>776.12539188052</v>
      </c>
      <c r="F72" s="150">
        <f>'[18]Rev_SP-12me'!AU84</f>
        <v>3451.70920798381</v>
      </c>
      <c r="G72" s="150">
        <f>'[18]Rev_SP-12me'!AW84</f>
        <v>14.532</v>
      </c>
      <c r="H72" s="150">
        <f t="shared" ref="H72:H122" si="69">SUM(E72:G72)</f>
        <v>4242.36659986433</v>
      </c>
      <c r="I72" s="150">
        <f t="shared" ref="I72:K72" si="70">E72</f>
        <v>776.12539188052</v>
      </c>
      <c r="J72" s="150">
        <f t="shared" si="70"/>
        <v>3451.70920798381</v>
      </c>
      <c r="K72" s="150">
        <f t="shared" si="70"/>
        <v>14.532</v>
      </c>
      <c r="L72" s="142">
        <f t="shared" si="68"/>
        <v>4242.36659986433</v>
      </c>
      <c r="M72" s="101">
        <f t="shared" ref="M72:M111" si="71">L72*10/D72</f>
        <v>9.27378641016417</v>
      </c>
    </row>
    <row r="73" spans="2:13">
      <c r="B73" s="152" t="s">
        <v>1104</v>
      </c>
      <c r="C73" s="72"/>
      <c r="D73" s="153">
        <f>'[18]Rev_SP-12me'!AQ85</f>
        <v>4424.60166459627</v>
      </c>
      <c r="E73" s="153">
        <f>'[18]Rev_SP-12me'!AT85</f>
        <v>776.12539188052</v>
      </c>
      <c r="F73" s="153">
        <f>'[18]Rev_SP-12me'!AU85</f>
        <v>3338.44151664546</v>
      </c>
      <c r="G73" s="153">
        <f>'[18]Rev_SP-12me'!AW85</f>
        <v>14.532</v>
      </c>
      <c r="H73" s="153">
        <f t="shared" si="69"/>
        <v>4129.09890852598</v>
      </c>
      <c r="I73" s="153">
        <f t="shared" ref="I73:K73" si="72">E73</f>
        <v>776.12539188052</v>
      </c>
      <c r="J73" s="153">
        <f t="shared" si="72"/>
        <v>3338.44151664546</v>
      </c>
      <c r="K73" s="153">
        <f t="shared" si="72"/>
        <v>14.532</v>
      </c>
      <c r="L73" s="143">
        <f t="shared" si="68"/>
        <v>4129.09890852598</v>
      </c>
      <c r="M73" s="101">
        <f t="shared" si="71"/>
        <v>9.33213704086681</v>
      </c>
    </row>
    <row r="74" spans="2:13">
      <c r="B74" s="154" t="s">
        <v>1105</v>
      </c>
      <c r="C74" s="72"/>
      <c r="D74" s="174">
        <f>'[18]Rev_SP-12me'!AQ86</f>
        <v>1277.87303509363</v>
      </c>
      <c r="E74" s="174">
        <f>'[18]Rev_SP-12me'!AT86</f>
        <v>776.12539188052</v>
      </c>
      <c r="F74" s="174">
        <f>'[18]Rev_SP-12me'!AU86</f>
        <v>977.572871846623</v>
      </c>
      <c r="G74" s="174">
        <f>'[18]Rev_SP-12me'!AW86</f>
        <v>14.532</v>
      </c>
      <c r="H74" s="153">
        <f t="shared" si="69"/>
        <v>1768.23026372714</v>
      </c>
      <c r="I74" s="174">
        <f t="shared" ref="I74:K74" si="73">E74</f>
        <v>776.12539188052</v>
      </c>
      <c r="J74" s="174">
        <f t="shared" si="73"/>
        <v>977.572871846623</v>
      </c>
      <c r="K74" s="174">
        <f t="shared" si="73"/>
        <v>14.532</v>
      </c>
      <c r="L74" s="143">
        <f t="shared" si="68"/>
        <v>1768.23026372714</v>
      </c>
      <c r="M74" s="101">
        <f t="shared" si="71"/>
        <v>13.8372922439637</v>
      </c>
    </row>
    <row r="75" spans="2:13">
      <c r="B75" s="155" t="s">
        <v>1106</v>
      </c>
      <c r="C75" s="55"/>
      <c r="D75" s="174">
        <f>'[18]Rev_SP-12me'!AQ87</f>
        <v>265.53325722848</v>
      </c>
      <c r="E75" s="174">
        <f>'[18]Rev_SP-12me'!AT87</f>
        <v>0</v>
      </c>
      <c r="F75" s="174">
        <f>'[18]Rev_SP-12me'!AU87</f>
        <v>212.426605782784</v>
      </c>
      <c r="G75" s="174">
        <f>'[18]Rev_SP-12me'!AW87</f>
        <v>0</v>
      </c>
      <c r="H75" s="153">
        <f t="shared" si="69"/>
        <v>212.426605782784</v>
      </c>
      <c r="I75" s="174">
        <f t="shared" ref="I75:K75" si="74">E75</f>
        <v>0</v>
      </c>
      <c r="J75" s="174">
        <f t="shared" si="74"/>
        <v>212.426605782784</v>
      </c>
      <c r="K75" s="174">
        <f t="shared" si="74"/>
        <v>0</v>
      </c>
      <c r="L75" s="143">
        <f t="shared" si="68"/>
        <v>212.426605782784</v>
      </c>
      <c r="M75" s="101">
        <f t="shared" si="71"/>
        <v>8</v>
      </c>
    </row>
    <row r="76" spans="2:13">
      <c r="B76" s="154" t="s">
        <v>1107</v>
      </c>
      <c r="C76" s="55"/>
      <c r="D76" s="174">
        <f>'[18]Rev_SP-12me'!AQ88</f>
        <v>132.233144417931</v>
      </c>
      <c r="E76" s="174">
        <f>'[18]Rev_SP-12me'!AT88</f>
        <v>0</v>
      </c>
      <c r="F76" s="174">
        <f>'[18]Rev_SP-12me'!AU88</f>
        <v>101.158355479717</v>
      </c>
      <c r="G76" s="174">
        <f>'[18]Rev_SP-12me'!AW88</f>
        <v>0</v>
      </c>
      <c r="H76" s="153">
        <f t="shared" si="69"/>
        <v>101.158355479717</v>
      </c>
      <c r="I76" s="174">
        <f t="shared" ref="I76:K76" si="75">E76</f>
        <v>0</v>
      </c>
      <c r="J76" s="174">
        <f t="shared" si="75"/>
        <v>101.158355479717</v>
      </c>
      <c r="K76" s="174">
        <f t="shared" si="75"/>
        <v>0</v>
      </c>
      <c r="L76" s="143">
        <f t="shared" si="68"/>
        <v>101.158355479717</v>
      </c>
      <c r="M76" s="101">
        <f t="shared" si="71"/>
        <v>7.64999999999998</v>
      </c>
    </row>
    <row r="77" spans="2:13">
      <c r="B77" s="154" t="s">
        <v>1108</v>
      </c>
      <c r="C77" s="55"/>
      <c r="D77" s="174">
        <f>'[18]Rev_SP-12me'!AQ89</f>
        <v>19.4622432594077</v>
      </c>
      <c r="E77" s="174">
        <f>'[18]Rev_SP-12me'!AT89</f>
        <v>0</v>
      </c>
      <c r="F77" s="174">
        <f>'[18]Rev_SP-12me'!AU89</f>
        <v>14.2074375793676</v>
      </c>
      <c r="G77" s="174">
        <f>'[18]Rev_SP-12me'!AW89</f>
        <v>0</v>
      </c>
      <c r="H77" s="153">
        <f t="shared" si="69"/>
        <v>14.2074375793676</v>
      </c>
      <c r="I77" s="174">
        <f t="shared" ref="I77:K77" si="76">E77</f>
        <v>0</v>
      </c>
      <c r="J77" s="174">
        <f t="shared" si="76"/>
        <v>14.2074375793676</v>
      </c>
      <c r="K77" s="174">
        <f t="shared" si="76"/>
        <v>0</v>
      </c>
      <c r="L77" s="143">
        <f t="shared" si="68"/>
        <v>14.2074375793676</v>
      </c>
      <c r="M77" s="101">
        <f t="shared" si="71"/>
        <v>7.29999999999999</v>
      </c>
    </row>
    <row r="78" spans="2:13">
      <c r="B78" s="154" t="s">
        <v>1109</v>
      </c>
      <c r="C78" s="55"/>
      <c r="D78" s="174">
        <f>'[18]Rev_SP-12me'!AQ90</f>
        <v>55.8576624497053</v>
      </c>
      <c r="E78" s="174">
        <f>'[18]Rev_SP-12me'!AT90</f>
        <v>0</v>
      </c>
      <c r="F78" s="174">
        <f>'[18]Rev_SP-12me'!AU90</f>
        <v>48.0375897067466</v>
      </c>
      <c r="G78" s="174">
        <f>'[18]Rev_SP-12me'!AW90</f>
        <v>0</v>
      </c>
      <c r="H78" s="153">
        <f t="shared" si="69"/>
        <v>48.0375897067466</v>
      </c>
      <c r="I78" s="174">
        <f t="shared" ref="I78:K78" si="77">E78</f>
        <v>0</v>
      </c>
      <c r="J78" s="174">
        <f t="shared" si="77"/>
        <v>48.0375897067466</v>
      </c>
      <c r="K78" s="174">
        <f t="shared" si="77"/>
        <v>0</v>
      </c>
      <c r="L78" s="143">
        <f t="shared" si="68"/>
        <v>48.0375897067466</v>
      </c>
      <c r="M78" s="101">
        <f t="shared" si="71"/>
        <v>8.60000000000001</v>
      </c>
    </row>
    <row r="79" spans="2:13">
      <c r="B79" s="156" t="s">
        <v>1110</v>
      </c>
      <c r="C79" s="55"/>
      <c r="D79" s="174">
        <f>'[18]Rev_SP-12me'!AQ91</f>
        <v>682.855593847427</v>
      </c>
      <c r="E79" s="174">
        <f>'[18]Rev_SP-12me'!AT91</f>
        <v>0</v>
      </c>
      <c r="F79" s="174">
        <f>'[18]Rev_SP-12me'!AU91</f>
        <v>590.670088678024</v>
      </c>
      <c r="G79" s="174">
        <f>'[18]Rev_SP-12me'!AW91</f>
        <v>0</v>
      </c>
      <c r="H79" s="153">
        <f t="shared" si="69"/>
        <v>590.670088678024</v>
      </c>
      <c r="I79" s="174">
        <f t="shared" ref="I79:K79" si="78">E79</f>
        <v>0</v>
      </c>
      <c r="J79" s="174">
        <f t="shared" si="78"/>
        <v>590.670088678024</v>
      </c>
      <c r="K79" s="174">
        <f t="shared" si="78"/>
        <v>0</v>
      </c>
      <c r="L79" s="143">
        <f t="shared" si="68"/>
        <v>590.670088678024</v>
      </c>
      <c r="M79" s="101">
        <f t="shared" si="71"/>
        <v>8.64999999999999</v>
      </c>
    </row>
    <row r="80" spans="2:13">
      <c r="B80" s="156" t="s">
        <v>1111</v>
      </c>
      <c r="C80" s="55"/>
      <c r="D80" s="174">
        <f>'[18]Rev_SP-12me'!AQ92</f>
        <v>680.138918671545</v>
      </c>
      <c r="E80" s="174">
        <f>'[18]Rev_SP-12me'!AT92</f>
        <v>0</v>
      </c>
      <c r="F80" s="174">
        <f>'[18]Rev_SP-12me'!AU92</f>
        <v>588.320164650886</v>
      </c>
      <c r="G80" s="174">
        <f>'[18]Rev_SP-12me'!AW92</f>
        <v>0</v>
      </c>
      <c r="H80" s="153">
        <f t="shared" si="69"/>
        <v>588.320164650886</v>
      </c>
      <c r="I80" s="174">
        <f t="shared" ref="I80:K80" si="79">E80</f>
        <v>0</v>
      </c>
      <c r="J80" s="174">
        <f t="shared" si="79"/>
        <v>588.320164650886</v>
      </c>
      <c r="K80" s="174">
        <f t="shared" si="79"/>
        <v>0</v>
      </c>
      <c r="L80" s="143">
        <f t="shared" si="68"/>
        <v>588.320164650886</v>
      </c>
      <c r="M80" s="101">
        <f t="shared" si="71"/>
        <v>8.65</v>
      </c>
    </row>
    <row r="81" spans="2:13">
      <c r="B81" s="156" t="s">
        <v>1112</v>
      </c>
      <c r="C81" s="55"/>
      <c r="D81" s="174">
        <f>'[18]Rev_SP-12me'!AQ93</f>
        <v>1310.64780962815</v>
      </c>
      <c r="E81" s="174">
        <f>'[18]Rev_SP-12me'!AT93</f>
        <v>0</v>
      </c>
      <c r="F81" s="174">
        <f>'[18]Rev_SP-12me'!AU93</f>
        <v>806.048402921312</v>
      </c>
      <c r="G81" s="174">
        <f>'[18]Rev_SP-12me'!AW93</f>
        <v>0</v>
      </c>
      <c r="H81" s="153">
        <f t="shared" si="69"/>
        <v>806.048402921312</v>
      </c>
      <c r="I81" s="174">
        <f t="shared" ref="I81:K81" si="80">E81</f>
        <v>0</v>
      </c>
      <c r="J81" s="174">
        <f t="shared" si="80"/>
        <v>806.048402921312</v>
      </c>
      <c r="K81" s="174">
        <f t="shared" si="80"/>
        <v>0</v>
      </c>
      <c r="L81" s="143">
        <f t="shared" si="68"/>
        <v>806.048402921312</v>
      </c>
      <c r="M81" s="101">
        <f t="shared" si="71"/>
        <v>6.15</v>
      </c>
    </row>
    <row r="82" ht="15" spans="2:13">
      <c r="B82" s="151" t="s">
        <v>1113</v>
      </c>
      <c r="C82" s="55"/>
      <c r="D82" s="153">
        <f>'[18]Rev_SP-12me'!AQ94</f>
        <v>149.977058949324</v>
      </c>
      <c r="E82" s="153">
        <f>'[18]Rev_SP-12me'!AT94</f>
        <v>0</v>
      </c>
      <c r="F82" s="153">
        <f>'[18]Rev_SP-12me'!AU94</f>
        <v>113.26769133835</v>
      </c>
      <c r="G82" s="153">
        <f>'[18]Rev_SP-12me'!AW94</f>
        <v>0</v>
      </c>
      <c r="H82" s="150">
        <f t="shared" si="69"/>
        <v>113.26769133835</v>
      </c>
      <c r="I82" s="174">
        <f t="shared" ref="I82:K82" si="81">E82</f>
        <v>0</v>
      </c>
      <c r="J82" s="174">
        <f t="shared" si="81"/>
        <v>113.26769133835</v>
      </c>
      <c r="K82" s="174">
        <f t="shared" si="81"/>
        <v>0</v>
      </c>
      <c r="L82" s="142">
        <f t="shared" si="68"/>
        <v>113.26769133835</v>
      </c>
      <c r="M82" s="101">
        <f t="shared" si="71"/>
        <v>7.55233447914339</v>
      </c>
    </row>
    <row r="83" spans="2:13">
      <c r="B83" s="156" t="s">
        <v>1114</v>
      </c>
      <c r="C83" s="55"/>
      <c r="D83" s="174">
        <f>'[18]Rev_SP-12me'!AQ95</f>
        <v>51.5931249647781</v>
      </c>
      <c r="E83" s="174">
        <f>'[18]Rev_SP-12me'!AT95</f>
        <v>0</v>
      </c>
      <c r="F83" s="174">
        <f>'[18]Rev_SP-12me'!AU95</f>
        <v>39.4687405980552</v>
      </c>
      <c r="G83" s="174">
        <f>'[18]Rev_SP-12me'!AW95</f>
        <v>0</v>
      </c>
      <c r="H83" s="153">
        <f t="shared" si="69"/>
        <v>39.4687405980552</v>
      </c>
      <c r="I83" s="174">
        <f t="shared" ref="I83:K83" si="82">E83</f>
        <v>0</v>
      </c>
      <c r="J83" s="174">
        <f t="shared" si="82"/>
        <v>39.4687405980552</v>
      </c>
      <c r="K83" s="174">
        <f t="shared" si="82"/>
        <v>0</v>
      </c>
      <c r="L83" s="143">
        <f t="shared" si="68"/>
        <v>39.4687405980552</v>
      </c>
      <c r="M83" s="101">
        <f t="shared" si="71"/>
        <v>7.64999999999999</v>
      </c>
    </row>
    <row r="84" spans="2:13">
      <c r="B84" s="156" t="s">
        <v>1115</v>
      </c>
      <c r="C84" s="55"/>
      <c r="D84" s="174">
        <f>'[18]Rev_SP-12me'!AQ96</f>
        <v>26.5182408297973</v>
      </c>
      <c r="E84" s="174">
        <f>'[18]Rev_SP-12me'!AT96</f>
        <v>0</v>
      </c>
      <c r="F84" s="174">
        <f>'[18]Rev_SP-12me'!AU96</f>
        <v>22.9382783177746</v>
      </c>
      <c r="G84" s="174">
        <f>'[18]Rev_SP-12me'!AW96</f>
        <v>0</v>
      </c>
      <c r="H84" s="153">
        <f t="shared" si="69"/>
        <v>22.9382783177746</v>
      </c>
      <c r="I84" s="174">
        <f t="shared" ref="I84:K84" si="83">E84</f>
        <v>0</v>
      </c>
      <c r="J84" s="174">
        <f t="shared" si="83"/>
        <v>22.9382783177746</v>
      </c>
      <c r="K84" s="174">
        <f t="shared" si="83"/>
        <v>0</v>
      </c>
      <c r="L84" s="143">
        <f t="shared" si="68"/>
        <v>22.9382783177746</v>
      </c>
      <c r="M84" s="101">
        <f t="shared" si="71"/>
        <v>8.64999999999998</v>
      </c>
    </row>
    <row r="85" spans="2:13">
      <c r="B85" s="156" t="s">
        <v>1116</v>
      </c>
      <c r="C85" s="55"/>
      <c r="D85" s="174">
        <f>'[18]Rev_SP-12me'!AQ97</f>
        <v>26.6530845293995</v>
      </c>
      <c r="E85" s="174">
        <f>'[18]Rev_SP-12me'!AT97</f>
        <v>0</v>
      </c>
      <c r="F85" s="174">
        <f>'[18]Rev_SP-12me'!AU97</f>
        <v>23.0549181179305</v>
      </c>
      <c r="G85" s="174">
        <f>'[18]Rev_SP-12me'!AW97</f>
        <v>0</v>
      </c>
      <c r="H85" s="153">
        <f t="shared" si="69"/>
        <v>23.0549181179305</v>
      </c>
      <c r="I85" s="174">
        <f t="shared" ref="I85:K85" si="84">E85</f>
        <v>0</v>
      </c>
      <c r="J85" s="174">
        <f t="shared" si="84"/>
        <v>23.0549181179305</v>
      </c>
      <c r="K85" s="174">
        <f t="shared" si="84"/>
        <v>0</v>
      </c>
      <c r="L85" s="143">
        <f t="shared" si="68"/>
        <v>23.0549181179305</v>
      </c>
      <c r="M85" s="101">
        <f t="shared" si="71"/>
        <v>8.64999999999998</v>
      </c>
    </row>
    <row r="86" spans="2:13">
      <c r="B86" s="156" t="s">
        <v>1117</v>
      </c>
      <c r="C86" s="55"/>
      <c r="D86" s="174">
        <f>'[18]Rev_SP-12me'!AQ98</f>
        <v>45.212608625349</v>
      </c>
      <c r="E86" s="174">
        <f>'[18]Rev_SP-12me'!AT98</f>
        <v>0</v>
      </c>
      <c r="F86" s="174">
        <f>'[18]Rev_SP-12me'!AU98</f>
        <v>27.8057543045897</v>
      </c>
      <c r="G86" s="174">
        <f>'[18]Rev_SP-12me'!AW98</f>
        <v>0</v>
      </c>
      <c r="H86" s="153">
        <f t="shared" si="69"/>
        <v>27.8057543045897</v>
      </c>
      <c r="I86" s="174">
        <f t="shared" ref="I86:K86" si="85">E86</f>
        <v>0</v>
      </c>
      <c r="J86" s="174">
        <f t="shared" si="85"/>
        <v>27.8057543045897</v>
      </c>
      <c r="K86" s="174">
        <f t="shared" si="85"/>
        <v>0</v>
      </c>
      <c r="L86" s="143">
        <f t="shared" si="68"/>
        <v>27.8057543045897</v>
      </c>
      <c r="M86" s="101">
        <f t="shared" si="71"/>
        <v>6.15000000000002</v>
      </c>
    </row>
    <row r="87" ht="15" spans="2:13">
      <c r="B87" s="151" t="s">
        <v>1118</v>
      </c>
      <c r="C87" s="55"/>
      <c r="D87" s="150">
        <f>'[18]Rev_SP-12me'!AQ100</f>
        <v>49.0509976369957</v>
      </c>
      <c r="E87" s="150">
        <f>'[18]Rev_SP-12me'!AT100</f>
        <v>0</v>
      </c>
      <c r="F87" s="150">
        <f>'[18]Rev_SP-12me'!AU100</f>
        <v>37.0895309483704</v>
      </c>
      <c r="G87" s="150">
        <f>'[18]Rev_SP-12me'!AW100</f>
        <v>0</v>
      </c>
      <c r="H87" s="150">
        <f t="shared" si="69"/>
        <v>37.0895309483704</v>
      </c>
      <c r="I87" s="150">
        <f t="shared" ref="I87:K87" si="86">E87</f>
        <v>0</v>
      </c>
      <c r="J87" s="150">
        <f t="shared" si="86"/>
        <v>37.0895309483704</v>
      </c>
      <c r="K87" s="150">
        <f t="shared" si="86"/>
        <v>0</v>
      </c>
      <c r="L87" s="142">
        <f t="shared" si="68"/>
        <v>37.0895309483704</v>
      </c>
      <c r="M87" s="101">
        <f t="shared" si="71"/>
        <v>7.56142234309958</v>
      </c>
    </row>
    <row r="88" spans="2:13">
      <c r="B88" s="154" t="s">
        <v>1119</v>
      </c>
      <c r="C88" s="55"/>
      <c r="D88" s="174">
        <f>'[18]Rev_SP-12me'!AQ101</f>
        <v>17.8499657452963</v>
      </c>
      <c r="E88" s="174">
        <f>'[18]Rev_SP-12me'!AT101</f>
        <v>0</v>
      </c>
      <c r="F88" s="174">
        <f>'[18]Rev_SP-12me'!AU101</f>
        <v>13.6552237951516</v>
      </c>
      <c r="G88" s="174">
        <f>'[18]Rev_SP-12me'!AW101</f>
        <v>0</v>
      </c>
      <c r="H88" s="153">
        <f t="shared" si="69"/>
        <v>13.6552237951516</v>
      </c>
      <c r="I88" s="174">
        <f t="shared" ref="I88:K88" si="87">E88</f>
        <v>0</v>
      </c>
      <c r="J88" s="174">
        <f t="shared" si="87"/>
        <v>13.6552237951516</v>
      </c>
      <c r="K88" s="174">
        <f t="shared" si="87"/>
        <v>0</v>
      </c>
      <c r="L88" s="143">
        <f t="shared" si="68"/>
        <v>13.6552237951516</v>
      </c>
      <c r="M88" s="101">
        <f t="shared" si="71"/>
        <v>7.64999999999996</v>
      </c>
    </row>
    <row r="89" spans="2:13">
      <c r="B89" s="154" t="s">
        <v>1120</v>
      </c>
      <c r="C89" s="55"/>
      <c r="D89" s="174">
        <f>'[18]Rev_SP-12me'!AQ102</f>
        <v>8.43161457454638</v>
      </c>
      <c r="E89" s="174">
        <f>'[18]Rev_SP-12me'!AT102</f>
        <v>0</v>
      </c>
      <c r="F89" s="174">
        <f>'[18]Rev_SP-12me'!AU102</f>
        <v>7.29334660698262</v>
      </c>
      <c r="G89" s="174">
        <f>'[18]Rev_SP-12me'!AW102</f>
        <v>0</v>
      </c>
      <c r="H89" s="153">
        <f t="shared" si="69"/>
        <v>7.29334660698262</v>
      </c>
      <c r="I89" s="174">
        <f t="shared" ref="I89:K89" si="88">E89</f>
        <v>0</v>
      </c>
      <c r="J89" s="174">
        <f t="shared" si="88"/>
        <v>7.29334660698262</v>
      </c>
      <c r="K89" s="174">
        <f t="shared" si="88"/>
        <v>0</v>
      </c>
      <c r="L89" s="143">
        <f t="shared" si="68"/>
        <v>7.29334660698262</v>
      </c>
      <c r="M89" s="101">
        <f t="shared" si="71"/>
        <v>8.65</v>
      </c>
    </row>
    <row r="90" spans="2:13">
      <c r="B90" s="154" t="s">
        <v>1121</v>
      </c>
      <c r="C90" s="55"/>
      <c r="D90" s="174">
        <f>'[18]Rev_SP-12me'!AQ103</f>
        <v>8.55107558474793</v>
      </c>
      <c r="E90" s="174">
        <f>'[18]Rev_SP-12me'!AT103</f>
        <v>0</v>
      </c>
      <c r="F90" s="174">
        <f>'[18]Rev_SP-12me'!AU103</f>
        <v>7.39668038080696</v>
      </c>
      <c r="G90" s="174">
        <f>'[18]Rev_SP-12me'!AW103</f>
        <v>0</v>
      </c>
      <c r="H90" s="153">
        <f t="shared" si="69"/>
        <v>7.39668038080696</v>
      </c>
      <c r="I90" s="174">
        <f t="shared" ref="I90:K90" si="89">E90</f>
        <v>0</v>
      </c>
      <c r="J90" s="174">
        <f t="shared" si="89"/>
        <v>7.39668038080696</v>
      </c>
      <c r="K90" s="174">
        <f t="shared" si="89"/>
        <v>0</v>
      </c>
      <c r="L90" s="143">
        <f t="shared" si="68"/>
        <v>7.39668038080696</v>
      </c>
      <c r="M90" s="101">
        <f t="shared" si="71"/>
        <v>8.65</v>
      </c>
    </row>
    <row r="91" spans="2:13">
      <c r="B91" s="154" t="s">
        <v>1122</v>
      </c>
      <c r="C91" s="55"/>
      <c r="D91" s="174">
        <f>'[18]Rev_SP-12me'!AQ104</f>
        <v>14.2183417324051</v>
      </c>
      <c r="E91" s="174">
        <f>'[18]Rev_SP-12me'!AT104</f>
        <v>0</v>
      </c>
      <c r="F91" s="174">
        <f>'[18]Rev_SP-12me'!AU104</f>
        <v>8.74428016542913</v>
      </c>
      <c r="G91" s="174">
        <f>'[18]Rev_SP-12me'!AW104</f>
        <v>0</v>
      </c>
      <c r="H91" s="153">
        <f t="shared" si="69"/>
        <v>8.74428016542913</v>
      </c>
      <c r="I91" s="174">
        <f t="shared" ref="I91:K91" si="90">E91</f>
        <v>0</v>
      </c>
      <c r="J91" s="174">
        <f t="shared" si="90"/>
        <v>8.74428016542913</v>
      </c>
      <c r="K91" s="174">
        <f t="shared" si="90"/>
        <v>0</v>
      </c>
      <c r="L91" s="143">
        <f t="shared" si="68"/>
        <v>8.74428016542913</v>
      </c>
      <c r="M91" s="101">
        <f t="shared" si="71"/>
        <v>6.15</v>
      </c>
    </row>
    <row r="92" ht="15" spans="2:13">
      <c r="B92" s="151" t="s">
        <v>1123</v>
      </c>
      <c r="C92" s="55"/>
      <c r="D92" s="150">
        <f>'[18]Rev_SP-12me'!AQ99</f>
        <v>0.5403905124</v>
      </c>
      <c r="E92" s="150">
        <f>'[18]Rev_SP-12me'!AT99</f>
        <v>0</v>
      </c>
      <c r="F92" s="150">
        <f>'[18]Rev_SP-12me'!AU99</f>
        <v>0.413398741986</v>
      </c>
      <c r="G92" s="150">
        <f>'[18]Rev_SP-12me'!AW99</f>
        <v>0</v>
      </c>
      <c r="H92" s="137">
        <f t="shared" si="69"/>
        <v>0.413398741986</v>
      </c>
      <c r="I92" s="150">
        <f t="shared" ref="I92:K92" si="91">E92</f>
        <v>0</v>
      </c>
      <c r="J92" s="150">
        <f t="shared" si="91"/>
        <v>0.413398741986</v>
      </c>
      <c r="K92" s="150">
        <f t="shared" si="91"/>
        <v>0</v>
      </c>
      <c r="L92" s="142">
        <f t="shared" si="68"/>
        <v>0.413398741986</v>
      </c>
      <c r="M92" s="101">
        <f t="shared" si="71"/>
        <v>7.65</v>
      </c>
    </row>
    <row r="93" ht="15" spans="2:13">
      <c r="B93" s="151" t="s">
        <v>1124</v>
      </c>
      <c r="C93" s="55"/>
      <c r="D93" s="150">
        <f>'[18]Rev_SP-12me'!AQ105</f>
        <v>2574.01348848237</v>
      </c>
      <c r="E93" s="150">
        <f>'[18]Rev_SP-12me'!AT105</f>
        <v>493.977130451091</v>
      </c>
      <c r="F93" s="150">
        <f>'[18]Rev_SP-12me'!AU105</f>
        <v>2260.97989605032</v>
      </c>
      <c r="G93" s="150">
        <f>'[18]Rev_SP-12me'!AW105</f>
        <v>12.234</v>
      </c>
      <c r="H93" s="150">
        <f t="shared" si="69"/>
        <v>2767.19102650141</v>
      </c>
      <c r="I93" s="150">
        <f t="shared" ref="I93:K93" si="92">E93</f>
        <v>493.977130451091</v>
      </c>
      <c r="J93" s="150">
        <f t="shared" si="92"/>
        <v>2260.97989605032</v>
      </c>
      <c r="K93" s="150">
        <f t="shared" si="92"/>
        <v>12.234</v>
      </c>
      <c r="L93" s="142">
        <f t="shared" si="68"/>
        <v>2767.19102650141</v>
      </c>
      <c r="M93" s="101">
        <f t="shared" si="71"/>
        <v>10.7504915529131</v>
      </c>
    </row>
    <row r="94" spans="2:13">
      <c r="B94" s="154" t="s">
        <v>1119</v>
      </c>
      <c r="C94" s="55"/>
      <c r="D94" s="174">
        <f>'[18]Rev_SP-12me'!AQ106</f>
        <v>1100.14393404996</v>
      </c>
      <c r="E94" s="174">
        <f>'[18]Rev_SP-12me'!AT106</f>
        <v>493.977130451091</v>
      </c>
      <c r="F94" s="174">
        <f>'[18]Rev_SP-12me'!AU106</f>
        <v>968.126661963965</v>
      </c>
      <c r="G94" s="174">
        <f>'[18]Rev_SP-12me'!AW106</f>
        <v>12.234</v>
      </c>
      <c r="H94" s="153">
        <f t="shared" si="69"/>
        <v>1474.33779241506</v>
      </c>
      <c r="I94" s="174">
        <f t="shared" ref="I94:K94" si="93">E94</f>
        <v>493.977130451091</v>
      </c>
      <c r="J94" s="174">
        <f t="shared" si="93"/>
        <v>968.126661963965</v>
      </c>
      <c r="K94" s="174">
        <f t="shared" si="93"/>
        <v>12.234</v>
      </c>
      <c r="L94" s="143">
        <f t="shared" si="68"/>
        <v>1474.33779241506</v>
      </c>
      <c r="M94" s="101">
        <f t="shared" si="71"/>
        <v>13.4013172893439</v>
      </c>
    </row>
    <row r="95" spans="2:13">
      <c r="B95" s="154" t="s">
        <v>1120</v>
      </c>
      <c r="C95" s="55"/>
      <c r="D95" s="174">
        <f>'[18]Rev_SP-12me'!AQ107</f>
        <v>431.177507691291</v>
      </c>
      <c r="E95" s="174">
        <f>'[18]Rev_SP-12me'!AT107</f>
        <v>0</v>
      </c>
      <c r="F95" s="174">
        <f>'[18]Rev_SP-12me'!AU107</f>
        <v>422.553957537465</v>
      </c>
      <c r="G95" s="174">
        <f>'[18]Rev_SP-12me'!AW107</f>
        <v>0</v>
      </c>
      <c r="H95" s="153">
        <f t="shared" si="69"/>
        <v>422.553957537465</v>
      </c>
      <c r="I95" s="174">
        <f t="shared" ref="I95:K95" si="94">E95</f>
        <v>0</v>
      </c>
      <c r="J95" s="174">
        <f t="shared" si="94"/>
        <v>422.553957537465</v>
      </c>
      <c r="K95" s="174">
        <f t="shared" si="94"/>
        <v>0</v>
      </c>
      <c r="L95" s="143">
        <f t="shared" si="68"/>
        <v>422.553957537465</v>
      </c>
      <c r="M95" s="101">
        <f t="shared" si="71"/>
        <v>9.8</v>
      </c>
    </row>
    <row r="96" spans="2:13">
      <c r="B96" s="154" t="s">
        <v>1121</v>
      </c>
      <c r="C96" s="55"/>
      <c r="D96" s="174">
        <f>'[18]Rev_SP-12me'!AQ108</f>
        <v>436.536329711515</v>
      </c>
      <c r="E96" s="174">
        <f>'[18]Rev_SP-12me'!AT108</f>
        <v>0</v>
      </c>
      <c r="F96" s="174">
        <f>'[18]Rev_SP-12me'!AU108</f>
        <v>427.805603117284</v>
      </c>
      <c r="G96" s="174">
        <f>'[18]Rev_SP-12me'!AW108</f>
        <v>0</v>
      </c>
      <c r="H96" s="153">
        <f t="shared" si="69"/>
        <v>427.805603117284</v>
      </c>
      <c r="I96" s="174">
        <f t="shared" ref="I96:K96" si="95">E96</f>
        <v>0</v>
      </c>
      <c r="J96" s="174">
        <f t="shared" si="95"/>
        <v>427.805603117284</v>
      </c>
      <c r="K96" s="174">
        <f t="shared" si="95"/>
        <v>0</v>
      </c>
      <c r="L96" s="143">
        <f t="shared" si="68"/>
        <v>427.805603117284</v>
      </c>
      <c r="M96" s="101">
        <f t="shared" si="71"/>
        <v>9.79999999999998</v>
      </c>
    </row>
    <row r="97" spans="2:13">
      <c r="B97" s="154" t="s">
        <v>1122</v>
      </c>
      <c r="C97" s="55"/>
      <c r="D97" s="174">
        <f>'[18]Rev_SP-12me'!AQ109</f>
        <v>606.155717029601</v>
      </c>
      <c r="E97" s="174">
        <f>'[18]Rev_SP-12me'!AT109</f>
        <v>0</v>
      </c>
      <c r="F97" s="174">
        <f>'[18]Rev_SP-12me'!AU109</f>
        <v>442.493673431609</v>
      </c>
      <c r="G97" s="174">
        <f>'[18]Rev_SP-12me'!AW109</f>
        <v>0</v>
      </c>
      <c r="H97" s="153">
        <f t="shared" si="69"/>
        <v>442.493673431609</v>
      </c>
      <c r="I97" s="174">
        <f t="shared" ref="I97:K97" si="96">E97</f>
        <v>0</v>
      </c>
      <c r="J97" s="174">
        <f t="shared" si="96"/>
        <v>442.493673431609</v>
      </c>
      <c r="K97" s="174">
        <f t="shared" si="96"/>
        <v>0</v>
      </c>
      <c r="L97" s="143">
        <f t="shared" si="68"/>
        <v>442.493673431609</v>
      </c>
      <c r="M97" s="101">
        <f t="shared" si="71"/>
        <v>7.30000000000001</v>
      </c>
    </row>
    <row r="98" ht="15" spans="2:13">
      <c r="B98" s="151" t="s">
        <v>1125</v>
      </c>
      <c r="C98" s="55"/>
      <c r="D98" s="150">
        <f>'[18]Rev_SP-12me'!AQ110</f>
        <v>0.461284863244088</v>
      </c>
      <c r="E98" s="150">
        <f>'[18]Rev_SP-12me'!AT110</f>
        <v>0</v>
      </c>
      <c r="F98" s="150">
        <f>'[18]Rev_SP-12me'!AU110</f>
        <v>0.220876204895096</v>
      </c>
      <c r="G98" s="150">
        <f>'[18]Rev_SP-12me'!AW110</f>
        <v>0</v>
      </c>
      <c r="H98" s="150">
        <f t="shared" si="69"/>
        <v>0.220876204895096</v>
      </c>
      <c r="I98" s="150">
        <f t="shared" ref="I98:K98" si="97">E98</f>
        <v>0</v>
      </c>
      <c r="J98" s="150">
        <f t="shared" si="97"/>
        <v>0.220876204895096</v>
      </c>
      <c r="K98" s="150">
        <f t="shared" si="97"/>
        <v>0</v>
      </c>
      <c r="L98" s="142">
        <f t="shared" si="68"/>
        <v>0.220876204895096</v>
      </c>
      <c r="M98" s="101">
        <f t="shared" si="71"/>
        <v>4.78828208976412</v>
      </c>
    </row>
    <row r="99" spans="2:13">
      <c r="B99" s="154" t="s">
        <v>1119</v>
      </c>
      <c r="C99" s="55"/>
      <c r="D99" s="174">
        <f>'[18]Rev_SP-12me'!AQ111</f>
        <v>0.120812111999383</v>
      </c>
      <c r="E99" s="174">
        <f>'[18]Rev_SP-12me'!AT111</f>
        <v>0</v>
      </c>
      <c r="F99" s="174">
        <f>'[18]Rev_SP-12me'!AU111</f>
        <v>0.0604060559996917</v>
      </c>
      <c r="G99" s="174">
        <f>'[18]Rev_SP-12me'!AW111</f>
        <v>0</v>
      </c>
      <c r="H99" s="153">
        <f t="shared" si="69"/>
        <v>0.0604060559996917</v>
      </c>
      <c r="I99" s="174">
        <f t="shared" ref="I99:K99" si="98">E99</f>
        <v>0</v>
      </c>
      <c r="J99" s="174">
        <f t="shared" si="98"/>
        <v>0.0604060559996917</v>
      </c>
      <c r="K99" s="174">
        <f t="shared" si="98"/>
        <v>0</v>
      </c>
      <c r="L99" s="143">
        <f t="shared" si="68"/>
        <v>0.0604060559996917</v>
      </c>
      <c r="M99" s="101">
        <f t="shared" si="71"/>
        <v>5.00000000000002</v>
      </c>
    </row>
    <row r="100" spans="2:13">
      <c r="B100" s="154" t="s">
        <v>1120</v>
      </c>
      <c r="C100" s="55"/>
      <c r="D100" s="174">
        <f>'[18]Rev_SP-12me'!AQ112</f>
        <v>0.0806635734427484</v>
      </c>
      <c r="E100" s="174">
        <f>'[18]Rev_SP-12me'!AT112</f>
        <v>0</v>
      </c>
      <c r="F100" s="174">
        <f>'[18]Rev_SP-12me'!AU112</f>
        <v>0.048398144065649</v>
      </c>
      <c r="G100" s="174">
        <f>'[18]Rev_SP-12me'!AW112</f>
        <v>0</v>
      </c>
      <c r="H100" s="153">
        <f t="shared" si="69"/>
        <v>0.048398144065649</v>
      </c>
      <c r="I100" s="174">
        <f t="shared" ref="I100:K100" si="99">E100</f>
        <v>0</v>
      </c>
      <c r="J100" s="174">
        <f t="shared" si="99"/>
        <v>0.048398144065649</v>
      </c>
      <c r="K100" s="174">
        <f t="shared" si="99"/>
        <v>0</v>
      </c>
      <c r="L100" s="143">
        <f t="shared" si="68"/>
        <v>0.048398144065649</v>
      </c>
      <c r="M100" s="101">
        <f t="shared" si="71"/>
        <v>5.99999999999999</v>
      </c>
    </row>
    <row r="101" spans="2:13">
      <c r="B101" s="154" t="s">
        <v>1121</v>
      </c>
      <c r="C101" s="55"/>
      <c r="D101" s="174">
        <f>'[18]Rev_SP-12me'!AQ113</f>
        <v>0.0845551703962835</v>
      </c>
      <c r="E101" s="174">
        <f>'[18]Rev_SP-12me'!AT113</f>
        <v>0</v>
      </c>
      <c r="F101" s="174">
        <f>'[18]Rev_SP-12me'!AU113</f>
        <v>0.0507331022377701</v>
      </c>
      <c r="G101" s="174">
        <f>'[18]Rev_SP-12me'!AW113</f>
        <v>0</v>
      </c>
      <c r="H101" s="153">
        <f t="shared" si="69"/>
        <v>0.0507331022377701</v>
      </c>
      <c r="I101" s="174">
        <f t="shared" ref="I101:K101" si="100">E101</f>
        <v>0</v>
      </c>
      <c r="J101" s="174">
        <f t="shared" si="100"/>
        <v>0.0507331022377701</v>
      </c>
      <c r="K101" s="174">
        <f t="shared" si="100"/>
        <v>0</v>
      </c>
      <c r="L101" s="143">
        <f t="shared" si="68"/>
        <v>0.0507331022377701</v>
      </c>
      <c r="M101" s="101">
        <f t="shared" si="71"/>
        <v>6</v>
      </c>
    </row>
    <row r="102" spans="2:13">
      <c r="B102" s="154" t="s">
        <v>1122</v>
      </c>
      <c r="C102" s="55"/>
      <c r="D102" s="174">
        <f>'[18]Rev_SP-12me'!AQ114</f>
        <v>0.175254007405673</v>
      </c>
      <c r="E102" s="174">
        <f>'[18]Rev_SP-12me'!AT114</f>
        <v>0</v>
      </c>
      <c r="F102" s="174">
        <f>'[18]Rev_SP-12me'!AU114</f>
        <v>0.0613389025919854</v>
      </c>
      <c r="G102" s="174">
        <f>'[18]Rev_SP-12me'!AW114</f>
        <v>0</v>
      </c>
      <c r="H102" s="153">
        <f t="shared" si="69"/>
        <v>0.0613389025919854</v>
      </c>
      <c r="I102" s="174">
        <f t="shared" ref="I102:K102" si="101">E102</f>
        <v>0</v>
      </c>
      <c r="J102" s="174">
        <f t="shared" si="101"/>
        <v>0.0613389025919854</v>
      </c>
      <c r="K102" s="174">
        <f t="shared" si="101"/>
        <v>0</v>
      </c>
      <c r="L102" s="143">
        <f t="shared" si="68"/>
        <v>0.0613389025919854</v>
      </c>
      <c r="M102" s="101">
        <f t="shared" si="71"/>
        <v>3.49999999999999</v>
      </c>
    </row>
    <row r="103" ht="15" spans="2:13">
      <c r="B103" s="151" t="s">
        <v>1126</v>
      </c>
      <c r="C103" s="55"/>
      <c r="D103" s="150">
        <f>'[18]Rev_SP-12me'!AQ115</f>
        <v>5.98000855702511</v>
      </c>
      <c r="E103" s="150">
        <f>'[18]Rev_SP-12me'!AT115</f>
        <v>1.48644587022538</v>
      </c>
      <c r="F103" s="150">
        <f>'[18]Rev_SP-12me'!AU115</f>
        <v>4.94917495269459</v>
      </c>
      <c r="G103" s="150">
        <f>'[18]Rev_SP-12me'!AW115</f>
        <v>0.0336</v>
      </c>
      <c r="H103" s="150">
        <f t="shared" si="69"/>
        <v>6.46922082291997</v>
      </c>
      <c r="I103" s="150">
        <f t="shared" ref="I103:K103" si="102">E103</f>
        <v>1.48644587022538</v>
      </c>
      <c r="J103" s="150">
        <f t="shared" si="102"/>
        <v>4.94917495269459</v>
      </c>
      <c r="K103" s="150">
        <f t="shared" si="102"/>
        <v>0.0336</v>
      </c>
      <c r="L103" s="142">
        <f t="shared" si="68"/>
        <v>6.46922082291997</v>
      </c>
      <c r="M103" s="101">
        <f t="shared" si="71"/>
        <v>10.8180795415755</v>
      </c>
    </row>
    <row r="104" spans="2:13">
      <c r="B104" s="154" t="s">
        <v>1119</v>
      </c>
      <c r="C104" s="55"/>
      <c r="D104" s="174">
        <f>'[18]Rev_SP-12me'!AQ116</f>
        <v>1.58563939801617</v>
      </c>
      <c r="E104" s="174">
        <f>'[18]Rev_SP-12me'!AT116</f>
        <v>1.48644587022538</v>
      </c>
      <c r="F104" s="174">
        <f>'[18]Rev_SP-12me'!AU116</f>
        <v>1.34779348831374</v>
      </c>
      <c r="G104" s="174">
        <f>'[18]Rev_SP-12me'!AW116</f>
        <v>0.0336</v>
      </c>
      <c r="H104" s="153">
        <f t="shared" si="69"/>
        <v>2.86783935853912</v>
      </c>
      <c r="I104" s="174">
        <f t="shared" ref="I104:K104" si="103">E104</f>
        <v>1.48644587022538</v>
      </c>
      <c r="J104" s="174">
        <f t="shared" si="103"/>
        <v>1.34779348831374</v>
      </c>
      <c r="K104" s="174">
        <f t="shared" si="103"/>
        <v>0.0336</v>
      </c>
      <c r="L104" s="143">
        <f t="shared" si="68"/>
        <v>2.86783935853912</v>
      </c>
      <c r="M104" s="101">
        <f t="shared" si="71"/>
        <v>18.0863275857496</v>
      </c>
    </row>
    <row r="105" spans="2:13">
      <c r="B105" s="154" t="s">
        <v>1120</v>
      </c>
      <c r="C105" s="55"/>
      <c r="D105" s="174">
        <f>'[18]Rev_SP-12me'!AQ117</f>
        <v>1.05840909157171</v>
      </c>
      <c r="E105" s="174">
        <f>'[18]Rev_SP-12me'!AT117</f>
        <v>0</v>
      </c>
      <c r="F105" s="174">
        <f>'[18]Rev_SP-12me'!AU117</f>
        <v>1.00548863699313</v>
      </c>
      <c r="G105" s="174">
        <f>'[18]Rev_SP-12me'!AW117</f>
        <v>0</v>
      </c>
      <c r="H105" s="153">
        <f t="shared" si="69"/>
        <v>1.00548863699313</v>
      </c>
      <c r="I105" s="174">
        <f t="shared" ref="I105:K105" si="104">E105</f>
        <v>0</v>
      </c>
      <c r="J105" s="174">
        <f t="shared" si="104"/>
        <v>1.00548863699313</v>
      </c>
      <c r="K105" s="174">
        <f t="shared" si="104"/>
        <v>0</v>
      </c>
      <c r="L105" s="143">
        <f t="shared" si="68"/>
        <v>1.00548863699313</v>
      </c>
      <c r="M105" s="101">
        <f t="shared" si="71"/>
        <v>9.50000000000005</v>
      </c>
    </row>
    <row r="106" spans="2:13">
      <c r="B106" s="154" t="s">
        <v>1121</v>
      </c>
      <c r="C106" s="55"/>
      <c r="D106" s="174">
        <f>'[18]Rev_SP-12me'!AQ118</f>
        <v>1.04288312072663</v>
      </c>
      <c r="E106" s="174">
        <f>'[18]Rev_SP-12me'!AT118</f>
        <v>0</v>
      </c>
      <c r="F106" s="174">
        <f>'[18]Rev_SP-12me'!AU118</f>
        <v>0.9907389646903</v>
      </c>
      <c r="G106" s="174">
        <f>'[18]Rev_SP-12me'!AW118</f>
        <v>0</v>
      </c>
      <c r="H106" s="153">
        <f t="shared" si="69"/>
        <v>0.9907389646903</v>
      </c>
      <c r="I106" s="174">
        <f t="shared" ref="I106:K106" si="105">E106</f>
        <v>0</v>
      </c>
      <c r="J106" s="174">
        <f t="shared" si="105"/>
        <v>0.9907389646903</v>
      </c>
      <c r="K106" s="174">
        <f t="shared" si="105"/>
        <v>0</v>
      </c>
      <c r="L106" s="143">
        <f t="shared" si="68"/>
        <v>0.9907389646903</v>
      </c>
      <c r="M106" s="101">
        <f t="shared" si="71"/>
        <v>9.50000000000001</v>
      </c>
    </row>
    <row r="107" spans="2:13">
      <c r="B107" s="154" t="s">
        <v>1122</v>
      </c>
      <c r="C107" s="55"/>
      <c r="D107" s="174">
        <f>'[18]Rev_SP-12me'!AQ119</f>
        <v>2.29307694671059</v>
      </c>
      <c r="E107" s="174">
        <f>'[18]Rev_SP-12me'!AT119</f>
        <v>0</v>
      </c>
      <c r="F107" s="174">
        <f>'[18]Rev_SP-12me'!AU119</f>
        <v>1.60515386269741</v>
      </c>
      <c r="G107" s="174">
        <f>'[18]Rev_SP-12me'!AW119</f>
        <v>0</v>
      </c>
      <c r="H107" s="153">
        <f t="shared" si="69"/>
        <v>1.60515386269741</v>
      </c>
      <c r="I107" s="174">
        <f t="shared" ref="I107:K107" si="106">E107</f>
        <v>0</v>
      </c>
      <c r="J107" s="174">
        <f t="shared" si="106"/>
        <v>1.60515386269741</v>
      </c>
      <c r="K107" s="174">
        <f t="shared" si="106"/>
        <v>0</v>
      </c>
      <c r="L107" s="143">
        <f t="shared" si="68"/>
        <v>1.60515386269741</v>
      </c>
      <c r="M107" s="101">
        <f t="shared" si="71"/>
        <v>6.99999999999999</v>
      </c>
    </row>
    <row r="108" ht="15" spans="2:13">
      <c r="B108" s="151" t="s">
        <v>1127</v>
      </c>
      <c r="C108" s="55"/>
      <c r="D108" s="150">
        <f>'[18]Rev_SP-12me'!AQ120</f>
        <v>24.98962991965</v>
      </c>
      <c r="E108" s="150">
        <f>'[18]Rev_SP-12me'!AT120</f>
        <v>4.87914950949152</v>
      </c>
      <c r="F108" s="150">
        <f>'[18]Rev_SP-12me'!AU120</f>
        <v>15.7434668493795</v>
      </c>
      <c r="G108" s="150">
        <f>'[18]Rev_SP-12me'!AW120</f>
        <v>0.3252</v>
      </c>
      <c r="H108" s="153">
        <f t="shared" si="69"/>
        <v>20.947816358871</v>
      </c>
      <c r="I108" s="150">
        <f t="shared" ref="I108:K108" si="107">E108</f>
        <v>4.87914950949152</v>
      </c>
      <c r="J108" s="150">
        <f t="shared" si="107"/>
        <v>15.7434668493795</v>
      </c>
      <c r="K108" s="150">
        <f t="shared" si="107"/>
        <v>0.3252</v>
      </c>
      <c r="L108" s="142">
        <f t="shared" si="68"/>
        <v>20.947816358871</v>
      </c>
      <c r="M108" s="101">
        <f t="shared" si="71"/>
        <v>8.38260367449428</v>
      </c>
    </row>
    <row r="109" spans="2:13">
      <c r="B109" s="154" t="s">
        <v>1128</v>
      </c>
      <c r="C109" s="55"/>
      <c r="D109" s="174">
        <f>'[18]Rev_SP-12me'!AQ121</f>
        <v>24.98962991965</v>
      </c>
      <c r="E109" s="174">
        <f>'[18]Rev_SP-12me'!AT121</f>
        <v>4.87914950949152</v>
      </c>
      <c r="F109" s="174">
        <f>'[18]Rev_SP-12me'!AU121</f>
        <v>15.7434668493795</v>
      </c>
      <c r="G109" s="174">
        <f>'[18]Rev_SP-12me'!AW121</f>
        <v>0.3252</v>
      </c>
      <c r="H109" s="153">
        <f t="shared" si="69"/>
        <v>20.947816358871</v>
      </c>
      <c r="I109" s="174">
        <f t="shared" ref="I109:K109" si="108">E109</f>
        <v>4.87914950949152</v>
      </c>
      <c r="J109" s="174">
        <f t="shared" si="108"/>
        <v>15.7434668493795</v>
      </c>
      <c r="K109" s="174">
        <f t="shared" si="108"/>
        <v>0.3252</v>
      </c>
      <c r="L109" s="143">
        <f t="shared" si="68"/>
        <v>20.947816358871</v>
      </c>
      <c r="M109" s="101">
        <f t="shared" si="71"/>
        <v>8.38260367449428</v>
      </c>
    </row>
    <row r="110" ht="15" spans="2:13">
      <c r="B110" s="151" t="s">
        <v>1129</v>
      </c>
      <c r="C110" s="55"/>
      <c r="D110" s="150">
        <f>'[18]Rev_SP-12me'!AQ132</f>
        <v>138.018972117969</v>
      </c>
      <c r="E110" s="150">
        <f>'[18]Rev_SP-12me'!AT132</f>
        <v>0</v>
      </c>
      <c r="F110" s="150">
        <f>'[18]Rev_SP-12me'!AU132</f>
        <v>84.1915729919611</v>
      </c>
      <c r="G110" s="150">
        <f>'[18]Rev_SP-12me'!AW132</f>
        <v>0.2904</v>
      </c>
      <c r="H110" s="153">
        <f t="shared" si="69"/>
        <v>84.4819729919611</v>
      </c>
      <c r="I110" s="150">
        <f t="shared" ref="I110:K110" si="109">E110</f>
        <v>0</v>
      </c>
      <c r="J110" s="150">
        <f t="shared" si="109"/>
        <v>84.1915729919611</v>
      </c>
      <c r="K110" s="150">
        <f t="shared" si="109"/>
        <v>0.2904</v>
      </c>
      <c r="L110" s="142">
        <f t="shared" si="68"/>
        <v>84.4819729919611</v>
      </c>
      <c r="M110" s="101">
        <f t="shared" si="71"/>
        <v>6.12104058561976</v>
      </c>
    </row>
    <row r="111" spans="2:13">
      <c r="B111" s="154" t="s">
        <v>220</v>
      </c>
      <c r="C111" s="55"/>
      <c r="D111" s="174">
        <f>'[18]Rev_SP-12me'!AQ133</f>
        <v>138.018972117969</v>
      </c>
      <c r="E111" s="174">
        <f>'[18]Rev_SP-12me'!AT133</f>
        <v>0</v>
      </c>
      <c r="F111" s="174">
        <f>'[18]Rev_SP-12me'!AU133</f>
        <v>84.1915729919611</v>
      </c>
      <c r="G111" s="174">
        <f>'[18]Rev_SP-12me'!AW133</f>
        <v>0.2904</v>
      </c>
      <c r="H111" s="153">
        <f t="shared" si="69"/>
        <v>84.4819729919611</v>
      </c>
      <c r="I111" s="174">
        <f t="shared" ref="I111:K111" si="110">E111</f>
        <v>0</v>
      </c>
      <c r="J111" s="174">
        <f t="shared" si="110"/>
        <v>84.1915729919611</v>
      </c>
      <c r="K111" s="174">
        <f t="shared" si="110"/>
        <v>0.2904</v>
      </c>
      <c r="L111" s="143">
        <f t="shared" si="68"/>
        <v>84.4819729919611</v>
      </c>
      <c r="M111" s="101">
        <f t="shared" si="71"/>
        <v>6.12104058561976</v>
      </c>
    </row>
    <row r="112" spans="2:13">
      <c r="B112" s="154" t="s">
        <v>1130</v>
      </c>
      <c r="C112" s="55"/>
      <c r="D112" s="174">
        <f>'[18]Rev_SP-12me'!AQ134</f>
        <v>0</v>
      </c>
      <c r="E112" s="174">
        <f>'[18]Rev_SP-12me'!AT134</f>
        <v>0</v>
      </c>
      <c r="F112" s="174">
        <f>'[18]Rev_SP-12me'!AU134</f>
        <v>0</v>
      </c>
      <c r="G112" s="174">
        <f>'[18]Rev_SP-12me'!AW134</f>
        <v>0</v>
      </c>
      <c r="H112" s="153">
        <f t="shared" si="69"/>
        <v>0</v>
      </c>
      <c r="I112" s="174">
        <f t="shared" ref="I112:K112" si="111">E112</f>
        <v>0</v>
      </c>
      <c r="J112" s="174">
        <f t="shared" si="111"/>
        <v>0</v>
      </c>
      <c r="K112" s="174">
        <f t="shared" si="111"/>
        <v>0</v>
      </c>
      <c r="L112" s="143">
        <f t="shared" si="68"/>
        <v>0</v>
      </c>
      <c r="M112" s="101"/>
    </row>
    <row r="113" ht="15" spans="2:13">
      <c r="B113" s="151" t="s">
        <v>1131</v>
      </c>
      <c r="C113" s="55"/>
      <c r="D113" s="150">
        <f>'[18]Rev_SP-12me'!AQ122</f>
        <v>0</v>
      </c>
      <c r="E113" s="150">
        <f>'[18]Rev_SP-12me'!AT122</f>
        <v>0</v>
      </c>
      <c r="F113" s="150">
        <f>'[18]Rev_SP-12me'!AU122</f>
        <v>0</v>
      </c>
      <c r="G113" s="150">
        <f>'[18]Rev_SP-12me'!AW122</f>
        <v>0</v>
      </c>
      <c r="H113" s="153">
        <f t="shared" si="69"/>
        <v>0</v>
      </c>
      <c r="I113" s="150">
        <f t="shared" ref="I113:K113" si="112">E113</f>
        <v>0</v>
      </c>
      <c r="J113" s="150">
        <f t="shared" si="112"/>
        <v>0</v>
      </c>
      <c r="K113" s="150">
        <f t="shared" si="112"/>
        <v>0</v>
      </c>
      <c r="L113" s="143">
        <f t="shared" si="68"/>
        <v>0</v>
      </c>
      <c r="M113" s="101"/>
    </row>
    <row r="114" ht="15" spans="2:13">
      <c r="B114" s="151" t="s">
        <v>1132</v>
      </c>
      <c r="C114" s="55"/>
      <c r="D114" s="150">
        <f>'[18]Rev_SP-12me'!AQ123</f>
        <v>0</v>
      </c>
      <c r="E114" s="150">
        <f>'[18]Rev_SP-12me'!AT123</f>
        <v>0</v>
      </c>
      <c r="F114" s="150">
        <f>'[18]Rev_SP-12me'!AU123</f>
        <v>0</v>
      </c>
      <c r="G114" s="150">
        <f>'[18]Rev_SP-12me'!AW123</f>
        <v>0</v>
      </c>
      <c r="H114" s="153">
        <f t="shared" si="69"/>
        <v>0</v>
      </c>
      <c r="I114" s="150">
        <f t="shared" ref="I114:K114" si="113">E114</f>
        <v>0</v>
      </c>
      <c r="J114" s="150">
        <f t="shared" si="113"/>
        <v>0</v>
      </c>
      <c r="K114" s="150">
        <f t="shared" si="113"/>
        <v>0</v>
      </c>
      <c r="L114" s="143">
        <f t="shared" si="68"/>
        <v>0</v>
      </c>
      <c r="M114" s="101"/>
    </row>
    <row r="115" ht="15" spans="2:13">
      <c r="B115" s="151" t="s">
        <v>919</v>
      </c>
      <c r="C115" s="55"/>
      <c r="D115" s="150">
        <f>'[18]Rev_SP-12me'!AQ124</f>
        <v>329.15660398209</v>
      </c>
      <c r="E115" s="150">
        <f>'[18]Rev_SP-12me'!AT124</f>
        <v>24.8689246264625</v>
      </c>
      <c r="F115" s="150">
        <f>'[18]Rev_SP-12me'!AU124</f>
        <v>240.284320906926</v>
      </c>
      <c r="G115" s="150">
        <f>'[18]Rev_SP-12me'!AW124</f>
        <v>0.5424</v>
      </c>
      <c r="H115" s="150">
        <f t="shared" si="69"/>
        <v>265.695645533388</v>
      </c>
      <c r="I115" s="150">
        <f t="shared" ref="I115:K115" si="114">E115</f>
        <v>24.8689246264625</v>
      </c>
      <c r="J115" s="150">
        <f t="shared" si="114"/>
        <v>240.284320906926</v>
      </c>
      <c r="K115" s="150">
        <f t="shared" si="114"/>
        <v>0.5424</v>
      </c>
      <c r="L115" s="142">
        <f t="shared" si="68"/>
        <v>265.695645533388</v>
      </c>
      <c r="M115" s="101">
        <f t="shared" ref="M115:M119" si="115">L115*10/D115</f>
        <v>8.07201320948874</v>
      </c>
    </row>
    <row r="116" ht="15" spans="2:13">
      <c r="B116" s="151" t="s">
        <v>1133</v>
      </c>
      <c r="C116" s="55"/>
      <c r="D116" s="150">
        <f>'[18]Rev_SP-12me'!AQ125</f>
        <v>271.726363747655</v>
      </c>
      <c r="E116" s="150">
        <f>'[18]Rev_SP-12me'!AT125</f>
        <v>77.2997213288052</v>
      </c>
      <c r="F116" s="150">
        <f>'[18]Rev_SP-12me'!AU125</f>
        <v>320.637109222233</v>
      </c>
      <c r="G116" s="150">
        <f>'[18]Rev_SP-12me'!AW125</f>
        <v>1.5168</v>
      </c>
      <c r="H116" s="150">
        <f t="shared" si="69"/>
        <v>399.453630551038</v>
      </c>
      <c r="I116" s="150">
        <f t="shared" ref="I116:K116" si="116">E116</f>
        <v>77.2997213288052</v>
      </c>
      <c r="J116" s="150">
        <f t="shared" si="116"/>
        <v>320.637109222233</v>
      </c>
      <c r="K116" s="150">
        <f t="shared" si="116"/>
        <v>1.5168</v>
      </c>
      <c r="L116" s="142">
        <f t="shared" si="68"/>
        <v>399.453630551038</v>
      </c>
      <c r="M116" s="101">
        <f t="shared" si="115"/>
        <v>14.7005842584343</v>
      </c>
    </row>
    <row r="117" ht="15" spans="2:13">
      <c r="B117" s="151" t="s">
        <v>1134</v>
      </c>
      <c r="C117" s="55"/>
      <c r="D117" s="150">
        <f>'[18]Rev_SP-12me'!AQ126</f>
        <v>0</v>
      </c>
      <c r="E117" s="150">
        <f>'[18]Rev_SP-12me'!AT126</f>
        <v>0</v>
      </c>
      <c r="F117" s="150">
        <f>'[18]Rev_SP-12me'!AU126</f>
        <v>0</v>
      </c>
      <c r="G117" s="150">
        <f>'[18]Rev_SP-12me'!AW126</f>
        <v>0</v>
      </c>
      <c r="H117" s="150">
        <f t="shared" si="69"/>
        <v>0</v>
      </c>
      <c r="I117" s="150">
        <f t="shared" ref="I117:K117" si="117">E117</f>
        <v>0</v>
      </c>
      <c r="J117" s="150">
        <f t="shared" si="117"/>
        <v>0</v>
      </c>
      <c r="K117" s="150">
        <f t="shared" si="117"/>
        <v>0</v>
      </c>
      <c r="L117" s="142">
        <f t="shared" si="68"/>
        <v>0</v>
      </c>
      <c r="M117" s="101"/>
    </row>
    <row r="118" ht="15" spans="2:13">
      <c r="B118" s="151" t="s">
        <v>1135</v>
      </c>
      <c r="C118" s="55"/>
      <c r="D118" s="150">
        <f>'[18]Rev_SP-12me'!AQ127</f>
        <v>71.3525124061748</v>
      </c>
      <c r="E118" s="150">
        <f>'[18]Rev_SP-12me'!AT127</f>
        <v>1.17645927147775</v>
      </c>
      <c r="F118" s="150">
        <f>'[18]Rev_SP-12me'!AU127</f>
        <v>40.8951857048347</v>
      </c>
      <c r="G118" s="150">
        <f>'[18]Rev_SP-12me'!AW127</f>
        <v>0.072</v>
      </c>
      <c r="H118" s="150">
        <f t="shared" si="69"/>
        <v>42.1436449763125</v>
      </c>
      <c r="I118" s="150">
        <f t="shared" ref="I118:K118" si="118">E118</f>
        <v>1.17645927147775</v>
      </c>
      <c r="J118" s="150">
        <f t="shared" si="118"/>
        <v>40.8951857048347</v>
      </c>
      <c r="K118" s="150">
        <f t="shared" si="118"/>
        <v>0.072</v>
      </c>
      <c r="L118" s="142">
        <f t="shared" si="68"/>
        <v>42.1436449763125</v>
      </c>
      <c r="M118" s="101">
        <f t="shared" si="115"/>
        <v>5.90639958638168</v>
      </c>
    </row>
    <row r="119" spans="2:13">
      <c r="B119" s="156" t="s">
        <v>1119</v>
      </c>
      <c r="C119" s="55"/>
      <c r="D119" s="174">
        <f>'[18]Rev_SP-12me'!AQ128</f>
        <v>31.476681132031</v>
      </c>
      <c r="E119" s="174">
        <f>'[18]Rev_SP-12me'!AT128</f>
        <v>1.17645927147775</v>
      </c>
      <c r="F119" s="174">
        <f>'[18]Rev_SP-12me'!AU128</f>
        <v>18.8860086792186</v>
      </c>
      <c r="G119" s="174">
        <f>'[18]Rev_SP-12me'!AW128</f>
        <v>0.072</v>
      </c>
      <c r="H119" s="153">
        <f t="shared" si="69"/>
        <v>20.1344679506964</v>
      </c>
      <c r="I119" s="174">
        <f t="shared" ref="I119:K119" si="119">E119</f>
        <v>1.17645927147775</v>
      </c>
      <c r="J119" s="174">
        <f t="shared" si="119"/>
        <v>18.8860086792186</v>
      </c>
      <c r="K119" s="174">
        <f t="shared" si="119"/>
        <v>0.072</v>
      </c>
      <c r="L119" s="143">
        <f t="shared" si="68"/>
        <v>20.1344679506964</v>
      </c>
      <c r="M119" s="101">
        <f t="shared" si="115"/>
        <v>6.39662989444186</v>
      </c>
    </row>
    <row r="120" spans="2:13">
      <c r="B120" s="156" t="s">
        <v>1120</v>
      </c>
      <c r="C120" s="55"/>
      <c r="D120" s="174">
        <f>'[18]Rev_SP-12me'!AQ129</f>
        <v>8.144482986054</v>
      </c>
      <c r="E120" s="174">
        <f>'[18]Rev_SP-12me'!AT129</f>
        <v>0</v>
      </c>
      <c r="F120" s="174">
        <f>'[18]Rev_SP-12me'!AU129</f>
        <v>5.7011380902378</v>
      </c>
      <c r="G120" s="174">
        <f>'[18]Rev_SP-12me'!AW129</f>
        <v>0</v>
      </c>
      <c r="H120" s="153">
        <f t="shared" si="69"/>
        <v>5.7011380902378</v>
      </c>
      <c r="I120" s="174">
        <f t="shared" ref="I120:K120" si="120">E120</f>
        <v>0</v>
      </c>
      <c r="J120" s="174">
        <f t="shared" si="120"/>
        <v>5.7011380902378</v>
      </c>
      <c r="K120" s="174">
        <f t="shared" si="120"/>
        <v>0</v>
      </c>
      <c r="L120" s="143">
        <f t="shared" si="68"/>
        <v>5.7011380902378</v>
      </c>
      <c r="M120" s="101"/>
    </row>
    <row r="121" spans="2:13">
      <c r="B121" s="156" t="s">
        <v>1121</v>
      </c>
      <c r="C121" s="55"/>
      <c r="D121" s="174">
        <f>'[18]Rev_SP-12me'!AQ130</f>
        <v>8.11572882295136</v>
      </c>
      <c r="E121" s="174">
        <f>'[18]Rev_SP-12me'!AT130</f>
        <v>0</v>
      </c>
      <c r="F121" s="174">
        <f>'[18]Rev_SP-12me'!AU130</f>
        <v>5.68101017606595</v>
      </c>
      <c r="G121" s="174">
        <f>'[18]Rev_SP-12me'!AW130</f>
        <v>0</v>
      </c>
      <c r="H121" s="153">
        <f t="shared" si="69"/>
        <v>5.68101017606595</v>
      </c>
      <c r="I121" s="174">
        <f t="shared" ref="I121:K121" si="121">E121</f>
        <v>0</v>
      </c>
      <c r="J121" s="174">
        <f t="shared" si="121"/>
        <v>5.68101017606595</v>
      </c>
      <c r="K121" s="174">
        <f t="shared" si="121"/>
        <v>0</v>
      </c>
      <c r="L121" s="143">
        <f t="shared" si="68"/>
        <v>5.68101017606595</v>
      </c>
      <c r="M121" s="101"/>
    </row>
    <row r="122" spans="2:13">
      <c r="B122" s="156" t="s">
        <v>1122</v>
      </c>
      <c r="C122" s="55"/>
      <c r="D122" s="174">
        <f>'[18]Rev_SP-12me'!AQ131</f>
        <v>23.6156194651384</v>
      </c>
      <c r="E122" s="174">
        <f>'[18]Rev_SP-12me'!AT131</f>
        <v>0</v>
      </c>
      <c r="F122" s="174">
        <f>'[18]Rev_SP-12me'!AU131</f>
        <v>10.6270287593123</v>
      </c>
      <c r="G122" s="174">
        <f>'[18]Rev_SP-12me'!AW131</f>
        <v>0</v>
      </c>
      <c r="H122" s="153">
        <f t="shared" si="69"/>
        <v>10.6270287593123</v>
      </c>
      <c r="I122" s="174">
        <f t="shared" ref="I122:K122" si="122">E122</f>
        <v>0</v>
      </c>
      <c r="J122" s="174">
        <f t="shared" si="122"/>
        <v>10.6270287593123</v>
      </c>
      <c r="K122" s="174">
        <f t="shared" si="122"/>
        <v>0</v>
      </c>
      <c r="L122" s="143">
        <f t="shared" si="68"/>
        <v>10.6270287593123</v>
      </c>
      <c r="M122" s="101"/>
    </row>
    <row r="123" ht="15" spans="2:13">
      <c r="B123" s="157" t="s">
        <v>1136</v>
      </c>
      <c r="C123" s="55"/>
      <c r="D123" s="148">
        <f t="shared" ref="D123:K123" si="123">SUM(D72,D87,D92,D93,D98,D103,D108,D110,D113,D114,D115,D116,D117,D118)</f>
        <v>8039.86897577117</v>
      </c>
      <c r="E123" s="148">
        <f t="shared" si="123"/>
        <v>1379.81322293807</v>
      </c>
      <c r="F123" s="148">
        <f t="shared" si="123"/>
        <v>6457.11374055741</v>
      </c>
      <c r="G123" s="148">
        <f t="shared" si="123"/>
        <v>29.5464</v>
      </c>
      <c r="H123" s="149">
        <f t="shared" si="123"/>
        <v>7866.47336349548</v>
      </c>
      <c r="I123" s="148">
        <f t="shared" si="123"/>
        <v>1379.81322293807</v>
      </c>
      <c r="J123" s="148">
        <f t="shared" si="123"/>
        <v>6457.11374055741</v>
      </c>
      <c r="K123" s="148">
        <f t="shared" si="123"/>
        <v>29.5464</v>
      </c>
      <c r="L123" s="148">
        <f t="shared" si="68"/>
        <v>7866.47336349548</v>
      </c>
      <c r="M123" s="101">
        <f t="shared" ref="M123:M144" si="124">L123*10/D123</f>
        <v>9.78433030090636</v>
      </c>
    </row>
    <row r="124" spans="2:13">
      <c r="B124" s="55"/>
      <c r="C124" s="55"/>
      <c r="D124" s="13"/>
      <c r="E124" s="13"/>
      <c r="F124" s="13"/>
      <c r="G124" s="13"/>
      <c r="H124" s="13"/>
      <c r="I124" s="13"/>
      <c r="J124" s="13"/>
      <c r="K124" s="13"/>
      <c r="L124" s="143"/>
      <c r="M124" s="101"/>
    </row>
    <row r="125" spans="2:13">
      <c r="B125" s="151" t="s">
        <v>212</v>
      </c>
      <c r="C125" s="55"/>
      <c r="D125" s="100"/>
      <c r="E125" s="100"/>
      <c r="F125" s="100"/>
      <c r="G125" s="100"/>
      <c r="H125" s="100"/>
      <c r="I125" s="100"/>
      <c r="J125" s="100"/>
      <c r="K125" s="100"/>
      <c r="L125" s="143"/>
      <c r="M125" s="101"/>
    </row>
    <row r="126" ht="15" spans="2:13">
      <c r="B126" s="151" t="s">
        <v>1137</v>
      </c>
      <c r="C126" s="55"/>
      <c r="D126" s="150">
        <f>D127+D135</f>
        <v>7622.9899264973</v>
      </c>
      <c r="E126" s="150">
        <f>'[18]Rev_SP-12me'!AT149</f>
        <v>619.823219904</v>
      </c>
      <c r="F126" s="150">
        <f>'[18]Rev_SP-12me'!AU149</f>
        <v>5343.78446359209</v>
      </c>
      <c r="G126" s="150">
        <f>'[18]Rev_SP-12me'!AW149</f>
        <v>1.9278</v>
      </c>
      <c r="H126" s="150">
        <f t="shared" ref="H126:H170" si="125">SUM(E126:G126)</f>
        <v>5965.53548349609</v>
      </c>
      <c r="I126" s="150">
        <f t="shared" ref="I126:K126" si="126">E126</f>
        <v>619.823219904</v>
      </c>
      <c r="J126" s="150">
        <f t="shared" si="126"/>
        <v>5343.78446359209</v>
      </c>
      <c r="K126" s="150">
        <f t="shared" si="126"/>
        <v>1.9278</v>
      </c>
      <c r="L126" s="142">
        <f t="shared" ref="L126:L171" si="127">SUM(I126:K126)</f>
        <v>5965.53548349609</v>
      </c>
      <c r="M126" s="101">
        <f t="shared" si="124"/>
        <v>7.82571607862167</v>
      </c>
    </row>
    <row r="127" spans="2:13">
      <c r="B127" s="159" t="s">
        <v>1138</v>
      </c>
      <c r="C127" s="55"/>
      <c r="D127" s="153">
        <f>'[18]Rev_SP-12me'!AQ150</f>
        <v>7592.24610801615</v>
      </c>
      <c r="E127" s="153">
        <f>'[18]Rev_SP-12me'!AT150</f>
        <v>619.823219904</v>
      </c>
      <c r="F127" s="153">
        <f>'[18]Rev_SP-12me'!AU150</f>
        <v>5322.3935113409</v>
      </c>
      <c r="G127" s="153">
        <f>'[18]Rev_SP-12me'!AW150</f>
        <v>1.9278</v>
      </c>
      <c r="H127" s="153">
        <f t="shared" si="125"/>
        <v>5944.1445312449</v>
      </c>
      <c r="I127" s="153">
        <f t="shared" ref="I127:K127" si="128">E127</f>
        <v>619.823219904</v>
      </c>
      <c r="J127" s="153">
        <f t="shared" si="128"/>
        <v>5322.3935113409</v>
      </c>
      <c r="K127" s="153">
        <f t="shared" si="128"/>
        <v>1.9278</v>
      </c>
      <c r="L127" s="143">
        <f t="shared" si="127"/>
        <v>5944.1445312449</v>
      </c>
      <c r="M127" s="101">
        <f t="shared" si="124"/>
        <v>7.82923056849918</v>
      </c>
    </row>
    <row r="128" spans="2:13">
      <c r="B128" s="154" t="s">
        <v>1105</v>
      </c>
      <c r="C128" s="55"/>
      <c r="D128" s="174">
        <f>'[18]Rev_SP-12me'!AQ151</f>
        <v>2294.22292541284</v>
      </c>
      <c r="E128" s="174">
        <f>'[18]Rev_SP-12me'!AT151</f>
        <v>619.823219904</v>
      </c>
      <c r="F128" s="174">
        <f>'[18]Rev_SP-12me'!AU151</f>
        <v>1640.36939167018</v>
      </c>
      <c r="G128" s="174">
        <f>'[18]Rev_SP-12me'!AW151</f>
        <v>1.9278</v>
      </c>
      <c r="H128" s="153">
        <f t="shared" si="125"/>
        <v>2262.12041157418</v>
      </c>
      <c r="I128" s="174">
        <f t="shared" ref="I128:K128" si="129">E128</f>
        <v>619.823219904</v>
      </c>
      <c r="J128" s="174">
        <f t="shared" si="129"/>
        <v>1640.36939167018</v>
      </c>
      <c r="K128" s="174">
        <f t="shared" si="129"/>
        <v>1.9278</v>
      </c>
      <c r="L128" s="143">
        <f t="shared" si="127"/>
        <v>2262.12041157418</v>
      </c>
      <c r="M128" s="101">
        <f t="shared" si="124"/>
        <v>9.86007238667584</v>
      </c>
    </row>
    <row r="129" spans="2:13">
      <c r="B129" s="154" t="s">
        <v>1139</v>
      </c>
      <c r="C129" s="55"/>
      <c r="D129" s="174">
        <f>'[18]Rev_SP-12me'!AQ152</f>
        <v>323.142214274049</v>
      </c>
      <c r="E129" s="174">
        <f>'[18]Rev_SP-12me'!AT152</f>
        <v>0</v>
      </c>
      <c r="F129" s="174">
        <f>'[18]Rev_SP-12me'!AU152</f>
        <v>231.046683205945</v>
      </c>
      <c r="G129" s="174">
        <f>'[18]Rev_SP-12me'!AW152</f>
        <v>0</v>
      </c>
      <c r="H129" s="153">
        <f t="shared" si="125"/>
        <v>231.046683205945</v>
      </c>
      <c r="I129" s="174">
        <f t="shared" ref="I129:K129" si="130">E129</f>
        <v>0</v>
      </c>
      <c r="J129" s="174">
        <f t="shared" si="130"/>
        <v>231.046683205945</v>
      </c>
      <c r="K129" s="174">
        <f t="shared" si="130"/>
        <v>0</v>
      </c>
      <c r="L129" s="143">
        <f t="shared" si="127"/>
        <v>231.046683205945</v>
      </c>
      <c r="M129" s="101">
        <f t="shared" si="124"/>
        <v>7.15</v>
      </c>
    </row>
    <row r="130" spans="2:13">
      <c r="B130" s="154" t="s">
        <v>1140</v>
      </c>
      <c r="C130" s="55"/>
      <c r="D130" s="174">
        <f>'[18]Rev_SP-12me'!AQ153</f>
        <v>182.929164702926</v>
      </c>
      <c r="E130" s="174">
        <f>'[18]Rev_SP-12me'!AT153</f>
        <v>0</v>
      </c>
      <c r="F130" s="174">
        <f>'[18]Rev_SP-12me'!AU153</f>
        <v>133.538290233136</v>
      </c>
      <c r="G130" s="174">
        <f>'[18]Rev_SP-12me'!AW153</f>
        <v>0</v>
      </c>
      <c r="H130" s="153">
        <f t="shared" si="125"/>
        <v>133.538290233136</v>
      </c>
      <c r="I130" s="174">
        <f t="shared" ref="I130:K130" si="131">E130</f>
        <v>0</v>
      </c>
      <c r="J130" s="174">
        <f t="shared" si="131"/>
        <v>133.538290233136</v>
      </c>
      <c r="K130" s="174">
        <f t="shared" si="131"/>
        <v>0</v>
      </c>
      <c r="L130" s="143">
        <f t="shared" si="127"/>
        <v>133.538290233136</v>
      </c>
      <c r="M130" s="101">
        <f t="shared" si="124"/>
        <v>7.3</v>
      </c>
    </row>
    <row r="131" spans="2:13">
      <c r="B131" s="154" t="s">
        <v>1141</v>
      </c>
      <c r="C131" s="55"/>
      <c r="D131" s="174">
        <f>'[18]Rev_SP-12me'!AQ154</f>
        <v>1.69096767584997</v>
      </c>
      <c r="E131" s="174">
        <f>'[18]Rev_SP-12me'!AT154</f>
        <v>0</v>
      </c>
      <c r="F131" s="174">
        <f>'[18]Rev_SP-12me'!AU154</f>
        <v>1.33586446392148</v>
      </c>
      <c r="G131" s="174">
        <f>'[18]Rev_SP-12me'!AW154</f>
        <v>0</v>
      </c>
      <c r="H131" s="153">
        <f t="shared" si="125"/>
        <v>1.33586446392148</v>
      </c>
      <c r="I131" s="174">
        <f t="shared" ref="I131:K131" si="132">E131</f>
        <v>0</v>
      </c>
      <c r="J131" s="174">
        <f t="shared" si="132"/>
        <v>1.33586446392148</v>
      </c>
      <c r="K131" s="174">
        <f t="shared" si="132"/>
        <v>0</v>
      </c>
      <c r="L131" s="143">
        <f t="shared" si="127"/>
        <v>1.33586446392148</v>
      </c>
      <c r="M131" s="101">
        <f t="shared" si="124"/>
        <v>7.90000000000002</v>
      </c>
    </row>
    <row r="132" spans="2:13">
      <c r="B132" s="156" t="s">
        <v>1120</v>
      </c>
      <c r="C132" s="55"/>
      <c r="D132" s="174">
        <f>'[18]Rev_SP-12me'!AQ155</f>
        <v>1218.64597089311</v>
      </c>
      <c r="E132" s="174">
        <f>'[18]Rev_SP-12me'!AT155</f>
        <v>0</v>
      </c>
      <c r="F132" s="174">
        <f>'[18]Rev_SP-12me'!AU155</f>
        <v>993.196466277889</v>
      </c>
      <c r="G132" s="174">
        <f>'[18]Rev_SP-12me'!AW155</f>
        <v>0</v>
      </c>
      <c r="H132" s="153">
        <f t="shared" si="125"/>
        <v>993.196466277889</v>
      </c>
      <c r="I132" s="174">
        <f t="shared" ref="I132:K132" si="133">E132</f>
        <v>0</v>
      </c>
      <c r="J132" s="174">
        <f t="shared" si="133"/>
        <v>993.196466277889</v>
      </c>
      <c r="K132" s="174">
        <f t="shared" si="133"/>
        <v>0</v>
      </c>
      <c r="L132" s="143">
        <f t="shared" si="127"/>
        <v>993.196466277889</v>
      </c>
      <c r="M132" s="101">
        <f t="shared" si="124"/>
        <v>8.15000000000004</v>
      </c>
    </row>
    <row r="133" spans="2:13">
      <c r="B133" s="156" t="s">
        <v>1121</v>
      </c>
      <c r="C133" s="55"/>
      <c r="D133" s="174">
        <f>'[18]Rev_SP-12me'!AQ156</f>
        <v>1219.77766692967</v>
      </c>
      <c r="E133" s="174">
        <f>'[18]Rev_SP-12me'!AT156</f>
        <v>0</v>
      </c>
      <c r="F133" s="174">
        <f>'[18]Rev_SP-12me'!AU156</f>
        <v>994.118798547677</v>
      </c>
      <c r="G133" s="174">
        <f>'[18]Rev_SP-12me'!AW156</f>
        <v>0</v>
      </c>
      <c r="H133" s="153">
        <f t="shared" si="125"/>
        <v>994.118798547677</v>
      </c>
      <c r="I133" s="174">
        <f t="shared" ref="I133:K133" si="134">E133</f>
        <v>0</v>
      </c>
      <c r="J133" s="174">
        <f t="shared" si="134"/>
        <v>994.118798547677</v>
      </c>
      <c r="K133" s="174">
        <f t="shared" si="134"/>
        <v>0</v>
      </c>
      <c r="L133" s="143">
        <f t="shared" si="127"/>
        <v>994.118798547677</v>
      </c>
      <c r="M133" s="101">
        <f t="shared" si="124"/>
        <v>8.14999999999997</v>
      </c>
    </row>
    <row r="134" spans="2:13">
      <c r="B134" s="156" t="s">
        <v>1122</v>
      </c>
      <c r="C134" s="55"/>
      <c r="D134" s="174">
        <f>'[18]Rev_SP-12me'!AQ157</f>
        <v>2351.83719812771</v>
      </c>
      <c r="E134" s="174">
        <f>'[18]Rev_SP-12me'!AT157</f>
        <v>0</v>
      </c>
      <c r="F134" s="174">
        <f>'[18]Rev_SP-12me'!AU157</f>
        <v>1328.78801694216</v>
      </c>
      <c r="G134" s="174">
        <f>'[18]Rev_SP-12me'!AW157</f>
        <v>0</v>
      </c>
      <c r="H134" s="153">
        <f t="shared" si="125"/>
        <v>1328.78801694216</v>
      </c>
      <c r="I134" s="174">
        <f t="shared" ref="I134:K134" si="135">E134</f>
        <v>0</v>
      </c>
      <c r="J134" s="174">
        <f t="shared" si="135"/>
        <v>1328.78801694216</v>
      </c>
      <c r="K134" s="174">
        <f t="shared" si="135"/>
        <v>0</v>
      </c>
      <c r="L134" s="143">
        <f t="shared" si="127"/>
        <v>1328.78801694216</v>
      </c>
      <c r="M134" s="101">
        <f t="shared" si="124"/>
        <v>5.65000000000002</v>
      </c>
    </row>
    <row r="135" ht="15" spans="2:13">
      <c r="B135" s="151" t="s">
        <v>1113</v>
      </c>
      <c r="C135" s="55"/>
      <c r="D135" s="153">
        <f>'[18]Rev_SP-12me'!AQ158</f>
        <v>30.7438184811492</v>
      </c>
      <c r="E135" s="153">
        <f>'[18]Rev_SP-12me'!AT158</f>
        <v>0</v>
      </c>
      <c r="F135" s="153">
        <f>'[18]Rev_SP-12me'!AU158</f>
        <v>21.3909522511848</v>
      </c>
      <c r="G135" s="153">
        <f>'[18]Rev_SP-12me'!AW158</f>
        <v>0</v>
      </c>
      <c r="H135" s="150">
        <f t="shared" si="125"/>
        <v>21.3909522511848</v>
      </c>
      <c r="I135" s="153">
        <f t="shared" ref="I135:K135" si="136">E135</f>
        <v>0</v>
      </c>
      <c r="J135" s="153">
        <f t="shared" si="136"/>
        <v>21.3909522511848</v>
      </c>
      <c r="K135" s="153">
        <f t="shared" si="136"/>
        <v>0</v>
      </c>
      <c r="L135" s="142">
        <f t="shared" si="127"/>
        <v>21.3909522511848</v>
      </c>
      <c r="M135" s="101">
        <f t="shared" si="124"/>
        <v>6.95780592911737</v>
      </c>
    </row>
    <row r="136" spans="2:13">
      <c r="B136" s="156" t="s">
        <v>1142</v>
      </c>
      <c r="C136" s="55"/>
      <c r="D136" s="174">
        <f>'[18]Rev_SP-12me'!AQ159</f>
        <v>9.12292708986761</v>
      </c>
      <c r="E136" s="174">
        <f>'[18]Rev_SP-12me'!AT159</f>
        <v>0</v>
      </c>
      <c r="F136" s="174">
        <f>'[18]Rev_SP-12me'!AU159</f>
        <v>6.52289286925535</v>
      </c>
      <c r="G136" s="174">
        <f>'[18]Rev_SP-12me'!AW159</f>
        <v>0</v>
      </c>
      <c r="H136" s="153">
        <f t="shared" si="125"/>
        <v>6.52289286925535</v>
      </c>
      <c r="I136" s="174">
        <f t="shared" ref="I136:K136" si="137">E136</f>
        <v>0</v>
      </c>
      <c r="J136" s="174">
        <f t="shared" si="137"/>
        <v>6.52289286925535</v>
      </c>
      <c r="K136" s="174">
        <f t="shared" si="137"/>
        <v>0</v>
      </c>
      <c r="L136" s="143">
        <f t="shared" si="127"/>
        <v>6.52289286925535</v>
      </c>
      <c r="M136" s="101">
        <f t="shared" si="124"/>
        <v>7.15000000000001</v>
      </c>
    </row>
    <row r="137" spans="2:13">
      <c r="B137" s="156" t="s">
        <v>1115</v>
      </c>
      <c r="C137" s="55"/>
      <c r="D137" s="174">
        <f>'[18]Rev_SP-12me'!AQ160</f>
        <v>5.37877655601844</v>
      </c>
      <c r="E137" s="174">
        <f>'[18]Rev_SP-12me'!AT160</f>
        <v>0</v>
      </c>
      <c r="F137" s="174">
        <f>'[18]Rev_SP-12me'!AU160</f>
        <v>4.38370289315503</v>
      </c>
      <c r="G137" s="174">
        <f>'[18]Rev_SP-12me'!AW160</f>
        <v>0</v>
      </c>
      <c r="H137" s="153">
        <f t="shared" si="125"/>
        <v>4.38370289315503</v>
      </c>
      <c r="I137" s="174">
        <f t="shared" ref="I137:K137" si="138">E137</f>
        <v>0</v>
      </c>
      <c r="J137" s="174">
        <f t="shared" si="138"/>
        <v>4.38370289315503</v>
      </c>
      <c r="K137" s="174">
        <f t="shared" si="138"/>
        <v>0</v>
      </c>
      <c r="L137" s="143">
        <f t="shared" si="127"/>
        <v>4.38370289315503</v>
      </c>
      <c r="M137" s="101">
        <f t="shared" si="124"/>
        <v>8.15</v>
      </c>
    </row>
    <row r="138" spans="2:13">
      <c r="B138" s="156" t="s">
        <v>1116</v>
      </c>
      <c r="C138" s="55"/>
      <c r="D138" s="174">
        <f>'[18]Rev_SP-12me'!AQ161</f>
        <v>5.23024642740291</v>
      </c>
      <c r="E138" s="174">
        <f>'[18]Rev_SP-12me'!AT161</f>
        <v>0</v>
      </c>
      <c r="F138" s="174">
        <f>'[18]Rev_SP-12me'!AU161</f>
        <v>4.26265083833337</v>
      </c>
      <c r="G138" s="174">
        <f>'[18]Rev_SP-12me'!AW161</f>
        <v>0</v>
      </c>
      <c r="H138" s="153">
        <f t="shared" si="125"/>
        <v>4.26265083833337</v>
      </c>
      <c r="I138" s="174">
        <f t="shared" ref="I138:K138" si="139">E138</f>
        <v>0</v>
      </c>
      <c r="J138" s="174">
        <f t="shared" si="139"/>
        <v>4.26265083833337</v>
      </c>
      <c r="K138" s="174">
        <f t="shared" si="139"/>
        <v>0</v>
      </c>
      <c r="L138" s="143">
        <f t="shared" si="127"/>
        <v>4.26265083833337</v>
      </c>
      <c r="M138" s="101">
        <f t="shared" si="124"/>
        <v>8.15</v>
      </c>
    </row>
    <row r="139" spans="2:13">
      <c r="B139" s="156" t="s">
        <v>1143</v>
      </c>
      <c r="C139" s="55"/>
      <c r="D139" s="174">
        <f>'[18]Rev_SP-12me'!AQ162</f>
        <v>11.0118684078602</v>
      </c>
      <c r="E139" s="174">
        <f>'[18]Rev_SP-12me'!AT162</f>
        <v>0</v>
      </c>
      <c r="F139" s="174">
        <f>'[18]Rev_SP-12me'!AU162</f>
        <v>6.22170565044103</v>
      </c>
      <c r="G139" s="174">
        <f>'[18]Rev_SP-12me'!AW162</f>
        <v>0</v>
      </c>
      <c r="H139" s="153">
        <f t="shared" si="125"/>
        <v>6.22170565044103</v>
      </c>
      <c r="I139" s="174">
        <f t="shared" ref="I139:K139" si="140">E139</f>
        <v>0</v>
      </c>
      <c r="J139" s="174">
        <f t="shared" si="140"/>
        <v>6.22170565044103</v>
      </c>
      <c r="K139" s="174">
        <f t="shared" si="140"/>
        <v>0</v>
      </c>
      <c r="L139" s="143">
        <f t="shared" si="127"/>
        <v>6.22170565044103</v>
      </c>
      <c r="M139" s="101">
        <f t="shared" si="124"/>
        <v>5.65000000000002</v>
      </c>
    </row>
    <row r="140" ht="15" spans="2:13">
      <c r="B140" s="151" t="s">
        <v>1144</v>
      </c>
      <c r="C140" s="55"/>
      <c r="D140" s="150">
        <f>'[18]Rev_SP-12me'!AQ164</f>
        <v>61.924630748864</v>
      </c>
      <c r="E140" s="150">
        <f>'[18]Rev_SP-12me'!AT164</f>
        <v>0</v>
      </c>
      <c r="F140" s="150">
        <f>'[18]Rev_SP-12me'!AU164</f>
        <v>43.4133394325091</v>
      </c>
      <c r="G140" s="150">
        <f>'[18]Rev_SP-12me'!AW164</f>
        <v>0</v>
      </c>
      <c r="H140" s="150">
        <f t="shared" si="125"/>
        <v>43.4133394325091</v>
      </c>
      <c r="I140" s="150">
        <f t="shared" ref="I140:K140" si="141">E140</f>
        <v>0</v>
      </c>
      <c r="J140" s="150">
        <f t="shared" si="141"/>
        <v>43.4133394325091</v>
      </c>
      <c r="K140" s="150">
        <f t="shared" si="141"/>
        <v>0</v>
      </c>
      <c r="L140" s="142">
        <f t="shared" si="127"/>
        <v>43.4133394325091</v>
      </c>
      <c r="M140" s="101">
        <f t="shared" si="124"/>
        <v>7.01067392853296</v>
      </c>
    </row>
    <row r="141" spans="2:13">
      <c r="B141" s="154" t="s">
        <v>1119</v>
      </c>
      <c r="C141" s="55"/>
      <c r="D141" s="174">
        <f>'[18]Rev_SP-12me'!AQ165</f>
        <v>20.9632601010143</v>
      </c>
      <c r="E141" s="174">
        <f>'[18]Rev_SP-12me'!AT165</f>
        <v>0</v>
      </c>
      <c r="F141" s="174">
        <f>'[18]Rev_SP-12me'!AU165</f>
        <v>14.9887309722252</v>
      </c>
      <c r="G141" s="174">
        <f>'[18]Rev_SP-12me'!AW165</f>
        <v>0</v>
      </c>
      <c r="H141" s="153">
        <f t="shared" si="125"/>
        <v>14.9887309722252</v>
      </c>
      <c r="I141" s="174">
        <f t="shared" ref="I141:K141" si="142">E141</f>
        <v>0</v>
      </c>
      <c r="J141" s="174">
        <f t="shared" si="142"/>
        <v>14.9887309722252</v>
      </c>
      <c r="K141" s="174">
        <f t="shared" si="142"/>
        <v>0</v>
      </c>
      <c r="L141" s="143">
        <f t="shared" si="127"/>
        <v>14.9887309722252</v>
      </c>
      <c r="M141" s="101">
        <f t="shared" si="124"/>
        <v>7.14999999999999</v>
      </c>
    </row>
    <row r="142" spans="2:13">
      <c r="B142" s="154" t="s">
        <v>1120</v>
      </c>
      <c r="C142" s="55"/>
      <c r="D142" s="174">
        <f>'[18]Rev_SP-12me'!AQ166</f>
        <v>10.4392722080288</v>
      </c>
      <c r="E142" s="174">
        <f>'[18]Rev_SP-12me'!AT166</f>
        <v>0</v>
      </c>
      <c r="F142" s="174">
        <f>'[18]Rev_SP-12me'!AU166</f>
        <v>8.50800684954351</v>
      </c>
      <c r="G142" s="174">
        <f>'[18]Rev_SP-12me'!AW166</f>
        <v>0</v>
      </c>
      <c r="H142" s="153">
        <f t="shared" si="125"/>
        <v>8.50800684954351</v>
      </c>
      <c r="I142" s="174">
        <f t="shared" ref="I142:K142" si="143">E142</f>
        <v>0</v>
      </c>
      <c r="J142" s="174">
        <f t="shared" si="143"/>
        <v>8.50800684954351</v>
      </c>
      <c r="K142" s="174">
        <f t="shared" si="143"/>
        <v>0</v>
      </c>
      <c r="L142" s="143">
        <f t="shared" si="127"/>
        <v>8.50800684954351</v>
      </c>
      <c r="M142" s="101">
        <f t="shared" si="124"/>
        <v>8.15000000000003</v>
      </c>
    </row>
    <row r="143" spans="2:13">
      <c r="B143" s="154" t="s">
        <v>1121</v>
      </c>
      <c r="C143" s="55"/>
      <c r="D143" s="174">
        <f>'[18]Rev_SP-12me'!AQ167</f>
        <v>10.6864639689665</v>
      </c>
      <c r="E143" s="174">
        <f>'[18]Rev_SP-12me'!AT167</f>
        <v>0</v>
      </c>
      <c r="F143" s="174">
        <f>'[18]Rev_SP-12me'!AU167</f>
        <v>8.70946813470773</v>
      </c>
      <c r="G143" s="174">
        <f>'[18]Rev_SP-12me'!AW167</f>
        <v>0</v>
      </c>
      <c r="H143" s="153">
        <f t="shared" si="125"/>
        <v>8.70946813470773</v>
      </c>
      <c r="I143" s="174">
        <f t="shared" ref="I143:K143" si="144">E143</f>
        <v>0</v>
      </c>
      <c r="J143" s="174">
        <f t="shared" si="144"/>
        <v>8.70946813470773</v>
      </c>
      <c r="K143" s="174">
        <f t="shared" si="144"/>
        <v>0</v>
      </c>
      <c r="L143" s="143">
        <f t="shared" si="127"/>
        <v>8.70946813470773</v>
      </c>
      <c r="M143" s="101">
        <f t="shared" si="124"/>
        <v>8.15000000000003</v>
      </c>
    </row>
    <row r="144" spans="2:13">
      <c r="B144" s="154" t="s">
        <v>1122</v>
      </c>
      <c r="C144" s="55"/>
      <c r="D144" s="174">
        <f>'[18]Rev_SP-12me'!AQ168</f>
        <v>19.8356344708543</v>
      </c>
      <c r="E144" s="174">
        <f>'[18]Rev_SP-12me'!AT168</f>
        <v>0</v>
      </c>
      <c r="F144" s="174">
        <f>'[18]Rev_SP-12me'!AU168</f>
        <v>11.2071334760327</v>
      </c>
      <c r="G144" s="174">
        <f>'[18]Rev_SP-12me'!AW168</f>
        <v>0</v>
      </c>
      <c r="H144" s="153">
        <f t="shared" si="125"/>
        <v>11.2071334760327</v>
      </c>
      <c r="I144" s="174">
        <f t="shared" ref="I144:K144" si="145">E144</f>
        <v>0</v>
      </c>
      <c r="J144" s="174">
        <f t="shared" si="145"/>
        <v>11.2071334760327</v>
      </c>
      <c r="K144" s="174">
        <f t="shared" si="145"/>
        <v>0</v>
      </c>
      <c r="L144" s="143">
        <f t="shared" si="127"/>
        <v>11.2071334760327</v>
      </c>
      <c r="M144" s="101">
        <f t="shared" si="124"/>
        <v>5.65000000000001</v>
      </c>
    </row>
    <row r="145" ht="15" spans="2:13">
      <c r="B145" s="151" t="s">
        <v>1123</v>
      </c>
      <c r="C145" s="55"/>
      <c r="D145" s="150">
        <f>'[18]Rev_SP-12me'!AQ163</f>
        <v>0.53654</v>
      </c>
      <c r="E145" s="150">
        <f>'[18]Rev_SP-12me'!AT163</f>
        <v>0</v>
      </c>
      <c r="F145" s="150">
        <f>'[18]Rev_SP-12me'!AU163</f>
        <v>0.3836261</v>
      </c>
      <c r="G145" s="150">
        <f>'[18]Rev_SP-12me'!AW163</f>
        <v>0</v>
      </c>
      <c r="H145" s="150">
        <f t="shared" si="125"/>
        <v>0.3836261</v>
      </c>
      <c r="I145" s="150">
        <f t="shared" ref="I145:K145" si="146">E145</f>
        <v>0</v>
      </c>
      <c r="J145" s="150">
        <f t="shared" si="146"/>
        <v>0.3836261</v>
      </c>
      <c r="K145" s="150">
        <f t="shared" si="146"/>
        <v>0</v>
      </c>
      <c r="L145" s="142">
        <f t="shared" si="127"/>
        <v>0.3836261</v>
      </c>
      <c r="M145" s="101"/>
    </row>
    <row r="146" ht="15" spans="2:13">
      <c r="B146" s="151" t="s">
        <v>1124</v>
      </c>
      <c r="C146" s="55"/>
      <c r="D146" s="150">
        <f>'[18]Rev_SP-12me'!AQ169</f>
        <v>1771.70160889593</v>
      </c>
      <c r="E146" s="150">
        <f>'[18]Rev_SP-12me'!AT169</f>
        <v>239.801459651604</v>
      </c>
      <c r="F146" s="150">
        <f>'[18]Rev_SP-12me'!AU169</f>
        <v>1410.70121685515</v>
      </c>
      <c r="G146" s="150">
        <f>'[18]Rev_SP-12me'!AW169</f>
        <v>0.8043</v>
      </c>
      <c r="H146" s="150">
        <f t="shared" si="125"/>
        <v>1651.30697650675</v>
      </c>
      <c r="I146" s="150">
        <f t="shared" ref="I146:K146" si="147">E146</f>
        <v>239.801459651604</v>
      </c>
      <c r="J146" s="150">
        <f t="shared" si="147"/>
        <v>1410.70121685515</v>
      </c>
      <c r="K146" s="150">
        <f t="shared" si="147"/>
        <v>0.8043</v>
      </c>
      <c r="L146" s="142">
        <f t="shared" si="127"/>
        <v>1651.30697650675</v>
      </c>
      <c r="M146" s="101">
        <f t="shared" ref="M146:M150" si="148">L146*10/D146</f>
        <v>9.32045762229565</v>
      </c>
    </row>
    <row r="147" spans="2:13">
      <c r="B147" s="156" t="s">
        <v>1145</v>
      </c>
      <c r="C147" s="55"/>
      <c r="D147" s="153">
        <f>'[18]Rev_SP-12me'!AQ170</f>
        <v>709.642651909873</v>
      </c>
      <c r="E147" s="153">
        <f>'[18]Rev_SP-12me'!AT170</f>
        <v>239.801459651604</v>
      </c>
      <c r="F147" s="153">
        <f>'[18]Rev_SP-12me'!AU170</f>
        <v>567.714121527898</v>
      </c>
      <c r="G147" s="153">
        <f>'[18]Rev_SP-12me'!AW170</f>
        <v>0.8043</v>
      </c>
      <c r="H147" s="153">
        <f t="shared" si="125"/>
        <v>808.319881179502</v>
      </c>
      <c r="I147" s="153">
        <f t="shared" ref="I147:K147" si="149">E147</f>
        <v>239.801459651604</v>
      </c>
      <c r="J147" s="153">
        <f t="shared" si="149"/>
        <v>567.714121527898</v>
      </c>
      <c r="K147" s="153">
        <f t="shared" si="149"/>
        <v>0.8043</v>
      </c>
      <c r="L147" s="143">
        <f t="shared" si="127"/>
        <v>808.319881179502</v>
      </c>
      <c r="M147" s="101">
        <f t="shared" si="148"/>
        <v>11.3905199892376</v>
      </c>
    </row>
    <row r="148" spans="2:13">
      <c r="B148" s="156" t="s">
        <v>1120</v>
      </c>
      <c r="C148" s="55"/>
      <c r="D148" s="174">
        <f>'[18]Rev_SP-12me'!AQ171</f>
        <v>293.917757828916</v>
      </c>
      <c r="E148" s="174">
        <f>'[18]Rev_SP-12me'!AT171</f>
        <v>0</v>
      </c>
      <c r="F148" s="174">
        <f>'[18]Rev_SP-12me'!AU171</f>
        <v>264.525982046025</v>
      </c>
      <c r="G148" s="174">
        <f>'[18]Rev_SP-12me'!AW171</f>
        <v>0</v>
      </c>
      <c r="H148" s="153">
        <f t="shared" si="125"/>
        <v>264.525982046025</v>
      </c>
      <c r="I148" s="174">
        <f t="shared" ref="I148:K148" si="150">E148</f>
        <v>0</v>
      </c>
      <c r="J148" s="174">
        <f t="shared" si="150"/>
        <v>264.525982046025</v>
      </c>
      <c r="K148" s="174">
        <f t="shared" si="150"/>
        <v>0</v>
      </c>
      <c r="L148" s="143">
        <f t="shared" si="127"/>
        <v>264.525982046025</v>
      </c>
      <c r="M148" s="101">
        <f t="shared" si="148"/>
        <v>9.00000000000002</v>
      </c>
    </row>
    <row r="149" spans="2:13">
      <c r="B149" s="156" t="s">
        <v>1121</v>
      </c>
      <c r="C149" s="55"/>
      <c r="D149" s="174">
        <f>'[18]Rev_SP-12me'!AQ172</f>
        <v>294.177335316318</v>
      </c>
      <c r="E149" s="174">
        <f>'[18]Rev_SP-12me'!AT172</f>
        <v>0</v>
      </c>
      <c r="F149" s="174">
        <f>'[18]Rev_SP-12me'!AU172</f>
        <v>264.759601784686</v>
      </c>
      <c r="G149" s="174">
        <f>'[18]Rev_SP-12me'!AW172</f>
        <v>0</v>
      </c>
      <c r="H149" s="153">
        <f t="shared" si="125"/>
        <v>264.759601784686</v>
      </c>
      <c r="I149" s="174">
        <f t="shared" ref="I149:K149" si="151">E149</f>
        <v>0</v>
      </c>
      <c r="J149" s="174">
        <f t="shared" si="151"/>
        <v>264.759601784686</v>
      </c>
      <c r="K149" s="174">
        <f t="shared" si="151"/>
        <v>0</v>
      </c>
      <c r="L149" s="143">
        <f t="shared" si="127"/>
        <v>264.759601784686</v>
      </c>
      <c r="M149" s="101">
        <f t="shared" si="148"/>
        <v>8.99999999999999</v>
      </c>
    </row>
    <row r="150" spans="2:13">
      <c r="B150" s="156" t="s">
        <v>1122</v>
      </c>
      <c r="C150" s="55"/>
      <c r="D150" s="174">
        <f>'[18]Rev_SP-12me'!AQ173</f>
        <v>436.463863840824</v>
      </c>
      <c r="E150" s="174">
        <f>'[18]Rev_SP-12me'!AT173</f>
        <v>0</v>
      </c>
      <c r="F150" s="174">
        <f>'[18]Rev_SP-12me'!AU173</f>
        <v>283.701511496535</v>
      </c>
      <c r="G150" s="174">
        <f>'[18]Rev_SP-12me'!AW173</f>
        <v>0</v>
      </c>
      <c r="H150" s="153">
        <f t="shared" si="125"/>
        <v>283.701511496535</v>
      </c>
      <c r="I150" s="174">
        <f t="shared" ref="I150:K150" si="152">E150</f>
        <v>0</v>
      </c>
      <c r="J150" s="174">
        <f t="shared" si="152"/>
        <v>283.701511496535</v>
      </c>
      <c r="K150" s="174">
        <f t="shared" si="152"/>
        <v>0</v>
      </c>
      <c r="L150" s="143">
        <f t="shared" si="127"/>
        <v>283.701511496535</v>
      </c>
      <c r="M150" s="101">
        <f t="shared" si="148"/>
        <v>6.49999999999999</v>
      </c>
    </row>
    <row r="151" spans="2:13">
      <c r="B151" s="156" t="s">
        <v>1146</v>
      </c>
      <c r="C151" s="55"/>
      <c r="D151" s="174">
        <f>'[18]Rev_SP-12me'!AQ174</f>
        <v>37.5</v>
      </c>
      <c r="E151" s="174">
        <f>'[18]Rev_SP-12me'!AT174</f>
        <v>0</v>
      </c>
      <c r="F151" s="174">
        <f>'[18]Rev_SP-12me'!AU174</f>
        <v>30</v>
      </c>
      <c r="G151" s="174">
        <f>'[18]Rev_SP-12me'!AW174</f>
        <v>0</v>
      </c>
      <c r="H151" s="153">
        <f t="shared" si="125"/>
        <v>30</v>
      </c>
      <c r="I151" s="174">
        <f t="shared" ref="I151:K151" si="153">E151</f>
        <v>0</v>
      </c>
      <c r="J151" s="174">
        <f t="shared" si="153"/>
        <v>30</v>
      </c>
      <c r="K151" s="174">
        <f t="shared" si="153"/>
        <v>0</v>
      </c>
      <c r="L151" s="143">
        <f t="shared" si="127"/>
        <v>30</v>
      </c>
      <c r="M151" s="101"/>
    </row>
    <row r="152" ht="15" spans="2:13">
      <c r="B152" s="151" t="s">
        <v>1125</v>
      </c>
      <c r="C152" s="55"/>
      <c r="D152" s="150">
        <f>'[18]Rev_SP-12me'!AQ175</f>
        <v>5.28148120053833</v>
      </c>
      <c r="E152" s="150">
        <f>'[18]Rev_SP-12me'!AT175</f>
        <v>0</v>
      </c>
      <c r="F152" s="150">
        <f>'[18]Rev_SP-12me'!AU175</f>
        <v>2.64992946999443</v>
      </c>
      <c r="G152" s="150">
        <f>'[18]Rev_SP-12me'!AW175</f>
        <v>0</v>
      </c>
      <c r="H152" s="150">
        <f t="shared" si="125"/>
        <v>2.64992946999443</v>
      </c>
      <c r="I152" s="150">
        <f t="shared" ref="I152:K152" si="154">E152</f>
        <v>0</v>
      </c>
      <c r="J152" s="150">
        <f t="shared" si="154"/>
        <v>2.64992946999443</v>
      </c>
      <c r="K152" s="150">
        <f t="shared" si="154"/>
        <v>0</v>
      </c>
      <c r="L152" s="142">
        <f t="shared" si="127"/>
        <v>2.64992946999443</v>
      </c>
      <c r="M152" s="101">
        <f t="shared" ref="M152:M156" si="155">L152*10/D152</f>
        <v>5.01739828161147</v>
      </c>
    </row>
    <row r="153" spans="2:13">
      <c r="B153" s="154" t="s">
        <v>1119</v>
      </c>
      <c r="C153" s="55"/>
      <c r="D153" s="174">
        <f>'[18]Rev_SP-12me'!AQ176</f>
        <v>2.11937414353072</v>
      </c>
      <c r="E153" s="174">
        <f>'[18]Rev_SP-12me'!AT176</f>
        <v>0</v>
      </c>
      <c r="F153" s="174">
        <f>'[18]Rev_SP-12me'!AU176</f>
        <v>1.05968707176536</v>
      </c>
      <c r="G153" s="174">
        <f>'[18]Rev_SP-12me'!AW176</f>
        <v>0</v>
      </c>
      <c r="H153" s="153">
        <f t="shared" si="125"/>
        <v>1.05968707176536</v>
      </c>
      <c r="I153" s="174">
        <f t="shared" ref="I153:K153" si="156">E153</f>
        <v>0</v>
      </c>
      <c r="J153" s="174">
        <f t="shared" si="156"/>
        <v>1.05968707176536</v>
      </c>
      <c r="K153" s="174">
        <f t="shared" si="156"/>
        <v>0</v>
      </c>
      <c r="L153" s="143">
        <f t="shared" si="127"/>
        <v>1.05968707176536</v>
      </c>
      <c r="M153" s="101">
        <f t="shared" si="155"/>
        <v>5</v>
      </c>
    </row>
    <row r="154" spans="2:13">
      <c r="B154" s="154" t="s">
        <v>1120</v>
      </c>
      <c r="C154" s="55"/>
      <c r="D154" s="174">
        <f>'[18]Rev_SP-12me'!AQ177</f>
        <v>0.972042051382959</v>
      </c>
      <c r="E154" s="174">
        <f>'[18]Rev_SP-12me'!AT177</f>
        <v>0</v>
      </c>
      <c r="F154" s="174">
        <f>'[18]Rev_SP-12me'!AU177</f>
        <v>0.583225230829775</v>
      </c>
      <c r="G154" s="174">
        <f>'[18]Rev_SP-12me'!AW177</f>
        <v>0</v>
      </c>
      <c r="H154" s="153">
        <f t="shared" si="125"/>
        <v>0.583225230829775</v>
      </c>
      <c r="I154" s="174">
        <f t="shared" ref="I154:K154" si="157">E154</f>
        <v>0</v>
      </c>
      <c r="J154" s="174">
        <f t="shared" si="157"/>
        <v>0.583225230829775</v>
      </c>
      <c r="K154" s="174">
        <f t="shared" si="157"/>
        <v>0</v>
      </c>
      <c r="L154" s="143">
        <f t="shared" si="127"/>
        <v>0.583225230829775</v>
      </c>
      <c r="M154" s="101">
        <f t="shared" si="155"/>
        <v>6</v>
      </c>
    </row>
    <row r="155" spans="2:13">
      <c r="B155" s="154" t="s">
        <v>1121</v>
      </c>
      <c r="C155" s="55"/>
      <c r="D155" s="174">
        <f>'[18]Rev_SP-12me'!AQ178</f>
        <v>0.961977661722666</v>
      </c>
      <c r="E155" s="174">
        <f>'[18]Rev_SP-12me'!AT178</f>
        <v>0</v>
      </c>
      <c r="F155" s="174">
        <f>'[18]Rev_SP-12me'!AU178</f>
        <v>0.577186597033599</v>
      </c>
      <c r="G155" s="174">
        <f>'[18]Rev_SP-12me'!AW178</f>
        <v>0</v>
      </c>
      <c r="H155" s="153">
        <f t="shared" si="125"/>
        <v>0.577186597033599</v>
      </c>
      <c r="I155" s="174">
        <f t="shared" ref="I155:K155" si="158">E155</f>
        <v>0</v>
      </c>
      <c r="J155" s="174">
        <f t="shared" si="158"/>
        <v>0.577186597033599</v>
      </c>
      <c r="K155" s="174">
        <f t="shared" si="158"/>
        <v>0</v>
      </c>
      <c r="L155" s="143">
        <f t="shared" si="127"/>
        <v>0.577186597033599</v>
      </c>
      <c r="M155" s="101">
        <f t="shared" si="155"/>
        <v>5.99999999999999</v>
      </c>
    </row>
    <row r="156" spans="2:13">
      <c r="B156" s="154" t="s">
        <v>1122</v>
      </c>
      <c r="C156" s="55"/>
      <c r="D156" s="174">
        <f>'[18]Rev_SP-12me'!AQ179</f>
        <v>1.22808734390199</v>
      </c>
      <c r="E156" s="174">
        <f>'[18]Rev_SP-12me'!AT179</f>
        <v>0</v>
      </c>
      <c r="F156" s="174">
        <f>'[18]Rev_SP-12me'!AU179</f>
        <v>0.429830570365695</v>
      </c>
      <c r="G156" s="174">
        <f>'[18]Rev_SP-12me'!AW179</f>
        <v>0</v>
      </c>
      <c r="H156" s="153">
        <f t="shared" si="125"/>
        <v>0.429830570365695</v>
      </c>
      <c r="I156" s="174">
        <f t="shared" ref="I156:K156" si="159">E156</f>
        <v>0</v>
      </c>
      <c r="J156" s="174">
        <f t="shared" si="159"/>
        <v>0.429830570365695</v>
      </c>
      <c r="K156" s="174">
        <f t="shared" si="159"/>
        <v>0</v>
      </c>
      <c r="L156" s="143">
        <f t="shared" si="127"/>
        <v>0.429830570365695</v>
      </c>
      <c r="M156" s="101">
        <f t="shared" si="155"/>
        <v>3.49999999999999</v>
      </c>
    </row>
    <row r="157" ht="15" spans="2:13">
      <c r="B157" s="151" t="s">
        <v>1126</v>
      </c>
      <c r="C157" s="55"/>
      <c r="D157" s="150">
        <f>'[18]Rev_SP-12me'!AQ180</f>
        <v>0</v>
      </c>
      <c r="E157" s="150">
        <f>'[18]Rev_SP-12me'!AT180</f>
        <v>0</v>
      </c>
      <c r="F157" s="150">
        <f>'[18]Rev_SP-12me'!AU180</f>
        <v>0</v>
      </c>
      <c r="G157" s="150">
        <f>'[18]Rev_SP-12me'!AW180</f>
        <v>0</v>
      </c>
      <c r="H157" s="153">
        <f t="shared" si="125"/>
        <v>0</v>
      </c>
      <c r="I157" s="150">
        <f t="shared" ref="I157:K157" si="160">E157</f>
        <v>0</v>
      </c>
      <c r="J157" s="150">
        <f t="shared" si="160"/>
        <v>0</v>
      </c>
      <c r="K157" s="150">
        <f t="shared" si="160"/>
        <v>0</v>
      </c>
      <c r="L157" s="142">
        <f t="shared" si="127"/>
        <v>0</v>
      </c>
      <c r="M157" s="101"/>
    </row>
    <row r="158" spans="2:13">
      <c r="B158" s="156" t="s">
        <v>1119</v>
      </c>
      <c r="C158" s="55"/>
      <c r="D158" s="174">
        <f>'[18]Rev_SP-12me'!AQ181</f>
        <v>0</v>
      </c>
      <c r="E158" s="174">
        <f>'[18]Rev_SP-12me'!AT181</f>
        <v>0</v>
      </c>
      <c r="F158" s="174">
        <f>'[18]Rev_SP-12me'!AU181</f>
        <v>0</v>
      </c>
      <c r="G158" s="174">
        <f>'[18]Rev_SP-12me'!AW181</f>
        <v>0</v>
      </c>
      <c r="H158" s="153">
        <f t="shared" si="125"/>
        <v>0</v>
      </c>
      <c r="I158" s="174">
        <f t="shared" ref="I158:K158" si="161">E158</f>
        <v>0</v>
      </c>
      <c r="J158" s="174">
        <f t="shared" si="161"/>
        <v>0</v>
      </c>
      <c r="K158" s="174">
        <f t="shared" si="161"/>
        <v>0</v>
      </c>
      <c r="L158" s="143">
        <f t="shared" si="127"/>
        <v>0</v>
      </c>
      <c r="M158" s="101"/>
    </row>
    <row r="159" spans="2:13">
      <c r="B159" s="156" t="s">
        <v>1120</v>
      </c>
      <c r="C159" s="55"/>
      <c r="D159" s="174">
        <f>'[18]Rev_SP-12me'!AQ182</f>
        <v>0</v>
      </c>
      <c r="E159" s="174">
        <f>'[18]Rev_SP-12me'!AT182</f>
        <v>0</v>
      </c>
      <c r="F159" s="174">
        <f>'[18]Rev_SP-12me'!AU182</f>
        <v>0</v>
      </c>
      <c r="G159" s="174">
        <f>'[18]Rev_SP-12me'!AW182</f>
        <v>0</v>
      </c>
      <c r="H159" s="153">
        <f t="shared" si="125"/>
        <v>0</v>
      </c>
      <c r="I159" s="174">
        <f t="shared" ref="I159:K159" si="162">E159</f>
        <v>0</v>
      </c>
      <c r="J159" s="174">
        <f t="shared" si="162"/>
        <v>0</v>
      </c>
      <c r="K159" s="174">
        <f t="shared" si="162"/>
        <v>0</v>
      </c>
      <c r="L159" s="143">
        <f t="shared" si="127"/>
        <v>0</v>
      </c>
      <c r="M159" s="101"/>
    </row>
    <row r="160" spans="2:13">
      <c r="B160" s="156" t="s">
        <v>1121</v>
      </c>
      <c r="C160" s="55"/>
      <c r="D160" s="174">
        <f>'[18]Rev_SP-12me'!AQ183</f>
        <v>0</v>
      </c>
      <c r="E160" s="174">
        <f>'[18]Rev_SP-12me'!AT183</f>
        <v>0</v>
      </c>
      <c r="F160" s="174">
        <f>'[18]Rev_SP-12me'!AU183</f>
        <v>0</v>
      </c>
      <c r="G160" s="174">
        <f>'[18]Rev_SP-12me'!AW183</f>
        <v>0</v>
      </c>
      <c r="H160" s="153">
        <f t="shared" si="125"/>
        <v>0</v>
      </c>
      <c r="I160" s="174">
        <f t="shared" ref="I160:K160" si="163">E160</f>
        <v>0</v>
      </c>
      <c r="J160" s="174">
        <f t="shared" si="163"/>
        <v>0</v>
      </c>
      <c r="K160" s="174">
        <f t="shared" si="163"/>
        <v>0</v>
      </c>
      <c r="L160" s="143">
        <f t="shared" si="127"/>
        <v>0</v>
      </c>
      <c r="M160" s="101"/>
    </row>
    <row r="161" spans="2:13">
      <c r="B161" s="156" t="s">
        <v>1122</v>
      </c>
      <c r="C161" s="55"/>
      <c r="D161" s="174">
        <f>'[18]Rev_SP-12me'!AQ184</f>
        <v>0</v>
      </c>
      <c r="E161" s="174">
        <f>'[18]Rev_SP-12me'!AT184</f>
        <v>0</v>
      </c>
      <c r="F161" s="174">
        <f>'[18]Rev_SP-12me'!AU184</f>
        <v>0</v>
      </c>
      <c r="G161" s="174">
        <f>'[18]Rev_SP-12me'!AW184</f>
        <v>0</v>
      </c>
      <c r="H161" s="153">
        <f t="shared" si="125"/>
        <v>0</v>
      </c>
      <c r="I161" s="174">
        <f t="shared" ref="I161:K161" si="164">E161</f>
        <v>0</v>
      </c>
      <c r="J161" s="174">
        <f t="shared" si="164"/>
        <v>0</v>
      </c>
      <c r="K161" s="174">
        <f t="shared" si="164"/>
        <v>0</v>
      </c>
      <c r="L161" s="143">
        <f t="shared" si="127"/>
        <v>0</v>
      </c>
      <c r="M161" s="101"/>
    </row>
    <row r="162" ht="15" spans="2:13">
      <c r="B162" s="151" t="s">
        <v>1147</v>
      </c>
      <c r="C162" s="55"/>
      <c r="D162" s="150">
        <f>'[18]Rev_SP-12me'!AQ185</f>
        <v>86.2466042202066</v>
      </c>
      <c r="E162" s="150">
        <f>'[18]Rev_SP-12me'!AT185</f>
        <v>4.56560667112711</v>
      </c>
      <c r="F162" s="150">
        <f>'[18]Rev_SP-12me'!AU185</f>
        <v>54.3353606587301</v>
      </c>
      <c r="G162" s="150">
        <f>'[18]Rev_SP-12me'!AW185</f>
        <v>0.0546</v>
      </c>
      <c r="H162" s="153">
        <f t="shared" si="125"/>
        <v>58.9555673298572</v>
      </c>
      <c r="I162" s="150">
        <f t="shared" ref="I162:K162" si="165">E162</f>
        <v>4.56560667112711</v>
      </c>
      <c r="J162" s="150">
        <f t="shared" si="165"/>
        <v>54.3353606587301</v>
      </c>
      <c r="K162" s="150">
        <f t="shared" si="165"/>
        <v>0.0546</v>
      </c>
      <c r="L162" s="142">
        <f t="shared" si="127"/>
        <v>58.9555673298572</v>
      </c>
      <c r="M162" s="101">
        <f t="shared" ref="M162:M165" si="166">L162*10/D162</f>
        <v>6.83569722691118</v>
      </c>
    </row>
    <row r="163" spans="2:13">
      <c r="B163" s="160" t="s">
        <v>1128</v>
      </c>
      <c r="C163" s="55"/>
      <c r="D163" s="153">
        <f>'[18]Rev_SP-12me'!AQ186</f>
        <v>86.2466042202066</v>
      </c>
      <c r="E163" s="153">
        <f>'[18]Rev_SP-12me'!AT186</f>
        <v>4.56560667112711</v>
      </c>
      <c r="F163" s="153">
        <f>'[18]Rev_SP-12me'!AU186</f>
        <v>54.3353606587301</v>
      </c>
      <c r="G163" s="153">
        <f>'[18]Rev_SP-12me'!AW186</f>
        <v>0.0546</v>
      </c>
      <c r="H163" s="153">
        <f t="shared" si="125"/>
        <v>58.9555673298572</v>
      </c>
      <c r="I163" s="153">
        <f t="shared" ref="I163:K163" si="167">E163</f>
        <v>4.56560667112711</v>
      </c>
      <c r="J163" s="153">
        <f t="shared" si="167"/>
        <v>54.3353606587301</v>
      </c>
      <c r="K163" s="153">
        <f t="shared" si="167"/>
        <v>0.0546</v>
      </c>
      <c r="L163" s="143">
        <f t="shared" si="127"/>
        <v>58.9555673298572</v>
      </c>
      <c r="M163" s="101">
        <f t="shared" si="166"/>
        <v>6.83569722691118</v>
      </c>
    </row>
    <row r="164" ht="15" spans="2:13">
      <c r="B164" s="161" t="s">
        <v>1148</v>
      </c>
      <c r="C164" s="55"/>
      <c r="D164" s="150">
        <f>'[18]Rev_SP-12me'!AQ191</f>
        <v>282.096660471516</v>
      </c>
      <c r="E164" s="150">
        <f>'[18]Rev_SP-12me'!AT191</f>
        <v>0</v>
      </c>
      <c r="F164" s="150">
        <f>'[18]Rev_SP-12me'!AU191</f>
        <v>172.078962887625</v>
      </c>
      <c r="G164" s="150">
        <f>'[18]Rev_SP-12me'!AW191</f>
        <v>0.1029</v>
      </c>
      <c r="H164" s="153">
        <f t="shared" si="125"/>
        <v>172.181862887625</v>
      </c>
      <c r="I164" s="150">
        <f t="shared" ref="I164:K164" si="168">E164</f>
        <v>0</v>
      </c>
      <c r="J164" s="150">
        <f t="shared" si="168"/>
        <v>172.078962887625</v>
      </c>
      <c r="K164" s="150">
        <f t="shared" si="168"/>
        <v>0.1029</v>
      </c>
      <c r="L164" s="142">
        <f t="shared" si="127"/>
        <v>172.181862887625</v>
      </c>
      <c r="M164" s="101">
        <f t="shared" si="166"/>
        <v>6.10364768586159</v>
      </c>
    </row>
    <row r="165" spans="2:13">
      <c r="B165" s="154" t="s">
        <v>1149</v>
      </c>
      <c r="C165" s="55"/>
      <c r="D165" s="153">
        <f>'[18]Rev_SP-12me'!AQ192</f>
        <v>282.096660471516</v>
      </c>
      <c r="E165" s="153">
        <f>'[18]Rev_SP-12me'!AT192</f>
        <v>0</v>
      </c>
      <c r="F165" s="153">
        <f>'[18]Rev_SP-12me'!AU192</f>
        <v>172.078962887625</v>
      </c>
      <c r="G165" s="153">
        <f>'[18]Rev_SP-12me'!AW192</f>
        <v>0.1029</v>
      </c>
      <c r="H165" s="153">
        <f t="shared" si="125"/>
        <v>172.181862887625</v>
      </c>
      <c r="I165" s="153">
        <f t="shared" ref="I165:K165" si="169">E165</f>
        <v>0</v>
      </c>
      <c r="J165" s="153">
        <f t="shared" si="169"/>
        <v>172.078962887625</v>
      </c>
      <c r="K165" s="153">
        <f t="shared" si="169"/>
        <v>0.1029</v>
      </c>
      <c r="L165" s="143">
        <f t="shared" si="127"/>
        <v>172.181862887625</v>
      </c>
      <c r="M165" s="101">
        <f t="shared" si="166"/>
        <v>6.10364768586159</v>
      </c>
    </row>
    <row r="166" ht="15" spans="2:13">
      <c r="B166" s="157" t="s">
        <v>1150</v>
      </c>
      <c r="C166" s="55"/>
      <c r="D166" s="150">
        <f>'[18]Rev_SP-12me'!AQ193</f>
        <v>0</v>
      </c>
      <c r="E166" s="150">
        <f>'[18]Rev_SP-12me'!AT193</f>
        <v>0</v>
      </c>
      <c r="F166" s="150">
        <f>'[18]Rev_SP-12me'!AU193</f>
        <v>0</v>
      </c>
      <c r="G166" s="150">
        <f>'[18]Rev_SP-12me'!AW193</f>
        <v>0</v>
      </c>
      <c r="H166" s="153">
        <f t="shared" si="125"/>
        <v>0</v>
      </c>
      <c r="I166" s="150">
        <f t="shared" ref="I166:K166" si="170">E166</f>
        <v>0</v>
      </c>
      <c r="J166" s="150">
        <f t="shared" si="170"/>
        <v>0</v>
      </c>
      <c r="K166" s="150">
        <f t="shared" si="170"/>
        <v>0</v>
      </c>
      <c r="L166" s="143">
        <f t="shared" si="127"/>
        <v>0</v>
      </c>
      <c r="M166" s="101"/>
    </row>
    <row r="167" ht="15" spans="2:13">
      <c r="B167" s="151" t="s">
        <v>1131</v>
      </c>
      <c r="C167" s="55"/>
      <c r="D167" s="150">
        <f>'[18]Rev_SP-12me'!AQ187</f>
        <v>0</v>
      </c>
      <c r="E167" s="150">
        <f>'[18]Rev_SP-12me'!AT187</f>
        <v>0</v>
      </c>
      <c r="F167" s="150">
        <f>'[18]Rev_SP-12me'!AU187</f>
        <v>0</v>
      </c>
      <c r="G167" s="150">
        <f>'[18]Rev_SP-12me'!AW187</f>
        <v>0.0042</v>
      </c>
      <c r="H167" s="153">
        <f t="shared" si="125"/>
        <v>0.0042</v>
      </c>
      <c r="I167" s="150">
        <f t="shared" ref="I167:K167" si="171">E167</f>
        <v>0</v>
      </c>
      <c r="J167" s="150">
        <f t="shared" si="171"/>
        <v>0</v>
      </c>
      <c r="K167" s="150">
        <f t="shared" si="171"/>
        <v>0.0042</v>
      </c>
      <c r="L167" s="142">
        <f t="shared" si="127"/>
        <v>0.0042</v>
      </c>
      <c r="M167" s="101"/>
    </row>
    <row r="168" ht="15" spans="2:13">
      <c r="B168" s="151" t="s">
        <v>1132</v>
      </c>
      <c r="C168" s="55"/>
      <c r="D168" s="150">
        <f>'[18]Rev_SP-12me'!AQ188</f>
        <v>0</v>
      </c>
      <c r="E168" s="150">
        <f>'[18]Rev_SP-12me'!AT188</f>
        <v>0</v>
      </c>
      <c r="F168" s="150">
        <f>'[18]Rev_SP-12me'!AU188</f>
        <v>0</v>
      </c>
      <c r="G168" s="150">
        <f>'[18]Rev_SP-12me'!AW188</f>
        <v>0</v>
      </c>
      <c r="H168" s="153">
        <f t="shared" si="125"/>
        <v>0</v>
      </c>
      <c r="I168" s="150">
        <f t="shared" ref="I168:K168" si="172">E168</f>
        <v>0</v>
      </c>
      <c r="J168" s="150">
        <f t="shared" si="172"/>
        <v>0</v>
      </c>
      <c r="K168" s="150">
        <f t="shared" si="172"/>
        <v>0</v>
      </c>
      <c r="L168" s="142">
        <f t="shared" si="127"/>
        <v>0</v>
      </c>
      <c r="M168" s="101"/>
    </row>
    <row r="169" ht="15" spans="2:13">
      <c r="B169" s="151" t="s">
        <v>919</v>
      </c>
      <c r="C169" s="55"/>
      <c r="D169" s="150">
        <f>'[18]Rev_SP-12me'!AQ189</f>
        <v>188.407399757014</v>
      </c>
      <c r="E169" s="150">
        <f>'[18]Rev_SP-12me'!AT189</f>
        <v>12.157975436418</v>
      </c>
      <c r="F169" s="150">
        <f>'[18]Rev_SP-12me'!AU189</f>
        <v>137.53740182262</v>
      </c>
      <c r="G169" s="150">
        <f>'[18]Rev_SP-12me'!AW189</f>
        <v>0.1575</v>
      </c>
      <c r="H169" s="153">
        <f t="shared" si="125"/>
        <v>149.852877259038</v>
      </c>
      <c r="I169" s="150">
        <f t="shared" ref="I169:K169" si="173">E169</f>
        <v>12.157975436418</v>
      </c>
      <c r="J169" s="150">
        <f t="shared" si="173"/>
        <v>137.53740182262</v>
      </c>
      <c r="K169" s="150">
        <f t="shared" si="173"/>
        <v>0.1575</v>
      </c>
      <c r="L169" s="142">
        <f t="shared" si="127"/>
        <v>149.852877259038</v>
      </c>
      <c r="M169" s="101">
        <f t="shared" ref="M169:M171" si="174">L169*10/D169</f>
        <v>7.95366198208249</v>
      </c>
    </row>
    <row r="170" ht="15" spans="2:13">
      <c r="B170" s="151" t="s">
        <v>1133</v>
      </c>
      <c r="C170" s="55"/>
      <c r="D170" s="150">
        <f>'[18]Rev_SP-12me'!AQ190</f>
        <v>36.1256164370943</v>
      </c>
      <c r="E170" s="150">
        <f>'[18]Rev_SP-12me'!AT190</f>
        <v>12.4657704296392</v>
      </c>
      <c r="F170" s="150">
        <f>'[18]Rev_SP-12me'!AU190</f>
        <v>39.7381780808037</v>
      </c>
      <c r="G170" s="150">
        <f>'[18]Rev_SP-12me'!AW190</f>
        <v>0.0399</v>
      </c>
      <c r="H170" s="153">
        <f t="shared" si="125"/>
        <v>52.2438485104429</v>
      </c>
      <c r="I170" s="150">
        <f t="shared" ref="I170:K170" si="175">E170</f>
        <v>12.4657704296392</v>
      </c>
      <c r="J170" s="150">
        <f t="shared" si="175"/>
        <v>39.7381780808037</v>
      </c>
      <c r="K170" s="150">
        <f t="shared" si="175"/>
        <v>0.0399</v>
      </c>
      <c r="L170" s="142">
        <f t="shared" si="127"/>
        <v>52.2438485104429</v>
      </c>
      <c r="M170" s="101">
        <f t="shared" si="174"/>
        <v>14.4617182107924</v>
      </c>
    </row>
    <row r="171" ht="15" spans="2:13">
      <c r="B171" s="157" t="s">
        <v>1151</v>
      </c>
      <c r="C171" s="55"/>
      <c r="D171" s="148">
        <f t="shared" ref="D171:K171" si="176">SUM(D126,D140,D145,D146,D152,D157,D162,D164,D166,D167,D168,D169,D170)</f>
        <v>10055.3104682285</v>
      </c>
      <c r="E171" s="149">
        <f t="shared" si="176"/>
        <v>888.814032092788</v>
      </c>
      <c r="F171" s="149">
        <f t="shared" si="176"/>
        <v>7204.62247889952</v>
      </c>
      <c r="G171" s="149">
        <f t="shared" si="176"/>
        <v>3.0912</v>
      </c>
      <c r="H171" s="148">
        <f t="shared" si="176"/>
        <v>8096.52771099231</v>
      </c>
      <c r="I171" s="149">
        <f t="shared" si="176"/>
        <v>888.814032092788</v>
      </c>
      <c r="J171" s="149">
        <f t="shared" si="176"/>
        <v>7204.62247889952</v>
      </c>
      <c r="K171" s="149">
        <f t="shared" si="176"/>
        <v>3.0912</v>
      </c>
      <c r="L171" s="149">
        <f t="shared" si="127"/>
        <v>8096.52771099231</v>
      </c>
      <c r="M171" s="101">
        <f t="shared" si="174"/>
        <v>8.05199176750905</v>
      </c>
    </row>
    <row r="172" spans="2:13">
      <c r="B172" s="55"/>
      <c r="C172" s="55"/>
      <c r="D172" s="100"/>
      <c r="E172" s="100"/>
      <c r="F172" s="100"/>
      <c r="G172" s="100"/>
      <c r="H172" s="100"/>
      <c r="I172" s="100"/>
      <c r="J172" s="100"/>
      <c r="K172" s="100"/>
      <c r="L172" s="143"/>
      <c r="M172" s="101"/>
    </row>
    <row r="173" spans="2:13">
      <c r="B173" s="151" t="s">
        <v>1152</v>
      </c>
      <c r="C173" s="55"/>
      <c r="D173" s="100"/>
      <c r="E173" s="100"/>
      <c r="F173" s="100"/>
      <c r="G173" s="100"/>
      <c r="H173" s="100"/>
      <c r="I173" s="100"/>
      <c r="J173" s="100"/>
      <c r="K173" s="100"/>
      <c r="L173" s="143"/>
      <c r="M173" s="101"/>
    </row>
    <row r="174" ht="15" spans="2:13">
      <c r="B174" s="151" t="s">
        <v>1137</v>
      </c>
      <c r="C174" s="55"/>
      <c r="D174" s="150">
        <f>'[18]Rev_SP-12me'!AQ208</f>
        <v>3799.82800293829</v>
      </c>
      <c r="E174" s="150">
        <f>'[18]Rev_SP-12me'!AT208</f>
        <v>404.7631462476</v>
      </c>
      <c r="F174" s="150">
        <f>'[18]Rev_SP-12me'!AU208</f>
        <v>2474.68925185116</v>
      </c>
      <c r="G174" s="137">
        <f>'[18]Rev_SP-12me'!AW208</f>
        <v>0.294</v>
      </c>
      <c r="H174" s="153">
        <f t="shared" ref="H174:H215" si="177">SUM(E174:G174)</f>
        <v>2879.74639809876</v>
      </c>
      <c r="I174" s="150">
        <f t="shared" ref="I174:K174" si="178">E174</f>
        <v>404.7631462476</v>
      </c>
      <c r="J174" s="150">
        <f t="shared" si="178"/>
        <v>2474.68925185116</v>
      </c>
      <c r="K174" s="150">
        <f t="shared" si="178"/>
        <v>0.294</v>
      </c>
      <c r="L174" s="142">
        <f t="shared" ref="L174:L216" si="179">SUM(I174:K174)</f>
        <v>2879.74639809876</v>
      </c>
      <c r="M174" s="101">
        <f t="shared" ref="M174:M192" si="180">L174*10/D174</f>
        <v>7.57862302154714</v>
      </c>
    </row>
    <row r="175" spans="2:13">
      <c r="B175" s="154" t="s">
        <v>1105</v>
      </c>
      <c r="C175" s="55"/>
      <c r="D175" s="153">
        <f>'[18]Rev_SP-12me'!AQ209</f>
        <v>727.317196017259</v>
      </c>
      <c r="E175" s="153">
        <f>'[18]Rev_SP-12me'!AT209</f>
        <v>404.7631462476</v>
      </c>
      <c r="F175" s="153">
        <f>'[18]Rev_SP-12me'!AU209</f>
        <v>483.665935351477</v>
      </c>
      <c r="G175" s="176">
        <f>'[18]Rev_SP-12me'!AW209</f>
        <v>0.294</v>
      </c>
      <c r="H175" s="153">
        <f t="shared" si="177"/>
        <v>888.723081599077</v>
      </c>
      <c r="I175" s="153">
        <f t="shared" ref="I175:K175" si="181">E175</f>
        <v>404.7631462476</v>
      </c>
      <c r="J175" s="153">
        <f t="shared" si="181"/>
        <v>483.665935351477</v>
      </c>
      <c r="K175" s="153">
        <f t="shared" si="181"/>
        <v>0.294</v>
      </c>
      <c r="L175" s="143">
        <f t="shared" si="179"/>
        <v>888.723081599077</v>
      </c>
      <c r="M175" s="101">
        <f t="shared" si="180"/>
        <v>12.2191952351143</v>
      </c>
    </row>
    <row r="176" spans="2:13">
      <c r="B176" s="154" t="s">
        <v>1139</v>
      </c>
      <c r="C176" s="55"/>
      <c r="D176" s="174">
        <f>'[18]Rev_SP-12me'!AQ210</f>
        <v>220.344508273904</v>
      </c>
      <c r="E176" s="174">
        <f>'[18]Rev_SP-12me'!AT210</f>
        <v>0</v>
      </c>
      <c r="F176" s="174">
        <f>'[18]Rev_SP-12me'!AU210</f>
        <v>146.529098002146</v>
      </c>
      <c r="G176" s="174">
        <f>'[18]Rev_SP-12me'!AW210</f>
        <v>0</v>
      </c>
      <c r="H176" s="153">
        <f t="shared" si="177"/>
        <v>146.529098002146</v>
      </c>
      <c r="I176" s="174">
        <f t="shared" ref="I176:K176" si="182">E176</f>
        <v>0</v>
      </c>
      <c r="J176" s="174">
        <f t="shared" si="182"/>
        <v>146.529098002146</v>
      </c>
      <c r="K176" s="174">
        <f t="shared" si="182"/>
        <v>0</v>
      </c>
      <c r="L176" s="143">
        <f t="shared" si="179"/>
        <v>146.529098002146</v>
      </c>
      <c r="M176" s="101"/>
    </row>
    <row r="177" spans="2:13">
      <c r="B177" s="154" t="s">
        <v>1140</v>
      </c>
      <c r="C177" s="55"/>
      <c r="D177" s="174">
        <f>'[18]Rev_SP-12me'!AQ211</f>
        <v>342.000435705284</v>
      </c>
      <c r="E177" s="174">
        <f>'[18]Rev_SP-12me'!AT211</f>
        <v>0</v>
      </c>
      <c r="F177" s="174">
        <f>'[18]Rev_SP-12me'!AU211</f>
        <v>249.660318064858</v>
      </c>
      <c r="G177" s="174">
        <f>'[18]Rev_SP-12me'!AW211</f>
        <v>0</v>
      </c>
      <c r="H177" s="153">
        <f t="shared" si="177"/>
        <v>249.660318064858</v>
      </c>
      <c r="I177" s="174">
        <f t="shared" ref="I177:K177" si="183">E177</f>
        <v>0</v>
      </c>
      <c r="J177" s="174">
        <f t="shared" si="183"/>
        <v>249.660318064858</v>
      </c>
      <c r="K177" s="174">
        <f t="shared" si="183"/>
        <v>0</v>
      </c>
      <c r="L177" s="143">
        <f t="shared" si="179"/>
        <v>249.660318064858</v>
      </c>
      <c r="M177" s="101"/>
    </row>
    <row r="178" spans="2:13">
      <c r="B178" s="154" t="s">
        <v>1141</v>
      </c>
      <c r="C178" s="55"/>
      <c r="D178" s="174">
        <f>'[18]Rev_SP-12me'!AQ212</f>
        <v>0</v>
      </c>
      <c r="E178" s="174">
        <f>'[18]Rev_SP-12me'!AT212</f>
        <v>0</v>
      </c>
      <c r="F178" s="174">
        <f>'[18]Rev_SP-12me'!AU212</f>
        <v>0</v>
      </c>
      <c r="G178" s="174">
        <f>'[18]Rev_SP-12me'!AW212</f>
        <v>0</v>
      </c>
      <c r="H178" s="153">
        <f t="shared" si="177"/>
        <v>0</v>
      </c>
      <c r="I178" s="174">
        <f t="shared" ref="I178:K178" si="184">E178</f>
        <v>0</v>
      </c>
      <c r="J178" s="174">
        <f t="shared" si="184"/>
        <v>0</v>
      </c>
      <c r="K178" s="174">
        <f t="shared" si="184"/>
        <v>0</v>
      </c>
      <c r="L178" s="143">
        <f t="shared" si="179"/>
        <v>0</v>
      </c>
      <c r="M178" s="101"/>
    </row>
    <row r="179" spans="2:13">
      <c r="B179" s="156" t="s">
        <v>1120</v>
      </c>
      <c r="C179" s="55"/>
      <c r="D179" s="174">
        <f>'[18]Rev_SP-12me'!AQ213</f>
        <v>586.236441608374</v>
      </c>
      <c r="E179" s="174">
        <f>'[18]Rev_SP-12me'!AT213</f>
        <v>0</v>
      </c>
      <c r="F179" s="174">
        <f>'[18]Rev_SP-12me'!AU213</f>
        <v>448.470877830406</v>
      </c>
      <c r="G179" s="174">
        <f>'[18]Rev_SP-12me'!AW213</f>
        <v>0</v>
      </c>
      <c r="H179" s="153">
        <f t="shared" si="177"/>
        <v>448.470877830406</v>
      </c>
      <c r="I179" s="174">
        <f t="shared" ref="I179:K179" si="185">E179</f>
        <v>0</v>
      </c>
      <c r="J179" s="174">
        <f t="shared" si="185"/>
        <v>448.470877830406</v>
      </c>
      <c r="K179" s="174">
        <f t="shared" si="185"/>
        <v>0</v>
      </c>
      <c r="L179" s="143">
        <f t="shared" si="179"/>
        <v>448.470877830406</v>
      </c>
      <c r="M179" s="101">
        <f t="shared" si="180"/>
        <v>7.65</v>
      </c>
    </row>
    <row r="180" spans="2:13">
      <c r="B180" s="156" t="s">
        <v>1121</v>
      </c>
      <c r="C180" s="55"/>
      <c r="D180" s="174">
        <f>'[18]Rev_SP-12me'!AQ214</f>
        <v>622.157482462135</v>
      </c>
      <c r="E180" s="174">
        <f>'[18]Rev_SP-12me'!AT214</f>
        <v>0</v>
      </c>
      <c r="F180" s="174">
        <f>'[18]Rev_SP-12me'!AU214</f>
        <v>475.950474083533</v>
      </c>
      <c r="G180" s="174">
        <f>'[18]Rev_SP-12me'!AW214</f>
        <v>0</v>
      </c>
      <c r="H180" s="153">
        <f t="shared" si="177"/>
        <v>475.950474083533</v>
      </c>
      <c r="I180" s="174">
        <f t="shared" ref="I180:K180" si="186">E180</f>
        <v>0</v>
      </c>
      <c r="J180" s="174">
        <f t="shared" si="186"/>
        <v>475.950474083533</v>
      </c>
      <c r="K180" s="174">
        <f t="shared" si="186"/>
        <v>0</v>
      </c>
      <c r="L180" s="143">
        <f t="shared" si="179"/>
        <v>475.950474083533</v>
      </c>
      <c r="M180" s="101">
        <f t="shared" si="180"/>
        <v>7.64999999999999</v>
      </c>
    </row>
    <row r="181" spans="2:13">
      <c r="B181" s="156" t="s">
        <v>1122</v>
      </c>
      <c r="C181" s="55"/>
      <c r="D181" s="174">
        <f>'[18]Rev_SP-12me'!AQ215</f>
        <v>1301.77193887133</v>
      </c>
      <c r="E181" s="174">
        <f>'[18]Rev_SP-12me'!AT215</f>
        <v>0</v>
      </c>
      <c r="F181" s="174">
        <f>'[18]Rev_SP-12me'!AU215</f>
        <v>670.412548518735</v>
      </c>
      <c r="G181" s="174">
        <f>'[18]Rev_SP-12me'!AW215</f>
        <v>0</v>
      </c>
      <c r="H181" s="153">
        <f t="shared" si="177"/>
        <v>670.412548518735</v>
      </c>
      <c r="I181" s="174">
        <f t="shared" ref="I181:K181" si="187">E181</f>
        <v>0</v>
      </c>
      <c r="J181" s="174">
        <f t="shared" si="187"/>
        <v>670.412548518735</v>
      </c>
      <c r="K181" s="174">
        <f t="shared" si="187"/>
        <v>0</v>
      </c>
      <c r="L181" s="143">
        <f t="shared" si="179"/>
        <v>670.412548518735</v>
      </c>
      <c r="M181" s="101">
        <f t="shared" si="180"/>
        <v>5.15</v>
      </c>
    </row>
    <row r="182" ht="15" spans="2:13">
      <c r="B182" s="151" t="s">
        <v>1118</v>
      </c>
      <c r="C182" s="55"/>
      <c r="D182" s="150">
        <f>'[18]Rev_SP-12me'!AQ217</f>
        <v>1202.64701559553</v>
      </c>
      <c r="E182" s="150">
        <f>'[18]Rev_SP-12me'!AT217</f>
        <v>0</v>
      </c>
      <c r="F182" s="150">
        <f>'[18]Rev_SP-12me'!AU217</f>
        <v>779.577204085123</v>
      </c>
      <c r="G182" s="150">
        <f>'[18]Rev_SP-12me'!AW217</f>
        <v>0</v>
      </c>
      <c r="H182" s="153">
        <f t="shared" si="177"/>
        <v>779.577204085123</v>
      </c>
      <c r="I182" s="150">
        <f t="shared" ref="I182:K182" si="188">E182</f>
        <v>0</v>
      </c>
      <c r="J182" s="150">
        <f t="shared" si="188"/>
        <v>779.577204085123</v>
      </c>
      <c r="K182" s="150">
        <f t="shared" si="188"/>
        <v>0</v>
      </c>
      <c r="L182" s="142">
        <f t="shared" si="179"/>
        <v>779.577204085123</v>
      </c>
      <c r="M182" s="101">
        <f t="shared" si="180"/>
        <v>6.48217801213343</v>
      </c>
    </row>
    <row r="183" spans="2:13">
      <c r="B183" s="154" t="s">
        <v>1119</v>
      </c>
      <c r="C183" s="55"/>
      <c r="D183" s="177">
        <f>'[18]Rev_SP-12me'!AQ218</f>
        <v>395.485654498784</v>
      </c>
      <c r="E183" s="178">
        <f>'[18]Rev_SP-12me'!AT218</f>
        <v>0</v>
      </c>
      <c r="F183" s="178">
        <f>'[18]Rev_SP-12me'!AU218</f>
        <v>262.997960241691</v>
      </c>
      <c r="G183" s="178">
        <f>'[18]Rev_SP-12me'!AW218</f>
        <v>0</v>
      </c>
      <c r="H183" s="153">
        <f t="shared" si="177"/>
        <v>262.997960241691</v>
      </c>
      <c r="I183" s="174">
        <f t="shared" ref="I183:K183" si="189">E183</f>
        <v>0</v>
      </c>
      <c r="J183" s="174">
        <f t="shared" si="189"/>
        <v>262.997960241691</v>
      </c>
      <c r="K183" s="174">
        <f t="shared" si="189"/>
        <v>0</v>
      </c>
      <c r="L183" s="143">
        <f t="shared" si="179"/>
        <v>262.997960241691</v>
      </c>
      <c r="M183" s="101">
        <f t="shared" si="180"/>
        <v>6.64999999999999</v>
      </c>
    </row>
    <row r="184" spans="2:13">
      <c r="B184" s="154" t="s">
        <v>1120</v>
      </c>
      <c r="C184" s="55"/>
      <c r="D184" s="177">
        <f>'[18]Rev_SP-12me'!AQ219</f>
        <v>203.26388237159</v>
      </c>
      <c r="E184" s="179">
        <f>'[18]Rev_SP-12me'!AT219</f>
        <v>0</v>
      </c>
      <c r="F184" s="179">
        <f>'[18]Rev_SP-12me'!AU219</f>
        <v>155.496870014266</v>
      </c>
      <c r="G184" s="179">
        <f>'[18]Rev_SP-12me'!AW219</f>
        <v>0</v>
      </c>
      <c r="H184" s="153">
        <f t="shared" si="177"/>
        <v>155.496870014266</v>
      </c>
      <c r="I184" s="174">
        <f t="shared" ref="I184:K184" si="190">E184</f>
        <v>0</v>
      </c>
      <c r="J184" s="174">
        <f t="shared" si="190"/>
        <v>155.496870014266</v>
      </c>
      <c r="K184" s="174">
        <f t="shared" si="190"/>
        <v>0</v>
      </c>
      <c r="L184" s="143">
        <f t="shared" si="179"/>
        <v>155.496870014266</v>
      </c>
      <c r="M184" s="101">
        <f t="shared" si="180"/>
        <v>7.64999999999998</v>
      </c>
    </row>
    <row r="185" spans="2:13">
      <c r="B185" s="154" t="s">
        <v>1121</v>
      </c>
      <c r="C185" s="55"/>
      <c r="D185" s="177">
        <f>'[18]Rev_SP-12me'!AQ220</f>
        <v>200.300689142847</v>
      </c>
      <c r="E185" s="179">
        <f>'[18]Rev_SP-12me'!AT220</f>
        <v>0</v>
      </c>
      <c r="F185" s="179">
        <f>'[18]Rev_SP-12me'!AU220</f>
        <v>153.230027194278</v>
      </c>
      <c r="G185" s="179">
        <f>'[18]Rev_SP-12me'!AW220</f>
        <v>0</v>
      </c>
      <c r="H185" s="153">
        <f t="shared" si="177"/>
        <v>153.230027194278</v>
      </c>
      <c r="I185" s="174">
        <f t="shared" ref="I185:K185" si="191">E185</f>
        <v>0</v>
      </c>
      <c r="J185" s="174">
        <f t="shared" si="191"/>
        <v>153.230027194278</v>
      </c>
      <c r="K185" s="174">
        <f t="shared" si="191"/>
        <v>0</v>
      </c>
      <c r="L185" s="143">
        <f t="shared" si="179"/>
        <v>153.230027194278</v>
      </c>
      <c r="M185" s="101">
        <f t="shared" si="180"/>
        <v>7.65</v>
      </c>
    </row>
    <row r="186" spans="2:13">
      <c r="B186" s="154" t="s">
        <v>1122</v>
      </c>
      <c r="C186" s="55"/>
      <c r="D186" s="177">
        <f>'[18]Rev_SP-12me'!AQ221</f>
        <v>403.596789582306</v>
      </c>
      <c r="E186" s="179">
        <f>'[18]Rev_SP-12me'!AT221</f>
        <v>0</v>
      </c>
      <c r="F186" s="179">
        <f>'[18]Rev_SP-12me'!AU221</f>
        <v>207.852346634888</v>
      </c>
      <c r="G186" s="179">
        <f>'[18]Rev_SP-12me'!AW221</f>
        <v>0</v>
      </c>
      <c r="H186" s="153">
        <f t="shared" si="177"/>
        <v>207.852346634888</v>
      </c>
      <c r="I186" s="174">
        <f t="shared" ref="I186:K186" si="192">E186</f>
        <v>0</v>
      </c>
      <c r="J186" s="174">
        <f t="shared" si="192"/>
        <v>207.852346634888</v>
      </c>
      <c r="K186" s="174">
        <f t="shared" si="192"/>
        <v>0</v>
      </c>
      <c r="L186" s="143">
        <f t="shared" si="179"/>
        <v>207.852346634888</v>
      </c>
      <c r="M186" s="101">
        <f t="shared" si="180"/>
        <v>5.15000000000001</v>
      </c>
    </row>
    <row r="187" ht="15" spans="2:13">
      <c r="B187" s="151" t="s">
        <v>1153</v>
      </c>
      <c r="C187" s="55"/>
      <c r="D187" s="150">
        <f>'[18]Rev_SP-12me'!AQ216</f>
        <v>152.9334297</v>
      </c>
      <c r="E187" s="150">
        <f>'[18]Rev_SP-12me'!AT216</f>
        <v>0</v>
      </c>
      <c r="F187" s="150">
        <f>'[18]Rev_SP-12me'!AU216</f>
        <v>101.7007307505</v>
      </c>
      <c r="G187" s="150">
        <f>'[18]Rev_SP-12me'!AW216</f>
        <v>0</v>
      </c>
      <c r="H187" s="153">
        <f t="shared" si="177"/>
        <v>101.7007307505</v>
      </c>
      <c r="I187" s="150">
        <f t="shared" ref="I187:K187" si="193">E187</f>
        <v>0</v>
      </c>
      <c r="J187" s="150">
        <f t="shared" si="193"/>
        <v>101.7007307505</v>
      </c>
      <c r="K187" s="150">
        <f t="shared" si="193"/>
        <v>0</v>
      </c>
      <c r="L187" s="142">
        <f t="shared" si="179"/>
        <v>101.7007307505</v>
      </c>
      <c r="M187" s="101">
        <f t="shared" si="180"/>
        <v>6.65</v>
      </c>
    </row>
    <row r="188" ht="15" spans="2:13">
      <c r="B188" s="151" t="s">
        <v>1154</v>
      </c>
      <c r="C188" s="55"/>
      <c r="D188" s="150">
        <f>'[18]Rev_SP-12me'!AQ222</f>
        <v>345.646916498293</v>
      </c>
      <c r="E188" s="150">
        <f>'[18]Rev_SP-12me'!AT222</f>
        <v>43.3870222446864</v>
      </c>
      <c r="F188" s="150">
        <f>'[18]Rev_SP-12me'!AU222</f>
        <v>266.024650087319</v>
      </c>
      <c r="G188" s="150">
        <f>'[18]Rev_SP-12me'!AW222</f>
        <v>0.057</v>
      </c>
      <c r="H188" s="153">
        <f t="shared" si="177"/>
        <v>309.468672332005</v>
      </c>
      <c r="I188" s="150">
        <f t="shared" ref="I188:K188" si="194">E188</f>
        <v>43.3870222446864</v>
      </c>
      <c r="J188" s="150">
        <f t="shared" si="194"/>
        <v>266.024650087319</v>
      </c>
      <c r="K188" s="150">
        <f t="shared" si="194"/>
        <v>0.057</v>
      </c>
      <c r="L188" s="143">
        <f t="shared" si="179"/>
        <v>309.468672332005</v>
      </c>
      <c r="M188" s="101">
        <f t="shared" si="180"/>
        <v>8.95331789640119</v>
      </c>
    </row>
    <row r="189" spans="2:13">
      <c r="B189" s="156" t="s">
        <v>1119</v>
      </c>
      <c r="C189" s="55"/>
      <c r="D189" s="174">
        <f>'[18]Rev_SP-12me'!AQ223</f>
        <v>139.212098034898</v>
      </c>
      <c r="E189" s="174">
        <f>'[18]Rev_SP-12me'!AT223</f>
        <v>43.3870222446864</v>
      </c>
      <c r="F189" s="174">
        <f>'[18]Rev_SP-12me'!AU223</f>
        <v>108.58543646722</v>
      </c>
      <c r="G189" s="174">
        <f>'[18]Rev_SP-12me'!AW223</f>
        <v>0.057</v>
      </c>
      <c r="H189" s="153">
        <f t="shared" si="177"/>
        <v>152.029458711906</v>
      </c>
      <c r="I189" s="174">
        <f t="shared" ref="I189:K189" si="195">E189</f>
        <v>43.3870222446864</v>
      </c>
      <c r="J189" s="174">
        <f t="shared" si="195"/>
        <v>108.58543646722</v>
      </c>
      <c r="K189" s="174">
        <f t="shared" si="195"/>
        <v>0.057</v>
      </c>
      <c r="L189" s="143">
        <f t="shared" si="179"/>
        <v>152.029458711906</v>
      </c>
      <c r="M189" s="101">
        <f t="shared" si="180"/>
        <v>10.9207073852012</v>
      </c>
    </row>
    <row r="190" spans="2:13">
      <c r="B190" s="156" t="s">
        <v>1120</v>
      </c>
      <c r="C190" s="55"/>
      <c r="D190" s="174">
        <f>'[18]Rev_SP-12me'!AQ224</f>
        <v>54.3700971181525</v>
      </c>
      <c r="E190" s="174">
        <f>'[18]Rev_SP-12me'!AT224</f>
        <v>0</v>
      </c>
      <c r="F190" s="174">
        <f>'[18]Rev_SP-12me'!AU224</f>
        <v>47.8456854639742</v>
      </c>
      <c r="G190" s="174">
        <f>'[18]Rev_SP-12me'!AW224</f>
        <v>0</v>
      </c>
      <c r="H190" s="153">
        <f t="shared" si="177"/>
        <v>47.8456854639742</v>
      </c>
      <c r="I190" s="174">
        <f t="shared" ref="I190:K190" si="196">E190</f>
        <v>0</v>
      </c>
      <c r="J190" s="174">
        <f t="shared" si="196"/>
        <v>47.8456854639742</v>
      </c>
      <c r="K190" s="174">
        <f t="shared" si="196"/>
        <v>0</v>
      </c>
      <c r="L190" s="143">
        <f t="shared" si="179"/>
        <v>47.8456854639742</v>
      </c>
      <c r="M190" s="101">
        <f t="shared" si="180"/>
        <v>8.8</v>
      </c>
    </row>
    <row r="191" spans="2:13">
      <c r="B191" s="156" t="s">
        <v>1121</v>
      </c>
      <c r="C191" s="55"/>
      <c r="D191" s="174">
        <f>'[18]Rev_SP-12me'!AQ225</f>
        <v>55.171014834488</v>
      </c>
      <c r="E191" s="174">
        <f>'[18]Rev_SP-12me'!AT225</f>
        <v>0</v>
      </c>
      <c r="F191" s="174">
        <f>'[18]Rev_SP-12me'!AU225</f>
        <v>48.5504930543494</v>
      </c>
      <c r="G191" s="174">
        <f>'[18]Rev_SP-12me'!AW225</f>
        <v>0</v>
      </c>
      <c r="H191" s="153">
        <f t="shared" si="177"/>
        <v>48.5504930543494</v>
      </c>
      <c r="I191" s="174">
        <f t="shared" ref="I191:K191" si="197">E191</f>
        <v>0</v>
      </c>
      <c r="J191" s="174">
        <f t="shared" si="197"/>
        <v>48.5504930543494</v>
      </c>
      <c r="K191" s="174">
        <f t="shared" si="197"/>
        <v>0</v>
      </c>
      <c r="L191" s="143">
        <f t="shared" si="179"/>
        <v>48.5504930543494</v>
      </c>
      <c r="M191" s="101">
        <f t="shared" si="180"/>
        <v>8.79999999999999</v>
      </c>
    </row>
    <row r="192" spans="2:13">
      <c r="B192" s="156" t="s">
        <v>1122</v>
      </c>
      <c r="C192" s="55"/>
      <c r="D192" s="174">
        <f>'[18]Rev_SP-12me'!AQ226</f>
        <v>96.8937065107546</v>
      </c>
      <c r="E192" s="174">
        <f>'[18]Rev_SP-12me'!AT226</f>
        <v>0</v>
      </c>
      <c r="F192" s="174">
        <f>'[18]Rev_SP-12me'!AU226</f>
        <v>61.0430351017754</v>
      </c>
      <c r="G192" s="174">
        <f>'[18]Rev_SP-12me'!AW226</f>
        <v>0</v>
      </c>
      <c r="H192" s="153">
        <f t="shared" si="177"/>
        <v>61.0430351017754</v>
      </c>
      <c r="I192" s="174">
        <f t="shared" ref="I192:K192" si="198">E192</f>
        <v>0</v>
      </c>
      <c r="J192" s="174">
        <f t="shared" si="198"/>
        <v>61.0430351017754</v>
      </c>
      <c r="K192" s="174">
        <f t="shared" si="198"/>
        <v>0</v>
      </c>
      <c r="L192" s="143">
        <f t="shared" si="179"/>
        <v>61.0430351017754</v>
      </c>
      <c r="M192" s="101">
        <f t="shared" si="180"/>
        <v>6.3</v>
      </c>
    </row>
    <row r="193" ht="15" spans="2:13">
      <c r="B193" s="151" t="s">
        <v>1125</v>
      </c>
      <c r="C193" s="55"/>
      <c r="D193" s="150">
        <f>'[18]Rev_SP-12me'!AQ227</f>
        <v>0</v>
      </c>
      <c r="E193" s="150">
        <f>'[18]Rev_SP-12me'!AT227</f>
        <v>0</v>
      </c>
      <c r="F193" s="150">
        <f>'[18]Rev_SP-12me'!AU227</f>
        <v>0</v>
      </c>
      <c r="G193" s="150">
        <f>'[18]Rev_SP-12me'!AW227</f>
        <v>0</v>
      </c>
      <c r="H193" s="153">
        <f t="shared" si="177"/>
        <v>0</v>
      </c>
      <c r="I193" s="150">
        <f t="shared" ref="I193:K193" si="199">E193</f>
        <v>0</v>
      </c>
      <c r="J193" s="150">
        <f t="shared" si="199"/>
        <v>0</v>
      </c>
      <c r="K193" s="150">
        <f t="shared" si="199"/>
        <v>0</v>
      </c>
      <c r="L193" s="142">
        <f t="shared" si="179"/>
        <v>0</v>
      </c>
      <c r="M193" s="101"/>
    </row>
    <row r="194" spans="2:13">
      <c r="B194" s="154" t="s">
        <v>1119</v>
      </c>
      <c r="C194" s="55"/>
      <c r="D194" s="174">
        <f>'[18]Rev_SP-12me'!AQ228</f>
        <v>0</v>
      </c>
      <c r="E194" s="174">
        <f>'[18]Rev_SP-12me'!AT228</f>
        <v>0</v>
      </c>
      <c r="F194" s="174">
        <f>'[18]Rev_SP-12me'!AU228</f>
        <v>0</v>
      </c>
      <c r="G194" s="174">
        <f>'[18]Rev_SP-12me'!AW228</f>
        <v>0</v>
      </c>
      <c r="H194" s="153">
        <f t="shared" si="177"/>
        <v>0</v>
      </c>
      <c r="I194" s="174">
        <f t="shared" ref="I194:K194" si="200">E194</f>
        <v>0</v>
      </c>
      <c r="J194" s="174">
        <f t="shared" si="200"/>
        <v>0</v>
      </c>
      <c r="K194" s="174">
        <f t="shared" si="200"/>
        <v>0</v>
      </c>
      <c r="L194" s="143">
        <f t="shared" si="179"/>
        <v>0</v>
      </c>
      <c r="M194" s="101"/>
    </row>
    <row r="195" spans="2:13">
      <c r="B195" s="154" t="s">
        <v>1120</v>
      </c>
      <c r="C195" s="55"/>
      <c r="D195" s="174">
        <f>'[18]Rev_SP-12me'!AQ229</f>
        <v>0</v>
      </c>
      <c r="E195" s="174">
        <f>'[18]Rev_SP-12me'!AT229</f>
        <v>0</v>
      </c>
      <c r="F195" s="174">
        <f>'[18]Rev_SP-12me'!AU229</f>
        <v>0</v>
      </c>
      <c r="G195" s="174">
        <f>'[18]Rev_SP-12me'!AW229</f>
        <v>0</v>
      </c>
      <c r="H195" s="153">
        <f t="shared" si="177"/>
        <v>0</v>
      </c>
      <c r="I195" s="174">
        <f t="shared" ref="I195:K195" si="201">E195</f>
        <v>0</v>
      </c>
      <c r="J195" s="174">
        <f t="shared" si="201"/>
        <v>0</v>
      </c>
      <c r="K195" s="174">
        <f t="shared" si="201"/>
        <v>0</v>
      </c>
      <c r="L195" s="143">
        <f t="shared" si="179"/>
        <v>0</v>
      </c>
      <c r="M195" s="101"/>
    </row>
    <row r="196" spans="2:13">
      <c r="B196" s="154" t="s">
        <v>1121</v>
      </c>
      <c r="C196" s="55"/>
      <c r="D196" s="174">
        <f>'[18]Rev_SP-12me'!AQ230</f>
        <v>0</v>
      </c>
      <c r="E196" s="174">
        <f>'[18]Rev_SP-12me'!AT230</f>
        <v>0</v>
      </c>
      <c r="F196" s="174">
        <f>'[18]Rev_SP-12me'!AU230</f>
        <v>0</v>
      </c>
      <c r="G196" s="174">
        <f>'[18]Rev_SP-12me'!AW230</f>
        <v>0</v>
      </c>
      <c r="H196" s="153">
        <f t="shared" si="177"/>
        <v>0</v>
      </c>
      <c r="I196" s="174">
        <f t="shared" ref="I196:K196" si="202">E196</f>
        <v>0</v>
      </c>
      <c r="J196" s="174">
        <f t="shared" si="202"/>
        <v>0</v>
      </c>
      <c r="K196" s="174">
        <f t="shared" si="202"/>
        <v>0</v>
      </c>
      <c r="L196" s="143">
        <f t="shared" si="179"/>
        <v>0</v>
      </c>
      <c r="M196" s="101"/>
    </row>
    <row r="197" spans="2:13">
      <c r="B197" s="154" t="s">
        <v>1122</v>
      </c>
      <c r="C197" s="55"/>
      <c r="D197" s="174">
        <f>'[18]Rev_SP-12me'!AQ231</f>
        <v>0</v>
      </c>
      <c r="E197" s="174">
        <f>'[18]Rev_SP-12me'!AT231</f>
        <v>0</v>
      </c>
      <c r="F197" s="174">
        <f>'[18]Rev_SP-12me'!AU231</f>
        <v>0</v>
      </c>
      <c r="G197" s="174">
        <f>'[18]Rev_SP-12me'!AW231</f>
        <v>0</v>
      </c>
      <c r="H197" s="153">
        <f t="shared" si="177"/>
        <v>0</v>
      </c>
      <c r="I197" s="174">
        <f t="shared" ref="I197:K197" si="203">E197</f>
        <v>0</v>
      </c>
      <c r="J197" s="174">
        <f t="shared" si="203"/>
        <v>0</v>
      </c>
      <c r="K197" s="174">
        <f t="shared" si="203"/>
        <v>0</v>
      </c>
      <c r="L197" s="143">
        <f t="shared" si="179"/>
        <v>0</v>
      </c>
      <c r="M197" s="101"/>
    </row>
    <row r="198" ht="15" spans="2:13">
      <c r="B198" s="151" t="s">
        <v>1126</v>
      </c>
      <c r="C198" s="55"/>
      <c r="D198" s="150">
        <f>'[18]Rev_SP-12me'!AQ232</f>
        <v>133.669346242745</v>
      </c>
      <c r="E198" s="150">
        <f>'[18]Rev_SP-12me'!AT232</f>
        <v>9.10879814397494</v>
      </c>
      <c r="F198" s="150">
        <f>'[18]Rev_SP-12me'!AU232</f>
        <v>97.0957702967231</v>
      </c>
      <c r="G198" s="150">
        <f>'[18]Rev_SP-12me'!AW232</f>
        <v>0.006</v>
      </c>
      <c r="H198" s="153">
        <f t="shared" si="177"/>
        <v>106.210568440698</v>
      </c>
      <c r="I198" s="150">
        <f t="shared" ref="I198:K198" si="204">E198</f>
        <v>9.10879814397494</v>
      </c>
      <c r="J198" s="150">
        <f t="shared" si="204"/>
        <v>97.0957702967231</v>
      </c>
      <c r="K198" s="150">
        <f t="shared" si="204"/>
        <v>0.006</v>
      </c>
      <c r="L198" s="142">
        <f t="shared" si="179"/>
        <v>106.210568440698</v>
      </c>
      <c r="M198" s="101">
        <f t="shared" ref="M198:M204" si="205">L198*10/D198</f>
        <v>7.94576852705021</v>
      </c>
    </row>
    <row r="199" spans="2:13">
      <c r="B199" s="156" t="s">
        <v>1119</v>
      </c>
      <c r="C199" s="55"/>
      <c r="D199" s="174">
        <f>'[18]Rev_SP-12me'!AQ233</f>
        <v>38.7097992593339</v>
      </c>
      <c r="E199" s="174">
        <f>'[18]Rev_SP-12me'!AT233</f>
        <v>9.10879814397494</v>
      </c>
      <c r="F199" s="174">
        <f>'[18]Rev_SP-12me'!AU233</f>
        <v>28.8388004482037</v>
      </c>
      <c r="G199" s="174">
        <f>'[18]Rev_SP-12me'!AW233</f>
        <v>0.006</v>
      </c>
      <c r="H199" s="153">
        <f t="shared" si="177"/>
        <v>37.9535985921786</v>
      </c>
      <c r="I199" s="174">
        <f t="shared" ref="I199:K199" si="206">E199</f>
        <v>9.10879814397494</v>
      </c>
      <c r="J199" s="174">
        <f t="shared" si="206"/>
        <v>28.8388004482037</v>
      </c>
      <c r="K199" s="174">
        <f t="shared" si="206"/>
        <v>0.006</v>
      </c>
      <c r="L199" s="143">
        <f t="shared" si="179"/>
        <v>37.9535985921786</v>
      </c>
      <c r="M199" s="101">
        <f t="shared" si="205"/>
        <v>9.80464877585928</v>
      </c>
    </row>
    <row r="200" spans="2:13">
      <c r="B200" s="156" t="s">
        <v>1120</v>
      </c>
      <c r="C200" s="55"/>
      <c r="D200" s="174">
        <f>'[18]Rev_SP-12me'!AQ234</f>
        <v>23.9109256623896</v>
      </c>
      <c r="E200" s="174">
        <f>'[18]Rev_SP-12me'!AT234</f>
        <v>0</v>
      </c>
      <c r="F200" s="174">
        <f>'[18]Rev_SP-12me'!AU234</f>
        <v>20.2047321847192</v>
      </c>
      <c r="G200" s="174">
        <f>'[18]Rev_SP-12me'!AW234</f>
        <v>0</v>
      </c>
      <c r="H200" s="153">
        <f t="shared" si="177"/>
        <v>20.2047321847192</v>
      </c>
      <c r="I200" s="174">
        <f t="shared" ref="I200:K200" si="207">E200</f>
        <v>0</v>
      </c>
      <c r="J200" s="174">
        <f t="shared" si="207"/>
        <v>20.2047321847192</v>
      </c>
      <c r="K200" s="174">
        <f t="shared" si="207"/>
        <v>0</v>
      </c>
      <c r="L200" s="143">
        <f t="shared" si="179"/>
        <v>20.2047321847192</v>
      </c>
      <c r="M200" s="101">
        <f t="shared" si="205"/>
        <v>8.45</v>
      </c>
    </row>
    <row r="201" spans="2:13">
      <c r="B201" s="156" t="s">
        <v>1121</v>
      </c>
      <c r="C201" s="55"/>
      <c r="D201" s="174">
        <f>'[18]Rev_SP-12me'!AQ235</f>
        <v>23.1132319111684</v>
      </c>
      <c r="E201" s="174">
        <f>'[18]Rev_SP-12me'!AT235</f>
        <v>0</v>
      </c>
      <c r="F201" s="174">
        <f>'[18]Rev_SP-12me'!AU235</f>
        <v>19.5306809649373</v>
      </c>
      <c r="G201" s="174">
        <f>'[18]Rev_SP-12me'!AW235</f>
        <v>0</v>
      </c>
      <c r="H201" s="153">
        <f t="shared" si="177"/>
        <v>19.5306809649373</v>
      </c>
      <c r="I201" s="174">
        <f t="shared" ref="I201:K201" si="208">E201</f>
        <v>0</v>
      </c>
      <c r="J201" s="174">
        <f t="shared" si="208"/>
        <v>19.5306809649373</v>
      </c>
      <c r="K201" s="174">
        <f t="shared" si="208"/>
        <v>0</v>
      </c>
      <c r="L201" s="143">
        <f t="shared" si="179"/>
        <v>19.5306809649373</v>
      </c>
      <c r="M201" s="101">
        <f t="shared" si="205"/>
        <v>8.45</v>
      </c>
    </row>
    <row r="202" spans="2:13">
      <c r="B202" s="156" t="s">
        <v>1122</v>
      </c>
      <c r="C202" s="55"/>
      <c r="D202" s="174">
        <f>'[18]Rev_SP-12me'!AQ236</f>
        <v>47.9353894098535</v>
      </c>
      <c r="E202" s="174">
        <f>'[18]Rev_SP-12me'!AT236</f>
        <v>0</v>
      </c>
      <c r="F202" s="174">
        <f>'[18]Rev_SP-12me'!AU236</f>
        <v>28.5215566988629</v>
      </c>
      <c r="G202" s="174">
        <f>'[18]Rev_SP-12me'!AW236</f>
        <v>0</v>
      </c>
      <c r="H202" s="153">
        <f t="shared" si="177"/>
        <v>28.5215566988629</v>
      </c>
      <c r="I202" s="174">
        <f t="shared" ref="I202:K202" si="209">E202</f>
        <v>0</v>
      </c>
      <c r="J202" s="174">
        <f t="shared" si="209"/>
        <v>28.5215566988629</v>
      </c>
      <c r="K202" s="174">
        <f t="shared" si="209"/>
        <v>0</v>
      </c>
      <c r="L202" s="143">
        <f t="shared" si="179"/>
        <v>28.5215566988629</v>
      </c>
      <c r="M202" s="101">
        <f t="shared" si="205"/>
        <v>5.95000000000001</v>
      </c>
    </row>
    <row r="203" ht="15" spans="2:13">
      <c r="B203" s="151" t="s">
        <v>1155</v>
      </c>
      <c r="C203" s="55"/>
      <c r="D203" s="150">
        <f>'[18]Rev_SP-12me'!AQ237</f>
        <v>1644.29824476694</v>
      </c>
      <c r="E203" s="150">
        <f>'[18]Rev_SP-12me'!AT237</f>
        <v>125.831790133875</v>
      </c>
      <c r="F203" s="150">
        <f>'[18]Rev_SP-12me'!AU237</f>
        <v>1035.90789420317</v>
      </c>
      <c r="G203" s="150">
        <f>'[18]Rev_SP-12me'!AW237</f>
        <v>0.126</v>
      </c>
      <c r="H203" s="153">
        <f t="shared" si="177"/>
        <v>1161.86568433704</v>
      </c>
      <c r="I203" s="150">
        <f t="shared" ref="I203:K203" si="210">E203</f>
        <v>125.831790133875</v>
      </c>
      <c r="J203" s="150">
        <f t="shared" si="210"/>
        <v>1035.90789420317</v>
      </c>
      <c r="K203" s="150">
        <f t="shared" si="210"/>
        <v>0.126</v>
      </c>
      <c r="L203" s="142">
        <f t="shared" si="179"/>
        <v>1161.86568433704</v>
      </c>
      <c r="M203" s="101">
        <f t="shared" si="205"/>
        <v>7.0660276384454</v>
      </c>
    </row>
    <row r="204" spans="2:13">
      <c r="B204" s="154" t="s">
        <v>1128</v>
      </c>
      <c r="C204" s="55"/>
      <c r="D204" s="174">
        <f>'[18]Rev_SP-12me'!AQ238</f>
        <v>1644.29824476694</v>
      </c>
      <c r="E204" s="174">
        <f>'[18]Rev_SP-12me'!AT238</f>
        <v>125.831790133875</v>
      </c>
      <c r="F204" s="174">
        <f>'[18]Rev_SP-12me'!AU238</f>
        <v>1035.90789420317</v>
      </c>
      <c r="G204" s="174">
        <f>'[18]Rev_SP-12me'!AW238</f>
        <v>0.126</v>
      </c>
      <c r="H204" s="153">
        <f t="shared" si="177"/>
        <v>1161.86568433704</v>
      </c>
      <c r="I204" s="174">
        <f t="shared" ref="I204:K204" si="211">E204</f>
        <v>125.831790133875</v>
      </c>
      <c r="J204" s="174">
        <f t="shared" si="211"/>
        <v>1035.90789420317</v>
      </c>
      <c r="K204" s="174">
        <f t="shared" si="211"/>
        <v>0.126</v>
      </c>
      <c r="L204" s="143">
        <f t="shared" si="179"/>
        <v>1161.86568433704</v>
      </c>
      <c r="M204" s="101">
        <f t="shared" si="205"/>
        <v>7.0660276384454</v>
      </c>
    </row>
    <row r="205" spans="2:13">
      <c r="B205" s="154" t="s">
        <v>1156</v>
      </c>
      <c r="C205" s="55"/>
      <c r="D205" s="174">
        <f>'[18]Rev_SP-12me'!AQ239</f>
        <v>0</v>
      </c>
      <c r="E205" s="174">
        <f>'[18]Rev_SP-12me'!AT239</f>
        <v>0</v>
      </c>
      <c r="F205" s="174">
        <f>'[18]Rev_SP-12me'!AU239</f>
        <v>0</v>
      </c>
      <c r="G205" s="174">
        <f>'[18]Rev_SP-12me'!AW239</f>
        <v>0</v>
      </c>
      <c r="H205" s="153">
        <f t="shared" si="177"/>
        <v>0</v>
      </c>
      <c r="I205" s="153">
        <f t="shared" ref="I205:K205" si="212">E205</f>
        <v>0</v>
      </c>
      <c r="J205" s="153">
        <f t="shared" si="212"/>
        <v>0</v>
      </c>
      <c r="K205" s="153">
        <f t="shared" si="212"/>
        <v>0</v>
      </c>
      <c r="L205" s="143">
        <f t="shared" si="179"/>
        <v>0</v>
      </c>
      <c r="M205" s="101"/>
    </row>
    <row r="206" ht="15" spans="2:13">
      <c r="B206" s="151" t="s">
        <v>1157</v>
      </c>
      <c r="C206" s="55"/>
      <c r="D206" s="150">
        <f>'[18]Rev_SP-12me'!AQ247</f>
        <v>311.591330244946</v>
      </c>
      <c r="E206" s="150">
        <f>'[18]Rev_SP-12me'!AT247</f>
        <v>0</v>
      </c>
      <c r="F206" s="150">
        <f>'[18]Rev_SP-12me'!AU247</f>
        <v>190.070711449417</v>
      </c>
      <c r="G206" s="150">
        <f>'[18]Rev_SP-12me'!AW247</f>
        <v>0.012</v>
      </c>
      <c r="H206" s="153">
        <f t="shared" si="177"/>
        <v>190.082711449417</v>
      </c>
      <c r="I206" s="150">
        <f t="shared" ref="I206:K206" si="213">E206</f>
        <v>0</v>
      </c>
      <c r="J206" s="150">
        <f t="shared" si="213"/>
        <v>190.070711449417</v>
      </c>
      <c r="K206" s="150">
        <f t="shared" si="213"/>
        <v>0.012</v>
      </c>
      <c r="L206" s="142">
        <f t="shared" si="179"/>
        <v>190.082711449417</v>
      </c>
      <c r="M206" s="101">
        <f t="shared" ref="M206:M210" si="214">L206*10/D206</f>
        <v>6.10038511982957</v>
      </c>
    </row>
    <row r="207" spans="2:13">
      <c r="B207" s="154" t="s">
        <v>220</v>
      </c>
      <c r="C207" s="55"/>
      <c r="D207" s="174">
        <f>'[18]Rev_SP-12me'!AQ248</f>
        <v>311.591330244946</v>
      </c>
      <c r="E207" s="174">
        <f>'[18]Rev_SP-12me'!AT248</f>
        <v>0</v>
      </c>
      <c r="F207" s="174">
        <f>'[18]Rev_SP-12me'!AU248</f>
        <v>190.070711449417</v>
      </c>
      <c r="G207" s="174">
        <f>'[18]Rev_SP-12me'!AW248</f>
        <v>0.012</v>
      </c>
      <c r="H207" s="153">
        <f t="shared" si="177"/>
        <v>190.082711449417</v>
      </c>
      <c r="I207" s="174">
        <f t="shared" ref="I207:K207" si="215">E207</f>
        <v>0</v>
      </c>
      <c r="J207" s="174">
        <f t="shared" si="215"/>
        <v>190.070711449417</v>
      </c>
      <c r="K207" s="174">
        <f t="shared" si="215"/>
        <v>0.012</v>
      </c>
      <c r="L207" s="143">
        <f t="shared" si="179"/>
        <v>190.082711449417</v>
      </c>
      <c r="M207" s="101">
        <f t="shared" si="214"/>
        <v>6.10038511982957</v>
      </c>
    </row>
    <row r="208" ht="15" spans="2:13">
      <c r="B208" s="151" t="s">
        <v>1158</v>
      </c>
      <c r="C208" s="55"/>
      <c r="D208" s="135">
        <f>'[18]Rev_SP-12me'!AQ249</f>
        <v>0</v>
      </c>
      <c r="E208" s="135">
        <f>'[18]Rev_SP-12me'!AT249</f>
        <v>0</v>
      </c>
      <c r="F208" s="135">
        <f>'[18]Rev_SP-12me'!AU249</f>
        <v>0</v>
      </c>
      <c r="G208" s="135">
        <f>'[18]Rev_SP-12me'!AW249</f>
        <v>0</v>
      </c>
      <c r="H208" s="153">
        <f t="shared" si="177"/>
        <v>0</v>
      </c>
      <c r="I208" s="150">
        <f t="shared" ref="I208:K208" si="216">E208</f>
        <v>0</v>
      </c>
      <c r="J208" s="150">
        <f t="shared" si="216"/>
        <v>0</v>
      </c>
      <c r="K208" s="150">
        <f t="shared" si="216"/>
        <v>0</v>
      </c>
      <c r="L208" s="143">
        <f t="shared" si="179"/>
        <v>0</v>
      </c>
      <c r="M208" s="101"/>
    </row>
    <row r="209" ht="15" spans="2:13">
      <c r="B209" s="168" t="s">
        <v>1159</v>
      </c>
      <c r="C209" s="55"/>
      <c r="D209" s="150">
        <f>'[18]Rev_SP-12me'!AQ240</f>
        <v>1714.42202916757</v>
      </c>
      <c r="E209" s="150">
        <f>'[18]Rev_SP-12me'!AT240</f>
        <v>103.21403022</v>
      </c>
      <c r="F209" s="150">
        <f>'[18]Rev_SP-12me'!AU240</f>
        <v>863.27267809604</v>
      </c>
      <c r="G209" s="150">
        <f>'[18]Rev_SP-12me'!AW240</f>
        <v>0.102</v>
      </c>
      <c r="H209" s="153">
        <f t="shared" si="177"/>
        <v>966.58870831604</v>
      </c>
      <c r="I209" s="150">
        <f t="shared" ref="I209:K209" si="217">E209</f>
        <v>103.21403022</v>
      </c>
      <c r="J209" s="150">
        <f t="shared" si="217"/>
        <v>863.27267809604</v>
      </c>
      <c r="K209" s="150">
        <f t="shared" si="217"/>
        <v>0.102</v>
      </c>
      <c r="L209" s="142">
        <f t="shared" si="179"/>
        <v>966.58870831604</v>
      </c>
      <c r="M209" s="101">
        <f t="shared" si="214"/>
        <v>5.63798581604416</v>
      </c>
    </row>
    <row r="210" spans="2:13">
      <c r="B210" s="154" t="s">
        <v>1160</v>
      </c>
      <c r="C210" s="55"/>
      <c r="D210" s="174">
        <f>'[18]Rev_SP-12me'!AQ241</f>
        <v>1463.37736580925</v>
      </c>
      <c r="E210" s="174">
        <f>'[18]Rev_SP-12me'!AT241</f>
        <v>103.21403022</v>
      </c>
      <c r="F210" s="174">
        <f>'[18]Rev_SP-12me'!AU241</f>
        <v>739.005569733669</v>
      </c>
      <c r="G210" s="174">
        <f>'[18]Rev_SP-12me'!AW241</f>
        <v>0.102</v>
      </c>
      <c r="H210" s="153">
        <f t="shared" si="177"/>
        <v>842.321599953669</v>
      </c>
      <c r="I210" s="174">
        <f t="shared" ref="I210:K210" si="218">E210</f>
        <v>103.21403022</v>
      </c>
      <c r="J210" s="174">
        <f t="shared" si="218"/>
        <v>739.005569733669</v>
      </c>
      <c r="K210" s="174">
        <f t="shared" si="218"/>
        <v>0.102</v>
      </c>
      <c r="L210" s="143">
        <f t="shared" si="179"/>
        <v>842.321599953669</v>
      </c>
      <c r="M210" s="101">
        <f t="shared" si="214"/>
        <v>5.75601085293446</v>
      </c>
    </row>
    <row r="211" spans="2:13">
      <c r="B211" s="154" t="s">
        <v>1161</v>
      </c>
      <c r="C211" s="55"/>
      <c r="D211" s="174">
        <f>'[18]Rev_SP-12me'!AQ242</f>
        <v>0</v>
      </c>
      <c r="E211" s="174">
        <f>'[18]Rev_SP-12me'!AT242</f>
        <v>0</v>
      </c>
      <c r="F211" s="174">
        <f>'[18]Rev_SP-12me'!AU242</f>
        <v>0</v>
      </c>
      <c r="G211" s="174">
        <f>'[18]Rev_SP-12me'!AW242</f>
        <v>0</v>
      </c>
      <c r="H211" s="153">
        <f t="shared" si="177"/>
        <v>0</v>
      </c>
      <c r="I211" s="174">
        <f t="shared" ref="I211:K211" si="219">E211</f>
        <v>0</v>
      </c>
      <c r="J211" s="174">
        <f t="shared" si="219"/>
        <v>0</v>
      </c>
      <c r="K211" s="174">
        <f t="shared" si="219"/>
        <v>0</v>
      </c>
      <c r="L211" s="143">
        <f t="shared" si="179"/>
        <v>0</v>
      </c>
      <c r="M211" s="101"/>
    </row>
    <row r="212" spans="2:13">
      <c r="B212" s="154" t="s">
        <v>1162</v>
      </c>
      <c r="C212" s="55"/>
      <c r="D212" s="174">
        <f>'[18]Rev_SP-12me'!AQ243</f>
        <v>251.044663358325</v>
      </c>
      <c r="E212" s="174">
        <f>'[18]Rev_SP-12me'!AT243</f>
        <v>0</v>
      </c>
      <c r="F212" s="174">
        <f>'[18]Rev_SP-12me'!AU243</f>
        <v>124.267108362371</v>
      </c>
      <c r="G212" s="174">
        <f>'[18]Rev_SP-12me'!AW243</f>
        <v>0</v>
      </c>
      <c r="H212" s="153">
        <f t="shared" si="177"/>
        <v>124.267108362371</v>
      </c>
      <c r="I212" s="174">
        <f t="shared" ref="I212:K212" si="220">E212</f>
        <v>0</v>
      </c>
      <c r="J212" s="174">
        <f t="shared" si="220"/>
        <v>124.267108362371</v>
      </c>
      <c r="K212" s="174">
        <f t="shared" si="220"/>
        <v>0</v>
      </c>
      <c r="L212" s="143">
        <f t="shared" si="179"/>
        <v>124.267108362371</v>
      </c>
      <c r="M212" s="101">
        <f>L212*10/D212</f>
        <v>4.95</v>
      </c>
    </row>
    <row r="213" spans="2:13">
      <c r="B213" s="154" t="s">
        <v>1163</v>
      </c>
      <c r="C213" s="55"/>
      <c r="D213" s="174">
        <f>'[18]Rev_SP-12me'!AQ244</f>
        <v>0</v>
      </c>
      <c r="E213" s="174">
        <f>'[18]Rev_SP-12me'!AT244</f>
        <v>0</v>
      </c>
      <c r="F213" s="174">
        <f>'[18]Rev_SP-12me'!AU244</f>
        <v>0</v>
      </c>
      <c r="G213" s="174">
        <f>'[18]Rev_SP-12me'!AW244</f>
        <v>0</v>
      </c>
      <c r="H213" s="153">
        <f t="shared" si="177"/>
        <v>0</v>
      </c>
      <c r="I213" s="174">
        <f t="shared" ref="I213:K213" si="221">E213</f>
        <v>0</v>
      </c>
      <c r="J213" s="174">
        <f t="shared" si="221"/>
        <v>0</v>
      </c>
      <c r="K213" s="174">
        <f t="shared" si="221"/>
        <v>0</v>
      </c>
      <c r="L213" s="143">
        <f t="shared" si="179"/>
        <v>0</v>
      </c>
      <c r="M213" s="101"/>
    </row>
    <row r="214" ht="15" spans="2:13">
      <c r="B214" s="151" t="s">
        <v>919</v>
      </c>
      <c r="C214" s="55"/>
      <c r="D214" s="150">
        <f>'[18]Rev_SP-12me'!AQ245</f>
        <v>0</v>
      </c>
      <c r="E214" s="150">
        <f>'[18]Rev_SP-12me'!AT245</f>
        <v>0</v>
      </c>
      <c r="F214" s="150">
        <f>'[18]Rev_SP-12me'!AU245</f>
        <v>0</v>
      </c>
      <c r="G214" s="150">
        <f>'[18]Rev_SP-12me'!AW245</f>
        <v>0</v>
      </c>
      <c r="H214" s="153">
        <f t="shared" si="177"/>
        <v>0</v>
      </c>
      <c r="I214" s="150">
        <f t="shared" ref="I214:K214" si="222">E214</f>
        <v>0</v>
      </c>
      <c r="J214" s="150">
        <f t="shared" si="222"/>
        <v>0</v>
      </c>
      <c r="K214" s="150">
        <f t="shared" si="222"/>
        <v>0</v>
      </c>
      <c r="L214" s="142">
        <f t="shared" si="179"/>
        <v>0</v>
      </c>
      <c r="M214" s="101"/>
    </row>
    <row r="215" ht="15" spans="2:13">
      <c r="B215" s="151" t="s">
        <v>1133</v>
      </c>
      <c r="C215" s="55"/>
      <c r="D215" s="150">
        <f>'[18]Rev_SP-12me'!AQ246</f>
        <v>0</v>
      </c>
      <c r="E215" s="150">
        <f>'[18]Rev_SP-12me'!AT246</f>
        <v>0</v>
      </c>
      <c r="F215" s="150">
        <f>'[18]Rev_SP-12me'!AU246</f>
        <v>0</v>
      </c>
      <c r="G215" s="150">
        <f>'[18]Rev_SP-12me'!AW246</f>
        <v>0</v>
      </c>
      <c r="H215" s="153">
        <f t="shared" si="177"/>
        <v>0</v>
      </c>
      <c r="I215" s="150">
        <f t="shared" ref="I215:K215" si="223">E215</f>
        <v>0</v>
      </c>
      <c r="J215" s="150">
        <f t="shared" si="223"/>
        <v>0</v>
      </c>
      <c r="K215" s="150">
        <f t="shared" si="223"/>
        <v>0</v>
      </c>
      <c r="L215" s="142">
        <f t="shared" si="179"/>
        <v>0</v>
      </c>
      <c r="M215" s="101"/>
    </row>
    <row r="216" ht="15" spans="2:13">
      <c r="B216" s="157" t="s">
        <v>1164</v>
      </c>
      <c r="C216" s="55"/>
      <c r="D216" s="148">
        <f t="shared" ref="D216:K216" si="224">SUM(D174,D182,D187,D188,D193,D198,D203,D206,D208,D209,D214,D215)</f>
        <v>9305.03631515431</v>
      </c>
      <c r="E216" s="148">
        <f t="shared" si="224"/>
        <v>686.304786990136</v>
      </c>
      <c r="F216" s="148">
        <f t="shared" si="224"/>
        <v>5808.33889081945</v>
      </c>
      <c r="G216" s="148">
        <f t="shared" si="224"/>
        <v>0.597</v>
      </c>
      <c r="H216" s="148">
        <f t="shared" si="224"/>
        <v>6495.24067780959</v>
      </c>
      <c r="I216" s="148">
        <f t="shared" si="224"/>
        <v>686.304786990136</v>
      </c>
      <c r="J216" s="148">
        <f t="shared" si="224"/>
        <v>5808.33889081945</v>
      </c>
      <c r="K216" s="148">
        <f t="shared" si="224"/>
        <v>0.597</v>
      </c>
      <c r="L216" s="148">
        <f t="shared" si="179"/>
        <v>6495.24067780959</v>
      </c>
      <c r="M216" s="101">
        <f t="shared" ref="M216:M219" si="225">L216*10/D216</f>
        <v>6.9803496276864</v>
      </c>
    </row>
    <row r="217" spans="2:13">
      <c r="B217" s="157"/>
      <c r="C217" s="55"/>
      <c r="D217" s="100"/>
      <c r="E217" s="100"/>
      <c r="F217" s="100"/>
      <c r="G217" s="100"/>
      <c r="H217" s="100"/>
      <c r="I217" s="100"/>
      <c r="J217" s="100"/>
      <c r="K217" s="100"/>
      <c r="L217" s="143"/>
      <c r="M217" s="101"/>
    </row>
    <row r="218" ht="15" spans="2:13">
      <c r="B218" s="54" t="s">
        <v>1165</v>
      </c>
      <c r="C218" s="55"/>
      <c r="D218" s="148">
        <f t="shared" ref="D218:L218" si="226">D123+D171+D216</f>
        <v>27400.2157591539</v>
      </c>
      <c r="E218" s="148">
        <f t="shared" si="226"/>
        <v>2954.932042021</v>
      </c>
      <c r="F218" s="148">
        <f t="shared" si="226"/>
        <v>19470.0751102764</v>
      </c>
      <c r="G218" s="148">
        <f t="shared" si="226"/>
        <v>33.2346</v>
      </c>
      <c r="H218" s="148">
        <f t="shared" si="226"/>
        <v>22458.2417522974</v>
      </c>
      <c r="I218" s="148">
        <f t="shared" si="226"/>
        <v>2954.932042021</v>
      </c>
      <c r="J218" s="148">
        <f t="shared" si="226"/>
        <v>19470.0751102764</v>
      </c>
      <c r="K218" s="148">
        <f t="shared" si="226"/>
        <v>33.2346</v>
      </c>
      <c r="L218" s="148">
        <f t="shared" si="226"/>
        <v>22458.2417522974</v>
      </c>
      <c r="M218" s="101">
        <f t="shared" si="225"/>
        <v>8.19637405402345</v>
      </c>
    </row>
    <row r="219" ht="15" spans="2:13">
      <c r="B219" s="54" t="s">
        <v>1166</v>
      </c>
      <c r="C219" s="55"/>
      <c r="D219" s="148">
        <f t="shared" ref="D219:L219" si="227">D218+D68</f>
        <v>63432.156922633</v>
      </c>
      <c r="E219" s="149">
        <f t="shared" si="227"/>
        <v>3688.64251866575</v>
      </c>
      <c r="F219" s="149">
        <f t="shared" si="227"/>
        <v>31520.7042797975</v>
      </c>
      <c r="G219" s="149">
        <f t="shared" si="227"/>
        <v>1010.32249665</v>
      </c>
      <c r="H219" s="149">
        <f t="shared" si="227"/>
        <v>36219.6692951132</v>
      </c>
      <c r="I219" s="149">
        <f t="shared" si="227"/>
        <v>3688.64251866575</v>
      </c>
      <c r="J219" s="149">
        <f t="shared" si="227"/>
        <v>31520.7042797975</v>
      </c>
      <c r="K219" s="149">
        <f t="shared" si="227"/>
        <v>1010.32249665</v>
      </c>
      <c r="L219" s="149">
        <f t="shared" si="227"/>
        <v>36219.6692951132</v>
      </c>
      <c r="M219" s="101">
        <f t="shared" si="225"/>
        <v>5.70998544780524</v>
      </c>
    </row>
    <row r="224" spans="8:8">
      <c r="H224" s="12" t="s">
        <v>226</v>
      </c>
    </row>
    <row r="229" spans="13:13">
      <c r="M229" s="119"/>
    </row>
    <row r="298" spans="2:3">
      <c r="B298" s="12" t="s">
        <v>258</v>
      </c>
      <c r="C298" s="12" t="s">
        <v>258</v>
      </c>
    </row>
  </sheetData>
  <mergeCells count="7">
    <mergeCell ref="A1:R1"/>
    <mergeCell ref="E3:H3"/>
    <mergeCell ref="I3:M3"/>
    <mergeCell ref="B6:C6"/>
    <mergeCell ref="B70:C70"/>
    <mergeCell ref="D3:D4"/>
    <mergeCell ref="B3:C5"/>
  </mergeCells>
  <printOptions horizontalCentered="1"/>
  <pageMargins left="0.59" right="0.46" top="0.55" bottom="0.56" header="0.511811023622047" footer="0.511811023622047"/>
  <pageSetup paperSize="9" scale="52" fitToHeight="14" orientation="landscape"/>
  <headerFooter/>
  <rowBreaks count="3" manualBreakCount="3">
    <brk id="68" max="13" man="1"/>
    <brk id="124" max="12" man="1"/>
    <brk id="192" max="12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.14285714285714" defaultRowHeight="12.75"/>
  <sheetData/>
  <pageMargins left="0.75" right="0.75" top="1" bottom="1" header="0.5" footer="0.5"/>
  <headerFooter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Y302"/>
  <sheetViews>
    <sheetView zoomScale="70" zoomScaleNormal="70" topLeftCell="C1" workbookViewId="0">
      <selection activeCell="J19" sqref="J19"/>
    </sheetView>
  </sheetViews>
  <sheetFormatPr defaultColWidth="8.85714285714286" defaultRowHeight="14.25"/>
  <cols>
    <col min="1" max="1" width="8.85714285714286" style="1"/>
    <col min="2" max="2" width="33" style="1" customWidth="1"/>
    <col min="3" max="3" width="38.5714285714286" style="1" customWidth="1"/>
    <col min="4" max="4" width="14" style="1" customWidth="1"/>
    <col min="5" max="5" width="25" style="1" customWidth="1"/>
    <col min="6" max="6" width="17.5714285714286" style="1" customWidth="1"/>
    <col min="7" max="7" width="20.4285714285714" style="1" customWidth="1"/>
    <col min="8" max="8" width="14.5714285714286" style="1" customWidth="1"/>
    <col min="9" max="9" width="17.4285714285714" style="1" customWidth="1"/>
    <col min="10" max="10" width="24.4285714285714" style="1" customWidth="1"/>
    <col min="11" max="11" width="17.1428571428571" style="1" customWidth="1"/>
    <col min="12" max="12" width="19.5714285714286" style="1" customWidth="1"/>
    <col min="13" max="13" width="10.4285714285714" style="1" customWidth="1"/>
    <col min="14" max="14" width="16.8571428571429" style="1" customWidth="1"/>
    <col min="15" max="15" width="21.5714285714286" style="1" customWidth="1"/>
    <col min="16" max="16384" width="8.85714285714286" style="1"/>
  </cols>
  <sheetData>
    <row r="2" ht="15" spans="2:25">
      <c r="B2" s="34"/>
      <c r="C2" s="34"/>
      <c r="D2" s="34"/>
      <c r="E2" s="34"/>
      <c r="F2" s="34"/>
      <c r="H2" s="34" t="s">
        <v>156</v>
      </c>
      <c r="I2" s="34"/>
      <c r="J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</row>
    <row r="3" ht="15" spans="1:20">
      <c r="A3" s="3" t="s">
        <v>1193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spans="1:9">
      <c r="A4" s="35"/>
      <c r="B4" s="35"/>
      <c r="C4" s="35"/>
      <c r="D4" s="35"/>
      <c r="E4" s="35"/>
      <c r="F4" s="35"/>
      <c r="G4" s="35"/>
      <c r="H4" s="35"/>
      <c r="I4" s="35"/>
    </row>
    <row r="7" ht="15" spans="2:15">
      <c r="B7" s="36" t="s">
        <v>159</v>
      </c>
      <c r="C7" s="37"/>
      <c r="D7" s="38" t="s">
        <v>879</v>
      </c>
      <c r="E7" s="39" t="s">
        <v>1190</v>
      </c>
      <c r="F7" s="39"/>
      <c r="G7" s="39"/>
      <c r="H7" s="39"/>
      <c r="I7" s="39"/>
      <c r="J7" s="39" t="s">
        <v>1191</v>
      </c>
      <c r="K7" s="39"/>
      <c r="L7" s="39"/>
      <c r="M7" s="39"/>
      <c r="N7" s="39"/>
      <c r="O7" s="39"/>
    </row>
    <row r="8" ht="15" spans="2:15">
      <c r="B8" s="40"/>
      <c r="C8" s="41"/>
      <c r="D8" s="38"/>
      <c r="E8" s="38" t="s">
        <v>1092</v>
      </c>
      <c r="F8" s="38" t="s">
        <v>1093</v>
      </c>
      <c r="G8" s="38" t="s">
        <v>1089</v>
      </c>
      <c r="H8" s="38" t="s">
        <v>1090</v>
      </c>
      <c r="I8" s="38" t="s">
        <v>97</v>
      </c>
      <c r="J8" s="38" t="s">
        <v>1092</v>
      </c>
      <c r="K8" s="38" t="s">
        <v>1093</v>
      </c>
      <c r="L8" s="38" t="s">
        <v>1089</v>
      </c>
      <c r="M8" s="38" t="s">
        <v>1090</v>
      </c>
      <c r="N8" s="38" t="s">
        <v>97</v>
      </c>
      <c r="O8" s="39" t="s">
        <v>1192</v>
      </c>
    </row>
    <row r="9" ht="15" spans="2:15">
      <c r="B9" s="42"/>
      <c r="C9" s="43"/>
      <c r="D9" s="39" t="s">
        <v>1096</v>
      </c>
      <c r="E9" s="38" t="s">
        <v>550</v>
      </c>
      <c r="F9" s="38" t="s">
        <v>550</v>
      </c>
      <c r="G9" s="38" t="s">
        <v>550</v>
      </c>
      <c r="H9" s="38" t="s">
        <v>550</v>
      </c>
      <c r="I9" s="38" t="s">
        <v>550</v>
      </c>
      <c r="J9" s="38" t="s">
        <v>550</v>
      </c>
      <c r="K9" s="38" t="s">
        <v>550</v>
      </c>
      <c r="L9" s="38" t="s">
        <v>550</v>
      </c>
      <c r="M9" s="38" t="s">
        <v>550</v>
      </c>
      <c r="N9" s="38" t="s">
        <v>550</v>
      </c>
      <c r="O9" s="39" t="s">
        <v>754</v>
      </c>
    </row>
    <row r="10" ht="15" spans="2:15">
      <c r="B10" s="44" t="s">
        <v>890</v>
      </c>
      <c r="C10" s="45"/>
      <c r="E10" s="8"/>
      <c r="F10" s="8"/>
      <c r="G10" s="8"/>
      <c r="H10" s="8"/>
      <c r="I10" s="8"/>
      <c r="J10" s="8"/>
      <c r="K10" s="8"/>
      <c r="L10" s="8"/>
      <c r="M10" s="8"/>
      <c r="N10" s="59"/>
      <c r="O10" s="8"/>
    </row>
    <row r="11" ht="15" spans="2:15">
      <c r="B11" s="46" t="s">
        <v>1000</v>
      </c>
      <c r="C11" s="47"/>
      <c r="D11" s="48">
        <f>'[17]Rev_SP-12me'!AQ10</f>
        <v>11473.8264427974</v>
      </c>
      <c r="E11" s="48">
        <f>'[17]Rev_SP-12me'!AT10</f>
        <v>155.04</v>
      </c>
      <c r="F11" s="48">
        <f>'[17]Rev_SP-12me'!AU10</f>
        <v>5469.40144102544</v>
      </c>
      <c r="G11" s="48">
        <f>'[17]Rev_SP-12me'!AW10</f>
        <v>688.640478</v>
      </c>
      <c r="H11" s="49"/>
      <c r="I11" s="69">
        <f t="shared" ref="I11:I42" si="0">SUM(E11:H11)</f>
        <v>6313.08191902544</v>
      </c>
      <c r="J11" s="48">
        <f>'[17]Rev_SP-12me'!BN10</f>
        <v>204.524531709208</v>
      </c>
      <c r="K11" s="48">
        <f>'[17]Rev_SP-12me'!BO10</f>
        <v>5469.40144102544</v>
      </c>
      <c r="L11" s="48">
        <f>'[17]Rev_SP-12me'!BQ10</f>
        <v>688.640478</v>
      </c>
      <c r="M11" s="49"/>
      <c r="N11" s="169">
        <f t="shared" ref="N11:N42" si="1">SUM(J11:M11)</f>
        <v>6362.56645073465</v>
      </c>
      <c r="O11" s="60">
        <f t="shared" ref="O11:O38" si="2">N11*10/D11</f>
        <v>5.54528733936768</v>
      </c>
    </row>
    <row r="12" spans="2:15">
      <c r="B12" s="50" t="s">
        <v>1001</v>
      </c>
      <c r="C12" s="47"/>
      <c r="D12" s="51">
        <f>'[17]Rev_SP-12me'!AQ11</f>
        <v>2385.91096265481</v>
      </c>
      <c r="E12" s="51">
        <f>'[17]Rev_SP-12me'!AT11</f>
        <v>58.0939712334883</v>
      </c>
      <c r="F12" s="51">
        <f>'[17]Rev_SP-12me'!AU11</f>
        <v>535.816521924513</v>
      </c>
      <c r="G12" s="51">
        <f>'[17]Rev_SP-12me'!AW11</f>
        <v>305.20092</v>
      </c>
      <c r="H12" s="49"/>
      <c r="I12" s="60">
        <f t="shared" si="0"/>
        <v>899.111413158001</v>
      </c>
      <c r="J12" s="51">
        <f>'[17]Rev_SP-12me'!BN11</f>
        <v>58.0939712334883</v>
      </c>
      <c r="K12" s="51">
        <f>'[17]Rev_SP-12me'!BO11</f>
        <v>535.816521924513</v>
      </c>
      <c r="L12" s="51">
        <f>'[17]Rev_SP-12me'!BQ11</f>
        <v>305.20092</v>
      </c>
      <c r="M12" s="49"/>
      <c r="N12" s="61">
        <f t="shared" si="1"/>
        <v>899.111413158001</v>
      </c>
      <c r="O12" s="60">
        <f t="shared" si="2"/>
        <v>3.76841980791084</v>
      </c>
    </row>
    <row r="13" spans="2:15">
      <c r="B13" s="52" t="s">
        <v>1002</v>
      </c>
      <c r="C13" s="47"/>
      <c r="D13" s="53">
        <f>'[17]Rev_SP-12me'!AQ12</f>
        <v>1772.31196955199</v>
      </c>
      <c r="E13" s="53">
        <f>'[17]Rev_SP-12me'!AT12</f>
        <v>30.7482964738821</v>
      </c>
      <c r="F13" s="53">
        <f>'[17]Rev_SP-12me'!AU12</f>
        <v>345.600834062637</v>
      </c>
      <c r="G13" s="53">
        <f>'[17]Rev_SP-12me'!AW12</f>
        <v>123.680616</v>
      </c>
      <c r="H13" s="49"/>
      <c r="I13" s="60">
        <f t="shared" si="0"/>
        <v>500.029746536519</v>
      </c>
      <c r="J13" s="53">
        <f>'[17]Rev_SP-12me'!BN12</f>
        <v>30.7482964738821</v>
      </c>
      <c r="K13" s="53">
        <f>'[17]Rev_SP-12me'!BO12</f>
        <v>345.600834062637</v>
      </c>
      <c r="L13" s="53">
        <f>'[17]Rev_SP-12me'!BQ12</f>
        <v>123.680616</v>
      </c>
      <c r="M13" s="49"/>
      <c r="N13" s="61">
        <f t="shared" si="1"/>
        <v>500.029746536519</v>
      </c>
      <c r="O13" s="60">
        <f t="shared" si="2"/>
        <v>2.8213415872992</v>
      </c>
    </row>
    <row r="14" spans="2:15">
      <c r="B14" s="52" t="s">
        <v>1004</v>
      </c>
      <c r="C14" s="47"/>
      <c r="D14" s="53">
        <f>'[17]Rev_SP-12me'!AQ13</f>
        <v>613.598993102826</v>
      </c>
      <c r="E14" s="53">
        <f>'[17]Rev_SP-12me'!AT13</f>
        <v>27.3456747596062</v>
      </c>
      <c r="F14" s="53">
        <f>'[17]Rev_SP-12me'!AU13</f>
        <v>190.215687861876</v>
      </c>
      <c r="G14" s="53">
        <f>'[17]Rev_SP-12me'!AW13</f>
        <v>181.520304</v>
      </c>
      <c r="H14" s="49"/>
      <c r="I14" s="60">
        <f t="shared" si="0"/>
        <v>399.081666621482</v>
      </c>
      <c r="J14" s="53">
        <f>'[17]Rev_SP-12me'!BN13</f>
        <v>27.3456747596062</v>
      </c>
      <c r="K14" s="53">
        <f>'[17]Rev_SP-12me'!BO13</f>
        <v>190.215687861876</v>
      </c>
      <c r="L14" s="53">
        <f>'[17]Rev_SP-12me'!BQ13</f>
        <v>181.520304</v>
      </c>
      <c r="M14" s="49"/>
      <c r="N14" s="61">
        <f t="shared" si="1"/>
        <v>399.081666621482</v>
      </c>
      <c r="O14" s="60">
        <f t="shared" si="2"/>
        <v>6.50394917702554</v>
      </c>
    </row>
    <row r="15" spans="2:15">
      <c r="B15" s="50" t="s">
        <v>1005</v>
      </c>
      <c r="C15" s="47"/>
      <c r="D15" s="51">
        <f>'[17]Rev_SP-12me'!AQ14</f>
        <v>3895.78581543346</v>
      </c>
      <c r="E15" s="51">
        <f>'[17]Rev_SP-12me'!AT14</f>
        <v>47.7762822962509</v>
      </c>
      <c r="F15" s="51">
        <f>'[17]Rev_SP-12me'!AU14</f>
        <v>1485.55947463375</v>
      </c>
      <c r="G15" s="51">
        <f>'[17]Rev_SP-12me'!AW14</f>
        <v>243.91449</v>
      </c>
      <c r="H15" s="49"/>
      <c r="I15" s="60">
        <f t="shared" si="0"/>
        <v>1777.25024693</v>
      </c>
      <c r="J15" s="51">
        <f>'[17]Rev_SP-12me'!BN14</f>
        <v>47.7762822962509</v>
      </c>
      <c r="K15" s="51">
        <f>'[17]Rev_SP-12me'!BO14</f>
        <v>1485.55947463375</v>
      </c>
      <c r="L15" s="51">
        <f>'[17]Rev_SP-12me'!BQ14</f>
        <v>243.91449</v>
      </c>
      <c r="M15" s="49"/>
      <c r="N15" s="61">
        <f t="shared" si="1"/>
        <v>1777.25024693</v>
      </c>
      <c r="O15" s="60">
        <f t="shared" si="2"/>
        <v>4.56198141050077</v>
      </c>
    </row>
    <row r="16" spans="2:15">
      <c r="B16" s="52" t="s">
        <v>1006</v>
      </c>
      <c r="C16" s="47"/>
      <c r="D16" s="53">
        <f>'[17]Rev_SP-12me'!AQ15</f>
        <v>2745.8408341022</v>
      </c>
      <c r="E16" s="53">
        <f>'[17]Rev_SP-12me'!AT15</f>
        <v>0</v>
      </c>
      <c r="F16" s="53">
        <f>'[17]Rev_SP-12me'!AU15</f>
        <v>933.585883594748</v>
      </c>
      <c r="G16" s="53">
        <f>'[17]Rev_SP-12me'!AW15</f>
        <v>0</v>
      </c>
      <c r="H16" s="49"/>
      <c r="I16" s="60">
        <f t="shared" si="0"/>
        <v>933.585883594748</v>
      </c>
      <c r="J16" s="53">
        <f>'[17]Rev_SP-12me'!BN15</f>
        <v>0</v>
      </c>
      <c r="K16" s="53">
        <f>'[17]Rev_SP-12me'!BO15</f>
        <v>933.585883594748</v>
      </c>
      <c r="L16" s="53">
        <f>'[17]Rev_SP-12me'!BQ15</f>
        <v>0</v>
      </c>
      <c r="M16" s="49"/>
      <c r="N16" s="61">
        <f t="shared" si="1"/>
        <v>933.585883594748</v>
      </c>
      <c r="O16" s="60">
        <f t="shared" si="2"/>
        <v>3.4</v>
      </c>
    </row>
    <row r="17" spans="2:15">
      <c r="B17" s="52" t="s">
        <v>1007</v>
      </c>
      <c r="C17" s="47"/>
      <c r="D17" s="53">
        <f>'[17]Rev_SP-12me'!AQ16</f>
        <v>1149.94498133126</v>
      </c>
      <c r="E17" s="53">
        <f>'[17]Rev_SP-12me'!AT16</f>
        <v>47.7762822962509</v>
      </c>
      <c r="F17" s="53">
        <f>'[17]Rev_SP-12me'!AU16</f>
        <v>551.973591039006</v>
      </c>
      <c r="G17" s="53">
        <f>'[17]Rev_SP-12me'!AW16</f>
        <v>243.91449</v>
      </c>
      <c r="H17" s="49"/>
      <c r="I17" s="60">
        <f t="shared" si="0"/>
        <v>843.664363335257</v>
      </c>
      <c r="J17" s="53">
        <f>'[17]Rev_SP-12me'!BN16</f>
        <v>47.7762822962509</v>
      </c>
      <c r="K17" s="53">
        <f>'[17]Rev_SP-12me'!BO16</f>
        <v>551.973591039006</v>
      </c>
      <c r="L17" s="53">
        <f>'[17]Rev_SP-12me'!BQ16</f>
        <v>243.91449</v>
      </c>
      <c r="M17" s="49"/>
      <c r="N17" s="61">
        <f t="shared" si="1"/>
        <v>843.664363335257</v>
      </c>
      <c r="O17" s="60">
        <f t="shared" si="2"/>
        <v>7.33656285328164</v>
      </c>
    </row>
    <row r="18" spans="2:15">
      <c r="B18" s="50" t="s">
        <v>1008</v>
      </c>
      <c r="C18" s="47"/>
      <c r="D18" s="51">
        <f>'[17]Rev_SP-12me'!AQ17</f>
        <v>5192.12966470916</v>
      </c>
      <c r="E18" s="51">
        <f>'[17]Rev_SP-12me'!AT17</f>
        <v>49.1697464702608</v>
      </c>
      <c r="F18" s="51">
        <f>'[17]Rev_SP-12me'!AU17</f>
        <v>3448.02544446718</v>
      </c>
      <c r="G18" s="51">
        <f>'[17]Rev_SP-12me'!AW17</f>
        <v>139.525068</v>
      </c>
      <c r="H18" s="49"/>
      <c r="I18" s="60">
        <f t="shared" si="0"/>
        <v>3636.72025893744</v>
      </c>
      <c r="J18" s="51">
        <f>'[17]Rev_SP-12me'!BN17</f>
        <v>98.6542781794687</v>
      </c>
      <c r="K18" s="51">
        <f>'[17]Rev_SP-12me'!BO17</f>
        <v>3448.02544446718</v>
      </c>
      <c r="L18" s="51">
        <f>'[17]Rev_SP-12me'!BQ17</f>
        <v>139.525068</v>
      </c>
      <c r="M18" s="49"/>
      <c r="N18" s="61">
        <f t="shared" si="1"/>
        <v>3686.20479064665</v>
      </c>
      <c r="O18" s="60">
        <f t="shared" si="2"/>
        <v>7.0996007971483</v>
      </c>
    </row>
    <row r="19" spans="2:15">
      <c r="B19" s="52" t="s">
        <v>1009</v>
      </c>
      <c r="C19" s="47"/>
      <c r="D19" s="53">
        <f>'[17]Rev_SP-12me'!AQ18</f>
        <v>2963.72526800487</v>
      </c>
      <c r="E19" s="53">
        <f>'[17]Rev_SP-12me'!AT18</f>
        <v>0</v>
      </c>
      <c r="F19" s="53">
        <f>'[17]Rev_SP-12me'!AU18</f>
        <v>1511.49988668249</v>
      </c>
      <c r="G19" s="53">
        <f>'[17]Rev_SP-12me'!AW18</f>
        <v>0</v>
      </c>
      <c r="H19" s="49"/>
      <c r="I19" s="60">
        <f t="shared" si="0"/>
        <v>1511.49988668249</v>
      </c>
      <c r="J19" s="53">
        <f>'[17]Rev_SP-12me'!BN18</f>
        <v>0</v>
      </c>
      <c r="K19" s="53">
        <f>'[17]Rev_SP-12me'!BO18</f>
        <v>1511.49988668249</v>
      </c>
      <c r="L19" s="53">
        <f>'[17]Rev_SP-12me'!BQ18</f>
        <v>0</v>
      </c>
      <c r="M19" s="49"/>
      <c r="N19" s="61">
        <f t="shared" si="1"/>
        <v>1511.49988668249</v>
      </c>
      <c r="O19" s="60">
        <f t="shared" si="2"/>
        <v>5.10000000000002</v>
      </c>
    </row>
    <row r="20" spans="2:15">
      <c r="B20" s="52" t="s">
        <v>1010</v>
      </c>
      <c r="C20" s="47"/>
      <c r="D20" s="53">
        <f>'[17]Rev_SP-12me'!AQ19</f>
        <v>966.725687041103</v>
      </c>
      <c r="E20" s="53">
        <f>'[17]Rev_SP-12me'!AT19</f>
        <v>24.4274806156568</v>
      </c>
      <c r="F20" s="53">
        <f>'[17]Rev_SP-12me'!AU19</f>
        <v>744.378779021649</v>
      </c>
      <c r="G20" s="53">
        <f>'[17]Rev_SP-12me'!AW19</f>
        <v>79.35516</v>
      </c>
      <c r="H20" s="49"/>
      <c r="I20" s="60">
        <f t="shared" si="0"/>
        <v>848.161419637306</v>
      </c>
      <c r="J20" s="53">
        <f>'[17]Rev_SP-12me'!BN19</f>
        <v>24.4274806156568</v>
      </c>
      <c r="K20" s="53">
        <f>'[17]Rev_SP-12me'!BO19</f>
        <v>744.378779021649</v>
      </c>
      <c r="L20" s="53">
        <f>'[17]Rev_SP-12me'!BQ19</f>
        <v>79.35516</v>
      </c>
      <c r="M20" s="49"/>
      <c r="N20" s="61">
        <f t="shared" si="1"/>
        <v>848.161419637306</v>
      </c>
      <c r="O20" s="60">
        <f t="shared" si="2"/>
        <v>8.77354797753754</v>
      </c>
    </row>
    <row r="21" spans="2:15">
      <c r="B21" s="52" t="s">
        <v>1011</v>
      </c>
      <c r="C21" s="47"/>
      <c r="D21" s="53">
        <f>'[17]Rev_SP-12me'!AQ20</f>
        <v>434.125943632544</v>
      </c>
      <c r="E21" s="53">
        <f>'[17]Rev_SP-12me'!AT20</f>
        <v>10.4582824791009</v>
      </c>
      <c r="F21" s="53">
        <f>'[17]Rev_SP-12me'!AU20</f>
        <v>390.71334926929</v>
      </c>
      <c r="G21" s="53">
        <f>'[17]Rev_SP-12me'!AW20</f>
        <v>29.69604</v>
      </c>
      <c r="H21" s="49"/>
      <c r="I21" s="60">
        <f t="shared" si="0"/>
        <v>430.867671748391</v>
      </c>
      <c r="J21" s="53">
        <f>'[17]Rev_SP-12me'!BN20</f>
        <v>31.3748474373026</v>
      </c>
      <c r="K21" s="53">
        <f>'[17]Rev_SP-12me'!BO20</f>
        <v>390.71334926929</v>
      </c>
      <c r="L21" s="53">
        <f>'[17]Rev_SP-12me'!BQ20</f>
        <v>29.69604</v>
      </c>
      <c r="M21" s="49"/>
      <c r="N21" s="61">
        <f t="shared" si="1"/>
        <v>451.784236706593</v>
      </c>
      <c r="O21" s="60">
        <f t="shared" si="2"/>
        <v>10.4067550749511</v>
      </c>
    </row>
    <row r="22" spans="2:15">
      <c r="B22" s="52" t="s">
        <v>1012</v>
      </c>
      <c r="C22" s="47"/>
      <c r="D22" s="53">
        <f>'[17]Rev_SP-12me'!AQ21</f>
        <v>522.386730737686</v>
      </c>
      <c r="E22" s="53">
        <f>'[17]Rev_SP-12me'!AT21</f>
        <v>9.93134513855592</v>
      </c>
      <c r="F22" s="53">
        <f>'[17]Rev_SP-12me'!AU21</f>
        <v>496.267394200802</v>
      </c>
      <c r="G22" s="53">
        <f>'[17]Rev_SP-12me'!AW21</f>
        <v>24.63678</v>
      </c>
      <c r="H22" s="49"/>
      <c r="I22" s="60">
        <f t="shared" si="0"/>
        <v>530.835519339358</v>
      </c>
      <c r="J22" s="53">
        <f>'[17]Rev_SP-12me'!BN21</f>
        <v>29.7940354156678</v>
      </c>
      <c r="K22" s="53">
        <f>'[17]Rev_SP-12me'!BO21</f>
        <v>496.267394200802</v>
      </c>
      <c r="L22" s="53">
        <f>'[17]Rev_SP-12me'!BQ21</f>
        <v>24.63678</v>
      </c>
      <c r="M22" s="49"/>
      <c r="N22" s="61">
        <f t="shared" si="1"/>
        <v>550.69820961647</v>
      </c>
      <c r="O22" s="60">
        <f t="shared" si="2"/>
        <v>10.5419639744448</v>
      </c>
    </row>
    <row r="23" spans="2:15">
      <c r="B23" s="52" t="s">
        <v>1013</v>
      </c>
      <c r="C23" s="47"/>
      <c r="D23" s="53">
        <f>'[17]Rev_SP-12me'!AQ22</f>
        <v>305.16603529295</v>
      </c>
      <c r="E23" s="53">
        <f>'[17]Rev_SP-12me'!AT22</f>
        <v>4.35263823694717</v>
      </c>
      <c r="F23" s="53">
        <f>'[17]Rev_SP-12me'!AU22</f>
        <v>305.16603529295</v>
      </c>
      <c r="G23" s="53">
        <f>'[17]Rev_SP-12me'!AW22</f>
        <v>5.837088</v>
      </c>
      <c r="H23" s="49"/>
      <c r="I23" s="60">
        <f t="shared" si="0"/>
        <v>315.355761529897</v>
      </c>
      <c r="J23" s="53">
        <f>'[17]Rev_SP-12me'!BN22</f>
        <v>13.0579147108415</v>
      </c>
      <c r="K23" s="53">
        <f>'[17]Rev_SP-12me'!BO22</f>
        <v>305.16603529295</v>
      </c>
      <c r="L23" s="53">
        <f>'[17]Rev_SP-12me'!BQ22</f>
        <v>5.837088</v>
      </c>
      <c r="M23" s="49"/>
      <c r="N23" s="61">
        <f t="shared" si="1"/>
        <v>324.061038003792</v>
      </c>
      <c r="O23" s="60">
        <f t="shared" si="2"/>
        <v>10.6191712224037</v>
      </c>
    </row>
    <row r="24" ht="15" spans="2:15">
      <c r="B24" s="54" t="s">
        <v>1014</v>
      </c>
      <c r="C24" s="55"/>
      <c r="D24" s="48">
        <f>'[17]Rev_SP-12me'!AQ23</f>
        <v>4147.96617049626</v>
      </c>
      <c r="E24" s="48">
        <f>'[17]Rev_SP-12me'!AT23</f>
        <v>343.825130439376</v>
      </c>
      <c r="F24" s="48">
        <f>'[17]Rev_SP-12me'!AU23</f>
        <v>4239.20395571748</v>
      </c>
      <c r="G24" s="48">
        <f>'[17]Rev_SP-12me'!AW23</f>
        <v>116.878419</v>
      </c>
      <c r="H24" s="49"/>
      <c r="I24" s="69">
        <f t="shared" si="0"/>
        <v>4699.90750515686</v>
      </c>
      <c r="J24" s="48">
        <f>'[17]Rev_SP-12me'!BN23</f>
        <v>537.533001877116</v>
      </c>
      <c r="K24" s="48">
        <f>'[17]Rev_SP-12me'!BO23</f>
        <v>4239.20395571748</v>
      </c>
      <c r="L24" s="48">
        <f>'[17]Rev_SP-12me'!BQ23</f>
        <v>116.878419</v>
      </c>
      <c r="M24" s="49"/>
      <c r="N24" s="169">
        <f t="shared" si="1"/>
        <v>4893.6153765946</v>
      </c>
      <c r="O24" s="60">
        <f t="shared" si="2"/>
        <v>11.7976260544312</v>
      </c>
    </row>
    <row r="25" spans="2:15">
      <c r="B25" s="56" t="s">
        <v>1015</v>
      </c>
      <c r="C25" s="55"/>
      <c r="D25" s="51">
        <f>'[17]Rev_SP-12me'!AQ24</f>
        <v>103.356981263684</v>
      </c>
      <c r="E25" s="51">
        <f>'[17]Rev_SP-12me'!AT24</f>
        <v>72.9735686404349</v>
      </c>
      <c r="F25" s="51">
        <f>'[17]Rev_SP-12me'!AU24</f>
        <v>72.349886884579</v>
      </c>
      <c r="G25" s="51">
        <f>'[17]Rev_SP-12me'!AW24</f>
        <v>34.46214</v>
      </c>
      <c r="H25" s="49"/>
      <c r="I25" s="60">
        <f t="shared" si="0"/>
        <v>179.785595525014</v>
      </c>
      <c r="J25" s="51">
        <f>'[17]Rev_SP-12me'!BN24</f>
        <v>112.50091832067</v>
      </c>
      <c r="K25" s="51">
        <f>'[17]Rev_SP-12me'!BO24</f>
        <v>72.349886884579</v>
      </c>
      <c r="L25" s="51">
        <f>'[17]Rev_SP-12me'!BQ24</f>
        <v>34.46214</v>
      </c>
      <c r="M25" s="49"/>
      <c r="N25" s="61">
        <f t="shared" si="1"/>
        <v>219.312945205249</v>
      </c>
      <c r="O25" s="60">
        <f t="shared" si="2"/>
        <v>21.2189774240541</v>
      </c>
    </row>
    <row r="26" spans="2:15">
      <c r="B26" s="57" t="s">
        <v>1002</v>
      </c>
      <c r="C26" s="55"/>
      <c r="D26" s="53">
        <f>'[17]Rev_SP-12me'!AQ25</f>
        <v>103.356981263684</v>
      </c>
      <c r="E26" s="53">
        <f>'[17]Rev_SP-12me'!AT25</f>
        <v>72.9735686404349</v>
      </c>
      <c r="F26" s="53">
        <f>'[17]Rev_SP-12me'!AU25</f>
        <v>72.349886884579</v>
      </c>
      <c r="G26" s="53">
        <f>'[17]Rev_SP-12me'!AW25</f>
        <v>34.46214</v>
      </c>
      <c r="H26" s="49"/>
      <c r="I26" s="60">
        <f t="shared" si="0"/>
        <v>179.785595525014</v>
      </c>
      <c r="J26" s="53">
        <f>'[17]Rev_SP-12me'!BN25</f>
        <v>112.50091832067</v>
      </c>
      <c r="K26" s="53">
        <f>'[17]Rev_SP-12me'!BO25</f>
        <v>72.349886884579</v>
      </c>
      <c r="L26" s="53">
        <f>'[17]Rev_SP-12me'!BQ25</f>
        <v>34.46214</v>
      </c>
      <c r="M26" s="49"/>
      <c r="N26" s="61">
        <f t="shared" si="1"/>
        <v>219.312945205249</v>
      </c>
      <c r="O26" s="60">
        <f t="shared" si="2"/>
        <v>21.2189774240541</v>
      </c>
    </row>
    <row r="27" spans="2:15">
      <c r="B27" s="56" t="s">
        <v>1016</v>
      </c>
      <c r="C27" s="55"/>
      <c r="D27" s="51">
        <f>'[17]Rev_SP-12me'!AQ26</f>
        <v>4033.11439725458</v>
      </c>
      <c r="E27" s="51">
        <f>'[17]Rev_SP-12me'!AT26</f>
        <v>269.202302025892</v>
      </c>
      <c r="F27" s="51">
        <f>'[17]Rev_SP-12me'!AU26</f>
        <v>4156.01804443367</v>
      </c>
      <c r="G27" s="51">
        <f>'[17]Rev_SP-12me'!AW26</f>
        <v>81.214347</v>
      </c>
      <c r="H27" s="49"/>
      <c r="I27" s="60">
        <f t="shared" si="0"/>
        <v>4506.43469345956</v>
      </c>
      <c r="J27" s="51">
        <f>'[17]Rev_SP-12me'!BN26</f>
        <v>423.03218889783</v>
      </c>
      <c r="K27" s="51">
        <f>'[17]Rev_SP-12me'!BO26</f>
        <v>4156.01804443367</v>
      </c>
      <c r="L27" s="51">
        <f>'[17]Rev_SP-12me'!BQ26</f>
        <v>81.214347</v>
      </c>
      <c r="M27" s="49"/>
      <c r="N27" s="61">
        <f t="shared" si="1"/>
        <v>4660.2645803315</v>
      </c>
      <c r="O27" s="60">
        <f t="shared" si="2"/>
        <v>11.5550022174026</v>
      </c>
    </row>
    <row r="28" spans="2:15">
      <c r="B28" s="58" t="s">
        <v>1006</v>
      </c>
      <c r="C28" s="55"/>
      <c r="D28" s="53">
        <f>'[17]Rev_SP-12me'!AQ27</f>
        <v>728.71303927241</v>
      </c>
      <c r="E28" s="53">
        <f>'[17]Rev_SP-12me'!AT27</f>
        <v>30.1198949769386</v>
      </c>
      <c r="F28" s="53">
        <f>'[17]Rev_SP-12me'!AU27</f>
        <v>619.406083381549</v>
      </c>
      <c r="G28" s="53">
        <f>'[17]Rev_SP-12me'!AW27</f>
        <v>21.102984</v>
      </c>
      <c r="H28" s="49"/>
      <c r="I28" s="60">
        <f t="shared" si="0"/>
        <v>670.628962358488</v>
      </c>
      <c r="J28" s="53">
        <f>'[17]Rev_SP-12me'!BN27</f>
        <v>47.3312635351892</v>
      </c>
      <c r="K28" s="53">
        <f>'[17]Rev_SP-12me'!BO27</f>
        <v>619.406083381549</v>
      </c>
      <c r="L28" s="53">
        <f>'[17]Rev_SP-12me'!BQ27</f>
        <v>21.102984</v>
      </c>
      <c r="M28" s="49"/>
      <c r="N28" s="61">
        <f t="shared" si="1"/>
        <v>687.840330916738</v>
      </c>
      <c r="O28" s="60">
        <f t="shared" si="2"/>
        <v>9.43911106083018</v>
      </c>
    </row>
    <row r="29" spans="2:15">
      <c r="B29" s="58" t="s">
        <v>1017</v>
      </c>
      <c r="C29" s="55"/>
      <c r="D29" s="53">
        <f>'[17]Rev_SP-12me'!AQ28</f>
        <v>691.073123423813</v>
      </c>
      <c r="E29" s="53">
        <f>'[17]Rev_SP-12me'!AT28</f>
        <v>55.2640487812568</v>
      </c>
      <c r="F29" s="53">
        <f>'[17]Rev_SP-12me'!AU28</f>
        <v>684.162392189575</v>
      </c>
      <c r="G29" s="53">
        <f>'[17]Rev_SP-12me'!AW28</f>
        <v>29.353779</v>
      </c>
      <c r="H29" s="49"/>
      <c r="I29" s="60">
        <f t="shared" si="0"/>
        <v>768.780219970832</v>
      </c>
      <c r="J29" s="53">
        <f>'[17]Rev_SP-12me'!BN28</f>
        <v>86.8435052276893</v>
      </c>
      <c r="K29" s="53">
        <f>'[17]Rev_SP-12me'!BO28</f>
        <v>684.162392189575</v>
      </c>
      <c r="L29" s="53">
        <f>'[17]Rev_SP-12me'!BQ28</f>
        <v>29.353779</v>
      </c>
      <c r="M29" s="49"/>
      <c r="N29" s="61">
        <f t="shared" si="1"/>
        <v>800.359676417264</v>
      </c>
      <c r="O29" s="60">
        <f t="shared" si="2"/>
        <v>11.5814036067849</v>
      </c>
    </row>
    <row r="30" spans="2:15">
      <c r="B30" s="58" t="s">
        <v>1018</v>
      </c>
      <c r="C30" s="55"/>
      <c r="D30" s="53">
        <f>'[17]Rev_SP-12me'!AQ29</f>
        <v>370.191485860811</v>
      </c>
      <c r="E30" s="53">
        <f>'[17]Rev_SP-12me'!AT29</f>
        <v>26.2825624172748</v>
      </c>
      <c r="F30" s="53">
        <f>'[17]Rev_SP-12me'!AU29</f>
        <v>384.999145295244</v>
      </c>
      <c r="G30" s="53">
        <f>'[17]Rev_SP-12me'!AW29</f>
        <v>8.895312</v>
      </c>
      <c r="H30" s="49"/>
      <c r="I30" s="60">
        <f t="shared" si="0"/>
        <v>420.177019712519</v>
      </c>
      <c r="J30" s="53">
        <f>'[17]Rev_SP-12me'!BN29</f>
        <v>41.3011695128604</v>
      </c>
      <c r="K30" s="53">
        <f>'[17]Rev_SP-12me'!BO29</f>
        <v>384.999145295244</v>
      </c>
      <c r="L30" s="53">
        <f>'[17]Rev_SP-12me'!BQ29</f>
        <v>8.895312</v>
      </c>
      <c r="M30" s="49"/>
      <c r="N30" s="61">
        <f t="shared" si="1"/>
        <v>435.195626808104</v>
      </c>
      <c r="O30" s="60">
        <f t="shared" si="2"/>
        <v>11.7559599134523</v>
      </c>
    </row>
    <row r="31" spans="2:15">
      <c r="B31" s="58" t="s">
        <v>1019</v>
      </c>
      <c r="C31" s="55"/>
      <c r="D31" s="53">
        <f>'[17]Rev_SP-12me'!AQ30</f>
        <v>2243.13674869754</v>
      </c>
      <c r="E31" s="53">
        <f>'[17]Rev_SP-12me'!AT30</f>
        <v>157.535795850421</v>
      </c>
      <c r="F31" s="53">
        <f>'[17]Rev_SP-12me'!AU30</f>
        <v>2467.4504235673</v>
      </c>
      <c r="G31" s="53">
        <f>'[17]Rev_SP-12me'!AW30</f>
        <v>21.862272</v>
      </c>
      <c r="H31" s="49"/>
      <c r="I31" s="60">
        <f t="shared" si="0"/>
        <v>2646.84849141772</v>
      </c>
      <c r="J31" s="53">
        <f>'[17]Rev_SP-12me'!BN30</f>
        <v>247.556250622091</v>
      </c>
      <c r="K31" s="53">
        <f>'[17]Rev_SP-12me'!BO30</f>
        <v>2467.4504235673</v>
      </c>
      <c r="L31" s="53">
        <f>'[17]Rev_SP-12me'!BQ30</f>
        <v>21.862272</v>
      </c>
      <c r="M31" s="49"/>
      <c r="N31" s="61">
        <f t="shared" si="1"/>
        <v>2736.86894618939</v>
      </c>
      <c r="O31" s="60">
        <f t="shared" si="2"/>
        <v>12.2010793491682</v>
      </c>
    </row>
    <row r="32" spans="2:15">
      <c r="B32" s="56" t="s">
        <v>1020</v>
      </c>
      <c r="C32" s="55"/>
      <c r="D32" s="51">
        <f>'[17]Rev_SP-12me'!AQ31</f>
        <v>5.77332180955847</v>
      </c>
      <c r="E32" s="51">
        <f>'[17]Rev_SP-12me'!AT31</f>
        <v>0.613611049740899</v>
      </c>
      <c r="F32" s="51">
        <f>'[17]Rev_SP-12me'!AU31</f>
        <v>7.50531835242601</v>
      </c>
      <c r="G32" s="51">
        <f>'[17]Rev_SP-12me'!AW31</f>
        <v>0.446976</v>
      </c>
      <c r="H32" s="49"/>
      <c r="I32" s="60">
        <f t="shared" si="0"/>
        <v>8.56590540216691</v>
      </c>
      <c r="J32" s="51">
        <f>'[17]Rev_SP-12me'!BN31</f>
        <v>0.964245935307128</v>
      </c>
      <c r="K32" s="51">
        <f>'[17]Rev_SP-12me'!BO31</f>
        <v>7.50531835242601</v>
      </c>
      <c r="L32" s="51">
        <f>'[17]Rev_SP-12me'!BQ31</f>
        <v>0.446976</v>
      </c>
      <c r="M32" s="49"/>
      <c r="N32" s="61">
        <f t="shared" si="1"/>
        <v>8.91654028773314</v>
      </c>
      <c r="O32" s="60">
        <f t="shared" si="2"/>
        <v>15.4443846746438</v>
      </c>
    </row>
    <row r="33" spans="2:15">
      <c r="B33" s="56" t="s">
        <v>1021</v>
      </c>
      <c r="C33" s="55"/>
      <c r="D33" s="51">
        <f>'[17]Rev_SP-12me'!AQ32</f>
        <v>5.72147016843429</v>
      </c>
      <c r="E33" s="51">
        <f>'[17]Rev_SP-12me'!AT32</f>
        <v>1.0356487233087</v>
      </c>
      <c r="F33" s="51">
        <f>'[17]Rev_SP-12me'!AU32</f>
        <v>3.33070604680903</v>
      </c>
      <c r="G33" s="51">
        <f>'[17]Rev_SP-12me'!AW32</f>
        <v>0.754956</v>
      </c>
      <c r="H33" s="49"/>
      <c r="I33" s="60">
        <f t="shared" si="0"/>
        <v>5.12131077011773</v>
      </c>
      <c r="J33" s="51">
        <f>'[17]Rev_SP-12me'!BN32</f>
        <v>1.0356487233087</v>
      </c>
      <c r="K33" s="51">
        <f>'[17]Rev_SP-12me'!BO32</f>
        <v>3.33070604680903</v>
      </c>
      <c r="L33" s="51">
        <f>'[17]Rev_SP-12me'!BQ32</f>
        <v>0.754956</v>
      </c>
      <c r="M33" s="49"/>
      <c r="N33" s="61">
        <f t="shared" si="1"/>
        <v>5.12131077011773</v>
      </c>
      <c r="O33" s="60">
        <f t="shared" si="2"/>
        <v>8.95103988896477</v>
      </c>
    </row>
    <row r="34" spans="2:15">
      <c r="B34" s="58" t="s">
        <v>1002</v>
      </c>
      <c r="C34" s="55"/>
      <c r="D34" s="53">
        <f>'[17]Rev_SP-12me'!AQ33</f>
        <v>3.80137270422356</v>
      </c>
      <c r="E34" s="53">
        <f>'[17]Rev_SP-12me'!AT33</f>
        <v>0.756962184074905</v>
      </c>
      <c r="F34" s="53">
        <f>'[17]Rev_SP-12me'!AU33</f>
        <v>2.01472753323849</v>
      </c>
      <c r="G34" s="53">
        <f>'[17]Rev_SP-12me'!AW33</f>
        <v>0.527013</v>
      </c>
      <c r="H34" s="49"/>
      <c r="I34" s="60">
        <f t="shared" si="0"/>
        <v>3.29870271731339</v>
      </c>
      <c r="J34" s="53">
        <f>'[17]Rev_SP-12me'!BN33</f>
        <v>0.756962184074905</v>
      </c>
      <c r="K34" s="53">
        <f>'[17]Rev_SP-12me'!BO33</f>
        <v>2.01472753323849</v>
      </c>
      <c r="L34" s="53">
        <f>'[17]Rev_SP-12me'!BQ33</f>
        <v>0.527013</v>
      </c>
      <c r="M34" s="49"/>
      <c r="N34" s="61">
        <f t="shared" si="1"/>
        <v>3.29870271731339</v>
      </c>
      <c r="O34" s="60">
        <f t="shared" si="2"/>
        <v>8.67766192367387</v>
      </c>
    </row>
    <row r="35" spans="2:15">
      <c r="B35" s="58" t="s">
        <v>1022</v>
      </c>
      <c r="C35" s="55"/>
      <c r="D35" s="53">
        <f>'[17]Rev_SP-12me'!AQ34</f>
        <v>1.37882871763885</v>
      </c>
      <c r="E35" s="53">
        <f>'[17]Rev_SP-12me'!AT34</f>
        <v>0.179648948614209</v>
      </c>
      <c r="F35" s="53">
        <f>'[17]Rev_SP-12me'!AU34</f>
        <v>0.910026953641638</v>
      </c>
      <c r="G35" s="53">
        <f>'[17]Rev_SP-12me'!AW34</f>
        <v>0.145497</v>
      </c>
      <c r="H35" s="49"/>
      <c r="I35" s="60">
        <f t="shared" si="0"/>
        <v>1.23517290225585</v>
      </c>
      <c r="J35" s="53">
        <f>'[17]Rev_SP-12me'!BN34</f>
        <v>0.179648948614209</v>
      </c>
      <c r="K35" s="53">
        <f>'[17]Rev_SP-12me'!BO34</f>
        <v>0.910026953641638</v>
      </c>
      <c r="L35" s="53">
        <f>'[17]Rev_SP-12me'!BQ34</f>
        <v>0.145497</v>
      </c>
      <c r="M35" s="49"/>
      <c r="N35" s="61">
        <f t="shared" si="1"/>
        <v>1.23517290225585</v>
      </c>
      <c r="O35" s="60">
        <f t="shared" si="2"/>
        <v>8.9581315391443</v>
      </c>
    </row>
    <row r="36" spans="2:15">
      <c r="B36" s="58" t="s">
        <v>1023</v>
      </c>
      <c r="C36" s="55"/>
      <c r="D36" s="53">
        <f>'[17]Rev_SP-12me'!AQ35</f>
        <v>0.541268746571877</v>
      </c>
      <c r="E36" s="53">
        <f>'[17]Rev_SP-12me'!AT35</f>
        <v>0.099037590619584</v>
      </c>
      <c r="F36" s="53">
        <f>'[17]Rev_SP-12me'!AU35</f>
        <v>0.405951559928908</v>
      </c>
      <c r="G36" s="53">
        <f>'[17]Rev_SP-12me'!AW35</f>
        <v>0.082446</v>
      </c>
      <c r="H36" s="49"/>
      <c r="I36" s="60">
        <f t="shared" si="0"/>
        <v>0.587435150548492</v>
      </c>
      <c r="J36" s="53">
        <f>'[17]Rev_SP-12me'!BN35</f>
        <v>0.099037590619584</v>
      </c>
      <c r="K36" s="53">
        <f>'[17]Rev_SP-12me'!BO35</f>
        <v>0.405951559928908</v>
      </c>
      <c r="L36" s="53">
        <f>'[17]Rev_SP-12me'!BQ35</f>
        <v>0.082446</v>
      </c>
      <c r="M36" s="49"/>
      <c r="N36" s="61">
        <f t="shared" si="1"/>
        <v>0.587435150548492</v>
      </c>
      <c r="O36" s="60">
        <f t="shared" si="2"/>
        <v>10.8529294231195</v>
      </c>
    </row>
    <row r="37" ht="15" spans="2:15">
      <c r="B37" s="54" t="s">
        <v>1024</v>
      </c>
      <c r="C37" s="55"/>
      <c r="D37" s="48">
        <f>'[17]Rev_SP-12me'!AQ36</f>
        <v>1036.18376443982</v>
      </c>
      <c r="E37" s="48">
        <f>'[17]Rev_SP-12me'!AT36</f>
        <v>154.742359604397</v>
      </c>
      <c r="F37" s="48">
        <f>'[17]Rev_SP-12me'!AU36</f>
        <v>795.059183653803</v>
      </c>
      <c r="G37" s="48">
        <f>'[17]Rev_SP-12me'!AW36</f>
        <v>20.6877165</v>
      </c>
      <c r="H37" s="49"/>
      <c r="I37" s="69">
        <f t="shared" si="0"/>
        <v>970.4892597582</v>
      </c>
      <c r="J37" s="48">
        <f>'[17]Rev_SP-12me'!BN36</f>
        <v>230.86911982184</v>
      </c>
      <c r="K37" s="48">
        <f>'[17]Rev_SP-12me'!BO36</f>
        <v>795.059183653803</v>
      </c>
      <c r="L37" s="48">
        <f>'[17]Rev_SP-12me'!BQ36</f>
        <v>20.6877165</v>
      </c>
      <c r="M37" s="49"/>
      <c r="N37" s="169">
        <f t="shared" si="1"/>
        <v>1046.61601997564</v>
      </c>
      <c r="O37" s="60">
        <f t="shared" si="2"/>
        <v>10.100679588832</v>
      </c>
    </row>
    <row r="38" spans="2:15">
      <c r="B38" s="58" t="s">
        <v>1025</v>
      </c>
      <c r="C38" s="55"/>
      <c r="D38" s="53">
        <f>'[17]Rev_SP-12me'!AQ37</f>
        <v>996.150693513266</v>
      </c>
      <c r="E38" s="53">
        <f>'[17]Rev_SP-12me'!AT37</f>
        <v>149.349874737124</v>
      </c>
      <c r="F38" s="53">
        <f>'[17]Rev_SP-12me'!AU37</f>
        <v>767.036034005215</v>
      </c>
      <c r="G38" s="53">
        <f>'[17]Rev_SP-12me'!AW37</f>
        <v>18.9853314150952</v>
      </c>
      <c r="H38" s="49"/>
      <c r="I38" s="60">
        <f t="shared" si="0"/>
        <v>935.371240157434</v>
      </c>
      <c r="J38" s="53">
        <f>'[17]Rev_SP-12me'!BN37</f>
        <v>224.024812105687</v>
      </c>
      <c r="K38" s="53">
        <f>'[17]Rev_SP-12me'!BO37</f>
        <v>767.036034005215</v>
      </c>
      <c r="L38" s="53">
        <f>'[17]Rev_SP-12me'!BQ37</f>
        <v>18.9853314150952</v>
      </c>
      <c r="M38" s="49"/>
      <c r="N38" s="61">
        <f t="shared" si="1"/>
        <v>1010.046177526</v>
      </c>
      <c r="O38" s="60">
        <f t="shared" si="2"/>
        <v>10.139491786767</v>
      </c>
    </row>
    <row r="39" spans="2:15">
      <c r="B39" s="58" t="s">
        <v>1026</v>
      </c>
      <c r="C39" s="55"/>
      <c r="D39" s="53">
        <f>'[17]Rev_SP-12me'!AQ38</f>
        <v>0</v>
      </c>
      <c r="E39" s="53">
        <f>'[17]Rev_SP-12me'!AT38</f>
        <v>0</v>
      </c>
      <c r="F39" s="53">
        <f>'[17]Rev_SP-12me'!AU38</f>
        <v>0</v>
      </c>
      <c r="G39" s="53">
        <f>'[17]Rev_SP-12me'!AW38</f>
        <v>0</v>
      </c>
      <c r="H39" s="49"/>
      <c r="I39" s="60">
        <f t="shared" si="0"/>
        <v>0</v>
      </c>
      <c r="J39" s="53">
        <f>'[17]Rev_SP-12me'!BN38</f>
        <v>0</v>
      </c>
      <c r="K39" s="53">
        <f>'[17]Rev_SP-12me'!BO38</f>
        <v>0</v>
      </c>
      <c r="L39" s="53">
        <f>'[17]Rev_SP-12me'!BQ38</f>
        <v>0</v>
      </c>
      <c r="M39" s="49"/>
      <c r="N39" s="61">
        <f t="shared" si="1"/>
        <v>0</v>
      </c>
      <c r="O39" s="60"/>
    </row>
    <row r="40" spans="2:15">
      <c r="B40" s="58" t="s">
        <v>1027</v>
      </c>
      <c r="C40" s="55"/>
      <c r="D40" s="53">
        <f>'[17]Rev_SP-12me'!AQ39</f>
        <v>0</v>
      </c>
      <c r="E40" s="53">
        <f>'[17]Rev_SP-12me'!AT39</f>
        <v>0</v>
      </c>
      <c r="F40" s="53">
        <f>'[17]Rev_SP-12me'!AU39</f>
        <v>0</v>
      </c>
      <c r="G40" s="53">
        <f>'[17]Rev_SP-12me'!AW39</f>
        <v>0</v>
      </c>
      <c r="H40" s="49"/>
      <c r="I40" s="60">
        <f t="shared" si="0"/>
        <v>0</v>
      </c>
      <c r="J40" s="53">
        <f>'[17]Rev_SP-12me'!BN39</f>
        <v>0</v>
      </c>
      <c r="K40" s="53">
        <f>'[17]Rev_SP-12me'!BO39</f>
        <v>0</v>
      </c>
      <c r="L40" s="53">
        <f>'[17]Rev_SP-12me'!BQ39</f>
        <v>0</v>
      </c>
      <c r="M40" s="49"/>
      <c r="N40" s="61">
        <f t="shared" si="1"/>
        <v>0</v>
      </c>
      <c r="O40" s="60"/>
    </row>
    <row r="41" spans="2:15">
      <c r="B41" s="58" t="s">
        <v>1028</v>
      </c>
      <c r="C41" s="55"/>
      <c r="D41" s="53">
        <f>'[17]Rev_SP-12me'!AQ40</f>
        <v>0</v>
      </c>
      <c r="E41" s="53">
        <f>'[17]Rev_SP-12me'!AT40</f>
        <v>0</v>
      </c>
      <c r="F41" s="53">
        <f>'[17]Rev_SP-12me'!AU40</f>
        <v>0</v>
      </c>
      <c r="G41" s="53">
        <f>'[17]Rev_SP-12me'!AW40</f>
        <v>0</v>
      </c>
      <c r="H41" s="49"/>
      <c r="I41" s="60">
        <f t="shared" si="0"/>
        <v>0</v>
      </c>
      <c r="J41" s="53">
        <f>'[17]Rev_SP-12me'!BN40</f>
        <v>0</v>
      </c>
      <c r="K41" s="53">
        <f>'[17]Rev_SP-12me'!BO40</f>
        <v>0</v>
      </c>
      <c r="L41" s="53">
        <f>'[17]Rev_SP-12me'!BQ40</f>
        <v>0</v>
      </c>
      <c r="M41" s="49"/>
      <c r="N41" s="61">
        <f t="shared" si="1"/>
        <v>0</v>
      </c>
      <c r="O41" s="60"/>
    </row>
    <row r="42" spans="2:15">
      <c r="B42" s="58" t="s">
        <v>1029</v>
      </c>
      <c r="C42" s="55"/>
      <c r="D42" s="53">
        <f>'[17]Rev_SP-12me'!AQ41</f>
        <v>40.0330709265554</v>
      </c>
      <c r="E42" s="53">
        <f>'[17]Rev_SP-12me'!AT41</f>
        <v>5.39248486727215</v>
      </c>
      <c r="F42" s="53">
        <f>'[17]Rev_SP-12me'!AU41</f>
        <v>28.0231496485888</v>
      </c>
      <c r="G42" s="53">
        <f>'[17]Rev_SP-12me'!AW41</f>
        <v>1.70238508490478</v>
      </c>
      <c r="H42" s="49"/>
      <c r="I42" s="60">
        <f t="shared" si="0"/>
        <v>35.1180196007657</v>
      </c>
      <c r="J42" s="53">
        <f>'[17]Rev_SP-12me'!BN41</f>
        <v>6.84430771615311</v>
      </c>
      <c r="K42" s="53">
        <f>'[17]Rev_SP-12me'!BO41</f>
        <v>28.0231496485888</v>
      </c>
      <c r="L42" s="53">
        <f>'[17]Rev_SP-12me'!BQ41</f>
        <v>1.70238508490478</v>
      </c>
      <c r="M42" s="49"/>
      <c r="N42" s="61">
        <f t="shared" si="1"/>
        <v>36.5698424496467</v>
      </c>
      <c r="O42" s="60">
        <f>N42*10/D42</f>
        <v>9.1349081155272</v>
      </c>
    </row>
    <row r="43" spans="2:15">
      <c r="B43" s="58" t="s">
        <v>1030</v>
      </c>
      <c r="C43" s="55"/>
      <c r="D43" s="53">
        <f>'[17]Rev_SP-12me'!AQ42</f>
        <v>0</v>
      </c>
      <c r="E43" s="53">
        <f>'[17]Rev_SP-12me'!AT42</f>
        <v>0</v>
      </c>
      <c r="F43" s="53">
        <f>'[17]Rev_SP-12me'!AU42</f>
        <v>0</v>
      </c>
      <c r="G43" s="53">
        <f>'[17]Rev_SP-12me'!AW42</f>
        <v>0</v>
      </c>
      <c r="H43" s="49"/>
      <c r="I43" s="60">
        <f t="shared" ref="I43:I70" si="3">SUM(E43:H43)</f>
        <v>0</v>
      </c>
      <c r="J43" s="53">
        <f>'[17]Rev_SP-12me'!BN42</f>
        <v>0</v>
      </c>
      <c r="K43" s="53">
        <f>'[17]Rev_SP-12me'!BO42</f>
        <v>0</v>
      </c>
      <c r="L43" s="53">
        <f>'[17]Rev_SP-12me'!BQ42</f>
        <v>0</v>
      </c>
      <c r="M43" s="49"/>
      <c r="N43" s="61">
        <f t="shared" ref="N43:N70" si="4">SUM(J43:M43)</f>
        <v>0</v>
      </c>
      <c r="O43" s="60"/>
    </row>
    <row r="44" ht="15" spans="2:15">
      <c r="B44" s="54" t="s">
        <v>1031</v>
      </c>
      <c r="C44" s="55"/>
      <c r="D44" s="48">
        <f>'[17]Rev_SP-12me'!AQ43</f>
        <v>9.52513978314638</v>
      </c>
      <c r="E44" s="48">
        <f>'[17]Rev_SP-12me'!AT43</f>
        <v>0.51495248256</v>
      </c>
      <c r="F44" s="48">
        <f>'[17]Rev_SP-12me'!AU43</f>
        <v>3.81005591325855</v>
      </c>
      <c r="G44" s="48">
        <f>'[17]Rev_SP-12me'!AW43</f>
        <v>0.29886</v>
      </c>
      <c r="H44" s="49"/>
      <c r="I44" s="69">
        <f t="shared" si="3"/>
        <v>4.62386839581855</v>
      </c>
      <c r="J44" s="48">
        <f>'[17]Rev_SP-12me'!BN43</f>
        <v>0.51495248256</v>
      </c>
      <c r="K44" s="48">
        <f>'[17]Rev_SP-12me'!BO43</f>
        <v>3.81005591325855</v>
      </c>
      <c r="L44" s="48">
        <f>'[17]Rev_SP-12me'!BQ43</f>
        <v>0.29886</v>
      </c>
      <c r="M44" s="49"/>
      <c r="N44" s="169">
        <f t="shared" si="4"/>
        <v>4.62386839581855</v>
      </c>
      <c r="O44" s="60">
        <f t="shared" ref="O44:O51" si="5">N44*10/D44</f>
        <v>4.85438376872951</v>
      </c>
    </row>
    <row r="45" spans="2:15">
      <c r="B45" s="58" t="s">
        <v>178</v>
      </c>
      <c r="C45" s="55"/>
      <c r="D45" s="53">
        <f>'[17]Rev_SP-12me'!AQ44</f>
        <v>9.29472129132821</v>
      </c>
      <c r="E45" s="53">
        <f>'[17]Rev_SP-12me'!AT44</f>
        <v>0.51495248256</v>
      </c>
      <c r="F45" s="53">
        <f>'[17]Rev_SP-12me'!AU44</f>
        <v>3.71788851653129</v>
      </c>
      <c r="G45" s="53">
        <f>'[17]Rev_SP-12me'!AW44</f>
        <v>0.28668</v>
      </c>
      <c r="H45" s="49"/>
      <c r="I45" s="60">
        <f t="shared" si="3"/>
        <v>4.51952099909129</v>
      </c>
      <c r="J45" s="53">
        <f>'[17]Rev_SP-12me'!BN44</f>
        <v>0.51495248256</v>
      </c>
      <c r="K45" s="53">
        <f>'[17]Rev_SP-12me'!BO44</f>
        <v>3.71788851653129</v>
      </c>
      <c r="L45" s="53">
        <f>'[17]Rev_SP-12me'!BQ44</f>
        <v>0.28668</v>
      </c>
      <c r="M45" s="49"/>
      <c r="N45" s="61">
        <f t="shared" si="4"/>
        <v>4.51952099909129</v>
      </c>
      <c r="O45" s="60">
        <f t="shared" si="5"/>
        <v>4.86245994627931</v>
      </c>
    </row>
    <row r="46" spans="2:15">
      <c r="B46" s="58" t="s">
        <v>1033</v>
      </c>
      <c r="C46" s="55"/>
      <c r="D46" s="53">
        <f>'[17]Rev_SP-12me'!AQ45</f>
        <v>0.230418491818164</v>
      </c>
      <c r="E46" s="53">
        <f>'[17]Rev_SP-12me'!AT45</f>
        <v>0</v>
      </c>
      <c r="F46" s="53">
        <f>'[17]Rev_SP-12me'!AU45</f>
        <v>0.0921673967272658</v>
      </c>
      <c r="G46" s="53">
        <f>'[17]Rev_SP-12me'!AW45</f>
        <v>0.01218</v>
      </c>
      <c r="H46" s="49"/>
      <c r="I46" s="60">
        <f t="shared" si="3"/>
        <v>0.104347396727266</v>
      </c>
      <c r="J46" s="53">
        <f>'[17]Rev_SP-12me'!BN45</f>
        <v>0</v>
      </c>
      <c r="K46" s="53">
        <f>'[17]Rev_SP-12me'!BO45</f>
        <v>0.0921673967272658</v>
      </c>
      <c r="L46" s="53">
        <f>'[17]Rev_SP-12me'!BQ45</f>
        <v>0.01218</v>
      </c>
      <c r="M46" s="49"/>
      <c r="N46" s="61">
        <f t="shared" si="4"/>
        <v>0.104347396727266</v>
      </c>
      <c r="O46" s="60">
        <f t="shared" si="5"/>
        <v>4.52860340782076</v>
      </c>
    </row>
    <row r="47" ht="15" spans="2:15">
      <c r="B47" s="54" t="s">
        <v>1034</v>
      </c>
      <c r="C47" s="55"/>
      <c r="D47" s="48">
        <f>'[17]Rev_SP-12me'!AQ46</f>
        <v>12466.5040519532</v>
      </c>
      <c r="E47" s="48">
        <f>'[17]Rev_SP-12me'!AT46</f>
        <v>0.0473311198610199</v>
      </c>
      <c r="F47" s="48">
        <f>'[17]Rev_SP-12me'!AU46</f>
        <v>9.89304547766604</v>
      </c>
      <c r="G47" s="48">
        <f>'[17]Rev_SP-12me'!AW46</f>
        <v>50.1030012536472</v>
      </c>
      <c r="H47" s="49"/>
      <c r="I47" s="69">
        <f t="shared" si="3"/>
        <v>60.0433778511743</v>
      </c>
      <c r="J47" s="48">
        <f>'[17]Rev_SP-12me'!BN46</f>
        <v>0.0473311198610199</v>
      </c>
      <c r="K47" s="48">
        <f>'[17]Rev_SP-12me'!BO46</f>
        <v>9.89304547766604</v>
      </c>
      <c r="L47" s="48">
        <f>'[17]Rev_SP-12me'!BQ46</f>
        <v>50.1030012536472</v>
      </c>
      <c r="M47" s="49"/>
      <c r="N47" s="169">
        <f t="shared" si="4"/>
        <v>60.0433778511743</v>
      </c>
      <c r="O47" s="60">
        <f t="shared" si="5"/>
        <v>0.0481637655600544</v>
      </c>
    </row>
    <row r="48" spans="2:15">
      <c r="B48" s="56" t="s">
        <v>1035</v>
      </c>
      <c r="C48" s="55"/>
      <c r="D48" s="51">
        <f>'[17]Rev_SP-12me'!AQ47</f>
        <v>12464.0831709436</v>
      </c>
      <c r="E48" s="51">
        <f>'[17]Rev_SP-12me'!AT47</f>
        <v>0</v>
      </c>
      <c r="F48" s="51">
        <f>'[17]Rev_SP-12me'!AU47</f>
        <v>8.92469307383976</v>
      </c>
      <c r="G48" s="51">
        <f>'[17]Rev_SP-12me'!AW47</f>
        <v>50.0906947872289</v>
      </c>
      <c r="H48" s="49"/>
      <c r="I48" s="60">
        <f t="shared" si="3"/>
        <v>59.0153878610687</v>
      </c>
      <c r="J48" s="51">
        <f>'[17]Rev_SP-12me'!BN47</f>
        <v>0</v>
      </c>
      <c r="K48" s="51">
        <f>'[17]Rev_SP-12me'!BO47</f>
        <v>8.92469307383976</v>
      </c>
      <c r="L48" s="51">
        <f>'[17]Rev_SP-12me'!BQ47</f>
        <v>50.0906947872289</v>
      </c>
      <c r="M48" s="49"/>
      <c r="N48" s="61">
        <f t="shared" si="4"/>
        <v>59.0153878610687</v>
      </c>
      <c r="O48" s="60">
        <f t="shared" si="5"/>
        <v>0.0473483585207823</v>
      </c>
    </row>
    <row r="49" spans="2:15">
      <c r="B49" s="58" t="s">
        <v>1036</v>
      </c>
      <c r="C49" s="55"/>
      <c r="D49" s="53">
        <f>'[17]Rev_SP-12me'!AQ48</f>
        <v>35.698772295359</v>
      </c>
      <c r="E49" s="53">
        <f>'[17]Rev_SP-12me'!AT48</f>
        <v>0</v>
      </c>
      <c r="F49" s="53">
        <f>'[17]Rev_SP-12me'!AU48</f>
        <v>8.92469307383976</v>
      </c>
      <c r="G49" s="53">
        <f>'[17]Rev_SP-12me'!AW48</f>
        <v>0.0751665079594271</v>
      </c>
      <c r="H49" s="49"/>
      <c r="I49" s="60">
        <f t="shared" si="3"/>
        <v>8.99985958179919</v>
      </c>
      <c r="J49" s="53">
        <f>'[17]Rev_SP-12me'!BN48</f>
        <v>0</v>
      </c>
      <c r="K49" s="53">
        <f>'[17]Rev_SP-12me'!BO48</f>
        <v>8.92469307383976</v>
      </c>
      <c r="L49" s="53">
        <f>'[17]Rev_SP-12me'!BQ48</f>
        <v>0.0751665079594271</v>
      </c>
      <c r="M49" s="49"/>
      <c r="N49" s="61">
        <f t="shared" si="4"/>
        <v>8.99985958179919</v>
      </c>
      <c r="O49" s="60">
        <f t="shared" si="5"/>
        <v>2.52105576834339</v>
      </c>
    </row>
    <row r="50" spans="2:15">
      <c r="B50" s="56" t="s">
        <v>1038</v>
      </c>
      <c r="C50" s="55"/>
      <c r="D50" s="53">
        <f>'[17]Rev_SP-12me'!AQ49</f>
        <v>12428.3843986482</v>
      </c>
      <c r="E50" s="53">
        <f>'[17]Rev_SP-12me'!AT49</f>
        <v>0</v>
      </c>
      <c r="F50" s="53">
        <f>'[17]Rev_SP-12me'!AU49</f>
        <v>0</v>
      </c>
      <c r="G50" s="53">
        <f>'[17]Rev_SP-12me'!AW49</f>
        <v>0</v>
      </c>
      <c r="H50" s="49"/>
      <c r="I50" s="60">
        <f t="shared" si="3"/>
        <v>0</v>
      </c>
      <c r="J50" s="53">
        <f>'[17]Rev_SP-12me'!BN49</f>
        <v>0</v>
      </c>
      <c r="K50" s="53">
        <f>'[17]Rev_SP-12me'!BO49</f>
        <v>0</v>
      </c>
      <c r="L50" s="53">
        <f>'[17]Rev_SP-12me'!BQ49</f>
        <v>0</v>
      </c>
      <c r="M50" s="49"/>
      <c r="N50" s="61">
        <f t="shared" si="4"/>
        <v>0</v>
      </c>
      <c r="O50" s="60">
        <f t="shared" si="5"/>
        <v>0</v>
      </c>
    </row>
    <row r="51" spans="2:15">
      <c r="B51" s="58" t="s">
        <v>1099</v>
      </c>
      <c r="C51" s="55"/>
      <c r="D51" s="53">
        <f>'[17]Rev_SP-12me'!AQ50</f>
        <v>12428.3843986482</v>
      </c>
      <c r="E51" s="53">
        <f>'[17]Rev_SP-12me'!AT50</f>
        <v>0</v>
      </c>
      <c r="F51" s="53">
        <f>'[17]Rev_SP-12me'!AU50</f>
        <v>0</v>
      </c>
      <c r="G51" s="53">
        <f>'[17]Rev_SP-12me'!AW50</f>
        <v>50.0155282792695</v>
      </c>
      <c r="H51" s="49"/>
      <c r="I51" s="60">
        <f t="shared" si="3"/>
        <v>50.0155282792695</v>
      </c>
      <c r="J51" s="53">
        <f>'[17]Rev_SP-12me'!BN50</f>
        <v>0</v>
      </c>
      <c r="K51" s="53">
        <f>'[17]Rev_SP-12me'!BO50</f>
        <v>0</v>
      </c>
      <c r="L51" s="53">
        <f>'[17]Rev_SP-12me'!BQ50</f>
        <v>50.0155282792695</v>
      </c>
      <c r="M51" s="49"/>
      <c r="N51" s="61">
        <f t="shared" si="4"/>
        <v>50.0155282792695</v>
      </c>
      <c r="O51" s="60">
        <f t="shared" si="5"/>
        <v>0.0402429846671861</v>
      </c>
    </row>
    <row r="52" spans="2:15">
      <c r="B52" s="58" t="s">
        <v>1100</v>
      </c>
      <c r="C52" s="55"/>
      <c r="D52" s="53">
        <f>'[17]Rev_SP-12me'!AQ51</f>
        <v>0</v>
      </c>
      <c r="E52" s="53">
        <f>'[17]Rev_SP-12me'!AT51</f>
        <v>0</v>
      </c>
      <c r="F52" s="53">
        <f>'[17]Rev_SP-12me'!AU51</f>
        <v>0</v>
      </c>
      <c r="G52" s="53">
        <f>'[17]Rev_SP-12me'!AW51</f>
        <v>0</v>
      </c>
      <c r="H52" s="49"/>
      <c r="I52" s="60">
        <f t="shared" si="3"/>
        <v>0</v>
      </c>
      <c r="J52" s="53">
        <f>'[17]Rev_SP-12me'!BN51</f>
        <v>0</v>
      </c>
      <c r="K52" s="53">
        <f>'[17]Rev_SP-12me'!BO51</f>
        <v>0</v>
      </c>
      <c r="L52" s="53">
        <f>'[17]Rev_SP-12me'!BQ51</f>
        <v>0</v>
      </c>
      <c r="M52" s="49"/>
      <c r="N52" s="61">
        <f t="shared" si="4"/>
        <v>0</v>
      </c>
      <c r="O52" s="60"/>
    </row>
    <row r="53" spans="2:15">
      <c r="B53" s="56" t="s">
        <v>1039</v>
      </c>
      <c r="C53" s="55"/>
      <c r="D53" s="51">
        <f>'[17]Rev_SP-12me'!AQ52</f>
        <v>2.4208810095657</v>
      </c>
      <c r="E53" s="51">
        <f>'[17]Rev_SP-12me'!AT52</f>
        <v>0.0473311198610199</v>
      </c>
      <c r="F53" s="51">
        <f>'[17]Rev_SP-12me'!AU52</f>
        <v>0.968352403826278</v>
      </c>
      <c r="G53" s="51">
        <f>'[17]Rev_SP-12me'!AW52</f>
        <v>0.0123064664182779</v>
      </c>
      <c r="H53" s="49"/>
      <c r="I53" s="60">
        <f t="shared" si="3"/>
        <v>1.02798999010558</v>
      </c>
      <c r="J53" s="51">
        <f>'[17]Rev_SP-12me'!BN52</f>
        <v>0.0473311198610199</v>
      </c>
      <c r="K53" s="51">
        <f>'[17]Rev_SP-12me'!BO52</f>
        <v>0.968352403826278</v>
      </c>
      <c r="L53" s="51">
        <f>'[17]Rev_SP-12me'!BQ52</f>
        <v>0.0123064664182779</v>
      </c>
      <c r="M53" s="49"/>
      <c r="N53" s="61">
        <f t="shared" si="4"/>
        <v>1.02798999010558</v>
      </c>
      <c r="O53" s="60">
        <f t="shared" ref="O53:O62" si="6">N53*10/D53</f>
        <v>4.24634662357897</v>
      </c>
    </row>
    <row r="54" spans="2:15">
      <c r="B54" s="58" t="s">
        <v>1040</v>
      </c>
      <c r="C54" s="55"/>
      <c r="D54" s="53">
        <f>'[17]Rev_SP-12me'!AQ53</f>
        <v>2.4208810095657</v>
      </c>
      <c r="E54" s="53">
        <f>'[17]Rev_SP-12me'!AT53</f>
        <v>0.0473311198610199</v>
      </c>
      <c r="F54" s="53">
        <f>'[17]Rev_SP-12me'!AU53</f>
        <v>0.968352403826278</v>
      </c>
      <c r="G54" s="53">
        <f>'[17]Rev_SP-12me'!AW53</f>
        <v>0.0123064664182779</v>
      </c>
      <c r="H54" s="49"/>
      <c r="I54" s="60">
        <f t="shared" si="3"/>
        <v>1.02798999010558</v>
      </c>
      <c r="J54" s="53">
        <f>'[17]Rev_SP-12me'!BN53</f>
        <v>0.0473311198610199</v>
      </c>
      <c r="K54" s="53">
        <f>'[17]Rev_SP-12me'!BO53</f>
        <v>0.968352403826278</v>
      </c>
      <c r="L54" s="53">
        <f>'[17]Rev_SP-12me'!BQ53</f>
        <v>0.0123064664182779</v>
      </c>
      <c r="M54" s="49"/>
      <c r="N54" s="61">
        <f t="shared" si="4"/>
        <v>1.02798999010558</v>
      </c>
      <c r="O54" s="60">
        <f t="shared" si="6"/>
        <v>4.24634662357897</v>
      </c>
    </row>
    <row r="55" ht="15" spans="2:15">
      <c r="B55" s="54" t="s">
        <v>1042</v>
      </c>
      <c r="C55" s="55"/>
      <c r="D55" s="48">
        <f>'[17]Rev_SP-12me'!AQ54</f>
        <v>255.647601489391</v>
      </c>
      <c r="E55" s="48">
        <f>'[17]Rev_SP-12me'!AT54</f>
        <v>7.68200564765661</v>
      </c>
      <c r="F55" s="48">
        <f>'[17]Rev_SP-12me'!AU54</f>
        <v>196.717130003172</v>
      </c>
      <c r="G55" s="48">
        <f>'[17]Rev_SP-12me'!AW54</f>
        <v>11.2106431290084</v>
      </c>
      <c r="H55" s="49"/>
      <c r="I55" s="69">
        <f t="shared" si="3"/>
        <v>215.609778779837</v>
      </c>
      <c r="J55" s="48">
        <f>'[17]Rev_SP-12me'!BN54</f>
        <v>7.68200564765661</v>
      </c>
      <c r="K55" s="48">
        <f>'[17]Rev_SP-12me'!BO54</f>
        <v>196.717130003172</v>
      </c>
      <c r="L55" s="48">
        <f>'[17]Rev_SP-12me'!BQ54</f>
        <v>11.2106431290084</v>
      </c>
      <c r="M55" s="49"/>
      <c r="N55" s="169">
        <f t="shared" si="4"/>
        <v>215.609778779837</v>
      </c>
      <c r="O55" s="60">
        <f t="shared" si="6"/>
        <v>8.43386667912018</v>
      </c>
    </row>
    <row r="56" spans="2:15">
      <c r="B56" s="58" t="s">
        <v>1043</v>
      </c>
      <c r="C56" s="55"/>
      <c r="D56" s="53">
        <f>'[17]Rev_SP-12me'!AQ55</f>
        <v>78.5415369147259</v>
      </c>
      <c r="E56" s="53">
        <f>'[17]Rev_SP-12me'!AT55</f>
        <v>2.77777271278398</v>
      </c>
      <c r="F56" s="53">
        <f>'[17]Rev_SP-12me'!AU55</f>
        <v>55.7644912094554</v>
      </c>
      <c r="G56" s="53">
        <f>'[17]Rev_SP-12me'!AW55</f>
        <v>5.19058677375499</v>
      </c>
      <c r="H56" s="49"/>
      <c r="I56" s="60">
        <f t="shared" si="3"/>
        <v>63.7328506959944</v>
      </c>
      <c r="J56" s="53">
        <f>'[17]Rev_SP-12me'!BN55</f>
        <v>2.77777271278398</v>
      </c>
      <c r="K56" s="53">
        <f>'[17]Rev_SP-12me'!BO55</f>
        <v>55.7644912094554</v>
      </c>
      <c r="L56" s="53">
        <f>'[17]Rev_SP-12me'!BQ55</f>
        <v>5.19058677375499</v>
      </c>
      <c r="M56" s="49"/>
      <c r="N56" s="61">
        <f t="shared" si="4"/>
        <v>63.7328506959944</v>
      </c>
      <c r="O56" s="60">
        <f t="shared" si="6"/>
        <v>8.11454081490542</v>
      </c>
    </row>
    <row r="57" spans="2:15">
      <c r="B57" s="58" t="s">
        <v>1044</v>
      </c>
      <c r="C57" s="55"/>
      <c r="D57" s="53">
        <f>'[17]Rev_SP-12me'!AQ56</f>
        <v>50.0654702352401</v>
      </c>
      <c r="E57" s="53">
        <f>'[17]Rev_SP-12me'!AT56</f>
        <v>1.34429658611259</v>
      </c>
      <c r="F57" s="53">
        <f>'[17]Rev_SP-12me'!AU56</f>
        <v>38.0497573787824</v>
      </c>
      <c r="G57" s="53">
        <f>'[17]Rev_SP-12me'!AW56</f>
        <v>1.75466232643712</v>
      </c>
      <c r="H57" s="49"/>
      <c r="I57" s="60">
        <f t="shared" si="3"/>
        <v>41.1487162913321</v>
      </c>
      <c r="J57" s="53">
        <f>'[17]Rev_SP-12me'!BN56</f>
        <v>1.34429658611259</v>
      </c>
      <c r="K57" s="53">
        <f>'[17]Rev_SP-12me'!BO56</f>
        <v>38.0497573787824</v>
      </c>
      <c r="L57" s="53">
        <f>'[17]Rev_SP-12me'!BQ56</f>
        <v>1.75466232643712</v>
      </c>
      <c r="M57" s="49"/>
      <c r="N57" s="61">
        <f t="shared" si="4"/>
        <v>41.1487162913321</v>
      </c>
      <c r="O57" s="60">
        <f t="shared" si="6"/>
        <v>8.21898128550251</v>
      </c>
    </row>
    <row r="58" spans="2:15">
      <c r="B58" s="58" t="s">
        <v>1045</v>
      </c>
      <c r="C58" s="55"/>
      <c r="D58" s="53">
        <f>'[17]Rev_SP-12me'!AQ57</f>
        <v>127.040594339425</v>
      </c>
      <c r="E58" s="53">
        <f>'[17]Rev_SP-12me'!AT57</f>
        <v>3.55993634876004</v>
      </c>
      <c r="F58" s="53">
        <f>'[17]Rev_SP-12me'!AU57</f>
        <v>102.902881414934</v>
      </c>
      <c r="G58" s="53">
        <f>'[17]Rev_SP-12me'!AW57</f>
        <v>4.26539402881631</v>
      </c>
      <c r="H58" s="49"/>
      <c r="I58" s="60">
        <f t="shared" si="3"/>
        <v>110.72821179251</v>
      </c>
      <c r="J58" s="53">
        <f>'[17]Rev_SP-12me'!BN57</f>
        <v>3.55993634876004</v>
      </c>
      <c r="K58" s="53">
        <f>'[17]Rev_SP-12me'!BO57</f>
        <v>102.902881414934</v>
      </c>
      <c r="L58" s="53">
        <f>'[17]Rev_SP-12me'!BQ57</f>
        <v>4.26539402881631</v>
      </c>
      <c r="M58" s="49"/>
      <c r="N58" s="61">
        <f t="shared" si="4"/>
        <v>110.72821179251</v>
      </c>
      <c r="O58" s="60">
        <f t="shared" si="6"/>
        <v>8.71597085705286</v>
      </c>
    </row>
    <row r="59" ht="15" spans="2:15">
      <c r="B59" s="54" t="s">
        <v>1046</v>
      </c>
      <c r="C59" s="55"/>
      <c r="D59" s="48">
        <f>'[17]Rev_SP-12me'!AQ65</f>
        <v>251.023488142463</v>
      </c>
      <c r="E59" s="48">
        <f>'[17]Rev_SP-12me'!AT65</f>
        <v>6.84617840023572</v>
      </c>
      <c r="F59" s="48">
        <f>'[17]Rev_SP-12me'!AU65</f>
        <v>157.615050852138</v>
      </c>
      <c r="G59" s="48">
        <f>'[17]Rev_SP-12me'!AW65</f>
        <v>5.23430087099158</v>
      </c>
      <c r="H59" s="49"/>
      <c r="I59" s="69">
        <f t="shared" si="3"/>
        <v>169.695530123365</v>
      </c>
      <c r="J59" s="48">
        <f>'[17]Rev_SP-12me'!BN65</f>
        <v>6.84617840023572</v>
      </c>
      <c r="K59" s="48">
        <f>'[17]Rev_SP-12me'!BO65</f>
        <v>157.615050852138</v>
      </c>
      <c r="L59" s="48">
        <f>'[17]Rev_SP-12me'!BQ65</f>
        <v>5.23430087099158</v>
      </c>
      <c r="M59" s="49"/>
      <c r="N59" s="169">
        <f t="shared" si="4"/>
        <v>169.695530123365</v>
      </c>
      <c r="O59" s="60">
        <f t="shared" si="6"/>
        <v>6.76014548993353</v>
      </c>
    </row>
    <row r="60" spans="2:15">
      <c r="B60" s="58" t="s">
        <v>1043</v>
      </c>
      <c r="C60" s="55"/>
      <c r="D60" s="53">
        <f>'[17]Rev_SP-12me'!AQ66</f>
        <v>193.328843493908</v>
      </c>
      <c r="E60" s="53">
        <f>'[17]Rev_SP-12me'!AT66</f>
        <v>4.73548543278567</v>
      </c>
      <c r="F60" s="53">
        <f>'[17]Rev_SP-12me'!AU66</f>
        <v>115.997306096345</v>
      </c>
      <c r="G60" s="53">
        <f>'[17]Rev_SP-12me'!AW66</f>
        <v>3.77032032643712</v>
      </c>
      <c r="H60" s="49"/>
      <c r="I60" s="60">
        <f t="shared" si="3"/>
        <v>124.503111855568</v>
      </c>
      <c r="J60" s="53">
        <f>'[17]Rev_SP-12me'!BN66</f>
        <v>4.73548543278567</v>
      </c>
      <c r="K60" s="53">
        <f>'[17]Rev_SP-12me'!BO66</f>
        <v>115.997306096345</v>
      </c>
      <c r="L60" s="53">
        <f>'[17]Rev_SP-12me'!BQ66</f>
        <v>3.77032032643712</v>
      </c>
      <c r="M60" s="49"/>
      <c r="N60" s="61">
        <f t="shared" si="4"/>
        <v>124.503111855568</v>
      </c>
      <c r="O60" s="60">
        <f t="shared" si="6"/>
        <v>6.43996568776304</v>
      </c>
    </row>
    <row r="61" spans="2:15">
      <c r="B61" s="58" t="s">
        <v>1044</v>
      </c>
      <c r="C61" s="55"/>
      <c r="D61" s="53">
        <f>'[17]Rev_SP-12me'!AQ67</f>
        <v>44.6037035421728</v>
      </c>
      <c r="E61" s="53">
        <f>'[17]Rev_SP-12me'!AT67</f>
        <v>1.23590001597994</v>
      </c>
      <c r="F61" s="53">
        <f>'[17]Rev_SP-12me'!AU67</f>
        <v>31.6686295149427</v>
      </c>
      <c r="G61" s="53">
        <f>'[17]Rev_SP-12me'!AW67</f>
        <v>0.908037289936456</v>
      </c>
      <c r="H61" s="49"/>
      <c r="I61" s="60">
        <f t="shared" si="3"/>
        <v>33.8125668208591</v>
      </c>
      <c r="J61" s="53">
        <f>'[17]Rev_SP-12me'!BN67</f>
        <v>1.23590001597994</v>
      </c>
      <c r="K61" s="53">
        <f>'[17]Rev_SP-12me'!BO67</f>
        <v>31.6686295149427</v>
      </c>
      <c r="L61" s="53">
        <f>'[17]Rev_SP-12me'!BQ67</f>
        <v>0.908037289936456</v>
      </c>
      <c r="M61" s="49"/>
      <c r="N61" s="61">
        <f t="shared" si="4"/>
        <v>33.8125668208591</v>
      </c>
      <c r="O61" s="60">
        <f t="shared" si="6"/>
        <v>7.58066351797207</v>
      </c>
    </row>
    <row r="62" spans="2:15">
      <c r="B62" s="58" t="s">
        <v>1045</v>
      </c>
      <c r="C62" s="55"/>
      <c r="D62" s="53">
        <f>'[17]Rev_SP-12me'!AQ68</f>
        <v>13.0909411063816</v>
      </c>
      <c r="E62" s="53">
        <f>'[17]Rev_SP-12me'!AT68</f>
        <v>0.874792951470112</v>
      </c>
      <c r="F62" s="53">
        <f>'[17]Rev_SP-12me'!AU68</f>
        <v>9.94911524085001</v>
      </c>
      <c r="G62" s="53">
        <f>'[17]Rev_SP-12me'!AW68</f>
        <v>0.555943254617999</v>
      </c>
      <c r="H62" s="49"/>
      <c r="I62" s="60">
        <f t="shared" si="3"/>
        <v>11.3798514469381</v>
      </c>
      <c r="J62" s="53">
        <f>'[17]Rev_SP-12me'!BN68</f>
        <v>0.874792951470112</v>
      </c>
      <c r="K62" s="53">
        <f>'[17]Rev_SP-12me'!BO68</f>
        <v>9.94911524085001</v>
      </c>
      <c r="L62" s="53">
        <f>'[17]Rev_SP-12me'!BQ68</f>
        <v>0.555943254617999</v>
      </c>
      <c r="M62" s="49"/>
      <c r="N62" s="61">
        <f t="shared" si="4"/>
        <v>11.3798514469381</v>
      </c>
      <c r="O62" s="60">
        <f t="shared" si="6"/>
        <v>8.69292081788577</v>
      </c>
    </row>
    <row r="63" ht="15" spans="2:15">
      <c r="B63" s="54" t="s">
        <v>1168</v>
      </c>
      <c r="C63" s="55"/>
      <c r="D63" s="48">
        <f>'[17]Rev_SP-12me'!AQ69</f>
        <v>0</v>
      </c>
      <c r="E63" s="48">
        <f>'[17]Rev_SP-12me'!AT69</f>
        <v>0</v>
      </c>
      <c r="F63" s="48">
        <f>'[17]Rev_SP-12me'!AU69</f>
        <v>0</v>
      </c>
      <c r="G63" s="48">
        <f>'[17]Rev_SP-12me'!AW69</f>
        <v>0</v>
      </c>
      <c r="H63" s="49"/>
      <c r="I63" s="60">
        <f t="shared" si="3"/>
        <v>0</v>
      </c>
      <c r="J63" s="48">
        <f>'[17]Rev_SP-12me'!BN69</f>
        <v>0</v>
      </c>
      <c r="K63" s="48">
        <f>'[17]Rev_SP-12me'!BO69</f>
        <v>0</v>
      </c>
      <c r="L63" s="48">
        <f>'[17]Rev_SP-12me'!BQ69</f>
        <v>0</v>
      </c>
      <c r="M63" s="49"/>
      <c r="N63" s="61">
        <f t="shared" si="4"/>
        <v>0</v>
      </c>
      <c r="O63" s="60"/>
    </row>
    <row r="64" ht="15" spans="2:15">
      <c r="B64" s="54" t="s">
        <v>1049</v>
      </c>
      <c r="C64" s="55"/>
      <c r="D64" s="48">
        <f>'[17]Rev_SP-12me'!AQ58</f>
        <v>98.8499963533782</v>
      </c>
      <c r="E64" s="48">
        <f>'[17]Rev_SP-12me'!AT58</f>
        <v>2.15091423766816</v>
      </c>
      <c r="F64" s="48">
        <f>'[17]Rev_SP-12me'!AU58</f>
        <v>78.4507610181164</v>
      </c>
      <c r="G64" s="48">
        <f>'[17]Rev_SP-12me'!AW58</f>
        <v>3.08386787270224</v>
      </c>
      <c r="H64" s="49"/>
      <c r="I64" s="69">
        <f t="shared" si="3"/>
        <v>83.6855431284868</v>
      </c>
      <c r="J64" s="48">
        <f>'[17]Rev_SP-12me'!BN58</f>
        <v>5.99545711883408</v>
      </c>
      <c r="K64" s="48">
        <f>'[17]Rev_SP-12me'!BO58</f>
        <v>78.4507610181164</v>
      </c>
      <c r="L64" s="48">
        <f>'[17]Rev_SP-12me'!BQ58</f>
        <v>3.08386787270224</v>
      </c>
      <c r="M64" s="49"/>
      <c r="N64" s="169">
        <f t="shared" si="4"/>
        <v>87.5300860096527</v>
      </c>
      <c r="O64" s="60">
        <f>N64*10/D64</f>
        <v>8.85483957902659</v>
      </c>
    </row>
    <row r="65" spans="2:15">
      <c r="B65" s="56" t="s">
        <v>1050</v>
      </c>
      <c r="C65" s="55"/>
      <c r="D65" s="62">
        <f>'[17]Rev_SP-12me'!AQ59</f>
        <v>87.9568570952341</v>
      </c>
      <c r="E65" s="62">
        <f>'[17]Rev_SP-12me'!AT59</f>
        <v>1.86920011210762</v>
      </c>
      <c r="F65" s="62">
        <f>'[17]Rev_SP-12me'!AU59</f>
        <v>73.0041913890443</v>
      </c>
      <c r="G65" s="62">
        <f>'[17]Rev_SP-12me'!AW59</f>
        <v>2.51728787270224</v>
      </c>
      <c r="H65" s="49"/>
      <c r="I65" s="60">
        <f t="shared" si="3"/>
        <v>77.3906793738542</v>
      </c>
      <c r="J65" s="62">
        <f>'[17]Rev_SP-12me'!BN59</f>
        <v>5.38507651345292</v>
      </c>
      <c r="K65" s="62">
        <f>'[17]Rev_SP-12me'!BO59</f>
        <v>73.0041913890443</v>
      </c>
      <c r="L65" s="62">
        <f>'[17]Rev_SP-12me'!BQ59</f>
        <v>2.51728787270224</v>
      </c>
      <c r="M65" s="49"/>
      <c r="N65" s="61">
        <f t="shared" si="4"/>
        <v>80.9065557751995</v>
      </c>
      <c r="O65" s="60">
        <f>N65*10/D65</f>
        <v>9.19843642066462</v>
      </c>
    </row>
    <row r="66" spans="2:15">
      <c r="B66" s="56" t="s">
        <v>1051</v>
      </c>
      <c r="C66" s="55"/>
      <c r="D66" s="62">
        <f>'[17]Rev_SP-12me'!AQ60</f>
        <v>10.8931392581442</v>
      </c>
      <c r="E66" s="62">
        <f>'[17]Rev_SP-12me'!AT60</f>
        <v>0.281714125560538</v>
      </c>
      <c r="F66" s="62">
        <f>'[17]Rev_SP-12me'!AU60</f>
        <v>5.44656962907208</v>
      </c>
      <c r="G66" s="62">
        <f>'[17]Rev_SP-12me'!AW60</f>
        <v>0.56658</v>
      </c>
      <c r="H66" s="49"/>
      <c r="I66" s="60">
        <f t="shared" si="3"/>
        <v>6.29486375463262</v>
      </c>
      <c r="J66" s="62">
        <f>'[17]Rev_SP-12me'!BN60</f>
        <v>0.610380605381166</v>
      </c>
      <c r="K66" s="62">
        <f>'[17]Rev_SP-12me'!BO60</f>
        <v>5.44656962907208</v>
      </c>
      <c r="L66" s="62">
        <f>'[17]Rev_SP-12me'!BQ60</f>
        <v>0.56658</v>
      </c>
      <c r="M66" s="49"/>
      <c r="N66" s="61">
        <f t="shared" si="4"/>
        <v>6.62353023445325</v>
      </c>
      <c r="O66" s="60">
        <f>N66*10/D66</f>
        <v>6.08046044165019</v>
      </c>
    </row>
    <row r="67" spans="2:15">
      <c r="B67" s="56" t="s">
        <v>1052</v>
      </c>
      <c r="C67" s="55"/>
      <c r="D67" s="24">
        <f>'[17]Rev_SP-12me'!AQ61</f>
        <v>10.8931392581442</v>
      </c>
      <c r="E67" s="24">
        <f>'[17]Rev_SP-12me'!AT61</f>
        <v>0</v>
      </c>
      <c r="F67" s="24">
        <f>'[17]Rev_SP-12me'!AU61</f>
        <v>0</v>
      </c>
      <c r="G67" s="24">
        <f>'[17]Rev_SP-12me'!AW61</f>
        <v>0</v>
      </c>
      <c r="H67" s="49"/>
      <c r="I67" s="60">
        <f t="shared" si="3"/>
        <v>0</v>
      </c>
      <c r="J67" s="24">
        <f>'[17]Rev_SP-12me'!BN61</f>
        <v>0</v>
      </c>
      <c r="K67" s="24">
        <f>'[17]Rev_SP-12me'!BO61</f>
        <v>0</v>
      </c>
      <c r="L67" s="24">
        <f>'[17]Rev_SP-12me'!BQ61</f>
        <v>0</v>
      </c>
      <c r="M67" s="49"/>
      <c r="N67" s="61">
        <f t="shared" si="4"/>
        <v>0</v>
      </c>
      <c r="O67" s="60">
        <f>N67*10/D67</f>
        <v>0</v>
      </c>
    </row>
    <row r="68" spans="2:15">
      <c r="B68" s="56" t="s">
        <v>1053</v>
      </c>
      <c r="C68" s="55"/>
      <c r="D68" s="24">
        <f>'[17]Rev_SP-12me'!AQ62</f>
        <v>0</v>
      </c>
      <c r="E68" s="24">
        <f>'[17]Rev_SP-12me'!AT62</f>
        <v>0</v>
      </c>
      <c r="F68" s="24">
        <f>'[17]Rev_SP-12me'!AU62</f>
        <v>0</v>
      </c>
      <c r="G68" s="24">
        <f>'[17]Rev_SP-12me'!AW62</f>
        <v>0</v>
      </c>
      <c r="H68" s="49"/>
      <c r="I68" s="60">
        <f t="shared" si="3"/>
        <v>0</v>
      </c>
      <c r="J68" s="24">
        <f>'[17]Rev_SP-12me'!BN62</f>
        <v>0</v>
      </c>
      <c r="K68" s="24">
        <f>'[17]Rev_SP-12me'!BO62</f>
        <v>0</v>
      </c>
      <c r="L68" s="24">
        <f>'[17]Rev_SP-12me'!BQ62</f>
        <v>0</v>
      </c>
      <c r="M68" s="49"/>
      <c r="N68" s="61">
        <f t="shared" si="4"/>
        <v>0</v>
      </c>
      <c r="O68" s="60"/>
    </row>
    <row r="69" ht="15" spans="2:15">
      <c r="B69" s="54" t="s">
        <v>1054</v>
      </c>
      <c r="C69" s="55"/>
      <c r="D69" s="48">
        <f>'[17]Rev_SP-12me'!AQ63</f>
        <v>160.627107885078</v>
      </c>
      <c r="E69" s="48">
        <f>'[17]Rev_SP-12me'!AT63</f>
        <v>2.8476</v>
      </c>
      <c r="F69" s="48">
        <f>'[17]Rev_SP-12me'!AU63</f>
        <v>192.752529462093</v>
      </c>
      <c r="G69" s="48">
        <f>'[17]Rev_SP-12me'!AW63</f>
        <v>1.71366</v>
      </c>
      <c r="H69" s="49"/>
      <c r="I69" s="69">
        <f t="shared" si="3"/>
        <v>197.313789462093</v>
      </c>
      <c r="J69" s="48">
        <f>'[17]Rev_SP-12me'!BN63</f>
        <v>8.2038</v>
      </c>
      <c r="K69" s="48">
        <f>'[17]Rev_SP-12me'!BO63</f>
        <v>192.752529462093</v>
      </c>
      <c r="L69" s="48">
        <f>'[17]Rev_SP-12me'!BQ63</f>
        <v>1.71366</v>
      </c>
      <c r="M69" s="49"/>
      <c r="N69" s="169">
        <f t="shared" si="4"/>
        <v>202.669989462093</v>
      </c>
      <c r="O69" s="60">
        <f>N69*10/D69</f>
        <v>12.6174213139102</v>
      </c>
    </row>
    <row r="70" ht="15" spans="2:15">
      <c r="B70" s="54" t="s">
        <v>1101</v>
      </c>
      <c r="C70" s="55"/>
      <c r="D70" s="48">
        <f>'[17]Rev_SP-12me'!AQ64</f>
        <v>2.510541</v>
      </c>
      <c r="E70" s="48">
        <f>'[17]Rev_SP-12me'!AT64</f>
        <v>0.45675</v>
      </c>
      <c r="F70" s="48">
        <f>'[17]Rev_SP-12me'!AU64</f>
        <v>1.5063246</v>
      </c>
      <c r="G70" s="48">
        <f>'[17]Rev_SP-12me'!AW64</f>
        <v>0.0343908</v>
      </c>
      <c r="H70" s="49"/>
      <c r="I70" s="69">
        <f t="shared" si="3"/>
        <v>1.9974654</v>
      </c>
      <c r="J70" s="48">
        <f>'[17]Rev_SP-12me'!BN64</f>
        <v>0.228375</v>
      </c>
      <c r="K70" s="48">
        <f>'[17]Rev_SP-12me'!BO64</f>
        <v>1.5063246</v>
      </c>
      <c r="L70" s="48">
        <f>'[17]Rev_SP-12me'!BQ64</f>
        <v>0.0343908</v>
      </c>
      <c r="M70" s="49"/>
      <c r="N70" s="169">
        <f t="shared" si="4"/>
        <v>1.7690904</v>
      </c>
      <c r="O70" s="60">
        <f>N70*10/D70</f>
        <v>7.04665010449939</v>
      </c>
    </row>
    <row r="71" ht="15" spans="2:15">
      <c r="B71" s="54"/>
      <c r="C71" s="55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61"/>
      <c r="O71" s="60"/>
    </row>
    <row r="72" ht="15" spans="2:15">
      <c r="B72" s="54" t="s">
        <v>1102</v>
      </c>
      <c r="C72" s="55"/>
      <c r="D72" s="78">
        <f>SUM(D11,D24,D37,D44,D47,D55,D59,D63,D64,D69,D70)</f>
        <v>29902.6643043401</v>
      </c>
      <c r="E72" s="80">
        <f>SUM(E11,E24,E37,E44,E47,E55,E59,E63,E64,E69,E70)</f>
        <v>674.153221931755</v>
      </c>
      <c r="F72" s="78">
        <f>SUM(F11,F24,F37,F44,F47,F55,F59,F63,F64,F69,F70)</f>
        <v>11144.4094777232</v>
      </c>
      <c r="G72" s="78">
        <f>SUM(G11,G24,G37,G44,G47,G55,G59,G63,G64,G69,G70)</f>
        <v>897.885337426349</v>
      </c>
      <c r="H72" s="170"/>
      <c r="I72" s="78">
        <f>SUM(I11,I24,I37,I44,I47,I55,I59,I63,I64,I69,I70)</f>
        <v>12716.4480370813</v>
      </c>
      <c r="J72" s="80">
        <f>SUM(J11,J24,J37,J44,J47,J55,J59,J63,J64,J69,J70)</f>
        <v>1002.44475317731</v>
      </c>
      <c r="K72" s="78">
        <f>SUM(K11,K24,K37,K44,K47,K55,K59,K63,K64,K69,K70)</f>
        <v>11144.4094777232</v>
      </c>
      <c r="L72" s="78">
        <f>SUM(L11,L24,L37,L44,L47,L55,L59,L63,L64,L69,L70)</f>
        <v>897.885337426349</v>
      </c>
      <c r="M72" s="170"/>
      <c r="N72" s="78">
        <f>SUM(J72:M72)</f>
        <v>13044.7395683268</v>
      </c>
      <c r="O72" s="60">
        <f>N72*10/D72</f>
        <v>4.3624004321359</v>
      </c>
    </row>
    <row r="73" ht="15" spans="2:15">
      <c r="B73" s="66"/>
      <c r="C73" s="67"/>
      <c r="D73" s="68"/>
      <c r="E73" s="69"/>
      <c r="F73" s="68"/>
      <c r="G73" s="68"/>
      <c r="H73" s="49"/>
      <c r="I73" s="68"/>
      <c r="J73" s="69"/>
      <c r="K73" s="68"/>
      <c r="L73" s="68"/>
      <c r="M73" s="49"/>
      <c r="N73" s="61"/>
      <c r="O73" s="60"/>
    </row>
    <row r="74" ht="15" spans="2:15">
      <c r="B74" s="70" t="s">
        <v>907</v>
      </c>
      <c r="C74" s="70"/>
      <c r="D74" s="8"/>
      <c r="E74" s="8"/>
      <c r="F74" s="8"/>
      <c r="G74" s="8"/>
      <c r="H74" s="8"/>
      <c r="I74" s="8"/>
      <c r="J74" s="8"/>
      <c r="K74" s="8"/>
      <c r="L74" s="8"/>
      <c r="M74" s="8"/>
      <c r="N74" s="61"/>
      <c r="O74" s="60"/>
    </row>
    <row r="75" spans="2:15">
      <c r="B75" s="71" t="s">
        <v>190</v>
      </c>
      <c r="C75" s="55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61"/>
      <c r="O75" s="60"/>
    </row>
    <row r="76" ht="15" spans="2:15">
      <c r="B76" s="71" t="s">
        <v>1103</v>
      </c>
      <c r="C76" s="72"/>
      <c r="D76" s="48">
        <f>D77+D86</f>
        <v>4636.295104567</v>
      </c>
      <c r="E76" s="48">
        <f>'[17]Rev_SP-12me'!AT84</f>
        <v>973.614478666021</v>
      </c>
      <c r="F76" s="48">
        <f>'[17]Rev_SP-12me'!AU84</f>
        <v>3567.44159103852</v>
      </c>
      <c r="G76" s="48">
        <f>'[17]Rev_SP-12me'!AW84</f>
        <v>14.387532385048</v>
      </c>
      <c r="H76" s="49"/>
      <c r="I76" s="68">
        <f t="shared" ref="I76:I107" si="7">SUM(E76:H76)</f>
        <v>4555.44360208959</v>
      </c>
      <c r="J76" s="48">
        <f>'[17]Rev_SP-12me'!BN84</f>
        <v>999.235912315127</v>
      </c>
      <c r="K76" s="48">
        <f>'[17]Rev_SP-12me'!BO84</f>
        <v>3567.44159103852</v>
      </c>
      <c r="L76" s="48">
        <f>'[17]Rev_SP-12me'!BQ84</f>
        <v>14.387532385048</v>
      </c>
      <c r="M76" s="49"/>
      <c r="N76" s="169">
        <f t="shared" ref="N76:N107" si="8">SUM(J76:M76)</f>
        <v>4581.06503573869</v>
      </c>
      <c r="O76" s="60">
        <f t="shared" ref="O76:O115" si="9">N76*10/D76</f>
        <v>9.8808745612981</v>
      </c>
    </row>
    <row r="77" spans="2:15">
      <c r="B77" s="73" t="s">
        <v>1104</v>
      </c>
      <c r="C77" s="72"/>
      <c r="D77" s="51">
        <f>'[17]Rev_SP-12me'!AQ85</f>
        <v>4487.97540980577</v>
      </c>
      <c r="E77" s="51">
        <f>'[17]Rev_SP-12me'!AT85</f>
        <v>973.614478666021</v>
      </c>
      <c r="F77" s="51">
        <f>'[17]Rev_SP-12me'!AU85</f>
        <v>3453.13901947095</v>
      </c>
      <c r="G77" s="51">
        <f>'[17]Rev_SP-12me'!AW85</f>
        <v>13.888208931525</v>
      </c>
      <c r="H77" s="49"/>
      <c r="I77" s="79">
        <f t="shared" si="7"/>
        <v>4440.6417070685</v>
      </c>
      <c r="J77" s="51">
        <f>'[17]Rev_SP-12me'!BN85</f>
        <v>999.235912315127</v>
      </c>
      <c r="K77" s="51">
        <f>'[17]Rev_SP-12me'!BO85</f>
        <v>3453.13901947095</v>
      </c>
      <c r="L77" s="51">
        <f>'[17]Rev_SP-12me'!BQ85</f>
        <v>13.888208931525</v>
      </c>
      <c r="M77" s="49"/>
      <c r="N77" s="61">
        <f t="shared" si="8"/>
        <v>4466.2631407176</v>
      </c>
      <c r="O77" s="60">
        <f t="shared" si="9"/>
        <v>9.95162123874224</v>
      </c>
    </row>
    <row r="78" spans="2:15">
      <c r="B78" s="74" t="s">
        <v>1105</v>
      </c>
      <c r="C78" s="72"/>
      <c r="D78" s="62">
        <f>'[17]Rev_SP-12me'!AQ86</f>
        <v>1451.20758836827</v>
      </c>
      <c r="E78" s="62">
        <f>'[17]Rev_SP-12me'!AT86</f>
        <v>973.614478666021</v>
      </c>
      <c r="F78" s="62">
        <f>'[17]Rev_SP-12me'!AU86</f>
        <v>1110.17380510173</v>
      </c>
      <c r="G78" s="62">
        <f>'[17]Rev_SP-12me'!AW86</f>
        <v>10.2277837909362</v>
      </c>
      <c r="H78" s="49"/>
      <c r="I78" s="79">
        <f t="shared" si="7"/>
        <v>2094.01606755869</v>
      </c>
      <c r="J78" s="62">
        <f>'[17]Rev_SP-12me'!BN86</f>
        <v>999.235912315127</v>
      </c>
      <c r="K78" s="62">
        <f>'[17]Rev_SP-12me'!BO86</f>
        <v>1110.17380510173</v>
      </c>
      <c r="L78" s="62">
        <f>'[17]Rev_SP-12me'!BQ86</f>
        <v>10.2277837909362</v>
      </c>
      <c r="M78" s="49"/>
      <c r="N78" s="61">
        <f t="shared" si="8"/>
        <v>2119.63750120779</v>
      </c>
      <c r="O78" s="60">
        <f t="shared" si="9"/>
        <v>14.6060254797255</v>
      </c>
    </row>
    <row r="79" ht="25.5" spans="2:15">
      <c r="B79" s="75" t="s">
        <v>1106</v>
      </c>
      <c r="C79" s="55"/>
      <c r="D79" s="62">
        <f>'[17]Rev_SP-12me'!AQ87</f>
        <v>254.475934903587</v>
      </c>
      <c r="E79" s="62">
        <f>'[17]Rev_SP-12me'!AT87</f>
        <v>0</v>
      </c>
      <c r="F79" s="62">
        <f>'[17]Rev_SP-12me'!AU87</f>
        <v>203.58074792287</v>
      </c>
      <c r="G79" s="62">
        <f>'[17]Rev_SP-12me'!AW87</f>
        <v>3.18030248097916</v>
      </c>
      <c r="H79" s="8"/>
      <c r="I79" s="79">
        <f t="shared" si="7"/>
        <v>206.761050403849</v>
      </c>
      <c r="J79" s="62">
        <f>'[17]Rev_SP-12me'!BN87</f>
        <v>0</v>
      </c>
      <c r="K79" s="62">
        <f>'[17]Rev_SP-12me'!BO87</f>
        <v>203.58074792287</v>
      </c>
      <c r="L79" s="62">
        <f>'[17]Rev_SP-12me'!BQ87</f>
        <v>3.18030248097916</v>
      </c>
      <c r="M79" s="8"/>
      <c r="N79" s="61">
        <f t="shared" si="8"/>
        <v>206.761050403849</v>
      </c>
      <c r="O79" s="60">
        <f t="shared" si="9"/>
        <v>8.12497458677908</v>
      </c>
    </row>
    <row r="80" spans="2:15">
      <c r="B80" s="74" t="s">
        <v>1107</v>
      </c>
      <c r="C80" s="55"/>
      <c r="D80" s="62">
        <f>'[17]Rev_SP-12me'!AQ88</f>
        <v>0.120384060018199</v>
      </c>
      <c r="E80" s="62">
        <f>'[17]Rev_SP-12me'!AT88</f>
        <v>0</v>
      </c>
      <c r="F80" s="62">
        <f>'[17]Rev_SP-12me'!AU88</f>
        <v>0.0920938059139223</v>
      </c>
      <c r="G80" s="62">
        <f>'[17]Rev_SP-12me'!AW88</f>
        <v>0</v>
      </c>
      <c r="H80" s="8"/>
      <c r="I80" s="79">
        <f t="shared" si="7"/>
        <v>0.0920938059139223</v>
      </c>
      <c r="J80" s="62">
        <f>'[17]Rev_SP-12me'!BN88</f>
        <v>0</v>
      </c>
      <c r="K80" s="62">
        <f>'[17]Rev_SP-12me'!BO88</f>
        <v>0.0920938059139223</v>
      </c>
      <c r="L80" s="62">
        <f>'[17]Rev_SP-12me'!BQ88</f>
        <v>0</v>
      </c>
      <c r="M80" s="8"/>
      <c r="N80" s="61">
        <f t="shared" si="8"/>
        <v>0.0920938059139223</v>
      </c>
      <c r="O80" s="60">
        <f t="shared" si="9"/>
        <v>7.65000000000001</v>
      </c>
    </row>
    <row r="81" spans="2:15">
      <c r="B81" s="74" t="s">
        <v>1108</v>
      </c>
      <c r="C81" s="55"/>
      <c r="D81" s="62">
        <f>'[17]Rev_SP-12me'!AQ89</f>
        <v>0.676168993671561</v>
      </c>
      <c r="E81" s="62">
        <f>'[17]Rev_SP-12me'!AT89</f>
        <v>0</v>
      </c>
      <c r="F81" s="62">
        <f>'[17]Rev_SP-12me'!AU89</f>
        <v>0.493603365380239</v>
      </c>
      <c r="G81" s="62">
        <f>'[17]Rev_SP-12me'!AW89</f>
        <v>0</v>
      </c>
      <c r="H81" s="8"/>
      <c r="I81" s="79">
        <f t="shared" si="7"/>
        <v>0.493603365380239</v>
      </c>
      <c r="J81" s="62">
        <f>'[17]Rev_SP-12me'!BN89</f>
        <v>0</v>
      </c>
      <c r="K81" s="62">
        <f>'[17]Rev_SP-12me'!BO89</f>
        <v>0.49360336538024</v>
      </c>
      <c r="L81" s="62">
        <f>'[17]Rev_SP-12me'!BQ89</f>
        <v>0</v>
      </c>
      <c r="M81" s="8"/>
      <c r="N81" s="61">
        <f t="shared" si="8"/>
        <v>0.49360336538024</v>
      </c>
      <c r="O81" s="60">
        <f t="shared" si="9"/>
        <v>7.30000000000001</v>
      </c>
    </row>
    <row r="82" spans="2:15">
      <c r="B82" s="74" t="s">
        <v>1109</v>
      </c>
      <c r="C82" s="55"/>
      <c r="D82" s="62">
        <f>'[17]Rev_SP-12me'!AQ90</f>
        <v>61.24319367364</v>
      </c>
      <c r="E82" s="62">
        <f>'[17]Rev_SP-12me'!AT90</f>
        <v>0</v>
      </c>
      <c r="F82" s="62">
        <f>'[17]Rev_SP-12me'!AU90</f>
        <v>52.6691465593304</v>
      </c>
      <c r="G82" s="62">
        <f>'[17]Rev_SP-12me'!AW90</f>
        <v>0.480122659609659</v>
      </c>
      <c r="H82" s="8"/>
      <c r="I82" s="79">
        <f t="shared" si="7"/>
        <v>53.1492692189401</v>
      </c>
      <c r="J82" s="62">
        <f>'[17]Rev_SP-12me'!BN90</f>
        <v>0</v>
      </c>
      <c r="K82" s="62">
        <f>'[17]Rev_SP-12me'!BO90</f>
        <v>52.6691465593304</v>
      </c>
      <c r="L82" s="62">
        <f>'[17]Rev_SP-12me'!BQ90</f>
        <v>0.480122659609659</v>
      </c>
      <c r="M82" s="8"/>
      <c r="N82" s="61">
        <f t="shared" si="8"/>
        <v>53.1492692189401</v>
      </c>
      <c r="O82" s="60">
        <f t="shared" si="9"/>
        <v>8.67839608466015</v>
      </c>
    </row>
    <row r="83" spans="2:15">
      <c r="B83" s="76" t="s">
        <v>1110</v>
      </c>
      <c r="C83" s="55"/>
      <c r="D83" s="62">
        <f>'[17]Rev_SP-12me'!AQ91</f>
        <v>714.356738920289</v>
      </c>
      <c r="E83" s="62">
        <f>'[17]Rev_SP-12me'!AT91</f>
        <v>0</v>
      </c>
      <c r="F83" s="62">
        <f>'[17]Rev_SP-12me'!AU91</f>
        <v>617.91857916605</v>
      </c>
      <c r="G83" s="62">
        <f>'[17]Rev_SP-12me'!AW91</f>
        <v>0</v>
      </c>
      <c r="H83" s="8"/>
      <c r="I83" s="79">
        <f t="shared" si="7"/>
        <v>617.91857916605</v>
      </c>
      <c r="J83" s="62">
        <f>'[17]Rev_SP-12me'!BN91</f>
        <v>0</v>
      </c>
      <c r="K83" s="62">
        <f>'[17]Rev_SP-12me'!BO91</f>
        <v>617.91857916605</v>
      </c>
      <c r="L83" s="62">
        <f>'[17]Rev_SP-12me'!BQ91</f>
        <v>0</v>
      </c>
      <c r="M83" s="8"/>
      <c r="N83" s="61">
        <f t="shared" si="8"/>
        <v>617.91857916605</v>
      </c>
      <c r="O83" s="60">
        <f t="shared" si="9"/>
        <v>8.65</v>
      </c>
    </row>
    <row r="84" spans="2:15">
      <c r="B84" s="76" t="s">
        <v>1111</v>
      </c>
      <c r="C84" s="55"/>
      <c r="D84" s="62">
        <f>'[17]Rev_SP-12me'!AQ92</f>
        <v>671.453009801455</v>
      </c>
      <c r="E84" s="62">
        <f>'[17]Rev_SP-12me'!AT92</f>
        <v>0</v>
      </c>
      <c r="F84" s="62">
        <f>'[17]Rev_SP-12me'!AU92</f>
        <v>580.806853478259</v>
      </c>
      <c r="G84" s="62">
        <f>'[17]Rev_SP-12me'!AW92</f>
        <v>0</v>
      </c>
      <c r="H84" s="8"/>
      <c r="I84" s="79">
        <f t="shared" si="7"/>
        <v>580.806853478259</v>
      </c>
      <c r="J84" s="62">
        <f>'[17]Rev_SP-12me'!BN92</f>
        <v>0</v>
      </c>
      <c r="K84" s="62">
        <f>'[17]Rev_SP-12me'!BO92</f>
        <v>580.806853478259</v>
      </c>
      <c r="L84" s="62">
        <f>'[17]Rev_SP-12me'!BQ92</f>
        <v>0</v>
      </c>
      <c r="M84" s="8"/>
      <c r="N84" s="61">
        <f t="shared" si="8"/>
        <v>580.806853478259</v>
      </c>
      <c r="O84" s="60">
        <f t="shared" si="9"/>
        <v>8.65000000000001</v>
      </c>
    </row>
    <row r="85" spans="2:15">
      <c r="B85" s="76" t="s">
        <v>1112</v>
      </c>
      <c r="C85" s="55"/>
      <c r="D85" s="62">
        <f>'[17]Rev_SP-12me'!AQ93</f>
        <v>1334.44239108484</v>
      </c>
      <c r="E85" s="62">
        <f>'[17]Rev_SP-12me'!AT93</f>
        <v>0</v>
      </c>
      <c r="F85" s="62">
        <f>'[17]Rev_SP-12me'!AU93</f>
        <v>887.404190071419</v>
      </c>
      <c r="G85" s="62">
        <f>'[17]Rev_SP-12me'!AW93</f>
        <v>0</v>
      </c>
      <c r="H85" s="8"/>
      <c r="I85" s="79">
        <f t="shared" si="7"/>
        <v>887.404190071419</v>
      </c>
      <c r="J85" s="62">
        <f>'[17]Rev_SP-12me'!BN93</f>
        <v>0</v>
      </c>
      <c r="K85" s="62">
        <f>'[17]Rev_SP-12me'!BO93</f>
        <v>887.404190071419</v>
      </c>
      <c r="L85" s="62">
        <f>'[17]Rev_SP-12me'!BQ93</f>
        <v>0</v>
      </c>
      <c r="M85" s="8"/>
      <c r="N85" s="61">
        <f t="shared" si="8"/>
        <v>887.404190071419</v>
      </c>
      <c r="O85" s="60">
        <f t="shared" si="9"/>
        <v>6.65</v>
      </c>
    </row>
    <row r="86" ht="15" spans="2:15">
      <c r="B86" s="71" t="s">
        <v>1113</v>
      </c>
      <c r="C86" s="55"/>
      <c r="D86" s="51">
        <f>'[17]Rev_SP-12me'!AQ94</f>
        <v>148.319694761227</v>
      </c>
      <c r="E86" s="51">
        <f>'[17]Rev_SP-12me'!AT94</f>
        <v>0</v>
      </c>
      <c r="F86" s="51">
        <f>'[17]Rev_SP-12me'!AU94</f>
        <v>114.302571567576</v>
      </c>
      <c r="G86" s="51">
        <f>'[17]Rev_SP-12me'!AW94</f>
        <v>0.49932345352299</v>
      </c>
      <c r="H86" s="8"/>
      <c r="I86" s="68">
        <f t="shared" si="7"/>
        <v>114.801895021099</v>
      </c>
      <c r="J86" s="51">
        <f>'[17]Rev_SP-12me'!BN94</f>
        <v>0</v>
      </c>
      <c r="K86" s="51">
        <f>'[17]Rev_SP-12me'!BO94</f>
        <v>114.302571567576</v>
      </c>
      <c r="L86" s="51">
        <f>'[17]Rev_SP-12me'!BQ94</f>
        <v>0.49932345352299</v>
      </c>
      <c r="M86" s="8"/>
      <c r="N86" s="169">
        <f t="shared" si="8"/>
        <v>114.801895021099</v>
      </c>
      <c r="O86" s="60">
        <f t="shared" si="9"/>
        <v>7.74016526975148</v>
      </c>
    </row>
    <row r="87" spans="2:15">
      <c r="B87" s="76" t="s">
        <v>1114</v>
      </c>
      <c r="C87" s="55"/>
      <c r="D87" s="53">
        <f>'[17]Rev_SP-12me'!AQ95</f>
        <v>51.5023836007563</v>
      </c>
      <c r="E87" s="53">
        <f>'[17]Rev_SP-12me'!AT95</f>
        <v>0</v>
      </c>
      <c r="F87" s="53">
        <f>'[17]Rev_SP-12me'!AU95</f>
        <v>39.3993234545786</v>
      </c>
      <c r="G87" s="53">
        <f>'[17]Rev_SP-12me'!AW95</f>
        <v>0.49932345352299</v>
      </c>
      <c r="H87" s="8"/>
      <c r="I87" s="79">
        <f t="shared" si="7"/>
        <v>39.8986469081016</v>
      </c>
      <c r="J87" s="53">
        <f>'[17]Rev_SP-12me'!BN95</f>
        <v>0</v>
      </c>
      <c r="K87" s="53">
        <f>'[17]Rev_SP-12me'!BO95</f>
        <v>39.3993234545786</v>
      </c>
      <c r="L87" s="53">
        <f>'[17]Rev_SP-12me'!BQ95</f>
        <v>0.49932345352299</v>
      </c>
      <c r="M87" s="8"/>
      <c r="N87" s="61">
        <f t="shared" si="8"/>
        <v>39.8986469081016</v>
      </c>
      <c r="O87" s="60">
        <f t="shared" si="9"/>
        <v>7.74695152313604</v>
      </c>
    </row>
    <row r="88" spans="2:15">
      <c r="B88" s="76" t="s">
        <v>1115</v>
      </c>
      <c r="C88" s="55"/>
      <c r="D88" s="53">
        <f>'[17]Rev_SP-12me'!AQ96</f>
        <v>28.4156071447196</v>
      </c>
      <c r="E88" s="53">
        <f>'[17]Rev_SP-12me'!AT96</f>
        <v>0</v>
      </c>
      <c r="F88" s="53">
        <f>'[17]Rev_SP-12me'!AU96</f>
        <v>24.5795001801825</v>
      </c>
      <c r="G88" s="53">
        <f>'[17]Rev_SP-12me'!AW96</f>
        <v>0</v>
      </c>
      <c r="H88" s="8"/>
      <c r="I88" s="79">
        <f t="shared" si="7"/>
        <v>24.5795001801825</v>
      </c>
      <c r="J88" s="53">
        <f>'[17]Rev_SP-12me'!BN96</f>
        <v>0</v>
      </c>
      <c r="K88" s="53">
        <f>'[17]Rev_SP-12me'!BO96</f>
        <v>24.5795001801825</v>
      </c>
      <c r="L88" s="53">
        <f>'[17]Rev_SP-12me'!BQ96</f>
        <v>0</v>
      </c>
      <c r="M88" s="8"/>
      <c r="N88" s="61">
        <f t="shared" si="8"/>
        <v>24.5795001801825</v>
      </c>
      <c r="O88" s="60">
        <f t="shared" si="9"/>
        <v>8.65000000000001</v>
      </c>
    </row>
    <row r="89" spans="2:15">
      <c r="B89" s="76" t="s">
        <v>1116</v>
      </c>
      <c r="C89" s="55"/>
      <c r="D89" s="53">
        <f>'[17]Rev_SP-12me'!AQ97</f>
        <v>24.1830738117007</v>
      </c>
      <c r="E89" s="53">
        <f>'[17]Rev_SP-12me'!AT97</f>
        <v>0</v>
      </c>
      <c r="F89" s="53">
        <f>'[17]Rev_SP-12me'!AU97</f>
        <v>20.9183588471211</v>
      </c>
      <c r="G89" s="53">
        <f>'[17]Rev_SP-12me'!AW97</f>
        <v>0</v>
      </c>
      <c r="H89" s="8"/>
      <c r="I89" s="79">
        <f t="shared" si="7"/>
        <v>20.9183588471211</v>
      </c>
      <c r="J89" s="53">
        <f>'[17]Rev_SP-12me'!BN97</f>
        <v>0</v>
      </c>
      <c r="K89" s="53">
        <f>'[17]Rev_SP-12me'!BO97</f>
        <v>20.9183588471211</v>
      </c>
      <c r="L89" s="53">
        <f>'[17]Rev_SP-12me'!BQ97</f>
        <v>0</v>
      </c>
      <c r="M89" s="8"/>
      <c r="N89" s="61">
        <f t="shared" si="8"/>
        <v>20.9183588471211</v>
      </c>
      <c r="O89" s="60">
        <f t="shared" si="9"/>
        <v>8.65</v>
      </c>
    </row>
    <row r="90" spans="2:15">
      <c r="B90" s="76" t="s">
        <v>1117</v>
      </c>
      <c r="C90" s="55"/>
      <c r="D90" s="53">
        <f>'[17]Rev_SP-12me'!AQ98</f>
        <v>44.2186302040508</v>
      </c>
      <c r="E90" s="53">
        <f>'[17]Rev_SP-12me'!AT98</f>
        <v>0</v>
      </c>
      <c r="F90" s="53">
        <f>'[17]Rev_SP-12me'!AU98</f>
        <v>29.4053890856938</v>
      </c>
      <c r="G90" s="53">
        <f>'[17]Rev_SP-12me'!AW98</f>
        <v>0</v>
      </c>
      <c r="H90" s="8"/>
      <c r="I90" s="79">
        <f t="shared" si="7"/>
        <v>29.4053890856938</v>
      </c>
      <c r="J90" s="53">
        <f>'[17]Rev_SP-12me'!BN98</f>
        <v>0</v>
      </c>
      <c r="K90" s="53">
        <f>'[17]Rev_SP-12me'!BO98</f>
        <v>29.4053890856938</v>
      </c>
      <c r="L90" s="53">
        <f>'[17]Rev_SP-12me'!BQ98</f>
        <v>0</v>
      </c>
      <c r="M90" s="8"/>
      <c r="N90" s="61">
        <f t="shared" si="8"/>
        <v>29.4053890856938</v>
      </c>
      <c r="O90" s="60">
        <f t="shared" si="9"/>
        <v>6.65</v>
      </c>
    </row>
    <row r="91" ht="15" spans="2:15">
      <c r="B91" s="71" t="s">
        <v>1118</v>
      </c>
      <c r="C91" s="55"/>
      <c r="D91" s="48">
        <f>'[17]Rev_SP-12me'!AQ100</f>
        <v>51.1237873396121</v>
      </c>
      <c r="E91" s="48">
        <f>'[17]Rev_SP-12me'!AT100</f>
        <v>6.70945383732131</v>
      </c>
      <c r="F91" s="48">
        <f>'[17]Rev_SP-12me'!AU100</f>
        <v>39.4155915876943</v>
      </c>
      <c r="G91" s="48">
        <f>'[17]Rev_SP-12me'!AW100</f>
        <v>0</v>
      </c>
      <c r="H91" s="8"/>
      <c r="I91" s="68">
        <f t="shared" si="7"/>
        <v>46.1250454250156</v>
      </c>
      <c r="J91" s="48">
        <f>'[17]Rev_SP-12me'!BN100</f>
        <v>6.88601841198766</v>
      </c>
      <c r="K91" s="48">
        <f>'[17]Rev_SP-12me'!BO100</f>
        <v>39.4155915876943</v>
      </c>
      <c r="L91" s="48">
        <f>'[17]Rev_SP-12me'!BQ100</f>
        <v>0</v>
      </c>
      <c r="M91" s="8"/>
      <c r="N91" s="169">
        <f t="shared" si="8"/>
        <v>46.301609999682</v>
      </c>
      <c r="O91" s="60">
        <f t="shared" si="9"/>
        <v>9.05676445528248</v>
      </c>
    </row>
    <row r="92" spans="2:15">
      <c r="B92" s="74" t="s">
        <v>1119</v>
      </c>
      <c r="C92" s="55"/>
      <c r="D92" s="53">
        <f>'[17]Rev_SP-12me'!AQ101</f>
        <v>18.6089083006961</v>
      </c>
      <c r="E92" s="53">
        <f>'[17]Rev_SP-12me'!AT101</f>
        <v>6.70945383732131</v>
      </c>
      <c r="F92" s="53">
        <f>'[17]Rev_SP-12me'!AU101</f>
        <v>14.2358148500325</v>
      </c>
      <c r="G92" s="53">
        <f>'[17]Rev_SP-12me'!AW101</f>
        <v>0</v>
      </c>
      <c r="H92" s="8"/>
      <c r="I92" s="79">
        <f t="shared" si="7"/>
        <v>20.9452686873538</v>
      </c>
      <c r="J92" s="53">
        <f>'[17]Rev_SP-12me'!BN101</f>
        <v>6.88601841198766</v>
      </c>
      <c r="K92" s="53">
        <f>'[17]Rev_SP-12me'!BO101</f>
        <v>14.2358148500325</v>
      </c>
      <c r="L92" s="53">
        <f>'[17]Rev_SP-12me'!BQ101</f>
        <v>0</v>
      </c>
      <c r="M92" s="8"/>
      <c r="N92" s="61">
        <f t="shared" si="8"/>
        <v>21.1218332620202</v>
      </c>
      <c r="O92" s="60">
        <f t="shared" si="9"/>
        <v>11.3503881693211</v>
      </c>
    </row>
    <row r="93" spans="2:15">
      <c r="B93" s="74" t="s">
        <v>1120</v>
      </c>
      <c r="C93" s="55"/>
      <c r="D93" s="53">
        <f>'[17]Rev_SP-12me'!AQ102</f>
        <v>8.14008642924429</v>
      </c>
      <c r="E93" s="53">
        <f>'[17]Rev_SP-12me'!AT102</f>
        <v>0</v>
      </c>
      <c r="F93" s="53">
        <f>'[17]Rev_SP-12me'!AU102</f>
        <v>7.04117476129631</v>
      </c>
      <c r="G93" s="53">
        <f>'[17]Rev_SP-12me'!AW102</f>
        <v>0</v>
      </c>
      <c r="H93" s="8"/>
      <c r="I93" s="79">
        <f t="shared" si="7"/>
        <v>7.04117476129631</v>
      </c>
      <c r="J93" s="53">
        <f>'[17]Rev_SP-12me'!BN102</f>
        <v>0</v>
      </c>
      <c r="K93" s="53">
        <f>'[17]Rev_SP-12me'!BO102</f>
        <v>7.04117476129631</v>
      </c>
      <c r="L93" s="53">
        <f>'[17]Rev_SP-12me'!BQ102</f>
        <v>0</v>
      </c>
      <c r="M93" s="8"/>
      <c r="N93" s="61">
        <f t="shared" si="8"/>
        <v>7.04117476129631</v>
      </c>
      <c r="O93" s="60">
        <f t="shared" si="9"/>
        <v>8.65</v>
      </c>
    </row>
    <row r="94" spans="2:15">
      <c r="B94" s="74" t="s">
        <v>1121</v>
      </c>
      <c r="C94" s="55"/>
      <c r="D94" s="53">
        <f>'[17]Rev_SP-12me'!AQ103</f>
        <v>9.64682445466898</v>
      </c>
      <c r="E94" s="53">
        <f>'[17]Rev_SP-12me'!AT103</f>
        <v>0</v>
      </c>
      <c r="F94" s="53">
        <f>'[17]Rev_SP-12me'!AU103</f>
        <v>8.34450315328867</v>
      </c>
      <c r="G94" s="53">
        <f>'[17]Rev_SP-12me'!AW103</f>
        <v>0</v>
      </c>
      <c r="H94" s="8"/>
      <c r="I94" s="79">
        <f t="shared" si="7"/>
        <v>8.34450315328867</v>
      </c>
      <c r="J94" s="53">
        <f>'[17]Rev_SP-12me'!BN103</f>
        <v>0</v>
      </c>
      <c r="K94" s="53">
        <f>'[17]Rev_SP-12me'!BO103</f>
        <v>8.34450315328867</v>
      </c>
      <c r="L94" s="53">
        <f>'[17]Rev_SP-12me'!BQ103</f>
        <v>0</v>
      </c>
      <c r="M94" s="8"/>
      <c r="N94" s="61">
        <f t="shared" si="8"/>
        <v>8.34450315328867</v>
      </c>
      <c r="O94" s="60">
        <f t="shared" si="9"/>
        <v>8.65</v>
      </c>
    </row>
    <row r="95" spans="2:15">
      <c r="B95" s="74" t="s">
        <v>1122</v>
      </c>
      <c r="C95" s="55"/>
      <c r="D95" s="53">
        <f>'[17]Rev_SP-12me'!AQ104</f>
        <v>14.7279681550028</v>
      </c>
      <c r="E95" s="53">
        <f>'[17]Rev_SP-12me'!AT104</f>
        <v>0</v>
      </c>
      <c r="F95" s="53">
        <f>'[17]Rev_SP-12me'!AU104</f>
        <v>9.79409882307684</v>
      </c>
      <c r="G95" s="53">
        <f>'[17]Rev_SP-12me'!AW104</f>
        <v>0</v>
      </c>
      <c r="H95" s="8"/>
      <c r="I95" s="79">
        <f t="shared" si="7"/>
        <v>9.79409882307684</v>
      </c>
      <c r="J95" s="53">
        <f>'[17]Rev_SP-12me'!BN104</f>
        <v>0</v>
      </c>
      <c r="K95" s="53">
        <f>'[17]Rev_SP-12me'!BO104</f>
        <v>9.79409882307684</v>
      </c>
      <c r="L95" s="53">
        <f>'[17]Rev_SP-12me'!BQ104</f>
        <v>0</v>
      </c>
      <c r="M95" s="8"/>
      <c r="N95" s="61">
        <f t="shared" si="8"/>
        <v>9.79409882307684</v>
      </c>
      <c r="O95" s="60">
        <f t="shared" si="9"/>
        <v>6.64999999999998</v>
      </c>
    </row>
    <row r="96" ht="15" spans="2:15">
      <c r="B96" s="71" t="s">
        <v>1123</v>
      </c>
      <c r="C96" s="55"/>
      <c r="D96" s="48">
        <f>'[17]Rev_SP-12me'!AQ99</f>
        <v>0.26805906</v>
      </c>
      <c r="E96" s="48">
        <f>'[17]Rev_SP-12me'!AT99</f>
        <v>0</v>
      </c>
      <c r="F96" s="48">
        <f>'[17]Rev_SP-12me'!AU99</f>
        <v>0.2050651809</v>
      </c>
      <c r="G96" s="48">
        <f>'[17]Rev_SP-12me'!AW99</f>
        <v>0.0024</v>
      </c>
      <c r="H96" s="8"/>
      <c r="I96" s="69">
        <f t="shared" si="7"/>
        <v>0.2074651809</v>
      </c>
      <c r="J96" s="48">
        <f>'[17]Rev_SP-12me'!BN99</f>
        <v>0</v>
      </c>
      <c r="K96" s="48">
        <f>'[17]Rev_SP-12me'!BO99</f>
        <v>0.2050651809</v>
      </c>
      <c r="L96" s="48">
        <f>'[17]Rev_SP-12me'!BQ99</f>
        <v>0.0024</v>
      </c>
      <c r="M96" s="8"/>
      <c r="N96" s="169">
        <f t="shared" si="8"/>
        <v>0.2074651809</v>
      </c>
      <c r="O96" s="60">
        <f t="shared" si="9"/>
        <v>7.7395325082465</v>
      </c>
    </row>
    <row r="97" ht="15" spans="2:15">
      <c r="B97" s="71" t="s">
        <v>1124</v>
      </c>
      <c r="C97" s="55"/>
      <c r="D97" s="48">
        <f>'[17]Rev_SP-12me'!AQ105</f>
        <v>2551.17546243369</v>
      </c>
      <c r="E97" s="48">
        <f>'[17]Rev_SP-12me'!AT105</f>
        <v>495.659523399504</v>
      </c>
      <c r="F97" s="48">
        <f>'[17]Rev_SP-12me'!AU105</f>
        <v>2270.4479160131</v>
      </c>
      <c r="G97" s="48">
        <f>'[17]Rev_SP-12me'!AW105</f>
        <v>11.4456257860213</v>
      </c>
      <c r="H97" s="8"/>
      <c r="I97" s="68">
        <f t="shared" si="7"/>
        <v>2777.55306519863</v>
      </c>
      <c r="J97" s="48">
        <f>'[17]Rev_SP-12me'!BN105</f>
        <v>508.703195067912</v>
      </c>
      <c r="K97" s="48">
        <f>'[17]Rev_SP-12me'!BO105</f>
        <v>2270.4479160131</v>
      </c>
      <c r="L97" s="48">
        <f>'[17]Rev_SP-12me'!BQ105</f>
        <v>11.4456257860213</v>
      </c>
      <c r="M97" s="8"/>
      <c r="N97" s="169">
        <f t="shared" si="8"/>
        <v>2790.59673686703</v>
      </c>
      <c r="O97" s="60">
        <f t="shared" si="9"/>
        <v>10.9384743541118</v>
      </c>
    </row>
    <row r="98" spans="2:15">
      <c r="B98" s="74" t="s">
        <v>1119</v>
      </c>
      <c r="C98" s="55"/>
      <c r="D98" s="53">
        <f>'[17]Rev_SP-12me'!AQ106</f>
        <v>1082.28791759842</v>
      </c>
      <c r="E98" s="53">
        <f>'[17]Rev_SP-12me'!AT106</f>
        <v>495.659523399504</v>
      </c>
      <c r="F98" s="53">
        <f>'[17]Rev_SP-12me'!AU106</f>
        <v>952.41336748661</v>
      </c>
      <c r="G98" s="53">
        <f>'[17]Rev_SP-12me'!AW106</f>
        <v>11.4456257860213</v>
      </c>
      <c r="H98" s="8"/>
      <c r="I98" s="79">
        <f t="shared" si="7"/>
        <v>1459.51851667214</v>
      </c>
      <c r="J98" s="53">
        <f>'[17]Rev_SP-12me'!BN106</f>
        <v>508.703195067912</v>
      </c>
      <c r="K98" s="53">
        <f>'[17]Rev_SP-12me'!BO106</f>
        <v>952.41336748661</v>
      </c>
      <c r="L98" s="53">
        <f>'[17]Rev_SP-12me'!BQ106</f>
        <v>11.4456257860213</v>
      </c>
      <c r="M98" s="8"/>
      <c r="N98" s="61">
        <f t="shared" si="8"/>
        <v>1472.56218834054</v>
      </c>
      <c r="O98" s="60">
        <f t="shared" si="9"/>
        <v>13.6060115279503</v>
      </c>
    </row>
    <row r="99" spans="2:15">
      <c r="B99" s="74" t="s">
        <v>1120</v>
      </c>
      <c r="C99" s="55"/>
      <c r="D99" s="53">
        <f>'[17]Rev_SP-12me'!AQ107</f>
        <v>506.93215059366</v>
      </c>
      <c r="E99" s="53">
        <f>'[17]Rev_SP-12me'!AT107</f>
        <v>0</v>
      </c>
      <c r="F99" s="53">
        <f>'[17]Rev_SP-12me'!AU107</f>
        <v>496.793507581786</v>
      </c>
      <c r="G99" s="53">
        <f>'[17]Rev_SP-12me'!AW107</f>
        <v>0</v>
      </c>
      <c r="H99" s="8"/>
      <c r="I99" s="79">
        <f t="shared" si="7"/>
        <v>496.793507581786</v>
      </c>
      <c r="J99" s="53">
        <f>'[17]Rev_SP-12me'!BN107</f>
        <v>0</v>
      </c>
      <c r="K99" s="53">
        <f>'[17]Rev_SP-12me'!BO107</f>
        <v>496.793507581786</v>
      </c>
      <c r="L99" s="53">
        <f>'[17]Rev_SP-12me'!BQ107</f>
        <v>0</v>
      </c>
      <c r="M99" s="8"/>
      <c r="N99" s="61">
        <f t="shared" si="8"/>
        <v>496.793507581786</v>
      </c>
      <c r="O99" s="60">
        <f t="shared" si="9"/>
        <v>9.79999999999998</v>
      </c>
    </row>
    <row r="100" spans="2:15">
      <c r="B100" s="74" t="s">
        <v>1121</v>
      </c>
      <c r="C100" s="55"/>
      <c r="D100" s="53">
        <f>'[17]Rev_SP-12me'!AQ108</f>
        <v>354.579167181269</v>
      </c>
      <c r="E100" s="53">
        <f>'[17]Rev_SP-12me'!AT108</f>
        <v>0</v>
      </c>
      <c r="F100" s="53">
        <f>'[17]Rev_SP-12me'!AU108</f>
        <v>347.487583837643</v>
      </c>
      <c r="G100" s="53">
        <f>'[17]Rev_SP-12me'!AW108</f>
        <v>0</v>
      </c>
      <c r="H100" s="8"/>
      <c r="I100" s="79">
        <f t="shared" si="7"/>
        <v>347.487583837643</v>
      </c>
      <c r="J100" s="53">
        <f>'[17]Rev_SP-12me'!BN108</f>
        <v>0</v>
      </c>
      <c r="K100" s="53">
        <f>'[17]Rev_SP-12me'!BO108</f>
        <v>347.487583837643</v>
      </c>
      <c r="L100" s="53">
        <f>'[17]Rev_SP-12me'!BQ108</f>
        <v>0</v>
      </c>
      <c r="M100" s="8"/>
      <c r="N100" s="61">
        <f t="shared" si="8"/>
        <v>347.487583837643</v>
      </c>
      <c r="O100" s="60">
        <f t="shared" si="9"/>
        <v>9.79999999999998</v>
      </c>
    </row>
    <row r="101" spans="2:15">
      <c r="B101" s="74" t="s">
        <v>1122</v>
      </c>
      <c r="C101" s="55"/>
      <c r="D101" s="53">
        <f>'[17]Rev_SP-12me'!AQ109</f>
        <v>607.37622706034</v>
      </c>
      <c r="E101" s="53">
        <f>'[17]Rev_SP-12me'!AT109</f>
        <v>0</v>
      </c>
      <c r="F101" s="53">
        <f>'[17]Rev_SP-12me'!AU109</f>
        <v>473.753457107065</v>
      </c>
      <c r="G101" s="53">
        <f>'[17]Rev_SP-12me'!AW109</f>
        <v>0</v>
      </c>
      <c r="H101" s="8"/>
      <c r="I101" s="79">
        <f t="shared" si="7"/>
        <v>473.753457107065</v>
      </c>
      <c r="J101" s="53">
        <f>'[17]Rev_SP-12me'!BN109</f>
        <v>0</v>
      </c>
      <c r="K101" s="53">
        <f>'[17]Rev_SP-12me'!BO109</f>
        <v>473.753457107065</v>
      </c>
      <c r="L101" s="53">
        <f>'[17]Rev_SP-12me'!BQ109</f>
        <v>0</v>
      </c>
      <c r="M101" s="8"/>
      <c r="N101" s="61">
        <f t="shared" si="8"/>
        <v>473.753457107065</v>
      </c>
      <c r="O101" s="60">
        <f t="shared" si="9"/>
        <v>7.8</v>
      </c>
    </row>
    <row r="102" ht="15" spans="2:15">
      <c r="B102" s="71" t="s">
        <v>1125</v>
      </c>
      <c r="C102" s="55"/>
      <c r="D102" s="48">
        <f>'[17]Rev_SP-12me'!AQ110</f>
        <v>0.34405518</v>
      </c>
      <c r="E102" s="48">
        <f>'[17]Rev_SP-12me'!AT110</f>
        <v>0</v>
      </c>
      <c r="F102" s="48">
        <f>'[17]Rev_SP-12me'!AU110</f>
        <v>0.171413652</v>
      </c>
      <c r="G102" s="48">
        <f>'[17]Rev_SP-12me'!AW110</f>
        <v>0.0048</v>
      </c>
      <c r="H102" s="8"/>
      <c r="I102" s="68">
        <f t="shared" si="7"/>
        <v>0.176213652</v>
      </c>
      <c r="J102" s="48">
        <f>'[17]Rev_SP-12me'!BN110</f>
        <v>0</v>
      </c>
      <c r="K102" s="48">
        <f>'[17]Rev_SP-12me'!BO110</f>
        <v>0.171413652</v>
      </c>
      <c r="L102" s="48">
        <f>'[17]Rev_SP-12me'!BQ110</f>
        <v>0.0048</v>
      </c>
      <c r="M102" s="8"/>
      <c r="N102" s="169">
        <f t="shared" si="8"/>
        <v>0.176213652</v>
      </c>
      <c r="O102" s="60">
        <f t="shared" si="9"/>
        <v>5.12166833238784</v>
      </c>
    </row>
    <row r="103" spans="2:15">
      <c r="B103" s="74" t="s">
        <v>1119</v>
      </c>
      <c r="C103" s="55"/>
      <c r="D103" s="53">
        <f>'[17]Rev_SP-12me'!AQ111</f>
        <v>0.08968248</v>
      </c>
      <c r="E103" s="53">
        <f>'[17]Rev_SP-12me'!AT111</f>
        <v>0</v>
      </c>
      <c r="F103" s="53">
        <f>'[17]Rev_SP-12me'!AU111</f>
        <v>0.04484124</v>
      </c>
      <c r="G103" s="53">
        <f>'[17]Rev_SP-12me'!AW111</f>
        <v>0.0048</v>
      </c>
      <c r="H103" s="8"/>
      <c r="I103" s="79">
        <f t="shared" si="7"/>
        <v>0.04964124</v>
      </c>
      <c r="J103" s="53">
        <f>'[17]Rev_SP-12me'!BN111</f>
        <v>0</v>
      </c>
      <c r="K103" s="53">
        <f>'[17]Rev_SP-12me'!BO111</f>
        <v>0.04484124</v>
      </c>
      <c r="L103" s="53">
        <f>'[17]Rev_SP-12me'!BQ111</f>
        <v>0.0048</v>
      </c>
      <c r="M103" s="8"/>
      <c r="N103" s="61">
        <f t="shared" si="8"/>
        <v>0.04964124</v>
      </c>
      <c r="O103" s="60">
        <f t="shared" si="9"/>
        <v>5.53522159512092</v>
      </c>
    </row>
    <row r="104" spans="2:15">
      <c r="B104" s="74" t="s">
        <v>1120</v>
      </c>
      <c r="C104" s="55"/>
      <c r="D104" s="53">
        <f>'[17]Rev_SP-12me'!AQ112</f>
        <v>0.0651474</v>
      </c>
      <c r="E104" s="53">
        <f>'[17]Rev_SP-12me'!AT112</f>
        <v>0</v>
      </c>
      <c r="F104" s="53">
        <f>'[17]Rev_SP-12me'!AU112</f>
        <v>0.03908844</v>
      </c>
      <c r="G104" s="53">
        <f>'[17]Rev_SP-12me'!AW112</f>
        <v>0</v>
      </c>
      <c r="H104" s="8"/>
      <c r="I104" s="79">
        <f t="shared" si="7"/>
        <v>0.03908844</v>
      </c>
      <c r="J104" s="53">
        <f>'[17]Rev_SP-12me'!BN112</f>
        <v>0</v>
      </c>
      <c r="K104" s="53">
        <f>'[17]Rev_SP-12me'!BO112</f>
        <v>0.03908844</v>
      </c>
      <c r="L104" s="53">
        <f>'[17]Rev_SP-12me'!BQ112</f>
        <v>0</v>
      </c>
      <c r="M104" s="8"/>
      <c r="N104" s="61">
        <f t="shared" si="8"/>
        <v>0.03908844</v>
      </c>
      <c r="O104" s="60">
        <f t="shared" si="9"/>
        <v>6</v>
      </c>
    </row>
    <row r="105" spans="2:15">
      <c r="B105" s="74" t="s">
        <v>1121</v>
      </c>
      <c r="C105" s="55"/>
      <c r="D105" s="53">
        <f>'[17]Rev_SP-12me'!AQ113</f>
        <v>0.05896926</v>
      </c>
      <c r="E105" s="53">
        <f>'[17]Rev_SP-12me'!AT113</f>
        <v>0</v>
      </c>
      <c r="F105" s="53">
        <f>'[17]Rev_SP-12me'!AU113</f>
        <v>0.035381556</v>
      </c>
      <c r="G105" s="53">
        <f>'[17]Rev_SP-12me'!AW113</f>
        <v>0</v>
      </c>
      <c r="H105" s="8"/>
      <c r="I105" s="79">
        <f t="shared" si="7"/>
        <v>0.035381556</v>
      </c>
      <c r="J105" s="53">
        <f>'[17]Rev_SP-12me'!BN113</f>
        <v>0</v>
      </c>
      <c r="K105" s="53">
        <f>'[17]Rev_SP-12me'!BO113</f>
        <v>0.035381556</v>
      </c>
      <c r="L105" s="53">
        <f>'[17]Rev_SP-12me'!BQ113</f>
        <v>0</v>
      </c>
      <c r="M105" s="8"/>
      <c r="N105" s="61">
        <f t="shared" si="8"/>
        <v>0.035381556</v>
      </c>
      <c r="O105" s="60">
        <f t="shared" si="9"/>
        <v>6</v>
      </c>
    </row>
    <row r="106" spans="2:15">
      <c r="B106" s="74" t="s">
        <v>1122</v>
      </c>
      <c r="C106" s="55"/>
      <c r="D106" s="53">
        <f>'[17]Rev_SP-12me'!AQ114</f>
        <v>0.13025604</v>
      </c>
      <c r="E106" s="53">
        <f>'[17]Rev_SP-12me'!AT114</f>
        <v>0</v>
      </c>
      <c r="F106" s="53">
        <f>'[17]Rev_SP-12me'!AU114</f>
        <v>0.052102416</v>
      </c>
      <c r="G106" s="53">
        <f>'[17]Rev_SP-12me'!AW114</f>
        <v>0</v>
      </c>
      <c r="H106" s="8"/>
      <c r="I106" s="79">
        <f t="shared" si="7"/>
        <v>0.052102416</v>
      </c>
      <c r="J106" s="53">
        <f>'[17]Rev_SP-12me'!BN114</f>
        <v>0</v>
      </c>
      <c r="K106" s="53">
        <f>'[17]Rev_SP-12me'!BO114</f>
        <v>0.052102416</v>
      </c>
      <c r="L106" s="53">
        <f>'[17]Rev_SP-12me'!BQ114</f>
        <v>0</v>
      </c>
      <c r="M106" s="8"/>
      <c r="N106" s="61">
        <f t="shared" si="8"/>
        <v>0.052102416</v>
      </c>
      <c r="O106" s="60">
        <f t="shared" si="9"/>
        <v>4</v>
      </c>
    </row>
    <row r="107" ht="15" spans="2:15">
      <c r="B107" s="71" t="s">
        <v>1126</v>
      </c>
      <c r="C107" s="55"/>
      <c r="D107" s="48">
        <f>'[17]Rev_SP-12me'!AQ115</f>
        <v>4.82725997546507</v>
      </c>
      <c r="E107" s="48">
        <f>'[17]Rev_SP-12me'!AT115</f>
        <v>0.639864406779661</v>
      </c>
      <c r="F107" s="48">
        <f>'[17]Rev_SP-12me'!AU115</f>
        <v>4.0912429488117</v>
      </c>
      <c r="G107" s="48">
        <f>'[17]Rev_SP-12me'!AW115</f>
        <v>0.0299</v>
      </c>
      <c r="H107" s="8"/>
      <c r="I107" s="68">
        <f t="shared" si="7"/>
        <v>4.76100735559136</v>
      </c>
      <c r="J107" s="48">
        <f>'[17]Rev_SP-12me'!BN115</f>
        <v>0.656702943800178</v>
      </c>
      <c r="K107" s="48">
        <f>'[17]Rev_SP-12me'!BO115</f>
        <v>4.16223172441645</v>
      </c>
      <c r="L107" s="48">
        <f>'[17]Rev_SP-12me'!BQ115</f>
        <v>0.0299</v>
      </c>
      <c r="M107" s="8"/>
      <c r="N107" s="169">
        <f t="shared" si="8"/>
        <v>4.84883466821663</v>
      </c>
      <c r="O107" s="60">
        <f t="shared" si="9"/>
        <v>10.0446934552131</v>
      </c>
    </row>
    <row r="108" spans="2:15">
      <c r="B108" s="74" t="s">
        <v>1119</v>
      </c>
      <c r="C108" s="55"/>
      <c r="D108" s="53">
        <f>'[17]Rev_SP-12me'!AQ116</f>
        <v>1.19738079956967</v>
      </c>
      <c r="E108" s="53">
        <f>'[17]Rev_SP-12me'!AT116</f>
        <v>0.639864406779661</v>
      </c>
      <c r="F108" s="53">
        <f>'[17]Rev_SP-12me'!AU116</f>
        <v>1.01777367963422</v>
      </c>
      <c r="G108" s="53">
        <f>'[17]Rev_SP-12me'!AW116</f>
        <v>0.0299</v>
      </c>
      <c r="H108" s="8"/>
      <c r="I108" s="79">
        <f t="shared" ref="I108:I126" si="10">SUM(E108:H108)</f>
        <v>1.68753808641388</v>
      </c>
      <c r="J108" s="53">
        <f>'[17]Rev_SP-12me'!BN116</f>
        <v>0.656702943800178</v>
      </c>
      <c r="K108" s="53">
        <f>'[17]Rev_SP-12me'!BO116</f>
        <v>1.0358079253149</v>
      </c>
      <c r="L108" s="53">
        <f>'[17]Rev_SP-12me'!BQ116</f>
        <v>0.0299</v>
      </c>
      <c r="M108" s="8"/>
      <c r="N108" s="61">
        <f t="shared" ref="N108:N127" si="11">SUM(J108:M108)</f>
        <v>1.72241086911508</v>
      </c>
      <c r="O108" s="60">
        <f t="shared" si="9"/>
        <v>14.3848211841555</v>
      </c>
    </row>
    <row r="109" spans="2:15">
      <c r="B109" s="74" t="s">
        <v>1120</v>
      </c>
      <c r="C109" s="55"/>
      <c r="D109" s="53">
        <f>'[17]Rev_SP-12me'!AQ117</f>
        <v>1.15482289647434</v>
      </c>
      <c r="E109" s="53">
        <f>'[17]Rev_SP-12me'!AT117</f>
        <v>0</v>
      </c>
      <c r="F109" s="53">
        <f>'[17]Rev_SP-12me'!AU117</f>
        <v>1.09708175165062</v>
      </c>
      <c r="G109" s="53">
        <f>'[17]Rev_SP-12me'!AW117</f>
        <v>0</v>
      </c>
      <c r="H109" s="8"/>
      <c r="I109" s="79">
        <f t="shared" si="10"/>
        <v>1.09708175165062</v>
      </c>
      <c r="J109" s="53">
        <f>'[17]Rev_SP-12me'!BN117</f>
        <v>0</v>
      </c>
      <c r="K109" s="53">
        <f>'[17]Rev_SP-12me'!BO117</f>
        <v>1.11419189144821</v>
      </c>
      <c r="L109" s="53">
        <f>'[17]Rev_SP-12me'!BQ117</f>
        <v>0</v>
      </c>
      <c r="M109" s="8"/>
      <c r="N109" s="61">
        <f t="shared" si="11"/>
        <v>1.11419189144821</v>
      </c>
      <c r="O109" s="60">
        <f t="shared" si="9"/>
        <v>9.64816245720295</v>
      </c>
    </row>
    <row r="110" spans="2:15">
      <c r="B110" s="74" t="s">
        <v>1121</v>
      </c>
      <c r="C110" s="55"/>
      <c r="D110" s="53">
        <f>'[17]Rev_SP-12me'!AQ118</f>
        <v>0.600476539805321</v>
      </c>
      <c r="E110" s="53">
        <f>'[17]Rev_SP-12me'!AT118</f>
        <v>0</v>
      </c>
      <c r="F110" s="53">
        <f>'[17]Rev_SP-12me'!AU118</f>
        <v>0.570452712815055</v>
      </c>
      <c r="G110" s="53">
        <f>'[17]Rev_SP-12me'!AW118</f>
        <v>0</v>
      </c>
      <c r="H110" s="8"/>
      <c r="I110" s="79">
        <f t="shared" si="10"/>
        <v>0.570452712815055</v>
      </c>
      <c r="J110" s="53">
        <f>'[17]Rev_SP-12me'!BN118</f>
        <v>0</v>
      </c>
      <c r="K110" s="53">
        <f>'[17]Rev_SP-12me'!BO118</f>
        <v>0.579210537397248</v>
      </c>
      <c r="L110" s="53">
        <f>'[17]Rev_SP-12me'!BQ118</f>
        <v>0</v>
      </c>
      <c r="M110" s="8"/>
      <c r="N110" s="61">
        <f t="shared" si="11"/>
        <v>0.579210537397248</v>
      </c>
      <c r="O110" s="60">
        <f t="shared" si="9"/>
        <v>9.64584790581548</v>
      </c>
    </row>
    <row r="111" spans="2:15">
      <c r="B111" s="74" t="s">
        <v>1122</v>
      </c>
      <c r="C111" s="55"/>
      <c r="D111" s="53">
        <f>'[17]Rev_SP-12me'!AQ119</f>
        <v>1.87457973961573</v>
      </c>
      <c r="E111" s="53">
        <f>'[17]Rev_SP-12me'!AT119</f>
        <v>0</v>
      </c>
      <c r="F111" s="53">
        <f>'[17]Rev_SP-12me'!AU119</f>
        <v>1.4059348047118</v>
      </c>
      <c r="G111" s="53">
        <f>'[17]Rev_SP-12me'!AW119</f>
        <v>0</v>
      </c>
      <c r="H111" s="8"/>
      <c r="I111" s="79">
        <f t="shared" si="10"/>
        <v>1.4059348047118</v>
      </c>
      <c r="J111" s="53">
        <f>'[17]Rev_SP-12me'!BN119</f>
        <v>0</v>
      </c>
      <c r="K111" s="53">
        <f>'[17]Rev_SP-12me'!BO119</f>
        <v>1.4330213702561</v>
      </c>
      <c r="L111" s="53">
        <f>'[17]Rev_SP-12me'!BQ119</f>
        <v>0</v>
      </c>
      <c r="M111" s="8"/>
      <c r="N111" s="61">
        <f t="shared" si="11"/>
        <v>1.4330213702561</v>
      </c>
      <c r="O111" s="60">
        <f t="shared" si="9"/>
        <v>7.64449406964067</v>
      </c>
    </row>
    <row r="112" ht="15" spans="2:15">
      <c r="B112" s="71" t="s">
        <v>1127</v>
      </c>
      <c r="C112" s="55"/>
      <c r="D112" s="48">
        <f>'[17]Rev_SP-12me'!AQ120</f>
        <v>17.82871427</v>
      </c>
      <c r="E112" s="48">
        <f>'[17]Rev_SP-12me'!AT120</f>
        <v>8.14514831104479</v>
      </c>
      <c r="F112" s="48">
        <f>'[17]Rev_SP-12me'!AU120</f>
        <v>11.2320899901</v>
      </c>
      <c r="G112" s="48">
        <f>'[17]Rev_SP-12me'!AW120</f>
        <v>0.312867567567568</v>
      </c>
      <c r="H112" s="8"/>
      <c r="I112" s="79">
        <f t="shared" si="10"/>
        <v>19.6901058687124</v>
      </c>
      <c r="J112" s="48">
        <f>'[17]Rev_SP-12me'!BN120</f>
        <v>8.51538232518319</v>
      </c>
      <c r="K112" s="48">
        <f>'[17]Rev_SP-12me'!BO120</f>
        <v>11.2320899901</v>
      </c>
      <c r="L112" s="48">
        <f>'[17]Rev_SP-12me'!BQ120</f>
        <v>0.312867567567568</v>
      </c>
      <c r="M112" s="8"/>
      <c r="N112" s="169">
        <f t="shared" si="11"/>
        <v>20.0603398828508</v>
      </c>
      <c r="O112" s="60">
        <f t="shared" si="9"/>
        <v>11.2517030555624</v>
      </c>
    </row>
    <row r="113" spans="2:15">
      <c r="B113" s="74" t="s">
        <v>1128</v>
      </c>
      <c r="C113" s="55"/>
      <c r="D113" s="53">
        <f>'[17]Rev_SP-12me'!AQ121</f>
        <v>17.82871427</v>
      </c>
      <c r="E113" s="53">
        <f>'[17]Rev_SP-12me'!AT121</f>
        <v>8.14514831104479</v>
      </c>
      <c r="F113" s="53">
        <f>'[17]Rev_SP-12me'!AU121</f>
        <v>11.2320899901</v>
      </c>
      <c r="G113" s="53">
        <f>'[17]Rev_SP-12me'!AW121</f>
        <v>0.312867567567568</v>
      </c>
      <c r="H113" s="8"/>
      <c r="I113" s="79">
        <f t="shared" si="10"/>
        <v>19.6901058687124</v>
      </c>
      <c r="J113" s="53">
        <f>'[17]Rev_SP-12me'!BN121</f>
        <v>8.51538232518319</v>
      </c>
      <c r="K113" s="53">
        <f>'[17]Rev_SP-12me'!BO121</f>
        <v>11.2320899901</v>
      </c>
      <c r="L113" s="53">
        <f>'[17]Rev_SP-12me'!BQ121</f>
        <v>0.312867567567568</v>
      </c>
      <c r="M113" s="8"/>
      <c r="N113" s="61">
        <f t="shared" si="11"/>
        <v>20.0603398828508</v>
      </c>
      <c r="O113" s="60">
        <f t="shared" si="9"/>
        <v>11.2517030555624</v>
      </c>
    </row>
    <row r="114" ht="15" spans="2:15">
      <c r="B114" s="71" t="s">
        <v>1129</v>
      </c>
      <c r="C114" s="55"/>
      <c r="D114" s="48">
        <f>'[17]Rev_SP-12me'!AQ132</f>
        <v>149.053366758604</v>
      </c>
      <c r="E114" s="48">
        <f>'[17]Rev_SP-12me'!AT132</f>
        <v>0</v>
      </c>
      <c r="F114" s="48">
        <f>'[17]Rev_SP-12me'!AU132</f>
        <v>90.9225537227485</v>
      </c>
      <c r="G114" s="48">
        <f>'[17]Rev_SP-12me'!AW132</f>
        <v>0.2856</v>
      </c>
      <c r="H114" s="8"/>
      <c r="I114" s="79">
        <f t="shared" si="10"/>
        <v>91.2081537227485</v>
      </c>
      <c r="J114" s="48">
        <f>'[17]Rev_SP-12me'!BN132</f>
        <v>0</v>
      </c>
      <c r="K114" s="48">
        <f>'[17]Rev_SP-12me'!BO132</f>
        <v>90.9225537227485</v>
      </c>
      <c r="L114" s="48">
        <f>'[17]Rev_SP-12me'!BQ132</f>
        <v>0.2856</v>
      </c>
      <c r="M114" s="8"/>
      <c r="N114" s="169">
        <f t="shared" si="11"/>
        <v>91.2081537227485</v>
      </c>
      <c r="O114" s="60">
        <f t="shared" si="9"/>
        <v>6.11916092244079</v>
      </c>
    </row>
    <row r="115" spans="2:15">
      <c r="B115" s="74" t="s">
        <v>220</v>
      </c>
      <c r="C115" s="55"/>
      <c r="D115" s="53">
        <f>'[17]Rev_SP-12me'!AQ133</f>
        <v>149.053366758604</v>
      </c>
      <c r="E115" s="53">
        <f>'[17]Rev_SP-12me'!AT133</f>
        <v>0</v>
      </c>
      <c r="F115" s="53">
        <f>'[17]Rev_SP-12me'!AU133</f>
        <v>90.9225537227485</v>
      </c>
      <c r="G115" s="53">
        <f>'[17]Rev_SP-12me'!AW133</f>
        <v>0.2856</v>
      </c>
      <c r="H115" s="8"/>
      <c r="I115" s="79">
        <f t="shared" si="10"/>
        <v>91.2081537227485</v>
      </c>
      <c r="J115" s="53">
        <f>'[17]Rev_SP-12me'!BN133</f>
        <v>0</v>
      </c>
      <c r="K115" s="53">
        <f>'[17]Rev_SP-12me'!BO133</f>
        <v>90.9225537227485</v>
      </c>
      <c r="L115" s="53">
        <f>'[17]Rev_SP-12me'!BQ133</f>
        <v>0.2856</v>
      </c>
      <c r="M115" s="8"/>
      <c r="N115" s="61">
        <f t="shared" si="11"/>
        <v>91.2081537227485</v>
      </c>
      <c r="O115" s="60">
        <f t="shared" si="9"/>
        <v>6.11916092244079</v>
      </c>
    </row>
    <row r="116" spans="2:15">
      <c r="B116" s="74" t="s">
        <v>1130</v>
      </c>
      <c r="C116" s="55"/>
      <c r="D116" s="53">
        <f>'[17]Rev_SP-12me'!AQ134</f>
        <v>0</v>
      </c>
      <c r="E116" s="53">
        <f>'[17]Rev_SP-12me'!AT134</f>
        <v>0</v>
      </c>
      <c r="F116" s="53">
        <f>'[17]Rev_SP-12me'!AU134</f>
        <v>0</v>
      </c>
      <c r="G116" s="53">
        <f>'[17]Rev_SP-12me'!AW134</f>
        <v>0</v>
      </c>
      <c r="H116" s="8"/>
      <c r="I116" s="79">
        <f t="shared" si="10"/>
        <v>0</v>
      </c>
      <c r="J116" s="53">
        <f>'[17]Rev_SP-12me'!BN134</f>
        <v>0</v>
      </c>
      <c r="K116" s="53">
        <f>'[17]Rev_SP-12me'!BO134</f>
        <v>0</v>
      </c>
      <c r="L116" s="53">
        <f>'[17]Rev_SP-12me'!BQ134</f>
        <v>0</v>
      </c>
      <c r="M116" s="8"/>
      <c r="N116" s="61">
        <f t="shared" si="11"/>
        <v>0</v>
      </c>
      <c r="O116" s="60"/>
    </row>
    <row r="117" ht="15" spans="2:15">
      <c r="B117" s="71" t="s">
        <v>1131</v>
      </c>
      <c r="C117" s="55"/>
      <c r="D117" s="48">
        <f>'[17]Rev_SP-12me'!AQ122</f>
        <v>0</v>
      </c>
      <c r="E117" s="48">
        <f>'[17]Rev_SP-12me'!AT122</f>
        <v>0</v>
      </c>
      <c r="F117" s="48">
        <f>'[17]Rev_SP-12me'!AU122</f>
        <v>0</v>
      </c>
      <c r="G117" s="48">
        <f>'[17]Rev_SP-12me'!AW122</f>
        <v>0</v>
      </c>
      <c r="H117" s="8"/>
      <c r="I117" s="79">
        <f t="shared" si="10"/>
        <v>0</v>
      </c>
      <c r="J117" s="48">
        <f>'[17]Rev_SP-12me'!BN122</f>
        <v>0</v>
      </c>
      <c r="K117" s="48">
        <f>'[17]Rev_SP-12me'!BO122</f>
        <v>0</v>
      </c>
      <c r="L117" s="48">
        <f>'[17]Rev_SP-12me'!BQ122</f>
        <v>0</v>
      </c>
      <c r="M117" s="8"/>
      <c r="N117" s="61">
        <f t="shared" si="11"/>
        <v>0</v>
      </c>
      <c r="O117" s="60"/>
    </row>
    <row r="118" ht="15" spans="2:15">
      <c r="B118" s="71" t="s">
        <v>1132</v>
      </c>
      <c r="C118" s="55"/>
      <c r="D118" s="48">
        <f>'[17]Rev_SP-12me'!AQ123</f>
        <v>0</v>
      </c>
      <c r="E118" s="48">
        <f>'[17]Rev_SP-12me'!AT123</f>
        <v>0</v>
      </c>
      <c r="F118" s="48">
        <f>'[17]Rev_SP-12me'!AU123</f>
        <v>0</v>
      </c>
      <c r="G118" s="48">
        <f>'[17]Rev_SP-12me'!AW123</f>
        <v>0</v>
      </c>
      <c r="H118" s="8"/>
      <c r="I118" s="79">
        <f t="shared" si="10"/>
        <v>0</v>
      </c>
      <c r="J118" s="48">
        <f>'[17]Rev_SP-12me'!BN123</f>
        <v>0</v>
      </c>
      <c r="K118" s="48">
        <f>'[17]Rev_SP-12me'!BO123</f>
        <v>0</v>
      </c>
      <c r="L118" s="48">
        <f>'[17]Rev_SP-12me'!BQ123</f>
        <v>0</v>
      </c>
      <c r="M118" s="8"/>
      <c r="N118" s="61">
        <f t="shared" si="11"/>
        <v>0</v>
      </c>
      <c r="O118" s="60"/>
    </row>
    <row r="119" ht="15" spans="2:15">
      <c r="B119" s="71" t="s">
        <v>919</v>
      </c>
      <c r="C119" s="55"/>
      <c r="D119" s="48">
        <f>'[17]Rev_SP-12me'!AQ124</f>
        <v>257.262624469925</v>
      </c>
      <c r="E119" s="48">
        <f>'[17]Rev_SP-12me'!AT124</f>
        <v>24.4651310586177</v>
      </c>
      <c r="F119" s="48">
        <f>'[17]Rev_SP-12me'!AU124</f>
        <v>187.801715863045</v>
      </c>
      <c r="G119" s="48">
        <f>'[17]Rev_SP-12me'!AW124</f>
        <v>0.524511627906977</v>
      </c>
      <c r="H119" s="8"/>
      <c r="I119" s="68">
        <f t="shared" si="10"/>
        <v>212.79135854957</v>
      </c>
      <c r="J119" s="48">
        <f>'[17]Rev_SP-12me'!BN124</f>
        <v>26.3470642169729</v>
      </c>
      <c r="K119" s="48">
        <f>'[17]Rev_SP-12me'!BO124</f>
        <v>187.801715863045</v>
      </c>
      <c r="L119" s="48">
        <f>'[17]Rev_SP-12me'!BQ124</f>
        <v>0.524511627906977</v>
      </c>
      <c r="M119" s="8"/>
      <c r="N119" s="169">
        <f t="shared" si="11"/>
        <v>214.673291707925</v>
      </c>
      <c r="O119" s="60">
        <f>N119*10/D119</f>
        <v>8.34451923011541</v>
      </c>
    </row>
    <row r="120" ht="15" spans="2:15">
      <c r="B120" s="71" t="s">
        <v>1133</v>
      </c>
      <c r="C120" s="55"/>
      <c r="D120" s="48">
        <f>'[17]Rev_SP-12me'!AQ125</f>
        <v>222.811945960286</v>
      </c>
      <c r="E120" s="48">
        <f>'[17]Rev_SP-12me'!AT125</f>
        <v>54.763990338969</v>
      </c>
      <c r="F120" s="48">
        <f>'[17]Rev_SP-12me'!AU125</f>
        <v>262.918096233138</v>
      </c>
      <c r="G120" s="48">
        <f>'[17]Rev_SP-12me'!AW125</f>
        <v>1.3502243902439</v>
      </c>
      <c r="H120" s="8"/>
      <c r="I120" s="68">
        <f t="shared" si="10"/>
        <v>319.032310962351</v>
      </c>
      <c r="J120" s="48">
        <f>'[17]Rev_SP-12me'!BN125</f>
        <v>54.763990338969</v>
      </c>
      <c r="K120" s="48">
        <f>'[17]Rev_SP-12me'!BO125</f>
        <v>262.918096233138</v>
      </c>
      <c r="L120" s="48">
        <f>'[17]Rev_SP-12me'!BQ125</f>
        <v>1.3502243902439</v>
      </c>
      <c r="M120" s="8"/>
      <c r="N120" s="169">
        <f t="shared" si="11"/>
        <v>319.032310962351</v>
      </c>
      <c r="O120" s="60">
        <f>N120*10/D120</f>
        <v>14.3184562922499</v>
      </c>
    </row>
    <row r="121" ht="15" spans="2:15">
      <c r="B121" s="71" t="s">
        <v>1134</v>
      </c>
      <c r="C121" s="55"/>
      <c r="D121" s="48">
        <f>'[17]Rev_SP-12me'!AQ126</f>
        <v>0</v>
      </c>
      <c r="E121" s="48">
        <f>'[17]Rev_SP-12me'!AT126</f>
        <v>0</v>
      </c>
      <c r="F121" s="48">
        <f>'[17]Rev_SP-12me'!AU126</f>
        <v>0</v>
      </c>
      <c r="G121" s="48">
        <f>'[17]Rev_SP-12me'!AW126</f>
        <v>0</v>
      </c>
      <c r="H121" s="8"/>
      <c r="I121" s="68">
        <f t="shared" si="10"/>
        <v>0</v>
      </c>
      <c r="J121" s="48">
        <f>'[17]Rev_SP-12me'!BN126</f>
        <v>0</v>
      </c>
      <c r="K121" s="48">
        <f>'[17]Rev_SP-12me'!BO126</f>
        <v>0</v>
      </c>
      <c r="L121" s="48">
        <f>'[17]Rev_SP-12me'!BQ126</f>
        <v>0</v>
      </c>
      <c r="M121" s="8"/>
      <c r="N121" s="169">
        <f t="shared" si="11"/>
        <v>0</v>
      </c>
      <c r="O121" s="60"/>
    </row>
    <row r="122" ht="15" spans="2:15">
      <c r="B122" s="71" t="s">
        <v>1135</v>
      </c>
      <c r="C122" s="55"/>
      <c r="D122" s="48">
        <f>'[17]Rev_SP-12me'!AQ127</f>
        <v>13.2238799</v>
      </c>
      <c r="E122" s="48">
        <f>'[17]Rev_SP-12me'!AT127</f>
        <v>0.9885456</v>
      </c>
      <c r="F122" s="48">
        <f>'[17]Rev_SP-12me'!AU127</f>
        <v>7.81636526</v>
      </c>
      <c r="G122" s="48">
        <f>'[17]Rev_SP-12me'!AW127</f>
        <v>0.04182</v>
      </c>
      <c r="H122" s="8"/>
      <c r="I122" s="68">
        <f t="shared" si="10"/>
        <v>8.84673086</v>
      </c>
      <c r="J122" s="48">
        <f>'[17]Rev_SP-12me'!BN127</f>
        <v>0.9885456</v>
      </c>
      <c r="K122" s="48">
        <f>'[17]Rev_SP-12me'!BO127</f>
        <v>7.81636526</v>
      </c>
      <c r="L122" s="48">
        <f>'[17]Rev_SP-12me'!BQ127</f>
        <v>0.04182</v>
      </c>
      <c r="M122" s="8"/>
      <c r="N122" s="169">
        <f t="shared" si="11"/>
        <v>8.84673086</v>
      </c>
      <c r="O122" s="60">
        <f>N122*10/D122</f>
        <v>6.68996612711221</v>
      </c>
    </row>
    <row r="123" spans="2:15">
      <c r="B123" s="76" t="s">
        <v>1119</v>
      </c>
      <c r="C123" s="55"/>
      <c r="D123" s="53">
        <f>'[17]Rev_SP-12me'!AQ128</f>
        <v>3.8922103</v>
      </c>
      <c r="E123" s="53">
        <f>'[17]Rev_SP-12me'!AT128</f>
        <v>0.9885456</v>
      </c>
      <c r="F123" s="53">
        <f>'[17]Rev_SP-12me'!AU128</f>
        <v>2.33532618</v>
      </c>
      <c r="G123" s="53">
        <f>'[17]Rev_SP-12me'!AW128</f>
        <v>0.04182</v>
      </c>
      <c r="H123" s="8"/>
      <c r="I123" s="79">
        <f t="shared" si="10"/>
        <v>3.36569178</v>
      </c>
      <c r="J123" s="53">
        <f>'[17]Rev_SP-12me'!BN128</f>
        <v>0.9885456</v>
      </c>
      <c r="K123" s="53">
        <f>'[17]Rev_SP-12me'!BO128</f>
        <v>2.33532618</v>
      </c>
      <c r="L123" s="53">
        <f>'[17]Rev_SP-12me'!BQ128</f>
        <v>0.04182</v>
      </c>
      <c r="M123" s="8"/>
      <c r="N123" s="61">
        <f t="shared" si="11"/>
        <v>3.36569178</v>
      </c>
      <c r="O123" s="60">
        <f>N123*10/D123</f>
        <v>8.64725058663968</v>
      </c>
    </row>
    <row r="124" spans="2:15">
      <c r="B124" s="76" t="s">
        <v>1120</v>
      </c>
      <c r="C124" s="55"/>
      <c r="D124" s="53">
        <f>'[17]Rev_SP-12me'!AQ129</f>
        <v>2.0686996</v>
      </c>
      <c r="E124" s="53">
        <f>'[17]Rev_SP-12me'!AT129</f>
        <v>0</v>
      </c>
      <c r="F124" s="53">
        <f>'[17]Rev_SP-12me'!AU129</f>
        <v>1.44808972</v>
      </c>
      <c r="G124" s="53">
        <f>'[17]Rev_SP-12me'!AW129</f>
        <v>0</v>
      </c>
      <c r="H124" s="8"/>
      <c r="I124" s="79">
        <f t="shared" si="10"/>
        <v>1.44808972</v>
      </c>
      <c r="J124" s="53">
        <f>'[17]Rev_SP-12me'!BN129</f>
        <v>0</v>
      </c>
      <c r="K124" s="53">
        <f>'[17]Rev_SP-12me'!BO129</f>
        <v>1.44808972</v>
      </c>
      <c r="L124" s="53">
        <f>'[17]Rev_SP-12me'!BQ129</f>
        <v>0</v>
      </c>
      <c r="M124" s="8"/>
      <c r="N124" s="61">
        <f t="shared" si="11"/>
        <v>1.44808972</v>
      </c>
      <c r="O124" s="60"/>
    </row>
    <row r="125" spans="2:15">
      <c r="B125" s="76" t="s">
        <v>1121</v>
      </c>
      <c r="C125" s="55"/>
      <c r="D125" s="53">
        <f>'[17]Rev_SP-12me'!AQ130</f>
        <v>2.0073218</v>
      </c>
      <c r="E125" s="53">
        <f>'[17]Rev_SP-12me'!AT130</f>
        <v>0</v>
      </c>
      <c r="F125" s="53">
        <f>'[17]Rev_SP-12me'!AU130</f>
        <v>1.40512526</v>
      </c>
      <c r="G125" s="53">
        <f>'[17]Rev_SP-12me'!AW130</f>
        <v>0</v>
      </c>
      <c r="H125" s="8"/>
      <c r="I125" s="79">
        <f t="shared" si="10"/>
        <v>1.40512526</v>
      </c>
      <c r="J125" s="53">
        <f>'[17]Rev_SP-12me'!BN130</f>
        <v>0</v>
      </c>
      <c r="K125" s="53">
        <f>'[17]Rev_SP-12me'!BO130</f>
        <v>1.40512526</v>
      </c>
      <c r="L125" s="53">
        <f>'[17]Rev_SP-12me'!BQ130</f>
        <v>0</v>
      </c>
      <c r="M125" s="8"/>
      <c r="N125" s="61">
        <f t="shared" si="11"/>
        <v>1.40512526</v>
      </c>
      <c r="O125" s="60"/>
    </row>
    <row r="126" spans="2:15">
      <c r="B126" s="76" t="s">
        <v>1122</v>
      </c>
      <c r="C126" s="55"/>
      <c r="D126" s="53">
        <f>'[17]Rev_SP-12me'!AQ131</f>
        <v>5.2556482</v>
      </c>
      <c r="E126" s="53">
        <f>'[17]Rev_SP-12me'!AT131</f>
        <v>0</v>
      </c>
      <c r="F126" s="53">
        <f>'[17]Rev_SP-12me'!AU131</f>
        <v>2.6278241</v>
      </c>
      <c r="G126" s="53">
        <f>'[17]Rev_SP-12me'!AW131</f>
        <v>0</v>
      </c>
      <c r="H126" s="8"/>
      <c r="I126" s="79">
        <f t="shared" si="10"/>
        <v>2.6278241</v>
      </c>
      <c r="J126" s="53">
        <f>'[17]Rev_SP-12me'!BN131</f>
        <v>0</v>
      </c>
      <c r="K126" s="53">
        <f>'[17]Rev_SP-12me'!BO131</f>
        <v>2.6278241</v>
      </c>
      <c r="L126" s="53">
        <f>'[17]Rev_SP-12me'!BQ131</f>
        <v>0</v>
      </c>
      <c r="M126" s="8"/>
      <c r="N126" s="61">
        <f t="shared" si="11"/>
        <v>2.6278241</v>
      </c>
      <c r="O126" s="60"/>
    </row>
    <row r="127" ht="15" spans="2:15">
      <c r="B127" s="77" t="s">
        <v>1136</v>
      </c>
      <c r="C127" s="55"/>
      <c r="D127" s="78">
        <f t="shared" ref="D127:L127" si="12">SUM(D76,D91,D96,D97,D102,D107,D112,D114,D117,D118,D119,D120,D121,D122)</f>
        <v>7904.21425991458</v>
      </c>
      <c r="E127" s="78">
        <f t="shared" si="12"/>
        <v>1564.98613561826</v>
      </c>
      <c r="F127" s="78">
        <f t="shared" si="12"/>
        <v>6442.46364149006</v>
      </c>
      <c r="G127" s="78">
        <f t="shared" si="12"/>
        <v>28.3852817567877</v>
      </c>
      <c r="H127" s="78">
        <f t="shared" si="12"/>
        <v>0</v>
      </c>
      <c r="I127" s="80">
        <f t="shared" si="12"/>
        <v>8035.8350588651</v>
      </c>
      <c r="J127" s="78">
        <f t="shared" si="12"/>
        <v>1606.09681121995</v>
      </c>
      <c r="K127" s="78">
        <f t="shared" si="12"/>
        <v>6442.53463026566</v>
      </c>
      <c r="L127" s="78">
        <f t="shared" si="12"/>
        <v>28.3852817567877</v>
      </c>
      <c r="M127" s="78"/>
      <c r="N127" s="78">
        <f t="shared" si="11"/>
        <v>8077.0167232424</v>
      </c>
      <c r="O127" s="60">
        <f>N127*10/D127</f>
        <v>10.2186206720182</v>
      </c>
    </row>
    <row r="128" spans="2:15">
      <c r="B128" s="55"/>
      <c r="C128" s="55"/>
      <c r="N128" s="61"/>
      <c r="O128" s="60"/>
    </row>
    <row r="129" spans="2:15">
      <c r="B129" s="71" t="s">
        <v>212</v>
      </c>
      <c r="C129" s="55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61"/>
      <c r="O129" s="60"/>
    </row>
    <row r="130" ht="15" spans="2:15">
      <c r="B130" s="71" t="s">
        <v>1137</v>
      </c>
      <c r="C130" s="55"/>
      <c r="D130" s="48">
        <f>D131+D139</f>
        <v>6799.13435837822</v>
      </c>
      <c r="E130" s="48">
        <f>'[17]Rev_SP-12me'!AT149</f>
        <v>718.049311105433</v>
      </c>
      <c r="F130" s="48">
        <f>'[17]Rev_SP-12me'!AU149</f>
        <v>4871.36543912948</v>
      </c>
      <c r="G130" s="48">
        <f>'[17]Rev_SP-12me'!AW149</f>
        <v>1.77932173337744</v>
      </c>
      <c r="H130" s="8"/>
      <c r="I130" s="172">
        <f t="shared" ref="I130:I174" si="13">SUM(E130:H130)</f>
        <v>5591.19407196829</v>
      </c>
      <c r="J130" s="48">
        <f>'[17]Rev_SP-12me'!BN149</f>
        <v>736.945345608208</v>
      </c>
      <c r="K130" s="48">
        <f>'[17]Rev_SP-12me'!BO149</f>
        <v>5045.14886208871</v>
      </c>
      <c r="L130" s="48">
        <f>'[17]Rev_SP-12me'!BQ149</f>
        <v>1.77932173337744</v>
      </c>
      <c r="M130" s="8"/>
      <c r="N130" s="169">
        <f t="shared" ref="N130:N175" si="14">SUM(J130:M130)</f>
        <v>5783.8735294303</v>
      </c>
      <c r="O130" s="60">
        <f t="shared" ref="O130:O148" si="15">N130*10/D130</f>
        <v>8.50677928184068</v>
      </c>
    </row>
    <row r="131" spans="2:15">
      <c r="B131" s="81" t="s">
        <v>1138</v>
      </c>
      <c r="C131" s="55"/>
      <c r="D131" s="51">
        <f>'[17]Rev_SP-12me'!AQ150</f>
        <v>6769.95246162194</v>
      </c>
      <c r="E131" s="51">
        <f>'[17]Rev_SP-12me'!AT150</f>
        <v>718.049311105433</v>
      </c>
      <c r="F131" s="51">
        <f>'[17]Rev_SP-12me'!AU150</f>
        <v>4850.55361476065</v>
      </c>
      <c r="G131" s="51">
        <f>'[17]Rev_SP-12me'!AW150</f>
        <v>1.76175759179623</v>
      </c>
      <c r="H131" s="8"/>
      <c r="I131" s="24">
        <f t="shared" si="13"/>
        <v>5570.36468345788</v>
      </c>
      <c r="J131" s="51">
        <f>'[17]Rev_SP-12me'!BN150</f>
        <v>736.945345608208</v>
      </c>
      <c r="K131" s="51">
        <f>'[17]Rev_SP-12me'!BO150</f>
        <v>5023.56023347635</v>
      </c>
      <c r="L131" s="51">
        <f>'[17]Rev_SP-12me'!BQ150</f>
        <v>1.76175759179623</v>
      </c>
      <c r="M131" s="8"/>
      <c r="N131" s="61">
        <f t="shared" si="14"/>
        <v>5762.26733667635</v>
      </c>
      <c r="O131" s="60">
        <f t="shared" si="15"/>
        <v>8.5115329381439</v>
      </c>
    </row>
    <row r="132" spans="2:15">
      <c r="B132" s="74" t="s">
        <v>1105</v>
      </c>
      <c r="C132" s="55"/>
      <c r="D132" s="53">
        <f>'[17]Rev_SP-12me'!AQ151</f>
        <v>2276.99246933565</v>
      </c>
      <c r="E132" s="53">
        <f>'[17]Rev_SP-12me'!AT151</f>
        <v>718.049311105433</v>
      </c>
      <c r="F132" s="53">
        <f>'[17]Rev_SP-12me'!AU151</f>
        <v>1628.04961557499</v>
      </c>
      <c r="G132" s="53">
        <f>'[17]Rev_SP-12me'!AW151</f>
        <v>1.75755759179623</v>
      </c>
      <c r="H132" s="8"/>
      <c r="I132" s="24">
        <f t="shared" si="13"/>
        <v>2347.85648427222</v>
      </c>
      <c r="J132" s="53">
        <f>'[17]Rev_SP-12me'!BN151</f>
        <v>736.945345608208</v>
      </c>
      <c r="K132" s="53">
        <f>'[17]Rev_SP-12me'!BO151</f>
        <v>1686.49776486126</v>
      </c>
      <c r="L132" s="53">
        <f>'[17]Rev_SP-12me'!BQ151</f>
        <v>1.75755759179623</v>
      </c>
      <c r="M132" s="8"/>
      <c r="N132" s="61">
        <f t="shared" si="14"/>
        <v>2425.20066806126</v>
      </c>
      <c r="O132" s="60">
        <f t="shared" si="15"/>
        <v>10.650894549374</v>
      </c>
    </row>
    <row r="133" spans="2:15">
      <c r="B133" s="74" t="s">
        <v>1139</v>
      </c>
      <c r="C133" s="55"/>
      <c r="D133" s="53">
        <f>'[17]Rev_SP-12me'!AQ152</f>
        <v>0.065585414387559</v>
      </c>
      <c r="E133" s="53">
        <f>'[17]Rev_SP-12me'!AT152</f>
        <v>0</v>
      </c>
      <c r="F133" s="53">
        <f>'[17]Rev_SP-12me'!AU152</f>
        <v>0.0468935712871047</v>
      </c>
      <c r="G133" s="53">
        <f>'[17]Rev_SP-12me'!AW152</f>
        <v>0</v>
      </c>
      <c r="H133" s="8"/>
      <c r="I133" s="24">
        <f t="shared" si="13"/>
        <v>0.0468935712871047</v>
      </c>
      <c r="J133" s="53">
        <f>'[17]Rev_SP-12me'!BN152</f>
        <v>0</v>
      </c>
      <c r="K133" s="53">
        <f>'[17]Rev_SP-12me'!BO152</f>
        <v>0.0484178843908999</v>
      </c>
      <c r="L133" s="53">
        <f>'[17]Rev_SP-12me'!BQ152</f>
        <v>0</v>
      </c>
      <c r="M133" s="8"/>
      <c r="N133" s="61">
        <f t="shared" si="14"/>
        <v>0.0484178843908999</v>
      </c>
      <c r="O133" s="60">
        <f t="shared" si="15"/>
        <v>7.38241647827179</v>
      </c>
    </row>
    <row r="134" spans="2:15">
      <c r="B134" s="74" t="s">
        <v>1140</v>
      </c>
      <c r="C134" s="55"/>
      <c r="D134" s="53">
        <f>'[17]Rev_SP-12me'!AQ153</f>
        <v>1.81177147797605</v>
      </c>
      <c r="E134" s="53">
        <f>'[17]Rev_SP-12me'!AT153</f>
        <v>0</v>
      </c>
      <c r="F134" s="53">
        <f>'[17]Rev_SP-12me'!AU153</f>
        <v>1.32259317892252</v>
      </c>
      <c r="G134" s="53">
        <f>'[17]Rev_SP-12me'!AW153</f>
        <v>0</v>
      </c>
      <c r="H134" s="8"/>
      <c r="I134" s="24">
        <f t="shared" si="13"/>
        <v>1.32259317892252</v>
      </c>
      <c r="J134" s="53">
        <f>'[17]Rev_SP-12me'!BN153</f>
        <v>0</v>
      </c>
      <c r="K134" s="53">
        <f>'[17]Rev_SP-12me'!BO153</f>
        <v>1.32259317892252</v>
      </c>
      <c r="L134" s="53">
        <f>'[17]Rev_SP-12me'!BQ153</f>
        <v>0</v>
      </c>
      <c r="M134" s="8"/>
      <c r="N134" s="61">
        <f t="shared" si="14"/>
        <v>1.32259317892252</v>
      </c>
      <c r="O134" s="60">
        <f t="shared" si="15"/>
        <v>7.30000000000002</v>
      </c>
    </row>
    <row r="135" spans="2:15">
      <c r="B135" s="74" t="s">
        <v>1141</v>
      </c>
      <c r="C135" s="55"/>
      <c r="D135" s="53">
        <f>'[17]Rev_SP-12me'!AQ154</f>
        <v>1.95685393643664</v>
      </c>
      <c r="E135" s="53">
        <f>'[17]Rev_SP-12me'!AT154</f>
        <v>0</v>
      </c>
      <c r="F135" s="53">
        <f>'[17]Rev_SP-12me'!AU154</f>
        <v>1.54591460978494</v>
      </c>
      <c r="G135" s="53">
        <f>'[17]Rev_SP-12me'!AW154</f>
        <v>0.0042</v>
      </c>
      <c r="H135" s="8"/>
      <c r="I135" s="24">
        <f t="shared" si="13"/>
        <v>1.55011460978494</v>
      </c>
      <c r="J135" s="53">
        <f>'[17]Rev_SP-12me'!BN154</f>
        <v>0</v>
      </c>
      <c r="K135" s="53">
        <f>'[17]Rev_SP-12me'!BO154</f>
        <v>1.60496784210652</v>
      </c>
      <c r="L135" s="53">
        <f>'[17]Rev_SP-12me'!BQ154</f>
        <v>0.0042</v>
      </c>
      <c r="M135" s="8"/>
      <c r="N135" s="61">
        <f t="shared" si="14"/>
        <v>1.60916784210652</v>
      </c>
      <c r="O135" s="60">
        <f t="shared" si="15"/>
        <v>8.22323941579797</v>
      </c>
    </row>
    <row r="136" spans="2:15">
      <c r="B136" s="76" t="s">
        <v>1120</v>
      </c>
      <c r="C136" s="55"/>
      <c r="D136" s="53">
        <f>'[17]Rev_SP-12me'!AQ155</f>
        <v>1191.50707552599</v>
      </c>
      <c r="E136" s="53">
        <f>'[17]Rev_SP-12me'!AT155</f>
        <v>0</v>
      </c>
      <c r="F136" s="53">
        <f>'[17]Rev_SP-12me'!AU155</f>
        <v>971.078266553686</v>
      </c>
      <c r="G136" s="53">
        <f>'[17]Rev_SP-12me'!AW155</f>
        <v>0</v>
      </c>
      <c r="H136" s="8"/>
      <c r="I136" s="24">
        <f t="shared" si="13"/>
        <v>971.078266553686</v>
      </c>
      <c r="J136" s="53">
        <f>'[17]Rev_SP-12me'!BN155</f>
        <v>0</v>
      </c>
      <c r="K136" s="53">
        <f>'[17]Rev_SP-12me'!BO155</f>
        <v>1001.30890855326</v>
      </c>
      <c r="L136" s="53">
        <f>'[17]Rev_SP-12me'!BQ155</f>
        <v>0</v>
      </c>
      <c r="M136" s="8"/>
      <c r="N136" s="61">
        <f t="shared" si="14"/>
        <v>1001.30890855326</v>
      </c>
      <c r="O136" s="60">
        <f t="shared" si="15"/>
        <v>8.40371768762878</v>
      </c>
    </row>
    <row r="137" spans="2:15">
      <c r="B137" s="76" t="s">
        <v>1121</v>
      </c>
      <c r="C137" s="55"/>
      <c r="D137" s="53">
        <f>'[17]Rev_SP-12me'!AQ156</f>
        <v>1102.37413562057</v>
      </c>
      <c r="E137" s="53">
        <f>'[17]Rev_SP-12me'!AT156</f>
        <v>0</v>
      </c>
      <c r="F137" s="53">
        <f>'[17]Rev_SP-12me'!AU156</f>
        <v>898.434920530766</v>
      </c>
      <c r="G137" s="53">
        <f>'[17]Rev_SP-12me'!AW156</f>
        <v>0</v>
      </c>
      <c r="H137" s="8"/>
      <c r="I137" s="24">
        <f t="shared" si="13"/>
        <v>898.434920530766</v>
      </c>
      <c r="J137" s="53">
        <f>'[17]Rev_SP-12me'!BN156</f>
        <v>0</v>
      </c>
      <c r="K137" s="53">
        <f>'[17]Rev_SP-12me'!BO156</f>
        <v>927.044047356622</v>
      </c>
      <c r="L137" s="53">
        <f>'[17]Rev_SP-12me'!BQ156</f>
        <v>0</v>
      </c>
      <c r="M137" s="8"/>
      <c r="N137" s="61">
        <f t="shared" si="14"/>
        <v>927.044047356622</v>
      </c>
      <c r="O137" s="60">
        <f t="shared" si="15"/>
        <v>8.40952284166892</v>
      </c>
    </row>
    <row r="138" spans="2:15">
      <c r="B138" s="76" t="s">
        <v>1122</v>
      </c>
      <c r="C138" s="55"/>
      <c r="D138" s="53">
        <f>'[17]Rev_SP-12me'!AQ157</f>
        <v>2195.24457031092</v>
      </c>
      <c r="E138" s="53">
        <f>'[17]Rev_SP-12me'!AT157</f>
        <v>0</v>
      </c>
      <c r="F138" s="53">
        <f>'[17]Rev_SP-12me'!AU157</f>
        <v>1350.07541074122</v>
      </c>
      <c r="G138" s="53">
        <f>'[17]Rev_SP-12me'!AW157</f>
        <v>0</v>
      </c>
      <c r="H138" s="8"/>
      <c r="I138" s="24">
        <f t="shared" si="13"/>
        <v>1350.07541074122</v>
      </c>
      <c r="J138" s="53">
        <f>'[17]Rev_SP-12me'!BN157</f>
        <v>0</v>
      </c>
      <c r="K138" s="53">
        <f>'[17]Rev_SP-12me'!BO157</f>
        <v>1405.73353379979</v>
      </c>
      <c r="L138" s="53">
        <f>'[17]Rev_SP-12me'!BQ157</f>
        <v>0</v>
      </c>
      <c r="M138" s="8"/>
      <c r="N138" s="61">
        <f t="shared" si="14"/>
        <v>1405.73353379979</v>
      </c>
      <c r="O138" s="60">
        <f t="shared" si="15"/>
        <v>6.40353950904291</v>
      </c>
    </row>
    <row r="139" ht="15" spans="2:15">
      <c r="B139" s="71" t="s">
        <v>1113</v>
      </c>
      <c r="C139" s="55"/>
      <c r="D139" s="51">
        <f>'[17]Rev_SP-12me'!AQ158</f>
        <v>29.1818967562842</v>
      </c>
      <c r="E139" s="51">
        <f>'[17]Rev_SP-12me'!AT158</f>
        <v>0</v>
      </c>
      <c r="F139" s="51">
        <f>'[17]Rev_SP-12me'!AU158</f>
        <v>20.8118243688288</v>
      </c>
      <c r="G139" s="51">
        <f>'[17]Rev_SP-12me'!AW158</f>
        <v>0.0175641415812107</v>
      </c>
      <c r="H139" s="8"/>
      <c r="I139" s="172">
        <f t="shared" si="13"/>
        <v>20.82938851041</v>
      </c>
      <c r="J139" s="51">
        <f>'[17]Rev_SP-12me'!BN158</f>
        <v>0</v>
      </c>
      <c r="K139" s="51">
        <f>'[17]Rev_SP-12me'!BO158</f>
        <v>21.5886286123615</v>
      </c>
      <c r="L139" s="51">
        <f>'[17]Rev_SP-12me'!BQ158</f>
        <v>0.0175641415812107</v>
      </c>
      <c r="M139" s="8"/>
      <c r="N139" s="169">
        <f t="shared" si="14"/>
        <v>21.6061927539427</v>
      </c>
      <c r="O139" s="60">
        <f t="shared" si="15"/>
        <v>7.40397135059081</v>
      </c>
    </row>
    <row r="140" spans="2:15">
      <c r="B140" s="76" t="s">
        <v>1142</v>
      </c>
      <c r="C140" s="55"/>
      <c r="D140" s="53">
        <f>'[17]Rev_SP-12me'!AQ159</f>
        <v>8.54502613441094</v>
      </c>
      <c r="E140" s="53">
        <f>'[17]Rev_SP-12me'!AT159</f>
        <v>0</v>
      </c>
      <c r="F140" s="53">
        <f>'[17]Rev_SP-12me'!AU159</f>
        <v>6.10969368610382</v>
      </c>
      <c r="G140" s="53">
        <f>'[17]Rev_SP-12me'!AW159</f>
        <v>0.0175641415812107</v>
      </c>
      <c r="H140" s="8"/>
      <c r="I140" s="24">
        <f t="shared" si="13"/>
        <v>6.12725782768503</v>
      </c>
      <c r="J140" s="53">
        <f>'[17]Rev_SP-12me'!BN159</f>
        <v>0</v>
      </c>
      <c r="K140" s="53">
        <f>'[17]Rev_SP-12me'!BO159</f>
        <v>6.33522989265826</v>
      </c>
      <c r="L140" s="53">
        <f>'[17]Rev_SP-12me'!BQ159</f>
        <v>0.0175641415812107</v>
      </c>
      <c r="M140" s="8"/>
      <c r="N140" s="61">
        <f t="shared" si="14"/>
        <v>6.35279403423947</v>
      </c>
      <c r="O140" s="60">
        <f t="shared" si="15"/>
        <v>7.43449339336328</v>
      </c>
    </row>
    <row r="141" spans="2:15">
      <c r="B141" s="76" t="s">
        <v>1115</v>
      </c>
      <c r="C141" s="55"/>
      <c r="D141" s="53">
        <f>'[17]Rev_SP-12me'!AQ160</f>
        <v>4.94450055932905</v>
      </c>
      <c r="E141" s="53">
        <f>'[17]Rev_SP-12me'!AT160</f>
        <v>0</v>
      </c>
      <c r="F141" s="53">
        <f>'[17]Rev_SP-12me'!AU160</f>
        <v>4.02976795585318</v>
      </c>
      <c r="G141" s="53">
        <f>'[17]Rev_SP-12me'!AW160</f>
        <v>0</v>
      </c>
      <c r="H141" s="8"/>
      <c r="I141" s="24">
        <f t="shared" si="13"/>
        <v>4.02976795585318</v>
      </c>
      <c r="J141" s="53">
        <f>'[17]Rev_SP-12me'!BN160</f>
        <v>0</v>
      </c>
      <c r="K141" s="53">
        <f>'[17]Rev_SP-12me'!BO160</f>
        <v>4.16521571053692</v>
      </c>
      <c r="L141" s="53">
        <f>'[17]Rev_SP-12me'!BQ160</f>
        <v>0</v>
      </c>
      <c r="M141" s="8"/>
      <c r="N141" s="61">
        <f t="shared" si="14"/>
        <v>4.16521571053692</v>
      </c>
      <c r="O141" s="60">
        <f t="shared" si="15"/>
        <v>8.42393617021276</v>
      </c>
    </row>
    <row r="142" spans="2:15">
      <c r="B142" s="76" t="s">
        <v>1116</v>
      </c>
      <c r="C142" s="55"/>
      <c r="D142" s="53">
        <f>'[17]Rev_SP-12me'!AQ161</f>
        <v>5.10777569203572</v>
      </c>
      <c r="E142" s="53">
        <f>'[17]Rev_SP-12me'!AT161</f>
        <v>0</v>
      </c>
      <c r="F142" s="53">
        <f>'[17]Rev_SP-12me'!AU161</f>
        <v>4.16283718900911</v>
      </c>
      <c r="G142" s="53">
        <f>'[17]Rev_SP-12me'!AW161</f>
        <v>0</v>
      </c>
      <c r="H142" s="8"/>
      <c r="I142" s="24">
        <f t="shared" si="13"/>
        <v>4.16283718900911</v>
      </c>
      <c r="J142" s="53">
        <f>'[17]Rev_SP-12me'!BN161</f>
        <v>0</v>
      </c>
      <c r="K142" s="53">
        <f>'[17]Rev_SP-12me'!BO161</f>
        <v>4.29819021469695</v>
      </c>
      <c r="L142" s="53">
        <f>'[17]Rev_SP-12me'!BQ161</f>
        <v>0</v>
      </c>
      <c r="M142" s="8"/>
      <c r="N142" s="61">
        <f t="shared" si="14"/>
        <v>4.29819021469695</v>
      </c>
      <c r="O142" s="60">
        <f t="shared" si="15"/>
        <v>8.41499406757209</v>
      </c>
    </row>
    <row r="143" spans="2:15">
      <c r="B143" s="76" t="s">
        <v>1143</v>
      </c>
      <c r="C143" s="55"/>
      <c r="D143" s="53">
        <f>'[17]Rev_SP-12me'!AQ162</f>
        <v>10.5845943705085</v>
      </c>
      <c r="E143" s="53">
        <f>'[17]Rev_SP-12me'!AT162</f>
        <v>0</v>
      </c>
      <c r="F143" s="53">
        <f>'[17]Rev_SP-12me'!AU162</f>
        <v>6.50952553786272</v>
      </c>
      <c r="G143" s="53">
        <f>'[17]Rev_SP-12me'!AW162</f>
        <v>0</v>
      </c>
      <c r="H143" s="8"/>
      <c r="I143" s="24">
        <f t="shared" si="13"/>
        <v>6.50952553786272</v>
      </c>
      <c r="J143" s="53">
        <f>'[17]Rev_SP-12me'!BN162</f>
        <v>0</v>
      </c>
      <c r="K143" s="53">
        <f>'[17]Rev_SP-12me'!BO162</f>
        <v>6.7899927944694</v>
      </c>
      <c r="L143" s="53">
        <f>'[17]Rev_SP-12me'!BQ162</f>
        <v>0</v>
      </c>
      <c r="M143" s="8"/>
      <c r="N143" s="61">
        <f t="shared" si="14"/>
        <v>6.7899927944694</v>
      </c>
      <c r="O143" s="60">
        <f t="shared" si="15"/>
        <v>6.41497685862023</v>
      </c>
    </row>
    <row r="144" ht="15" spans="2:15">
      <c r="B144" s="71" t="s">
        <v>1144</v>
      </c>
      <c r="C144" s="55"/>
      <c r="D144" s="48">
        <f>'[17]Rev_SP-12me'!AQ164</f>
        <v>74.6043920804725</v>
      </c>
      <c r="E144" s="48">
        <f>'[17]Rev_SP-12me'!AT164</f>
        <v>5.54309720556531</v>
      </c>
      <c r="F144" s="48">
        <f>'[17]Rev_SP-12me'!AU164</f>
        <v>53.4537435101387</v>
      </c>
      <c r="G144" s="48">
        <f>'[17]Rev_SP-12me'!AW164</f>
        <v>0.0084</v>
      </c>
      <c r="H144" s="8"/>
      <c r="I144" s="172">
        <f t="shared" si="13"/>
        <v>59.005240715704</v>
      </c>
      <c r="J144" s="48">
        <f>'[17]Rev_SP-12me'!BN164</f>
        <v>5.68896818465913</v>
      </c>
      <c r="K144" s="48">
        <f>'[17]Rev_SP-12me'!BO164</f>
        <v>55.286675311009</v>
      </c>
      <c r="L144" s="48">
        <f>'[17]Rev_SP-12me'!BQ164</f>
        <v>0.0084</v>
      </c>
      <c r="M144" s="8"/>
      <c r="N144" s="169">
        <f t="shared" si="14"/>
        <v>60.9840434956681</v>
      </c>
      <c r="O144" s="60">
        <f t="shared" si="15"/>
        <v>8.17432349423708</v>
      </c>
    </row>
    <row r="145" spans="2:15">
      <c r="B145" s="74" t="s">
        <v>1119</v>
      </c>
      <c r="C145" s="55"/>
      <c r="D145" s="53">
        <f>'[17]Rev_SP-12me'!AQ165</f>
        <v>25.2018651860719</v>
      </c>
      <c r="E145" s="53">
        <f>'[17]Rev_SP-12me'!AT165</f>
        <v>5.54309720556531</v>
      </c>
      <c r="F145" s="53">
        <f>'[17]Rev_SP-12me'!AU165</f>
        <v>18.0193336080414</v>
      </c>
      <c r="G145" s="53">
        <f>'[17]Rev_SP-12me'!AW165</f>
        <v>0.0084</v>
      </c>
      <c r="H145" s="8"/>
      <c r="I145" s="24">
        <f t="shared" si="13"/>
        <v>23.5708308136067</v>
      </c>
      <c r="J145" s="53">
        <f>'[17]Rev_SP-12me'!BN165</f>
        <v>5.68896818465913</v>
      </c>
      <c r="K145" s="53">
        <f>'[17]Rev_SP-12me'!BO165</f>
        <v>18.6391220259033</v>
      </c>
      <c r="L145" s="53">
        <f>'[17]Rev_SP-12me'!BQ165</f>
        <v>0.0084</v>
      </c>
      <c r="M145" s="8"/>
      <c r="N145" s="61">
        <f t="shared" si="14"/>
        <v>24.3364902105624</v>
      </c>
      <c r="O145" s="60">
        <f t="shared" si="15"/>
        <v>9.65662264712545</v>
      </c>
    </row>
    <row r="146" spans="2:15">
      <c r="B146" s="74" t="s">
        <v>1120</v>
      </c>
      <c r="C146" s="55"/>
      <c r="D146" s="53">
        <f>'[17]Rev_SP-12me'!AQ166</f>
        <v>12.0224322937836</v>
      </c>
      <c r="E146" s="53">
        <f>'[17]Rev_SP-12me'!AT166</f>
        <v>0</v>
      </c>
      <c r="F146" s="53">
        <f>'[17]Rev_SP-12me'!AU166</f>
        <v>9.79828231943363</v>
      </c>
      <c r="G146" s="53">
        <f>'[17]Rev_SP-12me'!AW166</f>
        <v>0</v>
      </c>
      <c r="H146" s="8"/>
      <c r="I146" s="24">
        <f t="shared" si="13"/>
        <v>9.79828231943363</v>
      </c>
      <c r="J146" s="53">
        <f>'[17]Rev_SP-12me'!BN166</f>
        <v>0</v>
      </c>
      <c r="K146" s="53">
        <f>'[17]Rev_SP-12me'!BO166</f>
        <v>10.0964205568147</v>
      </c>
      <c r="L146" s="53">
        <f>'[17]Rev_SP-12me'!BQ166</f>
        <v>0</v>
      </c>
      <c r="M146" s="8"/>
      <c r="N146" s="61">
        <f t="shared" si="14"/>
        <v>10.0964205568147</v>
      </c>
      <c r="O146" s="60">
        <f t="shared" si="15"/>
        <v>8.39798495853058</v>
      </c>
    </row>
    <row r="147" spans="2:15">
      <c r="B147" s="74" t="s">
        <v>1121</v>
      </c>
      <c r="C147" s="55"/>
      <c r="D147" s="53">
        <f>'[17]Rev_SP-12me'!AQ167</f>
        <v>13.2368470164208</v>
      </c>
      <c r="E147" s="53">
        <f>'[17]Rev_SP-12me'!AT167</f>
        <v>0</v>
      </c>
      <c r="F147" s="53">
        <f>'[17]Rev_SP-12me'!AU167</f>
        <v>10.788030318383</v>
      </c>
      <c r="G147" s="53">
        <f>'[17]Rev_SP-12me'!AW167</f>
        <v>0</v>
      </c>
      <c r="H147" s="8"/>
      <c r="I147" s="24">
        <f t="shared" si="13"/>
        <v>10.788030318383</v>
      </c>
      <c r="J147" s="53">
        <f>'[17]Rev_SP-12me'!BN167</f>
        <v>0</v>
      </c>
      <c r="K147" s="53">
        <f>'[17]Rev_SP-12me'!BO167</f>
        <v>11.112851635106</v>
      </c>
      <c r="L147" s="53">
        <f>'[17]Rev_SP-12me'!BQ167</f>
        <v>0</v>
      </c>
      <c r="M147" s="8"/>
      <c r="N147" s="61">
        <f t="shared" si="14"/>
        <v>11.112851635106</v>
      </c>
      <c r="O147" s="60">
        <f t="shared" si="15"/>
        <v>8.39539175856614</v>
      </c>
    </row>
    <row r="148" spans="2:15">
      <c r="B148" s="74" t="s">
        <v>1122</v>
      </c>
      <c r="C148" s="55"/>
      <c r="D148" s="53">
        <f>'[17]Rev_SP-12me'!AQ168</f>
        <v>24.1432475841962</v>
      </c>
      <c r="E148" s="53">
        <f>'[17]Rev_SP-12me'!AT168</f>
        <v>0</v>
      </c>
      <c r="F148" s="53">
        <f>'[17]Rev_SP-12me'!AU168</f>
        <v>14.8480972642806</v>
      </c>
      <c r="G148" s="53">
        <f>'[17]Rev_SP-12me'!AW168</f>
        <v>0</v>
      </c>
      <c r="H148" s="8"/>
      <c r="I148" s="24">
        <f t="shared" si="13"/>
        <v>14.8480972642806</v>
      </c>
      <c r="J148" s="53">
        <f>'[17]Rev_SP-12me'!BN168</f>
        <v>0</v>
      </c>
      <c r="K148" s="53">
        <f>'[17]Rev_SP-12me'!BO168</f>
        <v>15.438281093185</v>
      </c>
      <c r="L148" s="53">
        <f>'[17]Rev_SP-12me'!BQ168</f>
        <v>0</v>
      </c>
      <c r="M148" s="8"/>
      <c r="N148" s="61">
        <f t="shared" si="14"/>
        <v>15.438281093185</v>
      </c>
      <c r="O148" s="60">
        <f t="shared" si="15"/>
        <v>6.39445088708392</v>
      </c>
    </row>
    <row r="149" ht="15" spans="2:15">
      <c r="B149" s="71" t="s">
        <v>1123</v>
      </c>
      <c r="C149" s="55"/>
      <c r="D149" s="48">
        <f>'[17]Rev_SP-12me'!AQ163</f>
        <v>0</v>
      </c>
      <c r="E149" s="48">
        <f>'[17]Rev_SP-12me'!AT163</f>
        <v>7.09096018735363</v>
      </c>
      <c r="F149" s="48">
        <f>'[17]Rev_SP-12me'!AU163</f>
        <v>0</v>
      </c>
      <c r="G149" s="48">
        <f>'[17]Rev_SP-12me'!AW163</f>
        <v>0.0021</v>
      </c>
      <c r="H149" s="8"/>
      <c r="I149" s="172">
        <f t="shared" si="13"/>
        <v>7.09306018735363</v>
      </c>
      <c r="J149" s="48">
        <f>'[17]Rev_SP-12me'!BN163</f>
        <v>7.27756440281031</v>
      </c>
      <c r="K149" s="48">
        <f>'[17]Rev_SP-12me'!BO163</f>
        <v>0</v>
      </c>
      <c r="L149" s="48">
        <f>'[17]Rev_SP-12me'!BQ163</f>
        <v>0.0021</v>
      </c>
      <c r="M149" s="8"/>
      <c r="N149" s="169">
        <f t="shared" si="14"/>
        <v>7.27966440281031</v>
      </c>
      <c r="O149" s="60"/>
    </row>
    <row r="150" ht="15" spans="2:15">
      <c r="B150" s="71" t="s">
        <v>1124</v>
      </c>
      <c r="C150" s="55"/>
      <c r="D150" s="48">
        <f>'[17]Rev_SP-12me'!AQ169</f>
        <v>1830.09692975173</v>
      </c>
      <c r="E150" s="48">
        <f>'[17]Rev_SP-12me'!AT169</f>
        <v>235.268517057391</v>
      </c>
      <c r="F150" s="48">
        <f>'[17]Rev_SP-12me'!AU169</f>
        <v>1480.2781636137</v>
      </c>
      <c r="G150" s="48">
        <f>'[17]Rev_SP-12me'!AW169</f>
        <v>0.7203</v>
      </c>
      <c r="H150" s="8"/>
      <c r="I150" s="172">
        <f t="shared" si="13"/>
        <v>1716.26698067109</v>
      </c>
      <c r="J150" s="48">
        <f>'[17]Rev_SP-12me'!BN169</f>
        <v>241.459793822059</v>
      </c>
      <c r="K150" s="48">
        <f>'[17]Rev_SP-12me'!BO169</f>
        <v>1549.9948725759</v>
      </c>
      <c r="L150" s="48">
        <f>'[17]Rev_SP-12me'!BQ169</f>
        <v>0.7203</v>
      </c>
      <c r="M150" s="8"/>
      <c r="N150" s="169">
        <f t="shared" si="14"/>
        <v>1792.17496639796</v>
      </c>
      <c r="O150" s="60">
        <f>N150*10/D150</f>
        <v>9.7927871319968</v>
      </c>
    </row>
    <row r="151" spans="2:15">
      <c r="B151" s="76" t="s">
        <v>1145</v>
      </c>
      <c r="C151" s="55"/>
      <c r="D151" s="51">
        <f>'[17]Rev_SP-12me'!AQ170</f>
        <v>737.117850993037</v>
      </c>
      <c r="E151" s="51">
        <f>'[17]Rev_SP-12me'!AT170</f>
        <v>235.268517057391</v>
      </c>
      <c r="F151" s="51">
        <f>'[17]Rev_SP-12me'!AU170</f>
        <v>589.694280794429</v>
      </c>
      <c r="G151" s="51">
        <f>'[17]Rev_SP-12me'!AW170</f>
        <v>0.7203</v>
      </c>
      <c r="H151" s="8"/>
      <c r="I151" s="24">
        <f t="shared" si="13"/>
        <v>825.68309785182</v>
      </c>
      <c r="J151" s="51">
        <f>'[17]Rev_SP-12me'!BN170</f>
        <v>241.459793822059</v>
      </c>
      <c r="K151" s="51">
        <f>'[17]Rev_SP-12me'!BO170</f>
        <v>617.73527907802</v>
      </c>
      <c r="L151" s="51">
        <f>'[17]Rev_SP-12me'!BQ170</f>
        <v>0.7203</v>
      </c>
      <c r="M151" s="8"/>
      <c r="N151" s="61">
        <f t="shared" si="14"/>
        <v>859.915372900079</v>
      </c>
      <c r="O151" s="60">
        <f>N151*10/D151</f>
        <v>11.6659143682603</v>
      </c>
    </row>
    <row r="152" spans="2:15">
      <c r="B152" s="76" t="s">
        <v>1120</v>
      </c>
      <c r="C152" s="55"/>
      <c r="D152" s="53">
        <f>'[17]Rev_SP-12me'!AQ171</f>
        <v>339.731194992278</v>
      </c>
      <c r="E152" s="53">
        <f>'[17]Rev_SP-12me'!AT171</f>
        <v>0</v>
      </c>
      <c r="F152" s="53">
        <f>'[17]Rev_SP-12me'!AU171</f>
        <v>305.75807549305</v>
      </c>
      <c r="G152" s="53">
        <f>'[17]Rev_SP-12me'!AW171</f>
        <v>0</v>
      </c>
      <c r="H152" s="8"/>
      <c r="I152" s="24">
        <f t="shared" si="13"/>
        <v>305.75807549305</v>
      </c>
      <c r="J152" s="53">
        <f>'[17]Rev_SP-12me'!BN171</f>
        <v>0</v>
      </c>
      <c r="K152" s="53">
        <f>'[17]Rev_SP-12me'!BO171</f>
        <v>318.807373837492</v>
      </c>
      <c r="L152" s="53">
        <f>'[17]Rev_SP-12me'!BQ171</f>
        <v>0</v>
      </c>
      <c r="M152" s="8"/>
      <c r="N152" s="61">
        <f t="shared" si="14"/>
        <v>318.807373837492</v>
      </c>
      <c r="O152" s="60">
        <f>N152*10/D152</f>
        <v>9.38410656827491</v>
      </c>
    </row>
    <row r="153" spans="2:15">
      <c r="B153" s="76" t="s">
        <v>1121</v>
      </c>
      <c r="C153" s="55"/>
      <c r="D153" s="53">
        <f>'[17]Rev_SP-12me'!AQ172</f>
        <v>287.761443448651</v>
      </c>
      <c r="E153" s="53">
        <f>'[17]Rev_SP-12me'!AT172</f>
        <v>0</v>
      </c>
      <c r="F153" s="53">
        <f>'[17]Rev_SP-12me'!AU172</f>
        <v>258.985299103786</v>
      </c>
      <c r="G153" s="53">
        <f>'[17]Rev_SP-12me'!AW172</f>
        <v>0</v>
      </c>
      <c r="H153" s="8"/>
      <c r="I153" s="24">
        <f t="shared" si="13"/>
        <v>258.985299103786</v>
      </c>
      <c r="J153" s="53">
        <f>'[17]Rev_SP-12me'!BN172</f>
        <v>0</v>
      </c>
      <c r="K153" s="53">
        <f>'[17]Rev_SP-12me'!BO172</f>
        <v>269.916429883993</v>
      </c>
      <c r="L153" s="53">
        <f>'[17]Rev_SP-12me'!BQ172</f>
        <v>0</v>
      </c>
      <c r="M153" s="8"/>
      <c r="N153" s="61">
        <f t="shared" si="14"/>
        <v>269.916429883993</v>
      </c>
      <c r="O153" s="60">
        <f>N153*10/D153</f>
        <v>9.3798678047067</v>
      </c>
    </row>
    <row r="154" spans="2:15">
      <c r="B154" s="76" t="s">
        <v>1122</v>
      </c>
      <c r="C154" s="55"/>
      <c r="D154" s="53">
        <f>'[17]Rev_SP-12me'!AQ173</f>
        <v>465.486440317764</v>
      </c>
      <c r="E154" s="53">
        <f>'[17]Rev_SP-12me'!AT173</f>
        <v>0</v>
      </c>
      <c r="F154" s="53">
        <f>'[17]Rev_SP-12me'!AU173</f>
        <v>325.840508222434</v>
      </c>
      <c r="G154" s="53">
        <f>'[17]Rev_SP-12me'!AW173</f>
        <v>0</v>
      </c>
      <c r="H154" s="8"/>
      <c r="I154" s="24">
        <f t="shared" si="13"/>
        <v>325.840508222434</v>
      </c>
      <c r="J154" s="53">
        <f>'[17]Rev_SP-12me'!BN173</f>
        <v>0</v>
      </c>
      <c r="K154" s="53">
        <f>'[17]Rev_SP-12me'!BO173</f>
        <v>343.535789776392</v>
      </c>
      <c r="L154" s="53">
        <f>'[17]Rev_SP-12me'!BQ173</f>
        <v>0</v>
      </c>
      <c r="M154" s="8"/>
      <c r="N154" s="61">
        <f t="shared" si="14"/>
        <v>343.535789776392</v>
      </c>
      <c r="O154" s="60">
        <f>N154*10/D154</f>
        <v>7.38014601546454</v>
      </c>
    </row>
    <row r="155" spans="2:15">
      <c r="B155" s="76" t="s">
        <v>1146</v>
      </c>
      <c r="C155" s="55"/>
      <c r="D155" s="53">
        <f>'[17]Rev_SP-12me'!AQ174</f>
        <v>0</v>
      </c>
      <c r="E155" s="53">
        <f>'[17]Rev_SP-12me'!AT174</f>
        <v>0</v>
      </c>
      <c r="F155" s="53">
        <f>'[17]Rev_SP-12me'!AU174</f>
        <v>0</v>
      </c>
      <c r="G155" s="53">
        <f>'[17]Rev_SP-12me'!AW174</f>
        <v>0</v>
      </c>
      <c r="H155" s="8"/>
      <c r="I155" s="24">
        <f t="shared" si="13"/>
        <v>0</v>
      </c>
      <c r="J155" s="53">
        <f>'[17]Rev_SP-12me'!BN174</f>
        <v>0</v>
      </c>
      <c r="K155" s="53">
        <f>'[17]Rev_SP-12me'!BO174</f>
        <v>0</v>
      </c>
      <c r="L155" s="53">
        <f>'[17]Rev_SP-12me'!BQ174</f>
        <v>0</v>
      </c>
      <c r="M155" s="8"/>
      <c r="N155" s="61">
        <f t="shared" si="14"/>
        <v>0</v>
      </c>
      <c r="O155" s="60"/>
    </row>
    <row r="156" ht="15" spans="2:15">
      <c r="B156" s="71" t="s">
        <v>1125</v>
      </c>
      <c r="C156" s="55"/>
      <c r="D156" s="48">
        <f>'[17]Rev_SP-12me'!AQ175</f>
        <v>3.896349</v>
      </c>
      <c r="E156" s="48">
        <f>'[17]Rev_SP-12me'!AT175</f>
        <v>0</v>
      </c>
      <c r="F156" s="48">
        <f>'[17]Rev_SP-12me'!AU175</f>
        <v>2.00284446</v>
      </c>
      <c r="G156" s="48">
        <f>'[17]Rev_SP-12me'!AW175</f>
        <v>0.0042</v>
      </c>
      <c r="H156" s="8"/>
      <c r="I156" s="172">
        <f t="shared" si="13"/>
        <v>2.00704446</v>
      </c>
      <c r="J156" s="48">
        <f>'[17]Rev_SP-12me'!BN175</f>
        <v>0</v>
      </c>
      <c r="K156" s="48">
        <f>'[17]Rev_SP-12me'!BO175</f>
        <v>2.00284446</v>
      </c>
      <c r="L156" s="48">
        <f>'[17]Rev_SP-12me'!BQ175</f>
        <v>0.0042</v>
      </c>
      <c r="M156" s="8"/>
      <c r="N156" s="169">
        <f t="shared" si="14"/>
        <v>2.00704446</v>
      </c>
      <c r="O156" s="60">
        <f>N156*10/D156</f>
        <v>5.15109005892439</v>
      </c>
    </row>
    <row r="157" spans="2:15">
      <c r="B157" s="74" t="s">
        <v>1119</v>
      </c>
      <c r="C157" s="55"/>
      <c r="D157" s="53">
        <f>'[17]Rev_SP-12me'!AQ176</f>
        <v>1.5774606</v>
      </c>
      <c r="E157" s="53">
        <f>'[17]Rev_SP-12me'!AT176</f>
        <v>0</v>
      </c>
      <c r="F157" s="53">
        <f>'[17]Rev_SP-12me'!AU176</f>
        <v>0.7887303</v>
      </c>
      <c r="G157" s="53">
        <f>'[17]Rev_SP-12me'!AW176</f>
        <v>0.0042</v>
      </c>
      <c r="H157" s="8"/>
      <c r="I157" s="24">
        <f t="shared" si="13"/>
        <v>0.7929303</v>
      </c>
      <c r="J157" s="53">
        <f>'[17]Rev_SP-12me'!BN176</f>
        <v>0</v>
      </c>
      <c r="K157" s="53">
        <f>'[17]Rev_SP-12me'!BO176</f>
        <v>0.7887303</v>
      </c>
      <c r="L157" s="53">
        <f>'[17]Rev_SP-12me'!BQ176</f>
        <v>0.0042</v>
      </c>
      <c r="M157" s="8"/>
      <c r="N157" s="61">
        <f t="shared" si="14"/>
        <v>0.7929303</v>
      </c>
      <c r="O157" s="60">
        <f>N157*10/D157</f>
        <v>5.02662507069907</v>
      </c>
    </row>
    <row r="158" spans="2:15">
      <c r="B158" s="74" t="s">
        <v>1120</v>
      </c>
      <c r="C158" s="55"/>
      <c r="D158" s="53">
        <f>'[17]Rev_SP-12me'!AQ177</f>
        <v>0.7272906</v>
      </c>
      <c r="E158" s="53">
        <f>'[17]Rev_SP-12me'!AT177</f>
        <v>0</v>
      </c>
      <c r="F158" s="53">
        <f>'[17]Rev_SP-12me'!AU177</f>
        <v>0.43637436</v>
      </c>
      <c r="G158" s="53">
        <f>'[17]Rev_SP-12me'!AW177</f>
        <v>0</v>
      </c>
      <c r="H158" s="8"/>
      <c r="I158" s="24">
        <f t="shared" si="13"/>
        <v>0.43637436</v>
      </c>
      <c r="J158" s="53">
        <f>'[17]Rev_SP-12me'!BN177</f>
        <v>0</v>
      </c>
      <c r="K158" s="53">
        <f>'[17]Rev_SP-12me'!BO177</f>
        <v>0.43637436</v>
      </c>
      <c r="L158" s="53">
        <f>'[17]Rev_SP-12me'!BQ177</f>
        <v>0</v>
      </c>
      <c r="M158" s="8"/>
      <c r="N158" s="61">
        <f t="shared" si="14"/>
        <v>0.43637436</v>
      </c>
      <c r="O158" s="60">
        <f>N158*10/D158</f>
        <v>6</v>
      </c>
    </row>
    <row r="159" spans="2:15">
      <c r="B159" s="74" t="s">
        <v>1121</v>
      </c>
      <c r="C159" s="55"/>
      <c r="D159" s="53">
        <f>'[17]Rev_SP-12me'!AQ178</f>
        <v>0.7055034</v>
      </c>
      <c r="E159" s="53">
        <f>'[17]Rev_SP-12me'!AT178</f>
        <v>0</v>
      </c>
      <c r="F159" s="53">
        <f>'[17]Rev_SP-12me'!AU178</f>
        <v>0.42330204</v>
      </c>
      <c r="G159" s="53">
        <f>'[17]Rev_SP-12me'!AW178</f>
        <v>0</v>
      </c>
      <c r="H159" s="8"/>
      <c r="I159" s="24">
        <f t="shared" si="13"/>
        <v>0.42330204</v>
      </c>
      <c r="J159" s="53">
        <f>'[17]Rev_SP-12me'!BN178</f>
        <v>0</v>
      </c>
      <c r="K159" s="53">
        <f>'[17]Rev_SP-12me'!BO178</f>
        <v>0.42330204</v>
      </c>
      <c r="L159" s="53">
        <f>'[17]Rev_SP-12me'!BQ178</f>
        <v>0</v>
      </c>
      <c r="M159" s="8"/>
      <c r="N159" s="61">
        <f t="shared" si="14"/>
        <v>0.42330204</v>
      </c>
      <c r="O159" s="60">
        <f>N159*10/D159</f>
        <v>6</v>
      </c>
    </row>
    <row r="160" spans="2:15">
      <c r="B160" s="74" t="s">
        <v>1122</v>
      </c>
      <c r="C160" s="55"/>
      <c r="D160" s="53">
        <f>'[17]Rev_SP-12me'!AQ179</f>
        <v>0.8860944</v>
      </c>
      <c r="E160" s="53">
        <f>'[17]Rev_SP-12me'!AT179</f>
        <v>0</v>
      </c>
      <c r="F160" s="53">
        <f>'[17]Rev_SP-12me'!AU179</f>
        <v>0.35443776</v>
      </c>
      <c r="G160" s="53">
        <f>'[17]Rev_SP-12me'!AW179</f>
        <v>0</v>
      </c>
      <c r="H160" s="8"/>
      <c r="I160" s="24">
        <f t="shared" si="13"/>
        <v>0.35443776</v>
      </c>
      <c r="J160" s="53">
        <f>'[17]Rev_SP-12me'!BN179</f>
        <v>0</v>
      </c>
      <c r="K160" s="53">
        <f>'[17]Rev_SP-12me'!BO179</f>
        <v>0.35443776</v>
      </c>
      <c r="L160" s="53">
        <f>'[17]Rev_SP-12me'!BQ179</f>
        <v>0</v>
      </c>
      <c r="M160" s="8"/>
      <c r="N160" s="61">
        <f t="shared" si="14"/>
        <v>0.35443776</v>
      </c>
      <c r="O160" s="60">
        <f>N160*10/D160</f>
        <v>4</v>
      </c>
    </row>
    <row r="161" ht="15" spans="2:15">
      <c r="B161" s="71" t="s">
        <v>1126</v>
      </c>
      <c r="C161" s="55"/>
      <c r="D161" s="48">
        <f>'[17]Rev_SP-12me'!AQ180</f>
        <v>0</v>
      </c>
      <c r="E161" s="48">
        <f>'[17]Rev_SP-12me'!AT180</f>
        <v>0</v>
      </c>
      <c r="F161" s="48">
        <f>'[17]Rev_SP-12me'!AU180</f>
        <v>0</v>
      </c>
      <c r="G161" s="48">
        <f>'[17]Rev_SP-12me'!AW180</f>
        <v>0</v>
      </c>
      <c r="H161" s="8"/>
      <c r="I161" s="24">
        <f t="shared" si="13"/>
        <v>0</v>
      </c>
      <c r="J161" s="48">
        <f>'[17]Rev_SP-12me'!BN180</f>
        <v>0</v>
      </c>
      <c r="K161" s="48">
        <f>'[17]Rev_SP-12me'!BO180</f>
        <v>0</v>
      </c>
      <c r="L161" s="48">
        <f>'[17]Rev_SP-12me'!BQ180</f>
        <v>0</v>
      </c>
      <c r="M161" s="8"/>
      <c r="N161" s="169">
        <f t="shared" si="14"/>
        <v>0</v>
      </c>
      <c r="O161" s="60"/>
    </row>
    <row r="162" spans="2:15">
      <c r="B162" s="76" t="s">
        <v>1119</v>
      </c>
      <c r="C162" s="55"/>
      <c r="D162" s="53">
        <f>'[17]Rev_SP-12me'!AQ181</f>
        <v>0</v>
      </c>
      <c r="E162" s="53">
        <f>'[17]Rev_SP-12me'!AT181</f>
        <v>0</v>
      </c>
      <c r="F162" s="53">
        <f>'[17]Rev_SP-12me'!AU181</f>
        <v>0</v>
      </c>
      <c r="G162" s="53">
        <f>'[17]Rev_SP-12me'!AW181</f>
        <v>0</v>
      </c>
      <c r="H162" s="8"/>
      <c r="I162" s="24">
        <f t="shared" si="13"/>
        <v>0</v>
      </c>
      <c r="J162" s="53">
        <f>'[17]Rev_SP-12me'!BN181</f>
        <v>0</v>
      </c>
      <c r="K162" s="53">
        <f>'[17]Rev_SP-12me'!BO181</f>
        <v>0</v>
      </c>
      <c r="L162" s="53">
        <f>'[17]Rev_SP-12me'!BQ181</f>
        <v>0</v>
      </c>
      <c r="M162" s="8"/>
      <c r="N162" s="61">
        <f t="shared" si="14"/>
        <v>0</v>
      </c>
      <c r="O162" s="60"/>
    </row>
    <row r="163" spans="2:15">
      <c r="B163" s="76" t="s">
        <v>1120</v>
      </c>
      <c r="C163" s="55"/>
      <c r="D163" s="53">
        <f>'[17]Rev_SP-12me'!AQ182</f>
        <v>0</v>
      </c>
      <c r="E163" s="53">
        <f>'[17]Rev_SP-12me'!AT182</f>
        <v>0</v>
      </c>
      <c r="F163" s="53">
        <f>'[17]Rev_SP-12me'!AU182</f>
        <v>0</v>
      </c>
      <c r="G163" s="53">
        <f>'[17]Rev_SP-12me'!AW182</f>
        <v>0</v>
      </c>
      <c r="H163" s="8"/>
      <c r="I163" s="24">
        <f t="shared" si="13"/>
        <v>0</v>
      </c>
      <c r="J163" s="53">
        <f>'[17]Rev_SP-12me'!BN182</f>
        <v>0</v>
      </c>
      <c r="K163" s="53">
        <f>'[17]Rev_SP-12me'!BO182</f>
        <v>0</v>
      </c>
      <c r="L163" s="53">
        <f>'[17]Rev_SP-12me'!BQ182</f>
        <v>0</v>
      </c>
      <c r="M163" s="8"/>
      <c r="N163" s="61">
        <f t="shared" si="14"/>
        <v>0</v>
      </c>
      <c r="O163" s="60"/>
    </row>
    <row r="164" spans="2:15">
      <c r="B164" s="76" t="s">
        <v>1121</v>
      </c>
      <c r="C164" s="55"/>
      <c r="D164" s="53">
        <f>'[17]Rev_SP-12me'!AQ183</f>
        <v>0</v>
      </c>
      <c r="E164" s="53">
        <f>'[17]Rev_SP-12me'!AT183</f>
        <v>0</v>
      </c>
      <c r="F164" s="53">
        <f>'[17]Rev_SP-12me'!AU183</f>
        <v>0</v>
      </c>
      <c r="G164" s="53">
        <f>'[17]Rev_SP-12me'!AW183</f>
        <v>0</v>
      </c>
      <c r="H164" s="8"/>
      <c r="I164" s="24">
        <f t="shared" si="13"/>
        <v>0</v>
      </c>
      <c r="J164" s="53">
        <f>'[17]Rev_SP-12me'!BN183</f>
        <v>0</v>
      </c>
      <c r="K164" s="53">
        <f>'[17]Rev_SP-12me'!BO183</f>
        <v>0</v>
      </c>
      <c r="L164" s="53">
        <f>'[17]Rev_SP-12me'!BQ183</f>
        <v>0</v>
      </c>
      <c r="M164" s="8"/>
      <c r="N164" s="61">
        <f t="shared" si="14"/>
        <v>0</v>
      </c>
      <c r="O164" s="60"/>
    </row>
    <row r="165" spans="2:15">
      <c r="B165" s="76" t="s">
        <v>1122</v>
      </c>
      <c r="C165" s="55"/>
      <c r="D165" s="53">
        <f>'[17]Rev_SP-12me'!AQ184</f>
        <v>0</v>
      </c>
      <c r="E165" s="53">
        <f>'[17]Rev_SP-12me'!AT184</f>
        <v>0</v>
      </c>
      <c r="F165" s="53">
        <f>'[17]Rev_SP-12me'!AU184</f>
        <v>0</v>
      </c>
      <c r="G165" s="53">
        <f>'[17]Rev_SP-12me'!AW184</f>
        <v>0</v>
      </c>
      <c r="H165" s="8"/>
      <c r="I165" s="24">
        <f t="shared" si="13"/>
        <v>0</v>
      </c>
      <c r="J165" s="53">
        <f>'[17]Rev_SP-12me'!BN184</f>
        <v>0</v>
      </c>
      <c r="K165" s="53">
        <f>'[17]Rev_SP-12me'!BO184</f>
        <v>0</v>
      </c>
      <c r="L165" s="53">
        <f>'[17]Rev_SP-12me'!BQ184</f>
        <v>0</v>
      </c>
      <c r="M165" s="8"/>
      <c r="N165" s="61">
        <f t="shared" si="14"/>
        <v>0</v>
      </c>
      <c r="O165" s="60"/>
    </row>
    <row r="166" ht="15" spans="2:15">
      <c r="B166" s="71" t="s">
        <v>1147</v>
      </c>
      <c r="C166" s="55"/>
      <c r="D166" s="48">
        <f>'[17]Rev_SP-12me'!AQ185</f>
        <v>43.423045</v>
      </c>
      <c r="E166" s="48">
        <f>'[17]Rev_SP-12me'!AT185</f>
        <v>7.54733422207742</v>
      </c>
      <c r="F166" s="48">
        <f>'[17]Rev_SP-12me'!AU185</f>
        <v>27.35651835</v>
      </c>
      <c r="G166" s="48">
        <f>'[17]Rev_SP-12me'!AW185</f>
        <v>0.0885263513513513</v>
      </c>
      <c r="H166" s="8"/>
      <c r="I166" s="24">
        <f t="shared" si="13"/>
        <v>34.9923789234288</v>
      </c>
      <c r="J166" s="48">
        <f>'[17]Rev_SP-12me'!BN185</f>
        <v>7.89039486853549</v>
      </c>
      <c r="K166" s="48">
        <f>'[17]Rev_SP-12me'!BO185</f>
        <v>27.35651835</v>
      </c>
      <c r="L166" s="48">
        <f>'[17]Rev_SP-12me'!BQ185</f>
        <v>0.0885263513513513</v>
      </c>
      <c r="M166" s="8"/>
      <c r="N166" s="169">
        <f t="shared" si="14"/>
        <v>35.3354395698868</v>
      </c>
      <c r="O166" s="60">
        <f>N166*10/D166</f>
        <v>8.13748542274887</v>
      </c>
    </row>
    <row r="167" spans="2:15">
      <c r="B167" s="82" t="s">
        <v>1128</v>
      </c>
      <c r="C167" s="55"/>
      <c r="D167" s="51">
        <f>'[17]Rev_SP-12me'!AQ186</f>
        <v>43.423045</v>
      </c>
      <c r="E167" s="51">
        <f>'[17]Rev_SP-12me'!AT186</f>
        <v>7.54733422207742</v>
      </c>
      <c r="F167" s="51">
        <f>'[17]Rev_SP-12me'!AU186</f>
        <v>27.35651835</v>
      </c>
      <c r="G167" s="51">
        <f>'[17]Rev_SP-12me'!AW186</f>
        <v>0.0885263513513513</v>
      </c>
      <c r="H167" s="8"/>
      <c r="I167" s="24">
        <f t="shared" si="13"/>
        <v>34.9923789234288</v>
      </c>
      <c r="J167" s="51">
        <f>'[17]Rev_SP-12me'!BN186</f>
        <v>7.89039486853549</v>
      </c>
      <c r="K167" s="51">
        <f>'[17]Rev_SP-12me'!BO186</f>
        <v>27.35651835</v>
      </c>
      <c r="L167" s="51">
        <f>'[17]Rev_SP-12me'!BQ186</f>
        <v>0.0885263513513513</v>
      </c>
      <c r="M167" s="8"/>
      <c r="N167" s="61">
        <f t="shared" si="14"/>
        <v>35.3354395698868</v>
      </c>
      <c r="O167" s="60">
        <f>N167*10/D167</f>
        <v>8.13748542274887</v>
      </c>
    </row>
    <row r="168" ht="15" spans="2:15">
      <c r="B168" s="83" t="s">
        <v>1148</v>
      </c>
      <c r="C168" s="55"/>
      <c r="D168" s="48">
        <f>'[17]Rev_SP-12me'!AQ191</f>
        <v>259.563838699508</v>
      </c>
      <c r="E168" s="48">
        <f>'[17]Rev_SP-12me'!AT191</f>
        <v>0</v>
      </c>
      <c r="F168" s="48">
        <f>'[17]Rev_SP-12me'!AU191</f>
        <v>158.3339416067</v>
      </c>
      <c r="G168" s="48">
        <f>'[17]Rev_SP-12me'!AW191</f>
        <v>0.0562601351351351</v>
      </c>
      <c r="H168" s="8"/>
      <c r="I168" s="24">
        <f t="shared" si="13"/>
        <v>158.390201741835</v>
      </c>
      <c r="J168" s="48">
        <f>'[17]Rev_SP-12me'!BN191</f>
        <v>0</v>
      </c>
      <c r="K168" s="48">
        <f>'[17]Rev_SP-12me'!BO191</f>
        <v>158.3339416067</v>
      </c>
      <c r="L168" s="48">
        <f>'[17]Rev_SP-12me'!BQ191</f>
        <v>0.0562601351351351</v>
      </c>
      <c r="M168" s="8"/>
      <c r="N168" s="169">
        <f t="shared" si="14"/>
        <v>158.390201741835</v>
      </c>
      <c r="O168" s="60">
        <f>N168*10/D168</f>
        <v>6.10216748740569</v>
      </c>
    </row>
    <row r="169" spans="2:15">
      <c r="B169" s="74" t="s">
        <v>1149</v>
      </c>
      <c r="C169" s="55"/>
      <c r="D169" s="51">
        <f>'[17]Rev_SP-12me'!AQ192</f>
        <v>259.563838699508</v>
      </c>
      <c r="E169" s="51">
        <f>'[17]Rev_SP-12me'!AT192</f>
        <v>0</v>
      </c>
      <c r="F169" s="51">
        <f>'[17]Rev_SP-12me'!AU192</f>
        <v>158.3339416067</v>
      </c>
      <c r="G169" s="51">
        <f>'[17]Rev_SP-12me'!AW192</f>
        <v>0.0562601351351351</v>
      </c>
      <c r="H169" s="8"/>
      <c r="I169" s="24">
        <f t="shared" si="13"/>
        <v>158.390201741835</v>
      </c>
      <c r="J169" s="51">
        <f>'[17]Rev_SP-12me'!BN192</f>
        <v>0</v>
      </c>
      <c r="K169" s="51">
        <f>'[17]Rev_SP-12me'!BO192</f>
        <v>158.3339416067</v>
      </c>
      <c r="L169" s="51">
        <f>'[17]Rev_SP-12me'!BQ192</f>
        <v>0.0562601351351351</v>
      </c>
      <c r="M169" s="8"/>
      <c r="N169" s="61">
        <f t="shared" si="14"/>
        <v>158.390201741835</v>
      </c>
      <c r="O169" s="60">
        <f>N169*10/D169</f>
        <v>6.10216748740569</v>
      </c>
    </row>
    <row r="170" ht="15" spans="2:15">
      <c r="B170" s="77" t="s">
        <v>1150</v>
      </c>
      <c r="C170" s="55"/>
      <c r="D170" s="48">
        <f>'[17]Rev_SP-12me'!AQ193</f>
        <v>0</v>
      </c>
      <c r="E170" s="48">
        <f>'[17]Rev_SP-12me'!AT193</f>
        <v>0</v>
      </c>
      <c r="F170" s="48">
        <f>'[17]Rev_SP-12me'!AU193</f>
        <v>0</v>
      </c>
      <c r="G170" s="48">
        <f>'[17]Rev_SP-12me'!AW193</f>
        <v>0</v>
      </c>
      <c r="H170" s="8"/>
      <c r="I170" s="24">
        <f t="shared" si="13"/>
        <v>0</v>
      </c>
      <c r="J170" s="48">
        <f>'[17]Rev_SP-12me'!BN193</f>
        <v>0</v>
      </c>
      <c r="K170" s="48">
        <f>'[17]Rev_SP-12me'!BO193</f>
        <v>0</v>
      </c>
      <c r="L170" s="48">
        <f>'[17]Rev_SP-12me'!BQ193</f>
        <v>0</v>
      </c>
      <c r="M170" s="8"/>
      <c r="N170" s="61">
        <f t="shared" si="14"/>
        <v>0</v>
      </c>
      <c r="O170" s="60"/>
    </row>
    <row r="171" ht="15" spans="2:15">
      <c r="B171" s="71" t="s">
        <v>1131</v>
      </c>
      <c r="C171" s="55"/>
      <c r="D171" s="48">
        <f>'[17]Rev_SP-12me'!AQ187</f>
        <v>9.623565</v>
      </c>
      <c r="E171" s="48">
        <f>'[17]Rev_SP-12me'!AT187</f>
        <v>2.02597614991482</v>
      </c>
      <c r="F171" s="48">
        <f>'[17]Rev_SP-12me'!AU187</f>
        <v>4.859900325</v>
      </c>
      <c r="G171" s="48">
        <f>'[17]Rev_SP-12me'!AW187</f>
        <v>0.0021</v>
      </c>
      <c r="H171" s="8"/>
      <c r="I171" s="24">
        <f t="shared" si="13"/>
        <v>6.88797647491482</v>
      </c>
      <c r="J171" s="48">
        <f>'[17]Rev_SP-12me'!BN187</f>
        <v>2.07929131175468</v>
      </c>
      <c r="K171" s="48">
        <f>'[17]Rev_SP-12me'!BO187</f>
        <v>4.859900325</v>
      </c>
      <c r="L171" s="48">
        <f>'[17]Rev_SP-12me'!BQ187</f>
        <v>0.0021</v>
      </c>
      <c r="M171" s="8"/>
      <c r="N171" s="169">
        <f t="shared" si="14"/>
        <v>6.94129163675468</v>
      </c>
      <c r="O171" s="60"/>
    </row>
    <row r="172" ht="15" spans="2:15">
      <c r="B172" s="71" t="s">
        <v>1132</v>
      </c>
      <c r="C172" s="55"/>
      <c r="D172" s="48">
        <f>'[17]Rev_SP-12me'!AQ188</f>
        <v>0</v>
      </c>
      <c r="E172" s="48">
        <f>'[17]Rev_SP-12me'!AT188</f>
        <v>0</v>
      </c>
      <c r="F172" s="48">
        <f>'[17]Rev_SP-12me'!AU188</f>
        <v>0</v>
      </c>
      <c r="G172" s="48">
        <f>'[17]Rev_SP-12me'!AW188</f>
        <v>0</v>
      </c>
      <c r="H172" s="8"/>
      <c r="I172" s="24">
        <f t="shared" si="13"/>
        <v>0</v>
      </c>
      <c r="J172" s="48">
        <f>'[17]Rev_SP-12me'!BN188</f>
        <v>0</v>
      </c>
      <c r="K172" s="48">
        <f>'[17]Rev_SP-12me'!BO188</f>
        <v>0</v>
      </c>
      <c r="L172" s="48">
        <f>'[17]Rev_SP-12me'!BQ188</f>
        <v>0</v>
      </c>
      <c r="M172" s="8"/>
      <c r="N172" s="169">
        <f t="shared" si="14"/>
        <v>0</v>
      </c>
      <c r="O172" s="60"/>
    </row>
    <row r="173" ht="15" spans="2:15">
      <c r="B173" s="71" t="s">
        <v>919</v>
      </c>
      <c r="C173" s="55"/>
      <c r="D173" s="48">
        <f>'[17]Rev_SP-12me'!AQ189</f>
        <v>161.409051058846</v>
      </c>
      <c r="E173" s="48">
        <f>'[17]Rev_SP-12me'!AT189</f>
        <v>15.7204689413823</v>
      </c>
      <c r="F173" s="48">
        <f>'[17]Rev_SP-12me'!AU189</f>
        <v>117.828607272957</v>
      </c>
      <c r="G173" s="48">
        <f>'[17]Rev_SP-12me'!AW189</f>
        <v>0.0985046511627907</v>
      </c>
      <c r="H173" s="8"/>
      <c r="I173" s="24">
        <f t="shared" si="13"/>
        <v>133.647580865502</v>
      </c>
      <c r="J173" s="48">
        <f>'[17]Rev_SP-12me'!BN189</f>
        <v>16.9297357830271</v>
      </c>
      <c r="K173" s="48">
        <f>'[17]Rev_SP-12me'!BO189</f>
        <v>117.828607272957</v>
      </c>
      <c r="L173" s="48">
        <f>'[17]Rev_SP-12me'!BQ189</f>
        <v>0.0985046511627907</v>
      </c>
      <c r="M173" s="8"/>
      <c r="N173" s="169">
        <f t="shared" si="14"/>
        <v>134.856847707147</v>
      </c>
      <c r="O173" s="60">
        <f>N173*10/D173</f>
        <v>8.35497432284521</v>
      </c>
    </row>
    <row r="174" ht="15" spans="2:15">
      <c r="B174" s="71" t="s">
        <v>1133</v>
      </c>
      <c r="C174" s="55"/>
      <c r="D174" s="48">
        <f>'[17]Rev_SP-12me'!AQ190</f>
        <v>42.6818863552615</v>
      </c>
      <c r="E174" s="48">
        <f>'[17]Rev_SP-12me'!AT190</f>
        <v>11.4760096610311</v>
      </c>
      <c r="F174" s="48">
        <f>'[17]Rev_SP-12me'!AU190</f>
        <v>46.9500749907876</v>
      </c>
      <c r="G174" s="48">
        <f>'[17]Rev_SP-12me'!AW190</f>
        <v>0.0374073170731707</v>
      </c>
      <c r="H174" s="8"/>
      <c r="I174" s="24">
        <f t="shared" si="13"/>
        <v>58.4634919688919</v>
      </c>
      <c r="J174" s="48">
        <f>'[17]Rev_SP-12me'!BN190</f>
        <v>11.4760096610311</v>
      </c>
      <c r="K174" s="48">
        <f>'[17]Rev_SP-12me'!BO190</f>
        <v>46.9500749907876</v>
      </c>
      <c r="L174" s="48">
        <f>'[17]Rev_SP-12me'!BQ190</f>
        <v>0.0374073170731707</v>
      </c>
      <c r="M174" s="8"/>
      <c r="N174" s="169">
        <f t="shared" si="14"/>
        <v>58.4634919688919</v>
      </c>
      <c r="O174" s="60">
        <f>N174*10/D174</f>
        <v>13.6974948769304</v>
      </c>
    </row>
    <row r="175" ht="15" spans="2:15">
      <c r="B175" s="77" t="s">
        <v>1151</v>
      </c>
      <c r="C175" s="55"/>
      <c r="D175" s="78">
        <f t="shared" ref="D175:L175" si="16">SUM(D130,D144,D149,D150,D156,D161,D166,D168,D170,D171,D172,D173,D174)</f>
        <v>9224.43341532404</v>
      </c>
      <c r="E175" s="80">
        <f t="shared" si="16"/>
        <v>1002.72167453015</v>
      </c>
      <c r="F175" s="80">
        <f t="shared" si="16"/>
        <v>6762.42923325876</v>
      </c>
      <c r="G175" s="80">
        <f t="shared" si="16"/>
        <v>2.79712018809989</v>
      </c>
      <c r="H175" s="78">
        <f t="shared" si="16"/>
        <v>0</v>
      </c>
      <c r="I175" s="78">
        <f t="shared" si="16"/>
        <v>7767.94802797701</v>
      </c>
      <c r="J175" s="80">
        <f t="shared" si="16"/>
        <v>1029.74710364208</v>
      </c>
      <c r="K175" s="80">
        <f t="shared" si="16"/>
        <v>7007.76229698106</v>
      </c>
      <c r="L175" s="80">
        <f t="shared" si="16"/>
        <v>2.79712018809989</v>
      </c>
      <c r="M175" s="78"/>
      <c r="N175" s="80">
        <f t="shared" si="14"/>
        <v>8040.30652081125</v>
      </c>
      <c r="O175" s="60">
        <f>N175*10/D175</f>
        <v>8.71631476840012</v>
      </c>
    </row>
    <row r="176" spans="2:15">
      <c r="B176" s="55"/>
      <c r="C176" s="55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61"/>
      <c r="O176" s="60"/>
    </row>
    <row r="177" spans="2:15">
      <c r="B177" s="71" t="s">
        <v>1152</v>
      </c>
      <c r="C177" s="55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61"/>
      <c r="O177" s="60"/>
    </row>
    <row r="178" ht="15" spans="2:15">
      <c r="B178" s="71" t="s">
        <v>1137</v>
      </c>
      <c r="C178" s="55"/>
      <c r="D178" s="48">
        <f>'[17]Rev_SP-12me'!AQ208</f>
        <v>4308.31691400761</v>
      </c>
      <c r="E178" s="48">
        <f>'[17]Rev_SP-12me'!AT208</f>
        <v>307.990157474177</v>
      </c>
      <c r="F178" s="48">
        <f>'[17]Rev_SP-12me'!AU208</f>
        <v>2850.92931790483</v>
      </c>
      <c r="G178" s="106">
        <f>'[17]Rev_SP-12me'!AW208</f>
        <v>0.258007939133311</v>
      </c>
      <c r="H178" s="8"/>
      <c r="I178" s="24">
        <f t="shared" ref="I178:I219" si="17">SUM(E178:H178)</f>
        <v>3159.17748331814</v>
      </c>
      <c r="J178" s="48">
        <f>'[17]Rev_SP-12me'!BN208</f>
        <v>316.095161618235</v>
      </c>
      <c r="K178" s="48">
        <f>'[17]Rev_SP-12me'!BO208</f>
        <v>3079.37201068368</v>
      </c>
      <c r="L178" s="48">
        <f>'[17]Rev_SP-12me'!BQ208</f>
        <v>0.258007939133311</v>
      </c>
      <c r="M178" s="8"/>
      <c r="N178" s="169">
        <f t="shared" ref="N178:N220" si="18">SUM(J178:M178)</f>
        <v>3395.72518024105</v>
      </c>
      <c r="O178" s="60">
        <f>N178*10/D178</f>
        <v>7.88179061108653</v>
      </c>
    </row>
    <row r="179" spans="2:15">
      <c r="B179" s="74" t="s">
        <v>1105</v>
      </c>
      <c r="C179" s="55"/>
      <c r="D179" s="51">
        <f>'[17]Rev_SP-12me'!AQ209</f>
        <v>1356.63102840322</v>
      </c>
      <c r="E179" s="51">
        <f>'[17]Rev_SP-12me'!AT209</f>
        <v>307.990157474177</v>
      </c>
      <c r="F179" s="51">
        <f>'[17]Rev_SP-12me'!AU209</f>
        <v>902.159633888142</v>
      </c>
      <c r="G179" s="171">
        <f>'[17]Rev_SP-12me'!AW209</f>
        <v>0.258007939133311</v>
      </c>
      <c r="H179" s="8"/>
      <c r="I179" s="24">
        <f t="shared" si="17"/>
        <v>1210.40779930145</v>
      </c>
      <c r="J179" s="51">
        <f>'[17]Rev_SP-12me'!BN209</f>
        <v>316.095161618235</v>
      </c>
      <c r="K179" s="51">
        <f>'[17]Rev_SP-12me'!BO209</f>
        <v>977.093207572757</v>
      </c>
      <c r="L179" s="51">
        <f>'[17]Rev_SP-12me'!BQ209</f>
        <v>0.258007939133311</v>
      </c>
      <c r="M179" s="8"/>
      <c r="N179" s="61">
        <f t="shared" si="18"/>
        <v>1293.44637713013</v>
      </c>
      <c r="O179" s="60">
        <f>N179*10/D179</f>
        <v>9.53425323503426</v>
      </c>
    </row>
    <row r="180" spans="2:15">
      <c r="B180" s="74" t="s">
        <v>1139</v>
      </c>
      <c r="C180" s="55"/>
      <c r="D180" s="53">
        <f>'[17]Rev_SP-12me'!AQ210</f>
        <v>0.000251502132230239</v>
      </c>
      <c r="E180" s="53">
        <f>'[17]Rev_SP-12me'!AT210</f>
        <v>0</v>
      </c>
      <c r="F180" s="53">
        <f>'[17]Rev_SP-12me'!AU210</f>
        <v>0.000167248917933109</v>
      </c>
      <c r="G180" s="53">
        <f>'[17]Rev_SP-12me'!AW210</f>
        <v>0</v>
      </c>
      <c r="H180" s="8"/>
      <c r="I180" s="24">
        <f t="shared" si="17"/>
        <v>0.000167248917933109</v>
      </c>
      <c r="J180" s="53">
        <f>'[17]Rev_SP-12me'!BN210</f>
        <v>0</v>
      </c>
      <c r="K180" s="53">
        <f>'[17]Rev_SP-12me'!BO210</f>
        <v>0.000167248917933109</v>
      </c>
      <c r="L180" s="53">
        <f>'[17]Rev_SP-12me'!BQ210</f>
        <v>0</v>
      </c>
      <c r="M180" s="8"/>
      <c r="N180" s="61">
        <f t="shared" si="18"/>
        <v>0.000167248917933109</v>
      </c>
      <c r="O180" s="60"/>
    </row>
    <row r="181" spans="2:15">
      <c r="B181" s="74" t="s">
        <v>1140</v>
      </c>
      <c r="C181" s="55"/>
      <c r="D181" s="53">
        <f>'[17]Rev_SP-12me'!AQ211</f>
        <v>6.61057504693225</v>
      </c>
      <c r="E181" s="53">
        <f>'[17]Rev_SP-12me'!AT211</f>
        <v>0</v>
      </c>
      <c r="F181" s="53">
        <f>'[17]Rev_SP-12me'!AU211</f>
        <v>4.82571978426054</v>
      </c>
      <c r="G181" s="53">
        <f>'[17]Rev_SP-12me'!AW211</f>
        <v>0</v>
      </c>
      <c r="H181" s="8"/>
      <c r="I181" s="24">
        <f t="shared" si="17"/>
        <v>4.82571978426054</v>
      </c>
      <c r="J181" s="53">
        <f>'[17]Rev_SP-12me'!BN211</f>
        <v>0</v>
      </c>
      <c r="K181" s="53">
        <f>'[17]Rev_SP-12me'!BO211</f>
        <v>4.82571978426054</v>
      </c>
      <c r="L181" s="53">
        <f>'[17]Rev_SP-12me'!BQ211</f>
        <v>0</v>
      </c>
      <c r="M181" s="8"/>
      <c r="N181" s="61">
        <f t="shared" si="18"/>
        <v>4.82571978426054</v>
      </c>
      <c r="O181" s="60"/>
    </row>
    <row r="182" spans="2:15">
      <c r="B182" s="74" t="s">
        <v>1141</v>
      </c>
      <c r="C182" s="55"/>
      <c r="D182" s="53">
        <f>'[17]Rev_SP-12me'!AQ212</f>
        <v>0</v>
      </c>
      <c r="E182" s="53">
        <f>'[17]Rev_SP-12me'!AT212</f>
        <v>0</v>
      </c>
      <c r="F182" s="53">
        <f>'[17]Rev_SP-12me'!AU212</f>
        <v>0</v>
      </c>
      <c r="G182" s="53">
        <f>'[17]Rev_SP-12me'!AW212</f>
        <v>0</v>
      </c>
      <c r="H182" s="8"/>
      <c r="I182" s="24">
        <f t="shared" si="17"/>
        <v>0</v>
      </c>
      <c r="J182" s="53">
        <f>'[17]Rev_SP-12me'!BN212</f>
        <v>0</v>
      </c>
      <c r="K182" s="53">
        <f>'[17]Rev_SP-12me'!BO212</f>
        <v>0</v>
      </c>
      <c r="L182" s="53">
        <f>'[17]Rev_SP-12me'!BQ212</f>
        <v>0</v>
      </c>
      <c r="M182" s="8"/>
      <c r="N182" s="61">
        <f t="shared" si="18"/>
        <v>0</v>
      </c>
      <c r="O182" s="60"/>
    </row>
    <row r="183" spans="2:15">
      <c r="B183" s="76" t="s">
        <v>1120</v>
      </c>
      <c r="C183" s="55"/>
      <c r="D183" s="53">
        <f>'[17]Rev_SP-12me'!AQ213</f>
        <v>738.587705461526</v>
      </c>
      <c r="E183" s="53">
        <f>'[17]Rev_SP-12me'!AT213</f>
        <v>0</v>
      </c>
      <c r="F183" s="53">
        <f>'[17]Rev_SP-12me'!AU213</f>
        <v>565.019594678067</v>
      </c>
      <c r="G183" s="53">
        <f>'[17]Rev_SP-12me'!AW213</f>
        <v>0</v>
      </c>
      <c r="H183" s="8"/>
      <c r="I183" s="24">
        <f t="shared" si="17"/>
        <v>565.019594678067</v>
      </c>
      <c r="J183" s="53">
        <f>'[17]Rev_SP-12me'!BN213</f>
        <v>0</v>
      </c>
      <c r="K183" s="53">
        <f>'[17]Rev_SP-12me'!BO213</f>
        <v>603.105661573614</v>
      </c>
      <c r="L183" s="53">
        <f>'[17]Rev_SP-12me'!BQ213</f>
        <v>0</v>
      </c>
      <c r="M183" s="8"/>
      <c r="N183" s="61">
        <f t="shared" si="18"/>
        <v>603.105661573614</v>
      </c>
      <c r="O183" s="60">
        <f t="shared" ref="O183:O196" si="19">N183*10/D183</f>
        <v>8.16566072131877</v>
      </c>
    </row>
    <row r="184" spans="2:15">
      <c r="B184" s="76" t="s">
        <v>1121</v>
      </c>
      <c r="C184" s="55"/>
      <c r="D184" s="53">
        <f>'[17]Rev_SP-12me'!AQ214</f>
        <v>661.294237624722</v>
      </c>
      <c r="E184" s="53">
        <f>'[17]Rev_SP-12me'!AT214</f>
        <v>0</v>
      </c>
      <c r="F184" s="53">
        <f>'[17]Rev_SP-12me'!AU214</f>
        <v>505.890091782912</v>
      </c>
      <c r="G184" s="53">
        <f>'[17]Rev_SP-12me'!AW214</f>
        <v>0</v>
      </c>
      <c r="H184" s="8"/>
      <c r="I184" s="24">
        <f t="shared" si="17"/>
        <v>505.890091782912</v>
      </c>
      <c r="J184" s="53">
        <f>'[17]Rev_SP-12me'!BN214</f>
        <v>0</v>
      </c>
      <c r="K184" s="53">
        <f>'[17]Rev_SP-12me'!BO214</f>
        <v>543.376039878423</v>
      </c>
      <c r="L184" s="53">
        <f>'[17]Rev_SP-12me'!BQ214</f>
        <v>0</v>
      </c>
      <c r="M184" s="8"/>
      <c r="N184" s="61">
        <f t="shared" si="18"/>
        <v>543.376039878423</v>
      </c>
      <c r="O184" s="60">
        <f t="shared" si="19"/>
        <v>8.21685732254609</v>
      </c>
    </row>
    <row r="185" spans="2:15">
      <c r="B185" s="76" t="s">
        <v>1122</v>
      </c>
      <c r="C185" s="55"/>
      <c r="D185" s="53">
        <f>'[17]Rev_SP-12me'!AQ215</f>
        <v>1545.19311596908</v>
      </c>
      <c r="E185" s="53">
        <f>'[17]Rev_SP-12me'!AT215</f>
        <v>0</v>
      </c>
      <c r="F185" s="53">
        <f>'[17]Rev_SP-12me'!AU215</f>
        <v>873.034110522528</v>
      </c>
      <c r="G185" s="53">
        <f>'[17]Rev_SP-12me'!AW215</f>
        <v>0</v>
      </c>
      <c r="H185" s="8"/>
      <c r="I185" s="24">
        <f t="shared" si="17"/>
        <v>873.034110522528</v>
      </c>
      <c r="J185" s="53">
        <f>'[17]Rev_SP-12me'!BN215</f>
        <v>0</v>
      </c>
      <c r="K185" s="53">
        <f>'[17]Rev_SP-12me'!BO215</f>
        <v>950.971214625704</v>
      </c>
      <c r="L185" s="53">
        <f>'[17]Rev_SP-12me'!BQ215</f>
        <v>0</v>
      </c>
      <c r="M185" s="8"/>
      <c r="N185" s="61">
        <f t="shared" si="18"/>
        <v>950.971214625704</v>
      </c>
      <c r="O185" s="60">
        <f t="shared" si="19"/>
        <v>6.15438423066812</v>
      </c>
    </row>
    <row r="186" ht="15" spans="2:15">
      <c r="B186" s="71" t="s">
        <v>1118</v>
      </c>
      <c r="C186" s="55"/>
      <c r="D186" s="48">
        <f>'[17]Rev_SP-12me'!AQ217</f>
        <v>1343.25870090449</v>
      </c>
      <c r="E186" s="48">
        <f>'[17]Rev_SP-12me'!AT217</f>
        <v>68.821501711483</v>
      </c>
      <c r="F186" s="48">
        <f>'[17]Rev_SP-12me'!AU217</f>
        <v>893.612747824878</v>
      </c>
      <c r="G186" s="48">
        <f>'[17]Rev_SP-12me'!AW217</f>
        <v>0.018</v>
      </c>
      <c r="H186" s="8"/>
      <c r="I186" s="24">
        <f t="shared" si="17"/>
        <v>962.452249536361</v>
      </c>
      <c r="J186" s="48">
        <f>'[17]Rev_SP-12me'!BN217</f>
        <v>70.6325938617852</v>
      </c>
      <c r="K186" s="48">
        <f>'[17]Rev_SP-12me'!BO217</f>
        <v>960.16972793643</v>
      </c>
      <c r="L186" s="48">
        <f>'[17]Rev_SP-12me'!BQ217</f>
        <v>0.018</v>
      </c>
      <c r="M186" s="8"/>
      <c r="N186" s="169">
        <f t="shared" si="18"/>
        <v>1030.82032179822</v>
      </c>
      <c r="O186" s="60">
        <f t="shared" si="19"/>
        <v>7.67402676121962</v>
      </c>
    </row>
    <row r="187" spans="2:15">
      <c r="B187" s="74" t="s">
        <v>1119</v>
      </c>
      <c r="C187" s="55"/>
      <c r="D187" s="84">
        <f>'[17]Rev_SP-12me'!AQ218</f>
        <v>447.622590867763</v>
      </c>
      <c r="E187" s="85">
        <f>'[17]Rev_SP-12me'!AT218</f>
        <v>68.821501711483</v>
      </c>
      <c r="F187" s="85">
        <f>'[17]Rev_SP-12me'!AU218</f>
        <v>297.669022927063</v>
      </c>
      <c r="G187" s="85">
        <f>'[17]Rev_SP-12me'!AW218</f>
        <v>0.018</v>
      </c>
      <c r="H187" s="8"/>
      <c r="I187" s="24">
        <f t="shared" si="17"/>
        <v>366.508524638546</v>
      </c>
      <c r="J187" s="85">
        <f>'[17]Rev_SP-12me'!BN218</f>
        <v>70.6325938617852</v>
      </c>
      <c r="K187" s="85">
        <f>'[17]Rev_SP-12me'!BO218</f>
        <v>320.048988774768</v>
      </c>
      <c r="L187" s="85">
        <f>'[17]Rev_SP-12me'!BQ218</f>
        <v>0.018</v>
      </c>
      <c r="M187" s="8"/>
      <c r="N187" s="61">
        <f t="shared" si="18"/>
        <v>390.699582636553</v>
      </c>
      <c r="O187" s="60">
        <f t="shared" si="19"/>
        <v>8.72832583983622</v>
      </c>
    </row>
    <row r="188" spans="2:15">
      <c r="B188" s="74" t="s">
        <v>1120</v>
      </c>
      <c r="C188" s="55"/>
      <c r="D188" s="84">
        <f>'[17]Rev_SP-12me'!AQ219</f>
        <v>225.309387219424</v>
      </c>
      <c r="E188" s="86">
        <f>'[17]Rev_SP-12me'!AT219</f>
        <v>0</v>
      </c>
      <c r="F188" s="86">
        <f>'[17]Rev_SP-12me'!AU219</f>
        <v>172.36168122286</v>
      </c>
      <c r="G188" s="86">
        <f>'[17]Rev_SP-12me'!AW219</f>
        <v>0</v>
      </c>
      <c r="H188" s="8"/>
      <c r="I188" s="24">
        <f t="shared" si="17"/>
        <v>172.36168122286</v>
      </c>
      <c r="J188" s="86">
        <f>'[17]Rev_SP-12me'!BN219</f>
        <v>0</v>
      </c>
      <c r="K188" s="86">
        <f>'[17]Rev_SP-12me'!BO219</f>
        <v>183.51434325558</v>
      </c>
      <c r="L188" s="86">
        <f>'[17]Rev_SP-12me'!BQ219</f>
        <v>0</v>
      </c>
      <c r="M188" s="8"/>
      <c r="N188" s="61">
        <f t="shared" si="18"/>
        <v>183.51434325558</v>
      </c>
      <c r="O188" s="60">
        <f t="shared" si="19"/>
        <v>8.14499322555342</v>
      </c>
    </row>
    <row r="189" spans="2:15">
      <c r="B189" s="74" t="s">
        <v>1121</v>
      </c>
      <c r="C189" s="55"/>
      <c r="D189" s="84">
        <f>'[17]Rev_SP-12me'!AQ220</f>
        <v>224.237226415884</v>
      </c>
      <c r="E189" s="86">
        <f>'[17]Rev_SP-12me'!AT220</f>
        <v>0</v>
      </c>
      <c r="F189" s="86">
        <f>'[17]Rev_SP-12me'!AU220</f>
        <v>171.541478208151</v>
      </c>
      <c r="G189" s="86">
        <f>'[17]Rev_SP-12me'!AW220</f>
        <v>0</v>
      </c>
      <c r="H189" s="8"/>
      <c r="I189" s="24">
        <f t="shared" si="17"/>
        <v>171.541478208151</v>
      </c>
      <c r="J189" s="86">
        <f>'[17]Rev_SP-12me'!BN220</f>
        <v>0</v>
      </c>
      <c r="K189" s="86">
        <f>'[17]Rev_SP-12me'!BO220</f>
        <v>182.522174939187</v>
      </c>
      <c r="L189" s="86">
        <f>'[17]Rev_SP-12me'!BQ220</f>
        <v>0</v>
      </c>
      <c r="M189" s="8"/>
      <c r="N189" s="61">
        <f t="shared" si="18"/>
        <v>182.522174939187</v>
      </c>
      <c r="O189" s="60">
        <f t="shared" si="19"/>
        <v>8.13969106987928</v>
      </c>
    </row>
    <row r="190" spans="2:15">
      <c r="B190" s="74" t="s">
        <v>1122</v>
      </c>
      <c r="C190" s="55"/>
      <c r="D190" s="84">
        <f>'[17]Rev_SP-12me'!AQ221</f>
        <v>446.089496401423</v>
      </c>
      <c r="E190" s="86">
        <f>'[17]Rev_SP-12me'!AT221</f>
        <v>0</v>
      </c>
      <c r="F190" s="86">
        <f>'[17]Rev_SP-12me'!AU221</f>
        <v>252.040565466804</v>
      </c>
      <c r="G190" s="86">
        <f>'[17]Rev_SP-12me'!AW221</f>
        <v>0</v>
      </c>
      <c r="H190" s="8"/>
      <c r="I190" s="24">
        <f t="shared" si="17"/>
        <v>252.040565466804</v>
      </c>
      <c r="J190" s="86">
        <f>'[17]Rev_SP-12me'!BN221</f>
        <v>0</v>
      </c>
      <c r="K190" s="86">
        <f>'[17]Rev_SP-12me'!BO221</f>
        <v>274.084220966894</v>
      </c>
      <c r="L190" s="86">
        <f>'[17]Rev_SP-12me'!BQ221</f>
        <v>0</v>
      </c>
      <c r="M190" s="8"/>
      <c r="N190" s="61">
        <f t="shared" si="18"/>
        <v>274.084220966894</v>
      </c>
      <c r="O190" s="60">
        <f t="shared" si="19"/>
        <v>6.14415320642864</v>
      </c>
    </row>
    <row r="191" ht="15" spans="2:15">
      <c r="B191" s="71" t="s">
        <v>1153</v>
      </c>
      <c r="C191" s="55"/>
      <c r="D191" s="48">
        <f>'[17]Rev_SP-12me'!AQ216</f>
        <v>156.21657</v>
      </c>
      <c r="E191" s="48">
        <f>'[17]Rev_SP-12me'!AT216</f>
        <v>30.7570398126464</v>
      </c>
      <c r="F191" s="48">
        <f>'[17]Rev_SP-12me'!AU216</f>
        <v>103.88401905</v>
      </c>
      <c r="G191" s="48">
        <f>'[17]Rev_SP-12me'!AW216</f>
        <v>0.012</v>
      </c>
      <c r="H191" s="8"/>
      <c r="I191" s="24">
        <f t="shared" si="17"/>
        <v>134.653058862646</v>
      </c>
      <c r="J191" s="48">
        <f>'[17]Rev_SP-12me'!BN216</f>
        <v>31.5664355971897</v>
      </c>
      <c r="K191" s="48">
        <f>'[17]Rev_SP-12me'!BO216</f>
        <v>111.66098202</v>
      </c>
      <c r="L191" s="48">
        <f>'[17]Rev_SP-12me'!BQ216</f>
        <v>0.012</v>
      </c>
      <c r="M191" s="8"/>
      <c r="N191" s="169">
        <f t="shared" si="18"/>
        <v>143.23941761719</v>
      </c>
      <c r="O191" s="60">
        <f t="shared" si="19"/>
        <v>9.16928451426054</v>
      </c>
    </row>
    <row r="192" ht="15" spans="2:15">
      <c r="B192" s="71" t="s">
        <v>1154</v>
      </c>
      <c r="C192" s="55"/>
      <c r="D192" s="48">
        <f>'[17]Rev_SP-12me'!AQ222</f>
        <v>128.68271607192</v>
      </c>
      <c r="E192" s="48">
        <f>'[17]Rev_SP-12me'!AT222</f>
        <v>9.15995954310553</v>
      </c>
      <c r="F192" s="48">
        <f>'[17]Rev_SP-12me'!AU222</f>
        <v>101.033225544465</v>
      </c>
      <c r="G192" s="48">
        <f>'[17]Rev_SP-12me'!AW222</f>
        <v>0.0315933046821986</v>
      </c>
      <c r="H192" s="8"/>
      <c r="I192" s="24">
        <f t="shared" si="17"/>
        <v>110.224778392253</v>
      </c>
      <c r="J192" s="48">
        <f>'[17]Rev_SP-12me'!BN222</f>
        <v>9.40101111002936</v>
      </c>
      <c r="K192" s="48">
        <f>'[17]Rev_SP-12me'!BO222</f>
        <v>109.574957670326</v>
      </c>
      <c r="L192" s="48">
        <f>'[17]Rev_SP-12me'!BQ222</f>
        <v>0.0315933046821986</v>
      </c>
      <c r="M192" s="8"/>
      <c r="N192" s="61">
        <f t="shared" si="18"/>
        <v>119.007562085038</v>
      </c>
      <c r="O192" s="60">
        <f t="shared" si="19"/>
        <v>9.24813881131674</v>
      </c>
    </row>
    <row r="193" spans="2:15">
      <c r="B193" s="76" t="s">
        <v>1119</v>
      </c>
      <c r="C193" s="55"/>
      <c r="D193" s="53">
        <f>'[17]Rev_SP-12me'!AQ223</f>
        <v>54.3927802623834</v>
      </c>
      <c r="E193" s="53">
        <f>'[17]Rev_SP-12me'!AT223</f>
        <v>9.15995954310553</v>
      </c>
      <c r="F193" s="53">
        <f>'[17]Rev_SP-12me'!AU223</f>
        <v>42.4263686046591</v>
      </c>
      <c r="G193" s="53">
        <f>'[17]Rev_SP-12me'!AW223</f>
        <v>0.0315933046821986</v>
      </c>
      <c r="H193" s="8"/>
      <c r="I193" s="24">
        <f t="shared" si="17"/>
        <v>51.6179214524468</v>
      </c>
      <c r="J193" s="53">
        <f>'[17]Rev_SP-12me'!BN223</f>
        <v>9.40101111002936</v>
      </c>
      <c r="K193" s="53">
        <f>'[17]Rev_SP-12me'!BO223</f>
        <v>45.885084928487</v>
      </c>
      <c r="L193" s="53">
        <f>'[17]Rev_SP-12me'!BQ223</f>
        <v>0.0315933046821986</v>
      </c>
      <c r="M193" s="8"/>
      <c r="N193" s="61">
        <f t="shared" si="18"/>
        <v>55.3176893431986</v>
      </c>
      <c r="O193" s="60">
        <f t="shared" si="19"/>
        <v>10.1700426189567</v>
      </c>
    </row>
    <row r="194" spans="2:15">
      <c r="B194" s="76" t="s">
        <v>1120</v>
      </c>
      <c r="C194" s="55"/>
      <c r="D194" s="53">
        <f>'[17]Rev_SP-12me'!AQ224</f>
        <v>20.3178791064403</v>
      </c>
      <c r="E194" s="53">
        <f>'[17]Rev_SP-12me'!AT224</f>
        <v>0</v>
      </c>
      <c r="F194" s="53">
        <f>'[17]Rev_SP-12me'!AU224</f>
        <v>17.8797336136675</v>
      </c>
      <c r="G194" s="53">
        <f>'[17]Rev_SP-12me'!AW224</f>
        <v>0</v>
      </c>
      <c r="H194" s="8"/>
      <c r="I194" s="24">
        <f t="shared" si="17"/>
        <v>17.8797336136675</v>
      </c>
      <c r="J194" s="53">
        <f>'[17]Rev_SP-12me'!BN224</f>
        <v>0</v>
      </c>
      <c r="K194" s="53">
        <f>'[17]Rev_SP-12me'!BO224</f>
        <v>19.2774465732651</v>
      </c>
      <c r="L194" s="53">
        <f>'[17]Rev_SP-12me'!BQ224</f>
        <v>0</v>
      </c>
      <c r="M194" s="8"/>
      <c r="N194" s="61">
        <f t="shared" si="18"/>
        <v>19.2774465732651</v>
      </c>
      <c r="O194" s="60">
        <f t="shared" si="19"/>
        <v>9.48792266765412</v>
      </c>
    </row>
    <row r="195" spans="2:15">
      <c r="B195" s="76" t="s">
        <v>1121</v>
      </c>
      <c r="C195" s="55"/>
      <c r="D195" s="53">
        <f>'[17]Rev_SP-12me'!AQ225</f>
        <v>20.1306238401664</v>
      </c>
      <c r="E195" s="53">
        <f>'[17]Rev_SP-12me'!AT225</f>
        <v>0</v>
      </c>
      <c r="F195" s="53">
        <f>'[17]Rev_SP-12me'!AU225</f>
        <v>17.7149489793464</v>
      </c>
      <c r="G195" s="53">
        <f>'[17]Rev_SP-12me'!AW225</f>
        <v>0</v>
      </c>
      <c r="H195" s="8"/>
      <c r="I195" s="24">
        <f t="shared" si="17"/>
        <v>17.7149489793464</v>
      </c>
      <c r="J195" s="53">
        <f>'[17]Rev_SP-12me'!BN225</f>
        <v>0</v>
      </c>
      <c r="K195" s="53">
        <f>'[17]Rev_SP-12me'!BO225</f>
        <v>19.0228561483789</v>
      </c>
      <c r="L195" s="53">
        <f>'[17]Rev_SP-12me'!BQ225</f>
        <v>0</v>
      </c>
      <c r="M195" s="8"/>
      <c r="N195" s="61">
        <f t="shared" si="18"/>
        <v>19.0228561483789</v>
      </c>
      <c r="O195" s="60">
        <f t="shared" si="19"/>
        <v>9.44971020243437</v>
      </c>
    </row>
    <row r="196" spans="2:15">
      <c r="B196" s="76" t="s">
        <v>1122</v>
      </c>
      <c r="C196" s="55"/>
      <c r="D196" s="53">
        <f>'[17]Rev_SP-12me'!AQ226</f>
        <v>33.8414328629297</v>
      </c>
      <c r="E196" s="53">
        <f>'[17]Rev_SP-12me'!AT226</f>
        <v>0</v>
      </c>
      <c r="F196" s="53">
        <f>'[17]Rev_SP-12me'!AU226</f>
        <v>23.0121743467922</v>
      </c>
      <c r="G196" s="53">
        <f>'[17]Rev_SP-12me'!AW226</f>
        <v>0</v>
      </c>
      <c r="H196" s="8"/>
      <c r="I196" s="24">
        <f t="shared" si="17"/>
        <v>23.0121743467922</v>
      </c>
      <c r="J196" s="53">
        <f>'[17]Rev_SP-12me'!BN226</f>
        <v>0</v>
      </c>
      <c r="K196" s="53">
        <f>'[17]Rev_SP-12me'!BO226</f>
        <v>25.3895700201952</v>
      </c>
      <c r="L196" s="53">
        <f>'[17]Rev_SP-12me'!BQ226</f>
        <v>0</v>
      </c>
      <c r="M196" s="8"/>
      <c r="N196" s="61">
        <f t="shared" si="18"/>
        <v>25.3895700201952</v>
      </c>
      <c r="O196" s="60">
        <f t="shared" si="19"/>
        <v>7.50251034671976</v>
      </c>
    </row>
    <row r="197" ht="15" spans="2:15">
      <c r="B197" s="71" t="s">
        <v>1125</v>
      </c>
      <c r="C197" s="55"/>
      <c r="D197" s="48">
        <f>'[17]Rev_SP-12me'!AQ227</f>
        <v>0</v>
      </c>
      <c r="E197" s="48">
        <f>'[17]Rev_SP-12me'!AT227</f>
        <v>0</v>
      </c>
      <c r="F197" s="48">
        <f>'[17]Rev_SP-12me'!AU227</f>
        <v>0</v>
      </c>
      <c r="G197" s="48">
        <f>'[17]Rev_SP-12me'!AW227</f>
        <v>0</v>
      </c>
      <c r="H197" s="8"/>
      <c r="I197" s="24">
        <f t="shared" si="17"/>
        <v>0</v>
      </c>
      <c r="J197" s="48">
        <f>'[17]Rev_SP-12me'!BN227</f>
        <v>0</v>
      </c>
      <c r="K197" s="48">
        <f>'[17]Rev_SP-12me'!BO227</f>
        <v>0</v>
      </c>
      <c r="L197" s="48">
        <f>'[17]Rev_SP-12me'!BQ227</f>
        <v>0</v>
      </c>
      <c r="M197" s="8"/>
      <c r="N197" s="169">
        <f t="shared" si="18"/>
        <v>0</v>
      </c>
      <c r="O197" s="60"/>
    </row>
    <row r="198" spans="2:15">
      <c r="B198" s="74" t="s">
        <v>1119</v>
      </c>
      <c r="C198" s="55"/>
      <c r="D198" s="53">
        <f>'[17]Rev_SP-12me'!AQ228</f>
        <v>0</v>
      </c>
      <c r="E198" s="53">
        <f>'[17]Rev_SP-12me'!AT228</f>
        <v>0</v>
      </c>
      <c r="F198" s="53">
        <f>'[17]Rev_SP-12me'!AU228</f>
        <v>0</v>
      </c>
      <c r="G198" s="53">
        <f>'[17]Rev_SP-12me'!AW228</f>
        <v>0</v>
      </c>
      <c r="H198" s="8"/>
      <c r="I198" s="24">
        <f t="shared" si="17"/>
        <v>0</v>
      </c>
      <c r="J198" s="53">
        <f>'[17]Rev_SP-12me'!BN228</f>
        <v>0</v>
      </c>
      <c r="K198" s="53">
        <f>'[17]Rev_SP-12me'!BO228</f>
        <v>0</v>
      </c>
      <c r="L198" s="53">
        <f>'[17]Rev_SP-12me'!BQ228</f>
        <v>0</v>
      </c>
      <c r="M198" s="8"/>
      <c r="N198" s="61">
        <f t="shared" si="18"/>
        <v>0</v>
      </c>
      <c r="O198" s="60"/>
    </row>
    <row r="199" spans="2:15">
      <c r="B199" s="74" t="s">
        <v>1120</v>
      </c>
      <c r="C199" s="55"/>
      <c r="D199" s="53">
        <f>'[17]Rev_SP-12me'!AQ229</f>
        <v>0</v>
      </c>
      <c r="E199" s="53">
        <f>'[17]Rev_SP-12me'!AT229</f>
        <v>0</v>
      </c>
      <c r="F199" s="53">
        <f>'[17]Rev_SP-12me'!AU229</f>
        <v>0</v>
      </c>
      <c r="G199" s="53">
        <f>'[17]Rev_SP-12me'!AW229</f>
        <v>0</v>
      </c>
      <c r="H199" s="8"/>
      <c r="I199" s="24">
        <f t="shared" si="17"/>
        <v>0</v>
      </c>
      <c r="J199" s="53">
        <f>'[17]Rev_SP-12me'!BN229</f>
        <v>0</v>
      </c>
      <c r="K199" s="53">
        <f>'[17]Rev_SP-12me'!BO229</f>
        <v>0</v>
      </c>
      <c r="L199" s="53">
        <f>'[17]Rev_SP-12me'!BQ229</f>
        <v>0</v>
      </c>
      <c r="M199" s="8"/>
      <c r="N199" s="61">
        <f t="shared" si="18"/>
        <v>0</v>
      </c>
      <c r="O199" s="60"/>
    </row>
    <row r="200" spans="2:15">
      <c r="B200" s="74" t="s">
        <v>1121</v>
      </c>
      <c r="C200" s="55"/>
      <c r="D200" s="53">
        <f>'[17]Rev_SP-12me'!AQ230</f>
        <v>0</v>
      </c>
      <c r="E200" s="53">
        <f>'[17]Rev_SP-12me'!AT230</f>
        <v>0</v>
      </c>
      <c r="F200" s="53">
        <f>'[17]Rev_SP-12me'!AU230</f>
        <v>0</v>
      </c>
      <c r="G200" s="53">
        <f>'[17]Rev_SP-12me'!AW230</f>
        <v>0</v>
      </c>
      <c r="H200" s="8"/>
      <c r="I200" s="24">
        <f t="shared" si="17"/>
        <v>0</v>
      </c>
      <c r="J200" s="53">
        <f>'[17]Rev_SP-12me'!BN230</f>
        <v>0</v>
      </c>
      <c r="K200" s="53">
        <f>'[17]Rev_SP-12me'!BO230</f>
        <v>0</v>
      </c>
      <c r="L200" s="53">
        <f>'[17]Rev_SP-12me'!BQ230</f>
        <v>0</v>
      </c>
      <c r="M200" s="8"/>
      <c r="N200" s="61">
        <f t="shared" si="18"/>
        <v>0</v>
      </c>
      <c r="O200" s="60"/>
    </row>
    <row r="201" spans="2:15">
      <c r="B201" s="74" t="s">
        <v>1122</v>
      </c>
      <c r="C201" s="55"/>
      <c r="D201" s="53">
        <f>'[17]Rev_SP-12me'!AQ231</f>
        <v>0</v>
      </c>
      <c r="E201" s="53">
        <f>'[17]Rev_SP-12me'!AT231</f>
        <v>0</v>
      </c>
      <c r="F201" s="53">
        <f>'[17]Rev_SP-12me'!AU231</f>
        <v>0</v>
      </c>
      <c r="G201" s="53">
        <f>'[17]Rev_SP-12me'!AW231</f>
        <v>0</v>
      </c>
      <c r="H201" s="8"/>
      <c r="I201" s="24">
        <f t="shared" si="17"/>
        <v>0</v>
      </c>
      <c r="J201" s="53">
        <f>'[17]Rev_SP-12me'!BN231</f>
        <v>0</v>
      </c>
      <c r="K201" s="53">
        <f>'[17]Rev_SP-12me'!BO231</f>
        <v>0</v>
      </c>
      <c r="L201" s="53">
        <f>'[17]Rev_SP-12me'!BQ231</f>
        <v>0</v>
      </c>
      <c r="M201" s="8"/>
      <c r="N201" s="61">
        <f t="shared" si="18"/>
        <v>0</v>
      </c>
      <c r="O201" s="60"/>
    </row>
    <row r="202" ht="15" spans="2:15">
      <c r="B202" s="71" t="s">
        <v>1126</v>
      </c>
      <c r="C202" s="55"/>
      <c r="D202" s="48">
        <f>'[17]Rev_SP-12me'!AQ232</f>
        <v>88.1845563705598</v>
      </c>
      <c r="E202" s="48">
        <f>'[17]Rev_SP-12me'!AT232</f>
        <v>5.28813559322034</v>
      </c>
      <c r="F202" s="48">
        <f>'[17]Rev_SP-12me'!AU232</f>
        <v>65.6242295866007</v>
      </c>
      <c r="G202" s="48">
        <f>'[17]Rev_SP-12me'!AW232</f>
        <v>0.006</v>
      </c>
      <c r="H202" s="8"/>
      <c r="I202" s="24">
        <f t="shared" si="17"/>
        <v>70.9183651798211</v>
      </c>
      <c r="J202" s="48">
        <f>'[17]Rev_SP-12me'!BN232</f>
        <v>5.42729705619982</v>
      </c>
      <c r="K202" s="48">
        <f>'[17]Rev_SP-12me'!BO232</f>
        <v>71.5073926850938</v>
      </c>
      <c r="L202" s="48">
        <f>'[17]Rev_SP-12me'!BQ232</f>
        <v>0.006</v>
      </c>
      <c r="M202" s="8"/>
      <c r="N202" s="169">
        <f t="shared" si="18"/>
        <v>76.9406897412936</v>
      </c>
      <c r="O202" s="60">
        <f t="shared" ref="O202:O208" si="20">N202*10/D202</f>
        <v>8.72496193301485</v>
      </c>
    </row>
    <row r="203" spans="2:15">
      <c r="B203" s="76" t="s">
        <v>1119</v>
      </c>
      <c r="C203" s="55"/>
      <c r="D203" s="53">
        <f>'[17]Rev_SP-12me'!AQ233</f>
        <v>25.129291143283</v>
      </c>
      <c r="E203" s="53">
        <f>'[17]Rev_SP-12me'!AT233</f>
        <v>5.28813559322034</v>
      </c>
      <c r="F203" s="53">
        <f>'[17]Rev_SP-12me'!AU233</f>
        <v>18.7213219017458</v>
      </c>
      <c r="G203" s="53">
        <f>'[17]Rev_SP-12me'!AW233</f>
        <v>0.006</v>
      </c>
      <c r="H203" s="8"/>
      <c r="I203" s="24">
        <f t="shared" si="17"/>
        <v>24.0154574949661</v>
      </c>
      <c r="J203" s="53">
        <f>'[17]Rev_SP-12me'!BN233</f>
        <v>5.42729705619982</v>
      </c>
      <c r="K203" s="53">
        <f>'[17]Rev_SP-12me'!BO233</f>
        <v>20.3411605485185</v>
      </c>
      <c r="L203" s="53">
        <f>'[17]Rev_SP-12me'!BQ233</f>
        <v>0.006</v>
      </c>
      <c r="M203" s="8"/>
      <c r="N203" s="61">
        <f t="shared" si="18"/>
        <v>25.7744576047183</v>
      </c>
      <c r="O203" s="60">
        <f t="shared" si="20"/>
        <v>10.2567388223395</v>
      </c>
    </row>
    <row r="204" spans="2:15">
      <c r="B204" s="76" t="s">
        <v>1120</v>
      </c>
      <c r="C204" s="55"/>
      <c r="D204" s="53">
        <f>'[17]Rev_SP-12me'!AQ234</f>
        <v>17.9391627505141</v>
      </c>
      <c r="E204" s="53">
        <f>'[17]Rev_SP-12me'!AT234</f>
        <v>0</v>
      </c>
      <c r="F204" s="53">
        <f>'[17]Rev_SP-12me'!AU234</f>
        <v>15.1585925241844</v>
      </c>
      <c r="G204" s="53">
        <f>'[17]Rev_SP-12me'!AW234</f>
        <v>0</v>
      </c>
      <c r="H204" s="8"/>
      <c r="I204" s="24">
        <f t="shared" si="17"/>
        <v>15.1585925241844</v>
      </c>
      <c r="J204" s="53">
        <f>'[17]Rev_SP-12me'!BN234</f>
        <v>0</v>
      </c>
      <c r="K204" s="53">
        <f>'[17]Rev_SP-12me'!BO234</f>
        <v>16.3736767379686</v>
      </c>
      <c r="L204" s="53">
        <f>'[17]Rev_SP-12me'!BQ234</f>
        <v>0</v>
      </c>
      <c r="M204" s="8"/>
      <c r="N204" s="61">
        <f t="shared" si="18"/>
        <v>16.3736767379686</v>
      </c>
      <c r="O204" s="60">
        <f t="shared" si="20"/>
        <v>9.12733607787764</v>
      </c>
    </row>
    <row r="205" spans="2:15">
      <c r="B205" s="76" t="s">
        <v>1121</v>
      </c>
      <c r="C205" s="55"/>
      <c r="D205" s="53">
        <f>'[17]Rev_SP-12me'!AQ235</f>
        <v>13.2221453157927</v>
      </c>
      <c r="E205" s="53">
        <f>'[17]Rev_SP-12me'!AT235</f>
        <v>0</v>
      </c>
      <c r="F205" s="53">
        <f>'[17]Rev_SP-12me'!AU235</f>
        <v>11.1727127918448</v>
      </c>
      <c r="G205" s="53">
        <f>'[17]Rev_SP-12me'!AW235</f>
        <v>0</v>
      </c>
      <c r="H205" s="8"/>
      <c r="I205" s="24">
        <f t="shared" si="17"/>
        <v>11.1727127918448</v>
      </c>
      <c r="J205" s="53">
        <f>'[17]Rev_SP-12me'!BN235</f>
        <v>0</v>
      </c>
      <c r="K205" s="53">
        <f>'[17]Rev_SP-12me'!BO235</f>
        <v>12.0671064915092</v>
      </c>
      <c r="L205" s="53">
        <f>'[17]Rev_SP-12me'!BQ235</f>
        <v>0</v>
      </c>
      <c r="M205" s="8"/>
      <c r="N205" s="61">
        <f t="shared" si="18"/>
        <v>12.0671064915092</v>
      </c>
      <c r="O205" s="60">
        <f t="shared" si="20"/>
        <v>9.126436144289</v>
      </c>
    </row>
    <row r="206" spans="2:15">
      <c r="B206" s="76" t="s">
        <v>1122</v>
      </c>
      <c r="C206" s="55"/>
      <c r="D206" s="53">
        <f>'[17]Rev_SP-12me'!AQ236</f>
        <v>31.89395716097</v>
      </c>
      <c r="E206" s="53">
        <f>'[17]Rev_SP-12me'!AT236</f>
        <v>0</v>
      </c>
      <c r="F206" s="53">
        <f>'[17]Rev_SP-12me'!AU236</f>
        <v>20.5716023688257</v>
      </c>
      <c r="G206" s="53">
        <f>'[17]Rev_SP-12me'!AW236</f>
        <v>0</v>
      </c>
      <c r="H206" s="8"/>
      <c r="I206" s="24">
        <f t="shared" si="17"/>
        <v>20.5716023688257</v>
      </c>
      <c r="J206" s="53">
        <f>'[17]Rev_SP-12me'!BN236</f>
        <v>0</v>
      </c>
      <c r="K206" s="53">
        <f>'[17]Rev_SP-12me'!BO236</f>
        <v>22.7254489070976</v>
      </c>
      <c r="L206" s="53">
        <f>'[17]Rev_SP-12me'!BQ236</f>
        <v>0</v>
      </c>
      <c r="M206" s="8"/>
      <c r="N206" s="61">
        <f t="shared" si="18"/>
        <v>22.7254489070976</v>
      </c>
      <c r="O206" s="60">
        <f t="shared" si="20"/>
        <v>7.12531492796626</v>
      </c>
    </row>
    <row r="207" ht="15" spans="2:15">
      <c r="B207" s="71" t="s">
        <v>1155</v>
      </c>
      <c r="C207" s="55"/>
      <c r="D207" s="48">
        <f>'[17]Rev_SP-12me'!AQ237</f>
        <v>1205.84176147</v>
      </c>
      <c r="E207" s="48">
        <f>'[17]Rev_SP-12me'!AT237</f>
        <v>283.942435615959</v>
      </c>
      <c r="F207" s="48">
        <f>'[17]Rev_SP-12me'!AU237</f>
        <v>759.6803097261</v>
      </c>
      <c r="G207" s="48">
        <f>'[17]Rev_SP-12me'!AW237</f>
        <v>0.123466216216216</v>
      </c>
      <c r="H207" s="8"/>
      <c r="I207" s="24">
        <f t="shared" si="17"/>
        <v>1043.74621155828</v>
      </c>
      <c r="J207" s="48">
        <f>'[17]Rev_SP-12me'!BN237</f>
        <v>296.848909962139</v>
      </c>
      <c r="K207" s="48">
        <f>'[17]Rev_SP-12me'!BO237</f>
        <v>759.6803097261</v>
      </c>
      <c r="L207" s="48">
        <f>'[17]Rev_SP-12me'!BQ237</f>
        <v>0.123466216216216</v>
      </c>
      <c r="M207" s="8"/>
      <c r="N207" s="169">
        <f t="shared" si="18"/>
        <v>1056.65268590446</v>
      </c>
      <c r="O207" s="60">
        <f t="shared" si="20"/>
        <v>8.76278065387557</v>
      </c>
    </row>
    <row r="208" spans="2:15">
      <c r="B208" s="74" t="s">
        <v>1128</v>
      </c>
      <c r="C208" s="55"/>
      <c r="D208" s="53">
        <f>'[17]Rev_SP-12me'!AQ238</f>
        <v>1205.84176147</v>
      </c>
      <c r="E208" s="53">
        <f>'[17]Rev_SP-12me'!AT238</f>
        <v>283.942435615959</v>
      </c>
      <c r="F208" s="53">
        <f>'[17]Rev_SP-12me'!AU238</f>
        <v>759.6803097261</v>
      </c>
      <c r="G208" s="53">
        <f>'[17]Rev_SP-12me'!AW238</f>
        <v>0.123466216216216</v>
      </c>
      <c r="H208" s="8"/>
      <c r="I208" s="24">
        <f t="shared" si="17"/>
        <v>1043.74621155828</v>
      </c>
      <c r="J208" s="53">
        <f>'[17]Rev_SP-12me'!BN238</f>
        <v>296.848909962139</v>
      </c>
      <c r="K208" s="53">
        <f>'[17]Rev_SP-12me'!BO238</f>
        <v>759.6803097261</v>
      </c>
      <c r="L208" s="53">
        <f>'[17]Rev_SP-12me'!BQ238</f>
        <v>0.123466216216216</v>
      </c>
      <c r="M208" s="8"/>
      <c r="N208" s="61">
        <f t="shared" si="18"/>
        <v>1056.65268590446</v>
      </c>
      <c r="O208" s="60">
        <f t="shared" si="20"/>
        <v>8.76278065387557</v>
      </c>
    </row>
    <row r="209" spans="2:15">
      <c r="B209" s="74" t="s">
        <v>1156</v>
      </c>
      <c r="C209" s="55"/>
      <c r="D209" s="53">
        <f>'[17]Rev_SP-12me'!AQ239</f>
        <v>0</v>
      </c>
      <c r="E209" s="53">
        <f>'[17]Rev_SP-12me'!AT239</f>
        <v>0</v>
      </c>
      <c r="F209" s="53">
        <f>'[17]Rev_SP-12me'!AU239</f>
        <v>0</v>
      </c>
      <c r="G209" s="53">
        <f>'[17]Rev_SP-12me'!AW239</f>
        <v>0</v>
      </c>
      <c r="H209" s="8"/>
      <c r="I209" s="24">
        <f t="shared" si="17"/>
        <v>0</v>
      </c>
      <c r="J209" s="53">
        <f>'[17]Rev_SP-12me'!BN239</f>
        <v>0</v>
      </c>
      <c r="K209" s="53">
        <f>'[17]Rev_SP-12me'!BO239</f>
        <v>0</v>
      </c>
      <c r="L209" s="53">
        <f>'[17]Rev_SP-12me'!BQ239</f>
        <v>0</v>
      </c>
      <c r="M209" s="8"/>
      <c r="N209" s="61">
        <f t="shared" si="18"/>
        <v>0</v>
      </c>
      <c r="O209" s="60"/>
    </row>
    <row r="210" ht="15" spans="2:15">
      <c r="B210" s="71" t="s">
        <v>1157</v>
      </c>
      <c r="C210" s="55"/>
      <c r="D210" s="48">
        <f>'[17]Rev_SP-12me'!AQ247</f>
        <v>287.7540258892</v>
      </c>
      <c r="E210" s="48">
        <f>'[17]Rev_SP-12me'!AT247</f>
        <v>0</v>
      </c>
      <c r="F210" s="48">
        <f>'[17]Rev_SP-12me'!AU247</f>
        <v>175.529955792412</v>
      </c>
      <c r="G210" s="48">
        <f>'[17]Rev_SP-12me'!AW247</f>
        <v>0.012</v>
      </c>
      <c r="H210" s="8"/>
      <c r="I210" s="24">
        <f t="shared" si="17"/>
        <v>175.541955792412</v>
      </c>
      <c r="J210" s="48">
        <f>'[17]Rev_SP-12me'!BN247</f>
        <v>0</v>
      </c>
      <c r="K210" s="48">
        <f>'[17]Rev_SP-12me'!BO247</f>
        <v>175.529955792412</v>
      </c>
      <c r="L210" s="48">
        <f>'[17]Rev_SP-12me'!BQ247</f>
        <v>0.012</v>
      </c>
      <c r="M210" s="8"/>
      <c r="N210" s="169">
        <f t="shared" si="18"/>
        <v>175.541955792412</v>
      </c>
      <c r="O210" s="60">
        <f>N210*10/D210</f>
        <v>6.10041702283618</v>
      </c>
    </row>
    <row r="211" spans="2:15">
      <c r="B211" s="74" t="s">
        <v>220</v>
      </c>
      <c r="C211" s="55"/>
      <c r="D211" s="53">
        <f>'[17]Rev_SP-12me'!AQ248</f>
        <v>287.7540258892</v>
      </c>
      <c r="E211" s="53">
        <f>'[17]Rev_SP-12me'!AT248</f>
        <v>0</v>
      </c>
      <c r="F211" s="53">
        <f>'[17]Rev_SP-12me'!AU248</f>
        <v>175.529955792412</v>
      </c>
      <c r="G211" s="53">
        <f>'[17]Rev_SP-12me'!AW248</f>
        <v>0.012</v>
      </c>
      <c r="H211" s="8"/>
      <c r="I211" s="24">
        <f t="shared" si="17"/>
        <v>175.541955792412</v>
      </c>
      <c r="J211" s="53">
        <f>'[17]Rev_SP-12me'!BN248</f>
        <v>0</v>
      </c>
      <c r="K211" s="53">
        <f>'[17]Rev_SP-12me'!BO248</f>
        <v>175.529955792412</v>
      </c>
      <c r="L211" s="53">
        <f>'[17]Rev_SP-12me'!BQ248</f>
        <v>0.012</v>
      </c>
      <c r="M211" s="8"/>
      <c r="N211" s="61">
        <f t="shared" si="18"/>
        <v>175.541955792412</v>
      </c>
      <c r="O211" s="60">
        <f>N211*10/D211</f>
        <v>6.10041702283618</v>
      </c>
    </row>
    <row r="212" ht="15" spans="2:15">
      <c r="B212" s="71" t="s">
        <v>1158</v>
      </c>
      <c r="C212" s="55"/>
      <c r="D212" s="87">
        <f>'[17]Rev_SP-12me'!AQ249</f>
        <v>0</v>
      </c>
      <c r="E212" s="87">
        <f>'[17]Rev_SP-12me'!AT249</f>
        <v>0</v>
      </c>
      <c r="F212" s="87">
        <f>'[17]Rev_SP-12me'!AU249</f>
        <v>0</v>
      </c>
      <c r="G212" s="87">
        <f>'[17]Rev_SP-12me'!AW249</f>
        <v>0</v>
      </c>
      <c r="H212" s="8"/>
      <c r="I212" s="24">
        <f t="shared" si="17"/>
        <v>0</v>
      </c>
      <c r="J212" s="87">
        <f>'[17]Rev_SP-12me'!BN249</f>
        <v>0</v>
      </c>
      <c r="K212" s="87">
        <f>'[17]Rev_SP-12me'!BO249</f>
        <v>0</v>
      </c>
      <c r="L212" s="87">
        <f>'[17]Rev_SP-12me'!BQ249</f>
        <v>0</v>
      </c>
      <c r="M212" s="8"/>
      <c r="N212" s="61">
        <f t="shared" si="18"/>
        <v>0</v>
      </c>
      <c r="O212" s="60"/>
    </row>
    <row r="213" ht="15" spans="2:15">
      <c r="B213" s="88" t="s">
        <v>1159</v>
      </c>
      <c r="C213" s="55"/>
      <c r="D213" s="48">
        <f>'[17]Rev_SP-12me'!AQ240</f>
        <v>809.568318320509</v>
      </c>
      <c r="E213" s="48">
        <f>'[17]Rev_SP-12me'!AT240</f>
        <v>72.3020238500852</v>
      </c>
      <c r="F213" s="48">
        <f>'[17]Rev_SP-12me'!AU240</f>
        <v>407.493840181101</v>
      </c>
      <c r="G213" s="48">
        <f>'[17]Rev_SP-12me'!AW240</f>
        <v>0.10725</v>
      </c>
      <c r="H213" s="8"/>
      <c r="I213" s="24">
        <f t="shared" si="17"/>
        <v>479.903114031186</v>
      </c>
      <c r="J213" s="48">
        <f>'[17]Rev_SP-12me'!BN240</f>
        <v>74.2047086882453</v>
      </c>
      <c r="K213" s="48">
        <f>'[17]Rev_SP-12me'!BO240</f>
        <v>450.709479336408</v>
      </c>
      <c r="L213" s="48">
        <f>'[17]Rev_SP-12me'!BQ240</f>
        <v>0.10725</v>
      </c>
      <c r="M213" s="8"/>
      <c r="N213" s="169">
        <f t="shared" si="18"/>
        <v>525.021438024653</v>
      </c>
      <c r="O213" s="60">
        <f>N213*10/D213</f>
        <v>6.48520237444367</v>
      </c>
    </row>
    <row r="214" spans="2:15">
      <c r="B214" s="74" t="s">
        <v>1160</v>
      </c>
      <c r="C214" s="55"/>
      <c r="D214" s="53">
        <f>'[17]Rev_SP-12me'!AQ241</f>
        <v>675.752261244861</v>
      </c>
      <c r="E214" s="53">
        <f>'[17]Rev_SP-12me'!AT241</f>
        <v>61.5390255536627</v>
      </c>
      <c r="F214" s="53">
        <f>'[17]Rev_SP-12me'!AU241</f>
        <v>341.254891928655</v>
      </c>
      <c r="G214" s="53">
        <f>'[17]Rev_SP-12me'!AW241</f>
        <v>0.08025</v>
      </c>
      <c r="H214" s="8"/>
      <c r="I214" s="24">
        <f t="shared" si="17"/>
        <v>402.874167482318</v>
      </c>
      <c r="J214" s="53">
        <f>'[17]Rev_SP-12me'!BN241</f>
        <v>63.1584735945486</v>
      </c>
      <c r="K214" s="53">
        <f>'[17]Rev_SP-12me'!BO241</f>
        <v>384.470531083962</v>
      </c>
      <c r="L214" s="53">
        <f>'[17]Rev_SP-12me'!BQ241</f>
        <v>0.08025</v>
      </c>
      <c r="M214" s="8"/>
      <c r="N214" s="61">
        <f t="shared" si="18"/>
        <v>447.709254678511</v>
      </c>
      <c r="O214" s="60">
        <f>N214*10/D214</f>
        <v>6.62534600851719</v>
      </c>
    </row>
    <row r="215" spans="2:15">
      <c r="B215" s="74" t="s">
        <v>1161</v>
      </c>
      <c r="C215" s="55"/>
      <c r="D215" s="53">
        <f>'[17]Rev_SP-12me'!AQ242</f>
        <v>0</v>
      </c>
      <c r="E215" s="53">
        <f>'[17]Rev_SP-12me'!AT242</f>
        <v>0</v>
      </c>
      <c r="F215" s="53">
        <f>'[17]Rev_SP-12me'!AU242</f>
        <v>0</v>
      </c>
      <c r="G215" s="53">
        <f>'[17]Rev_SP-12me'!AW242</f>
        <v>0</v>
      </c>
      <c r="H215" s="8"/>
      <c r="I215" s="24">
        <f t="shared" si="17"/>
        <v>0</v>
      </c>
      <c r="J215" s="53">
        <f>'[17]Rev_SP-12me'!BN242</f>
        <v>0</v>
      </c>
      <c r="K215" s="53">
        <f>'[17]Rev_SP-12me'!BO242</f>
        <v>0</v>
      </c>
      <c r="L215" s="53">
        <f>'[17]Rev_SP-12me'!BQ242</f>
        <v>0</v>
      </c>
      <c r="M215" s="8"/>
      <c r="N215" s="61">
        <f t="shared" si="18"/>
        <v>0</v>
      </c>
      <c r="O215" s="60"/>
    </row>
    <row r="216" spans="2:15">
      <c r="B216" s="74" t="s">
        <v>1162</v>
      </c>
      <c r="C216" s="55"/>
      <c r="D216" s="53">
        <f>'[17]Rev_SP-12me'!AQ243</f>
        <v>133.816057075648</v>
      </c>
      <c r="E216" s="53">
        <f>'[17]Rev_SP-12me'!AT243</f>
        <v>10.7629982964225</v>
      </c>
      <c r="F216" s="53">
        <f>'[17]Rev_SP-12me'!AU243</f>
        <v>66.2389482524458</v>
      </c>
      <c r="G216" s="53">
        <f>'[17]Rev_SP-12me'!AW243</f>
        <v>0.027</v>
      </c>
      <c r="H216" s="8"/>
      <c r="I216" s="24">
        <f t="shared" si="17"/>
        <v>77.0289465488683</v>
      </c>
      <c r="J216" s="53">
        <f>'[17]Rev_SP-12me'!BN243</f>
        <v>11.0462350936968</v>
      </c>
      <c r="K216" s="53">
        <f>'[17]Rev_SP-12me'!BO243</f>
        <v>66.2389482524458</v>
      </c>
      <c r="L216" s="53">
        <f>'[17]Rev_SP-12me'!BQ243</f>
        <v>0.027</v>
      </c>
      <c r="M216" s="8"/>
      <c r="N216" s="61">
        <f t="shared" si="18"/>
        <v>77.3121833461426</v>
      </c>
      <c r="O216" s="60">
        <f>N216*10/D216</f>
        <v>5.77749673960555</v>
      </c>
    </row>
    <row r="217" spans="2:15">
      <c r="B217" s="74" t="s">
        <v>1163</v>
      </c>
      <c r="C217" s="55"/>
      <c r="D217" s="53">
        <f>'[17]Rev_SP-12me'!AQ244</f>
        <v>0</v>
      </c>
      <c r="E217" s="53">
        <f>'[17]Rev_SP-12me'!AT244</f>
        <v>0</v>
      </c>
      <c r="F217" s="53">
        <f>'[17]Rev_SP-12me'!AU244</f>
        <v>0</v>
      </c>
      <c r="G217" s="53">
        <f>'[17]Rev_SP-12me'!AW244</f>
        <v>0</v>
      </c>
      <c r="H217" s="8"/>
      <c r="I217" s="24">
        <f t="shared" si="17"/>
        <v>0</v>
      </c>
      <c r="J217" s="53">
        <f>'[17]Rev_SP-12me'!BN244</f>
        <v>0</v>
      </c>
      <c r="K217" s="53">
        <f>'[17]Rev_SP-12me'!BO244</f>
        <v>0</v>
      </c>
      <c r="L217" s="53">
        <f>'[17]Rev_SP-12me'!BQ244</f>
        <v>0</v>
      </c>
      <c r="M217" s="8"/>
      <c r="N217" s="61">
        <f t="shared" si="18"/>
        <v>0</v>
      </c>
      <c r="O217" s="60"/>
    </row>
    <row r="218" ht="15" spans="2:15">
      <c r="B218" s="71" t="s">
        <v>919</v>
      </c>
      <c r="C218" s="55"/>
      <c r="D218" s="48">
        <f>'[17]Rev_SP-12me'!AQ245</f>
        <v>0</v>
      </c>
      <c r="E218" s="48">
        <f>'[17]Rev_SP-12me'!AT245</f>
        <v>0</v>
      </c>
      <c r="F218" s="48">
        <f>'[17]Rev_SP-12me'!AU245</f>
        <v>0</v>
      </c>
      <c r="G218" s="48">
        <f>'[17]Rev_SP-12me'!AW245</f>
        <v>0</v>
      </c>
      <c r="H218" s="8"/>
      <c r="I218" s="24">
        <f t="shared" si="17"/>
        <v>0</v>
      </c>
      <c r="J218" s="48">
        <f>'[17]Rev_SP-12me'!BN245</f>
        <v>0</v>
      </c>
      <c r="K218" s="48">
        <f>'[17]Rev_SP-12me'!BO245</f>
        <v>0</v>
      </c>
      <c r="L218" s="48">
        <f>'[17]Rev_SP-12me'!BQ245</f>
        <v>0</v>
      </c>
      <c r="M218" s="8"/>
      <c r="N218" s="169">
        <f t="shared" si="18"/>
        <v>0</v>
      </c>
      <c r="O218" s="60"/>
    </row>
    <row r="219" ht="15" spans="2:15">
      <c r="B219" s="71" t="s">
        <v>1133</v>
      </c>
      <c r="C219" s="55"/>
      <c r="D219" s="48">
        <f>'[17]Rev_SP-12me'!AQ246</f>
        <v>0</v>
      </c>
      <c r="E219" s="48">
        <f>'[17]Rev_SP-12me'!AT246</f>
        <v>0</v>
      </c>
      <c r="F219" s="48">
        <f>'[17]Rev_SP-12me'!AU246</f>
        <v>0</v>
      </c>
      <c r="G219" s="48">
        <f>'[17]Rev_SP-12me'!AW246</f>
        <v>0</v>
      </c>
      <c r="H219" s="8"/>
      <c r="I219" s="24">
        <f t="shared" si="17"/>
        <v>0</v>
      </c>
      <c r="J219" s="48">
        <f>'[17]Rev_SP-12me'!BN246</f>
        <v>0</v>
      </c>
      <c r="K219" s="48">
        <f>'[17]Rev_SP-12me'!BO246</f>
        <v>0</v>
      </c>
      <c r="L219" s="48">
        <f>'[17]Rev_SP-12me'!BQ246</f>
        <v>0</v>
      </c>
      <c r="M219" s="8"/>
      <c r="N219" s="169">
        <f t="shared" si="18"/>
        <v>0</v>
      </c>
      <c r="O219" s="60"/>
    </row>
    <row r="220" ht="15" spans="2:15">
      <c r="B220" s="77" t="s">
        <v>1164</v>
      </c>
      <c r="C220" s="55"/>
      <c r="D220" s="78">
        <f t="shared" ref="D220:L220" si="21">SUM(D178,D186,D191,D192,D197,D202,D207,D210,D212,D213,D218,D219)</f>
        <v>8327.82356303429</v>
      </c>
      <c r="E220" s="78">
        <f t="shared" si="21"/>
        <v>778.261253600676</v>
      </c>
      <c r="F220" s="78">
        <f t="shared" si="21"/>
        <v>5357.78764561039</v>
      </c>
      <c r="G220" s="78">
        <f t="shared" si="21"/>
        <v>0.568317460031726</v>
      </c>
      <c r="H220" s="78">
        <f t="shared" si="21"/>
        <v>0</v>
      </c>
      <c r="I220" s="78">
        <f t="shared" si="21"/>
        <v>6136.6172166711</v>
      </c>
      <c r="J220" s="78">
        <f t="shared" si="21"/>
        <v>804.176117893823</v>
      </c>
      <c r="K220" s="78">
        <f t="shared" si="21"/>
        <v>5718.20481585045</v>
      </c>
      <c r="L220" s="78">
        <f t="shared" si="21"/>
        <v>0.568317460031726</v>
      </c>
      <c r="M220" s="78"/>
      <c r="N220" s="78">
        <f t="shared" si="18"/>
        <v>6522.9492512043</v>
      </c>
      <c r="O220" s="60">
        <f>N220*10/D220</f>
        <v>7.83271787860456</v>
      </c>
    </row>
    <row r="221" spans="2:15">
      <c r="B221" s="77"/>
      <c r="C221" s="55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61"/>
      <c r="O221" s="60"/>
    </row>
    <row r="222" ht="15" spans="2:15">
      <c r="B222" s="54" t="s">
        <v>1165</v>
      </c>
      <c r="C222" s="55"/>
      <c r="D222" s="78">
        <f t="shared" ref="D222:N222" si="22">D127+D175+D220</f>
        <v>25456.4712382729</v>
      </c>
      <c r="E222" s="78">
        <f t="shared" si="22"/>
        <v>3345.96906374908</v>
      </c>
      <c r="F222" s="78">
        <f t="shared" si="22"/>
        <v>18562.6805203592</v>
      </c>
      <c r="G222" s="78">
        <f t="shared" si="22"/>
        <v>31.7507194049194</v>
      </c>
      <c r="H222" s="78">
        <f t="shared" si="22"/>
        <v>0</v>
      </c>
      <c r="I222" s="78">
        <f t="shared" si="22"/>
        <v>21940.4003035132</v>
      </c>
      <c r="J222" s="78">
        <f t="shared" si="22"/>
        <v>3440.02003275586</v>
      </c>
      <c r="K222" s="78">
        <f t="shared" si="22"/>
        <v>19168.5017430972</v>
      </c>
      <c r="L222" s="78">
        <f t="shared" si="22"/>
        <v>31.7507194049194</v>
      </c>
      <c r="M222" s="78">
        <f t="shared" si="22"/>
        <v>0</v>
      </c>
      <c r="N222" s="78">
        <f t="shared" si="22"/>
        <v>22640.272495258</v>
      </c>
      <c r="O222" s="60">
        <f>N222*10/D222</f>
        <v>8.89371990459506</v>
      </c>
    </row>
    <row r="223" ht="15" spans="2:15">
      <c r="B223" s="54" t="s">
        <v>1166</v>
      </c>
      <c r="C223" s="55"/>
      <c r="D223" s="78">
        <f t="shared" ref="D223:N223" si="23">D222+D72</f>
        <v>55359.135542613</v>
      </c>
      <c r="E223" s="80">
        <f t="shared" si="23"/>
        <v>4020.12228568084</v>
      </c>
      <c r="F223" s="80">
        <f t="shared" si="23"/>
        <v>29707.0899980824</v>
      </c>
      <c r="G223" s="80">
        <f t="shared" si="23"/>
        <v>929.636056831269</v>
      </c>
      <c r="H223" s="78">
        <f t="shared" si="23"/>
        <v>0</v>
      </c>
      <c r="I223" s="80">
        <f t="shared" si="23"/>
        <v>34656.8483405945</v>
      </c>
      <c r="J223" s="80">
        <f t="shared" si="23"/>
        <v>4442.46478593317</v>
      </c>
      <c r="K223" s="80">
        <f t="shared" si="23"/>
        <v>30312.9112208203</v>
      </c>
      <c r="L223" s="80">
        <f t="shared" si="23"/>
        <v>929.636056831269</v>
      </c>
      <c r="M223" s="78">
        <f t="shared" si="23"/>
        <v>0</v>
      </c>
      <c r="N223" s="80">
        <f t="shared" si="23"/>
        <v>35685.0120635848</v>
      </c>
      <c r="O223" s="60">
        <f>N223*10/D223</f>
        <v>6.44609272052596</v>
      </c>
    </row>
    <row r="224" spans="2:3">
      <c r="B224" s="12"/>
      <c r="C224" s="12"/>
    </row>
    <row r="225" spans="2:3">
      <c r="B225" s="12"/>
      <c r="C225" s="12"/>
    </row>
    <row r="226" spans="2:3">
      <c r="B226" s="12"/>
      <c r="C226" s="12"/>
    </row>
    <row r="227" ht="15" spans="2:9">
      <c r="B227" s="12"/>
      <c r="C227" s="12"/>
      <c r="H227" s="11" t="s">
        <v>225</v>
      </c>
      <c r="I227" s="12"/>
    </row>
    <row r="228" spans="2:9">
      <c r="B228" s="12"/>
      <c r="C228" s="12"/>
      <c r="H228" s="13">
        <v>1</v>
      </c>
      <c r="I228" s="12" t="s">
        <v>226</v>
      </c>
    </row>
    <row r="229" spans="2:9">
      <c r="B229" s="12"/>
      <c r="C229" s="12"/>
      <c r="H229" s="13"/>
      <c r="I229" s="12"/>
    </row>
    <row r="230" spans="2:3">
      <c r="B230" s="12"/>
      <c r="C230" s="12"/>
    </row>
    <row r="231" spans="2:3">
      <c r="B231" s="12"/>
      <c r="C231" s="12"/>
    </row>
    <row r="232" spans="2:3">
      <c r="B232" s="12"/>
      <c r="C232" s="12"/>
    </row>
    <row r="233" spans="2:15">
      <c r="B233" s="12"/>
      <c r="C233" s="12"/>
      <c r="O233" s="173"/>
    </row>
    <row r="234" spans="2:3">
      <c r="B234" s="12"/>
      <c r="C234" s="12"/>
    </row>
    <row r="235" spans="2:3">
      <c r="B235" s="12"/>
      <c r="C235" s="12"/>
    </row>
    <row r="236" spans="2:3">
      <c r="B236" s="12"/>
      <c r="C236" s="12"/>
    </row>
    <row r="237" spans="2:3">
      <c r="B237" s="12"/>
      <c r="C237" s="12"/>
    </row>
    <row r="238" spans="2:3">
      <c r="B238" s="12"/>
      <c r="C238" s="12"/>
    </row>
    <row r="239" spans="2:3">
      <c r="B239" s="12"/>
      <c r="C239" s="12"/>
    </row>
    <row r="240" spans="2:3">
      <c r="B240" s="12"/>
      <c r="C240" s="12"/>
    </row>
    <row r="241" spans="2:3">
      <c r="B241" s="12"/>
      <c r="C241" s="12"/>
    </row>
    <row r="242" spans="2:3">
      <c r="B242" s="12"/>
      <c r="C242" s="12"/>
    </row>
    <row r="243" spans="2:3">
      <c r="B243" s="12"/>
      <c r="C243" s="12"/>
    </row>
    <row r="244" spans="2:3">
      <c r="B244" s="12"/>
      <c r="C244" s="12"/>
    </row>
    <row r="245" spans="2:3">
      <c r="B245" s="12"/>
      <c r="C245" s="12"/>
    </row>
    <row r="246" spans="2:3">
      <c r="B246" s="12"/>
      <c r="C246" s="12"/>
    </row>
    <row r="247" spans="2:3">
      <c r="B247" s="12"/>
      <c r="C247" s="12"/>
    </row>
    <row r="248" spans="2:3">
      <c r="B248" s="12"/>
      <c r="C248" s="12"/>
    </row>
    <row r="249" spans="2:3">
      <c r="B249" s="12"/>
      <c r="C249" s="12"/>
    </row>
    <row r="250" spans="2:3">
      <c r="B250" s="12"/>
      <c r="C250" s="12"/>
    </row>
    <row r="251" spans="2:3">
      <c r="B251" s="12"/>
      <c r="C251" s="12"/>
    </row>
    <row r="252" spans="2:3">
      <c r="B252" s="12"/>
      <c r="C252" s="12"/>
    </row>
    <row r="253" spans="2:3">
      <c r="B253" s="12"/>
      <c r="C253" s="12"/>
    </row>
    <row r="254" spans="2:3">
      <c r="B254" s="12"/>
      <c r="C254" s="12"/>
    </row>
    <row r="255" spans="2:3">
      <c r="B255" s="12"/>
      <c r="C255" s="12"/>
    </row>
    <row r="256" spans="2:3">
      <c r="B256" s="12"/>
      <c r="C256" s="12"/>
    </row>
    <row r="257" spans="2:3">
      <c r="B257" s="12"/>
      <c r="C257" s="12"/>
    </row>
    <row r="258" spans="2:3">
      <c r="B258" s="12"/>
      <c r="C258" s="12"/>
    </row>
    <row r="259" spans="2:3">
      <c r="B259" s="12"/>
      <c r="C259" s="12"/>
    </row>
    <row r="260" spans="2:3">
      <c r="B260" s="12"/>
      <c r="C260" s="12"/>
    </row>
    <row r="261" spans="2:3">
      <c r="B261" s="12"/>
      <c r="C261" s="12"/>
    </row>
    <row r="262" spans="2:3">
      <c r="B262" s="12"/>
      <c r="C262" s="12"/>
    </row>
    <row r="263" spans="2:3">
      <c r="B263" s="12"/>
      <c r="C263" s="12"/>
    </row>
    <row r="264" spans="2:3">
      <c r="B264" s="12"/>
      <c r="C264" s="12"/>
    </row>
    <row r="265" spans="2:3">
      <c r="B265" s="12"/>
      <c r="C265" s="12"/>
    </row>
    <row r="266" spans="2:3">
      <c r="B266" s="12"/>
      <c r="C266" s="12"/>
    </row>
    <row r="267" spans="2:3">
      <c r="B267" s="12"/>
      <c r="C267" s="12"/>
    </row>
    <row r="268" spans="2:3">
      <c r="B268" s="12"/>
      <c r="C268" s="12"/>
    </row>
    <row r="269" spans="2:3">
      <c r="B269" s="12"/>
      <c r="C269" s="12"/>
    </row>
    <row r="270" spans="2:3">
      <c r="B270" s="12"/>
      <c r="C270" s="12"/>
    </row>
    <row r="271" spans="2:3">
      <c r="B271" s="12"/>
      <c r="C271" s="12"/>
    </row>
    <row r="272" spans="2:3">
      <c r="B272" s="12"/>
      <c r="C272" s="12"/>
    </row>
    <row r="273" spans="2:3">
      <c r="B273" s="12"/>
      <c r="C273" s="12"/>
    </row>
    <row r="274" spans="2:3">
      <c r="B274" s="12"/>
      <c r="C274" s="12"/>
    </row>
    <row r="275" spans="2:3">
      <c r="B275" s="12"/>
      <c r="C275" s="12"/>
    </row>
    <row r="276" spans="2:3">
      <c r="B276" s="12"/>
      <c r="C276" s="12"/>
    </row>
    <row r="277" spans="2:3">
      <c r="B277" s="12"/>
      <c r="C277" s="12"/>
    </row>
    <row r="278" spans="2:3">
      <c r="B278" s="12"/>
      <c r="C278" s="12"/>
    </row>
    <row r="279" spans="2:3">
      <c r="B279" s="12"/>
      <c r="C279" s="12"/>
    </row>
    <row r="280" spans="2:3">
      <c r="B280" s="12"/>
      <c r="C280" s="12"/>
    </row>
    <row r="281" spans="2:3">
      <c r="B281" s="12"/>
      <c r="C281" s="12"/>
    </row>
    <row r="282" spans="2:3">
      <c r="B282" s="12"/>
      <c r="C282" s="12"/>
    </row>
    <row r="283" spans="2:3">
      <c r="B283" s="12"/>
      <c r="C283" s="12"/>
    </row>
    <row r="284" spans="2:3">
      <c r="B284" s="12"/>
      <c r="C284" s="12"/>
    </row>
    <row r="285" spans="2:3">
      <c r="B285" s="12"/>
      <c r="C285" s="12"/>
    </row>
    <row r="286" spans="2:3">
      <c r="B286" s="12"/>
      <c r="C286" s="12"/>
    </row>
    <row r="287" spans="2:3">
      <c r="B287" s="12"/>
      <c r="C287" s="12"/>
    </row>
    <row r="288" spans="2:3">
      <c r="B288" s="12"/>
      <c r="C288" s="12"/>
    </row>
    <row r="289" spans="2:3">
      <c r="B289" s="12"/>
      <c r="C289" s="12"/>
    </row>
    <row r="290" spans="2:3">
      <c r="B290" s="12"/>
      <c r="C290" s="12"/>
    </row>
    <row r="291" spans="2:3">
      <c r="B291" s="12"/>
      <c r="C291" s="12"/>
    </row>
    <row r="292" spans="2:3">
      <c r="B292" s="12"/>
      <c r="C292" s="12"/>
    </row>
    <row r="293" spans="2:3">
      <c r="B293" s="12"/>
      <c r="C293" s="12"/>
    </row>
    <row r="294" spans="2:3">
      <c r="B294" s="12"/>
      <c r="C294" s="12"/>
    </row>
    <row r="295" spans="2:3">
      <c r="B295" s="12"/>
      <c r="C295" s="12"/>
    </row>
    <row r="296" spans="2:3">
      <c r="B296" s="12"/>
      <c r="C296" s="12"/>
    </row>
    <row r="297" spans="2:3">
      <c r="B297" s="12"/>
      <c r="C297" s="12"/>
    </row>
    <row r="298" spans="2:3">
      <c r="B298" s="12"/>
      <c r="C298" s="12"/>
    </row>
    <row r="299" spans="2:3">
      <c r="B299" s="12"/>
      <c r="C299" s="12"/>
    </row>
    <row r="300" spans="2:3">
      <c r="B300" s="12"/>
      <c r="C300" s="12"/>
    </row>
    <row r="301" spans="2:3">
      <c r="B301" s="12"/>
      <c r="C301" s="12"/>
    </row>
    <row r="302" spans="2:3">
      <c r="B302" s="12" t="s">
        <v>258</v>
      </c>
      <c r="C302" s="12" t="s">
        <v>258</v>
      </c>
    </row>
  </sheetData>
  <mergeCells count="7">
    <mergeCell ref="A3:T3"/>
    <mergeCell ref="E7:I7"/>
    <mergeCell ref="J7:O7"/>
    <mergeCell ref="B10:C10"/>
    <mergeCell ref="B74:C74"/>
    <mergeCell ref="D7:D8"/>
    <mergeCell ref="B7:C9"/>
  </mergeCells>
  <pageMargins left="0.7" right="0.7" top="0.75" bottom="0.75" header="0.3" footer="0.3"/>
  <pageSetup paperSize="1" orientation="portrait"/>
  <headerFooter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W302"/>
  <sheetViews>
    <sheetView showGridLines="0" zoomScale="80" zoomScaleNormal="80" zoomScaleSheetLayoutView="80" workbookViewId="0">
      <pane xSplit="3" ySplit="9" topLeftCell="D10" activePane="bottomRight" state="frozen"/>
      <selection/>
      <selection pane="topRight"/>
      <selection pane="bottomLeft"/>
      <selection pane="bottomRight" activeCell="L29" sqref="L29"/>
    </sheetView>
  </sheetViews>
  <sheetFormatPr defaultColWidth="9.14285714285714" defaultRowHeight="14.25"/>
  <cols>
    <col min="1" max="1" width="9.14285714285714" style="12"/>
    <col min="2" max="2" width="33" style="12" customWidth="1"/>
    <col min="3" max="3" width="38.5714285714286" style="12" customWidth="1"/>
    <col min="4" max="4" width="14" style="12" customWidth="1"/>
    <col min="5" max="5" width="25" style="12" customWidth="1"/>
    <col min="6" max="6" width="17.5714285714286" style="12" customWidth="1"/>
    <col min="7" max="7" width="20.4285714285714" style="12" customWidth="1"/>
    <col min="8" max="8" width="17.4285714285714" style="12" customWidth="1"/>
    <col min="9" max="9" width="24.4285714285714" style="12" customWidth="1"/>
    <col min="10" max="10" width="17.1428571428571" style="12" customWidth="1"/>
    <col min="11" max="11" width="19.5714285714286" style="12" customWidth="1"/>
    <col min="12" max="12" width="10.4285714285714" style="12" customWidth="1"/>
    <col min="13" max="13" width="21.5714285714286" style="12" customWidth="1"/>
    <col min="14" max="16384" width="9.14285714285714" style="12"/>
  </cols>
  <sheetData>
    <row r="2" ht="15" spans="2:23">
      <c r="B2" s="34"/>
      <c r="C2" s="34"/>
      <c r="D2" s="34"/>
      <c r="E2" s="34"/>
      <c r="F2" s="34"/>
      <c r="H2" s="34"/>
      <c r="I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ht="15" spans="1:18">
      <c r="A3" s="3" t="s">
        <v>1193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8">
      <c r="A4" s="13"/>
      <c r="B4" s="13"/>
      <c r="C4" s="13"/>
      <c r="D4" s="13"/>
      <c r="E4" s="13"/>
      <c r="F4" s="13"/>
      <c r="G4" s="13"/>
      <c r="H4" s="13"/>
    </row>
    <row r="7" ht="15" spans="2:13">
      <c r="B7" s="36" t="s">
        <v>159</v>
      </c>
      <c r="C7" s="37"/>
      <c r="D7" s="38" t="s">
        <v>879</v>
      </c>
      <c r="E7" s="135" t="s">
        <v>1190</v>
      </c>
      <c r="F7" s="135"/>
      <c r="G7" s="135"/>
      <c r="H7" s="135"/>
      <c r="I7" s="135" t="s">
        <v>1191</v>
      </c>
      <c r="J7" s="135"/>
      <c r="K7" s="135"/>
      <c r="L7" s="135"/>
      <c r="M7" s="135"/>
    </row>
    <row r="8" ht="15" spans="2:13">
      <c r="B8" s="40"/>
      <c r="C8" s="41"/>
      <c r="D8" s="38"/>
      <c r="E8" s="38" t="s">
        <v>1092</v>
      </c>
      <c r="F8" s="38" t="s">
        <v>1093</v>
      </c>
      <c r="G8" s="38" t="s">
        <v>1089</v>
      </c>
      <c r="H8" s="38" t="s">
        <v>97</v>
      </c>
      <c r="I8" s="38" t="s">
        <v>1092</v>
      </c>
      <c r="J8" s="38" t="s">
        <v>1093</v>
      </c>
      <c r="K8" s="38" t="s">
        <v>1089</v>
      </c>
      <c r="L8" s="38" t="s">
        <v>97</v>
      </c>
      <c r="M8" s="135" t="s">
        <v>1192</v>
      </c>
    </row>
    <row r="9" ht="15" spans="2:13">
      <c r="B9" s="42"/>
      <c r="C9" s="43"/>
      <c r="D9" s="135" t="s">
        <v>1096</v>
      </c>
      <c r="E9" s="38" t="s">
        <v>550</v>
      </c>
      <c r="F9" s="38" t="s">
        <v>550</v>
      </c>
      <c r="G9" s="38" t="s">
        <v>550</v>
      </c>
      <c r="H9" s="38" t="s">
        <v>550</v>
      </c>
      <c r="I9" s="38" t="s">
        <v>550</v>
      </c>
      <c r="J9" s="38" t="s">
        <v>550</v>
      </c>
      <c r="K9" s="38" t="s">
        <v>550</v>
      </c>
      <c r="L9" s="38" t="s">
        <v>550</v>
      </c>
      <c r="M9" s="135" t="s">
        <v>754</v>
      </c>
    </row>
    <row r="10" ht="15" spans="2:13">
      <c r="B10" s="44" t="s">
        <v>890</v>
      </c>
      <c r="C10" s="45"/>
      <c r="E10" s="55"/>
      <c r="F10" s="55"/>
      <c r="G10" s="55"/>
      <c r="H10" s="55"/>
      <c r="I10" s="55"/>
      <c r="J10" s="55"/>
      <c r="K10" s="55"/>
      <c r="L10" s="141"/>
      <c r="M10" s="55"/>
    </row>
    <row r="11" ht="15" spans="2:13">
      <c r="B11" s="46" t="s">
        <v>1000</v>
      </c>
      <c r="C11" s="47"/>
      <c r="D11" s="136">
        <f>'[67]Rev_SP-12me'!AQ10</f>
        <v>11473.8264427974</v>
      </c>
      <c r="E11" s="136">
        <f>'[67]Rev_SP-12me'!AT10</f>
        <v>155.04</v>
      </c>
      <c r="F11" s="136">
        <f>'[67]Rev_SP-12me'!AU10</f>
        <v>5469.40144102544</v>
      </c>
      <c r="G11" s="136">
        <f>'[67]Rev_SP-12me'!AW10</f>
        <v>688.640478</v>
      </c>
      <c r="H11" s="137">
        <f t="shared" ref="H11:H42" si="0">SUM(E11:G11)</f>
        <v>6313.08191902544</v>
      </c>
      <c r="I11" s="136">
        <f>E11</f>
        <v>155.04</v>
      </c>
      <c r="J11" s="136">
        <f>F11</f>
        <v>5469.40144102544</v>
      </c>
      <c r="K11" s="136">
        <f>G11</f>
        <v>688.640478</v>
      </c>
      <c r="L11" s="142">
        <f t="shared" ref="L11:L42" si="1">SUM(I11:K11)</f>
        <v>6313.08191902544</v>
      </c>
      <c r="M11" s="101">
        <f t="shared" ref="M11:M38" si="2">L11*10/D11</f>
        <v>5.5021591537045</v>
      </c>
    </row>
    <row r="12" spans="2:13">
      <c r="B12" s="50" t="s">
        <v>1001</v>
      </c>
      <c r="C12" s="47"/>
      <c r="D12" s="138">
        <f>'[67]Rev_SP-12me'!AQ11</f>
        <v>2385.91096265481</v>
      </c>
      <c r="E12" s="138">
        <f>'[67]Rev_SP-12me'!AT11</f>
        <v>58.0939712334883</v>
      </c>
      <c r="F12" s="138">
        <f>'[67]Rev_SP-12me'!AU11</f>
        <v>535.816521924513</v>
      </c>
      <c r="G12" s="138">
        <f>'[67]Rev_SP-12me'!AW11</f>
        <v>305.20092</v>
      </c>
      <c r="H12" s="101">
        <f t="shared" si="0"/>
        <v>899.111413158001</v>
      </c>
      <c r="I12" s="138">
        <f t="shared" ref="I12:I70" si="3">E12</f>
        <v>58.0939712334883</v>
      </c>
      <c r="J12" s="138">
        <f t="shared" ref="J12:J70" si="4">F12</f>
        <v>535.816521924513</v>
      </c>
      <c r="K12" s="138">
        <f t="shared" ref="K12:K70" si="5">G12</f>
        <v>305.20092</v>
      </c>
      <c r="L12" s="143">
        <f t="shared" si="1"/>
        <v>899.111413158001</v>
      </c>
      <c r="M12" s="101">
        <f t="shared" si="2"/>
        <v>3.76841980791084</v>
      </c>
    </row>
    <row r="13" spans="2:13">
      <c r="B13" s="52" t="s">
        <v>1002</v>
      </c>
      <c r="C13" s="47"/>
      <c r="D13" s="139">
        <f>'[67]Rev_SP-12me'!AQ12</f>
        <v>1772.31196955199</v>
      </c>
      <c r="E13" s="139">
        <f>'[67]Rev_SP-12me'!AT12</f>
        <v>30.7482964738821</v>
      </c>
      <c r="F13" s="139">
        <f>'[67]Rev_SP-12me'!AU12</f>
        <v>345.600834062637</v>
      </c>
      <c r="G13" s="139">
        <f>'[67]Rev_SP-12me'!AW12</f>
        <v>123.680616</v>
      </c>
      <c r="H13" s="101">
        <f t="shared" si="0"/>
        <v>500.029746536519</v>
      </c>
      <c r="I13" s="139">
        <f t="shared" si="3"/>
        <v>30.7482964738821</v>
      </c>
      <c r="J13" s="139">
        <f t="shared" si="4"/>
        <v>345.600834062637</v>
      </c>
      <c r="K13" s="139">
        <f t="shared" si="5"/>
        <v>123.680616</v>
      </c>
      <c r="L13" s="143">
        <f t="shared" si="1"/>
        <v>500.029746536519</v>
      </c>
      <c r="M13" s="101">
        <f t="shared" si="2"/>
        <v>2.8213415872992</v>
      </c>
    </row>
    <row r="14" spans="2:13">
      <c r="B14" s="52" t="s">
        <v>1004</v>
      </c>
      <c r="C14" s="47"/>
      <c r="D14" s="139">
        <f>'[67]Rev_SP-12me'!AQ13</f>
        <v>613.598993102826</v>
      </c>
      <c r="E14" s="139">
        <f>'[67]Rev_SP-12me'!AT13</f>
        <v>27.3456747596062</v>
      </c>
      <c r="F14" s="139">
        <f>'[67]Rev_SP-12me'!AU13</f>
        <v>190.215687861876</v>
      </c>
      <c r="G14" s="139">
        <f>'[67]Rev_SP-12me'!AW13</f>
        <v>181.520304</v>
      </c>
      <c r="H14" s="101">
        <f t="shared" si="0"/>
        <v>399.081666621482</v>
      </c>
      <c r="I14" s="139">
        <f t="shared" si="3"/>
        <v>27.3456747596062</v>
      </c>
      <c r="J14" s="139">
        <f t="shared" si="4"/>
        <v>190.215687861876</v>
      </c>
      <c r="K14" s="139">
        <f t="shared" si="5"/>
        <v>181.520304</v>
      </c>
      <c r="L14" s="143">
        <f t="shared" si="1"/>
        <v>399.081666621482</v>
      </c>
      <c r="M14" s="101">
        <f t="shared" si="2"/>
        <v>6.50394917702554</v>
      </c>
    </row>
    <row r="15" spans="2:13">
      <c r="B15" s="50" t="s">
        <v>1005</v>
      </c>
      <c r="C15" s="47"/>
      <c r="D15" s="138">
        <f>'[67]Rev_SP-12me'!AQ14</f>
        <v>3895.78581543346</v>
      </c>
      <c r="E15" s="138">
        <f>'[67]Rev_SP-12me'!AT14</f>
        <v>47.7762822962509</v>
      </c>
      <c r="F15" s="138">
        <f>'[67]Rev_SP-12me'!AU14</f>
        <v>1485.55947463375</v>
      </c>
      <c r="G15" s="138">
        <f>'[67]Rev_SP-12me'!AW14</f>
        <v>243.91449</v>
      </c>
      <c r="H15" s="101">
        <f t="shared" si="0"/>
        <v>1777.25024693</v>
      </c>
      <c r="I15" s="138">
        <f t="shared" si="3"/>
        <v>47.7762822962509</v>
      </c>
      <c r="J15" s="138">
        <f t="shared" si="4"/>
        <v>1485.55947463375</v>
      </c>
      <c r="K15" s="138">
        <f t="shared" si="5"/>
        <v>243.91449</v>
      </c>
      <c r="L15" s="143">
        <f t="shared" si="1"/>
        <v>1777.25024693</v>
      </c>
      <c r="M15" s="101">
        <f t="shared" si="2"/>
        <v>4.56198141050077</v>
      </c>
    </row>
    <row r="16" spans="2:13">
      <c r="B16" s="52" t="s">
        <v>1006</v>
      </c>
      <c r="C16" s="47"/>
      <c r="D16" s="139">
        <f>'[67]Rev_SP-12me'!AQ15</f>
        <v>2745.8408341022</v>
      </c>
      <c r="E16" s="139">
        <f>'[67]Rev_SP-12me'!AT15</f>
        <v>0</v>
      </c>
      <c r="F16" s="139">
        <f>'[67]Rev_SP-12me'!AU15</f>
        <v>933.585883594748</v>
      </c>
      <c r="G16" s="139">
        <f>'[67]Rev_SP-12me'!AW15</f>
        <v>0</v>
      </c>
      <c r="H16" s="101">
        <f t="shared" si="0"/>
        <v>933.585883594748</v>
      </c>
      <c r="I16" s="139">
        <f t="shared" si="3"/>
        <v>0</v>
      </c>
      <c r="J16" s="139">
        <f t="shared" si="4"/>
        <v>933.585883594748</v>
      </c>
      <c r="K16" s="139">
        <f t="shared" si="5"/>
        <v>0</v>
      </c>
      <c r="L16" s="143">
        <f t="shared" si="1"/>
        <v>933.585883594748</v>
      </c>
      <c r="M16" s="101">
        <f t="shared" si="2"/>
        <v>3.4</v>
      </c>
    </row>
    <row r="17" spans="2:13">
      <c r="B17" s="52" t="s">
        <v>1007</v>
      </c>
      <c r="C17" s="47"/>
      <c r="D17" s="139">
        <f>'[67]Rev_SP-12me'!AQ16</f>
        <v>1149.94498133126</v>
      </c>
      <c r="E17" s="139">
        <f>'[67]Rev_SP-12me'!AT16</f>
        <v>47.7762822962509</v>
      </c>
      <c r="F17" s="139">
        <f>'[67]Rev_SP-12me'!AU16</f>
        <v>551.973591039006</v>
      </c>
      <c r="G17" s="139">
        <f>'[67]Rev_SP-12me'!AW16</f>
        <v>243.91449</v>
      </c>
      <c r="H17" s="101">
        <f t="shared" si="0"/>
        <v>843.664363335257</v>
      </c>
      <c r="I17" s="139">
        <f t="shared" si="3"/>
        <v>47.7762822962509</v>
      </c>
      <c r="J17" s="139">
        <f t="shared" si="4"/>
        <v>551.973591039006</v>
      </c>
      <c r="K17" s="139">
        <f t="shared" si="5"/>
        <v>243.91449</v>
      </c>
      <c r="L17" s="143">
        <f t="shared" si="1"/>
        <v>843.664363335257</v>
      </c>
      <c r="M17" s="101">
        <f t="shared" si="2"/>
        <v>7.33656285328164</v>
      </c>
    </row>
    <row r="18" spans="2:13">
      <c r="B18" s="50" t="s">
        <v>1008</v>
      </c>
      <c r="C18" s="47"/>
      <c r="D18" s="138">
        <f>'[67]Rev_SP-12me'!AQ17</f>
        <v>5192.12966470916</v>
      </c>
      <c r="E18" s="138">
        <f>'[67]Rev_SP-12me'!AT17</f>
        <v>49.1697464702608</v>
      </c>
      <c r="F18" s="138">
        <f>'[67]Rev_SP-12me'!AU17</f>
        <v>3448.02544446718</v>
      </c>
      <c r="G18" s="138">
        <f>'[67]Rev_SP-12me'!AW17</f>
        <v>139.525068</v>
      </c>
      <c r="H18" s="101">
        <f t="shared" si="0"/>
        <v>3636.72025893744</v>
      </c>
      <c r="I18" s="138">
        <f t="shared" si="3"/>
        <v>49.1697464702608</v>
      </c>
      <c r="J18" s="138">
        <f t="shared" si="4"/>
        <v>3448.02544446718</v>
      </c>
      <c r="K18" s="138">
        <f t="shared" si="5"/>
        <v>139.525068</v>
      </c>
      <c r="L18" s="143">
        <f t="shared" si="1"/>
        <v>3636.72025893744</v>
      </c>
      <c r="M18" s="101">
        <f t="shared" si="2"/>
        <v>7.004293986832</v>
      </c>
    </row>
    <row r="19" spans="2:13">
      <c r="B19" s="52" t="s">
        <v>1009</v>
      </c>
      <c r="C19" s="47"/>
      <c r="D19" s="139">
        <f>'[67]Rev_SP-12me'!AQ18</f>
        <v>2963.72526800487</v>
      </c>
      <c r="E19" s="139">
        <f>'[67]Rev_SP-12me'!AT18</f>
        <v>0</v>
      </c>
      <c r="F19" s="139">
        <f>'[67]Rev_SP-12me'!AU18</f>
        <v>1511.49988668249</v>
      </c>
      <c r="G19" s="139">
        <f>'[67]Rev_SP-12me'!AW18</f>
        <v>0</v>
      </c>
      <c r="H19" s="101">
        <f t="shared" si="0"/>
        <v>1511.49988668249</v>
      </c>
      <c r="I19" s="139">
        <f t="shared" si="3"/>
        <v>0</v>
      </c>
      <c r="J19" s="139">
        <f t="shared" si="4"/>
        <v>1511.49988668249</v>
      </c>
      <c r="K19" s="139">
        <f t="shared" si="5"/>
        <v>0</v>
      </c>
      <c r="L19" s="143">
        <f t="shared" si="1"/>
        <v>1511.49988668249</v>
      </c>
      <c r="M19" s="101">
        <f t="shared" si="2"/>
        <v>5.10000000000002</v>
      </c>
    </row>
    <row r="20" spans="2:13">
      <c r="B20" s="52" t="s">
        <v>1010</v>
      </c>
      <c r="C20" s="47"/>
      <c r="D20" s="139">
        <f>'[67]Rev_SP-12me'!AQ19</f>
        <v>966.725687041103</v>
      </c>
      <c r="E20" s="139">
        <f>'[67]Rev_SP-12me'!AT19</f>
        <v>24.4274806156568</v>
      </c>
      <c r="F20" s="139">
        <f>'[67]Rev_SP-12me'!AU19</f>
        <v>744.378779021649</v>
      </c>
      <c r="G20" s="139">
        <f>'[67]Rev_SP-12me'!AW19</f>
        <v>79.35516</v>
      </c>
      <c r="H20" s="101">
        <f t="shared" si="0"/>
        <v>848.161419637306</v>
      </c>
      <c r="I20" s="139">
        <f t="shared" si="3"/>
        <v>24.4274806156568</v>
      </c>
      <c r="J20" s="139">
        <f t="shared" si="4"/>
        <v>744.378779021649</v>
      </c>
      <c r="K20" s="139">
        <f t="shared" si="5"/>
        <v>79.35516</v>
      </c>
      <c r="L20" s="143">
        <f t="shared" si="1"/>
        <v>848.161419637306</v>
      </c>
      <c r="M20" s="101">
        <f t="shared" si="2"/>
        <v>8.77354797753754</v>
      </c>
    </row>
    <row r="21" spans="2:13">
      <c r="B21" s="52" t="s">
        <v>1011</v>
      </c>
      <c r="C21" s="47"/>
      <c r="D21" s="139">
        <f>'[67]Rev_SP-12me'!AQ20</f>
        <v>434.125943632544</v>
      </c>
      <c r="E21" s="139">
        <f>'[67]Rev_SP-12me'!AT20</f>
        <v>10.4582824791009</v>
      </c>
      <c r="F21" s="139">
        <f>'[67]Rev_SP-12me'!AU20</f>
        <v>390.71334926929</v>
      </c>
      <c r="G21" s="139">
        <f>'[67]Rev_SP-12me'!AW20</f>
        <v>29.69604</v>
      </c>
      <c r="H21" s="101">
        <f t="shared" si="0"/>
        <v>430.867671748391</v>
      </c>
      <c r="I21" s="139">
        <f t="shared" si="3"/>
        <v>10.4582824791009</v>
      </c>
      <c r="J21" s="139">
        <f t="shared" si="4"/>
        <v>390.71334926929</v>
      </c>
      <c r="K21" s="139">
        <f t="shared" si="5"/>
        <v>29.69604</v>
      </c>
      <c r="L21" s="143">
        <f t="shared" si="1"/>
        <v>430.867671748391</v>
      </c>
      <c r="M21" s="101">
        <f t="shared" si="2"/>
        <v>9.92494639097379</v>
      </c>
    </row>
    <row r="22" spans="2:13">
      <c r="B22" s="52" t="s">
        <v>1012</v>
      </c>
      <c r="C22" s="47"/>
      <c r="D22" s="139">
        <f>'[67]Rev_SP-12me'!AQ21</f>
        <v>522.386730737686</v>
      </c>
      <c r="E22" s="139">
        <f>'[67]Rev_SP-12me'!AT21</f>
        <v>9.93134513855592</v>
      </c>
      <c r="F22" s="139">
        <f>'[67]Rev_SP-12me'!AU21</f>
        <v>496.267394200802</v>
      </c>
      <c r="G22" s="139">
        <f>'[67]Rev_SP-12me'!AW21</f>
        <v>24.63678</v>
      </c>
      <c r="H22" s="101">
        <f t="shared" si="0"/>
        <v>530.835519339358</v>
      </c>
      <c r="I22" s="139">
        <f t="shared" si="3"/>
        <v>9.93134513855592</v>
      </c>
      <c r="J22" s="139">
        <f t="shared" si="4"/>
        <v>496.267394200802</v>
      </c>
      <c r="K22" s="139">
        <f t="shared" si="5"/>
        <v>24.63678</v>
      </c>
      <c r="L22" s="143">
        <f t="shared" si="1"/>
        <v>530.835519339358</v>
      </c>
      <c r="M22" s="101">
        <f t="shared" si="2"/>
        <v>10.1617343646869</v>
      </c>
    </row>
    <row r="23" spans="2:13">
      <c r="B23" s="52" t="s">
        <v>1013</v>
      </c>
      <c r="C23" s="47"/>
      <c r="D23" s="139">
        <f>'[67]Rev_SP-12me'!AQ22</f>
        <v>305.16603529295</v>
      </c>
      <c r="E23" s="139">
        <f>'[67]Rev_SP-12me'!AT22</f>
        <v>4.35263823694717</v>
      </c>
      <c r="F23" s="139">
        <f>'[67]Rev_SP-12me'!AU22</f>
        <v>305.16603529295</v>
      </c>
      <c r="G23" s="139">
        <f>'[67]Rev_SP-12me'!AW22</f>
        <v>5.837088</v>
      </c>
      <c r="H23" s="101">
        <f t="shared" si="0"/>
        <v>315.355761529897</v>
      </c>
      <c r="I23" s="139">
        <f t="shared" si="3"/>
        <v>4.35263823694717</v>
      </c>
      <c r="J23" s="139">
        <f t="shared" si="4"/>
        <v>305.16603529295</v>
      </c>
      <c r="K23" s="139">
        <f t="shared" si="5"/>
        <v>5.837088</v>
      </c>
      <c r="L23" s="143">
        <f t="shared" si="1"/>
        <v>315.355761529897</v>
      </c>
      <c r="M23" s="101">
        <f t="shared" si="2"/>
        <v>10.3339076128562</v>
      </c>
    </row>
    <row r="24" ht="15" spans="2:13">
      <c r="B24" s="54" t="s">
        <v>1014</v>
      </c>
      <c r="C24" s="55"/>
      <c r="D24" s="136">
        <f>'[67]Rev_SP-12me'!AQ23</f>
        <v>4147.96617049626</v>
      </c>
      <c r="E24" s="136">
        <f>'[67]Rev_SP-12me'!AT23</f>
        <v>343.825130439376</v>
      </c>
      <c r="F24" s="136">
        <f>'[67]Rev_SP-12me'!AU23</f>
        <v>4239.20395571748</v>
      </c>
      <c r="G24" s="136">
        <f>'[67]Rev_SP-12me'!AW23</f>
        <v>116.878419</v>
      </c>
      <c r="H24" s="137">
        <f t="shared" si="0"/>
        <v>4699.90750515686</v>
      </c>
      <c r="I24" s="136">
        <f t="shared" si="3"/>
        <v>343.825130439376</v>
      </c>
      <c r="J24" s="136">
        <f t="shared" si="4"/>
        <v>4239.20395571748</v>
      </c>
      <c r="K24" s="136">
        <f t="shared" si="5"/>
        <v>116.878419</v>
      </c>
      <c r="L24" s="142">
        <f t="shared" si="1"/>
        <v>4699.90750515686</v>
      </c>
      <c r="M24" s="101">
        <f t="shared" si="2"/>
        <v>11.3306312346192</v>
      </c>
    </row>
    <row r="25" spans="2:13">
      <c r="B25" s="56" t="s">
        <v>1015</v>
      </c>
      <c r="C25" s="55"/>
      <c r="D25" s="138">
        <f>'[67]Rev_SP-12me'!AQ24</f>
        <v>103.356981263684</v>
      </c>
      <c r="E25" s="138">
        <f>'[67]Rev_SP-12me'!AT24</f>
        <v>72.9735686404349</v>
      </c>
      <c r="F25" s="138">
        <f>'[67]Rev_SP-12me'!AU24</f>
        <v>72.349886884579</v>
      </c>
      <c r="G25" s="138">
        <f>'[67]Rev_SP-12me'!AW24</f>
        <v>34.46214</v>
      </c>
      <c r="H25" s="101">
        <f t="shared" si="0"/>
        <v>179.785595525014</v>
      </c>
      <c r="I25" s="138">
        <f t="shared" si="3"/>
        <v>72.9735686404349</v>
      </c>
      <c r="J25" s="138">
        <f t="shared" si="4"/>
        <v>72.349886884579</v>
      </c>
      <c r="K25" s="138">
        <f t="shared" si="5"/>
        <v>34.46214</v>
      </c>
      <c r="L25" s="143">
        <f t="shared" si="1"/>
        <v>179.785595525014</v>
      </c>
      <c r="M25" s="101">
        <f t="shared" si="2"/>
        <v>17.3946252422316</v>
      </c>
    </row>
    <row r="26" spans="2:13">
      <c r="B26" s="140" t="s">
        <v>1002</v>
      </c>
      <c r="C26" s="55"/>
      <c r="D26" s="139">
        <f>'[67]Rev_SP-12me'!AQ25</f>
        <v>103.356981263684</v>
      </c>
      <c r="E26" s="139">
        <f>'[67]Rev_SP-12me'!AT25</f>
        <v>72.9735686404349</v>
      </c>
      <c r="F26" s="139">
        <f>'[67]Rev_SP-12me'!AU25</f>
        <v>72.349886884579</v>
      </c>
      <c r="G26" s="139">
        <f>'[67]Rev_SP-12me'!AW25</f>
        <v>34.46214</v>
      </c>
      <c r="H26" s="101">
        <f t="shared" si="0"/>
        <v>179.785595525014</v>
      </c>
      <c r="I26" s="144">
        <f t="shared" si="3"/>
        <v>72.9735686404349</v>
      </c>
      <c r="J26" s="144">
        <f t="shared" si="4"/>
        <v>72.349886884579</v>
      </c>
      <c r="K26" s="144">
        <f t="shared" si="5"/>
        <v>34.46214</v>
      </c>
      <c r="L26" s="143">
        <f t="shared" si="1"/>
        <v>179.785595525014</v>
      </c>
      <c r="M26" s="101">
        <f t="shared" si="2"/>
        <v>17.3946252422316</v>
      </c>
    </row>
    <row r="27" spans="2:13">
      <c r="B27" s="56" t="s">
        <v>1016</v>
      </c>
      <c r="C27" s="55"/>
      <c r="D27" s="138">
        <f>'[67]Rev_SP-12me'!AQ26</f>
        <v>4033.11439725458</v>
      </c>
      <c r="E27" s="138">
        <f>'[67]Rev_SP-12me'!AT26</f>
        <v>269.202302025892</v>
      </c>
      <c r="F27" s="138">
        <f>'[67]Rev_SP-12me'!AU26</f>
        <v>4156.01804443367</v>
      </c>
      <c r="G27" s="138">
        <f>'[67]Rev_SP-12me'!AW26</f>
        <v>81.214347</v>
      </c>
      <c r="H27" s="101">
        <f t="shared" si="0"/>
        <v>4506.43469345956</v>
      </c>
      <c r="I27" s="138">
        <f t="shared" si="3"/>
        <v>269.202302025892</v>
      </c>
      <c r="J27" s="138">
        <f t="shared" si="4"/>
        <v>4156.01804443367</v>
      </c>
      <c r="K27" s="138">
        <f t="shared" si="5"/>
        <v>81.214347</v>
      </c>
      <c r="L27" s="143">
        <f t="shared" si="1"/>
        <v>4506.43469345956</v>
      </c>
      <c r="M27" s="101">
        <f t="shared" si="2"/>
        <v>11.1735850997115</v>
      </c>
    </row>
    <row r="28" spans="2:13">
      <c r="B28" s="58" t="s">
        <v>1006</v>
      </c>
      <c r="C28" s="55"/>
      <c r="D28" s="139">
        <f>'[67]Rev_SP-12me'!AQ27</f>
        <v>728.71303927241</v>
      </c>
      <c r="E28" s="139">
        <f>'[67]Rev_SP-12me'!AT27</f>
        <v>30.1198949769386</v>
      </c>
      <c r="F28" s="139">
        <f>'[67]Rev_SP-12me'!AU27</f>
        <v>619.406083381549</v>
      </c>
      <c r="G28" s="139">
        <f>'[67]Rev_SP-12me'!AW27</f>
        <v>21.102984</v>
      </c>
      <c r="H28" s="101">
        <f t="shared" si="0"/>
        <v>670.628962358488</v>
      </c>
      <c r="I28" s="139">
        <f t="shared" si="3"/>
        <v>30.1198949769386</v>
      </c>
      <c r="J28" s="139">
        <f t="shared" si="4"/>
        <v>619.406083381549</v>
      </c>
      <c r="K28" s="139">
        <f t="shared" si="5"/>
        <v>21.102984</v>
      </c>
      <c r="L28" s="143">
        <f t="shared" si="1"/>
        <v>670.628962358488</v>
      </c>
      <c r="M28" s="101">
        <f t="shared" si="2"/>
        <v>9.20292249783376</v>
      </c>
    </row>
    <row r="29" spans="2:13">
      <c r="B29" s="58" t="s">
        <v>1017</v>
      </c>
      <c r="C29" s="55"/>
      <c r="D29" s="139">
        <f>'[67]Rev_SP-12me'!AQ28</f>
        <v>691.073123423813</v>
      </c>
      <c r="E29" s="139">
        <f>'[67]Rev_SP-12me'!AT28</f>
        <v>55.2640487812568</v>
      </c>
      <c r="F29" s="139">
        <f>'[67]Rev_SP-12me'!AU28</f>
        <v>684.162392189575</v>
      </c>
      <c r="G29" s="139">
        <f>'[67]Rev_SP-12me'!AW28</f>
        <v>29.353779</v>
      </c>
      <c r="H29" s="101">
        <f t="shared" si="0"/>
        <v>768.780219970832</v>
      </c>
      <c r="I29" s="139">
        <f t="shared" si="3"/>
        <v>55.2640487812568</v>
      </c>
      <c r="J29" s="139">
        <f t="shared" si="4"/>
        <v>684.162392189575</v>
      </c>
      <c r="K29" s="139">
        <f t="shared" si="5"/>
        <v>29.353779</v>
      </c>
      <c r="L29" s="143">
        <f t="shared" si="1"/>
        <v>768.780219970832</v>
      </c>
      <c r="M29" s="101">
        <f t="shared" si="2"/>
        <v>11.1244410166327</v>
      </c>
    </row>
    <row r="30" spans="2:13">
      <c r="B30" s="58" t="s">
        <v>1018</v>
      </c>
      <c r="C30" s="55"/>
      <c r="D30" s="139">
        <f>'[67]Rev_SP-12me'!AQ29</f>
        <v>370.191485860811</v>
      </c>
      <c r="E30" s="139">
        <f>'[67]Rev_SP-12me'!AT29</f>
        <v>26.2825624172748</v>
      </c>
      <c r="F30" s="139">
        <f>'[67]Rev_SP-12me'!AU29</f>
        <v>384.999145295244</v>
      </c>
      <c r="G30" s="139">
        <f>'[67]Rev_SP-12me'!AW29</f>
        <v>8.895312</v>
      </c>
      <c r="H30" s="101">
        <f t="shared" si="0"/>
        <v>420.177019712519</v>
      </c>
      <c r="I30" s="139">
        <f t="shared" si="3"/>
        <v>26.2825624172748</v>
      </c>
      <c r="J30" s="139">
        <f t="shared" si="4"/>
        <v>384.999145295244</v>
      </c>
      <c r="K30" s="139">
        <f t="shared" si="5"/>
        <v>8.895312</v>
      </c>
      <c r="L30" s="143">
        <f t="shared" si="1"/>
        <v>420.177019712519</v>
      </c>
      <c r="M30" s="101">
        <f t="shared" si="2"/>
        <v>11.3502615743708</v>
      </c>
    </row>
    <row r="31" spans="2:13">
      <c r="B31" s="58" t="s">
        <v>1019</v>
      </c>
      <c r="C31" s="55"/>
      <c r="D31" s="139">
        <f>'[67]Rev_SP-12me'!AQ30</f>
        <v>2243.13674869754</v>
      </c>
      <c r="E31" s="139">
        <f>'[67]Rev_SP-12me'!AT30</f>
        <v>157.535795850421</v>
      </c>
      <c r="F31" s="139">
        <f>'[67]Rev_SP-12me'!AU30</f>
        <v>2467.4504235673</v>
      </c>
      <c r="G31" s="139">
        <f>'[67]Rev_SP-12me'!AW30</f>
        <v>21.862272</v>
      </c>
      <c r="H31" s="101">
        <f t="shared" si="0"/>
        <v>2646.84849141772</v>
      </c>
      <c r="I31" s="139">
        <f t="shared" si="3"/>
        <v>157.535795850421</v>
      </c>
      <c r="J31" s="139">
        <f t="shared" si="4"/>
        <v>2467.4504235673</v>
      </c>
      <c r="K31" s="139">
        <f t="shared" si="5"/>
        <v>21.862272</v>
      </c>
      <c r="L31" s="143">
        <f t="shared" si="1"/>
        <v>2646.84849141772</v>
      </c>
      <c r="M31" s="101">
        <f t="shared" si="2"/>
        <v>11.7997642941501</v>
      </c>
    </row>
    <row r="32" spans="2:13">
      <c r="B32" s="56" t="s">
        <v>1020</v>
      </c>
      <c r="C32" s="55"/>
      <c r="D32" s="138">
        <f>'[67]Rev_SP-12me'!AQ31</f>
        <v>5.77332180955847</v>
      </c>
      <c r="E32" s="138">
        <f>'[67]Rev_SP-12me'!AT31</f>
        <v>0.613611049740899</v>
      </c>
      <c r="F32" s="138">
        <f>'[67]Rev_SP-12me'!AU31</f>
        <v>7.50531835242601</v>
      </c>
      <c r="G32" s="138">
        <f>'[67]Rev_SP-12me'!AW31</f>
        <v>0.446976</v>
      </c>
      <c r="H32" s="101">
        <f t="shared" si="0"/>
        <v>8.56590540216691</v>
      </c>
      <c r="I32" s="138">
        <f t="shared" si="3"/>
        <v>0.613611049740899</v>
      </c>
      <c r="J32" s="138">
        <f t="shared" si="4"/>
        <v>7.50531835242601</v>
      </c>
      <c r="K32" s="138">
        <f t="shared" si="5"/>
        <v>0.446976</v>
      </c>
      <c r="L32" s="143">
        <f t="shared" si="1"/>
        <v>8.56590540216691</v>
      </c>
      <c r="M32" s="101">
        <f t="shared" si="2"/>
        <v>14.8370482102435</v>
      </c>
    </row>
    <row r="33" spans="2:13">
      <c r="B33" s="56" t="s">
        <v>1021</v>
      </c>
      <c r="C33" s="55"/>
      <c r="D33" s="138">
        <f>'[67]Rev_SP-12me'!AQ32</f>
        <v>5.72147016843429</v>
      </c>
      <c r="E33" s="138">
        <f>'[67]Rev_SP-12me'!AT32</f>
        <v>1.0356487233087</v>
      </c>
      <c r="F33" s="138">
        <f>'[67]Rev_SP-12me'!AU32</f>
        <v>3.33070604680903</v>
      </c>
      <c r="G33" s="138">
        <f>'[67]Rev_SP-12me'!AW32</f>
        <v>0.754956</v>
      </c>
      <c r="H33" s="101">
        <f t="shared" si="0"/>
        <v>5.12131077011773</v>
      </c>
      <c r="I33" s="138">
        <f t="shared" si="3"/>
        <v>1.0356487233087</v>
      </c>
      <c r="J33" s="138">
        <f t="shared" si="4"/>
        <v>3.33070604680903</v>
      </c>
      <c r="K33" s="138">
        <f t="shared" si="5"/>
        <v>0.754956</v>
      </c>
      <c r="L33" s="143">
        <f t="shared" si="1"/>
        <v>5.12131077011773</v>
      </c>
      <c r="M33" s="101">
        <f t="shared" si="2"/>
        <v>8.95103988896477</v>
      </c>
    </row>
    <row r="34" spans="2:13">
      <c r="B34" s="58" t="s">
        <v>1002</v>
      </c>
      <c r="C34" s="55"/>
      <c r="D34" s="139">
        <f>'[67]Rev_SP-12me'!AQ33</f>
        <v>3.80137270422356</v>
      </c>
      <c r="E34" s="139">
        <f>'[67]Rev_SP-12me'!AT33</f>
        <v>0.756962184074905</v>
      </c>
      <c r="F34" s="139">
        <f>'[67]Rev_SP-12me'!AU33</f>
        <v>2.01472753323849</v>
      </c>
      <c r="G34" s="139">
        <f>'[67]Rev_SP-12me'!AW33</f>
        <v>0.527013</v>
      </c>
      <c r="H34" s="101">
        <f t="shared" si="0"/>
        <v>3.29870271731339</v>
      </c>
      <c r="I34" s="139">
        <f t="shared" si="3"/>
        <v>0.756962184074905</v>
      </c>
      <c r="J34" s="139">
        <f t="shared" si="4"/>
        <v>2.01472753323849</v>
      </c>
      <c r="K34" s="139">
        <f t="shared" si="5"/>
        <v>0.527013</v>
      </c>
      <c r="L34" s="143">
        <f t="shared" si="1"/>
        <v>3.29870271731339</v>
      </c>
      <c r="M34" s="101">
        <f t="shared" si="2"/>
        <v>8.67766192367387</v>
      </c>
    </row>
    <row r="35" spans="2:13">
      <c r="B35" s="58" t="s">
        <v>1022</v>
      </c>
      <c r="C35" s="55"/>
      <c r="D35" s="139">
        <f>'[67]Rev_SP-12me'!AQ34</f>
        <v>1.37882871763885</v>
      </c>
      <c r="E35" s="139">
        <f>'[67]Rev_SP-12me'!AT34</f>
        <v>0.179648948614209</v>
      </c>
      <c r="F35" s="139">
        <f>'[67]Rev_SP-12me'!AU34</f>
        <v>0.910026953641638</v>
      </c>
      <c r="G35" s="139">
        <f>'[67]Rev_SP-12me'!AW34</f>
        <v>0.145497</v>
      </c>
      <c r="H35" s="101">
        <f t="shared" si="0"/>
        <v>1.23517290225585</v>
      </c>
      <c r="I35" s="139">
        <f t="shared" si="3"/>
        <v>0.179648948614209</v>
      </c>
      <c r="J35" s="139">
        <f t="shared" si="4"/>
        <v>0.910026953641638</v>
      </c>
      <c r="K35" s="139">
        <f t="shared" si="5"/>
        <v>0.145497</v>
      </c>
      <c r="L35" s="143">
        <f t="shared" si="1"/>
        <v>1.23517290225585</v>
      </c>
      <c r="M35" s="101">
        <f t="shared" si="2"/>
        <v>8.9581315391443</v>
      </c>
    </row>
    <row r="36" spans="2:13">
      <c r="B36" s="58" t="s">
        <v>1023</v>
      </c>
      <c r="C36" s="55"/>
      <c r="D36" s="139">
        <f>'[67]Rev_SP-12me'!AQ35</f>
        <v>0.541268746571877</v>
      </c>
      <c r="E36" s="139">
        <f>'[67]Rev_SP-12me'!AT35</f>
        <v>0.099037590619584</v>
      </c>
      <c r="F36" s="139">
        <f>'[67]Rev_SP-12me'!AU35</f>
        <v>0.405951559928908</v>
      </c>
      <c r="G36" s="139">
        <f>'[67]Rev_SP-12me'!AW35</f>
        <v>0.082446</v>
      </c>
      <c r="H36" s="101">
        <f t="shared" si="0"/>
        <v>0.587435150548492</v>
      </c>
      <c r="I36" s="139">
        <f t="shared" si="3"/>
        <v>0.099037590619584</v>
      </c>
      <c r="J36" s="139">
        <f t="shared" si="4"/>
        <v>0.405951559928908</v>
      </c>
      <c r="K36" s="139">
        <f t="shared" si="5"/>
        <v>0.082446</v>
      </c>
      <c r="L36" s="143">
        <f t="shared" si="1"/>
        <v>0.587435150548492</v>
      </c>
      <c r="M36" s="101">
        <f t="shared" si="2"/>
        <v>10.8529294231195</v>
      </c>
    </row>
    <row r="37" ht="15" spans="2:13">
      <c r="B37" s="54" t="s">
        <v>1024</v>
      </c>
      <c r="C37" s="55"/>
      <c r="D37" s="136">
        <f>'[67]Rev_SP-12me'!AQ36</f>
        <v>1036.18376443982</v>
      </c>
      <c r="E37" s="136">
        <f>'[67]Rev_SP-12me'!AT36</f>
        <v>154.742359604397</v>
      </c>
      <c r="F37" s="136">
        <f>'[67]Rev_SP-12me'!AU36</f>
        <v>795.059183653803</v>
      </c>
      <c r="G37" s="136">
        <f>'[67]Rev_SP-12me'!AW36</f>
        <v>20.6877165</v>
      </c>
      <c r="H37" s="137">
        <f t="shared" si="0"/>
        <v>970.4892597582</v>
      </c>
      <c r="I37" s="136">
        <f t="shared" si="3"/>
        <v>154.742359604397</v>
      </c>
      <c r="J37" s="136">
        <f t="shared" si="4"/>
        <v>795.059183653803</v>
      </c>
      <c r="K37" s="136">
        <f t="shared" si="5"/>
        <v>20.6877165</v>
      </c>
      <c r="L37" s="142">
        <f t="shared" si="1"/>
        <v>970.4892597582</v>
      </c>
      <c r="M37" s="101">
        <f t="shared" si="2"/>
        <v>9.36599561838208</v>
      </c>
    </row>
    <row r="38" spans="2:13">
      <c r="B38" s="58" t="s">
        <v>1025</v>
      </c>
      <c r="C38" s="55"/>
      <c r="D38" s="139">
        <f>'[67]Rev_SP-12me'!AQ37</f>
        <v>996.150693513266</v>
      </c>
      <c r="E38" s="139">
        <f>'[67]Rev_SP-12me'!AT37</f>
        <v>149.349874737124</v>
      </c>
      <c r="F38" s="139">
        <f>'[67]Rev_SP-12me'!AU37</f>
        <v>767.036034005215</v>
      </c>
      <c r="G38" s="139">
        <f>'[67]Rev_SP-12me'!AW37</f>
        <v>18.9853314150952</v>
      </c>
      <c r="H38" s="101">
        <f t="shared" si="0"/>
        <v>935.371240157434</v>
      </c>
      <c r="I38" s="139">
        <f t="shared" si="3"/>
        <v>149.349874737124</v>
      </c>
      <c r="J38" s="139">
        <f t="shared" si="4"/>
        <v>767.036034005215</v>
      </c>
      <c r="K38" s="139">
        <f t="shared" si="5"/>
        <v>18.9853314150952</v>
      </c>
      <c r="L38" s="143">
        <f t="shared" si="1"/>
        <v>935.371240157434</v>
      </c>
      <c r="M38" s="101">
        <f t="shared" si="2"/>
        <v>9.38985683841194</v>
      </c>
    </row>
    <row r="39" spans="2:13">
      <c r="B39" s="58" t="s">
        <v>1026</v>
      </c>
      <c r="C39" s="55"/>
      <c r="D39" s="139">
        <f>'[67]Rev_SP-12me'!AQ38</f>
        <v>0</v>
      </c>
      <c r="E39" s="139">
        <f>'[67]Rev_SP-12me'!AT38</f>
        <v>0</v>
      </c>
      <c r="F39" s="139">
        <f>'[67]Rev_SP-12me'!AU38</f>
        <v>0</v>
      </c>
      <c r="G39" s="139">
        <f>'[67]Rev_SP-12me'!AW38</f>
        <v>0</v>
      </c>
      <c r="H39" s="101">
        <f t="shared" si="0"/>
        <v>0</v>
      </c>
      <c r="I39" s="139">
        <f t="shared" si="3"/>
        <v>0</v>
      </c>
      <c r="J39" s="139">
        <f t="shared" si="4"/>
        <v>0</v>
      </c>
      <c r="K39" s="139">
        <f t="shared" si="5"/>
        <v>0</v>
      </c>
      <c r="L39" s="143">
        <f t="shared" si="1"/>
        <v>0</v>
      </c>
      <c r="M39" s="101"/>
    </row>
    <row r="40" spans="2:13">
      <c r="B40" s="58" t="s">
        <v>1027</v>
      </c>
      <c r="C40" s="55"/>
      <c r="D40" s="139">
        <f>'[67]Rev_SP-12me'!AQ39</f>
        <v>0</v>
      </c>
      <c r="E40" s="139">
        <f>'[67]Rev_SP-12me'!AT39</f>
        <v>0</v>
      </c>
      <c r="F40" s="139">
        <f>'[67]Rev_SP-12me'!AU39</f>
        <v>0</v>
      </c>
      <c r="G40" s="139">
        <f>'[67]Rev_SP-12me'!AW39</f>
        <v>0</v>
      </c>
      <c r="H40" s="101">
        <f t="shared" si="0"/>
        <v>0</v>
      </c>
      <c r="I40" s="139">
        <f t="shared" si="3"/>
        <v>0</v>
      </c>
      <c r="J40" s="139">
        <f t="shared" si="4"/>
        <v>0</v>
      </c>
      <c r="K40" s="139">
        <f t="shared" si="5"/>
        <v>0</v>
      </c>
      <c r="L40" s="143">
        <f t="shared" si="1"/>
        <v>0</v>
      </c>
      <c r="M40" s="101"/>
    </row>
    <row r="41" spans="2:13">
      <c r="B41" s="58" t="s">
        <v>1028</v>
      </c>
      <c r="C41" s="55"/>
      <c r="D41" s="139">
        <f>'[67]Rev_SP-12me'!AQ40</f>
        <v>0</v>
      </c>
      <c r="E41" s="139">
        <f>'[67]Rev_SP-12me'!AT40</f>
        <v>0</v>
      </c>
      <c r="F41" s="139">
        <f>'[67]Rev_SP-12me'!AU40</f>
        <v>0</v>
      </c>
      <c r="G41" s="139">
        <f>'[67]Rev_SP-12me'!AW40</f>
        <v>0</v>
      </c>
      <c r="H41" s="101">
        <f t="shared" si="0"/>
        <v>0</v>
      </c>
      <c r="I41" s="139">
        <f t="shared" si="3"/>
        <v>0</v>
      </c>
      <c r="J41" s="139">
        <f t="shared" si="4"/>
        <v>0</v>
      </c>
      <c r="K41" s="139">
        <f t="shared" si="5"/>
        <v>0</v>
      </c>
      <c r="L41" s="143">
        <f t="shared" si="1"/>
        <v>0</v>
      </c>
      <c r="M41" s="101"/>
    </row>
    <row r="42" spans="2:13">
      <c r="B42" s="58" t="s">
        <v>1029</v>
      </c>
      <c r="C42" s="55"/>
      <c r="D42" s="139">
        <f>'[67]Rev_SP-12me'!AQ41</f>
        <v>40.0330709265554</v>
      </c>
      <c r="E42" s="139">
        <f>'[67]Rev_SP-12me'!AT41</f>
        <v>5.39248486727215</v>
      </c>
      <c r="F42" s="139">
        <f>'[67]Rev_SP-12me'!AU41</f>
        <v>28.0231496485888</v>
      </c>
      <c r="G42" s="139">
        <f>'[67]Rev_SP-12me'!AW41</f>
        <v>1.70238508490478</v>
      </c>
      <c r="H42" s="101">
        <f t="shared" si="0"/>
        <v>35.1180196007657</v>
      </c>
      <c r="I42" s="139">
        <f t="shared" si="3"/>
        <v>5.39248486727215</v>
      </c>
      <c r="J42" s="139">
        <f t="shared" si="4"/>
        <v>28.0231496485888</v>
      </c>
      <c r="K42" s="139">
        <f t="shared" si="5"/>
        <v>1.70238508490478</v>
      </c>
      <c r="L42" s="143">
        <f t="shared" si="1"/>
        <v>35.1180196007657</v>
      </c>
      <c r="M42" s="101">
        <f>L42*10/D42</f>
        <v>8.77225223745467</v>
      </c>
    </row>
    <row r="43" spans="2:13">
      <c r="B43" s="58" t="s">
        <v>1030</v>
      </c>
      <c r="C43" s="55"/>
      <c r="D43" s="139">
        <f>'[67]Rev_SP-12me'!AQ42</f>
        <v>0</v>
      </c>
      <c r="E43" s="139">
        <f>'[67]Rev_SP-12me'!AT42</f>
        <v>0</v>
      </c>
      <c r="F43" s="139">
        <f>'[67]Rev_SP-12me'!AU42</f>
        <v>0</v>
      </c>
      <c r="G43" s="139">
        <f>'[67]Rev_SP-12me'!AW42</f>
        <v>0</v>
      </c>
      <c r="H43" s="101">
        <f t="shared" ref="H43:H70" si="6">SUM(E43:G43)</f>
        <v>0</v>
      </c>
      <c r="I43" s="139">
        <f t="shared" si="3"/>
        <v>0</v>
      </c>
      <c r="J43" s="139">
        <f t="shared" si="4"/>
        <v>0</v>
      </c>
      <c r="K43" s="139">
        <f t="shared" si="5"/>
        <v>0</v>
      </c>
      <c r="L43" s="143">
        <f t="shared" ref="L43:L70" si="7">SUM(I43:K43)</f>
        <v>0</v>
      </c>
      <c r="M43" s="101"/>
    </row>
    <row r="44" ht="15" spans="2:13">
      <c r="B44" s="54" t="s">
        <v>1031</v>
      </c>
      <c r="C44" s="55"/>
      <c r="D44" s="136">
        <f>'[67]Rev_SP-12me'!AQ43</f>
        <v>9.52513978314638</v>
      </c>
      <c r="E44" s="136">
        <f>'[67]Rev_SP-12me'!AT43</f>
        <v>0.51495248256</v>
      </c>
      <c r="F44" s="136">
        <f>'[67]Rev_SP-12me'!AU43</f>
        <v>3.81005591325855</v>
      </c>
      <c r="G44" s="136">
        <f>'[67]Rev_SP-12me'!AW43</f>
        <v>0.29886</v>
      </c>
      <c r="H44" s="137">
        <f t="shared" si="6"/>
        <v>4.62386839581855</v>
      </c>
      <c r="I44" s="136">
        <f t="shared" si="3"/>
        <v>0.51495248256</v>
      </c>
      <c r="J44" s="136">
        <f t="shared" si="4"/>
        <v>3.81005591325855</v>
      </c>
      <c r="K44" s="136">
        <f t="shared" si="5"/>
        <v>0.29886</v>
      </c>
      <c r="L44" s="142">
        <f t="shared" si="7"/>
        <v>4.62386839581855</v>
      </c>
      <c r="M44" s="101">
        <f t="shared" ref="M44:M51" si="8">L44*10/D44</f>
        <v>4.85438376872951</v>
      </c>
    </row>
    <row r="45" spans="2:13">
      <c r="B45" s="58" t="s">
        <v>178</v>
      </c>
      <c r="C45" s="55"/>
      <c r="D45" s="139">
        <f>'[67]Rev_SP-12me'!AQ44</f>
        <v>9.29472129132821</v>
      </c>
      <c r="E45" s="139">
        <f>'[67]Rev_SP-12me'!AT44</f>
        <v>0.51495248256</v>
      </c>
      <c r="F45" s="139">
        <f>'[67]Rev_SP-12me'!AU44</f>
        <v>3.71788851653129</v>
      </c>
      <c r="G45" s="139">
        <f>'[67]Rev_SP-12me'!AW44</f>
        <v>0.28668</v>
      </c>
      <c r="H45" s="101">
        <f t="shared" si="6"/>
        <v>4.51952099909129</v>
      </c>
      <c r="I45" s="139">
        <f t="shared" si="3"/>
        <v>0.51495248256</v>
      </c>
      <c r="J45" s="139">
        <f t="shared" si="4"/>
        <v>3.71788851653129</v>
      </c>
      <c r="K45" s="139">
        <f t="shared" si="5"/>
        <v>0.28668</v>
      </c>
      <c r="L45" s="143">
        <f t="shared" si="7"/>
        <v>4.51952099909129</v>
      </c>
      <c r="M45" s="101">
        <f t="shared" si="8"/>
        <v>4.86245994627931</v>
      </c>
    </row>
    <row r="46" spans="2:13">
      <c r="B46" s="58" t="s">
        <v>1033</v>
      </c>
      <c r="C46" s="55"/>
      <c r="D46" s="139">
        <f>'[67]Rev_SP-12me'!AQ45</f>
        <v>0.230418491818164</v>
      </c>
      <c r="E46" s="139">
        <f>'[67]Rev_SP-12me'!AT45</f>
        <v>0</v>
      </c>
      <c r="F46" s="139">
        <f>'[67]Rev_SP-12me'!AU45</f>
        <v>0.0921673967272658</v>
      </c>
      <c r="G46" s="139">
        <f>'[67]Rev_SP-12me'!AW45</f>
        <v>0.01218</v>
      </c>
      <c r="H46" s="101">
        <f t="shared" si="6"/>
        <v>0.104347396727266</v>
      </c>
      <c r="I46" s="139">
        <f t="shared" si="3"/>
        <v>0</v>
      </c>
      <c r="J46" s="139">
        <f t="shared" si="4"/>
        <v>0.0921673967272658</v>
      </c>
      <c r="K46" s="139">
        <f t="shared" si="5"/>
        <v>0.01218</v>
      </c>
      <c r="L46" s="143">
        <f t="shared" si="7"/>
        <v>0.104347396727266</v>
      </c>
      <c r="M46" s="101">
        <f t="shared" si="8"/>
        <v>4.52860340782076</v>
      </c>
    </row>
    <row r="47" ht="15" spans="2:13">
      <c r="B47" s="54" t="s">
        <v>1034</v>
      </c>
      <c r="C47" s="55"/>
      <c r="D47" s="136">
        <f>'[67]Rev_SP-12me'!AQ46</f>
        <v>12466.5040519532</v>
      </c>
      <c r="E47" s="136">
        <f>'[67]Rev_SP-12me'!AT46</f>
        <v>0.0473311198610199</v>
      </c>
      <c r="F47" s="136">
        <f>'[67]Rev_SP-12me'!AU46</f>
        <v>9.89304547766604</v>
      </c>
      <c r="G47" s="136">
        <f>'[67]Rev_SP-12me'!AW46</f>
        <v>50.1030012536472</v>
      </c>
      <c r="H47" s="137">
        <f t="shared" si="6"/>
        <v>60.0433778511743</v>
      </c>
      <c r="I47" s="136">
        <f t="shared" si="3"/>
        <v>0.0473311198610199</v>
      </c>
      <c r="J47" s="136">
        <f t="shared" si="4"/>
        <v>9.89304547766604</v>
      </c>
      <c r="K47" s="136">
        <f t="shared" si="5"/>
        <v>50.1030012536472</v>
      </c>
      <c r="L47" s="142">
        <f t="shared" si="7"/>
        <v>60.0433778511743</v>
      </c>
      <c r="M47" s="101">
        <f t="shared" si="8"/>
        <v>0.0481637655600544</v>
      </c>
    </row>
    <row r="48" spans="2:13">
      <c r="B48" s="56" t="s">
        <v>1035</v>
      </c>
      <c r="C48" s="55"/>
      <c r="D48" s="138">
        <f>'[67]Rev_SP-12me'!AQ47</f>
        <v>12464.0831709436</v>
      </c>
      <c r="E48" s="138">
        <f>'[67]Rev_SP-12me'!AT47</f>
        <v>0</v>
      </c>
      <c r="F48" s="138">
        <f>'[67]Rev_SP-12me'!AU47</f>
        <v>8.92469307383976</v>
      </c>
      <c r="G48" s="138">
        <f>'[67]Rev_SP-12me'!AW47</f>
        <v>50.0906947872289</v>
      </c>
      <c r="H48" s="101">
        <f t="shared" si="6"/>
        <v>59.0153878610687</v>
      </c>
      <c r="I48" s="138">
        <f t="shared" si="3"/>
        <v>0</v>
      </c>
      <c r="J48" s="138">
        <f t="shared" si="4"/>
        <v>8.92469307383976</v>
      </c>
      <c r="K48" s="138">
        <f t="shared" si="5"/>
        <v>50.0906947872289</v>
      </c>
      <c r="L48" s="143">
        <f t="shared" si="7"/>
        <v>59.0153878610687</v>
      </c>
      <c r="M48" s="101">
        <f t="shared" si="8"/>
        <v>0.0473483585207823</v>
      </c>
    </row>
    <row r="49" spans="2:13">
      <c r="B49" s="58" t="s">
        <v>1036</v>
      </c>
      <c r="C49" s="55"/>
      <c r="D49" s="139">
        <f>'[67]Rev_SP-12me'!AQ48</f>
        <v>35.698772295359</v>
      </c>
      <c r="E49" s="139">
        <f>'[67]Rev_SP-12me'!AT48</f>
        <v>0</v>
      </c>
      <c r="F49" s="139">
        <f>'[67]Rev_SP-12me'!AU48</f>
        <v>8.92469307383976</v>
      </c>
      <c r="G49" s="139">
        <f>'[67]Rev_SP-12me'!AW48</f>
        <v>0.0751665079594271</v>
      </c>
      <c r="H49" s="101">
        <f t="shared" si="6"/>
        <v>8.99985958179919</v>
      </c>
      <c r="I49" s="139">
        <f t="shared" si="3"/>
        <v>0</v>
      </c>
      <c r="J49" s="139">
        <f t="shared" si="4"/>
        <v>8.92469307383976</v>
      </c>
      <c r="K49" s="139">
        <f t="shared" si="5"/>
        <v>0.0751665079594271</v>
      </c>
      <c r="L49" s="143">
        <f t="shared" si="7"/>
        <v>8.99985958179919</v>
      </c>
      <c r="M49" s="101">
        <f t="shared" si="8"/>
        <v>2.52105576834339</v>
      </c>
    </row>
    <row r="50" spans="2:13">
      <c r="B50" s="56" t="s">
        <v>1038</v>
      </c>
      <c r="C50" s="55"/>
      <c r="D50" s="139">
        <f>'[67]Rev_SP-12me'!AQ49</f>
        <v>12428.3843986482</v>
      </c>
      <c r="E50" s="139">
        <f>'[67]Rev_SP-12me'!AT49</f>
        <v>0</v>
      </c>
      <c r="F50" s="139">
        <f>'[67]Rev_SP-12me'!AU49</f>
        <v>0</v>
      </c>
      <c r="G50" s="139">
        <f>'[67]Rev_SP-12me'!AW49</f>
        <v>0</v>
      </c>
      <c r="H50" s="101">
        <f t="shared" si="6"/>
        <v>0</v>
      </c>
      <c r="I50" s="139">
        <f t="shared" si="3"/>
        <v>0</v>
      </c>
      <c r="J50" s="139">
        <f t="shared" si="4"/>
        <v>0</v>
      </c>
      <c r="K50" s="139">
        <f t="shared" si="5"/>
        <v>0</v>
      </c>
      <c r="L50" s="143">
        <f t="shared" si="7"/>
        <v>0</v>
      </c>
      <c r="M50" s="101">
        <f t="shared" si="8"/>
        <v>0</v>
      </c>
    </row>
    <row r="51" spans="2:13">
      <c r="B51" s="58" t="s">
        <v>1099</v>
      </c>
      <c r="C51" s="55"/>
      <c r="D51" s="139">
        <f>'[67]Rev_SP-12me'!AQ50</f>
        <v>12428.3843986482</v>
      </c>
      <c r="E51" s="139">
        <f>'[67]Rev_SP-12me'!AT50</f>
        <v>0</v>
      </c>
      <c r="F51" s="139">
        <f>'[67]Rev_SP-12me'!AU50</f>
        <v>0</v>
      </c>
      <c r="G51" s="139">
        <f>'[67]Rev_SP-12me'!AW50</f>
        <v>50.0155282792695</v>
      </c>
      <c r="H51" s="101">
        <f t="shared" si="6"/>
        <v>50.0155282792695</v>
      </c>
      <c r="I51" s="139">
        <f t="shared" si="3"/>
        <v>0</v>
      </c>
      <c r="J51" s="139">
        <f t="shared" si="4"/>
        <v>0</v>
      </c>
      <c r="K51" s="139">
        <f t="shared" si="5"/>
        <v>50.0155282792695</v>
      </c>
      <c r="L51" s="143">
        <f t="shared" si="7"/>
        <v>50.0155282792695</v>
      </c>
      <c r="M51" s="101">
        <f t="shared" si="8"/>
        <v>0.0402429846671861</v>
      </c>
    </row>
    <row r="52" spans="2:13">
      <c r="B52" s="58" t="s">
        <v>1100</v>
      </c>
      <c r="C52" s="55"/>
      <c r="D52" s="139">
        <f>'[67]Rev_SP-12me'!AQ51</f>
        <v>0</v>
      </c>
      <c r="E52" s="139">
        <f>'[67]Rev_SP-12me'!AT51</f>
        <v>0</v>
      </c>
      <c r="F52" s="139">
        <f>'[67]Rev_SP-12me'!AU51</f>
        <v>0</v>
      </c>
      <c r="G52" s="139">
        <f>'[67]Rev_SP-12me'!AW51</f>
        <v>0</v>
      </c>
      <c r="H52" s="101">
        <f t="shared" si="6"/>
        <v>0</v>
      </c>
      <c r="I52" s="139">
        <f t="shared" si="3"/>
        <v>0</v>
      </c>
      <c r="J52" s="139">
        <f t="shared" si="4"/>
        <v>0</v>
      </c>
      <c r="K52" s="139">
        <f t="shared" si="5"/>
        <v>0</v>
      </c>
      <c r="L52" s="143">
        <f t="shared" si="7"/>
        <v>0</v>
      </c>
      <c r="M52" s="101"/>
    </row>
    <row r="53" spans="2:13">
      <c r="B53" s="56" t="s">
        <v>1039</v>
      </c>
      <c r="C53" s="55"/>
      <c r="D53" s="138">
        <f>'[67]Rev_SP-12me'!AQ52</f>
        <v>2.4208810095657</v>
      </c>
      <c r="E53" s="138">
        <f>'[67]Rev_SP-12me'!AT52</f>
        <v>0.0473311198610199</v>
      </c>
      <c r="F53" s="138">
        <f>'[67]Rev_SP-12me'!AU52</f>
        <v>0.968352403826278</v>
      </c>
      <c r="G53" s="138">
        <f>'[67]Rev_SP-12me'!AW52</f>
        <v>0.0123064664182779</v>
      </c>
      <c r="H53" s="101">
        <f t="shared" si="6"/>
        <v>1.02798999010558</v>
      </c>
      <c r="I53" s="138">
        <f t="shared" si="3"/>
        <v>0.0473311198610199</v>
      </c>
      <c r="J53" s="138">
        <f t="shared" si="4"/>
        <v>0.968352403826278</v>
      </c>
      <c r="K53" s="138">
        <f t="shared" si="5"/>
        <v>0.0123064664182779</v>
      </c>
      <c r="L53" s="143">
        <f t="shared" si="7"/>
        <v>1.02798999010558</v>
      </c>
      <c r="M53" s="101">
        <f t="shared" ref="M53:M62" si="9">L53*10/D53</f>
        <v>4.24634662357897</v>
      </c>
    </row>
    <row r="54" spans="2:13">
      <c r="B54" s="58" t="s">
        <v>1040</v>
      </c>
      <c r="C54" s="55"/>
      <c r="D54" s="139">
        <f>'[67]Rev_SP-12me'!AQ53</f>
        <v>2.4208810095657</v>
      </c>
      <c r="E54" s="139">
        <f>'[67]Rev_SP-12me'!AT53</f>
        <v>0.0473311198610199</v>
      </c>
      <c r="F54" s="139">
        <f>'[67]Rev_SP-12me'!AU53</f>
        <v>0.968352403826278</v>
      </c>
      <c r="G54" s="139">
        <f>'[67]Rev_SP-12me'!AW53</f>
        <v>0.0123064664182779</v>
      </c>
      <c r="H54" s="101">
        <f t="shared" si="6"/>
        <v>1.02798999010558</v>
      </c>
      <c r="I54" s="138">
        <f t="shared" si="3"/>
        <v>0.0473311198610199</v>
      </c>
      <c r="J54" s="138">
        <f t="shared" si="4"/>
        <v>0.968352403826278</v>
      </c>
      <c r="K54" s="138">
        <f t="shared" si="5"/>
        <v>0.0123064664182779</v>
      </c>
      <c r="L54" s="143">
        <f t="shared" si="7"/>
        <v>1.02798999010558</v>
      </c>
      <c r="M54" s="101">
        <f t="shared" si="9"/>
        <v>4.24634662357897</v>
      </c>
    </row>
    <row r="55" ht="15" spans="2:13">
      <c r="B55" s="54" t="s">
        <v>1042</v>
      </c>
      <c r="C55" s="55"/>
      <c r="D55" s="136">
        <f>'[67]Rev_SP-12me'!AQ54</f>
        <v>255.647601489391</v>
      </c>
      <c r="E55" s="136">
        <f>'[67]Rev_SP-12me'!AT54</f>
        <v>7.68200564765661</v>
      </c>
      <c r="F55" s="136">
        <f>'[67]Rev_SP-12me'!AU54</f>
        <v>196.717130003172</v>
      </c>
      <c r="G55" s="136">
        <f>'[67]Rev_SP-12me'!AW54</f>
        <v>11.2106431290084</v>
      </c>
      <c r="H55" s="137">
        <f t="shared" si="6"/>
        <v>215.609778779837</v>
      </c>
      <c r="I55" s="136">
        <f t="shared" si="3"/>
        <v>7.68200564765661</v>
      </c>
      <c r="J55" s="136">
        <f t="shared" si="4"/>
        <v>196.717130003172</v>
      </c>
      <c r="K55" s="136">
        <f t="shared" si="5"/>
        <v>11.2106431290084</v>
      </c>
      <c r="L55" s="142">
        <f t="shared" si="7"/>
        <v>215.609778779837</v>
      </c>
      <c r="M55" s="101">
        <f t="shared" si="9"/>
        <v>8.43386667912018</v>
      </c>
    </row>
    <row r="56" spans="2:13">
      <c r="B56" s="58" t="s">
        <v>1043</v>
      </c>
      <c r="C56" s="55"/>
      <c r="D56" s="139">
        <f>'[67]Rev_SP-12me'!AQ55</f>
        <v>78.5415369147259</v>
      </c>
      <c r="E56" s="139">
        <f>'[67]Rev_SP-12me'!AT55</f>
        <v>2.77777271278398</v>
      </c>
      <c r="F56" s="139">
        <f>'[67]Rev_SP-12me'!AU55</f>
        <v>55.7644912094554</v>
      </c>
      <c r="G56" s="139">
        <f>'[67]Rev_SP-12me'!AW55</f>
        <v>5.19058677375499</v>
      </c>
      <c r="H56" s="101">
        <f t="shared" si="6"/>
        <v>63.7328506959944</v>
      </c>
      <c r="I56" s="139">
        <f t="shared" si="3"/>
        <v>2.77777271278398</v>
      </c>
      <c r="J56" s="139">
        <f t="shared" si="4"/>
        <v>55.7644912094554</v>
      </c>
      <c r="K56" s="139">
        <f t="shared" si="5"/>
        <v>5.19058677375499</v>
      </c>
      <c r="L56" s="143">
        <f t="shared" si="7"/>
        <v>63.7328506959944</v>
      </c>
      <c r="M56" s="101">
        <f t="shared" si="9"/>
        <v>8.11454081490542</v>
      </c>
    </row>
    <row r="57" spans="2:13">
      <c r="B57" s="58" t="s">
        <v>1044</v>
      </c>
      <c r="C57" s="55"/>
      <c r="D57" s="139">
        <f>'[67]Rev_SP-12me'!AQ56</f>
        <v>50.0654702352401</v>
      </c>
      <c r="E57" s="139">
        <f>'[67]Rev_SP-12me'!AT56</f>
        <v>1.34429658611259</v>
      </c>
      <c r="F57" s="139">
        <f>'[67]Rev_SP-12me'!AU56</f>
        <v>38.0497573787824</v>
      </c>
      <c r="G57" s="139">
        <f>'[67]Rev_SP-12me'!AW56</f>
        <v>1.75466232643712</v>
      </c>
      <c r="H57" s="101">
        <f t="shared" si="6"/>
        <v>41.1487162913321</v>
      </c>
      <c r="I57" s="139">
        <f t="shared" si="3"/>
        <v>1.34429658611259</v>
      </c>
      <c r="J57" s="139">
        <f t="shared" si="4"/>
        <v>38.0497573787824</v>
      </c>
      <c r="K57" s="139">
        <f t="shared" si="5"/>
        <v>1.75466232643712</v>
      </c>
      <c r="L57" s="143">
        <f t="shared" si="7"/>
        <v>41.1487162913321</v>
      </c>
      <c r="M57" s="101">
        <f t="shared" si="9"/>
        <v>8.21898128550251</v>
      </c>
    </row>
    <row r="58" spans="2:13">
      <c r="B58" s="58" t="s">
        <v>1045</v>
      </c>
      <c r="C58" s="55"/>
      <c r="D58" s="139">
        <f>'[67]Rev_SP-12me'!AQ57</f>
        <v>127.040594339425</v>
      </c>
      <c r="E58" s="139">
        <f>'[67]Rev_SP-12me'!AT57</f>
        <v>3.55993634876004</v>
      </c>
      <c r="F58" s="139">
        <f>'[67]Rev_SP-12me'!AU57</f>
        <v>102.902881414934</v>
      </c>
      <c r="G58" s="139">
        <f>'[67]Rev_SP-12me'!AW57</f>
        <v>4.26539402881631</v>
      </c>
      <c r="H58" s="101">
        <f t="shared" si="6"/>
        <v>110.72821179251</v>
      </c>
      <c r="I58" s="139">
        <f t="shared" si="3"/>
        <v>3.55993634876004</v>
      </c>
      <c r="J58" s="139">
        <f t="shared" si="4"/>
        <v>102.902881414934</v>
      </c>
      <c r="K58" s="139">
        <f t="shared" si="5"/>
        <v>4.26539402881631</v>
      </c>
      <c r="L58" s="143">
        <f t="shared" si="7"/>
        <v>110.72821179251</v>
      </c>
      <c r="M58" s="101">
        <f t="shared" si="9"/>
        <v>8.71597085705286</v>
      </c>
    </row>
    <row r="59" ht="15" spans="2:13">
      <c r="B59" s="54" t="s">
        <v>1046</v>
      </c>
      <c r="C59" s="55"/>
      <c r="D59" s="136">
        <f>'[67]Rev_SP-12me'!AQ65</f>
        <v>251.023488142463</v>
      </c>
      <c r="E59" s="136">
        <f>'[67]Rev_SP-12me'!AT65</f>
        <v>6.84617840023572</v>
      </c>
      <c r="F59" s="136">
        <f>'[67]Rev_SP-12me'!AU65</f>
        <v>157.615050852138</v>
      </c>
      <c r="G59" s="136">
        <f>'[67]Rev_SP-12me'!AW65</f>
        <v>5.23430087099158</v>
      </c>
      <c r="H59" s="137">
        <f t="shared" si="6"/>
        <v>169.695530123365</v>
      </c>
      <c r="I59" s="136">
        <f t="shared" si="3"/>
        <v>6.84617840023572</v>
      </c>
      <c r="J59" s="136">
        <f t="shared" si="4"/>
        <v>157.615050852138</v>
      </c>
      <c r="K59" s="136">
        <f t="shared" si="5"/>
        <v>5.23430087099158</v>
      </c>
      <c r="L59" s="142">
        <f t="shared" si="7"/>
        <v>169.695530123365</v>
      </c>
      <c r="M59" s="101">
        <f t="shared" si="9"/>
        <v>6.76014548993353</v>
      </c>
    </row>
    <row r="60" spans="2:13">
      <c r="B60" s="58" t="s">
        <v>1043</v>
      </c>
      <c r="C60" s="55"/>
      <c r="D60" s="139">
        <f>'[67]Rev_SP-12me'!AQ66</f>
        <v>193.328843493908</v>
      </c>
      <c r="E60" s="139">
        <f>'[67]Rev_SP-12me'!AT66</f>
        <v>4.73548543278567</v>
      </c>
      <c r="F60" s="139">
        <f>'[67]Rev_SP-12me'!AU66</f>
        <v>115.997306096345</v>
      </c>
      <c r="G60" s="139">
        <f>'[67]Rev_SP-12me'!AW66</f>
        <v>3.77032032643712</v>
      </c>
      <c r="H60" s="101">
        <f t="shared" si="6"/>
        <v>124.503111855568</v>
      </c>
      <c r="I60" s="139">
        <f t="shared" si="3"/>
        <v>4.73548543278567</v>
      </c>
      <c r="J60" s="139">
        <f t="shared" si="4"/>
        <v>115.997306096345</v>
      </c>
      <c r="K60" s="139">
        <f t="shared" si="5"/>
        <v>3.77032032643712</v>
      </c>
      <c r="L60" s="143">
        <f t="shared" si="7"/>
        <v>124.503111855568</v>
      </c>
      <c r="M60" s="101">
        <f t="shared" si="9"/>
        <v>6.43996568776304</v>
      </c>
    </row>
    <row r="61" spans="2:13">
      <c r="B61" s="58" t="s">
        <v>1044</v>
      </c>
      <c r="C61" s="55"/>
      <c r="D61" s="139">
        <f>'[67]Rev_SP-12me'!AQ67</f>
        <v>44.6037035421728</v>
      </c>
      <c r="E61" s="139">
        <f>'[67]Rev_SP-12me'!AT67</f>
        <v>1.23590001597994</v>
      </c>
      <c r="F61" s="139">
        <f>'[67]Rev_SP-12me'!AU67</f>
        <v>31.6686295149427</v>
      </c>
      <c r="G61" s="139">
        <f>'[67]Rev_SP-12me'!AW67</f>
        <v>0.908037289936456</v>
      </c>
      <c r="H61" s="101">
        <f t="shared" si="6"/>
        <v>33.8125668208591</v>
      </c>
      <c r="I61" s="139">
        <f t="shared" si="3"/>
        <v>1.23590001597994</v>
      </c>
      <c r="J61" s="139">
        <f t="shared" si="4"/>
        <v>31.6686295149427</v>
      </c>
      <c r="K61" s="139">
        <f t="shared" si="5"/>
        <v>0.908037289936456</v>
      </c>
      <c r="L61" s="143">
        <f t="shared" si="7"/>
        <v>33.8125668208591</v>
      </c>
      <c r="M61" s="101">
        <f t="shared" si="9"/>
        <v>7.58066351797207</v>
      </c>
    </row>
    <row r="62" spans="2:13">
      <c r="B62" s="58" t="s">
        <v>1045</v>
      </c>
      <c r="C62" s="55"/>
      <c r="D62" s="139">
        <f>'[67]Rev_SP-12me'!AQ68</f>
        <v>13.0909411063816</v>
      </c>
      <c r="E62" s="139">
        <f>'[67]Rev_SP-12me'!AT68</f>
        <v>0.874792951470112</v>
      </c>
      <c r="F62" s="139">
        <f>'[67]Rev_SP-12me'!AU68</f>
        <v>9.94911524085001</v>
      </c>
      <c r="G62" s="139">
        <f>'[67]Rev_SP-12me'!AW68</f>
        <v>0.555943254617999</v>
      </c>
      <c r="H62" s="101">
        <f t="shared" si="6"/>
        <v>11.3798514469381</v>
      </c>
      <c r="I62" s="139">
        <f t="shared" si="3"/>
        <v>0.874792951470112</v>
      </c>
      <c r="J62" s="139">
        <f t="shared" si="4"/>
        <v>9.94911524085001</v>
      </c>
      <c r="K62" s="139">
        <f t="shared" si="5"/>
        <v>0.555943254617999</v>
      </c>
      <c r="L62" s="143">
        <f t="shared" si="7"/>
        <v>11.3798514469381</v>
      </c>
      <c r="M62" s="101">
        <f t="shared" si="9"/>
        <v>8.69292081788577</v>
      </c>
    </row>
    <row r="63" ht="15" spans="2:13">
      <c r="B63" s="54" t="s">
        <v>1168</v>
      </c>
      <c r="C63" s="55"/>
      <c r="D63" s="136">
        <f>'[67]Rev_SP-12me'!AQ69</f>
        <v>0</v>
      </c>
      <c r="E63" s="136">
        <f>'[67]Rev_SP-12me'!AT69</f>
        <v>0</v>
      </c>
      <c r="F63" s="136">
        <f>'[67]Rev_SP-12me'!AU69</f>
        <v>0</v>
      </c>
      <c r="G63" s="136">
        <f>'[67]Rev_SP-12me'!AW69</f>
        <v>0</v>
      </c>
      <c r="H63" s="101">
        <f t="shared" si="6"/>
        <v>0</v>
      </c>
      <c r="I63" s="138">
        <f t="shared" si="3"/>
        <v>0</v>
      </c>
      <c r="J63" s="138">
        <f t="shared" si="4"/>
        <v>0</v>
      </c>
      <c r="K63" s="138">
        <f t="shared" si="5"/>
        <v>0</v>
      </c>
      <c r="L63" s="143">
        <f t="shared" si="7"/>
        <v>0</v>
      </c>
      <c r="M63" s="101"/>
    </row>
    <row r="64" ht="15" spans="2:13">
      <c r="B64" s="54" t="s">
        <v>1049</v>
      </c>
      <c r="C64" s="55"/>
      <c r="D64" s="136">
        <f>'[67]Rev_SP-12me'!AQ58</f>
        <v>98.8499963533782</v>
      </c>
      <c r="E64" s="136">
        <f>'[67]Rev_SP-12me'!AT58</f>
        <v>2.15091423766816</v>
      </c>
      <c r="F64" s="136">
        <f>'[67]Rev_SP-12me'!AU58</f>
        <v>78.4507610181164</v>
      </c>
      <c r="G64" s="136">
        <f>'[67]Rev_SP-12me'!AW58</f>
        <v>3.08386787270224</v>
      </c>
      <c r="H64" s="137">
        <f t="shared" si="6"/>
        <v>83.6855431284868</v>
      </c>
      <c r="I64" s="136">
        <f t="shared" si="3"/>
        <v>2.15091423766816</v>
      </c>
      <c r="J64" s="136">
        <f t="shared" si="4"/>
        <v>78.4507610181164</v>
      </c>
      <c r="K64" s="136">
        <f t="shared" si="5"/>
        <v>3.08386787270224</v>
      </c>
      <c r="L64" s="142">
        <f t="shared" si="7"/>
        <v>83.6855431284868</v>
      </c>
      <c r="M64" s="101">
        <f>L64*10/D64</f>
        <v>8.46591261666009</v>
      </c>
    </row>
    <row r="65" spans="2:13">
      <c r="B65" s="56" t="s">
        <v>1050</v>
      </c>
      <c r="C65" s="55"/>
      <c r="D65" s="145">
        <f>'[67]Rev_SP-12me'!AQ59</f>
        <v>87.9568570952341</v>
      </c>
      <c r="E65" s="145">
        <f>'[67]Rev_SP-12me'!AT59</f>
        <v>1.86920011210762</v>
      </c>
      <c r="F65" s="145">
        <f>'[67]Rev_SP-12me'!AU59</f>
        <v>73.0041913890443</v>
      </c>
      <c r="G65" s="145">
        <f>'[67]Rev_SP-12me'!AW59</f>
        <v>2.51728787270224</v>
      </c>
      <c r="H65" s="101">
        <f t="shared" si="6"/>
        <v>77.3906793738542</v>
      </c>
      <c r="I65" s="139">
        <f t="shared" si="3"/>
        <v>1.86920011210762</v>
      </c>
      <c r="J65" s="139">
        <f t="shared" si="4"/>
        <v>73.0041913890443</v>
      </c>
      <c r="K65" s="139">
        <f t="shared" si="5"/>
        <v>2.51728787270224</v>
      </c>
      <c r="L65" s="143">
        <f t="shared" si="7"/>
        <v>77.3906793738542</v>
      </c>
      <c r="M65" s="101">
        <f>L65*10/D65</f>
        <v>8.79870904096317</v>
      </c>
    </row>
    <row r="66" spans="2:13">
      <c r="B66" s="56" t="s">
        <v>1051</v>
      </c>
      <c r="C66" s="55"/>
      <c r="D66" s="145">
        <f>'[67]Rev_SP-12me'!AQ60</f>
        <v>10.8931392581442</v>
      </c>
      <c r="E66" s="145">
        <f>'[67]Rev_SP-12me'!AT60</f>
        <v>0.281714125560538</v>
      </c>
      <c r="F66" s="145">
        <f>'[67]Rev_SP-12me'!AU60</f>
        <v>5.44656962907208</v>
      </c>
      <c r="G66" s="145">
        <f>'[67]Rev_SP-12me'!AW60</f>
        <v>0.56658</v>
      </c>
      <c r="H66" s="101">
        <f t="shared" si="6"/>
        <v>6.29486375463262</v>
      </c>
      <c r="I66" s="139">
        <f t="shared" si="3"/>
        <v>0.281714125560538</v>
      </c>
      <c r="J66" s="139">
        <f t="shared" si="4"/>
        <v>5.44656962907208</v>
      </c>
      <c r="K66" s="139">
        <f t="shared" si="5"/>
        <v>0.56658</v>
      </c>
      <c r="L66" s="143">
        <f t="shared" si="7"/>
        <v>6.29486375463262</v>
      </c>
      <c r="M66" s="101">
        <f>L66*10/D66</f>
        <v>5.77874165147232</v>
      </c>
    </row>
    <row r="67" spans="2:13">
      <c r="B67" s="56" t="s">
        <v>1052</v>
      </c>
      <c r="C67" s="55"/>
      <c r="D67" s="146">
        <f>'[67]Rev_SP-12me'!AQ61</f>
        <v>10.8931392581442</v>
      </c>
      <c r="E67" s="146">
        <f>'[67]Rev_SP-12me'!AT61</f>
        <v>0</v>
      </c>
      <c r="F67" s="146">
        <f>'[67]Rev_SP-12me'!AU61</f>
        <v>0</v>
      </c>
      <c r="G67" s="146">
        <f>'[67]Rev_SP-12me'!AW61</f>
        <v>0</v>
      </c>
      <c r="H67" s="101">
        <f t="shared" si="6"/>
        <v>0</v>
      </c>
      <c r="I67" s="139">
        <f t="shared" si="3"/>
        <v>0</v>
      </c>
      <c r="J67" s="139">
        <f t="shared" si="4"/>
        <v>0</v>
      </c>
      <c r="K67" s="139">
        <f t="shared" si="5"/>
        <v>0</v>
      </c>
      <c r="L67" s="143">
        <f t="shared" si="7"/>
        <v>0</v>
      </c>
      <c r="M67" s="101">
        <f>L67*10/D67</f>
        <v>0</v>
      </c>
    </row>
    <row r="68" spans="2:13">
      <c r="B68" s="56" t="s">
        <v>1053</v>
      </c>
      <c r="C68" s="55"/>
      <c r="D68" s="146">
        <f>'[67]Rev_SP-12me'!AQ62</f>
        <v>0</v>
      </c>
      <c r="E68" s="146">
        <f>'[67]Rev_SP-12me'!AT62</f>
        <v>0</v>
      </c>
      <c r="F68" s="146">
        <f>'[67]Rev_SP-12me'!AU62</f>
        <v>0</v>
      </c>
      <c r="G68" s="146">
        <f>'[67]Rev_SP-12me'!AW62</f>
        <v>0</v>
      </c>
      <c r="H68" s="101">
        <f t="shared" si="6"/>
        <v>0</v>
      </c>
      <c r="I68" s="139">
        <f t="shared" si="3"/>
        <v>0</v>
      </c>
      <c r="J68" s="139">
        <f t="shared" si="4"/>
        <v>0</v>
      </c>
      <c r="K68" s="139">
        <f t="shared" si="5"/>
        <v>0</v>
      </c>
      <c r="L68" s="143">
        <f t="shared" si="7"/>
        <v>0</v>
      </c>
      <c r="M68" s="101"/>
    </row>
    <row r="69" ht="15" spans="2:13">
      <c r="B69" s="54" t="s">
        <v>1054</v>
      </c>
      <c r="C69" s="55"/>
      <c r="D69" s="136">
        <f>'[67]Rev_SP-12me'!AQ63</f>
        <v>160.627107885078</v>
      </c>
      <c r="E69" s="136">
        <f>'[67]Rev_SP-12me'!AT63</f>
        <v>2.8476</v>
      </c>
      <c r="F69" s="136">
        <f>'[67]Rev_SP-12me'!AU63</f>
        <v>192.752529462093</v>
      </c>
      <c r="G69" s="136">
        <f>'[67]Rev_SP-12me'!AW63</f>
        <v>1.71366</v>
      </c>
      <c r="H69" s="137">
        <f t="shared" si="6"/>
        <v>197.313789462093</v>
      </c>
      <c r="I69" s="136">
        <f t="shared" si="3"/>
        <v>2.8476</v>
      </c>
      <c r="J69" s="136">
        <f t="shared" si="4"/>
        <v>192.752529462093</v>
      </c>
      <c r="K69" s="136">
        <f t="shared" si="5"/>
        <v>1.71366</v>
      </c>
      <c r="L69" s="142">
        <f t="shared" si="7"/>
        <v>197.313789462093</v>
      </c>
      <c r="M69" s="101">
        <f>L69*10/D69</f>
        <v>12.283965767675</v>
      </c>
    </row>
    <row r="70" ht="15" spans="2:13">
      <c r="B70" s="54" t="s">
        <v>1101</v>
      </c>
      <c r="C70" s="55"/>
      <c r="D70" s="136">
        <f>'[67]Rev_SP-12me'!AQ64</f>
        <v>2.510541</v>
      </c>
      <c r="E70" s="136">
        <f>'[67]Rev_SP-12me'!AT64</f>
        <v>0.45675</v>
      </c>
      <c r="F70" s="136">
        <f>'[67]Rev_SP-12me'!AU64</f>
        <v>1.5063246</v>
      </c>
      <c r="G70" s="136">
        <f>'[67]Rev_SP-12me'!AW64</f>
        <v>0.0343908</v>
      </c>
      <c r="H70" s="137">
        <f t="shared" si="6"/>
        <v>1.9974654</v>
      </c>
      <c r="I70" s="136">
        <f t="shared" si="3"/>
        <v>0.45675</v>
      </c>
      <c r="J70" s="136">
        <f t="shared" si="4"/>
        <v>1.5063246</v>
      </c>
      <c r="K70" s="136">
        <f t="shared" si="5"/>
        <v>0.0343908</v>
      </c>
      <c r="L70" s="142">
        <f t="shared" si="7"/>
        <v>1.9974654</v>
      </c>
      <c r="M70" s="101">
        <f>L70*10/D70</f>
        <v>7.95631459514105</v>
      </c>
    </row>
    <row r="71" ht="15" spans="2:13">
      <c r="B71" s="54"/>
      <c r="C71" s="55"/>
      <c r="D71" s="147"/>
      <c r="E71" s="147"/>
      <c r="F71" s="147"/>
      <c r="G71" s="147"/>
      <c r="H71" s="147"/>
      <c r="I71" s="147"/>
      <c r="J71" s="147"/>
      <c r="K71" s="147"/>
      <c r="L71" s="143"/>
      <c r="M71" s="101"/>
    </row>
    <row r="72" ht="15" spans="2:13">
      <c r="B72" s="54" t="s">
        <v>1102</v>
      </c>
      <c r="C72" s="55"/>
      <c r="D72" s="148">
        <f t="shared" ref="D72:K72" si="10">SUM(D11,D24,D37,D44,D47,D55,D59,D63,D64,D69,D70)</f>
        <v>29902.6643043401</v>
      </c>
      <c r="E72" s="149">
        <f t="shared" si="10"/>
        <v>674.153221931755</v>
      </c>
      <c r="F72" s="148">
        <f t="shared" si="10"/>
        <v>11144.4094777232</v>
      </c>
      <c r="G72" s="148">
        <f t="shared" si="10"/>
        <v>897.885337426349</v>
      </c>
      <c r="H72" s="148">
        <f t="shared" si="10"/>
        <v>12716.4480370813</v>
      </c>
      <c r="I72" s="149">
        <f t="shared" si="10"/>
        <v>674.153221931755</v>
      </c>
      <c r="J72" s="148">
        <f t="shared" si="10"/>
        <v>11144.4094777232</v>
      </c>
      <c r="K72" s="148">
        <f t="shared" si="10"/>
        <v>897.885337426349</v>
      </c>
      <c r="L72" s="148">
        <f>SUM(I72:K72)</f>
        <v>12716.4480370813</v>
      </c>
      <c r="M72" s="101">
        <f>L72*10/D72</f>
        <v>4.25261371617498</v>
      </c>
    </row>
    <row r="73" ht="15" spans="2:13">
      <c r="B73" s="66"/>
      <c r="C73" s="67"/>
      <c r="D73" s="150"/>
      <c r="E73" s="137"/>
      <c r="F73" s="150"/>
      <c r="G73" s="150"/>
      <c r="H73" s="150"/>
      <c r="I73" s="137"/>
      <c r="J73" s="150"/>
      <c r="K73" s="150"/>
      <c r="L73" s="143"/>
      <c r="M73" s="101"/>
    </row>
    <row r="74" ht="15" spans="2:13">
      <c r="B74" s="70" t="s">
        <v>907</v>
      </c>
      <c r="C74" s="70"/>
      <c r="D74" s="55"/>
      <c r="E74" s="55"/>
      <c r="F74" s="55"/>
      <c r="G74" s="55"/>
      <c r="H74" s="55"/>
      <c r="I74" s="55"/>
      <c r="J74" s="55"/>
      <c r="K74" s="55"/>
      <c r="L74" s="143"/>
      <c r="M74" s="101"/>
    </row>
    <row r="75" spans="2:13">
      <c r="B75" s="151" t="s">
        <v>190</v>
      </c>
      <c r="C75" s="55"/>
      <c r="D75" s="147"/>
      <c r="E75" s="147"/>
      <c r="F75" s="147"/>
      <c r="G75" s="147"/>
      <c r="H75" s="147"/>
      <c r="I75" s="147"/>
      <c r="J75" s="147"/>
      <c r="K75" s="147"/>
      <c r="L75" s="143"/>
      <c r="M75" s="101"/>
    </row>
    <row r="76" ht="15" spans="2:13">
      <c r="B76" s="151" t="s">
        <v>1103</v>
      </c>
      <c r="C76" s="72"/>
      <c r="D76" s="136">
        <f>D77+D86</f>
        <v>4636.295104567</v>
      </c>
      <c r="E76" s="136">
        <f>'[67]Rev_SP-12me'!AT84</f>
        <v>973.614478666021</v>
      </c>
      <c r="F76" s="136">
        <f>'[67]Rev_SP-12me'!AU84</f>
        <v>3567.44159103852</v>
      </c>
      <c r="G76" s="136">
        <f>'[67]Rev_SP-12me'!AW84</f>
        <v>14.387532385048</v>
      </c>
      <c r="H76" s="150">
        <f t="shared" ref="H76:H107" si="11">SUM(E76:G76)</f>
        <v>4555.44360208959</v>
      </c>
      <c r="I76" s="136">
        <f>E76</f>
        <v>973.614478666021</v>
      </c>
      <c r="J76" s="136">
        <f>F76</f>
        <v>3567.44159103852</v>
      </c>
      <c r="K76" s="136">
        <f>G76</f>
        <v>14.387532385048</v>
      </c>
      <c r="L76" s="142">
        <f t="shared" ref="L76:L107" si="12">SUM(I76:K76)</f>
        <v>4555.44360208959</v>
      </c>
      <c r="M76" s="101">
        <f t="shared" ref="M76:M115" si="13">L76*10/D76</f>
        <v>9.82561182872556</v>
      </c>
    </row>
    <row r="77" spans="2:13">
      <c r="B77" s="152" t="s">
        <v>1104</v>
      </c>
      <c r="C77" s="72"/>
      <c r="D77" s="138">
        <f>'[67]Rev_SP-12me'!AQ85</f>
        <v>4487.97540980577</v>
      </c>
      <c r="E77" s="138">
        <f>'[67]Rev_SP-12me'!AT85</f>
        <v>973.614478666021</v>
      </c>
      <c r="F77" s="138">
        <f>'[67]Rev_SP-12me'!AU85</f>
        <v>3453.13901947095</v>
      </c>
      <c r="G77" s="138">
        <f>'[67]Rev_SP-12me'!AW85</f>
        <v>13.888208931525</v>
      </c>
      <c r="H77" s="153">
        <f t="shared" si="11"/>
        <v>4440.6417070685</v>
      </c>
      <c r="I77" s="138">
        <f t="shared" ref="I77:I126" si="14">E77</f>
        <v>973.614478666021</v>
      </c>
      <c r="J77" s="138">
        <f t="shared" ref="J77:J126" si="15">F77</f>
        <v>3453.13901947095</v>
      </c>
      <c r="K77" s="138">
        <f t="shared" ref="K77:K126" si="16">G77</f>
        <v>13.888208931525</v>
      </c>
      <c r="L77" s="143">
        <f t="shared" si="12"/>
        <v>4440.6417070685</v>
      </c>
      <c r="M77" s="101">
        <f t="shared" si="13"/>
        <v>9.89453217004297</v>
      </c>
    </row>
    <row r="78" spans="2:13">
      <c r="B78" s="154" t="s">
        <v>1105</v>
      </c>
      <c r="C78" s="72"/>
      <c r="D78" s="145">
        <f>'[67]Rev_SP-12me'!AQ86</f>
        <v>1451.20758836827</v>
      </c>
      <c r="E78" s="145">
        <f>'[67]Rev_SP-12me'!AT86</f>
        <v>973.614478666021</v>
      </c>
      <c r="F78" s="145">
        <f>'[67]Rev_SP-12me'!AU86</f>
        <v>1110.17380510173</v>
      </c>
      <c r="G78" s="145">
        <f>'[67]Rev_SP-12me'!AW86</f>
        <v>10.2277837909362</v>
      </c>
      <c r="H78" s="153">
        <f t="shared" si="11"/>
        <v>2094.01606755869</v>
      </c>
      <c r="I78" s="139">
        <f t="shared" si="14"/>
        <v>973.614478666021</v>
      </c>
      <c r="J78" s="139">
        <f t="shared" si="15"/>
        <v>1110.17380510173</v>
      </c>
      <c r="K78" s="139">
        <f t="shared" si="16"/>
        <v>10.2277837909362</v>
      </c>
      <c r="L78" s="143">
        <f t="shared" si="12"/>
        <v>2094.01606755869</v>
      </c>
      <c r="M78" s="101">
        <f t="shared" si="13"/>
        <v>14.429472973699</v>
      </c>
    </row>
    <row r="79" ht="25.5" spans="2:13">
      <c r="B79" s="155" t="s">
        <v>1106</v>
      </c>
      <c r="C79" s="55"/>
      <c r="D79" s="145">
        <f>'[67]Rev_SP-12me'!AQ87</f>
        <v>254.475934903587</v>
      </c>
      <c r="E79" s="145">
        <f>'[67]Rev_SP-12me'!AT87</f>
        <v>0</v>
      </c>
      <c r="F79" s="145">
        <f>'[67]Rev_SP-12me'!AU87</f>
        <v>203.58074792287</v>
      </c>
      <c r="G79" s="145">
        <f>'[67]Rev_SP-12me'!AW87</f>
        <v>3.18030248097916</v>
      </c>
      <c r="H79" s="153">
        <f t="shared" si="11"/>
        <v>206.761050403849</v>
      </c>
      <c r="I79" s="139">
        <f t="shared" si="14"/>
        <v>0</v>
      </c>
      <c r="J79" s="139">
        <f t="shared" si="15"/>
        <v>203.58074792287</v>
      </c>
      <c r="K79" s="139">
        <f t="shared" si="16"/>
        <v>3.18030248097916</v>
      </c>
      <c r="L79" s="143">
        <f t="shared" si="12"/>
        <v>206.761050403849</v>
      </c>
      <c r="M79" s="101">
        <f t="shared" si="13"/>
        <v>8.12497458677908</v>
      </c>
    </row>
    <row r="80" spans="2:13">
      <c r="B80" s="154" t="s">
        <v>1107</v>
      </c>
      <c r="C80" s="55"/>
      <c r="D80" s="145">
        <f>'[67]Rev_SP-12me'!AQ88</f>
        <v>0.120384060018199</v>
      </c>
      <c r="E80" s="145">
        <f>'[67]Rev_SP-12me'!AT88</f>
        <v>0</v>
      </c>
      <c r="F80" s="145">
        <f>'[67]Rev_SP-12me'!AU88</f>
        <v>0.0920938059139223</v>
      </c>
      <c r="G80" s="145">
        <f>'[67]Rev_SP-12me'!AW88</f>
        <v>0</v>
      </c>
      <c r="H80" s="153">
        <f t="shared" si="11"/>
        <v>0.0920938059139223</v>
      </c>
      <c r="I80" s="139">
        <f t="shared" si="14"/>
        <v>0</v>
      </c>
      <c r="J80" s="139">
        <f t="shared" si="15"/>
        <v>0.0920938059139223</v>
      </c>
      <c r="K80" s="139">
        <f t="shared" si="16"/>
        <v>0</v>
      </c>
      <c r="L80" s="143">
        <f t="shared" si="12"/>
        <v>0.0920938059139223</v>
      </c>
      <c r="M80" s="101">
        <f t="shared" si="13"/>
        <v>7.65000000000001</v>
      </c>
    </row>
    <row r="81" spans="2:13">
      <c r="B81" s="154" t="s">
        <v>1108</v>
      </c>
      <c r="C81" s="55"/>
      <c r="D81" s="145">
        <f>'[67]Rev_SP-12me'!AQ89</f>
        <v>0.676168993671561</v>
      </c>
      <c r="E81" s="145">
        <f>'[67]Rev_SP-12me'!AT89</f>
        <v>0</v>
      </c>
      <c r="F81" s="145">
        <f>'[67]Rev_SP-12me'!AU89</f>
        <v>0.493603365380239</v>
      </c>
      <c r="G81" s="145">
        <f>'[67]Rev_SP-12me'!AW89</f>
        <v>0</v>
      </c>
      <c r="H81" s="153">
        <f t="shared" si="11"/>
        <v>0.493603365380239</v>
      </c>
      <c r="I81" s="139">
        <f t="shared" si="14"/>
        <v>0</v>
      </c>
      <c r="J81" s="139">
        <f t="shared" si="15"/>
        <v>0.493603365380239</v>
      </c>
      <c r="K81" s="139">
        <f t="shared" si="16"/>
        <v>0</v>
      </c>
      <c r="L81" s="143">
        <f t="shared" si="12"/>
        <v>0.493603365380239</v>
      </c>
      <c r="M81" s="101">
        <f t="shared" si="13"/>
        <v>7.29999999999999</v>
      </c>
    </row>
    <row r="82" spans="2:13">
      <c r="B82" s="154" t="s">
        <v>1109</v>
      </c>
      <c r="C82" s="55"/>
      <c r="D82" s="145">
        <f>'[67]Rev_SP-12me'!AQ90</f>
        <v>61.24319367364</v>
      </c>
      <c r="E82" s="145">
        <f>'[67]Rev_SP-12me'!AT90</f>
        <v>0</v>
      </c>
      <c r="F82" s="145">
        <f>'[67]Rev_SP-12me'!AU90</f>
        <v>52.6691465593304</v>
      </c>
      <c r="G82" s="145">
        <f>'[67]Rev_SP-12me'!AW90</f>
        <v>0.480122659609659</v>
      </c>
      <c r="H82" s="153">
        <f t="shared" si="11"/>
        <v>53.1492692189401</v>
      </c>
      <c r="I82" s="139">
        <f t="shared" si="14"/>
        <v>0</v>
      </c>
      <c r="J82" s="139">
        <f t="shared" si="15"/>
        <v>52.6691465593304</v>
      </c>
      <c r="K82" s="139">
        <f t="shared" si="16"/>
        <v>0.480122659609659</v>
      </c>
      <c r="L82" s="143">
        <f t="shared" si="12"/>
        <v>53.1492692189401</v>
      </c>
      <c r="M82" s="101">
        <f t="shared" si="13"/>
        <v>8.67839608466015</v>
      </c>
    </row>
    <row r="83" spans="2:13">
      <c r="B83" s="156" t="s">
        <v>1110</v>
      </c>
      <c r="C83" s="55"/>
      <c r="D83" s="145">
        <f>'[67]Rev_SP-12me'!AQ91</f>
        <v>714.356738920289</v>
      </c>
      <c r="E83" s="145">
        <f>'[67]Rev_SP-12me'!AT91</f>
        <v>0</v>
      </c>
      <c r="F83" s="145">
        <f>'[67]Rev_SP-12me'!AU91</f>
        <v>617.91857916605</v>
      </c>
      <c r="G83" s="145">
        <f>'[67]Rev_SP-12me'!AW91</f>
        <v>0</v>
      </c>
      <c r="H83" s="153">
        <f t="shared" si="11"/>
        <v>617.91857916605</v>
      </c>
      <c r="I83" s="139">
        <f t="shared" si="14"/>
        <v>0</v>
      </c>
      <c r="J83" s="139">
        <f t="shared" si="15"/>
        <v>617.91857916605</v>
      </c>
      <c r="K83" s="139">
        <f t="shared" si="16"/>
        <v>0</v>
      </c>
      <c r="L83" s="143">
        <f t="shared" si="12"/>
        <v>617.91857916605</v>
      </c>
      <c r="M83" s="101">
        <f t="shared" si="13"/>
        <v>8.65</v>
      </c>
    </row>
    <row r="84" spans="2:13">
      <c r="B84" s="156" t="s">
        <v>1111</v>
      </c>
      <c r="C84" s="55"/>
      <c r="D84" s="145">
        <f>'[67]Rev_SP-12me'!AQ92</f>
        <v>671.453009801455</v>
      </c>
      <c r="E84" s="145">
        <f>'[67]Rev_SP-12me'!AT92</f>
        <v>0</v>
      </c>
      <c r="F84" s="145">
        <f>'[67]Rev_SP-12me'!AU92</f>
        <v>580.806853478259</v>
      </c>
      <c r="G84" s="145">
        <f>'[67]Rev_SP-12me'!AW92</f>
        <v>0</v>
      </c>
      <c r="H84" s="153">
        <f t="shared" si="11"/>
        <v>580.806853478259</v>
      </c>
      <c r="I84" s="139">
        <f t="shared" si="14"/>
        <v>0</v>
      </c>
      <c r="J84" s="139">
        <f t="shared" si="15"/>
        <v>580.806853478259</v>
      </c>
      <c r="K84" s="139">
        <f t="shared" si="16"/>
        <v>0</v>
      </c>
      <c r="L84" s="143">
        <f t="shared" si="12"/>
        <v>580.806853478259</v>
      </c>
      <c r="M84" s="101">
        <f t="shared" si="13"/>
        <v>8.65000000000001</v>
      </c>
    </row>
    <row r="85" spans="2:13">
      <c r="B85" s="156" t="s">
        <v>1112</v>
      </c>
      <c r="C85" s="55"/>
      <c r="D85" s="145">
        <f>'[67]Rev_SP-12me'!AQ93</f>
        <v>1334.44239108484</v>
      </c>
      <c r="E85" s="145">
        <f>'[67]Rev_SP-12me'!AT93</f>
        <v>0</v>
      </c>
      <c r="F85" s="145">
        <f>'[67]Rev_SP-12me'!AU93</f>
        <v>887.404190071419</v>
      </c>
      <c r="G85" s="145">
        <f>'[67]Rev_SP-12me'!AW93</f>
        <v>0</v>
      </c>
      <c r="H85" s="153">
        <f t="shared" si="11"/>
        <v>887.404190071419</v>
      </c>
      <c r="I85" s="139">
        <f t="shared" si="14"/>
        <v>0</v>
      </c>
      <c r="J85" s="139">
        <f t="shared" si="15"/>
        <v>887.404190071419</v>
      </c>
      <c r="K85" s="139">
        <f t="shared" si="16"/>
        <v>0</v>
      </c>
      <c r="L85" s="143">
        <f t="shared" si="12"/>
        <v>887.404190071419</v>
      </c>
      <c r="M85" s="101">
        <f t="shared" si="13"/>
        <v>6.65</v>
      </c>
    </row>
    <row r="86" ht="15" spans="2:13">
      <c r="B86" s="151" t="s">
        <v>1113</v>
      </c>
      <c r="C86" s="55"/>
      <c r="D86" s="138">
        <f>'[67]Rev_SP-12me'!AQ94</f>
        <v>148.319694761227</v>
      </c>
      <c r="E86" s="138">
        <f>'[67]Rev_SP-12me'!AT94</f>
        <v>0</v>
      </c>
      <c r="F86" s="138">
        <f>'[67]Rev_SP-12me'!AU94</f>
        <v>114.302571567576</v>
      </c>
      <c r="G86" s="138">
        <f>'[67]Rev_SP-12me'!AW94</f>
        <v>0.49932345352299</v>
      </c>
      <c r="H86" s="150">
        <f t="shared" si="11"/>
        <v>114.801895021099</v>
      </c>
      <c r="I86" s="139">
        <f t="shared" si="14"/>
        <v>0</v>
      </c>
      <c r="J86" s="139">
        <f t="shared" si="15"/>
        <v>114.302571567576</v>
      </c>
      <c r="K86" s="139">
        <f t="shared" si="16"/>
        <v>0.49932345352299</v>
      </c>
      <c r="L86" s="142">
        <f t="shared" si="12"/>
        <v>114.801895021099</v>
      </c>
      <c r="M86" s="101">
        <f t="shared" si="13"/>
        <v>7.74016526975148</v>
      </c>
    </row>
    <row r="87" spans="2:13">
      <c r="B87" s="156" t="s">
        <v>1114</v>
      </c>
      <c r="C87" s="55"/>
      <c r="D87" s="139">
        <f>'[67]Rev_SP-12me'!AQ95</f>
        <v>51.5023836007563</v>
      </c>
      <c r="E87" s="139">
        <f>'[67]Rev_SP-12me'!AT95</f>
        <v>0</v>
      </c>
      <c r="F87" s="139">
        <f>'[67]Rev_SP-12me'!AU95</f>
        <v>39.3993234545786</v>
      </c>
      <c r="G87" s="139">
        <f>'[67]Rev_SP-12me'!AW95</f>
        <v>0.49932345352299</v>
      </c>
      <c r="H87" s="153">
        <f t="shared" si="11"/>
        <v>39.8986469081016</v>
      </c>
      <c r="I87" s="139">
        <f t="shared" si="14"/>
        <v>0</v>
      </c>
      <c r="J87" s="139">
        <f t="shared" si="15"/>
        <v>39.3993234545786</v>
      </c>
      <c r="K87" s="139">
        <f t="shared" si="16"/>
        <v>0.49932345352299</v>
      </c>
      <c r="L87" s="143">
        <f t="shared" si="12"/>
        <v>39.8986469081016</v>
      </c>
      <c r="M87" s="101">
        <f t="shared" si="13"/>
        <v>7.74695152313604</v>
      </c>
    </row>
    <row r="88" spans="2:13">
      <c r="B88" s="156" t="s">
        <v>1115</v>
      </c>
      <c r="C88" s="55"/>
      <c r="D88" s="139">
        <f>'[67]Rev_SP-12me'!AQ96</f>
        <v>28.4156071447196</v>
      </c>
      <c r="E88" s="139">
        <f>'[67]Rev_SP-12me'!AT96</f>
        <v>0</v>
      </c>
      <c r="F88" s="139">
        <f>'[67]Rev_SP-12me'!AU96</f>
        <v>24.5795001801825</v>
      </c>
      <c r="G88" s="139">
        <f>'[67]Rev_SP-12me'!AW96</f>
        <v>0</v>
      </c>
      <c r="H88" s="153">
        <f t="shared" si="11"/>
        <v>24.5795001801825</v>
      </c>
      <c r="I88" s="139">
        <f t="shared" si="14"/>
        <v>0</v>
      </c>
      <c r="J88" s="139">
        <f t="shared" si="15"/>
        <v>24.5795001801825</v>
      </c>
      <c r="K88" s="139">
        <f t="shared" si="16"/>
        <v>0</v>
      </c>
      <c r="L88" s="143">
        <f t="shared" si="12"/>
        <v>24.5795001801825</v>
      </c>
      <c r="M88" s="101">
        <f t="shared" si="13"/>
        <v>8.65000000000001</v>
      </c>
    </row>
    <row r="89" spans="2:13">
      <c r="B89" s="156" t="s">
        <v>1116</v>
      </c>
      <c r="C89" s="55"/>
      <c r="D89" s="139">
        <f>'[67]Rev_SP-12me'!AQ97</f>
        <v>24.1830738117007</v>
      </c>
      <c r="E89" s="139">
        <f>'[67]Rev_SP-12me'!AT97</f>
        <v>0</v>
      </c>
      <c r="F89" s="139">
        <f>'[67]Rev_SP-12me'!AU97</f>
        <v>20.9183588471211</v>
      </c>
      <c r="G89" s="139">
        <f>'[67]Rev_SP-12me'!AW97</f>
        <v>0</v>
      </c>
      <c r="H89" s="153">
        <f t="shared" si="11"/>
        <v>20.9183588471211</v>
      </c>
      <c r="I89" s="139">
        <f t="shared" si="14"/>
        <v>0</v>
      </c>
      <c r="J89" s="139">
        <f t="shared" si="15"/>
        <v>20.9183588471211</v>
      </c>
      <c r="K89" s="139">
        <f t="shared" si="16"/>
        <v>0</v>
      </c>
      <c r="L89" s="143">
        <f t="shared" si="12"/>
        <v>20.9183588471211</v>
      </c>
      <c r="M89" s="101">
        <f t="shared" si="13"/>
        <v>8.65</v>
      </c>
    </row>
    <row r="90" spans="2:13">
      <c r="B90" s="156" t="s">
        <v>1117</v>
      </c>
      <c r="C90" s="55"/>
      <c r="D90" s="139">
        <f>'[67]Rev_SP-12me'!AQ98</f>
        <v>44.2186302040508</v>
      </c>
      <c r="E90" s="139">
        <f>'[67]Rev_SP-12me'!AT98</f>
        <v>0</v>
      </c>
      <c r="F90" s="139">
        <f>'[67]Rev_SP-12me'!AU98</f>
        <v>29.4053890856938</v>
      </c>
      <c r="G90" s="139">
        <f>'[67]Rev_SP-12me'!AW98</f>
        <v>0</v>
      </c>
      <c r="H90" s="153">
        <f t="shared" si="11"/>
        <v>29.4053890856938</v>
      </c>
      <c r="I90" s="139">
        <f t="shared" si="14"/>
        <v>0</v>
      </c>
      <c r="J90" s="139">
        <f t="shared" si="15"/>
        <v>29.4053890856938</v>
      </c>
      <c r="K90" s="139">
        <f t="shared" si="16"/>
        <v>0</v>
      </c>
      <c r="L90" s="143">
        <f t="shared" si="12"/>
        <v>29.4053890856938</v>
      </c>
      <c r="M90" s="101">
        <f t="shared" si="13"/>
        <v>6.65</v>
      </c>
    </row>
    <row r="91" ht="15" spans="2:13">
      <c r="B91" s="151" t="s">
        <v>1118</v>
      </c>
      <c r="C91" s="55"/>
      <c r="D91" s="136">
        <f>'[67]Rev_SP-12me'!AQ100</f>
        <v>51.1237873396121</v>
      </c>
      <c r="E91" s="136">
        <f>'[67]Rev_SP-12me'!AT100</f>
        <v>6.70945383732131</v>
      </c>
      <c r="F91" s="136">
        <f>'[67]Rev_SP-12me'!AU100</f>
        <v>39.4155915876943</v>
      </c>
      <c r="G91" s="136">
        <f>'[67]Rev_SP-12me'!AW100</f>
        <v>0</v>
      </c>
      <c r="H91" s="150">
        <f t="shared" si="11"/>
        <v>46.1250454250156</v>
      </c>
      <c r="I91" s="136">
        <f t="shared" si="14"/>
        <v>6.70945383732131</v>
      </c>
      <c r="J91" s="136">
        <f t="shared" si="15"/>
        <v>39.4155915876943</v>
      </c>
      <c r="K91" s="136">
        <f t="shared" si="16"/>
        <v>0</v>
      </c>
      <c r="L91" s="142">
        <f t="shared" si="12"/>
        <v>46.1250454250156</v>
      </c>
      <c r="M91" s="101">
        <f t="shared" si="13"/>
        <v>9.02222777796368</v>
      </c>
    </row>
    <row r="92" spans="2:13">
      <c r="B92" s="154" t="s">
        <v>1119</v>
      </c>
      <c r="C92" s="55"/>
      <c r="D92" s="139">
        <f>'[67]Rev_SP-12me'!AQ101</f>
        <v>18.6089083006961</v>
      </c>
      <c r="E92" s="139">
        <f>'[67]Rev_SP-12me'!AT101</f>
        <v>6.70945383732131</v>
      </c>
      <c r="F92" s="139">
        <f>'[67]Rev_SP-12me'!AU101</f>
        <v>14.2358148500325</v>
      </c>
      <c r="G92" s="139">
        <f>'[67]Rev_SP-12me'!AW101</f>
        <v>0</v>
      </c>
      <c r="H92" s="153">
        <f t="shared" si="11"/>
        <v>20.9452686873538</v>
      </c>
      <c r="I92" s="139">
        <f t="shared" si="14"/>
        <v>6.70945383732131</v>
      </c>
      <c r="J92" s="139">
        <f t="shared" si="15"/>
        <v>14.2358148500325</v>
      </c>
      <c r="K92" s="139">
        <f t="shared" si="16"/>
        <v>0</v>
      </c>
      <c r="L92" s="143">
        <f t="shared" si="12"/>
        <v>20.9452686873538</v>
      </c>
      <c r="M92" s="101">
        <f t="shared" si="13"/>
        <v>11.2555064213898</v>
      </c>
    </row>
    <row r="93" spans="2:13">
      <c r="B93" s="154" t="s">
        <v>1120</v>
      </c>
      <c r="C93" s="55"/>
      <c r="D93" s="139">
        <f>'[67]Rev_SP-12me'!AQ102</f>
        <v>8.14008642924429</v>
      </c>
      <c r="E93" s="139">
        <f>'[67]Rev_SP-12me'!AT102</f>
        <v>0</v>
      </c>
      <c r="F93" s="139">
        <f>'[67]Rev_SP-12me'!AU102</f>
        <v>7.04117476129631</v>
      </c>
      <c r="G93" s="139">
        <f>'[67]Rev_SP-12me'!AW102</f>
        <v>0</v>
      </c>
      <c r="H93" s="153">
        <f t="shared" si="11"/>
        <v>7.04117476129631</v>
      </c>
      <c r="I93" s="139">
        <f t="shared" si="14"/>
        <v>0</v>
      </c>
      <c r="J93" s="139">
        <f t="shared" si="15"/>
        <v>7.04117476129631</v>
      </c>
      <c r="K93" s="139">
        <f t="shared" si="16"/>
        <v>0</v>
      </c>
      <c r="L93" s="143">
        <f t="shared" si="12"/>
        <v>7.04117476129631</v>
      </c>
      <c r="M93" s="101">
        <f t="shared" si="13"/>
        <v>8.65</v>
      </c>
    </row>
    <row r="94" spans="2:13">
      <c r="B94" s="154" t="s">
        <v>1121</v>
      </c>
      <c r="C94" s="55"/>
      <c r="D94" s="139">
        <f>'[67]Rev_SP-12me'!AQ103</f>
        <v>9.64682445466898</v>
      </c>
      <c r="E94" s="139">
        <f>'[67]Rev_SP-12me'!AT103</f>
        <v>0</v>
      </c>
      <c r="F94" s="139">
        <f>'[67]Rev_SP-12me'!AU103</f>
        <v>8.34450315328867</v>
      </c>
      <c r="G94" s="139">
        <f>'[67]Rev_SP-12me'!AW103</f>
        <v>0</v>
      </c>
      <c r="H94" s="153">
        <f t="shared" si="11"/>
        <v>8.34450315328867</v>
      </c>
      <c r="I94" s="139">
        <f t="shared" si="14"/>
        <v>0</v>
      </c>
      <c r="J94" s="139">
        <f t="shared" si="15"/>
        <v>8.34450315328867</v>
      </c>
      <c r="K94" s="139">
        <f t="shared" si="16"/>
        <v>0</v>
      </c>
      <c r="L94" s="143">
        <f t="shared" si="12"/>
        <v>8.34450315328867</v>
      </c>
      <c r="M94" s="101">
        <f t="shared" si="13"/>
        <v>8.65</v>
      </c>
    </row>
    <row r="95" spans="2:13">
      <c r="B95" s="154" t="s">
        <v>1122</v>
      </c>
      <c r="C95" s="55"/>
      <c r="D95" s="139">
        <f>'[67]Rev_SP-12me'!AQ104</f>
        <v>14.7279681550028</v>
      </c>
      <c r="E95" s="139">
        <f>'[67]Rev_SP-12me'!AT104</f>
        <v>0</v>
      </c>
      <c r="F95" s="139">
        <f>'[67]Rev_SP-12me'!AU104</f>
        <v>9.79409882307684</v>
      </c>
      <c r="G95" s="139">
        <f>'[67]Rev_SP-12me'!AW104</f>
        <v>0</v>
      </c>
      <c r="H95" s="153">
        <f t="shared" si="11"/>
        <v>9.79409882307684</v>
      </c>
      <c r="I95" s="139">
        <f t="shared" si="14"/>
        <v>0</v>
      </c>
      <c r="J95" s="139">
        <f t="shared" si="15"/>
        <v>9.79409882307684</v>
      </c>
      <c r="K95" s="139">
        <f t="shared" si="16"/>
        <v>0</v>
      </c>
      <c r="L95" s="143">
        <f t="shared" si="12"/>
        <v>9.79409882307684</v>
      </c>
      <c r="M95" s="101">
        <f t="shared" si="13"/>
        <v>6.64999999999998</v>
      </c>
    </row>
    <row r="96" ht="15" spans="2:13">
      <c r="B96" s="151" t="s">
        <v>1123</v>
      </c>
      <c r="C96" s="55"/>
      <c r="D96" s="136">
        <f>'[67]Rev_SP-12me'!AQ99</f>
        <v>0.26805906</v>
      </c>
      <c r="E96" s="136">
        <f>'[67]Rev_SP-12me'!AT99</f>
        <v>0</v>
      </c>
      <c r="F96" s="136">
        <f>'[67]Rev_SP-12me'!AU99</f>
        <v>0.2050651809</v>
      </c>
      <c r="G96" s="136">
        <f>'[67]Rev_SP-12me'!AW99</f>
        <v>0.0024</v>
      </c>
      <c r="H96" s="137">
        <f t="shared" si="11"/>
        <v>0.2074651809</v>
      </c>
      <c r="I96" s="136">
        <f t="shared" si="14"/>
        <v>0</v>
      </c>
      <c r="J96" s="136">
        <f t="shared" si="15"/>
        <v>0.2050651809</v>
      </c>
      <c r="K96" s="136">
        <f t="shared" si="16"/>
        <v>0.0024</v>
      </c>
      <c r="L96" s="142">
        <f t="shared" si="12"/>
        <v>0.2074651809</v>
      </c>
      <c r="M96" s="101">
        <f t="shared" si="13"/>
        <v>7.7395325082465</v>
      </c>
    </row>
    <row r="97" ht="15" spans="2:13">
      <c r="B97" s="151" t="s">
        <v>1124</v>
      </c>
      <c r="C97" s="55"/>
      <c r="D97" s="136">
        <f>'[67]Rev_SP-12me'!AQ105</f>
        <v>2551.17546243369</v>
      </c>
      <c r="E97" s="136">
        <f>'[67]Rev_SP-12me'!AT105</f>
        <v>495.659523399504</v>
      </c>
      <c r="F97" s="136">
        <f>'[67]Rev_SP-12me'!AU105</f>
        <v>2270.4479160131</v>
      </c>
      <c r="G97" s="136">
        <f>'[67]Rev_SP-12me'!AW105</f>
        <v>11.4456257860213</v>
      </c>
      <c r="H97" s="150">
        <f t="shared" si="11"/>
        <v>2777.55306519863</v>
      </c>
      <c r="I97" s="136">
        <f t="shared" si="14"/>
        <v>495.659523399504</v>
      </c>
      <c r="J97" s="136">
        <f t="shared" si="15"/>
        <v>2270.4479160131</v>
      </c>
      <c r="K97" s="136">
        <f t="shared" si="16"/>
        <v>11.4456257860213</v>
      </c>
      <c r="L97" s="142">
        <f t="shared" si="12"/>
        <v>2777.55306519863</v>
      </c>
      <c r="M97" s="101">
        <f t="shared" si="13"/>
        <v>10.8873462688018</v>
      </c>
    </row>
    <row r="98" spans="2:13">
      <c r="B98" s="154" t="s">
        <v>1119</v>
      </c>
      <c r="C98" s="55"/>
      <c r="D98" s="139">
        <f>'[67]Rev_SP-12me'!AQ106</f>
        <v>1082.28791759842</v>
      </c>
      <c r="E98" s="139">
        <f>'[67]Rev_SP-12me'!AT106</f>
        <v>495.659523399504</v>
      </c>
      <c r="F98" s="139">
        <f>'[67]Rev_SP-12me'!AU106</f>
        <v>952.41336748661</v>
      </c>
      <c r="G98" s="139">
        <f>'[67]Rev_SP-12me'!AW106</f>
        <v>11.4456257860213</v>
      </c>
      <c r="H98" s="153">
        <f t="shared" si="11"/>
        <v>1459.51851667214</v>
      </c>
      <c r="I98" s="139">
        <f t="shared" si="14"/>
        <v>495.659523399504</v>
      </c>
      <c r="J98" s="139">
        <f t="shared" si="15"/>
        <v>952.41336748661</v>
      </c>
      <c r="K98" s="139">
        <f t="shared" si="16"/>
        <v>11.4456257860213</v>
      </c>
      <c r="L98" s="143">
        <f t="shared" si="12"/>
        <v>1459.51851667214</v>
      </c>
      <c r="M98" s="101">
        <f t="shared" si="13"/>
        <v>13.4854921037166</v>
      </c>
    </row>
    <row r="99" spans="2:13">
      <c r="B99" s="154" t="s">
        <v>1120</v>
      </c>
      <c r="C99" s="55"/>
      <c r="D99" s="139">
        <f>'[67]Rev_SP-12me'!AQ107</f>
        <v>506.93215059366</v>
      </c>
      <c r="E99" s="139">
        <f>'[67]Rev_SP-12me'!AT107</f>
        <v>0</v>
      </c>
      <c r="F99" s="139">
        <f>'[67]Rev_SP-12me'!AU107</f>
        <v>496.793507581786</v>
      </c>
      <c r="G99" s="139">
        <f>'[67]Rev_SP-12me'!AW107</f>
        <v>0</v>
      </c>
      <c r="H99" s="153">
        <f t="shared" si="11"/>
        <v>496.793507581786</v>
      </c>
      <c r="I99" s="139">
        <f t="shared" si="14"/>
        <v>0</v>
      </c>
      <c r="J99" s="139">
        <f t="shared" si="15"/>
        <v>496.793507581786</v>
      </c>
      <c r="K99" s="139">
        <f t="shared" si="16"/>
        <v>0</v>
      </c>
      <c r="L99" s="143">
        <f t="shared" si="12"/>
        <v>496.793507581786</v>
      </c>
      <c r="M99" s="101">
        <f t="shared" si="13"/>
        <v>9.79999999999998</v>
      </c>
    </row>
    <row r="100" spans="2:13">
      <c r="B100" s="154" t="s">
        <v>1121</v>
      </c>
      <c r="C100" s="55"/>
      <c r="D100" s="139">
        <f>'[67]Rev_SP-12me'!AQ108</f>
        <v>354.579167181269</v>
      </c>
      <c r="E100" s="139">
        <f>'[67]Rev_SP-12me'!AT108</f>
        <v>0</v>
      </c>
      <c r="F100" s="139">
        <f>'[67]Rev_SP-12me'!AU108</f>
        <v>347.487583837643</v>
      </c>
      <c r="G100" s="139">
        <f>'[67]Rev_SP-12me'!AW108</f>
        <v>0</v>
      </c>
      <c r="H100" s="153">
        <f t="shared" si="11"/>
        <v>347.487583837643</v>
      </c>
      <c r="I100" s="139">
        <f t="shared" si="14"/>
        <v>0</v>
      </c>
      <c r="J100" s="139">
        <f t="shared" si="15"/>
        <v>347.487583837643</v>
      </c>
      <c r="K100" s="139">
        <f t="shared" si="16"/>
        <v>0</v>
      </c>
      <c r="L100" s="143">
        <f t="shared" si="12"/>
        <v>347.487583837643</v>
      </c>
      <c r="M100" s="101">
        <f t="shared" si="13"/>
        <v>9.79999999999998</v>
      </c>
    </row>
    <row r="101" spans="2:13">
      <c r="B101" s="154" t="s">
        <v>1122</v>
      </c>
      <c r="C101" s="55"/>
      <c r="D101" s="139">
        <f>'[67]Rev_SP-12me'!AQ109</f>
        <v>607.37622706034</v>
      </c>
      <c r="E101" s="139">
        <f>'[67]Rev_SP-12me'!AT109</f>
        <v>0</v>
      </c>
      <c r="F101" s="139">
        <f>'[67]Rev_SP-12me'!AU109</f>
        <v>473.753457107065</v>
      </c>
      <c r="G101" s="139">
        <f>'[67]Rev_SP-12me'!AW109</f>
        <v>0</v>
      </c>
      <c r="H101" s="153">
        <f t="shared" si="11"/>
        <v>473.753457107065</v>
      </c>
      <c r="I101" s="139">
        <f t="shared" si="14"/>
        <v>0</v>
      </c>
      <c r="J101" s="139">
        <f t="shared" si="15"/>
        <v>473.753457107065</v>
      </c>
      <c r="K101" s="139">
        <f t="shared" si="16"/>
        <v>0</v>
      </c>
      <c r="L101" s="143">
        <f t="shared" si="12"/>
        <v>473.753457107065</v>
      </c>
      <c r="M101" s="101">
        <f t="shared" si="13"/>
        <v>7.8</v>
      </c>
    </row>
    <row r="102" ht="15" spans="2:13">
      <c r="B102" s="151" t="s">
        <v>1125</v>
      </c>
      <c r="C102" s="55"/>
      <c r="D102" s="136">
        <f>'[67]Rev_SP-12me'!AQ110</f>
        <v>0.34405518</v>
      </c>
      <c r="E102" s="136">
        <f>'[67]Rev_SP-12me'!AT110</f>
        <v>0</v>
      </c>
      <c r="F102" s="136">
        <f>'[67]Rev_SP-12me'!AU110</f>
        <v>0.171413652</v>
      </c>
      <c r="G102" s="136">
        <f>'[67]Rev_SP-12me'!AW110</f>
        <v>0.0048</v>
      </c>
      <c r="H102" s="150">
        <f t="shared" si="11"/>
        <v>0.176213652</v>
      </c>
      <c r="I102" s="136">
        <f t="shared" si="14"/>
        <v>0</v>
      </c>
      <c r="J102" s="136">
        <f t="shared" si="15"/>
        <v>0.171413652</v>
      </c>
      <c r="K102" s="136">
        <f t="shared" si="16"/>
        <v>0.0048</v>
      </c>
      <c r="L102" s="142">
        <f t="shared" si="12"/>
        <v>0.176213652</v>
      </c>
      <c r="M102" s="101">
        <f t="shared" si="13"/>
        <v>5.12166833238784</v>
      </c>
    </row>
    <row r="103" spans="2:13">
      <c r="B103" s="154" t="s">
        <v>1119</v>
      </c>
      <c r="C103" s="55"/>
      <c r="D103" s="139">
        <f>'[67]Rev_SP-12me'!AQ111</f>
        <v>0.08968248</v>
      </c>
      <c r="E103" s="139">
        <f>'[67]Rev_SP-12me'!AT111</f>
        <v>0</v>
      </c>
      <c r="F103" s="139">
        <f>'[67]Rev_SP-12me'!AU111</f>
        <v>0.04484124</v>
      </c>
      <c r="G103" s="139">
        <f>'[67]Rev_SP-12me'!AW111</f>
        <v>0.0048</v>
      </c>
      <c r="H103" s="153">
        <f t="shared" si="11"/>
        <v>0.04964124</v>
      </c>
      <c r="I103" s="139">
        <f t="shared" si="14"/>
        <v>0</v>
      </c>
      <c r="J103" s="139">
        <f t="shared" si="15"/>
        <v>0.04484124</v>
      </c>
      <c r="K103" s="139">
        <f t="shared" si="16"/>
        <v>0.0048</v>
      </c>
      <c r="L103" s="143">
        <f t="shared" si="12"/>
        <v>0.04964124</v>
      </c>
      <c r="M103" s="101">
        <f t="shared" si="13"/>
        <v>5.53522159512092</v>
      </c>
    </row>
    <row r="104" spans="2:13">
      <c r="B104" s="154" t="s">
        <v>1120</v>
      </c>
      <c r="C104" s="55"/>
      <c r="D104" s="139">
        <f>'[67]Rev_SP-12me'!AQ112</f>
        <v>0.0651474</v>
      </c>
      <c r="E104" s="139">
        <f>'[67]Rev_SP-12me'!AT112</f>
        <v>0</v>
      </c>
      <c r="F104" s="139">
        <f>'[67]Rev_SP-12me'!AU112</f>
        <v>0.03908844</v>
      </c>
      <c r="G104" s="139">
        <f>'[67]Rev_SP-12me'!AW112</f>
        <v>0</v>
      </c>
      <c r="H104" s="153">
        <f t="shared" si="11"/>
        <v>0.03908844</v>
      </c>
      <c r="I104" s="139">
        <f t="shared" si="14"/>
        <v>0</v>
      </c>
      <c r="J104" s="139">
        <f t="shared" si="15"/>
        <v>0.03908844</v>
      </c>
      <c r="K104" s="139">
        <f t="shared" si="16"/>
        <v>0</v>
      </c>
      <c r="L104" s="143">
        <f t="shared" si="12"/>
        <v>0.03908844</v>
      </c>
      <c r="M104" s="101">
        <f t="shared" si="13"/>
        <v>6</v>
      </c>
    </row>
    <row r="105" spans="2:13">
      <c r="B105" s="154" t="s">
        <v>1121</v>
      </c>
      <c r="C105" s="55"/>
      <c r="D105" s="139">
        <f>'[67]Rev_SP-12me'!AQ113</f>
        <v>0.05896926</v>
      </c>
      <c r="E105" s="139">
        <f>'[67]Rev_SP-12me'!AT113</f>
        <v>0</v>
      </c>
      <c r="F105" s="139">
        <f>'[67]Rev_SP-12me'!AU113</f>
        <v>0.035381556</v>
      </c>
      <c r="G105" s="139">
        <f>'[67]Rev_SP-12me'!AW113</f>
        <v>0</v>
      </c>
      <c r="H105" s="153">
        <f t="shared" si="11"/>
        <v>0.035381556</v>
      </c>
      <c r="I105" s="139">
        <f t="shared" si="14"/>
        <v>0</v>
      </c>
      <c r="J105" s="139">
        <f t="shared" si="15"/>
        <v>0.035381556</v>
      </c>
      <c r="K105" s="139">
        <f t="shared" si="16"/>
        <v>0</v>
      </c>
      <c r="L105" s="143">
        <f t="shared" si="12"/>
        <v>0.035381556</v>
      </c>
      <c r="M105" s="101">
        <f t="shared" si="13"/>
        <v>6</v>
      </c>
    </row>
    <row r="106" spans="2:13">
      <c r="B106" s="154" t="s">
        <v>1122</v>
      </c>
      <c r="C106" s="55"/>
      <c r="D106" s="139">
        <f>'[67]Rev_SP-12me'!AQ114</f>
        <v>0.13025604</v>
      </c>
      <c r="E106" s="139">
        <f>'[67]Rev_SP-12me'!AT114</f>
        <v>0</v>
      </c>
      <c r="F106" s="139">
        <f>'[67]Rev_SP-12me'!AU114</f>
        <v>0.052102416</v>
      </c>
      <c r="G106" s="139">
        <f>'[67]Rev_SP-12me'!AW114</f>
        <v>0</v>
      </c>
      <c r="H106" s="153">
        <f t="shared" si="11"/>
        <v>0.052102416</v>
      </c>
      <c r="I106" s="139">
        <f t="shared" si="14"/>
        <v>0</v>
      </c>
      <c r="J106" s="139">
        <f t="shared" si="15"/>
        <v>0.052102416</v>
      </c>
      <c r="K106" s="139">
        <f t="shared" si="16"/>
        <v>0</v>
      </c>
      <c r="L106" s="143">
        <f t="shared" si="12"/>
        <v>0.052102416</v>
      </c>
      <c r="M106" s="101">
        <f t="shared" si="13"/>
        <v>4</v>
      </c>
    </row>
    <row r="107" ht="15" spans="2:13">
      <c r="B107" s="151" t="s">
        <v>1126</v>
      </c>
      <c r="C107" s="55"/>
      <c r="D107" s="136">
        <f>'[67]Rev_SP-12me'!AQ115</f>
        <v>4.82725997546507</v>
      </c>
      <c r="E107" s="136">
        <f>'[67]Rev_SP-12me'!AT115</f>
        <v>0.639864406779661</v>
      </c>
      <c r="F107" s="136">
        <f>'[67]Rev_SP-12me'!AU115</f>
        <v>4.0912429488117</v>
      </c>
      <c r="G107" s="136">
        <f>'[67]Rev_SP-12me'!AW115</f>
        <v>0.0299</v>
      </c>
      <c r="H107" s="150">
        <f t="shared" si="11"/>
        <v>4.76100735559136</v>
      </c>
      <c r="I107" s="136">
        <f t="shared" si="14"/>
        <v>0.639864406779661</v>
      </c>
      <c r="J107" s="136">
        <f t="shared" si="15"/>
        <v>4.0912429488117</v>
      </c>
      <c r="K107" s="136">
        <f t="shared" si="16"/>
        <v>0.0299</v>
      </c>
      <c r="L107" s="142">
        <f t="shared" si="12"/>
        <v>4.76100735559136</v>
      </c>
      <c r="M107" s="101">
        <f t="shared" si="13"/>
        <v>9.86275315559874</v>
      </c>
    </row>
    <row r="108" spans="2:13">
      <c r="B108" s="154" t="s">
        <v>1119</v>
      </c>
      <c r="C108" s="55"/>
      <c r="D108" s="139">
        <f>'[67]Rev_SP-12me'!AQ116</f>
        <v>1.19738079956967</v>
      </c>
      <c r="E108" s="139">
        <f>'[67]Rev_SP-12me'!AT116</f>
        <v>0.639864406779661</v>
      </c>
      <c r="F108" s="139">
        <f>'[67]Rev_SP-12me'!AU116</f>
        <v>1.01777367963422</v>
      </c>
      <c r="G108" s="139">
        <f>'[67]Rev_SP-12me'!AW116</f>
        <v>0.0299</v>
      </c>
      <c r="H108" s="153">
        <f t="shared" ref="H108:H126" si="17">SUM(E108:G108)</f>
        <v>1.68753808641388</v>
      </c>
      <c r="I108" s="139">
        <f t="shared" si="14"/>
        <v>0.639864406779661</v>
      </c>
      <c r="J108" s="139">
        <f t="shared" si="15"/>
        <v>1.01777367963422</v>
      </c>
      <c r="K108" s="139">
        <f t="shared" si="16"/>
        <v>0.0299</v>
      </c>
      <c r="L108" s="143">
        <f t="shared" ref="L108:L127" si="18">SUM(I108:K108)</f>
        <v>1.68753808641388</v>
      </c>
      <c r="M108" s="101">
        <f t="shared" si="13"/>
        <v>14.0935789768833</v>
      </c>
    </row>
    <row r="109" spans="2:13">
      <c r="B109" s="154" t="s">
        <v>1120</v>
      </c>
      <c r="C109" s="55"/>
      <c r="D109" s="139">
        <f>'[67]Rev_SP-12me'!AQ117</f>
        <v>1.15482289647434</v>
      </c>
      <c r="E109" s="139">
        <f>'[67]Rev_SP-12me'!AT117</f>
        <v>0</v>
      </c>
      <c r="F109" s="139">
        <f>'[67]Rev_SP-12me'!AU117</f>
        <v>1.09708175165062</v>
      </c>
      <c r="G109" s="139">
        <f>'[67]Rev_SP-12me'!AW117</f>
        <v>0</v>
      </c>
      <c r="H109" s="153">
        <f t="shared" si="17"/>
        <v>1.09708175165062</v>
      </c>
      <c r="I109" s="139">
        <f t="shared" si="14"/>
        <v>0</v>
      </c>
      <c r="J109" s="139">
        <f t="shared" si="15"/>
        <v>1.09708175165062</v>
      </c>
      <c r="K109" s="139">
        <f t="shared" si="16"/>
        <v>0</v>
      </c>
      <c r="L109" s="143">
        <f t="shared" si="18"/>
        <v>1.09708175165062</v>
      </c>
      <c r="M109" s="101">
        <f t="shared" si="13"/>
        <v>9.49999999999997</v>
      </c>
    </row>
    <row r="110" spans="2:13">
      <c r="B110" s="154" t="s">
        <v>1121</v>
      </c>
      <c r="C110" s="55"/>
      <c r="D110" s="139">
        <f>'[67]Rev_SP-12me'!AQ118</f>
        <v>0.600476539805321</v>
      </c>
      <c r="E110" s="139">
        <f>'[67]Rev_SP-12me'!AT118</f>
        <v>0</v>
      </c>
      <c r="F110" s="139">
        <f>'[67]Rev_SP-12me'!AU118</f>
        <v>0.570452712815055</v>
      </c>
      <c r="G110" s="139">
        <f>'[67]Rev_SP-12me'!AW118</f>
        <v>0</v>
      </c>
      <c r="H110" s="153">
        <f t="shared" si="17"/>
        <v>0.570452712815055</v>
      </c>
      <c r="I110" s="139">
        <f t="shared" si="14"/>
        <v>0</v>
      </c>
      <c r="J110" s="139">
        <f t="shared" si="15"/>
        <v>0.570452712815055</v>
      </c>
      <c r="K110" s="139">
        <f t="shared" si="16"/>
        <v>0</v>
      </c>
      <c r="L110" s="143">
        <f t="shared" si="18"/>
        <v>0.570452712815055</v>
      </c>
      <c r="M110" s="101">
        <f t="shared" si="13"/>
        <v>9.5</v>
      </c>
    </row>
    <row r="111" spans="2:13">
      <c r="B111" s="154" t="s">
        <v>1122</v>
      </c>
      <c r="C111" s="55"/>
      <c r="D111" s="139">
        <f>'[67]Rev_SP-12me'!AQ119</f>
        <v>1.87457973961573</v>
      </c>
      <c r="E111" s="139">
        <f>'[67]Rev_SP-12me'!AT119</f>
        <v>0</v>
      </c>
      <c r="F111" s="139">
        <f>'[67]Rev_SP-12me'!AU119</f>
        <v>1.4059348047118</v>
      </c>
      <c r="G111" s="139">
        <f>'[67]Rev_SP-12me'!AW119</f>
        <v>0</v>
      </c>
      <c r="H111" s="153">
        <f t="shared" si="17"/>
        <v>1.4059348047118</v>
      </c>
      <c r="I111" s="139">
        <f t="shared" si="14"/>
        <v>0</v>
      </c>
      <c r="J111" s="139">
        <f t="shared" si="15"/>
        <v>1.4059348047118</v>
      </c>
      <c r="K111" s="139">
        <f t="shared" si="16"/>
        <v>0</v>
      </c>
      <c r="L111" s="143">
        <f t="shared" si="18"/>
        <v>1.4059348047118</v>
      </c>
      <c r="M111" s="101">
        <f t="shared" si="13"/>
        <v>7.50000000000001</v>
      </c>
    </row>
    <row r="112" ht="15" spans="2:13">
      <c r="B112" s="151" t="s">
        <v>1127</v>
      </c>
      <c r="C112" s="55"/>
      <c r="D112" s="136">
        <f>'[67]Rev_SP-12me'!AQ120</f>
        <v>17.82871427</v>
      </c>
      <c r="E112" s="136">
        <f>'[67]Rev_SP-12me'!AT120</f>
        <v>8.14514831104479</v>
      </c>
      <c r="F112" s="136">
        <f>'[67]Rev_SP-12me'!AU120</f>
        <v>11.2320899901</v>
      </c>
      <c r="G112" s="136">
        <f>'[67]Rev_SP-12me'!AW120</f>
        <v>0.312867567567568</v>
      </c>
      <c r="H112" s="153">
        <f t="shared" si="17"/>
        <v>19.6901058687124</v>
      </c>
      <c r="I112" s="136">
        <f t="shared" si="14"/>
        <v>8.14514831104479</v>
      </c>
      <c r="J112" s="136">
        <f t="shared" si="15"/>
        <v>11.2320899901</v>
      </c>
      <c r="K112" s="136">
        <f t="shared" si="16"/>
        <v>0.312867567567568</v>
      </c>
      <c r="L112" s="142">
        <f t="shared" si="18"/>
        <v>19.6901058687124</v>
      </c>
      <c r="M112" s="101">
        <f t="shared" si="13"/>
        <v>11.0440414101226</v>
      </c>
    </row>
    <row r="113" spans="2:13">
      <c r="B113" s="154" t="s">
        <v>1128</v>
      </c>
      <c r="C113" s="55"/>
      <c r="D113" s="139">
        <f>'[67]Rev_SP-12me'!AQ121</f>
        <v>17.82871427</v>
      </c>
      <c r="E113" s="139">
        <f>'[67]Rev_SP-12me'!AT121</f>
        <v>8.14514831104479</v>
      </c>
      <c r="F113" s="139">
        <f>'[67]Rev_SP-12me'!AU121</f>
        <v>11.2320899901</v>
      </c>
      <c r="G113" s="139">
        <f>'[67]Rev_SP-12me'!AW121</f>
        <v>0.312867567567568</v>
      </c>
      <c r="H113" s="153">
        <f t="shared" si="17"/>
        <v>19.6901058687124</v>
      </c>
      <c r="I113" s="139">
        <f t="shared" si="14"/>
        <v>8.14514831104479</v>
      </c>
      <c r="J113" s="139">
        <f t="shared" si="15"/>
        <v>11.2320899901</v>
      </c>
      <c r="K113" s="139">
        <f t="shared" si="16"/>
        <v>0.312867567567568</v>
      </c>
      <c r="L113" s="143">
        <f t="shared" si="18"/>
        <v>19.6901058687124</v>
      </c>
      <c r="M113" s="101">
        <f t="shared" si="13"/>
        <v>11.0440414101226</v>
      </c>
    </row>
    <row r="114" ht="15" spans="2:13">
      <c r="B114" s="151" t="s">
        <v>1129</v>
      </c>
      <c r="C114" s="55"/>
      <c r="D114" s="136">
        <f>'[67]Rev_SP-12me'!AQ132</f>
        <v>149.053366758604</v>
      </c>
      <c r="E114" s="136">
        <f>'[67]Rev_SP-12me'!AT132</f>
        <v>0</v>
      </c>
      <c r="F114" s="136">
        <f>'[67]Rev_SP-12me'!AU132</f>
        <v>90.9225537227485</v>
      </c>
      <c r="G114" s="136">
        <f>'[67]Rev_SP-12me'!AW132</f>
        <v>0.2856</v>
      </c>
      <c r="H114" s="153">
        <f t="shared" si="17"/>
        <v>91.2081537227485</v>
      </c>
      <c r="I114" s="136">
        <f t="shared" si="14"/>
        <v>0</v>
      </c>
      <c r="J114" s="136">
        <f t="shared" si="15"/>
        <v>90.9225537227485</v>
      </c>
      <c r="K114" s="136">
        <f t="shared" si="16"/>
        <v>0.2856</v>
      </c>
      <c r="L114" s="142">
        <f t="shared" si="18"/>
        <v>91.2081537227485</v>
      </c>
      <c r="M114" s="101">
        <f t="shared" si="13"/>
        <v>6.11916092244079</v>
      </c>
    </row>
    <row r="115" spans="2:13">
      <c r="B115" s="154" t="s">
        <v>220</v>
      </c>
      <c r="C115" s="55"/>
      <c r="D115" s="139">
        <f>'[67]Rev_SP-12me'!AQ133</f>
        <v>149.053366758604</v>
      </c>
      <c r="E115" s="139">
        <f>'[67]Rev_SP-12me'!AT133</f>
        <v>0</v>
      </c>
      <c r="F115" s="139">
        <f>'[67]Rev_SP-12me'!AU133</f>
        <v>90.9225537227485</v>
      </c>
      <c r="G115" s="139">
        <f>'[67]Rev_SP-12me'!AW133</f>
        <v>0.2856</v>
      </c>
      <c r="H115" s="153">
        <f t="shared" si="17"/>
        <v>91.2081537227485</v>
      </c>
      <c r="I115" s="139">
        <f t="shared" si="14"/>
        <v>0</v>
      </c>
      <c r="J115" s="139">
        <f t="shared" si="15"/>
        <v>90.9225537227485</v>
      </c>
      <c r="K115" s="139">
        <f t="shared" si="16"/>
        <v>0.2856</v>
      </c>
      <c r="L115" s="143">
        <f t="shared" si="18"/>
        <v>91.2081537227485</v>
      </c>
      <c r="M115" s="101">
        <f t="shared" si="13"/>
        <v>6.11916092244079</v>
      </c>
    </row>
    <row r="116" spans="2:13">
      <c r="B116" s="154" t="s">
        <v>1130</v>
      </c>
      <c r="C116" s="55"/>
      <c r="D116" s="139">
        <f>'[67]Rev_SP-12me'!AQ134</f>
        <v>0</v>
      </c>
      <c r="E116" s="139">
        <f>'[67]Rev_SP-12me'!AT134</f>
        <v>0</v>
      </c>
      <c r="F116" s="139">
        <f>'[67]Rev_SP-12me'!AU134</f>
        <v>0</v>
      </c>
      <c r="G116" s="139">
        <f>'[67]Rev_SP-12me'!AW134</f>
        <v>0</v>
      </c>
      <c r="H116" s="153">
        <f t="shared" si="17"/>
        <v>0</v>
      </c>
      <c r="I116" s="139">
        <f t="shared" si="14"/>
        <v>0</v>
      </c>
      <c r="J116" s="139">
        <f t="shared" si="15"/>
        <v>0</v>
      </c>
      <c r="K116" s="139">
        <f t="shared" si="16"/>
        <v>0</v>
      </c>
      <c r="L116" s="143">
        <f t="shared" si="18"/>
        <v>0</v>
      </c>
      <c r="M116" s="101"/>
    </row>
    <row r="117" ht="15" spans="2:13">
      <c r="B117" s="151" t="s">
        <v>1131</v>
      </c>
      <c r="C117" s="55"/>
      <c r="D117" s="136">
        <f>'[67]Rev_SP-12me'!AQ122</f>
        <v>0</v>
      </c>
      <c r="E117" s="136">
        <f>'[67]Rev_SP-12me'!AT122</f>
        <v>0</v>
      </c>
      <c r="F117" s="136">
        <f>'[67]Rev_SP-12me'!AU122</f>
        <v>0</v>
      </c>
      <c r="G117" s="136">
        <f>'[67]Rev_SP-12me'!AW122</f>
        <v>0</v>
      </c>
      <c r="H117" s="153">
        <f t="shared" si="17"/>
        <v>0</v>
      </c>
      <c r="I117" s="136">
        <f t="shared" si="14"/>
        <v>0</v>
      </c>
      <c r="J117" s="136">
        <f t="shared" si="15"/>
        <v>0</v>
      </c>
      <c r="K117" s="136">
        <f t="shared" si="16"/>
        <v>0</v>
      </c>
      <c r="L117" s="143">
        <f t="shared" si="18"/>
        <v>0</v>
      </c>
      <c r="M117" s="101"/>
    </row>
    <row r="118" ht="15" spans="2:13">
      <c r="B118" s="151" t="s">
        <v>1132</v>
      </c>
      <c r="C118" s="55"/>
      <c r="D118" s="136">
        <f>'[67]Rev_SP-12me'!AQ123</f>
        <v>0</v>
      </c>
      <c r="E118" s="136">
        <f>'[67]Rev_SP-12me'!AT123</f>
        <v>0</v>
      </c>
      <c r="F118" s="136">
        <f>'[67]Rev_SP-12me'!AU123</f>
        <v>0</v>
      </c>
      <c r="G118" s="136">
        <f>'[67]Rev_SP-12me'!AW123</f>
        <v>0</v>
      </c>
      <c r="H118" s="153">
        <f t="shared" si="17"/>
        <v>0</v>
      </c>
      <c r="I118" s="136">
        <f t="shared" si="14"/>
        <v>0</v>
      </c>
      <c r="J118" s="136">
        <f t="shared" si="15"/>
        <v>0</v>
      </c>
      <c r="K118" s="136">
        <f t="shared" si="16"/>
        <v>0</v>
      </c>
      <c r="L118" s="143">
        <f t="shared" si="18"/>
        <v>0</v>
      </c>
      <c r="M118" s="101"/>
    </row>
    <row r="119" ht="15" spans="2:13">
      <c r="B119" s="151" t="s">
        <v>919</v>
      </c>
      <c r="C119" s="55"/>
      <c r="D119" s="136">
        <f>'[67]Rev_SP-12me'!AQ124</f>
        <v>257.262624469925</v>
      </c>
      <c r="E119" s="136">
        <f>'[67]Rev_SP-12me'!AT124</f>
        <v>24.4651310586177</v>
      </c>
      <c r="F119" s="136">
        <f>'[67]Rev_SP-12me'!AU124</f>
        <v>187.801715863045</v>
      </c>
      <c r="G119" s="136">
        <f>'[67]Rev_SP-12me'!AW124</f>
        <v>0.524511627906977</v>
      </c>
      <c r="H119" s="150">
        <f t="shared" si="17"/>
        <v>212.79135854957</v>
      </c>
      <c r="I119" s="136">
        <f t="shared" si="14"/>
        <v>24.4651310586177</v>
      </c>
      <c r="J119" s="136">
        <f t="shared" si="15"/>
        <v>187.801715863045</v>
      </c>
      <c r="K119" s="136">
        <f t="shared" si="16"/>
        <v>0.524511627906977</v>
      </c>
      <c r="L119" s="142">
        <f t="shared" si="18"/>
        <v>212.79135854957</v>
      </c>
      <c r="M119" s="101">
        <f>L119*10/D119</f>
        <v>8.27136701213455</v>
      </c>
    </row>
    <row r="120" ht="15" spans="2:13">
      <c r="B120" s="151" t="s">
        <v>1133</v>
      </c>
      <c r="C120" s="55"/>
      <c r="D120" s="136">
        <f>'[67]Rev_SP-12me'!AQ125</f>
        <v>222.811945960286</v>
      </c>
      <c r="E120" s="136">
        <f>'[67]Rev_SP-12me'!AT125</f>
        <v>54.763990338969</v>
      </c>
      <c r="F120" s="136">
        <f>'[67]Rev_SP-12me'!AU125</f>
        <v>262.918096233138</v>
      </c>
      <c r="G120" s="136">
        <f>'[67]Rev_SP-12me'!AW125</f>
        <v>1.3502243902439</v>
      </c>
      <c r="H120" s="150">
        <f t="shared" si="17"/>
        <v>319.032310962351</v>
      </c>
      <c r="I120" s="136">
        <f t="shared" si="14"/>
        <v>54.763990338969</v>
      </c>
      <c r="J120" s="136">
        <f t="shared" si="15"/>
        <v>262.918096233138</v>
      </c>
      <c r="K120" s="136">
        <f t="shared" si="16"/>
        <v>1.3502243902439</v>
      </c>
      <c r="L120" s="142">
        <f t="shared" si="18"/>
        <v>319.032310962351</v>
      </c>
      <c r="M120" s="101">
        <f>L120*10/D120</f>
        <v>14.3184562922499</v>
      </c>
    </row>
    <row r="121" ht="15" spans="2:13">
      <c r="B121" s="151" t="s">
        <v>1134</v>
      </c>
      <c r="C121" s="55"/>
      <c r="D121" s="136">
        <f>'[67]Rev_SP-12me'!AQ126</f>
        <v>0</v>
      </c>
      <c r="E121" s="136">
        <f>'[67]Rev_SP-12me'!AT126</f>
        <v>0</v>
      </c>
      <c r="F121" s="136">
        <f>'[67]Rev_SP-12me'!AU126</f>
        <v>0</v>
      </c>
      <c r="G121" s="136">
        <f>'[67]Rev_SP-12me'!AW126</f>
        <v>0</v>
      </c>
      <c r="H121" s="150">
        <f t="shared" si="17"/>
        <v>0</v>
      </c>
      <c r="I121" s="136">
        <f t="shared" si="14"/>
        <v>0</v>
      </c>
      <c r="J121" s="136">
        <f t="shared" si="15"/>
        <v>0</v>
      </c>
      <c r="K121" s="136">
        <f t="shared" si="16"/>
        <v>0</v>
      </c>
      <c r="L121" s="142">
        <f t="shared" si="18"/>
        <v>0</v>
      </c>
      <c r="M121" s="101"/>
    </row>
    <row r="122" ht="15" spans="2:13">
      <c r="B122" s="151" t="s">
        <v>1135</v>
      </c>
      <c r="C122" s="55"/>
      <c r="D122" s="136">
        <f>'[67]Rev_SP-12me'!AQ127</f>
        <v>13.2238799</v>
      </c>
      <c r="E122" s="136">
        <f>'[67]Rev_SP-12me'!AT127</f>
        <v>0.9885456</v>
      </c>
      <c r="F122" s="136">
        <f>'[67]Rev_SP-12me'!AU127</f>
        <v>7.81636526</v>
      </c>
      <c r="G122" s="136">
        <f>'[67]Rev_SP-12me'!AW127</f>
        <v>0.04182</v>
      </c>
      <c r="H122" s="150">
        <f t="shared" si="17"/>
        <v>8.84673086</v>
      </c>
      <c r="I122" s="136">
        <f t="shared" si="14"/>
        <v>0.9885456</v>
      </c>
      <c r="J122" s="136">
        <f t="shared" si="15"/>
        <v>7.81636526</v>
      </c>
      <c r="K122" s="136">
        <f t="shared" si="16"/>
        <v>0.04182</v>
      </c>
      <c r="L122" s="142">
        <f t="shared" si="18"/>
        <v>8.84673086</v>
      </c>
      <c r="M122" s="101">
        <f>L122*10/D122</f>
        <v>6.68996612711221</v>
      </c>
    </row>
    <row r="123" spans="2:13">
      <c r="B123" s="156" t="s">
        <v>1119</v>
      </c>
      <c r="C123" s="55"/>
      <c r="D123" s="139">
        <f>'[67]Rev_SP-12me'!AQ128</f>
        <v>3.8922103</v>
      </c>
      <c r="E123" s="139">
        <f>'[67]Rev_SP-12me'!AT128</f>
        <v>0.9885456</v>
      </c>
      <c r="F123" s="139">
        <f>'[67]Rev_SP-12me'!AU128</f>
        <v>2.33532618</v>
      </c>
      <c r="G123" s="139">
        <f>'[67]Rev_SP-12me'!AW128</f>
        <v>0.04182</v>
      </c>
      <c r="H123" s="153">
        <f t="shared" si="17"/>
        <v>3.36569178</v>
      </c>
      <c r="I123" s="139">
        <f t="shared" si="14"/>
        <v>0.9885456</v>
      </c>
      <c r="J123" s="139">
        <f t="shared" si="15"/>
        <v>2.33532618</v>
      </c>
      <c r="K123" s="139">
        <f t="shared" si="16"/>
        <v>0.04182</v>
      </c>
      <c r="L123" s="143">
        <f t="shared" si="18"/>
        <v>3.36569178</v>
      </c>
      <c r="M123" s="101">
        <f>L123*10/D123</f>
        <v>8.64725058663968</v>
      </c>
    </row>
    <row r="124" spans="2:13">
      <c r="B124" s="156" t="s">
        <v>1120</v>
      </c>
      <c r="C124" s="55"/>
      <c r="D124" s="139">
        <f>'[67]Rev_SP-12me'!AQ129</f>
        <v>2.0686996</v>
      </c>
      <c r="E124" s="139">
        <f>'[67]Rev_SP-12me'!AT129</f>
        <v>0</v>
      </c>
      <c r="F124" s="139">
        <f>'[67]Rev_SP-12me'!AU129</f>
        <v>1.44808972</v>
      </c>
      <c r="G124" s="139">
        <f>'[67]Rev_SP-12me'!AW129</f>
        <v>0</v>
      </c>
      <c r="H124" s="153">
        <f t="shared" si="17"/>
        <v>1.44808972</v>
      </c>
      <c r="I124" s="139">
        <f t="shared" si="14"/>
        <v>0</v>
      </c>
      <c r="J124" s="139">
        <f t="shared" si="15"/>
        <v>1.44808972</v>
      </c>
      <c r="K124" s="139">
        <f t="shared" si="16"/>
        <v>0</v>
      </c>
      <c r="L124" s="143">
        <f t="shared" si="18"/>
        <v>1.44808972</v>
      </c>
      <c r="M124" s="101"/>
    </row>
    <row r="125" spans="2:13">
      <c r="B125" s="156" t="s">
        <v>1121</v>
      </c>
      <c r="C125" s="55"/>
      <c r="D125" s="139">
        <f>'[67]Rev_SP-12me'!AQ130</f>
        <v>2.0073218</v>
      </c>
      <c r="E125" s="139">
        <f>'[67]Rev_SP-12me'!AT130</f>
        <v>0</v>
      </c>
      <c r="F125" s="139">
        <f>'[67]Rev_SP-12me'!AU130</f>
        <v>1.40512526</v>
      </c>
      <c r="G125" s="139">
        <f>'[67]Rev_SP-12me'!AW130</f>
        <v>0</v>
      </c>
      <c r="H125" s="153">
        <f t="shared" si="17"/>
        <v>1.40512526</v>
      </c>
      <c r="I125" s="139">
        <f t="shared" si="14"/>
        <v>0</v>
      </c>
      <c r="J125" s="139">
        <f t="shared" si="15"/>
        <v>1.40512526</v>
      </c>
      <c r="K125" s="139">
        <f t="shared" si="16"/>
        <v>0</v>
      </c>
      <c r="L125" s="143">
        <f t="shared" si="18"/>
        <v>1.40512526</v>
      </c>
      <c r="M125" s="101"/>
    </row>
    <row r="126" spans="2:13">
      <c r="B126" s="156" t="s">
        <v>1122</v>
      </c>
      <c r="C126" s="55"/>
      <c r="D126" s="139">
        <f>'[67]Rev_SP-12me'!AQ131</f>
        <v>5.2556482</v>
      </c>
      <c r="E126" s="139">
        <f>'[67]Rev_SP-12me'!AT131</f>
        <v>0</v>
      </c>
      <c r="F126" s="139">
        <f>'[67]Rev_SP-12me'!AU131</f>
        <v>2.6278241</v>
      </c>
      <c r="G126" s="139">
        <f>'[67]Rev_SP-12me'!AW131</f>
        <v>0</v>
      </c>
      <c r="H126" s="153">
        <f t="shared" si="17"/>
        <v>2.6278241</v>
      </c>
      <c r="I126" s="139">
        <f t="shared" si="14"/>
        <v>0</v>
      </c>
      <c r="J126" s="139">
        <f t="shared" si="15"/>
        <v>2.6278241</v>
      </c>
      <c r="K126" s="139">
        <f t="shared" si="16"/>
        <v>0</v>
      </c>
      <c r="L126" s="143">
        <f t="shared" si="18"/>
        <v>2.6278241</v>
      </c>
      <c r="M126" s="101"/>
    </row>
    <row r="127" ht="15" spans="2:13">
      <c r="B127" s="157" t="s">
        <v>1136</v>
      </c>
      <c r="C127" s="55"/>
      <c r="D127" s="148">
        <f t="shared" ref="D127:K127" si="19">SUM(D76,D91,D96,D97,D102,D107,D112,D114,D117,D118,D119,D120,D121,D122)</f>
        <v>7904.21425991458</v>
      </c>
      <c r="E127" s="148">
        <f t="shared" si="19"/>
        <v>1564.98613561826</v>
      </c>
      <c r="F127" s="148">
        <f t="shared" si="19"/>
        <v>6442.46364149006</v>
      </c>
      <c r="G127" s="148">
        <f t="shared" si="19"/>
        <v>28.3852817567877</v>
      </c>
      <c r="H127" s="149">
        <f t="shared" si="19"/>
        <v>8035.8350588651</v>
      </c>
      <c r="I127" s="148">
        <f t="shared" si="19"/>
        <v>1564.98613561826</v>
      </c>
      <c r="J127" s="148">
        <f t="shared" si="19"/>
        <v>6442.46364149006</v>
      </c>
      <c r="K127" s="148">
        <f t="shared" si="19"/>
        <v>28.3852817567877</v>
      </c>
      <c r="L127" s="148">
        <f t="shared" si="18"/>
        <v>8035.8350588651</v>
      </c>
      <c r="M127" s="101">
        <f>L127*10/D127</f>
        <v>10.1665197761883</v>
      </c>
    </row>
    <row r="128" spans="2:13">
      <c r="B128" s="55"/>
      <c r="C128" s="55"/>
      <c r="L128" s="143"/>
      <c r="M128" s="101"/>
    </row>
    <row r="129" spans="2:13">
      <c r="B129" s="151" t="s">
        <v>212</v>
      </c>
      <c r="C129" s="55"/>
      <c r="D129" s="55"/>
      <c r="E129" s="55"/>
      <c r="F129" s="55"/>
      <c r="G129" s="55"/>
      <c r="H129" s="55"/>
      <c r="I129" s="55"/>
      <c r="J129" s="55"/>
      <c r="K129" s="55"/>
      <c r="L129" s="143"/>
      <c r="M129" s="101"/>
    </row>
    <row r="130" ht="15" spans="2:13">
      <c r="B130" s="151" t="s">
        <v>1137</v>
      </c>
      <c r="C130" s="55"/>
      <c r="D130" s="136">
        <f>D131+D139</f>
        <v>6799.13435837822</v>
      </c>
      <c r="E130" s="136">
        <f>'[67]Rev_SP-12me'!AT149</f>
        <v>718.049311105433</v>
      </c>
      <c r="F130" s="136">
        <f>'[67]Rev_SP-12me'!AU149</f>
        <v>4871.36543912948</v>
      </c>
      <c r="G130" s="136">
        <f>'[67]Rev_SP-12me'!AW149</f>
        <v>1.77932173337744</v>
      </c>
      <c r="H130" s="158">
        <f t="shared" ref="H130:H174" si="20">SUM(E130:G130)</f>
        <v>5591.19407196829</v>
      </c>
      <c r="I130" s="136">
        <f>E130</f>
        <v>718.049311105433</v>
      </c>
      <c r="J130" s="136">
        <f>F130</f>
        <v>4871.36543912948</v>
      </c>
      <c r="K130" s="136">
        <f>G130</f>
        <v>1.77932173337744</v>
      </c>
      <c r="L130" s="142">
        <f t="shared" ref="L130:L175" si="21">SUM(I130:K130)</f>
        <v>5591.19407196829</v>
      </c>
      <c r="M130" s="101">
        <f t="shared" ref="M130:M148" si="22">L130*10/D130</f>
        <v>8.22339106312637</v>
      </c>
    </row>
    <row r="131" spans="2:13">
      <c r="B131" s="159" t="s">
        <v>1138</v>
      </c>
      <c r="C131" s="55"/>
      <c r="D131" s="138">
        <f>'[67]Rev_SP-12me'!AQ150</f>
        <v>6769.95246162194</v>
      </c>
      <c r="E131" s="138">
        <f>'[67]Rev_SP-12me'!AT150</f>
        <v>718.049311105433</v>
      </c>
      <c r="F131" s="138">
        <f>'[67]Rev_SP-12me'!AU150</f>
        <v>4850.55361476065</v>
      </c>
      <c r="G131" s="138">
        <f>'[67]Rev_SP-12me'!AW150</f>
        <v>1.76175759179623</v>
      </c>
      <c r="H131" s="146">
        <f t="shared" si="20"/>
        <v>5570.36468345788</v>
      </c>
      <c r="I131" s="138">
        <f t="shared" ref="I131:I174" si="23">E131</f>
        <v>718.049311105433</v>
      </c>
      <c r="J131" s="138">
        <f t="shared" ref="J131:J174" si="24">F131</f>
        <v>4850.55361476065</v>
      </c>
      <c r="K131" s="138">
        <f t="shared" ref="K131:K174" si="25">G131</f>
        <v>1.76175759179623</v>
      </c>
      <c r="L131" s="143">
        <f t="shared" si="21"/>
        <v>5570.36468345788</v>
      </c>
      <c r="M131" s="101">
        <f t="shared" si="22"/>
        <v>8.22807060320677</v>
      </c>
    </row>
    <row r="132" spans="2:13">
      <c r="B132" s="154" t="s">
        <v>1105</v>
      </c>
      <c r="C132" s="55"/>
      <c r="D132" s="139">
        <f>'[67]Rev_SP-12me'!AQ151</f>
        <v>2276.99246933565</v>
      </c>
      <c r="E132" s="139">
        <f>'[67]Rev_SP-12me'!AT151</f>
        <v>718.049311105433</v>
      </c>
      <c r="F132" s="139">
        <f>'[67]Rev_SP-12me'!AU151</f>
        <v>1628.04961557499</v>
      </c>
      <c r="G132" s="139">
        <f>'[67]Rev_SP-12me'!AW151</f>
        <v>1.75755759179623</v>
      </c>
      <c r="H132" s="146">
        <f t="shared" si="20"/>
        <v>2347.85648427222</v>
      </c>
      <c r="I132" s="139">
        <f t="shared" si="23"/>
        <v>718.049311105433</v>
      </c>
      <c r="J132" s="139">
        <f t="shared" si="24"/>
        <v>1628.04961557499</v>
      </c>
      <c r="K132" s="139">
        <f t="shared" si="25"/>
        <v>1.75755759179623</v>
      </c>
      <c r="L132" s="143">
        <f t="shared" si="21"/>
        <v>2347.85648427222</v>
      </c>
      <c r="M132" s="101">
        <f t="shared" si="22"/>
        <v>10.3112176078353</v>
      </c>
    </row>
    <row r="133" spans="2:13">
      <c r="B133" s="154" t="s">
        <v>1139</v>
      </c>
      <c r="C133" s="55"/>
      <c r="D133" s="139">
        <f>'[67]Rev_SP-12me'!AQ152</f>
        <v>0.065585414387559</v>
      </c>
      <c r="E133" s="139">
        <f>'[67]Rev_SP-12me'!AT152</f>
        <v>0</v>
      </c>
      <c r="F133" s="139">
        <f>'[67]Rev_SP-12me'!AU152</f>
        <v>0.0468935712871047</v>
      </c>
      <c r="G133" s="139">
        <f>'[67]Rev_SP-12me'!AW152</f>
        <v>0</v>
      </c>
      <c r="H133" s="146">
        <f t="shared" si="20"/>
        <v>0.0468935712871047</v>
      </c>
      <c r="I133" s="139">
        <f t="shared" si="23"/>
        <v>0</v>
      </c>
      <c r="J133" s="139">
        <f t="shared" si="24"/>
        <v>0.0468935712871047</v>
      </c>
      <c r="K133" s="139">
        <f t="shared" si="25"/>
        <v>0</v>
      </c>
      <c r="L133" s="143">
        <f t="shared" si="21"/>
        <v>0.0468935712871047</v>
      </c>
      <c r="M133" s="101">
        <f t="shared" si="22"/>
        <v>7.15</v>
      </c>
    </row>
    <row r="134" spans="2:13">
      <c r="B134" s="154" t="s">
        <v>1140</v>
      </c>
      <c r="C134" s="55"/>
      <c r="D134" s="139">
        <f>'[67]Rev_SP-12me'!AQ153</f>
        <v>1.81177147797605</v>
      </c>
      <c r="E134" s="139">
        <f>'[67]Rev_SP-12me'!AT153</f>
        <v>0</v>
      </c>
      <c r="F134" s="139">
        <f>'[67]Rev_SP-12me'!AU153</f>
        <v>1.32259317892252</v>
      </c>
      <c r="G134" s="139">
        <f>'[67]Rev_SP-12me'!AW153</f>
        <v>0</v>
      </c>
      <c r="H134" s="146">
        <f t="shared" si="20"/>
        <v>1.32259317892252</v>
      </c>
      <c r="I134" s="139">
        <f t="shared" si="23"/>
        <v>0</v>
      </c>
      <c r="J134" s="139">
        <f t="shared" si="24"/>
        <v>1.32259317892252</v>
      </c>
      <c r="K134" s="139">
        <f t="shared" si="25"/>
        <v>0</v>
      </c>
      <c r="L134" s="143">
        <f t="shared" si="21"/>
        <v>1.32259317892252</v>
      </c>
      <c r="M134" s="101">
        <f t="shared" si="22"/>
        <v>7.30000000000002</v>
      </c>
    </row>
    <row r="135" spans="2:13">
      <c r="B135" s="154" t="s">
        <v>1141</v>
      </c>
      <c r="C135" s="55"/>
      <c r="D135" s="139">
        <f>'[67]Rev_SP-12me'!AQ154</f>
        <v>1.95685393643664</v>
      </c>
      <c r="E135" s="139">
        <f>'[67]Rev_SP-12me'!AT154</f>
        <v>0</v>
      </c>
      <c r="F135" s="139">
        <f>'[67]Rev_SP-12me'!AU154</f>
        <v>1.54591460978494</v>
      </c>
      <c r="G135" s="139">
        <f>'[67]Rev_SP-12me'!AW154</f>
        <v>0.0042</v>
      </c>
      <c r="H135" s="146">
        <f t="shared" si="20"/>
        <v>1.55011460978494</v>
      </c>
      <c r="I135" s="139">
        <f t="shared" si="23"/>
        <v>0</v>
      </c>
      <c r="J135" s="139">
        <f t="shared" si="24"/>
        <v>1.54591460978494</v>
      </c>
      <c r="K135" s="139">
        <f t="shared" si="25"/>
        <v>0.0042</v>
      </c>
      <c r="L135" s="143">
        <f t="shared" si="21"/>
        <v>1.55011460978494</v>
      </c>
      <c r="M135" s="101">
        <f t="shared" si="22"/>
        <v>7.92146302246576</v>
      </c>
    </row>
    <row r="136" spans="2:13">
      <c r="B136" s="156" t="s">
        <v>1120</v>
      </c>
      <c r="C136" s="55"/>
      <c r="D136" s="139">
        <f>'[67]Rev_SP-12me'!AQ155</f>
        <v>1191.50707552599</v>
      </c>
      <c r="E136" s="139">
        <f>'[67]Rev_SP-12me'!AT155</f>
        <v>0</v>
      </c>
      <c r="F136" s="139">
        <f>'[67]Rev_SP-12me'!AU155</f>
        <v>971.078266553686</v>
      </c>
      <c r="G136" s="139">
        <f>'[67]Rev_SP-12me'!AW155</f>
        <v>0</v>
      </c>
      <c r="H136" s="146">
        <f t="shared" si="20"/>
        <v>971.078266553686</v>
      </c>
      <c r="I136" s="139">
        <f t="shared" si="23"/>
        <v>0</v>
      </c>
      <c r="J136" s="139">
        <f t="shared" si="24"/>
        <v>971.078266553686</v>
      </c>
      <c r="K136" s="139">
        <f t="shared" si="25"/>
        <v>0</v>
      </c>
      <c r="L136" s="143">
        <f t="shared" si="21"/>
        <v>971.078266553686</v>
      </c>
      <c r="M136" s="101">
        <f t="shared" si="22"/>
        <v>8.15000000000003</v>
      </c>
    </row>
    <row r="137" spans="2:13">
      <c r="B137" s="156" t="s">
        <v>1121</v>
      </c>
      <c r="C137" s="55"/>
      <c r="D137" s="139">
        <f>'[67]Rev_SP-12me'!AQ156</f>
        <v>1102.37413562057</v>
      </c>
      <c r="E137" s="139">
        <f>'[67]Rev_SP-12me'!AT156</f>
        <v>0</v>
      </c>
      <c r="F137" s="139">
        <f>'[67]Rev_SP-12me'!AU156</f>
        <v>898.434920530766</v>
      </c>
      <c r="G137" s="139">
        <f>'[67]Rev_SP-12me'!AW156</f>
        <v>0</v>
      </c>
      <c r="H137" s="146">
        <f t="shared" si="20"/>
        <v>898.434920530766</v>
      </c>
      <c r="I137" s="139">
        <f t="shared" si="23"/>
        <v>0</v>
      </c>
      <c r="J137" s="139">
        <f t="shared" si="24"/>
        <v>898.434920530766</v>
      </c>
      <c r="K137" s="139">
        <f t="shared" si="25"/>
        <v>0</v>
      </c>
      <c r="L137" s="143">
        <f t="shared" si="21"/>
        <v>898.434920530766</v>
      </c>
      <c r="M137" s="101">
        <f t="shared" si="22"/>
        <v>8.15000000000001</v>
      </c>
    </row>
    <row r="138" spans="2:13">
      <c r="B138" s="156" t="s">
        <v>1122</v>
      </c>
      <c r="C138" s="55"/>
      <c r="D138" s="139">
        <f>'[67]Rev_SP-12me'!AQ157</f>
        <v>2195.24457031092</v>
      </c>
      <c r="E138" s="139">
        <f>'[67]Rev_SP-12me'!AT157</f>
        <v>0</v>
      </c>
      <c r="F138" s="139">
        <f>'[67]Rev_SP-12me'!AU157</f>
        <v>1350.07541074122</v>
      </c>
      <c r="G138" s="139">
        <f>'[67]Rev_SP-12me'!AW157</f>
        <v>0</v>
      </c>
      <c r="H138" s="146">
        <f t="shared" si="20"/>
        <v>1350.07541074122</v>
      </c>
      <c r="I138" s="139">
        <f t="shared" si="23"/>
        <v>0</v>
      </c>
      <c r="J138" s="139">
        <f t="shared" si="24"/>
        <v>1350.07541074122</v>
      </c>
      <c r="K138" s="139">
        <f t="shared" si="25"/>
        <v>0</v>
      </c>
      <c r="L138" s="143">
        <f t="shared" si="21"/>
        <v>1350.07541074122</v>
      </c>
      <c r="M138" s="101">
        <f t="shared" si="22"/>
        <v>6.15000000000002</v>
      </c>
    </row>
    <row r="139" ht="15" spans="2:13">
      <c r="B139" s="151" t="s">
        <v>1113</v>
      </c>
      <c r="C139" s="55"/>
      <c r="D139" s="138">
        <f>'[67]Rev_SP-12me'!AQ158</f>
        <v>29.1818967562842</v>
      </c>
      <c r="E139" s="138">
        <f>'[67]Rev_SP-12me'!AT158</f>
        <v>0</v>
      </c>
      <c r="F139" s="138">
        <f>'[67]Rev_SP-12me'!AU158</f>
        <v>20.8118243688288</v>
      </c>
      <c r="G139" s="138">
        <f>'[67]Rev_SP-12me'!AW158</f>
        <v>0.0175641415812107</v>
      </c>
      <c r="H139" s="158">
        <f t="shared" si="20"/>
        <v>20.82938851041</v>
      </c>
      <c r="I139" s="138">
        <f t="shared" si="23"/>
        <v>0</v>
      </c>
      <c r="J139" s="138">
        <f t="shared" si="24"/>
        <v>20.8118243688288</v>
      </c>
      <c r="K139" s="138">
        <f t="shared" si="25"/>
        <v>0.0175641415812107</v>
      </c>
      <c r="L139" s="142">
        <f t="shared" si="21"/>
        <v>20.82938851041</v>
      </c>
      <c r="M139" s="101">
        <f t="shared" si="22"/>
        <v>7.13777746675239</v>
      </c>
    </row>
    <row r="140" spans="2:13">
      <c r="B140" s="156" t="s">
        <v>1142</v>
      </c>
      <c r="C140" s="55"/>
      <c r="D140" s="139">
        <f>'[67]Rev_SP-12me'!AQ159</f>
        <v>8.54502613441094</v>
      </c>
      <c r="E140" s="139">
        <f>'[67]Rev_SP-12me'!AT159</f>
        <v>0</v>
      </c>
      <c r="F140" s="139">
        <f>'[67]Rev_SP-12me'!AU159</f>
        <v>6.10969368610382</v>
      </c>
      <c r="G140" s="139">
        <f>'[67]Rev_SP-12me'!AW159</f>
        <v>0.0175641415812107</v>
      </c>
      <c r="H140" s="146">
        <f t="shared" si="20"/>
        <v>6.12725782768503</v>
      </c>
      <c r="I140" s="139">
        <f t="shared" si="23"/>
        <v>0</v>
      </c>
      <c r="J140" s="139">
        <f t="shared" si="24"/>
        <v>6.10969368610382</v>
      </c>
      <c r="K140" s="139">
        <f t="shared" si="25"/>
        <v>0.0175641415812107</v>
      </c>
      <c r="L140" s="143">
        <f t="shared" si="21"/>
        <v>6.12725782768503</v>
      </c>
      <c r="M140" s="101">
        <f t="shared" si="22"/>
        <v>7.17055481318012</v>
      </c>
    </row>
    <row r="141" spans="2:13">
      <c r="B141" s="156" t="s">
        <v>1115</v>
      </c>
      <c r="C141" s="55"/>
      <c r="D141" s="139">
        <f>'[67]Rev_SP-12me'!AQ160</f>
        <v>4.94450055932905</v>
      </c>
      <c r="E141" s="139">
        <f>'[67]Rev_SP-12me'!AT160</f>
        <v>0</v>
      </c>
      <c r="F141" s="139">
        <f>'[67]Rev_SP-12me'!AU160</f>
        <v>4.02976795585318</v>
      </c>
      <c r="G141" s="139">
        <f>'[67]Rev_SP-12me'!AW160</f>
        <v>0</v>
      </c>
      <c r="H141" s="146">
        <f t="shared" si="20"/>
        <v>4.02976795585318</v>
      </c>
      <c r="I141" s="139">
        <f t="shared" si="23"/>
        <v>0</v>
      </c>
      <c r="J141" s="139">
        <f t="shared" si="24"/>
        <v>4.02976795585318</v>
      </c>
      <c r="K141" s="139">
        <f t="shared" si="25"/>
        <v>0</v>
      </c>
      <c r="L141" s="143">
        <f t="shared" si="21"/>
        <v>4.02976795585318</v>
      </c>
      <c r="M141" s="101">
        <f t="shared" si="22"/>
        <v>8.15000000000001</v>
      </c>
    </row>
    <row r="142" spans="2:13">
      <c r="B142" s="156" t="s">
        <v>1116</v>
      </c>
      <c r="C142" s="55"/>
      <c r="D142" s="139">
        <f>'[67]Rev_SP-12me'!AQ161</f>
        <v>5.10777569203572</v>
      </c>
      <c r="E142" s="139">
        <f>'[67]Rev_SP-12me'!AT161</f>
        <v>0</v>
      </c>
      <c r="F142" s="139">
        <f>'[67]Rev_SP-12me'!AU161</f>
        <v>4.16283718900911</v>
      </c>
      <c r="G142" s="139">
        <f>'[67]Rev_SP-12me'!AW161</f>
        <v>0</v>
      </c>
      <c r="H142" s="146">
        <f t="shared" si="20"/>
        <v>4.16283718900911</v>
      </c>
      <c r="I142" s="139">
        <f t="shared" si="23"/>
        <v>0</v>
      </c>
      <c r="J142" s="139">
        <f t="shared" si="24"/>
        <v>4.16283718900911</v>
      </c>
      <c r="K142" s="139">
        <f t="shared" si="25"/>
        <v>0</v>
      </c>
      <c r="L142" s="143">
        <f t="shared" si="21"/>
        <v>4.16283718900911</v>
      </c>
      <c r="M142" s="101">
        <f t="shared" si="22"/>
        <v>8.15</v>
      </c>
    </row>
    <row r="143" spans="2:13">
      <c r="B143" s="156" t="s">
        <v>1143</v>
      </c>
      <c r="C143" s="55"/>
      <c r="D143" s="139">
        <f>'[67]Rev_SP-12me'!AQ162</f>
        <v>10.5845943705085</v>
      </c>
      <c r="E143" s="139">
        <f>'[67]Rev_SP-12me'!AT162</f>
        <v>0</v>
      </c>
      <c r="F143" s="139">
        <f>'[67]Rev_SP-12me'!AU162</f>
        <v>6.50952553786272</v>
      </c>
      <c r="G143" s="139">
        <f>'[67]Rev_SP-12me'!AW162</f>
        <v>0</v>
      </c>
      <c r="H143" s="146">
        <f t="shared" si="20"/>
        <v>6.50952553786272</v>
      </c>
      <c r="I143" s="139">
        <f t="shared" si="23"/>
        <v>0</v>
      </c>
      <c r="J143" s="139">
        <f t="shared" si="24"/>
        <v>6.50952553786272</v>
      </c>
      <c r="K143" s="139">
        <f t="shared" si="25"/>
        <v>0</v>
      </c>
      <c r="L143" s="143">
        <f t="shared" si="21"/>
        <v>6.50952553786272</v>
      </c>
      <c r="M143" s="101">
        <f t="shared" si="22"/>
        <v>6.14999999999999</v>
      </c>
    </row>
    <row r="144" ht="15" spans="2:13">
      <c r="B144" s="151" t="s">
        <v>1144</v>
      </c>
      <c r="C144" s="55"/>
      <c r="D144" s="136">
        <f>'[67]Rev_SP-12me'!AQ164</f>
        <v>74.6043920804725</v>
      </c>
      <c r="E144" s="136">
        <f>'[67]Rev_SP-12me'!AT164</f>
        <v>5.54309720556531</v>
      </c>
      <c r="F144" s="136">
        <f>'[67]Rev_SP-12me'!AU164</f>
        <v>53.4537435101387</v>
      </c>
      <c r="G144" s="136">
        <f>'[67]Rev_SP-12me'!AW164</f>
        <v>0.0084</v>
      </c>
      <c r="H144" s="158">
        <f t="shared" si="20"/>
        <v>59.005240715704</v>
      </c>
      <c r="I144" s="136">
        <f t="shared" si="23"/>
        <v>5.54309720556531</v>
      </c>
      <c r="J144" s="136">
        <f t="shared" si="24"/>
        <v>53.4537435101387</v>
      </c>
      <c r="K144" s="136">
        <f t="shared" si="25"/>
        <v>0.0084</v>
      </c>
      <c r="L144" s="142">
        <f t="shared" si="21"/>
        <v>59.005240715704</v>
      </c>
      <c r="M144" s="101">
        <f t="shared" si="22"/>
        <v>7.90908404589071</v>
      </c>
    </row>
    <row r="145" spans="2:13">
      <c r="B145" s="154" t="s">
        <v>1119</v>
      </c>
      <c r="C145" s="55"/>
      <c r="D145" s="139">
        <f>'[67]Rev_SP-12me'!AQ165</f>
        <v>25.2018651860719</v>
      </c>
      <c r="E145" s="139">
        <f>'[67]Rev_SP-12me'!AT165</f>
        <v>5.54309720556531</v>
      </c>
      <c r="F145" s="139">
        <f>'[67]Rev_SP-12me'!AU165</f>
        <v>18.0193336080414</v>
      </c>
      <c r="G145" s="139">
        <f>'[67]Rev_SP-12me'!AW165</f>
        <v>0.0084</v>
      </c>
      <c r="H145" s="146">
        <f t="shared" si="20"/>
        <v>23.5708308136067</v>
      </c>
      <c r="I145" s="139">
        <f t="shared" si="23"/>
        <v>5.54309720556531</v>
      </c>
      <c r="J145" s="139">
        <f t="shared" si="24"/>
        <v>18.0193336080414</v>
      </c>
      <c r="K145" s="139">
        <f t="shared" si="25"/>
        <v>0.0084</v>
      </c>
      <c r="L145" s="143">
        <f t="shared" si="21"/>
        <v>23.5708308136067</v>
      </c>
      <c r="M145" s="101">
        <f t="shared" si="22"/>
        <v>9.35281203973482</v>
      </c>
    </row>
    <row r="146" spans="2:13">
      <c r="B146" s="154" t="s">
        <v>1120</v>
      </c>
      <c r="C146" s="55"/>
      <c r="D146" s="139">
        <f>'[67]Rev_SP-12me'!AQ166</f>
        <v>12.0224322937836</v>
      </c>
      <c r="E146" s="139">
        <f>'[67]Rev_SP-12me'!AT166</f>
        <v>0</v>
      </c>
      <c r="F146" s="139">
        <f>'[67]Rev_SP-12me'!AU166</f>
        <v>9.79828231943363</v>
      </c>
      <c r="G146" s="139">
        <f>'[67]Rev_SP-12me'!AW166</f>
        <v>0</v>
      </c>
      <c r="H146" s="146">
        <f t="shared" si="20"/>
        <v>9.79828231943363</v>
      </c>
      <c r="I146" s="139">
        <f t="shared" si="23"/>
        <v>0</v>
      </c>
      <c r="J146" s="139">
        <f t="shared" si="24"/>
        <v>9.79828231943363</v>
      </c>
      <c r="K146" s="139">
        <f t="shared" si="25"/>
        <v>0</v>
      </c>
      <c r="L146" s="143">
        <f t="shared" si="21"/>
        <v>9.79828231943363</v>
      </c>
      <c r="M146" s="101">
        <f t="shared" si="22"/>
        <v>8.15</v>
      </c>
    </row>
    <row r="147" spans="2:13">
      <c r="B147" s="154" t="s">
        <v>1121</v>
      </c>
      <c r="C147" s="55"/>
      <c r="D147" s="139">
        <f>'[67]Rev_SP-12me'!AQ167</f>
        <v>13.2368470164208</v>
      </c>
      <c r="E147" s="139">
        <f>'[67]Rev_SP-12me'!AT167</f>
        <v>0</v>
      </c>
      <c r="F147" s="139">
        <f>'[67]Rev_SP-12me'!AU167</f>
        <v>10.788030318383</v>
      </c>
      <c r="G147" s="139">
        <f>'[67]Rev_SP-12me'!AW167</f>
        <v>0</v>
      </c>
      <c r="H147" s="146">
        <f t="shared" si="20"/>
        <v>10.788030318383</v>
      </c>
      <c r="I147" s="139">
        <f t="shared" si="23"/>
        <v>0</v>
      </c>
      <c r="J147" s="139">
        <f t="shared" si="24"/>
        <v>10.788030318383</v>
      </c>
      <c r="K147" s="139">
        <f t="shared" si="25"/>
        <v>0</v>
      </c>
      <c r="L147" s="143">
        <f t="shared" si="21"/>
        <v>10.788030318383</v>
      </c>
      <c r="M147" s="101">
        <f t="shared" si="22"/>
        <v>8.15000000000004</v>
      </c>
    </row>
    <row r="148" spans="2:13">
      <c r="B148" s="154" t="s">
        <v>1122</v>
      </c>
      <c r="C148" s="55"/>
      <c r="D148" s="139">
        <f>'[67]Rev_SP-12me'!AQ168</f>
        <v>24.1432475841962</v>
      </c>
      <c r="E148" s="139">
        <f>'[67]Rev_SP-12me'!AT168</f>
        <v>0</v>
      </c>
      <c r="F148" s="139">
        <f>'[67]Rev_SP-12me'!AU168</f>
        <v>14.8480972642806</v>
      </c>
      <c r="G148" s="139">
        <f>'[67]Rev_SP-12me'!AW168</f>
        <v>0</v>
      </c>
      <c r="H148" s="146">
        <f t="shared" si="20"/>
        <v>14.8480972642806</v>
      </c>
      <c r="I148" s="139">
        <f t="shared" si="23"/>
        <v>0</v>
      </c>
      <c r="J148" s="139">
        <f t="shared" si="24"/>
        <v>14.8480972642806</v>
      </c>
      <c r="K148" s="139">
        <f t="shared" si="25"/>
        <v>0</v>
      </c>
      <c r="L148" s="143">
        <f t="shared" si="21"/>
        <v>14.8480972642806</v>
      </c>
      <c r="M148" s="101">
        <f t="shared" si="22"/>
        <v>6.14999999999997</v>
      </c>
    </row>
    <row r="149" ht="15" spans="2:13">
      <c r="B149" s="151" t="s">
        <v>1123</v>
      </c>
      <c r="C149" s="55"/>
      <c r="D149" s="136">
        <f>'[67]Rev_SP-12me'!AQ163</f>
        <v>0</v>
      </c>
      <c r="E149" s="136">
        <f>'[67]Rev_SP-12me'!AT163</f>
        <v>7.09096018735363</v>
      </c>
      <c r="F149" s="136">
        <f>'[67]Rev_SP-12me'!AU163</f>
        <v>0</v>
      </c>
      <c r="G149" s="136">
        <f>'[67]Rev_SP-12me'!AW163</f>
        <v>0.0021</v>
      </c>
      <c r="H149" s="158">
        <f t="shared" si="20"/>
        <v>7.09306018735363</v>
      </c>
      <c r="I149" s="136">
        <f t="shared" si="23"/>
        <v>7.09096018735363</v>
      </c>
      <c r="J149" s="136">
        <f t="shared" si="24"/>
        <v>0</v>
      </c>
      <c r="K149" s="136">
        <f t="shared" si="25"/>
        <v>0.0021</v>
      </c>
      <c r="L149" s="142">
        <f t="shared" si="21"/>
        <v>7.09306018735363</v>
      </c>
      <c r="M149" s="101"/>
    </row>
    <row r="150" ht="15" spans="2:13">
      <c r="B150" s="151" t="s">
        <v>1124</v>
      </c>
      <c r="C150" s="55"/>
      <c r="D150" s="136">
        <f>'[67]Rev_SP-12me'!AQ169</f>
        <v>1830.09692975173</v>
      </c>
      <c r="E150" s="136">
        <f>'[67]Rev_SP-12me'!AT169</f>
        <v>235.268517057391</v>
      </c>
      <c r="F150" s="136">
        <f>'[67]Rev_SP-12me'!AU169</f>
        <v>1480.2781636137</v>
      </c>
      <c r="G150" s="136">
        <f>'[67]Rev_SP-12me'!AW169</f>
        <v>0.7203</v>
      </c>
      <c r="H150" s="158">
        <f t="shared" si="20"/>
        <v>1716.26698067109</v>
      </c>
      <c r="I150" s="136">
        <f t="shared" si="23"/>
        <v>235.268517057391</v>
      </c>
      <c r="J150" s="136">
        <f t="shared" si="24"/>
        <v>1480.2781636137</v>
      </c>
      <c r="K150" s="136">
        <f t="shared" si="25"/>
        <v>0.7203</v>
      </c>
      <c r="L150" s="142">
        <f t="shared" si="21"/>
        <v>1716.26698067109</v>
      </c>
      <c r="M150" s="101">
        <f>L150*10/D150</f>
        <v>9.37801136524456</v>
      </c>
    </row>
    <row r="151" spans="2:13">
      <c r="B151" s="156" t="s">
        <v>1145</v>
      </c>
      <c r="C151" s="55"/>
      <c r="D151" s="138">
        <f>'[67]Rev_SP-12me'!AQ170</f>
        <v>737.117850993037</v>
      </c>
      <c r="E151" s="138">
        <f>'[67]Rev_SP-12me'!AT170</f>
        <v>235.268517057391</v>
      </c>
      <c r="F151" s="138">
        <f>'[67]Rev_SP-12me'!AU170</f>
        <v>589.694280794429</v>
      </c>
      <c r="G151" s="138">
        <f>'[67]Rev_SP-12me'!AW170</f>
        <v>0.7203</v>
      </c>
      <c r="H151" s="146">
        <f t="shared" si="20"/>
        <v>825.68309785182</v>
      </c>
      <c r="I151" s="138">
        <f t="shared" si="23"/>
        <v>235.268517057391</v>
      </c>
      <c r="J151" s="138">
        <f t="shared" si="24"/>
        <v>589.694280794429</v>
      </c>
      <c r="K151" s="138">
        <f t="shared" si="25"/>
        <v>0.7203</v>
      </c>
      <c r="L151" s="143">
        <f t="shared" si="21"/>
        <v>825.68309785182</v>
      </c>
      <c r="M151" s="101">
        <f>L151*10/D151</f>
        <v>11.2015072859716</v>
      </c>
    </row>
    <row r="152" spans="2:13">
      <c r="B152" s="156" t="s">
        <v>1120</v>
      </c>
      <c r="C152" s="55"/>
      <c r="D152" s="139">
        <f>'[67]Rev_SP-12me'!AQ171</f>
        <v>339.731194992278</v>
      </c>
      <c r="E152" s="139">
        <f>'[67]Rev_SP-12me'!AT171</f>
        <v>0</v>
      </c>
      <c r="F152" s="139">
        <f>'[67]Rev_SP-12me'!AU171</f>
        <v>305.75807549305</v>
      </c>
      <c r="G152" s="139">
        <f>'[67]Rev_SP-12me'!AW171</f>
        <v>0</v>
      </c>
      <c r="H152" s="146">
        <f t="shared" si="20"/>
        <v>305.75807549305</v>
      </c>
      <c r="I152" s="139">
        <f t="shared" si="23"/>
        <v>0</v>
      </c>
      <c r="J152" s="139">
        <f t="shared" si="24"/>
        <v>305.75807549305</v>
      </c>
      <c r="K152" s="139">
        <f t="shared" si="25"/>
        <v>0</v>
      </c>
      <c r="L152" s="143">
        <f t="shared" si="21"/>
        <v>305.75807549305</v>
      </c>
      <c r="M152" s="101">
        <f>L152*10/D152</f>
        <v>8.99999999999999</v>
      </c>
    </row>
    <row r="153" spans="2:13">
      <c r="B153" s="156" t="s">
        <v>1121</v>
      </c>
      <c r="C153" s="55"/>
      <c r="D153" s="139">
        <f>'[67]Rev_SP-12me'!AQ172</f>
        <v>287.761443448651</v>
      </c>
      <c r="E153" s="139">
        <f>'[67]Rev_SP-12me'!AT172</f>
        <v>0</v>
      </c>
      <c r="F153" s="139">
        <f>'[67]Rev_SP-12me'!AU172</f>
        <v>258.985299103786</v>
      </c>
      <c r="G153" s="139">
        <f>'[67]Rev_SP-12me'!AW172</f>
        <v>0</v>
      </c>
      <c r="H153" s="146">
        <f t="shared" si="20"/>
        <v>258.985299103786</v>
      </c>
      <c r="I153" s="139">
        <f t="shared" si="23"/>
        <v>0</v>
      </c>
      <c r="J153" s="139">
        <f t="shared" si="24"/>
        <v>258.985299103786</v>
      </c>
      <c r="K153" s="139">
        <f t="shared" si="25"/>
        <v>0</v>
      </c>
      <c r="L153" s="143">
        <f t="shared" si="21"/>
        <v>258.985299103786</v>
      </c>
      <c r="M153" s="101">
        <f>L153*10/D153</f>
        <v>9</v>
      </c>
    </row>
    <row r="154" spans="2:13">
      <c r="B154" s="156" t="s">
        <v>1122</v>
      </c>
      <c r="C154" s="55"/>
      <c r="D154" s="139">
        <f>'[67]Rev_SP-12me'!AQ173</f>
        <v>465.486440317764</v>
      </c>
      <c r="E154" s="139">
        <f>'[67]Rev_SP-12me'!AT173</f>
        <v>0</v>
      </c>
      <c r="F154" s="139">
        <f>'[67]Rev_SP-12me'!AU173</f>
        <v>325.840508222434</v>
      </c>
      <c r="G154" s="139">
        <f>'[67]Rev_SP-12me'!AW173</f>
        <v>0</v>
      </c>
      <c r="H154" s="146">
        <f t="shared" si="20"/>
        <v>325.840508222434</v>
      </c>
      <c r="I154" s="139">
        <f t="shared" si="23"/>
        <v>0</v>
      </c>
      <c r="J154" s="139">
        <f t="shared" si="24"/>
        <v>325.840508222434</v>
      </c>
      <c r="K154" s="139">
        <f t="shared" si="25"/>
        <v>0</v>
      </c>
      <c r="L154" s="143">
        <f t="shared" si="21"/>
        <v>325.840508222434</v>
      </c>
      <c r="M154" s="101">
        <f>L154*10/D154</f>
        <v>6.99999999999998</v>
      </c>
    </row>
    <row r="155" spans="2:13">
      <c r="B155" s="156" t="s">
        <v>1146</v>
      </c>
      <c r="C155" s="55"/>
      <c r="D155" s="139">
        <f>'[67]Rev_SP-12me'!AQ174</f>
        <v>0</v>
      </c>
      <c r="E155" s="139">
        <f>'[67]Rev_SP-12me'!AT174</f>
        <v>0</v>
      </c>
      <c r="F155" s="139">
        <f>'[67]Rev_SP-12me'!AU174</f>
        <v>0</v>
      </c>
      <c r="G155" s="139">
        <f>'[67]Rev_SP-12me'!AW174</f>
        <v>0</v>
      </c>
      <c r="H155" s="146">
        <f t="shared" si="20"/>
        <v>0</v>
      </c>
      <c r="I155" s="139">
        <f t="shared" si="23"/>
        <v>0</v>
      </c>
      <c r="J155" s="139">
        <f t="shared" si="24"/>
        <v>0</v>
      </c>
      <c r="K155" s="139">
        <f t="shared" si="25"/>
        <v>0</v>
      </c>
      <c r="L155" s="143">
        <f t="shared" si="21"/>
        <v>0</v>
      </c>
      <c r="M155" s="101"/>
    </row>
    <row r="156" ht="15" spans="2:13">
      <c r="B156" s="151" t="s">
        <v>1125</v>
      </c>
      <c r="C156" s="55"/>
      <c r="D156" s="136">
        <f>'[67]Rev_SP-12me'!AQ175</f>
        <v>3.896349</v>
      </c>
      <c r="E156" s="136">
        <f>'[67]Rev_SP-12me'!AT175</f>
        <v>0</v>
      </c>
      <c r="F156" s="136">
        <f>'[67]Rev_SP-12me'!AU175</f>
        <v>2.00284446</v>
      </c>
      <c r="G156" s="136">
        <f>'[67]Rev_SP-12me'!AW175</f>
        <v>0.0042</v>
      </c>
      <c r="H156" s="158">
        <f t="shared" si="20"/>
        <v>2.00704446</v>
      </c>
      <c r="I156" s="136">
        <f t="shared" si="23"/>
        <v>0</v>
      </c>
      <c r="J156" s="136">
        <f t="shared" si="24"/>
        <v>2.00284446</v>
      </c>
      <c r="K156" s="136">
        <f t="shared" si="25"/>
        <v>0.0042</v>
      </c>
      <c r="L156" s="142">
        <f t="shared" si="21"/>
        <v>2.00704446</v>
      </c>
      <c r="M156" s="101">
        <f>L156*10/D156</f>
        <v>5.15109005892439</v>
      </c>
    </row>
    <row r="157" spans="2:13">
      <c r="B157" s="154" t="s">
        <v>1119</v>
      </c>
      <c r="C157" s="55"/>
      <c r="D157" s="139">
        <f>'[67]Rev_SP-12me'!AQ176</f>
        <v>1.5774606</v>
      </c>
      <c r="E157" s="139">
        <f>'[67]Rev_SP-12me'!AT176</f>
        <v>0</v>
      </c>
      <c r="F157" s="139">
        <f>'[67]Rev_SP-12me'!AU176</f>
        <v>0.7887303</v>
      </c>
      <c r="G157" s="139">
        <f>'[67]Rev_SP-12me'!AW176</f>
        <v>0.0042</v>
      </c>
      <c r="H157" s="146">
        <f t="shared" si="20"/>
        <v>0.7929303</v>
      </c>
      <c r="I157" s="139">
        <f t="shared" si="23"/>
        <v>0</v>
      </c>
      <c r="J157" s="139">
        <f t="shared" si="24"/>
        <v>0.7887303</v>
      </c>
      <c r="K157" s="139">
        <f t="shared" si="25"/>
        <v>0.0042</v>
      </c>
      <c r="L157" s="143">
        <f t="shared" si="21"/>
        <v>0.7929303</v>
      </c>
      <c r="M157" s="101">
        <f>L157*10/D157</f>
        <v>5.02662507069907</v>
      </c>
    </row>
    <row r="158" spans="2:13">
      <c r="B158" s="154" t="s">
        <v>1120</v>
      </c>
      <c r="C158" s="55"/>
      <c r="D158" s="139">
        <f>'[67]Rev_SP-12me'!AQ177</f>
        <v>0.7272906</v>
      </c>
      <c r="E158" s="139">
        <f>'[67]Rev_SP-12me'!AT177</f>
        <v>0</v>
      </c>
      <c r="F158" s="139">
        <f>'[67]Rev_SP-12me'!AU177</f>
        <v>0.43637436</v>
      </c>
      <c r="G158" s="139">
        <f>'[67]Rev_SP-12me'!AW177</f>
        <v>0</v>
      </c>
      <c r="H158" s="146">
        <f t="shared" si="20"/>
        <v>0.43637436</v>
      </c>
      <c r="I158" s="139">
        <f t="shared" si="23"/>
        <v>0</v>
      </c>
      <c r="J158" s="139">
        <f t="shared" si="24"/>
        <v>0.43637436</v>
      </c>
      <c r="K158" s="139">
        <f t="shared" si="25"/>
        <v>0</v>
      </c>
      <c r="L158" s="143">
        <f t="shared" si="21"/>
        <v>0.43637436</v>
      </c>
      <c r="M158" s="101">
        <f>L158*10/D158</f>
        <v>6</v>
      </c>
    </row>
    <row r="159" spans="2:13">
      <c r="B159" s="154" t="s">
        <v>1121</v>
      </c>
      <c r="C159" s="55"/>
      <c r="D159" s="139">
        <f>'[67]Rev_SP-12me'!AQ178</f>
        <v>0.7055034</v>
      </c>
      <c r="E159" s="139">
        <f>'[67]Rev_SP-12me'!AT178</f>
        <v>0</v>
      </c>
      <c r="F159" s="139">
        <f>'[67]Rev_SP-12me'!AU178</f>
        <v>0.42330204</v>
      </c>
      <c r="G159" s="139">
        <f>'[67]Rev_SP-12me'!AW178</f>
        <v>0</v>
      </c>
      <c r="H159" s="146">
        <f t="shared" si="20"/>
        <v>0.42330204</v>
      </c>
      <c r="I159" s="139">
        <f t="shared" si="23"/>
        <v>0</v>
      </c>
      <c r="J159" s="139">
        <f t="shared" si="24"/>
        <v>0.42330204</v>
      </c>
      <c r="K159" s="139">
        <f t="shared" si="25"/>
        <v>0</v>
      </c>
      <c r="L159" s="143">
        <f t="shared" si="21"/>
        <v>0.42330204</v>
      </c>
      <c r="M159" s="101">
        <f>L159*10/D159</f>
        <v>6</v>
      </c>
    </row>
    <row r="160" spans="2:13">
      <c r="B160" s="154" t="s">
        <v>1122</v>
      </c>
      <c r="C160" s="55"/>
      <c r="D160" s="139">
        <f>'[67]Rev_SP-12me'!AQ179</f>
        <v>0.8860944</v>
      </c>
      <c r="E160" s="139">
        <f>'[67]Rev_SP-12me'!AT179</f>
        <v>0</v>
      </c>
      <c r="F160" s="139">
        <f>'[67]Rev_SP-12me'!AU179</f>
        <v>0.35443776</v>
      </c>
      <c r="G160" s="139">
        <f>'[67]Rev_SP-12me'!AW179</f>
        <v>0</v>
      </c>
      <c r="H160" s="146">
        <f t="shared" si="20"/>
        <v>0.35443776</v>
      </c>
      <c r="I160" s="139">
        <f t="shared" si="23"/>
        <v>0</v>
      </c>
      <c r="J160" s="139">
        <f t="shared" si="24"/>
        <v>0.35443776</v>
      </c>
      <c r="K160" s="139">
        <f t="shared" si="25"/>
        <v>0</v>
      </c>
      <c r="L160" s="143">
        <f t="shared" si="21"/>
        <v>0.35443776</v>
      </c>
      <c r="M160" s="101">
        <f>L160*10/D160</f>
        <v>4</v>
      </c>
    </row>
    <row r="161" ht="15" spans="2:13">
      <c r="B161" s="151" t="s">
        <v>1126</v>
      </c>
      <c r="C161" s="55"/>
      <c r="D161" s="136">
        <f>'[67]Rev_SP-12me'!AQ180</f>
        <v>0</v>
      </c>
      <c r="E161" s="136">
        <f>'[67]Rev_SP-12me'!AT180</f>
        <v>0</v>
      </c>
      <c r="F161" s="136">
        <f>'[67]Rev_SP-12me'!AU180</f>
        <v>0</v>
      </c>
      <c r="G161" s="136">
        <f>'[67]Rev_SP-12me'!AW180</f>
        <v>0</v>
      </c>
      <c r="H161" s="146">
        <f t="shared" si="20"/>
        <v>0</v>
      </c>
      <c r="I161" s="136">
        <f t="shared" si="23"/>
        <v>0</v>
      </c>
      <c r="J161" s="136">
        <f t="shared" si="24"/>
        <v>0</v>
      </c>
      <c r="K161" s="136">
        <f t="shared" si="25"/>
        <v>0</v>
      </c>
      <c r="L161" s="142">
        <f t="shared" si="21"/>
        <v>0</v>
      </c>
      <c r="M161" s="101"/>
    </row>
    <row r="162" spans="2:13">
      <c r="B162" s="156" t="s">
        <v>1119</v>
      </c>
      <c r="C162" s="55"/>
      <c r="D162" s="139">
        <f>'[67]Rev_SP-12me'!AQ181</f>
        <v>0</v>
      </c>
      <c r="E162" s="139">
        <f>'[67]Rev_SP-12me'!AT181</f>
        <v>0</v>
      </c>
      <c r="F162" s="139">
        <f>'[67]Rev_SP-12me'!AU181</f>
        <v>0</v>
      </c>
      <c r="G162" s="139">
        <f>'[67]Rev_SP-12me'!AW181</f>
        <v>0</v>
      </c>
      <c r="H162" s="146">
        <f t="shared" si="20"/>
        <v>0</v>
      </c>
      <c r="I162" s="139">
        <f t="shared" si="23"/>
        <v>0</v>
      </c>
      <c r="J162" s="139">
        <f t="shared" si="24"/>
        <v>0</v>
      </c>
      <c r="K162" s="139">
        <f t="shared" si="25"/>
        <v>0</v>
      </c>
      <c r="L162" s="143">
        <f t="shared" si="21"/>
        <v>0</v>
      </c>
      <c r="M162" s="101"/>
    </row>
    <row r="163" spans="2:13">
      <c r="B163" s="156" t="s">
        <v>1120</v>
      </c>
      <c r="C163" s="55"/>
      <c r="D163" s="139">
        <f>'[67]Rev_SP-12me'!AQ182</f>
        <v>0</v>
      </c>
      <c r="E163" s="139">
        <f>'[67]Rev_SP-12me'!AT182</f>
        <v>0</v>
      </c>
      <c r="F163" s="139">
        <f>'[67]Rev_SP-12me'!AU182</f>
        <v>0</v>
      </c>
      <c r="G163" s="139">
        <f>'[67]Rev_SP-12me'!AW182</f>
        <v>0</v>
      </c>
      <c r="H163" s="146">
        <f t="shared" si="20"/>
        <v>0</v>
      </c>
      <c r="I163" s="139">
        <f t="shared" si="23"/>
        <v>0</v>
      </c>
      <c r="J163" s="139">
        <f t="shared" si="24"/>
        <v>0</v>
      </c>
      <c r="K163" s="139">
        <f t="shared" si="25"/>
        <v>0</v>
      </c>
      <c r="L163" s="143">
        <f t="shared" si="21"/>
        <v>0</v>
      </c>
      <c r="M163" s="101"/>
    </row>
    <row r="164" spans="2:13">
      <c r="B164" s="156" t="s">
        <v>1121</v>
      </c>
      <c r="C164" s="55"/>
      <c r="D164" s="139">
        <f>'[67]Rev_SP-12me'!AQ183</f>
        <v>0</v>
      </c>
      <c r="E164" s="139">
        <f>'[67]Rev_SP-12me'!AT183</f>
        <v>0</v>
      </c>
      <c r="F164" s="139">
        <f>'[67]Rev_SP-12me'!AU183</f>
        <v>0</v>
      </c>
      <c r="G164" s="139">
        <f>'[67]Rev_SP-12me'!AW183</f>
        <v>0</v>
      </c>
      <c r="H164" s="146">
        <f t="shared" si="20"/>
        <v>0</v>
      </c>
      <c r="I164" s="139">
        <f t="shared" si="23"/>
        <v>0</v>
      </c>
      <c r="J164" s="139">
        <f t="shared" si="24"/>
        <v>0</v>
      </c>
      <c r="K164" s="139">
        <f t="shared" si="25"/>
        <v>0</v>
      </c>
      <c r="L164" s="143">
        <f t="shared" si="21"/>
        <v>0</v>
      </c>
      <c r="M164" s="101"/>
    </row>
    <row r="165" spans="2:13">
      <c r="B165" s="156" t="s">
        <v>1122</v>
      </c>
      <c r="C165" s="55"/>
      <c r="D165" s="139">
        <f>'[67]Rev_SP-12me'!AQ184</f>
        <v>0</v>
      </c>
      <c r="E165" s="139">
        <f>'[67]Rev_SP-12me'!AT184</f>
        <v>0</v>
      </c>
      <c r="F165" s="139">
        <f>'[67]Rev_SP-12me'!AU184</f>
        <v>0</v>
      </c>
      <c r="G165" s="139">
        <f>'[67]Rev_SP-12me'!AW184</f>
        <v>0</v>
      </c>
      <c r="H165" s="146">
        <f t="shared" si="20"/>
        <v>0</v>
      </c>
      <c r="I165" s="139">
        <f t="shared" si="23"/>
        <v>0</v>
      </c>
      <c r="J165" s="139">
        <f t="shared" si="24"/>
        <v>0</v>
      </c>
      <c r="K165" s="139">
        <f t="shared" si="25"/>
        <v>0</v>
      </c>
      <c r="L165" s="143">
        <f t="shared" si="21"/>
        <v>0</v>
      </c>
      <c r="M165" s="101"/>
    </row>
    <row r="166" ht="15" spans="2:13">
      <c r="B166" s="151" t="s">
        <v>1147</v>
      </c>
      <c r="C166" s="55"/>
      <c r="D166" s="136">
        <f>'[67]Rev_SP-12me'!AQ185</f>
        <v>47.2317922301778</v>
      </c>
      <c r="E166" s="136">
        <f>'[67]Rev_SP-12me'!AT185</f>
        <v>7.54733422207742</v>
      </c>
      <c r="F166" s="136">
        <f>'[67]Rev_SP-12me'!AU185</f>
        <v>29.756029105012</v>
      </c>
      <c r="G166" s="136">
        <f>'[67]Rev_SP-12me'!AW185</f>
        <v>0.0885263513513513</v>
      </c>
      <c r="H166" s="146">
        <f t="shared" si="20"/>
        <v>37.3918896784408</v>
      </c>
      <c r="I166" s="136">
        <f t="shared" si="23"/>
        <v>7.54733422207742</v>
      </c>
      <c r="J166" s="136">
        <f t="shared" si="24"/>
        <v>29.756029105012</v>
      </c>
      <c r="K166" s="136">
        <f t="shared" si="25"/>
        <v>0.0885263513513513</v>
      </c>
      <c r="L166" s="142">
        <f t="shared" si="21"/>
        <v>37.3918896784408</v>
      </c>
      <c r="M166" s="101">
        <f>L166*10/D166</f>
        <v>7.91667813412974</v>
      </c>
    </row>
    <row r="167" spans="2:13">
      <c r="B167" s="160" t="s">
        <v>1128</v>
      </c>
      <c r="C167" s="55"/>
      <c r="D167" s="138">
        <f>'[67]Rev_SP-12me'!AQ186</f>
        <v>47.2317922301778</v>
      </c>
      <c r="E167" s="138">
        <f>'[67]Rev_SP-12me'!AT186</f>
        <v>7.54733422207742</v>
      </c>
      <c r="F167" s="138">
        <f>'[67]Rev_SP-12me'!AU186</f>
        <v>29.756029105012</v>
      </c>
      <c r="G167" s="138">
        <f>'[67]Rev_SP-12me'!AW186</f>
        <v>0.0885263513513513</v>
      </c>
      <c r="H167" s="146">
        <f t="shared" si="20"/>
        <v>37.3918896784408</v>
      </c>
      <c r="I167" s="138">
        <f t="shared" si="23"/>
        <v>7.54733422207742</v>
      </c>
      <c r="J167" s="138">
        <f t="shared" si="24"/>
        <v>29.756029105012</v>
      </c>
      <c r="K167" s="138">
        <f t="shared" si="25"/>
        <v>0.0885263513513513</v>
      </c>
      <c r="L167" s="143">
        <f t="shared" si="21"/>
        <v>37.3918896784408</v>
      </c>
      <c r="M167" s="101">
        <f>L167*10/D167</f>
        <v>7.91667813412974</v>
      </c>
    </row>
    <row r="168" ht="15" spans="2:13">
      <c r="B168" s="161" t="s">
        <v>1148</v>
      </c>
      <c r="C168" s="55"/>
      <c r="D168" s="136">
        <f>'[67]Rev_SP-12me'!AQ191</f>
        <v>259.563838699508</v>
      </c>
      <c r="E168" s="136">
        <f>'[67]Rev_SP-12me'!AT191</f>
        <v>0</v>
      </c>
      <c r="F168" s="136">
        <f>'[67]Rev_SP-12me'!AU191</f>
        <v>158.3339416067</v>
      </c>
      <c r="G168" s="136">
        <f>'[67]Rev_SP-12me'!AW191</f>
        <v>0.0562601351351351</v>
      </c>
      <c r="H168" s="146">
        <f t="shared" si="20"/>
        <v>158.390201741835</v>
      </c>
      <c r="I168" s="136">
        <f t="shared" si="23"/>
        <v>0</v>
      </c>
      <c r="J168" s="136">
        <f t="shared" si="24"/>
        <v>158.3339416067</v>
      </c>
      <c r="K168" s="136">
        <f t="shared" si="25"/>
        <v>0.0562601351351351</v>
      </c>
      <c r="L168" s="142">
        <f t="shared" si="21"/>
        <v>158.390201741835</v>
      </c>
      <c r="M168" s="101">
        <f>L168*10/D168</f>
        <v>6.10216748740569</v>
      </c>
    </row>
    <row r="169" spans="2:13">
      <c r="B169" s="154" t="s">
        <v>1149</v>
      </c>
      <c r="C169" s="55"/>
      <c r="D169" s="138">
        <f>'[67]Rev_SP-12me'!AQ192</f>
        <v>259.563838699508</v>
      </c>
      <c r="E169" s="138">
        <f>'[67]Rev_SP-12me'!AT192</f>
        <v>0</v>
      </c>
      <c r="F169" s="138">
        <f>'[67]Rev_SP-12me'!AU192</f>
        <v>158.3339416067</v>
      </c>
      <c r="G169" s="138">
        <f>'[67]Rev_SP-12me'!AW192</f>
        <v>0.0562601351351351</v>
      </c>
      <c r="H169" s="146">
        <f t="shared" si="20"/>
        <v>158.390201741835</v>
      </c>
      <c r="I169" s="138">
        <f t="shared" si="23"/>
        <v>0</v>
      </c>
      <c r="J169" s="138">
        <f t="shared" si="24"/>
        <v>158.3339416067</v>
      </c>
      <c r="K169" s="138">
        <f t="shared" si="25"/>
        <v>0.0562601351351351</v>
      </c>
      <c r="L169" s="143">
        <f t="shared" si="21"/>
        <v>158.390201741835</v>
      </c>
      <c r="M169" s="101">
        <f>L169*10/D169</f>
        <v>6.10216748740569</v>
      </c>
    </row>
    <row r="170" ht="15" spans="2:13">
      <c r="B170" s="157" t="s">
        <v>1150</v>
      </c>
      <c r="C170" s="55"/>
      <c r="D170" s="136">
        <f>'[67]Rev_SP-12me'!AQ193</f>
        <v>0</v>
      </c>
      <c r="E170" s="136">
        <f>'[67]Rev_SP-12me'!AT193</f>
        <v>0</v>
      </c>
      <c r="F170" s="136">
        <f>'[67]Rev_SP-12me'!AU193</f>
        <v>0</v>
      </c>
      <c r="G170" s="136">
        <f>'[67]Rev_SP-12me'!AW193</f>
        <v>0</v>
      </c>
      <c r="H170" s="146">
        <f t="shared" si="20"/>
        <v>0</v>
      </c>
      <c r="I170" s="136">
        <f t="shared" si="23"/>
        <v>0</v>
      </c>
      <c r="J170" s="136">
        <f t="shared" si="24"/>
        <v>0</v>
      </c>
      <c r="K170" s="136">
        <f t="shared" si="25"/>
        <v>0</v>
      </c>
      <c r="L170" s="143">
        <f t="shared" si="21"/>
        <v>0</v>
      </c>
      <c r="M170" s="101"/>
    </row>
    <row r="171" ht="15" spans="2:13">
      <c r="B171" s="151" t="s">
        <v>1131</v>
      </c>
      <c r="C171" s="55"/>
      <c r="D171" s="136">
        <f>'[67]Rev_SP-12me'!AQ187</f>
        <v>9.623565</v>
      </c>
      <c r="E171" s="136">
        <f>'[67]Rev_SP-12me'!AT187</f>
        <v>2.02597614991482</v>
      </c>
      <c r="F171" s="136">
        <f>'[67]Rev_SP-12me'!AU187</f>
        <v>4.859900325</v>
      </c>
      <c r="G171" s="136">
        <f>'[67]Rev_SP-12me'!AW187</f>
        <v>0.0021</v>
      </c>
      <c r="H171" s="146">
        <f t="shared" si="20"/>
        <v>6.88797647491482</v>
      </c>
      <c r="I171" s="136">
        <f t="shared" si="23"/>
        <v>2.02597614991482</v>
      </c>
      <c r="J171" s="136">
        <f t="shared" si="24"/>
        <v>4.859900325</v>
      </c>
      <c r="K171" s="136">
        <f t="shared" si="25"/>
        <v>0.0021</v>
      </c>
      <c r="L171" s="142">
        <f t="shared" si="21"/>
        <v>6.88797647491482</v>
      </c>
      <c r="M171" s="101"/>
    </row>
    <row r="172" ht="15" spans="2:13">
      <c r="B172" s="151" t="s">
        <v>1132</v>
      </c>
      <c r="C172" s="55"/>
      <c r="D172" s="136">
        <f>'[67]Rev_SP-12me'!AQ188</f>
        <v>0</v>
      </c>
      <c r="E172" s="136">
        <f>'[67]Rev_SP-12me'!AT188</f>
        <v>0</v>
      </c>
      <c r="F172" s="136">
        <f>'[67]Rev_SP-12me'!AU188</f>
        <v>0</v>
      </c>
      <c r="G172" s="136">
        <f>'[67]Rev_SP-12me'!AW188</f>
        <v>0</v>
      </c>
      <c r="H172" s="146">
        <f t="shared" si="20"/>
        <v>0</v>
      </c>
      <c r="I172" s="136">
        <f t="shared" si="23"/>
        <v>0</v>
      </c>
      <c r="J172" s="136">
        <f t="shared" si="24"/>
        <v>0</v>
      </c>
      <c r="K172" s="136">
        <f t="shared" si="25"/>
        <v>0</v>
      </c>
      <c r="L172" s="142">
        <f t="shared" si="21"/>
        <v>0</v>
      </c>
      <c r="M172" s="101"/>
    </row>
    <row r="173" ht="15" spans="2:13">
      <c r="B173" s="151" t="s">
        <v>919</v>
      </c>
      <c r="C173" s="55"/>
      <c r="D173" s="136">
        <f>'[67]Rev_SP-12me'!AQ189</f>
        <v>161.409051058846</v>
      </c>
      <c r="E173" s="136">
        <f>'[67]Rev_SP-12me'!AT189</f>
        <v>15.7204689413823</v>
      </c>
      <c r="F173" s="136">
        <f>'[67]Rev_SP-12me'!AU189</f>
        <v>117.828607272957</v>
      </c>
      <c r="G173" s="136">
        <f>'[67]Rev_SP-12me'!AW189</f>
        <v>0.0985046511627907</v>
      </c>
      <c r="H173" s="146">
        <f t="shared" si="20"/>
        <v>133.647580865502</v>
      </c>
      <c r="I173" s="136">
        <f t="shared" si="23"/>
        <v>15.7204689413823</v>
      </c>
      <c r="J173" s="136">
        <f t="shared" si="24"/>
        <v>117.828607272957</v>
      </c>
      <c r="K173" s="136">
        <f t="shared" si="25"/>
        <v>0.0985046511627907</v>
      </c>
      <c r="L173" s="142">
        <f t="shared" si="21"/>
        <v>133.647580865502</v>
      </c>
      <c r="M173" s="101">
        <f>L173*10/D173</f>
        <v>8.28005492807075</v>
      </c>
    </row>
    <row r="174" ht="15" spans="2:13">
      <c r="B174" s="151" t="s">
        <v>1133</v>
      </c>
      <c r="C174" s="55"/>
      <c r="D174" s="136">
        <f>'[67]Rev_SP-12me'!AQ190</f>
        <v>42.6818863552615</v>
      </c>
      <c r="E174" s="136">
        <f>'[67]Rev_SP-12me'!AT190</f>
        <v>11.4760096610311</v>
      </c>
      <c r="F174" s="136">
        <f>'[67]Rev_SP-12me'!AU190</f>
        <v>46.9500749907876</v>
      </c>
      <c r="G174" s="136">
        <f>'[67]Rev_SP-12me'!AW190</f>
        <v>0.0374073170731707</v>
      </c>
      <c r="H174" s="146">
        <f t="shared" si="20"/>
        <v>58.4634919688919</v>
      </c>
      <c r="I174" s="136">
        <f t="shared" si="23"/>
        <v>11.4760096610311</v>
      </c>
      <c r="J174" s="136">
        <f t="shared" si="24"/>
        <v>46.9500749907876</v>
      </c>
      <c r="K174" s="136">
        <f t="shared" si="25"/>
        <v>0.0374073170731707</v>
      </c>
      <c r="L174" s="142">
        <f t="shared" si="21"/>
        <v>58.4634919688919</v>
      </c>
      <c r="M174" s="101">
        <f>L174*10/D174</f>
        <v>13.6974948769304</v>
      </c>
    </row>
    <row r="175" ht="15" spans="2:13">
      <c r="B175" s="157" t="s">
        <v>1151</v>
      </c>
      <c r="C175" s="55"/>
      <c r="D175" s="148">
        <f t="shared" ref="D175:K175" si="26">SUM(D130,D144,D149,D150,D156,D161,D166,D168,D170,D171,D172,D173,D174)</f>
        <v>9228.24216255422</v>
      </c>
      <c r="E175" s="149">
        <f t="shared" si="26"/>
        <v>1002.72167453015</v>
      </c>
      <c r="F175" s="149">
        <f t="shared" si="26"/>
        <v>6764.82874401378</v>
      </c>
      <c r="G175" s="149">
        <f t="shared" si="26"/>
        <v>2.79712018809989</v>
      </c>
      <c r="H175" s="148">
        <f t="shared" si="26"/>
        <v>7770.34753873202</v>
      </c>
      <c r="I175" s="149">
        <f t="shared" si="26"/>
        <v>1002.72167453015</v>
      </c>
      <c r="J175" s="149">
        <f t="shared" si="26"/>
        <v>6764.82874401378</v>
      </c>
      <c r="K175" s="149">
        <f t="shared" si="26"/>
        <v>2.79712018809989</v>
      </c>
      <c r="L175" s="149">
        <f t="shared" si="21"/>
        <v>7770.34753873202</v>
      </c>
      <c r="M175" s="101">
        <f>L175*10/D175</f>
        <v>8.42018165741472</v>
      </c>
    </row>
    <row r="176" spans="2:13"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143"/>
      <c r="M176" s="101"/>
    </row>
    <row r="177" spans="2:13">
      <c r="B177" s="151" t="s">
        <v>1152</v>
      </c>
      <c r="C177" s="55"/>
      <c r="D177" s="55"/>
      <c r="E177" s="55"/>
      <c r="F177" s="55"/>
      <c r="G177" s="55"/>
      <c r="H177" s="55"/>
      <c r="I177" s="55"/>
      <c r="J177" s="55"/>
      <c r="K177" s="55"/>
      <c r="L177" s="143"/>
      <c r="M177" s="101"/>
    </row>
    <row r="178" ht="15" spans="2:13">
      <c r="B178" s="151" t="s">
        <v>1137</v>
      </c>
      <c r="C178" s="55"/>
      <c r="D178" s="136">
        <f>'[67]Rev_SP-12me'!AQ208</f>
        <v>4308.31691400761</v>
      </c>
      <c r="E178" s="136">
        <f>'[67]Rev_SP-12me'!AT208</f>
        <v>307.990157474177</v>
      </c>
      <c r="F178" s="136">
        <f>'[67]Rev_SP-12me'!AU208</f>
        <v>2850.92931790483</v>
      </c>
      <c r="G178" s="162">
        <f>'[67]Rev_SP-12me'!AW208</f>
        <v>0.258007939133311</v>
      </c>
      <c r="H178" s="146">
        <f t="shared" ref="H178:H219" si="27">SUM(E178:G178)</f>
        <v>3159.17748331814</v>
      </c>
      <c r="I178" s="136">
        <f>E178</f>
        <v>307.990157474177</v>
      </c>
      <c r="J178" s="136">
        <f>F178</f>
        <v>2850.92931790483</v>
      </c>
      <c r="K178" s="136">
        <f>G178</f>
        <v>0.258007939133311</v>
      </c>
      <c r="L178" s="142">
        <f t="shared" ref="L178:L220" si="28">SUM(I178:K178)</f>
        <v>3159.17748331814</v>
      </c>
      <c r="M178" s="101">
        <f>L178*10/D178</f>
        <v>7.33274163988894</v>
      </c>
    </row>
    <row r="179" spans="2:13">
      <c r="B179" s="154" t="s">
        <v>1105</v>
      </c>
      <c r="C179" s="55"/>
      <c r="D179" s="138">
        <f>'[67]Rev_SP-12me'!AQ209</f>
        <v>1356.63102840322</v>
      </c>
      <c r="E179" s="138">
        <f>'[67]Rev_SP-12me'!AT209</f>
        <v>307.990157474177</v>
      </c>
      <c r="F179" s="138">
        <f>'[67]Rev_SP-12me'!AU209</f>
        <v>902.159633888142</v>
      </c>
      <c r="G179" s="163">
        <f>'[67]Rev_SP-12me'!AW209</f>
        <v>0.258007939133311</v>
      </c>
      <c r="H179" s="146">
        <f t="shared" si="27"/>
        <v>1210.40779930145</v>
      </c>
      <c r="I179" s="138">
        <f t="shared" ref="I179:I219" si="29">E179</f>
        <v>307.990157474177</v>
      </c>
      <c r="J179" s="138">
        <f t="shared" ref="J179:J219" si="30">F179</f>
        <v>902.159633888142</v>
      </c>
      <c r="K179" s="138">
        <f t="shared" ref="K179:K219" si="31">G179</f>
        <v>0.258007939133311</v>
      </c>
      <c r="L179" s="143">
        <f t="shared" si="28"/>
        <v>1210.40779930145</v>
      </c>
      <c r="M179" s="101">
        <f>L179*10/D179</f>
        <v>8.92215918668855</v>
      </c>
    </row>
    <row r="180" spans="2:13">
      <c r="B180" s="154" t="s">
        <v>1139</v>
      </c>
      <c r="C180" s="55"/>
      <c r="D180" s="139">
        <f>'[67]Rev_SP-12me'!AQ210</f>
        <v>0.000251502132230239</v>
      </c>
      <c r="E180" s="139">
        <f>'[67]Rev_SP-12me'!AT210</f>
        <v>0</v>
      </c>
      <c r="F180" s="139">
        <f>'[67]Rev_SP-12me'!AU210</f>
        <v>0.000167248917933109</v>
      </c>
      <c r="G180" s="139">
        <f>'[67]Rev_SP-12me'!AW210</f>
        <v>0</v>
      </c>
      <c r="H180" s="146">
        <f t="shared" si="27"/>
        <v>0.000167248917933109</v>
      </c>
      <c r="I180" s="139">
        <f t="shared" si="29"/>
        <v>0</v>
      </c>
      <c r="J180" s="139">
        <f t="shared" si="30"/>
        <v>0.000167248917933109</v>
      </c>
      <c r="K180" s="139">
        <f t="shared" si="31"/>
        <v>0</v>
      </c>
      <c r="L180" s="143">
        <f t="shared" si="28"/>
        <v>0.000167248917933109</v>
      </c>
      <c r="M180" s="101"/>
    </row>
    <row r="181" spans="2:13">
      <c r="B181" s="154" t="s">
        <v>1140</v>
      </c>
      <c r="C181" s="55"/>
      <c r="D181" s="139">
        <f>'[67]Rev_SP-12me'!AQ211</f>
        <v>6.61057504693225</v>
      </c>
      <c r="E181" s="139">
        <f>'[67]Rev_SP-12me'!AT211</f>
        <v>0</v>
      </c>
      <c r="F181" s="139">
        <f>'[67]Rev_SP-12me'!AU211</f>
        <v>4.82571978426054</v>
      </c>
      <c r="G181" s="139">
        <f>'[67]Rev_SP-12me'!AW211</f>
        <v>0</v>
      </c>
      <c r="H181" s="146">
        <f t="shared" si="27"/>
        <v>4.82571978426054</v>
      </c>
      <c r="I181" s="139">
        <f t="shared" si="29"/>
        <v>0</v>
      </c>
      <c r="J181" s="139">
        <f t="shared" si="30"/>
        <v>4.82571978426054</v>
      </c>
      <c r="K181" s="139">
        <f t="shared" si="31"/>
        <v>0</v>
      </c>
      <c r="L181" s="143">
        <f t="shared" si="28"/>
        <v>4.82571978426054</v>
      </c>
      <c r="M181" s="101"/>
    </row>
    <row r="182" spans="2:13">
      <c r="B182" s="154" t="s">
        <v>1141</v>
      </c>
      <c r="C182" s="55"/>
      <c r="D182" s="139">
        <f>'[67]Rev_SP-12me'!AQ212</f>
        <v>0</v>
      </c>
      <c r="E182" s="139">
        <f>'[67]Rev_SP-12me'!AT212</f>
        <v>0</v>
      </c>
      <c r="F182" s="139">
        <f>'[67]Rev_SP-12me'!AU212</f>
        <v>0</v>
      </c>
      <c r="G182" s="139">
        <f>'[67]Rev_SP-12me'!AW212</f>
        <v>0</v>
      </c>
      <c r="H182" s="146">
        <f t="shared" si="27"/>
        <v>0</v>
      </c>
      <c r="I182" s="139">
        <f t="shared" si="29"/>
        <v>0</v>
      </c>
      <c r="J182" s="139">
        <f t="shared" si="30"/>
        <v>0</v>
      </c>
      <c r="K182" s="139">
        <f t="shared" si="31"/>
        <v>0</v>
      </c>
      <c r="L182" s="143">
        <f t="shared" si="28"/>
        <v>0</v>
      </c>
      <c r="M182" s="101"/>
    </row>
    <row r="183" spans="2:13">
      <c r="B183" s="156" t="s">
        <v>1120</v>
      </c>
      <c r="C183" s="55"/>
      <c r="D183" s="139">
        <f>'[67]Rev_SP-12me'!AQ213</f>
        <v>738.587705461526</v>
      </c>
      <c r="E183" s="139">
        <f>'[67]Rev_SP-12me'!AT213</f>
        <v>0</v>
      </c>
      <c r="F183" s="139">
        <f>'[67]Rev_SP-12me'!AU213</f>
        <v>565.019594678067</v>
      </c>
      <c r="G183" s="139">
        <f>'[67]Rev_SP-12me'!AW213</f>
        <v>0</v>
      </c>
      <c r="H183" s="146">
        <f t="shared" si="27"/>
        <v>565.019594678067</v>
      </c>
      <c r="I183" s="139">
        <f t="shared" si="29"/>
        <v>0</v>
      </c>
      <c r="J183" s="139">
        <f t="shared" si="30"/>
        <v>565.019594678067</v>
      </c>
      <c r="K183" s="139">
        <f t="shared" si="31"/>
        <v>0</v>
      </c>
      <c r="L183" s="143">
        <f t="shared" si="28"/>
        <v>565.019594678067</v>
      </c>
      <c r="M183" s="101">
        <f t="shared" ref="M183:M196" si="32">L183*10/D183</f>
        <v>7.65</v>
      </c>
    </row>
    <row r="184" spans="2:13">
      <c r="B184" s="156" t="s">
        <v>1121</v>
      </c>
      <c r="C184" s="55"/>
      <c r="D184" s="139">
        <f>'[67]Rev_SP-12me'!AQ214</f>
        <v>661.294237624722</v>
      </c>
      <c r="E184" s="139">
        <f>'[67]Rev_SP-12me'!AT214</f>
        <v>0</v>
      </c>
      <c r="F184" s="139">
        <f>'[67]Rev_SP-12me'!AU214</f>
        <v>505.890091782912</v>
      </c>
      <c r="G184" s="139">
        <f>'[67]Rev_SP-12me'!AW214</f>
        <v>0</v>
      </c>
      <c r="H184" s="146">
        <f t="shared" si="27"/>
        <v>505.890091782912</v>
      </c>
      <c r="I184" s="139">
        <f t="shared" si="29"/>
        <v>0</v>
      </c>
      <c r="J184" s="139">
        <f t="shared" si="30"/>
        <v>505.890091782912</v>
      </c>
      <c r="K184" s="139">
        <f t="shared" si="31"/>
        <v>0</v>
      </c>
      <c r="L184" s="143">
        <f t="shared" si="28"/>
        <v>505.890091782912</v>
      </c>
      <c r="M184" s="101">
        <f t="shared" si="32"/>
        <v>7.65</v>
      </c>
    </row>
    <row r="185" spans="2:13">
      <c r="B185" s="156" t="s">
        <v>1122</v>
      </c>
      <c r="C185" s="55"/>
      <c r="D185" s="139">
        <f>'[67]Rev_SP-12me'!AQ215</f>
        <v>1545.19311596908</v>
      </c>
      <c r="E185" s="139">
        <f>'[67]Rev_SP-12me'!AT215</f>
        <v>0</v>
      </c>
      <c r="F185" s="139">
        <f>'[67]Rev_SP-12me'!AU215</f>
        <v>873.034110522528</v>
      </c>
      <c r="G185" s="139">
        <f>'[67]Rev_SP-12me'!AW215</f>
        <v>0</v>
      </c>
      <c r="H185" s="146">
        <f t="shared" si="27"/>
        <v>873.034110522528</v>
      </c>
      <c r="I185" s="139">
        <f t="shared" si="29"/>
        <v>0</v>
      </c>
      <c r="J185" s="139">
        <f t="shared" si="30"/>
        <v>873.034110522528</v>
      </c>
      <c r="K185" s="139">
        <f t="shared" si="31"/>
        <v>0</v>
      </c>
      <c r="L185" s="143">
        <f t="shared" si="28"/>
        <v>873.034110522528</v>
      </c>
      <c r="M185" s="101">
        <f t="shared" si="32"/>
        <v>5.64999999999999</v>
      </c>
    </row>
    <row r="186" ht="15" spans="2:13">
      <c r="B186" s="151" t="s">
        <v>1118</v>
      </c>
      <c r="C186" s="55"/>
      <c r="D186" s="136">
        <f>'[67]Rev_SP-12me'!AQ217</f>
        <v>1343.25870090449</v>
      </c>
      <c r="E186" s="136">
        <f>'[67]Rev_SP-12me'!AT217</f>
        <v>68.821501711483</v>
      </c>
      <c r="F186" s="136">
        <f>'[67]Rev_SP-12me'!AU217</f>
        <v>893.612747824878</v>
      </c>
      <c r="G186" s="136">
        <f>'[67]Rev_SP-12me'!AW217</f>
        <v>0.018</v>
      </c>
      <c r="H186" s="146">
        <f t="shared" si="27"/>
        <v>962.452249536361</v>
      </c>
      <c r="I186" s="136">
        <f t="shared" si="29"/>
        <v>68.821501711483</v>
      </c>
      <c r="J186" s="136">
        <f t="shared" si="30"/>
        <v>893.612747824878</v>
      </c>
      <c r="K186" s="136">
        <f t="shared" si="31"/>
        <v>0.018</v>
      </c>
      <c r="L186" s="142">
        <f t="shared" si="28"/>
        <v>962.452249536361</v>
      </c>
      <c r="M186" s="101">
        <f t="shared" si="32"/>
        <v>7.16505501798193</v>
      </c>
    </row>
    <row r="187" spans="2:13">
      <c r="B187" s="154" t="s">
        <v>1119</v>
      </c>
      <c r="C187" s="55"/>
      <c r="D187" s="164">
        <f>'[67]Rev_SP-12me'!AQ218</f>
        <v>447.622590867763</v>
      </c>
      <c r="E187" s="165">
        <f>'[67]Rev_SP-12me'!AT218</f>
        <v>68.821501711483</v>
      </c>
      <c r="F187" s="165">
        <f>'[67]Rev_SP-12me'!AU218</f>
        <v>297.669022927063</v>
      </c>
      <c r="G187" s="165">
        <f>'[67]Rev_SP-12me'!AW218</f>
        <v>0.018</v>
      </c>
      <c r="H187" s="146">
        <f t="shared" si="27"/>
        <v>366.508524638546</v>
      </c>
      <c r="I187" s="139">
        <f t="shared" si="29"/>
        <v>68.821501711483</v>
      </c>
      <c r="J187" s="139">
        <f t="shared" si="30"/>
        <v>297.669022927063</v>
      </c>
      <c r="K187" s="139">
        <f t="shared" si="31"/>
        <v>0.018</v>
      </c>
      <c r="L187" s="143">
        <f t="shared" si="28"/>
        <v>366.508524638546</v>
      </c>
      <c r="M187" s="101">
        <f t="shared" si="32"/>
        <v>8.18789158804588</v>
      </c>
    </row>
    <row r="188" spans="2:13">
      <c r="B188" s="154" t="s">
        <v>1120</v>
      </c>
      <c r="C188" s="55"/>
      <c r="D188" s="164">
        <f>'[67]Rev_SP-12me'!AQ219</f>
        <v>225.309387219424</v>
      </c>
      <c r="E188" s="166">
        <f>'[67]Rev_SP-12me'!AT219</f>
        <v>0</v>
      </c>
      <c r="F188" s="166">
        <f>'[67]Rev_SP-12me'!AU219</f>
        <v>172.36168122286</v>
      </c>
      <c r="G188" s="166">
        <f>'[67]Rev_SP-12me'!AW219</f>
        <v>0</v>
      </c>
      <c r="H188" s="146">
        <f t="shared" si="27"/>
        <v>172.36168122286</v>
      </c>
      <c r="I188" s="139">
        <f t="shared" si="29"/>
        <v>0</v>
      </c>
      <c r="J188" s="139">
        <f t="shared" si="30"/>
        <v>172.36168122286</v>
      </c>
      <c r="K188" s="139">
        <f t="shared" si="31"/>
        <v>0</v>
      </c>
      <c r="L188" s="143">
        <f t="shared" si="28"/>
        <v>172.36168122286</v>
      </c>
      <c r="M188" s="101">
        <f t="shared" si="32"/>
        <v>7.65000000000003</v>
      </c>
    </row>
    <row r="189" spans="2:13">
      <c r="B189" s="154" t="s">
        <v>1121</v>
      </c>
      <c r="C189" s="55"/>
      <c r="D189" s="164">
        <f>'[67]Rev_SP-12me'!AQ220</f>
        <v>224.237226415884</v>
      </c>
      <c r="E189" s="166">
        <f>'[67]Rev_SP-12me'!AT220</f>
        <v>0</v>
      </c>
      <c r="F189" s="166">
        <f>'[67]Rev_SP-12me'!AU220</f>
        <v>171.541478208151</v>
      </c>
      <c r="G189" s="166">
        <f>'[67]Rev_SP-12me'!AW220</f>
        <v>0</v>
      </c>
      <c r="H189" s="146">
        <f t="shared" si="27"/>
        <v>171.541478208151</v>
      </c>
      <c r="I189" s="139">
        <f t="shared" si="29"/>
        <v>0</v>
      </c>
      <c r="J189" s="139">
        <f t="shared" si="30"/>
        <v>171.541478208151</v>
      </c>
      <c r="K189" s="139">
        <f t="shared" si="31"/>
        <v>0</v>
      </c>
      <c r="L189" s="143">
        <f t="shared" si="28"/>
        <v>171.541478208151</v>
      </c>
      <c r="M189" s="101">
        <f t="shared" si="32"/>
        <v>7.64999999999999</v>
      </c>
    </row>
    <row r="190" spans="2:13">
      <c r="B190" s="154" t="s">
        <v>1122</v>
      </c>
      <c r="C190" s="55"/>
      <c r="D190" s="164">
        <f>'[67]Rev_SP-12me'!AQ221</f>
        <v>446.089496401423</v>
      </c>
      <c r="E190" s="166">
        <f>'[67]Rev_SP-12me'!AT221</f>
        <v>0</v>
      </c>
      <c r="F190" s="166">
        <f>'[67]Rev_SP-12me'!AU221</f>
        <v>252.040565466804</v>
      </c>
      <c r="G190" s="166">
        <f>'[67]Rev_SP-12me'!AW221</f>
        <v>0</v>
      </c>
      <c r="H190" s="146">
        <f t="shared" si="27"/>
        <v>252.040565466804</v>
      </c>
      <c r="I190" s="139">
        <f t="shared" si="29"/>
        <v>0</v>
      </c>
      <c r="J190" s="139">
        <f t="shared" si="30"/>
        <v>252.040565466804</v>
      </c>
      <c r="K190" s="139">
        <f t="shared" si="31"/>
        <v>0</v>
      </c>
      <c r="L190" s="143">
        <f t="shared" si="28"/>
        <v>252.040565466804</v>
      </c>
      <c r="M190" s="101">
        <f t="shared" si="32"/>
        <v>5.65</v>
      </c>
    </row>
    <row r="191" ht="15" spans="2:13">
      <c r="B191" s="151" t="s">
        <v>1153</v>
      </c>
      <c r="C191" s="55"/>
      <c r="D191" s="136">
        <f>'[67]Rev_SP-12me'!AQ216</f>
        <v>156.21657</v>
      </c>
      <c r="E191" s="136">
        <f>'[67]Rev_SP-12me'!AT216</f>
        <v>30.7570398126464</v>
      </c>
      <c r="F191" s="136">
        <f>'[67]Rev_SP-12me'!AU216</f>
        <v>103.88401905</v>
      </c>
      <c r="G191" s="136">
        <f>'[67]Rev_SP-12me'!AW216</f>
        <v>0.012</v>
      </c>
      <c r="H191" s="146">
        <f t="shared" si="27"/>
        <v>134.653058862646</v>
      </c>
      <c r="I191" s="136">
        <f t="shared" si="29"/>
        <v>30.7570398126464</v>
      </c>
      <c r="J191" s="136">
        <f t="shared" si="30"/>
        <v>103.88401905</v>
      </c>
      <c r="K191" s="136">
        <f t="shared" si="31"/>
        <v>0.012</v>
      </c>
      <c r="L191" s="142">
        <f t="shared" si="28"/>
        <v>134.653058862646</v>
      </c>
      <c r="M191" s="101">
        <f t="shared" si="32"/>
        <v>8.61963995641733</v>
      </c>
    </row>
    <row r="192" ht="15" spans="2:13">
      <c r="B192" s="151" t="s">
        <v>1154</v>
      </c>
      <c r="C192" s="55"/>
      <c r="D192" s="136">
        <f>'[67]Rev_SP-12me'!AQ222</f>
        <v>128.68271607192</v>
      </c>
      <c r="E192" s="136">
        <f>'[67]Rev_SP-12me'!AT222</f>
        <v>9.15995954310553</v>
      </c>
      <c r="F192" s="136">
        <f>'[67]Rev_SP-12me'!AU222</f>
        <v>101.033225544465</v>
      </c>
      <c r="G192" s="136">
        <f>'[67]Rev_SP-12me'!AW222</f>
        <v>0.0315933046821986</v>
      </c>
      <c r="H192" s="146">
        <f t="shared" si="27"/>
        <v>110.224778392253</v>
      </c>
      <c r="I192" s="136">
        <f t="shared" si="29"/>
        <v>9.15995954310553</v>
      </c>
      <c r="J192" s="136">
        <f t="shared" si="30"/>
        <v>101.033225544465</v>
      </c>
      <c r="K192" s="136">
        <f t="shared" si="31"/>
        <v>0.0315933046821986</v>
      </c>
      <c r="L192" s="143">
        <f t="shared" si="28"/>
        <v>110.224778392253</v>
      </c>
      <c r="M192" s="101">
        <f t="shared" si="32"/>
        <v>8.56562417680466</v>
      </c>
    </row>
    <row r="193" spans="2:13">
      <c r="B193" s="156" t="s">
        <v>1119</v>
      </c>
      <c r="C193" s="55"/>
      <c r="D193" s="139">
        <f>'[67]Rev_SP-12me'!AQ223</f>
        <v>54.3927802623834</v>
      </c>
      <c r="E193" s="139">
        <f>'[67]Rev_SP-12me'!AT223</f>
        <v>9.15995954310553</v>
      </c>
      <c r="F193" s="139">
        <f>'[67]Rev_SP-12me'!AU223</f>
        <v>42.4263686046591</v>
      </c>
      <c r="G193" s="139">
        <f>'[67]Rev_SP-12me'!AW223</f>
        <v>0.0315933046821986</v>
      </c>
      <c r="H193" s="146">
        <f t="shared" si="27"/>
        <v>51.6179214524468</v>
      </c>
      <c r="I193" s="139">
        <f t="shared" si="29"/>
        <v>9.15995954310553</v>
      </c>
      <c r="J193" s="139">
        <f t="shared" si="30"/>
        <v>42.4263686046591</v>
      </c>
      <c r="K193" s="139">
        <f t="shared" si="31"/>
        <v>0.0315933046821986</v>
      </c>
      <c r="L193" s="143">
        <f t="shared" si="28"/>
        <v>51.6179214524468</v>
      </c>
      <c r="M193" s="101">
        <f t="shared" si="32"/>
        <v>9.48984795471917</v>
      </c>
    </row>
    <row r="194" spans="2:13">
      <c r="B194" s="156" t="s">
        <v>1120</v>
      </c>
      <c r="C194" s="55"/>
      <c r="D194" s="139">
        <f>'[67]Rev_SP-12me'!AQ224</f>
        <v>20.3178791064403</v>
      </c>
      <c r="E194" s="139">
        <f>'[67]Rev_SP-12me'!AT224</f>
        <v>0</v>
      </c>
      <c r="F194" s="139">
        <f>'[67]Rev_SP-12me'!AU224</f>
        <v>17.8797336136675</v>
      </c>
      <c r="G194" s="139">
        <f>'[67]Rev_SP-12me'!AW224</f>
        <v>0</v>
      </c>
      <c r="H194" s="146">
        <f t="shared" si="27"/>
        <v>17.8797336136675</v>
      </c>
      <c r="I194" s="139">
        <f t="shared" si="29"/>
        <v>0</v>
      </c>
      <c r="J194" s="139">
        <f t="shared" si="30"/>
        <v>17.8797336136675</v>
      </c>
      <c r="K194" s="139">
        <f t="shared" si="31"/>
        <v>0</v>
      </c>
      <c r="L194" s="143">
        <f t="shared" si="28"/>
        <v>17.8797336136675</v>
      </c>
      <c r="M194" s="101">
        <f t="shared" si="32"/>
        <v>8.80000000000002</v>
      </c>
    </row>
    <row r="195" spans="2:13">
      <c r="B195" s="156" t="s">
        <v>1121</v>
      </c>
      <c r="C195" s="55"/>
      <c r="D195" s="139">
        <f>'[67]Rev_SP-12me'!AQ225</f>
        <v>20.1306238401664</v>
      </c>
      <c r="E195" s="139">
        <f>'[67]Rev_SP-12me'!AT225</f>
        <v>0</v>
      </c>
      <c r="F195" s="139">
        <f>'[67]Rev_SP-12me'!AU225</f>
        <v>17.7149489793464</v>
      </c>
      <c r="G195" s="139">
        <f>'[67]Rev_SP-12me'!AW225</f>
        <v>0</v>
      </c>
      <c r="H195" s="146">
        <f t="shared" si="27"/>
        <v>17.7149489793464</v>
      </c>
      <c r="I195" s="139">
        <f t="shared" si="29"/>
        <v>0</v>
      </c>
      <c r="J195" s="139">
        <f t="shared" si="30"/>
        <v>17.7149489793464</v>
      </c>
      <c r="K195" s="139">
        <f t="shared" si="31"/>
        <v>0</v>
      </c>
      <c r="L195" s="143">
        <f t="shared" si="28"/>
        <v>17.7149489793464</v>
      </c>
      <c r="M195" s="101">
        <f t="shared" si="32"/>
        <v>8.79999999999998</v>
      </c>
    </row>
    <row r="196" spans="2:13">
      <c r="B196" s="156" t="s">
        <v>1122</v>
      </c>
      <c r="C196" s="55"/>
      <c r="D196" s="139">
        <f>'[67]Rev_SP-12me'!AQ226</f>
        <v>33.8414328629297</v>
      </c>
      <c r="E196" s="139">
        <f>'[67]Rev_SP-12me'!AT226</f>
        <v>0</v>
      </c>
      <c r="F196" s="139">
        <f>'[67]Rev_SP-12me'!AU226</f>
        <v>23.0121743467922</v>
      </c>
      <c r="G196" s="139">
        <f>'[67]Rev_SP-12me'!AW226</f>
        <v>0</v>
      </c>
      <c r="H196" s="146">
        <f t="shared" si="27"/>
        <v>23.0121743467922</v>
      </c>
      <c r="I196" s="139">
        <f t="shared" si="29"/>
        <v>0</v>
      </c>
      <c r="J196" s="139">
        <f t="shared" si="30"/>
        <v>23.0121743467922</v>
      </c>
      <c r="K196" s="139">
        <f t="shared" si="31"/>
        <v>0</v>
      </c>
      <c r="L196" s="143">
        <f t="shared" si="28"/>
        <v>23.0121743467922</v>
      </c>
      <c r="M196" s="101">
        <f t="shared" si="32"/>
        <v>6.8</v>
      </c>
    </row>
    <row r="197" ht="15" spans="2:13">
      <c r="B197" s="151" t="s">
        <v>1125</v>
      </c>
      <c r="C197" s="55"/>
      <c r="D197" s="136">
        <f>'[67]Rev_SP-12me'!AQ227</f>
        <v>0</v>
      </c>
      <c r="E197" s="136">
        <f>'[67]Rev_SP-12me'!AT227</f>
        <v>0</v>
      </c>
      <c r="F197" s="136">
        <f>'[67]Rev_SP-12me'!AU227</f>
        <v>0</v>
      </c>
      <c r="G197" s="136">
        <f>'[67]Rev_SP-12me'!AW227</f>
        <v>0</v>
      </c>
      <c r="H197" s="146">
        <f t="shared" si="27"/>
        <v>0</v>
      </c>
      <c r="I197" s="136">
        <f t="shared" si="29"/>
        <v>0</v>
      </c>
      <c r="J197" s="136">
        <f t="shared" si="30"/>
        <v>0</v>
      </c>
      <c r="K197" s="136">
        <f t="shared" si="31"/>
        <v>0</v>
      </c>
      <c r="L197" s="142">
        <f t="shared" si="28"/>
        <v>0</v>
      </c>
      <c r="M197" s="101"/>
    </row>
    <row r="198" spans="2:13">
      <c r="B198" s="154" t="s">
        <v>1119</v>
      </c>
      <c r="C198" s="55"/>
      <c r="D198" s="139">
        <f>'[67]Rev_SP-12me'!AQ228</f>
        <v>0</v>
      </c>
      <c r="E198" s="139">
        <f>'[67]Rev_SP-12me'!AT228</f>
        <v>0</v>
      </c>
      <c r="F198" s="139">
        <f>'[67]Rev_SP-12me'!AU228</f>
        <v>0</v>
      </c>
      <c r="G198" s="139">
        <f>'[67]Rev_SP-12me'!AW228</f>
        <v>0</v>
      </c>
      <c r="H198" s="146">
        <f t="shared" si="27"/>
        <v>0</v>
      </c>
      <c r="I198" s="139">
        <f t="shared" si="29"/>
        <v>0</v>
      </c>
      <c r="J198" s="139">
        <f t="shared" si="30"/>
        <v>0</v>
      </c>
      <c r="K198" s="139">
        <f t="shared" si="31"/>
        <v>0</v>
      </c>
      <c r="L198" s="143">
        <f t="shared" si="28"/>
        <v>0</v>
      </c>
      <c r="M198" s="101"/>
    </row>
    <row r="199" spans="2:13">
      <c r="B199" s="154" t="s">
        <v>1120</v>
      </c>
      <c r="C199" s="55"/>
      <c r="D199" s="139">
        <f>'[67]Rev_SP-12me'!AQ229</f>
        <v>0</v>
      </c>
      <c r="E199" s="139">
        <f>'[67]Rev_SP-12me'!AT229</f>
        <v>0</v>
      </c>
      <c r="F199" s="139">
        <f>'[67]Rev_SP-12me'!AU229</f>
        <v>0</v>
      </c>
      <c r="G199" s="139">
        <f>'[67]Rev_SP-12me'!AW229</f>
        <v>0</v>
      </c>
      <c r="H199" s="146">
        <f t="shared" si="27"/>
        <v>0</v>
      </c>
      <c r="I199" s="139">
        <f t="shared" si="29"/>
        <v>0</v>
      </c>
      <c r="J199" s="139">
        <f t="shared" si="30"/>
        <v>0</v>
      </c>
      <c r="K199" s="139">
        <f t="shared" si="31"/>
        <v>0</v>
      </c>
      <c r="L199" s="143">
        <f t="shared" si="28"/>
        <v>0</v>
      </c>
      <c r="M199" s="101"/>
    </row>
    <row r="200" spans="2:13">
      <c r="B200" s="154" t="s">
        <v>1121</v>
      </c>
      <c r="C200" s="55"/>
      <c r="D200" s="139">
        <f>'[67]Rev_SP-12me'!AQ230</f>
        <v>0</v>
      </c>
      <c r="E200" s="139">
        <f>'[67]Rev_SP-12me'!AT230</f>
        <v>0</v>
      </c>
      <c r="F200" s="139">
        <f>'[67]Rev_SP-12me'!AU230</f>
        <v>0</v>
      </c>
      <c r="G200" s="139">
        <f>'[67]Rev_SP-12me'!AW230</f>
        <v>0</v>
      </c>
      <c r="H200" s="146">
        <f t="shared" si="27"/>
        <v>0</v>
      </c>
      <c r="I200" s="139">
        <f t="shared" si="29"/>
        <v>0</v>
      </c>
      <c r="J200" s="139">
        <f t="shared" si="30"/>
        <v>0</v>
      </c>
      <c r="K200" s="139">
        <f t="shared" si="31"/>
        <v>0</v>
      </c>
      <c r="L200" s="143">
        <f t="shared" si="28"/>
        <v>0</v>
      </c>
      <c r="M200" s="101"/>
    </row>
    <row r="201" spans="2:13">
      <c r="B201" s="154" t="s">
        <v>1122</v>
      </c>
      <c r="C201" s="55"/>
      <c r="D201" s="139">
        <f>'[67]Rev_SP-12me'!AQ231</f>
        <v>0</v>
      </c>
      <c r="E201" s="139">
        <f>'[67]Rev_SP-12me'!AT231</f>
        <v>0</v>
      </c>
      <c r="F201" s="139">
        <f>'[67]Rev_SP-12me'!AU231</f>
        <v>0</v>
      </c>
      <c r="G201" s="139">
        <f>'[67]Rev_SP-12me'!AW231</f>
        <v>0</v>
      </c>
      <c r="H201" s="146">
        <f t="shared" si="27"/>
        <v>0</v>
      </c>
      <c r="I201" s="139">
        <f t="shared" si="29"/>
        <v>0</v>
      </c>
      <c r="J201" s="139">
        <f t="shared" si="30"/>
        <v>0</v>
      </c>
      <c r="K201" s="139">
        <f t="shared" si="31"/>
        <v>0</v>
      </c>
      <c r="L201" s="143">
        <f t="shared" si="28"/>
        <v>0</v>
      </c>
      <c r="M201" s="101"/>
    </row>
    <row r="202" ht="15" spans="2:13">
      <c r="B202" s="151" t="s">
        <v>1126</v>
      </c>
      <c r="C202" s="55"/>
      <c r="D202" s="136">
        <f>'[67]Rev_SP-12me'!AQ232</f>
        <v>88.1845563705598</v>
      </c>
      <c r="E202" s="136">
        <f>'[67]Rev_SP-12me'!AT232</f>
        <v>5.28813559322034</v>
      </c>
      <c r="F202" s="136">
        <f>'[67]Rev_SP-12me'!AU232</f>
        <v>65.6242295866007</v>
      </c>
      <c r="G202" s="136">
        <f>'[67]Rev_SP-12me'!AW232</f>
        <v>0.006</v>
      </c>
      <c r="H202" s="146">
        <f t="shared" si="27"/>
        <v>70.9183651798211</v>
      </c>
      <c r="I202" s="136">
        <f t="shared" si="29"/>
        <v>5.28813559322034</v>
      </c>
      <c r="J202" s="136">
        <f t="shared" si="30"/>
        <v>65.6242295866007</v>
      </c>
      <c r="K202" s="136">
        <f t="shared" si="31"/>
        <v>0.006</v>
      </c>
      <c r="L202" s="142">
        <f t="shared" si="28"/>
        <v>70.9183651798211</v>
      </c>
      <c r="M202" s="101">
        <f t="shared" ref="M202:M208" si="33">L202*10/D202</f>
        <v>8.04203911644295</v>
      </c>
    </row>
    <row r="203" spans="2:13">
      <c r="B203" s="156" t="s">
        <v>1119</v>
      </c>
      <c r="C203" s="55"/>
      <c r="D203" s="139">
        <f>'[67]Rev_SP-12me'!AQ233</f>
        <v>25.129291143283</v>
      </c>
      <c r="E203" s="139">
        <f>'[67]Rev_SP-12me'!AT233</f>
        <v>5.28813559322034</v>
      </c>
      <c r="F203" s="139">
        <f>'[67]Rev_SP-12me'!AU233</f>
        <v>18.7213219017458</v>
      </c>
      <c r="G203" s="139">
        <f>'[67]Rev_SP-12me'!AW233</f>
        <v>0.006</v>
      </c>
      <c r="H203" s="146">
        <f t="shared" si="27"/>
        <v>24.0154574949661</v>
      </c>
      <c r="I203" s="139">
        <f t="shared" si="29"/>
        <v>5.28813559322034</v>
      </c>
      <c r="J203" s="139">
        <f t="shared" si="30"/>
        <v>18.7213219017458</v>
      </c>
      <c r="K203" s="139">
        <f t="shared" si="31"/>
        <v>0.006</v>
      </c>
      <c r="L203" s="143">
        <f t="shared" si="28"/>
        <v>24.0154574949661</v>
      </c>
      <c r="M203" s="101">
        <f t="shared" si="33"/>
        <v>9.55675882699358</v>
      </c>
    </row>
    <row r="204" spans="2:13">
      <c r="B204" s="156" t="s">
        <v>1120</v>
      </c>
      <c r="C204" s="55"/>
      <c r="D204" s="139">
        <f>'[67]Rev_SP-12me'!AQ234</f>
        <v>17.9391627505141</v>
      </c>
      <c r="E204" s="139">
        <f>'[67]Rev_SP-12me'!AT234</f>
        <v>0</v>
      </c>
      <c r="F204" s="139">
        <f>'[67]Rev_SP-12me'!AU234</f>
        <v>15.1585925241844</v>
      </c>
      <c r="G204" s="139">
        <f>'[67]Rev_SP-12me'!AW234</f>
        <v>0</v>
      </c>
      <c r="H204" s="146">
        <f t="shared" si="27"/>
        <v>15.1585925241844</v>
      </c>
      <c r="I204" s="139">
        <f t="shared" si="29"/>
        <v>0</v>
      </c>
      <c r="J204" s="139">
        <f t="shared" si="30"/>
        <v>15.1585925241844</v>
      </c>
      <c r="K204" s="139">
        <f t="shared" si="31"/>
        <v>0</v>
      </c>
      <c r="L204" s="143">
        <f t="shared" si="28"/>
        <v>15.1585925241844</v>
      </c>
      <c r="M204" s="101">
        <f t="shared" si="33"/>
        <v>8.44999999999999</v>
      </c>
    </row>
    <row r="205" spans="2:13">
      <c r="B205" s="156" t="s">
        <v>1121</v>
      </c>
      <c r="C205" s="55"/>
      <c r="D205" s="139">
        <f>'[67]Rev_SP-12me'!AQ235</f>
        <v>13.2221453157927</v>
      </c>
      <c r="E205" s="139">
        <f>'[67]Rev_SP-12me'!AT235</f>
        <v>0</v>
      </c>
      <c r="F205" s="139">
        <f>'[67]Rev_SP-12me'!AU235</f>
        <v>11.1727127918448</v>
      </c>
      <c r="G205" s="139">
        <f>'[67]Rev_SP-12me'!AW235</f>
        <v>0</v>
      </c>
      <c r="H205" s="146">
        <f t="shared" si="27"/>
        <v>11.1727127918448</v>
      </c>
      <c r="I205" s="139">
        <f t="shared" si="29"/>
        <v>0</v>
      </c>
      <c r="J205" s="139">
        <f t="shared" si="30"/>
        <v>11.1727127918448</v>
      </c>
      <c r="K205" s="139">
        <f t="shared" si="31"/>
        <v>0</v>
      </c>
      <c r="L205" s="143">
        <f t="shared" si="28"/>
        <v>11.1727127918448</v>
      </c>
      <c r="M205" s="101">
        <f t="shared" si="33"/>
        <v>8.44999999999998</v>
      </c>
    </row>
    <row r="206" spans="2:13">
      <c r="B206" s="156" t="s">
        <v>1122</v>
      </c>
      <c r="C206" s="55"/>
      <c r="D206" s="139">
        <f>'[67]Rev_SP-12me'!AQ236</f>
        <v>31.89395716097</v>
      </c>
      <c r="E206" s="139">
        <f>'[67]Rev_SP-12me'!AT236</f>
        <v>0</v>
      </c>
      <c r="F206" s="139">
        <f>'[67]Rev_SP-12me'!AU236</f>
        <v>20.5716023688257</v>
      </c>
      <c r="G206" s="139">
        <f>'[67]Rev_SP-12me'!AW236</f>
        <v>0</v>
      </c>
      <c r="H206" s="146">
        <f t="shared" si="27"/>
        <v>20.5716023688257</v>
      </c>
      <c r="I206" s="139">
        <f t="shared" si="29"/>
        <v>0</v>
      </c>
      <c r="J206" s="139">
        <f t="shared" si="30"/>
        <v>20.5716023688257</v>
      </c>
      <c r="K206" s="139">
        <f t="shared" si="31"/>
        <v>0</v>
      </c>
      <c r="L206" s="143">
        <f t="shared" si="28"/>
        <v>20.5716023688257</v>
      </c>
      <c r="M206" s="101">
        <f t="shared" si="33"/>
        <v>6.45000000000002</v>
      </c>
    </row>
    <row r="207" ht="15" spans="2:13">
      <c r="B207" s="151" t="s">
        <v>1155</v>
      </c>
      <c r="C207" s="55"/>
      <c r="D207" s="136">
        <f>'[67]Rev_SP-12me'!AQ237</f>
        <v>2643.94096147</v>
      </c>
      <c r="E207" s="136">
        <f>'[67]Rev_SP-12me'!AT237</f>
        <v>283.942435615959</v>
      </c>
      <c r="F207" s="136">
        <f>'[67]Rev_SP-12me'!AU237</f>
        <v>1665.6828057261</v>
      </c>
      <c r="G207" s="136">
        <f>'[67]Rev_SP-12me'!AW237</f>
        <v>0.123466216216216</v>
      </c>
      <c r="H207" s="146">
        <f t="shared" si="27"/>
        <v>1949.74870755828</v>
      </c>
      <c r="I207" s="136">
        <f t="shared" si="29"/>
        <v>283.942435615959</v>
      </c>
      <c r="J207" s="136">
        <f t="shared" si="30"/>
        <v>1665.6828057261</v>
      </c>
      <c r="K207" s="136">
        <f t="shared" si="31"/>
        <v>0.123466216216216</v>
      </c>
      <c r="L207" s="142">
        <f t="shared" si="28"/>
        <v>1949.74870755828</v>
      </c>
      <c r="M207" s="101">
        <f t="shared" si="33"/>
        <v>7.37440334701815</v>
      </c>
    </row>
    <row r="208" spans="2:13">
      <c r="B208" s="154" t="s">
        <v>1128</v>
      </c>
      <c r="C208" s="55"/>
      <c r="D208" s="139">
        <f>'[67]Rev_SP-12me'!AQ238</f>
        <v>2643.94096147</v>
      </c>
      <c r="E208" s="139">
        <f>'[67]Rev_SP-12me'!AT238</f>
        <v>283.942435615959</v>
      </c>
      <c r="F208" s="139">
        <f>'[67]Rev_SP-12me'!AU238</f>
        <v>1665.6828057261</v>
      </c>
      <c r="G208" s="139">
        <f>'[67]Rev_SP-12me'!AW238</f>
        <v>0.123466216216216</v>
      </c>
      <c r="H208" s="146">
        <f t="shared" si="27"/>
        <v>1949.74870755828</v>
      </c>
      <c r="I208" s="139">
        <f t="shared" si="29"/>
        <v>283.942435615959</v>
      </c>
      <c r="J208" s="139">
        <f t="shared" si="30"/>
        <v>1665.6828057261</v>
      </c>
      <c r="K208" s="139">
        <f t="shared" si="31"/>
        <v>0.123466216216216</v>
      </c>
      <c r="L208" s="143">
        <f t="shared" si="28"/>
        <v>1949.74870755828</v>
      </c>
      <c r="M208" s="101">
        <f t="shared" si="33"/>
        <v>7.37440334701815</v>
      </c>
    </row>
    <row r="209" spans="2:13">
      <c r="B209" s="154" t="s">
        <v>1156</v>
      </c>
      <c r="C209" s="55"/>
      <c r="D209" s="139">
        <f>'[67]Rev_SP-12me'!AQ239</f>
        <v>0</v>
      </c>
      <c r="E209" s="139">
        <f>'[67]Rev_SP-12me'!AT239</f>
        <v>0</v>
      </c>
      <c r="F209" s="139">
        <f>'[67]Rev_SP-12me'!AU239</f>
        <v>0</v>
      </c>
      <c r="G209" s="139">
        <f>'[67]Rev_SP-12me'!AW239</f>
        <v>0</v>
      </c>
      <c r="H209" s="146">
        <f t="shared" si="27"/>
        <v>0</v>
      </c>
      <c r="I209" s="138">
        <f t="shared" si="29"/>
        <v>0</v>
      </c>
      <c r="J209" s="138">
        <f t="shared" si="30"/>
        <v>0</v>
      </c>
      <c r="K209" s="138">
        <f t="shared" si="31"/>
        <v>0</v>
      </c>
      <c r="L209" s="143">
        <f t="shared" si="28"/>
        <v>0</v>
      </c>
      <c r="M209" s="101"/>
    </row>
    <row r="210" ht="15" spans="2:13">
      <c r="B210" s="151" t="s">
        <v>1157</v>
      </c>
      <c r="C210" s="55"/>
      <c r="D210" s="136">
        <f>'[67]Rev_SP-12me'!AQ247</f>
        <v>287.7540258892</v>
      </c>
      <c r="E210" s="136">
        <f>'[67]Rev_SP-12me'!AT247</f>
        <v>0</v>
      </c>
      <c r="F210" s="136">
        <f>'[67]Rev_SP-12me'!AU247</f>
        <v>175.529955792412</v>
      </c>
      <c r="G210" s="136">
        <f>'[67]Rev_SP-12me'!AW247</f>
        <v>0.012</v>
      </c>
      <c r="H210" s="146">
        <f t="shared" si="27"/>
        <v>175.541955792412</v>
      </c>
      <c r="I210" s="136">
        <f t="shared" si="29"/>
        <v>0</v>
      </c>
      <c r="J210" s="136">
        <f t="shared" si="30"/>
        <v>175.529955792412</v>
      </c>
      <c r="K210" s="136">
        <f t="shared" si="31"/>
        <v>0.012</v>
      </c>
      <c r="L210" s="142">
        <f t="shared" si="28"/>
        <v>175.541955792412</v>
      </c>
      <c r="M210" s="101">
        <f>L210*10/D210</f>
        <v>6.10041702283618</v>
      </c>
    </row>
    <row r="211" spans="2:13">
      <c r="B211" s="154" t="s">
        <v>220</v>
      </c>
      <c r="C211" s="55"/>
      <c r="D211" s="139">
        <f>'[67]Rev_SP-12me'!AQ248</f>
        <v>287.7540258892</v>
      </c>
      <c r="E211" s="139">
        <f>'[67]Rev_SP-12me'!AT248</f>
        <v>0</v>
      </c>
      <c r="F211" s="139">
        <f>'[67]Rev_SP-12me'!AU248</f>
        <v>175.529955792412</v>
      </c>
      <c r="G211" s="139">
        <f>'[67]Rev_SP-12me'!AW248</f>
        <v>0.012</v>
      </c>
      <c r="H211" s="146">
        <f t="shared" si="27"/>
        <v>175.541955792412</v>
      </c>
      <c r="I211" s="139">
        <f t="shared" si="29"/>
        <v>0</v>
      </c>
      <c r="J211" s="139">
        <f t="shared" si="30"/>
        <v>175.529955792412</v>
      </c>
      <c r="K211" s="139">
        <f t="shared" si="31"/>
        <v>0.012</v>
      </c>
      <c r="L211" s="143">
        <f t="shared" si="28"/>
        <v>175.541955792412</v>
      </c>
      <c r="M211" s="101">
        <f>L211*10/D211</f>
        <v>6.10041702283618</v>
      </c>
    </row>
    <row r="212" ht="15" spans="2:13">
      <c r="B212" s="151" t="s">
        <v>1158</v>
      </c>
      <c r="C212" s="55"/>
      <c r="D212" s="167">
        <f>'[67]Rev_SP-12me'!AQ249</f>
        <v>0</v>
      </c>
      <c r="E212" s="167">
        <f>'[67]Rev_SP-12me'!AT249</f>
        <v>0</v>
      </c>
      <c r="F212" s="167">
        <f>'[67]Rev_SP-12me'!AU249</f>
        <v>0</v>
      </c>
      <c r="G212" s="167">
        <f>'[67]Rev_SP-12me'!AW249</f>
        <v>0</v>
      </c>
      <c r="H212" s="146">
        <f t="shared" si="27"/>
        <v>0</v>
      </c>
      <c r="I212" s="136">
        <f t="shared" si="29"/>
        <v>0</v>
      </c>
      <c r="J212" s="136">
        <f t="shared" si="30"/>
        <v>0</v>
      </c>
      <c r="K212" s="136">
        <f t="shared" si="31"/>
        <v>0</v>
      </c>
      <c r="L212" s="143">
        <f t="shared" si="28"/>
        <v>0</v>
      </c>
      <c r="M212" s="101"/>
    </row>
    <row r="213" ht="15" spans="2:13">
      <c r="B213" s="168" t="s">
        <v>1159</v>
      </c>
      <c r="C213" s="55"/>
      <c r="D213" s="136">
        <f>'[67]Rev_SP-12me'!AQ240</f>
        <v>809.568318320509</v>
      </c>
      <c r="E213" s="136">
        <f>'[67]Rev_SP-12me'!AT240</f>
        <v>72.3020238500852</v>
      </c>
      <c r="F213" s="136">
        <f>'[67]Rev_SP-12me'!AU240</f>
        <v>407.493840181101</v>
      </c>
      <c r="G213" s="136">
        <f>'[67]Rev_SP-12me'!AW240</f>
        <v>0.10725</v>
      </c>
      <c r="H213" s="146">
        <f t="shared" si="27"/>
        <v>479.903114031186</v>
      </c>
      <c r="I213" s="136">
        <f t="shared" si="29"/>
        <v>72.3020238500852</v>
      </c>
      <c r="J213" s="136">
        <f t="shared" si="30"/>
        <v>407.493840181101</v>
      </c>
      <c r="K213" s="136">
        <f t="shared" si="31"/>
        <v>0.10725</v>
      </c>
      <c r="L213" s="142">
        <f t="shared" si="28"/>
        <v>479.903114031186</v>
      </c>
      <c r="M213" s="101">
        <f>L213*10/D213</f>
        <v>5.92788901407073</v>
      </c>
    </row>
    <row r="214" spans="2:13">
      <c r="B214" s="154" t="s">
        <v>1160</v>
      </c>
      <c r="C214" s="55"/>
      <c r="D214" s="139">
        <f>'[67]Rev_SP-12me'!AQ241</f>
        <v>675.752261244861</v>
      </c>
      <c r="E214" s="139">
        <f>'[67]Rev_SP-12me'!AT241</f>
        <v>61.5390255536627</v>
      </c>
      <c r="F214" s="139">
        <f>'[67]Rev_SP-12me'!AU241</f>
        <v>341.254891928655</v>
      </c>
      <c r="G214" s="139">
        <f>'[67]Rev_SP-12me'!AW241</f>
        <v>0.08025</v>
      </c>
      <c r="H214" s="146">
        <f t="shared" si="27"/>
        <v>402.874167482318</v>
      </c>
      <c r="I214" s="139">
        <f t="shared" si="29"/>
        <v>61.5390255536627</v>
      </c>
      <c r="J214" s="139">
        <f t="shared" si="30"/>
        <v>341.254891928655</v>
      </c>
      <c r="K214" s="139">
        <f t="shared" si="31"/>
        <v>0.08025</v>
      </c>
      <c r="L214" s="143">
        <f t="shared" si="28"/>
        <v>402.874167482318</v>
      </c>
      <c r="M214" s="101">
        <f>L214*10/D214</f>
        <v>5.96186192170706</v>
      </c>
    </row>
    <row r="215" spans="2:13">
      <c r="B215" s="154" t="s">
        <v>1161</v>
      </c>
      <c r="C215" s="55"/>
      <c r="D215" s="139">
        <f>'[67]Rev_SP-12me'!AQ242</f>
        <v>0</v>
      </c>
      <c r="E215" s="139">
        <f>'[67]Rev_SP-12me'!AT242</f>
        <v>0</v>
      </c>
      <c r="F215" s="139">
        <f>'[67]Rev_SP-12me'!AU242</f>
        <v>0</v>
      </c>
      <c r="G215" s="139">
        <f>'[67]Rev_SP-12me'!AW242</f>
        <v>0</v>
      </c>
      <c r="H215" s="146">
        <f t="shared" si="27"/>
        <v>0</v>
      </c>
      <c r="I215" s="139">
        <f t="shared" si="29"/>
        <v>0</v>
      </c>
      <c r="J215" s="139">
        <f t="shared" si="30"/>
        <v>0</v>
      </c>
      <c r="K215" s="139">
        <f t="shared" si="31"/>
        <v>0</v>
      </c>
      <c r="L215" s="143">
        <f t="shared" si="28"/>
        <v>0</v>
      </c>
      <c r="M215" s="101"/>
    </row>
    <row r="216" spans="2:13">
      <c r="B216" s="154" t="s">
        <v>1162</v>
      </c>
      <c r="C216" s="55"/>
      <c r="D216" s="139">
        <f>'[67]Rev_SP-12me'!AQ243</f>
        <v>133.816057075648</v>
      </c>
      <c r="E216" s="139">
        <f>'[67]Rev_SP-12me'!AT243</f>
        <v>10.7629982964225</v>
      </c>
      <c r="F216" s="139">
        <f>'[67]Rev_SP-12me'!AU243</f>
        <v>66.2389482524458</v>
      </c>
      <c r="G216" s="139">
        <f>'[67]Rev_SP-12me'!AW243</f>
        <v>0.027</v>
      </c>
      <c r="H216" s="146">
        <f t="shared" si="27"/>
        <v>77.0289465488683</v>
      </c>
      <c r="I216" s="139">
        <f t="shared" si="29"/>
        <v>10.7629982964225</v>
      </c>
      <c r="J216" s="139">
        <f t="shared" si="30"/>
        <v>66.2389482524458</v>
      </c>
      <c r="K216" s="139">
        <f t="shared" si="31"/>
        <v>0.027</v>
      </c>
      <c r="L216" s="143">
        <f t="shared" si="28"/>
        <v>77.0289465488683</v>
      </c>
      <c r="M216" s="101">
        <f>L216*10/D216</f>
        <v>5.75633061025874</v>
      </c>
    </row>
    <row r="217" spans="2:13">
      <c r="B217" s="154" t="s">
        <v>1163</v>
      </c>
      <c r="C217" s="55"/>
      <c r="D217" s="139">
        <f>'[67]Rev_SP-12me'!AQ244</f>
        <v>0</v>
      </c>
      <c r="E217" s="139">
        <f>'[67]Rev_SP-12me'!AT244</f>
        <v>0</v>
      </c>
      <c r="F217" s="139">
        <f>'[67]Rev_SP-12me'!AU244</f>
        <v>0</v>
      </c>
      <c r="G217" s="139">
        <f>'[67]Rev_SP-12me'!AW244</f>
        <v>0</v>
      </c>
      <c r="H217" s="146">
        <f t="shared" si="27"/>
        <v>0</v>
      </c>
      <c r="I217" s="139">
        <f t="shared" si="29"/>
        <v>0</v>
      </c>
      <c r="J217" s="139">
        <f t="shared" si="30"/>
        <v>0</v>
      </c>
      <c r="K217" s="139">
        <f t="shared" si="31"/>
        <v>0</v>
      </c>
      <c r="L217" s="143">
        <f t="shared" si="28"/>
        <v>0</v>
      </c>
      <c r="M217" s="101"/>
    </row>
    <row r="218" ht="15" spans="2:13">
      <c r="B218" s="151" t="s">
        <v>919</v>
      </c>
      <c r="C218" s="55"/>
      <c r="D218" s="136">
        <f>'[67]Rev_SP-12me'!AQ245</f>
        <v>0</v>
      </c>
      <c r="E218" s="136">
        <f>'[67]Rev_SP-12me'!AT245</f>
        <v>0</v>
      </c>
      <c r="F218" s="136">
        <f>'[67]Rev_SP-12me'!AU245</f>
        <v>0</v>
      </c>
      <c r="G218" s="136">
        <f>'[67]Rev_SP-12me'!AW245</f>
        <v>0</v>
      </c>
      <c r="H218" s="146">
        <f t="shared" si="27"/>
        <v>0</v>
      </c>
      <c r="I218" s="136">
        <f t="shared" si="29"/>
        <v>0</v>
      </c>
      <c r="J218" s="136">
        <f t="shared" si="30"/>
        <v>0</v>
      </c>
      <c r="K218" s="136">
        <f t="shared" si="31"/>
        <v>0</v>
      </c>
      <c r="L218" s="142">
        <f t="shared" si="28"/>
        <v>0</v>
      </c>
      <c r="M218" s="101"/>
    </row>
    <row r="219" ht="15" spans="2:13">
      <c r="B219" s="151" t="s">
        <v>1133</v>
      </c>
      <c r="C219" s="55"/>
      <c r="D219" s="136">
        <f>'[67]Rev_SP-12me'!AQ246</f>
        <v>0</v>
      </c>
      <c r="E219" s="136">
        <f>'[67]Rev_SP-12me'!AT246</f>
        <v>0</v>
      </c>
      <c r="F219" s="136">
        <f>'[67]Rev_SP-12me'!AU246</f>
        <v>0</v>
      </c>
      <c r="G219" s="136">
        <f>'[67]Rev_SP-12me'!AW246</f>
        <v>0</v>
      </c>
      <c r="H219" s="146">
        <f t="shared" si="27"/>
        <v>0</v>
      </c>
      <c r="I219" s="136">
        <f t="shared" si="29"/>
        <v>0</v>
      </c>
      <c r="J219" s="136">
        <f t="shared" si="30"/>
        <v>0</v>
      </c>
      <c r="K219" s="136">
        <f t="shared" si="31"/>
        <v>0</v>
      </c>
      <c r="L219" s="142">
        <f t="shared" si="28"/>
        <v>0</v>
      </c>
      <c r="M219" s="101"/>
    </row>
    <row r="220" ht="15" spans="2:13">
      <c r="B220" s="157" t="s">
        <v>1164</v>
      </c>
      <c r="C220" s="55"/>
      <c r="D220" s="148">
        <f t="shared" ref="D220:K220" si="34">SUM(D178,D186,D191,D192,D197,D202,D207,D210,D212,D213,D218,D219)</f>
        <v>9765.92276303429</v>
      </c>
      <c r="E220" s="148">
        <f t="shared" si="34"/>
        <v>778.261253600676</v>
      </c>
      <c r="F220" s="148">
        <f t="shared" si="34"/>
        <v>6263.79014161039</v>
      </c>
      <c r="G220" s="148">
        <f t="shared" si="34"/>
        <v>0.568317460031726</v>
      </c>
      <c r="H220" s="148">
        <f t="shared" si="34"/>
        <v>7042.6197126711</v>
      </c>
      <c r="I220" s="148">
        <f t="shared" si="34"/>
        <v>778.261253600676</v>
      </c>
      <c r="J220" s="148">
        <f t="shared" si="34"/>
        <v>6263.79014161039</v>
      </c>
      <c r="K220" s="148">
        <f t="shared" si="34"/>
        <v>0.568317460031726</v>
      </c>
      <c r="L220" s="148">
        <f t="shared" si="28"/>
        <v>7042.61971267109</v>
      </c>
      <c r="M220" s="101">
        <f>L220*10/D220</f>
        <v>7.2114227027564</v>
      </c>
    </row>
    <row r="221" spans="2:13">
      <c r="B221" s="157"/>
      <c r="C221" s="55"/>
      <c r="D221" s="55"/>
      <c r="E221" s="55"/>
      <c r="F221" s="55"/>
      <c r="G221" s="55"/>
      <c r="H221" s="55"/>
      <c r="I221" s="55"/>
      <c r="J221" s="55"/>
      <c r="K221" s="55"/>
      <c r="L221" s="143"/>
      <c r="M221" s="101"/>
    </row>
    <row r="222" ht="15" spans="2:13">
      <c r="B222" s="54" t="s">
        <v>1165</v>
      </c>
      <c r="C222" s="55"/>
      <c r="D222" s="148">
        <f t="shared" ref="D222:L222" si="35">D127+D175+D220</f>
        <v>26898.3791855031</v>
      </c>
      <c r="E222" s="148">
        <f t="shared" si="35"/>
        <v>3345.96906374908</v>
      </c>
      <c r="F222" s="148">
        <f t="shared" si="35"/>
        <v>19471.0825271142</v>
      </c>
      <c r="G222" s="148">
        <f t="shared" si="35"/>
        <v>31.7507194049194</v>
      </c>
      <c r="H222" s="148">
        <f t="shared" si="35"/>
        <v>22848.8023102682</v>
      </c>
      <c r="I222" s="148">
        <f t="shared" si="35"/>
        <v>3345.96906374908</v>
      </c>
      <c r="J222" s="148">
        <f t="shared" si="35"/>
        <v>19471.0825271142</v>
      </c>
      <c r="K222" s="148">
        <f t="shared" si="35"/>
        <v>31.7507194049194</v>
      </c>
      <c r="L222" s="148">
        <f t="shared" si="35"/>
        <v>22848.8023102682</v>
      </c>
      <c r="M222" s="101">
        <f>L222*10/D222</f>
        <v>8.49449037530953</v>
      </c>
    </row>
    <row r="223" ht="15" spans="2:13">
      <c r="B223" s="54" t="s">
        <v>1166</v>
      </c>
      <c r="C223" s="55"/>
      <c r="D223" s="148">
        <f t="shared" ref="D223:L223" si="36">D222+D72</f>
        <v>56801.0434898432</v>
      </c>
      <c r="E223" s="149">
        <f t="shared" si="36"/>
        <v>4020.12228568084</v>
      </c>
      <c r="F223" s="149">
        <f t="shared" si="36"/>
        <v>30615.4920048374</v>
      </c>
      <c r="G223" s="149">
        <f t="shared" si="36"/>
        <v>929.636056831269</v>
      </c>
      <c r="H223" s="149">
        <f t="shared" si="36"/>
        <v>35565.2503473495</v>
      </c>
      <c r="I223" s="149">
        <f t="shared" si="36"/>
        <v>4020.12228568084</v>
      </c>
      <c r="J223" s="149">
        <f t="shared" si="36"/>
        <v>30615.4920048374</v>
      </c>
      <c r="K223" s="149">
        <f t="shared" si="36"/>
        <v>929.636056831269</v>
      </c>
      <c r="L223" s="149">
        <f t="shared" si="36"/>
        <v>35565.2503473495</v>
      </c>
      <c r="M223" s="101">
        <f>L223*10/D223</f>
        <v>6.26137270765264</v>
      </c>
    </row>
    <row r="228" spans="8:8">
      <c r="H228" s="12" t="s">
        <v>226</v>
      </c>
    </row>
    <row r="233" spans="13:13">
      <c r="M233" s="119"/>
    </row>
    <row r="302" spans="2:3">
      <c r="B302" s="12" t="s">
        <v>258</v>
      </c>
      <c r="C302" s="12" t="s">
        <v>258</v>
      </c>
    </row>
  </sheetData>
  <mergeCells count="7">
    <mergeCell ref="A3:R3"/>
    <mergeCell ref="E7:H7"/>
    <mergeCell ref="I7:M7"/>
    <mergeCell ref="B10:C10"/>
    <mergeCell ref="B74:C74"/>
    <mergeCell ref="D7:D8"/>
    <mergeCell ref="B7:C9"/>
  </mergeCells>
  <pageMargins left="0.7" right="0.7" top="0.75" bottom="0.75" header="0.3" footer="0.3"/>
  <pageSetup paperSize="1" orientation="portrait"/>
  <headerFooter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O76"/>
  <sheetViews>
    <sheetView showGridLines="0" topLeftCell="A56" workbookViewId="0">
      <selection activeCell="J19" sqref="J19"/>
    </sheetView>
  </sheetViews>
  <sheetFormatPr defaultColWidth="9.14285714285714" defaultRowHeight="14.25"/>
  <cols>
    <col min="1" max="1" width="9.14285714285714" style="12"/>
    <col min="2" max="2" width="7.42857142857143" style="12" customWidth="1"/>
    <col min="3" max="3" width="51.5714285714286" style="12" customWidth="1"/>
    <col min="4" max="4" width="13.8571428571429" style="12" customWidth="1"/>
    <col min="5" max="5" width="13.8571428571429" style="12" hidden="1" customWidth="1"/>
    <col min="6" max="6" width="11.5714285714286" style="12" customWidth="1"/>
    <col min="7" max="7" width="11" style="12" customWidth="1"/>
    <col min="8" max="8" width="13.8571428571429" style="12" customWidth="1"/>
    <col min="9" max="9" width="16" style="12" customWidth="1"/>
    <col min="10" max="10" width="21" style="12" customWidth="1"/>
    <col min="11" max="16384" width="9.14285714285714" style="12"/>
  </cols>
  <sheetData>
    <row r="2" ht="15" spans="2:15">
      <c r="B2" s="2" t="s">
        <v>156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ht="15" spans="7:7">
      <c r="G3" s="3" t="s">
        <v>1194</v>
      </c>
    </row>
    <row r="5" ht="15" spans="2:10">
      <c r="B5" s="14" t="s">
        <v>1195</v>
      </c>
      <c r="C5" s="15"/>
      <c r="D5" s="15"/>
      <c r="E5" s="15"/>
      <c r="F5" s="15"/>
      <c r="G5" s="15"/>
      <c r="H5" s="15"/>
      <c r="I5" s="15"/>
      <c r="J5" s="33" t="s">
        <v>109</v>
      </c>
    </row>
    <row r="6" ht="45" spans="2:10">
      <c r="B6" s="16" t="s">
        <v>3</v>
      </c>
      <c r="C6" s="17" t="s">
        <v>110</v>
      </c>
      <c r="D6" s="5" t="s">
        <v>116</v>
      </c>
      <c r="E6" s="5" t="s">
        <v>1196</v>
      </c>
      <c r="F6" s="5" t="s">
        <v>130</v>
      </c>
      <c r="G6" s="5" t="s">
        <v>1197</v>
      </c>
      <c r="H6" s="5" t="s">
        <v>1198</v>
      </c>
      <c r="I6" s="5" t="s">
        <v>1199</v>
      </c>
      <c r="J6" s="5" t="s">
        <v>1200</v>
      </c>
    </row>
    <row r="7" ht="15" spans="2:10">
      <c r="B7" s="6"/>
      <c r="C7" s="121" t="s">
        <v>1201</v>
      </c>
      <c r="D7" s="19"/>
      <c r="E7" s="19"/>
      <c r="F7" s="19"/>
      <c r="G7" s="19"/>
      <c r="H7" s="19"/>
      <c r="I7" s="19"/>
      <c r="J7" s="21"/>
    </row>
    <row r="8" spans="2:10">
      <c r="B8" s="20">
        <v>1</v>
      </c>
      <c r="C8" s="122" t="s">
        <v>1202</v>
      </c>
      <c r="D8" s="123">
        <f>'[52]PP Summary'!E27</f>
        <v>8657.366875</v>
      </c>
      <c r="E8" s="124"/>
      <c r="F8" s="123">
        <f>'[52]PP Summary'!F27</f>
        <v>8331.88343998933</v>
      </c>
      <c r="G8" s="123">
        <f>F8-D8</f>
        <v>-325.48343501067</v>
      </c>
      <c r="H8" s="124"/>
      <c r="I8" s="123">
        <f t="shared" ref="I8:I18" si="0">G8</f>
        <v>-325.48343501067</v>
      </c>
      <c r="J8" s="123">
        <f>I8</f>
        <v>-325.48343501067</v>
      </c>
    </row>
    <row r="9" spans="2:10">
      <c r="B9" s="20">
        <v>2</v>
      </c>
      <c r="C9" s="122" t="s">
        <v>1203</v>
      </c>
      <c r="D9" s="123">
        <f>'[52]PP Summary'!E28</f>
        <v>938.872345</v>
      </c>
      <c r="E9" s="124"/>
      <c r="F9" s="123">
        <f>'[52]PP Summary'!F28</f>
        <v>938.872345117583</v>
      </c>
      <c r="G9" s="123">
        <f t="shared" ref="G9:G18" si="1">F9-D9</f>
        <v>1.17582999337174e-7</v>
      </c>
      <c r="H9" s="124"/>
      <c r="I9" s="123">
        <f t="shared" si="0"/>
        <v>1.17582999337174e-7</v>
      </c>
      <c r="J9" s="123">
        <f t="shared" ref="J9:J21" si="2">I9</f>
        <v>1.17582999337174e-7</v>
      </c>
    </row>
    <row r="10" spans="2:10">
      <c r="B10" s="20">
        <v>3</v>
      </c>
      <c r="C10" s="122" t="s">
        <v>1204</v>
      </c>
      <c r="D10" s="123">
        <f>'[52]PP Summary'!E29</f>
        <v>5543.5368</v>
      </c>
      <c r="E10" s="124"/>
      <c r="F10" s="123">
        <f>'[52]PP Summary'!F29</f>
        <v>6245.29814743227</v>
      </c>
      <c r="G10" s="123">
        <f t="shared" si="1"/>
        <v>701.76134743227</v>
      </c>
      <c r="H10" s="124"/>
      <c r="I10" s="123">
        <f t="shared" si="0"/>
        <v>701.76134743227</v>
      </c>
      <c r="J10" s="123">
        <f t="shared" si="2"/>
        <v>701.76134743227</v>
      </c>
    </row>
    <row r="11" spans="2:10">
      <c r="B11" s="20">
        <v>4</v>
      </c>
      <c r="C11" s="122" t="s">
        <v>1205</v>
      </c>
      <c r="D11" s="123">
        <f>'[52]PP Summary'!E31</f>
        <v>2981.96</v>
      </c>
      <c r="E11" s="124"/>
      <c r="F11" s="123">
        <f>'[52]PP Summary'!F31</f>
        <v>3078.53706061093</v>
      </c>
      <c r="G11" s="123">
        <f t="shared" si="1"/>
        <v>96.5770606109299</v>
      </c>
      <c r="H11" s="124"/>
      <c r="I11" s="123">
        <f t="shared" si="0"/>
        <v>96.5770606109299</v>
      </c>
      <c r="J11" s="123">
        <f t="shared" si="2"/>
        <v>96.5770606109299</v>
      </c>
    </row>
    <row r="12" ht="15" spans="2:10">
      <c r="B12" s="20">
        <v>5</v>
      </c>
      <c r="C12" s="122" t="s">
        <v>440</v>
      </c>
      <c r="D12" s="123">
        <f>'[52]PP Summary'!E32</f>
        <v>6345.21056</v>
      </c>
      <c r="E12" s="125"/>
      <c r="F12" s="123">
        <f>'[52]PP Summary'!F32</f>
        <v>5889.86900991192</v>
      </c>
      <c r="G12" s="123">
        <f t="shared" si="1"/>
        <v>-455.34155008808</v>
      </c>
      <c r="H12" s="125"/>
      <c r="I12" s="123">
        <f t="shared" si="0"/>
        <v>-455.34155008808</v>
      </c>
      <c r="J12" s="123">
        <f t="shared" si="2"/>
        <v>-455.34155008808</v>
      </c>
    </row>
    <row r="13" spans="2:10">
      <c r="B13" s="20">
        <v>6</v>
      </c>
      <c r="C13" s="122" t="s">
        <v>1206</v>
      </c>
      <c r="D13" s="123">
        <f>'[52]PP Summary'!E33</f>
        <v>505.064505</v>
      </c>
      <c r="E13" s="124"/>
      <c r="F13" s="123">
        <f>'[52]PP Summary'!F33</f>
        <v>2955.26329523741</v>
      </c>
      <c r="G13" s="123">
        <f t="shared" si="1"/>
        <v>2450.19879023741</v>
      </c>
      <c r="H13" s="124"/>
      <c r="I13" s="123">
        <f t="shared" si="0"/>
        <v>2450.19879023741</v>
      </c>
      <c r="J13" s="123">
        <f t="shared" si="2"/>
        <v>2450.19879023741</v>
      </c>
    </row>
    <row r="14" spans="2:10">
      <c r="B14" s="20">
        <v>7</v>
      </c>
      <c r="C14" s="122" t="s">
        <v>1207</v>
      </c>
      <c r="D14" s="123">
        <f>'[52]PP Summary'!E34</f>
        <v>-1142.30327</v>
      </c>
      <c r="E14" s="124"/>
      <c r="F14" s="123">
        <f>'[52]PP Summary'!F34</f>
        <v>-1195.17265666338</v>
      </c>
      <c r="G14" s="123">
        <f t="shared" si="1"/>
        <v>-52.8693866633798</v>
      </c>
      <c r="H14" s="124"/>
      <c r="I14" s="123">
        <f t="shared" si="0"/>
        <v>-52.8693866633798</v>
      </c>
      <c r="J14" s="123">
        <f t="shared" si="2"/>
        <v>-52.8693866633798</v>
      </c>
    </row>
    <row r="15" spans="2:10">
      <c r="B15" s="20">
        <v>8</v>
      </c>
      <c r="C15" s="122" t="s">
        <v>1208</v>
      </c>
      <c r="D15" s="123">
        <f>'[52]PP Summary'!E35</f>
        <v>60.12</v>
      </c>
      <c r="E15" s="124"/>
      <c r="F15" s="123">
        <f>'[52]PP Summary'!F35</f>
        <v>0</v>
      </c>
      <c r="G15" s="123">
        <f t="shared" si="1"/>
        <v>-60.12</v>
      </c>
      <c r="H15" s="124"/>
      <c r="I15" s="123">
        <f t="shared" si="0"/>
        <v>-60.12</v>
      </c>
      <c r="J15" s="123">
        <f t="shared" si="2"/>
        <v>-60.12</v>
      </c>
    </row>
    <row r="16" ht="15" spans="2:10">
      <c r="B16" s="20">
        <v>9</v>
      </c>
      <c r="C16" s="122" t="s">
        <v>1209</v>
      </c>
      <c r="D16" s="123">
        <f>'[52]PP Summary'!E36</f>
        <v>922.39892</v>
      </c>
      <c r="E16" s="125"/>
      <c r="F16" s="123">
        <f>'[52]PP Summary'!F36</f>
        <v>922.3989205644</v>
      </c>
      <c r="G16" s="123">
        <f t="shared" si="1"/>
        <v>5.64400011171529e-7</v>
      </c>
      <c r="H16" s="125"/>
      <c r="I16" s="123">
        <f t="shared" si="0"/>
        <v>5.64400011171529e-7</v>
      </c>
      <c r="J16" s="123">
        <f t="shared" si="2"/>
        <v>5.64400011171529e-7</v>
      </c>
    </row>
    <row r="17" ht="28.5" spans="2:10">
      <c r="B17" s="20">
        <v>10</v>
      </c>
      <c r="C17" s="122" t="s">
        <v>1210</v>
      </c>
      <c r="D17" s="123">
        <f>'[52]PP Summary'!$E$37</f>
        <v>3530.04</v>
      </c>
      <c r="E17" s="125"/>
      <c r="F17" s="123">
        <f>'[52]PP Summary'!$F$37</f>
        <v>4134.13541784763</v>
      </c>
      <c r="G17" s="123">
        <f t="shared" si="1"/>
        <v>604.09541784763</v>
      </c>
      <c r="H17" s="124"/>
      <c r="I17" s="123">
        <f t="shared" si="0"/>
        <v>604.09541784763</v>
      </c>
      <c r="J17" s="123">
        <f t="shared" si="2"/>
        <v>604.09541784763</v>
      </c>
    </row>
    <row r="18" spans="2:10">
      <c r="B18" s="100">
        <v>11</v>
      </c>
      <c r="C18" s="122" t="s">
        <v>1211</v>
      </c>
      <c r="D18" s="126">
        <f>'[52]PP Summary'!$E$39</f>
        <v>0</v>
      </c>
      <c r="E18" s="127"/>
      <c r="F18" s="126">
        <f>'[52]PP Summary'!$F$39</f>
        <v>963.184501381943</v>
      </c>
      <c r="G18" s="123">
        <f t="shared" si="1"/>
        <v>963.184501381943</v>
      </c>
      <c r="H18" s="127"/>
      <c r="I18" s="123">
        <f t="shared" si="0"/>
        <v>963.184501381943</v>
      </c>
      <c r="J18" s="123">
        <f t="shared" si="2"/>
        <v>963.184501381943</v>
      </c>
    </row>
    <row r="19" ht="15" spans="2:10">
      <c r="B19" s="55"/>
      <c r="C19" s="128" t="s">
        <v>97</v>
      </c>
      <c r="D19" s="129">
        <f t="shared" ref="D19:I19" si="3">SUM(D8:D18)</f>
        <v>28342.266735</v>
      </c>
      <c r="E19" s="129"/>
      <c r="F19" s="129">
        <f t="shared" si="3"/>
        <v>32264.26948143</v>
      </c>
      <c r="G19" s="129">
        <f t="shared" si="3"/>
        <v>3922.00274643004</v>
      </c>
      <c r="H19" s="129"/>
      <c r="I19" s="129">
        <f t="shared" si="3"/>
        <v>3922.00274643004</v>
      </c>
      <c r="J19" s="132">
        <f t="shared" si="2"/>
        <v>3922.00274643004</v>
      </c>
    </row>
    <row r="20" ht="15" spans="2:10">
      <c r="B20" s="55"/>
      <c r="C20" s="128" t="s">
        <v>1212</v>
      </c>
      <c r="D20" s="130"/>
      <c r="E20" s="130"/>
      <c r="F20" s="130"/>
      <c r="G20" s="129">
        <f>'[52]PP Summary'!$G$42</f>
        <v>811.38</v>
      </c>
      <c r="H20" s="130"/>
      <c r="I20" s="129">
        <f>G20</f>
        <v>811.38</v>
      </c>
      <c r="J20" s="133">
        <f t="shared" si="2"/>
        <v>811.38</v>
      </c>
    </row>
    <row r="21" ht="15" spans="2:10">
      <c r="B21" s="55"/>
      <c r="C21" s="128" t="s">
        <v>1213</v>
      </c>
      <c r="D21" s="130"/>
      <c r="E21" s="130"/>
      <c r="F21" s="129"/>
      <c r="G21" s="129">
        <f>G19-G20</f>
        <v>3110.62274643004</v>
      </c>
      <c r="H21" s="130"/>
      <c r="I21" s="129">
        <f>G21</f>
        <v>3110.62274643004</v>
      </c>
      <c r="J21" s="133">
        <f t="shared" si="2"/>
        <v>3110.62274643004</v>
      </c>
    </row>
    <row r="24" ht="15" spans="2:10">
      <c r="B24" s="14" t="s">
        <v>1214</v>
      </c>
      <c r="C24" s="15"/>
      <c r="D24" s="15"/>
      <c r="E24" s="15"/>
      <c r="F24" s="15"/>
      <c r="G24" s="15"/>
      <c r="H24" s="15"/>
      <c r="I24" s="15"/>
      <c r="J24" s="33" t="s">
        <v>109</v>
      </c>
    </row>
    <row r="25" ht="45" spans="2:10">
      <c r="B25" s="16" t="s">
        <v>3</v>
      </c>
      <c r="C25" s="17" t="s">
        <v>110</v>
      </c>
      <c r="D25" s="5" t="s">
        <v>116</v>
      </c>
      <c r="E25" s="5" t="s">
        <v>1196</v>
      </c>
      <c r="F25" s="5" t="s">
        <v>130</v>
      </c>
      <c r="G25" s="5" t="s">
        <v>1197</v>
      </c>
      <c r="H25" s="5" t="s">
        <v>1198</v>
      </c>
      <c r="I25" s="5" t="s">
        <v>1199</v>
      </c>
      <c r="J25" s="5" t="s">
        <v>1200</v>
      </c>
    </row>
    <row r="26" ht="15" spans="2:10">
      <c r="B26" s="6"/>
      <c r="C26" s="121" t="s">
        <v>1201</v>
      </c>
      <c r="D26" s="19"/>
      <c r="E26" s="19"/>
      <c r="F26" s="19"/>
      <c r="G26" s="19"/>
      <c r="H26" s="19"/>
      <c r="I26" s="19"/>
      <c r="J26" s="21"/>
    </row>
    <row r="27" spans="2:10">
      <c r="B27" s="20">
        <v>1</v>
      </c>
      <c r="C27" s="122" t="s">
        <v>1202</v>
      </c>
      <c r="D27" s="123">
        <f>'[68]PP Summary'!E27</f>
        <v>8657.366875</v>
      </c>
      <c r="E27" s="124"/>
      <c r="F27" s="123">
        <f>'[68]PP Summary'!F27</f>
        <v>8331.88343998933</v>
      </c>
      <c r="G27" s="123">
        <f>F27-D27</f>
        <v>-325.48343501067</v>
      </c>
      <c r="H27" s="124"/>
      <c r="I27" s="123">
        <f t="shared" ref="I27:I37" si="4">G27</f>
        <v>-325.48343501067</v>
      </c>
      <c r="J27" s="123">
        <f>I27</f>
        <v>-325.48343501067</v>
      </c>
    </row>
    <row r="28" spans="2:10">
      <c r="B28" s="20">
        <v>2</v>
      </c>
      <c r="C28" s="122" t="s">
        <v>1203</v>
      </c>
      <c r="D28" s="123">
        <f>'[68]PP Summary'!E28</f>
        <v>938.872345</v>
      </c>
      <c r="E28" s="124"/>
      <c r="F28" s="123">
        <f>'[68]PP Summary'!F28</f>
        <v>938.872345117583</v>
      </c>
      <c r="G28" s="123">
        <f t="shared" ref="G28:G37" si="5">F28-D28</f>
        <v>1.17582999337174e-7</v>
      </c>
      <c r="H28" s="124"/>
      <c r="I28" s="123">
        <f t="shared" si="4"/>
        <v>1.17582999337174e-7</v>
      </c>
      <c r="J28" s="123">
        <f t="shared" ref="J28:J40" si="6">I28</f>
        <v>1.17582999337174e-7</v>
      </c>
    </row>
    <row r="29" spans="2:10">
      <c r="B29" s="20">
        <v>3</v>
      </c>
      <c r="C29" s="122" t="s">
        <v>1204</v>
      </c>
      <c r="D29" s="123">
        <f>'[68]PP Summary'!E29</f>
        <v>5543.5368</v>
      </c>
      <c r="E29" s="124"/>
      <c r="F29" s="123">
        <f>'[68]PP Summary'!F29</f>
        <v>6317.77947011066</v>
      </c>
      <c r="G29" s="123">
        <f t="shared" si="5"/>
        <v>774.242670110661</v>
      </c>
      <c r="H29" s="124"/>
      <c r="I29" s="123">
        <f t="shared" si="4"/>
        <v>774.242670110661</v>
      </c>
      <c r="J29" s="123">
        <f t="shared" si="6"/>
        <v>774.242670110661</v>
      </c>
    </row>
    <row r="30" spans="2:10">
      <c r="B30" s="20">
        <v>4</v>
      </c>
      <c r="C30" s="122" t="s">
        <v>1205</v>
      </c>
      <c r="D30" s="123">
        <f>'[68]PP Summary'!$E$31</f>
        <v>2981.96</v>
      </c>
      <c r="E30" s="124"/>
      <c r="F30" s="123">
        <f>'[68]PP Summary'!$F$31</f>
        <v>3078.53706061093</v>
      </c>
      <c r="G30" s="123">
        <f t="shared" si="5"/>
        <v>96.5770606109299</v>
      </c>
      <c r="H30" s="124"/>
      <c r="I30" s="123">
        <f t="shared" si="4"/>
        <v>96.5770606109299</v>
      </c>
      <c r="J30" s="123">
        <f t="shared" si="6"/>
        <v>96.5770606109299</v>
      </c>
    </row>
    <row r="31" ht="15" spans="2:10">
      <c r="B31" s="20">
        <v>5</v>
      </c>
      <c r="C31" s="122" t="s">
        <v>440</v>
      </c>
      <c r="D31" s="123">
        <f>'[68]PP Summary'!$E$32</f>
        <v>6345.21056</v>
      </c>
      <c r="E31" s="125"/>
      <c r="F31" s="123">
        <f>'[68]PP Summary'!$F$32</f>
        <v>5889.86900991192</v>
      </c>
      <c r="G31" s="123">
        <f t="shared" si="5"/>
        <v>-455.34155008808</v>
      </c>
      <c r="H31" s="125"/>
      <c r="I31" s="123">
        <f t="shared" si="4"/>
        <v>-455.34155008808</v>
      </c>
      <c r="J31" s="123">
        <f t="shared" si="6"/>
        <v>-455.34155008808</v>
      </c>
    </row>
    <row r="32" spans="2:10">
      <c r="B32" s="20">
        <v>6</v>
      </c>
      <c r="C32" s="122" t="s">
        <v>1206</v>
      </c>
      <c r="D32" s="123">
        <f>'[68]PP Summary'!$E$33</f>
        <v>505.064505</v>
      </c>
      <c r="E32" s="124"/>
      <c r="F32" s="123">
        <f>'[68]PP Summary'!$F$33</f>
        <v>4334.0947537042</v>
      </c>
      <c r="G32" s="123">
        <f t="shared" si="5"/>
        <v>3829.0302487042</v>
      </c>
      <c r="H32" s="124"/>
      <c r="I32" s="123">
        <f t="shared" si="4"/>
        <v>3829.0302487042</v>
      </c>
      <c r="J32" s="123">
        <f t="shared" si="6"/>
        <v>3829.0302487042</v>
      </c>
    </row>
    <row r="33" spans="2:10">
      <c r="B33" s="20">
        <v>7</v>
      </c>
      <c r="C33" s="122" t="s">
        <v>1207</v>
      </c>
      <c r="D33" s="123">
        <f>'[68]PP Summary'!$E$34</f>
        <v>-1142.30327</v>
      </c>
      <c r="E33" s="124"/>
      <c r="F33" s="123">
        <f>'[68]PP Summary'!$F$34</f>
        <v>-1195.17265666338</v>
      </c>
      <c r="G33" s="123">
        <f t="shared" si="5"/>
        <v>-52.8693866633798</v>
      </c>
      <c r="H33" s="124"/>
      <c r="I33" s="123">
        <f t="shared" si="4"/>
        <v>-52.8693866633798</v>
      </c>
      <c r="J33" s="123">
        <f t="shared" si="6"/>
        <v>-52.8693866633798</v>
      </c>
    </row>
    <row r="34" spans="2:10">
      <c r="B34" s="20">
        <v>8</v>
      </c>
      <c r="C34" s="122" t="s">
        <v>1208</v>
      </c>
      <c r="D34" s="123">
        <f>'[68]PP Summary'!$E$35</f>
        <v>60.12</v>
      </c>
      <c r="E34" s="124"/>
      <c r="F34" s="123">
        <f>'[68]PP Summary'!$F$35</f>
        <v>0</v>
      </c>
      <c r="G34" s="123">
        <f t="shared" si="5"/>
        <v>-60.12</v>
      </c>
      <c r="H34" s="124"/>
      <c r="I34" s="123">
        <f t="shared" si="4"/>
        <v>-60.12</v>
      </c>
      <c r="J34" s="123">
        <f t="shared" si="6"/>
        <v>-60.12</v>
      </c>
    </row>
    <row r="35" ht="15" spans="2:10">
      <c r="B35" s="20">
        <v>9</v>
      </c>
      <c r="C35" s="122" t="s">
        <v>1209</v>
      </c>
      <c r="D35" s="123">
        <f>'[68]PP Summary'!$E$36</f>
        <v>922.39892</v>
      </c>
      <c r="E35" s="125"/>
      <c r="F35" s="123">
        <f>'[68]PP Summary'!$F$36</f>
        <v>922.3989205644</v>
      </c>
      <c r="G35" s="123">
        <f t="shared" si="5"/>
        <v>5.64400011171529e-7</v>
      </c>
      <c r="H35" s="125"/>
      <c r="I35" s="123">
        <f t="shared" si="4"/>
        <v>5.64400011171529e-7</v>
      </c>
      <c r="J35" s="123">
        <f t="shared" si="6"/>
        <v>5.64400011171529e-7</v>
      </c>
    </row>
    <row r="36" ht="28.5" spans="2:10">
      <c r="B36" s="20">
        <v>10</v>
      </c>
      <c r="C36" s="122" t="s">
        <v>1210</v>
      </c>
      <c r="D36" s="123">
        <f>'[68]PP Summary'!$E$37</f>
        <v>3530.04</v>
      </c>
      <c r="E36" s="125"/>
      <c r="F36" s="123">
        <f>'[68]PP Summary'!$F$37</f>
        <v>4134.13541784763</v>
      </c>
      <c r="G36" s="123">
        <f t="shared" si="5"/>
        <v>604.09541784763</v>
      </c>
      <c r="H36" s="124"/>
      <c r="I36" s="123">
        <f t="shared" si="4"/>
        <v>604.09541784763</v>
      </c>
      <c r="J36" s="123">
        <f t="shared" si="6"/>
        <v>604.09541784763</v>
      </c>
    </row>
    <row r="37" spans="2:10">
      <c r="B37" s="100">
        <v>11</v>
      </c>
      <c r="C37" s="122" t="s">
        <v>1211</v>
      </c>
      <c r="D37" s="126">
        <f>'[68]PP Summary'!$E$39</f>
        <v>0</v>
      </c>
      <c r="E37" s="127"/>
      <c r="F37" s="126">
        <f>'[68]PP Summary'!$F$39</f>
        <v>963.184501381943</v>
      </c>
      <c r="G37" s="123">
        <f t="shared" si="5"/>
        <v>963.184501381943</v>
      </c>
      <c r="H37" s="127"/>
      <c r="I37" s="123">
        <f t="shared" si="4"/>
        <v>963.184501381943</v>
      </c>
      <c r="J37" s="123">
        <f t="shared" si="6"/>
        <v>963.184501381943</v>
      </c>
    </row>
    <row r="38" ht="15" spans="2:10">
      <c r="B38" s="55"/>
      <c r="C38" s="128" t="s">
        <v>97</v>
      </c>
      <c r="D38" s="129">
        <f t="shared" ref="D38" si="7">SUM(D27:D37)</f>
        <v>28342.266735</v>
      </c>
      <c r="E38" s="129"/>
      <c r="F38" s="129">
        <f t="shared" ref="F38:G38" si="8">SUM(F27:F37)</f>
        <v>33715.5822625752</v>
      </c>
      <c r="G38" s="131">
        <f t="shared" si="8"/>
        <v>5373.31552757522</v>
      </c>
      <c r="H38" s="129"/>
      <c r="I38" s="129">
        <f t="shared" ref="I38" si="9">SUM(I27:I37)</f>
        <v>5373.31552757522</v>
      </c>
      <c r="J38" s="133">
        <f t="shared" si="6"/>
        <v>5373.31552757522</v>
      </c>
    </row>
    <row r="39" ht="15" spans="2:10">
      <c r="B39" s="55"/>
      <c r="C39" s="128" t="s">
        <v>1212</v>
      </c>
      <c r="D39" s="130"/>
      <c r="E39" s="130"/>
      <c r="F39" s="130"/>
      <c r="G39" s="131">
        <f>'[68]PP Summary'!$G$42</f>
        <v>811.38</v>
      </c>
      <c r="H39" s="130"/>
      <c r="I39" s="129">
        <f>G39</f>
        <v>811.38</v>
      </c>
      <c r="J39" s="133">
        <f t="shared" si="6"/>
        <v>811.38</v>
      </c>
    </row>
    <row r="40" ht="15" spans="2:10">
      <c r="B40" s="55"/>
      <c r="C40" s="128" t="s">
        <v>1213</v>
      </c>
      <c r="D40" s="130"/>
      <c r="E40" s="130"/>
      <c r="F40" s="129"/>
      <c r="G40" s="131">
        <f>G38-G39</f>
        <v>4561.93552757522</v>
      </c>
      <c r="H40" s="130"/>
      <c r="I40" s="129">
        <f>G40</f>
        <v>4561.93552757522</v>
      </c>
      <c r="J40" s="133">
        <f t="shared" si="6"/>
        <v>4561.93552757522</v>
      </c>
    </row>
    <row r="43" ht="15" spans="2:10">
      <c r="B43" s="14" t="s">
        <v>1215</v>
      </c>
      <c r="C43" s="15"/>
      <c r="D43" s="15"/>
      <c r="E43" s="15"/>
      <c r="F43" s="15"/>
      <c r="G43" s="15"/>
      <c r="H43" s="15"/>
      <c r="I43" s="15"/>
      <c r="J43" s="33" t="s">
        <v>109</v>
      </c>
    </row>
    <row r="44" ht="45" spans="2:10">
      <c r="B44" s="16" t="s">
        <v>3</v>
      </c>
      <c r="C44" s="17" t="s">
        <v>110</v>
      </c>
      <c r="D44" s="5" t="s">
        <v>116</v>
      </c>
      <c r="E44" s="5" t="s">
        <v>1196</v>
      </c>
      <c r="F44" s="5" t="s">
        <v>130</v>
      </c>
      <c r="G44" s="5" t="s">
        <v>1197</v>
      </c>
      <c r="H44" s="5" t="s">
        <v>1198</v>
      </c>
      <c r="I44" s="5" t="s">
        <v>1199</v>
      </c>
      <c r="J44" s="5" t="s">
        <v>1200</v>
      </c>
    </row>
    <row r="45" ht="15" spans="2:10">
      <c r="B45" s="6"/>
      <c r="C45" s="121" t="s">
        <v>1201</v>
      </c>
      <c r="D45" s="19"/>
      <c r="E45" s="19"/>
      <c r="F45" s="19"/>
      <c r="G45" s="19"/>
      <c r="H45" s="19"/>
      <c r="I45" s="19"/>
      <c r="J45" s="21"/>
    </row>
    <row r="46" spans="2:10">
      <c r="B46" s="20">
        <v>1</v>
      </c>
      <c r="C46" s="122" t="s">
        <v>1202</v>
      </c>
      <c r="D46" s="123">
        <f>'[69]PP Summary'!E23</f>
        <v>8374.04513</v>
      </c>
      <c r="E46" s="124"/>
      <c r="F46" s="123">
        <f>'[69]PP Summary'!F23</f>
        <v>10048.8132931204</v>
      </c>
      <c r="G46" s="123">
        <f>F46-D46</f>
        <v>1674.7681631204</v>
      </c>
      <c r="H46" s="124"/>
      <c r="I46" s="123">
        <f t="shared" ref="I46:I56" si="10">G46</f>
        <v>1674.7681631204</v>
      </c>
      <c r="J46" s="123">
        <f>I46</f>
        <v>1674.7681631204</v>
      </c>
    </row>
    <row r="47" spans="2:10">
      <c r="B47" s="20">
        <v>2</v>
      </c>
      <c r="C47" s="122" t="s">
        <v>1203</v>
      </c>
      <c r="D47" s="123">
        <f>'[69]PP Summary'!E24</f>
        <v>863.40501</v>
      </c>
      <c r="E47" s="124"/>
      <c r="F47" s="123">
        <f>'[69]PP Summary'!F24</f>
        <v>876.4743975</v>
      </c>
      <c r="G47" s="123">
        <f t="shared" ref="G47:G56" si="11">F47-D47</f>
        <v>13.0693875000001</v>
      </c>
      <c r="H47" s="124"/>
      <c r="I47" s="123">
        <f t="shared" si="10"/>
        <v>13.0693875000001</v>
      </c>
      <c r="J47" s="123">
        <f t="shared" ref="J47:J58" si="12">I47</f>
        <v>13.0693875000001</v>
      </c>
    </row>
    <row r="48" spans="2:10">
      <c r="B48" s="20">
        <v>3</v>
      </c>
      <c r="C48" s="122" t="s">
        <v>1204</v>
      </c>
      <c r="D48" s="123">
        <f>'[69]PP Summary'!E25</f>
        <v>6262.617675</v>
      </c>
      <c r="E48" s="124"/>
      <c r="F48" s="123">
        <f>'[69]PP Summary'!F25</f>
        <v>6046.2256583879</v>
      </c>
      <c r="G48" s="123">
        <f t="shared" si="11"/>
        <v>-216.392016612101</v>
      </c>
      <c r="H48" s="124"/>
      <c r="I48" s="123">
        <f t="shared" si="10"/>
        <v>-216.392016612101</v>
      </c>
      <c r="J48" s="123">
        <f t="shared" si="12"/>
        <v>-216.392016612101</v>
      </c>
    </row>
    <row r="49" spans="2:10">
      <c r="B49" s="20">
        <v>4</v>
      </c>
      <c r="C49" s="122" t="s">
        <v>1205</v>
      </c>
      <c r="D49" s="123">
        <f>'[69]PP Summary'!E26</f>
        <v>3487.21</v>
      </c>
      <c r="E49" s="124"/>
      <c r="F49" s="123">
        <f>'[69]PP Summary'!F26</f>
        <v>3768.61253955237</v>
      </c>
      <c r="G49" s="123">
        <f t="shared" si="11"/>
        <v>281.40253955237</v>
      </c>
      <c r="H49" s="124"/>
      <c r="I49" s="123">
        <f t="shared" si="10"/>
        <v>281.40253955237</v>
      </c>
      <c r="J49" s="123">
        <f t="shared" si="12"/>
        <v>281.40253955237</v>
      </c>
    </row>
    <row r="50" ht="15" spans="2:10">
      <c r="B50" s="20">
        <v>5</v>
      </c>
      <c r="C50" s="122" t="s">
        <v>440</v>
      </c>
      <c r="D50" s="123">
        <f>'[69]PP Summary'!E27</f>
        <v>6946.56465</v>
      </c>
      <c r="E50" s="125"/>
      <c r="F50" s="123">
        <f>'[69]PP Summary'!F27</f>
        <v>5403.57239412465</v>
      </c>
      <c r="G50" s="123">
        <f t="shared" si="11"/>
        <v>-1542.99225587535</v>
      </c>
      <c r="H50" s="125"/>
      <c r="I50" s="123">
        <f t="shared" si="10"/>
        <v>-1542.99225587535</v>
      </c>
      <c r="J50" s="123">
        <f t="shared" si="12"/>
        <v>-1542.99225587535</v>
      </c>
    </row>
    <row r="51" spans="2:10">
      <c r="B51" s="20">
        <v>6</v>
      </c>
      <c r="C51" s="122" t="s">
        <v>1206</v>
      </c>
      <c r="D51" s="123">
        <f>'[69]PP Summary'!E28</f>
        <v>371.72795</v>
      </c>
      <c r="E51" s="124"/>
      <c r="F51" s="123">
        <f>'[69]PP Summary'!F28</f>
        <v>3423.62939467857</v>
      </c>
      <c r="G51" s="123">
        <f t="shared" si="11"/>
        <v>3051.90144467857</v>
      </c>
      <c r="H51" s="124"/>
      <c r="I51" s="123">
        <f t="shared" si="10"/>
        <v>3051.90144467857</v>
      </c>
      <c r="J51" s="123">
        <f t="shared" si="12"/>
        <v>3051.90144467857</v>
      </c>
    </row>
    <row r="52" spans="2:10">
      <c r="B52" s="20">
        <v>7</v>
      </c>
      <c r="C52" s="122" t="s">
        <v>1207</v>
      </c>
      <c r="D52" s="123">
        <f>'[69]PP Summary'!E29</f>
        <v>-1313.65511</v>
      </c>
      <c r="E52" s="124"/>
      <c r="F52" s="123">
        <f>'[69]PP Summary'!F29</f>
        <v>-518.720455770264</v>
      </c>
      <c r="G52" s="123">
        <f t="shared" si="11"/>
        <v>794.934654229736</v>
      </c>
      <c r="H52" s="124"/>
      <c r="I52" s="123">
        <f t="shared" si="10"/>
        <v>794.934654229736</v>
      </c>
      <c r="J52" s="123">
        <f t="shared" si="12"/>
        <v>794.934654229736</v>
      </c>
    </row>
    <row r="53" spans="2:10">
      <c r="B53" s="20">
        <v>8</v>
      </c>
      <c r="C53" s="122" t="s">
        <v>1208</v>
      </c>
      <c r="D53" s="123">
        <f>'[69]PP Summary'!E30</f>
        <v>209.91</v>
      </c>
      <c r="E53" s="124"/>
      <c r="F53" s="123">
        <f>'[69]PP Summary'!F30</f>
        <v>0</v>
      </c>
      <c r="G53" s="123">
        <f t="shared" si="11"/>
        <v>-209.91</v>
      </c>
      <c r="H53" s="124"/>
      <c r="I53" s="123">
        <f t="shared" si="10"/>
        <v>-209.91</v>
      </c>
      <c r="J53" s="123">
        <f t="shared" si="12"/>
        <v>-209.91</v>
      </c>
    </row>
    <row r="54" ht="15" spans="2:10">
      <c r="B54" s="20">
        <v>9</v>
      </c>
      <c r="C54" s="122" t="s">
        <v>1209</v>
      </c>
      <c r="D54" s="123">
        <f>'[69]PP Summary'!E31</f>
        <v>972.863335</v>
      </c>
      <c r="E54" s="125"/>
      <c r="F54" s="123">
        <f>'[69]PP Summary'!F31</f>
        <v>824.08044</v>
      </c>
      <c r="G54" s="123">
        <f t="shared" si="11"/>
        <v>-148.782895</v>
      </c>
      <c r="H54" s="125"/>
      <c r="I54" s="123">
        <f t="shared" si="10"/>
        <v>-148.782895</v>
      </c>
      <c r="J54" s="123">
        <f t="shared" si="12"/>
        <v>-148.782895</v>
      </c>
    </row>
    <row r="55" ht="28.5" spans="2:10">
      <c r="B55" s="20">
        <v>10</v>
      </c>
      <c r="C55" s="122" t="s">
        <v>1210</v>
      </c>
      <c r="D55" s="123">
        <f>'[69]PP Summary'!E32</f>
        <v>3785.06</v>
      </c>
      <c r="E55" s="125"/>
      <c r="F55" s="123">
        <f>'[69]PP Summary'!F32</f>
        <v>4417.5178212119</v>
      </c>
      <c r="G55" s="123">
        <f t="shared" si="11"/>
        <v>632.4578212119</v>
      </c>
      <c r="H55" s="124"/>
      <c r="I55" s="123">
        <f t="shared" si="10"/>
        <v>632.4578212119</v>
      </c>
      <c r="J55" s="123">
        <f t="shared" si="12"/>
        <v>632.4578212119</v>
      </c>
    </row>
    <row r="56" spans="2:10">
      <c r="B56" s="20">
        <v>11</v>
      </c>
      <c r="C56" s="122" t="s">
        <v>1211</v>
      </c>
      <c r="D56" s="123">
        <f>'[69]PP Summary'!E33</f>
        <v>0</v>
      </c>
      <c r="E56" s="127"/>
      <c r="F56" s="123">
        <f>'[69]PP Summary'!F33</f>
        <v>92.6747782854</v>
      </c>
      <c r="G56" s="123">
        <f t="shared" si="11"/>
        <v>92.6747782854</v>
      </c>
      <c r="H56" s="127"/>
      <c r="I56" s="123">
        <f t="shared" si="10"/>
        <v>92.6747782854</v>
      </c>
      <c r="J56" s="123">
        <f t="shared" si="12"/>
        <v>92.6747782854</v>
      </c>
    </row>
    <row r="57" ht="15" spans="2:10">
      <c r="B57" s="55"/>
      <c r="C57" s="128" t="s">
        <v>97</v>
      </c>
      <c r="D57" s="129">
        <f t="shared" ref="D57" si="13">SUM(D46:D56)</f>
        <v>29959.74864</v>
      </c>
      <c r="E57" s="129"/>
      <c r="F57" s="129">
        <f t="shared" ref="F57:G57" si="14">SUM(F46:F56)</f>
        <v>34382.8802610909</v>
      </c>
      <c r="G57" s="129">
        <f t="shared" si="14"/>
        <v>4423.13162109092</v>
      </c>
      <c r="H57" s="129"/>
      <c r="I57" s="129">
        <f t="shared" ref="I57" si="15">SUM(I46:I56)</f>
        <v>4423.13162109092</v>
      </c>
      <c r="J57" s="134">
        <f t="shared" si="12"/>
        <v>4423.13162109092</v>
      </c>
    </row>
    <row r="58" ht="15" spans="2:10">
      <c r="B58" s="55"/>
      <c r="C58" s="128" t="s">
        <v>1216</v>
      </c>
      <c r="D58" s="130"/>
      <c r="E58" s="130"/>
      <c r="F58" s="129"/>
      <c r="G58" s="129">
        <f>G57</f>
        <v>4423.13162109092</v>
      </c>
      <c r="H58" s="130"/>
      <c r="I58" s="129">
        <f>G58</f>
        <v>4423.13162109092</v>
      </c>
      <c r="J58" s="134">
        <f t="shared" si="12"/>
        <v>4423.13162109092</v>
      </c>
    </row>
    <row r="61" ht="15" spans="2:10">
      <c r="B61" s="14" t="s">
        <v>1217</v>
      </c>
      <c r="C61" s="15"/>
      <c r="D61" s="15"/>
      <c r="E61" s="15"/>
      <c r="F61" s="15"/>
      <c r="G61" s="15"/>
      <c r="H61" s="15"/>
      <c r="I61" s="15"/>
      <c r="J61" s="33" t="s">
        <v>109</v>
      </c>
    </row>
    <row r="62" ht="45" spans="2:10">
      <c r="B62" s="16" t="s">
        <v>3</v>
      </c>
      <c r="C62" s="17" t="s">
        <v>110</v>
      </c>
      <c r="D62" s="5" t="s">
        <v>116</v>
      </c>
      <c r="E62" s="5" t="s">
        <v>1196</v>
      </c>
      <c r="F62" s="5" t="s">
        <v>130</v>
      </c>
      <c r="G62" s="5" t="s">
        <v>1197</v>
      </c>
      <c r="H62" s="5" t="s">
        <v>1198</v>
      </c>
      <c r="I62" s="5" t="s">
        <v>1199</v>
      </c>
      <c r="J62" s="5" t="s">
        <v>1200</v>
      </c>
    </row>
    <row r="63" ht="15" spans="2:10">
      <c r="B63" s="6"/>
      <c r="C63" s="121" t="s">
        <v>1201</v>
      </c>
      <c r="D63" s="19"/>
      <c r="E63" s="19"/>
      <c r="F63" s="19"/>
      <c r="G63" s="19"/>
      <c r="H63" s="19"/>
      <c r="I63" s="19"/>
      <c r="J63" s="21"/>
    </row>
    <row r="64" spans="2:10">
      <c r="B64" s="20">
        <v>1</v>
      </c>
      <c r="C64" s="122" t="s">
        <v>1202</v>
      </c>
      <c r="D64" s="123">
        <f>'[70]PP Summary'!E23</f>
        <v>8374.04513</v>
      </c>
      <c r="E64" s="124"/>
      <c r="F64" s="123">
        <f>'[70]PP Summary'!F23</f>
        <v>10048.8132931204</v>
      </c>
      <c r="G64" s="123">
        <f>F64-D64</f>
        <v>1674.7681631204</v>
      </c>
      <c r="H64" s="124"/>
      <c r="I64" s="123">
        <f t="shared" ref="I64:I74" si="16">G64</f>
        <v>1674.7681631204</v>
      </c>
      <c r="J64" s="123">
        <f>I64</f>
        <v>1674.7681631204</v>
      </c>
    </row>
    <row r="65" spans="2:10">
      <c r="B65" s="20">
        <v>2</v>
      </c>
      <c r="C65" s="122" t="s">
        <v>1203</v>
      </c>
      <c r="D65" s="123">
        <f>'[70]PP Summary'!E24</f>
        <v>863.40501</v>
      </c>
      <c r="E65" s="124"/>
      <c r="F65" s="123">
        <f>'[70]PP Summary'!F24</f>
        <v>876.4743975</v>
      </c>
      <c r="G65" s="123">
        <f t="shared" ref="G65:G74" si="17">F65-D65</f>
        <v>13.0693875000001</v>
      </c>
      <c r="H65" s="124"/>
      <c r="I65" s="123">
        <f t="shared" si="16"/>
        <v>13.0693875000001</v>
      </c>
      <c r="J65" s="123">
        <f t="shared" ref="J65:J76" si="18">I65</f>
        <v>13.0693875000001</v>
      </c>
    </row>
    <row r="66" spans="2:10">
      <c r="B66" s="20">
        <v>3</v>
      </c>
      <c r="C66" s="122" t="s">
        <v>1204</v>
      </c>
      <c r="D66" s="123">
        <f>'[70]PP Summary'!E25</f>
        <v>6262.617675</v>
      </c>
      <c r="E66" s="124"/>
      <c r="F66" s="123">
        <f>'[70]PP Summary'!F25</f>
        <v>6046.2256583879</v>
      </c>
      <c r="G66" s="123">
        <f t="shared" si="17"/>
        <v>-216.392016612101</v>
      </c>
      <c r="H66" s="124"/>
      <c r="I66" s="123">
        <f t="shared" si="16"/>
        <v>-216.392016612101</v>
      </c>
      <c r="J66" s="123">
        <f t="shared" si="18"/>
        <v>-216.392016612101</v>
      </c>
    </row>
    <row r="67" spans="2:10">
      <c r="B67" s="20">
        <v>4</v>
      </c>
      <c r="C67" s="122" t="s">
        <v>1205</v>
      </c>
      <c r="D67" s="123">
        <f>'[70]PP Summary'!E26</f>
        <v>3487.21</v>
      </c>
      <c r="E67" s="124"/>
      <c r="F67" s="123">
        <f>'[70]PP Summary'!F26</f>
        <v>3768.61253955237</v>
      </c>
      <c r="G67" s="123">
        <f t="shared" si="17"/>
        <v>281.40253955237</v>
      </c>
      <c r="H67" s="124"/>
      <c r="I67" s="123">
        <f t="shared" si="16"/>
        <v>281.40253955237</v>
      </c>
      <c r="J67" s="123">
        <f t="shared" si="18"/>
        <v>281.40253955237</v>
      </c>
    </row>
    <row r="68" ht="15" spans="2:10">
      <c r="B68" s="20">
        <v>5</v>
      </c>
      <c r="C68" s="122" t="s">
        <v>440</v>
      </c>
      <c r="D68" s="123">
        <f>'[70]PP Summary'!E27</f>
        <v>6946.56465</v>
      </c>
      <c r="E68" s="125"/>
      <c r="F68" s="123">
        <f>'[70]PP Summary'!F27</f>
        <v>5403.57239412465</v>
      </c>
      <c r="G68" s="123">
        <f t="shared" si="17"/>
        <v>-1542.99225587535</v>
      </c>
      <c r="H68" s="125"/>
      <c r="I68" s="123">
        <f t="shared" si="16"/>
        <v>-1542.99225587535</v>
      </c>
      <c r="J68" s="123">
        <f t="shared" si="18"/>
        <v>-1542.99225587535</v>
      </c>
    </row>
    <row r="69" spans="2:10">
      <c r="B69" s="20">
        <v>6</v>
      </c>
      <c r="C69" s="122" t="s">
        <v>1206</v>
      </c>
      <c r="D69" s="123">
        <f>'[70]PP Summary'!E28</f>
        <v>371.72795</v>
      </c>
      <c r="E69" s="124"/>
      <c r="F69" s="123">
        <f>'[70]PP Summary'!F28</f>
        <v>5975.98128909948</v>
      </c>
      <c r="G69" s="123">
        <f t="shared" si="17"/>
        <v>5604.25333909948</v>
      </c>
      <c r="H69" s="124"/>
      <c r="I69" s="123">
        <f t="shared" si="16"/>
        <v>5604.25333909948</v>
      </c>
      <c r="J69" s="123">
        <f t="shared" si="18"/>
        <v>5604.25333909948</v>
      </c>
    </row>
    <row r="70" spans="2:10">
      <c r="B70" s="20">
        <v>7</v>
      </c>
      <c r="C70" s="122" t="s">
        <v>1207</v>
      </c>
      <c r="D70" s="123">
        <f>'[70]PP Summary'!E29</f>
        <v>-1313.65511</v>
      </c>
      <c r="E70" s="124"/>
      <c r="F70" s="123">
        <f>'[70]PP Summary'!F29</f>
        <v>-518.720455770264</v>
      </c>
      <c r="G70" s="123">
        <f t="shared" si="17"/>
        <v>794.934654229736</v>
      </c>
      <c r="H70" s="124"/>
      <c r="I70" s="123">
        <f t="shared" si="16"/>
        <v>794.934654229736</v>
      </c>
      <c r="J70" s="123">
        <f t="shared" si="18"/>
        <v>794.934654229736</v>
      </c>
    </row>
    <row r="71" spans="2:10">
      <c r="B71" s="20">
        <v>8</v>
      </c>
      <c r="C71" s="122" t="s">
        <v>1208</v>
      </c>
      <c r="D71" s="123">
        <f>'[70]PP Summary'!E30</f>
        <v>209.91</v>
      </c>
      <c r="E71" s="124"/>
      <c r="F71" s="123">
        <f>'[70]PP Summary'!F30</f>
        <v>0</v>
      </c>
      <c r="G71" s="123">
        <f t="shared" si="17"/>
        <v>-209.91</v>
      </c>
      <c r="H71" s="124"/>
      <c r="I71" s="123">
        <f t="shared" si="16"/>
        <v>-209.91</v>
      </c>
      <c r="J71" s="123">
        <f t="shared" si="18"/>
        <v>-209.91</v>
      </c>
    </row>
    <row r="72" ht="15" spans="2:10">
      <c r="B72" s="20">
        <v>9</v>
      </c>
      <c r="C72" s="122" t="s">
        <v>1209</v>
      </c>
      <c r="D72" s="123">
        <f>'[70]PP Summary'!E31</f>
        <v>972.863335</v>
      </c>
      <c r="E72" s="125"/>
      <c r="F72" s="123">
        <f>'[70]PP Summary'!F31</f>
        <v>824.08044</v>
      </c>
      <c r="G72" s="123">
        <f t="shared" si="17"/>
        <v>-148.782895</v>
      </c>
      <c r="H72" s="125"/>
      <c r="I72" s="123">
        <f t="shared" si="16"/>
        <v>-148.782895</v>
      </c>
      <c r="J72" s="123">
        <f t="shared" si="18"/>
        <v>-148.782895</v>
      </c>
    </row>
    <row r="73" ht="28.5" spans="2:10">
      <c r="B73" s="20">
        <v>10</v>
      </c>
      <c r="C73" s="122" t="s">
        <v>1210</v>
      </c>
      <c r="D73" s="123">
        <f>'[70]PP Summary'!E32</f>
        <v>3785.06</v>
      </c>
      <c r="E73" s="125"/>
      <c r="F73" s="123">
        <f>'[70]PP Summary'!F32</f>
        <v>4417.5178212119</v>
      </c>
      <c r="G73" s="123">
        <f t="shared" si="17"/>
        <v>632.4578212119</v>
      </c>
      <c r="H73" s="124"/>
      <c r="I73" s="123">
        <f t="shared" si="16"/>
        <v>632.4578212119</v>
      </c>
      <c r="J73" s="123">
        <f t="shared" si="18"/>
        <v>632.4578212119</v>
      </c>
    </row>
    <row r="74" spans="2:10">
      <c r="B74" s="20">
        <v>11</v>
      </c>
      <c r="C74" s="122" t="s">
        <v>1211</v>
      </c>
      <c r="D74" s="123">
        <f>'[70]PP Summary'!E33</f>
        <v>0</v>
      </c>
      <c r="E74" s="127"/>
      <c r="F74" s="123">
        <f>'[70]PP Summary'!F33</f>
        <v>92.6747782854</v>
      </c>
      <c r="G74" s="123">
        <f t="shared" si="17"/>
        <v>92.6747782854</v>
      </c>
      <c r="H74" s="127"/>
      <c r="I74" s="123">
        <f t="shared" si="16"/>
        <v>92.6747782854</v>
      </c>
      <c r="J74" s="123">
        <f t="shared" si="18"/>
        <v>92.6747782854</v>
      </c>
    </row>
    <row r="75" ht="15" spans="2:10">
      <c r="B75" s="55"/>
      <c r="C75" s="128" t="s">
        <v>97</v>
      </c>
      <c r="D75" s="129">
        <f t="shared" ref="D75" si="19">SUM(D64:D74)</f>
        <v>29959.74864</v>
      </c>
      <c r="E75" s="129"/>
      <c r="F75" s="129">
        <f t="shared" ref="F75:G75" si="20">SUM(F64:F74)</f>
        <v>36935.2321555118</v>
      </c>
      <c r="G75" s="129">
        <f t="shared" si="20"/>
        <v>6975.48351551183</v>
      </c>
      <c r="H75" s="129"/>
      <c r="I75" s="129">
        <f t="shared" ref="I75" si="21">SUM(I64:I74)</f>
        <v>6975.48351551183</v>
      </c>
      <c r="J75" s="134">
        <f t="shared" si="18"/>
        <v>6975.48351551183</v>
      </c>
    </row>
    <row r="76" ht="15" spans="2:10">
      <c r="B76" s="55"/>
      <c r="C76" s="128" t="s">
        <v>1216</v>
      </c>
      <c r="D76" s="130"/>
      <c r="E76" s="130"/>
      <c r="F76" s="129"/>
      <c r="G76" s="129">
        <f>G75</f>
        <v>6975.48351551183</v>
      </c>
      <c r="H76" s="130"/>
      <c r="I76" s="129">
        <f>G76</f>
        <v>6975.48351551183</v>
      </c>
      <c r="J76" s="134">
        <f t="shared" si="18"/>
        <v>6975.48351551183</v>
      </c>
    </row>
  </sheetData>
  <mergeCells count="1">
    <mergeCell ref="B2:O2"/>
  </mergeCells>
  <pageMargins left="0.7" right="0.7" top="0.75" bottom="0.75" header="0.3" footer="0.3"/>
  <pageSetup paperSize="9" orientation="portrait"/>
  <headerFooter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12"/>
  <sheetViews>
    <sheetView showGridLines="0" workbookViewId="0">
      <selection activeCell="J19" sqref="J19"/>
    </sheetView>
  </sheetViews>
  <sheetFormatPr defaultColWidth="9.14285714285714" defaultRowHeight="14.25"/>
  <cols>
    <col min="1" max="1" width="9.14285714285714" style="12"/>
    <col min="2" max="2" width="7.42857142857143" style="12" customWidth="1"/>
    <col min="3" max="3" width="60.5714285714286" style="12" customWidth="1"/>
    <col min="4" max="4" width="13.8571428571429" style="12" customWidth="1"/>
    <col min="5" max="6" width="9.14285714285714" style="12"/>
    <col min="7" max="7" width="10" style="12" customWidth="1"/>
    <col min="8" max="16384" width="9.14285714285714" style="12"/>
  </cols>
  <sheetData>
    <row r="2" ht="15" spans="2:16">
      <c r="B2" s="2" t="s">
        <v>156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3:3">
      <c r="C3" s="3" t="s">
        <v>1218</v>
      </c>
    </row>
    <row r="4" ht="15" spans="4:4">
      <c r="D4" s="117" t="s">
        <v>109</v>
      </c>
    </row>
    <row r="5" ht="15" spans="2:4">
      <c r="B5" s="5" t="s">
        <v>3</v>
      </c>
      <c r="C5" s="6" t="s">
        <v>110</v>
      </c>
      <c r="D5" s="5" t="s">
        <v>653</v>
      </c>
    </row>
    <row r="6" ht="15" spans="2:4">
      <c r="B6" s="100">
        <v>1</v>
      </c>
      <c r="C6" s="55" t="s">
        <v>1219</v>
      </c>
      <c r="D6" s="118">
        <f>'F26-Year(n+1)(Current Tariff)xx'!N221</f>
        <v>34656.8483405945</v>
      </c>
    </row>
    <row r="7" ht="15" spans="2:7">
      <c r="B7" s="100">
        <f>B6+1</f>
        <v>2</v>
      </c>
      <c r="C7" s="55" t="s">
        <v>1220</v>
      </c>
      <c r="D7" s="118">
        <f>'F26-Year(n+1)(Proposed Tariff)'!O221</f>
        <v>33013.8197484828</v>
      </c>
      <c r="E7" s="119"/>
      <c r="G7" s="119"/>
    </row>
    <row r="8" spans="2:5">
      <c r="B8" s="100">
        <f>B7+1</f>
        <v>3</v>
      </c>
      <c r="C8" s="55" t="s">
        <v>1221</v>
      </c>
      <c r="D8" s="120">
        <f>-'[53]TGSPDCL (3)'!$H$37</f>
        <v>5980.63540401572</v>
      </c>
      <c r="E8" s="119"/>
    </row>
    <row r="9" ht="15" spans="2:7">
      <c r="B9" s="100">
        <f>B8+1</f>
        <v>4</v>
      </c>
      <c r="C9" s="55" t="s">
        <v>1222</v>
      </c>
      <c r="D9" s="118">
        <v>0</v>
      </c>
      <c r="G9" s="119"/>
    </row>
    <row r="11" ht="15" spans="2:2">
      <c r="B11" s="11" t="s">
        <v>225</v>
      </c>
    </row>
    <row r="12" spans="2:3">
      <c r="B12" s="13">
        <v>1</v>
      </c>
      <c r="C12" s="12" t="s">
        <v>1223</v>
      </c>
    </row>
  </sheetData>
  <mergeCells count="1">
    <mergeCell ref="B2:P2"/>
  </mergeCells>
  <pageMargins left="0.7" right="0.7" top="0.75" bottom="0.75" header="0.3" footer="0.3"/>
  <pageSetup paperSize="1" orientation="portrait"/>
  <headerFooter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134"/>
  <sheetViews>
    <sheetView showGridLines="0" zoomScale="70" zoomScaleNormal="70" workbookViewId="0">
      <pane xSplit="3" ySplit="7" topLeftCell="H104" activePane="bottomRight" state="frozen"/>
      <selection/>
      <selection pane="topRight"/>
      <selection pane="bottomLeft"/>
      <selection pane="bottomRight" activeCell="I109" sqref="I109"/>
    </sheetView>
  </sheetViews>
  <sheetFormatPr defaultColWidth="9.14285714285714" defaultRowHeight="14.25"/>
  <cols>
    <col min="1" max="1" width="9.14285714285714" style="1"/>
    <col min="2" max="2" width="31.8571428571429" style="1" customWidth="1"/>
    <col min="3" max="3" width="45.1428571428571" style="1" customWidth="1"/>
    <col min="4" max="4" width="10.5714285714286" style="1" customWidth="1"/>
    <col min="5" max="5" width="30.8571428571429" style="1" customWidth="1"/>
    <col min="6" max="6" width="21.1428571428571" style="1" customWidth="1"/>
    <col min="7" max="7" width="9.85714285714286" style="1" hidden="1" customWidth="1"/>
    <col min="8" max="8" width="28.1428571428571" style="1" customWidth="1"/>
    <col min="9" max="9" width="21.1428571428571" style="1" customWidth="1"/>
    <col min="10" max="10" width="9.85714285714286" style="1" hidden="1" customWidth="1"/>
    <col min="11" max="11" width="28.5714285714286" style="1" hidden="1" customWidth="1"/>
    <col min="12" max="12" width="21.1428571428571" style="1" hidden="1" customWidth="1"/>
    <col min="13" max="13" width="9.85714285714286" style="1" hidden="1" customWidth="1"/>
    <col min="14" max="14" width="35.5714285714286" style="1" customWidth="1"/>
    <col min="15" max="15" width="21.1428571428571" style="1" customWidth="1"/>
    <col min="16" max="16384" width="9.14285714285714" style="1"/>
  </cols>
  <sheetData>
    <row r="2" ht="15" spans="2:16">
      <c r="B2" s="2" t="s">
        <v>156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9:9">
      <c r="I3" s="3" t="s">
        <v>990</v>
      </c>
    </row>
    <row r="5" ht="15" spans="2:15">
      <c r="B5" s="109" t="s">
        <v>159</v>
      </c>
      <c r="C5" s="110"/>
      <c r="D5" s="39" t="s">
        <v>991</v>
      </c>
      <c r="E5" s="39"/>
      <c r="F5" s="39"/>
      <c r="G5" s="39" t="s">
        <v>992</v>
      </c>
      <c r="H5" s="39"/>
      <c r="I5" s="39"/>
      <c r="J5" s="39" t="s">
        <v>993</v>
      </c>
      <c r="K5" s="39"/>
      <c r="L5" s="39"/>
      <c r="M5" s="39" t="s">
        <v>994</v>
      </c>
      <c r="N5" s="39"/>
      <c r="O5" s="39"/>
    </row>
    <row r="6" ht="30" customHeight="1" spans="2:15">
      <c r="B6" s="111"/>
      <c r="C6" s="112"/>
      <c r="D6" s="113" t="s">
        <v>995</v>
      </c>
      <c r="E6" s="114"/>
      <c r="F6" s="90" t="s">
        <v>996</v>
      </c>
      <c r="G6" s="113" t="s">
        <v>995</v>
      </c>
      <c r="H6" s="114"/>
      <c r="I6" s="90" t="s">
        <v>996</v>
      </c>
      <c r="J6" s="113" t="s">
        <v>995</v>
      </c>
      <c r="K6" s="114"/>
      <c r="L6" s="90" t="s">
        <v>996</v>
      </c>
      <c r="M6" s="113" t="s">
        <v>995</v>
      </c>
      <c r="N6" s="114"/>
      <c r="O6" s="90" t="s">
        <v>996</v>
      </c>
    </row>
    <row r="7" ht="15" spans="2:15">
      <c r="B7" s="111"/>
      <c r="C7" s="112"/>
      <c r="D7" s="38" t="s">
        <v>997</v>
      </c>
      <c r="E7" s="38" t="s">
        <v>998</v>
      </c>
      <c r="F7" s="115" t="s">
        <v>999</v>
      </c>
      <c r="G7" s="38" t="s">
        <v>997</v>
      </c>
      <c r="H7" s="38" t="s">
        <v>998</v>
      </c>
      <c r="I7" s="115" t="s">
        <v>999</v>
      </c>
      <c r="J7" s="38" t="s">
        <v>997</v>
      </c>
      <c r="K7" s="38" t="s">
        <v>998</v>
      </c>
      <c r="L7" s="115" t="s">
        <v>999</v>
      </c>
      <c r="M7" s="38" t="s">
        <v>997</v>
      </c>
      <c r="N7" s="38" t="s">
        <v>998</v>
      </c>
      <c r="O7" s="115" t="s">
        <v>999</v>
      </c>
    </row>
    <row r="8" ht="15" spans="2:15">
      <c r="B8" s="44" t="s">
        <v>890</v>
      </c>
      <c r="C8" s="45"/>
      <c r="D8" s="70"/>
      <c r="E8" s="70"/>
      <c r="F8" s="70"/>
      <c r="G8" s="8"/>
      <c r="H8" s="8"/>
      <c r="I8" s="8"/>
      <c r="J8" s="8"/>
      <c r="K8" s="8"/>
      <c r="L8" s="8"/>
      <c r="M8" s="8"/>
      <c r="N8" s="8"/>
      <c r="O8" s="8"/>
    </row>
    <row r="9" ht="15" spans="2:15">
      <c r="B9" s="46" t="s">
        <v>1000</v>
      </c>
      <c r="C9" s="47"/>
      <c r="D9" s="47"/>
      <c r="E9" s="47"/>
      <c r="F9" s="47"/>
      <c r="G9" s="8"/>
      <c r="H9" s="8"/>
      <c r="I9" s="8"/>
      <c r="J9" s="8"/>
      <c r="K9" s="8"/>
      <c r="L9" s="8"/>
      <c r="M9" s="8"/>
      <c r="N9" s="8"/>
      <c r="O9" s="8"/>
    </row>
    <row r="10" spans="2:15">
      <c r="B10" s="50" t="s">
        <v>1001</v>
      </c>
      <c r="C10" s="47"/>
      <c r="D10" s="55"/>
      <c r="E10" s="47"/>
      <c r="F10" s="47"/>
      <c r="G10" s="8"/>
      <c r="H10" s="8"/>
      <c r="I10" s="8"/>
      <c r="J10" s="8"/>
      <c r="K10" s="8"/>
      <c r="L10" s="8"/>
      <c r="M10" s="8"/>
      <c r="N10" s="8"/>
      <c r="O10" s="8"/>
    </row>
    <row r="11" spans="2:15">
      <c r="B11" s="52" t="s">
        <v>1002</v>
      </c>
      <c r="C11" s="47"/>
      <c r="D11" s="100" t="s">
        <v>1003</v>
      </c>
      <c r="E11" s="100">
        <v>10</v>
      </c>
      <c r="F11" s="101">
        <v>1.95</v>
      </c>
      <c r="G11" s="100" t="s">
        <v>1003</v>
      </c>
      <c r="H11" s="100">
        <v>10</v>
      </c>
      <c r="I11" s="101">
        <v>1.95</v>
      </c>
      <c r="J11" s="100" t="s">
        <v>1003</v>
      </c>
      <c r="K11" s="100">
        <v>10</v>
      </c>
      <c r="L11" s="101">
        <f>I11+[65]FCRT_SPDCL!$K$4</f>
        <v>3.81730498083869</v>
      </c>
      <c r="M11" s="100" t="s">
        <v>1003</v>
      </c>
      <c r="N11" s="100">
        <v>50</v>
      </c>
      <c r="O11" s="101">
        <v>1.95</v>
      </c>
    </row>
    <row r="12" spans="2:15">
      <c r="B12" s="52" t="s">
        <v>1004</v>
      </c>
      <c r="C12" s="47"/>
      <c r="D12" s="100" t="s">
        <v>1003</v>
      </c>
      <c r="E12" s="100">
        <v>10</v>
      </c>
      <c r="F12" s="101">
        <v>3.1</v>
      </c>
      <c r="G12" s="100" t="s">
        <v>1003</v>
      </c>
      <c r="H12" s="100">
        <v>10</v>
      </c>
      <c r="I12" s="101">
        <v>3.1</v>
      </c>
      <c r="J12" s="100" t="s">
        <v>1003</v>
      </c>
      <c r="K12" s="100">
        <v>10</v>
      </c>
      <c r="L12" s="101">
        <f>I12+[65]FCRT_SPDCL!$K$4</f>
        <v>4.96730498083869</v>
      </c>
      <c r="M12" s="100" t="s">
        <v>1003</v>
      </c>
      <c r="N12" s="100">
        <v>50</v>
      </c>
      <c r="O12" s="101">
        <v>3.1</v>
      </c>
    </row>
    <row r="13" spans="2:15">
      <c r="B13" s="50" t="s">
        <v>1005</v>
      </c>
      <c r="C13" s="47"/>
      <c r="D13" s="100"/>
      <c r="E13" s="100"/>
      <c r="F13" s="101"/>
      <c r="G13" s="8"/>
      <c r="H13" s="8"/>
      <c r="I13" s="8"/>
      <c r="J13" s="8"/>
      <c r="K13" s="8"/>
      <c r="L13" s="8"/>
      <c r="M13" s="8"/>
      <c r="N13" s="8"/>
      <c r="O13" s="8"/>
    </row>
    <row r="14" spans="2:15">
      <c r="B14" s="52" t="s">
        <v>1006</v>
      </c>
      <c r="C14" s="47"/>
      <c r="D14" s="100" t="s">
        <v>1003</v>
      </c>
      <c r="E14" s="100">
        <v>10</v>
      </c>
      <c r="F14" s="101">
        <v>3.4</v>
      </c>
      <c r="G14" s="100" t="s">
        <v>1003</v>
      </c>
      <c r="H14" s="100">
        <v>10</v>
      </c>
      <c r="I14" s="101">
        <v>3.4</v>
      </c>
      <c r="J14" s="100" t="s">
        <v>1003</v>
      </c>
      <c r="K14" s="100">
        <v>10</v>
      </c>
      <c r="L14" s="101">
        <f>I14+[65]FCRT_SPDCL!$K$4</f>
        <v>5.26730498083869</v>
      </c>
      <c r="M14" s="100" t="s">
        <v>1003</v>
      </c>
      <c r="N14" s="100">
        <v>50</v>
      </c>
      <c r="O14" s="101">
        <v>3.4</v>
      </c>
    </row>
    <row r="15" spans="2:15">
      <c r="B15" s="52" t="s">
        <v>1007</v>
      </c>
      <c r="C15" s="47"/>
      <c r="D15" s="100" t="s">
        <v>1003</v>
      </c>
      <c r="E15" s="100">
        <v>10</v>
      </c>
      <c r="F15" s="101">
        <v>4.8</v>
      </c>
      <c r="G15" s="100" t="s">
        <v>1003</v>
      </c>
      <c r="H15" s="100">
        <v>10</v>
      </c>
      <c r="I15" s="101">
        <v>4.8</v>
      </c>
      <c r="J15" s="100" t="s">
        <v>1003</v>
      </c>
      <c r="K15" s="100">
        <v>10</v>
      </c>
      <c r="L15" s="101">
        <f>I15+[65]FCRT_SPDCL!$K$4</f>
        <v>6.66730498083869</v>
      </c>
      <c r="M15" s="100" t="s">
        <v>1003</v>
      </c>
      <c r="N15" s="100">
        <v>50</v>
      </c>
      <c r="O15" s="101">
        <v>4.8</v>
      </c>
    </row>
    <row r="16" spans="2:15">
      <c r="B16" s="50" t="s">
        <v>1008</v>
      </c>
      <c r="C16" s="47"/>
      <c r="D16" s="100"/>
      <c r="E16" s="100"/>
      <c r="F16" s="101"/>
      <c r="G16" s="8"/>
      <c r="H16" s="8"/>
      <c r="I16" s="8"/>
      <c r="J16" s="8"/>
      <c r="K16" s="8"/>
      <c r="L16" s="8"/>
      <c r="M16" s="8"/>
      <c r="N16" s="8"/>
      <c r="O16" s="8"/>
    </row>
    <row r="17" spans="2:15">
      <c r="B17" s="52" t="s">
        <v>1009</v>
      </c>
      <c r="C17" s="47"/>
      <c r="D17" s="100" t="s">
        <v>1003</v>
      </c>
      <c r="E17" s="100">
        <v>10</v>
      </c>
      <c r="F17" s="101">
        <v>5.1</v>
      </c>
      <c r="G17" s="100" t="s">
        <v>1003</v>
      </c>
      <c r="H17" s="100">
        <v>10</v>
      </c>
      <c r="I17" s="101">
        <v>5.1</v>
      </c>
      <c r="J17" s="100" t="s">
        <v>1003</v>
      </c>
      <c r="K17" s="100">
        <v>10</v>
      </c>
      <c r="L17" s="101">
        <f>I17+[65]FCRT_SPDCL!$K$4</f>
        <v>6.96730498083869</v>
      </c>
      <c r="M17" s="100" t="s">
        <v>1003</v>
      </c>
      <c r="N17" s="100">
        <v>50</v>
      </c>
      <c r="O17" s="101">
        <v>5.1</v>
      </c>
    </row>
    <row r="18" spans="2:15">
      <c r="B18" s="52" t="s">
        <v>1010</v>
      </c>
      <c r="C18" s="47"/>
      <c r="D18" s="100" t="s">
        <v>1003</v>
      </c>
      <c r="E18" s="100">
        <v>10</v>
      </c>
      <c r="F18" s="101">
        <v>7.7</v>
      </c>
      <c r="G18" s="100" t="s">
        <v>1003</v>
      </c>
      <c r="H18" s="100">
        <v>10</v>
      </c>
      <c r="I18" s="101">
        <v>7.7</v>
      </c>
      <c r="J18" s="100" t="s">
        <v>1003</v>
      </c>
      <c r="K18" s="100">
        <v>10</v>
      </c>
      <c r="L18" s="101">
        <f>I18+[65]FCRT_SPDCL!$K$4</f>
        <v>9.56730498083869</v>
      </c>
      <c r="M18" s="100" t="s">
        <v>1003</v>
      </c>
      <c r="N18" s="100">
        <v>50</v>
      </c>
      <c r="O18" s="101">
        <v>7.7</v>
      </c>
    </row>
    <row r="19" spans="2:15">
      <c r="B19" s="52" t="s">
        <v>1011</v>
      </c>
      <c r="C19" s="47"/>
      <c r="D19" s="100" t="s">
        <v>1003</v>
      </c>
      <c r="E19" s="100">
        <v>10</v>
      </c>
      <c r="F19" s="60">
        <v>9</v>
      </c>
      <c r="G19" s="100" t="s">
        <v>1003</v>
      </c>
      <c r="H19" s="100">
        <v>10</v>
      </c>
      <c r="I19" s="60">
        <v>9</v>
      </c>
      <c r="J19" s="100" t="s">
        <v>1003</v>
      </c>
      <c r="K19" s="100">
        <v>10</v>
      </c>
      <c r="L19" s="101">
        <f>I19+[65]FCRT_SPDCL!$K$4</f>
        <v>10.8673049808387</v>
      </c>
      <c r="M19" s="100" t="s">
        <v>1003</v>
      </c>
      <c r="N19" s="100">
        <v>50</v>
      </c>
      <c r="O19" s="60">
        <v>9</v>
      </c>
    </row>
    <row r="20" spans="2:15">
      <c r="B20" s="52" t="s">
        <v>1012</v>
      </c>
      <c r="C20" s="47"/>
      <c r="D20" s="100" t="s">
        <v>1003</v>
      </c>
      <c r="E20" s="100">
        <v>10</v>
      </c>
      <c r="F20" s="60">
        <v>9.5</v>
      </c>
      <c r="G20" s="100" t="s">
        <v>1003</v>
      </c>
      <c r="H20" s="100">
        <v>10</v>
      </c>
      <c r="I20" s="60">
        <v>9.5</v>
      </c>
      <c r="J20" s="100" t="s">
        <v>1003</v>
      </c>
      <c r="K20" s="100">
        <v>10</v>
      </c>
      <c r="L20" s="101">
        <f>I20+[65]FCRT_SPDCL!$K$4</f>
        <v>11.3673049808387</v>
      </c>
      <c r="M20" s="100" t="s">
        <v>1003</v>
      </c>
      <c r="N20" s="100">
        <v>50</v>
      </c>
      <c r="O20" s="60">
        <v>9.5</v>
      </c>
    </row>
    <row r="21" spans="2:15">
      <c r="B21" s="52" t="s">
        <v>1013</v>
      </c>
      <c r="C21" s="47"/>
      <c r="D21" s="100" t="s">
        <v>1003</v>
      </c>
      <c r="E21" s="7">
        <v>10</v>
      </c>
      <c r="F21" s="60">
        <v>10</v>
      </c>
      <c r="G21" s="100" t="s">
        <v>1003</v>
      </c>
      <c r="H21" s="7">
        <v>10</v>
      </c>
      <c r="I21" s="60">
        <v>10</v>
      </c>
      <c r="J21" s="100" t="s">
        <v>1003</v>
      </c>
      <c r="K21" s="7">
        <v>10</v>
      </c>
      <c r="L21" s="101">
        <f>I21+[65]FCRT_SPDCL!$K$4</f>
        <v>11.8673049808387</v>
      </c>
      <c r="M21" s="100" t="s">
        <v>1003</v>
      </c>
      <c r="N21" s="100">
        <v>50</v>
      </c>
      <c r="O21" s="60">
        <v>10</v>
      </c>
    </row>
    <row r="22" ht="15" spans="2:15">
      <c r="B22" s="54" t="s">
        <v>1014</v>
      </c>
      <c r="C22" s="55"/>
      <c r="D22" s="100"/>
      <c r="E22" s="7"/>
      <c r="F22" s="60"/>
      <c r="G22" s="8"/>
      <c r="H22" s="8"/>
      <c r="I22" s="8"/>
      <c r="J22" s="8"/>
      <c r="K22" s="8"/>
      <c r="L22" s="8"/>
      <c r="M22" s="8"/>
      <c r="N22" s="8"/>
      <c r="O22" s="8"/>
    </row>
    <row r="23" spans="2:15">
      <c r="B23" s="56" t="s">
        <v>1015</v>
      </c>
      <c r="C23" s="55"/>
      <c r="D23" s="100"/>
      <c r="E23" s="7"/>
      <c r="F23" s="60"/>
      <c r="G23" s="8"/>
      <c r="H23" s="8"/>
      <c r="I23" s="8"/>
      <c r="J23" s="8"/>
      <c r="K23" s="8"/>
      <c r="L23" s="8"/>
      <c r="M23" s="8"/>
      <c r="N23" s="8"/>
      <c r="O23" s="8"/>
    </row>
    <row r="24" spans="2:15">
      <c r="B24" s="57" t="s">
        <v>1002</v>
      </c>
      <c r="C24" s="55"/>
      <c r="D24" s="100" t="s">
        <v>1003</v>
      </c>
      <c r="E24" s="7">
        <v>60</v>
      </c>
      <c r="F24" s="60">
        <v>7</v>
      </c>
      <c r="G24" s="100" t="s">
        <v>1003</v>
      </c>
      <c r="H24" s="7">
        <v>60</v>
      </c>
      <c r="I24" s="60">
        <v>7</v>
      </c>
      <c r="J24" s="100" t="s">
        <v>1003</v>
      </c>
      <c r="K24" s="7">
        <v>60</v>
      </c>
      <c r="L24" s="60">
        <v>7</v>
      </c>
      <c r="M24" s="100" t="s">
        <v>1003</v>
      </c>
      <c r="N24" s="7">
        <v>125</v>
      </c>
      <c r="O24" s="60">
        <v>7</v>
      </c>
    </row>
    <row r="25" spans="2:15">
      <c r="B25" s="56" t="s">
        <v>1016</v>
      </c>
      <c r="C25" s="55"/>
      <c r="D25" s="100"/>
      <c r="E25" s="7"/>
      <c r="F25" s="60"/>
      <c r="G25" s="8"/>
      <c r="H25" s="8"/>
      <c r="I25" s="8"/>
      <c r="J25" s="8"/>
      <c r="K25" s="8"/>
      <c r="L25" s="8"/>
      <c r="M25" s="8"/>
      <c r="N25" s="8"/>
      <c r="O25" s="8"/>
    </row>
    <row r="26" spans="2:15">
      <c r="B26" s="58" t="s">
        <v>1006</v>
      </c>
      <c r="C26" s="55"/>
      <c r="D26" s="100" t="s">
        <v>1003</v>
      </c>
      <c r="E26" s="7">
        <v>70</v>
      </c>
      <c r="F26" s="60">
        <v>8.5</v>
      </c>
      <c r="G26" s="100" t="s">
        <v>1003</v>
      </c>
      <c r="H26" s="7">
        <v>70</v>
      </c>
      <c r="I26" s="60">
        <v>8.5</v>
      </c>
      <c r="J26" s="100" t="s">
        <v>1003</v>
      </c>
      <c r="K26" s="7">
        <v>70</v>
      </c>
      <c r="L26" s="60">
        <v>8.5</v>
      </c>
      <c r="M26" s="100" t="s">
        <v>1003</v>
      </c>
      <c r="N26" s="7">
        <v>150</v>
      </c>
      <c r="O26" s="60">
        <v>8.5</v>
      </c>
    </row>
    <row r="27" spans="2:15">
      <c r="B27" s="58" t="s">
        <v>1017</v>
      </c>
      <c r="C27" s="55"/>
      <c r="D27" s="100" t="s">
        <v>1003</v>
      </c>
      <c r="E27" s="7">
        <v>70</v>
      </c>
      <c r="F27" s="60">
        <v>9.9</v>
      </c>
      <c r="G27" s="100" t="s">
        <v>1003</v>
      </c>
      <c r="H27" s="7">
        <v>70</v>
      </c>
      <c r="I27" s="60">
        <v>9.9</v>
      </c>
      <c r="J27" s="100" t="s">
        <v>1003</v>
      </c>
      <c r="K27" s="7">
        <v>70</v>
      </c>
      <c r="L27" s="60">
        <v>9.9</v>
      </c>
      <c r="M27" s="100" t="s">
        <v>1003</v>
      </c>
      <c r="N27" s="7">
        <v>150</v>
      </c>
      <c r="O27" s="60">
        <v>9.9</v>
      </c>
    </row>
    <row r="28" spans="2:15">
      <c r="B28" s="58" t="s">
        <v>1018</v>
      </c>
      <c r="C28" s="55"/>
      <c r="D28" s="100" t="s">
        <v>1003</v>
      </c>
      <c r="E28" s="7">
        <v>70</v>
      </c>
      <c r="F28" s="60">
        <v>10.4</v>
      </c>
      <c r="G28" s="100" t="s">
        <v>1003</v>
      </c>
      <c r="H28" s="7">
        <v>70</v>
      </c>
      <c r="I28" s="60">
        <v>10.4</v>
      </c>
      <c r="J28" s="100" t="s">
        <v>1003</v>
      </c>
      <c r="K28" s="7">
        <v>70</v>
      </c>
      <c r="L28" s="60">
        <v>10.4</v>
      </c>
      <c r="M28" s="100" t="s">
        <v>1003</v>
      </c>
      <c r="N28" s="7">
        <v>150</v>
      </c>
      <c r="O28" s="60">
        <v>10.4</v>
      </c>
    </row>
    <row r="29" spans="2:15">
      <c r="B29" s="58" t="s">
        <v>1019</v>
      </c>
      <c r="C29" s="55"/>
      <c r="D29" s="100" t="s">
        <v>1003</v>
      </c>
      <c r="E29" s="7">
        <v>70</v>
      </c>
      <c r="F29" s="60">
        <v>11</v>
      </c>
      <c r="G29" s="100" t="s">
        <v>1003</v>
      </c>
      <c r="H29" s="7">
        <v>70</v>
      </c>
      <c r="I29" s="60">
        <v>11</v>
      </c>
      <c r="J29" s="100" t="s">
        <v>1003</v>
      </c>
      <c r="K29" s="7">
        <v>70</v>
      </c>
      <c r="L29" s="60">
        <v>11</v>
      </c>
      <c r="M29" s="100" t="s">
        <v>1003</v>
      </c>
      <c r="N29" s="7">
        <v>150</v>
      </c>
      <c r="O29" s="60">
        <v>11</v>
      </c>
    </row>
    <row r="30" spans="2:15">
      <c r="B30" s="56" t="s">
        <v>1020</v>
      </c>
      <c r="C30" s="55"/>
      <c r="D30" s="100" t="s">
        <v>1003</v>
      </c>
      <c r="E30" s="7">
        <v>70</v>
      </c>
      <c r="F30" s="60">
        <v>13</v>
      </c>
      <c r="G30" s="100" t="s">
        <v>1003</v>
      </c>
      <c r="H30" s="7">
        <v>70</v>
      </c>
      <c r="I30" s="60">
        <v>13</v>
      </c>
      <c r="J30" s="100" t="s">
        <v>1003</v>
      </c>
      <c r="K30" s="7">
        <v>70</v>
      </c>
      <c r="L30" s="60">
        <v>13</v>
      </c>
      <c r="M30" s="100" t="s">
        <v>1003</v>
      </c>
      <c r="N30" s="7">
        <v>150</v>
      </c>
      <c r="O30" s="60">
        <v>13</v>
      </c>
    </row>
    <row r="31" spans="2:15">
      <c r="B31" s="56" t="s">
        <v>1021</v>
      </c>
      <c r="C31" s="55"/>
      <c r="D31" s="100"/>
      <c r="E31" s="7"/>
      <c r="F31" s="60"/>
      <c r="G31" s="8"/>
      <c r="H31" s="8"/>
      <c r="I31" s="8"/>
      <c r="J31" s="8"/>
      <c r="K31" s="8"/>
      <c r="L31" s="8"/>
      <c r="M31" s="8"/>
      <c r="N31" s="8"/>
      <c r="O31" s="8"/>
    </row>
    <row r="32" spans="2:15">
      <c r="B32" s="58" t="s">
        <v>1002</v>
      </c>
      <c r="C32" s="55"/>
      <c r="D32" s="7" t="s">
        <v>1003</v>
      </c>
      <c r="E32" s="7">
        <v>60</v>
      </c>
      <c r="F32" s="60">
        <v>5.3</v>
      </c>
      <c r="G32" s="7" t="s">
        <v>1003</v>
      </c>
      <c r="H32" s="7">
        <v>60</v>
      </c>
      <c r="I32" s="60">
        <v>5.3</v>
      </c>
      <c r="J32" s="7" t="s">
        <v>1003</v>
      </c>
      <c r="K32" s="7">
        <v>60</v>
      </c>
      <c r="L32" s="60">
        <v>5.3</v>
      </c>
      <c r="M32" s="7" t="s">
        <v>1003</v>
      </c>
      <c r="N32" s="7">
        <v>60</v>
      </c>
      <c r="O32" s="60">
        <v>5.3</v>
      </c>
    </row>
    <row r="33" spans="2:15">
      <c r="B33" s="58" t="s">
        <v>1022</v>
      </c>
      <c r="C33" s="55"/>
      <c r="D33" s="7" t="s">
        <v>1003</v>
      </c>
      <c r="E33" s="7">
        <v>60</v>
      </c>
      <c r="F33" s="60">
        <v>6.6</v>
      </c>
      <c r="G33" s="7" t="s">
        <v>1003</v>
      </c>
      <c r="H33" s="7">
        <v>60</v>
      </c>
      <c r="I33" s="60">
        <v>6.6</v>
      </c>
      <c r="J33" s="7" t="s">
        <v>1003</v>
      </c>
      <c r="K33" s="7">
        <v>60</v>
      </c>
      <c r="L33" s="60">
        <v>6.6</v>
      </c>
      <c r="M33" s="7" t="s">
        <v>1003</v>
      </c>
      <c r="N33" s="7">
        <v>60</v>
      </c>
      <c r="O33" s="60">
        <v>6.6</v>
      </c>
    </row>
    <row r="34" spans="2:15">
      <c r="B34" s="58" t="s">
        <v>1023</v>
      </c>
      <c r="C34" s="55"/>
      <c r="D34" s="7" t="s">
        <v>1003</v>
      </c>
      <c r="E34" s="7">
        <v>60</v>
      </c>
      <c r="F34" s="60">
        <v>7.5</v>
      </c>
      <c r="G34" s="7" t="s">
        <v>1003</v>
      </c>
      <c r="H34" s="7">
        <v>60</v>
      </c>
      <c r="I34" s="60">
        <v>7.5</v>
      </c>
      <c r="J34" s="7" t="s">
        <v>1003</v>
      </c>
      <c r="K34" s="7">
        <v>60</v>
      </c>
      <c r="L34" s="60">
        <v>7.5</v>
      </c>
      <c r="M34" s="7" t="s">
        <v>1003</v>
      </c>
      <c r="N34" s="7">
        <v>60</v>
      </c>
      <c r="O34" s="60">
        <v>7.5</v>
      </c>
    </row>
    <row r="35" ht="15" spans="2:15">
      <c r="B35" s="54" t="s">
        <v>1024</v>
      </c>
      <c r="C35" s="55"/>
      <c r="D35" s="7"/>
      <c r="E35" s="7"/>
      <c r="F35" s="60"/>
      <c r="G35" s="8"/>
      <c r="H35" s="8"/>
      <c r="I35" s="8"/>
      <c r="J35" s="8"/>
      <c r="K35" s="8"/>
      <c r="L35" s="8"/>
      <c r="M35" s="8"/>
      <c r="N35" s="8"/>
      <c r="O35" s="8"/>
    </row>
    <row r="36" spans="2:15">
      <c r="B36" s="58" t="s">
        <v>1025</v>
      </c>
      <c r="C36" s="55"/>
      <c r="D36" s="7" t="s">
        <v>1003</v>
      </c>
      <c r="E36" s="7">
        <v>75</v>
      </c>
      <c r="F36" s="60">
        <v>7.7</v>
      </c>
      <c r="G36" s="7" t="s">
        <v>1003</v>
      </c>
      <c r="H36" s="7">
        <v>75</v>
      </c>
      <c r="I36" s="60">
        <v>7.7</v>
      </c>
      <c r="J36" s="7" t="s">
        <v>1003</v>
      </c>
      <c r="K36" s="7">
        <v>75</v>
      </c>
      <c r="L36" s="60">
        <v>7.7</v>
      </c>
      <c r="M36" s="7" t="s">
        <v>1003</v>
      </c>
      <c r="N36" s="7">
        <v>150</v>
      </c>
      <c r="O36" s="60">
        <v>7.7</v>
      </c>
    </row>
    <row r="37" spans="2:15">
      <c r="B37" s="58" t="s">
        <v>1026</v>
      </c>
      <c r="C37" s="55"/>
      <c r="D37" s="7" t="s">
        <v>1003</v>
      </c>
      <c r="E37" s="7">
        <v>75</v>
      </c>
      <c r="F37" s="60">
        <v>8.4</v>
      </c>
      <c r="G37" s="7" t="s">
        <v>1003</v>
      </c>
      <c r="H37" s="7">
        <v>75</v>
      </c>
      <c r="I37" s="60">
        <v>8.4</v>
      </c>
      <c r="J37" s="7" t="s">
        <v>1003</v>
      </c>
      <c r="K37" s="7">
        <v>75</v>
      </c>
      <c r="L37" s="60">
        <v>8.4</v>
      </c>
      <c r="M37" s="7" t="s">
        <v>1003</v>
      </c>
      <c r="N37" s="7">
        <v>150</v>
      </c>
      <c r="O37" s="60">
        <v>8.4</v>
      </c>
    </row>
    <row r="38" spans="2:15">
      <c r="B38" s="58" t="s">
        <v>1027</v>
      </c>
      <c r="C38" s="55"/>
      <c r="D38" s="7" t="s">
        <v>1003</v>
      </c>
      <c r="E38" s="7">
        <v>36</v>
      </c>
      <c r="F38" s="60">
        <v>6.2</v>
      </c>
      <c r="G38" s="7" t="s">
        <v>1003</v>
      </c>
      <c r="H38" s="7">
        <v>36</v>
      </c>
      <c r="I38" s="60">
        <v>6.2</v>
      </c>
      <c r="J38" s="7" t="s">
        <v>1003</v>
      </c>
      <c r="K38" s="7">
        <v>36</v>
      </c>
      <c r="L38" s="60">
        <v>6.2</v>
      </c>
      <c r="M38" s="7" t="s">
        <v>1003</v>
      </c>
      <c r="N38" s="7">
        <v>100</v>
      </c>
      <c r="O38" s="60">
        <v>6.2</v>
      </c>
    </row>
    <row r="39" spans="2:15">
      <c r="B39" s="58" t="s">
        <v>1028</v>
      </c>
      <c r="C39" s="55"/>
      <c r="D39" s="7" t="s">
        <v>1003</v>
      </c>
      <c r="E39" s="7">
        <v>36</v>
      </c>
      <c r="F39" s="60">
        <v>6.2</v>
      </c>
      <c r="G39" s="7" t="s">
        <v>1003</v>
      </c>
      <c r="H39" s="7">
        <v>36</v>
      </c>
      <c r="I39" s="60">
        <v>6.2</v>
      </c>
      <c r="J39" s="7" t="s">
        <v>1003</v>
      </c>
      <c r="K39" s="7">
        <v>36</v>
      </c>
      <c r="L39" s="60">
        <v>6.2</v>
      </c>
      <c r="M39" s="7" t="s">
        <v>1003</v>
      </c>
      <c r="N39" s="7">
        <v>100</v>
      </c>
      <c r="O39" s="60">
        <v>6.2</v>
      </c>
    </row>
    <row r="40" spans="2:15">
      <c r="B40" s="58" t="s">
        <v>1029</v>
      </c>
      <c r="C40" s="55"/>
      <c r="D40" s="7" t="s">
        <v>1003</v>
      </c>
      <c r="E40" s="7">
        <v>65</v>
      </c>
      <c r="F40" s="60">
        <v>7</v>
      </c>
      <c r="G40" s="7" t="s">
        <v>1003</v>
      </c>
      <c r="H40" s="7">
        <v>65</v>
      </c>
      <c r="I40" s="60">
        <v>7</v>
      </c>
      <c r="J40" s="7" t="s">
        <v>1003</v>
      </c>
      <c r="K40" s="7">
        <v>65</v>
      </c>
      <c r="L40" s="60">
        <v>7</v>
      </c>
      <c r="M40" s="7" t="s">
        <v>1003</v>
      </c>
      <c r="N40" s="7">
        <v>100</v>
      </c>
      <c r="O40" s="60">
        <v>7</v>
      </c>
    </row>
    <row r="41" spans="2:15">
      <c r="B41" s="58" t="s">
        <v>1030</v>
      </c>
      <c r="C41" s="55"/>
      <c r="D41" s="7" t="s">
        <v>1003</v>
      </c>
      <c r="E41" s="7">
        <v>75</v>
      </c>
      <c r="F41" s="60">
        <v>7.3</v>
      </c>
      <c r="G41" s="7" t="s">
        <v>1003</v>
      </c>
      <c r="H41" s="7">
        <v>75</v>
      </c>
      <c r="I41" s="60">
        <v>7.3</v>
      </c>
      <c r="J41" s="7" t="s">
        <v>1003</v>
      </c>
      <c r="K41" s="7">
        <v>75</v>
      </c>
      <c r="L41" s="60">
        <v>7.3</v>
      </c>
      <c r="M41" s="7" t="s">
        <v>1003</v>
      </c>
      <c r="N41" s="7">
        <v>150</v>
      </c>
      <c r="O41" s="60">
        <v>7.3</v>
      </c>
    </row>
    <row r="42" ht="15" spans="2:15">
      <c r="B42" s="54" t="s">
        <v>1031</v>
      </c>
      <c r="C42" s="55"/>
      <c r="D42" s="7"/>
      <c r="E42" s="7"/>
      <c r="F42" s="60"/>
      <c r="G42" s="8"/>
      <c r="H42" s="8"/>
      <c r="I42" s="8"/>
      <c r="J42" s="8"/>
      <c r="K42" s="8"/>
      <c r="L42" s="8"/>
      <c r="M42" s="8"/>
      <c r="N42" s="8"/>
      <c r="O42" s="8"/>
    </row>
    <row r="43" ht="57" customHeight="1" spans="2:15">
      <c r="B43" s="58" t="s">
        <v>178</v>
      </c>
      <c r="C43" s="55"/>
      <c r="D43" s="7" t="s">
        <v>1003</v>
      </c>
      <c r="E43" s="102" t="s">
        <v>1032</v>
      </c>
      <c r="F43" s="60">
        <v>4</v>
      </c>
      <c r="G43" s="7" t="s">
        <v>1003</v>
      </c>
      <c r="H43" s="102" t="s">
        <v>1032</v>
      </c>
      <c r="I43" s="60">
        <v>4</v>
      </c>
      <c r="J43" s="7" t="s">
        <v>1003</v>
      </c>
      <c r="K43" s="102" t="s">
        <v>1032</v>
      </c>
      <c r="L43" s="60">
        <v>4</v>
      </c>
      <c r="M43" s="7" t="s">
        <v>1003</v>
      </c>
      <c r="N43" s="102" t="s">
        <v>1032</v>
      </c>
      <c r="O43" s="60">
        <v>4</v>
      </c>
    </row>
    <row r="44" ht="52.35" customHeight="1" spans="2:15">
      <c r="B44" s="58" t="s">
        <v>1033</v>
      </c>
      <c r="C44" s="55"/>
      <c r="D44" s="7" t="s">
        <v>1003</v>
      </c>
      <c r="E44" s="102" t="s">
        <v>1032</v>
      </c>
      <c r="F44" s="60">
        <v>4</v>
      </c>
      <c r="G44" s="7" t="s">
        <v>1003</v>
      </c>
      <c r="H44" s="102" t="s">
        <v>1032</v>
      </c>
      <c r="I44" s="60">
        <v>4</v>
      </c>
      <c r="J44" s="7" t="s">
        <v>1003</v>
      </c>
      <c r="K44" s="102" t="s">
        <v>1032</v>
      </c>
      <c r="L44" s="60">
        <v>4</v>
      </c>
      <c r="M44" s="7" t="s">
        <v>1003</v>
      </c>
      <c r="N44" s="102" t="s">
        <v>1032</v>
      </c>
      <c r="O44" s="60">
        <v>4</v>
      </c>
    </row>
    <row r="45" ht="15" spans="2:15">
      <c r="B45" s="54" t="s">
        <v>1034</v>
      </c>
      <c r="C45" s="55"/>
      <c r="D45" s="7"/>
      <c r="E45" s="7"/>
      <c r="F45" s="60"/>
      <c r="G45" s="8"/>
      <c r="H45" s="8"/>
      <c r="I45" s="8"/>
      <c r="J45" s="8"/>
      <c r="K45" s="8"/>
      <c r="L45" s="8"/>
      <c r="M45" s="8"/>
      <c r="N45" s="8"/>
      <c r="O45" s="8"/>
    </row>
    <row r="46" spans="2:15">
      <c r="B46" s="56" t="s">
        <v>1035</v>
      </c>
      <c r="C46" s="55"/>
      <c r="D46" s="7"/>
      <c r="E46" s="7"/>
      <c r="F46" s="60"/>
      <c r="G46" s="8"/>
      <c r="H46" s="8"/>
      <c r="I46" s="8"/>
      <c r="J46" s="8"/>
      <c r="K46" s="8"/>
      <c r="L46" s="8"/>
      <c r="M46" s="8"/>
      <c r="N46" s="8"/>
      <c r="O46" s="8"/>
    </row>
    <row r="47" spans="2:15">
      <c r="B47" s="58" t="s">
        <v>1036</v>
      </c>
      <c r="C47" s="55"/>
      <c r="D47" s="7" t="s">
        <v>1037</v>
      </c>
      <c r="E47" s="7"/>
      <c r="F47" s="60">
        <v>2.5</v>
      </c>
      <c r="G47" s="7" t="s">
        <v>1037</v>
      </c>
      <c r="H47" s="7"/>
      <c r="I47" s="60">
        <v>2.5</v>
      </c>
      <c r="J47" s="7" t="s">
        <v>1037</v>
      </c>
      <c r="K47" s="7"/>
      <c r="L47" s="60">
        <f>I47+[65]FCRT_SPDCL!$K$8</f>
        <v>8.05112441948925</v>
      </c>
      <c r="M47" s="7" t="s">
        <v>1037</v>
      </c>
      <c r="N47" s="7"/>
      <c r="O47" s="60">
        <v>2.5</v>
      </c>
    </row>
    <row r="48" spans="2:15">
      <c r="B48" s="56" t="s">
        <v>1038</v>
      </c>
      <c r="C48" s="55"/>
      <c r="D48" s="7" t="s">
        <v>1037</v>
      </c>
      <c r="E48" s="7"/>
      <c r="F48" s="60">
        <v>0</v>
      </c>
      <c r="G48" s="7" t="s">
        <v>1037</v>
      </c>
      <c r="H48" s="7"/>
      <c r="I48" s="60">
        <v>0</v>
      </c>
      <c r="J48" s="7" t="s">
        <v>1037</v>
      </c>
      <c r="K48" s="7"/>
      <c r="L48" s="60">
        <f>I48+[65]FCRT_SPDCL!$K$8</f>
        <v>5.55112441948925</v>
      </c>
      <c r="M48" s="7" t="s">
        <v>1037</v>
      </c>
      <c r="N48" s="7"/>
      <c r="O48" s="60">
        <v>0</v>
      </c>
    </row>
    <row r="49" spans="2:15">
      <c r="B49" s="56" t="s">
        <v>1039</v>
      </c>
      <c r="C49" s="55"/>
      <c r="D49" s="7"/>
      <c r="E49" s="7"/>
      <c r="F49" s="60"/>
      <c r="G49" s="7"/>
      <c r="H49" s="7"/>
      <c r="I49" s="60"/>
      <c r="J49" s="7"/>
      <c r="K49" s="7"/>
      <c r="L49" s="60"/>
      <c r="M49" s="7"/>
      <c r="N49" s="7"/>
      <c r="O49" s="60"/>
    </row>
    <row r="50" spans="2:15">
      <c r="B50" s="58" t="s">
        <v>1040</v>
      </c>
      <c r="C50" s="55"/>
      <c r="D50" s="7" t="s">
        <v>1037</v>
      </c>
      <c r="E50" s="7">
        <v>20</v>
      </c>
      <c r="F50" s="60">
        <v>4</v>
      </c>
      <c r="G50" s="7" t="s">
        <v>1037</v>
      </c>
      <c r="H50" s="7">
        <v>20</v>
      </c>
      <c r="I50" s="60">
        <v>4</v>
      </c>
      <c r="J50" s="7" t="s">
        <v>1037</v>
      </c>
      <c r="K50" s="7">
        <v>20</v>
      </c>
      <c r="L50" s="60">
        <f>I50+[65]FCRT_SPDCL!$K$8</f>
        <v>9.55112441948925</v>
      </c>
      <c r="M50" s="7" t="s">
        <v>1037</v>
      </c>
      <c r="N50" s="7">
        <v>20</v>
      </c>
      <c r="O50" s="60">
        <v>4</v>
      </c>
    </row>
    <row r="51" ht="15" spans="2:15">
      <c r="B51" s="54" t="s">
        <v>1041</v>
      </c>
      <c r="C51" s="55"/>
      <c r="D51" s="7"/>
      <c r="E51" s="7"/>
      <c r="F51" s="60"/>
      <c r="G51" s="8"/>
      <c r="H51" s="8"/>
      <c r="I51" s="8"/>
      <c r="J51" s="8"/>
      <c r="K51" s="8"/>
      <c r="L51" s="8"/>
      <c r="M51" s="8"/>
      <c r="N51" s="8"/>
      <c r="O51" s="8"/>
    </row>
    <row r="52" ht="15" spans="2:15">
      <c r="B52" s="54" t="s">
        <v>1042</v>
      </c>
      <c r="C52" s="55"/>
      <c r="D52" s="7"/>
      <c r="E52" s="7"/>
      <c r="F52" s="60"/>
      <c r="G52" s="8"/>
      <c r="H52" s="8"/>
      <c r="I52" s="8"/>
      <c r="J52" s="8"/>
      <c r="K52" s="8"/>
      <c r="L52" s="8"/>
      <c r="M52" s="8"/>
      <c r="N52" s="8"/>
      <c r="O52" s="8"/>
    </row>
    <row r="53" spans="2:15">
      <c r="B53" s="58" t="s">
        <v>1043</v>
      </c>
      <c r="C53" s="55"/>
      <c r="D53" s="7" t="s">
        <v>1003</v>
      </c>
      <c r="E53" s="7">
        <v>32</v>
      </c>
      <c r="F53" s="60">
        <v>7.1</v>
      </c>
      <c r="G53" s="7" t="s">
        <v>1003</v>
      </c>
      <c r="H53" s="7">
        <v>32</v>
      </c>
      <c r="I53" s="60">
        <v>7.1</v>
      </c>
      <c r="J53" s="7" t="s">
        <v>1003</v>
      </c>
      <c r="K53" s="7">
        <v>32</v>
      </c>
      <c r="L53" s="60">
        <v>7.1</v>
      </c>
      <c r="M53" s="7" t="s">
        <v>1003</v>
      </c>
      <c r="N53" s="7">
        <v>32</v>
      </c>
      <c r="O53" s="60">
        <v>7.1</v>
      </c>
    </row>
    <row r="54" spans="2:15">
      <c r="B54" s="58" t="s">
        <v>1044</v>
      </c>
      <c r="C54" s="55"/>
      <c r="D54" s="7" t="s">
        <v>1003</v>
      </c>
      <c r="E54" s="7">
        <v>32</v>
      </c>
      <c r="F54" s="60">
        <v>7.6</v>
      </c>
      <c r="G54" s="7" t="s">
        <v>1003</v>
      </c>
      <c r="H54" s="7">
        <v>32</v>
      </c>
      <c r="I54" s="60">
        <v>7.6</v>
      </c>
      <c r="J54" s="7" t="s">
        <v>1003</v>
      </c>
      <c r="K54" s="7">
        <v>32</v>
      </c>
      <c r="L54" s="60">
        <v>7.6</v>
      </c>
      <c r="M54" s="7" t="s">
        <v>1003</v>
      </c>
      <c r="N54" s="7">
        <v>32</v>
      </c>
      <c r="O54" s="60">
        <v>7.6</v>
      </c>
    </row>
    <row r="55" spans="2:15">
      <c r="B55" s="58" t="s">
        <v>1045</v>
      </c>
      <c r="C55" s="55"/>
      <c r="D55" s="7" t="s">
        <v>1003</v>
      </c>
      <c r="E55" s="7">
        <v>32</v>
      </c>
      <c r="F55" s="60">
        <v>8.1</v>
      </c>
      <c r="G55" s="7" t="s">
        <v>1003</v>
      </c>
      <c r="H55" s="7">
        <v>32</v>
      </c>
      <c r="I55" s="60">
        <v>8.1</v>
      </c>
      <c r="J55" s="7" t="s">
        <v>1003</v>
      </c>
      <c r="K55" s="7">
        <v>32</v>
      </c>
      <c r="L55" s="60">
        <v>8.1</v>
      </c>
      <c r="M55" s="7" t="s">
        <v>1003</v>
      </c>
      <c r="N55" s="7">
        <v>32</v>
      </c>
      <c r="O55" s="60">
        <v>8.1</v>
      </c>
    </row>
    <row r="56" ht="15" spans="2:15">
      <c r="B56" s="54" t="s">
        <v>1046</v>
      </c>
      <c r="C56" s="55"/>
      <c r="D56" s="7"/>
      <c r="E56" s="7"/>
      <c r="F56" s="60"/>
      <c r="G56" s="8"/>
      <c r="H56" s="8"/>
      <c r="I56" s="8"/>
      <c r="J56" s="8"/>
      <c r="K56" s="8"/>
      <c r="L56" s="8"/>
      <c r="M56" s="8"/>
      <c r="N56" s="8"/>
      <c r="O56" s="8"/>
    </row>
    <row r="57" ht="34.7" customHeight="1" spans="2:15">
      <c r="B57" s="58" t="s">
        <v>1043</v>
      </c>
      <c r="C57" s="55"/>
      <c r="D57" s="7" t="s">
        <v>1037</v>
      </c>
      <c r="E57" s="102" t="s">
        <v>1047</v>
      </c>
      <c r="F57" s="60">
        <v>6</v>
      </c>
      <c r="G57" s="7" t="s">
        <v>1037</v>
      </c>
      <c r="H57" s="102" t="s">
        <v>1047</v>
      </c>
      <c r="I57" s="60">
        <v>6</v>
      </c>
      <c r="J57" s="7" t="s">
        <v>1037</v>
      </c>
      <c r="K57" s="102" t="s">
        <v>1047</v>
      </c>
      <c r="L57" s="60">
        <v>6</v>
      </c>
      <c r="M57" s="7" t="s">
        <v>1037</v>
      </c>
      <c r="N57" s="102" t="s">
        <v>1047</v>
      </c>
      <c r="O57" s="60">
        <v>6</v>
      </c>
    </row>
    <row r="58" ht="28.5" spans="2:15">
      <c r="B58" s="58" t="s">
        <v>1044</v>
      </c>
      <c r="C58" s="55"/>
      <c r="D58" s="7" t="s">
        <v>1037</v>
      </c>
      <c r="E58" s="102" t="s">
        <v>1048</v>
      </c>
      <c r="F58" s="60">
        <v>7.1</v>
      </c>
      <c r="G58" s="7" t="s">
        <v>1037</v>
      </c>
      <c r="H58" s="102" t="s">
        <v>1048</v>
      </c>
      <c r="I58" s="60">
        <v>7.1</v>
      </c>
      <c r="J58" s="7" t="s">
        <v>1037</v>
      </c>
      <c r="K58" s="102" t="s">
        <v>1048</v>
      </c>
      <c r="L58" s="60">
        <v>7.1</v>
      </c>
      <c r="M58" s="7" t="s">
        <v>1037</v>
      </c>
      <c r="N58" s="102" t="s">
        <v>1048</v>
      </c>
      <c r="O58" s="60">
        <v>7.1</v>
      </c>
    </row>
    <row r="59" ht="28.5" spans="2:15">
      <c r="B59" s="58" t="s">
        <v>1045</v>
      </c>
      <c r="C59" s="55"/>
      <c r="D59" s="7" t="s">
        <v>1037</v>
      </c>
      <c r="E59" s="102" t="s">
        <v>1048</v>
      </c>
      <c r="F59" s="60">
        <v>7.6</v>
      </c>
      <c r="G59" s="7" t="s">
        <v>1037</v>
      </c>
      <c r="H59" s="102" t="s">
        <v>1048</v>
      </c>
      <c r="I59" s="60">
        <v>7.6</v>
      </c>
      <c r="J59" s="7" t="s">
        <v>1037</v>
      </c>
      <c r="K59" s="102" t="s">
        <v>1048</v>
      </c>
      <c r="L59" s="60">
        <v>7.6</v>
      </c>
      <c r="M59" s="7" t="s">
        <v>1037</v>
      </c>
      <c r="N59" s="102" t="s">
        <v>1048</v>
      </c>
      <c r="O59" s="60">
        <v>7.6</v>
      </c>
    </row>
    <row r="60" ht="15" spans="2:15">
      <c r="B60" s="54" t="s">
        <v>1049</v>
      </c>
      <c r="C60" s="55"/>
      <c r="D60" s="7"/>
      <c r="E60" s="7"/>
      <c r="F60" s="60"/>
      <c r="G60" s="8"/>
      <c r="H60" s="8"/>
      <c r="I60" s="8"/>
      <c r="J60" s="8"/>
      <c r="K60" s="8"/>
      <c r="L60" s="8"/>
      <c r="M60" s="8"/>
      <c r="N60" s="8"/>
      <c r="O60" s="8"/>
    </row>
    <row r="61" spans="2:15">
      <c r="B61" s="56" t="s">
        <v>1050</v>
      </c>
      <c r="C61" s="55"/>
      <c r="D61" s="7" t="s">
        <v>1003</v>
      </c>
      <c r="E61" s="7">
        <v>21</v>
      </c>
      <c r="F61" s="60">
        <v>8.3</v>
      </c>
      <c r="G61" s="7" t="s">
        <v>1003</v>
      </c>
      <c r="H61" s="7">
        <v>21</v>
      </c>
      <c r="I61" s="60">
        <v>8.3</v>
      </c>
      <c r="J61" s="7" t="s">
        <v>1003</v>
      </c>
      <c r="K61" s="7">
        <v>21</v>
      </c>
      <c r="L61" s="60">
        <v>8.3</v>
      </c>
      <c r="M61" s="7" t="s">
        <v>1003</v>
      </c>
      <c r="N61" s="7">
        <v>100</v>
      </c>
      <c r="O61" s="60">
        <v>8.3</v>
      </c>
    </row>
    <row r="62" spans="2:15">
      <c r="B62" s="56" t="s">
        <v>1051</v>
      </c>
      <c r="C62" s="55"/>
      <c r="D62" s="7"/>
      <c r="E62" s="7"/>
      <c r="F62" s="60"/>
      <c r="G62" s="8"/>
      <c r="H62" s="8"/>
      <c r="I62" s="8"/>
      <c r="J62" s="8"/>
      <c r="K62" s="8"/>
      <c r="L62" s="8"/>
      <c r="M62" s="8"/>
      <c r="N62" s="8"/>
      <c r="O62" s="8"/>
    </row>
    <row r="63" spans="2:15">
      <c r="B63" s="56" t="s">
        <v>1052</v>
      </c>
      <c r="C63" s="55"/>
      <c r="D63" s="7" t="s">
        <v>1003</v>
      </c>
      <c r="E63" s="7">
        <v>21</v>
      </c>
      <c r="F63" s="60">
        <v>6.4</v>
      </c>
      <c r="G63" s="7" t="s">
        <v>1003</v>
      </c>
      <c r="H63" s="7">
        <v>30</v>
      </c>
      <c r="I63" s="60">
        <v>5</v>
      </c>
      <c r="J63" s="7" t="s">
        <v>1003</v>
      </c>
      <c r="K63" s="7">
        <v>30</v>
      </c>
      <c r="L63" s="60">
        <v>5</v>
      </c>
      <c r="M63" s="7" t="s">
        <v>1003</v>
      </c>
      <c r="N63" s="7">
        <v>100</v>
      </c>
      <c r="O63" s="60">
        <v>5</v>
      </c>
    </row>
    <row r="64" spans="2:15">
      <c r="B64" s="56" t="s">
        <v>1053</v>
      </c>
      <c r="C64" s="55"/>
      <c r="D64" s="7" t="s">
        <v>1003</v>
      </c>
      <c r="E64" s="7">
        <v>21</v>
      </c>
      <c r="F64" s="60">
        <v>7</v>
      </c>
      <c r="G64" s="7" t="s">
        <v>1003</v>
      </c>
      <c r="H64" s="7">
        <v>30</v>
      </c>
      <c r="I64" s="60">
        <v>5</v>
      </c>
      <c r="J64" s="7" t="s">
        <v>1003</v>
      </c>
      <c r="K64" s="7">
        <v>30</v>
      </c>
      <c r="L64" s="60">
        <v>5</v>
      </c>
      <c r="M64" s="7" t="s">
        <v>1003</v>
      </c>
      <c r="N64" s="7">
        <v>100</v>
      </c>
      <c r="O64" s="60">
        <v>5</v>
      </c>
    </row>
    <row r="65" ht="15" spans="2:15">
      <c r="B65" s="54" t="s">
        <v>1054</v>
      </c>
      <c r="C65" s="55"/>
      <c r="D65" s="7" t="s">
        <v>1003</v>
      </c>
      <c r="E65" s="7">
        <v>21</v>
      </c>
      <c r="F65" s="60">
        <v>12</v>
      </c>
      <c r="G65" s="7" t="s">
        <v>1003</v>
      </c>
      <c r="H65" s="7">
        <v>21</v>
      </c>
      <c r="I65" s="60">
        <v>12</v>
      </c>
      <c r="J65" s="7" t="s">
        <v>1003</v>
      </c>
      <c r="K65" s="7">
        <v>21</v>
      </c>
      <c r="L65" s="60">
        <v>12</v>
      </c>
      <c r="M65" s="7" t="s">
        <v>1003</v>
      </c>
      <c r="N65" s="7">
        <v>100</v>
      </c>
      <c r="O65" s="60">
        <v>12</v>
      </c>
    </row>
    <row r="66" ht="15" spans="2:15">
      <c r="B66" s="54" t="s">
        <v>1224</v>
      </c>
      <c r="C66" s="55"/>
      <c r="D66" s="7" t="s">
        <v>1003</v>
      </c>
      <c r="E66" s="7">
        <v>50</v>
      </c>
      <c r="F66" s="60">
        <v>6</v>
      </c>
      <c r="G66" s="7" t="s">
        <v>1003</v>
      </c>
      <c r="H66" s="7">
        <v>50</v>
      </c>
      <c r="I66" s="60">
        <v>6</v>
      </c>
      <c r="J66" s="7" t="s">
        <v>1003</v>
      </c>
      <c r="K66" s="7">
        <v>50</v>
      </c>
      <c r="L66" s="60">
        <v>6</v>
      </c>
      <c r="M66" s="7" t="s">
        <v>1003</v>
      </c>
      <c r="N66" s="7">
        <v>100</v>
      </c>
      <c r="O66" s="60">
        <v>6</v>
      </c>
    </row>
    <row r="67" ht="15" spans="2:15">
      <c r="B67" s="54"/>
      <c r="C67" s="55"/>
      <c r="D67" s="8"/>
      <c r="E67" s="8"/>
      <c r="F67" s="49"/>
      <c r="G67" s="8"/>
      <c r="H67" s="8"/>
      <c r="I67" s="8"/>
      <c r="J67" s="8"/>
      <c r="K67" s="8"/>
      <c r="L67" s="8"/>
      <c r="M67" s="8"/>
      <c r="N67" s="8"/>
      <c r="O67" s="8"/>
    </row>
    <row r="68" ht="15" spans="2:15">
      <c r="B68" s="66"/>
      <c r="C68" s="67"/>
      <c r="D68" s="8"/>
      <c r="E68" s="8"/>
      <c r="F68" s="49"/>
      <c r="G68" s="8"/>
      <c r="H68" s="8"/>
      <c r="I68" s="8"/>
      <c r="J68" s="8"/>
      <c r="K68" s="8"/>
      <c r="L68" s="8"/>
      <c r="M68" s="8"/>
      <c r="N68" s="8"/>
      <c r="O68" s="8"/>
    </row>
    <row r="69" ht="15" spans="2:15">
      <c r="B69" s="70" t="s">
        <v>907</v>
      </c>
      <c r="C69" s="70"/>
      <c r="D69" s="8"/>
      <c r="E69" s="8"/>
      <c r="F69" s="49"/>
      <c r="G69" s="8"/>
      <c r="H69" s="8"/>
      <c r="I69" s="8"/>
      <c r="J69" s="8"/>
      <c r="K69" s="8"/>
      <c r="L69" s="8"/>
      <c r="M69" s="8"/>
      <c r="N69" s="8"/>
      <c r="O69" s="8"/>
    </row>
    <row r="70" ht="15" spans="2:15">
      <c r="B70" s="54" t="s">
        <v>1056</v>
      </c>
      <c r="C70" s="55"/>
      <c r="D70" s="8"/>
      <c r="E70" s="8"/>
      <c r="F70" s="49"/>
      <c r="G70" s="8"/>
      <c r="H70" s="8"/>
      <c r="I70" s="8"/>
      <c r="J70" s="8"/>
      <c r="K70" s="8"/>
      <c r="L70" s="8"/>
      <c r="M70" s="8"/>
      <c r="N70" s="8"/>
      <c r="O70" s="8"/>
    </row>
    <row r="71" spans="2:15">
      <c r="B71" s="116" t="s">
        <v>1057</v>
      </c>
      <c r="C71" s="72"/>
      <c r="D71" s="7" t="s">
        <v>1058</v>
      </c>
      <c r="E71" s="7">
        <v>475</v>
      </c>
      <c r="F71" s="60">
        <v>7.65</v>
      </c>
      <c r="G71" s="7" t="s">
        <v>1058</v>
      </c>
      <c r="H71" s="7">
        <v>475</v>
      </c>
      <c r="I71" s="60">
        <v>7.65</v>
      </c>
      <c r="J71" s="7" t="s">
        <v>1058</v>
      </c>
      <c r="K71" s="7">
        <v>475</v>
      </c>
      <c r="L71" s="60">
        <v>7.65</v>
      </c>
      <c r="M71" s="7" t="s">
        <v>1058</v>
      </c>
      <c r="N71" s="7">
        <v>500</v>
      </c>
      <c r="O71" s="60">
        <v>7.65</v>
      </c>
    </row>
    <row r="72" spans="2:15">
      <c r="B72" s="116" t="s">
        <v>1059</v>
      </c>
      <c r="C72" s="72"/>
      <c r="D72" s="7" t="s">
        <v>1058</v>
      </c>
      <c r="E72" s="7">
        <v>475</v>
      </c>
      <c r="F72" s="60">
        <v>7.15</v>
      </c>
      <c r="G72" s="7" t="s">
        <v>1058</v>
      </c>
      <c r="H72" s="7">
        <v>475</v>
      </c>
      <c r="I72" s="60">
        <v>7.15</v>
      </c>
      <c r="J72" s="7" t="s">
        <v>1058</v>
      </c>
      <c r="K72" s="7">
        <v>475</v>
      </c>
      <c r="L72" s="60">
        <v>7.15</v>
      </c>
      <c r="M72" s="7" t="s">
        <v>1058</v>
      </c>
      <c r="N72" s="7">
        <v>500</v>
      </c>
      <c r="O72" s="60">
        <v>7.45</v>
      </c>
    </row>
    <row r="73" spans="2:15">
      <c r="B73" s="116" t="s">
        <v>1060</v>
      </c>
      <c r="C73" s="72"/>
      <c r="D73" s="7" t="s">
        <v>1058</v>
      </c>
      <c r="E73" s="7">
        <v>475</v>
      </c>
      <c r="F73" s="60">
        <v>6.65</v>
      </c>
      <c r="G73" s="7" t="s">
        <v>1058</v>
      </c>
      <c r="H73" s="7">
        <v>475</v>
      </c>
      <c r="I73" s="60">
        <v>6.65</v>
      </c>
      <c r="J73" s="7" t="s">
        <v>1058</v>
      </c>
      <c r="K73" s="7">
        <v>475</v>
      </c>
      <c r="L73" s="60">
        <v>6.65</v>
      </c>
      <c r="M73" s="7" t="s">
        <v>1058</v>
      </c>
      <c r="N73" s="7">
        <v>500</v>
      </c>
      <c r="O73" s="60">
        <v>7.25</v>
      </c>
    </row>
    <row r="74" ht="15" spans="2:15">
      <c r="B74" s="54" t="s">
        <v>1061</v>
      </c>
      <c r="C74" s="55"/>
      <c r="D74" s="7"/>
      <c r="E74" s="7"/>
      <c r="F74" s="60"/>
      <c r="G74" s="8"/>
      <c r="H74" s="8"/>
      <c r="I74" s="8"/>
      <c r="J74" s="8"/>
      <c r="K74" s="8"/>
      <c r="L74" s="8"/>
      <c r="M74" s="8"/>
      <c r="N74" s="8"/>
      <c r="O74" s="8"/>
    </row>
    <row r="75" spans="2:15">
      <c r="B75" s="116" t="s">
        <v>1057</v>
      </c>
      <c r="C75" s="55"/>
      <c r="D75" s="7"/>
      <c r="E75" s="7"/>
      <c r="F75" s="60">
        <v>7.65</v>
      </c>
      <c r="G75" s="8"/>
      <c r="H75" s="8"/>
      <c r="I75" s="60">
        <v>7.65</v>
      </c>
      <c r="J75" s="8"/>
      <c r="K75" s="8"/>
      <c r="L75" s="60">
        <v>7.65</v>
      </c>
      <c r="M75" s="8"/>
      <c r="N75" s="8"/>
      <c r="O75" s="60">
        <v>7.65</v>
      </c>
    </row>
    <row r="76" spans="2:15">
      <c r="B76" s="116" t="s">
        <v>1059</v>
      </c>
      <c r="C76" s="55"/>
      <c r="D76" s="7"/>
      <c r="E76" s="7"/>
      <c r="F76" s="60">
        <v>7.15</v>
      </c>
      <c r="G76" s="8"/>
      <c r="H76" s="8"/>
      <c r="I76" s="60">
        <v>7.15</v>
      </c>
      <c r="J76" s="8"/>
      <c r="K76" s="8"/>
      <c r="L76" s="60">
        <v>7.15</v>
      </c>
      <c r="M76" s="8"/>
      <c r="N76" s="8"/>
      <c r="O76" s="60">
        <v>7.45</v>
      </c>
    </row>
    <row r="77" spans="2:15">
      <c r="B77" s="116" t="s">
        <v>1060</v>
      </c>
      <c r="C77" s="55"/>
      <c r="D77" s="7"/>
      <c r="E77" s="7"/>
      <c r="F77" s="60">
        <v>6.65</v>
      </c>
      <c r="G77" s="8"/>
      <c r="H77" s="8"/>
      <c r="I77" s="60">
        <v>6.65</v>
      </c>
      <c r="J77" s="8"/>
      <c r="K77" s="8"/>
      <c r="L77" s="60">
        <v>6.65</v>
      </c>
      <c r="M77" s="8"/>
      <c r="N77" s="8"/>
      <c r="O77" s="60">
        <v>7.25</v>
      </c>
    </row>
    <row r="78" ht="15" spans="2:15">
      <c r="B78" s="54" t="s">
        <v>1062</v>
      </c>
      <c r="C78" s="55"/>
      <c r="D78" s="7"/>
      <c r="E78" s="7"/>
      <c r="F78" s="60"/>
      <c r="G78" s="8"/>
      <c r="H78" s="8"/>
      <c r="I78" s="8"/>
      <c r="J78" s="8"/>
      <c r="K78" s="8"/>
      <c r="L78" s="8"/>
      <c r="M78" s="8"/>
      <c r="N78" s="8"/>
      <c r="O78" s="8"/>
    </row>
    <row r="79" spans="2:15">
      <c r="B79" s="116" t="s">
        <v>1057</v>
      </c>
      <c r="C79" s="55"/>
      <c r="D79" s="7" t="s">
        <v>1058</v>
      </c>
      <c r="E79" s="7">
        <v>475</v>
      </c>
      <c r="F79" s="60">
        <v>7.65</v>
      </c>
      <c r="G79" s="7" t="s">
        <v>1058</v>
      </c>
      <c r="H79" s="7">
        <v>475</v>
      </c>
      <c r="I79" s="60">
        <v>7.65</v>
      </c>
      <c r="J79" s="7" t="s">
        <v>1058</v>
      </c>
      <c r="K79" s="7">
        <v>475</v>
      </c>
      <c r="L79" s="60">
        <v>7.65</v>
      </c>
      <c r="M79" s="7" t="s">
        <v>1058</v>
      </c>
      <c r="N79" s="7">
        <v>500</v>
      </c>
      <c r="O79" s="60">
        <v>7.65</v>
      </c>
    </row>
    <row r="80" spans="2:15">
      <c r="B80" s="116" t="s">
        <v>1059</v>
      </c>
      <c r="C80" s="55"/>
      <c r="D80" s="7" t="s">
        <v>1058</v>
      </c>
      <c r="E80" s="7">
        <v>475</v>
      </c>
      <c r="F80" s="60">
        <v>7.15</v>
      </c>
      <c r="G80" s="7" t="s">
        <v>1058</v>
      </c>
      <c r="H80" s="7">
        <v>475</v>
      </c>
      <c r="I80" s="60">
        <v>7.15</v>
      </c>
      <c r="J80" s="7" t="s">
        <v>1058</v>
      </c>
      <c r="K80" s="7">
        <v>475</v>
      </c>
      <c r="L80" s="60">
        <v>7.15</v>
      </c>
      <c r="M80" s="7" t="s">
        <v>1058</v>
      </c>
      <c r="N80" s="7">
        <v>500</v>
      </c>
      <c r="O80" s="60">
        <v>7.45</v>
      </c>
    </row>
    <row r="81" ht="15" spans="2:15">
      <c r="B81" s="54" t="s">
        <v>1063</v>
      </c>
      <c r="C81" s="55"/>
      <c r="D81" s="7"/>
      <c r="F81" s="60"/>
      <c r="G81" s="8"/>
      <c r="H81" s="8"/>
      <c r="I81" s="8"/>
      <c r="J81" s="8"/>
      <c r="K81" s="8"/>
      <c r="L81" s="8"/>
      <c r="M81" s="8"/>
      <c r="N81" s="8"/>
      <c r="O81" s="8"/>
    </row>
    <row r="82" spans="2:15">
      <c r="B82" s="116" t="s">
        <v>1057</v>
      </c>
      <c r="C82" s="55"/>
      <c r="D82" s="7"/>
      <c r="E82" s="7"/>
      <c r="F82" s="60">
        <v>7.3</v>
      </c>
      <c r="G82" s="8"/>
      <c r="H82" s="8"/>
      <c r="I82" s="60">
        <v>7.3</v>
      </c>
      <c r="J82" s="8"/>
      <c r="K82" s="8"/>
      <c r="L82" s="60">
        <v>7.3</v>
      </c>
      <c r="M82" s="8"/>
      <c r="N82" s="8"/>
      <c r="O82" s="60">
        <v>7.3</v>
      </c>
    </row>
    <row r="83" spans="2:15">
      <c r="B83" s="116" t="s">
        <v>1059</v>
      </c>
      <c r="C83" s="55"/>
      <c r="D83" s="7"/>
      <c r="E83" s="7"/>
      <c r="F83" s="60">
        <v>7.3</v>
      </c>
      <c r="G83" s="8"/>
      <c r="H83" s="8" t="s">
        <v>1225</v>
      </c>
      <c r="I83" s="60">
        <v>7.3</v>
      </c>
      <c r="J83" s="8"/>
      <c r="K83" s="8"/>
      <c r="L83" s="60">
        <v>7.3</v>
      </c>
      <c r="M83" s="8"/>
      <c r="N83" s="8"/>
      <c r="O83" s="60">
        <v>7.3</v>
      </c>
    </row>
    <row r="84" spans="2:15">
      <c r="B84" s="116" t="s">
        <v>1060</v>
      </c>
      <c r="C84" s="55"/>
      <c r="D84" s="7"/>
      <c r="E84" s="7"/>
      <c r="F84" s="60">
        <v>7.3</v>
      </c>
      <c r="G84" s="8"/>
      <c r="H84" s="8"/>
      <c r="I84" s="60">
        <v>7.3</v>
      </c>
      <c r="J84" s="8"/>
      <c r="K84" s="8"/>
      <c r="L84" s="60">
        <v>7.3</v>
      </c>
      <c r="M84" s="8"/>
      <c r="N84" s="8"/>
      <c r="O84" s="60">
        <v>7.3</v>
      </c>
    </row>
    <row r="85" ht="15" spans="2:15">
      <c r="B85" s="54" t="s">
        <v>1064</v>
      </c>
      <c r="C85" s="55"/>
      <c r="D85" s="7"/>
      <c r="E85" s="7"/>
      <c r="F85" s="60"/>
      <c r="G85" s="8"/>
      <c r="H85" s="8"/>
      <c r="I85" s="8"/>
      <c r="J85" s="8"/>
      <c r="K85" s="8"/>
      <c r="L85" s="8"/>
      <c r="M85" s="8"/>
      <c r="N85" s="8"/>
      <c r="O85" s="8"/>
    </row>
    <row r="86" spans="2:15">
      <c r="B86" s="116" t="s">
        <v>1057</v>
      </c>
      <c r="C86" s="55"/>
      <c r="D86" s="7" t="s">
        <v>1058</v>
      </c>
      <c r="E86" s="7">
        <v>475</v>
      </c>
      <c r="F86" s="60">
        <v>8.6</v>
      </c>
      <c r="G86" s="7" t="s">
        <v>1058</v>
      </c>
      <c r="H86" s="7">
        <v>475</v>
      </c>
      <c r="I86" s="60">
        <v>8.6</v>
      </c>
      <c r="J86" s="7" t="s">
        <v>1058</v>
      </c>
      <c r="K86" s="7">
        <v>475</v>
      </c>
      <c r="L86" s="60">
        <v>8.6</v>
      </c>
      <c r="M86" s="7" t="s">
        <v>1058</v>
      </c>
      <c r="N86" s="7">
        <v>500</v>
      </c>
      <c r="O86" s="60">
        <v>8.6</v>
      </c>
    </row>
    <row r="87" spans="2:15">
      <c r="B87" s="116" t="s">
        <v>1059</v>
      </c>
      <c r="C87" s="55"/>
      <c r="D87" s="7" t="s">
        <v>1058</v>
      </c>
      <c r="E87" s="7">
        <v>475</v>
      </c>
      <c r="F87" s="60">
        <v>7.9</v>
      </c>
      <c r="G87" s="7" t="s">
        <v>1058</v>
      </c>
      <c r="H87" s="7">
        <v>475</v>
      </c>
      <c r="I87" s="60">
        <v>7.9</v>
      </c>
      <c r="J87" s="7" t="s">
        <v>1058</v>
      </c>
      <c r="K87" s="7">
        <v>475</v>
      </c>
      <c r="L87" s="60">
        <v>7.9</v>
      </c>
      <c r="M87" s="7" t="s">
        <v>1058</v>
      </c>
      <c r="N87" s="7">
        <v>500</v>
      </c>
      <c r="O87" s="60">
        <v>8.4</v>
      </c>
    </row>
    <row r="88" spans="2:15">
      <c r="B88" s="116" t="s">
        <v>1060</v>
      </c>
      <c r="C88" s="55"/>
      <c r="D88" s="7" t="s">
        <v>1058</v>
      </c>
      <c r="E88" s="7">
        <v>475</v>
      </c>
      <c r="F88" s="60">
        <v>7.7</v>
      </c>
      <c r="G88" s="7" t="s">
        <v>1058</v>
      </c>
      <c r="H88" s="7">
        <v>475</v>
      </c>
      <c r="I88" s="60">
        <v>7.7</v>
      </c>
      <c r="J88" s="7" t="s">
        <v>1058</v>
      </c>
      <c r="K88" s="7">
        <v>475</v>
      </c>
      <c r="L88" s="60">
        <v>7.7</v>
      </c>
      <c r="M88" s="7" t="s">
        <v>1058</v>
      </c>
      <c r="N88" s="7">
        <v>500</v>
      </c>
      <c r="O88" s="60">
        <v>8.2</v>
      </c>
    </row>
    <row r="89" ht="15" spans="2:15">
      <c r="B89" s="54" t="s">
        <v>1065</v>
      </c>
      <c r="C89" s="55"/>
      <c r="D89" s="7"/>
      <c r="E89" s="7"/>
      <c r="F89" s="60"/>
      <c r="G89" s="8"/>
      <c r="H89" s="8"/>
      <c r="I89" s="8"/>
      <c r="J89" s="8"/>
      <c r="K89" s="8"/>
      <c r="L89" s="8"/>
      <c r="M89" s="8"/>
      <c r="N89" s="8"/>
      <c r="O89" s="8"/>
    </row>
    <row r="90" spans="2:15">
      <c r="B90" s="116" t="s">
        <v>1057</v>
      </c>
      <c r="C90" s="55"/>
      <c r="D90" s="7" t="s">
        <v>1058</v>
      </c>
      <c r="E90" s="7">
        <v>100</v>
      </c>
      <c r="F90" s="60">
        <v>8</v>
      </c>
      <c r="G90" s="7" t="s">
        <v>1058</v>
      </c>
      <c r="H90" s="7">
        <v>100</v>
      </c>
      <c r="I90" s="60">
        <v>8</v>
      </c>
      <c r="J90" s="7" t="s">
        <v>1058</v>
      </c>
      <c r="K90" s="7">
        <v>100</v>
      </c>
      <c r="L90" s="60">
        <v>8</v>
      </c>
      <c r="M90" s="7" t="s">
        <v>1058</v>
      </c>
      <c r="N90" s="7">
        <v>100</v>
      </c>
      <c r="O90" s="60">
        <v>8</v>
      </c>
    </row>
    <row r="91" ht="15" spans="2:15">
      <c r="B91" s="54" t="s">
        <v>1066</v>
      </c>
      <c r="C91" s="55"/>
      <c r="D91" s="7"/>
      <c r="E91" s="7"/>
      <c r="F91" s="60"/>
      <c r="G91" s="8"/>
      <c r="H91" s="8"/>
      <c r="I91" s="8"/>
      <c r="J91" s="8"/>
      <c r="K91" s="8"/>
      <c r="L91" s="8"/>
      <c r="M91" s="8"/>
      <c r="N91" s="8"/>
      <c r="O91" s="8"/>
    </row>
    <row r="92" spans="2:15">
      <c r="B92" s="116" t="s">
        <v>1057</v>
      </c>
      <c r="C92" s="55"/>
      <c r="D92" s="7" t="s">
        <v>1058</v>
      </c>
      <c r="E92" s="7">
        <v>475</v>
      </c>
      <c r="F92" s="60">
        <v>7.65</v>
      </c>
      <c r="G92" s="7" t="s">
        <v>1058</v>
      </c>
      <c r="H92" s="7">
        <v>475</v>
      </c>
      <c r="I92" s="60">
        <v>7.65</v>
      </c>
      <c r="J92" s="7" t="s">
        <v>1058</v>
      </c>
      <c r="K92" s="7">
        <v>475</v>
      </c>
      <c r="L92" s="60">
        <v>7.65</v>
      </c>
      <c r="M92" s="7" t="s">
        <v>1058</v>
      </c>
      <c r="N92" s="7">
        <v>500</v>
      </c>
      <c r="O92" s="60">
        <v>7.65</v>
      </c>
    </row>
    <row r="93" spans="2:15">
      <c r="B93" s="116" t="s">
        <v>1059</v>
      </c>
      <c r="C93" s="55"/>
      <c r="D93" s="7" t="s">
        <v>1058</v>
      </c>
      <c r="E93" s="7">
        <v>475</v>
      </c>
      <c r="F93" s="60">
        <v>7.15</v>
      </c>
      <c r="G93" s="7" t="s">
        <v>1058</v>
      </c>
      <c r="H93" s="7">
        <v>475</v>
      </c>
      <c r="I93" s="60">
        <v>7.15</v>
      </c>
      <c r="J93" s="7" t="s">
        <v>1058</v>
      </c>
      <c r="K93" s="7">
        <v>475</v>
      </c>
      <c r="L93" s="60">
        <v>7.15</v>
      </c>
      <c r="M93" s="7" t="s">
        <v>1058</v>
      </c>
      <c r="N93" s="7">
        <v>500</v>
      </c>
      <c r="O93" s="60">
        <v>7.45</v>
      </c>
    </row>
    <row r="94" spans="2:15">
      <c r="B94" s="116" t="s">
        <v>1060</v>
      </c>
      <c r="C94" s="55"/>
      <c r="D94" s="7" t="s">
        <v>1058</v>
      </c>
      <c r="E94" s="7">
        <v>475</v>
      </c>
      <c r="F94" s="60">
        <v>6.65</v>
      </c>
      <c r="G94" s="7" t="s">
        <v>1058</v>
      </c>
      <c r="H94" s="7">
        <v>475</v>
      </c>
      <c r="I94" s="60">
        <v>6.65</v>
      </c>
      <c r="J94" s="7" t="s">
        <v>1058</v>
      </c>
      <c r="K94" s="7">
        <v>475</v>
      </c>
      <c r="L94" s="60">
        <v>6.65</v>
      </c>
      <c r="M94" s="7" t="s">
        <v>1058</v>
      </c>
      <c r="N94" s="7">
        <v>500</v>
      </c>
      <c r="O94" s="60">
        <v>7.25</v>
      </c>
    </row>
    <row r="95" ht="15" spans="2:15">
      <c r="B95" s="54" t="s">
        <v>1067</v>
      </c>
      <c r="C95" s="55"/>
      <c r="D95" s="7"/>
      <c r="E95" s="7"/>
      <c r="F95" s="60"/>
      <c r="G95" s="8"/>
      <c r="H95" s="8"/>
      <c r="I95" s="8"/>
      <c r="J95" s="8"/>
      <c r="K95" s="8"/>
      <c r="L95" s="8"/>
      <c r="M95" s="8"/>
      <c r="N95" s="8"/>
      <c r="O95" s="8"/>
    </row>
    <row r="96" spans="2:15">
      <c r="B96" s="116" t="s">
        <v>1057</v>
      </c>
      <c r="C96" s="55"/>
      <c r="D96" s="7" t="s">
        <v>1058</v>
      </c>
      <c r="E96" s="7">
        <v>475</v>
      </c>
      <c r="F96" s="60">
        <v>8.8</v>
      </c>
      <c r="G96" s="7" t="s">
        <v>1058</v>
      </c>
      <c r="H96" s="7">
        <v>475</v>
      </c>
      <c r="I96" s="60">
        <v>8.8</v>
      </c>
      <c r="J96" s="7" t="s">
        <v>1058</v>
      </c>
      <c r="K96" s="7">
        <v>475</v>
      </c>
      <c r="L96" s="60">
        <v>8.8</v>
      </c>
      <c r="M96" s="7" t="s">
        <v>1058</v>
      </c>
      <c r="N96" s="7">
        <v>500</v>
      </c>
      <c r="O96" s="60">
        <v>8.8</v>
      </c>
    </row>
    <row r="97" spans="2:15">
      <c r="B97" s="116" t="s">
        <v>1059</v>
      </c>
      <c r="C97" s="55"/>
      <c r="D97" s="7" t="s">
        <v>1058</v>
      </c>
      <c r="E97" s="7">
        <v>475</v>
      </c>
      <c r="F97" s="60">
        <v>8</v>
      </c>
      <c r="G97" s="7" t="s">
        <v>1058</v>
      </c>
      <c r="H97" s="7">
        <v>475</v>
      </c>
      <c r="I97" s="60">
        <v>8</v>
      </c>
      <c r="J97" s="7" t="s">
        <v>1058</v>
      </c>
      <c r="K97" s="7">
        <v>475</v>
      </c>
      <c r="L97" s="60">
        <v>8</v>
      </c>
      <c r="M97" s="7" t="s">
        <v>1058</v>
      </c>
      <c r="N97" s="7">
        <v>500</v>
      </c>
      <c r="O97" s="60">
        <v>8.6</v>
      </c>
    </row>
    <row r="98" spans="2:15">
      <c r="B98" s="116" t="s">
        <v>1060</v>
      </c>
      <c r="C98" s="55"/>
      <c r="D98" s="7" t="s">
        <v>1058</v>
      </c>
      <c r="E98" s="7">
        <v>475</v>
      </c>
      <c r="F98" s="60">
        <v>7.8</v>
      </c>
      <c r="G98" s="7" t="s">
        <v>1058</v>
      </c>
      <c r="H98" s="7">
        <v>475</v>
      </c>
      <c r="I98" s="60">
        <v>7.8</v>
      </c>
      <c r="J98" s="7" t="s">
        <v>1058</v>
      </c>
      <c r="K98" s="7">
        <v>475</v>
      </c>
      <c r="L98" s="60">
        <v>7.8</v>
      </c>
      <c r="M98" s="7" t="s">
        <v>1058</v>
      </c>
      <c r="N98" s="7">
        <v>500</v>
      </c>
      <c r="O98" s="60">
        <v>8.4</v>
      </c>
    </row>
    <row r="99" ht="15" spans="2:15">
      <c r="B99" s="54" t="s">
        <v>1068</v>
      </c>
      <c r="C99" s="55"/>
      <c r="D99" s="7"/>
      <c r="E99" s="7"/>
      <c r="F99" s="60"/>
      <c r="G99" s="8"/>
      <c r="H99" s="8"/>
      <c r="I99" s="8"/>
      <c r="J99" s="8"/>
      <c r="K99" s="8"/>
      <c r="L99" s="8"/>
      <c r="M99" s="8"/>
      <c r="N99" s="8"/>
      <c r="O99" s="8"/>
    </row>
    <row r="100" spans="2:15">
      <c r="B100" s="116" t="s">
        <v>1057</v>
      </c>
      <c r="C100" s="55"/>
      <c r="D100" s="7"/>
      <c r="E100" s="7"/>
      <c r="F100" s="60"/>
      <c r="G100" s="7" t="s">
        <v>1058</v>
      </c>
      <c r="H100" s="7">
        <v>260</v>
      </c>
      <c r="I100" s="60">
        <v>5</v>
      </c>
      <c r="J100" s="7" t="s">
        <v>1058</v>
      </c>
      <c r="K100" s="7">
        <v>260</v>
      </c>
      <c r="L100" s="60">
        <v>5</v>
      </c>
      <c r="M100" s="7" t="s">
        <v>1058</v>
      </c>
      <c r="N100" s="7">
        <v>300</v>
      </c>
      <c r="O100" s="60">
        <v>5</v>
      </c>
    </row>
    <row r="101" spans="2:15">
      <c r="B101" s="116" t="s">
        <v>1059</v>
      </c>
      <c r="C101" s="55"/>
      <c r="D101" s="7"/>
      <c r="E101" s="7"/>
      <c r="F101" s="60"/>
      <c r="G101" s="7" t="s">
        <v>1058</v>
      </c>
      <c r="H101" s="7">
        <v>260</v>
      </c>
      <c r="I101" s="60">
        <v>5</v>
      </c>
      <c r="J101" s="7" t="s">
        <v>1058</v>
      </c>
      <c r="K101" s="7">
        <v>260</v>
      </c>
      <c r="L101" s="60">
        <v>5</v>
      </c>
      <c r="M101" s="7" t="s">
        <v>1058</v>
      </c>
      <c r="N101" s="7">
        <v>300</v>
      </c>
      <c r="O101" s="60">
        <v>5</v>
      </c>
    </row>
    <row r="102" spans="2:15">
      <c r="B102" s="116" t="s">
        <v>1060</v>
      </c>
      <c r="C102" s="55"/>
      <c r="D102" s="7"/>
      <c r="E102" s="7"/>
      <c r="F102" s="60"/>
      <c r="G102" s="7" t="s">
        <v>1058</v>
      </c>
      <c r="H102" s="7">
        <v>260</v>
      </c>
      <c r="I102" s="60">
        <v>5</v>
      </c>
      <c r="J102" s="7" t="s">
        <v>1058</v>
      </c>
      <c r="K102" s="7">
        <v>260</v>
      </c>
      <c r="L102" s="60">
        <v>5</v>
      </c>
      <c r="M102" s="7" t="s">
        <v>1058</v>
      </c>
      <c r="N102" s="7">
        <v>300</v>
      </c>
      <c r="O102" s="60">
        <v>5</v>
      </c>
    </row>
    <row r="103" ht="15" spans="2:15">
      <c r="B103" s="54" t="s">
        <v>1069</v>
      </c>
      <c r="C103" s="55"/>
      <c r="D103" s="7"/>
      <c r="E103" s="7"/>
      <c r="F103" s="60"/>
      <c r="G103" s="8"/>
      <c r="H103" s="8"/>
      <c r="I103" s="8"/>
      <c r="J103" s="8"/>
      <c r="K103" s="8"/>
      <c r="L103" s="8"/>
      <c r="M103" s="8"/>
      <c r="N103" s="8"/>
      <c r="O103" s="8"/>
    </row>
    <row r="104" spans="2:15">
      <c r="B104" s="116" t="s">
        <v>1057</v>
      </c>
      <c r="C104" s="55"/>
      <c r="D104" s="7" t="s">
        <v>1058</v>
      </c>
      <c r="E104" s="7">
        <v>475</v>
      </c>
      <c r="F104" s="60">
        <v>8.5</v>
      </c>
      <c r="G104" s="7" t="s">
        <v>1058</v>
      </c>
      <c r="H104" s="7">
        <v>475</v>
      </c>
      <c r="I104" s="60">
        <v>8.5</v>
      </c>
      <c r="J104" s="7" t="s">
        <v>1058</v>
      </c>
      <c r="K104" s="7">
        <v>475</v>
      </c>
      <c r="L104" s="60">
        <v>8.5</v>
      </c>
      <c r="M104" s="7" t="s">
        <v>1058</v>
      </c>
      <c r="N104" s="7">
        <v>500</v>
      </c>
      <c r="O104" s="60">
        <v>8.5</v>
      </c>
    </row>
    <row r="105" spans="2:15">
      <c r="B105" s="116" t="s">
        <v>1059</v>
      </c>
      <c r="C105" s="55"/>
      <c r="D105" s="7" t="s">
        <v>1058</v>
      </c>
      <c r="E105" s="7">
        <v>475</v>
      </c>
      <c r="F105" s="60">
        <v>7.85</v>
      </c>
      <c r="G105" s="7" t="s">
        <v>1058</v>
      </c>
      <c r="H105" s="7">
        <v>475</v>
      </c>
      <c r="I105" s="60">
        <v>7.85</v>
      </c>
      <c r="J105" s="7" t="s">
        <v>1058</v>
      </c>
      <c r="K105" s="7">
        <v>475</v>
      </c>
      <c r="L105" s="60">
        <v>7.85</v>
      </c>
      <c r="M105" s="7" t="s">
        <v>1058</v>
      </c>
      <c r="N105" s="7">
        <v>500</v>
      </c>
      <c r="O105" s="60">
        <v>8.3</v>
      </c>
    </row>
    <row r="106" spans="2:15">
      <c r="B106" s="116" t="s">
        <v>1060</v>
      </c>
      <c r="C106" s="55"/>
      <c r="D106" s="7" t="s">
        <v>1058</v>
      </c>
      <c r="E106" s="7">
        <v>475</v>
      </c>
      <c r="F106" s="60">
        <v>7.45</v>
      </c>
      <c r="G106" s="7" t="s">
        <v>1058</v>
      </c>
      <c r="H106" s="7">
        <v>475</v>
      </c>
      <c r="I106" s="60">
        <v>7.45</v>
      </c>
      <c r="J106" s="7" t="s">
        <v>1058</v>
      </c>
      <c r="K106" s="7">
        <v>475</v>
      </c>
      <c r="L106" s="60">
        <v>7.45</v>
      </c>
      <c r="M106" s="7" t="s">
        <v>1058</v>
      </c>
      <c r="N106" s="7">
        <v>500</v>
      </c>
      <c r="O106" s="60">
        <v>8.1</v>
      </c>
    </row>
    <row r="107" ht="15" spans="2:15">
      <c r="B107" s="54" t="s">
        <v>1070</v>
      </c>
      <c r="C107" s="55"/>
      <c r="D107" s="7"/>
      <c r="E107" s="7"/>
      <c r="F107" s="60"/>
      <c r="G107" s="8"/>
      <c r="H107" s="8"/>
      <c r="I107" s="8"/>
      <c r="J107" s="8"/>
      <c r="K107" s="8"/>
      <c r="L107" s="8"/>
      <c r="M107" s="8"/>
      <c r="N107" s="8"/>
      <c r="O107" s="8"/>
    </row>
    <row r="108" spans="2:15">
      <c r="B108" s="116" t="s">
        <v>1057</v>
      </c>
      <c r="C108" s="55"/>
      <c r="D108" s="7" t="s">
        <v>1058</v>
      </c>
      <c r="E108" s="7">
        <v>275</v>
      </c>
      <c r="F108" s="60">
        <v>6.3</v>
      </c>
      <c r="G108" s="7" t="s">
        <v>1058</v>
      </c>
      <c r="H108" s="7">
        <v>275</v>
      </c>
      <c r="I108" s="60">
        <v>6.3</v>
      </c>
      <c r="J108" s="7" t="s">
        <v>1058</v>
      </c>
      <c r="K108" s="7">
        <v>275</v>
      </c>
      <c r="L108" s="60">
        <v>6.3</v>
      </c>
      <c r="M108" s="7" t="s">
        <v>1058</v>
      </c>
      <c r="N108" s="7">
        <v>300</v>
      </c>
      <c r="O108" s="60">
        <v>6.3</v>
      </c>
    </row>
    <row r="109" spans="2:15">
      <c r="B109" s="116" t="s">
        <v>1059</v>
      </c>
      <c r="C109" s="55"/>
      <c r="D109" s="7" t="s">
        <v>1058</v>
      </c>
      <c r="E109" s="7">
        <v>275</v>
      </c>
      <c r="F109" s="60">
        <v>6.3</v>
      </c>
      <c r="G109" s="7" t="s">
        <v>1058</v>
      </c>
      <c r="H109" s="7">
        <v>275</v>
      </c>
      <c r="I109" s="60">
        <v>6.3</v>
      </c>
      <c r="J109" s="7" t="s">
        <v>1058</v>
      </c>
      <c r="K109" s="7">
        <v>275</v>
      </c>
      <c r="L109" s="60">
        <v>6.3</v>
      </c>
      <c r="M109" s="7" t="s">
        <v>1058</v>
      </c>
      <c r="N109" s="7">
        <v>300</v>
      </c>
      <c r="O109" s="60">
        <v>6.3</v>
      </c>
    </row>
    <row r="110" spans="2:15">
      <c r="B110" s="116" t="s">
        <v>1060</v>
      </c>
      <c r="C110" s="55"/>
      <c r="D110" s="7" t="s">
        <v>1058</v>
      </c>
      <c r="E110" s="7">
        <v>275</v>
      </c>
      <c r="F110" s="60">
        <v>6.3</v>
      </c>
      <c r="G110" s="7" t="s">
        <v>1058</v>
      </c>
      <c r="H110" s="7">
        <v>275</v>
      </c>
      <c r="I110" s="60">
        <v>6.3</v>
      </c>
      <c r="J110" s="7" t="s">
        <v>1058</v>
      </c>
      <c r="K110" s="7">
        <v>275</v>
      </c>
      <c r="L110" s="60">
        <v>6.3</v>
      </c>
      <c r="M110" s="7" t="s">
        <v>1058</v>
      </c>
      <c r="N110" s="7">
        <v>300</v>
      </c>
      <c r="O110" s="60">
        <v>6.3</v>
      </c>
    </row>
    <row r="111" ht="15" spans="2:15">
      <c r="B111" s="54" t="s">
        <v>1071</v>
      </c>
      <c r="C111" s="55"/>
      <c r="D111" s="7"/>
      <c r="E111" s="7"/>
      <c r="F111" s="60"/>
      <c r="G111" s="8"/>
      <c r="H111" s="8"/>
      <c r="I111" s="8"/>
      <c r="J111" s="8"/>
      <c r="K111" s="8"/>
      <c r="L111" s="8"/>
      <c r="M111" s="8"/>
      <c r="N111" s="8"/>
      <c r="O111" s="8"/>
    </row>
    <row r="112" spans="2:15">
      <c r="B112" s="116" t="s">
        <v>1057</v>
      </c>
      <c r="C112" s="55"/>
      <c r="D112" s="7" t="s">
        <v>1058</v>
      </c>
      <c r="E112" s="7"/>
      <c r="F112" s="60">
        <v>6.1</v>
      </c>
      <c r="G112" s="7" t="s">
        <v>1058</v>
      </c>
      <c r="H112" s="7"/>
      <c r="I112" s="60">
        <v>6.1</v>
      </c>
      <c r="J112" s="7" t="s">
        <v>1058</v>
      </c>
      <c r="K112" s="7"/>
      <c r="L112" s="60">
        <v>6.1</v>
      </c>
      <c r="M112" s="7" t="s">
        <v>1058</v>
      </c>
      <c r="N112" s="7"/>
      <c r="O112" s="60">
        <v>6.1</v>
      </c>
    </row>
    <row r="113" spans="2:15">
      <c r="B113" s="116" t="s">
        <v>1059</v>
      </c>
      <c r="C113" s="55"/>
      <c r="D113" s="7" t="s">
        <v>1058</v>
      </c>
      <c r="E113" s="7"/>
      <c r="F113" s="60">
        <v>6.1</v>
      </c>
      <c r="G113" s="7" t="s">
        <v>1058</v>
      </c>
      <c r="H113" s="7"/>
      <c r="I113" s="60">
        <v>6.1</v>
      </c>
      <c r="J113" s="7" t="s">
        <v>1058</v>
      </c>
      <c r="K113" s="7"/>
      <c r="L113" s="60">
        <v>6.1</v>
      </c>
      <c r="M113" s="7" t="s">
        <v>1058</v>
      </c>
      <c r="N113" s="7"/>
      <c r="O113" s="60">
        <v>6.1</v>
      </c>
    </row>
    <row r="114" spans="2:15">
      <c r="B114" s="116" t="s">
        <v>1060</v>
      </c>
      <c r="C114" s="55"/>
      <c r="D114" s="7" t="s">
        <v>1058</v>
      </c>
      <c r="E114" s="7"/>
      <c r="F114" s="60">
        <v>6.1</v>
      </c>
      <c r="G114" s="7" t="s">
        <v>1058</v>
      </c>
      <c r="H114" s="7"/>
      <c r="I114" s="60">
        <v>6.1</v>
      </c>
      <c r="J114" s="7" t="s">
        <v>1058</v>
      </c>
      <c r="K114" s="7"/>
      <c r="L114" s="60">
        <v>6.1</v>
      </c>
      <c r="M114" s="7" t="s">
        <v>1058</v>
      </c>
      <c r="N114" s="7"/>
      <c r="O114" s="60">
        <v>6.1</v>
      </c>
    </row>
    <row r="115" ht="15" spans="2:15">
      <c r="B115" s="54" t="s">
        <v>1072</v>
      </c>
      <c r="C115" s="55"/>
      <c r="D115" s="7" t="s">
        <v>1058</v>
      </c>
      <c r="E115" s="7">
        <v>475</v>
      </c>
      <c r="F115" s="60">
        <v>5.05</v>
      </c>
      <c r="G115" s="7" t="s">
        <v>1058</v>
      </c>
      <c r="H115" s="7">
        <v>475</v>
      </c>
      <c r="I115" s="60">
        <v>5.05</v>
      </c>
      <c r="J115" s="7" t="s">
        <v>1058</v>
      </c>
      <c r="K115" s="7">
        <v>475</v>
      </c>
      <c r="L115" s="60">
        <v>5.05</v>
      </c>
      <c r="M115" s="7" t="s">
        <v>1058</v>
      </c>
      <c r="N115" s="7">
        <v>500</v>
      </c>
      <c r="O115" s="60">
        <v>6.25</v>
      </c>
    </row>
    <row r="116" ht="15" spans="2:15">
      <c r="B116" s="54" t="s">
        <v>1073</v>
      </c>
      <c r="C116" s="55"/>
      <c r="D116" s="7" t="s">
        <v>1058</v>
      </c>
      <c r="E116" s="7">
        <v>475</v>
      </c>
      <c r="F116" s="60">
        <v>4.95</v>
      </c>
      <c r="G116" s="7" t="s">
        <v>1058</v>
      </c>
      <c r="H116" s="7">
        <v>475</v>
      </c>
      <c r="I116" s="60">
        <v>4.95</v>
      </c>
      <c r="J116" s="7" t="s">
        <v>1058</v>
      </c>
      <c r="K116" s="7">
        <v>475</v>
      </c>
      <c r="L116" s="60">
        <v>4.95</v>
      </c>
      <c r="M116" s="7" t="s">
        <v>1058</v>
      </c>
      <c r="N116" s="7">
        <v>500</v>
      </c>
      <c r="O116" s="60">
        <v>4.95</v>
      </c>
    </row>
    <row r="117" ht="15" spans="2:15">
      <c r="B117" s="54" t="s">
        <v>1074</v>
      </c>
      <c r="C117" s="55"/>
      <c r="D117" s="7"/>
      <c r="E117" s="7"/>
      <c r="F117" s="60"/>
      <c r="G117" s="8"/>
      <c r="H117" s="8"/>
      <c r="I117" s="8"/>
      <c r="J117" s="8"/>
      <c r="K117" s="8"/>
      <c r="L117" s="8"/>
      <c r="M117" s="8"/>
      <c r="N117" s="8"/>
      <c r="O117" s="8"/>
    </row>
    <row r="118" spans="2:15">
      <c r="B118" s="116" t="s">
        <v>1057</v>
      </c>
      <c r="C118" s="55"/>
      <c r="D118" s="7" t="s">
        <v>1058</v>
      </c>
      <c r="E118" s="7">
        <v>260</v>
      </c>
      <c r="F118" s="60">
        <v>7.3</v>
      </c>
      <c r="G118" s="7" t="s">
        <v>1058</v>
      </c>
      <c r="H118" s="7">
        <v>260</v>
      </c>
      <c r="I118" s="60">
        <v>7.3</v>
      </c>
      <c r="J118" s="7" t="s">
        <v>1058</v>
      </c>
      <c r="K118" s="7">
        <v>260</v>
      </c>
      <c r="L118" s="60">
        <v>7.3</v>
      </c>
      <c r="M118" s="7" t="s">
        <v>1058</v>
      </c>
      <c r="N118" s="7">
        <v>300</v>
      </c>
      <c r="O118" s="60">
        <v>7.3</v>
      </c>
    </row>
    <row r="119" spans="2:15">
      <c r="B119" s="116" t="s">
        <v>1059</v>
      </c>
      <c r="C119" s="55"/>
      <c r="D119" s="7" t="s">
        <v>1058</v>
      </c>
      <c r="E119" s="7">
        <v>260</v>
      </c>
      <c r="F119" s="60">
        <v>7.3</v>
      </c>
      <c r="G119" s="7" t="s">
        <v>1058</v>
      </c>
      <c r="H119" s="7">
        <v>260</v>
      </c>
      <c r="I119" s="60">
        <v>7.3</v>
      </c>
      <c r="J119" s="7" t="s">
        <v>1058</v>
      </c>
      <c r="K119" s="7">
        <v>260</v>
      </c>
      <c r="L119" s="60">
        <v>7.3</v>
      </c>
      <c r="M119" s="7" t="s">
        <v>1058</v>
      </c>
      <c r="N119" s="7">
        <v>300</v>
      </c>
      <c r="O119" s="60">
        <v>7.3</v>
      </c>
    </row>
    <row r="120" spans="2:15">
      <c r="B120" s="116" t="s">
        <v>1060</v>
      </c>
      <c r="C120" s="55"/>
      <c r="D120" s="7" t="s">
        <v>1058</v>
      </c>
      <c r="E120" s="7">
        <v>260</v>
      </c>
      <c r="F120" s="60">
        <v>7.3</v>
      </c>
      <c r="G120" s="7" t="s">
        <v>1058</v>
      </c>
      <c r="H120" s="7">
        <v>260</v>
      </c>
      <c r="I120" s="60">
        <v>7.3</v>
      </c>
      <c r="J120" s="7" t="s">
        <v>1058</v>
      </c>
      <c r="K120" s="7">
        <v>260</v>
      </c>
      <c r="L120" s="60">
        <v>7.3</v>
      </c>
      <c r="M120" s="7" t="s">
        <v>1058</v>
      </c>
      <c r="N120" s="7">
        <v>300</v>
      </c>
      <c r="O120" s="60">
        <v>7.3</v>
      </c>
    </row>
    <row r="121" ht="15" spans="2:15">
      <c r="B121" s="54" t="s">
        <v>1075</v>
      </c>
      <c r="C121" s="55"/>
      <c r="D121" s="7"/>
      <c r="E121" s="7"/>
      <c r="F121" s="60"/>
      <c r="G121" s="8"/>
      <c r="H121" s="8"/>
      <c r="I121" s="8"/>
      <c r="J121" s="8"/>
      <c r="K121" s="8"/>
      <c r="L121" s="8"/>
      <c r="M121" s="8"/>
      <c r="N121" s="8"/>
      <c r="O121" s="8"/>
    </row>
    <row r="122" spans="2:15">
      <c r="B122" s="116" t="s">
        <v>1057</v>
      </c>
      <c r="C122" s="55"/>
      <c r="D122" s="7" t="s">
        <v>1058</v>
      </c>
      <c r="E122" s="7">
        <v>500</v>
      </c>
      <c r="F122" s="60">
        <v>11.8</v>
      </c>
      <c r="G122" s="7" t="s">
        <v>1058</v>
      </c>
      <c r="H122" s="7">
        <v>500</v>
      </c>
      <c r="I122" s="60">
        <v>11.8</v>
      </c>
      <c r="J122" s="7" t="s">
        <v>1058</v>
      </c>
      <c r="K122" s="7">
        <v>500</v>
      </c>
      <c r="L122" s="60">
        <v>11.8</v>
      </c>
      <c r="M122" s="7" t="s">
        <v>1058</v>
      </c>
      <c r="N122" s="7">
        <v>500</v>
      </c>
      <c r="O122" s="60">
        <v>11.8</v>
      </c>
    </row>
    <row r="123" spans="2:15">
      <c r="B123" s="116" t="s">
        <v>1059</v>
      </c>
      <c r="C123" s="55"/>
      <c r="D123" s="7" t="s">
        <v>1058</v>
      </c>
      <c r="E123" s="7">
        <v>500</v>
      </c>
      <c r="F123" s="60">
        <v>11</v>
      </c>
      <c r="G123" s="7" t="s">
        <v>1058</v>
      </c>
      <c r="H123" s="7">
        <v>500</v>
      </c>
      <c r="I123" s="60">
        <v>11</v>
      </c>
      <c r="J123" s="7" t="s">
        <v>1058</v>
      </c>
      <c r="K123" s="7">
        <v>500</v>
      </c>
      <c r="L123" s="60">
        <v>11</v>
      </c>
      <c r="M123" s="7" t="s">
        <v>1058</v>
      </c>
      <c r="N123" s="7">
        <v>500</v>
      </c>
      <c r="O123" s="60">
        <v>11</v>
      </c>
    </row>
    <row r="124" spans="2:15">
      <c r="B124" s="116" t="s">
        <v>1060</v>
      </c>
      <c r="C124" s="55"/>
      <c r="D124" s="7" t="s">
        <v>1058</v>
      </c>
      <c r="E124" s="7">
        <v>500</v>
      </c>
      <c r="F124" s="60">
        <v>10.8</v>
      </c>
      <c r="G124" s="7" t="s">
        <v>1058</v>
      </c>
      <c r="H124" s="7">
        <v>500</v>
      </c>
      <c r="I124" s="60">
        <v>10.8</v>
      </c>
      <c r="J124" s="7" t="s">
        <v>1058</v>
      </c>
      <c r="K124" s="7">
        <v>500</v>
      </c>
      <c r="L124" s="60">
        <v>10.8</v>
      </c>
      <c r="M124" s="7" t="s">
        <v>1058</v>
      </c>
      <c r="N124" s="7">
        <v>500</v>
      </c>
      <c r="O124" s="60">
        <v>10.8</v>
      </c>
    </row>
    <row r="125" ht="15" spans="2:15">
      <c r="B125" s="54" t="s">
        <v>1076</v>
      </c>
      <c r="C125" s="55"/>
      <c r="D125" s="7"/>
      <c r="E125" s="7"/>
      <c r="F125" s="60"/>
      <c r="G125" s="8"/>
      <c r="H125" s="8"/>
      <c r="I125" s="8"/>
      <c r="J125" s="8"/>
      <c r="K125" s="8"/>
      <c r="L125" s="8"/>
      <c r="M125" s="8"/>
      <c r="N125" s="8"/>
      <c r="O125" s="8"/>
    </row>
    <row r="126" spans="2:15">
      <c r="B126" s="116" t="s">
        <v>1057</v>
      </c>
      <c r="C126" s="55"/>
      <c r="D126" s="7" t="s">
        <v>1058</v>
      </c>
      <c r="E126" s="7"/>
      <c r="F126" s="60">
        <v>4.8</v>
      </c>
      <c r="G126" s="7" t="s">
        <v>1058</v>
      </c>
      <c r="H126" s="7"/>
      <c r="I126" s="60">
        <v>4.84</v>
      </c>
      <c r="J126" s="7" t="s">
        <v>1058</v>
      </c>
      <c r="K126" s="7"/>
      <c r="L126" s="60">
        <v>4.84</v>
      </c>
      <c r="M126" s="7" t="s">
        <v>1058</v>
      </c>
      <c r="N126" s="7"/>
      <c r="O126" s="60">
        <v>4.84</v>
      </c>
    </row>
    <row r="127" ht="15" spans="2:15">
      <c r="B127" s="54" t="s">
        <v>1077</v>
      </c>
      <c r="C127" s="55"/>
      <c r="D127" s="7"/>
      <c r="E127" s="7"/>
      <c r="F127" s="60"/>
      <c r="G127" s="8"/>
      <c r="H127" s="8"/>
      <c r="I127" s="8"/>
      <c r="J127" s="8"/>
      <c r="K127" s="8"/>
      <c r="L127" s="8"/>
      <c r="M127" s="8"/>
      <c r="N127" s="8"/>
      <c r="O127" s="8"/>
    </row>
    <row r="128" spans="2:15">
      <c r="B128" s="116" t="s">
        <v>1057</v>
      </c>
      <c r="C128" s="55"/>
      <c r="D128" s="7" t="s">
        <v>1058</v>
      </c>
      <c r="E128" s="7">
        <v>100</v>
      </c>
      <c r="F128" s="60">
        <v>6</v>
      </c>
      <c r="G128" s="7" t="s">
        <v>1058</v>
      </c>
      <c r="H128" s="7">
        <v>100</v>
      </c>
      <c r="I128" s="60">
        <v>6</v>
      </c>
      <c r="J128" s="7" t="s">
        <v>1058</v>
      </c>
      <c r="K128" s="7">
        <v>100</v>
      </c>
      <c r="L128" s="60">
        <v>6</v>
      </c>
      <c r="M128" s="7" t="s">
        <v>1058</v>
      </c>
      <c r="N128" s="7">
        <v>100</v>
      </c>
      <c r="O128" s="60">
        <v>6</v>
      </c>
    </row>
    <row r="129" spans="2:15">
      <c r="B129" s="116" t="s">
        <v>1059</v>
      </c>
      <c r="C129" s="55"/>
      <c r="D129" s="7" t="s">
        <v>1058</v>
      </c>
      <c r="E129" s="7">
        <v>100</v>
      </c>
      <c r="F129" s="60">
        <v>6</v>
      </c>
      <c r="G129" s="7" t="s">
        <v>1058</v>
      </c>
      <c r="H129" s="7">
        <v>100</v>
      </c>
      <c r="I129" s="60">
        <v>6</v>
      </c>
      <c r="J129" s="7" t="s">
        <v>1058</v>
      </c>
      <c r="K129" s="7">
        <v>100</v>
      </c>
      <c r="L129" s="60">
        <v>6</v>
      </c>
      <c r="M129" s="7" t="s">
        <v>1058</v>
      </c>
      <c r="N129" s="7">
        <v>100</v>
      </c>
      <c r="O129" s="60">
        <v>6</v>
      </c>
    </row>
    <row r="130" spans="2:15">
      <c r="B130" s="116" t="s">
        <v>1060</v>
      </c>
      <c r="C130" s="55"/>
      <c r="D130" s="7" t="s">
        <v>1058</v>
      </c>
      <c r="E130" s="7">
        <v>100</v>
      </c>
      <c r="F130" s="60">
        <v>6</v>
      </c>
      <c r="G130" s="7" t="s">
        <v>1058</v>
      </c>
      <c r="H130" s="7">
        <v>100</v>
      </c>
      <c r="I130" s="60">
        <v>6</v>
      </c>
      <c r="J130" s="7" t="s">
        <v>1058</v>
      </c>
      <c r="K130" s="7">
        <v>100</v>
      </c>
      <c r="L130" s="60">
        <v>6</v>
      </c>
      <c r="M130" s="7" t="s">
        <v>1058</v>
      </c>
      <c r="N130" s="7">
        <v>100</v>
      </c>
      <c r="O130" s="60">
        <v>6</v>
      </c>
    </row>
    <row r="132" spans="6:6">
      <c r="F132" s="12"/>
    </row>
    <row r="133" spans="5:6">
      <c r="E133" s="13">
        <v>1</v>
      </c>
      <c r="F133" s="12" t="s">
        <v>226</v>
      </c>
    </row>
    <row r="134" spans="5:6">
      <c r="E134" s="13">
        <f>E133+1</f>
        <v>2</v>
      </c>
      <c r="F134" s="12" t="s">
        <v>233</v>
      </c>
    </row>
  </sheetData>
  <mergeCells count="12">
    <mergeCell ref="B2:P2"/>
    <mergeCell ref="D5:F5"/>
    <mergeCell ref="G5:I5"/>
    <mergeCell ref="J5:L5"/>
    <mergeCell ref="M5:O5"/>
    <mergeCell ref="D6:E6"/>
    <mergeCell ref="G6:H6"/>
    <mergeCell ref="J6:K6"/>
    <mergeCell ref="M6:N6"/>
    <mergeCell ref="B8:C8"/>
    <mergeCell ref="B69:C69"/>
    <mergeCell ref="B5:C7"/>
  </mergeCells>
  <pageMargins left="0.7" right="0.7" top="0.75" bottom="0.75" header="0.3" footer="0.3"/>
  <pageSetup paperSize="1" orientation="portrait"/>
  <headerFooter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B2:P299"/>
  <sheetViews>
    <sheetView showGridLines="0" zoomScale="70" zoomScaleNormal="70" topLeftCell="A3" workbookViewId="0">
      <pane xSplit="3" ySplit="5" topLeftCell="D8" activePane="bottomRight" state="frozen"/>
      <selection/>
      <selection pane="topRight"/>
      <selection pane="bottomLeft"/>
      <selection pane="bottomRight" activeCell="T5" sqref="T5"/>
    </sheetView>
  </sheetViews>
  <sheetFormatPr defaultColWidth="9.14285714285714" defaultRowHeight="14.25"/>
  <cols>
    <col min="1" max="1" width="9.14285714285714" style="1"/>
    <col min="2" max="2" width="33" style="1" customWidth="1"/>
    <col min="3" max="3" width="38.5714285714286" style="1" customWidth="1"/>
    <col min="4" max="4" width="21" style="1" customWidth="1"/>
    <col min="5" max="5" width="16.8571428571429" style="1" customWidth="1"/>
    <col min="6" max="6" width="14" style="1" customWidth="1"/>
    <col min="7" max="7" width="25" style="1" customWidth="1"/>
    <col min="8" max="8" width="21.4285714285714" style="1" customWidth="1"/>
    <col min="9" max="9" width="17.5714285714286" style="1" customWidth="1"/>
    <col min="10" max="10" width="16.1428571428571" style="1" customWidth="1"/>
    <col min="11" max="11" width="25" style="1" customWidth="1"/>
    <col min="12" max="12" width="17.5714285714286" style="1" customWidth="1"/>
    <col min="13" max="13" width="20.4285714285714" style="1" customWidth="1"/>
    <col min="14" max="14" width="14.5714285714286" style="1" customWidth="1"/>
    <col min="15" max="15" width="17.4285714285714" style="1" customWidth="1"/>
    <col min="16" max="16384" width="9.14285714285714" style="1"/>
  </cols>
  <sheetData>
    <row r="2" ht="15" spans="2:16">
      <c r="B2" s="2" t="s">
        <v>156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9:9">
      <c r="I3" s="3" t="s">
        <v>1085</v>
      </c>
    </row>
    <row r="5" ht="15" spans="2:15">
      <c r="B5" s="36" t="s">
        <v>159</v>
      </c>
      <c r="C5" s="37"/>
      <c r="D5" s="90" t="s">
        <v>1086</v>
      </c>
      <c r="E5" s="90" t="s">
        <v>1087</v>
      </c>
      <c r="F5" s="38" t="s">
        <v>879</v>
      </c>
      <c r="G5" s="38" t="s">
        <v>1088</v>
      </c>
      <c r="H5" s="38"/>
      <c r="I5" s="90" t="s">
        <v>1089</v>
      </c>
      <c r="J5" s="92" t="s">
        <v>1090</v>
      </c>
      <c r="K5" s="38" t="s">
        <v>1091</v>
      </c>
      <c r="L5" s="38"/>
      <c r="M5" s="38"/>
      <c r="N5" s="38"/>
      <c r="O5" s="38"/>
    </row>
    <row r="6" ht="15" spans="2:15">
      <c r="B6" s="40"/>
      <c r="C6" s="41"/>
      <c r="D6" s="90"/>
      <c r="E6" s="90"/>
      <c r="F6" s="38"/>
      <c r="G6" s="38" t="s">
        <v>1092</v>
      </c>
      <c r="H6" s="38" t="s">
        <v>1093</v>
      </c>
      <c r="I6" s="90"/>
      <c r="J6" s="93"/>
      <c r="K6" s="38" t="s">
        <v>1092</v>
      </c>
      <c r="L6" s="38" t="s">
        <v>1093</v>
      </c>
      <c r="M6" s="38" t="s">
        <v>1089</v>
      </c>
      <c r="N6" s="38" t="s">
        <v>1090</v>
      </c>
      <c r="O6" s="38" t="s">
        <v>97</v>
      </c>
    </row>
    <row r="7" ht="15" spans="2:15">
      <c r="B7" s="42"/>
      <c r="C7" s="43"/>
      <c r="D7" s="39" t="s">
        <v>1094</v>
      </c>
      <c r="E7" s="39" t="s">
        <v>1095</v>
      </c>
      <c r="F7" s="39" t="s">
        <v>1096</v>
      </c>
      <c r="G7" s="39" t="s">
        <v>1097</v>
      </c>
      <c r="H7" s="39" t="s">
        <v>1098</v>
      </c>
      <c r="I7" s="39" t="s">
        <v>1097</v>
      </c>
      <c r="J7" s="38" t="s">
        <v>297</v>
      </c>
      <c r="K7" s="38" t="s">
        <v>550</v>
      </c>
      <c r="L7" s="38" t="s">
        <v>550</v>
      </c>
      <c r="M7" s="38" t="s">
        <v>550</v>
      </c>
      <c r="N7" s="38" t="s">
        <v>550</v>
      </c>
      <c r="O7" s="38" t="s">
        <v>550</v>
      </c>
    </row>
    <row r="8" ht="15" spans="2:15">
      <c r="B8" s="44" t="s">
        <v>890</v>
      </c>
      <c r="C8" s="45"/>
      <c r="J8" s="8"/>
      <c r="K8" s="8"/>
      <c r="L8" s="8"/>
      <c r="M8" s="8"/>
      <c r="N8" s="8"/>
      <c r="O8" s="8"/>
    </row>
    <row r="9" ht="15" spans="2:15">
      <c r="B9" s="46" t="s">
        <v>1000</v>
      </c>
      <c r="C9" s="47"/>
      <c r="D9" s="48">
        <f>'[11]FY22-23 Actual Sales'!D8</f>
        <v>7443356</v>
      </c>
      <c r="E9" s="48">
        <f>'[11]FY22-23 Actual Sales'!E8</f>
        <v>10879.19117</v>
      </c>
      <c r="F9" s="48">
        <f>'[11]FY22-23 Actual Sales'!S8</f>
        <v>9952.10895307</v>
      </c>
      <c r="G9" s="79"/>
      <c r="H9" s="91"/>
      <c r="I9" s="79"/>
      <c r="J9" s="8"/>
      <c r="K9" s="48"/>
      <c r="L9" s="48"/>
      <c r="M9" s="48"/>
      <c r="N9" s="49"/>
      <c r="O9" s="60"/>
    </row>
    <row r="10" spans="2:15">
      <c r="B10" s="50" t="s">
        <v>1001</v>
      </c>
      <c r="C10" s="47"/>
      <c r="D10" s="51">
        <f>'[11]FY22-23 Actual Sales'!D9</f>
        <v>4059636</v>
      </c>
      <c r="E10" s="51">
        <f>'[11]FY22-23 Actual Sales'!E9</f>
        <v>4076.46684</v>
      </c>
      <c r="F10" s="51">
        <f>'[11]FY22-23 Actual Sales'!S9</f>
        <v>2232.44399885</v>
      </c>
      <c r="G10" s="79"/>
      <c r="H10" s="91"/>
      <c r="I10" s="79"/>
      <c r="J10" s="8"/>
      <c r="K10" s="51"/>
      <c r="L10" s="51"/>
      <c r="M10" s="51"/>
      <c r="N10" s="49"/>
      <c r="O10" s="60"/>
    </row>
    <row r="11" spans="2:15">
      <c r="B11" s="52" t="s">
        <v>1002</v>
      </c>
      <c r="C11" s="47"/>
      <c r="D11" s="53">
        <f>'[11]FY22-23 Actual Sales'!D10</f>
        <v>2192796</v>
      </c>
      <c r="E11" s="53">
        <f>'[11]FY22-23 Actual Sales'!E10</f>
        <v>2157.61478</v>
      </c>
      <c r="F11" s="53">
        <f>'[11]FY22-23 Actual Sales'!S10</f>
        <v>1669.57070128</v>
      </c>
      <c r="G11" s="100">
        <v>10</v>
      </c>
      <c r="H11" s="101">
        <v>1.95</v>
      </c>
      <c r="I11" s="79">
        <v>40</v>
      </c>
      <c r="J11" s="8"/>
      <c r="K11" s="53"/>
      <c r="L11" s="53"/>
      <c r="M11" s="53"/>
      <c r="N11" s="49"/>
      <c r="O11" s="60"/>
    </row>
    <row r="12" spans="2:15">
      <c r="B12" s="52" t="s">
        <v>1004</v>
      </c>
      <c r="C12" s="47"/>
      <c r="D12" s="53">
        <f>'[11]FY22-23 Actual Sales'!D11</f>
        <v>1866840</v>
      </c>
      <c r="E12" s="53">
        <f>'[11]FY22-23 Actual Sales'!E11</f>
        <v>1918.85206</v>
      </c>
      <c r="F12" s="53">
        <f>'[11]FY22-23 Actual Sales'!S11</f>
        <v>562.87329757</v>
      </c>
      <c r="G12" s="100">
        <v>10</v>
      </c>
      <c r="H12" s="101">
        <v>3.1</v>
      </c>
      <c r="I12" s="79">
        <v>70</v>
      </c>
      <c r="J12" s="8"/>
      <c r="K12" s="53"/>
      <c r="L12" s="53"/>
      <c r="M12" s="53"/>
      <c r="N12" s="49"/>
      <c r="O12" s="60"/>
    </row>
    <row r="13" spans="2:15">
      <c r="B13" s="50" t="s">
        <v>1005</v>
      </c>
      <c r="C13" s="47"/>
      <c r="D13" s="51">
        <f>'[11]FY22-23 Actual Sales'!D12</f>
        <v>2185420</v>
      </c>
      <c r="E13" s="51">
        <f>'[11]FY22-23 Actual Sales'!E12</f>
        <v>3352.47232</v>
      </c>
      <c r="F13" s="51">
        <f>'[11]FY22-23 Actual Sales'!S12</f>
        <v>3426.64286664</v>
      </c>
      <c r="G13" s="100"/>
      <c r="H13" s="101"/>
      <c r="I13" s="79"/>
      <c r="J13" s="8"/>
      <c r="K13" s="51"/>
      <c r="L13" s="51"/>
      <c r="M13" s="51"/>
      <c r="N13" s="49"/>
      <c r="O13" s="60"/>
    </row>
    <row r="14" spans="2:15">
      <c r="B14" s="52" t="s">
        <v>1006</v>
      </c>
      <c r="C14" s="47"/>
      <c r="D14" s="53">
        <f>'[11]FY22-23 Actual Sales'!D13</f>
        <v>0</v>
      </c>
      <c r="E14" s="53">
        <f>'[11]FY22-23 Actual Sales'!E13</f>
        <v>0</v>
      </c>
      <c r="F14" s="53">
        <f>'[11]FY22-23 Actual Sales'!S13</f>
        <v>2418.96</v>
      </c>
      <c r="G14" s="100">
        <v>10</v>
      </c>
      <c r="H14" s="101">
        <v>3.4</v>
      </c>
      <c r="I14" s="79"/>
      <c r="J14" s="8"/>
      <c r="K14" s="53"/>
      <c r="L14" s="53"/>
      <c r="M14" s="53"/>
      <c r="N14" s="49"/>
      <c r="O14" s="60"/>
    </row>
    <row r="15" spans="2:15">
      <c r="B15" s="52" t="s">
        <v>1007</v>
      </c>
      <c r="C15" s="47"/>
      <c r="D15" s="53">
        <f>'[11]FY22-23 Actual Sales'!D14</f>
        <v>2185420</v>
      </c>
      <c r="E15" s="53">
        <f>'[11]FY22-23 Actual Sales'!E14</f>
        <v>3352.47232</v>
      </c>
      <c r="F15" s="53">
        <f>'[11]FY22-23 Actual Sales'!S14</f>
        <v>1007.68286664</v>
      </c>
      <c r="G15" s="100">
        <v>10</v>
      </c>
      <c r="H15" s="101">
        <v>4.8</v>
      </c>
      <c r="I15" s="79">
        <v>90</v>
      </c>
      <c r="J15" s="8"/>
      <c r="K15" s="53"/>
      <c r="L15" s="53"/>
      <c r="M15" s="53"/>
      <c r="N15" s="49"/>
      <c r="O15" s="60"/>
    </row>
    <row r="16" spans="2:15">
      <c r="B16" s="50" t="s">
        <v>1008</v>
      </c>
      <c r="C16" s="47"/>
      <c r="D16" s="51">
        <f>'[11]FY22-23 Actual Sales'!D15</f>
        <v>1198300</v>
      </c>
      <c r="E16" s="51">
        <f>'[11]FY22-23 Actual Sales'!E15</f>
        <v>3450.25201</v>
      </c>
      <c r="F16" s="51">
        <f>'[11]FY22-23 Actual Sales'!S15</f>
        <v>4293.02208758</v>
      </c>
      <c r="G16" s="100"/>
      <c r="H16" s="101"/>
      <c r="I16" s="79"/>
      <c r="J16" s="8"/>
      <c r="K16" s="51"/>
      <c r="L16" s="51"/>
      <c r="M16" s="51"/>
      <c r="N16" s="49"/>
      <c r="O16" s="60"/>
    </row>
    <row r="17" spans="2:15">
      <c r="B17" s="52" t="s">
        <v>1009</v>
      </c>
      <c r="C17" s="47"/>
      <c r="D17" s="53">
        <f>'[11]FY22-23 Actual Sales'!D16</f>
        <v>0</v>
      </c>
      <c r="E17" s="53">
        <f>'[11]FY22-23 Actual Sales'!E16</f>
        <v>0</v>
      </c>
      <c r="F17" s="53">
        <f>'[11]FY22-23 Actual Sales'!S16</f>
        <v>2461.9374</v>
      </c>
      <c r="G17" s="100">
        <v>10</v>
      </c>
      <c r="H17" s="101">
        <v>5.1</v>
      </c>
      <c r="I17" s="79"/>
      <c r="J17" s="8"/>
      <c r="K17" s="53"/>
      <c r="L17" s="53"/>
      <c r="M17" s="53"/>
      <c r="N17" s="49"/>
      <c r="O17" s="60"/>
    </row>
    <row r="18" spans="2:15">
      <c r="B18" s="52" t="s">
        <v>1010</v>
      </c>
      <c r="C18" s="47"/>
      <c r="D18" s="53">
        <f>'[11]FY22-23 Actual Sales'!D17</f>
        <v>739795</v>
      </c>
      <c r="E18" s="53">
        <f>'[11]FY22-23 Actual Sales'!E17</f>
        <v>1714.08173</v>
      </c>
      <c r="F18" s="53">
        <f>'[11]FY22-23 Actual Sales'!S17</f>
        <v>791.87810458</v>
      </c>
      <c r="G18" s="100">
        <v>10</v>
      </c>
      <c r="H18" s="101">
        <v>7.7</v>
      </c>
      <c r="I18" s="79">
        <v>100</v>
      </c>
      <c r="J18" s="8"/>
      <c r="K18" s="53"/>
      <c r="L18" s="53"/>
      <c r="M18" s="53"/>
      <c r="N18" s="49"/>
      <c r="O18" s="60"/>
    </row>
    <row r="19" spans="2:15">
      <c r="B19" s="52" t="s">
        <v>1011</v>
      </c>
      <c r="C19" s="47"/>
      <c r="D19" s="53">
        <f>'[11]FY22-23 Actual Sales'!D18</f>
        <v>246901</v>
      </c>
      <c r="E19" s="53">
        <f>'[11]FY22-23 Actual Sales'!E18</f>
        <v>733.86</v>
      </c>
      <c r="F19" s="53">
        <f>'[11]FY22-23 Actual Sales'!S18</f>
        <v>349.203177</v>
      </c>
      <c r="G19" s="100">
        <v>10</v>
      </c>
      <c r="H19" s="60">
        <v>9</v>
      </c>
      <c r="I19" s="79">
        <v>120</v>
      </c>
      <c r="J19" s="8"/>
      <c r="K19" s="53"/>
      <c r="L19" s="53"/>
      <c r="M19" s="53"/>
      <c r="N19" s="49"/>
      <c r="O19" s="60"/>
    </row>
    <row r="20" spans="2:15">
      <c r="B20" s="52" t="s">
        <v>1012</v>
      </c>
      <c r="C20" s="47"/>
      <c r="D20" s="53">
        <f>'[11]FY22-23 Actual Sales'!D19</f>
        <v>177741</v>
      </c>
      <c r="E20" s="53">
        <f>'[11]FY22-23 Actual Sales'!E19</f>
        <v>696.88469</v>
      </c>
      <c r="F20" s="53">
        <f>'[11]FY22-23 Actual Sales'!S19</f>
        <v>424.513743</v>
      </c>
      <c r="G20" s="100">
        <v>10</v>
      </c>
      <c r="H20" s="60">
        <v>9.5</v>
      </c>
      <c r="I20" s="79">
        <v>140</v>
      </c>
      <c r="J20" s="8"/>
      <c r="K20" s="53"/>
      <c r="L20" s="53"/>
      <c r="M20" s="53"/>
      <c r="N20" s="49"/>
      <c r="O20" s="60"/>
    </row>
    <row r="21" spans="2:15">
      <c r="B21" s="52" t="s">
        <v>1013</v>
      </c>
      <c r="C21" s="47"/>
      <c r="D21" s="53">
        <f>'[11]FY22-23 Actual Sales'!D20</f>
        <v>33863</v>
      </c>
      <c r="E21" s="53">
        <f>'[11]FY22-23 Actual Sales'!E20</f>
        <v>305.42559</v>
      </c>
      <c r="F21" s="53">
        <f>'[11]FY22-23 Actual Sales'!S20</f>
        <v>265.489663</v>
      </c>
      <c r="G21" s="7">
        <v>10</v>
      </c>
      <c r="H21" s="60">
        <v>10</v>
      </c>
      <c r="I21" s="79">
        <v>160</v>
      </c>
      <c r="J21" s="8"/>
      <c r="K21" s="53"/>
      <c r="L21" s="53"/>
      <c r="M21" s="53"/>
      <c r="N21" s="49"/>
      <c r="O21" s="60"/>
    </row>
    <row r="22" ht="15" spans="2:15">
      <c r="B22" s="54" t="s">
        <v>1014</v>
      </c>
      <c r="C22" s="55"/>
      <c r="D22" s="48">
        <f>'[11]FY22-23 Actual Sales'!D21</f>
        <v>1087272</v>
      </c>
      <c r="E22" s="48">
        <f>'[11]FY22-23 Actual Sales'!E21</f>
        <v>3581.27058</v>
      </c>
      <c r="F22" s="48">
        <f>'[11]FY22-23 Actual Sales'!S21</f>
        <v>3076.96768843</v>
      </c>
      <c r="G22" s="7"/>
      <c r="H22" s="60"/>
      <c r="I22" s="79"/>
      <c r="J22" s="8"/>
      <c r="K22" s="48"/>
      <c r="L22" s="48"/>
      <c r="M22" s="48"/>
      <c r="N22" s="49"/>
      <c r="O22" s="60"/>
    </row>
    <row r="23" spans="2:15">
      <c r="B23" s="56" t="s">
        <v>1015</v>
      </c>
      <c r="C23" s="55"/>
      <c r="D23" s="51">
        <f>'[11]FY22-23 Actual Sales'!D22</f>
        <v>501896</v>
      </c>
      <c r="E23" s="51">
        <f>'[11]FY22-23 Actual Sales'!E22</f>
        <v>856.06032</v>
      </c>
      <c r="F23" s="51">
        <f>'[11]FY22-23 Actual Sales'!S22</f>
        <v>89.62853038</v>
      </c>
      <c r="G23" s="7"/>
      <c r="H23" s="60"/>
      <c r="I23" s="79"/>
      <c r="J23" s="8"/>
      <c r="K23" s="51"/>
      <c r="L23" s="51"/>
      <c r="M23" s="51"/>
      <c r="N23" s="49"/>
      <c r="O23" s="60"/>
    </row>
    <row r="24" spans="2:15">
      <c r="B24" s="57" t="s">
        <v>1002</v>
      </c>
      <c r="C24" s="55"/>
      <c r="D24" s="53">
        <f>'[11]FY22-23 Actual Sales'!D23</f>
        <v>501896</v>
      </c>
      <c r="E24" s="53">
        <f>'[11]FY22-23 Actual Sales'!E23</f>
        <v>856.06032</v>
      </c>
      <c r="F24" s="53">
        <f>'[11]FY22-23 Actual Sales'!S23</f>
        <v>89.62853038</v>
      </c>
      <c r="G24" s="7">
        <v>60</v>
      </c>
      <c r="H24" s="60">
        <v>7</v>
      </c>
      <c r="I24" s="79">
        <v>50</v>
      </c>
      <c r="J24" s="8"/>
      <c r="K24" s="53"/>
      <c r="L24" s="53"/>
      <c r="M24" s="53"/>
      <c r="N24" s="49"/>
      <c r="O24" s="60"/>
    </row>
    <row r="25" spans="2:15">
      <c r="B25" s="56" t="s">
        <v>1016</v>
      </c>
      <c r="C25" s="55"/>
      <c r="D25" s="51">
        <f>'[11]FY22-23 Actual Sales'!D24</f>
        <v>571376</v>
      </c>
      <c r="E25" s="51">
        <f>'[11]FY22-23 Actual Sales'!E24</f>
        <v>2706.89096</v>
      </c>
      <c r="F25" s="51">
        <f>'[11]FY22-23 Actual Sales'!S24</f>
        <v>2979.02979443</v>
      </c>
      <c r="G25" s="7"/>
      <c r="H25" s="60"/>
      <c r="I25" s="79"/>
      <c r="J25" s="8"/>
      <c r="K25" s="51"/>
      <c r="L25" s="51"/>
      <c r="M25" s="51"/>
      <c r="N25" s="49"/>
      <c r="O25" s="60"/>
    </row>
    <row r="26" spans="2:15">
      <c r="B26" s="58" t="s">
        <v>1006</v>
      </c>
      <c r="C26" s="55"/>
      <c r="D26" s="53">
        <f>'[11]FY22-23 Actual Sales'!D25</f>
        <v>181203</v>
      </c>
      <c r="E26" s="53">
        <f>'[11]FY22-23 Actual Sales'!E25</f>
        <v>302.86246</v>
      </c>
      <c r="F26" s="53">
        <f>'[11]FY22-23 Actual Sales'!S25</f>
        <v>581.75563818</v>
      </c>
      <c r="G26" s="7">
        <v>70</v>
      </c>
      <c r="H26" s="60">
        <v>8.5</v>
      </c>
      <c r="I26" s="79">
        <v>90</v>
      </c>
      <c r="J26" s="8"/>
      <c r="K26" s="53"/>
      <c r="L26" s="53"/>
      <c r="M26" s="53"/>
      <c r="N26" s="49"/>
      <c r="O26" s="60"/>
    </row>
    <row r="27" spans="2:15">
      <c r="B27" s="58" t="s">
        <v>1017</v>
      </c>
      <c r="C27" s="55"/>
      <c r="D27" s="53">
        <f>'[11]FY22-23 Actual Sales'!D26</f>
        <v>221715</v>
      </c>
      <c r="E27" s="53">
        <f>'[11]FY22-23 Actual Sales'!E26</f>
        <v>555.6927</v>
      </c>
      <c r="F27" s="53">
        <f>'[11]FY22-23 Actual Sales'!S26</f>
        <v>547.54657025</v>
      </c>
      <c r="G27" s="7">
        <v>70</v>
      </c>
      <c r="H27" s="60">
        <v>9.9</v>
      </c>
      <c r="I27" s="79">
        <v>105</v>
      </c>
      <c r="J27" s="8"/>
      <c r="K27" s="53"/>
      <c r="L27" s="53"/>
      <c r="M27" s="53"/>
      <c r="N27" s="49"/>
      <c r="O27" s="60"/>
    </row>
    <row r="28" spans="2:15">
      <c r="B28" s="58" t="s">
        <v>1018</v>
      </c>
      <c r="C28" s="55"/>
      <c r="D28" s="53">
        <f>'[11]FY22-23 Actual Sales'!D27</f>
        <v>59507</v>
      </c>
      <c r="E28" s="53">
        <f>'[11]FY22-23 Actual Sales'!E27</f>
        <v>264.2772</v>
      </c>
      <c r="F28" s="53">
        <f>'[11]FY22-23 Actual Sales'!S27</f>
        <v>294.6660345</v>
      </c>
      <c r="G28" s="7">
        <v>70</v>
      </c>
      <c r="H28" s="60">
        <v>10.4</v>
      </c>
      <c r="I28" s="79">
        <v>120</v>
      </c>
      <c r="J28" s="8"/>
      <c r="K28" s="53"/>
      <c r="L28" s="53"/>
      <c r="M28" s="53"/>
      <c r="N28" s="49"/>
      <c r="O28" s="60"/>
    </row>
    <row r="29" spans="2:15">
      <c r="B29" s="58" t="s">
        <v>1019</v>
      </c>
      <c r="C29" s="55"/>
      <c r="D29" s="53">
        <f>'[11]FY22-23 Actual Sales'!D28</f>
        <v>108951</v>
      </c>
      <c r="E29" s="53">
        <f>'[11]FY22-23 Actual Sales'!E28</f>
        <v>1584.0586</v>
      </c>
      <c r="F29" s="53">
        <f>'[11]FY22-23 Actual Sales'!S28</f>
        <v>1555.0615515</v>
      </c>
      <c r="G29" s="7">
        <v>70</v>
      </c>
      <c r="H29" s="60">
        <v>11</v>
      </c>
      <c r="I29" s="79">
        <v>160</v>
      </c>
      <c r="J29" s="8"/>
      <c r="K29" s="53"/>
      <c r="L29" s="53"/>
      <c r="M29" s="53"/>
      <c r="N29" s="49"/>
      <c r="O29" s="60"/>
    </row>
    <row r="30" spans="2:15">
      <c r="B30" s="56" t="s">
        <v>1020</v>
      </c>
      <c r="C30" s="55"/>
      <c r="D30" s="51">
        <f>'[11]FY22-23 Actual Sales'!D29</f>
        <v>2094</v>
      </c>
      <c r="E30" s="51">
        <f>'[11]FY22-23 Actual Sales'!E29</f>
        <v>6.17</v>
      </c>
      <c r="F30" s="51">
        <f>'[11]FY22-23 Actual Sales'!S29</f>
        <v>4.0713565</v>
      </c>
      <c r="G30" s="7">
        <v>70</v>
      </c>
      <c r="H30" s="60">
        <v>13</v>
      </c>
      <c r="I30" s="79">
        <v>160</v>
      </c>
      <c r="J30" s="8"/>
      <c r="K30" s="51"/>
      <c r="L30" s="51"/>
      <c r="M30" s="51"/>
      <c r="N30" s="49"/>
      <c r="O30" s="60"/>
    </row>
    <row r="31" spans="2:15">
      <c r="B31" s="56" t="s">
        <v>1021</v>
      </c>
      <c r="C31" s="55"/>
      <c r="D31" s="51">
        <f>'[11]FY22-23 Actual Sales'!D30</f>
        <v>11906</v>
      </c>
      <c r="E31" s="51">
        <f>'[11]FY22-23 Actual Sales'!E30</f>
        <v>12.1493</v>
      </c>
      <c r="F31" s="51">
        <f>'[11]FY22-23 Actual Sales'!S30</f>
        <v>4.23800712</v>
      </c>
      <c r="G31" s="7"/>
      <c r="H31" s="60"/>
      <c r="I31" s="79"/>
      <c r="J31" s="8"/>
      <c r="K31" s="51"/>
      <c r="L31" s="51"/>
      <c r="M31" s="51"/>
      <c r="N31" s="49"/>
      <c r="O31" s="60"/>
    </row>
    <row r="32" spans="2:15">
      <c r="B32" s="58" t="s">
        <v>1002</v>
      </c>
      <c r="C32" s="55"/>
      <c r="D32" s="53">
        <f>'[11]FY22-23 Actual Sales'!D31</f>
        <v>8755</v>
      </c>
      <c r="E32" s="53">
        <f>'[11]FY22-23 Actual Sales'!E31</f>
        <v>8.88</v>
      </c>
      <c r="F32" s="53">
        <f>'[11]FY22-23 Actual Sales'!S31</f>
        <v>2.88849712</v>
      </c>
      <c r="G32" s="7">
        <v>60</v>
      </c>
      <c r="H32" s="60">
        <v>5.3</v>
      </c>
      <c r="I32" s="79">
        <v>45</v>
      </c>
      <c r="J32" s="8"/>
      <c r="K32" s="53"/>
      <c r="L32" s="53"/>
      <c r="M32" s="53"/>
      <c r="N32" s="49"/>
      <c r="O32" s="60"/>
    </row>
    <row r="33" spans="2:15">
      <c r="B33" s="58" t="s">
        <v>1022</v>
      </c>
      <c r="C33" s="55"/>
      <c r="D33" s="53">
        <f>'[11]FY22-23 Actual Sales'!D32</f>
        <v>2095</v>
      </c>
      <c r="E33" s="53">
        <f>'[11]FY22-23 Actual Sales'!E32</f>
        <v>2.10748</v>
      </c>
      <c r="F33" s="53">
        <f>'[11]FY22-23 Actual Sales'!S32</f>
        <v>0.988599</v>
      </c>
      <c r="G33" s="7">
        <v>60</v>
      </c>
      <c r="H33" s="60">
        <v>6.6</v>
      </c>
      <c r="I33" s="79">
        <v>55</v>
      </c>
      <c r="J33" s="8"/>
      <c r="K33" s="53"/>
      <c r="L33" s="53"/>
      <c r="M33" s="53"/>
      <c r="N33" s="49"/>
      <c r="O33" s="60"/>
    </row>
    <row r="34" spans="2:15">
      <c r="B34" s="58" t="s">
        <v>1023</v>
      </c>
      <c r="C34" s="55"/>
      <c r="D34" s="53">
        <f>'[11]FY22-23 Actual Sales'!D33</f>
        <v>1056</v>
      </c>
      <c r="E34" s="53">
        <f>'[11]FY22-23 Actual Sales'!E33</f>
        <v>1.16182</v>
      </c>
      <c r="F34" s="53">
        <f>'[11]FY22-23 Actual Sales'!S33</f>
        <v>0.360911</v>
      </c>
      <c r="G34" s="7">
        <v>60</v>
      </c>
      <c r="H34" s="60">
        <v>7.5</v>
      </c>
      <c r="I34" s="79">
        <v>65</v>
      </c>
      <c r="J34" s="8"/>
      <c r="K34" s="53"/>
      <c r="L34" s="53"/>
      <c r="M34" s="53"/>
      <c r="N34" s="49"/>
      <c r="O34" s="60"/>
    </row>
    <row r="35" ht="15" spans="2:15">
      <c r="B35" s="54" t="s">
        <v>1024</v>
      </c>
      <c r="C35" s="55"/>
      <c r="D35" s="48">
        <f>'[11]FY22-23 Actual Sales'!D34</f>
        <v>45213</v>
      </c>
      <c r="E35" s="48">
        <f>'[11]FY22-23 Actual Sales'!$F$34*0.7457/10^3</f>
        <v>1023.465793</v>
      </c>
      <c r="F35" s="48">
        <f>'[11]FY22-23 Actual Sales'!S34</f>
        <v>933.0692865</v>
      </c>
      <c r="G35" s="7"/>
      <c r="H35" s="60"/>
      <c r="I35" s="79"/>
      <c r="J35" s="8"/>
      <c r="K35" s="48"/>
      <c r="L35" s="48"/>
      <c r="M35" s="48"/>
      <c r="N35" s="49"/>
      <c r="O35" s="60"/>
    </row>
    <row r="36" spans="2:15">
      <c r="B36" s="58" t="s">
        <v>1025</v>
      </c>
      <c r="C36" s="55"/>
      <c r="D36" s="51">
        <f>'[11]FY22-23 Actual Sales'!D35</f>
        <v>41545</v>
      </c>
      <c r="E36" s="51">
        <f>'[11]FY22-23 Actual Sales'!$F$35*0.7457/10^3</f>
        <v>982.532299153</v>
      </c>
      <c r="F36" s="51">
        <f>'[11]FY22-23 Actual Sales'!S35</f>
        <v>895.372285</v>
      </c>
      <c r="G36" s="7">
        <v>75</v>
      </c>
      <c r="H36" s="60">
        <v>7.7</v>
      </c>
      <c r="I36" s="79">
        <v>360.25</v>
      </c>
      <c r="J36" s="8"/>
      <c r="K36" s="53"/>
      <c r="L36" s="53"/>
      <c r="M36" s="53"/>
      <c r="N36" s="49"/>
      <c r="O36" s="60"/>
    </row>
    <row r="37" spans="2:15">
      <c r="B37" s="58" t="s">
        <v>1026</v>
      </c>
      <c r="C37" s="55"/>
      <c r="D37" s="51">
        <f>'[11]FY22-23 Actual Sales'!D36</f>
        <v>0</v>
      </c>
      <c r="E37" s="51">
        <f>'[11]FY22-23 Actual Sales'!E36</f>
        <v>0</v>
      </c>
      <c r="F37" s="51">
        <f>'[11]FY22-23 Actual Sales'!S36</f>
        <v>0</v>
      </c>
      <c r="G37" s="7">
        <v>75</v>
      </c>
      <c r="H37" s="60">
        <v>8.4</v>
      </c>
      <c r="I37" s="79">
        <v>360.25</v>
      </c>
      <c r="J37" s="8"/>
      <c r="K37" s="53"/>
      <c r="L37" s="53"/>
      <c r="M37" s="53"/>
      <c r="N37" s="49"/>
      <c r="O37" s="60"/>
    </row>
    <row r="38" spans="2:15">
      <c r="B38" s="58" t="s">
        <v>1027</v>
      </c>
      <c r="C38" s="55"/>
      <c r="D38" s="51">
        <f>'[11]FY22-23 Actual Sales'!D37</f>
        <v>0</v>
      </c>
      <c r="E38" s="51">
        <f>'[11]FY22-23 Actual Sales'!E37</f>
        <v>0</v>
      </c>
      <c r="F38" s="51">
        <f>'[11]FY22-23 Actual Sales'!S37</f>
        <v>0</v>
      </c>
      <c r="G38" s="7">
        <v>36</v>
      </c>
      <c r="H38" s="60">
        <v>6.2</v>
      </c>
      <c r="I38" s="79">
        <v>360.25</v>
      </c>
      <c r="J38" s="8"/>
      <c r="K38" s="53"/>
      <c r="L38" s="53"/>
      <c r="M38" s="53"/>
      <c r="N38" s="49"/>
      <c r="O38" s="60"/>
    </row>
    <row r="39" spans="2:15">
      <c r="B39" s="58" t="s">
        <v>1028</v>
      </c>
      <c r="C39" s="55"/>
      <c r="D39" s="51">
        <f>'[11]FY22-23 Actual Sales'!D38</f>
        <v>0</v>
      </c>
      <c r="E39" s="51">
        <f>'[11]FY22-23 Actual Sales'!E38</f>
        <v>0</v>
      </c>
      <c r="F39" s="51">
        <f>'[11]FY22-23 Actual Sales'!S38</f>
        <v>0</v>
      </c>
      <c r="G39" s="7">
        <v>36</v>
      </c>
      <c r="H39" s="60">
        <v>6.2</v>
      </c>
      <c r="I39" s="79">
        <v>360.25</v>
      </c>
      <c r="J39" s="8"/>
      <c r="K39" s="53"/>
      <c r="L39" s="53"/>
      <c r="M39" s="53"/>
      <c r="N39" s="49"/>
      <c r="O39" s="60"/>
    </row>
    <row r="40" spans="2:15">
      <c r="B40" s="58" t="s">
        <v>1029</v>
      </c>
      <c r="C40" s="55"/>
      <c r="D40" s="51">
        <f>'[11]FY22-23 Actual Sales'!D39</f>
        <v>3668</v>
      </c>
      <c r="E40" s="51">
        <f>'[11]FY22-23 Actual Sales'!$F$39*0.7457/10^3</f>
        <v>40.933493847</v>
      </c>
      <c r="F40" s="51">
        <f>'[11]FY22-23 Actual Sales'!S39</f>
        <v>37.6970015</v>
      </c>
      <c r="G40" s="7">
        <v>65</v>
      </c>
      <c r="H40" s="60">
        <v>7</v>
      </c>
      <c r="I40" s="79">
        <v>360.25</v>
      </c>
      <c r="J40" s="8"/>
      <c r="K40" s="53"/>
      <c r="L40" s="53"/>
      <c r="M40" s="53"/>
      <c r="N40" s="49"/>
      <c r="O40" s="60"/>
    </row>
    <row r="41" spans="2:15">
      <c r="B41" s="58" t="s">
        <v>1030</v>
      </c>
      <c r="C41" s="55"/>
      <c r="D41" s="51">
        <f>'[11]FY22-23 Actual Sales'!D40</f>
        <v>0</v>
      </c>
      <c r="E41" s="51">
        <f>'[11]FY22-23 Actual Sales'!E40</f>
        <v>0</v>
      </c>
      <c r="F41" s="51">
        <f>'[11]FY22-23 Actual Sales'!S40</f>
        <v>0</v>
      </c>
      <c r="G41" s="7">
        <v>75</v>
      </c>
      <c r="H41" s="60">
        <v>7.3</v>
      </c>
      <c r="I41" s="79">
        <v>360.25</v>
      </c>
      <c r="J41" s="8"/>
      <c r="K41" s="53"/>
      <c r="L41" s="53"/>
      <c r="M41" s="53"/>
      <c r="N41" s="49"/>
      <c r="O41" s="60"/>
    </row>
    <row r="42" ht="15" spans="2:15">
      <c r="B42" s="54" t="s">
        <v>1031</v>
      </c>
      <c r="C42" s="55"/>
      <c r="D42" s="48">
        <f>'[11]FY22-23 Actual Sales'!D41</f>
        <v>4578</v>
      </c>
      <c r="E42" s="48">
        <f>'[11]FY22-23 Actual Sales'!F41*0.7457/10^3</f>
        <v>13.243632</v>
      </c>
      <c r="F42" s="48">
        <f>'[11]FY22-23 Actual Sales'!S41</f>
        <v>9.52599</v>
      </c>
      <c r="G42" s="7"/>
      <c r="H42" s="60"/>
      <c r="I42" s="79"/>
      <c r="J42" s="8"/>
      <c r="K42" s="48"/>
      <c r="L42" s="48"/>
      <c r="M42" s="48"/>
      <c r="N42" s="49"/>
      <c r="O42" s="60"/>
    </row>
    <row r="43" ht="28.5" spans="2:15">
      <c r="B43" s="58" t="s">
        <v>178</v>
      </c>
      <c r="C43" s="55"/>
      <c r="D43" s="51">
        <f>'[11]FY22-23 Actual Sales'!D42</f>
        <v>4504</v>
      </c>
      <c r="E43" s="51">
        <f>'[11]FY22-23 Actual Sales'!F42*0.7457/10^3</f>
        <v>13.243632</v>
      </c>
      <c r="F43" s="51">
        <f>'[11]FY22-23 Actual Sales'!S42</f>
        <v>9.517678</v>
      </c>
      <c r="G43" s="102" t="s">
        <v>1032</v>
      </c>
      <c r="H43" s="60">
        <v>4</v>
      </c>
      <c r="I43" s="79">
        <v>50</v>
      </c>
      <c r="J43" s="8"/>
      <c r="K43" s="53"/>
      <c r="L43" s="53"/>
      <c r="M43" s="53"/>
      <c r="N43" s="49"/>
      <c r="O43" s="60"/>
    </row>
    <row r="44" ht="28.5" spans="2:15">
      <c r="B44" s="58" t="s">
        <v>1033</v>
      </c>
      <c r="C44" s="55"/>
      <c r="D44" s="51">
        <f>'[11]FY22-23 Actual Sales'!D43</f>
        <v>74</v>
      </c>
      <c r="E44" s="51"/>
      <c r="F44" s="51">
        <f>'[11]FY22-23 Actual Sales'!S43</f>
        <v>0.008312</v>
      </c>
      <c r="G44" s="102" t="s">
        <v>1032</v>
      </c>
      <c r="H44" s="60">
        <v>4</v>
      </c>
      <c r="I44" s="79">
        <v>50</v>
      </c>
      <c r="J44" s="8"/>
      <c r="K44" s="53"/>
      <c r="L44" s="53"/>
      <c r="M44" s="53"/>
      <c r="N44" s="49"/>
      <c r="O44" s="60"/>
    </row>
    <row r="45" ht="15" spans="2:15">
      <c r="B45" s="54" t="s">
        <v>1034</v>
      </c>
      <c r="C45" s="55"/>
      <c r="D45" s="48">
        <f>'[11]FY22-23 Actual Sales'!D44</f>
        <v>1310333</v>
      </c>
      <c r="E45" s="48">
        <f>'[11]FY22-23 Actual Sales'!F44*0.7457/10^3</f>
        <v>4844.283453</v>
      </c>
      <c r="F45" s="48">
        <f>'[11]FY22-23 Actual Sales'!S44</f>
        <v>12127.2243701067</v>
      </c>
      <c r="G45" s="7"/>
      <c r="H45" s="60"/>
      <c r="I45" s="79"/>
      <c r="J45" s="8"/>
      <c r="K45" s="48"/>
      <c r="L45" s="48"/>
      <c r="M45" s="48"/>
      <c r="N45" s="49"/>
      <c r="O45" s="60"/>
    </row>
    <row r="46" spans="2:15">
      <c r="B46" s="56" t="s">
        <v>1035</v>
      </c>
      <c r="C46" s="55"/>
      <c r="D46" s="51">
        <f>'[11]FY22-23 Actual Sales'!D45</f>
        <v>1310043</v>
      </c>
      <c r="E46" s="51">
        <f>'[11]FY22-23 Actual Sales'!F45*0.7457/10^3</f>
        <v>4843.111921015</v>
      </c>
      <c r="F46" s="51">
        <f>'[11]FY22-23 Actual Sales'!S45</f>
        <v>12124.8693741067</v>
      </c>
      <c r="G46" s="7"/>
      <c r="H46" s="60"/>
      <c r="I46" s="79"/>
      <c r="J46" s="8"/>
      <c r="K46" s="51"/>
      <c r="L46" s="51"/>
      <c r="M46" s="51"/>
      <c r="N46" s="49"/>
      <c r="O46" s="60"/>
    </row>
    <row r="47" spans="2:15">
      <c r="B47" s="58" t="s">
        <v>1036</v>
      </c>
      <c r="C47" s="55"/>
      <c r="D47" s="53">
        <f>'[11]FY22-23 Actual Sales'!D46</f>
        <v>2013</v>
      </c>
      <c r="E47" s="53">
        <f>'[11]FY22-23 Actual Sales'!F46*0.7457/10^3</f>
        <v>8.57361118</v>
      </c>
      <c r="F47" s="53">
        <f>'[11]FY22-23 Actual Sales'!S46</f>
        <v>34.7272194</v>
      </c>
      <c r="G47" s="7"/>
      <c r="H47" s="60">
        <v>2.5</v>
      </c>
      <c r="I47" s="79">
        <v>30</v>
      </c>
      <c r="J47" s="8"/>
      <c r="K47" s="53"/>
      <c r="L47" s="53"/>
      <c r="M47" s="53"/>
      <c r="N47" s="49"/>
      <c r="O47" s="60"/>
    </row>
    <row r="48" spans="2:15">
      <c r="B48" s="56" t="s">
        <v>1038</v>
      </c>
      <c r="C48" s="55"/>
      <c r="D48" s="53">
        <f>'[11]FY22-23 Actual Sales'!D47</f>
        <v>1308030</v>
      </c>
      <c r="E48" s="53">
        <f>'[11]FY22-23 Actual Sales'!F47*0.7457/10^3</f>
        <v>4834.538309835</v>
      </c>
      <c r="F48" s="53">
        <f>'[11]FY22-23 Actual Sales'!S47</f>
        <v>12090.1421547067</v>
      </c>
      <c r="G48" s="7"/>
      <c r="H48" s="60"/>
      <c r="I48" s="79"/>
      <c r="J48" s="8"/>
      <c r="K48" s="53"/>
      <c r="L48" s="53"/>
      <c r="M48" s="53"/>
      <c r="N48" s="49"/>
      <c r="O48" s="60"/>
    </row>
    <row r="49" spans="2:15">
      <c r="B49" s="58" t="s">
        <v>1099</v>
      </c>
      <c r="C49" s="55"/>
      <c r="D49" s="103">
        <f>'[11]FY22-23 Actual Sales'!D48</f>
        <v>1308030</v>
      </c>
      <c r="E49" s="53">
        <f>'[11]FY22-23 Actual Sales'!F48*0.7457/10^3</f>
        <v>4834.538309835</v>
      </c>
      <c r="F49" s="103">
        <f>'[11]FY22-23 Actual Sales'!S48</f>
        <v>12090.1421547067</v>
      </c>
      <c r="G49" s="7"/>
      <c r="H49" s="60"/>
      <c r="I49" s="79">
        <v>30</v>
      </c>
      <c r="J49" s="8"/>
      <c r="K49" s="53"/>
      <c r="L49" s="53"/>
      <c r="M49" s="53"/>
      <c r="N49" s="49"/>
      <c r="O49" s="60"/>
    </row>
    <row r="50" spans="2:15">
      <c r="B50" s="58" t="s">
        <v>1100</v>
      </c>
      <c r="C50" s="55"/>
      <c r="D50" s="103">
        <f>'[11]FY22-23 Actual Sales'!D49</f>
        <v>0</v>
      </c>
      <c r="E50" s="51">
        <f>'[11]FY22-23 Actual Sales'!F49*0.7457/10^3</f>
        <v>0</v>
      </c>
      <c r="F50" s="103">
        <f>'[11]FY22-23 Actual Sales'!S49</f>
        <v>0</v>
      </c>
      <c r="I50" s="79">
        <v>30</v>
      </c>
      <c r="J50" s="8"/>
      <c r="K50" s="53"/>
      <c r="L50" s="53"/>
      <c r="M50" s="53"/>
      <c r="N50" s="49"/>
      <c r="O50" s="60"/>
    </row>
    <row r="51" spans="2:15">
      <c r="B51" s="56" t="s">
        <v>1039</v>
      </c>
      <c r="C51" s="55"/>
      <c r="D51" s="51">
        <f>'[11]FY22-23 Actual Sales'!D50</f>
        <v>290</v>
      </c>
      <c r="E51" s="51">
        <f>'[11]FY22-23 Actual Sales'!$F$50*0.7457/10^3</f>
        <v>1.171531985</v>
      </c>
      <c r="F51" s="51">
        <f>'[11]FY22-23 Actual Sales'!S50</f>
        <v>2.354996</v>
      </c>
      <c r="G51" s="7"/>
      <c r="H51" s="60"/>
      <c r="I51" s="79"/>
      <c r="J51" s="8"/>
      <c r="K51" s="51"/>
      <c r="L51" s="51"/>
      <c r="M51" s="51"/>
      <c r="N51" s="49"/>
      <c r="O51" s="60"/>
    </row>
    <row r="52" spans="2:15">
      <c r="B52" s="58" t="s">
        <v>1040</v>
      </c>
      <c r="C52" s="55"/>
      <c r="D52" s="51">
        <f>'[11]FY22-23 Actual Sales'!D51</f>
        <v>290</v>
      </c>
      <c r="E52" s="53">
        <f>'[11]FY22-23 Actual Sales'!$F$50*0.7457/10^3</f>
        <v>1.171531985</v>
      </c>
      <c r="F52" s="51">
        <f>'[11]FY22-23 Actual Sales'!S51</f>
        <v>2.354996</v>
      </c>
      <c r="G52" s="7">
        <v>20</v>
      </c>
      <c r="H52" s="60">
        <v>4</v>
      </c>
      <c r="I52" s="79">
        <v>30</v>
      </c>
      <c r="J52" s="8"/>
      <c r="K52" s="53"/>
      <c r="L52" s="53"/>
      <c r="M52" s="53"/>
      <c r="N52" s="49"/>
      <c r="O52" s="60"/>
    </row>
    <row r="53" ht="15" spans="2:15">
      <c r="B53" s="54" t="s">
        <v>1042</v>
      </c>
      <c r="C53" s="55"/>
      <c r="D53" s="48">
        <f>'[11]FY22-23 Actual Sales'!D53</f>
        <v>73798</v>
      </c>
      <c r="E53" s="48">
        <f>'[11]FY22-23 Actual Sales'!$E$52</f>
        <v>168.53122</v>
      </c>
      <c r="F53" s="48">
        <f>'[11]FY22-23 Actual Sales'!S53</f>
        <v>240.53695725</v>
      </c>
      <c r="I53" s="79"/>
      <c r="J53" s="8"/>
      <c r="K53" s="48"/>
      <c r="L53" s="48"/>
      <c r="M53" s="48"/>
      <c r="N53" s="49"/>
      <c r="O53" s="60"/>
    </row>
    <row r="54" spans="2:15">
      <c r="B54" s="58" t="s">
        <v>1043</v>
      </c>
      <c r="C54" s="55"/>
      <c r="D54" s="51">
        <f>'[11]FY22-23 Actual Sales'!D54</f>
        <v>34258</v>
      </c>
      <c r="E54" s="51">
        <f>'[11]FY22-23 Actual Sales'!E54</f>
        <v>60.94</v>
      </c>
      <c r="F54" s="51">
        <f>'[11]FY22-23 Actual Sales'!S54</f>
        <v>73.8273675</v>
      </c>
      <c r="G54" s="7">
        <v>32</v>
      </c>
      <c r="H54" s="60">
        <v>7.1</v>
      </c>
      <c r="I54" s="79">
        <v>120</v>
      </c>
      <c r="J54" s="8"/>
      <c r="K54" s="53"/>
      <c r="L54" s="53"/>
      <c r="M54" s="53"/>
      <c r="N54" s="49"/>
      <c r="O54" s="60"/>
    </row>
    <row r="55" spans="2:15">
      <c r="B55" s="58" t="s">
        <v>1044</v>
      </c>
      <c r="C55" s="55"/>
      <c r="D55" s="51">
        <f>'[11]FY22-23 Actual Sales'!D55</f>
        <v>11359</v>
      </c>
      <c r="E55" s="51">
        <f>'[11]FY22-23 Actual Sales'!E55</f>
        <v>29.49177</v>
      </c>
      <c r="F55" s="51">
        <f>'[11]FY22-23 Actual Sales'!S55</f>
        <v>46.226153</v>
      </c>
      <c r="G55" s="7">
        <v>32</v>
      </c>
      <c r="H55" s="60">
        <v>7.6</v>
      </c>
      <c r="I55" s="79">
        <v>120</v>
      </c>
      <c r="J55" s="8"/>
      <c r="K55" s="53"/>
      <c r="L55" s="53"/>
      <c r="M55" s="53"/>
      <c r="N55" s="49"/>
      <c r="O55" s="60"/>
    </row>
    <row r="56" spans="2:15">
      <c r="B56" s="58" t="s">
        <v>1045</v>
      </c>
      <c r="C56" s="55"/>
      <c r="D56" s="51">
        <f>'[11]FY22-23 Actual Sales'!D56</f>
        <v>28181</v>
      </c>
      <c r="E56" s="51">
        <f>'[11]FY22-23 Actual Sales'!E56</f>
        <v>78.09945</v>
      </c>
      <c r="F56" s="51">
        <f>'[11]FY22-23 Actual Sales'!S56</f>
        <v>120.48343675</v>
      </c>
      <c r="G56" s="7">
        <v>32</v>
      </c>
      <c r="H56" s="60">
        <v>8.1</v>
      </c>
      <c r="I56" s="79">
        <v>120</v>
      </c>
      <c r="J56" s="8"/>
      <c r="K56" s="53"/>
      <c r="L56" s="53"/>
      <c r="M56" s="53"/>
      <c r="N56" s="49"/>
      <c r="O56" s="60"/>
    </row>
    <row r="57" ht="15" spans="2:15">
      <c r="B57" s="54" t="s">
        <v>1046</v>
      </c>
      <c r="C57" s="55"/>
      <c r="D57" s="48">
        <f>'[11]FY22-23 Actual Sales'!D57</f>
        <v>34474</v>
      </c>
      <c r="E57" s="48">
        <f>'[11]FY22-23 Actual Sales'!E57+'[11]FY22-23 Actual Sales'!F57*0.7457/10^3</f>
        <v>113.555501737</v>
      </c>
      <c r="F57" s="48">
        <f>'[11]FY22-23 Actual Sales'!S57</f>
        <v>226.129998</v>
      </c>
      <c r="G57" s="8"/>
      <c r="H57" s="8"/>
      <c r="I57" s="79">
        <v>120</v>
      </c>
      <c r="J57" s="8"/>
      <c r="K57" s="48"/>
      <c r="L57" s="48"/>
      <c r="M57" s="48"/>
      <c r="N57" s="49"/>
      <c r="O57" s="60"/>
    </row>
    <row r="58" ht="28.5" spans="2:15">
      <c r="B58" s="58" t="s">
        <v>1043</v>
      </c>
      <c r="C58" s="55"/>
      <c r="D58" s="51">
        <f>'[11]FY22-23 Actual Sales'!D58</f>
        <v>24893</v>
      </c>
      <c r="E58" s="51">
        <f>'[11]FY22-23 Actual Sales'!E58+'[11]FY22-23 Actual Sales'!F58*0.7457/10^3</f>
        <v>78.5460724</v>
      </c>
      <c r="F58" s="51">
        <f>'[11]FY22-23 Actual Sales'!S58</f>
        <v>166.74634075</v>
      </c>
      <c r="G58" s="102" t="s">
        <v>1047</v>
      </c>
      <c r="H58" s="60">
        <v>6</v>
      </c>
      <c r="I58" s="79">
        <v>120</v>
      </c>
      <c r="J58" s="8"/>
      <c r="K58" s="53"/>
      <c r="L58" s="53"/>
      <c r="M58" s="53"/>
      <c r="N58" s="49"/>
      <c r="O58" s="60"/>
    </row>
    <row r="59" ht="42.75" spans="2:15">
      <c r="B59" s="58" t="s">
        <v>1044</v>
      </c>
      <c r="C59" s="55"/>
      <c r="D59" s="51">
        <f>'[11]FY22-23 Actual Sales'!D59</f>
        <v>5889</v>
      </c>
      <c r="E59" s="51">
        <f>'[11]FY22-23 Actual Sales'!E59+'[11]FY22-23 Actual Sales'!F59*0.7457/10^3</f>
        <v>20.499501796</v>
      </c>
      <c r="F59" s="51">
        <f>'[11]FY22-23 Actual Sales'!S59</f>
        <v>45.101207</v>
      </c>
      <c r="G59" s="102" t="s">
        <v>1048</v>
      </c>
      <c r="H59" s="60">
        <v>7.1</v>
      </c>
      <c r="I59" s="79">
        <v>120</v>
      </c>
      <c r="J59" s="8"/>
      <c r="K59" s="53"/>
      <c r="L59" s="53"/>
      <c r="M59" s="53"/>
      <c r="N59" s="49"/>
      <c r="O59" s="60"/>
    </row>
    <row r="60" ht="42.75" spans="2:15">
      <c r="B60" s="58" t="s">
        <v>1045</v>
      </c>
      <c r="C60" s="55"/>
      <c r="D60" s="51">
        <f>'[11]FY22-23 Actual Sales'!D60</f>
        <v>3692</v>
      </c>
      <c r="E60" s="51">
        <f>'[11]FY22-23 Actual Sales'!E60+'[11]FY22-23 Actual Sales'!F60*0.7457/10^3</f>
        <v>14.509927541</v>
      </c>
      <c r="F60" s="51">
        <f>'[11]FY22-23 Actual Sales'!S60</f>
        <v>14.28245025</v>
      </c>
      <c r="G60" s="102" t="s">
        <v>1048</v>
      </c>
      <c r="H60" s="60">
        <v>7.6</v>
      </c>
      <c r="I60" s="79">
        <v>120</v>
      </c>
      <c r="J60" s="8"/>
      <c r="K60" s="53"/>
      <c r="L60" s="53"/>
      <c r="M60" s="53"/>
      <c r="N60" s="49"/>
      <c r="O60" s="60"/>
    </row>
    <row r="61" ht="15" spans="2:15">
      <c r="B61" s="54" t="s">
        <v>1049</v>
      </c>
      <c r="C61" s="55"/>
      <c r="D61" s="48">
        <f>'[11]FY22-23 Actual Sales'!D61</f>
        <v>24698</v>
      </c>
      <c r="E61" s="48">
        <f>'[11]FY22-23 Actual Sales'!E61</f>
        <v>71.36</v>
      </c>
      <c r="F61" s="48">
        <f>'[11]FY22-23 Actual Sales'!S61</f>
        <v>88.07401945</v>
      </c>
      <c r="I61" s="79"/>
      <c r="J61" s="8"/>
      <c r="K61" s="48"/>
      <c r="L61" s="48"/>
      <c r="M61" s="48"/>
      <c r="N61" s="49"/>
      <c r="O61" s="60"/>
    </row>
    <row r="62" spans="2:15">
      <c r="B62" s="56" t="s">
        <v>1050</v>
      </c>
      <c r="C62" s="55"/>
      <c r="D62" s="51">
        <f>'[11]FY22-23 Actual Sales'!D62</f>
        <v>20138</v>
      </c>
      <c r="E62" s="51">
        <f>'[11]FY22-23 Actual Sales'!E62</f>
        <v>64.55</v>
      </c>
      <c r="F62" s="51">
        <f>'[11]FY22-23 Actual Sales'!S62</f>
        <v>78.6438997</v>
      </c>
      <c r="G62" s="7">
        <v>21</v>
      </c>
      <c r="H62" s="60">
        <v>8.3</v>
      </c>
      <c r="I62" s="79">
        <v>100</v>
      </c>
      <c r="J62" s="8"/>
      <c r="K62" s="62"/>
      <c r="L62" s="62"/>
      <c r="M62" s="62"/>
      <c r="N62" s="49"/>
      <c r="O62" s="60"/>
    </row>
    <row r="63" spans="2:15">
      <c r="B63" s="56" t="s">
        <v>1051</v>
      </c>
      <c r="C63" s="55"/>
      <c r="D63" s="51">
        <f>'[11]FY22-23 Actual Sales'!D63</f>
        <v>4560</v>
      </c>
      <c r="E63" s="51">
        <f>'[11]FY22-23 Actual Sales'!E63</f>
        <v>6.81</v>
      </c>
      <c r="F63" s="51">
        <f>'[11]FY22-23 Actual Sales'!S63</f>
        <v>9.43011975</v>
      </c>
      <c r="G63" s="7"/>
      <c r="H63" s="7"/>
      <c r="I63" s="7"/>
      <c r="J63" s="8"/>
      <c r="K63" s="62"/>
      <c r="L63" s="62"/>
      <c r="M63" s="62"/>
      <c r="N63" s="49"/>
      <c r="O63" s="60"/>
    </row>
    <row r="64" spans="2:15">
      <c r="B64" s="56" t="s">
        <v>1052</v>
      </c>
      <c r="C64" s="55"/>
      <c r="D64" s="62">
        <f>'[11]FY22-23 Actual Sales'!D64</f>
        <v>4560</v>
      </c>
      <c r="E64" s="62">
        <f>'[11]FY22-23 Actual Sales'!E64</f>
        <v>6.81</v>
      </c>
      <c r="F64" s="62">
        <f>'[11]FY22-23 Actual Sales'!S64</f>
        <v>9.43011975</v>
      </c>
      <c r="G64" s="7">
        <v>21</v>
      </c>
      <c r="H64" s="60">
        <v>6.4</v>
      </c>
      <c r="I64" s="79">
        <v>100</v>
      </c>
      <c r="J64" s="8"/>
      <c r="K64" s="24"/>
      <c r="L64" s="24"/>
      <c r="M64" s="24"/>
      <c r="N64" s="49"/>
      <c r="O64" s="60"/>
    </row>
    <row r="65" spans="2:15">
      <c r="B65" s="56" t="s">
        <v>1053</v>
      </c>
      <c r="C65" s="55"/>
      <c r="D65" s="62">
        <v>0</v>
      </c>
      <c r="E65" s="62">
        <v>0</v>
      </c>
      <c r="F65" s="62">
        <v>0</v>
      </c>
      <c r="G65" s="7">
        <v>21</v>
      </c>
      <c r="H65" s="60">
        <v>7</v>
      </c>
      <c r="I65" s="79">
        <v>100</v>
      </c>
      <c r="J65" s="8"/>
      <c r="K65" s="24"/>
      <c r="L65" s="24"/>
      <c r="M65" s="24"/>
      <c r="N65" s="49"/>
      <c r="O65" s="60"/>
    </row>
    <row r="66" ht="15" spans="2:15">
      <c r="B66" s="54" t="s">
        <v>1054</v>
      </c>
      <c r="C66" s="55"/>
      <c r="D66" s="48">
        <f>'[11]FY22-23 Actual Sales'!D66</f>
        <v>12733</v>
      </c>
      <c r="E66" s="48">
        <f>'[11]FY22-23 Actual Sales'!E66</f>
        <v>102.26</v>
      </c>
      <c r="F66" s="48">
        <f>'[11]FY22-23 Actual Sales'!S66</f>
        <v>96.3381664</v>
      </c>
      <c r="G66" s="7">
        <v>21</v>
      </c>
      <c r="H66" s="60">
        <v>12</v>
      </c>
      <c r="I66" s="79">
        <v>100</v>
      </c>
      <c r="J66" s="8"/>
      <c r="K66" s="48"/>
      <c r="L66" s="48"/>
      <c r="M66" s="48"/>
      <c r="N66" s="49"/>
      <c r="O66" s="60"/>
    </row>
    <row r="67" ht="15" spans="2:15">
      <c r="B67" s="54" t="s">
        <v>1101</v>
      </c>
      <c r="C67" s="55"/>
      <c r="D67" s="48">
        <f>'[11]FY22-23 Actual Sales'!D67</f>
        <v>103</v>
      </c>
      <c r="E67" s="48">
        <f>'[11]FY22-23 Actual Sales'!E67</f>
        <v>1.93</v>
      </c>
      <c r="F67" s="48">
        <f>'[11]FY22-23 Actual Sales'!S67</f>
        <v>0.532207</v>
      </c>
      <c r="G67" s="7">
        <v>50</v>
      </c>
      <c r="H67" s="60">
        <v>6</v>
      </c>
      <c r="I67" s="79">
        <v>120</v>
      </c>
      <c r="J67" s="8"/>
      <c r="K67" s="48"/>
      <c r="L67" s="48"/>
      <c r="M67" s="48"/>
      <c r="N67" s="49"/>
      <c r="O67" s="60"/>
    </row>
    <row r="68" ht="15" spans="2:15">
      <c r="B68" s="54"/>
      <c r="C68" s="55"/>
      <c r="D68" s="24"/>
      <c r="E68" s="49"/>
      <c r="F68" s="49"/>
      <c r="G68" s="49"/>
      <c r="H68" s="49"/>
      <c r="I68" s="8"/>
      <c r="J68" s="8"/>
      <c r="K68" s="49"/>
      <c r="L68" s="49"/>
      <c r="M68" s="49"/>
      <c r="N68" s="49"/>
      <c r="O68" s="49"/>
    </row>
    <row r="69" ht="15" spans="2:15">
      <c r="B69" s="54" t="s">
        <v>1102</v>
      </c>
      <c r="C69" s="55"/>
      <c r="D69" s="63">
        <f>SUM(D9,D22,D35,D42,D45,D53,D57,D61,D66,D67)</f>
        <v>10036558</v>
      </c>
      <c r="E69" s="63">
        <f>SUM(E9,E22,E35,E42,E45,E53,E57,E61,E66,E67)</f>
        <v>20799.091349737</v>
      </c>
      <c r="F69" s="63">
        <f>SUM(F9,F22,F35,F42,F45,F53,F57,F61,F66,F67)</f>
        <v>26750.5076362067</v>
      </c>
      <c r="G69" s="63"/>
      <c r="H69" s="63"/>
      <c r="I69" s="63"/>
      <c r="J69" s="96"/>
      <c r="K69" s="64"/>
      <c r="L69" s="63"/>
      <c r="M69" s="63"/>
      <c r="N69" s="65"/>
      <c r="O69" s="63"/>
    </row>
    <row r="70" ht="15" spans="2:15">
      <c r="B70" s="66"/>
      <c r="C70" s="67"/>
      <c r="D70" s="68"/>
      <c r="E70" s="69"/>
      <c r="F70" s="68"/>
      <c r="G70" s="68"/>
      <c r="H70" s="68"/>
      <c r="I70" s="68"/>
      <c r="J70" s="8"/>
      <c r="K70" s="69"/>
      <c r="L70" s="68"/>
      <c r="M70" s="68"/>
      <c r="N70" s="49"/>
      <c r="O70" s="68"/>
    </row>
    <row r="71" ht="15" spans="2:15">
      <c r="B71" s="70" t="s">
        <v>907</v>
      </c>
      <c r="C71" s="70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2:15">
      <c r="B72" s="71" t="s">
        <v>190</v>
      </c>
      <c r="C72" s="55"/>
      <c r="D72" s="49"/>
      <c r="E72" s="49"/>
      <c r="F72" s="49"/>
      <c r="G72" s="8"/>
      <c r="H72" s="8"/>
      <c r="I72" s="8"/>
      <c r="J72" s="8"/>
      <c r="K72" s="49"/>
      <c r="L72" s="49"/>
      <c r="M72" s="49"/>
      <c r="N72" s="49"/>
      <c r="O72" s="49"/>
    </row>
    <row r="73" ht="15" spans="2:15">
      <c r="B73" s="71" t="s">
        <v>1103</v>
      </c>
      <c r="C73" s="72"/>
      <c r="D73" s="48"/>
      <c r="E73" s="48"/>
      <c r="F73" s="48"/>
      <c r="G73" s="68"/>
      <c r="H73" s="69"/>
      <c r="I73" s="68"/>
      <c r="J73" s="8"/>
      <c r="K73" s="48"/>
      <c r="L73" s="48"/>
      <c r="M73" s="48"/>
      <c r="N73" s="49"/>
      <c r="O73" s="79"/>
    </row>
    <row r="74" spans="2:15">
      <c r="B74" s="73" t="s">
        <v>1104</v>
      </c>
      <c r="C74" s="72"/>
      <c r="D74" s="51"/>
      <c r="E74" s="51"/>
      <c r="F74" s="51"/>
      <c r="G74" s="79"/>
      <c r="H74" s="60"/>
      <c r="I74" s="79"/>
      <c r="J74" s="8"/>
      <c r="K74" s="51"/>
      <c r="L74" s="51"/>
      <c r="M74" s="51"/>
      <c r="N74" s="49"/>
      <c r="O74" s="79"/>
    </row>
    <row r="75" ht="15" spans="2:15">
      <c r="B75" s="74" t="s">
        <v>1105</v>
      </c>
      <c r="C75" s="72"/>
      <c r="D75" s="68">
        <f>'[11]FY22-23 Actual Sales'!D76</f>
        <v>4009</v>
      </c>
      <c r="E75" s="68">
        <f>'[11]FY22-23 Actual Sales'!E76</f>
        <v>1667.25099</v>
      </c>
      <c r="F75" s="79">
        <f>'[11]FY22-23 Actual Sales'!S76</f>
        <v>1303.65756661</v>
      </c>
      <c r="G75" s="79">
        <v>475</v>
      </c>
      <c r="H75" s="60">
        <v>7.65</v>
      </c>
      <c r="I75" s="79">
        <v>2000</v>
      </c>
      <c r="J75" s="8"/>
      <c r="K75" s="62"/>
      <c r="L75" s="62"/>
      <c r="M75" s="62"/>
      <c r="N75" s="49"/>
      <c r="O75" s="79"/>
    </row>
    <row r="76" ht="25.5" spans="2:15">
      <c r="B76" s="75" t="s">
        <v>1106</v>
      </c>
      <c r="C76" s="55"/>
      <c r="D76" s="68">
        <f>'[11]FY22-23 Actual Sales'!D77</f>
        <v>1168</v>
      </c>
      <c r="E76" s="68">
        <f>'[11]FY22-23 Actual Sales'!E77</f>
        <v>0</v>
      </c>
      <c r="F76" s="79">
        <f>'[11]FY22-23 Actual Sales'!S77</f>
        <v>214.71637324</v>
      </c>
      <c r="G76" s="79">
        <v>100</v>
      </c>
      <c r="H76" s="60">
        <v>8</v>
      </c>
      <c r="I76" s="79">
        <v>2000</v>
      </c>
      <c r="J76" s="8"/>
      <c r="K76" s="62"/>
      <c r="L76" s="62"/>
      <c r="M76" s="62"/>
      <c r="N76" s="8"/>
      <c r="O76" s="79"/>
    </row>
    <row r="77" ht="15" spans="2:15">
      <c r="B77" s="74" t="s">
        <v>1107</v>
      </c>
      <c r="C77" s="55"/>
      <c r="D77" s="104"/>
      <c r="E77" s="104"/>
      <c r="F77" s="79">
        <f>'[11]FY22-23 Actual Sales'!S78</f>
        <v>0.188002</v>
      </c>
      <c r="G77" s="79">
        <v>0</v>
      </c>
      <c r="H77" s="60">
        <v>7.65</v>
      </c>
      <c r="I77" s="79">
        <v>2000</v>
      </c>
      <c r="J77" s="8"/>
      <c r="K77" s="62"/>
      <c r="L77" s="62"/>
      <c r="M77" s="62"/>
      <c r="N77" s="8"/>
      <c r="O77" s="79"/>
    </row>
    <row r="78" ht="15" spans="2:15">
      <c r="B78" s="74" t="s">
        <v>1108</v>
      </c>
      <c r="C78" s="55"/>
      <c r="D78" s="104"/>
      <c r="E78" s="104"/>
      <c r="F78" s="79">
        <f>'[11]FY22-23 Actual Sales'!S79</f>
        <v>1.0378473</v>
      </c>
      <c r="G78" s="79">
        <v>0</v>
      </c>
      <c r="H78" s="60">
        <v>7.3</v>
      </c>
      <c r="I78" s="79">
        <v>2000</v>
      </c>
      <c r="J78" s="8"/>
      <c r="K78" s="62"/>
      <c r="L78" s="62"/>
      <c r="M78" s="62"/>
      <c r="N78" s="8"/>
      <c r="O78" s="79"/>
    </row>
    <row r="79" ht="15" spans="2:15">
      <c r="B79" s="74" t="s">
        <v>1109</v>
      </c>
      <c r="C79" s="55"/>
      <c r="D79" s="68">
        <f>'[11]FY22-23 Actual Sales'!D80</f>
        <v>188</v>
      </c>
      <c r="E79" s="68">
        <f>'[11]FY22-23 Actual Sales'!E80</f>
        <v>0</v>
      </c>
      <c r="F79" s="79">
        <f>'[11]FY22-23 Actual Sales'!S80</f>
        <v>48.905843</v>
      </c>
      <c r="G79" s="79">
        <v>475</v>
      </c>
      <c r="H79" s="60">
        <v>8.6</v>
      </c>
      <c r="I79" s="79">
        <v>2000</v>
      </c>
      <c r="J79" s="8"/>
      <c r="K79" s="62"/>
      <c r="L79" s="62"/>
      <c r="M79" s="62"/>
      <c r="N79" s="8"/>
      <c r="O79" s="79"/>
    </row>
    <row r="80" ht="15" spans="2:15">
      <c r="B80" s="76" t="s">
        <v>1110</v>
      </c>
      <c r="C80" s="55"/>
      <c r="D80" s="104"/>
      <c r="E80" s="104"/>
      <c r="F80" s="79">
        <f>'[11]FY22-23 Actual Sales'!S81</f>
        <v>644.00447925</v>
      </c>
      <c r="G80" s="79">
        <v>0</v>
      </c>
      <c r="H80" s="60">
        <v>8.65</v>
      </c>
      <c r="I80" s="79">
        <v>2000</v>
      </c>
      <c r="J80" s="8"/>
      <c r="K80" s="62"/>
      <c r="L80" s="62"/>
      <c r="M80" s="62"/>
      <c r="N80" s="8"/>
      <c r="O80" s="79"/>
    </row>
    <row r="81" ht="15" spans="2:15">
      <c r="B81" s="76" t="s">
        <v>1111</v>
      </c>
      <c r="C81" s="55"/>
      <c r="D81" s="104"/>
      <c r="E81" s="104"/>
      <c r="F81" s="79">
        <f>'[11]FY22-23 Actual Sales'!S82</f>
        <v>607.451534</v>
      </c>
      <c r="G81" s="79">
        <v>0</v>
      </c>
      <c r="H81" s="60">
        <v>8.65</v>
      </c>
      <c r="I81" s="79">
        <v>2000</v>
      </c>
      <c r="J81" s="8"/>
      <c r="K81" s="62"/>
      <c r="L81" s="62"/>
      <c r="M81" s="62"/>
      <c r="N81" s="8"/>
      <c r="O81" s="79"/>
    </row>
    <row r="82" ht="15" spans="2:15">
      <c r="B82" s="76" t="s">
        <v>1112</v>
      </c>
      <c r="C82" s="55"/>
      <c r="D82" s="104"/>
      <c r="E82" s="104"/>
      <c r="F82" s="79">
        <f>'[11]FY22-23 Actual Sales'!S83</f>
        <v>1199.404184</v>
      </c>
      <c r="G82" s="79">
        <v>0</v>
      </c>
      <c r="H82" s="60">
        <v>6.65</v>
      </c>
      <c r="I82" s="79">
        <v>2000</v>
      </c>
      <c r="J82" s="8"/>
      <c r="K82" s="62"/>
      <c r="L82" s="62"/>
      <c r="M82" s="62"/>
      <c r="N82" s="8"/>
      <c r="O82" s="79"/>
    </row>
    <row r="83" ht="15" spans="2:15">
      <c r="B83" s="71" t="s">
        <v>1113</v>
      </c>
      <c r="C83" s="55"/>
      <c r="D83" s="68">
        <f>'[11]FY22-23 Actual Sales'!D84</f>
        <v>199</v>
      </c>
      <c r="E83" s="68">
        <f>'[11]FY22-23 Actual Sales'!E84</f>
        <v>0</v>
      </c>
      <c r="F83" s="48">
        <f>SUM(F84:F87)</f>
        <v>138.6684485</v>
      </c>
      <c r="G83" s="79">
        <v>0</v>
      </c>
      <c r="H83" s="60">
        <v>0</v>
      </c>
      <c r="I83" s="79">
        <v>0</v>
      </c>
      <c r="J83" s="8"/>
      <c r="K83" s="51"/>
      <c r="L83" s="51"/>
      <c r="M83" s="51"/>
      <c r="N83" s="8"/>
      <c r="O83" s="79"/>
    </row>
    <row r="84" ht="15" spans="2:15">
      <c r="B84" s="76" t="s">
        <v>1114</v>
      </c>
      <c r="C84" s="55"/>
      <c r="D84" s="105"/>
      <c r="E84" s="105"/>
      <c r="F84" s="79">
        <f>'[11]FY22-23 Actual Sales'!S84</f>
        <v>50.4494685</v>
      </c>
      <c r="G84" s="79">
        <v>475</v>
      </c>
      <c r="H84" s="60">
        <v>7.65</v>
      </c>
      <c r="I84" s="79">
        <v>2000</v>
      </c>
      <c r="J84" s="8"/>
      <c r="K84" s="53"/>
      <c r="L84" s="53"/>
      <c r="M84" s="53"/>
      <c r="N84" s="8"/>
      <c r="O84" s="79"/>
    </row>
    <row r="85" ht="15" spans="2:15">
      <c r="B85" s="76" t="s">
        <v>1115</v>
      </c>
      <c r="C85" s="55"/>
      <c r="D85" s="105"/>
      <c r="E85" s="105"/>
      <c r="F85" s="79">
        <f>'[11]FY22-23 Actual Sales'!S85</f>
        <v>22.035672</v>
      </c>
      <c r="G85" s="79">
        <v>0</v>
      </c>
      <c r="H85" s="60">
        <v>8.65</v>
      </c>
      <c r="I85" s="79">
        <v>2000</v>
      </c>
      <c r="J85" s="8"/>
      <c r="K85" s="53"/>
      <c r="L85" s="53"/>
      <c r="M85" s="53"/>
      <c r="N85" s="8"/>
      <c r="O85" s="79"/>
    </row>
    <row r="86" ht="15" spans="2:15">
      <c r="B86" s="76" t="s">
        <v>1116</v>
      </c>
      <c r="C86" s="55"/>
      <c r="D86" s="105"/>
      <c r="E86" s="105"/>
      <c r="F86" s="79">
        <f>'[11]FY22-23 Actual Sales'!S86</f>
        <v>24.876086</v>
      </c>
      <c r="G86" s="79">
        <v>0</v>
      </c>
      <c r="H86" s="60">
        <v>8.65</v>
      </c>
      <c r="I86" s="79">
        <v>2000</v>
      </c>
      <c r="J86" s="8"/>
      <c r="K86" s="53"/>
      <c r="L86" s="53"/>
      <c r="M86" s="53"/>
      <c r="N86" s="8"/>
      <c r="O86" s="79"/>
    </row>
    <row r="87" ht="15" spans="2:15">
      <c r="B87" s="76" t="s">
        <v>1117</v>
      </c>
      <c r="C87" s="55"/>
      <c r="D87" s="105"/>
      <c r="E87" s="105"/>
      <c r="F87" s="79">
        <f>'[11]FY22-23 Actual Sales'!S87</f>
        <v>41.307222</v>
      </c>
      <c r="G87" s="79">
        <v>0</v>
      </c>
      <c r="H87" s="60">
        <v>6.65</v>
      </c>
      <c r="I87" s="79">
        <v>2000</v>
      </c>
      <c r="J87" s="8"/>
      <c r="K87" s="53"/>
      <c r="L87" s="53"/>
      <c r="M87" s="53"/>
      <c r="N87" s="8"/>
      <c r="O87" s="79"/>
    </row>
    <row r="88" ht="15" spans="2:15">
      <c r="B88" s="71" t="s">
        <v>1118</v>
      </c>
      <c r="C88" s="55"/>
      <c r="D88" s="68">
        <f>'[11]FY22-23 Actual Sales'!D88</f>
        <v>49</v>
      </c>
      <c r="E88" s="68">
        <f>'[11]FY22-23 Actual Sales'!E88</f>
        <v>11.4895</v>
      </c>
      <c r="F88" s="48">
        <f>SUM(F89:F92)</f>
        <v>39.447429</v>
      </c>
      <c r="G88" s="68">
        <v>0</v>
      </c>
      <c r="H88" s="69">
        <v>0</v>
      </c>
      <c r="I88" s="68">
        <v>8000</v>
      </c>
      <c r="J88" s="8"/>
      <c r="K88" s="48"/>
      <c r="L88" s="48"/>
      <c r="M88" s="48"/>
      <c r="N88" s="8"/>
      <c r="O88" s="79"/>
    </row>
    <row r="89" spans="2:15">
      <c r="B89" s="74" t="s">
        <v>1119</v>
      </c>
      <c r="C89" s="55"/>
      <c r="D89" s="53"/>
      <c r="E89" s="53"/>
      <c r="F89" s="60">
        <f>'[11]FY22-23 Actual Sales'!S88</f>
        <v>17.132744</v>
      </c>
      <c r="G89" s="79">
        <v>475</v>
      </c>
      <c r="H89" s="60">
        <v>7.65</v>
      </c>
      <c r="I89" s="79">
        <v>2000</v>
      </c>
      <c r="J89" s="8"/>
      <c r="K89" s="53"/>
      <c r="L89" s="53"/>
      <c r="M89" s="53"/>
      <c r="N89" s="8"/>
      <c r="O89" s="79"/>
    </row>
    <row r="90" spans="2:15">
      <c r="B90" s="74" t="s">
        <v>1120</v>
      </c>
      <c r="C90" s="55"/>
      <c r="D90" s="53"/>
      <c r="E90" s="53"/>
      <c r="F90" s="60">
        <f>'[11]FY22-23 Actual Sales'!S89</f>
        <v>5.727576</v>
      </c>
      <c r="G90" s="79">
        <v>0</v>
      </c>
      <c r="H90" s="60">
        <v>8.65</v>
      </c>
      <c r="I90" s="79">
        <v>2000</v>
      </c>
      <c r="J90" s="8"/>
      <c r="K90" s="53"/>
      <c r="L90" s="53"/>
      <c r="M90" s="53"/>
      <c r="N90" s="8"/>
      <c r="O90" s="79"/>
    </row>
    <row r="91" spans="2:15">
      <c r="B91" s="74" t="s">
        <v>1121</v>
      </c>
      <c r="C91" s="55"/>
      <c r="D91" s="53"/>
      <c r="E91" s="53"/>
      <c r="F91" s="60">
        <f>'[11]FY22-23 Actual Sales'!S90</f>
        <v>6.530858</v>
      </c>
      <c r="G91" s="79">
        <v>0</v>
      </c>
      <c r="H91" s="60">
        <v>8.65</v>
      </c>
      <c r="I91" s="79">
        <v>2000</v>
      </c>
      <c r="J91" s="8"/>
      <c r="K91" s="53"/>
      <c r="L91" s="53"/>
      <c r="M91" s="53"/>
      <c r="N91" s="8"/>
      <c r="O91" s="79"/>
    </row>
    <row r="92" spans="2:15">
      <c r="B92" s="74" t="s">
        <v>1122</v>
      </c>
      <c r="C92" s="55"/>
      <c r="D92" s="53"/>
      <c r="E92" s="53"/>
      <c r="F92" s="60">
        <f>'[11]FY22-23 Actual Sales'!S91</f>
        <v>10.056251</v>
      </c>
      <c r="G92" s="79">
        <v>0</v>
      </c>
      <c r="H92" s="60">
        <v>6.65</v>
      </c>
      <c r="I92" s="79">
        <v>2000</v>
      </c>
      <c r="J92" s="8"/>
      <c r="K92" s="53"/>
      <c r="L92" s="53"/>
      <c r="M92" s="53"/>
      <c r="N92" s="8"/>
      <c r="O92" s="79"/>
    </row>
    <row r="93" ht="15" spans="2:15">
      <c r="B93" s="71" t="s">
        <v>1123</v>
      </c>
      <c r="C93" s="55"/>
      <c r="D93" s="48"/>
      <c r="E93" s="48"/>
      <c r="F93" s="106">
        <f>'[11]FY22-23 Actual Sales'!S92</f>
        <v>0.413403</v>
      </c>
      <c r="G93" s="68">
        <v>475</v>
      </c>
      <c r="H93" s="69">
        <v>7.65</v>
      </c>
      <c r="I93" s="68">
        <v>2000</v>
      </c>
      <c r="J93" s="8"/>
      <c r="K93" s="48"/>
      <c r="L93" s="48"/>
      <c r="M93" s="48"/>
      <c r="N93" s="8"/>
      <c r="O93" s="79"/>
    </row>
    <row r="94" ht="15" spans="2:15">
      <c r="B94" s="71" t="s">
        <v>1124</v>
      </c>
      <c r="C94" s="55"/>
      <c r="D94" s="68">
        <f>'[11]FY22-23 Actual Sales'!D93</f>
        <v>4261</v>
      </c>
      <c r="E94" s="68">
        <f>'[11]FY22-23 Actual Sales'!E93</f>
        <v>977.79554</v>
      </c>
      <c r="F94" s="48">
        <f>SUM(F95:F98)</f>
        <v>1890.23215567</v>
      </c>
      <c r="G94" s="68">
        <v>0</v>
      </c>
      <c r="H94" s="69">
        <v>0</v>
      </c>
      <c r="I94" s="68">
        <v>0</v>
      </c>
      <c r="J94" s="8"/>
      <c r="K94" s="48"/>
      <c r="L94" s="48"/>
      <c r="M94" s="48"/>
      <c r="N94" s="8"/>
      <c r="O94" s="79"/>
    </row>
    <row r="95" spans="2:15">
      <c r="B95" s="74" t="s">
        <v>1119</v>
      </c>
      <c r="C95" s="55"/>
      <c r="D95" s="94"/>
      <c r="E95" s="94"/>
      <c r="F95" s="79">
        <f>'[11]FY22-23 Actual Sales'!S93</f>
        <v>832.55288253</v>
      </c>
      <c r="G95" s="79">
        <v>475</v>
      </c>
      <c r="H95" s="60">
        <v>8.8</v>
      </c>
      <c r="I95" s="79">
        <v>2000</v>
      </c>
      <c r="J95" s="8"/>
      <c r="K95" s="53"/>
      <c r="L95" s="53"/>
      <c r="M95" s="53"/>
      <c r="N95" s="8"/>
      <c r="O95" s="79"/>
    </row>
    <row r="96" spans="2:15">
      <c r="B96" s="74" t="s">
        <v>1120</v>
      </c>
      <c r="C96" s="55"/>
      <c r="D96" s="94"/>
      <c r="E96" s="94"/>
      <c r="F96" s="79">
        <f>'[11]FY22-23 Actual Sales'!S94</f>
        <v>360.83580754</v>
      </c>
      <c r="G96" s="79">
        <v>0</v>
      </c>
      <c r="H96" s="60">
        <v>9.8</v>
      </c>
      <c r="I96" s="79">
        <v>2000</v>
      </c>
      <c r="J96" s="8"/>
      <c r="K96" s="53"/>
      <c r="L96" s="53"/>
      <c r="M96" s="53"/>
      <c r="N96" s="8"/>
      <c r="O96" s="79"/>
    </row>
    <row r="97" spans="2:15">
      <c r="B97" s="74" t="s">
        <v>1121</v>
      </c>
      <c r="C97" s="55"/>
      <c r="D97" s="94"/>
      <c r="E97" s="94"/>
      <c r="F97" s="79">
        <f>'[11]FY22-23 Actual Sales'!S95</f>
        <v>255.880491</v>
      </c>
      <c r="G97" s="79">
        <v>0</v>
      </c>
      <c r="H97" s="60">
        <v>9.8</v>
      </c>
      <c r="I97" s="79">
        <v>2000</v>
      </c>
      <c r="J97" s="8"/>
      <c r="K97" s="53"/>
      <c r="L97" s="53"/>
      <c r="M97" s="53"/>
      <c r="N97" s="8"/>
      <c r="O97" s="79"/>
    </row>
    <row r="98" spans="2:15">
      <c r="B98" s="74" t="s">
        <v>1122</v>
      </c>
      <c r="C98" s="55"/>
      <c r="D98" s="94"/>
      <c r="E98" s="94"/>
      <c r="F98" s="79">
        <f>'[11]FY22-23 Actual Sales'!S96</f>
        <v>440.9629746</v>
      </c>
      <c r="G98" s="79">
        <v>0</v>
      </c>
      <c r="H98" s="60">
        <v>7.8</v>
      </c>
      <c r="I98" s="79">
        <v>2000</v>
      </c>
      <c r="J98" s="8"/>
      <c r="K98" s="53"/>
      <c r="L98" s="53"/>
      <c r="M98" s="53"/>
      <c r="N98" s="8"/>
      <c r="O98" s="79"/>
    </row>
    <row r="99" ht="15" spans="2:15">
      <c r="B99" s="71" t="s">
        <v>1125</v>
      </c>
      <c r="C99" s="55"/>
      <c r="D99" s="68">
        <f>'[11]FY22-23 Actual Sales'!D97</f>
        <v>2</v>
      </c>
      <c r="E99" s="68">
        <f>'[11]FY22-23 Actual Sales'!E97</f>
        <v>0</v>
      </c>
      <c r="F99" s="106">
        <f>SUM(F100:F103)</f>
        <v>0.243296</v>
      </c>
      <c r="G99" s="68"/>
      <c r="H99" s="69"/>
      <c r="I99" s="68"/>
      <c r="J99" s="8"/>
      <c r="K99" s="48"/>
      <c r="L99" s="48"/>
      <c r="M99" s="48"/>
      <c r="N99" s="8"/>
      <c r="O99" s="79"/>
    </row>
    <row r="100" spans="2:15">
      <c r="B100" s="74" t="s">
        <v>1119</v>
      </c>
      <c r="C100" s="55"/>
      <c r="D100" s="94"/>
      <c r="E100" s="94"/>
      <c r="F100" s="60">
        <f>'[11]FY22-23 Actual Sales'!S97</f>
        <v>0.136967</v>
      </c>
      <c r="G100" s="79">
        <v>475</v>
      </c>
      <c r="H100" s="60">
        <v>8.8</v>
      </c>
      <c r="I100" s="79">
        <v>2000</v>
      </c>
      <c r="J100" s="8"/>
      <c r="K100" s="53"/>
      <c r="L100" s="53"/>
      <c r="M100" s="53"/>
      <c r="N100" s="8"/>
      <c r="O100" s="79"/>
    </row>
    <row r="101" spans="2:15">
      <c r="B101" s="74" t="s">
        <v>1120</v>
      </c>
      <c r="C101" s="55"/>
      <c r="D101" s="94"/>
      <c r="E101" s="94"/>
      <c r="F101" s="60">
        <f>'[11]FY22-23 Actual Sales'!S98</f>
        <v>0.027121</v>
      </c>
      <c r="G101" s="79">
        <v>0</v>
      </c>
      <c r="H101" s="60">
        <v>9.8</v>
      </c>
      <c r="I101" s="79">
        <v>2000</v>
      </c>
      <c r="J101" s="8"/>
      <c r="K101" s="53"/>
      <c r="L101" s="53"/>
      <c r="M101" s="53"/>
      <c r="N101" s="8"/>
      <c r="O101" s="79"/>
    </row>
    <row r="102" spans="2:15">
      <c r="B102" s="74" t="s">
        <v>1121</v>
      </c>
      <c r="C102" s="55"/>
      <c r="D102" s="94"/>
      <c r="E102" s="94"/>
      <c r="F102" s="60">
        <f>'[11]FY22-23 Actual Sales'!S99</f>
        <v>0.026779</v>
      </c>
      <c r="G102" s="79">
        <v>0</v>
      </c>
      <c r="H102" s="60">
        <v>9.8</v>
      </c>
      <c r="I102" s="79">
        <v>2000</v>
      </c>
      <c r="J102" s="8"/>
      <c r="K102" s="53"/>
      <c r="L102" s="53"/>
      <c r="M102" s="53"/>
      <c r="N102" s="8"/>
      <c r="O102" s="79"/>
    </row>
    <row r="103" spans="2:15">
      <c r="B103" s="74" t="s">
        <v>1122</v>
      </c>
      <c r="C103" s="55"/>
      <c r="D103" s="94"/>
      <c r="E103" s="94"/>
      <c r="F103" s="60">
        <f>'[11]FY22-23 Actual Sales'!S100</f>
        <v>0.052429</v>
      </c>
      <c r="G103" s="79">
        <v>0</v>
      </c>
      <c r="H103" s="60">
        <v>7.8</v>
      </c>
      <c r="I103" s="79">
        <v>2000</v>
      </c>
      <c r="J103" s="8"/>
      <c r="K103" s="53"/>
      <c r="L103" s="53"/>
      <c r="M103" s="53"/>
      <c r="N103" s="8"/>
      <c r="O103" s="79"/>
    </row>
    <row r="104" ht="15" spans="2:15">
      <c r="B104" s="71" t="s">
        <v>1126</v>
      </c>
      <c r="C104" s="55"/>
      <c r="D104" s="68">
        <f>'[11]FY22-23 Actual Sales'!D101</f>
        <v>11</v>
      </c>
      <c r="E104" s="68">
        <f>'[11]FY22-23 Actual Sales'!E101</f>
        <v>1.815</v>
      </c>
      <c r="F104" s="48">
        <f>SUM(F105:F108)</f>
        <v>4.348109</v>
      </c>
      <c r="G104" s="68">
        <v>0</v>
      </c>
      <c r="H104" s="69">
        <v>0</v>
      </c>
      <c r="I104" s="68">
        <v>0</v>
      </c>
      <c r="J104" s="8"/>
      <c r="K104" s="48"/>
      <c r="L104" s="48"/>
      <c r="M104" s="48"/>
      <c r="N104" s="8"/>
      <c r="O104" s="79"/>
    </row>
    <row r="105" spans="2:15">
      <c r="B105" s="74" t="s">
        <v>1119</v>
      </c>
      <c r="C105" s="55"/>
      <c r="D105" s="94"/>
      <c r="E105" s="94"/>
      <c r="F105" s="60">
        <f>'[11]FY22-23 Actual Sales'!S101</f>
        <v>1.175087</v>
      </c>
      <c r="G105" s="79">
        <v>475</v>
      </c>
      <c r="H105" s="60">
        <v>8.5</v>
      </c>
      <c r="I105" s="79">
        <v>2000</v>
      </c>
      <c r="J105" s="8"/>
      <c r="K105" s="53"/>
      <c r="L105" s="53"/>
      <c r="M105" s="53"/>
      <c r="N105" s="8"/>
      <c r="O105" s="79"/>
    </row>
    <row r="106" spans="2:15">
      <c r="B106" s="74" t="s">
        <v>1120</v>
      </c>
      <c r="C106" s="55"/>
      <c r="D106" s="94"/>
      <c r="E106" s="94"/>
      <c r="F106" s="60">
        <f>'[11]FY22-23 Actual Sales'!S102</f>
        <v>0.985833</v>
      </c>
      <c r="G106" s="79">
        <v>0</v>
      </c>
      <c r="H106" s="60">
        <v>9.5</v>
      </c>
      <c r="I106" s="79">
        <v>2000</v>
      </c>
      <c r="J106" s="8"/>
      <c r="K106" s="53"/>
      <c r="L106" s="53"/>
      <c r="M106" s="53"/>
      <c r="N106" s="8"/>
      <c r="O106" s="79"/>
    </row>
    <row r="107" spans="2:15">
      <c r="B107" s="74" t="s">
        <v>1121</v>
      </c>
      <c r="C107" s="55"/>
      <c r="D107" s="94"/>
      <c r="E107" s="94"/>
      <c r="F107" s="60">
        <f>'[11]FY22-23 Actual Sales'!S103</f>
        <v>0.517135</v>
      </c>
      <c r="G107" s="79">
        <v>0</v>
      </c>
      <c r="H107" s="60">
        <v>9.5</v>
      </c>
      <c r="I107" s="79">
        <v>2000</v>
      </c>
      <c r="J107" s="8"/>
      <c r="K107" s="53"/>
      <c r="L107" s="53"/>
      <c r="M107" s="53"/>
      <c r="N107" s="8"/>
      <c r="O107" s="79"/>
    </row>
    <row r="108" spans="2:15">
      <c r="B108" s="74" t="s">
        <v>1122</v>
      </c>
      <c r="C108" s="55"/>
      <c r="D108" s="94"/>
      <c r="E108" s="94"/>
      <c r="F108" s="60">
        <f>'[11]FY22-23 Actual Sales'!S104</f>
        <v>1.670054</v>
      </c>
      <c r="G108" s="79">
        <v>0</v>
      </c>
      <c r="H108" s="60">
        <v>7.5</v>
      </c>
      <c r="I108" s="79">
        <v>2000</v>
      </c>
      <c r="J108" s="8"/>
      <c r="K108" s="53"/>
      <c r="L108" s="53"/>
      <c r="M108" s="53"/>
      <c r="N108" s="8"/>
      <c r="O108" s="79"/>
    </row>
    <row r="109" ht="15" spans="2:15">
      <c r="B109" s="71" t="s">
        <v>1127</v>
      </c>
      <c r="C109" s="55"/>
      <c r="D109" s="68">
        <f>'[11]FY22-23 Actual Sales'!D105</f>
        <v>127</v>
      </c>
      <c r="E109" s="68">
        <f>'[11]FY22-23 Actual Sales'!E105</f>
        <v>47.4582</v>
      </c>
      <c r="F109" s="48">
        <f>'[11]FY22-23 Actual Sales'!S105</f>
        <v>47.07831532</v>
      </c>
      <c r="G109" s="68">
        <v>0</v>
      </c>
      <c r="H109" s="69">
        <v>0</v>
      </c>
      <c r="I109" s="68">
        <v>0</v>
      </c>
      <c r="J109" s="8"/>
      <c r="K109" s="48"/>
      <c r="L109" s="48"/>
      <c r="M109" s="48"/>
      <c r="N109" s="8"/>
      <c r="O109" s="79"/>
    </row>
    <row r="110" spans="2:15">
      <c r="B110" s="74" t="s">
        <v>1128</v>
      </c>
      <c r="C110" s="55"/>
      <c r="D110" s="94"/>
      <c r="E110" s="94"/>
      <c r="F110" s="53"/>
      <c r="G110" s="79">
        <v>275</v>
      </c>
      <c r="H110" s="60">
        <v>6.3</v>
      </c>
      <c r="I110" s="79">
        <v>2000</v>
      </c>
      <c r="J110" s="8"/>
      <c r="K110" s="53"/>
      <c r="L110" s="53"/>
      <c r="M110" s="53"/>
      <c r="N110" s="8"/>
      <c r="O110" s="79"/>
    </row>
    <row r="111" ht="15" spans="2:15">
      <c r="B111" s="71" t="s">
        <v>1129</v>
      </c>
      <c r="C111" s="55"/>
      <c r="D111" s="68">
        <f>'[11]FY22-23 Actual Sales'!D106</f>
        <v>116</v>
      </c>
      <c r="E111" s="68">
        <f>'[11]FY22-23 Actual Sales'!E106</f>
        <v>37.139</v>
      </c>
      <c r="F111" s="48">
        <f>'[11]FY22-23 Actual Sales'!S106</f>
        <v>137.65589982</v>
      </c>
      <c r="G111" s="68">
        <v>0</v>
      </c>
      <c r="H111" s="69">
        <v>0</v>
      </c>
      <c r="I111" s="68">
        <v>0</v>
      </c>
      <c r="J111" s="8"/>
      <c r="K111" s="48"/>
      <c r="L111" s="48"/>
      <c r="M111" s="48"/>
      <c r="N111" s="8"/>
      <c r="O111" s="79"/>
    </row>
    <row r="112" spans="2:15">
      <c r="B112" s="74" t="s">
        <v>220</v>
      </c>
      <c r="C112" s="55"/>
      <c r="D112" s="94"/>
      <c r="E112" s="94"/>
      <c r="F112" s="53"/>
      <c r="G112" s="79">
        <v>0</v>
      </c>
      <c r="H112" s="60">
        <v>6.1</v>
      </c>
      <c r="I112" s="79">
        <v>2000</v>
      </c>
      <c r="J112" s="8"/>
      <c r="K112" s="53"/>
      <c r="L112" s="53"/>
      <c r="M112" s="53"/>
      <c r="N112" s="8"/>
      <c r="O112" s="79"/>
    </row>
    <row r="113" spans="2:15">
      <c r="B113" s="74" t="s">
        <v>1130</v>
      </c>
      <c r="C113" s="55"/>
      <c r="D113" s="94"/>
      <c r="E113" s="94"/>
      <c r="F113" s="53"/>
      <c r="G113" s="79">
        <v>0</v>
      </c>
      <c r="H113" s="60">
        <v>0</v>
      </c>
      <c r="I113" s="79">
        <v>2000</v>
      </c>
      <c r="J113" s="8"/>
      <c r="K113" s="53"/>
      <c r="L113" s="53"/>
      <c r="M113" s="53"/>
      <c r="N113" s="8"/>
      <c r="O113" s="79"/>
    </row>
    <row r="114" ht="15" spans="2:15">
      <c r="B114" s="71" t="s">
        <v>1131</v>
      </c>
      <c r="C114" s="55"/>
      <c r="D114" s="68"/>
      <c r="E114" s="68"/>
      <c r="F114" s="48"/>
      <c r="G114" s="68">
        <v>0</v>
      </c>
      <c r="H114" s="69">
        <v>0</v>
      </c>
      <c r="I114" s="68">
        <v>0</v>
      </c>
      <c r="J114" s="8"/>
      <c r="K114" s="48"/>
      <c r="L114" s="48"/>
      <c r="M114" s="48"/>
      <c r="N114" s="8"/>
      <c r="O114" s="79"/>
    </row>
    <row r="115" ht="15" spans="2:15">
      <c r="B115" s="71" t="s">
        <v>1132</v>
      </c>
      <c r="C115" s="55"/>
      <c r="D115" s="68"/>
      <c r="E115" s="68"/>
      <c r="F115" s="48"/>
      <c r="G115" s="68">
        <v>0</v>
      </c>
      <c r="H115" s="69">
        <v>0</v>
      </c>
      <c r="I115" s="68">
        <v>0</v>
      </c>
      <c r="J115" s="8"/>
      <c r="K115" s="48"/>
      <c r="L115" s="48"/>
      <c r="M115" s="48"/>
      <c r="N115" s="8"/>
      <c r="O115" s="79"/>
    </row>
    <row r="116" ht="15" spans="2:15">
      <c r="B116" s="71" t="s">
        <v>919</v>
      </c>
      <c r="C116" s="55"/>
      <c r="D116" s="68">
        <f>'[11]FY22-23 Actual Sales'!D107</f>
        <v>194</v>
      </c>
      <c r="E116" s="68">
        <f>'[11]FY22-23 Actual Sales'!E107</f>
        <v>96.029</v>
      </c>
      <c r="F116" s="48">
        <f>'[11]FY22-23 Actual Sales'!$S$107</f>
        <v>183.9896945</v>
      </c>
      <c r="G116" s="68">
        <v>260</v>
      </c>
      <c r="H116" s="69">
        <v>7.3</v>
      </c>
      <c r="I116" s="68">
        <v>2000</v>
      </c>
      <c r="J116" s="8"/>
      <c r="K116" s="48"/>
      <c r="L116" s="48"/>
      <c r="M116" s="48"/>
      <c r="N116" s="8"/>
      <c r="O116" s="79"/>
    </row>
    <row r="117" ht="15" spans="2:15">
      <c r="B117" s="71" t="s">
        <v>1133</v>
      </c>
      <c r="C117" s="55"/>
      <c r="D117" s="68">
        <f>'[11]FY22-23 Actual Sales'!D108</f>
        <v>484</v>
      </c>
      <c r="E117" s="68">
        <f>'[11]FY22-23 Actual Sales'!E108</f>
        <v>99.268</v>
      </c>
      <c r="F117" s="48">
        <f>'[11]FY22-23 Actual Sales'!$S$108</f>
        <v>153.938916</v>
      </c>
      <c r="G117" s="68">
        <v>500</v>
      </c>
      <c r="H117" s="69">
        <v>11.8</v>
      </c>
      <c r="I117" s="68">
        <v>2000</v>
      </c>
      <c r="J117" s="8"/>
      <c r="K117" s="48"/>
      <c r="L117" s="48"/>
      <c r="M117" s="48"/>
      <c r="N117" s="8"/>
      <c r="O117" s="79"/>
    </row>
    <row r="118" ht="15" spans="2:15">
      <c r="B118" s="71" t="s">
        <v>1134</v>
      </c>
      <c r="C118" s="55"/>
      <c r="D118" s="68"/>
      <c r="E118" s="68"/>
      <c r="F118" s="48"/>
      <c r="G118" s="68">
        <v>0</v>
      </c>
      <c r="H118" s="69">
        <v>4.8</v>
      </c>
      <c r="I118" s="68">
        <v>2000</v>
      </c>
      <c r="J118" s="8"/>
      <c r="K118" s="48"/>
      <c r="L118" s="48"/>
      <c r="M118" s="48"/>
      <c r="N118" s="8"/>
      <c r="O118" s="79"/>
    </row>
    <row r="119" ht="15" spans="2:15">
      <c r="B119" s="71" t="s">
        <v>1135</v>
      </c>
      <c r="C119" s="55"/>
      <c r="D119" s="68">
        <f>'[11]FY22-23 Actual Sales'!D109</f>
        <v>9</v>
      </c>
      <c r="E119" s="68">
        <f>'[11]FY22-23 Actual Sales'!E109</f>
        <v>4.1</v>
      </c>
      <c r="F119" s="48">
        <f>'[11]FY22-23 Actual Sales'!$S$109</f>
        <v>5.539859</v>
      </c>
      <c r="G119" s="68">
        <v>100</v>
      </c>
      <c r="H119" s="69">
        <v>6</v>
      </c>
      <c r="I119" s="68">
        <v>2000</v>
      </c>
      <c r="J119" s="8"/>
      <c r="K119" s="48"/>
      <c r="L119" s="48"/>
      <c r="M119" s="48"/>
      <c r="N119" s="8"/>
      <c r="O119" s="79"/>
    </row>
    <row r="120" spans="2:15">
      <c r="B120" s="76" t="s">
        <v>1119</v>
      </c>
      <c r="C120" s="55"/>
      <c r="D120" s="53"/>
      <c r="E120" s="53"/>
      <c r="F120" s="53"/>
      <c r="G120" s="79">
        <v>100</v>
      </c>
      <c r="H120" s="60">
        <v>6</v>
      </c>
      <c r="I120" s="79">
        <v>2000</v>
      </c>
      <c r="J120" s="8"/>
      <c r="K120" s="53"/>
      <c r="L120" s="53"/>
      <c r="M120" s="53"/>
      <c r="N120" s="8"/>
      <c r="O120" s="79"/>
    </row>
    <row r="121" spans="2:15">
      <c r="B121" s="76" t="s">
        <v>1120</v>
      </c>
      <c r="C121" s="55"/>
      <c r="D121" s="53"/>
      <c r="E121" s="53"/>
      <c r="F121" s="53"/>
      <c r="G121" s="79">
        <v>0</v>
      </c>
      <c r="H121" s="60">
        <v>7</v>
      </c>
      <c r="I121" s="79">
        <v>2000</v>
      </c>
      <c r="J121" s="8"/>
      <c r="K121" s="53"/>
      <c r="L121" s="53"/>
      <c r="M121" s="53"/>
      <c r="N121" s="8"/>
      <c r="O121" s="79"/>
    </row>
    <row r="122" spans="2:15">
      <c r="B122" s="76" t="s">
        <v>1121</v>
      </c>
      <c r="C122" s="55"/>
      <c r="D122" s="53"/>
      <c r="E122" s="53"/>
      <c r="F122" s="53"/>
      <c r="G122" s="79">
        <v>0</v>
      </c>
      <c r="H122" s="60">
        <v>7</v>
      </c>
      <c r="I122" s="79">
        <v>2000</v>
      </c>
      <c r="J122" s="8"/>
      <c r="K122" s="53"/>
      <c r="L122" s="53"/>
      <c r="M122" s="53"/>
      <c r="N122" s="8"/>
      <c r="O122" s="79"/>
    </row>
    <row r="123" spans="2:15">
      <c r="B123" s="76" t="s">
        <v>1122</v>
      </c>
      <c r="C123" s="55"/>
      <c r="D123" s="53"/>
      <c r="E123" s="53"/>
      <c r="F123" s="53"/>
      <c r="G123" s="79">
        <v>0</v>
      </c>
      <c r="H123" s="60">
        <v>5</v>
      </c>
      <c r="I123" s="79">
        <v>2000</v>
      </c>
      <c r="J123" s="8"/>
      <c r="K123" s="53"/>
      <c r="L123" s="53"/>
      <c r="M123" s="53"/>
      <c r="N123" s="8"/>
      <c r="O123" s="79"/>
    </row>
    <row r="124" ht="15" spans="2:15">
      <c r="B124" s="77" t="s">
        <v>1136</v>
      </c>
      <c r="C124" s="55"/>
      <c r="D124" s="78">
        <f>SUM(D119,D118,D117,D116,D115,D114,D111,D109,D104,D99,D94,D93,D88,D83,D79,D76,D75)</f>
        <v>10817</v>
      </c>
      <c r="E124" s="78">
        <f>SUM(E119,E118,E117,E116,E115,E114,E111,E109,E104,E99,E94,E93,E88,E83,E79,E76,E75)</f>
        <v>2942.34523</v>
      </c>
      <c r="F124" s="80">
        <f>SUM(F75:F82,F83,F88,F94,F104,F109,F111,F116,F117,F119,F93,F99)</f>
        <v>6620.92135521</v>
      </c>
      <c r="G124" s="95"/>
      <c r="H124" s="95"/>
      <c r="I124" s="95"/>
      <c r="J124" s="95"/>
      <c r="K124" s="78"/>
      <c r="L124" s="78"/>
      <c r="M124" s="78"/>
      <c r="N124" s="78"/>
      <c r="O124" s="80"/>
    </row>
    <row r="125" spans="2:3">
      <c r="B125" s="55"/>
      <c r="C125" s="55"/>
    </row>
    <row r="126" spans="2:15">
      <c r="B126" s="71" t="s">
        <v>212</v>
      </c>
      <c r="C126" s="55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</row>
    <row r="127" ht="15" spans="2:15">
      <c r="B127" s="71" t="s">
        <v>1137</v>
      </c>
      <c r="C127" s="55"/>
      <c r="D127" s="48"/>
      <c r="E127" s="48"/>
      <c r="F127" s="48"/>
      <c r="G127" s="68">
        <v>0</v>
      </c>
      <c r="H127" s="69">
        <v>0</v>
      </c>
      <c r="I127" s="68">
        <v>0</v>
      </c>
      <c r="J127" s="8"/>
      <c r="K127" s="48"/>
      <c r="L127" s="48"/>
      <c r="M127" s="48"/>
      <c r="N127" s="8"/>
      <c r="O127" s="24"/>
    </row>
    <row r="128" spans="2:15">
      <c r="B128" s="81" t="s">
        <v>1138</v>
      </c>
      <c r="C128" s="55"/>
      <c r="D128" s="51"/>
      <c r="E128" s="51"/>
      <c r="F128" s="51"/>
      <c r="G128" s="79">
        <v>0</v>
      </c>
      <c r="H128" s="60">
        <v>0</v>
      </c>
      <c r="I128" s="79">
        <v>0</v>
      </c>
      <c r="J128" s="8"/>
      <c r="K128" s="51"/>
      <c r="L128" s="51"/>
      <c r="M128" s="51"/>
      <c r="N128" s="8"/>
      <c r="O128" s="24"/>
    </row>
    <row r="129" ht="15" spans="2:15">
      <c r="B129" s="74" t="s">
        <v>1105</v>
      </c>
      <c r="C129" s="55"/>
      <c r="D129" s="68">
        <f>'[11]FY22-23 Actual Sales'!D115</f>
        <v>380</v>
      </c>
      <c r="E129" s="68">
        <f>'[11]FY22-23 Actual Sales'!E115</f>
        <v>1230.624</v>
      </c>
      <c r="F129" s="79">
        <f>'[11]FY22-23 Actual Sales'!S115</f>
        <v>1871.63968823</v>
      </c>
      <c r="G129" s="79">
        <v>475</v>
      </c>
      <c r="H129" s="60">
        <v>7.15</v>
      </c>
      <c r="I129" s="79">
        <v>3500</v>
      </c>
      <c r="J129" s="8"/>
      <c r="K129" s="53"/>
      <c r="L129" s="53"/>
      <c r="M129" s="53"/>
      <c r="N129" s="8"/>
      <c r="O129" s="24"/>
    </row>
    <row r="130" ht="15" spans="2:15">
      <c r="B130" s="74" t="s">
        <v>1139</v>
      </c>
      <c r="C130" s="55"/>
      <c r="D130" s="68"/>
      <c r="E130" s="68"/>
      <c r="F130" s="79">
        <f>'[11]FY22-23 Actual Sales'!S116</f>
        <v>0.11617</v>
      </c>
      <c r="G130" s="79">
        <v>0</v>
      </c>
      <c r="H130" s="60">
        <v>7.15</v>
      </c>
      <c r="I130" s="79">
        <v>3500</v>
      </c>
      <c r="J130" s="8"/>
      <c r="K130" s="53"/>
      <c r="L130" s="53"/>
      <c r="M130" s="53"/>
      <c r="N130" s="8"/>
      <c r="O130" s="24"/>
    </row>
    <row r="131" ht="15" spans="2:15">
      <c r="B131" s="74" t="s">
        <v>1140</v>
      </c>
      <c r="C131" s="55"/>
      <c r="D131" s="68"/>
      <c r="E131" s="68"/>
      <c r="F131" s="79">
        <f>'[11]FY22-23 Actual Sales'!S117</f>
        <v>1.695308</v>
      </c>
      <c r="G131" s="79">
        <v>0</v>
      </c>
      <c r="H131" s="60">
        <v>7.3</v>
      </c>
      <c r="I131" s="79">
        <v>3500</v>
      </c>
      <c r="J131" s="8"/>
      <c r="K131" s="53"/>
      <c r="L131" s="53"/>
      <c r="M131" s="53"/>
      <c r="N131" s="8"/>
      <c r="O131" s="24"/>
    </row>
    <row r="132" ht="15" spans="2:15">
      <c r="B132" s="74" t="s">
        <v>1141</v>
      </c>
      <c r="C132" s="55"/>
      <c r="D132" s="68">
        <f>'[11]FY22-23 Actual Sales'!D118</f>
        <v>1</v>
      </c>
      <c r="E132" s="68">
        <f>'[11]FY22-23 Actual Sales'!E118</f>
        <v>0</v>
      </c>
      <c r="F132" s="79">
        <f>'[11]FY22-23 Actual Sales'!S118</f>
        <v>2.458191</v>
      </c>
      <c r="G132" s="79">
        <v>475</v>
      </c>
      <c r="H132" s="60">
        <v>7.9</v>
      </c>
      <c r="I132" s="79">
        <v>3500</v>
      </c>
      <c r="J132" s="8"/>
      <c r="K132" s="53"/>
      <c r="L132" s="53"/>
      <c r="M132" s="53"/>
      <c r="N132" s="8"/>
      <c r="O132" s="24"/>
    </row>
    <row r="133" ht="15" spans="2:15">
      <c r="B133" s="76" t="s">
        <v>1120</v>
      </c>
      <c r="C133" s="55"/>
      <c r="D133" s="68"/>
      <c r="E133" s="68"/>
      <c r="F133" s="79">
        <f>'[11]FY22-23 Actual Sales'!S119</f>
        <v>938.8771275</v>
      </c>
      <c r="G133" s="79">
        <v>0</v>
      </c>
      <c r="H133" s="60">
        <v>8.15</v>
      </c>
      <c r="I133" s="79">
        <v>3500</v>
      </c>
      <c r="J133" s="8"/>
      <c r="K133" s="53"/>
      <c r="L133" s="53"/>
      <c r="M133" s="53"/>
      <c r="N133" s="8"/>
      <c r="O133" s="24"/>
    </row>
    <row r="134" ht="15" spans="2:15">
      <c r="B134" s="76" t="s">
        <v>1121</v>
      </c>
      <c r="C134" s="55"/>
      <c r="D134" s="68"/>
      <c r="E134" s="68"/>
      <c r="F134" s="79">
        <f>'[11]FY22-23 Actual Sales'!S120</f>
        <v>875.711727</v>
      </c>
      <c r="G134" s="79">
        <v>0</v>
      </c>
      <c r="H134" s="60">
        <v>8.15</v>
      </c>
      <c r="I134" s="79">
        <v>3500</v>
      </c>
      <c r="J134" s="8"/>
      <c r="K134" s="53"/>
      <c r="L134" s="53"/>
      <c r="M134" s="53"/>
      <c r="N134" s="8"/>
      <c r="O134" s="24"/>
    </row>
    <row r="135" ht="15" spans="2:15">
      <c r="B135" s="76" t="s">
        <v>1122</v>
      </c>
      <c r="C135" s="55"/>
      <c r="D135" s="68"/>
      <c r="E135" s="68"/>
      <c r="F135" s="79">
        <f>'[11]FY22-23 Actual Sales'!S121</f>
        <v>1724.88784</v>
      </c>
      <c r="G135" s="79">
        <v>0</v>
      </c>
      <c r="H135" s="60">
        <v>6.15</v>
      </c>
      <c r="I135" s="79">
        <v>3500</v>
      </c>
      <c r="J135" s="8"/>
      <c r="K135" s="53"/>
      <c r="L135" s="53"/>
      <c r="M135" s="53"/>
      <c r="N135" s="8"/>
      <c r="O135" s="24"/>
    </row>
    <row r="136" ht="15" spans="2:15">
      <c r="B136" s="71" t="s">
        <v>1113</v>
      </c>
      <c r="C136" s="55"/>
      <c r="D136" s="68">
        <f>'[11]FY22-23 Actual Sales'!D122</f>
        <v>4</v>
      </c>
      <c r="E136" s="68">
        <f>'[11]FY22-23 Actual Sales'!E122</f>
        <v>0</v>
      </c>
      <c r="F136" s="48">
        <f>SUM(F137:F140)</f>
        <v>26.42942</v>
      </c>
      <c r="G136" s="79">
        <v>0</v>
      </c>
      <c r="H136" s="60">
        <v>0</v>
      </c>
      <c r="I136" s="79">
        <v>0</v>
      </c>
      <c r="J136" s="8"/>
      <c r="K136" s="51"/>
      <c r="L136" s="51"/>
      <c r="M136" s="51"/>
      <c r="N136" s="8"/>
      <c r="O136" s="24"/>
    </row>
    <row r="137" ht="15" spans="2:15">
      <c r="B137" s="76" t="s">
        <v>1142</v>
      </c>
      <c r="C137" s="55"/>
      <c r="D137" s="68"/>
      <c r="E137" s="68"/>
      <c r="F137" s="79">
        <f>'[11]FY22-23 Actual Sales'!S122</f>
        <v>8.573468</v>
      </c>
      <c r="G137" s="79">
        <v>475</v>
      </c>
      <c r="H137" s="60">
        <v>7.15</v>
      </c>
      <c r="I137" s="79">
        <v>3500</v>
      </c>
      <c r="J137" s="8"/>
      <c r="K137" s="53"/>
      <c r="L137" s="53"/>
      <c r="M137" s="53"/>
      <c r="N137" s="8"/>
      <c r="O137" s="24"/>
    </row>
    <row r="138" ht="15" spans="2:15">
      <c r="B138" s="76" t="s">
        <v>1115</v>
      </c>
      <c r="C138" s="55"/>
      <c r="D138" s="68"/>
      <c r="E138" s="68"/>
      <c r="F138" s="79">
        <f>'[11]FY22-23 Actual Sales'!S123</f>
        <v>4.320115</v>
      </c>
      <c r="G138" s="79">
        <v>0</v>
      </c>
      <c r="H138" s="60">
        <v>8.15</v>
      </c>
      <c r="I138" s="79">
        <v>3500</v>
      </c>
      <c r="J138" s="8"/>
      <c r="K138" s="53"/>
      <c r="L138" s="53"/>
      <c r="M138" s="53"/>
      <c r="N138" s="8"/>
      <c r="O138" s="24"/>
    </row>
    <row r="139" ht="15" spans="2:15">
      <c r="B139" s="76" t="s">
        <v>1116</v>
      </c>
      <c r="C139" s="55"/>
      <c r="D139" s="68"/>
      <c r="E139" s="68"/>
      <c r="F139" s="79">
        <f>'[11]FY22-23 Actual Sales'!S124</f>
        <v>4.197231</v>
      </c>
      <c r="G139" s="79">
        <v>0</v>
      </c>
      <c r="H139" s="60">
        <v>8.15</v>
      </c>
      <c r="I139" s="79">
        <v>3500</v>
      </c>
      <c r="J139" s="8"/>
      <c r="K139" s="53"/>
      <c r="L139" s="53"/>
      <c r="M139" s="53"/>
      <c r="N139" s="8"/>
      <c r="O139" s="24"/>
    </row>
    <row r="140" ht="15" spans="2:15">
      <c r="B140" s="76" t="s">
        <v>1143</v>
      </c>
      <c r="C140" s="55"/>
      <c r="D140" s="68"/>
      <c r="E140" s="68"/>
      <c r="F140" s="79">
        <f>'[11]FY22-23 Actual Sales'!S125</f>
        <v>9.338606</v>
      </c>
      <c r="G140" s="79">
        <v>0</v>
      </c>
      <c r="H140" s="60">
        <v>6.15</v>
      </c>
      <c r="I140" s="79">
        <v>3500</v>
      </c>
      <c r="J140" s="8"/>
      <c r="K140" s="53"/>
      <c r="L140" s="53"/>
      <c r="M140" s="53"/>
      <c r="N140" s="8"/>
      <c r="O140" s="24"/>
    </row>
    <row r="141" ht="15" spans="2:15">
      <c r="B141" s="71" t="s">
        <v>1144</v>
      </c>
      <c r="C141" s="55"/>
      <c r="D141" s="68">
        <f>'[11]FY22-23 Actual Sales'!D126</f>
        <v>4</v>
      </c>
      <c r="E141" s="68">
        <f>'[11]FY22-23 Actual Sales'!E126</f>
        <v>9.5</v>
      </c>
      <c r="F141" s="48">
        <f>SUM(F142:F145)</f>
        <v>56.925634</v>
      </c>
      <c r="G141" s="68">
        <v>0</v>
      </c>
      <c r="H141" s="69">
        <v>0</v>
      </c>
      <c r="I141" s="68">
        <v>14000</v>
      </c>
      <c r="J141" s="8"/>
      <c r="K141" s="48"/>
      <c r="L141" s="48"/>
      <c r="M141" s="48"/>
      <c r="N141" s="8"/>
      <c r="O141" s="24"/>
    </row>
    <row r="142" ht="15" spans="2:15">
      <c r="B142" s="74" t="s">
        <v>1119</v>
      </c>
      <c r="C142" s="55"/>
      <c r="D142" s="68"/>
      <c r="E142" s="68"/>
      <c r="F142" s="79">
        <f>'[11]FY22-23 Actual Sales'!S126</f>
        <v>22.665863</v>
      </c>
      <c r="G142" s="79">
        <v>475</v>
      </c>
      <c r="H142" s="60">
        <v>7.15</v>
      </c>
      <c r="I142" s="79">
        <v>3500</v>
      </c>
      <c r="J142" s="8"/>
      <c r="K142" s="53"/>
      <c r="L142" s="53"/>
      <c r="M142" s="53"/>
      <c r="N142" s="8"/>
      <c r="O142" s="24"/>
    </row>
    <row r="143" ht="15" spans="2:15">
      <c r="B143" s="74" t="s">
        <v>1120</v>
      </c>
      <c r="C143" s="55"/>
      <c r="D143" s="68"/>
      <c r="E143" s="68"/>
      <c r="F143" s="79">
        <f>'[11]FY22-23 Actual Sales'!S127</f>
        <v>8.731483</v>
      </c>
      <c r="G143" s="79">
        <v>0</v>
      </c>
      <c r="H143" s="60">
        <v>8.15</v>
      </c>
      <c r="I143" s="79">
        <v>3500</v>
      </c>
      <c r="J143" s="8"/>
      <c r="K143" s="53"/>
      <c r="L143" s="53"/>
      <c r="M143" s="53"/>
      <c r="N143" s="8"/>
      <c r="O143" s="24"/>
    </row>
    <row r="144" ht="15" spans="2:15">
      <c r="B144" s="74" t="s">
        <v>1121</v>
      </c>
      <c r="C144" s="55"/>
      <c r="D144" s="68"/>
      <c r="E144" s="68"/>
      <c r="F144" s="79">
        <f>'[11]FY22-23 Actual Sales'!S128</f>
        <v>8.946352</v>
      </c>
      <c r="G144" s="79">
        <v>0</v>
      </c>
      <c r="H144" s="60">
        <v>8.15</v>
      </c>
      <c r="I144" s="79">
        <v>3500</v>
      </c>
      <c r="J144" s="8"/>
      <c r="K144" s="53"/>
      <c r="L144" s="53"/>
      <c r="M144" s="53"/>
      <c r="N144" s="8"/>
      <c r="O144" s="24"/>
    </row>
    <row r="145" ht="15" spans="2:15">
      <c r="B145" s="74" t="s">
        <v>1122</v>
      </c>
      <c r="C145" s="55"/>
      <c r="D145" s="68"/>
      <c r="E145" s="68"/>
      <c r="F145" s="79">
        <f>'[11]FY22-23 Actual Sales'!S129</f>
        <v>16.581936</v>
      </c>
      <c r="G145" s="79">
        <v>0</v>
      </c>
      <c r="H145" s="60">
        <v>6.15</v>
      </c>
      <c r="I145" s="79">
        <v>3500</v>
      </c>
      <c r="J145" s="8"/>
      <c r="K145" s="53"/>
      <c r="L145" s="53"/>
      <c r="M145" s="53"/>
      <c r="N145" s="8"/>
      <c r="O145" s="24"/>
    </row>
    <row r="146" ht="15" spans="2:15">
      <c r="B146" s="71" t="s">
        <v>1123</v>
      </c>
      <c r="C146" s="55"/>
      <c r="D146" s="39">
        <f>'[11]FY22-23 Actual Sales'!D130</f>
        <v>1</v>
      </c>
      <c r="E146" s="39">
        <f>'[11]FY22-23 Actual Sales'!E130</f>
        <v>8</v>
      </c>
      <c r="F146" s="48">
        <f>'[11]FY22-23 Actual Sales'!S130</f>
        <v>43.282</v>
      </c>
      <c r="G146" s="68">
        <v>475</v>
      </c>
      <c r="H146" s="69">
        <v>7.15</v>
      </c>
      <c r="I146" s="68">
        <v>3500</v>
      </c>
      <c r="J146" s="8"/>
      <c r="K146" s="48"/>
      <c r="L146" s="48"/>
      <c r="M146" s="48"/>
      <c r="N146" s="8"/>
      <c r="O146" s="24"/>
    </row>
    <row r="147" ht="15" spans="2:15">
      <c r="B147" s="71" t="s">
        <v>1124</v>
      </c>
      <c r="C147" s="55"/>
      <c r="D147" s="68">
        <f>'[11]FY22-23 Actual Sales'!D131</f>
        <v>153</v>
      </c>
      <c r="E147" s="68">
        <f>'[11]FY22-23 Actual Sales'!E131</f>
        <v>464.118</v>
      </c>
      <c r="F147" s="48">
        <f>SUM(F148:F151)</f>
        <v>1197.782522</v>
      </c>
      <c r="G147" s="68">
        <v>0</v>
      </c>
      <c r="H147" s="69">
        <v>0</v>
      </c>
      <c r="I147" s="68">
        <v>3500</v>
      </c>
      <c r="J147" s="8"/>
      <c r="K147" s="48"/>
      <c r="L147" s="48"/>
      <c r="M147" s="48"/>
      <c r="N147" s="8"/>
      <c r="O147" s="24"/>
    </row>
    <row r="148" ht="15" spans="2:15">
      <c r="B148" s="76" t="s">
        <v>1145</v>
      </c>
      <c r="C148" s="55"/>
      <c r="D148" s="68"/>
      <c r="E148" s="68"/>
      <c r="F148" s="79">
        <f>'[11]FY22-23 Actual Sales'!S131</f>
        <v>507.52475971</v>
      </c>
      <c r="G148" s="79">
        <v>475</v>
      </c>
      <c r="H148" s="60">
        <v>8</v>
      </c>
      <c r="I148" s="79">
        <v>3500</v>
      </c>
      <c r="J148" s="8"/>
      <c r="K148" s="51"/>
      <c r="L148" s="51"/>
      <c r="M148" s="51"/>
      <c r="N148" s="8"/>
      <c r="O148" s="24"/>
    </row>
    <row r="149" ht="15" spans="2:15">
      <c r="B149" s="76" t="s">
        <v>1120</v>
      </c>
      <c r="C149" s="55"/>
      <c r="D149" s="68"/>
      <c r="E149" s="68"/>
      <c r="F149" s="79">
        <f>'[11]FY22-23 Actual Sales'!S132</f>
        <v>215.717623</v>
      </c>
      <c r="G149" s="79">
        <v>0</v>
      </c>
      <c r="H149" s="60">
        <v>9</v>
      </c>
      <c r="I149" s="79">
        <v>3500</v>
      </c>
      <c r="J149" s="8"/>
      <c r="K149" s="53"/>
      <c r="L149" s="53"/>
      <c r="M149" s="53"/>
      <c r="N149" s="8"/>
      <c r="O149" s="24"/>
    </row>
    <row r="150" ht="15" spans="2:15">
      <c r="B150" s="76" t="s">
        <v>1121</v>
      </c>
      <c r="C150" s="55"/>
      <c r="D150" s="68"/>
      <c r="E150" s="68"/>
      <c r="F150" s="79">
        <f>'[11]FY22-23 Actual Sales'!S133</f>
        <v>182.235875</v>
      </c>
      <c r="G150" s="79">
        <v>0</v>
      </c>
      <c r="H150" s="60">
        <v>9</v>
      </c>
      <c r="I150" s="79">
        <v>3500</v>
      </c>
      <c r="J150" s="8"/>
      <c r="K150" s="53"/>
      <c r="L150" s="53"/>
      <c r="M150" s="53"/>
      <c r="N150" s="8"/>
      <c r="O150" s="24"/>
    </row>
    <row r="151" ht="15" spans="2:15">
      <c r="B151" s="76" t="s">
        <v>1122</v>
      </c>
      <c r="C151" s="55"/>
      <c r="D151" s="68"/>
      <c r="E151" s="68"/>
      <c r="F151" s="79">
        <f>'[11]FY22-23 Actual Sales'!S134</f>
        <v>292.30426429</v>
      </c>
      <c r="G151" s="79">
        <v>0</v>
      </c>
      <c r="H151" s="60">
        <v>7</v>
      </c>
      <c r="I151" s="79">
        <v>3500</v>
      </c>
      <c r="J151" s="8"/>
      <c r="K151" s="53"/>
      <c r="L151" s="53"/>
      <c r="M151" s="53"/>
      <c r="N151" s="8"/>
      <c r="O151" s="24"/>
    </row>
    <row r="152" ht="15" spans="2:15">
      <c r="B152" s="76" t="s">
        <v>1146</v>
      </c>
      <c r="C152" s="55"/>
      <c r="D152" s="68"/>
      <c r="E152" s="68"/>
      <c r="F152" s="53"/>
      <c r="G152" s="79">
        <v>475</v>
      </c>
      <c r="H152" s="60">
        <v>8</v>
      </c>
      <c r="I152" s="79">
        <v>3500</v>
      </c>
      <c r="J152" s="8"/>
      <c r="K152" s="53"/>
      <c r="L152" s="53"/>
      <c r="M152" s="53"/>
      <c r="N152" s="8"/>
      <c r="O152" s="24"/>
    </row>
    <row r="153" ht="15" spans="2:15">
      <c r="B153" s="71" t="s">
        <v>1125</v>
      </c>
      <c r="C153" s="55"/>
      <c r="D153" s="68">
        <f>'[11]FY22-23 Actual Sales'!D135</f>
        <v>1</v>
      </c>
      <c r="E153" s="68">
        <f>'[11]FY22-23 Actual Sales'!E135</f>
        <v>0</v>
      </c>
      <c r="F153" s="48">
        <f>SUM(F154:F157)</f>
        <v>1.8433</v>
      </c>
      <c r="G153" s="68">
        <v>0</v>
      </c>
      <c r="H153" s="69">
        <v>0</v>
      </c>
      <c r="I153" s="68">
        <v>14000</v>
      </c>
      <c r="J153" s="8"/>
      <c r="K153" s="48"/>
      <c r="L153" s="48"/>
      <c r="M153" s="48"/>
      <c r="N153" s="8"/>
      <c r="O153" s="24"/>
    </row>
    <row r="154" ht="15" spans="2:15">
      <c r="B154" s="74" t="s">
        <v>1119</v>
      </c>
      <c r="C154" s="55"/>
      <c r="D154" s="68"/>
      <c r="E154" s="68"/>
      <c r="F154" s="79">
        <f>'[11]FY22-23 Actual Sales'!S135</f>
        <v>0.7529</v>
      </c>
      <c r="G154" s="79">
        <v>260</v>
      </c>
      <c r="H154" s="60">
        <v>5</v>
      </c>
      <c r="I154" s="79">
        <v>3500</v>
      </c>
      <c r="J154" s="8"/>
      <c r="K154" s="53"/>
      <c r="L154" s="53"/>
      <c r="M154" s="53"/>
      <c r="N154" s="8"/>
      <c r="O154" s="24"/>
    </row>
    <row r="155" ht="15" spans="2:15">
      <c r="B155" s="74" t="s">
        <v>1120</v>
      </c>
      <c r="C155" s="55"/>
      <c r="D155" s="68"/>
      <c r="E155" s="68"/>
      <c r="F155" s="79">
        <f>'[11]FY22-23 Actual Sales'!S136</f>
        <v>0.3206</v>
      </c>
      <c r="G155" s="79">
        <v>0</v>
      </c>
      <c r="H155" s="60">
        <v>6</v>
      </c>
      <c r="I155" s="79">
        <v>3500</v>
      </c>
      <c r="J155" s="8"/>
      <c r="K155" s="53"/>
      <c r="L155" s="53"/>
      <c r="M155" s="53"/>
      <c r="N155" s="8"/>
      <c r="O155" s="24"/>
    </row>
    <row r="156" ht="15" spans="2:15">
      <c r="B156" s="74" t="s">
        <v>1121</v>
      </c>
      <c r="C156" s="55"/>
      <c r="D156" s="68"/>
      <c r="E156" s="68"/>
      <c r="F156" s="79">
        <f>'[11]FY22-23 Actual Sales'!S137</f>
        <v>0.3233</v>
      </c>
      <c r="G156" s="79">
        <v>0</v>
      </c>
      <c r="H156" s="60">
        <v>6</v>
      </c>
      <c r="I156" s="79">
        <v>3500</v>
      </c>
      <c r="J156" s="8"/>
      <c r="K156" s="53"/>
      <c r="L156" s="53"/>
      <c r="M156" s="53"/>
      <c r="N156" s="8"/>
      <c r="O156" s="24"/>
    </row>
    <row r="157" ht="15" spans="2:15">
      <c r="B157" s="74" t="s">
        <v>1122</v>
      </c>
      <c r="C157" s="55"/>
      <c r="D157" s="68"/>
      <c r="E157" s="68"/>
      <c r="F157" s="79">
        <f>'[11]FY22-23 Actual Sales'!S138</f>
        <v>0.4465</v>
      </c>
      <c r="G157" s="79">
        <v>0</v>
      </c>
      <c r="H157" s="60">
        <v>4</v>
      </c>
      <c r="I157" s="79">
        <v>3500</v>
      </c>
      <c r="J157" s="8"/>
      <c r="K157" s="53"/>
      <c r="L157" s="53"/>
      <c r="M157" s="53"/>
      <c r="N157" s="8"/>
      <c r="O157" s="24"/>
    </row>
    <row r="158" ht="15" spans="2:15">
      <c r="B158" s="71" t="s">
        <v>1126</v>
      </c>
      <c r="C158" s="55"/>
      <c r="D158" s="68"/>
      <c r="E158" s="68"/>
      <c r="F158" s="48">
        <f>SUM(F159:F162)</f>
        <v>0</v>
      </c>
      <c r="G158" s="68">
        <v>0</v>
      </c>
      <c r="H158" s="69">
        <v>0</v>
      </c>
      <c r="I158" s="68">
        <v>0</v>
      </c>
      <c r="J158" s="8"/>
      <c r="K158" s="48"/>
      <c r="L158" s="48"/>
      <c r="M158" s="48"/>
      <c r="N158" s="8"/>
      <c r="O158" s="24"/>
    </row>
    <row r="159" ht="15" spans="2:15">
      <c r="B159" s="76" t="s">
        <v>1119</v>
      </c>
      <c r="C159" s="55"/>
      <c r="D159" s="68">
        <f>'[11]FY22-23 Actual Sales'!D139</f>
        <v>0</v>
      </c>
      <c r="E159" s="68">
        <f>'[11]FY22-23 Actual Sales'!E139</f>
        <v>0</v>
      </c>
      <c r="F159" s="79">
        <f>'[11]FY22-23 Actual Sales'!S139</f>
        <v>0</v>
      </c>
      <c r="G159" s="79">
        <v>475</v>
      </c>
      <c r="H159" s="60">
        <v>7.85</v>
      </c>
      <c r="I159" s="79">
        <v>3500</v>
      </c>
      <c r="J159" s="8"/>
      <c r="K159" s="53"/>
      <c r="L159" s="53"/>
      <c r="M159" s="53"/>
      <c r="N159" s="8"/>
      <c r="O159" s="24"/>
    </row>
    <row r="160" spans="2:15">
      <c r="B160" s="76" t="s">
        <v>1120</v>
      </c>
      <c r="C160" s="55"/>
      <c r="D160" s="53"/>
      <c r="E160" s="53"/>
      <c r="F160" s="79">
        <f>'[11]FY22-23 Actual Sales'!S140</f>
        <v>0</v>
      </c>
      <c r="G160" s="79">
        <v>0</v>
      </c>
      <c r="H160" s="60">
        <v>8.85</v>
      </c>
      <c r="I160" s="79">
        <v>3500</v>
      </c>
      <c r="J160" s="8"/>
      <c r="K160" s="53"/>
      <c r="L160" s="53"/>
      <c r="M160" s="53"/>
      <c r="N160" s="8"/>
      <c r="O160" s="24"/>
    </row>
    <row r="161" spans="2:15">
      <c r="B161" s="76" t="s">
        <v>1121</v>
      </c>
      <c r="C161" s="55"/>
      <c r="D161" s="53"/>
      <c r="E161" s="53"/>
      <c r="F161" s="79">
        <f>'[11]FY22-23 Actual Sales'!S141</f>
        <v>0</v>
      </c>
      <c r="G161" s="79">
        <v>0</v>
      </c>
      <c r="H161" s="60">
        <v>8.85</v>
      </c>
      <c r="I161" s="79">
        <v>3500</v>
      </c>
      <c r="J161" s="8"/>
      <c r="K161" s="53"/>
      <c r="L161" s="53"/>
      <c r="M161" s="53"/>
      <c r="N161" s="8"/>
      <c r="O161" s="24"/>
    </row>
    <row r="162" spans="2:15">
      <c r="B162" s="76" t="s">
        <v>1122</v>
      </c>
      <c r="C162" s="55"/>
      <c r="D162" s="53"/>
      <c r="E162" s="53"/>
      <c r="F162" s="79">
        <f>'[11]FY22-23 Actual Sales'!S142</f>
        <v>0</v>
      </c>
      <c r="G162" s="79">
        <v>0</v>
      </c>
      <c r="H162" s="60">
        <v>6.85</v>
      </c>
      <c r="I162" s="79">
        <v>3500</v>
      </c>
      <c r="J162" s="8"/>
      <c r="K162" s="53"/>
      <c r="L162" s="53"/>
      <c r="M162" s="53"/>
      <c r="N162" s="8"/>
      <c r="O162" s="24"/>
    </row>
    <row r="163" ht="15" spans="2:15">
      <c r="B163" s="71" t="s">
        <v>1147</v>
      </c>
      <c r="C163" s="55"/>
      <c r="D163" s="68">
        <f>'[11]FY22-23 Actual Sales'!D143</f>
        <v>19</v>
      </c>
      <c r="E163" s="68">
        <f>'[11]FY22-23 Actual Sales'!E143</f>
        <v>43.975</v>
      </c>
      <c r="F163" s="48">
        <f>SUM(F164:F166)</f>
        <v>264.970225</v>
      </c>
      <c r="G163" s="68">
        <v>0</v>
      </c>
      <c r="H163" s="69">
        <v>0</v>
      </c>
      <c r="I163" s="68">
        <v>0</v>
      </c>
      <c r="J163" s="8"/>
      <c r="K163" s="48"/>
      <c r="L163" s="48"/>
      <c r="M163" s="48"/>
      <c r="N163" s="8"/>
      <c r="O163" s="24"/>
    </row>
    <row r="164" spans="2:15">
      <c r="B164" s="82" t="s">
        <v>1128</v>
      </c>
      <c r="C164" s="55"/>
      <c r="D164" s="79"/>
      <c r="E164" s="79"/>
      <c r="F164" s="51">
        <f>'[11]FY22-23 Actual Sales'!S143</f>
        <v>17.04318</v>
      </c>
      <c r="G164" s="79">
        <v>275</v>
      </c>
      <c r="H164" s="60">
        <v>6.3</v>
      </c>
      <c r="I164" s="79">
        <v>3500</v>
      </c>
      <c r="J164" s="8"/>
      <c r="K164" s="51"/>
      <c r="L164" s="51"/>
      <c r="M164" s="51"/>
      <c r="N164" s="8"/>
      <c r="O164" s="24"/>
    </row>
    <row r="165" ht="15" spans="2:15">
      <c r="B165" s="83" t="s">
        <v>1148</v>
      </c>
      <c r="C165" s="55"/>
      <c r="D165" s="68">
        <f>'[11]FY22-23 Actual Sales'!D144</f>
        <v>13</v>
      </c>
      <c r="E165" s="68">
        <f>'[11]FY22-23 Actual Sales'!E144</f>
        <v>43.75</v>
      </c>
      <c r="F165" s="48"/>
      <c r="G165" s="68">
        <v>0</v>
      </c>
      <c r="H165" s="69">
        <v>0</v>
      </c>
      <c r="I165" s="68">
        <v>0</v>
      </c>
      <c r="J165" s="8"/>
      <c r="K165" s="48"/>
      <c r="L165" s="48"/>
      <c r="M165" s="48"/>
      <c r="N165" s="8"/>
      <c r="O165" s="24"/>
    </row>
    <row r="166" spans="2:15">
      <c r="B166" s="74" t="s">
        <v>1149</v>
      </c>
      <c r="C166" s="55"/>
      <c r="D166" s="79"/>
      <c r="E166" s="79"/>
      <c r="F166" s="51">
        <f>'[11]FY22-23 Actual Sales'!S144</f>
        <v>247.927045</v>
      </c>
      <c r="G166" s="79">
        <v>0</v>
      </c>
      <c r="H166" s="60">
        <v>6.1</v>
      </c>
      <c r="I166" s="79">
        <v>3500</v>
      </c>
      <c r="J166" s="8"/>
      <c r="K166" s="51"/>
      <c r="L166" s="51"/>
      <c r="M166" s="51"/>
      <c r="N166" s="8"/>
      <c r="O166" s="24"/>
    </row>
    <row r="167" ht="15" spans="2:15">
      <c r="B167" s="77" t="s">
        <v>1150</v>
      </c>
      <c r="C167" s="55"/>
      <c r="D167" s="68"/>
      <c r="E167" s="68"/>
      <c r="F167" s="48"/>
      <c r="G167" s="68">
        <v>0</v>
      </c>
      <c r="H167" s="69">
        <v>0</v>
      </c>
      <c r="I167" s="68">
        <v>3500</v>
      </c>
      <c r="J167" s="8"/>
      <c r="K167" s="48"/>
      <c r="L167" s="48"/>
      <c r="M167" s="48"/>
      <c r="N167" s="8"/>
      <c r="O167" s="24"/>
    </row>
    <row r="168" ht="15" spans="2:15">
      <c r="B168" s="71" t="s">
        <v>1131</v>
      </c>
      <c r="C168" s="55"/>
      <c r="D168" s="68">
        <f>'[11]FY22-23 Actual Sales'!D147</f>
        <v>1</v>
      </c>
      <c r="E168" s="68">
        <f>'[11]FY22-23 Actual Sales'!E147</f>
        <v>4</v>
      </c>
      <c r="F168" s="48">
        <f>'[11]FY22-23 Actual Sales'!S147</f>
        <v>2.9508</v>
      </c>
      <c r="G168" s="68">
        <v>0</v>
      </c>
      <c r="H168" s="69">
        <v>0</v>
      </c>
      <c r="I168" s="68">
        <v>0</v>
      </c>
      <c r="J168" s="8"/>
      <c r="K168" s="48"/>
      <c r="L168" s="48"/>
      <c r="M168" s="48"/>
      <c r="N168" s="8"/>
      <c r="O168" s="24"/>
    </row>
    <row r="169" ht="15" spans="2:15">
      <c r="B169" s="71" t="s">
        <v>1132</v>
      </c>
      <c r="C169" s="55"/>
      <c r="D169" s="68"/>
      <c r="E169" s="68"/>
      <c r="F169" s="48"/>
      <c r="G169" s="68">
        <v>0</v>
      </c>
      <c r="H169" s="69">
        <v>0</v>
      </c>
      <c r="I169" s="68">
        <v>0</v>
      </c>
      <c r="J169" s="8"/>
      <c r="K169" s="48"/>
      <c r="L169" s="48"/>
      <c r="M169" s="48"/>
      <c r="N169" s="8"/>
      <c r="O169" s="24"/>
    </row>
    <row r="170" ht="15" spans="2:15">
      <c r="B170" s="71" t="s">
        <v>919</v>
      </c>
      <c r="C170" s="55"/>
      <c r="D170" s="68">
        <f>'[11]FY22-23 Actual Sales'!D145</f>
        <v>21</v>
      </c>
      <c r="E170" s="68">
        <f>'[11]FY22-23 Actual Sales'!E145</f>
        <v>61.705</v>
      </c>
      <c r="F170" s="48">
        <f>'[11]FY22-23 Actual Sales'!S145</f>
        <v>124.072753</v>
      </c>
      <c r="G170" s="68">
        <v>260</v>
      </c>
      <c r="H170" s="69">
        <v>7.3</v>
      </c>
      <c r="I170" s="68">
        <v>3500</v>
      </c>
      <c r="J170" s="8"/>
      <c r="K170" s="48"/>
      <c r="L170" s="48"/>
      <c r="M170" s="48"/>
      <c r="N170" s="8"/>
      <c r="O170" s="24"/>
    </row>
    <row r="171" ht="15" spans="2:15">
      <c r="B171" s="71" t="s">
        <v>1133</v>
      </c>
      <c r="C171" s="55"/>
      <c r="D171" s="68">
        <f>'[11]FY22-23 Actual Sales'!D146</f>
        <v>8</v>
      </c>
      <c r="E171" s="68">
        <f>'[11]FY22-23 Actual Sales'!E146</f>
        <v>20.802</v>
      </c>
      <c r="F171" s="48">
        <f>'[11]FY22-23 Actual Sales'!S146</f>
        <v>40.313566</v>
      </c>
      <c r="G171" s="68">
        <v>500</v>
      </c>
      <c r="H171" s="69">
        <v>11</v>
      </c>
      <c r="I171" s="68">
        <v>3500</v>
      </c>
      <c r="J171" s="8"/>
      <c r="K171" s="48"/>
      <c r="L171" s="48"/>
      <c r="M171" s="48"/>
      <c r="N171" s="8"/>
      <c r="O171" s="24"/>
    </row>
    <row r="172" ht="15" spans="2:15">
      <c r="B172" s="77" t="s">
        <v>1151</v>
      </c>
      <c r="C172" s="55"/>
      <c r="D172" s="78">
        <f>SUM(D129,D132,D136,D141,D146,D147,D153,D159,D163,D165,D167,D168,D169,D170,D171)</f>
        <v>606</v>
      </c>
      <c r="E172" s="78">
        <f>SUM(E129,E132,E136,E141,E146,E147,E153,E159,E163,E165,E167,E168,E169,E170,E171)</f>
        <v>1886.474</v>
      </c>
      <c r="F172" s="78">
        <f>SUM(F129:F135,F136,F141,F146,F147,F153,F158,F163,F168,F170,F171)</f>
        <v>7173.95627173</v>
      </c>
      <c r="G172" s="95"/>
      <c r="H172" s="95"/>
      <c r="I172" s="95"/>
      <c r="J172" s="95"/>
      <c r="K172" s="80"/>
      <c r="L172" s="80"/>
      <c r="M172" s="80"/>
      <c r="N172" s="78"/>
      <c r="O172" s="78"/>
    </row>
    <row r="173" spans="2:15">
      <c r="B173" s="55"/>
      <c r="C173" s="55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</row>
    <row r="174" spans="2:15">
      <c r="B174" s="71" t="s">
        <v>1152</v>
      </c>
      <c r="C174" s="55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</row>
    <row r="175" ht="15" spans="2:15">
      <c r="B175" s="71" t="s">
        <v>1137</v>
      </c>
      <c r="C175" s="55"/>
      <c r="D175" s="48">
        <f>'[11]FY22-23 Actual Sales'!D149</f>
        <v>38</v>
      </c>
      <c r="E175" s="48">
        <f>'[11]FY22-23 Actual Sales'!E149</f>
        <v>640.849</v>
      </c>
      <c r="F175" s="48"/>
      <c r="G175" s="68">
        <v>0</v>
      </c>
      <c r="H175" s="69">
        <v>0</v>
      </c>
      <c r="I175" s="68">
        <v>0</v>
      </c>
      <c r="J175" s="8"/>
      <c r="K175" s="48"/>
      <c r="L175" s="48"/>
      <c r="M175" s="48"/>
      <c r="N175" s="8"/>
      <c r="O175" s="24"/>
    </row>
    <row r="176" ht="15" spans="2:15">
      <c r="B176" s="74" t="s">
        <v>1105</v>
      </c>
      <c r="C176" s="55"/>
      <c r="D176" s="51"/>
      <c r="E176" s="51"/>
      <c r="F176" s="48">
        <f>'[11]FY22-23 Actual Sales'!S149</f>
        <v>1093.519026</v>
      </c>
      <c r="G176" s="79">
        <v>475</v>
      </c>
      <c r="H176" s="60">
        <v>6.65</v>
      </c>
      <c r="I176" s="79">
        <v>5000</v>
      </c>
      <c r="J176" s="8"/>
      <c r="K176" s="51"/>
      <c r="L176" s="51"/>
      <c r="M176" s="51"/>
      <c r="N176" s="8"/>
      <c r="O176" s="24"/>
    </row>
    <row r="177" ht="15" spans="2:15">
      <c r="B177" s="74" t="s">
        <v>1139</v>
      </c>
      <c r="C177" s="55"/>
      <c r="D177" s="53"/>
      <c r="E177" s="53"/>
      <c r="F177" s="48">
        <f>'[11]FY22-23 Actual Sales'!S150</f>
        <v>0</v>
      </c>
      <c r="G177" s="79">
        <v>0</v>
      </c>
      <c r="H177" s="60">
        <v>6.65</v>
      </c>
      <c r="I177" s="79">
        <v>5000</v>
      </c>
      <c r="J177" s="8"/>
      <c r="K177" s="53"/>
      <c r="L177" s="53"/>
      <c r="M177" s="53"/>
      <c r="N177" s="8"/>
      <c r="O177" s="24"/>
    </row>
    <row r="178" ht="15" spans="2:15">
      <c r="B178" s="74" t="s">
        <v>1140</v>
      </c>
      <c r="C178" s="55"/>
      <c r="D178" s="53"/>
      <c r="E178" s="53"/>
      <c r="F178" s="48">
        <f>'[11]FY22-23 Actual Sales'!S151</f>
        <v>0</v>
      </c>
      <c r="G178" s="79">
        <v>0</v>
      </c>
      <c r="H178" s="60">
        <v>7.3</v>
      </c>
      <c r="I178" s="79">
        <v>5000</v>
      </c>
      <c r="J178" s="8"/>
      <c r="K178" s="53"/>
      <c r="L178" s="53"/>
      <c r="M178" s="53"/>
      <c r="N178" s="8"/>
      <c r="O178" s="24"/>
    </row>
    <row r="179" ht="15" spans="2:15">
      <c r="B179" s="74" t="s">
        <v>1141</v>
      </c>
      <c r="C179" s="55"/>
      <c r="D179" s="53"/>
      <c r="E179" s="53"/>
      <c r="F179" s="48">
        <f>'[11]FY22-23 Actual Sales'!S152</f>
        <v>0</v>
      </c>
      <c r="G179" s="79">
        <v>475</v>
      </c>
      <c r="H179" s="60">
        <v>7.7</v>
      </c>
      <c r="I179" s="79">
        <v>5000</v>
      </c>
      <c r="J179" s="8"/>
      <c r="K179" s="53"/>
      <c r="L179" s="53"/>
      <c r="M179" s="53"/>
      <c r="N179" s="8"/>
      <c r="O179" s="24"/>
    </row>
    <row r="180" ht="15" spans="2:15">
      <c r="B180" s="76" t="s">
        <v>1120</v>
      </c>
      <c r="C180" s="55"/>
      <c r="D180" s="53"/>
      <c r="E180" s="53"/>
      <c r="F180" s="48">
        <f>'[11]FY22-23 Actual Sales'!S153</f>
        <v>529.315773</v>
      </c>
      <c r="G180" s="79">
        <v>0</v>
      </c>
      <c r="H180" s="60">
        <v>7.65</v>
      </c>
      <c r="I180" s="79">
        <v>5000</v>
      </c>
      <c r="J180" s="8"/>
      <c r="K180" s="53"/>
      <c r="L180" s="53"/>
      <c r="M180" s="53"/>
      <c r="N180" s="8"/>
      <c r="O180" s="24"/>
    </row>
    <row r="181" ht="15" spans="2:15">
      <c r="B181" s="76" t="s">
        <v>1121</v>
      </c>
      <c r="C181" s="55"/>
      <c r="D181" s="53"/>
      <c r="E181" s="53"/>
      <c r="F181" s="48">
        <f>'[11]FY22-23 Actual Sales'!S154</f>
        <v>475.6201</v>
      </c>
      <c r="G181" s="79">
        <v>0</v>
      </c>
      <c r="H181" s="60">
        <v>7.65</v>
      </c>
      <c r="I181" s="79">
        <v>5000</v>
      </c>
      <c r="J181" s="8"/>
      <c r="K181" s="53"/>
      <c r="L181" s="53"/>
      <c r="M181" s="53"/>
      <c r="N181" s="8"/>
      <c r="O181" s="24"/>
    </row>
    <row r="182" ht="15" spans="2:15">
      <c r="B182" s="76" t="s">
        <v>1122</v>
      </c>
      <c r="C182" s="55"/>
      <c r="D182" s="53"/>
      <c r="E182" s="53"/>
      <c r="F182" s="48">
        <f>'[11]FY22-23 Actual Sales'!S155</f>
        <v>1084.845934</v>
      </c>
      <c r="G182" s="79">
        <v>0</v>
      </c>
      <c r="H182" s="60">
        <v>5.65</v>
      </c>
      <c r="I182" s="79">
        <v>5000</v>
      </c>
      <c r="J182" s="8"/>
      <c r="K182" s="53"/>
      <c r="L182" s="53"/>
      <c r="M182" s="53"/>
      <c r="N182" s="8"/>
      <c r="O182" s="24"/>
    </row>
    <row r="183" ht="15" spans="2:15">
      <c r="B183" s="71" t="s">
        <v>1118</v>
      </c>
      <c r="C183" s="55"/>
      <c r="D183" s="87">
        <f>'[11]FY22-23 Actual Sales'!D156</f>
        <v>6</v>
      </c>
      <c r="E183" s="87">
        <f>'[11]FY22-23 Actual Sales'!E156</f>
        <v>143.2</v>
      </c>
      <c r="F183" s="48">
        <f>SUM(F184:F187)</f>
        <v>1127.774412</v>
      </c>
      <c r="G183" s="68">
        <v>0</v>
      </c>
      <c r="H183" s="69">
        <v>0</v>
      </c>
      <c r="I183" s="68">
        <v>20000</v>
      </c>
      <c r="J183" s="8"/>
      <c r="K183" s="48"/>
      <c r="L183" s="48"/>
      <c r="M183" s="48"/>
      <c r="N183" s="8"/>
      <c r="O183" s="24"/>
    </row>
    <row r="184" spans="2:15">
      <c r="B184" s="74" t="s">
        <v>1119</v>
      </c>
      <c r="C184" s="55"/>
      <c r="D184" s="86"/>
      <c r="E184" s="86"/>
      <c r="F184" s="107">
        <f>'[11]FY22-23 Actual Sales'!S156</f>
        <v>382.265744</v>
      </c>
      <c r="G184" s="108">
        <v>475</v>
      </c>
      <c r="H184" s="60">
        <v>6.65</v>
      </c>
      <c r="I184" s="79">
        <v>5000</v>
      </c>
      <c r="J184" s="8"/>
      <c r="K184" s="85"/>
      <c r="L184" s="85"/>
      <c r="M184" s="85"/>
      <c r="N184" s="8"/>
      <c r="O184" s="24"/>
    </row>
    <row r="185" spans="2:15">
      <c r="B185" s="74" t="s">
        <v>1120</v>
      </c>
      <c r="C185" s="55"/>
      <c r="D185" s="86"/>
      <c r="E185" s="86"/>
      <c r="F185" s="107">
        <f>'[11]FY22-23 Actual Sales'!S157</f>
        <v>186.793355</v>
      </c>
      <c r="G185" s="7">
        <v>0</v>
      </c>
      <c r="H185" s="60">
        <v>7.65</v>
      </c>
      <c r="I185" s="79">
        <v>5000</v>
      </c>
      <c r="J185" s="8"/>
      <c r="K185" s="86"/>
      <c r="L185" s="86"/>
      <c r="M185" s="86"/>
      <c r="N185" s="8"/>
      <c r="O185" s="24"/>
    </row>
    <row r="186" spans="2:15">
      <c r="B186" s="74" t="s">
        <v>1121</v>
      </c>
      <c r="C186" s="55"/>
      <c r="D186" s="86"/>
      <c r="E186" s="86"/>
      <c r="F186" s="107">
        <f>'[11]FY22-23 Actual Sales'!S158</f>
        <v>189.01194</v>
      </c>
      <c r="G186" s="7">
        <v>0</v>
      </c>
      <c r="H186" s="60">
        <v>7.65</v>
      </c>
      <c r="I186" s="79">
        <v>5000</v>
      </c>
      <c r="J186" s="8"/>
      <c r="K186" s="86"/>
      <c r="L186" s="86"/>
      <c r="M186" s="86"/>
      <c r="N186" s="8"/>
      <c r="O186" s="24"/>
    </row>
    <row r="187" spans="2:15">
      <c r="B187" s="74" t="s">
        <v>1122</v>
      </c>
      <c r="C187" s="55"/>
      <c r="D187" s="86"/>
      <c r="E187" s="86"/>
      <c r="F187" s="107">
        <f>'[11]FY22-23 Actual Sales'!S159</f>
        <v>369.703373</v>
      </c>
      <c r="G187" s="7">
        <v>0</v>
      </c>
      <c r="H187" s="60">
        <v>5.65</v>
      </c>
      <c r="I187" s="79">
        <v>5000</v>
      </c>
      <c r="J187" s="8"/>
      <c r="K187" s="86"/>
      <c r="L187" s="86"/>
      <c r="M187" s="86"/>
      <c r="N187" s="8"/>
      <c r="O187" s="24"/>
    </row>
    <row r="188" ht="15" spans="2:15">
      <c r="B188" s="71" t="s">
        <v>1153</v>
      </c>
      <c r="C188" s="55"/>
      <c r="D188" s="87">
        <f>'[11]FY22-23 Actual Sales'!D160</f>
        <v>2</v>
      </c>
      <c r="E188" s="87">
        <f>'[11]FY22-23 Actual Sales'!E160</f>
        <v>34.7</v>
      </c>
      <c r="F188" s="48">
        <f>'[11]FY22-23 Actual Sales'!$S$160</f>
        <v>209.4758</v>
      </c>
      <c r="G188" s="68">
        <v>475</v>
      </c>
      <c r="H188" s="69">
        <v>6.65</v>
      </c>
      <c r="I188" s="68">
        <v>5000</v>
      </c>
      <c r="J188" s="8"/>
      <c r="K188" s="48"/>
      <c r="L188" s="48"/>
      <c r="M188" s="48"/>
      <c r="N188" s="8"/>
      <c r="O188" s="24"/>
    </row>
    <row r="189" ht="15" spans="2:15">
      <c r="B189" s="71" t="s">
        <v>1154</v>
      </c>
      <c r="C189" s="55"/>
      <c r="D189" s="48">
        <f>'[11]FY22-23 Actual Sales'!D161</f>
        <v>4</v>
      </c>
      <c r="E189" s="48">
        <f>'[11]FY22-23 Actual Sales'!E161</f>
        <v>18.07</v>
      </c>
      <c r="F189" s="48">
        <f>SUM(F190:F193)</f>
        <v>46.242353</v>
      </c>
      <c r="G189" s="68">
        <v>0</v>
      </c>
      <c r="H189" s="69">
        <v>0</v>
      </c>
      <c r="I189" s="68">
        <v>0</v>
      </c>
      <c r="J189" s="8"/>
      <c r="K189" s="48"/>
      <c r="L189" s="48"/>
      <c r="M189" s="48"/>
      <c r="N189" s="8"/>
      <c r="O189" s="24"/>
    </row>
    <row r="190" spans="2:15">
      <c r="B190" s="76" t="s">
        <v>1119</v>
      </c>
      <c r="C190" s="55"/>
      <c r="D190" s="53"/>
      <c r="E190" s="53"/>
      <c r="F190" s="103">
        <f>'[11]FY22-23 Actual Sales'!S161</f>
        <v>21.851771</v>
      </c>
      <c r="G190" s="79">
        <v>475</v>
      </c>
      <c r="H190" s="60">
        <v>7.8</v>
      </c>
      <c r="I190" s="79">
        <v>5000</v>
      </c>
      <c r="J190" s="8"/>
      <c r="K190" s="53"/>
      <c r="L190" s="53"/>
      <c r="M190" s="53"/>
      <c r="N190" s="8"/>
      <c r="O190" s="24"/>
    </row>
    <row r="191" spans="2:15">
      <c r="B191" s="76" t="s">
        <v>1120</v>
      </c>
      <c r="C191" s="55"/>
      <c r="D191" s="53"/>
      <c r="E191" s="53"/>
      <c r="F191" s="103">
        <f>'[11]FY22-23 Actual Sales'!S162</f>
        <v>6.73037</v>
      </c>
      <c r="G191" s="79">
        <v>0</v>
      </c>
      <c r="H191" s="60">
        <v>8.8</v>
      </c>
      <c r="I191" s="79">
        <v>5000</v>
      </c>
      <c r="J191" s="8"/>
      <c r="K191" s="53"/>
      <c r="L191" s="53"/>
      <c r="M191" s="53"/>
      <c r="N191" s="8"/>
      <c r="O191" s="24"/>
    </row>
    <row r="192" spans="2:15">
      <c r="B192" s="76" t="s">
        <v>1121</v>
      </c>
      <c r="C192" s="55"/>
      <c r="D192" s="53"/>
      <c r="E192" s="53"/>
      <c r="F192" s="103">
        <f>'[11]FY22-23 Actual Sales'!S163</f>
        <v>7.18005</v>
      </c>
      <c r="G192" s="79">
        <v>0</v>
      </c>
      <c r="H192" s="60">
        <v>8.8</v>
      </c>
      <c r="I192" s="79">
        <v>5000</v>
      </c>
      <c r="J192" s="8"/>
      <c r="K192" s="53"/>
      <c r="L192" s="53"/>
      <c r="M192" s="53"/>
      <c r="N192" s="8"/>
      <c r="O192" s="24"/>
    </row>
    <row r="193" spans="2:15">
      <c r="B193" s="76" t="s">
        <v>1122</v>
      </c>
      <c r="C193" s="55"/>
      <c r="D193" s="53"/>
      <c r="E193" s="53"/>
      <c r="F193" s="103">
        <f>'[11]FY22-23 Actual Sales'!S164</f>
        <v>10.480162</v>
      </c>
      <c r="G193" s="79">
        <v>0</v>
      </c>
      <c r="H193" s="60">
        <v>6.8</v>
      </c>
      <c r="I193" s="79">
        <v>5000</v>
      </c>
      <c r="J193" s="8"/>
      <c r="K193" s="53"/>
      <c r="L193" s="53"/>
      <c r="M193" s="53"/>
      <c r="N193" s="8"/>
      <c r="O193" s="24"/>
    </row>
    <row r="194" ht="15" spans="2:15">
      <c r="B194" s="71" t="s">
        <v>1125</v>
      </c>
      <c r="C194" s="55"/>
      <c r="D194" s="48"/>
      <c r="E194" s="48"/>
      <c r="F194" s="48">
        <f>SUM(F195:F198)</f>
        <v>0</v>
      </c>
      <c r="G194" s="68">
        <v>0</v>
      </c>
      <c r="H194" s="69">
        <v>0</v>
      </c>
      <c r="I194" s="68">
        <v>0</v>
      </c>
      <c r="J194" s="8"/>
      <c r="K194" s="48"/>
      <c r="L194" s="48"/>
      <c r="M194" s="48"/>
      <c r="N194" s="8"/>
      <c r="O194" s="24"/>
    </row>
    <row r="195" spans="2:15">
      <c r="B195" s="74" t="s">
        <v>1119</v>
      </c>
      <c r="C195" s="55"/>
      <c r="D195" s="53"/>
      <c r="E195" s="53"/>
      <c r="F195" s="103">
        <f>'[11]FY22-23 Actual Sales'!S165</f>
        <v>0</v>
      </c>
      <c r="G195" s="79">
        <v>260</v>
      </c>
      <c r="H195" s="60">
        <v>5</v>
      </c>
      <c r="I195" s="79">
        <v>5000</v>
      </c>
      <c r="J195" s="8"/>
      <c r="K195" s="53"/>
      <c r="L195" s="53"/>
      <c r="M195" s="53"/>
      <c r="N195" s="8"/>
      <c r="O195" s="24"/>
    </row>
    <row r="196" spans="2:15">
      <c r="B196" s="74" t="s">
        <v>1120</v>
      </c>
      <c r="C196" s="55"/>
      <c r="D196" s="53"/>
      <c r="E196" s="53"/>
      <c r="F196" s="103">
        <f>'[11]FY22-23 Actual Sales'!S166</f>
        <v>0</v>
      </c>
      <c r="G196" s="79">
        <v>0</v>
      </c>
      <c r="H196" s="60">
        <v>6</v>
      </c>
      <c r="I196" s="79">
        <v>5000</v>
      </c>
      <c r="J196" s="8"/>
      <c r="K196" s="53"/>
      <c r="L196" s="53"/>
      <c r="M196" s="53"/>
      <c r="N196" s="8"/>
      <c r="O196" s="24"/>
    </row>
    <row r="197" spans="2:15">
      <c r="B197" s="74" t="s">
        <v>1121</v>
      </c>
      <c r="C197" s="55"/>
      <c r="D197" s="53"/>
      <c r="E197" s="53"/>
      <c r="F197" s="103">
        <f>'[11]FY22-23 Actual Sales'!S167</f>
        <v>0</v>
      </c>
      <c r="G197" s="79">
        <v>0</v>
      </c>
      <c r="H197" s="60">
        <v>6</v>
      </c>
      <c r="I197" s="79">
        <v>5000</v>
      </c>
      <c r="J197" s="8"/>
      <c r="K197" s="53"/>
      <c r="L197" s="53"/>
      <c r="M197" s="53"/>
      <c r="N197" s="8"/>
      <c r="O197" s="24"/>
    </row>
    <row r="198" spans="2:15">
      <c r="B198" s="74" t="s">
        <v>1122</v>
      </c>
      <c r="C198" s="55"/>
      <c r="D198" s="53"/>
      <c r="E198" s="53"/>
      <c r="F198" s="103">
        <f>'[11]FY22-23 Actual Sales'!S168</f>
        <v>0</v>
      </c>
      <c r="G198" s="79">
        <v>0</v>
      </c>
      <c r="H198" s="60">
        <v>4</v>
      </c>
      <c r="I198" s="79">
        <v>5000</v>
      </c>
      <c r="J198" s="8"/>
      <c r="K198" s="53"/>
      <c r="L198" s="53"/>
      <c r="M198" s="53"/>
      <c r="N198" s="8"/>
      <c r="O198" s="24"/>
    </row>
    <row r="199" ht="15" spans="2:15">
      <c r="B199" s="71" t="s">
        <v>1126</v>
      </c>
      <c r="C199" s="55"/>
      <c r="D199" s="48">
        <f>'[11]FY22-23 Actual Sales'!D169</f>
        <v>1</v>
      </c>
      <c r="E199" s="48">
        <f>'[11]FY22-23 Actual Sales'!E169</f>
        <v>15</v>
      </c>
      <c r="F199" s="48">
        <f>SUM(F200:F203)</f>
        <v>60.93195</v>
      </c>
      <c r="G199" s="68">
        <v>0</v>
      </c>
      <c r="H199" s="69">
        <v>0</v>
      </c>
      <c r="I199" s="68">
        <v>0</v>
      </c>
      <c r="J199" s="8"/>
      <c r="K199" s="48"/>
      <c r="L199" s="48"/>
      <c r="M199" s="48"/>
      <c r="N199" s="8"/>
      <c r="O199" s="24"/>
    </row>
    <row r="200" spans="2:15">
      <c r="B200" s="76" t="s">
        <v>1119</v>
      </c>
      <c r="C200" s="55"/>
      <c r="D200" s="53"/>
      <c r="E200" s="53"/>
      <c r="F200" s="53">
        <f>'[11]FY22-23 Actual Sales'!S169</f>
        <v>17.779627</v>
      </c>
      <c r="G200" s="79">
        <v>475</v>
      </c>
      <c r="H200" s="60">
        <v>7.45</v>
      </c>
      <c r="I200" s="79">
        <v>5000</v>
      </c>
      <c r="J200" s="8"/>
      <c r="K200" s="53"/>
      <c r="L200" s="53"/>
      <c r="M200" s="53"/>
      <c r="N200" s="8"/>
      <c r="O200" s="24"/>
    </row>
    <row r="201" spans="2:15">
      <c r="B201" s="76" t="s">
        <v>1120</v>
      </c>
      <c r="C201" s="55"/>
      <c r="D201" s="53"/>
      <c r="E201" s="53"/>
      <c r="F201" s="53">
        <f>'[11]FY22-23 Actual Sales'!S170</f>
        <v>12.677378</v>
      </c>
      <c r="G201" s="79">
        <v>0</v>
      </c>
      <c r="H201" s="60">
        <v>8.45</v>
      </c>
      <c r="I201" s="79">
        <v>5000</v>
      </c>
      <c r="J201" s="8"/>
      <c r="K201" s="53"/>
      <c r="L201" s="53"/>
      <c r="M201" s="53"/>
      <c r="N201" s="8"/>
      <c r="O201" s="24"/>
    </row>
    <row r="202" spans="2:15">
      <c r="B202" s="76" t="s">
        <v>1121</v>
      </c>
      <c r="C202" s="55"/>
      <c r="D202" s="53"/>
      <c r="E202" s="53"/>
      <c r="F202" s="53">
        <f>'[11]FY22-23 Actual Sales'!S171</f>
        <v>8.659968</v>
      </c>
      <c r="G202" s="79">
        <v>0</v>
      </c>
      <c r="H202" s="60">
        <v>8.45</v>
      </c>
      <c r="I202" s="79">
        <v>5000</v>
      </c>
      <c r="J202" s="8"/>
      <c r="K202" s="53"/>
      <c r="L202" s="53"/>
      <c r="M202" s="53"/>
      <c r="N202" s="8"/>
      <c r="O202" s="24"/>
    </row>
    <row r="203" spans="2:15">
      <c r="B203" s="76" t="s">
        <v>1122</v>
      </c>
      <c r="C203" s="55"/>
      <c r="D203" s="53"/>
      <c r="E203" s="53"/>
      <c r="F203" s="53">
        <f>'[11]FY22-23 Actual Sales'!S172</f>
        <v>21.814977</v>
      </c>
      <c r="G203" s="79">
        <v>0</v>
      </c>
      <c r="H203" s="60">
        <v>6.45</v>
      </c>
      <c r="I203" s="79">
        <v>5000</v>
      </c>
      <c r="J203" s="8"/>
      <c r="K203" s="53"/>
      <c r="L203" s="53"/>
      <c r="M203" s="53"/>
      <c r="N203" s="8"/>
      <c r="O203" s="24"/>
    </row>
    <row r="204" ht="15" spans="2:15">
      <c r="B204" s="71" t="s">
        <v>1155</v>
      </c>
      <c r="C204" s="55"/>
      <c r="D204" s="48">
        <f>D205+D206+D208+D209</f>
        <v>21</v>
      </c>
      <c r="E204" s="48">
        <f>E205+E206+E208+E209</f>
        <v>1719.1578</v>
      </c>
      <c r="F204" s="48">
        <f>F205+F206+F208+F209</f>
        <v>1902.73862187</v>
      </c>
      <c r="G204" s="68">
        <v>0</v>
      </c>
      <c r="H204" s="69">
        <v>0</v>
      </c>
      <c r="I204" s="68">
        <v>0</v>
      </c>
      <c r="J204" s="8"/>
      <c r="K204" s="48"/>
      <c r="L204" s="48"/>
      <c r="M204" s="48"/>
      <c r="N204" s="8"/>
      <c r="O204" s="24"/>
    </row>
    <row r="205" spans="2:15">
      <c r="B205" s="74" t="s">
        <v>1128</v>
      </c>
      <c r="C205" s="55"/>
      <c r="D205" s="53">
        <f>'[11]FY22-23 Actual Sales'!D173</f>
        <v>19</v>
      </c>
      <c r="E205" s="53">
        <f>'[11]FY22-23 Actual Sales'!E173</f>
        <v>1654.4078</v>
      </c>
      <c r="F205" s="53">
        <f>'[11]FY22-23 Actual Sales'!$S$173</f>
        <v>1642.35012187</v>
      </c>
      <c r="G205" s="79">
        <v>275</v>
      </c>
      <c r="H205" s="60">
        <v>6.3</v>
      </c>
      <c r="I205" s="79">
        <v>5000</v>
      </c>
      <c r="J205" s="8"/>
      <c r="K205" s="53"/>
      <c r="L205" s="53"/>
      <c r="M205" s="53"/>
      <c r="N205" s="8"/>
      <c r="O205" s="24"/>
    </row>
    <row r="206" spans="2:15">
      <c r="B206" s="74" t="s">
        <v>1156</v>
      </c>
      <c r="C206" s="55"/>
      <c r="D206" s="53"/>
      <c r="E206" s="53"/>
      <c r="F206" s="53"/>
      <c r="G206" s="79">
        <v>275</v>
      </c>
      <c r="H206" s="60">
        <v>6.3</v>
      </c>
      <c r="I206" s="79">
        <v>5000</v>
      </c>
      <c r="J206" s="8"/>
      <c r="K206" s="53"/>
      <c r="L206" s="53"/>
      <c r="M206" s="53"/>
      <c r="N206" s="8"/>
      <c r="O206" s="24"/>
    </row>
    <row r="207" ht="15" spans="2:15">
      <c r="B207" s="71" t="s">
        <v>1157</v>
      </c>
      <c r="C207" s="55"/>
      <c r="D207" s="87"/>
      <c r="E207" s="87"/>
      <c r="F207" s="48"/>
      <c r="G207" s="68">
        <v>0</v>
      </c>
      <c r="H207" s="69">
        <v>0</v>
      </c>
      <c r="I207" s="68">
        <v>0</v>
      </c>
      <c r="J207" s="8"/>
      <c r="K207" s="48"/>
      <c r="L207" s="48"/>
      <c r="M207" s="48"/>
      <c r="N207" s="8"/>
      <c r="O207" s="24"/>
    </row>
    <row r="208" spans="2:15">
      <c r="B208" s="74" t="s">
        <v>220</v>
      </c>
      <c r="C208" s="55"/>
      <c r="D208" s="86">
        <f>'[11]FY22-23 Actual Sales'!D174</f>
        <v>2</v>
      </c>
      <c r="E208" s="86">
        <f>'[11]FY22-23 Actual Sales'!E174</f>
        <v>64.75</v>
      </c>
      <c r="F208" s="53">
        <f>'[11]FY22-23 Actual Sales'!$S$174</f>
        <v>260.3885</v>
      </c>
      <c r="G208" s="79">
        <v>0</v>
      </c>
      <c r="H208" s="60">
        <v>6.1</v>
      </c>
      <c r="I208" s="79">
        <v>5000</v>
      </c>
      <c r="J208" s="8"/>
      <c r="K208" s="53"/>
      <c r="L208" s="53"/>
      <c r="M208" s="53"/>
      <c r="N208" s="8"/>
      <c r="O208" s="24"/>
    </row>
    <row r="209" ht="15" spans="2:15">
      <c r="B209" s="71" t="s">
        <v>1158</v>
      </c>
      <c r="C209" s="55"/>
      <c r="D209" s="87"/>
      <c r="E209" s="87"/>
      <c r="F209" s="87"/>
      <c r="G209" s="39">
        <v>0</v>
      </c>
      <c r="H209" s="69">
        <v>0</v>
      </c>
      <c r="I209" s="68">
        <v>0</v>
      </c>
      <c r="J209" s="8"/>
      <c r="K209" s="87"/>
      <c r="L209" s="87"/>
      <c r="M209" s="87"/>
      <c r="N209" s="8"/>
      <c r="O209" s="24"/>
    </row>
    <row r="210" ht="15" spans="2:15">
      <c r="B210" s="88" t="s">
        <v>1159</v>
      </c>
      <c r="C210" s="55"/>
      <c r="D210" s="48">
        <f>D211+D212+D213+D214</f>
        <v>15</v>
      </c>
      <c r="E210" s="48">
        <f>E211+E212+E213+E214</f>
        <v>142.75</v>
      </c>
      <c r="F210" s="48">
        <f>SUM(F211:F214)</f>
        <v>474.851466</v>
      </c>
      <c r="G210" s="68">
        <v>0</v>
      </c>
      <c r="H210" s="69">
        <v>0</v>
      </c>
      <c r="I210" s="68">
        <v>0</v>
      </c>
      <c r="J210" s="8"/>
      <c r="K210" s="48"/>
      <c r="L210" s="48"/>
      <c r="M210" s="48"/>
      <c r="N210" s="8"/>
      <c r="O210" s="24"/>
    </row>
    <row r="211" spans="2:15">
      <c r="B211" s="74" t="s">
        <v>1160</v>
      </c>
      <c r="C211" s="55"/>
      <c r="D211" s="53">
        <f>'[11]FY22-23 Actual Sales'!D175</f>
        <v>11</v>
      </c>
      <c r="E211" s="53">
        <f>'[11]FY22-23 Actual Sales'!E175</f>
        <v>121.5</v>
      </c>
      <c r="F211" s="53">
        <f>'[11]FY22-23 Actual Sales'!S175</f>
        <v>386.274181</v>
      </c>
      <c r="G211" s="79">
        <v>475</v>
      </c>
      <c r="H211" s="60">
        <v>5.05</v>
      </c>
      <c r="I211" s="79">
        <v>5000</v>
      </c>
      <c r="J211" s="8"/>
      <c r="K211" s="53"/>
      <c r="L211" s="53"/>
      <c r="M211" s="53"/>
      <c r="N211" s="8"/>
      <c r="O211" s="24"/>
    </row>
    <row r="212" spans="2:15">
      <c r="B212" s="74" t="s">
        <v>1161</v>
      </c>
      <c r="C212" s="55"/>
      <c r="D212" s="53"/>
      <c r="E212" s="53"/>
      <c r="F212" s="53"/>
      <c r="G212" s="79">
        <v>0</v>
      </c>
      <c r="H212" s="60">
        <v>0</v>
      </c>
      <c r="I212" s="79">
        <v>5000</v>
      </c>
      <c r="J212" s="8"/>
      <c r="K212" s="53"/>
      <c r="L212" s="53"/>
      <c r="M212" s="53"/>
      <c r="N212" s="8"/>
      <c r="O212" s="24"/>
    </row>
    <row r="213" spans="2:15">
      <c r="B213" s="74" t="s">
        <v>1162</v>
      </c>
      <c r="C213" s="55"/>
      <c r="D213" s="53">
        <f>'[11]FY22-23 Actual Sales'!D176</f>
        <v>4</v>
      </c>
      <c r="E213" s="53">
        <f>'[11]FY22-23 Actual Sales'!E176</f>
        <v>21.25</v>
      </c>
      <c r="F213" s="53">
        <f>'[11]FY22-23 Actual Sales'!S176</f>
        <v>88.577285</v>
      </c>
      <c r="G213" s="79">
        <v>475</v>
      </c>
      <c r="H213" s="60">
        <v>4.95</v>
      </c>
      <c r="I213" s="79">
        <v>5000</v>
      </c>
      <c r="J213" s="8"/>
      <c r="K213" s="53"/>
      <c r="L213" s="53"/>
      <c r="M213" s="53"/>
      <c r="N213" s="8"/>
      <c r="O213" s="24"/>
    </row>
    <row r="214" spans="2:15">
      <c r="B214" s="89" t="s">
        <v>1163</v>
      </c>
      <c r="C214" s="55"/>
      <c r="D214" s="53"/>
      <c r="E214" s="53"/>
      <c r="F214" s="53"/>
      <c r="G214" s="79">
        <v>475</v>
      </c>
      <c r="H214" s="60">
        <v>4.95</v>
      </c>
      <c r="I214" s="79">
        <v>5000</v>
      </c>
      <c r="J214" s="8"/>
      <c r="K214" s="53"/>
      <c r="L214" s="53"/>
      <c r="M214" s="53"/>
      <c r="N214" s="8"/>
      <c r="O214" s="24"/>
    </row>
    <row r="215" ht="15" spans="2:15">
      <c r="B215" s="71" t="s">
        <v>919</v>
      </c>
      <c r="C215" s="55"/>
      <c r="D215" s="48"/>
      <c r="E215" s="48"/>
      <c r="F215" s="48"/>
      <c r="G215" s="68">
        <v>260</v>
      </c>
      <c r="H215" s="69">
        <v>7.3</v>
      </c>
      <c r="I215" s="68">
        <v>5000</v>
      </c>
      <c r="J215" s="8"/>
      <c r="K215" s="48"/>
      <c r="L215" s="48"/>
      <c r="M215" s="48"/>
      <c r="N215" s="8"/>
      <c r="O215" s="24"/>
    </row>
    <row r="216" ht="15" spans="2:15">
      <c r="B216" s="71" t="s">
        <v>1133</v>
      </c>
      <c r="C216" s="55"/>
      <c r="D216" s="48"/>
      <c r="E216" s="48"/>
      <c r="F216" s="48"/>
      <c r="G216" s="68">
        <v>500</v>
      </c>
      <c r="H216" s="69">
        <v>10.8</v>
      </c>
      <c r="I216" s="68">
        <v>5000</v>
      </c>
      <c r="J216" s="8"/>
      <c r="K216" s="48"/>
      <c r="L216" s="48"/>
      <c r="M216" s="48"/>
      <c r="N216" s="8"/>
      <c r="O216" s="24"/>
    </row>
    <row r="217" ht="15" spans="2:15">
      <c r="B217" s="77" t="s">
        <v>1164</v>
      </c>
      <c r="C217" s="55"/>
      <c r="D217" s="78">
        <f>SUM(D175,D183,D188,D189,D199,D204,D210)</f>
        <v>87</v>
      </c>
      <c r="E217" s="78">
        <f>SUM(E175,E183,E188,E189,E199,E204,E210)</f>
        <v>2713.7268</v>
      </c>
      <c r="F217" s="78">
        <f>SUM(F176:F182,F183,F188,F189,F194,F199,F204,F210)</f>
        <v>7005.31543587</v>
      </c>
      <c r="G217" s="95"/>
      <c r="H217" s="95"/>
      <c r="I217" s="95"/>
      <c r="J217" s="95"/>
      <c r="K217" s="78"/>
      <c r="L217" s="78"/>
      <c r="M217" s="78"/>
      <c r="N217" s="78"/>
      <c r="O217" s="78"/>
    </row>
    <row r="218" spans="2:15">
      <c r="B218" s="77"/>
      <c r="C218" s="55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</row>
    <row r="219" ht="15" spans="2:15">
      <c r="B219" s="54" t="s">
        <v>1165</v>
      </c>
      <c r="C219" s="55"/>
      <c r="D219" s="78">
        <f>D124+D172+D217</f>
        <v>11510</v>
      </c>
      <c r="E219" s="78">
        <f>E124+E172+E217</f>
        <v>7542.54603</v>
      </c>
      <c r="F219" s="78">
        <f>F124+F172+F217</f>
        <v>20800.19306281</v>
      </c>
      <c r="G219" s="99"/>
      <c r="H219" s="99"/>
      <c r="I219" s="99"/>
      <c r="J219" s="99"/>
      <c r="K219" s="78">
        <f>K124+K172+K217</f>
        <v>0</v>
      </c>
      <c r="L219" s="78">
        <f>L124+L172+L217</f>
        <v>0</v>
      </c>
      <c r="M219" s="78">
        <f>M124+M172+M217</f>
        <v>0</v>
      </c>
      <c r="N219" s="78">
        <f>N124+N172+N217</f>
        <v>0</v>
      </c>
      <c r="O219" s="78">
        <f>O124+O172+O217</f>
        <v>0</v>
      </c>
    </row>
    <row r="220" ht="15" spans="2:15">
      <c r="B220" s="54" t="s">
        <v>1166</v>
      </c>
      <c r="C220" s="55"/>
      <c r="D220" s="78">
        <f>D69+D219</f>
        <v>10048068</v>
      </c>
      <c r="E220" s="78">
        <f>E69+E219</f>
        <v>28341.637379737</v>
      </c>
      <c r="F220" s="78">
        <f>F69+F219</f>
        <v>47550.7006990167</v>
      </c>
      <c r="G220" s="99"/>
      <c r="H220" s="99"/>
      <c r="I220" s="99"/>
      <c r="J220" s="99"/>
      <c r="K220" s="78">
        <f>K69+K219</f>
        <v>0</v>
      </c>
      <c r="L220" s="78">
        <f>L69+L219</f>
        <v>0</v>
      </c>
      <c r="M220" s="78">
        <f>M69+M219</f>
        <v>0</v>
      </c>
      <c r="N220" s="78">
        <f>N69+N219</f>
        <v>0</v>
      </c>
      <c r="O220" s="78">
        <f>O69+O219</f>
        <v>0</v>
      </c>
    </row>
    <row r="221" spans="2:3">
      <c r="B221" s="12"/>
      <c r="C221" s="12"/>
    </row>
    <row r="222" spans="2:3">
      <c r="B222" s="12"/>
      <c r="C222" s="12"/>
    </row>
    <row r="223" ht="15" spans="2:6">
      <c r="B223" s="12"/>
      <c r="C223" s="12"/>
      <c r="E223" s="11" t="s">
        <v>225</v>
      </c>
      <c r="F223" s="12"/>
    </row>
    <row r="224" spans="2:6">
      <c r="B224" s="12"/>
      <c r="C224" s="12"/>
      <c r="E224" s="13">
        <v>1</v>
      </c>
      <c r="F224" s="12" t="s">
        <v>226</v>
      </c>
    </row>
    <row r="225" spans="2:6">
      <c r="B225" s="12"/>
      <c r="C225" s="12"/>
      <c r="E225" s="13">
        <f>E224+1</f>
        <v>2</v>
      </c>
      <c r="F225" s="12" t="s">
        <v>233</v>
      </c>
    </row>
    <row r="226" spans="2:3">
      <c r="B226" s="12"/>
      <c r="C226" s="12"/>
    </row>
    <row r="227" spans="2:3">
      <c r="B227" s="12"/>
      <c r="C227" s="12"/>
    </row>
    <row r="228" spans="2:3">
      <c r="B228" s="12"/>
      <c r="C228" s="12"/>
    </row>
    <row r="229" spans="2:3">
      <c r="B229" s="12"/>
      <c r="C229" s="12"/>
    </row>
    <row r="230" spans="2:3">
      <c r="B230" s="12"/>
      <c r="C230" s="12"/>
    </row>
    <row r="231" spans="2:3">
      <c r="B231" s="12"/>
      <c r="C231" s="12"/>
    </row>
    <row r="232" spans="2:3">
      <c r="B232" s="12"/>
      <c r="C232" s="12"/>
    </row>
    <row r="233" spans="2:3">
      <c r="B233" s="12"/>
      <c r="C233" s="12"/>
    </row>
    <row r="234" spans="2:3">
      <c r="B234" s="12"/>
      <c r="C234" s="12"/>
    </row>
    <row r="235" spans="2:3">
      <c r="B235" s="12"/>
      <c r="C235" s="12"/>
    </row>
    <row r="236" spans="2:3">
      <c r="B236" s="12"/>
      <c r="C236" s="12"/>
    </row>
    <row r="237" spans="2:3">
      <c r="B237" s="12"/>
      <c r="C237" s="12"/>
    </row>
    <row r="238" spans="2:3">
      <c r="B238" s="12"/>
      <c r="C238" s="12"/>
    </row>
    <row r="239" spans="2:3">
      <c r="B239" s="12"/>
      <c r="C239" s="12"/>
    </row>
    <row r="240" spans="2:3">
      <c r="B240" s="12"/>
      <c r="C240" s="12"/>
    </row>
    <row r="241" spans="2:3">
      <c r="B241" s="12"/>
      <c r="C241" s="12"/>
    </row>
    <row r="242" spans="2:3">
      <c r="B242" s="12"/>
      <c r="C242" s="12"/>
    </row>
    <row r="243" spans="2:3">
      <c r="B243" s="12"/>
      <c r="C243" s="12"/>
    </row>
    <row r="244" spans="2:3">
      <c r="B244" s="12"/>
      <c r="C244" s="12"/>
    </row>
    <row r="245" spans="2:3">
      <c r="B245" s="12"/>
      <c r="C245" s="12"/>
    </row>
    <row r="246" spans="2:3">
      <c r="B246" s="12"/>
      <c r="C246" s="12"/>
    </row>
    <row r="247" spans="2:3">
      <c r="B247" s="12"/>
      <c r="C247" s="12"/>
    </row>
    <row r="248" spans="2:3">
      <c r="B248" s="12"/>
      <c r="C248" s="12"/>
    </row>
    <row r="249" spans="2:3">
      <c r="B249" s="12"/>
      <c r="C249" s="12"/>
    </row>
    <row r="250" spans="2:3">
      <c r="B250" s="12"/>
      <c r="C250" s="12"/>
    </row>
    <row r="251" spans="2:3">
      <c r="B251" s="12"/>
      <c r="C251" s="12"/>
    </row>
    <row r="252" spans="2:3">
      <c r="B252" s="12"/>
      <c r="C252" s="12"/>
    </row>
    <row r="253" spans="2:3">
      <c r="B253" s="12"/>
      <c r="C253" s="12"/>
    </row>
    <row r="254" spans="2:3">
      <c r="B254" s="12"/>
      <c r="C254" s="12"/>
    </row>
    <row r="255" spans="2:3">
      <c r="B255" s="12"/>
      <c r="C255" s="12"/>
    </row>
    <row r="256" spans="2:3">
      <c r="B256" s="12"/>
      <c r="C256" s="12"/>
    </row>
    <row r="257" spans="2:3">
      <c r="B257" s="12"/>
      <c r="C257" s="12"/>
    </row>
    <row r="258" spans="2:3">
      <c r="B258" s="12"/>
      <c r="C258" s="12"/>
    </row>
    <row r="259" spans="2:3">
      <c r="B259" s="12"/>
      <c r="C259" s="12"/>
    </row>
    <row r="260" spans="2:3">
      <c r="B260" s="12"/>
      <c r="C260" s="12"/>
    </row>
    <row r="261" spans="2:3">
      <c r="B261" s="12"/>
      <c r="C261" s="12"/>
    </row>
    <row r="262" spans="2:3">
      <c r="B262" s="12"/>
      <c r="C262" s="12"/>
    </row>
    <row r="263" spans="2:3">
      <c r="B263" s="12"/>
      <c r="C263" s="12"/>
    </row>
    <row r="264" spans="2:3">
      <c r="B264" s="12"/>
      <c r="C264" s="12"/>
    </row>
    <row r="265" spans="2:3">
      <c r="B265" s="12"/>
      <c r="C265" s="12"/>
    </row>
    <row r="266" spans="2:3">
      <c r="B266" s="12"/>
      <c r="C266" s="12"/>
    </row>
    <row r="267" spans="2:3">
      <c r="B267" s="12"/>
      <c r="C267" s="12"/>
    </row>
    <row r="268" spans="2:3">
      <c r="B268" s="12"/>
      <c r="C268" s="12"/>
    </row>
    <row r="269" spans="2:3">
      <c r="B269" s="12"/>
      <c r="C269" s="12"/>
    </row>
    <row r="270" spans="2:3">
      <c r="B270" s="12"/>
      <c r="C270" s="12"/>
    </row>
    <row r="271" spans="2:3">
      <c r="B271" s="12"/>
      <c r="C271" s="12"/>
    </row>
    <row r="272" spans="2:3">
      <c r="B272" s="12"/>
      <c r="C272" s="12"/>
    </row>
    <row r="273" spans="2:3">
      <c r="B273" s="12"/>
      <c r="C273" s="12"/>
    </row>
    <row r="274" spans="2:3">
      <c r="B274" s="12"/>
      <c r="C274" s="12"/>
    </row>
    <row r="275" spans="2:3">
      <c r="B275" s="12"/>
      <c r="C275" s="12"/>
    </row>
    <row r="276" spans="2:3">
      <c r="B276" s="12"/>
      <c r="C276" s="12"/>
    </row>
    <row r="277" spans="2:3">
      <c r="B277" s="12"/>
      <c r="C277" s="12"/>
    </row>
    <row r="278" spans="2:3">
      <c r="B278" s="12"/>
      <c r="C278" s="12"/>
    </row>
    <row r="279" spans="2:3">
      <c r="B279" s="12"/>
      <c r="C279" s="12"/>
    </row>
    <row r="280" spans="2:3">
      <c r="B280" s="12"/>
      <c r="C280" s="12"/>
    </row>
    <row r="281" spans="2:3">
      <c r="B281" s="12"/>
      <c r="C281" s="12"/>
    </row>
    <row r="282" spans="2:3">
      <c r="B282" s="12"/>
      <c r="C282" s="12"/>
    </row>
    <row r="283" spans="2:3">
      <c r="B283" s="12"/>
      <c r="C283" s="12"/>
    </row>
    <row r="284" spans="2:3">
      <c r="B284" s="12"/>
      <c r="C284" s="12"/>
    </row>
    <row r="285" spans="2:3">
      <c r="B285" s="12"/>
      <c r="C285" s="12"/>
    </row>
    <row r="286" spans="2:3">
      <c r="B286" s="12"/>
      <c r="C286" s="12"/>
    </row>
    <row r="287" spans="2:3">
      <c r="B287" s="12"/>
      <c r="C287" s="12"/>
    </row>
    <row r="288" spans="2:3">
      <c r="B288" s="12"/>
      <c r="C288" s="12"/>
    </row>
    <row r="289" spans="2:3">
      <c r="B289" s="12"/>
      <c r="C289" s="12"/>
    </row>
    <row r="290" spans="2:3">
      <c r="B290" s="12"/>
      <c r="C290" s="12"/>
    </row>
    <row r="291" spans="2:3">
      <c r="B291" s="12"/>
      <c r="C291" s="12"/>
    </row>
    <row r="292" spans="2:3">
      <c r="B292" s="12"/>
      <c r="C292" s="12"/>
    </row>
    <row r="293" spans="2:3">
      <c r="B293" s="12"/>
      <c r="C293" s="12"/>
    </row>
    <row r="294" spans="2:3">
      <c r="B294" s="12"/>
      <c r="C294" s="12"/>
    </row>
    <row r="295" spans="2:3">
      <c r="B295" s="12"/>
      <c r="C295" s="12"/>
    </row>
    <row r="296" spans="2:3">
      <c r="B296" s="12"/>
      <c r="C296" s="12"/>
    </row>
    <row r="297" spans="2:3">
      <c r="B297" s="12"/>
      <c r="C297" s="12"/>
    </row>
    <row r="298" spans="2:3">
      <c r="B298" s="12"/>
      <c r="C298" s="12"/>
    </row>
    <row r="299" spans="2:3">
      <c r="B299" s="12"/>
      <c r="C299" s="12"/>
    </row>
  </sheetData>
  <mergeCells count="11">
    <mergeCell ref="B2:P2"/>
    <mergeCell ref="G5:H5"/>
    <mergeCell ref="K5:O5"/>
    <mergeCell ref="B8:C8"/>
    <mergeCell ref="B71:C71"/>
    <mergeCell ref="D5:D6"/>
    <mergeCell ref="E5:E6"/>
    <mergeCell ref="F5:F6"/>
    <mergeCell ref="I5:I6"/>
    <mergeCell ref="J5:J6"/>
    <mergeCell ref="B5:C7"/>
  </mergeCells>
  <pageMargins left="0.7" right="0.7" top="0.75" bottom="0.75" header="0.3" footer="0.3"/>
  <pageSetup paperSize="1" orientation="portrait"/>
  <headerFooter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225"/>
  <sheetViews>
    <sheetView showGridLines="0" zoomScale="90" zoomScaleNormal="90" topLeftCell="A3" workbookViewId="0">
      <pane xSplit="3" ySplit="5" topLeftCell="H8" activePane="bottomRight" state="frozen"/>
      <selection/>
      <selection pane="topRight"/>
      <selection pane="bottomLeft"/>
      <selection pane="bottomRight" activeCell="L9" sqref="L9"/>
    </sheetView>
  </sheetViews>
  <sheetFormatPr defaultColWidth="9.14285714285714" defaultRowHeight="14.25"/>
  <cols>
    <col min="1" max="1" width="9.14285714285714" style="1"/>
    <col min="2" max="2" width="33" style="1" customWidth="1"/>
    <col min="3" max="3" width="38.5714285714286" style="1" customWidth="1"/>
    <col min="4" max="4" width="21" style="1" customWidth="1"/>
    <col min="5" max="5" width="16.8571428571429" style="1" customWidth="1"/>
    <col min="6" max="6" width="14" style="1" customWidth="1"/>
    <col min="7" max="7" width="25" style="1" customWidth="1"/>
    <col min="8" max="8" width="21.4285714285714" style="1" customWidth="1"/>
    <col min="9" max="9" width="17.5714285714286" style="1" customWidth="1"/>
    <col min="10" max="10" width="16.1428571428571" style="1" customWidth="1"/>
    <col min="11" max="11" width="25" style="1" customWidth="1"/>
    <col min="12" max="12" width="17.5714285714286" style="1" customWidth="1"/>
    <col min="13" max="13" width="20.4285714285714" style="1" customWidth="1"/>
    <col min="14" max="14" width="14.5714285714286" style="1" customWidth="1"/>
    <col min="15" max="15" width="17.4285714285714" style="1" customWidth="1"/>
    <col min="16" max="16384" width="9.14285714285714" style="1"/>
  </cols>
  <sheetData>
    <row r="2" ht="15" spans="2:16">
      <c r="B2" s="2" t="s">
        <v>156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9:9">
      <c r="I3" s="3" t="s">
        <v>1167</v>
      </c>
    </row>
    <row r="5" ht="15" spans="2:15">
      <c r="B5" s="36" t="s">
        <v>159</v>
      </c>
      <c r="C5" s="37"/>
      <c r="D5" s="90" t="s">
        <v>1086</v>
      </c>
      <c r="E5" s="90" t="s">
        <v>1087</v>
      </c>
      <c r="F5" s="38" t="s">
        <v>879</v>
      </c>
      <c r="G5" s="38" t="s">
        <v>1088</v>
      </c>
      <c r="H5" s="38"/>
      <c r="I5" s="90" t="s">
        <v>1089</v>
      </c>
      <c r="J5" s="92" t="s">
        <v>1090</v>
      </c>
      <c r="K5" s="38" t="s">
        <v>1091</v>
      </c>
      <c r="L5" s="38"/>
      <c r="M5" s="38"/>
      <c r="N5" s="38"/>
      <c r="O5" s="38"/>
    </row>
    <row r="6" ht="15" spans="2:15">
      <c r="B6" s="40"/>
      <c r="C6" s="41"/>
      <c r="D6" s="90"/>
      <c r="E6" s="90"/>
      <c r="F6" s="38"/>
      <c r="G6" s="38" t="s">
        <v>1092</v>
      </c>
      <c r="H6" s="38" t="s">
        <v>1093</v>
      </c>
      <c r="I6" s="90"/>
      <c r="J6" s="93"/>
      <c r="K6" s="38" t="s">
        <v>1092</v>
      </c>
      <c r="L6" s="38" t="s">
        <v>1093</v>
      </c>
      <c r="M6" s="38" t="s">
        <v>1089</v>
      </c>
      <c r="N6" s="38" t="s">
        <v>1090</v>
      </c>
      <c r="O6" s="38" t="s">
        <v>97</v>
      </c>
    </row>
    <row r="7" ht="15" spans="2:15">
      <c r="B7" s="42"/>
      <c r="C7" s="43"/>
      <c r="D7" s="39" t="s">
        <v>1094</v>
      </c>
      <c r="E7" s="39" t="s">
        <v>1095</v>
      </c>
      <c r="F7" s="39" t="s">
        <v>1096</v>
      </c>
      <c r="G7" s="39" t="s">
        <v>1097</v>
      </c>
      <c r="H7" s="39" t="s">
        <v>1098</v>
      </c>
      <c r="I7" s="39" t="s">
        <v>1097</v>
      </c>
      <c r="J7" s="38" t="s">
        <v>297</v>
      </c>
      <c r="K7" s="38" t="s">
        <v>550</v>
      </c>
      <c r="L7" s="38" t="s">
        <v>550</v>
      </c>
      <c r="M7" s="38" t="s">
        <v>550</v>
      </c>
      <c r="N7" s="38" t="s">
        <v>550</v>
      </c>
      <c r="O7" s="38" t="s">
        <v>550</v>
      </c>
    </row>
    <row r="8" ht="15" spans="2:15">
      <c r="B8" s="44" t="s">
        <v>890</v>
      </c>
      <c r="C8" s="45"/>
      <c r="J8" s="8"/>
      <c r="K8" s="8"/>
      <c r="L8" s="8"/>
      <c r="M8" s="8"/>
      <c r="N8" s="8"/>
      <c r="O8" s="8"/>
    </row>
    <row r="9" ht="15" spans="2:15">
      <c r="B9" s="46" t="s">
        <v>1000</v>
      </c>
      <c r="C9" s="47"/>
      <c r="D9" s="48">
        <f>'[10]Rev_SP-12me'!AJ10</f>
        <v>8309136</v>
      </c>
      <c r="E9" s="48">
        <f>'[10]Rev_SP-12me'!AL10</f>
        <v>12920</v>
      </c>
      <c r="F9" s="48">
        <f>'[10]Rev_SP-12me'!AQ10</f>
        <v>11109.32</v>
      </c>
      <c r="G9" s="79"/>
      <c r="H9" s="91"/>
      <c r="I9" s="79"/>
      <c r="J9" s="8"/>
      <c r="K9" s="48">
        <f>'[10]Rev_SP-12me'!AT10</f>
        <v>155.04</v>
      </c>
      <c r="L9" s="48">
        <f>'[10]Rev_SP-12me'!AU10</f>
        <v>5195.81179599001</v>
      </c>
      <c r="M9" s="48">
        <f>'[10]Rev_SP-12me'!AW10</f>
        <v>715.728977938821</v>
      </c>
      <c r="N9" s="49"/>
      <c r="O9" s="60">
        <f t="shared" ref="O9:O40" si="0">SUM(K9:N9)</f>
        <v>6066.58077392883</v>
      </c>
    </row>
    <row r="10" spans="2:15">
      <c r="B10" s="50" t="s">
        <v>1001</v>
      </c>
      <c r="C10" s="47"/>
      <c r="D10" s="51">
        <f>'[10]Rev_SP-12me'!AJ11</f>
        <v>4531836</v>
      </c>
      <c r="E10" s="51">
        <f>'[10]Rev_SP-12me'!AL11</f>
        <v>4841.16426945736</v>
      </c>
      <c r="F10" s="51">
        <f>'[10]Rev_SP-12me'!AQ11</f>
        <v>2492.02805980674</v>
      </c>
      <c r="G10" s="79"/>
      <c r="H10" s="91"/>
      <c r="I10" s="79"/>
      <c r="J10" s="8"/>
      <c r="K10" s="51">
        <f>'[10]Rev_SP-12me'!AT11</f>
        <v>58.0939712334883</v>
      </c>
      <c r="L10" s="51">
        <f>'[10]Rev_SP-12me'!AU11</f>
        <v>558.202623924158</v>
      </c>
      <c r="M10" s="51">
        <f>'[10]Rev_SP-12me'!AW11</f>
        <v>284.721250714718</v>
      </c>
      <c r="N10" s="49"/>
      <c r="O10" s="60">
        <f t="shared" si="0"/>
        <v>901.017845872364</v>
      </c>
    </row>
    <row r="11" spans="2:15">
      <c r="B11" s="52" t="s">
        <v>1002</v>
      </c>
      <c r="C11" s="47"/>
      <c r="D11" s="53">
        <f>'[10]Rev_SP-12me'!AJ12</f>
        <v>2447853</v>
      </c>
      <c r="E11" s="53">
        <f>'[10]Rev_SP-12me'!AL12</f>
        <v>2562.35803949017</v>
      </c>
      <c r="F11" s="53">
        <f>'[10]Rev_SP-12me'!AQ12</f>
        <v>1863.70499666027</v>
      </c>
      <c r="G11" s="79">
        <f>'[10]Rev_SP-12me'!O12</f>
        <v>10</v>
      </c>
      <c r="H11" s="60">
        <f>'[10]Rev_SP-12me'!P12</f>
        <v>1.95</v>
      </c>
      <c r="I11" s="79">
        <f>'[10]Rev_SP-12me'!AA12</f>
        <v>40</v>
      </c>
      <c r="J11" s="8"/>
      <c r="K11" s="53">
        <f>'[10]Rev_SP-12me'!AT12</f>
        <v>30.7482964738821</v>
      </c>
      <c r="L11" s="53">
        <f>'[10]Rev_SP-12me'!AU12</f>
        <v>363.422474348752</v>
      </c>
      <c r="M11" s="53">
        <f>'[10]Rev_SP-12me'!AW12</f>
        <v>114.35208850819</v>
      </c>
      <c r="N11" s="49"/>
      <c r="O11" s="60">
        <f t="shared" si="0"/>
        <v>508.522859330824</v>
      </c>
    </row>
    <row r="12" spans="2:15">
      <c r="B12" s="52" t="s">
        <v>1004</v>
      </c>
      <c r="C12" s="47"/>
      <c r="D12" s="53">
        <f>'[10]Rev_SP-12me'!AJ13</f>
        <v>2083983</v>
      </c>
      <c r="E12" s="53">
        <f>'[10]Rev_SP-12me'!AL13</f>
        <v>2278.80622996719</v>
      </c>
      <c r="F12" s="53">
        <f>'[10]Rev_SP-12me'!AQ13</f>
        <v>628.32306314647</v>
      </c>
      <c r="G12" s="79">
        <f>'[10]Rev_SP-12me'!O13</f>
        <v>10</v>
      </c>
      <c r="H12" s="60">
        <f>'[10]Rev_SP-12me'!P13</f>
        <v>3.1</v>
      </c>
      <c r="I12" s="79">
        <f>'[10]Rev_SP-12me'!AA13</f>
        <v>70</v>
      </c>
      <c r="J12" s="8"/>
      <c r="K12" s="53">
        <f>'[10]Rev_SP-12me'!AT13</f>
        <v>27.3456747596062</v>
      </c>
      <c r="L12" s="53">
        <f>'[10]Rev_SP-12me'!AU13</f>
        <v>194.780149575406</v>
      </c>
      <c r="M12" s="53">
        <f>'[10]Rev_SP-12me'!AW13</f>
        <v>170.369162206528</v>
      </c>
      <c r="N12" s="49"/>
      <c r="O12" s="60">
        <f t="shared" si="0"/>
        <v>392.49498654154</v>
      </c>
    </row>
    <row r="13" spans="2:15">
      <c r="B13" s="50" t="s">
        <v>1005</v>
      </c>
      <c r="C13" s="47"/>
      <c r="D13" s="51">
        <f>'[10]Rev_SP-12me'!AJ14</f>
        <v>2439619</v>
      </c>
      <c r="E13" s="51">
        <f>'[10]Rev_SP-12me'!AL14</f>
        <v>3981.35685802091</v>
      </c>
      <c r="F13" s="51">
        <f>'[10]Rev_SP-12me'!AQ14</f>
        <v>3825.08595019733</v>
      </c>
      <c r="G13" s="79"/>
      <c r="H13" s="60"/>
      <c r="I13" s="79"/>
      <c r="J13" s="8"/>
      <c r="K13" s="51">
        <f>'[10]Rev_SP-12me'!AT14</f>
        <v>47.7762822962509</v>
      </c>
      <c r="L13" s="51">
        <f>'[10]Rev_SP-12me'!AU14</f>
        <v>1458.00880922852</v>
      </c>
      <c r="M13" s="51">
        <f>'[10]Rev_SP-12me'!AW14</f>
        <v>256.426728885309</v>
      </c>
      <c r="N13" s="49"/>
      <c r="O13" s="60">
        <f t="shared" si="0"/>
        <v>1762.21182041008</v>
      </c>
    </row>
    <row r="14" spans="2:15">
      <c r="B14" s="52" t="s">
        <v>1006</v>
      </c>
      <c r="C14" s="47"/>
      <c r="D14" s="53">
        <f>'[10]Rev_SP-12me'!AJ15</f>
        <v>0</v>
      </c>
      <c r="E14" s="53">
        <f>'[10]Rev_SP-12me'!AL15</f>
        <v>0</v>
      </c>
      <c r="F14" s="53">
        <f>'[10]Rev_SP-12me'!AQ15</f>
        <v>2700.23176332995</v>
      </c>
      <c r="G14" s="79">
        <f>'[10]Rev_SP-12me'!O15</f>
        <v>10</v>
      </c>
      <c r="H14" s="60">
        <f>'[10]Rev_SP-12me'!P15</f>
        <v>3.4</v>
      </c>
      <c r="I14" s="79"/>
      <c r="J14" s="8"/>
      <c r="K14" s="53">
        <f>'[10]Rev_SP-12me'!AT15</f>
        <v>0</v>
      </c>
      <c r="L14" s="53">
        <f>'[10]Rev_SP-12me'!AU15</f>
        <v>918.078799532183</v>
      </c>
      <c r="M14" s="53">
        <f>'[10]Rev_SP-12me'!AW15</f>
        <v>0</v>
      </c>
      <c r="N14" s="49"/>
      <c r="O14" s="60">
        <f t="shared" si="0"/>
        <v>918.078799532183</v>
      </c>
    </row>
    <row r="15" spans="2:15">
      <c r="B15" s="52" t="s">
        <v>1007</v>
      </c>
      <c r="C15" s="47"/>
      <c r="D15" s="53">
        <f>'[10]Rev_SP-12me'!AJ16</f>
        <v>2439619</v>
      </c>
      <c r="E15" s="53">
        <f>'[10]Rev_SP-12me'!AL16</f>
        <v>3981.35685802091</v>
      </c>
      <c r="F15" s="53">
        <f>'[10]Rev_SP-12me'!AQ16</f>
        <v>1124.85418686738</v>
      </c>
      <c r="G15" s="79">
        <f>'[10]Rev_SP-12me'!O16</f>
        <v>10</v>
      </c>
      <c r="H15" s="60">
        <f>'[10]Rev_SP-12me'!P16</f>
        <v>4.8</v>
      </c>
      <c r="I15" s="79">
        <f>'[10]Rev_SP-12me'!AA16</f>
        <v>90</v>
      </c>
      <c r="J15" s="8"/>
      <c r="K15" s="53">
        <f>'[10]Rev_SP-12me'!AT16</f>
        <v>47.7762822962509</v>
      </c>
      <c r="L15" s="53">
        <f>'[10]Rev_SP-12me'!AU16</f>
        <v>539.93000969634</v>
      </c>
      <c r="M15" s="53">
        <f>'[10]Rev_SP-12me'!AW16</f>
        <v>256.426728885309</v>
      </c>
      <c r="N15" s="49"/>
      <c r="O15" s="60">
        <f t="shared" si="0"/>
        <v>844.1330208779</v>
      </c>
    </row>
    <row r="16" spans="2:15">
      <c r="B16" s="50" t="s">
        <v>1008</v>
      </c>
      <c r="C16" s="47"/>
      <c r="D16" s="51">
        <f>'[10]Rev_SP-12me'!AJ17</f>
        <v>1337681</v>
      </c>
      <c r="E16" s="51">
        <f>'[10]Rev_SP-12me'!AL17</f>
        <v>4097.47887252173</v>
      </c>
      <c r="F16" s="51">
        <f>'[10]Rev_SP-12me'!AQ17</f>
        <v>4792.20598999594</v>
      </c>
      <c r="G16" s="79"/>
      <c r="H16" s="60"/>
      <c r="I16" s="79"/>
      <c r="J16" s="8"/>
      <c r="K16" s="51">
        <f>'[10]Rev_SP-12me'!AT17</f>
        <v>49.1697464702608</v>
      </c>
      <c r="L16" s="51">
        <f>'[10]Rev_SP-12me'!AU17</f>
        <v>3179.60036283733</v>
      </c>
      <c r="M16" s="51">
        <f>'[10]Rev_SP-12me'!AW17</f>
        <v>174.580998338794</v>
      </c>
      <c r="N16" s="49"/>
      <c r="O16" s="60">
        <f t="shared" si="0"/>
        <v>3403.35110764638</v>
      </c>
    </row>
    <row r="17" spans="2:15">
      <c r="B17" s="52" t="s">
        <v>1009</v>
      </c>
      <c r="C17" s="47"/>
      <c r="D17" s="53">
        <f>'[10]Rev_SP-12me'!AJ18</f>
        <v>0</v>
      </c>
      <c r="E17" s="53">
        <f>'[10]Rev_SP-12me'!AL18</f>
        <v>0</v>
      </c>
      <c r="F17" s="53">
        <f>'[10]Rev_SP-12me'!AQ18</f>
        <v>2748.206488247</v>
      </c>
      <c r="G17" s="79">
        <f>'[10]Rev_SP-12me'!O18</f>
        <v>10</v>
      </c>
      <c r="H17" s="60">
        <f>'[10]Rev_SP-12me'!P18</f>
        <v>5.1</v>
      </c>
      <c r="I17" s="79"/>
      <c r="J17" s="8"/>
      <c r="K17" s="53">
        <f>'[10]Rev_SP-12me'!AT18</f>
        <v>0</v>
      </c>
      <c r="L17" s="53">
        <f>'[10]Rev_SP-12me'!AU18</f>
        <v>1401.58530900597</v>
      </c>
      <c r="M17" s="53">
        <f>'[10]Rev_SP-12me'!AW18</f>
        <v>0</v>
      </c>
      <c r="N17" s="49"/>
      <c r="O17" s="60">
        <f t="shared" si="0"/>
        <v>1401.58530900597</v>
      </c>
    </row>
    <row r="18" spans="2:15">
      <c r="B18" s="52" t="s">
        <v>1010</v>
      </c>
      <c r="C18" s="47"/>
      <c r="D18" s="53">
        <f>'[10]Rev_SP-12me'!AJ19</f>
        <v>825845</v>
      </c>
      <c r="E18" s="53">
        <f>'[10]Rev_SP-12me'!AL19</f>
        <v>2035.62338463807</v>
      </c>
      <c r="F18" s="53">
        <f>'[10]Rev_SP-12me'!AQ19</f>
        <v>883.956084710964</v>
      </c>
      <c r="G18" s="79">
        <f>'[10]Rev_SP-12me'!O19</f>
        <v>10</v>
      </c>
      <c r="H18" s="60">
        <f>'[10]Rev_SP-12me'!P19</f>
        <v>7.7</v>
      </c>
      <c r="I18" s="79">
        <f>'[10]Rev_SP-12me'!AA19</f>
        <v>100</v>
      </c>
      <c r="J18" s="8"/>
      <c r="K18" s="53">
        <f>'[10]Rev_SP-12me'!AT19</f>
        <v>24.4274806156568</v>
      </c>
      <c r="L18" s="53">
        <f>'[10]Rev_SP-12me'!AU19</f>
        <v>680.646185227442</v>
      </c>
      <c r="M18" s="53">
        <f>'[10]Rev_SP-12me'!AW19</f>
        <v>96.4489090378857</v>
      </c>
      <c r="N18" s="49"/>
      <c r="O18" s="60">
        <f t="shared" si="0"/>
        <v>801.522574880984</v>
      </c>
    </row>
    <row r="19" spans="2:15">
      <c r="B19" s="52" t="s">
        <v>1011</v>
      </c>
      <c r="C19" s="47"/>
      <c r="D19" s="53">
        <f>'[10]Rev_SP-12me'!AJ20</f>
        <v>275619</v>
      </c>
      <c r="E19" s="53">
        <f>'[10]Rev_SP-12me'!AL20</f>
        <v>871.523539925073</v>
      </c>
      <c r="F19" s="53">
        <f>'[10]Rev_SP-12me'!AQ20</f>
        <v>389.807814263622</v>
      </c>
      <c r="G19" s="79">
        <f>'[10]Rev_SP-12me'!O20</f>
        <v>10</v>
      </c>
      <c r="H19" s="60">
        <f>'[10]Rev_SP-12me'!P20</f>
        <v>9</v>
      </c>
      <c r="I19" s="79">
        <f>'[10]Rev_SP-12me'!AA20</f>
        <v>120</v>
      </c>
      <c r="J19" s="8"/>
      <c r="K19" s="53">
        <f>'[10]Rev_SP-12me'!AT20</f>
        <v>10.4582824791009</v>
      </c>
      <c r="L19" s="53">
        <f>'[10]Rev_SP-12me'!AU20</f>
        <v>350.82703283726</v>
      </c>
      <c r="M19" s="53">
        <f>'[10]Rev_SP-12me'!AW20</f>
        <v>38.6268394579317</v>
      </c>
      <c r="N19" s="49"/>
      <c r="O19" s="60">
        <f t="shared" si="0"/>
        <v>399.912154774293</v>
      </c>
    </row>
    <row r="20" spans="2:15">
      <c r="B20" s="52" t="s">
        <v>1012</v>
      </c>
      <c r="C20" s="47"/>
      <c r="D20" s="53">
        <f>'[10]Rev_SP-12me'!AJ21</f>
        <v>198415</v>
      </c>
      <c r="E20" s="53">
        <f>'[10]Rev_SP-12me'!AL21</f>
        <v>827.61209487966</v>
      </c>
      <c r="F20" s="53">
        <f>'[10]Rev_SP-12me'!AQ21</f>
        <v>473.875340153904</v>
      </c>
      <c r="G20" s="79">
        <f>'[10]Rev_SP-12me'!O21</f>
        <v>10</v>
      </c>
      <c r="H20" s="60">
        <f>'[10]Rev_SP-12me'!P21</f>
        <v>9.5</v>
      </c>
      <c r="I20" s="79">
        <f>'[10]Rev_SP-12me'!AA21</f>
        <v>140</v>
      </c>
      <c r="J20" s="8"/>
      <c r="K20" s="53">
        <f>'[10]Rev_SP-12me'!AT21</f>
        <v>9.93134513855592</v>
      </c>
      <c r="L20" s="53">
        <f>'[10]Rev_SP-12me'!AU21</f>
        <v>450.181573146209</v>
      </c>
      <c r="M20" s="53">
        <f>'[10]Rev_SP-12me'!AW21</f>
        <v>32.4415288600802</v>
      </c>
      <c r="N20" s="49"/>
      <c r="O20" s="60">
        <f t="shared" si="0"/>
        <v>492.554447144845</v>
      </c>
    </row>
    <row r="21" spans="2:15">
      <c r="B21" s="52" t="s">
        <v>1013</v>
      </c>
      <c r="C21" s="47"/>
      <c r="D21" s="53">
        <f>'[10]Rev_SP-12me'!AJ22</f>
        <v>37802</v>
      </c>
      <c r="E21" s="53">
        <f>'[10]Rev_SP-12me'!AL22</f>
        <v>362.719853078931</v>
      </c>
      <c r="F21" s="53">
        <f>'[10]Rev_SP-12me'!AQ22</f>
        <v>296.36026262045</v>
      </c>
      <c r="G21" s="79">
        <f>'[10]Rev_SP-12me'!O22</f>
        <v>10</v>
      </c>
      <c r="H21" s="60">
        <f>'[10]Rev_SP-12me'!P22</f>
        <v>10</v>
      </c>
      <c r="I21" s="79">
        <f>'[10]Rev_SP-12me'!AA22</f>
        <v>160</v>
      </c>
      <c r="J21" s="8"/>
      <c r="K21" s="53">
        <f>'[10]Rev_SP-12me'!AT22</f>
        <v>4.35263823694717</v>
      </c>
      <c r="L21" s="53">
        <f>'[10]Rev_SP-12me'!AU22</f>
        <v>296.36026262045</v>
      </c>
      <c r="M21" s="53">
        <f>'[10]Rev_SP-12me'!AW22</f>
        <v>7.0637209828966</v>
      </c>
      <c r="N21" s="49"/>
      <c r="O21" s="60">
        <f t="shared" si="0"/>
        <v>307.776621840294</v>
      </c>
    </row>
    <row r="22" ht="15" spans="2:15">
      <c r="B22" s="54" t="s">
        <v>1014</v>
      </c>
      <c r="C22" s="55"/>
      <c r="D22" s="48">
        <f>'[10]Rev_SP-12me'!AJ23</f>
        <v>1238732</v>
      </c>
      <c r="E22" s="48">
        <f>'[10]Rev_SP-12me'!AL23</f>
        <v>4240</v>
      </c>
      <c r="F22" s="48">
        <f>'[10]Rev_SP-12me'!AQ23</f>
        <v>3410.78</v>
      </c>
      <c r="G22" s="79"/>
      <c r="H22" s="60"/>
      <c r="I22" s="79"/>
      <c r="J22" s="8"/>
      <c r="K22" s="48">
        <f>'[10]Rev_SP-12me'!AT23</f>
        <v>343.825130439376</v>
      </c>
      <c r="L22" s="48">
        <f>'[10]Rev_SP-12me'!AU23</f>
        <v>3462.99295905309</v>
      </c>
      <c r="M22" s="48">
        <f>'[10]Rev_SP-12me'!AW23</f>
        <v>119.384742599093</v>
      </c>
      <c r="N22" s="49"/>
      <c r="O22" s="60">
        <f t="shared" si="0"/>
        <v>3926.20283209156</v>
      </c>
    </row>
    <row r="23" spans="2:15">
      <c r="B23" s="56" t="s">
        <v>1015</v>
      </c>
      <c r="C23" s="55"/>
      <c r="D23" s="51">
        <f>'[10]Rev_SP-12me'!AJ24</f>
        <v>571811</v>
      </c>
      <c r="E23" s="51">
        <f>'[10]Rev_SP-12me'!AL24</f>
        <v>1013.52178667271</v>
      </c>
      <c r="F23" s="51">
        <f>'[10]Rev_SP-12me'!AQ24</f>
        <v>99.3520991458572</v>
      </c>
      <c r="G23" s="79"/>
      <c r="H23" s="60"/>
      <c r="I23" s="79"/>
      <c r="J23" s="8"/>
      <c r="K23" s="51">
        <f>'[10]Rev_SP-12me'!AT24</f>
        <v>72.9735686404349</v>
      </c>
      <c r="L23" s="51">
        <f>'[10]Rev_SP-12me'!AU24</f>
        <v>69.5464694021</v>
      </c>
      <c r="M23" s="51">
        <f>'[10]Rev_SP-12me'!AW24</f>
        <v>33.2257464690419</v>
      </c>
      <c r="N23" s="49"/>
      <c r="O23" s="60">
        <f t="shared" si="0"/>
        <v>175.745784511577</v>
      </c>
    </row>
    <row r="24" spans="2:15">
      <c r="B24" s="57" t="s">
        <v>1002</v>
      </c>
      <c r="C24" s="55"/>
      <c r="D24" s="53">
        <f>'[10]Rev_SP-12me'!AJ25</f>
        <v>571811</v>
      </c>
      <c r="E24" s="53">
        <f>'[10]Rev_SP-12me'!AL25</f>
        <v>1013.52178667271</v>
      </c>
      <c r="F24" s="53">
        <f>'[10]Rev_SP-12me'!AQ25</f>
        <v>99.3520991458572</v>
      </c>
      <c r="G24" s="79">
        <f>'[10]Rev_SP-12me'!O25</f>
        <v>60</v>
      </c>
      <c r="H24" s="60">
        <f>'[10]Rev_SP-12me'!P25</f>
        <v>7</v>
      </c>
      <c r="I24" s="79">
        <f>'[10]Rev_SP-12me'!AA25</f>
        <v>50</v>
      </c>
      <c r="J24" s="8"/>
      <c r="K24" s="53">
        <f>'[10]Rev_SP-12me'!AT25</f>
        <v>72.9735686404349</v>
      </c>
      <c r="L24" s="53">
        <f>'[10]Rev_SP-12me'!AU25</f>
        <v>69.5464694021</v>
      </c>
      <c r="M24" s="53">
        <f>'[10]Rev_SP-12me'!AW25</f>
        <v>33.2257464690419</v>
      </c>
      <c r="N24" s="49"/>
      <c r="O24" s="60">
        <f t="shared" si="0"/>
        <v>175.745784511577</v>
      </c>
    </row>
    <row r="25" spans="2:15">
      <c r="B25" s="56" t="s">
        <v>1016</v>
      </c>
      <c r="C25" s="55"/>
      <c r="D25" s="51">
        <f>'[10]Rev_SP-12me'!AJ26</f>
        <v>650970</v>
      </c>
      <c r="E25" s="51">
        <f>'[10]Rev_SP-12me'!AL26</f>
        <v>3204.78930983204</v>
      </c>
      <c r="F25" s="51">
        <f>'[10]Rev_SP-12me'!AQ26</f>
        <v>3302.21707574396</v>
      </c>
      <c r="G25" s="79"/>
      <c r="H25" s="60"/>
      <c r="I25" s="79"/>
      <c r="J25" s="8"/>
      <c r="K25" s="51">
        <f>'[10]Rev_SP-12me'!AT26</f>
        <v>269.202302025892</v>
      </c>
      <c r="L25" s="51">
        <f>'[10]Rev_SP-12me'!AU26</f>
        <v>3384.85923095971</v>
      </c>
      <c r="M25" s="51">
        <f>'[10]Rev_SP-12me'!AW26</f>
        <v>84.9502541755017</v>
      </c>
      <c r="N25" s="49"/>
      <c r="O25" s="60">
        <f t="shared" si="0"/>
        <v>3739.0117871611</v>
      </c>
    </row>
    <row r="26" spans="2:15">
      <c r="B26" s="58" t="s">
        <v>1006</v>
      </c>
      <c r="C26" s="55"/>
      <c r="D26" s="53">
        <f>'[10]Rev_SP-12me'!AJ27</f>
        <v>206445</v>
      </c>
      <c r="E26" s="53">
        <f>'[10]Rev_SP-12me'!AL27</f>
        <v>358.570178296888</v>
      </c>
      <c r="F26" s="53">
        <f>'[10]Rev_SP-12me'!AQ27</f>
        <v>644.868811282196</v>
      </c>
      <c r="G26" s="79">
        <f>'[10]Rev_SP-12me'!O27</f>
        <v>70</v>
      </c>
      <c r="H26" s="60">
        <f>'[10]Rev_SP-12me'!P27</f>
        <v>8.5</v>
      </c>
      <c r="I26" s="79">
        <f>'[10]Rev_SP-12me'!AA27</f>
        <v>90</v>
      </c>
      <c r="J26" s="8"/>
      <c r="K26" s="53">
        <f>'[10]Rev_SP-12me'!AT27</f>
        <v>30.1198949769386</v>
      </c>
      <c r="L26" s="53">
        <f>'[10]Rev_SP-12me'!AU27</f>
        <v>548.138489589867</v>
      </c>
      <c r="M26" s="53">
        <f>'[10]Rev_SP-12me'!AW27</f>
        <v>21.5923104201256</v>
      </c>
      <c r="N26" s="49"/>
      <c r="O26" s="60">
        <f t="shared" si="0"/>
        <v>599.850694986931</v>
      </c>
    </row>
    <row r="27" spans="2:15">
      <c r="B27" s="58" t="s">
        <v>1017</v>
      </c>
      <c r="C27" s="55"/>
      <c r="D27" s="53">
        <f>'[10]Rev_SP-12me'!AJ28</f>
        <v>252600</v>
      </c>
      <c r="E27" s="53">
        <f>'[10]Rev_SP-12me'!AL28</f>
        <v>657.90534263401</v>
      </c>
      <c r="F27" s="53">
        <f>'[10]Rev_SP-12me'!AQ28</f>
        <v>606.948489546929</v>
      </c>
      <c r="G27" s="79">
        <f>'[10]Rev_SP-12me'!O28</f>
        <v>70</v>
      </c>
      <c r="H27" s="60">
        <f>'[10]Rev_SP-12me'!P28</f>
        <v>9.9</v>
      </c>
      <c r="I27" s="79">
        <f>'[10]Rev_SP-12me'!AA28</f>
        <v>105</v>
      </c>
      <c r="J27" s="8"/>
      <c r="K27" s="53">
        <f>'[10]Rev_SP-12me'!AT28</f>
        <v>55.2640487812568</v>
      </c>
      <c r="L27" s="53">
        <f>'[10]Rev_SP-12me'!AU28</f>
        <v>600.87900465146</v>
      </c>
      <c r="M27" s="53">
        <f>'[10]Rev_SP-12me'!AW28</f>
        <v>30.8229982843421</v>
      </c>
      <c r="N27" s="49"/>
      <c r="O27" s="60">
        <f t="shared" si="0"/>
        <v>686.966051717059</v>
      </c>
    </row>
    <row r="28" spans="2:15">
      <c r="B28" s="58" t="s">
        <v>1018</v>
      </c>
      <c r="C28" s="55"/>
      <c r="D28" s="53">
        <f>'[10]Rev_SP-12me'!AJ29</f>
        <v>67797</v>
      </c>
      <c r="E28" s="53">
        <f>'[10]Rev_SP-12me'!AL29</f>
        <v>312.8876478247</v>
      </c>
      <c r="F28" s="53">
        <f>'[10]Rev_SP-12me'!AQ29</f>
        <v>326.633594798886</v>
      </c>
      <c r="G28" s="79">
        <f>'[10]Rev_SP-12me'!O29</f>
        <v>70</v>
      </c>
      <c r="H28" s="60">
        <f>'[10]Rev_SP-12me'!P29</f>
        <v>10.4</v>
      </c>
      <c r="I28" s="79">
        <f>'[10]Rev_SP-12me'!AA29</f>
        <v>120</v>
      </c>
      <c r="J28" s="8"/>
      <c r="K28" s="53">
        <f>'[10]Rev_SP-12me'!AT29</f>
        <v>26.2825624172748</v>
      </c>
      <c r="L28" s="53">
        <f>'[10]Rev_SP-12me'!AU29</f>
        <v>339.698938590842</v>
      </c>
      <c r="M28" s="53">
        <f>'[10]Rev_SP-12me'!AW29</f>
        <v>9.45461741741225</v>
      </c>
      <c r="N28" s="49"/>
      <c r="O28" s="60">
        <f t="shared" si="0"/>
        <v>375.436118425529</v>
      </c>
    </row>
    <row r="29" spans="2:15">
      <c r="B29" s="58" t="s">
        <v>1019</v>
      </c>
      <c r="C29" s="55"/>
      <c r="D29" s="53">
        <f>'[10]Rev_SP-12me'!AJ30</f>
        <v>124128</v>
      </c>
      <c r="E29" s="53">
        <f>'[10]Rev_SP-12me'!AL30</f>
        <v>1875.42614107644</v>
      </c>
      <c r="F29" s="53">
        <f>'[10]Rev_SP-12me'!AQ30</f>
        <v>1723.76618011594</v>
      </c>
      <c r="G29" s="79">
        <f>'[10]Rev_SP-12me'!O30</f>
        <v>70</v>
      </c>
      <c r="H29" s="60">
        <f>'[10]Rev_SP-12me'!P30</f>
        <v>11</v>
      </c>
      <c r="I29" s="79">
        <f>'[10]Rev_SP-12me'!AA30</f>
        <v>160</v>
      </c>
      <c r="J29" s="8"/>
      <c r="K29" s="53">
        <f>'[10]Rev_SP-12me'!AT30</f>
        <v>157.535795850421</v>
      </c>
      <c r="L29" s="53">
        <f>'[10]Rev_SP-12me'!AU30</f>
        <v>1896.14279812754</v>
      </c>
      <c r="M29" s="53">
        <f>'[10]Rev_SP-12me'!AW30</f>
        <v>23.0803280536218</v>
      </c>
      <c r="N29" s="49"/>
      <c r="O29" s="60">
        <f t="shared" si="0"/>
        <v>2076.75892203158</v>
      </c>
    </row>
    <row r="30" spans="2:15">
      <c r="B30" s="56" t="s">
        <v>1020</v>
      </c>
      <c r="C30" s="55"/>
      <c r="D30" s="51">
        <f>'[10]Rev_SP-12me'!AJ31</f>
        <v>2386</v>
      </c>
      <c r="E30" s="51">
        <f>'[10]Rev_SP-12me'!AL31</f>
        <v>7.30489344929642</v>
      </c>
      <c r="F30" s="51">
        <f>'[10]Rev_SP-12me'!AQ31</f>
        <v>4.51304749649662</v>
      </c>
      <c r="G30" s="79">
        <f>'[10]Rev_SP-12me'!O31</f>
        <v>70</v>
      </c>
      <c r="H30" s="60">
        <f>'[10]Rev_SP-12me'!P31</f>
        <v>13</v>
      </c>
      <c r="I30" s="79">
        <f>'[10]Rev_SP-12me'!AA31</f>
        <v>160</v>
      </c>
      <c r="J30" s="8"/>
      <c r="K30" s="51">
        <f>'[10]Rev_SP-12me'!AT31</f>
        <v>0.613611049740899</v>
      </c>
      <c r="L30" s="51">
        <f>'[10]Rev_SP-12me'!AU31</f>
        <v>5.8669617454456</v>
      </c>
      <c r="M30" s="51">
        <f>'[10]Rev_SP-12me'!AW31</f>
        <v>0.443652219772667</v>
      </c>
      <c r="N30" s="49"/>
      <c r="O30" s="60">
        <f t="shared" si="0"/>
        <v>6.92422501495917</v>
      </c>
    </row>
    <row r="31" spans="2:15">
      <c r="B31" s="56" t="s">
        <v>1021</v>
      </c>
      <c r="C31" s="55"/>
      <c r="D31" s="51">
        <f>'[10]Rev_SP-12me'!AJ32</f>
        <v>13565</v>
      </c>
      <c r="E31" s="51">
        <f>'[10]Rev_SP-12me'!AL32</f>
        <v>14.3840100459541</v>
      </c>
      <c r="F31" s="51">
        <f>'[10]Rev_SP-12me'!AQ32</f>
        <v>4.6977776136899</v>
      </c>
      <c r="G31" s="79"/>
      <c r="H31" s="60"/>
      <c r="I31" s="79"/>
      <c r="J31" s="8"/>
      <c r="K31" s="51">
        <f>'[10]Rev_SP-12me'!AT32</f>
        <v>1.0356487233087</v>
      </c>
      <c r="L31" s="51">
        <f>'[10]Rev_SP-12me'!AU32</f>
        <v>2.72029694584036</v>
      </c>
      <c r="M31" s="51">
        <f>'[10]Rev_SP-12me'!AW32</f>
        <v>0.765089734776913</v>
      </c>
      <c r="N31" s="49"/>
      <c r="O31" s="60">
        <f t="shared" si="0"/>
        <v>4.52103540392597</v>
      </c>
    </row>
    <row r="32" spans="2:15">
      <c r="B32" s="58" t="s">
        <v>1002</v>
      </c>
      <c r="C32" s="55"/>
      <c r="D32" s="53">
        <f>'[10]Rev_SP-12me'!AJ33</f>
        <v>9975</v>
      </c>
      <c r="E32" s="53">
        <f>'[10]Rev_SP-12me'!AL33</f>
        <v>10.513363667707</v>
      </c>
      <c r="F32" s="53">
        <f>'[10]Rev_SP-12me'!AQ33</f>
        <v>3.20186274428528</v>
      </c>
      <c r="G32" s="79">
        <f>'[10]Rev_SP-12me'!O33</f>
        <v>60</v>
      </c>
      <c r="H32" s="60">
        <f>'[10]Rev_SP-12me'!P33</f>
        <v>5.3</v>
      </c>
      <c r="I32" s="79">
        <f>'[10]Rev_SP-12me'!AA33</f>
        <v>45</v>
      </c>
      <c r="J32" s="8"/>
      <c r="K32" s="53">
        <f>'[10]Rev_SP-12me'!AT33</f>
        <v>0.756962184074905</v>
      </c>
      <c r="L32" s="53">
        <f>'[10]Rev_SP-12me'!AU33</f>
        <v>1.6969872544712</v>
      </c>
      <c r="M32" s="53">
        <f>'[10]Rev_SP-12me'!AW33</f>
        <v>0.521648130109115</v>
      </c>
      <c r="N32" s="49"/>
      <c r="O32" s="60">
        <f t="shared" si="0"/>
        <v>2.97559756865522</v>
      </c>
    </row>
    <row r="33" spans="2:15">
      <c r="B33" s="58" t="s">
        <v>1022</v>
      </c>
      <c r="C33" s="55"/>
      <c r="D33" s="53">
        <f>'[10]Rev_SP-12me'!AJ34</f>
        <v>2387</v>
      </c>
      <c r="E33" s="53">
        <f>'[10]Rev_SP-12me'!AL34</f>
        <v>2.49512428630846</v>
      </c>
      <c r="F33" s="53">
        <f>'[10]Rev_SP-12me'!AQ34</f>
        <v>1.09584956315888</v>
      </c>
      <c r="G33" s="79">
        <f>'[10]Rev_SP-12me'!O34</f>
        <v>60</v>
      </c>
      <c r="H33" s="60">
        <f>'[10]Rev_SP-12me'!P34</f>
        <v>6.6</v>
      </c>
      <c r="I33" s="79">
        <f>'[10]Rev_SP-12me'!AA34</f>
        <v>55</v>
      </c>
      <c r="J33" s="8"/>
      <c r="K33" s="53">
        <f>'[10]Rev_SP-12me'!AT34</f>
        <v>0.179648948614209</v>
      </c>
      <c r="L33" s="53">
        <f>'[10]Rev_SP-12me'!AU34</f>
        <v>0.72326071168486</v>
      </c>
      <c r="M33" s="53">
        <f>'[10]Rev_SP-12me'!AW34</f>
        <v>0.152569367332498</v>
      </c>
      <c r="N33" s="49"/>
      <c r="O33" s="60">
        <f t="shared" si="0"/>
        <v>1.05547902763157</v>
      </c>
    </row>
    <row r="34" spans="2:15">
      <c r="B34" s="58" t="s">
        <v>1023</v>
      </c>
      <c r="C34" s="55"/>
      <c r="D34" s="53">
        <f>'[10]Rev_SP-12me'!AJ35</f>
        <v>1203</v>
      </c>
      <c r="E34" s="53">
        <f>'[10]Rev_SP-12me'!AL35</f>
        <v>1.37552209193867</v>
      </c>
      <c r="F34" s="53">
        <f>'[10]Rev_SP-12me'!AQ35</f>
        <v>0.400065306245742</v>
      </c>
      <c r="G34" s="79">
        <f>'[10]Rev_SP-12me'!O35</f>
        <v>60</v>
      </c>
      <c r="H34" s="60">
        <f>'[10]Rev_SP-12me'!P35</f>
        <v>7.5</v>
      </c>
      <c r="I34" s="79">
        <f>'[10]Rev_SP-12me'!AA35</f>
        <v>65</v>
      </c>
      <c r="J34" s="8"/>
      <c r="K34" s="53">
        <f>'[10]Rev_SP-12me'!AT35</f>
        <v>0.099037590619584</v>
      </c>
      <c r="L34" s="53">
        <f>'[10]Rev_SP-12me'!AU35</f>
        <v>0.300048979684306</v>
      </c>
      <c r="M34" s="53">
        <f>'[10]Rev_SP-12me'!AW35</f>
        <v>0.0908722373352989</v>
      </c>
      <c r="N34" s="49"/>
      <c r="O34" s="60">
        <f t="shared" si="0"/>
        <v>0.489958807639189</v>
      </c>
    </row>
    <row r="35" ht="15" spans="2:15">
      <c r="B35" s="54" t="s">
        <v>1024</v>
      </c>
      <c r="C35" s="55"/>
      <c r="D35" s="48">
        <f>'[10]Rev_SP-12me'!AJ36</f>
        <v>49847</v>
      </c>
      <c r="E35" s="48">
        <f>'[10]Rev_SP-12me'!AN36*0.7457/10^3</f>
        <v>1289.00022236926</v>
      </c>
      <c r="F35" s="48">
        <f>'[10]Rev_SP-12me'!AQ36</f>
        <v>1028.7</v>
      </c>
      <c r="G35" s="79"/>
      <c r="H35" s="60"/>
      <c r="I35" s="79"/>
      <c r="J35" s="8"/>
      <c r="K35" s="48">
        <f>'[10]Rev_SP-12me'!AT36</f>
        <v>154.742359604397</v>
      </c>
      <c r="L35" s="48">
        <f>'[10]Rev_SP-12me'!AU36</f>
        <v>789.189759046206</v>
      </c>
      <c r="M35" s="48">
        <f>'[10]Rev_SP-12me'!AW36</f>
        <v>21.03579005</v>
      </c>
      <c r="N35" s="49"/>
      <c r="O35" s="60">
        <f t="shared" si="0"/>
        <v>964.967908700603</v>
      </c>
    </row>
    <row r="36" spans="2:15">
      <c r="B36" s="58" t="s">
        <v>1025</v>
      </c>
      <c r="C36" s="55"/>
      <c r="D36" s="53">
        <f>'[10]Rev_SP-12me'!AJ37</f>
        <v>45803.0569747639</v>
      </c>
      <c r="E36" s="53">
        <f>'[10]Rev_SP-12me'!AN37*0.7457/10^3</f>
        <v>1237.44668434971</v>
      </c>
      <c r="F36" s="53">
        <f>'[10]Rev_SP-12me'!AQ37</f>
        <v>987.139414945795</v>
      </c>
      <c r="G36" s="79">
        <f>'[10]Rev_SP-12me'!O37</f>
        <v>75</v>
      </c>
      <c r="H36" s="60">
        <f>'[10]Rev_SP-12me'!P37</f>
        <v>7.7</v>
      </c>
      <c r="I36" s="79">
        <f>'[10]Rev_SP-12me'!AA37</f>
        <v>360.25</v>
      </c>
      <c r="J36" s="8"/>
      <c r="K36" s="53">
        <f>'[10]Rev_SP-12me'!AT37</f>
        <v>149.349874737124</v>
      </c>
      <c r="L36" s="53">
        <f>'[10]Rev_SP-12me'!AU37</f>
        <v>760.097349508262</v>
      </c>
      <c r="M36" s="53">
        <f>'[10]Rev_SP-12me'!AW37</f>
        <v>19.329217208043</v>
      </c>
      <c r="N36" s="49"/>
      <c r="O36" s="60">
        <f t="shared" si="0"/>
        <v>928.776441453429</v>
      </c>
    </row>
    <row r="37" spans="2:15">
      <c r="B37" s="58" t="s">
        <v>1026</v>
      </c>
      <c r="C37" s="55"/>
      <c r="D37" s="53">
        <f>'[10]Rev_SP-12me'!AJ38</f>
        <v>0</v>
      </c>
      <c r="E37" s="53">
        <f>'[10]Rev_SP-12me'!AN38*0.7457/10^3</f>
        <v>0</v>
      </c>
      <c r="F37" s="53">
        <f>'[10]Rev_SP-12me'!AQ38</f>
        <v>0</v>
      </c>
      <c r="G37" s="79">
        <f>'[10]Rev_SP-12me'!O38</f>
        <v>75</v>
      </c>
      <c r="H37" s="60">
        <f>'[10]Rev_SP-12me'!P38</f>
        <v>8.4</v>
      </c>
      <c r="I37" s="79">
        <f>'[10]Rev_SP-12me'!AA38</f>
        <v>360.25</v>
      </c>
      <c r="J37" s="8"/>
      <c r="K37" s="53">
        <f>'[10]Rev_SP-12me'!AT38</f>
        <v>0</v>
      </c>
      <c r="L37" s="53">
        <f>'[10]Rev_SP-12me'!AU38</f>
        <v>0</v>
      </c>
      <c r="M37" s="53">
        <f>'[10]Rev_SP-12me'!AW38</f>
        <v>0</v>
      </c>
      <c r="N37" s="49"/>
      <c r="O37" s="60">
        <f t="shared" si="0"/>
        <v>0</v>
      </c>
    </row>
    <row r="38" spans="2:15">
      <c r="B38" s="58" t="s">
        <v>1027</v>
      </c>
      <c r="C38" s="55"/>
      <c r="D38" s="53">
        <f>'[10]Rev_SP-12me'!AJ39</f>
        <v>0</v>
      </c>
      <c r="E38" s="53">
        <f>'[10]Rev_SP-12me'!AN39*0.7457/10^3</f>
        <v>0</v>
      </c>
      <c r="F38" s="53">
        <f>'[10]Rev_SP-12me'!AQ39</f>
        <v>0</v>
      </c>
      <c r="G38" s="79">
        <f>'[10]Rev_SP-12me'!O39</f>
        <v>36</v>
      </c>
      <c r="H38" s="60">
        <f>'[10]Rev_SP-12me'!P39</f>
        <v>6.2</v>
      </c>
      <c r="I38" s="79">
        <f>'[10]Rev_SP-12me'!AA39</f>
        <v>360.25</v>
      </c>
      <c r="J38" s="8"/>
      <c r="K38" s="53">
        <f>'[10]Rev_SP-12me'!AT39</f>
        <v>0</v>
      </c>
      <c r="L38" s="53">
        <f>'[10]Rev_SP-12me'!AU39</f>
        <v>0</v>
      </c>
      <c r="M38" s="53">
        <f>'[10]Rev_SP-12me'!AW39</f>
        <v>0</v>
      </c>
      <c r="N38" s="49"/>
      <c r="O38" s="60">
        <f t="shared" si="0"/>
        <v>0</v>
      </c>
    </row>
    <row r="39" spans="2:15">
      <c r="B39" s="58" t="s">
        <v>1028</v>
      </c>
      <c r="C39" s="55"/>
      <c r="D39" s="53">
        <f>'[10]Rev_SP-12me'!AJ40</f>
        <v>0</v>
      </c>
      <c r="E39" s="53">
        <f>'[10]Rev_SP-12me'!AN40*0.7457/10^3</f>
        <v>0</v>
      </c>
      <c r="F39" s="53">
        <f>'[10]Rev_SP-12me'!AQ40</f>
        <v>0</v>
      </c>
      <c r="G39" s="79">
        <f>'[10]Rev_SP-12me'!O40</f>
        <v>36</v>
      </c>
      <c r="H39" s="60">
        <f>'[10]Rev_SP-12me'!P40</f>
        <v>6.2</v>
      </c>
      <c r="I39" s="79">
        <f>'[10]Rev_SP-12me'!AA40</f>
        <v>360.25</v>
      </c>
      <c r="J39" s="8"/>
      <c r="K39" s="53">
        <f>'[10]Rev_SP-12me'!AT40</f>
        <v>0</v>
      </c>
      <c r="L39" s="53">
        <f>'[10]Rev_SP-12me'!AU40</f>
        <v>0</v>
      </c>
      <c r="M39" s="53">
        <f>'[10]Rev_SP-12me'!AW40</f>
        <v>0</v>
      </c>
      <c r="N39" s="49"/>
      <c r="O39" s="60">
        <f t="shared" si="0"/>
        <v>0</v>
      </c>
    </row>
    <row r="40" spans="2:15">
      <c r="B40" s="58" t="s">
        <v>1029</v>
      </c>
      <c r="C40" s="55"/>
      <c r="D40" s="53">
        <f>'[10]Rev_SP-12me'!AJ41</f>
        <v>4043.9430252361</v>
      </c>
      <c r="E40" s="53">
        <f>'[10]Rev_SP-12me'!AN41*0.7457/10^3</f>
        <v>51.5535380195492</v>
      </c>
      <c r="F40" s="53">
        <f>'[10]Rev_SP-12me'!AQ41</f>
        <v>41.5605850542054</v>
      </c>
      <c r="G40" s="79">
        <f>'[10]Rev_SP-12me'!O41</f>
        <v>65</v>
      </c>
      <c r="H40" s="60">
        <f>'[10]Rev_SP-12me'!P41</f>
        <v>7</v>
      </c>
      <c r="I40" s="79">
        <f>'[10]Rev_SP-12me'!AA41</f>
        <v>360.25</v>
      </c>
      <c r="J40" s="8"/>
      <c r="K40" s="53">
        <f>'[10]Rev_SP-12me'!AT41</f>
        <v>5.39248486727215</v>
      </c>
      <c r="L40" s="53">
        <f>'[10]Rev_SP-12me'!AU41</f>
        <v>29.0924095379438</v>
      </c>
      <c r="M40" s="53">
        <f>'[10]Rev_SP-12me'!AW41</f>
        <v>1.70657284195696</v>
      </c>
      <c r="N40" s="49"/>
      <c r="O40" s="60">
        <f t="shared" si="0"/>
        <v>36.1914672471729</v>
      </c>
    </row>
    <row r="41" spans="2:15">
      <c r="B41" s="58" t="s">
        <v>1030</v>
      </c>
      <c r="C41" s="55"/>
      <c r="D41" s="53">
        <f>'[10]Rev_SP-12me'!AJ42</f>
        <v>0</v>
      </c>
      <c r="E41" s="53">
        <f>'[10]Rev_SP-12me'!AN42*0.7457/10^3</f>
        <v>0</v>
      </c>
      <c r="F41" s="53">
        <f>'[10]Rev_SP-12me'!AQ42</f>
        <v>0</v>
      </c>
      <c r="G41" s="79">
        <f>'[10]Rev_SP-12me'!O42</f>
        <v>75</v>
      </c>
      <c r="H41" s="60">
        <f>'[10]Rev_SP-12me'!P42</f>
        <v>7.3</v>
      </c>
      <c r="I41" s="79">
        <f>'[10]Rev_SP-12me'!AA42</f>
        <v>360.25</v>
      </c>
      <c r="J41" s="8"/>
      <c r="K41" s="53">
        <f>'[10]Rev_SP-12me'!AT42</f>
        <v>0</v>
      </c>
      <c r="L41" s="53">
        <f>'[10]Rev_SP-12me'!AU42</f>
        <v>0</v>
      </c>
      <c r="M41" s="53">
        <f>'[10]Rev_SP-12me'!AW42</f>
        <v>0</v>
      </c>
      <c r="N41" s="49"/>
      <c r="O41" s="60">
        <f t="shared" ref="O41:O68" si="1">SUM(K41:N41)</f>
        <v>0</v>
      </c>
    </row>
    <row r="42" ht="15" spans="2:15">
      <c r="B42" s="54" t="s">
        <v>1031</v>
      </c>
      <c r="C42" s="55"/>
      <c r="D42" s="48">
        <f>'[10]Rev_SP-12me'!AJ43</f>
        <v>4866</v>
      </c>
      <c r="E42" s="48">
        <f>'[10]Rev_SP-12me'!AN43*0.7457/10^3</f>
        <v>16.000002760208</v>
      </c>
      <c r="F42" s="48">
        <f>'[10]Rev_SP-12me'!AQ43</f>
        <v>10.48</v>
      </c>
      <c r="G42" s="79"/>
      <c r="H42" s="60"/>
      <c r="I42" s="79"/>
      <c r="J42" s="8"/>
      <c r="K42" s="48">
        <f>'[10]Rev_SP-12me'!AT43</f>
        <v>0.51495248256</v>
      </c>
      <c r="L42" s="48">
        <f>'[10]Rev_SP-12me'!AU43</f>
        <v>4.192</v>
      </c>
      <c r="M42" s="48">
        <f>'[10]Rev_SP-12me'!AW43</f>
        <v>0.287571346470208</v>
      </c>
      <c r="N42" s="49"/>
      <c r="O42" s="60">
        <f t="shared" si="1"/>
        <v>4.99452382903021</v>
      </c>
    </row>
    <row r="43" spans="2:15">
      <c r="B43" s="58" t="s">
        <v>178</v>
      </c>
      <c r="C43" s="55"/>
      <c r="D43" s="53">
        <f>'[10]Rev_SP-12me'!AJ44</f>
        <v>4788</v>
      </c>
      <c r="E43" s="53">
        <f>'[10]Rev_SP-12me'!AN44*0.7457/10^3</f>
        <v>16.000002760208</v>
      </c>
      <c r="F43" s="53">
        <f>'[10]Rev_SP-12me'!AQ44</f>
        <v>10.4708555688175</v>
      </c>
      <c r="G43" s="79">
        <f>'[10]Rev_SP-12me'!O44</f>
        <v>20</v>
      </c>
      <c r="H43" s="60">
        <f>'[10]Rev_SP-12me'!P44</f>
        <v>4</v>
      </c>
      <c r="I43" s="79">
        <f>'[10]Rev_SP-12me'!AA44</f>
        <v>50</v>
      </c>
      <c r="J43" s="8"/>
      <c r="K43" s="53">
        <f>'[10]Rev_SP-12me'!AT44</f>
        <v>0.51495248256</v>
      </c>
      <c r="L43" s="53">
        <f>'[10]Rev_SP-12me'!AU44</f>
        <v>4.18834222752701</v>
      </c>
      <c r="M43" s="53">
        <f>'[10]Rev_SP-12me'!AW44</f>
        <v>0.282961694800526</v>
      </c>
      <c r="N43" s="49"/>
      <c r="O43" s="60">
        <f t="shared" si="1"/>
        <v>4.98625640488754</v>
      </c>
    </row>
    <row r="44" spans="2:15">
      <c r="B44" s="58" t="s">
        <v>1033</v>
      </c>
      <c r="C44" s="55"/>
      <c r="D44" s="53">
        <f>'[10]Rev_SP-12me'!AJ45</f>
        <v>78</v>
      </c>
      <c r="E44" s="53">
        <f>'[10]Rev_SP-12me'!AN45*0.7457/10^3</f>
        <v>0</v>
      </c>
      <c r="F44" s="53">
        <f>'[10]Rev_SP-12me'!AQ45</f>
        <v>0.00914443118248077</v>
      </c>
      <c r="G44" s="79">
        <f>'[10]Rev_SP-12me'!O45</f>
        <v>20</v>
      </c>
      <c r="H44" s="60">
        <f>'[10]Rev_SP-12me'!P45</f>
        <v>4</v>
      </c>
      <c r="I44" s="79">
        <f>'[10]Rev_SP-12me'!AA45</f>
        <v>50</v>
      </c>
      <c r="J44" s="8"/>
      <c r="K44" s="53">
        <f>'[10]Rev_SP-12me'!AT45</f>
        <v>0</v>
      </c>
      <c r="L44" s="53">
        <f>'[10]Rev_SP-12me'!AU45</f>
        <v>0.00365777247299231</v>
      </c>
      <c r="M44" s="53">
        <f>'[10]Rev_SP-12me'!AW45</f>
        <v>0.00460965166968275</v>
      </c>
      <c r="N44" s="49"/>
      <c r="O44" s="60">
        <f t="shared" si="1"/>
        <v>0.00826742414267506</v>
      </c>
    </row>
    <row r="45" ht="15" spans="2:15">
      <c r="B45" s="54" t="s">
        <v>1034</v>
      </c>
      <c r="C45" s="55"/>
      <c r="D45" s="48">
        <f>'[10]Rev_SP-12me'!AJ46</f>
        <v>1421589.06964707</v>
      </c>
      <c r="E45" s="48">
        <f>'[10]Rev_SP-12me'!AN46*0.7457/10^3</f>
        <v>6081.00104905155</v>
      </c>
      <c r="F45" s="48">
        <f>'[10]Rev_SP-12me'!AQ46</f>
        <v>12127.2243701067</v>
      </c>
      <c r="G45" s="79"/>
      <c r="H45" s="60"/>
      <c r="I45" s="79"/>
      <c r="J45" s="8"/>
      <c r="K45" s="48">
        <f>'[10]Rev_SP-12me'!AT46</f>
        <v>0.0473311198610199</v>
      </c>
      <c r="L45" s="48">
        <f>'[10]Rev_SP-12me'!AU46</f>
        <v>9.62380325</v>
      </c>
      <c r="M45" s="48">
        <f>'[10]Rev_SP-12me'!AW46</f>
        <v>50.1555072080802</v>
      </c>
      <c r="N45" s="49"/>
      <c r="O45" s="60">
        <f t="shared" si="1"/>
        <v>59.8266415779412</v>
      </c>
    </row>
    <row r="46" spans="2:15">
      <c r="B46" s="56" t="s">
        <v>1035</v>
      </c>
      <c r="C46" s="55"/>
      <c r="D46" s="51">
        <f>'[10]Rev_SP-12me'!AJ47</f>
        <v>1421274.37706827</v>
      </c>
      <c r="E46" s="51">
        <f>'[10]Rev_SP-12me'!AN47*0.7457/10^3</f>
        <v>6079.53043171487</v>
      </c>
      <c r="F46" s="51">
        <f>'[10]Rev_SP-12me'!AQ47</f>
        <v>12124.8693741067</v>
      </c>
      <c r="G46" s="79"/>
      <c r="H46" s="60"/>
      <c r="I46" s="79"/>
      <c r="J46" s="8"/>
      <c r="K46" s="51">
        <f>'[10]Rev_SP-12me'!AT47</f>
        <v>0</v>
      </c>
      <c r="L46" s="51">
        <f>'[10]Rev_SP-12me'!AU47</f>
        <v>8.68180485</v>
      </c>
      <c r="M46" s="51">
        <f>'[10]Rev_SP-12me'!AW47</f>
        <v>50.1444044455161</v>
      </c>
      <c r="N46" s="49"/>
      <c r="O46" s="60">
        <f t="shared" si="1"/>
        <v>58.8262092955161</v>
      </c>
    </row>
    <row r="47" spans="2:15">
      <c r="B47" s="58" t="s">
        <v>1036</v>
      </c>
      <c r="C47" s="55"/>
      <c r="D47" s="53">
        <f>'[10]Rev_SP-12me'!AJ48</f>
        <v>2183.91710885706</v>
      </c>
      <c r="E47" s="53">
        <f>'[10]Rev_SP-12me'!AN48*0.7457/10^3</f>
        <v>10.762404612689</v>
      </c>
      <c r="F47" s="53">
        <f>'[10]Rev_SP-12me'!AQ48</f>
        <v>34.7272194</v>
      </c>
      <c r="G47" s="79"/>
      <c r="H47" s="60">
        <f>'[10]Rev_SP-12me'!P48</f>
        <v>2.5</v>
      </c>
      <c r="I47" s="79">
        <f>'[10]Rev_SP-12me'!AA48</f>
        <v>30</v>
      </c>
      <c r="J47" s="8"/>
      <c r="K47" s="53">
        <f>'[10]Rev_SP-12me'!AT48</f>
        <v>0</v>
      </c>
      <c r="L47" s="53">
        <f>'[10]Rev_SP-12me'!AU48</f>
        <v>8.68180485</v>
      </c>
      <c r="M47" s="53">
        <f>'[10]Rev_SP-12me'!AW48</f>
        <v>0.0770514297231648</v>
      </c>
      <c r="N47" s="49"/>
      <c r="O47" s="60">
        <f t="shared" si="1"/>
        <v>8.75885627972317</v>
      </c>
    </row>
    <row r="48" spans="2:15">
      <c r="B48" s="56" t="s">
        <v>1038</v>
      </c>
      <c r="C48" s="55"/>
      <c r="D48" s="53">
        <f>'[10]Rev_SP-12me'!AJ49</f>
        <v>1419090.45995941</v>
      </c>
      <c r="E48" s="53">
        <f>'[10]Rev_SP-12me'!AN49*0.7457/10^3</f>
        <v>6068.76802710218</v>
      </c>
      <c r="F48" s="53">
        <f>'[10]Rev_SP-12me'!AQ49</f>
        <v>12090.1421547067</v>
      </c>
      <c r="G48" s="79"/>
      <c r="H48" s="60"/>
      <c r="I48" s="79"/>
      <c r="J48" s="8"/>
      <c r="K48" s="53">
        <f>'[10]Rev_SP-12me'!AT49</f>
        <v>0</v>
      </c>
      <c r="L48" s="53">
        <f>'[10]Rev_SP-12me'!AU49</f>
        <v>0</v>
      </c>
      <c r="M48" s="53">
        <f>'[10]Rev_SP-12me'!AW49</f>
        <v>0</v>
      </c>
      <c r="N48" s="49"/>
      <c r="O48" s="60">
        <f t="shared" si="1"/>
        <v>0</v>
      </c>
    </row>
    <row r="49" spans="2:15">
      <c r="B49" s="58" t="s">
        <v>1099</v>
      </c>
      <c r="C49" s="55"/>
      <c r="D49" s="53">
        <f>'[10]Rev_SP-12me'!AJ50</f>
        <v>1419090.45995941</v>
      </c>
      <c r="E49" s="53">
        <f>'[10]Rev_SP-12me'!AN50*0.7457/10^3</f>
        <v>6068.76802710218</v>
      </c>
      <c r="F49" s="53">
        <f>'[10]Rev_SP-12me'!AQ50</f>
        <v>12090.1421547067</v>
      </c>
      <c r="G49" s="79"/>
      <c r="H49" s="60"/>
      <c r="I49" s="79">
        <f>'[10]Rev_SP-12me'!AA50</f>
        <v>30</v>
      </c>
      <c r="J49" s="8"/>
      <c r="K49" s="53">
        <f>'[10]Rev_SP-12me'!AT50</f>
        <v>0</v>
      </c>
      <c r="L49" s="53">
        <f>'[10]Rev_SP-12me'!AU50</f>
        <v>0</v>
      </c>
      <c r="M49" s="53">
        <f>'[10]Rev_SP-12me'!AW50</f>
        <v>50.067353015793</v>
      </c>
      <c r="N49" s="49"/>
      <c r="O49" s="60">
        <f t="shared" si="1"/>
        <v>50.067353015793</v>
      </c>
    </row>
    <row r="50" spans="2:15">
      <c r="B50" s="58" t="s">
        <v>1100</v>
      </c>
      <c r="C50" s="55"/>
      <c r="D50" s="53">
        <f>'[10]Rev_SP-12me'!AJ51</f>
        <v>0</v>
      </c>
      <c r="E50" s="53">
        <f>'[10]Rev_SP-12me'!AN51*0.7457/10^3</f>
        <v>0</v>
      </c>
      <c r="F50" s="53">
        <f>'[10]Rev_SP-12me'!AQ51</f>
        <v>0</v>
      </c>
      <c r="G50" s="79"/>
      <c r="H50" s="60"/>
      <c r="I50" s="79">
        <f>'[10]Rev_SP-12me'!AA51</f>
        <v>30</v>
      </c>
      <c r="J50" s="8"/>
      <c r="K50" s="53">
        <f>'[10]Rev_SP-12me'!AT51</f>
        <v>0</v>
      </c>
      <c r="L50" s="53">
        <f>'[10]Rev_SP-12me'!AU51</f>
        <v>0</v>
      </c>
      <c r="M50" s="53">
        <f>'[10]Rev_SP-12me'!AW51</f>
        <v>0</v>
      </c>
      <c r="N50" s="49"/>
      <c r="O50" s="60">
        <f t="shared" si="1"/>
        <v>0</v>
      </c>
    </row>
    <row r="51" spans="2:15">
      <c r="B51" s="56" t="s">
        <v>1039</v>
      </c>
      <c r="C51" s="55"/>
      <c r="D51" s="51">
        <f>'[10]Rev_SP-12me'!AJ52</f>
        <v>314.692578793215</v>
      </c>
      <c r="E51" s="51">
        <f>'[10]Rev_SP-12me'!AN52*0.7457/10^3</f>
        <v>1.47061733668177</v>
      </c>
      <c r="F51" s="51">
        <f>'[10]Rev_SP-12me'!AQ52</f>
        <v>2.354996</v>
      </c>
      <c r="G51" s="79"/>
      <c r="H51" s="60"/>
      <c r="I51" s="79"/>
      <c r="J51" s="8"/>
      <c r="K51" s="51">
        <f>'[10]Rev_SP-12me'!AT52</f>
        <v>0.0473311198610199</v>
      </c>
      <c r="L51" s="51">
        <f>'[10]Rev_SP-12me'!AU52</f>
        <v>0.9419984</v>
      </c>
      <c r="M51" s="51">
        <f>'[10]Rev_SP-12me'!AW52</f>
        <v>0.0111027625640868</v>
      </c>
      <c r="N51" s="49"/>
      <c r="O51" s="60">
        <f t="shared" si="1"/>
        <v>1.00043228242511</v>
      </c>
    </row>
    <row r="52" spans="2:15">
      <c r="B52" s="58" t="s">
        <v>1040</v>
      </c>
      <c r="C52" s="55"/>
      <c r="D52" s="53">
        <f>'[10]Rev_SP-12me'!AJ53</f>
        <v>314.692578793215</v>
      </c>
      <c r="E52" s="53">
        <f>'[10]Rev_SP-12me'!AN53*0.7457/10^3</f>
        <v>1.47061733668177</v>
      </c>
      <c r="F52" s="53">
        <f>'[10]Rev_SP-12me'!AQ53</f>
        <v>2.354996</v>
      </c>
      <c r="G52" s="79">
        <f>'[10]Rev_SP-12me'!O53</f>
        <v>20</v>
      </c>
      <c r="H52" s="60">
        <f>'[10]Rev_SP-12me'!P53</f>
        <v>4</v>
      </c>
      <c r="I52" s="79">
        <f>'[10]Rev_SP-12me'!AA53</f>
        <v>30</v>
      </c>
      <c r="J52" s="8"/>
      <c r="K52" s="53">
        <f>'[10]Rev_SP-12me'!AT53</f>
        <v>0.0473311198610199</v>
      </c>
      <c r="L52" s="53">
        <f>'[10]Rev_SP-12me'!AU53</f>
        <v>0.9419984</v>
      </c>
      <c r="M52" s="53">
        <f>'[10]Rev_SP-12me'!AW53</f>
        <v>0.0111027625640868</v>
      </c>
      <c r="N52" s="49"/>
      <c r="O52" s="60">
        <f t="shared" si="1"/>
        <v>1.00043228242511</v>
      </c>
    </row>
    <row r="53" ht="15" spans="2:15">
      <c r="B53" s="54" t="s">
        <v>1042</v>
      </c>
      <c r="C53" s="55"/>
      <c r="D53" s="48">
        <f>'[10]Rev_SP-12me'!AJ54</f>
        <v>81362.3767917837</v>
      </c>
      <c r="E53" s="48">
        <f>'[10]Rev_SP-12me'!AL54</f>
        <v>200.052230407724</v>
      </c>
      <c r="F53" s="48">
        <f>'[10]Rev_SP-12me'!AQ54</f>
        <v>250.249341207125</v>
      </c>
      <c r="G53" s="79"/>
      <c r="H53" s="60"/>
      <c r="I53" s="79"/>
      <c r="J53" s="8"/>
      <c r="K53" s="48">
        <f>'[10]Rev_SP-12me'!AT54</f>
        <v>7.68200564765661</v>
      </c>
      <c r="L53" s="48">
        <f>'[10]Rev_SP-12me'!AU54</f>
        <v>192.616496550317</v>
      </c>
      <c r="M53" s="48">
        <f>'[10]Rev_SP-12me'!AW54</f>
        <v>11.4372255375879</v>
      </c>
      <c r="N53" s="49"/>
      <c r="O53" s="60">
        <f t="shared" si="1"/>
        <v>211.735727735562</v>
      </c>
    </row>
    <row r="54" spans="2:15">
      <c r="B54" s="58" t="s">
        <v>1043</v>
      </c>
      <c r="C54" s="55"/>
      <c r="D54" s="53">
        <f>'[10]Rev_SP-12me'!AJ55</f>
        <v>37769.4829688193</v>
      </c>
      <c r="E54" s="53">
        <f>'[10]Rev_SP-12me'!AL55</f>
        <v>72.3378310620829</v>
      </c>
      <c r="F54" s="53">
        <f>'[10]Rev_SP-12me'!AQ55</f>
        <v>76.8083636342387</v>
      </c>
      <c r="G54" s="79">
        <f>'[10]Rev_SP-12me'!O55</f>
        <v>32</v>
      </c>
      <c r="H54" s="60">
        <f>'[10]Rev_SP-12me'!P55</f>
        <v>7.1</v>
      </c>
      <c r="I54" s="79">
        <f>'[10]Rev_SP-12me'!AA55</f>
        <v>120</v>
      </c>
      <c r="J54" s="8"/>
      <c r="K54" s="53">
        <f>'[10]Rev_SP-12me'!AT55</f>
        <v>2.77777271278398</v>
      </c>
      <c r="L54" s="53">
        <f>'[10]Rev_SP-12me'!AU55</f>
        <v>54.5339381803095</v>
      </c>
      <c r="M54" s="53">
        <f>'[10]Rev_SP-12me'!AW55</f>
        <v>5.30931017733116</v>
      </c>
      <c r="N54" s="49"/>
      <c r="O54" s="60">
        <f t="shared" si="1"/>
        <v>62.6210210704246</v>
      </c>
    </row>
    <row r="55" spans="2:15">
      <c r="B55" s="58" t="s">
        <v>1044</v>
      </c>
      <c r="C55" s="55"/>
      <c r="D55" s="53">
        <f>'[10]Rev_SP-12me'!AJ56</f>
        <v>12523.3100894045</v>
      </c>
      <c r="E55" s="53">
        <f>'[10]Rev_SP-12me'!AL56</f>
        <v>35.007723596682</v>
      </c>
      <c r="F55" s="53">
        <f>'[10]Rev_SP-12me'!AQ56</f>
        <v>48.0926692806154</v>
      </c>
      <c r="G55" s="79">
        <f>'[10]Rev_SP-12me'!O56</f>
        <v>32</v>
      </c>
      <c r="H55" s="60">
        <f>'[10]Rev_SP-12me'!P56</f>
        <v>7.6</v>
      </c>
      <c r="I55" s="79">
        <f>'[10]Rev_SP-12me'!AA56</f>
        <v>120</v>
      </c>
      <c r="J55" s="8"/>
      <c r="K55" s="53">
        <f>'[10]Rev_SP-12me'!AT56</f>
        <v>1.34429658611259</v>
      </c>
      <c r="L55" s="53">
        <f>'[10]Rev_SP-12me'!AU56</f>
        <v>36.5504286532677</v>
      </c>
      <c r="M55" s="53">
        <f>'[10]Rev_SP-12me'!AW56</f>
        <v>1.76041958971057</v>
      </c>
      <c r="N55" s="49"/>
      <c r="O55" s="60">
        <f t="shared" si="1"/>
        <v>39.6551448290909</v>
      </c>
    </row>
    <row r="56" spans="2:15">
      <c r="B56" s="58" t="s">
        <v>1045</v>
      </c>
      <c r="C56" s="55"/>
      <c r="D56" s="53">
        <f>'[10]Rev_SP-12me'!AJ57</f>
        <v>31069.5837335599</v>
      </c>
      <c r="E56" s="53">
        <f>'[10]Rev_SP-12me'!AL57</f>
        <v>92.7066757489594</v>
      </c>
      <c r="F56" s="53">
        <f>'[10]Rev_SP-12me'!AQ57</f>
        <v>125.348308292271</v>
      </c>
      <c r="G56" s="79">
        <f>'[10]Rev_SP-12me'!O57</f>
        <v>32</v>
      </c>
      <c r="H56" s="60">
        <f>'[10]Rev_SP-12me'!P57</f>
        <v>8.1</v>
      </c>
      <c r="I56" s="79">
        <f>'[10]Rev_SP-12me'!AA57</f>
        <v>120</v>
      </c>
      <c r="J56" s="8"/>
      <c r="K56" s="53">
        <f>'[10]Rev_SP-12me'!AT57</f>
        <v>3.55993634876004</v>
      </c>
      <c r="L56" s="53">
        <f>'[10]Rev_SP-12me'!AU57</f>
        <v>101.53212971674</v>
      </c>
      <c r="M56" s="53">
        <f>'[10]Rev_SP-12me'!AW57</f>
        <v>4.36749577054614</v>
      </c>
      <c r="N56" s="49"/>
      <c r="O56" s="60">
        <f t="shared" si="1"/>
        <v>109.459561836046</v>
      </c>
    </row>
    <row r="57" ht="15" spans="2:15">
      <c r="B57" s="54" t="s">
        <v>1046</v>
      </c>
      <c r="C57" s="55"/>
      <c r="D57" s="48">
        <f>'[10]Rev_SP-12me'!AJ65</f>
        <v>38007.6232082163</v>
      </c>
      <c r="E57" s="48">
        <f>'[10]Rev_SP-12me'!AN65*0.7457/10^3</f>
        <v>132.947792527494</v>
      </c>
      <c r="F57" s="48">
        <f>'[10]Rev_SP-12me'!AQ65</f>
        <v>235.260658792875</v>
      </c>
      <c r="G57" s="79"/>
      <c r="H57" s="60"/>
      <c r="I57" s="79">
        <f>'[10]Rev_SP-12me'!AA65</f>
        <v>120</v>
      </c>
      <c r="J57" s="8"/>
      <c r="K57" s="48">
        <f>'[10]Rev_SP-12me'!AT65</f>
        <v>6.84617840023572</v>
      </c>
      <c r="L57" s="48">
        <f>'[10]Rev_SP-12me'!AU65</f>
        <v>148.695311667648</v>
      </c>
      <c r="M57" s="48">
        <f>'[10]Rev_SP-12me'!AW65</f>
        <v>5.34278589098355</v>
      </c>
      <c r="N57" s="49"/>
      <c r="O57" s="60">
        <f t="shared" si="1"/>
        <v>160.884275958867</v>
      </c>
    </row>
    <row r="58" spans="2:15">
      <c r="B58" s="58" t="s">
        <v>1043</v>
      </c>
      <c r="C58" s="55"/>
      <c r="D58" s="53">
        <f>'[10]Rev_SP-12me'!AJ66</f>
        <v>27444.5600894045</v>
      </c>
      <c r="E58" s="53">
        <f>'[10]Rev_SP-12me'!AN66*0.7457/10^3</f>
        <v>91.9596741465695</v>
      </c>
      <c r="F58" s="53">
        <f>'[10]Rev_SP-12me'!AQ66</f>
        <v>173.479212502121</v>
      </c>
      <c r="G58" s="79">
        <f>'[10]Rev_SP-12me'!O66</f>
        <v>32</v>
      </c>
      <c r="H58" s="60">
        <f>'[10]Rev_SP-12me'!P66</f>
        <v>6</v>
      </c>
      <c r="I58" s="79">
        <f>'[10]Rev_SP-12me'!AA66</f>
        <v>120</v>
      </c>
      <c r="J58" s="8"/>
      <c r="K58" s="53">
        <f>'[10]Rev_SP-12me'!AT66</f>
        <v>4.73548543278567</v>
      </c>
      <c r="L58" s="53">
        <f>'[10]Rev_SP-12me'!AU66</f>
        <v>104.087527501273</v>
      </c>
      <c r="M58" s="53">
        <f>'[10]Rev_SP-12me'!AW66</f>
        <v>3.857921018282</v>
      </c>
      <c r="N58" s="49"/>
      <c r="O58" s="60">
        <f t="shared" si="1"/>
        <v>112.680933952341</v>
      </c>
    </row>
    <row r="59" spans="2:15">
      <c r="B59" s="58" t="s">
        <v>1044</v>
      </c>
      <c r="C59" s="55"/>
      <c r="D59" s="53">
        <f>'[10]Rev_SP-12me'!AJ67</f>
        <v>6492.62902689523</v>
      </c>
      <c r="E59" s="53">
        <f>'[10]Rev_SP-12me'!AN67*0.7457/10^3</f>
        <v>24.0002771332355</v>
      </c>
      <c r="F59" s="53">
        <f>'[10]Rev_SP-12me'!AQ67</f>
        <v>46.9223002919489</v>
      </c>
      <c r="G59" s="79">
        <f>'[10]Rev_SP-12me'!O67</f>
        <v>32</v>
      </c>
      <c r="H59" s="60">
        <f>'[10]Rev_SP-12me'!P67</f>
        <v>7.1</v>
      </c>
      <c r="I59" s="79">
        <f>'[10]Rev_SP-12me'!AA67</f>
        <v>120</v>
      </c>
      <c r="J59" s="8"/>
      <c r="K59" s="53">
        <f>'[10]Rev_SP-12me'!AT67</f>
        <v>1.23590001597994</v>
      </c>
      <c r="L59" s="53">
        <f>'[10]Rev_SP-12me'!AU67</f>
        <v>33.3148332072837</v>
      </c>
      <c r="M59" s="53">
        <f>'[10]Rev_SP-12me'!AW67</f>
        <v>0.912678137494986</v>
      </c>
      <c r="N59" s="49"/>
      <c r="O59" s="60">
        <f t="shared" si="1"/>
        <v>35.4634113607586</v>
      </c>
    </row>
    <row r="60" spans="2:15">
      <c r="B60" s="58" t="s">
        <v>1045</v>
      </c>
      <c r="C60" s="55"/>
      <c r="D60" s="53">
        <f>'[10]Rev_SP-12me'!AJ68</f>
        <v>4070.43409191665</v>
      </c>
      <c r="E60" s="53">
        <f>'[10]Rev_SP-12me'!AN68*0.7457/10^3</f>
        <v>16.9878412476892</v>
      </c>
      <c r="F60" s="53">
        <f>'[10]Rev_SP-12me'!AQ68</f>
        <v>14.8591459988049</v>
      </c>
      <c r="G60" s="79">
        <f>'[10]Rev_SP-12me'!O68</f>
        <v>32</v>
      </c>
      <c r="H60" s="60">
        <f>'[10]Rev_SP-12me'!P68</f>
        <v>7.6</v>
      </c>
      <c r="I60" s="79">
        <f>'[10]Rev_SP-12me'!AA68</f>
        <v>120</v>
      </c>
      <c r="J60" s="8"/>
      <c r="K60" s="53">
        <f>'[10]Rev_SP-12me'!AT68</f>
        <v>0.874792951470112</v>
      </c>
      <c r="L60" s="53">
        <f>'[10]Rev_SP-12me'!AU68</f>
        <v>11.2929509590917</v>
      </c>
      <c r="M60" s="53">
        <f>'[10]Rev_SP-12me'!AW68</f>
        <v>0.57218673520657</v>
      </c>
      <c r="N60" s="49"/>
      <c r="O60" s="60">
        <f t="shared" si="1"/>
        <v>12.7399306457684</v>
      </c>
    </row>
    <row r="61" ht="15" spans="2:15">
      <c r="B61" s="54" t="s">
        <v>1168</v>
      </c>
      <c r="C61" s="55"/>
      <c r="D61" s="48">
        <f>'[10]Rev_SP-12me'!AJ69</f>
        <v>0</v>
      </c>
      <c r="E61" s="48">
        <f>'[10]Rev_SP-12me'!AL69</f>
        <v>0</v>
      </c>
      <c r="F61" s="48">
        <f>'[10]Rev_SP-12me'!AQ69</f>
        <v>0</v>
      </c>
      <c r="G61" s="79"/>
      <c r="H61" s="60"/>
      <c r="I61" s="79"/>
      <c r="J61" s="8"/>
      <c r="K61" s="48">
        <f>'[10]Rev_SP-12me'!AT69</f>
        <v>0</v>
      </c>
      <c r="L61" s="48">
        <f>'[10]Rev_SP-12me'!AU69</f>
        <v>0</v>
      </c>
      <c r="M61" s="48">
        <f>'[10]Rev_SP-12me'!AW69</f>
        <v>0</v>
      </c>
      <c r="N61" s="49"/>
      <c r="O61" s="60">
        <f t="shared" si="1"/>
        <v>0</v>
      </c>
    </row>
    <row r="62" ht="15" spans="2:15">
      <c r="B62" s="54" t="s">
        <v>1049</v>
      </c>
      <c r="C62" s="55"/>
      <c r="D62" s="48">
        <f>'[10]Rev_SP-12me'!AJ58</f>
        <v>25868.7978783707</v>
      </c>
      <c r="E62" s="48">
        <f>'[10]Rev_SP-12me'!AL58</f>
        <v>82</v>
      </c>
      <c r="F62" s="48">
        <f>'[10]Rev_SP-12me'!AQ58</f>
        <v>96.23</v>
      </c>
      <c r="G62" s="79"/>
      <c r="H62" s="60"/>
      <c r="I62" s="79"/>
      <c r="J62" s="8"/>
      <c r="K62" s="48">
        <f>'[10]Rev_SP-12me'!AT58</f>
        <v>2.15091423766816</v>
      </c>
      <c r="L62" s="48">
        <f>'[10]Rev_SP-12me'!AU58</f>
        <v>76.470783352218</v>
      </c>
      <c r="M62" s="48">
        <f>'[10]Rev_SP-12me'!AW58</f>
        <v>3.06873041691491</v>
      </c>
      <c r="N62" s="49"/>
      <c r="O62" s="60">
        <f t="shared" si="1"/>
        <v>81.6904280068011</v>
      </c>
    </row>
    <row r="63" spans="2:15">
      <c r="B63" s="56" t="s">
        <v>1050</v>
      </c>
      <c r="C63" s="55"/>
      <c r="D63" s="62">
        <f>'[10]Rev_SP-12me'!AJ59</f>
        <v>21092.7978783707</v>
      </c>
      <c r="E63" s="62">
        <f>'[10]Rev_SP-12me'!AL59</f>
        <v>74.1746076233184</v>
      </c>
      <c r="F63" s="62">
        <f>'[10]Rev_SP-12me'!AQ59</f>
        <v>85.9266162188423</v>
      </c>
      <c r="G63" s="79">
        <f>'[10]Rev_SP-12me'!O59</f>
        <v>21</v>
      </c>
      <c r="H63" s="60">
        <f>'[10]Rev_SP-12me'!P59</f>
        <v>8.3</v>
      </c>
      <c r="I63" s="79">
        <f>'[10]Rev_SP-12me'!AA59</f>
        <v>100</v>
      </c>
      <c r="J63" s="8"/>
      <c r="K63" s="62">
        <f>'[10]Rev_SP-12me'!AT59</f>
        <v>1.86920011210762</v>
      </c>
      <c r="L63" s="62">
        <f>'[10]Rev_SP-12me'!AU59</f>
        <v>71.3190914616391</v>
      </c>
      <c r="M63" s="62">
        <f>'[10]Rev_SP-12me'!AW59</f>
        <v>2.50216924387177</v>
      </c>
      <c r="N63" s="49"/>
      <c r="O63" s="60">
        <f t="shared" si="1"/>
        <v>75.6904608176185</v>
      </c>
    </row>
    <row r="64" spans="2:15">
      <c r="B64" s="56" t="s">
        <v>1051</v>
      </c>
      <c r="C64" s="55"/>
      <c r="D64" s="62">
        <f>'[10]Rev_SP-12me'!AJ60</f>
        <v>4776</v>
      </c>
      <c r="E64" s="62">
        <f>'[10]Rev_SP-12me'!AL60</f>
        <v>7.82539237668161</v>
      </c>
      <c r="F64" s="62">
        <f>'[10]Rev_SP-12me'!AQ60</f>
        <v>10.3033837811577</v>
      </c>
      <c r="G64" s="79">
        <f>'[10]Rev_SP-12me'!O60</f>
        <v>30</v>
      </c>
      <c r="H64" s="60">
        <f>'[10]Rev_SP-12me'!P60</f>
        <v>5</v>
      </c>
      <c r="I64" s="79">
        <f>'[10]Rev_SP-12me'!AA60</f>
        <v>100</v>
      </c>
      <c r="J64" s="8"/>
      <c r="K64" s="62">
        <f>'[10]Rev_SP-12me'!AT60</f>
        <v>0.281714125560538</v>
      </c>
      <c r="L64" s="62">
        <f>'[10]Rev_SP-12me'!AU60</f>
        <v>5.15169189057886</v>
      </c>
      <c r="M64" s="62">
        <f>'[10]Rev_SP-12me'!AW60</f>
        <v>0.56656117304314</v>
      </c>
      <c r="N64" s="49"/>
      <c r="O64" s="60">
        <f t="shared" si="1"/>
        <v>5.99996718918254</v>
      </c>
    </row>
    <row r="65" spans="2:15">
      <c r="B65" s="56" t="s">
        <v>1052</v>
      </c>
      <c r="C65" s="55"/>
      <c r="D65" s="24">
        <f>'[10]Rev_SP-12me'!AJ61</f>
        <v>4776</v>
      </c>
      <c r="E65" s="24">
        <f>'[10]Rev_SP-12me'!AL61</f>
        <v>7.82539237668161</v>
      </c>
      <c r="F65" s="24">
        <f>'[10]Rev_SP-12me'!AQ61</f>
        <v>10.3033837811577</v>
      </c>
      <c r="G65" s="79">
        <f>'[10]Rev_SP-12me'!O61</f>
        <v>30</v>
      </c>
      <c r="H65" s="60">
        <f>'[10]Rev_SP-12me'!P61</f>
        <v>5</v>
      </c>
      <c r="I65" s="79">
        <f>'[10]Rev_SP-12me'!AA61</f>
        <v>100</v>
      </c>
      <c r="J65" s="8"/>
      <c r="K65" s="24">
        <f>'[10]Rev_SP-12me'!AT61</f>
        <v>0</v>
      </c>
      <c r="L65" s="24">
        <f>'[10]Rev_SP-12me'!AU61</f>
        <v>0</v>
      </c>
      <c r="M65" s="24">
        <f>'[10]Rev_SP-12me'!AW61</f>
        <v>0</v>
      </c>
      <c r="N65" s="49"/>
      <c r="O65" s="60">
        <f t="shared" si="1"/>
        <v>0</v>
      </c>
    </row>
    <row r="66" spans="2:15">
      <c r="B66" s="56" t="s">
        <v>1053</v>
      </c>
      <c r="C66" s="55"/>
      <c r="D66" s="24">
        <f>'[10]Rev_SP-12me'!AJ62</f>
        <v>0</v>
      </c>
      <c r="E66" s="24">
        <f>'[10]Rev_SP-12me'!AL62</f>
        <v>0</v>
      </c>
      <c r="F66" s="24">
        <f>'[10]Rev_SP-12me'!AQ62</f>
        <v>0</v>
      </c>
      <c r="G66" s="79">
        <f>'[10]Rev_SP-12me'!O62</f>
        <v>30</v>
      </c>
      <c r="H66" s="60">
        <f>'[10]Rev_SP-12me'!P62</f>
        <v>5</v>
      </c>
      <c r="I66" s="79">
        <f>'[10]Rev_SP-12me'!AA62</f>
        <v>100</v>
      </c>
      <c r="J66" s="8"/>
      <c r="K66" s="24">
        <f>'[10]Rev_SP-12me'!AT62</f>
        <v>0</v>
      </c>
      <c r="L66" s="24">
        <f>'[10]Rev_SP-12me'!AU62</f>
        <v>0</v>
      </c>
      <c r="M66" s="24">
        <f>'[10]Rev_SP-12me'!AW62</f>
        <v>0</v>
      </c>
      <c r="N66" s="49"/>
      <c r="O66" s="60">
        <f t="shared" si="1"/>
        <v>0</v>
      </c>
    </row>
    <row r="67" ht="15" spans="2:15">
      <c r="B67" s="54" t="s">
        <v>1054</v>
      </c>
      <c r="C67" s="55"/>
      <c r="D67" s="48">
        <f>'[10]Rev_SP-12me'!AJ63</f>
        <v>14038</v>
      </c>
      <c r="E67" s="48">
        <f>'[10]Rev_SP-12me'!AL63</f>
        <v>113</v>
      </c>
      <c r="F67" s="48">
        <f>'[10]Rev_SP-12me'!AQ63</f>
        <v>106.22</v>
      </c>
      <c r="G67" s="79">
        <f>'[10]Rev_SP-12me'!O63</f>
        <v>21</v>
      </c>
      <c r="H67" s="60">
        <f>'[10]Rev_SP-12me'!P63</f>
        <v>12</v>
      </c>
      <c r="I67" s="79">
        <f>'[10]Rev_SP-12me'!AA63</f>
        <v>100</v>
      </c>
      <c r="J67" s="8"/>
      <c r="K67" s="48">
        <f>'[10]Rev_SP-12me'!AT63</f>
        <v>2.8476</v>
      </c>
      <c r="L67" s="48">
        <f>'[10]Rev_SP-12me'!AU63</f>
        <v>127.464</v>
      </c>
      <c r="M67" s="48">
        <f>'[10]Rev_SP-12me'!AW63</f>
        <v>1.64445142857143</v>
      </c>
      <c r="N67" s="49"/>
      <c r="O67" s="60">
        <f t="shared" si="1"/>
        <v>131.956051428571</v>
      </c>
    </row>
    <row r="68" ht="15" spans="2:15">
      <c r="B68" s="54" t="s">
        <v>1101</v>
      </c>
      <c r="C68" s="55"/>
      <c r="D68" s="48">
        <f>'[10]Rev_SP-12me'!AJ64</f>
        <v>58</v>
      </c>
      <c r="E68" s="48">
        <f>'[10]Rev_SP-12me'!AL64</f>
        <v>2</v>
      </c>
      <c r="F68" s="48">
        <f>'[10]Rev_SP-12me'!AQ64</f>
        <v>2.2</v>
      </c>
      <c r="G68" s="79">
        <f>'[10]Rev_SP-12me'!O64</f>
        <v>50</v>
      </c>
      <c r="H68" s="60">
        <f>'[10]Rev_SP-12me'!P64</f>
        <v>6</v>
      </c>
      <c r="I68" s="79">
        <f>'[10]Rev_SP-12me'!AA64</f>
        <v>120</v>
      </c>
      <c r="J68" s="8"/>
      <c r="K68" s="48">
        <f>'[10]Rev_SP-12me'!AT64</f>
        <v>0.12</v>
      </c>
      <c r="L68" s="48">
        <f>'[10]Rev_SP-12me'!AU64</f>
        <v>1.32</v>
      </c>
      <c r="M68" s="48">
        <f>'[10]Rev_SP-12me'!AW64</f>
        <v>0.00815314285714286</v>
      </c>
      <c r="N68" s="49"/>
      <c r="O68" s="60">
        <f t="shared" si="1"/>
        <v>1.44815314285714</v>
      </c>
    </row>
    <row r="69" ht="15" spans="2:15">
      <c r="B69" s="54"/>
      <c r="C69" s="55"/>
      <c r="D69" s="24"/>
      <c r="E69" s="49"/>
      <c r="F69" s="49"/>
      <c r="G69" s="49"/>
      <c r="H69" s="49"/>
      <c r="I69" s="8"/>
      <c r="J69" s="8"/>
      <c r="K69" s="49"/>
      <c r="L69" s="49"/>
      <c r="M69" s="49"/>
      <c r="N69" s="49"/>
      <c r="O69" s="49"/>
    </row>
    <row r="70" ht="15" spans="2:15">
      <c r="B70" s="54" t="s">
        <v>1102</v>
      </c>
      <c r="C70" s="55"/>
      <c r="D70" s="63">
        <f>SUM(D9,D22,D35,D42,D45,D53,D57,D61,D62,D67,D68)</f>
        <v>11183504.8675254</v>
      </c>
      <c r="E70" s="64">
        <f>SUM(E9,E22,E35,E42,E45,E53,E57,E61,E62,E67,E68)</f>
        <v>25076.0012971162</v>
      </c>
      <c r="F70" s="63">
        <f>SUM(F9,F22,F35,F42,F45,F53,F57,F61,F62,F67,F68)</f>
        <v>28376.6643701067</v>
      </c>
      <c r="G70" s="63"/>
      <c r="H70" s="63"/>
      <c r="I70" s="63"/>
      <c r="J70" s="96"/>
      <c r="K70" s="64">
        <f>SUM(K9,K22,K35,K42,K45,K53,K57,K61,K62,K67,K68)</f>
        <v>673.816471931755</v>
      </c>
      <c r="L70" s="63">
        <f>SUM(L9,L22,L35,L42,L45,L53,L57,L61,L62,L67,L68)</f>
        <v>10008.3769089095</v>
      </c>
      <c r="M70" s="63">
        <f>SUM(M9,M22,M35,M42,M45,M53,M57,M61,M62,M67,M68)</f>
        <v>928.093935559379</v>
      </c>
      <c r="N70" s="65"/>
      <c r="O70" s="63">
        <f>SUM(O9,O22,O35,O42,O45,O53,O57,O61,O62,O67,O68)</f>
        <v>11610.2873164006</v>
      </c>
    </row>
    <row r="71" ht="15" spans="2:15">
      <c r="B71" s="66"/>
      <c r="C71" s="67"/>
      <c r="D71" s="68"/>
      <c r="E71" s="69"/>
      <c r="F71" s="68"/>
      <c r="G71" s="68"/>
      <c r="H71" s="68"/>
      <c r="I71" s="68"/>
      <c r="J71" s="8"/>
      <c r="K71" s="69"/>
      <c r="L71" s="68"/>
      <c r="M71" s="68"/>
      <c r="N71" s="49"/>
      <c r="O71" s="68"/>
    </row>
    <row r="72" ht="15" spans="2:15">
      <c r="B72" s="70" t="s">
        <v>907</v>
      </c>
      <c r="C72" s="70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2:15">
      <c r="B73" s="71" t="s">
        <v>190</v>
      </c>
      <c r="C73" s="55"/>
      <c r="D73" s="49"/>
      <c r="E73" s="49"/>
      <c r="F73" s="49"/>
      <c r="G73" s="8"/>
      <c r="H73" s="8"/>
      <c r="I73" s="8"/>
      <c r="J73" s="8"/>
      <c r="K73" s="49"/>
      <c r="L73" s="49"/>
      <c r="M73" s="49"/>
      <c r="N73" s="49"/>
      <c r="O73" s="49"/>
    </row>
    <row r="74" ht="15" spans="2:15">
      <c r="B74" s="71" t="s">
        <v>1103</v>
      </c>
      <c r="C74" s="72"/>
      <c r="D74" s="48">
        <f>'[10]Rev_SP-12me'!AJ84</f>
        <v>6123.6103208733</v>
      </c>
      <c r="E74" s="48">
        <f>'[10]Rev_SP-12me'!AL84</f>
        <v>2135.11947075882</v>
      </c>
      <c r="F74" s="48">
        <f>F75+F84</f>
        <v>4449.21271164848</v>
      </c>
      <c r="G74" s="68"/>
      <c r="H74" s="69"/>
      <c r="I74" s="68"/>
      <c r="J74" s="8"/>
      <c r="K74" s="48">
        <f>'[10]Rev_SP-12me'!AT84</f>
        <v>973.614478666021</v>
      </c>
      <c r="L74" s="48">
        <f>'[10]Rev_SP-12me'!AU84</f>
        <v>3422.78983277438</v>
      </c>
      <c r="M74" s="48">
        <f>'[10]Rev_SP-12me'!AW84</f>
        <v>14.3707876274232</v>
      </c>
      <c r="N74" s="49"/>
      <c r="O74" s="79">
        <f t="shared" ref="O74:O105" si="2">SUM(K74:N74)</f>
        <v>4410.77509906782</v>
      </c>
    </row>
    <row r="75" spans="2:15">
      <c r="B75" s="73" t="s">
        <v>1104</v>
      </c>
      <c r="C75" s="72"/>
      <c r="D75" s="51">
        <f>'[10]Rev_SP-12me'!AJ85</f>
        <v>5906.50744293748</v>
      </c>
      <c r="E75" s="51">
        <f>'[10]Rev_SP-12me'!AL85</f>
        <v>2135.11947075882</v>
      </c>
      <c r="F75" s="51">
        <f>'[10]Rev_SP-12me'!AQ85</f>
        <v>4300.84260643587</v>
      </c>
      <c r="G75" s="79"/>
      <c r="H75" s="60"/>
      <c r="I75" s="79"/>
      <c r="J75" s="8"/>
      <c r="K75" s="51">
        <f>'[10]Rev_SP-12me'!AT85</f>
        <v>973.614478666021</v>
      </c>
      <c r="L75" s="51">
        <f>'[10]Rev_SP-12me'!AU85</f>
        <v>3308.68703768747</v>
      </c>
      <c r="M75" s="51">
        <f>'[10]Rev_SP-12me'!AW85</f>
        <v>13.8612941768874</v>
      </c>
      <c r="N75" s="49"/>
      <c r="O75" s="79">
        <f t="shared" si="2"/>
        <v>4296.16281053038</v>
      </c>
    </row>
    <row r="76" spans="2:15">
      <c r="B76" s="74" t="s">
        <v>1105</v>
      </c>
      <c r="C76" s="72"/>
      <c r="D76" s="62">
        <f>'[10]Rev_SP-12me'!AJ86</f>
        <v>4427.15315911346</v>
      </c>
      <c r="E76" s="62">
        <f>'[10]Rev_SP-12me'!AL86</f>
        <v>2135.11947075882</v>
      </c>
      <c r="F76" s="62">
        <f>'[10]Rev_SP-12me'!AQ86</f>
        <v>1395.13532380973</v>
      </c>
      <c r="G76" s="94">
        <f>'[10]Rev_SP-12me'!O86</f>
        <v>475</v>
      </c>
      <c r="H76" s="91">
        <f>'[10]Rev_SP-12me'!P86</f>
        <v>7.65</v>
      </c>
      <c r="I76" s="94">
        <f>'[10]Rev_SP-12me'!AA86</f>
        <v>2000</v>
      </c>
      <c r="J76" s="8"/>
      <c r="K76" s="62">
        <f>'[10]Rev_SP-12me'!AT86</f>
        <v>973.614478666021</v>
      </c>
      <c r="L76" s="62">
        <f>'[10]Rev_SP-12me'!AU86</f>
        <v>1067.27852271445</v>
      </c>
      <c r="M76" s="62">
        <f>'[10]Rev_SP-12me'!AW86</f>
        <v>10.3895699611764</v>
      </c>
      <c r="N76" s="49"/>
      <c r="O76" s="79">
        <f t="shared" si="2"/>
        <v>2051.28257134165</v>
      </c>
    </row>
    <row r="77" ht="25.7" customHeight="1" spans="2:15">
      <c r="B77" s="75" t="s">
        <v>1106</v>
      </c>
      <c r="C77" s="55"/>
      <c r="D77" s="62">
        <f>'[10]Rev_SP-12me'!AJ87</f>
        <v>1274.25206748263</v>
      </c>
      <c r="E77" s="62">
        <f>'[10]Rev_SP-12me'!AL87</f>
        <v>0</v>
      </c>
      <c r="F77" s="62">
        <f>'[10]Rev_SP-12me'!AQ87</f>
        <v>229.738568745072</v>
      </c>
      <c r="G77" s="94">
        <f>'[10]Rev_SP-12me'!O87</f>
        <v>100</v>
      </c>
      <c r="H77" s="91">
        <f>'[10]Rev_SP-12me'!P87</f>
        <v>8</v>
      </c>
      <c r="I77" s="94">
        <f>'[10]Rev_SP-12me'!AA87</f>
        <v>2000</v>
      </c>
      <c r="J77" s="8"/>
      <c r="K77" s="62">
        <f>'[10]Rev_SP-12me'!AT87</f>
        <v>0</v>
      </c>
      <c r="L77" s="62">
        <f>'[10]Rev_SP-12me'!AU87</f>
        <v>183.790854996057</v>
      </c>
      <c r="M77" s="62">
        <f>'[10]Rev_SP-12me'!AW87</f>
        <v>2.99039371972747</v>
      </c>
      <c r="N77" s="8"/>
      <c r="O77" s="79">
        <f t="shared" si="2"/>
        <v>186.781248715784</v>
      </c>
    </row>
    <row r="78" spans="2:15">
      <c r="B78" s="74" t="s">
        <v>1107</v>
      </c>
      <c r="C78" s="55"/>
      <c r="D78" s="62">
        <f>'[10]Rev_SP-12me'!AJ88</f>
        <v>0</v>
      </c>
      <c r="E78" s="62">
        <f>'[10]Rev_SP-12me'!AL88</f>
        <v>0</v>
      </c>
      <c r="F78" s="62">
        <f>'[10]Rev_SP-12me'!AQ88</f>
        <v>0.201155178571006</v>
      </c>
      <c r="G78" s="94">
        <f>'[10]Rev_SP-12me'!O88</f>
        <v>0</v>
      </c>
      <c r="H78" s="91">
        <f>'[10]Rev_SP-12me'!P88</f>
        <v>7.65</v>
      </c>
      <c r="I78" s="94">
        <f>'[10]Rev_SP-12me'!AA88</f>
        <v>2000</v>
      </c>
      <c r="J78" s="8"/>
      <c r="K78" s="62">
        <f>'[10]Rev_SP-12me'!AT88</f>
        <v>0</v>
      </c>
      <c r="L78" s="62">
        <f>'[10]Rev_SP-12me'!AU88</f>
        <v>0.15388371160682</v>
      </c>
      <c r="M78" s="62">
        <f>'[10]Rev_SP-12me'!AW88</f>
        <v>0</v>
      </c>
      <c r="N78" s="8"/>
      <c r="O78" s="79">
        <f t="shared" si="2"/>
        <v>0.15388371160682</v>
      </c>
    </row>
    <row r="79" spans="2:15">
      <c r="B79" s="74" t="s">
        <v>1108</v>
      </c>
      <c r="C79" s="55"/>
      <c r="D79" s="62">
        <f>'[10]Rev_SP-12me'!AJ89</f>
        <v>0</v>
      </c>
      <c r="E79" s="62">
        <f>'[10]Rev_SP-12me'!AL89</f>
        <v>0</v>
      </c>
      <c r="F79" s="62">
        <f>'[10]Rev_SP-12me'!AQ89</f>
        <v>1.11045818108816</v>
      </c>
      <c r="G79" s="94">
        <f>'[10]Rev_SP-12me'!O89</f>
        <v>0</v>
      </c>
      <c r="H79" s="91">
        <f>'[10]Rev_SP-12me'!P89</f>
        <v>7.3</v>
      </c>
      <c r="I79" s="94">
        <f>'[10]Rev_SP-12me'!AA89</f>
        <v>2000</v>
      </c>
      <c r="J79" s="8"/>
      <c r="K79" s="62">
        <f>'[10]Rev_SP-12me'!AT89</f>
        <v>0</v>
      </c>
      <c r="L79" s="62">
        <f>'[10]Rev_SP-12me'!AU89</f>
        <v>0.810634472194357</v>
      </c>
      <c r="M79" s="62">
        <f>'[10]Rev_SP-12me'!AW89</f>
        <v>0</v>
      </c>
      <c r="N79" s="8"/>
      <c r="O79" s="79">
        <f t="shared" si="2"/>
        <v>0.810634472194357</v>
      </c>
    </row>
    <row r="80" spans="2:15">
      <c r="B80" s="74" t="s">
        <v>1109</v>
      </c>
      <c r="C80" s="55"/>
      <c r="D80" s="62">
        <f>'[10]Rev_SP-12me'!AJ90</f>
        <v>205.102216341383</v>
      </c>
      <c r="E80" s="62">
        <f>'[10]Rev_SP-12me'!AL90</f>
        <v>0</v>
      </c>
      <c r="F80" s="62">
        <f>'[10]Rev_SP-12me'!AQ90</f>
        <v>52.3274411007893</v>
      </c>
      <c r="G80" s="94">
        <f>'[10]Rev_SP-12me'!O90</f>
        <v>475</v>
      </c>
      <c r="H80" s="91">
        <f>'[10]Rev_SP-12me'!P90</f>
        <v>8.6</v>
      </c>
      <c r="I80" s="94">
        <f>'[10]Rev_SP-12me'!AA90</f>
        <v>2000</v>
      </c>
      <c r="J80" s="8"/>
      <c r="K80" s="62">
        <f>'[10]Rev_SP-12me'!AT90</f>
        <v>0</v>
      </c>
      <c r="L80" s="62">
        <f>'[10]Rev_SP-12me'!AU90</f>
        <v>45.0015993466788</v>
      </c>
      <c r="M80" s="62">
        <f>'[10]Rev_SP-12me'!AW90</f>
        <v>0.481330495983531</v>
      </c>
      <c r="N80" s="8"/>
      <c r="O80" s="79">
        <f t="shared" si="2"/>
        <v>45.4829298426623</v>
      </c>
    </row>
    <row r="81" spans="2:15">
      <c r="B81" s="76" t="s">
        <v>1110</v>
      </c>
      <c r="C81" s="55"/>
      <c r="D81" s="62">
        <f>'[10]Rev_SP-12me'!AJ91</f>
        <v>0</v>
      </c>
      <c r="E81" s="62">
        <f>'[10]Rev_SP-12me'!AL91</f>
        <v>0</v>
      </c>
      <c r="F81" s="62">
        <f>'[10]Rev_SP-12me'!AQ91</f>
        <v>689.060946288132</v>
      </c>
      <c r="G81" s="94">
        <f>'[10]Rev_SP-12me'!O91</f>
        <v>0</v>
      </c>
      <c r="H81" s="91">
        <f>'[10]Rev_SP-12me'!P91</f>
        <v>8.65</v>
      </c>
      <c r="I81" s="94">
        <f>'[10]Rev_SP-12me'!AA91</f>
        <v>2000</v>
      </c>
      <c r="J81" s="8"/>
      <c r="K81" s="62">
        <f>'[10]Rev_SP-12me'!AT91</f>
        <v>0</v>
      </c>
      <c r="L81" s="62">
        <f>'[10]Rev_SP-12me'!AU91</f>
        <v>596.037718539234</v>
      </c>
      <c r="M81" s="62">
        <f>'[10]Rev_SP-12me'!AW91</f>
        <v>0</v>
      </c>
      <c r="N81" s="8"/>
      <c r="O81" s="79">
        <f t="shared" si="2"/>
        <v>596.037718539234</v>
      </c>
    </row>
    <row r="82" spans="2:15">
      <c r="B82" s="76" t="s">
        <v>1111</v>
      </c>
      <c r="C82" s="55"/>
      <c r="D82" s="62">
        <f>'[10]Rev_SP-12me'!AJ92</f>
        <v>0</v>
      </c>
      <c r="E82" s="62">
        <f>'[10]Rev_SP-12me'!AL92</f>
        <v>0</v>
      </c>
      <c r="F82" s="62">
        <f>'[10]Rev_SP-12me'!AQ92</f>
        <v>649.95064837077</v>
      </c>
      <c r="G82" s="94">
        <f>'[10]Rev_SP-12me'!O92</f>
        <v>0</v>
      </c>
      <c r="H82" s="91">
        <f>'[10]Rev_SP-12me'!P92</f>
        <v>8.65</v>
      </c>
      <c r="I82" s="94">
        <f>'[10]Rev_SP-12me'!AA92</f>
        <v>2000</v>
      </c>
      <c r="J82" s="8"/>
      <c r="K82" s="62">
        <f>'[10]Rev_SP-12me'!AT92</f>
        <v>0</v>
      </c>
      <c r="L82" s="62">
        <f>'[10]Rev_SP-12me'!AU92</f>
        <v>562.207310840716</v>
      </c>
      <c r="M82" s="62">
        <f>'[10]Rev_SP-12me'!AW92</f>
        <v>0</v>
      </c>
      <c r="N82" s="8"/>
      <c r="O82" s="79">
        <f t="shared" si="2"/>
        <v>562.207310840716</v>
      </c>
    </row>
    <row r="83" spans="2:15">
      <c r="B83" s="76" t="s">
        <v>1112</v>
      </c>
      <c r="C83" s="55"/>
      <c r="D83" s="62">
        <f>'[10]Rev_SP-12me'!AJ93</f>
        <v>0</v>
      </c>
      <c r="E83" s="62">
        <f>'[10]Rev_SP-12me'!AL93</f>
        <v>0</v>
      </c>
      <c r="F83" s="62">
        <f>'[10]Rev_SP-12me'!AQ93</f>
        <v>1283.31806476171</v>
      </c>
      <c r="G83" s="94">
        <f>'[10]Rev_SP-12me'!O93</f>
        <v>0</v>
      </c>
      <c r="H83" s="91">
        <f>'[10]Rev_SP-12me'!P93</f>
        <v>6.65</v>
      </c>
      <c r="I83" s="94">
        <f>'[10]Rev_SP-12me'!AA93</f>
        <v>2000</v>
      </c>
      <c r="J83" s="8"/>
      <c r="K83" s="62">
        <f>'[10]Rev_SP-12me'!AT93</f>
        <v>0</v>
      </c>
      <c r="L83" s="62">
        <f>'[10]Rev_SP-12me'!AU93</f>
        <v>853.406513066539</v>
      </c>
      <c r="M83" s="62">
        <f>'[10]Rev_SP-12me'!AW93</f>
        <v>0</v>
      </c>
      <c r="N83" s="8"/>
      <c r="O83" s="79">
        <f t="shared" si="2"/>
        <v>853.406513066539</v>
      </c>
    </row>
    <row r="84" spans="2:15">
      <c r="B84" s="71" t="s">
        <v>1113</v>
      </c>
      <c r="C84" s="55"/>
      <c r="D84" s="51">
        <f>'[10]Rev_SP-12me'!AJ94</f>
        <v>217.102877935825</v>
      </c>
      <c r="E84" s="51">
        <f>'[10]Rev_SP-12me'!AL94</f>
        <v>0</v>
      </c>
      <c r="F84" s="51">
        <f>'[10]Rev_SP-12me'!AQ94</f>
        <v>148.370105212614</v>
      </c>
      <c r="G84" s="79">
        <f>'[10]Rev_SP-12me'!O94</f>
        <v>0</v>
      </c>
      <c r="H84" s="60">
        <f>'[10]Rev_SP-12me'!P94</f>
        <v>0</v>
      </c>
      <c r="I84" s="79">
        <f>'[10]Rev_SP-12me'!AA94</f>
        <v>0</v>
      </c>
      <c r="J84" s="8"/>
      <c r="K84" s="51">
        <f>'[10]Rev_SP-12me'!AT94</f>
        <v>0</v>
      </c>
      <c r="L84" s="51">
        <f>'[10]Rev_SP-12me'!AU94</f>
        <v>114.102795086903</v>
      </c>
      <c r="M84" s="51">
        <f>'[10]Rev_SP-12me'!AW94</f>
        <v>0.509493450535759</v>
      </c>
      <c r="N84" s="8"/>
      <c r="O84" s="79">
        <f t="shared" si="2"/>
        <v>114.612288537439</v>
      </c>
    </row>
    <row r="85" spans="2:15">
      <c r="B85" s="76" t="s">
        <v>1114</v>
      </c>
      <c r="C85" s="55"/>
      <c r="D85" s="53">
        <f>'[10]Rev_SP-12me'!AJ95</f>
        <v>217.102877935825</v>
      </c>
      <c r="E85" s="53">
        <f>'[10]Rev_SP-12me'!AL95</f>
        <v>0</v>
      </c>
      <c r="F85" s="53">
        <f>'[10]Rev_SP-12me'!AQ95</f>
        <v>53.9790632276775</v>
      </c>
      <c r="G85" s="94">
        <f>'[10]Rev_SP-12me'!O95</f>
        <v>475</v>
      </c>
      <c r="H85" s="91">
        <f>'[10]Rev_SP-12me'!P95</f>
        <v>7.65</v>
      </c>
      <c r="I85" s="94">
        <f>'[10]Rev_SP-12me'!AA95</f>
        <v>2000</v>
      </c>
      <c r="J85" s="8"/>
      <c r="K85" s="53">
        <f>'[10]Rev_SP-12me'!AT95</f>
        <v>0</v>
      </c>
      <c r="L85" s="53">
        <f>'[10]Rev_SP-12me'!AU95</f>
        <v>41.2939833691733</v>
      </c>
      <c r="M85" s="53">
        <f>'[10]Rev_SP-12me'!AW95</f>
        <v>0.509493450535759</v>
      </c>
      <c r="N85" s="8"/>
      <c r="O85" s="79">
        <f t="shared" si="2"/>
        <v>41.8034768197091</v>
      </c>
    </row>
    <row r="86" spans="2:15">
      <c r="B86" s="76" t="s">
        <v>1115</v>
      </c>
      <c r="C86" s="55"/>
      <c r="D86" s="53">
        <f>'[10]Rev_SP-12me'!AJ96</f>
        <v>0</v>
      </c>
      <c r="E86" s="53">
        <f>'[10]Rev_SP-12me'!AL96</f>
        <v>0</v>
      </c>
      <c r="F86" s="53">
        <f>'[10]Rev_SP-12me'!AQ96</f>
        <v>23.5773530924783</v>
      </c>
      <c r="G86" s="94">
        <f>'[10]Rev_SP-12me'!O96</f>
        <v>0</v>
      </c>
      <c r="H86" s="91">
        <f>'[10]Rev_SP-12me'!P96</f>
        <v>8.65</v>
      </c>
      <c r="I86" s="94">
        <f>'[10]Rev_SP-12me'!AA96</f>
        <v>2000</v>
      </c>
      <c r="J86" s="8"/>
      <c r="K86" s="53">
        <f>'[10]Rev_SP-12me'!AT96</f>
        <v>0</v>
      </c>
      <c r="L86" s="53">
        <f>'[10]Rev_SP-12me'!AU96</f>
        <v>20.3944104249938</v>
      </c>
      <c r="M86" s="53">
        <f>'[10]Rev_SP-12me'!AW96</f>
        <v>0</v>
      </c>
      <c r="N86" s="8"/>
      <c r="O86" s="79">
        <f t="shared" si="2"/>
        <v>20.3944104249938</v>
      </c>
    </row>
    <row r="87" spans="2:15">
      <c r="B87" s="76" t="s">
        <v>1116</v>
      </c>
      <c r="C87" s="55"/>
      <c r="D87" s="53">
        <f>'[10]Rev_SP-12me'!AJ97</f>
        <v>0</v>
      </c>
      <c r="E87" s="53">
        <f>'[10]Rev_SP-12me'!AL97</f>
        <v>0</v>
      </c>
      <c r="F87" s="53">
        <f>'[10]Rev_SP-12me'!AQ97</f>
        <v>26.6164908962548</v>
      </c>
      <c r="G87" s="94">
        <f>'[10]Rev_SP-12me'!O97</f>
        <v>0</v>
      </c>
      <c r="H87" s="91">
        <f>'[10]Rev_SP-12me'!P97</f>
        <v>8.65</v>
      </c>
      <c r="I87" s="94">
        <f>'[10]Rev_SP-12me'!AA97</f>
        <v>2000</v>
      </c>
      <c r="J87" s="8"/>
      <c r="K87" s="53">
        <f>'[10]Rev_SP-12me'!AT97</f>
        <v>0</v>
      </c>
      <c r="L87" s="53">
        <f>'[10]Rev_SP-12me'!AU97</f>
        <v>23.0232646252604</v>
      </c>
      <c r="M87" s="53">
        <f>'[10]Rev_SP-12me'!AW97</f>
        <v>0</v>
      </c>
      <c r="N87" s="8"/>
      <c r="O87" s="79">
        <f t="shared" si="2"/>
        <v>23.0232646252604</v>
      </c>
    </row>
    <row r="88" spans="2:15">
      <c r="B88" s="76" t="s">
        <v>1117</v>
      </c>
      <c r="C88" s="55"/>
      <c r="D88" s="53">
        <f>'[10]Rev_SP-12me'!AJ98</f>
        <v>0</v>
      </c>
      <c r="E88" s="53">
        <f>'[10]Rev_SP-12me'!AL98</f>
        <v>0</v>
      </c>
      <c r="F88" s="53">
        <f>'[10]Rev_SP-12me'!AQ98</f>
        <v>44.1971979962031</v>
      </c>
      <c r="G88" s="94">
        <f>'[10]Rev_SP-12me'!O98</f>
        <v>0</v>
      </c>
      <c r="H88" s="91">
        <f>'[10]Rev_SP-12me'!P98</f>
        <v>6.65</v>
      </c>
      <c r="I88" s="94">
        <f>'[10]Rev_SP-12me'!AA98</f>
        <v>2000</v>
      </c>
      <c r="J88" s="8"/>
      <c r="K88" s="53">
        <f>'[10]Rev_SP-12me'!AT98</f>
        <v>0</v>
      </c>
      <c r="L88" s="53">
        <f>'[10]Rev_SP-12me'!AU98</f>
        <v>29.3911366674751</v>
      </c>
      <c r="M88" s="53">
        <f>'[10]Rev_SP-12me'!AW98</f>
        <v>0</v>
      </c>
      <c r="N88" s="8"/>
      <c r="O88" s="79">
        <f t="shared" si="2"/>
        <v>29.3911366674751</v>
      </c>
    </row>
    <row r="89" ht="15" spans="2:15">
      <c r="B89" s="71" t="s">
        <v>1118</v>
      </c>
      <c r="C89" s="55"/>
      <c r="D89" s="48">
        <f>'[10]Rev_SP-12me'!AJ100</f>
        <v>0</v>
      </c>
      <c r="E89" s="48">
        <f>'[10]Rev_SP-12me'!AL100</f>
        <v>14.7137145555292</v>
      </c>
      <c r="F89" s="48">
        <f>'[10]Rev_SP-12me'!AQ100</f>
        <v>42.2072883515179</v>
      </c>
      <c r="G89" s="68">
        <f>'[10]Rev_SP-12me'!O100</f>
        <v>0</v>
      </c>
      <c r="H89" s="69">
        <f>'[10]Rev_SP-12me'!P100</f>
        <v>0</v>
      </c>
      <c r="I89" s="68">
        <f>'[10]Rev_SP-12me'!AA100</f>
        <v>8000</v>
      </c>
      <c r="J89" s="8"/>
      <c r="K89" s="48">
        <f>'[10]Rev_SP-12me'!AT100</f>
        <v>6.70945383732131</v>
      </c>
      <c r="L89" s="48">
        <f>'[10]Rev_SP-12me'!AU100</f>
        <v>32.5242010155615</v>
      </c>
      <c r="M89" s="48">
        <f>'[10]Rev_SP-12me'!AW100</f>
        <v>0</v>
      </c>
      <c r="N89" s="8"/>
      <c r="O89" s="79">
        <f t="shared" si="2"/>
        <v>39.2336548528828</v>
      </c>
    </row>
    <row r="90" spans="2:15">
      <c r="B90" s="74" t="s">
        <v>1119</v>
      </c>
      <c r="C90" s="55"/>
      <c r="D90" s="53">
        <f>'[10]Rev_SP-12me'!AJ101</f>
        <v>0</v>
      </c>
      <c r="E90" s="53">
        <f>'[10]Rev_SP-12me'!AL101</f>
        <v>14.7137145555292</v>
      </c>
      <c r="F90" s="53">
        <f>'[10]Rev_SP-12me'!AQ101</f>
        <v>18.3314016804679</v>
      </c>
      <c r="G90" s="94">
        <f>'[10]Rev_SP-12me'!O101</f>
        <v>475</v>
      </c>
      <c r="H90" s="91">
        <f>'[10]Rev_SP-12me'!P101</f>
        <v>7.65</v>
      </c>
      <c r="I90" s="94">
        <f>'[10]Rev_SP-12me'!AA101</f>
        <v>2000</v>
      </c>
      <c r="J90" s="8"/>
      <c r="K90" s="53">
        <f>'[10]Rev_SP-12me'!AT101</f>
        <v>6.70945383732131</v>
      </c>
      <c r="L90" s="53">
        <f>'[10]Rev_SP-12me'!AU101</f>
        <v>14.023522285558</v>
      </c>
      <c r="M90" s="53">
        <f>'[10]Rev_SP-12me'!AW101</f>
        <v>0</v>
      </c>
      <c r="N90" s="8"/>
      <c r="O90" s="79">
        <f t="shared" si="2"/>
        <v>20.7329761228793</v>
      </c>
    </row>
    <row r="91" spans="2:15">
      <c r="B91" s="74" t="s">
        <v>1120</v>
      </c>
      <c r="C91" s="55"/>
      <c r="D91" s="53">
        <f>'[10]Rev_SP-12me'!AJ102</f>
        <v>0</v>
      </c>
      <c r="E91" s="53">
        <f>'[10]Rev_SP-12me'!AL102</f>
        <v>0</v>
      </c>
      <c r="F91" s="53">
        <f>'[10]Rev_SP-12me'!AQ102</f>
        <v>6.1282942365454</v>
      </c>
      <c r="G91" s="94">
        <f>'[10]Rev_SP-12me'!O102</f>
        <v>0</v>
      </c>
      <c r="H91" s="91">
        <f>'[10]Rev_SP-12me'!P102</f>
        <v>8.65</v>
      </c>
      <c r="I91" s="94">
        <f>'[10]Rev_SP-12me'!AA102</f>
        <v>2000</v>
      </c>
      <c r="J91" s="8"/>
      <c r="K91" s="53">
        <f>'[10]Rev_SP-12me'!AT102</f>
        <v>0</v>
      </c>
      <c r="L91" s="53">
        <f>'[10]Rev_SP-12me'!AU102</f>
        <v>5.30097451461177</v>
      </c>
      <c r="M91" s="53">
        <f>'[10]Rev_SP-12me'!AW102</f>
        <v>0</v>
      </c>
      <c r="N91" s="8"/>
      <c r="O91" s="79">
        <f t="shared" si="2"/>
        <v>5.30097451461177</v>
      </c>
    </row>
    <row r="92" spans="2:15">
      <c r="B92" s="74" t="s">
        <v>1121</v>
      </c>
      <c r="C92" s="55"/>
      <c r="D92" s="53">
        <f>'[10]Rev_SP-12me'!AJ103</f>
        <v>0</v>
      </c>
      <c r="E92" s="53">
        <f>'[10]Rev_SP-12me'!AL103</f>
        <v>0</v>
      </c>
      <c r="F92" s="53">
        <f>'[10]Rev_SP-12me'!AQ103</f>
        <v>6.98777623223095</v>
      </c>
      <c r="G92" s="94">
        <f>'[10]Rev_SP-12me'!O103</f>
        <v>0</v>
      </c>
      <c r="H92" s="91">
        <f>'[10]Rev_SP-12me'!P103</f>
        <v>8.65</v>
      </c>
      <c r="I92" s="94">
        <f>'[10]Rev_SP-12me'!AA103</f>
        <v>2000</v>
      </c>
      <c r="J92" s="8"/>
      <c r="K92" s="53">
        <f>'[10]Rev_SP-12me'!AT103</f>
        <v>0</v>
      </c>
      <c r="L92" s="53">
        <f>'[10]Rev_SP-12me'!AU103</f>
        <v>6.04442644087977</v>
      </c>
      <c r="M92" s="53">
        <f>'[10]Rev_SP-12me'!AW103</f>
        <v>0</v>
      </c>
      <c r="N92" s="8"/>
      <c r="O92" s="79">
        <f t="shared" si="2"/>
        <v>6.04442644087977</v>
      </c>
    </row>
    <row r="93" spans="2:15">
      <c r="B93" s="74" t="s">
        <v>1122</v>
      </c>
      <c r="C93" s="55"/>
      <c r="D93" s="53">
        <f>'[10]Rev_SP-12me'!AJ104</f>
        <v>0</v>
      </c>
      <c r="E93" s="53">
        <f>'[10]Rev_SP-12me'!AL104</f>
        <v>0</v>
      </c>
      <c r="F93" s="53">
        <f>'[10]Rev_SP-12me'!AQ104</f>
        <v>10.7598162022737</v>
      </c>
      <c r="G93" s="94">
        <f>'[10]Rev_SP-12me'!O104</f>
        <v>0</v>
      </c>
      <c r="H93" s="91">
        <f>'[10]Rev_SP-12me'!P104</f>
        <v>6.65</v>
      </c>
      <c r="I93" s="94">
        <f>'[10]Rev_SP-12me'!AA104</f>
        <v>2000</v>
      </c>
      <c r="J93" s="8"/>
      <c r="K93" s="53">
        <f>'[10]Rev_SP-12me'!AT104</f>
        <v>0</v>
      </c>
      <c r="L93" s="53">
        <f>'[10]Rev_SP-12me'!AU104</f>
        <v>7.155277774512</v>
      </c>
      <c r="M93" s="53">
        <f>'[10]Rev_SP-12me'!AW104</f>
        <v>0</v>
      </c>
      <c r="N93" s="8"/>
      <c r="O93" s="79">
        <f t="shared" si="2"/>
        <v>7.155277774512</v>
      </c>
    </row>
    <row r="94" ht="15" spans="2:15">
      <c r="B94" s="71" t="s">
        <v>1123</v>
      </c>
      <c r="C94" s="55"/>
      <c r="D94" s="48">
        <f>'[10]Rev_SP-12me'!AJ99</f>
        <v>0</v>
      </c>
      <c r="E94" s="48">
        <f>'[10]Rev_SP-12me'!AL99</f>
        <v>0</v>
      </c>
      <c r="F94" s="48">
        <f>'[10]Rev_SP-12me'!AQ99</f>
        <v>0.14</v>
      </c>
      <c r="G94" s="68">
        <f>'[10]Rev_SP-12me'!O99</f>
        <v>475</v>
      </c>
      <c r="H94" s="69">
        <f>'[10]Rev_SP-12me'!P99</f>
        <v>7.65</v>
      </c>
      <c r="I94" s="68">
        <f>'[10]Rev_SP-12me'!AA99</f>
        <v>2000</v>
      </c>
      <c r="J94" s="8"/>
      <c r="K94" s="48">
        <f>'[10]Rev_SP-12me'!AT99</f>
        <v>0</v>
      </c>
      <c r="L94" s="48">
        <f>'[10]Rev_SP-12me'!AU99</f>
        <v>0.1071</v>
      </c>
      <c r="M94" s="48">
        <f>'[10]Rev_SP-12me'!AW99</f>
        <v>0</v>
      </c>
      <c r="N94" s="8"/>
      <c r="O94" s="79">
        <f t="shared" si="2"/>
        <v>0.1071</v>
      </c>
    </row>
    <row r="95" ht="15" spans="2:15">
      <c r="B95" s="71" t="s">
        <v>1124</v>
      </c>
      <c r="C95" s="55"/>
      <c r="D95" s="48">
        <f>'[10]Rev_SP-12me'!AJ105</f>
        <v>4829.02148835105</v>
      </c>
      <c r="E95" s="48">
        <f>'[10]Rev_SP-12me'!AL105</f>
        <v>1086.972639034</v>
      </c>
      <c r="F95" s="48">
        <f>'[10]Rev_SP-12me'!AQ105</f>
        <v>2334.22604197106</v>
      </c>
      <c r="G95" s="68">
        <f>'[10]Rev_SP-12me'!O105</f>
        <v>0</v>
      </c>
      <c r="H95" s="69">
        <f>'[10]Rev_SP-12me'!P105</f>
        <v>0</v>
      </c>
      <c r="I95" s="68">
        <f>'[10]Rev_SP-12me'!AA105</f>
        <v>0</v>
      </c>
      <c r="J95" s="8"/>
      <c r="K95" s="48">
        <f>'[10]Rev_SP-12me'!AT105</f>
        <v>495.659523399504</v>
      </c>
      <c r="L95" s="48">
        <f>'[10]Rev_SP-12me'!AU105</f>
        <v>2076.0340338904</v>
      </c>
      <c r="M95" s="48">
        <f>'[10]Rev_SP-12me'!AW105</f>
        <v>11.2323057629155</v>
      </c>
      <c r="N95" s="8"/>
      <c r="O95" s="79">
        <f t="shared" si="2"/>
        <v>2582.92586305282</v>
      </c>
    </row>
    <row r="96" spans="2:15">
      <c r="B96" s="74" t="s">
        <v>1119</v>
      </c>
      <c r="C96" s="55"/>
      <c r="D96" s="53">
        <f>'[10]Rev_SP-12me'!AJ106</f>
        <v>4829.02148835105</v>
      </c>
      <c r="E96" s="53">
        <f>'[10]Rev_SP-12me'!AL106</f>
        <v>1086.972639034</v>
      </c>
      <c r="F96" s="53">
        <f>'[10]Rev_SP-12me'!AQ106</f>
        <v>1029.39774207224</v>
      </c>
      <c r="G96" s="94">
        <f>'[10]Rev_SP-12me'!O106</f>
        <v>475</v>
      </c>
      <c r="H96" s="91">
        <f>'[10]Rev_SP-12me'!P106</f>
        <v>8.8</v>
      </c>
      <c r="I96" s="94">
        <f>'[10]Rev_SP-12me'!AA106</f>
        <v>2000</v>
      </c>
      <c r="J96" s="8"/>
      <c r="K96" s="53">
        <f>'[10]Rev_SP-12me'!AT106</f>
        <v>495.659523399504</v>
      </c>
      <c r="L96" s="53">
        <f>'[10]Rev_SP-12me'!AU106</f>
        <v>905.870013023574</v>
      </c>
      <c r="M96" s="53">
        <f>'[10]Rev_SP-12me'!AW106</f>
        <v>11.2323057629155</v>
      </c>
      <c r="N96" s="8"/>
      <c r="O96" s="79">
        <f t="shared" si="2"/>
        <v>1412.76184218599</v>
      </c>
    </row>
    <row r="97" spans="2:15">
      <c r="B97" s="74" t="s">
        <v>1120</v>
      </c>
      <c r="C97" s="55"/>
      <c r="D97" s="53">
        <f>'[10]Rev_SP-12me'!AJ107</f>
        <v>0</v>
      </c>
      <c r="E97" s="53">
        <f>'[10]Rev_SP-12me'!AL107</f>
        <v>0</v>
      </c>
      <c r="F97" s="53">
        <f>'[10]Rev_SP-12me'!AQ107</f>
        <v>447.684689089997</v>
      </c>
      <c r="G97" s="94">
        <f>'[10]Rev_SP-12me'!O107</f>
        <v>0</v>
      </c>
      <c r="H97" s="91">
        <f>'[10]Rev_SP-12me'!P107</f>
        <v>9.8</v>
      </c>
      <c r="I97" s="94">
        <f>'[10]Rev_SP-12me'!AA107</f>
        <v>2000</v>
      </c>
      <c r="J97" s="8"/>
      <c r="K97" s="53">
        <f>'[10]Rev_SP-12me'!AT107</f>
        <v>0</v>
      </c>
      <c r="L97" s="53">
        <f>'[10]Rev_SP-12me'!AU107</f>
        <v>438.730995308197</v>
      </c>
      <c r="M97" s="53">
        <f>'[10]Rev_SP-12me'!AW107</f>
        <v>0</v>
      </c>
      <c r="N97" s="8"/>
      <c r="O97" s="79">
        <f t="shared" si="2"/>
        <v>438.730995308197</v>
      </c>
    </row>
    <row r="98" spans="2:15">
      <c r="B98" s="74" t="s">
        <v>1121</v>
      </c>
      <c r="C98" s="55"/>
      <c r="D98" s="53">
        <f>'[10]Rev_SP-12me'!AJ108</f>
        <v>0</v>
      </c>
      <c r="E98" s="53">
        <f>'[10]Rev_SP-12me'!AL108</f>
        <v>0</v>
      </c>
      <c r="F98" s="53">
        <f>'[10]Rev_SP-12me'!AQ108</f>
        <v>314.305045638752</v>
      </c>
      <c r="G98" s="94">
        <f>'[10]Rev_SP-12me'!O108</f>
        <v>0</v>
      </c>
      <c r="H98" s="91">
        <f>'[10]Rev_SP-12me'!P108</f>
        <v>9.8</v>
      </c>
      <c r="I98" s="94">
        <f>'[10]Rev_SP-12me'!AA108</f>
        <v>2000</v>
      </c>
      <c r="J98" s="8"/>
      <c r="K98" s="53">
        <f>'[10]Rev_SP-12me'!AT108</f>
        <v>0</v>
      </c>
      <c r="L98" s="53">
        <f>'[10]Rev_SP-12me'!AU108</f>
        <v>308.018944725977</v>
      </c>
      <c r="M98" s="53">
        <f>'[10]Rev_SP-12me'!AW108</f>
        <v>0</v>
      </c>
      <c r="N98" s="8"/>
      <c r="O98" s="79">
        <f t="shared" si="2"/>
        <v>308.018944725977</v>
      </c>
    </row>
    <row r="99" spans="2:15">
      <c r="B99" s="74" t="s">
        <v>1122</v>
      </c>
      <c r="C99" s="55"/>
      <c r="D99" s="53">
        <f>'[10]Rev_SP-12me'!AJ109</f>
        <v>0</v>
      </c>
      <c r="E99" s="53">
        <f>'[10]Rev_SP-12me'!AL109</f>
        <v>0</v>
      </c>
      <c r="F99" s="53">
        <f>'[10]Rev_SP-12me'!AQ109</f>
        <v>542.838565170065</v>
      </c>
      <c r="G99" s="94">
        <f>'[10]Rev_SP-12me'!O109</f>
        <v>0</v>
      </c>
      <c r="H99" s="91">
        <f>'[10]Rev_SP-12me'!P109</f>
        <v>7.8</v>
      </c>
      <c r="I99" s="94">
        <f>'[10]Rev_SP-12me'!AA109</f>
        <v>2000</v>
      </c>
      <c r="J99" s="8"/>
      <c r="K99" s="53">
        <f>'[10]Rev_SP-12me'!AT109</f>
        <v>0</v>
      </c>
      <c r="L99" s="53">
        <f>'[10]Rev_SP-12me'!AU109</f>
        <v>423.41408083265</v>
      </c>
      <c r="M99" s="53">
        <f>'[10]Rev_SP-12me'!AW109</f>
        <v>0</v>
      </c>
      <c r="N99" s="8"/>
      <c r="O99" s="79">
        <f t="shared" si="2"/>
        <v>423.41408083265</v>
      </c>
    </row>
    <row r="100" ht="15" spans="2:15">
      <c r="B100" s="71" t="s">
        <v>1125</v>
      </c>
      <c r="C100" s="55"/>
      <c r="D100" s="48">
        <f>'[10]Rev_SP-12me'!AJ110</f>
        <v>0</v>
      </c>
      <c r="E100" s="48">
        <f>'[10]Rev_SP-12me'!AL110</f>
        <v>0</v>
      </c>
      <c r="F100" s="48">
        <f>'[10]Rev_SP-12me'!AQ110</f>
        <v>0.264178744346467</v>
      </c>
      <c r="G100" s="68">
        <f>'[10]Rev_SP-12me'!O110</f>
        <v>0</v>
      </c>
      <c r="H100" s="69">
        <f>'[10]Rev_SP-12me'!P110</f>
        <v>0</v>
      </c>
      <c r="I100" s="68">
        <f>'[10]Rev_SP-12me'!AA110</f>
        <v>8000</v>
      </c>
      <c r="J100" s="8"/>
      <c r="K100" s="48">
        <f>'[10]Rev_SP-12me'!AT110</f>
        <v>0</v>
      </c>
      <c r="L100" s="48">
        <f>'[10]Rev_SP-12me'!AU110</f>
        <v>0.132249098158426</v>
      </c>
      <c r="M100" s="48">
        <f>'[10]Rev_SP-12me'!AW110</f>
        <v>0</v>
      </c>
      <c r="N100" s="8"/>
      <c r="O100" s="79">
        <f t="shared" si="2"/>
        <v>0.132249098158426</v>
      </c>
    </row>
    <row r="101" spans="2:15">
      <c r="B101" s="74" t="s">
        <v>1119</v>
      </c>
      <c r="C101" s="55"/>
      <c r="D101" s="53">
        <f>'[10]Rev_SP-12me'!AJ111</f>
        <v>0</v>
      </c>
      <c r="E101" s="53">
        <f>'[10]Rev_SP-12me'!AL111</f>
        <v>0</v>
      </c>
      <c r="F101" s="53">
        <f>'[10]Rev_SP-12me'!AQ111</f>
        <v>0.148723242786164</v>
      </c>
      <c r="G101" s="94">
        <f>'[10]Rev_SP-12me'!O111</f>
        <v>260</v>
      </c>
      <c r="H101" s="91">
        <f>'[10]Rev_SP-12me'!P111</f>
        <v>5</v>
      </c>
      <c r="I101" s="94">
        <f>'[10]Rev_SP-12me'!AA111</f>
        <v>2000</v>
      </c>
      <c r="J101" s="8"/>
      <c r="K101" s="53">
        <f>'[10]Rev_SP-12me'!AT111</f>
        <v>0</v>
      </c>
      <c r="L101" s="53">
        <f>'[10]Rev_SP-12me'!AU111</f>
        <v>0.0743616213930819</v>
      </c>
      <c r="M101" s="53">
        <f>'[10]Rev_SP-12me'!AW111</f>
        <v>0</v>
      </c>
      <c r="N101" s="8"/>
      <c r="O101" s="79">
        <f t="shared" si="2"/>
        <v>0.0743616213930819</v>
      </c>
    </row>
    <row r="102" spans="2:15">
      <c r="B102" s="74" t="s">
        <v>1120</v>
      </c>
      <c r="C102" s="55"/>
      <c r="D102" s="53">
        <f>'[10]Rev_SP-12me'!AJ112</f>
        <v>0</v>
      </c>
      <c r="E102" s="53">
        <f>'[10]Rev_SP-12me'!AL112</f>
        <v>0</v>
      </c>
      <c r="F102" s="53">
        <f>'[10]Rev_SP-12me'!AQ112</f>
        <v>0.0294488677389703</v>
      </c>
      <c r="G102" s="94">
        <f>'[10]Rev_SP-12me'!O112</f>
        <v>0</v>
      </c>
      <c r="H102" s="91">
        <f>'[10]Rev_SP-12me'!P112</f>
        <v>6</v>
      </c>
      <c r="I102" s="94">
        <f>'[10]Rev_SP-12me'!AA112</f>
        <v>2000</v>
      </c>
      <c r="J102" s="8"/>
      <c r="K102" s="53">
        <f>'[10]Rev_SP-12me'!AT112</f>
        <v>0</v>
      </c>
      <c r="L102" s="53">
        <f>'[10]Rev_SP-12me'!AU112</f>
        <v>0.0176693206433822</v>
      </c>
      <c r="M102" s="53">
        <f>'[10]Rev_SP-12me'!AW112</f>
        <v>0</v>
      </c>
      <c r="N102" s="8"/>
      <c r="O102" s="79">
        <f t="shared" si="2"/>
        <v>0.0176693206433822</v>
      </c>
    </row>
    <row r="103" spans="2:15">
      <c r="B103" s="74" t="s">
        <v>1121</v>
      </c>
      <c r="C103" s="55"/>
      <c r="D103" s="53">
        <f>'[10]Rev_SP-12me'!AJ113</f>
        <v>0</v>
      </c>
      <c r="E103" s="53">
        <f>'[10]Rev_SP-12me'!AL113</f>
        <v>0</v>
      </c>
      <c r="F103" s="53">
        <f>'[10]Rev_SP-12me'!AQ113</f>
        <v>0.029077512967143</v>
      </c>
      <c r="G103" s="94">
        <f>'[10]Rev_SP-12me'!O113</f>
        <v>0</v>
      </c>
      <c r="H103" s="91">
        <f>'[10]Rev_SP-12me'!P113</f>
        <v>6</v>
      </c>
      <c r="I103" s="94">
        <f>'[10]Rev_SP-12me'!AA113</f>
        <v>2000</v>
      </c>
      <c r="J103" s="8"/>
      <c r="K103" s="53">
        <f>'[10]Rev_SP-12me'!AT113</f>
        <v>0</v>
      </c>
      <c r="L103" s="53">
        <f>'[10]Rev_SP-12me'!AU113</f>
        <v>0.0174465077802858</v>
      </c>
      <c r="M103" s="53">
        <f>'[10]Rev_SP-12me'!AW113</f>
        <v>0</v>
      </c>
      <c r="N103" s="8"/>
      <c r="O103" s="79">
        <f t="shared" si="2"/>
        <v>0.0174465077802858</v>
      </c>
    </row>
    <row r="104" spans="2:15">
      <c r="B104" s="74" t="s">
        <v>1122</v>
      </c>
      <c r="C104" s="55"/>
      <c r="D104" s="53">
        <f>'[10]Rev_SP-12me'!AJ114</f>
        <v>0</v>
      </c>
      <c r="E104" s="53">
        <f>'[10]Rev_SP-12me'!AL114</f>
        <v>0</v>
      </c>
      <c r="F104" s="53">
        <f>'[10]Rev_SP-12me'!AQ114</f>
        <v>0.0569291208541895</v>
      </c>
      <c r="G104" s="94">
        <f>'[10]Rev_SP-12me'!O114</f>
        <v>0</v>
      </c>
      <c r="H104" s="91">
        <f>'[10]Rev_SP-12me'!P114</f>
        <v>4</v>
      </c>
      <c r="I104" s="94">
        <f>'[10]Rev_SP-12me'!AA114</f>
        <v>2000</v>
      </c>
      <c r="J104" s="8"/>
      <c r="K104" s="53">
        <f>'[10]Rev_SP-12me'!AT114</f>
        <v>0</v>
      </c>
      <c r="L104" s="53">
        <f>'[10]Rev_SP-12me'!AU114</f>
        <v>0.0227716483416758</v>
      </c>
      <c r="M104" s="53">
        <f>'[10]Rev_SP-12me'!AW114</f>
        <v>0</v>
      </c>
      <c r="N104" s="8"/>
      <c r="O104" s="79">
        <f t="shared" si="2"/>
        <v>0.0227716483416758</v>
      </c>
    </row>
    <row r="105" ht="15" spans="2:15">
      <c r="B105" s="71" t="s">
        <v>1126</v>
      </c>
      <c r="C105" s="55"/>
      <c r="D105" s="48">
        <f>'[10]Rev_SP-12me'!AJ115</f>
        <v>11.9166666666667</v>
      </c>
      <c r="E105" s="48">
        <f>'[10]Rev_SP-12me'!AL115</f>
        <v>1.40321141837645</v>
      </c>
      <c r="F105" s="48">
        <f>'[10]Rev_SP-12me'!AQ115</f>
        <v>5.27</v>
      </c>
      <c r="G105" s="68">
        <f>'[10]Rev_SP-12me'!O115</f>
        <v>0</v>
      </c>
      <c r="H105" s="69">
        <f>'[10]Rev_SP-12me'!P115</f>
        <v>0</v>
      </c>
      <c r="I105" s="68">
        <f>'[10]Rev_SP-12me'!AA115</f>
        <v>0</v>
      </c>
      <c r="J105" s="8"/>
      <c r="K105" s="48">
        <f>'[10]Rev_SP-12me'!AT115</f>
        <v>0.639864406779661</v>
      </c>
      <c r="L105" s="48">
        <f>'[10]Rev_SP-12me'!AU115</f>
        <v>3.97531840363979</v>
      </c>
      <c r="M105" s="48">
        <f>'[10]Rev_SP-12me'!AW115</f>
        <v>0.0280374461277258</v>
      </c>
      <c r="N105" s="8"/>
      <c r="O105" s="79">
        <f t="shared" si="2"/>
        <v>4.64322025654718</v>
      </c>
    </row>
    <row r="106" spans="2:15">
      <c r="B106" s="74" t="s">
        <v>1119</v>
      </c>
      <c r="C106" s="55"/>
      <c r="D106" s="53">
        <f>'[10]Rev_SP-12me'!AJ116</f>
        <v>11.9166666666667</v>
      </c>
      <c r="E106" s="53">
        <f>'[10]Rev_SP-12me'!AL116</f>
        <v>1.40321141837645</v>
      </c>
      <c r="F106" s="53">
        <f>'[10]Rev_SP-12me'!AQ116</f>
        <v>1.42423027803581</v>
      </c>
      <c r="G106" s="94">
        <f>'[10]Rev_SP-12me'!O116</f>
        <v>475</v>
      </c>
      <c r="H106" s="91">
        <f>'[10]Rev_SP-12me'!P116</f>
        <v>8.5</v>
      </c>
      <c r="I106" s="94">
        <f>'[10]Rev_SP-12me'!AA116</f>
        <v>2000</v>
      </c>
      <c r="J106" s="8"/>
      <c r="K106" s="53">
        <f>'[10]Rev_SP-12me'!AT116</f>
        <v>0.639864406779661</v>
      </c>
      <c r="L106" s="53">
        <f>'[10]Rev_SP-12me'!AU116</f>
        <v>1.21059573633044</v>
      </c>
      <c r="M106" s="53">
        <f>'[10]Rev_SP-12me'!AW116</f>
        <v>0.0280374461277258</v>
      </c>
      <c r="N106" s="8"/>
      <c r="O106" s="79">
        <f t="shared" ref="O106:O124" si="3">SUM(K106:N106)</f>
        <v>1.87849758923783</v>
      </c>
    </row>
    <row r="107" spans="2:15">
      <c r="B107" s="74" t="s">
        <v>1120</v>
      </c>
      <c r="C107" s="55"/>
      <c r="D107" s="53">
        <f>'[10]Rev_SP-12me'!AJ117</f>
        <v>0</v>
      </c>
      <c r="E107" s="53">
        <f>'[10]Rev_SP-12me'!AL117</f>
        <v>0</v>
      </c>
      <c r="F107" s="53">
        <f>'[10]Rev_SP-12me'!AQ117</f>
        <v>1.19485043038249</v>
      </c>
      <c r="G107" s="94">
        <f>'[10]Rev_SP-12me'!O117</f>
        <v>0</v>
      </c>
      <c r="H107" s="91">
        <f>'[10]Rev_SP-12me'!P117</f>
        <v>9.5</v>
      </c>
      <c r="I107" s="94">
        <f>'[10]Rev_SP-12me'!AA117</f>
        <v>2000</v>
      </c>
      <c r="J107" s="8"/>
      <c r="K107" s="53">
        <f>'[10]Rev_SP-12me'!AT117</f>
        <v>0</v>
      </c>
      <c r="L107" s="53">
        <f>'[10]Rev_SP-12me'!AU117</f>
        <v>1.13510790886337</v>
      </c>
      <c r="M107" s="53">
        <f>'[10]Rev_SP-12me'!AW117</f>
        <v>0</v>
      </c>
      <c r="N107" s="8"/>
      <c r="O107" s="79">
        <f t="shared" si="3"/>
        <v>1.13510790886337</v>
      </c>
    </row>
    <row r="108" spans="2:15">
      <c r="B108" s="74" t="s">
        <v>1121</v>
      </c>
      <c r="C108" s="55"/>
      <c r="D108" s="53">
        <f>'[10]Rev_SP-12me'!AJ118</f>
        <v>0</v>
      </c>
      <c r="E108" s="53">
        <f>'[10]Rev_SP-12me'!AL118</f>
        <v>0</v>
      </c>
      <c r="F108" s="53">
        <f>'[10]Rev_SP-12me'!AQ118</f>
        <v>0.626778549019815</v>
      </c>
      <c r="G108" s="94">
        <f>'[10]Rev_SP-12me'!O118</f>
        <v>0</v>
      </c>
      <c r="H108" s="91">
        <f>'[10]Rev_SP-12me'!P118</f>
        <v>9.5</v>
      </c>
      <c r="I108" s="94">
        <f>'[10]Rev_SP-12me'!AA118</f>
        <v>2000</v>
      </c>
      <c r="J108" s="8"/>
      <c r="K108" s="53">
        <f>'[10]Rev_SP-12me'!AT118</f>
        <v>0</v>
      </c>
      <c r="L108" s="53">
        <f>'[10]Rev_SP-12me'!AU118</f>
        <v>1.07258483970737</v>
      </c>
      <c r="M108" s="53">
        <f>'[10]Rev_SP-12me'!AW118</f>
        <v>0</v>
      </c>
      <c r="N108" s="8"/>
      <c r="O108" s="79">
        <f t="shared" si="3"/>
        <v>1.07258483970737</v>
      </c>
    </row>
    <row r="109" spans="2:15">
      <c r="B109" s="74" t="s">
        <v>1122</v>
      </c>
      <c r="C109" s="55"/>
      <c r="D109" s="53">
        <f>'[10]Rev_SP-12me'!AJ119</f>
        <v>0</v>
      </c>
      <c r="E109" s="53">
        <f>'[10]Rev_SP-12me'!AL119</f>
        <v>0</v>
      </c>
      <c r="F109" s="53">
        <f>'[10]Rev_SP-12me'!AQ119</f>
        <v>2.02414074256188</v>
      </c>
      <c r="G109" s="94">
        <f>'[10]Rev_SP-12me'!O119</f>
        <v>0</v>
      </c>
      <c r="H109" s="91">
        <f>'[10]Rev_SP-12me'!P119</f>
        <v>7.5</v>
      </c>
      <c r="I109" s="94">
        <f>'[10]Rev_SP-12me'!AA119</f>
        <v>2000</v>
      </c>
      <c r="J109" s="8"/>
      <c r="K109" s="53">
        <f>'[10]Rev_SP-12me'!AT119</f>
        <v>0</v>
      </c>
      <c r="L109" s="53">
        <f>'[10]Rev_SP-12me'!AU119</f>
        <v>0.557029918738616</v>
      </c>
      <c r="M109" s="53">
        <f>'[10]Rev_SP-12me'!AW119</f>
        <v>0</v>
      </c>
      <c r="N109" s="8"/>
      <c r="O109" s="79">
        <f t="shared" si="3"/>
        <v>0.557029918738616</v>
      </c>
    </row>
    <row r="110" ht="15" spans="2:15">
      <c r="B110" s="71" t="s">
        <v>1127</v>
      </c>
      <c r="C110" s="55"/>
      <c r="D110" s="48">
        <f>'[10]Rev_SP-12me'!AJ120</f>
        <v>134.722972972973</v>
      </c>
      <c r="E110" s="48">
        <f>'[10]Rev_SP-12me'!AL120</f>
        <v>51.510819358386</v>
      </c>
      <c r="F110" s="48">
        <f>'[10]Rev_SP-12me'!AQ120</f>
        <v>77.0475129545</v>
      </c>
      <c r="G110" s="68">
        <f>'[10]Rev_SP-12me'!O120</f>
        <v>0</v>
      </c>
      <c r="H110" s="69">
        <f>'[10]Rev_SP-12me'!P120</f>
        <v>0</v>
      </c>
      <c r="I110" s="68">
        <f>'[10]Rev_SP-12me'!AA120</f>
        <v>0</v>
      </c>
      <c r="J110" s="8"/>
      <c r="K110" s="48">
        <f>'[10]Rev_SP-12me'!AT120</f>
        <v>8.14514831104479</v>
      </c>
      <c r="L110" s="48">
        <f>'[10]Rev_SP-12me'!AU120</f>
        <v>48.539933161335</v>
      </c>
      <c r="M110" s="48">
        <f>'[10]Rev_SP-12me'!AW120</f>
        <v>0.320295660854646</v>
      </c>
      <c r="N110" s="8"/>
      <c r="O110" s="79">
        <f t="shared" si="3"/>
        <v>57.0053771332344</v>
      </c>
    </row>
    <row r="111" spans="2:15">
      <c r="B111" s="74" t="s">
        <v>1128</v>
      </c>
      <c r="C111" s="55"/>
      <c r="D111" s="53">
        <f>'[10]Rev_SP-12me'!AJ121</f>
        <v>134.722972972973</v>
      </c>
      <c r="E111" s="53">
        <f>'[10]Rev_SP-12me'!AL121</f>
        <v>51.510819358386</v>
      </c>
      <c r="F111" s="53">
        <f>'[10]Rev_SP-12me'!AQ121</f>
        <v>77.0475129545</v>
      </c>
      <c r="G111" s="94">
        <f>'[10]Rev_SP-12me'!O121</f>
        <v>275</v>
      </c>
      <c r="H111" s="91">
        <f>'[10]Rev_SP-12me'!P121</f>
        <v>6.3</v>
      </c>
      <c r="I111" s="94">
        <f>'[10]Rev_SP-12me'!AA121</f>
        <v>2000</v>
      </c>
      <c r="J111" s="8"/>
      <c r="K111" s="53">
        <f>'[10]Rev_SP-12me'!AT121</f>
        <v>8.14514831104479</v>
      </c>
      <c r="L111" s="53">
        <f>'[10]Rev_SP-12me'!AU121</f>
        <v>48.539933161335</v>
      </c>
      <c r="M111" s="53">
        <f>'[10]Rev_SP-12me'!AW121</f>
        <v>0.320295660854646</v>
      </c>
      <c r="N111" s="8"/>
      <c r="O111" s="79">
        <f t="shared" si="3"/>
        <v>57.0053771332344</v>
      </c>
    </row>
    <row r="112" ht="15" spans="2:15">
      <c r="B112" s="71" t="s">
        <v>1129</v>
      </c>
      <c r="C112" s="55"/>
      <c r="D112" s="48">
        <f>'[10]Rev_SP-12me'!AJ132</f>
        <v>123</v>
      </c>
      <c r="E112" s="48">
        <f>'[10]Rev_SP-12me'!AL132</f>
        <v>40.3104272844545</v>
      </c>
      <c r="F112" s="48">
        <f>'[10]Rev_SP-12me'!AQ132</f>
        <v>146.4724870455</v>
      </c>
      <c r="G112" s="68">
        <f>'[10]Rev_SP-12me'!O132</f>
        <v>0</v>
      </c>
      <c r="H112" s="69">
        <f>'[10]Rev_SP-12me'!P132</f>
        <v>0</v>
      </c>
      <c r="I112" s="68">
        <f>'[10]Rev_SP-12me'!AA132</f>
        <v>0</v>
      </c>
      <c r="J112" s="8"/>
      <c r="K112" s="48">
        <f>'[10]Rev_SP-12me'!AT132</f>
        <v>0</v>
      </c>
      <c r="L112" s="48">
        <f>'[10]Rev_SP-12me'!AU132</f>
        <v>89.348217097755</v>
      </c>
      <c r="M112" s="48">
        <f>'[10]Rev_SP-12me'!AW132</f>
        <v>0.29242500678058</v>
      </c>
      <c r="N112" s="8"/>
      <c r="O112" s="79">
        <f t="shared" si="3"/>
        <v>89.6406421045356</v>
      </c>
    </row>
    <row r="113" spans="2:15">
      <c r="B113" s="74" t="s">
        <v>220</v>
      </c>
      <c r="C113" s="55"/>
      <c r="D113" s="53">
        <f>'[10]Rev_SP-12me'!AJ133</f>
        <v>123</v>
      </c>
      <c r="E113" s="53">
        <f>'[10]Rev_SP-12me'!AL133</f>
        <v>40.3104272844545</v>
      </c>
      <c r="F113" s="53">
        <f>'[10]Rev_SP-12me'!AQ133</f>
        <v>146.4724870455</v>
      </c>
      <c r="G113" s="94">
        <f>'[10]Rev_SP-12me'!O133</f>
        <v>0</v>
      </c>
      <c r="H113" s="91">
        <f>'[10]Rev_SP-12me'!P133</f>
        <v>6.1</v>
      </c>
      <c r="I113" s="94">
        <f>'[10]Rev_SP-12me'!AA133</f>
        <v>2000</v>
      </c>
      <c r="J113" s="8"/>
      <c r="K113" s="53">
        <f>'[10]Rev_SP-12me'!AT133</f>
        <v>0</v>
      </c>
      <c r="L113" s="53">
        <f>'[10]Rev_SP-12me'!AU133</f>
        <v>89.348217097755</v>
      </c>
      <c r="M113" s="53">
        <f>'[10]Rev_SP-12me'!AW133</f>
        <v>0.29242500678058</v>
      </c>
      <c r="N113" s="8"/>
      <c r="O113" s="79">
        <f t="shared" si="3"/>
        <v>89.6406421045356</v>
      </c>
    </row>
    <row r="114" spans="2:15">
      <c r="B114" s="74" t="s">
        <v>1130</v>
      </c>
      <c r="C114" s="55"/>
      <c r="D114" s="53">
        <f>'[10]Rev_SP-12me'!AJ134</f>
        <v>0</v>
      </c>
      <c r="E114" s="53">
        <f>'[10]Rev_SP-12me'!AL134</f>
        <v>0</v>
      </c>
      <c r="F114" s="53">
        <f>'[10]Rev_SP-12me'!AQ134</f>
        <v>0</v>
      </c>
      <c r="G114" s="94">
        <f>'[10]Rev_SP-12me'!O134</f>
        <v>0</v>
      </c>
      <c r="H114" s="91">
        <f>'[10]Rev_SP-12me'!P134</f>
        <v>0</v>
      </c>
      <c r="I114" s="94">
        <f>'[10]Rev_SP-12me'!AA134</f>
        <v>2000</v>
      </c>
      <c r="J114" s="8"/>
      <c r="K114" s="53">
        <f>'[10]Rev_SP-12me'!AT134</f>
        <v>0</v>
      </c>
      <c r="L114" s="53">
        <f>'[10]Rev_SP-12me'!AU134</f>
        <v>0</v>
      </c>
      <c r="M114" s="53">
        <f>'[10]Rev_SP-12me'!AW134</f>
        <v>0</v>
      </c>
      <c r="N114" s="8"/>
      <c r="O114" s="79">
        <f t="shared" si="3"/>
        <v>0</v>
      </c>
    </row>
    <row r="115" ht="15" spans="2:15">
      <c r="B115" s="71" t="s">
        <v>1131</v>
      </c>
      <c r="C115" s="55"/>
      <c r="D115" s="48">
        <f>'[10]Rev_SP-12me'!AJ122</f>
        <v>0</v>
      </c>
      <c r="E115" s="48">
        <f>'[10]Rev_SP-12me'!AL122</f>
        <v>0</v>
      </c>
      <c r="F115" s="48">
        <f>'[10]Rev_SP-12me'!AQ122</f>
        <v>0</v>
      </c>
      <c r="G115" s="68">
        <f>'[10]Rev_SP-12me'!O122</f>
        <v>0</v>
      </c>
      <c r="H115" s="69">
        <f>'[10]Rev_SP-12me'!P122</f>
        <v>0</v>
      </c>
      <c r="I115" s="68">
        <f>'[10]Rev_SP-12me'!AA122</f>
        <v>0</v>
      </c>
      <c r="J115" s="8"/>
      <c r="K115" s="48">
        <f>'[10]Rev_SP-12me'!AT122</f>
        <v>0</v>
      </c>
      <c r="L115" s="48">
        <f>'[10]Rev_SP-12me'!AU122</f>
        <v>0</v>
      </c>
      <c r="M115" s="48">
        <f>'[10]Rev_SP-12me'!AW122</f>
        <v>0</v>
      </c>
      <c r="N115" s="8"/>
      <c r="O115" s="79">
        <f t="shared" si="3"/>
        <v>0</v>
      </c>
    </row>
    <row r="116" ht="15" spans="2:15">
      <c r="B116" s="71" t="s">
        <v>1132</v>
      </c>
      <c r="C116" s="55"/>
      <c r="D116" s="48">
        <f>'[10]Rev_SP-12me'!AJ123</f>
        <v>0</v>
      </c>
      <c r="E116" s="48">
        <f>'[10]Rev_SP-12me'!AL123</f>
        <v>0</v>
      </c>
      <c r="F116" s="48">
        <f>'[10]Rev_SP-12me'!AQ123</f>
        <v>0</v>
      </c>
      <c r="G116" s="68">
        <f>'[10]Rev_SP-12me'!O123</f>
        <v>0</v>
      </c>
      <c r="H116" s="69">
        <f>'[10]Rev_SP-12me'!P123</f>
        <v>0</v>
      </c>
      <c r="I116" s="68">
        <f>'[10]Rev_SP-12me'!AA123</f>
        <v>0</v>
      </c>
      <c r="J116" s="8"/>
      <c r="K116" s="48">
        <f>'[10]Rev_SP-12me'!AT123</f>
        <v>0</v>
      </c>
      <c r="L116" s="48">
        <f>'[10]Rev_SP-12me'!AU123</f>
        <v>0</v>
      </c>
      <c r="M116" s="48">
        <f>'[10]Rev_SP-12me'!AW123</f>
        <v>0</v>
      </c>
      <c r="N116" s="8"/>
      <c r="O116" s="79">
        <f t="shared" si="3"/>
        <v>0</v>
      </c>
    </row>
    <row r="117" ht="15" spans="2:15">
      <c r="B117" s="71" t="s">
        <v>919</v>
      </c>
      <c r="C117" s="55"/>
      <c r="D117" s="48">
        <f>'[10]Rev_SP-12me'!AJ124</f>
        <v>230.093023255814</v>
      </c>
      <c r="E117" s="48">
        <f>'[10]Rev_SP-12me'!AL124</f>
        <v>98.017351997667</v>
      </c>
      <c r="F117" s="48">
        <f>'[10]Rev_SP-12me'!AQ124</f>
        <v>222.64</v>
      </c>
      <c r="G117" s="68">
        <f>'[10]Rev_SP-12me'!O124</f>
        <v>260</v>
      </c>
      <c r="H117" s="69">
        <f>'[10]Rev_SP-12me'!P124</f>
        <v>7.3</v>
      </c>
      <c r="I117" s="68">
        <f>'[10]Rev_SP-12me'!AA124</f>
        <v>2000</v>
      </c>
      <c r="J117" s="8"/>
      <c r="K117" s="48">
        <f>'[10]Rev_SP-12me'!AT124</f>
        <v>24.4651310586177</v>
      </c>
      <c r="L117" s="48">
        <f>'[10]Rev_SP-12me'!AU124</f>
        <v>162.5272</v>
      </c>
      <c r="M117" s="48">
        <f>'[10]Rev_SP-12me'!AW124</f>
        <v>0.5301892080099</v>
      </c>
      <c r="N117" s="8"/>
      <c r="O117" s="79">
        <f t="shared" si="3"/>
        <v>187.522520266628</v>
      </c>
    </row>
    <row r="118" ht="15" spans="2:15">
      <c r="B118" s="71" t="s">
        <v>1133</v>
      </c>
      <c r="C118" s="55"/>
      <c r="D118" s="48">
        <f>'[10]Rev_SP-12me'!AJ125</f>
        <v>533.186991869919</v>
      </c>
      <c r="E118" s="48">
        <f>'[10]Rev_SP-12me'!AL125</f>
        <v>114.091646539519</v>
      </c>
      <c r="F118" s="48">
        <f>'[10]Rev_SP-12me'!AQ125</f>
        <v>169.72</v>
      </c>
      <c r="G118" s="68">
        <f>'[10]Rev_SP-12me'!O125</f>
        <v>500</v>
      </c>
      <c r="H118" s="69">
        <f>'[10]Rev_SP-12me'!P125</f>
        <v>11.8</v>
      </c>
      <c r="I118" s="68">
        <f>'[10]Rev_SP-12me'!AA125</f>
        <v>2000</v>
      </c>
      <c r="J118" s="8"/>
      <c r="K118" s="48">
        <f>'[10]Rev_SP-12me'!AT125</f>
        <v>54.763990338969</v>
      </c>
      <c r="L118" s="48">
        <f>'[10]Rev_SP-12me'!AU125</f>
        <v>200.2696</v>
      </c>
      <c r="M118" s="48">
        <f>'[10]Rev_SP-12me'!AW125</f>
        <v>1.24918095238095</v>
      </c>
      <c r="N118" s="8"/>
      <c r="O118" s="79">
        <f t="shared" si="3"/>
        <v>256.28277129135</v>
      </c>
    </row>
    <row r="119" ht="15" spans="2:15">
      <c r="B119" s="71" t="s">
        <v>1134</v>
      </c>
      <c r="C119" s="55"/>
      <c r="D119" s="48">
        <f>'[10]Rev_SP-12me'!AJ126</f>
        <v>0</v>
      </c>
      <c r="E119" s="48">
        <f>'[10]Rev_SP-12me'!AL126</f>
        <v>0</v>
      </c>
      <c r="F119" s="48">
        <f>'[10]Rev_SP-12me'!AQ126</f>
        <v>0</v>
      </c>
      <c r="G119" s="68">
        <f>'[10]Rev_SP-12me'!O126</f>
        <v>0</v>
      </c>
      <c r="H119" s="69">
        <f>'[10]Rev_SP-12me'!P126</f>
        <v>4.84</v>
      </c>
      <c r="I119" s="68">
        <f>'[10]Rev_SP-12me'!AA126</f>
        <v>2000</v>
      </c>
      <c r="J119" s="8"/>
      <c r="K119" s="48">
        <f>'[10]Rev_SP-12me'!AT126</f>
        <v>0</v>
      </c>
      <c r="L119" s="48">
        <f>'[10]Rev_SP-12me'!AU126</f>
        <v>0</v>
      </c>
      <c r="M119" s="48">
        <f>'[10]Rev_SP-12me'!AW126</f>
        <v>0</v>
      </c>
      <c r="N119" s="8"/>
      <c r="O119" s="79">
        <f t="shared" si="3"/>
        <v>0</v>
      </c>
    </row>
    <row r="120" ht="15" spans="2:15">
      <c r="B120" s="71" t="s">
        <v>1135</v>
      </c>
      <c r="C120" s="55"/>
      <c r="D120" s="48">
        <f>'[10]Rev_SP-12me'!AJ127</f>
        <v>3</v>
      </c>
      <c r="E120" s="48">
        <f>'[10]Rev_SP-12me'!AL127</f>
        <v>3</v>
      </c>
      <c r="F120" s="48">
        <f>'[10]Rev_SP-12me'!AQ127</f>
        <v>6.71</v>
      </c>
      <c r="G120" s="68">
        <f>'[10]Rev_SP-12me'!O127</f>
        <v>100</v>
      </c>
      <c r="H120" s="69">
        <f>'[10]Rev_SP-12me'!P127</f>
        <v>6</v>
      </c>
      <c r="I120" s="68">
        <f>'[10]Rev_SP-12me'!AA127</f>
        <v>2000</v>
      </c>
      <c r="J120" s="8"/>
      <c r="K120" s="48">
        <f>'[10]Rev_SP-12me'!AT127</f>
        <v>0.288</v>
      </c>
      <c r="L120" s="48">
        <f>'[10]Rev_SP-12me'!AU127</f>
        <v>4.026</v>
      </c>
      <c r="M120" s="48">
        <f>'[10]Rev_SP-12me'!AW127</f>
        <v>0.0970285714285714</v>
      </c>
      <c r="N120" s="8"/>
      <c r="O120" s="79">
        <f t="shared" si="3"/>
        <v>4.41102857142857</v>
      </c>
    </row>
    <row r="121" spans="2:15">
      <c r="B121" s="76" t="s">
        <v>1119</v>
      </c>
      <c r="C121" s="55"/>
      <c r="D121" s="53">
        <f>'[10]Rev_SP-12me'!AJ128</f>
        <v>3</v>
      </c>
      <c r="E121" s="53">
        <f>'[10]Rev_SP-12me'!AL128</f>
        <v>3</v>
      </c>
      <c r="F121" s="53">
        <f>'[10]Rev_SP-12me'!AQ128</f>
        <v>6.71</v>
      </c>
      <c r="G121" s="94">
        <f>'[10]Rev_SP-12me'!O128</f>
        <v>100</v>
      </c>
      <c r="H121" s="91">
        <f>'[10]Rev_SP-12me'!P128</f>
        <v>6</v>
      </c>
      <c r="I121" s="94">
        <f>'[10]Rev_SP-12me'!AA128</f>
        <v>2000</v>
      </c>
      <c r="J121" s="8"/>
      <c r="K121" s="53">
        <f>'[10]Rev_SP-12me'!AT128</f>
        <v>0.288</v>
      </c>
      <c r="L121" s="53">
        <f>'[10]Rev_SP-12me'!AU128</f>
        <v>4.026</v>
      </c>
      <c r="M121" s="53">
        <f>'[10]Rev_SP-12me'!AW128</f>
        <v>0.00702857142857143</v>
      </c>
      <c r="N121" s="8"/>
      <c r="O121" s="79">
        <f t="shared" si="3"/>
        <v>4.32102857142857</v>
      </c>
    </row>
    <row r="122" spans="2:15">
      <c r="B122" s="76" t="s">
        <v>1120</v>
      </c>
      <c r="C122" s="55"/>
      <c r="D122" s="53">
        <f>'[10]Rev_SP-12me'!AJ129</f>
        <v>0</v>
      </c>
      <c r="E122" s="53">
        <f>'[10]Rev_SP-12me'!AL129</f>
        <v>0</v>
      </c>
      <c r="F122" s="53">
        <f>'[10]Rev_SP-12me'!AQ129</f>
        <v>0</v>
      </c>
      <c r="G122" s="94">
        <f>'[10]Rev_SP-12me'!O129</f>
        <v>0</v>
      </c>
      <c r="H122" s="91">
        <f>'[10]Rev_SP-12me'!P129</f>
        <v>7</v>
      </c>
      <c r="I122" s="94">
        <f>'[10]Rev_SP-12me'!AA129</f>
        <v>2000</v>
      </c>
      <c r="J122" s="8"/>
      <c r="K122" s="53">
        <f>'[10]Rev_SP-12me'!AT129</f>
        <v>0</v>
      </c>
      <c r="L122" s="53">
        <f>'[10]Rev_SP-12me'!AU129</f>
        <v>0</v>
      </c>
      <c r="M122" s="53">
        <f>'[10]Rev_SP-12me'!AW129</f>
        <v>0.03</v>
      </c>
      <c r="N122" s="8"/>
      <c r="O122" s="79">
        <f t="shared" si="3"/>
        <v>0.03</v>
      </c>
    </row>
    <row r="123" spans="2:15">
      <c r="B123" s="76" t="s">
        <v>1121</v>
      </c>
      <c r="C123" s="55"/>
      <c r="D123" s="53">
        <f>'[10]Rev_SP-12me'!AJ130</f>
        <v>0</v>
      </c>
      <c r="E123" s="53">
        <f>'[10]Rev_SP-12me'!AL130</f>
        <v>0</v>
      </c>
      <c r="F123" s="53">
        <f>'[10]Rev_SP-12me'!AQ130</f>
        <v>0</v>
      </c>
      <c r="G123" s="94">
        <f>'[10]Rev_SP-12me'!O130</f>
        <v>0</v>
      </c>
      <c r="H123" s="91">
        <f>'[10]Rev_SP-12me'!P130</f>
        <v>7</v>
      </c>
      <c r="I123" s="94">
        <f>'[10]Rev_SP-12me'!AA130</f>
        <v>2000</v>
      </c>
      <c r="J123" s="8"/>
      <c r="K123" s="53">
        <f>'[10]Rev_SP-12me'!AT130</f>
        <v>0</v>
      </c>
      <c r="L123" s="53">
        <f>'[10]Rev_SP-12me'!AU130</f>
        <v>0</v>
      </c>
      <c r="M123" s="53">
        <f>'[10]Rev_SP-12me'!AW130</f>
        <v>0.03</v>
      </c>
      <c r="N123" s="8"/>
      <c r="O123" s="79">
        <f t="shared" si="3"/>
        <v>0.03</v>
      </c>
    </row>
    <row r="124" spans="2:15">
      <c r="B124" s="76" t="s">
        <v>1122</v>
      </c>
      <c r="C124" s="55"/>
      <c r="D124" s="53">
        <f>'[10]Rev_SP-12me'!AJ131</f>
        <v>0</v>
      </c>
      <c r="E124" s="53">
        <f>'[10]Rev_SP-12me'!AL131</f>
        <v>0</v>
      </c>
      <c r="F124" s="53">
        <f>'[10]Rev_SP-12me'!AQ131</f>
        <v>0</v>
      </c>
      <c r="G124" s="94">
        <f>'[10]Rev_SP-12me'!O131</f>
        <v>0</v>
      </c>
      <c r="H124" s="91">
        <f>'[10]Rev_SP-12me'!P131</f>
        <v>5</v>
      </c>
      <c r="I124" s="94">
        <f>'[10]Rev_SP-12me'!AA131</f>
        <v>2000</v>
      </c>
      <c r="J124" s="8"/>
      <c r="K124" s="53">
        <f>'[10]Rev_SP-12me'!AT131</f>
        <v>0</v>
      </c>
      <c r="L124" s="53">
        <f>'[10]Rev_SP-12me'!AU131</f>
        <v>0</v>
      </c>
      <c r="M124" s="53">
        <f>'[10]Rev_SP-12me'!AW131</f>
        <v>0.03</v>
      </c>
      <c r="N124" s="8"/>
      <c r="O124" s="79">
        <f t="shared" si="3"/>
        <v>0.03</v>
      </c>
    </row>
    <row r="125" ht="15" spans="2:15">
      <c r="B125" s="77" t="s">
        <v>1136</v>
      </c>
      <c r="C125" s="55"/>
      <c r="D125" s="78">
        <f>SUM(D74,D89,D94,D95,D100,D105,D110,D112,D115,D116,D117,D118,D119,D120)</f>
        <v>11988.5514639897</v>
      </c>
      <c r="E125" s="78">
        <f>SUM(E74,E89,E94,E95,E100,E105,E110,E112,E115,E116,E117,E118,E119,E120)</f>
        <v>3545.13928094675</v>
      </c>
      <c r="F125" s="78">
        <f>SUM(F74,F89,F94,F95,F100,F105,F110,F112,F115,F116,F117,F118,F119,F120)</f>
        <v>7453.91022071541</v>
      </c>
      <c r="G125" s="95"/>
      <c r="H125" s="95"/>
      <c r="I125" s="95"/>
      <c r="J125" s="95"/>
      <c r="K125" s="78">
        <f>SUM(K74,K89,K94,K95,K100,K105,K110,K112,K115,K116,K117,K118,K119,K120)</f>
        <v>1564.28559001826</v>
      </c>
      <c r="L125" s="78">
        <f>SUM(L74,L89,L94,L95,L100,L105,L110,L112,L115,L116,L117,L118,L119,L120)</f>
        <v>6040.27368544123</v>
      </c>
      <c r="M125" s="78">
        <f>SUM(M74,M89,M94,M95,M100,M105,M110,M112,M115,M116,M117,M118,M119,M120)</f>
        <v>28.1202502359211</v>
      </c>
      <c r="N125" s="78">
        <f>SUM(N74,N89,N94,N95,N100,N105,N110,N112,N115,N116,N117,N118,N119,N120)</f>
        <v>0</v>
      </c>
      <c r="O125" s="80">
        <f>SUM(O74,O89,O94,O95,O100,O105,O110,O112,O115,O116,O117,O118,O119,O120)</f>
        <v>7632.67952569541</v>
      </c>
    </row>
    <row r="126" spans="2:3">
      <c r="B126" s="55"/>
      <c r="C126" s="55"/>
    </row>
    <row r="127" spans="2:15">
      <c r="B127" s="71" t="s">
        <v>212</v>
      </c>
      <c r="C127" s="55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</row>
    <row r="128" ht="15" spans="2:15">
      <c r="B128" s="71" t="s">
        <v>1137</v>
      </c>
      <c r="C128" s="55"/>
      <c r="D128" s="48">
        <f>'[10]Rev_SP-12me'!AJ149</f>
        <v>424.296063513067</v>
      </c>
      <c r="E128" s="48">
        <f>'[10]Rev_SP-12me'!AL149</f>
        <v>1574.66954189788</v>
      </c>
      <c r="F128" s="48">
        <f>F129+F137</f>
        <v>6010.27891215849</v>
      </c>
      <c r="G128" s="68">
        <f>'[10]Rev_SP-12me'!O149</f>
        <v>0</v>
      </c>
      <c r="H128" s="69">
        <f>'[10]Rev_SP-12me'!P149</f>
        <v>0</v>
      </c>
      <c r="I128" s="68">
        <f>'[10]Rev_SP-12me'!AA149</f>
        <v>0</v>
      </c>
      <c r="J128" s="8"/>
      <c r="K128" s="48">
        <f>'[10]Rev_SP-12me'!AT149</f>
        <v>718.049311105433</v>
      </c>
      <c r="L128" s="48">
        <f>'[10]Rev_SP-12me'!AU149</f>
        <v>4307.23589877194</v>
      </c>
      <c r="M128" s="48">
        <f>'[10]Rev_SP-12me'!AW149</f>
        <v>1.75710405386135</v>
      </c>
      <c r="N128" s="8"/>
      <c r="O128" s="24">
        <f t="shared" ref="O128:O172" si="4">SUM(K128:N128)</f>
        <v>5027.04231393123</v>
      </c>
    </row>
    <row r="129" spans="2:15">
      <c r="B129" s="81" t="s">
        <v>1138</v>
      </c>
      <c r="C129" s="55"/>
      <c r="D129" s="51">
        <f>'[10]Rev_SP-12me'!AJ150</f>
        <v>419.932186569633</v>
      </c>
      <c r="E129" s="51">
        <f>'[10]Rev_SP-12me'!AL150</f>
        <v>1574.66954189788</v>
      </c>
      <c r="F129" s="51">
        <f>'[10]Rev_SP-12me'!AQ150</f>
        <v>5981.55826312116</v>
      </c>
      <c r="G129" s="79">
        <f>'[10]Rev_SP-12me'!O150</f>
        <v>0</v>
      </c>
      <c r="H129" s="60">
        <f>'[10]Rev_SP-12me'!P150</f>
        <v>0</v>
      </c>
      <c r="I129" s="79">
        <f>'[10]Rev_SP-12me'!AA150</f>
        <v>0</v>
      </c>
      <c r="J129" s="8"/>
      <c r="K129" s="51">
        <f>'[10]Rev_SP-12me'!AT150</f>
        <v>718.049311105433</v>
      </c>
      <c r="L129" s="51">
        <f>'[10]Rev_SP-12me'!AU150</f>
        <v>4286.78988040776</v>
      </c>
      <c r="M129" s="51">
        <f>'[10]Rev_SP-12me'!AW150</f>
        <v>1.75710405386135</v>
      </c>
      <c r="N129" s="8"/>
      <c r="O129" s="24">
        <f t="shared" si="4"/>
        <v>5006.59629556705</v>
      </c>
    </row>
    <row r="130" spans="2:15">
      <c r="B130" s="74" t="s">
        <v>1105</v>
      </c>
      <c r="C130" s="55"/>
      <c r="D130" s="53">
        <f>'[10]Rev_SP-12me'!AJ151</f>
        <v>418.932186569633</v>
      </c>
      <c r="E130" s="53">
        <f>'[10]Rev_SP-12me'!AL151</f>
        <v>1574.66954189788</v>
      </c>
      <c r="F130" s="53">
        <f>'[10]Rev_SP-12me'!AQ151</f>
        <v>2130.59613139861</v>
      </c>
      <c r="G130" s="79">
        <f>'[10]Rev_SP-12me'!O151</f>
        <v>475</v>
      </c>
      <c r="H130" s="60">
        <f>'[10]Rev_SP-12me'!P151</f>
        <v>7.15</v>
      </c>
      <c r="I130" s="79">
        <f>'[10]Rev_SP-12me'!AA151</f>
        <v>3500</v>
      </c>
      <c r="J130" s="8"/>
      <c r="K130" s="53">
        <f>'[10]Rev_SP-12me'!AT151</f>
        <v>718.049311105433</v>
      </c>
      <c r="L130" s="53">
        <f>'[10]Rev_SP-12me'!AU151</f>
        <v>1523.37623395</v>
      </c>
      <c r="M130" s="53">
        <f>'[10]Rev_SP-12me'!AW151</f>
        <v>1.75293980041808</v>
      </c>
      <c r="N130" s="8"/>
      <c r="O130" s="24">
        <f t="shared" si="4"/>
        <v>2243.17848485585</v>
      </c>
    </row>
    <row r="131" spans="2:15">
      <c r="B131" s="74" t="s">
        <v>1139</v>
      </c>
      <c r="C131" s="55"/>
      <c r="D131" s="53">
        <f>'[10]Rev_SP-12me'!AJ152</f>
        <v>0</v>
      </c>
      <c r="E131" s="53">
        <f>'[10]Rev_SP-12me'!AL152</f>
        <v>0</v>
      </c>
      <c r="F131" s="53">
        <f>'[10]Rev_SP-12me'!AQ152</f>
        <v>0.126241052534123</v>
      </c>
      <c r="G131" s="79">
        <f>'[10]Rev_SP-12me'!O152</f>
        <v>0</v>
      </c>
      <c r="H131" s="60">
        <f>'[10]Rev_SP-12me'!P152</f>
        <v>7.15</v>
      </c>
      <c r="I131" s="79">
        <f>'[10]Rev_SP-12me'!AA152</f>
        <v>3500</v>
      </c>
      <c r="J131" s="8"/>
      <c r="K131" s="53">
        <f>'[10]Rev_SP-12me'!AT152</f>
        <v>0</v>
      </c>
      <c r="L131" s="53">
        <f>'[10]Rev_SP-12me'!AU152</f>
        <v>0.0902623525618976</v>
      </c>
      <c r="M131" s="53">
        <f>'[10]Rev_SP-12me'!AW152</f>
        <v>0</v>
      </c>
      <c r="N131" s="8"/>
      <c r="O131" s="24">
        <f t="shared" si="4"/>
        <v>0.0902623525618976</v>
      </c>
    </row>
    <row r="132" spans="2:15">
      <c r="B132" s="74" t="s">
        <v>1140</v>
      </c>
      <c r="C132" s="55"/>
      <c r="D132" s="53">
        <f>'[10]Rev_SP-12me'!AJ153</f>
        <v>0</v>
      </c>
      <c r="E132" s="53">
        <f>'[10]Rev_SP-12me'!AL153</f>
        <v>0</v>
      </c>
      <c r="F132" s="53">
        <f>'[10]Rev_SP-12me'!AQ153</f>
        <v>1.8422782671044</v>
      </c>
      <c r="G132" s="79">
        <f>'[10]Rev_SP-12me'!O153</f>
        <v>0</v>
      </c>
      <c r="H132" s="60">
        <f>'[10]Rev_SP-12me'!P153</f>
        <v>7.3</v>
      </c>
      <c r="I132" s="79">
        <f>'[10]Rev_SP-12me'!AA153</f>
        <v>3500</v>
      </c>
      <c r="J132" s="8"/>
      <c r="K132" s="53">
        <f>'[10]Rev_SP-12me'!AT153</f>
        <v>0</v>
      </c>
      <c r="L132" s="53">
        <f>'[10]Rev_SP-12me'!AU153</f>
        <v>1.34486313498621</v>
      </c>
      <c r="M132" s="53">
        <f>'[10]Rev_SP-12me'!AW153</f>
        <v>0</v>
      </c>
      <c r="N132" s="8"/>
      <c r="O132" s="24">
        <f t="shared" si="4"/>
        <v>1.34486313498621</v>
      </c>
    </row>
    <row r="133" spans="2:15">
      <c r="B133" s="74" t="s">
        <v>1141</v>
      </c>
      <c r="C133" s="55"/>
      <c r="D133" s="53">
        <f>'[10]Rev_SP-12me'!AJ154</f>
        <v>1</v>
      </c>
      <c r="E133" s="53">
        <f>'[10]Rev_SP-12me'!AL154</f>
        <v>0</v>
      </c>
      <c r="F133" s="53">
        <f>'[10]Rev_SP-12me'!AQ154</f>
        <v>2.67129740182411</v>
      </c>
      <c r="G133" s="79">
        <f>'[10]Rev_SP-12me'!O154</f>
        <v>475</v>
      </c>
      <c r="H133" s="60">
        <f>'[10]Rev_SP-12me'!P154</f>
        <v>7.9</v>
      </c>
      <c r="I133" s="79">
        <f>'[10]Rev_SP-12me'!AA154</f>
        <v>3500</v>
      </c>
      <c r="J133" s="8"/>
      <c r="K133" s="53">
        <f>'[10]Rev_SP-12me'!AT154</f>
        <v>0</v>
      </c>
      <c r="L133" s="53">
        <f>'[10]Rev_SP-12me'!AU154</f>
        <v>2.11032494744105</v>
      </c>
      <c r="M133" s="53">
        <f>'[10]Rev_SP-12me'!AW154</f>
        <v>0.00416425344326727</v>
      </c>
      <c r="N133" s="8"/>
      <c r="O133" s="24">
        <f t="shared" si="4"/>
        <v>2.11448920088432</v>
      </c>
    </row>
    <row r="134" spans="2:15">
      <c r="B134" s="76" t="s">
        <v>1120</v>
      </c>
      <c r="C134" s="55"/>
      <c r="D134" s="53">
        <f>'[10]Rev_SP-12me'!AJ155</f>
        <v>0</v>
      </c>
      <c r="E134" s="53">
        <f>'[10]Rev_SP-12me'!AL155</f>
        <v>0</v>
      </c>
      <c r="F134" s="53">
        <f>'[10]Rev_SP-12me'!AQ155</f>
        <v>1020.27061010427</v>
      </c>
      <c r="G134" s="79">
        <f>'[10]Rev_SP-12me'!O155</f>
        <v>0</v>
      </c>
      <c r="H134" s="60">
        <f>'[10]Rev_SP-12me'!P155</f>
        <v>8.15</v>
      </c>
      <c r="I134" s="79">
        <f>'[10]Rev_SP-12me'!AA155</f>
        <v>3500</v>
      </c>
      <c r="J134" s="8"/>
      <c r="K134" s="53">
        <f>'[10]Rev_SP-12me'!AT155</f>
        <v>0</v>
      </c>
      <c r="L134" s="53">
        <f>'[10]Rev_SP-12me'!AU155</f>
        <v>831.520547234984</v>
      </c>
      <c r="M134" s="53">
        <f>'[10]Rev_SP-12me'!AW155</f>
        <v>0</v>
      </c>
      <c r="N134" s="8"/>
      <c r="O134" s="24">
        <f t="shared" si="4"/>
        <v>831.520547234984</v>
      </c>
    </row>
    <row r="135" spans="2:15">
      <c r="B135" s="76" t="s">
        <v>1121</v>
      </c>
      <c r="C135" s="55"/>
      <c r="D135" s="53">
        <f>'[10]Rev_SP-12me'!AJ156</f>
        <v>0</v>
      </c>
      <c r="E135" s="53">
        <f>'[10]Rev_SP-12me'!AL156</f>
        <v>0</v>
      </c>
      <c r="F135" s="53">
        <f>'[10]Rev_SP-12me'!AQ156</f>
        <v>951.629251381201</v>
      </c>
      <c r="G135" s="79">
        <f>'[10]Rev_SP-12me'!O156</f>
        <v>0</v>
      </c>
      <c r="H135" s="60">
        <f>'[10]Rev_SP-12me'!P156</f>
        <v>8.15</v>
      </c>
      <c r="I135" s="79">
        <f>'[10]Rev_SP-12me'!AA156</f>
        <v>3500</v>
      </c>
      <c r="J135" s="8"/>
      <c r="K135" s="53">
        <f>'[10]Rev_SP-12me'!AT156</f>
        <v>0</v>
      </c>
      <c r="L135" s="53">
        <f>'[10]Rev_SP-12me'!AU156</f>
        <v>775.577839875679</v>
      </c>
      <c r="M135" s="53">
        <f>'[10]Rev_SP-12me'!AW156</f>
        <v>0</v>
      </c>
      <c r="N135" s="8"/>
      <c r="O135" s="24">
        <f t="shared" si="4"/>
        <v>775.577839875679</v>
      </c>
    </row>
    <row r="136" spans="2:15">
      <c r="B136" s="76" t="s">
        <v>1122</v>
      </c>
      <c r="C136" s="55"/>
      <c r="D136" s="53">
        <f>'[10]Rev_SP-12me'!AJ157</f>
        <v>0</v>
      </c>
      <c r="E136" s="53">
        <f>'[10]Rev_SP-12me'!AL157</f>
        <v>0</v>
      </c>
      <c r="F136" s="53">
        <f>'[10]Rev_SP-12me'!AQ157</f>
        <v>1874.42245351562</v>
      </c>
      <c r="G136" s="79">
        <f>'[10]Rev_SP-12me'!O157</f>
        <v>0</v>
      </c>
      <c r="H136" s="60">
        <f>'[10]Rev_SP-12me'!P157</f>
        <v>6.15</v>
      </c>
      <c r="I136" s="79">
        <f>'[10]Rev_SP-12me'!AA157</f>
        <v>3500</v>
      </c>
      <c r="J136" s="8"/>
      <c r="K136" s="53">
        <f>'[10]Rev_SP-12me'!AT157</f>
        <v>0</v>
      </c>
      <c r="L136" s="53">
        <f>'[10]Rev_SP-12me'!AU157</f>
        <v>1152.7698089121</v>
      </c>
      <c r="M136" s="53">
        <f>'[10]Rev_SP-12me'!AW157</f>
        <v>0</v>
      </c>
      <c r="N136" s="8"/>
      <c r="O136" s="24">
        <f t="shared" si="4"/>
        <v>1152.7698089121</v>
      </c>
    </row>
    <row r="137" spans="2:15">
      <c r="B137" s="71" t="s">
        <v>1113</v>
      </c>
      <c r="C137" s="55"/>
      <c r="D137" s="51">
        <f>'[10]Rev_SP-12me'!AJ158</f>
        <v>4.36387694343367</v>
      </c>
      <c r="E137" s="51">
        <f>'[10]Rev_SP-12me'!AL158</f>
        <v>0</v>
      </c>
      <c r="F137" s="51">
        <f>'[10]Rev_SP-12me'!AQ158</f>
        <v>28.720649037328</v>
      </c>
      <c r="G137" s="79">
        <f>'[10]Rev_SP-12me'!O158</f>
        <v>0</v>
      </c>
      <c r="H137" s="60">
        <f>'[10]Rev_SP-12me'!P158</f>
        <v>0</v>
      </c>
      <c r="I137" s="79">
        <f>'[10]Rev_SP-12me'!AA158</f>
        <v>0</v>
      </c>
      <c r="J137" s="8"/>
      <c r="K137" s="51">
        <f>'[10]Rev_SP-12me'!AT158</f>
        <v>0</v>
      </c>
      <c r="L137" s="51">
        <f>'[10]Rev_SP-12me'!AU158</f>
        <v>20.4460183641736</v>
      </c>
      <c r="M137" s="51">
        <f>'[10]Rev_SP-12me'!AW158</f>
        <v>0</v>
      </c>
      <c r="N137" s="8"/>
      <c r="O137" s="24">
        <f t="shared" si="4"/>
        <v>20.4460183641736</v>
      </c>
    </row>
    <row r="138" spans="2:15">
      <c r="B138" s="76" t="s">
        <v>1142</v>
      </c>
      <c r="C138" s="55"/>
      <c r="D138" s="53">
        <f>'[10]Rev_SP-12me'!AJ159</f>
        <v>4.36387694343367</v>
      </c>
      <c r="E138" s="53">
        <f>'[10]Rev_SP-12me'!AL159</f>
        <v>0</v>
      </c>
      <c r="F138" s="53">
        <f>'[10]Rev_SP-12me'!AQ159</f>
        <v>9.31672225348729</v>
      </c>
      <c r="G138" s="79">
        <f>'[10]Rev_SP-12me'!O159</f>
        <v>475</v>
      </c>
      <c r="H138" s="60">
        <f>'[10]Rev_SP-12me'!P159</f>
        <v>7.15</v>
      </c>
      <c r="I138" s="79">
        <f>'[10]Rev_SP-12me'!AA159</f>
        <v>3500</v>
      </c>
      <c r="J138" s="8"/>
      <c r="K138" s="53">
        <f>'[10]Rev_SP-12me'!AT159</f>
        <v>0</v>
      </c>
      <c r="L138" s="53">
        <f>'[10]Rev_SP-12me'!AU159</f>
        <v>6.66145641124341</v>
      </c>
      <c r="M138" s="53">
        <f>'[10]Rev_SP-12me'!AW159</f>
        <v>0.0181722895876883</v>
      </c>
      <c r="N138" s="8"/>
      <c r="O138" s="24">
        <f t="shared" si="4"/>
        <v>6.6796287008311</v>
      </c>
    </row>
    <row r="139" spans="2:15">
      <c r="B139" s="76" t="s">
        <v>1115</v>
      </c>
      <c r="C139" s="55"/>
      <c r="D139" s="53">
        <f>'[10]Rev_SP-12me'!AJ160</f>
        <v>0</v>
      </c>
      <c r="E139" s="53">
        <f>'[10]Rev_SP-12me'!AL160</f>
        <v>0</v>
      </c>
      <c r="F139" s="53">
        <f>'[10]Rev_SP-12me'!AQ160</f>
        <v>4.6946360047211</v>
      </c>
      <c r="G139" s="79">
        <f>'[10]Rev_SP-12me'!O160</f>
        <v>0</v>
      </c>
      <c r="H139" s="60">
        <f>'[10]Rev_SP-12me'!P160</f>
        <v>8.15</v>
      </c>
      <c r="I139" s="79">
        <f>'[10]Rev_SP-12me'!AA160</f>
        <v>3500</v>
      </c>
      <c r="J139" s="8"/>
      <c r="K139" s="53">
        <f>'[10]Rev_SP-12me'!AT160</f>
        <v>0</v>
      </c>
      <c r="L139" s="53">
        <f>'[10]Rev_SP-12me'!AU160</f>
        <v>3.8261283438477</v>
      </c>
      <c r="M139" s="53">
        <f>'[10]Rev_SP-12me'!AW160</f>
        <v>0</v>
      </c>
      <c r="N139" s="8"/>
      <c r="O139" s="24">
        <f t="shared" si="4"/>
        <v>3.8261283438477</v>
      </c>
    </row>
    <row r="140" spans="2:15">
      <c r="B140" s="76" t="s">
        <v>1116</v>
      </c>
      <c r="C140" s="55"/>
      <c r="D140" s="53">
        <f>'[10]Rev_SP-12me'!AJ161</f>
        <v>0</v>
      </c>
      <c r="E140" s="53">
        <f>'[10]Rev_SP-12me'!AL161</f>
        <v>0</v>
      </c>
      <c r="F140" s="53">
        <f>'[10]Rev_SP-12me'!AQ161</f>
        <v>4.56109889961993</v>
      </c>
      <c r="G140" s="79">
        <f>'[10]Rev_SP-12me'!O161</f>
        <v>0</v>
      </c>
      <c r="H140" s="60">
        <f>'[10]Rev_SP-12me'!P161</f>
        <v>8.15</v>
      </c>
      <c r="I140" s="79">
        <f>'[10]Rev_SP-12me'!AA161</f>
        <v>3500</v>
      </c>
      <c r="J140" s="8"/>
      <c r="K140" s="53">
        <f>'[10]Rev_SP-12me'!AT161</f>
        <v>0</v>
      </c>
      <c r="L140" s="53">
        <f>'[10]Rev_SP-12me'!AU161</f>
        <v>3.71729560319025</v>
      </c>
      <c r="M140" s="53">
        <f>'[10]Rev_SP-12me'!AW161</f>
        <v>0</v>
      </c>
      <c r="N140" s="8"/>
      <c r="O140" s="24">
        <f t="shared" si="4"/>
        <v>3.71729560319025</v>
      </c>
    </row>
    <row r="141" spans="2:15">
      <c r="B141" s="76" t="s">
        <v>1143</v>
      </c>
      <c r="C141" s="55"/>
      <c r="D141" s="53">
        <f>'[10]Rev_SP-12me'!AJ162</f>
        <v>0</v>
      </c>
      <c r="E141" s="53">
        <f>'[10]Rev_SP-12me'!AL162</f>
        <v>0</v>
      </c>
      <c r="F141" s="53">
        <f>'[10]Rev_SP-12me'!AQ162</f>
        <v>10.1481918794996</v>
      </c>
      <c r="G141" s="79">
        <f>'[10]Rev_SP-12me'!O162</f>
        <v>0</v>
      </c>
      <c r="H141" s="60">
        <f>'[10]Rev_SP-12me'!P162</f>
        <v>6.15</v>
      </c>
      <c r="I141" s="79">
        <f>'[10]Rev_SP-12me'!AA162</f>
        <v>3500</v>
      </c>
      <c r="J141" s="8"/>
      <c r="K141" s="53">
        <f>'[10]Rev_SP-12me'!AT162</f>
        <v>0</v>
      </c>
      <c r="L141" s="53">
        <f>'[10]Rev_SP-12me'!AU162</f>
        <v>6.24113800589227</v>
      </c>
      <c r="M141" s="53">
        <f>'[10]Rev_SP-12me'!AW162</f>
        <v>0</v>
      </c>
      <c r="N141" s="8"/>
      <c r="O141" s="24">
        <f t="shared" si="4"/>
        <v>6.24113800589227</v>
      </c>
    </row>
    <row r="142" ht="15" spans="2:15">
      <c r="B142" s="71" t="s">
        <v>1144</v>
      </c>
      <c r="C142" s="55"/>
      <c r="D142" s="48">
        <f>'[10]Rev_SP-12me'!AJ164</f>
        <v>0</v>
      </c>
      <c r="E142" s="48">
        <f>'[10]Rev_SP-12me'!AL164</f>
        <v>12.1559149244853</v>
      </c>
      <c r="F142" s="48">
        <f>'[10]Rev_SP-12me'!AQ164</f>
        <v>61.8606520817098</v>
      </c>
      <c r="G142" s="68">
        <f>'[10]Rev_SP-12me'!O164</f>
        <v>0</v>
      </c>
      <c r="H142" s="69">
        <f>'[10]Rev_SP-12me'!P164</f>
        <v>0</v>
      </c>
      <c r="I142" s="68">
        <f>'[10]Rev_SP-12me'!AA164</f>
        <v>14000</v>
      </c>
      <c r="J142" s="8"/>
      <c r="K142" s="48">
        <f>'[10]Rev_SP-12me'!AT164</f>
        <v>5.54309720556531</v>
      </c>
      <c r="L142" s="48">
        <f>'[10]Rev_SP-12me'!AU164</f>
        <v>44.3494567464979</v>
      </c>
      <c r="M142" s="48">
        <f>'[10]Rev_SP-12me'!AW164</f>
        <v>0</v>
      </c>
      <c r="N142" s="8"/>
      <c r="O142" s="24">
        <f t="shared" si="4"/>
        <v>49.8925539520632</v>
      </c>
    </row>
    <row r="143" spans="2:15">
      <c r="B143" s="74" t="s">
        <v>1119</v>
      </c>
      <c r="C143" s="55"/>
      <c r="D143" s="53">
        <f>'[10]Rev_SP-12me'!AJ165</f>
        <v>0</v>
      </c>
      <c r="E143" s="53">
        <f>'[10]Rev_SP-12me'!AL165</f>
        <v>12.1559149244853</v>
      </c>
      <c r="F143" s="53">
        <f>'[10]Rev_SP-12me'!AQ165</f>
        <v>24.630820364244</v>
      </c>
      <c r="G143" s="79">
        <f>'[10]Rev_SP-12me'!O165</f>
        <v>475</v>
      </c>
      <c r="H143" s="60">
        <f>'[10]Rev_SP-12me'!P165</f>
        <v>7.15</v>
      </c>
      <c r="I143" s="79">
        <f>'[10]Rev_SP-12me'!AA165</f>
        <v>3500</v>
      </c>
      <c r="J143" s="8"/>
      <c r="K143" s="53">
        <f>'[10]Rev_SP-12me'!AT165</f>
        <v>5.54309720556531</v>
      </c>
      <c r="L143" s="53">
        <f>'[10]Rev_SP-12me'!AU165</f>
        <v>17.6110365604345</v>
      </c>
      <c r="M143" s="53">
        <f>'[10]Rev_SP-12me'!AW165</f>
        <v>0</v>
      </c>
      <c r="N143" s="8"/>
      <c r="O143" s="24">
        <f t="shared" si="4"/>
        <v>23.1541337659998</v>
      </c>
    </row>
    <row r="144" spans="2:15">
      <c r="B144" s="74" t="s">
        <v>1120</v>
      </c>
      <c r="C144" s="55"/>
      <c r="D144" s="53">
        <f>'[10]Rev_SP-12me'!AJ166</f>
        <v>0</v>
      </c>
      <c r="E144" s="53">
        <f>'[10]Rev_SP-12me'!AL166</f>
        <v>0</v>
      </c>
      <c r="F144" s="53">
        <f>'[10]Rev_SP-12me'!AQ166</f>
        <v>9.48843594821208</v>
      </c>
      <c r="G144" s="79">
        <f>'[10]Rev_SP-12me'!O166</f>
        <v>0</v>
      </c>
      <c r="H144" s="60">
        <f>'[10]Rev_SP-12me'!P166</f>
        <v>8.15</v>
      </c>
      <c r="I144" s="79">
        <f>'[10]Rev_SP-12me'!AA166</f>
        <v>3500</v>
      </c>
      <c r="J144" s="8"/>
      <c r="K144" s="53">
        <f>'[10]Rev_SP-12me'!AT166</f>
        <v>0</v>
      </c>
      <c r="L144" s="53">
        <f>'[10]Rev_SP-12me'!AU166</f>
        <v>7.73307529779285</v>
      </c>
      <c r="M144" s="53">
        <f>'[10]Rev_SP-12me'!AW166</f>
        <v>0</v>
      </c>
      <c r="N144" s="8"/>
      <c r="O144" s="24">
        <f t="shared" si="4"/>
        <v>7.73307529779285</v>
      </c>
    </row>
    <row r="145" spans="2:15">
      <c r="B145" s="74" t="s">
        <v>1121</v>
      </c>
      <c r="C145" s="55"/>
      <c r="D145" s="53">
        <f>'[10]Rev_SP-12me'!AJ167</f>
        <v>0</v>
      </c>
      <c r="E145" s="53">
        <f>'[10]Rev_SP-12me'!AL167</f>
        <v>0</v>
      </c>
      <c r="F145" s="53">
        <f>'[10]Rev_SP-12me'!AQ167</f>
        <v>9.72193245089741</v>
      </c>
      <c r="G145" s="79">
        <f>'[10]Rev_SP-12me'!O167</f>
        <v>0</v>
      </c>
      <c r="H145" s="60">
        <f>'[10]Rev_SP-12me'!P167</f>
        <v>8.15</v>
      </c>
      <c r="I145" s="79">
        <f>'[10]Rev_SP-12me'!AA167</f>
        <v>3500</v>
      </c>
      <c r="J145" s="8"/>
      <c r="K145" s="53">
        <f>'[10]Rev_SP-12me'!AT167</f>
        <v>0</v>
      </c>
      <c r="L145" s="53">
        <f>'[10]Rev_SP-12me'!AU167</f>
        <v>7.92337494748139</v>
      </c>
      <c r="M145" s="53">
        <f>'[10]Rev_SP-12me'!AW167</f>
        <v>0</v>
      </c>
      <c r="N145" s="8"/>
      <c r="O145" s="24">
        <f t="shared" si="4"/>
        <v>7.92337494748139</v>
      </c>
    </row>
    <row r="146" spans="2:15">
      <c r="B146" s="74" t="s">
        <v>1122</v>
      </c>
      <c r="C146" s="55"/>
      <c r="D146" s="53">
        <f>'[10]Rev_SP-12me'!AJ168</f>
        <v>0</v>
      </c>
      <c r="E146" s="53">
        <f>'[10]Rev_SP-12me'!AL168</f>
        <v>0</v>
      </c>
      <c r="F146" s="53">
        <f>'[10]Rev_SP-12me'!AQ168</f>
        <v>18.0194633183564</v>
      </c>
      <c r="G146" s="79">
        <f>'[10]Rev_SP-12me'!O168</f>
        <v>0</v>
      </c>
      <c r="H146" s="60">
        <f>'[10]Rev_SP-12me'!P168</f>
        <v>6.15</v>
      </c>
      <c r="I146" s="79">
        <f>'[10]Rev_SP-12me'!AA168</f>
        <v>3500</v>
      </c>
      <c r="J146" s="8"/>
      <c r="K146" s="53">
        <f>'[10]Rev_SP-12me'!AT168</f>
        <v>0</v>
      </c>
      <c r="L146" s="53">
        <f>'[10]Rev_SP-12me'!AU168</f>
        <v>11.0819699407892</v>
      </c>
      <c r="M146" s="53">
        <f>'[10]Rev_SP-12me'!AW168</f>
        <v>0</v>
      </c>
      <c r="N146" s="8"/>
      <c r="O146" s="24">
        <f t="shared" si="4"/>
        <v>11.0819699407892</v>
      </c>
    </row>
    <row r="147" ht="15" spans="2:15">
      <c r="B147" s="71" t="s">
        <v>1123</v>
      </c>
      <c r="C147" s="55"/>
      <c r="D147" s="87">
        <f>'[10]Rev_SP-12me'!AJ163</f>
        <v>1</v>
      </c>
      <c r="E147" s="48">
        <f>'[10]Rev_SP-12me'!AL163</f>
        <v>15.5503512880562</v>
      </c>
      <c r="F147" s="48">
        <f>'[10]Rev_SP-12me'!AQ163</f>
        <v>0</v>
      </c>
      <c r="G147" s="68">
        <f>'[10]Rev_SP-12me'!O163</f>
        <v>475</v>
      </c>
      <c r="H147" s="69">
        <f>'[10]Rev_SP-12me'!P163</f>
        <v>7.15</v>
      </c>
      <c r="I147" s="68">
        <f>'[10]Rev_SP-12me'!AA163</f>
        <v>3500</v>
      </c>
      <c r="J147" s="8"/>
      <c r="K147" s="48">
        <f>'[10]Rev_SP-12me'!AT163</f>
        <v>7.09096018735363</v>
      </c>
      <c r="L147" s="48">
        <f>'[10]Rev_SP-12me'!AU163</f>
        <v>0</v>
      </c>
      <c r="M147" s="48">
        <f>'[10]Rev_SP-12me'!AW163</f>
        <v>0.0042</v>
      </c>
      <c r="N147" s="8"/>
      <c r="O147" s="24">
        <f t="shared" si="4"/>
        <v>7.09516018735363</v>
      </c>
    </row>
    <row r="148" ht="15" spans="2:15">
      <c r="B148" s="71" t="s">
        <v>1124</v>
      </c>
      <c r="C148" s="55"/>
      <c r="D148" s="48">
        <f>'[10]Rev_SP-12me'!AJ169</f>
        <v>174</v>
      </c>
      <c r="E148" s="48">
        <f>'[10]Rev_SP-12me'!AL169</f>
        <v>515.939730389015</v>
      </c>
      <c r="F148" s="48">
        <f>'[10]Rev_SP-12me'!AQ169</f>
        <v>1617.95969129032</v>
      </c>
      <c r="G148" s="68">
        <f>'[10]Rev_SP-12me'!O169</f>
        <v>0</v>
      </c>
      <c r="H148" s="69">
        <f>'[10]Rev_SP-12me'!P169</f>
        <v>0</v>
      </c>
      <c r="I148" s="68">
        <f>'[10]Rev_SP-12me'!AA169</f>
        <v>3500</v>
      </c>
      <c r="J148" s="8"/>
      <c r="K148" s="48">
        <f>'[10]Rev_SP-12me'!AT169</f>
        <v>235.268517057391</v>
      </c>
      <c r="L148" s="48">
        <f>'[10]Rev_SP-12me'!AU169</f>
        <v>1308.13940559309</v>
      </c>
      <c r="M148" s="48">
        <f>'[10]Rev_SP-12me'!AW169</f>
        <v>0.721828301069792</v>
      </c>
      <c r="N148" s="8"/>
      <c r="O148" s="24">
        <f t="shared" si="4"/>
        <v>1544.12975095155</v>
      </c>
    </row>
    <row r="149" spans="2:15">
      <c r="B149" s="76" t="s">
        <v>1145</v>
      </c>
      <c r="C149" s="55"/>
      <c r="D149" s="51">
        <f>'[10]Rev_SP-12me'!AJ170</f>
        <v>174</v>
      </c>
      <c r="E149" s="51">
        <f>'[10]Rev_SP-12me'!AL170</f>
        <v>515.939730389015</v>
      </c>
      <c r="F149" s="51">
        <f>'[10]Rev_SP-12me'!AQ170</f>
        <v>679.093682823812</v>
      </c>
      <c r="G149" s="79">
        <f>'[10]Rev_SP-12me'!O170</f>
        <v>475</v>
      </c>
      <c r="H149" s="60">
        <f>'[10]Rev_SP-12me'!P170</f>
        <v>8</v>
      </c>
      <c r="I149" s="79">
        <f>'[10]Rev_SP-12me'!AA170</f>
        <v>3500</v>
      </c>
      <c r="J149" s="8"/>
      <c r="K149" s="51">
        <f>'[10]Rev_SP-12me'!AT170</f>
        <v>235.268517057391</v>
      </c>
      <c r="L149" s="51">
        <f>'[10]Rev_SP-12me'!AU170</f>
        <v>543.27494625905</v>
      </c>
      <c r="M149" s="51">
        <f>'[10]Rev_SP-12me'!AW170</f>
        <v>0.721828301069792</v>
      </c>
      <c r="N149" s="8"/>
      <c r="O149" s="24">
        <f t="shared" si="4"/>
        <v>779.265291617511</v>
      </c>
    </row>
    <row r="150" spans="2:15">
      <c r="B150" s="76" t="s">
        <v>1120</v>
      </c>
      <c r="C150" s="55"/>
      <c r="D150" s="53">
        <f>'[10]Rev_SP-12me'!AJ171</f>
        <v>0</v>
      </c>
      <c r="E150" s="53">
        <f>'[10]Rev_SP-12me'!AL171</f>
        <v>0</v>
      </c>
      <c r="F150" s="53">
        <f>'[10]Rev_SP-12me'!AQ171</f>
        <v>291.176663041176</v>
      </c>
      <c r="G150" s="79">
        <f>'[10]Rev_SP-12me'!O171</f>
        <v>0</v>
      </c>
      <c r="H150" s="60">
        <f>'[10]Rev_SP-12me'!P171</f>
        <v>9</v>
      </c>
      <c r="I150" s="79">
        <f>'[10]Rev_SP-12me'!AA171</f>
        <v>3500</v>
      </c>
      <c r="J150" s="8"/>
      <c r="K150" s="53">
        <f>'[10]Rev_SP-12me'!AT171</f>
        <v>0</v>
      </c>
      <c r="L150" s="53">
        <f>'[10]Rev_SP-12me'!AU171</f>
        <v>262.058996737059</v>
      </c>
      <c r="M150" s="53">
        <f>'[10]Rev_SP-12me'!AW171</f>
        <v>0</v>
      </c>
      <c r="N150" s="8"/>
      <c r="O150" s="24">
        <f t="shared" si="4"/>
        <v>262.058996737059</v>
      </c>
    </row>
    <row r="151" spans="2:15">
      <c r="B151" s="76" t="s">
        <v>1121</v>
      </c>
      <c r="C151" s="55"/>
      <c r="D151" s="53">
        <f>'[10]Rev_SP-12me'!AJ172</f>
        <v>0</v>
      </c>
      <c r="E151" s="53">
        <f>'[10]Rev_SP-12me'!AL172</f>
        <v>0</v>
      </c>
      <c r="F151" s="53">
        <f>'[10]Rev_SP-12me'!AQ172</f>
        <v>247.114603996214</v>
      </c>
      <c r="G151" s="79">
        <f>'[10]Rev_SP-12me'!O172</f>
        <v>0</v>
      </c>
      <c r="H151" s="60">
        <f>'[10]Rev_SP-12me'!P172</f>
        <v>9</v>
      </c>
      <c r="I151" s="79">
        <f>'[10]Rev_SP-12me'!AA172</f>
        <v>3500</v>
      </c>
      <c r="J151" s="8"/>
      <c r="K151" s="53">
        <f>'[10]Rev_SP-12me'!AT172</f>
        <v>0</v>
      </c>
      <c r="L151" s="53">
        <f>'[10]Rev_SP-12me'!AU172</f>
        <v>222.403143596592</v>
      </c>
      <c r="M151" s="53">
        <f>'[10]Rev_SP-12me'!AW172</f>
        <v>0</v>
      </c>
      <c r="N151" s="8"/>
      <c r="O151" s="24">
        <f t="shared" si="4"/>
        <v>222.403143596592</v>
      </c>
    </row>
    <row r="152" spans="2:15">
      <c r="B152" s="76" t="s">
        <v>1122</v>
      </c>
      <c r="C152" s="55"/>
      <c r="D152" s="53">
        <f>'[10]Rev_SP-12me'!AJ173</f>
        <v>0</v>
      </c>
      <c r="E152" s="53">
        <f>'[10]Rev_SP-12me'!AL173</f>
        <v>0</v>
      </c>
      <c r="F152" s="53">
        <f>'[10]Rev_SP-12me'!AQ173</f>
        <v>400.574741429121</v>
      </c>
      <c r="G152" s="79">
        <f>'[10]Rev_SP-12me'!O173</f>
        <v>0</v>
      </c>
      <c r="H152" s="60">
        <f>'[10]Rev_SP-12me'!P173</f>
        <v>7</v>
      </c>
      <c r="I152" s="79">
        <f>'[10]Rev_SP-12me'!AA173</f>
        <v>3500</v>
      </c>
      <c r="J152" s="8"/>
      <c r="K152" s="53">
        <f>'[10]Rev_SP-12me'!AT173</f>
        <v>0</v>
      </c>
      <c r="L152" s="53">
        <f>'[10]Rev_SP-12me'!AU173</f>
        <v>280.402319000385</v>
      </c>
      <c r="M152" s="53">
        <f>'[10]Rev_SP-12me'!AW173</f>
        <v>0</v>
      </c>
      <c r="N152" s="8"/>
      <c r="O152" s="24">
        <f t="shared" si="4"/>
        <v>280.402319000385</v>
      </c>
    </row>
    <row r="153" spans="2:15">
      <c r="B153" s="76" t="s">
        <v>1146</v>
      </c>
      <c r="C153" s="55"/>
      <c r="D153" s="53">
        <f>'[10]Rev_SP-12me'!AJ174</f>
        <v>0</v>
      </c>
      <c r="E153" s="53">
        <f>'[10]Rev_SP-12me'!AL174</f>
        <v>0</v>
      </c>
      <c r="F153" s="53">
        <f>'[10]Rev_SP-12me'!AQ174</f>
        <v>0</v>
      </c>
      <c r="G153" s="79">
        <f>'[10]Rev_SP-12me'!O174</f>
        <v>475</v>
      </c>
      <c r="H153" s="60">
        <f>'[10]Rev_SP-12me'!P174</f>
        <v>8</v>
      </c>
      <c r="I153" s="79">
        <f>'[10]Rev_SP-12me'!AA174</f>
        <v>3500</v>
      </c>
      <c r="J153" s="8"/>
      <c r="K153" s="53">
        <f>'[10]Rev_SP-12me'!AT174</f>
        <v>0</v>
      </c>
      <c r="L153" s="53">
        <f>'[10]Rev_SP-12me'!AU174</f>
        <v>0</v>
      </c>
      <c r="M153" s="53">
        <f>'[10]Rev_SP-12me'!AW174</f>
        <v>0</v>
      </c>
      <c r="N153" s="8"/>
      <c r="O153" s="24">
        <f t="shared" si="4"/>
        <v>0</v>
      </c>
    </row>
    <row r="154" ht="15" spans="2:15">
      <c r="B154" s="71" t="s">
        <v>1125</v>
      </c>
      <c r="C154" s="55"/>
      <c r="D154" s="48">
        <f>'[10]Rev_SP-12me'!AJ175</f>
        <v>0</v>
      </c>
      <c r="E154" s="48">
        <f>'[10]Rev_SP-12me'!AL175</f>
        <v>0</v>
      </c>
      <c r="F154" s="48">
        <f>'[10]Rev_SP-12me'!AQ175</f>
        <v>2.21738254980643</v>
      </c>
      <c r="G154" s="68">
        <f>'[10]Rev_SP-12me'!O175</f>
        <v>0</v>
      </c>
      <c r="H154" s="69">
        <f>'[10]Rev_SP-12me'!P175</f>
        <v>0</v>
      </c>
      <c r="I154" s="68">
        <f>'[10]Rev_SP-12me'!AA175</f>
        <v>14000</v>
      </c>
      <c r="J154" s="8"/>
      <c r="K154" s="48">
        <f>'[10]Rev_SP-12me'!AT175</f>
        <v>0</v>
      </c>
      <c r="L154" s="48">
        <f>'[10]Rev_SP-12me'!AU175</f>
        <v>1.13243734528415</v>
      </c>
      <c r="M154" s="48">
        <f>'[10]Rev_SP-12me'!AW175</f>
        <v>0</v>
      </c>
      <c r="N154" s="8"/>
      <c r="O154" s="24">
        <f t="shared" si="4"/>
        <v>1.13243734528415</v>
      </c>
    </row>
    <row r="155" spans="2:15">
      <c r="B155" s="74" t="s">
        <v>1119</v>
      </c>
      <c r="C155" s="55"/>
      <c r="D155" s="53">
        <f>'[10]Rev_SP-12me'!AJ176</f>
        <v>0</v>
      </c>
      <c r="E155" s="53">
        <f>'[10]Rev_SP-12me'!AL176</f>
        <v>0</v>
      </c>
      <c r="F155" s="53">
        <f>'[10]Rev_SP-12me'!AQ176</f>
        <v>0.905694852573789</v>
      </c>
      <c r="G155" s="79">
        <f>'[10]Rev_SP-12me'!O176</f>
        <v>260</v>
      </c>
      <c r="H155" s="60">
        <f>'[10]Rev_SP-12me'!P176</f>
        <v>5</v>
      </c>
      <c r="I155" s="79">
        <f>'[10]Rev_SP-12me'!AA176</f>
        <v>3500</v>
      </c>
      <c r="J155" s="8"/>
      <c r="K155" s="53">
        <f>'[10]Rev_SP-12me'!AT176</f>
        <v>0</v>
      </c>
      <c r="L155" s="53">
        <f>'[10]Rev_SP-12me'!AU176</f>
        <v>0.452847426286894</v>
      </c>
      <c r="M155" s="53">
        <f>'[10]Rev_SP-12me'!AW176</f>
        <v>0</v>
      </c>
      <c r="N155" s="8"/>
      <c r="O155" s="24">
        <f t="shared" si="4"/>
        <v>0.452847426286894</v>
      </c>
    </row>
    <row r="156" spans="2:15">
      <c r="B156" s="74" t="s">
        <v>1120</v>
      </c>
      <c r="C156" s="55"/>
      <c r="D156" s="53">
        <f>'[10]Rev_SP-12me'!AJ177</f>
        <v>0</v>
      </c>
      <c r="E156" s="53">
        <f>'[10]Rev_SP-12me'!AL177</f>
        <v>0</v>
      </c>
      <c r="F156" s="53">
        <f>'[10]Rev_SP-12me'!AQ177</f>
        <v>0.385663128881866</v>
      </c>
      <c r="G156" s="79">
        <f>'[10]Rev_SP-12me'!O177</f>
        <v>0</v>
      </c>
      <c r="H156" s="60">
        <f>'[10]Rev_SP-12me'!P177</f>
        <v>6</v>
      </c>
      <c r="I156" s="79">
        <f>'[10]Rev_SP-12me'!AA177</f>
        <v>3500</v>
      </c>
      <c r="J156" s="8"/>
      <c r="K156" s="53">
        <f>'[10]Rev_SP-12me'!AT177</f>
        <v>0</v>
      </c>
      <c r="L156" s="53">
        <f>'[10]Rev_SP-12me'!AU177</f>
        <v>0.231397877329119</v>
      </c>
      <c r="M156" s="53">
        <f>'[10]Rev_SP-12me'!AW177</f>
        <v>0</v>
      </c>
      <c r="N156" s="8"/>
      <c r="O156" s="24">
        <f t="shared" si="4"/>
        <v>0.231397877329119</v>
      </c>
    </row>
    <row r="157" spans="2:15">
      <c r="B157" s="74" t="s">
        <v>1121</v>
      </c>
      <c r="C157" s="55"/>
      <c r="D157" s="53">
        <f>'[10]Rev_SP-12me'!AJ178</f>
        <v>0</v>
      </c>
      <c r="E157" s="53">
        <f>'[10]Rev_SP-12me'!AL178</f>
        <v>0</v>
      </c>
      <c r="F157" s="53">
        <f>'[10]Rev_SP-12me'!AQ178</f>
        <v>0.388911071639136</v>
      </c>
      <c r="G157" s="79">
        <f>'[10]Rev_SP-12me'!O178</f>
        <v>0</v>
      </c>
      <c r="H157" s="60">
        <f>'[10]Rev_SP-12me'!P178</f>
        <v>6</v>
      </c>
      <c r="I157" s="79">
        <f>'[10]Rev_SP-12me'!AA178</f>
        <v>3500</v>
      </c>
      <c r="J157" s="8"/>
      <c r="K157" s="53">
        <f>'[10]Rev_SP-12me'!AT178</f>
        <v>0</v>
      </c>
      <c r="L157" s="53">
        <f>'[10]Rev_SP-12me'!AU178</f>
        <v>0.233346642983482</v>
      </c>
      <c r="M157" s="53">
        <f>'[10]Rev_SP-12me'!AW178</f>
        <v>0</v>
      </c>
      <c r="N157" s="8"/>
      <c r="O157" s="24">
        <f t="shared" si="4"/>
        <v>0.233346642983482</v>
      </c>
    </row>
    <row r="158" spans="2:15">
      <c r="B158" s="74" t="s">
        <v>1122</v>
      </c>
      <c r="C158" s="55"/>
      <c r="D158" s="53">
        <f>'[10]Rev_SP-12me'!AJ179</f>
        <v>0</v>
      </c>
      <c r="E158" s="53">
        <f>'[10]Rev_SP-12me'!AL179</f>
        <v>0</v>
      </c>
      <c r="F158" s="53">
        <f>'[10]Rev_SP-12me'!AQ179</f>
        <v>0.537113496711644</v>
      </c>
      <c r="G158" s="79">
        <f>'[10]Rev_SP-12me'!O179</f>
        <v>0</v>
      </c>
      <c r="H158" s="60">
        <f>'[10]Rev_SP-12me'!P179</f>
        <v>4</v>
      </c>
      <c r="I158" s="79">
        <f>'[10]Rev_SP-12me'!AA179</f>
        <v>3500</v>
      </c>
      <c r="J158" s="8"/>
      <c r="K158" s="53">
        <f>'[10]Rev_SP-12me'!AT179</f>
        <v>0</v>
      </c>
      <c r="L158" s="53">
        <f>'[10]Rev_SP-12me'!AU179</f>
        <v>0.214845398684658</v>
      </c>
      <c r="M158" s="53">
        <f>'[10]Rev_SP-12me'!AW179</f>
        <v>0</v>
      </c>
      <c r="N158" s="8"/>
      <c r="O158" s="24">
        <f t="shared" si="4"/>
        <v>0.214845398684658</v>
      </c>
    </row>
    <row r="159" ht="15" spans="2:15">
      <c r="B159" s="71" t="s">
        <v>1126</v>
      </c>
      <c r="C159" s="55"/>
      <c r="D159" s="48">
        <f>'[10]Rev_SP-12me'!AJ180</f>
        <v>0</v>
      </c>
      <c r="E159" s="48">
        <f>'[10]Rev_SP-12me'!AL180</f>
        <v>0</v>
      </c>
      <c r="F159" s="48">
        <f>'[10]Rev_SP-12me'!AQ180</f>
        <v>0</v>
      </c>
      <c r="G159" s="68">
        <f>'[10]Rev_SP-12me'!O180</f>
        <v>0</v>
      </c>
      <c r="H159" s="69">
        <f>'[10]Rev_SP-12me'!P180</f>
        <v>0</v>
      </c>
      <c r="I159" s="68">
        <f>'[10]Rev_SP-12me'!AA180</f>
        <v>0</v>
      </c>
      <c r="J159" s="8"/>
      <c r="K159" s="48">
        <f>'[10]Rev_SP-12me'!AT180</f>
        <v>0</v>
      </c>
      <c r="L159" s="48">
        <f>'[10]Rev_SP-12me'!AU180</f>
        <v>0</v>
      </c>
      <c r="M159" s="48">
        <f>'[10]Rev_SP-12me'!AW180</f>
        <v>0</v>
      </c>
      <c r="N159" s="8"/>
      <c r="O159" s="24">
        <f t="shared" si="4"/>
        <v>0</v>
      </c>
    </row>
    <row r="160" spans="2:15">
      <c r="B160" s="76" t="s">
        <v>1119</v>
      </c>
      <c r="C160" s="55"/>
      <c r="D160" s="53">
        <f>'[10]Rev_SP-12me'!AJ181</f>
        <v>0</v>
      </c>
      <c r="E160" s="53">
        <f>'[10]Rev_SP-12me'!AL181</f>
        <v>0</v>
      </c>
      <c r="F160" s="53">
        <f>'[10]Rev_SP-12me'!AQ181</f>
        <v>0</v>
      </c>
      <c r="G160" s="79">
        <f>'[10]Rev_SP-12me'!O181</f>
        <v>475</v>
      </c>
      <c r="H160" s="60">
        <f>'[10]Rev_SP-12me'!P181</f>
        <v>7.85</v>
      </c>
      <c r="I160" s="79">
        <f>'[10]Rev_SP-12me'!AA181</f>
        <v>3500</v>
      </c>
      <c r="J160" s="8"/>
      <c r="K160" s="53">
        <f>'[10]Rev_SP-12me'!AT181</f>
        <v>0</v>
      </c>
      <c r="L160" s="53">
        <f>'[10]Rev_SP-12me'!AU181</f>
        <v>0</v>
      </c>
      <c r="M160" s="53">
        <f>'[10]Rev_SP-12me'!AW181</f>
        <v>0</v>
      </c>
      <c r="N160" s="8"/>
      <c r="O160" s="24">
        <f t="shared" si="4"/>
        <v>0</v>
      </c>
    </row>
    <row r="161" spans="2:15">
      <c r="B161" s="76" t="s">
        <v>1120</v>
      </c>
      <c r="C161" s="55"/>
      <c r="D161" s="53">
        <f>'[10]Rev_SP-12me'!AJ182</f>
        <v>0</v>
      </c>
      <c r="E161" s="53">
        <f>'[10]Rev_SP-12me'!AL182</f>
        <v>0</v>
      </c>
      <c r="F161" s="53">
        <f>'[10]Rev_SP-12me'!AQ182</f>
        <v>0</v>
      </c>
      <c r="G161" s="79">
        <f>'[10]Rev_SP-12me'!O182</f>
        <v>0</v>
      </c>
      <c r="H161" s="60">
        <f>'[10]Rev_SP-12me'!P182</f>
        <v>8.85</v>
      </c>
      <c r="I161" s="79">
        <f>'[10]Rev_SP-12me'!AA182</f>
        <v>3500</v>
      </c>
      <c r="J161" s="8"/>
      <c r="K161" s="53">
        <f>'[10]Rev_SP-12me'!AT182</f>
        <v>0</v>
      </c>
      <c r="L161" s="53">
        <f>'[10]Rev_SP-12me'!AU182</f>
        <v>0</v>
      </c>
      <c r="M161" s="53">
        <f>'[10]Rev_SP-12me'!AW182</f>
        <v>0</v>
      </c>
      <c r="N161" s="8"/>
      <c r="O161" s="24">
        <f t="shared" si="4"/>
        <v>0</v>
      </c>
    </row>
    <row r="162" spans="2:15">
      <c r="B162" s="76" t="s">
        <v>1121</v>
      </c>
      <c r="C162" s="55"/>
      <c r="D162" s="53">
        <f>'[10]Rev_SP-12me'!AJ183</f>
        <v>0</v>
      </c>
      <c r="E162" s="53">
        <f>'[10]Rev_SP-12me'!AL183</f>
        <v>0</v>
      </c>
      <c r="F162" s="53">
        <f>'[10]Rev_SP-12me'!AQ183</f>
        <v>0</v>
      </c>
      <c r="G162" s="79">
        <f>'[10]Rev_SP-12me'!O183</f>
        <v>0</v>
      </c>
      <c r="H162" s="60">
        <f>'[10]Rev_SP-12me'!P183</f>
        <v>8.85</v>
      </c>
      <c r="I162" s="79">
        <f>'[10]Rev_SP-12me'!AA183</f>
        <v>3500</v>
      </c>
      <c r="J162" s="8"/>
      <c r="K162" s="53">
        <f>'[10]Rev_SP-12me'!AT183</f>
        <v>0</v>
      </c>
      <c r="L162" s="53">
        <f>'[10]Rev_SP-12me'!AU183</f>
        <v>0</v>
      </c>
      <c r="M162" s="53">
        <f>'[10]Rev_SP-12me'!AW183</f>
        <v>0</v>
      </c>
      <c r="N162" s="8"/>
      <c r="O162" s="24">
        <f t="shared" si="4"/>
        <v>0</v>
      </c>
    </row>
    <row r="163" spans="2:15">
      <c r="B163" s="76" t="s">
        <v>1122</v>
      </c>
      <c r="C163" s="55"/>
      <c r="D163" s="53">
        <f>'[10]Rev_SP-12me'!AJ184</f>
        <v>0</v>
      </c>
      <c r="E163" s="53">
        <f>'[10]Rev_SP-12me'!AL184</f>
        <v>0</v>
      </c>
      <c r="F163" s="53">
        <f>'[10]Rev_SP-12me'!AQ184</f>
        <v>0</v>
      </c>
      <c r="G163" s="79">
        <f>'[10]Rev_SP-12me'!O184</f>
        <v>0</v>
      </c>
      <c r="H163" s="60">
        <f>'[10]Rev_SP-12me'!P184</f>
        <v>6.85</v>
      </c>
      <c r="I163" s="79">
        <f>'[10]Rev_SP-12me'!AA184</f>
        <v>3500</v>
      </c>
      <c r="J163" s="8"/>
      <c r="K163" s="53">
        <f>'[10]Rev_SP-12me'!AT184</f>
        <v>0</v>
      </c>
      <c r="L163" s="53">
        <f>'[10]Rev_SP-12me'!AU184</f>
        <v>0</v>
      </c>
      <c r="M163" s="53">
        <f>'[10]Rev_SP-12me'!AW184</f>
        <v>0</v>
      </c>
      <c r="N163" s="8"/>
      <c r="O163" s="24">
        <f t="shared" si="4"/>
        <v>0</v>
      </c>
    </row>
    <row r="164" ht="15" spans="2:15">
      <c r="B164" s="71" t="s">
        <v>1147</v>
      </c>
      <c r="C164" s="55"/>
      <c r="D164" s="48">
        <f>'[10]Rev_SP-12me'!AJ185</f>
        <v>20.1554054054054</v>
      </c>
      <c r="E164" s="48">
        <f>'[10]Rev_SP-12me'!AL185</f>
        <v>47.7301768985133</v>
      </c>
      <c r="F164" s="48">
        <f>'[10]Rev_SP-12me'!AQ185</f>
        <v>53.9945068682218</v>
      </c>
      <c r="G164" s="68">
        <f>'[10]Rev_SP-12me'!O185</f>
        <v>0</v>
      </c>
      <c r="H164" s="69">
        <f>'[10]Rev_SP-12me'!P185</f>
        <v>0</v>
      </c>
      <c r="I164" s="68">
        <f>'[10]Rev_SP-12me'!AA185</f>
        <v>0</v>
      </c>
      <c r="J164" s="8"/>
      <c r="K164" s="48">
        <f>'[10]Rev_SP-12me'!AT185</f>
        <v>7.54733422207742</v>
      </c>
      <c r="L164" s="48">
        <f>'[10]Rev_SP-12me'!AU185</f>
        <v>34.0165393269798</v>
      </c>
      <c r="M164" s="48">
        <f>'[10]Rev_SP-12me'!AW185</f>
        <v>0.0822861310608423</v>
      </c>
      <c r="N164" s="8"/>
      <c r="O164" s="24">
        <f t="shared" si="4"/>
        <v>41.6461596801181</v>
      </c>
    </row>
    <row r="165" spans="2:15">
      <c r="B165" s="82" t="s">
        <v>1128</v>
      </c>
      <c r="C165" s="55"/>
      <c r="D165" s="51">
        <f>'[10]Rev_SP-12me'!AJ186</f>
        <v>20.1554054054054</v>
      </c>
      <c r="E165" s="51">
        <f>'[10]Rev_SP-12me'!AL186</f>
        <v>47.7301768985133</v>
      </c>
      <c r="F165" s="51">
        <f>'[10]Rev_SP-12me'!AQ186</f>
        <v>53.9945068682218</v>
      </c>
      <c r="G165" s="79">
        <f>'[10]Rev_SP-12me'!O186</f>
        <v>275</v>
      </c>
      <c r="H165" s="60">
        <f>'[10]Rev_SP-12me'!P186</f>
        <v>6.3</v>
      </c>
      <c r="I165" s="79">
        <f>'[10]Rev_SP-12me'!AA186</f>
        <v>3500</v>
      </c>
      <c r="J165" s="8"/>
      <c r="K165" s="51">
        <f>'[10]Rev_SP-12me'!AT186</f>
        <v>7.54733422207742</v>
      </c>
      <c r="L165" s="51">
        <f>'[10]Rev_SP-12me'!AU186</f>
        <v>34.0165393269798</v>
      </c>
      <c r="M165" s="51">
        <f>'[10]Rev_SP-12me'!AW186</f>
        <v>0.0822861310608423</v>
      </c>
      <c r="N165" s="8"/>
      <c r="O165" s="24">
        <f t="shared" si="4"/>
        <v>41.6461596801181</v>
      </c>
    </row>
    <row r="166" ht="15" spans="2:15">
      <c r="B166" s="83" t="s">
        <v>1148</v>
      </c>
      <c r="C166" s="55"/>
      <c r="D166" s="48">
        <f>'[10]Rev_SP-12me'!AJ191</f>
        <v>13.7905405405405</v>
      </c>
      <c r="E166" s="48">
        <f>'[10]Rev_SP-12me'!AL191</f>
        <v>47.4859633725971</v>
      </c>
      <c r="F166" s="48">
        <f>'[10]Rev_SP-12me'!AQ191</f>
        <v>266.625493131778</v>
      </c>
      <c r="G166" s="68">
        <f>'[10]Rev_SP-12me'!O191</f>
        <v>0</v>
      </c>
      <c r="H166" s="69">
        <f>'[10]Rev_SP-12me'!P191</f>
        <v>0</v>
      </c>
      <c r="I166" s="68">
        <f>'[10]Rev_SP-12me'!AA191</f>
        <v>0</v>
      </c>
      <c r="J166" s="8"/>
      <c r="K166" s="48">
        <f>'[10]Rev_SP-12me'!AT191</f>
        <v>0</v>
      </c>
      <c r="L166" s="48">
        <f>'[10]Rev_SP-12me'!AU191</f>
        <v>162.641550810385</v>
      </c>
      <c r="M166" s="48">
        <f>'[10]Rev_SP-12me'!AW191</f>
        <v>0.0563010370416289</v>
      </c>
      <c r="N166" s="8"/>
      <c r="O166" s="24">
        <f t="shared" si="4"/>
        <v>162.697851847427</v>
      </c>
    </row>
    <row r="167" spans="2:15">
      <c r="B167" s="74" t="s">
        <v>1149</v>
      </c>
      <c r="C167" s="55"/>
      <c r="D167" s="51">
        <f>'[10]Rev_SP-12me'!AJ192</f>
        <v>13.7905405405405</v>
      </c>
      <c r="E167" s="51">
        <f>'[10]Rev_SP-12me'!AL192</f>
        <v>47.4859633725971</v>
      </c>
      <c r="F167" s="51">
        <f>'[10]Rev_SP-12me'!AQ192</f>
        <v>266.625493131778</v>
      </c>
      <c r="G167" s="79">
        <f>'[10]Rev_SP-12me'!O192</f>
        <v>0</v>
      </c>
      <c r="H167" s="60">
        <f>'[10]Rev_SP-12me'!P192</f>
        <v>6.1</v>
      </c>
      <c r="I167" s="79">
        <f>'[10]Rev_SP-12me'!AA192</f>
        <v>3500</v>
      </c>
      <c r="J167" s="8"/>
      <c r="K167" s="51">
        <f>'[10]Rev_SP-12me'!AT192</f>
        <v>0</v>
      </c>
      <c r="L167" s="51">
        <f>'[10]Rev_SP-12me'!AU192</f>
        <v>162.641550810385</v>
      </c>
      <c r="M167" s="51">
        <f>'[10]Rev_SP-12me'!AW192</f>
        <v>0.0563010370416289</v>
      </c>
      <c r="N167" s="8"/>
      <c r="O167" s="24">
        <f t="shared" si="4"/>
        <v>162.697851847427</v>
      </c>
    </row>
    <row r="168" ht="15" spans="2:15">
      <c r="B168" s="77" t="s">
        <v>1150</v>
      </c>
      <c r="C168" s="55"/>
      <c r="D168" s="48">
        <f>'[10]Rev_SP-12me'!AJ193</f>
        <v>0</v>
      </c>
      <c r="E168" s="48">
        <f>'[10]Rev_SP-12me'!AL193</f>
        <v>0</v>
      </c>
      <c r="F168" s="48">
        <f>'[10]Rev_SP-12me'!AQ193</f>
        <v>0</v>
      </c>
      <c r="G168" s="68">
        <f>'[10]Rev_SP-12me'!O193</f>
        <v>0</v>
      </c>
      <c r="H168" s="69">
        <f>'[10]Rev_SP-12me'!P193</f>
        <v>0</v>
      </c>
      <c r="I168" s="68">
        <f>'[10]Rev_SP-12me'!AA193</f>
        <v>3500</v>
      </c>
      <c r="J168" s="8"/>
      <c r="K168" s="48">
        <f>'[10]Rev_SP-12me'!AT193</f>
        <v>0</v>
      </c>
      <c r="L168" s="48">
        <f>'[10]Rev_SP-12me'!AU193</f>
        <v>0</v>
      </c>
      <c r="M168" s="48">
        <f>'[10]Rev_SP-12me'!AW193</f>
        <v>0</v>
      </c>
      <c r="N168" s="8"/>
      <c r="O168" s="24">
        <f t="shared" si="4"/>
        <v>0</v>
      </c>
    </row>
    <row r="169" ht="15" spans="2:15">
      <c r="B169" s="71" t="s">
        <v>1131</v>
      </c>
      <c r="C169" s="55"/>
      <c r="D169" s="48">
        <f>'[10]Rev_SP-12me'!AJ187</f>
        <v>1</v>
      </c>
      <c r="E169" s="48">
        <f>'[10]Rev_SP-12me'!AL187</f>
        <v>4.44293015332198</v>
      </c>
      <c r="F169" s="48">
        <f>'[10]Rev_SP-12me'!AQ187</f>
        <v>0</v>
      </c>
      <c r="G169" s="68">
        <f>'[10]Rev_SP-12me'!O187</f>
        <v>0</v>
      </c>
      <c r="H169" s="69">
        <f>'[10]Rev_SP-12me'!P187</f>
        <v>0</v>
      </c>
      <c r="I169" s="68">
        <f>'[10]Rev_SP-12me'!AA187</f>
        <v>0</v>
      </c>
      <c r="J169" s="8"/>
      <c r="K169" s="48">
        <f>'[10]Rev_SP-12me'!AT187</f>
        <v>0</v>
      </c>
      <c r="L169" s="48">
        <f>'[10]Rev_SP-12me'!AU187</f>
        <v>0</v>
      </c>
      <c r="M169" s="48">
        <f>'[10]Rev_SP-12me'!AW187</f>
        <v>0</v>
      </c>
      <c r="N169" s="8"/>
      <c r="O169" s="24">
        <f t="shared" si="4"/>
        <v>0</v>
      </c>
    </row>
    <row r="170" ht="15" spans="2:15">
      <c r="B170" s="71" t="s">
        <v>1132</v>
      </c>
      <c r="C170" s="55"/>
      <c r="D170" s="48">
        <f>'[10]Rev_SP-12me'!AJ188</f>
        <v>0</v>
      </c>
      <c r="E170" s="48">
        <f>'[10]Rev_SP-12me'!AL188</f>
        <v>0</v>
      </c>
      <c r="F170" s="48">
        <f>'[10]Rev_SP-12me'!AQ188</f>
        <v>0</v>
      </c>
      <c r="G170" s="68">
        <f>'[10]Rev_SP-12me'!O188</f>
        <v>0</v>
      </c>
      <c r="H170" s="69">
        <f>'[10]Rev_SP-12me'!P188</f>
        <v>0</v>
      </c>
      <c r="I170" s="68">
        <f>'[10]Rev_SP-12me'!AA188</f>
        <v>0</v>
      </c>
      <c r="J170" s="8"/>
      <c r="K170" s="48">
        <f>'[10]Rev_SP-12me'!AT188</f>
        <v>0</v>
      </c>
      <c r="L170" s="48">
        <f>'[10]Rev_SP-12me'!AU188</f>
        <v>0</v>
      </c>
      <c r="M170" s="48">
        <f>'[10]Rev_SP-12me'!AW188</f>
        <v>0</v>
      </c>
      <c r="N170" s="8"/>
      <c r="O170" s="24">
        <f t="shared" si="4"/>
        <v>0</v>
      </c>
    </row>
    <row r="171" ht="15" spans="2:15">
      <c r="B171" s="71" t="s">
        <v>919</v>
      </c>
      <c r="C171" s="55"/>
      <c r="D171" s="48">
        <f>'[10]Rev_SP-12me'!AJ189</f>
        <v>24.906976744186</v>
      </c>
      <c r="E171" s="48">
        <f>'[10]Rev_SP-12me'!AL189</f>
        <v>62.9826480023331</v>
      </c>
      <c r="F171" s="48">
        <f>'[10]Rev_SP-12me'!AQ189</f>
        <v>150.12</v>
      </c>
      <c r="G171" s="68">
        <f>'[10]Rev_SP-12me'!O189</f>
        <v>260</v>
      </c>
      <c r="H171" s="69">
        <f>'[10]Rev_SP-12me'!P189</f>
        <v>7.3</v>
      </c>
      <c r="I171" s="68">
        <f>'[10]Rev_SP-12me'!AA189</f>
        <v>3500</v>
      </c>
      <c r="J171" s="8"/>
      <c r="K171" s="48">
        <f>'[10]Rev_SP-12me'!AT189</f>
        <v>15.7204689413823</v>
      </c>
      <c r="L171" s="48">
        <f>'[10]Rev_SP-12me'!AU189</f>
        <v>109.5876</v>
      </c>
      <c r="M171" s="48">
        <f>'[10]Rev_SP-12me'!AW189</f>
        <v>0.0990709176701364</v>
      </c>
      <c r="N171" s="8"/>
      <c r="O171" s="24">
        <f t="shared" si="4"/>
        <v>125.407139859052</v>
      </c>
    </row>
    <row r="172" ht="15" spans="2:15">
      <c r="B172" s="71" t="s">
        <v>1133</v>
      </c>
      <c r="C172" s="55"/>
      <c r="D172" s="48">
        <f>'[10]Rev_SP-12me'!AJ190</f>
        <v>8.8130081300813</v>
      </c>
      <c r="E172" s="48">
        <f>'[10]Rev_SP-12me'!AL190</f>
        <v>23.9083534604814</v>
      </c>
      <c r="F172" s="48">
        <f>'[10]Rev_SP-12me'!AQ190</f>
        <v>44.46</v>
      </c>
      <c r="G172" s="68">
        <f>'[10]Rev_SP-12me'!O190</f>
        <v>500</v>
      </c>
      <c r="H172" s="69">
        <f>'[10]Rev_SP-12me'!P190</f>
        <v>11</v>
      </c>
      <c r="I172" s="68">
        <f>'[10]Rev_SP-12me'!AA190</f>
        <v>3500</v>
      </c>
      <c r="J172" s="8"/>
      <c r="K172" s="48">
        <f>'[10]Rev_SP-12me'!AT190</f>
        <v>11.4760096610311</v>
      </c>
      <c r="L172" s="48">
        <f>'[10]Rev_SP-12me'!AU190</f>
        <v>48.906</v>
      </c>
      <c r="M172" s="48">
        <f>'[10]Rev_SP-12me'!AW190</f>
        <v>0.0361333333333333</v>
      </c>
      <c r="N172" s="8"/>
      <c r="O172" s="24">
        <f t="shared" si="4"/>
        <v>60.4181429943644</v>
      </c>
    </row>
    <row r="173" ht="15" spans="2:15">
      <c r="B173" s="77" t="s">
        <v>1151</v>
      </c>
      <c r="C173" s="55"/>
      <c r="D173" s="78">
        <f>SUM(D128,D142,D147,D148,D154,D159,D164,D166,D168,D169,D170,D171,D172)</f>
        <v>667.96199433328</v>
      </c>
      <c r="E173" s="78">
        <f>SUM(E128,E142,E147,E148,E154,E159,E164,E166,E168,E169,E170,E171,E172)</f>
        <v>2304.86561038668</v>
      </c>
      <c r="F173" s="78">
        <f>SUM(F128,F142,F147,F148,F154,F159,F164,F166,F168,F169,F170,F171,F172)</f>
        <v>8207.51663808032</v>
      </c>
      <c r="G173" s="95"/>
      <c r="H173" s="95"/>
      <c r="I173" s="95"/>
      <c r="J173" s="95"/>
      <c r="K173" s="80">
        <f>SUM(K128,K142,K147,K148,K154,K159,K164,K166,K168,K169,K170,K171,K172)</f>
        <v>1000.69569838023</v>
      </c>
      <c r="L173" s="80">
        <f>SUM(L128,L142,L147,L148,L154,L159,L164,L166,L168,L169,L170,L171,L172)</f>
        <v>6016.00888859418</v>
      </c>
      <c r="M173" s="80">
        <f>SUM(M128,M142,M147,M148,M154,M159,M164,M166,M168,M169,M170,M171,M172)</f>
        <v>2.75692377403708</v>
      </c>
      <c r="N173" s="78">
        <f>SUM(N128,N142,N147,N148,N154,N159,N164,N166,N168,N169,N170,N171,N172)</f>
        <v>0</v>
      </c>
      <c r="O173" s="78">
        <f>SUM(O128,O142,O147,O148,O154,O159,O164,O166,O168,O169,O170,O171,O172)</f>
        <v>7019.46151074845</v>
      </c>
    </row>
    <row r="174" spans="2:15">
      <c r="B174" s="55"/>
      <c r="C174" s="55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</row>
    <row r="175" spans="2:15">
      <c r="B175" s="71" t="s">
        <v>1152</v>
      </c>
      <c r="C175" s="55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</row>
    <row r="176" ht="15" spans="2:15">
      <c r="B176" s="71" t="s">
        <v>1137</v>
      </c>
      <c r="C176" s="55"/>
      <c r="D176" s="48">
        <f>'[10]Rev_SP-12me'!AJ208</f>
        <v>48.0026463777704</v>
      </c>
      <c r="E176" s="48">
        <f>'[10]Rev_SP-12me'!AL208</f>
        <v>675.417012004775</v>
      </c>
      <c r="F176" s="48">
        <f>'[10]Rev_SP-12me'!AQ208</f>
        <v>4759.99343954088</v>
      </c>
      <c r="G176" s="68">
        <f>'[10]Rev_SP-12me'!O208</f>
        <v>0</v>
      </c>
      <c r="H176" s="69">
        <f>'[10]Rev_SP-12me'!P208</f>
        <v>0</v>
      </c>
      <c r="I176" s="68">
        <f>'[10]Rev_SP-12me'!AA208</f>
        <v>0</v>
      </c>
      <c r="J176" s="8"/>
      <c r="K176" s="48">
        <f>'[10]Rev_SP-12me'!AT208</f>
        <v>307.990157474177</v>
      </c>
      <c r="L176" s="48">
        <f>'[10]Rev_SP-12me'!AU208</f>
        <v>3155.61119090431</v>
      </c>
      <c r="M176" s="48">
        <f>'[10]Rev_SP-12me'!AW208</f>
        <v>0.304110858558894</v>
      </c>
      <c r="N176" s="8"/>
      <c r="O176" s="24">
        <f t="shared" ref="O176:O217" si="5">SUM(K176:N176)</f>
        <v>3463.90545923705</v>
      </c>
    </row>
    <row r="177" spans="2:15">
      <c r="B177" s="74" t="s">
        <v>1105</v>
      </c>
      <c r="C177" s="55"/>
      <c r="D177" s="51">
        <f>'[10]Rev_SP-12me'!AJ209</f>
        <v>48.0026463777704</v>
      </c>
      <c r="E177" s="51">
        <f>'[10]Rev_SP-12me'!AL209</f>
        <v>675.417012004775</v>
      </c>
      <c r="F177" s="51">
        <f>'[10]Rev_SP-12me'!AQ209</f>
        <v>2201.19698734249</v>
      </c>
      <c r="G177" s="79">
        <f>'[10]Rev_SP-12me'!O209</f>
        <v>475</v>
      </c>
      <c r="H177" s="60">
        <f>'[10]Rev_SP-12me'!P209</f>
        <v>6.65</v>
      </c>
      <c r="I177" s="79">
        <f>'[10]Rev_SP-12me'!AA209</f>
        <v>5000</v>
      </c>
      <c r="J177" s="8"/>
      <c r="K177" s="51">
        <f>'[10]Rev_SP-12me'!AT209</f>
        <v>307.990157474177</v>
      </c>
      <c r="L177" s="51">
        <f>'[10]Rev_SP-12me'!AU209</f>
        <v>1463.79599658275</v>
      </c>
      <c r="M177" s="51">
        <f>'[10]Rev_SP-12me'!AW209</f>
        <v>0.304110858558894</v>
      </c>
      <c r="N177" s="8"/>
      <c r="O177" s="24">
        <f t="shared" si="5"/>
        <v>1772.09026491549</v>
      </c>
    </row>
    <row r="178" spans="2:15">
      <c r="B178" s="74" t="s">
        <v>1139</v>
      </c>
      <c r="C178" s="55"/>
      <c r="D178" s="53">
        <f>'[10]Rev_SP-12me'!AJ210</f>
        <v>0</v>
      </c>
      <c r="E178" s="53">
        <f>'[10]Rev_SP-12me'!AL210</f>
        <v>0</v>
      </c>
      <c r="F178" s="53">
        <f>'[10]Rev_SP-12me'!AQ210</f>
        <v>0</v>
      </c>
      <c r="G178" s="94">
        <f>'[10]Rev_SP-12me'!O210</f>
        <v>0</v>
      </c>
      <c r="H178" s="91">
        <f>'[10]Rev_SP-12me'!P210</f>
        <v>6.65</v>
      </c>
      <c r="I178" s="94">
        <f>'[10]Rev_SP-12me'!AA210</f>
        <v>5000</v>
      </c>
      <c r="J178" s="8"/>
      <c r="K178" s="53">
        <f>'[10]Rev_SP-12me'!AT210</f>
        <v>0</v>
      </c>
      <c r="L178" s="53">
        <f>'[10]Rev_SP-12me'!AU210</f>
        <v>0</v>
      </c>
      <c r="M178" s="53">
        <f>'[10]Rev_SP-12me'!AW210</f>
        <v>0</v>
      </c>
      <c r="N178" s="8"/>
      <c r="O178" s="24">
        <f t="shared" si="5"/>
        <v>0</v>
      </c>
    </row>
    <row r="179" spans="2:15">
      <c r="B179" s="74" t="s">
        <v>1140</v>
      </c>
      <c r="C179" s="55"/>
      <c r="D179" s="53">
        <f>'[10]Rev_SP-12me'!AJ211</f>
        <v>0</v>
      </c>
      <c r="E179" s="53">
        <f>'[10]Rev_SP-12me'!AL211</f>
        <v>0</v>
      </c>
      <c r="F179" s="53">
        <f>'[10]Rev_SP-12me'!AQ211</f>
        <v>0</v>
      </c>
      <c r="G179" s="94">
        <f>'[10]Rev_SP-12me'!O211</f>
        <v>0</v>
      </c>
      <c r="H179" s="91">
        <f>'[10]Rev_SP-12me'!P211</f>
        <v>7.3</v>
      </c>
      <c r="I179" s="94">
        <f>'[10]Rev_SP-12me'!AA211</f>
        <v>5000</v>
      </c>
      <c r="J179" s="8"/>
      <c r="K179" s="53">
        <f>'[10]Rev_SP-12me'!AT211</f>
        <v>0</v>
      </c>
      <c r="L179" s="53">
        <f>'[10]Rev_SP-12me'!AU211</f>
        <v>0</v>
      </c>
      <c r="M179" s="53">
        <f>'[10]Rev_SP-12me'!AW211</f>
        <v>0</v>
      </c>
      <c r="N179" s="8"/>
      <c r="O179" s="24">
        <f t="shared" si="5"/>
        <v>0</v>
      </c>
    </row>
    <row r="180" spans="2:15">
      <c r="B180" s="74" t="s">
        <v>1141</v>
      </c>
      <c r="C180" s="55"/>
      <c r="D180" s="53">
        <f>'[10]Rev_SP-12me'!AJ212</f>
        <v>0</v>
      </c>
      <c r="E180" s="53">
        <f>'[10]Rev_SP-12me'!AL212</f>
        <v>0</v>
      </c>
      <c r="F180" s="53">
        <f>'[10]Rev_SP-12me'!AQ212</f>
        <v>0</v>
      </c>
      <c r="G180" s="94">
        <f>'[10]Rev_SP-12me'!O212</f>
        <v>475</v>
      </c>
      <c r="H180" s="91">
        <f>'[10]Rev_SP-12me'!P212</f>
        <v>7.7</v>
      </c>
      <c r="I180" s="94">
        <f>'[10]Rev_SP-12me'!AA212</f>
        <v>5000</v>
      </c>
      <c r="J180" s="8"/>
      <c r="K180" s="53">
        <f>'[10]Rev_SP-12me'!AT212</f>
        <v>0</v>
      </c>
      <c r="L180" s="53">
        <f>'[10]Rev_SP-12me'!AU212</f>
        <v>0</v>
      </c>
      <c r="M180" s="53">
        <f>'[10]Rev_SP-12me'!AW212</f>
        <v>0</v>
      </c>
      <c r="N180" s="8"/>
      <c r="O180" s="24">
        <f t="shared" si="5"/>
        <v>0</v>
      </c>
    </row>
    <row r="181" spans="2:15">
      <c r="B181" s="76" t="s">
        <v>1120</v>
      </c>
      <c r="C181" s="55"/>
      <c r="D181" s="53">
        <f>'[10]Rev_SP-12me'!AJ213</f>
        <v>0</v>
      </c>
      <c r="E181" s="53">
        <f>'[10]Rev_SP-12me'!AL213</f>
        <v>0</v>
      </c>
      <c r="F181" s="53">
        <f>'[10]Rev_SP-12me'!AQ213</f>
        <v>648.11135665373</v>
      </c>
      <c r="G181" s="94">
        <f>'[10]Rev_SP-12me'!O213</f>
        <v>0</v>
      </c>
      <c r="H181" s="91">
        <f>'[10]Rev_SP-12me'!P213</f>
        <v>7.65</v>
      </c>
      <c r="I181" s="94">
        <f>'[10]Rev_SP-12me'!AA213</f>
        <v>5000</v>
      </c>
      <c r="J181" s="8"/>
      <c r="K181" s="53">
        <f>'[10]Rev_SP-12me'!AT213</f>
        <v>0</v>
      </c>
      <c r="L181" s="53">
        <f>'[10]Rev_SP-12me'!AU213</f>
        <v>495.805187840103</v>
      </c>
      <c r="M181" s="53">
        <f>'[10]Rev_SP-12me'!AW213</f>
        <v>0</v>
      </c>
      <c r="N181" s="8"/>
      <c r="O181" s="24">
        <f t="shared" si="5"/>
        <v>495.805187840103</v>
      </c>
    </row>
    <row r="182" spans="2:15">
      <c r="B182" s="76" t="s">
        <v>1121</v>
      </c>
      <c r="C182" s="55"/>
      <c r="D182" s="53">
        <f>'[10]Rev_SP-12me'!AJ214</f>
        <v>0</v>
      </c>
      <c r="E182" s="53">
        <f>'[10]Rev_SP-12me'!AL214</f>
        <v>0</v>
      </c>
      <c r="F182" s="53">
        <f>'[10]Rev_SP-12me'!AQ214</f>
        <v>582.364637493587</v>
      </c>
      <c r="G182" s="94">
        <f>'[10]Rev_SP-12me'!O214</f>
        <v>0</v>
      </c>
      <c r="H182" s="91">
        <f>'[10]Rev_SP-12me'!P214</f>
        <v>7.65</v>
      </c>
      <c r="I182" s="94">
        <f>'[10]Rev_SP-12me'!AA214</f>
        <v>5000</v>
      </c>
      <c r="J182" s="8"/>
      <c r="K182" s="53">
        <f>'[10]Rev_SP-12me'!AT214</f>
        <v>0</v>
      </c>
      <c r="L182" s="53">
        <f>'[10]Rev_SP-12me'!AU214</f>
        <v>445.508947682594</v>
      </c>
      <c r="M182" s="53">
        <f>'[10]Rev_SP-12me'!AW214</f>
        <v>0</v>
      </c>
      <c r="N182" s="8"/>
      <c r="O182" s="24">
        <f t="shared" si="5"/>
        <v>445.508947682594</v>
      </c>
    </row>
    <row r="183" spans="2:15">
      <c r="B183" s="76" t="s">
        <v>1122</v>
      </c>
      <c r="C183" s="55"/>
      <c r="D183" s="53">
        <f>'[10]Rev_SP-12me'!AJ215</f>
        <v>0</v>
      </c>
      <c r="E183" s="53">
        <f>'[10]Rev_SP-12me'!AL215</f>
        <v>0</v>
      </c>
      <c r="F183" s="53">
        <f>'[10]Rev_SP-12me'!AQ215</f>
        <v>1328.32045805108</v>
      </c>
      <c r="G183" s="94">
        <f>'[10]Rev_SP-12me'!O215</f>
        <v>0</v>
      </c>
      <c r="H183" s="91">
        <f>'[10]Rev_SP-12me'!P215</f>
        <v>5.65</v>
      </c>
      <c r="I183" s="94">
        <f>'[10]Rev_SP-12me'!AA215</f>
        <v>5000</v>
      </c>
      <c r="J183" s="8"/>
      <c r="K183" s="53">
        <f>'[10]Rev_SP-12me'!AT215</f>
        <v>0</v>
      </c>
      <c r="L183" s="53">
        <f>'[10]Rev_SP-12me'!AU215</f>
        <v>750.501058798861</v>
      </c>
      <c r="M183" s="53">
        <f>'[10]Rev_SP-12me'!AW215</f>
        <v>0</v>
      </c>
      <c r="N183" s="8"/>
      <c r="O183" s="24">
        <f t="shared" si="5"/>
        <v>750.501058798861</v>
      </c>
    </row>
    <row r="184" ht="15" spans="2:15">
      <c r="B184" s="71" t="s">
        <v>1118</v>
      </c>
      <c r="C184" s="55"/>
      <c r="D184" s="87">
        <f>'[10]Rev_SP-12me'!AJ217</f>
        <v>0</v>
      </c>
      <c r="E184" s="48">
        <f>'[10]Rev_SP-12me'!AL217</f>
        <v>150.924345858515</v>
      </c>
      <c r="F184" s="48">
        <f>'[10]Rev_SP-12me'!AQ217</f>
        <v>1380.88347531764</v>
      </c>
      <c r="G184" s="68">
        <f>'[10]Rev_SP-12me'!O217</f>
        <v>0</v>
      </c>
      <c r="H184" s="69">
        <f>'[10]Rev_SP-12me'!P217</f>
        <v>0</v>
      </c>
      <c r="I184" s="68">
        <f>'[10]Rev_SP-12me'!AA217</f>
        <v>20000</v>
      </c>
      <c r="J184" s="8"/>
      <c r="K184" s="48">
        <f>'[10]Rev_SP-12me'!AT217</f>
        <v>68.821501711483</v>
      </c>
      <c r="L184" s="48">
        <f>'[10]Rev_SP-12me'!AU217</f>
        <v>919.034650156581</v>
      </c>
      <c r="M184" s="48">
        <f>'[10]Rev_SP-12me'!AW217</f>
        <v>0</v>
      </c>
      <c r="N184" s="8"/>
      <c r="O184" s="24">
        <f t="shared" si="5"/>
        <v>987.856151868064</v>
      </c>
    </row>
    <row r="185" spans="2:15">
      <c r="B185" s="74" t="s">
        <v>1119</v>
      </c>
      <c r="C185" s="55"/>
      <c r="D185" s="86">
        <f>'[10]Rev_SP-12me'!AJ218</f>
        <v>0</v>
      </c>
      <c r="E185" s="85">
        <f>'[10]Rev_SP-12me'!AL218</f>
        <v>150.924345858515</v>
      </c>
      <c r="F185" s="84">
        <f>'[10]Rev_SP-12me'!AQ218</f>
        <v>468.058543847866</v>
      </c>
      <c r="G185" s="98">
        <f>'[10]Rev_SP-12me'!O218</f>
        <v>475</v>
      </c>
      <c r="H185" s="91">
        <f>'[10]Rev_SP-12me'!P218</f>
        <v>6.65</v>
      </c>
      <c r="I185" s="94">
        <f>'[10]Rev_SP-12me'!AA218</f>
        <v>5000</v>
      </c>
      <c r="J185" s="8"/>
      <c r="K185" s="85">
        <f>'[10]Rev_SP-12me'!AT218</f>
        <v>68.821501711483</v>
      </c>
      <c r="L185" s="85">
        <f>'[10]Rev_SP-12me'!AU218</f>
        <v>311.258931658831</v>
      </c>
      <c r="M185" s="85">
        <f>'[10]Rev_SP-12me'!AW218</f>
        <v>0</v>
      </c>
      <c r="N185" s="8"/>
      <c r="O185" s="24">
        <f t="shared" si="5"/>
        <v>380.080433370314</v>
      </c>
    </row>
    <row r="186" spans="2:15">
      <c r="B186" s="74" t="s">
        <v>1120</v>
      </c>
      <c r="C186" s="55"/>
      <c r="D186" s="86">
        <f>'[10]Rev_SP-12me'!AJ219</f>
        <v>0</v>
      </c>
      <c r="E186" s="86">
        <f>'[10]Rev_SP-12me'!AL219</f>
        <v>0</v>
      </c>
      <c r="F186" s="84">
        <f>'[10]Rev_SP-12me'!AQ219</f>
        <v>228.715826918976</v>
      </c>
      <c r="G186" s="98">
        <f>'[10]Rev_SP-12me'!O219</f>
        <v>0</v>
      </c>
      <c r="H186" s="91">
        <f>'[10]Rev_SP-12me'!P219</f>
        <v>7.65</v>
      </c>
      <c r="I186" s="94">
        <f>'[10]Rev_SP-12me'!AA219</f>
        <v>5000</v>
      </c>
      <c r="J186" s="8"/>
      <c r="K186" s="86">
        <f>'[10]Rev_SP-12me'!AT219</f>
        <v>0</v>
      </c>
      <c r="L186" s="86">
        <f>'[10]Rev_SP-12me'!AU219</f>
        <v>174.967607593016</v>
      </c>
      <c r="M186" s="86">
        <f>'[10]Rev_SP-12me'!AW219</f>
        <v>0</v>
      </c>
      <c r="N186" s="8"/>
      <c r="O186" s="24">
        <f t="shared" si="5"/>
        <v>174.967607593016</v>
      </c>
    </row>
    <row r="187" spans="2:15">
      <c r="B187" s="74" t="s">
        <v>1121</v>
      </c>
      <c r="C187" s="55"/>
      <c r="D187" s="86">
        <f>'[10]Rev_SP-12me'!AJ220</f>
        <v>0</v>
      </c>
      <c r="E187" s="86">
        <f>'[10]Rev_SP-12me'!AL220</f>
        <v>0</v>
      </c>
      <c r="F187" s="84">
        <f>'[10]Rev_SP-12me'!AQ220</f>
        <v>231.432334167668</v>
      </c>
      <c r="G187" s="98">
        <f>'[10]Rev_SP-12me'!O220</f>
        <v>0</v>
      </c>
      <c r="H187" s="91">
        <f>'[10]Rev_SP-12me'!P220</f>
        <v>7.65</v>
      </c>
      <c r="I187" s="94">
        <f>'[10]Rev_SP-12me'!AA220</f>
        <v>5000</v>
      </c>
      <c r="J187" s="8"/>
      <c r="K187" s="86">
        <f>'[10]Rev_SP-12me'!AT220</f>
        <v>0</v>
      </c>
      <c r="L187" s="86">
        <f>'[10]Rev_SP-12me'!AU220</f>
        <v>177.045735638266</v>
      </c>
      <c r="M187" s="86">
        <f>'[10]Rev_SP-12me'!AW220</f>
        <v>0</v>
      </c>
      <c r="N187" s="8"/>
      <c r="O187" s="24">
        <f t="shared" si="5"/>
        <v>177.045735638266</v>
      </c>
    </row>
    <row r="188" spans="2:15">
      <c r="B188" s="74" t="s">
        <v>1122</v>
      </c>
      <c r="C188" s="55"/>
      <c r="D188" s="86">
        <f>'[10]Rev_SP-12me'!AJ221</f>
        <v>0</v>
      </c>
      <c r="E188" s="86">
        <f>'[10]Rev_SP-12me'!AL221</f>
        <v>0</v>
      </c>
      <c r="F188" s="84">
        <f>'[10]Rev_SP-12me'!AQ221</f>
        <v>452.67677038313</v>
      </c>
      <c r="G188" s="98">
        <f>'[10]Rev_SP-12me'!O221</f>
        <v>0</v>
      </c>
      <c r="H188" s="91">
        <f>'[10]Rev_SP-12me'!P221</f>
        <v>5.65</v>
      </c>
      <c r="I188" s="94">
        <f>'[10]Rev_SP-12me'!AA221</f>
        <v>5000</v>
      </c>
      <c r="J188" s="8"/>
      <c r="K188" s="86">
        <f>'[10]Rev_SP-12me'!AT221</f>
        <v>0</v>
      </c>
      <c r="L188" s="86">
        <f>'[10]Rev_SP-12me'!AU221</f>
        <v>255.762375266468</v>
      </c>
      <c r="M188" s="86">
        <f>'[10]Rev_SP-12me'!AW221</f>
        <v>0</v>
      </c>
      <c r="N188" s="8"/>
      <c r="O188" s="24">
        <f t="shared" si="5"/>
        <v>255.762375266468</v>
      </c>
    </row>
    <row r="189" ht="15" spans="2:15">
      <c r="B189" s="71" t="s">
        <v>1153</v>
      </c>
      <c r="C189" s="55"/>
      <c r="D189" s="87">
        <f>'[10]Rev_SP-12me'!AJ216</f>
        <v>2</v>
      </c>
      <c r="E189" s="48">
        <f>'[10]Rev_SP-12me'!AL216</f>
        <v>67.4496487119438</v>
      </c>
      <c r="F189" s="48">
        <f>'[10]Rev_SP-12me'!AQ216</f>
        <v>181.2065</v>
      </c>
      <c r="G189" s="68">
        <f>'[10]Rev_SP-12me'!O216</f>
        <v>475</v>
      </c>
      <c r="H189" s="69">
        <f>'[10]Rev_SP-12me'!P216</f>
        <v>6.65</v>
      </c>
      <c r="I189" s="68">
        <f>'[10]Rev_SP-12me'!AA216</f>
        <v>5000</v>
      </c>
      <c r="J189" s="8"/>
      <c r="K189" s="48">
        <f>'[10]Rev_SP-12me'!AT216</f>
        <v>30.7570398126464</v>
      </c>
      <c r="L189" s="48">
        <f>'[10]Rev_SP-12me'!AU216</f>
        <v>120.5023225</v>
      </c>
      <c r="M189" s="48">
        <f>'[10]Rev_SP-12me'!AW216</f>
        <v>0.012</v>
      </c>
      <c r="N189" s="8"/>
      <c r="O189" s="24">
        <f t="shared" si="5"/>
        <v>151.271362312646</v>
      </c>
    </row>
    <row r="190" ht="15" spans="2:15">
      <c r="B190" s="71" t="s">
        <v>1154</v>
      </c>
      <c r="C190" s="55"/>
      <c r="D190" s="48">
        <f>'[10]Rev_SP-12me'!AJ222</f>
        <v>4.53110156073287</v>
      </c>
      <c r="E190" s="48">
        <f>'[10]Rev_SP-12me'!AL222</f>
        <v>20.0876305769858</v>
      </c>
      <c r="F190" s="48">
        <f>'[10]Rev_SP-12me'!AQ222</f>
        <v>61.3754926841118</v>
      </c>
      <c r="G190" s="68">
        <f>'[10]Rev_SP-12me'!O222</f>
        <v>0</v>
      </c>
      <c r="H190" s="69">
        <f>'[10]Rev_SP-12me'!P222</f>
        <v>0</v>
      </c>
      <c r="I190" s="68">
        <f>'[10]Rev_SP-12me'!AA222</f>
        <v>0</v>
      </c>
      <c r="J190" s="8"/>
      <c r="K190" s="48">
        <f>'[10]Rev_SP-12me'!AT222</f>
        <v>9.15995954310553</v>
      </c>
      <c r="L190" s="48">
        <f>'[10]Rev_SP-12me'!AU222</f>
        <v>48.3289618582509</v>
      </c>
      <c r="M190" s="48">
        <f>'[10]Rev_SP-12me'!AW222</f>
        <v>0.0271866093643972</v>
      </c>
      <c r="N190" s="8"/>
      <c r="O190" s="24">
        <f t="shared" si="5"/>
        <v>57.5161080107208</v>
      </c>
    </row>
    <row r="191" spans="2:15">
      <c r="B191" s="76" t="s">
        <v>1119</v>
      </c>
      <c r="C191" s="55"/>
      <c r="D191" s="53">
        <f>'[10]Rev_SP-12me'!AJ223</f>
        <v>4.53110156073287</v>
      </c>
      <c r="E191" s="53">
        <f>'[10]Rev_SP-12me'!AL223</f>
        <v>20.0876305769858</v>
      </c>
      <c r="F191" s="53">
        <f>'[10]Rev_SP-12me'!AQ223</f>
        <v>28.6437601284902</v>
      </c>
      <c r="G191" s="94">
        <f>'[10]Rev_SP-12me'!O223</f>
        <v>475</v>
      </c>
      <c r="H191" s="91">
        <f>'[10]Rev_SP-12me'!P223</f>
        <v>7.8</v>
      </c>
      <c r="I191" s="94">
        <f>'[10]Rev_SP-12me'!AA223</f>
        <v>5000</v>
      </c>
      <c r="J191" s="8"/>
      <c r="K191" s="53">
        <f>'[10]Rev_SP-12me'!AT223</f>
        <v>9.15995954310553</v>
      </c>
      <c r="L191" s="53">
        <f>'[10]Rev_SP-12me'!AU223</f>
        <v>22.3421329002223</v>
      </c>
      <c r="M191" s="53">
        <f>'[10]Rev_SP-12me'!AW223</f>
        <v>0.0271866093643972</v>
      </c>
      <c r="N191" s="8"/>
      <c r="O191" s="24">
        <f t="shared" si="5"/>
        <v>31.5292790526922</v>
      </c>
    </row>
    <row r="192" spans="2:15">
      <c r="B192" s="76" t="s">
        <v>1120</v>
      </c>
      <c r="C192" s="55"/>
      <c r="D192" s="53">
        <f>'[10]Rev_SP-12me'!AJ224</f>
        <v>0</v>
      </c>
      <c r="E192" s="53">
        <f>'[10]Rev_SP-12me'!AL224</f>
        <v>0</v>
      </c>
      <c r="F192" s="53">
        <f>'[10]Rev_SP-12me'!AQ224</f>
        <v>8.93540127772087</v>
      </c>
      <c r="G192" s="94">
        <f>'[10]Rev_SP-12me'!O224</f>
        <v>0</v>
      </c>
      <c r="H192" s="91">
        <f>'[10]Rev_SP-12me'!P224</f>
        <v>8.8</v>
      </c>
      <c r="I192" s="94">
        <f>'[10]Rev_SP-12me'!AA224</f>
        <v>5000</v>
      </c>
      <c r="J192" s="8"/>
      <c r="K192" s="53">
        <f>'[10]Rev_SP-12me'!AT224</f>
        <v>0</v>
      </c>
      <c r="L192" s="53">
        <f>'[10]Rev_SP-12me'!AU224</f>
        <v>7.86315312439437</v>
      </c>
      <c r="M192" s="53">
        <f>'[10]Rev_SP-12me'!AW224</f>
        <v>0</v>
      </c>
      <c r="N192" s="8"/>
      <c r="O192" s="24">
        <f t="shared" si="5"/>
        <v>7.86315312439437</v>
      </c>
    </row>
    <row r="193" spans="2:15">
      <c r="B193" s="76" t="s">
        <v>1121</v>
      </c>
      <c r="C193" s="55"/>
      <c r="D193" s="53">
        <f>'[10]Rev_SP-12me'!AJ225</f>
        <v>0</v>
      </c>
      <c r="E193" s="53">
        <f>'[10]Rev_SP-12me'!AL225</f>
        <v>0</v>
      </c>
      <c r="F193" s="53">
        <f>'[10]Rev_SP-12me'!AQ225</f>
        <v>9.71085282330852</v>
      </c>
      <c r="G193" s="94">
        <f>'[10]Rev_SP-12me'!O225</f>
        <v>0</v>
      </c>
      <c r="H193" s="91">
        <f>'[10]Rev_SP-12me'!P225</f>
        <v>8.8</v>
      </c>
      <c r="I193" s="94">
        <f>'[10]Rev_SP-12me'!AA225</f>
        <v>5000</v>
      </c>
      <c r="J193" s="8"/>
      <c r="K193" s="53">
        <f>'[10]Rev_SP-12me'!AT225</f>
        <v>0</v>
      </c>
      <c r="L193" s="53">
        <f>'[10]Rev_SP-12me'!AU225</f>
        <v>8.5455504845115</v>
      </c>
      <c r="M193" s="53">
        <f>'[10]Rev_SP-12me'!AW225</f>
        <v>0</v>
      </c>
      <c r="N193" s="8"/>
      <c r="O193" s="24">
        <f t="shared" si="5"/>
        <v>8.5455504845115</v>
      </c>
    </row>
    <row r="194" spans="2:15">
      <c r="B194" s="76" t="s">
        <v>1122</v>
      </c>
      <c r="C194" s="55"/>
      <c r="D194" s="53">
        <f>'[10]Rev_SP-12me'!AJ226</f>
        <v>0</v>
      </c>
      <c r="E194" s="53">
        <f>'[10]Rev_SP-12me'!AL226</f>
        <v>0</v>
      </c>
      <c r="F194" s="53">
        <f>'[10]Rev_SP-12me'!AQ226</f>
        <v>14.0854784545922</v>
      </c>
      <c r="G194" s="94">
        <f>'[10]Rev_SP-12me'!O226</f>
        <v>0</v>
      </c>
      <c r="H194" s="91">
        <f>'[10]Rev_SP-12me'!P226</f>
        <v>6.8</v>
      </c>
      <c r="I194" s="94">
        <f>'[10]Rev_SP-12me'!AA226</f>
        <v>5000</v>
      </c>
      <c r="J194" s="8"/>
      <c r="K194" s="53">
        <f>'[10]Rev_SP-12me'!AT226</f>
        <v>0</v>
      </c>
      <c r="L194" s="53">
        <f>'[10]Rev_SP-12me'!AU226</f>
        <v>9.57812534912273</v>
      </c>
      <c r="M194" s="53">
        <f>'[10]Rev_SP-12me'!AW226</f>
        <v>0</v>
      </c>
      <c r="N194" s="8"/>
      <c r="O194" s="24">
        <f t="shared" si="5"/>
        <v>9.57812534912273</v>
      </c>
    </row>
    <row r="195" ht="15" spans="2:15">
      <c r="B195" s="71" t="s">
        <v>1125</v>
      </c>
      <c r="C195" s="55"/>
      <c r="D195" s="48">
        <f>'[10]Rev_SP-12me'!AJ227</f>
        <v>0</v>
      </c>
      <c r="E195" s="48">
        <f>'[10]Rev_SP-12me'!AL227</f>
        <v>0</v>
      </c>
      <c r="F195" s="48">
        <f>'[10]Rev_SP-12me'!AQ227</f>
        <v>0</v>
      </c>
      <c r="G195" s="68">
        <f>'[10]Rev_SP-12me'!O227</f>
        <v>0</v>
      </c>
      <c r="H195" s="69">
        <f>'[10]Rev_SP-12me'!P227</f>
        <v>0</v>
      </c>
      <c r="I195" s="68">
        <f>'[10]Rev_SP-12me'!AA227</f>
        <v>0</v>
      </c>
      <c r="J195" s="8"/>
      <c r="K195" s="48">
        <f>'[10]Rev_SP-12me'!AT227</f>
        <v>0</v>
      </c>
      <c r="L195" s="48">
        <f>'[10]Rev_SP-12me'!AU227</f>
        <v>0</v>
      </c>
      <c r="M195" s="48">
        <f>'[10]Rev_SP-12me'!AW227</f>
        <v>0</v>
      </c>
      <c r="N195" s="8"/>
      <c r="O195" s="24">
        <f t="shared" si="5"/>
        <v>0</v>
      </c>
    </row>
    <row r="196" spans="2:15">
      <c r="B196" s="74" t="s">
        <v>1119</v>
      </c>
      <c r="C196" s="55"/>
      <c r="D196" s="53">
        <f>'[10]Rev_SP-12me'!AJ228</f>
        <v>0</v>
      </c>
      <c r="E196" s="53">
        <f>'[10]Rev_SP-12me'!AL228</f>
        <v>0</v>
      </c>
      <c r="F196" s="53">
        <f>'[10]Rev_SP-12me'!AQ228</f>
        <v>0</v>
      </c>
      <c r="G196" s="94">
        <f>'[10]Rev_SP-12me'!O228</f>
        <v>260</v>
      </c>
      <c r="H196" s="91">
        <f>'[10]Rev_SP-12me'!P228</f>
        <v>5</v>
      </c>
      <c r="I196" s="94">
        <f>'[10]Rev_SP-12me'!AA228</f>
        <v>5000</v>
      </c>
      <c r="J196" s="8"/>
      <c r="K196" s="53">
        <f>'[10]Rev_SP-12me'!AT228</f>
        <v>0</v>
      </c>
      <c r="L196" s="53">
        <f>'[10]Rev_SP-12me'!AU228</f>
        <v>0</v>
      </c>
      <c r="M196" s="53">
        <f>'[10]Rev_SP-12me'!AW228</f>
        <v>0</v>
      </c>
      <c r="N196" s="8"/>
      <c r="O196" s="24">
        <f t="shared" si="5"/>
        <v>0</v>
      </c>
    </row>
    <row r="197" spans="2:15">
      <c r="B197" s="74" t="s">
        <v>1120</v>
      </c>
      <c r="C197" s="55"/>
      <c r="D197" s="53">
        <f>'[10]Rev_SP-12me'!AJ229</f>
        <v>0</v>
      </c>
      <c r="E197" s="53">
        <f>'[10]Rev_SP-12me'!AL229</f>
        <v>0</v>
      </c>
      <c r="F197" s="53">
        <f>'[10]Rev_SP-12me'!AQ229</f>
        <v>0</v>
      </c>
      <c r="G197" s="94">
        <f>'[10]Rev_SP-12me'!O229</f>
        <v>0</v>
      </c>
      <c r="H197" s="91">
        <f>'[10]Rev_SP-12me'!P229</f>
        <v>6</v>
      </c>
      <c r="I197" s="94">
        <f>'[10]Rev_SP-12me'!AA229</f>
        <v>5000</v>
      </c>
      <c r="J197" s="8"/>
      <c r="K197" s="53">
        <f>'[10]Rev_SP-12me'!AT229</f>
        <v>0</v>
      </c>
      <c r="L197" s="53">
        <f>'[10]Rev_SP-12me'!AU229</f>
        <v>0</v>
      </c>
      <c r="M197" s="53">
        <f>'[10]Rev_SP-12me'!AW229</f>
        <v>0</v>
      </c>
      <c r="N197" s="8"/>
      <c r="O197" s="24">
        <f t="shared" si="5"/>
        <v>0</v>
      </c>
    </row>
    <row r="198" spans="2:15">
      <c r="B198" s="74" t="s">
        <v>1121</v>
      </c>
      <c r="C198" s="55"/>
      <c r="D198" s="53">
        <f>'[10]Rev_SP-12me'!AJ230</f>
        <v>0</v>
      </c>
      <c r="E198" s="53">
        <f>'[10]Rev_SP-12me'!AL230</f>
        <v>0</v>
      </c>
      <c r="F198" s="53">
        <f>'[10]Rev_SP-12me'!AQ230</f>
        <v>0</v>
      </c>
      <c r="G198" s="94">
        <f>'[10]Rev_SP-12me'!O230</f>
        <v>0</v>
      </c>
      <c r="H198" s="91">
        <f>'[10]Rev_SP-12me'!P230</f>
        <v>6</v>
      </c>
      <c r="I198" s="94">
        <f>'[10]Rev_SP-12me'!AA230</f>
        <v>5000</v>
      </c>
      <c r="J198" s="8"/>
      <c r="K198" s="53">
        <f>'[10]Rev_SP-12me'!AT230</f>
        <v>0</v>
      </c>
      <c r="L198" s="53">
        <f>'[10]Rev_SP-12me'!AU230</f>
        <v>0</v>
      </c>
      <c r="M198" s="53">
        <f>'[10]Rev_SP-12me'!AW230</f>
        <v>0</v>
      </c>
      <c r="N198" s="8"/>
      <c r="O198" s="24">
        <f t="shared" si="5"/>
        <v>0</v>
      </c>
    </row>
    <row r="199" spans="2:15">
      <c r="B199" s="74" t="s">
        <v>1122</v>
      </c>
      <c r="C199" s="55"/>
      <c r="D199" s="53">
        <f>'[10]Rev_SP-12me'!AJ231</f>
        <v>0</v>
      </c>
      <c r="E199" s="53">
        <f>'[10]Rev_SP-12me'!AL231</f>
        <v>0</v>
      </c>
      <c r="F199" s="53">
        <f>'[10]Rev_SP-12me'!AQ231</f>
        <v>0</v>
      </c>
      <c r="G199" s="94">
        <f>'[10]Rev_SP-12me'!O231</f>
        <v>0</v>
      </c>
      <c r="H199" s="91">
        <f>'[10]Rev_SP-12me'!P231</f>
        <v>4</v>
      </c>
      <c r="I199" s="94">
        <f>'[10]Rev_SP-12me'!AA231</f>
        <v>5000</v>
      </c>
      <c r="J199" s="8"/>
      <c r="K199" s="53">
        <f>'[10]Rev_SP-12me'!AT231</f>
        <v>0</v>
      </c>
      <c r="L199" s="53">
        <f>'[10]Rev_SP-12me'!AU231</f>
        <v>0</v>
      </c>
      <c r="M199" s="53">
        <f>'[10]Rev_SP-12me'!AW231</f>
        <v>0</v>
      </c>
      <c r="N199" s="8"/>
      <c r="O199" s="24">
        <f t="shared" si="5"/>
        <v>0</v>
      </c>
    </row>
    <row r="200" ht="15" spans="2:15">
      <c r="B200" s="71" t="s">
        <v>1126</v>
      </c>
      <c r="C200" s="55"/>
      <c r="D200" s="48">
        <f>'[10]Rev_SP-12me'!AJ232</f>
        <v>1</v>
      </c>
      <c r="E200" s="48">
        <f>'[10]Rev_SP-12me'!AL232</f>
        <v>11.5967885816235</v>
      </c>
      <c r="F200" s="48">
        <f>'[10]Rev_SP-12me'!AQ232</f>
        <v>73.73</v>
      </c>
      <c r="G200" s="68">
        <f>'[10]Rev_SP-12me'!O232</f>
        <v>0</v>
      </c>
      <c r="H200" s="69">
        <f>'[10]Rev_SP-12me'!P232</f>
        <v>0</v>
      </c>
      <c r="I200" s="68">
        <f>'[10]Rev_SP-12me'!AA232</f>
        <v>0</v>
      </c>
      <c r="J200" s="8"/>
      <c r="K200" s="48">
        <f>'[10]Rev_SP-12me'!AT232</f>
        <v>5.28813559322034</v>
      </c>
      <c r="L200" s="48">
        <f>'[10]Rev_SP-12me'!AU232</f>
        <v>54.871054814338</v>
      </c>
      <c r="M200" s="48">
        <f>'[10]Rev_SP-12me'!AW232</f>
        <v>0.006</v>
      </c>
      <c r="N200" s="8"/>
      <c r="O200" s="24">
        <f t="shared" si="5"/>
        <v>60.1651904075583</v>
      </c>
    </row>
    <row r="201" spans="2:15">
      <c r="B201" s="76" t="s">
        <v>1119</v>
      </c>
      <c r="C201" s="55"/>
      <c r="D201" s="53">
        <f>'[10]Rev_SP-12me'!AJ233</f>
        <v>1</v>
      </c>
      <c r="E201" s="53">
        <f>'[10]Rev_SP-12me'!AL233</f>
        <v>11.5967885816235</v>
      </c>
      <c r="F201" s="53">
        <f>'[10]Rev_SP-12me'!AQ233</f>
        <v>21.5140316157615</v>
      </c>
      <c r="G201" s="94">
        <f>'[10]Rev_SP-12me'!O233</f>
        <v>475</v>
      </c>
      <c r="H201" s="91">
        <f>'[10]Rev_SP-12me'!P233</f>
        <v>7.45</v>
      </c>
      <c r="I201" s="94">
        <f>'[10]Rev_SP-12me'!AA233</f>
        <v>5000</v>
      </c>
      <c r="J201" s="8"/>
      <c r="K201" s="53">
        <f>'[10]Rev_SP-12me'!AT233</f>
        <v>5.28813559322034</v>
      </c>
      <c r="L201" s="53">
        <f>'[10]Rev_SP-12me'!AU233</f>
        <v>16.0279535537423</v>
      </c>
      <c r="M201" s="53">
        <f>'[10]Rev_SP-12me'!AW233</f>
        <v>0.006</v>
      </c>
      <c r="N201" s="8"/>
      <c r="O201" s="24">
        <f t="shared" si="5"/>
        <v>21.3220891469626</v>
      </c>
    </row>
    <row r="202" spans="2:15">
      <c r="B202" s="76" t="s">
        <v>1120</v>
      </c>
      <c r="C202" s="55"/>
      <c r="D202" s="53">
        <f>'[10]Rev_SP-12me'!AJ234</f>
        <v>0</v>
      </c>
      <c r="E202" s="53">
        <f>'[10]Rev_SP-12me'!AL234</f>
        <v>0</v>
      </c>
      <c r="F202" s="53">
        <f>'[10]Rev_SP-12me'!AQ234</f>
        <v>15.3401143396855</v>
      </c>
      <c r="G202" s="94">
        <f>'[10]Rev_SP-12me'!O234</f>
        <v>0</v>
      </c>
      <c r="H202" s="91">
        <f>'[10]Rev_SP-12me'!P234</f>
        <v>8.45</v>
      </c>
      <c r="I202" s="94">
        <f>'[10]Rev_SP-12me'!AA234</f>
        <v>5000</v>
      </c>
      <c r="J202" s="8"/>
      <c r="K202" s="53">
        <f>'[10]Rev_SP-12me'!AT234</f>
        <v>0</v>
      </c>
      <c r="L202" s="53">
        <f>'[10]Rev_SP-12me'!AU234</f>
        <v>12.9623966170342</v>
      </c>
      <c r="M202" s="53">
        <f>'[10]Rev_SP-12me'!AW234</f>
        <v>0</v>
      </c>
      <c r="N202" s="8"/>
      <c r="O202" s="24">
        <f t="shared" si="5"/>
        <v>12.9623966170342</v>
      </c>
    </row>
    <row r="203" spans="2:15">
      <c r="B203" s="76" t="s">
        <v>1121</v>
      </c>
      <c r="C203" s="55"/>
      <c r="D203" s="53">
        <f>'[10]Rev_SP-12me'!AJ235</f>
        <v>0</v>
      </c>
      <c r="E203" s="53">
        <f>'[10]Rev_SP-12me'!AL235</f>
        <v>0</v>
      </c>
      <c r="F203" s="53">
        <f>'[10]Rev_SP-12me'!AQ235</f>
        <v>10.4788939241235</v>
      </c>
      <c r="G203" s="94">
        <f>'[10]Rev_SP-12me'!O235</f>
        <v>0</v>
      </c>
      <c r="H203" s="91">
        <f>'[10]Rev_SP-12me'!P235</f>
        <v>8.45</v>
      </c>
      <c r="I203" s="94">
        <f>'[10]Rev_SP-12me'!AA235</f>
        <v>5000</v>
      </c>
      <c r="J203" s="8"/>
      <c r="K203" s="53">
        <f>'[10]Rev_SP-12me'!AT235</f>
        <v>0</v>
      </c>
      <c r="L203" s="53">
        <f>'[10]Rev_SP-12me'!AU235</f>
        <v>8.8546653658844</v>
      </c>
      <c r="M203" s="53">
        <f>'[10]Rev_SP-12me'!AW235</f>
        <v>0</v>
      </c>
      <c r="N203" s="8"/>
      <c r="O203" s="24">
        <f t="shared" si="5"/>
        <v>8.8546653658844</v>
      </c>
    </row>
    <row r="204" spans="2:15">
      <c r="B204" s="76" t="s">
        <v>1122</v>
      </c>
      <c r="C204" s="55"/>
      <c r="D204" s="53">
        <f>'[10]Rev_SP-12me'!AJ236</f>
        <v>0</v>
      </c>
      <c r="E204" s="53">
        <f>'[10]Rev_SP-12me'!AL236</f>
        <v>0</v>
      </c>
      <c r="F204" s="53">
        <f>'[10]Rev_SP-12me'!AQ236</f>
        <v>26.3969601204294</v>
      </c>
      <c r="G204" s="94">
        <f>'[10]Rev_SP-12me'!O236</f>
        <v>0</v>
      </c>
      <c r="H204" s="91">
        <f>'[10]Rev_SP-12me'!P236</f>
        <v>6.45</v>
      </c>
      <c r="I204" s="94">
        <f>'[10]Rev_SP-12me'!AA236</f>
        <v>5000</v>
      </c>
      <c r="J204" s="8"/>
      <c r="K204" s="53">
        <f>'[10]Rev_SP-12me'!AT236</f>
        <v>0</v>
      </c>
      <c r="L204" s="53">
        <f>'[10]Rev_SP-12me'!AU236</f>
        <v>17.026039277677</v>
      </c>
      <c r="M204" s="53">
        <f>'[10]Rev_SP-12me'!AW236</f>
        <v>0</v>
      </c>
      <c r="N204" s="8"/>
      <c r="O204" s="24">
        <f t="shared" si="5"/>
        <v>17.026039277677</v>
      </c>
    </row>
    <row r="205" ht="15" spans="2:15">
      <c r="B205" s="71" t="s">
        <v>1155</v>
      </c>
      <c r="C205" s="55"/>
      <c r="D205" s="48">
        <f>'[10]Rev_SP-12me'!AJ237</f>
        <v>20.1554054054054</v>
      </c>
      <c r="E205" s="48">
        <f>'[10]Rev_SP-12me'!AL237</f>
        <v>1795.6833872946</v>
      </c>
      <c r="F205" s="48">
        <f>'[10]Rev_SP-12me'!AQ237</f>
        <v>1987.24042578501</v>
      </c>
      <c r="G205" s="68">
        <f>'[10]Rev_SP-12me'!O237</f>
        <v>0</v>
      </c>
      <c r="H205" s="69">
        <f>'[10]Rev_SP-12me'!P237</f>
        <v>0</v>
      </c>
      <c r="I205" s="68">
        <f>'[10]Rev_SP-12me'!AA237</f>
        <v>0</v>
      </c>
      <c r="J205" s="8"/>
      <c r="K205" s="48">
        <f>'[10]Rev_SP-12me'!AT237</f>
        <v>283.942435615959</v>
      </c>
      <c r="L205" s="48">
        <f>'[10]Rev_SP-12me'!AU237</f>
        <v>1251.96146824456</v>
      </c>
      <c r="M205" s="48">
        <f>'[10]Rev_SP-12me'!AW237</f>
        <v>0.115402288294932</v>
      </c>
      <c r="N205" s="8"/>
      <c r="O205" s="24">
        <f t="shared" si="5"/>
        <v>1536.01930614881</v>
      </c>
    </row>
    <row r="206" spans="2:15">
      <c r="B206" s="74" t="s">
        <v>1128</v>
      </c>
      <c r="C206" s="55"/>
      <c r="D206" s="53">
        <f>'[10]Rev_SP-12me'!AJ238</f>
        <v>20.1554054054054</v>
      </c>
      <c r="E206" s="53">
        <f>'[10]Rev_SP-12me'!AL238</f>
        <v>1795.6833872946</v>
      </c>
      <c r="F206" s="53">
        <f>'[10]Rev_SP-12me'!AQ238</f>
        <v>1987.24042578501</v>
      </c>
      <c r="G206" s="94">
        <f>'[10]Rev_SP-12me'!O238</f>
        <v>275</v>
      </c>
      <c r="H206" s="91">
        <f>'[10]Rev_SP-12me'!P238</f>
        <v>6.3</v>
      </c>
      <c r="I206" s="94">
        <f>'[10]Rev_SP-12me'!AA238</f>
        <v>5000</v>
      </c>
      <c r="J206" s="8"/>
      <c r="K206" s="53">
        <f>'[10]Rev_SP-12me'!AT238</f>
        <v>283.942435615959</v>
      </c>
      <c r="L206" s="53">
        <f>'[10]Rev_SP-12me'!AU238</f>
        <v>1251.96146824456</v>
      </c>
      <c r="M206" s="53">
        <f>'[10]Rev_SP-12me'!AW238</f>
        <v>0.115402288294932</v>
      </c>
      <c r="N206" s="8"/>
      <c r="O206" s="24">
        <f t="shared" si="5"/>
        <v>1536.01930614881</v>
      </c>
    </row>
    <row r="207" spans="2:15">
      <c r="B207" s="74" t="s">
        <v>1156</v>
      </c>
      <c r="C207" s="55"/>
      <c r="D207" s="53">
        <f>'[10]Rev_SP-12me'!AJ239</f>
        <v>0</v>
      </c>
      <c r="E207" s="53">
        <f>'[10]Rev_SP-12me'!AL239</f>
        <v>0</v>
      </c>
      <c r="F207" s="53">
        <f>'[10]Rev_SP-12me'!AQ239</f>
        <v>0</v>
      </c>
      <c r="G207" s="94">
        <f>'[10]Rev_SP-12me'!O239</f>
        <v>275</v>
      </c>
      <c r="H207" s="91">
        <f>'[10]Rev_SP-12me'!P239</f>
        <v>6.3</v>
      </c>
      <c r="I207" s="94">
        <f>'[10]Rev_SP-12me'!AA239</f>
        <v>5000</v>
      </c>
      <c r="J207" s="8"/>
      <c r="K207" s="53">
        <f>'[10]Rev_SP-12me'!AT239</f>
        <v>0</v>
      </c>
      <c r="L207" s="53">
        <f>'[10]Rev_SP-12me'!AU239</f>
        <v>0</v>
      </c>
      <c r="M207" s="53">
        <f>'[10]Rev_SP-12me'!AW239</f>
        <v>0</v>
      </c>
      <c r="N207" s="8"/>
      <c r="O207" s="24">
        <f t="shared" si="5"/>
        <v>0</v>
      </c>
    </row>
    <row r="208" ht="15" spans="2:15">
      <c r="B208" s="71" t="s">
        <v>1157</v>
      </c>
      <c r="C208" s="55"/>
      <c r="D208" s="87">
        <f>'[10]Rev_SP-12me'!AJ247</f>
        <v>2</v>
      </c>
      <c r="E208" s="48">
        <f>'[10]Rev_SP-12me'!AL247</f>
        <v>70.2792257914437</v>
      </c>
      <c r="F208" s="48">
        <f>'[10]Rev_SP-12me'!AQ247</f>
        <v>315.069574214991</v>
      </c>
      <c r="G208" s="68">
        <f>'[10]Rev_SP-12me'!O247</f>
        <v>0</v>
      </c>
      <c r="H208" s="69">
        <f>'[10]Rev_SP-12me'!P247</f>
        <v>0</v>
      </c>
      <c r="I208" s="68">
        <f>'[10]Rev_SP-12me'!AA247</f>
        <v>0</v>
      </c>
      <c r="J208" s="8"/>
      <c r="K208" s="48">
        <f>'[10]Rev_SP-12me'!AT247</f>
        <v>0</v>
      </c>
      <c r="L208" s="48">
        <f>'[10]Rev_SP-12me'!AU247</f>
        <v>192.192440271145</v>
      </c>
      <c r="M208" s="48">
        <f>'[10]Rev_SP-12me'!AW247</f>
        <v>0.0114512495257458</v>
      </c>
      <c r="N208" s="8"/>
      <c r="O208" s="24">
        <f t="shared" si="5"/>
        <v>192.203891520671</v>
      </c>
    </row>
    <row r="209" spans="2:15">
      <c r="B209" s="74" t="s">
        <v>220</v>
      </c>
      <c r="C209" s="55"/>
      <c r="D209" s="86">
        <f>'[10]Rev_SP-12me'!AJ248</f>
        <v>2</v>
      </c>
      <c r="E209" s="53">
        <f>'[10]Rev_SP-12me'!AL248</f>
        <v>70.2792257914437</v>
      </c>
      <c r="F209" s="53">
        <f>'[10]Rev_SP-12me'!AQ248</f>
        <v>315.069574214991</v>
      </c>
      <c r="G209" s="94">
        <f>'[10]Rev_SP-12me'!O248</f>
        <v>0</v>
      </c>
      <c r="H209" s="91">
        <f>'[10]Rev_SP-12me'!P248</f>
        <v>6.1</v>
      </c>
      <c r="I209" s="94">
        <f>'[10]Rev_SP-12me'!AA248</f>
        <v>5000</v>
      </c>
      <c r="J209" s="8"/>
      <c r="K209" s="53">
        <f>'[10]Rev_SP-12me'!AT248</f>
        <v>0</v>
      </c>
      <c r="L209" s="53">
        <f>'[10]Rev_SP-12me'!AU248</f>
        <v>192.192440271145</v>
      </c>
      <c r="M209" s="53">
        <f>'[10]Rev_SP-12me'!AW248</f>
        <v>0.0114512495257458</v>
      </c>
      <c r="N209" s="8"/>
      <c r="O209" s="24">
        <f t="shared" si="5"/>
        <v>192.203891520671</v>
      </c>
    </row>
    <row r="210" ht="15" spans="2:15">
      <c r="B210" s="71" t="s">
        <v>1158</v>
      </c>
      <c r="C210" s="55"/>
      <c r="D210" s="87">
        <f>'[10]Rev_SP-12me'!AJ249</f>
        <v>0</v>
      </c>
      <c r="E210" s="87">
        <f>'[10]Rev_SP-12me'!AL249</f>
        <v>0</v>
      </c>
      <c r="F210" s="87">
        <f>'[10]Rev_SP-12me'!AQ249</f>
        <v>0</v>
      </c>
      <c r="G210" s="39">
        <f>'[10]Rev_SP-12me'!O249</f>
        <v>0</v>
      </c>
      <c r="H210" s="69">
        <f>'[10]Rev_SP-12me'!P249</f>
        <v>0</v>
      </c>
      <c r="I210" s="68">
        <f>'[10]Rev_SP-12me'!AA249</f>
        <v>0</v>
      </c>
      <c r="J210" s="8"/>
      <c r="K210" s="87">
        <f>'[10]Rev_SP-12me'!AT249</f>
        <v>0</v>
      </c>
      <c r="L210" s="87">
        <f>'[10]Rev_SP-12me'!AU249</f>
        <v>0</v>
      </c>
      <c r="M210" s="87">
        <f>'[10]Rev_SP-12me'!AW249</f>
        <v>0</v>
      </c>
      <c r="N210" s="8"/>
      <c r="O210" s="24">
        <f t="shared" si="5"/>
        <v>0</v>
      </c>
    </row>
    <row r="211" ht="15" spans="2:15">
      <c r="B211" s="88" t="s">
        <v>1159</v>
      </c>
      <c r="C211" s="55"/>
      <c r="D211" s="48">
        <f>'[10]Rev_SP-12me'!AJ240</f>
        <v>18.75</v>
      </c>
      <c r="E211" s="48">
        <f>'[10]Rev_SP-12me'!AL240</f>
        <v>158.557069846678</v>
      </c>
      <c r="F211" s="48">
        <f>'[10]Rev_SP-12me'!AQ240</f>
        <v>578.14</v>
      </c>
      <c r="G211" s="68">
        <f>'[10]Rev_SP-12me'!O240</f>
        <v>0</v>
      </c>
      <c r="H211" s="69">
        <f>'[10]Rev_SP-12me'!P240</f>
        <v>0</v>
      </c>
      <c r="I211" s="68">
        <f>'[10]Rev_SP-12me'!AA240</f>
        <v>0</v>
      </c>
      <c r="J211" s="8"/>
      <c r="K211" s="48">
        <f>'[10]Rev_SP-12me'!AT240</f>
        <v>72.3020238500852</v>
      </c>
      <c r="L211" s="48">
        <f>'[10]Rev_SP-12me'!AU240</f>
        <v>290.882255997683</v>
      </c>
      <c r="M211" s="48">
        <f>'[10]Rev_SP-12me'!AW240</f>
        <v>0.106953064811212</v>
      </c>
      <c r="N211" s="8"/>
      <c r="O211" s="24">
        <f t="shared" si="5"/>
        <v>363.291232912579</v>
      </c>
    </row>
    <row r="212" spans="2:15">
      <c r="B212" s="74" t="s">
        <v>1160</v>
      </c>
      <c r="C212" s="55"/>
      <c r="D212" s="53">
        <f>'[10]Rev_SP-12me'!AJ241</f>
        <v>13.75</v>
      </c>
      <c r="E212" s="53">
        <f>'[10]Rev_SP-12me'!AL241</f>
        <v>134.954003407155</v>
      </c>
      <c r="F212" s="53">
        <f>'[10]Rev_SP-12me'!AQ241</f>
        <v>470.295599768328</v>
      </c>
      <c r="G212" s="94">
        <f>'[10]Rev_SP-12me'!O241</f>
        <v>475</v>
      </c>
      <c r="H212" s="91">
        <f>'[10]Rev_SP-12me'!P241</f>
        <v>5.05</v>
      </c>
      <c r="I212" s="94">
        <f>'[10]Rev_SP-12me'!AA241</f>
        <v>5000</v>
      </c>
      <c r="J212" s="8"/>
      <c r="K212" s="53">
        <f>'[10]Rev_SP-12me'!AT241</f>
        <v>61.5390255536627</v>
      </c>
      <c r="L212" s="53">
        <f>'[10]Rev_SP-12me'!AU241</f>
        <v>237.499277883006</v>
      </c>
      <c r="M212" s="53">
        <f>'[10]Rev_SP-12me'!AW241</f>
        <v>0.0784322475282224</v>
      </c>
      <c r="N212" s="8"/>
      <c r="O212" s="24">
        <f t="shared" si="5"/>
        <v>299.116735684197</v>
      </c>
    </row>
    <row r="213" spans="2:15">
      <c r="B213" s="74" t="s">
        <v>1161</v>
      </c>
      <c r="C213" s="55"/>
      <c r="D213" s="53">
        <f>'[10]Rev_SP-12me'!AJ242</f>
        <v>0</v>
      </c>
      <c r="E213" s="53">
        <f>'[10]Rev_SP-12me'!AL242</f>
        <v>0</v>
      </c>
      <c r="F213" s="53">
        <f>'[10]Rev_SP-12me'!AQ242</f>
        <v>0</v>
      </c>
      <c r="G213" s="94">
        <f>'[10]Rev_SP-12me'!O242</f>
        <v>0</v>
      </c>
      <c r="H213" s="91">
        <f>'[10]Rev_SP-12me'!P242</f>
        <v>0</v>
      </c>
      <c r="I213" s="94">
        <f>'[10]Rev_SP-12me'!AA242</f>
        <v>5000</v>
      </c>
      <c r="J213" s="8"/>
      <c r="K213" s="53">
        <f>'[10]Rev_SP-12me'!AT242</f>
        <v>0</v>
      </c>
      <c r="L213" s="53">
        <f>'[10]Rev_SP-12me'!AU242</f>
        <v>0</v>
      </c>
      <c r="M213" s="53">
        <f>'[10]Rev_SP-12me'!AW242</f>
        <v>0</v>
      </c>
      <c r="N213" s="8"/>
      <c r="O213" s="24">
        <f t="shared" si="5"/>
        <v>0</v>
      </c>
    </row>
    <row r="214" spans="2:15">
      <c r="B214" s="74" t="s">
        <v>1162</v>
      </c>
      <c r="C214" s="55"/>
      <c r="D214" s="53">
        <f>'[10]Rev_SP-12me'!AJ243</f>
        <v>5</v>
      </c>
      <c r="E214" s="53">
        <f>'[10]Rev_SP-12me'!AL243</f>
        <v>23.603066439523</v>
      </c>
      <c r="F214" s="53">
        <f>'[10]Rev_SP-12me'!AQ243</f>
        <v>107.844400231672</v>
      </c>
      <c r="G214" s="94">
        <f>'[10]Rev_SP-12me'!O243</f>
        <v>475</v>
      </c>
      <c r="H214" s="91">
        <f>'[10]Rev_SP-12me'!P243</f>
        <v>4.95</v>
      </c>
      <c r="I214" s="94">
        <f>'[10]Rev_SP-12me'!AA243</f>
        <v>5000</v>
      </c>
      <c r="J214" s="8"/>
      <c r="K214" s="53">
        <f>'[10]Rev_SP-12me'!AT243</f>
        <v>10.7629982964225</v>
      </c>
      <c r="L214" s="53">
        <f>'[10]Rev_SP-12me'!AU243</f>
        <v>53.3829781146774</v>
      </c>
      <c r="M214" s="53">
        <f>'[10]Rev_SP-12me'!AW243</f>
        <v>0.02852081728299</v>
      </c>
      <c r="N214" s="8"/>
      <c r="O214" s="24">
        <f t="shared" si="5"/>
        <v>64.1744972283829</v>
      </c>
    </row>
    <row r="215" spans="2:15">
      <c r="B215" s="89" t="s">
        <v>1163</v>
      </c>
      <c r="C215" s="55"/>
      <c r="D215" s="53">
        <f>'[10]Rev_SP-12me'!AJ244</f>
        <v>0</v>
      </c>
      <c r="E215" s="53">
        <f>'[10]Rev_SP-12me'!AL244</f>
        <v>0</v>
      </c>
      <c r="F215" s="53">
        <f>'[10]Rev_SP-12me'!AQ244</f>
        <v>0</v>
      </c>
      <c r="G215" s="94">
        <f>'[10]Rev_SP-12me'!O244</f>
        <v>475</v>
      </c>
      <c r="H215" s="91">
        <f>'[10]Rev_SP-12me'!P244</f>
        <v>4.95</v>
      </c>
      <c r="I215" s="94">
        <f>'[10]Rev_SP-12me'!AA244</f>
        <v>5000</v>
      </c>
      <c r="J215" s="8"/>
      <c r="K215" s="53">
        <f>'[10]Rev_SP-12me'!AT244</f>
        <v>0</v>
      </c>
      <c r="L215" s="53">
        <f>'[10]Rev_SP-12me'!AU244</f>
        <v>0</v>
      </c>
      <c r="M215" s="53">
        <f>'[10]Rev_SP-12me'!AW244</f>
        <v>0</v>
      </c>
      <c r="N215" s="8"/>
      <c r="O215" s="24">
        <f t="shared" si="5"/>
        <v>0</v>
      </c>
    </row>
    <row r="216" ht="15" spans="2:15">
      <c r="B216" s="71" t="s">
        <v>919</v>
      </c>
      <c r="C216" s="55"/>
      <c r="D216" s="48">
        <f>'[10]Rev_SP-12me'!AJ245</f>
        <v>0</v>
      </c>
      <c r="E216" s="48">
        <f>'[10]Rev_SP-12me'!AL245</f>
        <v>0</v>
      </c>
      <c r="F216" s="48">
        <f>'[10]Rev_SP-12me'!AQ245</f>
        <v>0</v>
      </c>
      <c r="G216" s="68">
        <f>'[10]Rev_SP-12me'!O245</f>
        <v>260</v>
      </c>
      <c r="H216" s="69">
        <f>'[10]Rev_SP-12me'!P245</f>
        <v>7.3</v>
      </c>
      <c r="I216" s="68">
        <f>'[10]Rev_SP-12me'!AA245</f>
        <v>5000</v>
      </c>
      <c r="J216" s="8"/>
      <c r="K216" s="48">
        <f>'[10]Rev_SP-12me'!AT245</f>
        <v>0</v>
      </c>
      <c r="L216" s="48">
        <f>'[10]Rev_SP-12me'!AU245</f>
        <v>0</v>
      </c>
      <c r="M216" s="48">
        <f>'[10]Rev_SP-12me'!AW245</f>
        <v>0</v>
      </c>
      <c r="N216" s="8"/>
      <c r="O216" s="24">
        <f t="shared" si="5"/>
        <v>0</v>
      </c>
    </row>
    <row r="217" ht="15" spans="2:15">
      <c r="B217" s="71" t="s">
        <v>1133</v>
      </c>
      <c r="C217" s="55"/>
      <c r="D217" s="48">
        <f>'[10]Rev_SP-12me'!AJ246</f>
        <v>0</v>
      </c>
      <c r="E217" s="48">
        <f>'[10]Rev_SP-12me'!AL246</f>
        <v>0</v>
      </c>
      <c r="F217" s="48">
        <f>'[10]Rev_SP-12me'!AQ246</f>
        <v>0</v>
      </c>
      <c r="G217" s="68">
        <f>'[10]Rev_SP-12me'!O246</f>
        <v>500</v>
      </c>
      <c r="H217" s="69">
        <f>'[10]Rev_SP-12me'!P246</f>
        <v>10.8</v>
      </c>
      <c r="I217" s="68">
        <f>'[10]Rev_SP-12me'!AA246</f>
        <v>5000</v>
      </c>
      <c r="J217" s="8"/>
      <c r="K217" s="48">
        <f>'[10]Rev_SP-12me'!AT246</f>
        <v>0</v>
      </c>
      <c r="L217" s="48">
        <f>'[10]Rev_SP-12me'!AU246</f>
        <v>0</v>
      </c>
      <c r="M217" s="48">
        <f>'[10]Rev_SP-12me'!AW246</f>
        <v>0</v>
      </c>
      <c r="N217" s="8"/>
      <c r="O217" s="24">
        <f t="shared" si="5"/>
        <v>0</v>
      </c>
    </row>
    <row r="218" ht="15" spans="2:15">
      <c r="B218" s="77" t="s">
        <v>1164</v>
      </c>
      <c r="C218" s="55"/>
      <c r="D218" s="78">
        <f>SUM(D176,D184,D189,D190,D195,D200,D205,D208,D210,D211,D216,D217)</f>
        <v>96.4391533439087</v>
      </c>
      <c r="E218" s="78">
        <f>SUM(E176,E184,E189,E190,E195,E200,E205,E208,E210,E211,E216,E217)</f>
        <v>2949.99510866657</v>
      </c>
      <c r="F218" s="78">
        <f>SUM(F176,F184,F189,F190,F195,F200,F205,F208,F210,F211,F216,F217)</f>
        <v>9337.63890754263</v>
      </c>
      <c r="G218" s="95"/>
      <c r="H218" s="95"/>
      <c r="I218" s="95"/>
      <c r="J218" s="95"/>
      <c r="K218" s="78">
        <f>SUM(K176,K184,K189,K190,K195,K200,K205,K208,K210,K211,K216,K217)</f>
        <v>778.261253600676</v>
      </c>
      <c r="L218" s="78">
        <f>SUM(L176,L184,L189,L190,L195,L200,L205,L208,L210,L211,L216,L217)</f>
        <v>6033.38434474687</v>
      </c>
      <c r="M218" s="78">
        <f>SUM(M176,M184,M189,M190,M195,M200,M205,M208,M210,M211,M216,M217)</f>
        <v>0.583104070555181</v>
      </c>
      <c r="N218" s="78">
        <f>SUM(N176,N184,N189,N190,N195,N200,N205,N208,N210,N211,N216,N217)</f>
        <v>0</v>
      </c>
      <c r="O218" s="78">
        <f>SUM(O176,O184,O189,O190,O195,O200,O205,O208,O210,O211,O216,O217)</f>
        <v>6812.2287024181</v>
      </c>
    </row>
    <row r="219" spans="2:15">
      <c r="B219" s="77"/>
      <c r="C219" s="55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</row>
    <row r="220" ht="15" spans="2:15">
      <c r="B220" s="54" t="s">
        <v>1165</v>
      </c>
      <c r="C220" s="55"/>
      <c r="D220" s="78">
        <f>D125+D173+D218</f>
        <v>12752.9526116669</v>
      </c>
      <c r="E220" s="78">
        <f>E125+E173+E218</f>
        <v>8800</v>
      </c>
      <c r="F220" s="78">
        <f>F125+F173+F218</f>
        <v>24999.0657663384</v>
      </c>
      <c r="G220" s="99"/>
      <c r="H220" s="99"/>
      <c r="I220" s="99"/>
      <c r="J220" s="99"/>
      <c r="K220" s="78">
        <f>K125+K173+K218</f>
        <v>3343.24254199917</v>
      </c>
      <c r="L220" s="78">
        <f>L125+L173+L218</f>
        <v>18089.6669187823</v>
      </c>
      <c r="M220" s="78">
        <f>M125+M173+M218</f>
        <v>31.4602780805133</v>
      </c>
      <c r="N220" s="78">
        <f>N125+N173+N218</f>
        <v>0</v>
      </c>
      <c r="O220" s="78">
        <f>O125+O173+O218</f>
        <v>21464.369738862</v>
      </c>
    </row>
    <row r="221" ht="15" spans="2:15">
      <c r="B221" s="54" t="s">
        <v>1166</v>
      </c>
      <c r="C221" s="55"/>
      <c r="D221" s="78">
        <f>D220+D70</f>
        <v>11196257.8201371</v>
      </c>
      <c r="E221" s="78">
        <f>E220+E70</f>
        <v>33876.0012971162</v>
      </c>
      <c r="F221" s="78">
        <f>F220+F70</f>
        <v>53375.7301364451</v>
      </c>
      <c r="G221" s="99"/>
      <c r="H221" s="99"/>
      <c r="I221" s="99"/>
      <c r="J221" s="99"/>
      <c r="K221" s="80">
        <f>K220+K70</f>
        <v>4017.05901393092</v>
      </c>
      <c r="L221" s="80">
        <f>L220+L70</f>
        <v>28098.0438276918</v>
      </c>
      <c r="M221" s="80">
        <f>M220+M70</f>
        <v>959.554213639893</v>
      </c>
      <c r="N221" s="78">
        <f>N220+N70</f>
        <v>0</v>
      </c>
      <c r="O221" s="78">
        <f>O220+O70</f>
        <v>33074.6570552626</v>
      </c>
    </row>
    <row r="223" ht="15" spans="4:5">
      <c r="D223" s="11" t="s">
        <v>225</v>
      </c>
      <c r="E223" s="12"/>
    </row>
    <row r="224" spans="4:5">
      <c r="D224" s="13">
        <v>1</v>
      </c>
      <c r="E224" s="12" t="s">
        <v>226</v>
      </c>
    </row>
    <row r="225" spans="4:5">
      <c r="D225" s="13">
        <f>D224+1</f>
        <v>2</v>
      </c>
      <c r="E225" s="12" t="s">
        <v>233</v>
      </c>
    </row>
  </sheetData>
  <mergeCells count="11">
    <mergeCell ref="B2:P2"/>
    <mergeCell ref="G5:H5"/>
    <mergeCell ref="K5:O5"/>
    <mergeCell ref="B8:C8"/>
    <mergeCell ref="B72:C72"/>
    <mergeCell ref="D5:D6"/>
    <mergeCell ref="E5:E6"/>
    <mergeCell ref="F5:F6"/>
    <mergeCell ref="I5:I6"/>
    <mergeCell ref="J5:J6"/>
    <mergeCell ref="B5:C7"/>
  </mergeCells>
  <pageMargins left="0.7" right="0.7" top="0.75" bottom="0.75" header="0.3" footer="0.3"/>
  <pageSetup paperSize="1" orientation="portrait"/>
  <headerFooter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225"/>
  <sheetViews>
    <sheetView showGridLines="0" zoomScale="90" zoomScaleNormal="90" topLeftCell="A3" workbookViewId="0">
      <pane xSplit="3" ySplit="5" topLeftCell="D195" activePane="bottomRight" state="frozen"/>
      <selection/>
      <selection pane="topRight"/>
      <selection pane="bottomLeft"/>
      <selection pane="bottomRight" activeCell="G217" sqref="G217"/>
    </sheetView>
  </sheetViews>
  <sheetFormatPr defaultColWidth="9.14285714285714" defaultRowHeight="14.25"/>
  <cols>
    <col min="1" max="1" width="9.14285714285714" style="1"/>
    <col min="2" max="2" width="33" style="1" customWidth="1"/>
    <col min="3" max="3" width="38.5714285714286" style="1" customWidth="1"/>
    <col min="4" max="4" width="21" style="1" customWidth="1"/>
    <col min="5" max="5" width="16.8571428571429" style="1" customWidth="1"/>
    <col min="6" max="6" width="14" style="1" customWidth="1"/>
    <col min="7" max="7" width="25" style="1" customWidth="1"/>
    <col min="8" max="8" width="21.4285714285714" style="1" customWidth="1"/>
    <col min="9" max="9" width="17.5714285714286" style="1" customWidth="1"/>
    <col min="10" max="10" width="16.1428571428571" style="1" customWidth="1"/>
    <col min="11" max="11" width="25" style="1" customWidth="1"/>
    <col min="12" max="12" width="17.5714285714286" style="1" customWidth="1"/>
    <col min="13" max="13" width="20.4285714285714" style="1" customWidth="1"/>
    <col min="14" max="14" width="14.5714285714286" style="1" customWidth="1"/>
    <col min="15" max="15" width="17.4285714285714" style="1" customWidth="1"/>
    <col min="16" max="16384" width="9.14285714285714" style="1"/>
  </cols>
  <sheetData>
    <row r="2" ht="15" spans="2:16">
      <c r="B2" s="2" t="s">
        <v>156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9:9">
      <c r="I3" s="3" t="s">
        <v>1186</v>
      </c>
    </row>
    <row r="5" ht="15" spans="2:15">
      <c r="B5" s="36" t="s">
        <v>159</v>
      </c>
      <c r="C5" s="37"/>
      <c r="D5" s="90" t="s">
        <v>1086</v>
      </c>
      <c r="E5" s="90" t="s">
        <v>1087</v>
      </c>
      <c r="F5" s="38" t="s">
        <v>879</v>
      </c>
      <c r="G5" s="38" t="s">
        <v>1088</v>
      </c>
      <c r="H5" s="38"/>
      <c r="I5" s="90" t="s">
        <v>1089</v>
      </c>
      <c r="J5" s="92" t="s">
        <v>1090</v>
      </c>
      <c r="K5" s="38" t="s">
        <v>1091</v>
      </c>
      <c r="L5" s="38"/>
      <c r="M5" s="38"/>
      <c r="N5" s="38"/>
      <c r="O5" s="38"/>
    </row>
    <row r="6" ht="15" spans="2:15">
      <c r="B6" s="40"/>
      <c r="C6" s="41"/>
      <c r="D6" s="90"/>
      <c r="E6" s="90"/>
      <c r="F6" s="38"/>
      <c r="G6" s="38" t="s">
        <v>1092</v>
      </c>
      <c r="H6" s="38" t="s">
        <v>1093</v>
      </c>
      <c r="I6" s="90"/>
      <c r="J6" s="93"/>
      <c r="K6" s="38" t="s">
        <v>1092</v>
      </c>
      <c r="L6" s="38" t="s">
        <v>1093</v>
      </c>
      <c r="M6" s="38" t="s">
        <v>1089</v>
      </c>
      <c r="N6" s="38" t="s">
        <v>1090</v>
      </c>
      <c r="O6" s="38" t="s">
        <v>97</v>
      </c>
    </row>
    <row r="7" ht="15" spans="2:15">
      <c r="B7" s="42"/>
      <c r="C7" s="43"/>
      <c r="D7" s="39" t="s">
        <v>1094</v>
      </c>
      <c r="E7" s="39" t="s">
        <v>1095</v>
      </c>
      <c r="F7" s="39" t="s">
        <v>1096</v>
      </c>
      <c r="G7" s="39" t="s">
        <v>1097</v>
      </c>
      <c r="H7" s="39" t="s">
        <v>1098</v>
      </c>
      <c r="I7" s="39" t="s">
        <v>1097</v>
      </c>
      <c r="J7" s="38" t="s">
        <v>297</v>
      </c>
      <c r="K7" s="38" t="s">
        <v>550</v>
      </c>
      <c r="L7" s="38" t="s">
        <v>550</v>
      </c>
      <c r="M7" s="38" t="s">
        <v>550</v>
      </c>
      <c r="N7" s="38" t="s">
        <v>550</v>
      </c>
      <c r="O7" s="38" t="s">
        <v>550</v>
      </c>
    </row>
    <row r="8" ht="15" spans="2:15">
      <c r="B8" s="44" t="s">
        <v>890</v>
      </c>
      <c r="C8" s="45"/>
      <c r="J8" s="8"/>
      <c r="K8" s="8"/>
      <c r="L8" s="8"/>
      <c r="M8" s="8"/>
      <c r="N8" s="8"/>
      <c r="O8" s="8"/>
    </row>
    <row r="9" ht="15" spans="2:15">
      <c r="B9" s="46" t="s">
        <v>1000</v>
      </c>
      <c r="C9" s="47"/>
      <c r="D9" s="48">
        <f>'[10]Rev_SP-12me'!AJ10</f>
        <v>8309136</v>
      </c>
      <c r="E9" s="48">
        <f>'[10]Rev_SP-12me'!AL10</f>
        <v>12920</v>
      </c>
      <c r="F9" s="48">
        <f>'[10]Rev_SP-12me'!AQ10</f>
        <v>11109.32</v>
      </c>
      <c r="G9" s="79"/>
      <c r="H9" s="91"/>
      <c r="I9" s="79"/>
      <c r="J9" s="8"/>
      <c r="K9" s="48">
        <f>'[10]Rev_SP-12me'!AT10</f>
        <v>155.04</v>
      </c>
      <c r="L9" s="48">
        <f>'[10]Rev_SP-12me'!AU10</f>
        <v>5195.81179599001</v>
      </c>
      <c r="M9" s="48">
        <f>'[10]Rev_SP-12me'!AW10</f>
        <v>715.728977938821</v>
      </c>
      <c r="N9" s="49"/>
      <c r="O9" s="60">
        <f t="shared" ref="O9:O40" si="0">SUM(K9:N9)</f>
        <v>6066.58077392883</v>
      </c>
    </row>
    <row r="10" spans="2:15">
      <c r="B10" s="50" t="s">
        <v>1001</v>
      </c>
      <c r="C10" s="47"/>
      <c r="D10" s="51">
        <f>'[10]Rev_SP-12me'!AJ11</f>
        <v>4531836</v>
      </c>
      <c r="E10" s="51">
        <f>'[10]Rev_SP-12me'!AL11</f>
        <v>4841.16426945736</v>
      </c>
      <c r="F10" s="51">
        <f>'[10]Rev_SP-12me'!AQ11</f>
        <v>2492.02805980674</v>
      </c>
      <c r="G10" s="79"/>
      <c r="H10" s="91"/>
      <c r="I10" s="79"/>
      <c r="J10" s="8"/>
      <c r="K10" s="51">
        <f>'[10]Rev_SP-12me'!AT11</f>
        <v>58.0939712334883</v>
      </c>
      <c r="L10" s="51">
        <f>'[10]Rev_SP-12me'!AU11</f>
        <v>558.202623924158</v>
      </c>
      <c r="M10" s="51">
        <f>'[10]Rev_SP-12me'!AW11</f>
        <v>284.721250714718</v>
      </c>
      <c r="N10" s="49"/>
      <c r="O10" s="60">
        <f t="shared" si="0"/>
        <v>901.017845872364</v>
      </c>
    </row>
    <row r="11" spans="2:15">
      <c r="B11" s="52" t="s">
        <v>1002</v>
      </c>
      <c r="C11" s="47"/>
      <c r="D11" s="53">
        <f>'[10]Rev_SP-12me'!AJ12</f>
        <v>2447853</v>
      </c>
      <c r="E11" s="53">
        <f>'[10]Rev_SP-12me'!AL12</f>
        <v>2562.35803949017</v>
      </c>
      <c r="F11" s="53">
        <f>'[10]Rev_SP-12me'!AQ12</f>
        <v>1863.70499666027</v>
      </c>
      <c r="G11" s="79">
        <f>'[10]Rev_SP-12me'!O12</f>
        <v>10</v>
      </c>
      <c r="H11" s="60">
        <f>'[10]Rev_SP-12me'!P12</f>
        <v>1.95</v>
      </c>
      <c r="I11" s="79">
        <f>'[10]Rev_SP-12me'!AA12</f>
        <v>40</v>
      </c>
      <c r="J11" s="8"/>
      <c r="K11" s="53">
        <f>'[10]Rev_SP-12me'!AT12</f>
        <v>30.7482964738821</v>
      </c>
      <c r="L11" s="53">
        <f>'[10]Rev_SP-12me'!AU12</f>
        <v>363.422474348752</v>
      </c>
      <c r="M11" s="53">
        <f>'[10]Rev_SP-12me'!AW12</f>
        <v>114.35208850819</v>
      </c>
      <c r="N11" s="49"/>
      <c r="O11" s="60">
        <f t="shared" si="0"/>
        <v>508.522859330824</v>
      </c>
    </row>
    <row r="12" spans="2:15">
      <c r="B12" s="52" t="s">
        <v>1004</v>
      </c>
      <c r="C12" s="47"/>
      <c r="D12" s="53">
        <f>'[10]Rev_SP-12me'!AJ13</f>
        <v>2083983</v>
      </c>
      <c r="E12" s="53">
        <f>'[10]Rev_SP-12me'!AL13</f>
        <v>2278.80622996719</v>
      </c>
      <c r="F12" s="53">
        <f>'[10]Rev_SP-12me'!AQ13</f>
        <v>628.32306314647</v>
      </c>
      <c r="G12" s="79">
        <f>'[10]Rev_SP-12me'!O13</f>
        <v>10</v>
      </c>
      <c r="H12" s="60">
        <f>'[10]Rev_SP-12me'!P13</f>
        <v>3.1</v>
      </c>
      <c r="I12" s="79">
        <f>'[10]Rev_SP-12me'!AA13</f>
        <v>70</v>
      </c>
      <c r="J12" s="8"/>
      <c r="K12" s="53">
        <f>'[10]Rev_SP-12me'!AT13</f>
        <v>27.3456747596062</v>
      </c>
      <c r="L12" s="53">
        <f>'[10]Rev_SP-12me'!AU13</f>
        <v>194.780149575406</v>
      </c>
      <c r="M12" s="53">
        <f>'[10]Rev_SP-12me'!AW13</f>
        <v>170.369162206528</v>
      </c>
      <c r="N12" s="49"/>
      <c r="O12" s="60">
        <f t="shared" si="0"/>
        <v>392.49498654154</v>
      </c>
    </row>
    <row r="13" spans="2:15">
      <c r="B13" s="50" t="s">
        <v>1005</v>
      </c>
      <c r="C13" s="47"/>
      <c r="D13" s="51">
        <f>'[10]Rev_SP-12me'!AJ14</f>
        <v>2439619</v>
      </c>
      <c r="E13" s="51">
        <f>'[10]Rev_SP-12me'!AL14</f>
        <v>3981.35685802091</v>
      </c>
      <c r="F13" s="51">
        <f>'[10]Rev_SP-12me'!AQ14</f>
        <v>3825.08595019733</v>
      </c>
      <c r="G13" s="79"/>
      <c r="H13" s="60"/>
      <c r="I13" s="79"/>
      <c r="J13" s="8"/>
      <c r="K13" s="51">
        <f>'[10]Rev_SP-12me'!AT14</f>
        <v>47.7762822962509</v>
      </c>
      <c r="L13" s="51">
        <f>'[10]Rev_SP-12me'!AU14</f>
        <v>1458.00880922852</v>
      </c>
      <c r="M13" s="51">
        <f>'[10]Rev_SP-12me'!AW14</f>
        <v>256.426728885309</v>
      </c>
      <c r="N13" s="49"/>
      <c r="O13" s="60">
        <f t="shared" si="0"/>
        <v>1762.21182041008</v>
      </c>
    </row>
    <row r="14" spans="2:15">
      <c r="B14" s="52" t="s">
        <v>1006</v>
      </c>
      <c r="C14" s="47"/>
      <c r="D14" s="53">
        <f>'[10]Rev_SP-12me'!AJ15</f>
        <v>0</v>
      </c>
      <c r="E14" s="53">
        <f>'[10]Rev_SP-12me'!AL15</f>
        <v>0</v>
      </c>
      <c r="F14" s="53">
        <f>'[10]Rev_SP-12me'!AQ15</f>
        <v>2700.23176332995</v>
      </c>
      <c r="G14" s="79">
        <f>'[10]Rev_SP-12me'!O15</f>
        <v>10</v>
      </c>
      <c r="H14" s="60">
        <f>'[10]Rev_SP-12me'!P15</f>
        <v>3.4</v>
      </c>
      <c r="I14" s="79"/>
      <c r="J14" s="8"/>
      <c r="K14" s="53">
        <f>'[10]Rev_SP-12me'!AT15</f>
        <v>0</v>
      </c>
      <c r="L14" s="53">
        <f>'[10]Rev_SP-12me'!AU15</f>
        <v>918.078799532183</v>
      </c>
      <c r="M14" s="53">
        <f>'[10]Rev_SP-12me'!AW15</f>
        <v>0</v>
      </c>
      <c r="N14" s="49"/>
      <c r="O14" s="60">
        <f t="shared" si="0"/>
        <v>918.078799532183</v>
      </c>
    </row>
    <row r="15" spans="2:15">
      <c r="B15" s="52" t="s">
        <v>1007</v>
      </c>
      <c r="C15" s="47"/>
      <c r="D15" s="53">
        <f>'[10]Rev_SP-12me'!AJ16</f>
        <v>2439619</v>
      </c>
      <c r="E15" s="53">
        <f>'[10]Rev_SP-12me'!AL16</f>
        <v>3981.35685802091</v>
      </c>
      <c r="F15" s="53">
        <f>'[10]Rev_SP-12me'!AQ16</f>
        <v>1124.85418686738</v>
      </c>
      <c r="G15" s="79">
        <f>'[10]Rev_SP-12me'!O16</f>
        <v>10</v>
      </c>
      <c r="H15" s="60">
        <f>'[10]Rev_SP-12me'!P16</f>
        <v>4.8</v>
      </c>
      <c r="I15" s="79">
        <f>'[10]Rev_SP-12me'!AA16</f>
        <v>90</v>
      </c>
      <c r="J15" s="8"/>
      <c r="K15" s="53">
        <f>'[10]Rev_SP-12me'!AT16</f>
        <v>47.7762822962509</v>
      </c>
      <c r="L15" s="53">
        <f>'[10]Rev_SP-12me'!AU16</f>
        <v>539.93000969634</v>
      </c>
      <c r="M15" s="53">
        <f>'[10]Rev_SP-12me'!AW16</f>
        <v>256.426728885309</v>
      </c>
      <c r="N15" s="49"/>
      <c r="O15" s="60">
        <f t="shared" si="0"/>
        <v>844.1330208779</v>
      </c>
    </row>
    <row r="16" spans="2:15">
      <c r="B16" s="50" t="s">
        <v>1008</v>
      </c>
      <c r="C16" s="47"/>
      <c r="D16" s="51">
        <f>'[10]Rev_SP-12me'!AJ17</f>
        <v>1337681</v>
      </c>
      <c r="E16" s="51">
        <f>'[10]Rev_SP-12me'!AL17</f>
        <v>4097.47887252173</v>
      </c>
      <c r="F16" s="51">
        <f>'[10]Rev_SP-12me'!AQ17</f>
        <v>4792.20598999594</v>
      </c>
      <c r="G16" s="79"/>
      <c r="H16" s="60"/>
      <c r="I16" s="79"/>
      <c r="J16" s="8"/>
      <c r="K16" s="51">
        <f>'[10]Rev_SP-12me'!AT17</f>
        <v>49.1697464702608</v>
      </c>
      <c r="L16" s="51">
        <f>'[10]Rev_SP-12me'!AU17</f>
        <v>3179.60036283733</v>
      </c>
      <c r="M16" s="51">
        <f>'[10]Rev_SP-12me'!AW17</f>
        <v>174.580998338794</v>
      </c>
      <c r="N16" s="49"/>
      <c r="O16" s="60">
        <f t="shared" si="0"/>
        <v>3403.35110764638</v>
      </c>
    </row>
    <row r="17" spans="2:15">
      <c r="B17" s="52" t="s">
        <v>1009</v>
      </c>
      <c r="C17" s="47"/>
      <c r="D17" s="53">
        <f>'[10]Rev_SP-12me'!AJ18</f>
        <v>0</v>
      </c>
      <c r="E17" s="53">
        <f>'[10]Rev_SP-12me'!AL18</f>
        <v>0</v>
      </c>
      <c r="F17" s="53">
        <f>'[10]Rev_SP-12me'!AQ18</f>
        <v>2748.206488247</v>
      </c>
      <c r="G17" s="79">
        <f>'[10]Rev_SP-12me'!O18</f>
        <v>10</v>
      </c>
      <c r="H17" s="60">
        <f>'[10]Rev_SP-12me'!P18</f>
        <v>5.1</v>
      </c>
      <c r="I17" s="79"/>
      <c r="J17" s="8"/>
      <c r="K17" s="53">
        <f>'[10]Rev_SP-12me'!AT18</f>
        <v>0</v>
      </c>
      <c r="L17" s="53">
        <f>'[10]Rev_SP-12me'!AU18</f>
        <v>1401.58530900597</v>
      </c>
      <c r="M17" s="53">
        <f>'[10]Rev_SP-12me'!AW18</f>
        <v>0</v>
      </c>
      <c r="N17" s="49"/>
      <c r="O17" s="60">
        <f t="shared" si="0"/>
        <v>1401.58530900597</v>
      </c>
    </row>
    <row r="18" spans="2:15">
      <c r="B18" s="52" t="s">
        <v>1010</v>
      </c>
      <c r="C18" s="47"/>
      <c r="D18" s="53">
        <f>'[10]Rev_SP-12me'!AJ19</f>
        <v>825845</v>
      </c>
      <c r="E18" s="53">
        <f>'[10]Rev_SP-12me'!AL19</f>
        <v>2035.62338463807</v>
      </c>
      <c r="F18" s="53">
        <f>'[10]Rev_SP-12me'!AQ19</f>
        <v>883.956084710964</v>
      </c>
      <c r="G18" s="79">
        <f>'[10]Rev_SP-12me'!O19</f>
        <v>10</v>
      </c>
      <c r="H18" s="60">
        <f>'[10]Rev_SP-12me'!P19</f>
        <v>7.7</v>
      </c>
      <c r="I18" s="79">
        <f>'[10]Rev_SP-12me'!AA19</f>
        <v>100</v>
      </c>
      <c r="J18" s="8"/>
      <c r="K18" s="53">
        <f>'[10]Rev_SP-12me'!AT19</f>
        <v>24.4274806156568</v>
      </c>
      <c r="L18" s="53">
        <f>'[10]Rev_SP-12me'!AU19</f>
        <v>680.646185227442</v>
      </c>
      <c r="M18" s="53">
        <f>'[10]Rev_SP-12me'!AW19</f>
        <v>96.4489090378857</v>
      </c>
      <c r="N18" s="49"/>
      <c r="O18" s="60">
        <f t="shared" si="0"/>
        <v>801.522574880984</v>
      </c>
    </row>
    <row r="19" spans="2:15">
      <c r="B19" s="52" t="s">
        <v>1011</v>
      </c>
      <c r="C19" s="47"/>
      <c r="D19" s="53">
        <f>'[10]Rev_SP-12me'!AJ20</f>
        <v>275619</v>
      </c>
      <c r="E19" s="53">
        <f>'[10]Rev_SP-12me'!AL20</f>
        <v>871.523539925073</v>
      </c>
      <c r="F19" s="53">
        <f>'[10]Rev_SP-12me'!AQ20</f>
        <v>389.807814263622</v>
      </c>
      <c r="G19" s="79">
        <f>'[10]Rev_SP-12me'!O20</f>
        <v>10</v>
      </c>
      <c r="H19" s="60">
        <f>'[10]Rev_SP-12me'!P20</f>
        <v>9</v>
      </c>
      <c r="I19" s="79">
        <f>'[10]Rev_SP-12me'!AA20</f>
        <v>120</v>
      </c>
      <c r="J19" s="8"/>
      <c r="K19" s="53">
        <f>'[10]Rev_SP-12me'!AT20</f>
        <v>10.4582824791009</v>
      </c>
      <c r="L19" s="53">
        <f>'[10]Rev_SP-12me'!AU20</f>
        <v>350.82703283726</v>
      </c>
      <c r="M19" s="53">
        <f>'[10]Rev_SP-12me'!AW20</f>
        <v>38.6268394579317</v>
      </c>
      <c r="N19" s="49"/>
      <c r="O19" s="60">
        <f t="shared" si="0"/>
        <v>399.912154774293</v>
      </c>
    </row>
    <row r="20" spans="2:15">
      <c r="B20" s="52" t="s">
        <v>1012</v>
      </c>
      <c r="C20" s="47"/>
      <c r="D20" s="53">
        <f>'[10]Rev_SP-12me'!AJ21</f>
        <v>198415</v>
      </c>
      <c r="E20" s="53">
        <f>'[10]Rev_SP-12me'!AL21</f>
        <v>827.61209487966</v>
      </c>
      <c r="F20" s="53">
        <f>'[10]Rev_SP-12me'!AQ21</f>
        <v>473.875340153904</v>
      </c>
      <c r="G20" s="79">
        <f>'[10]Rev_SP-12me'!O21</f>
        <v>10</v>
      </c>
      <c r="H20" s="60">
        <f>'[10]Rev_SP-12me'!P21</f>
        <v>9.5</v>
      </c>
      <c r="I20" s="79">
        <f>'[10]Rev_SP-12me'!AA21</f>
        <v>140</v>
      </c>
      <c r="J20" s="8"/>
      <c r="K20" s="53">
        <f>'[10]Rev_SP-12me'!AT21</f>
        <v>9.93134513855592</v>
      </c>
      <c r="L20" s="53">
        <f>'[10]Rev_SP-12me'!AU21</f>
        <v>450.181573146209</v>
      </c>
      <c r="M20" s="53">
        <f>'[10]Rev_SP-12me'!AW21</f>
        <v>32.4415288600802</v>
      </c>
      <c r="N20" s="49"/>
      <c r="O20" s="60">
        <f t="shared" si="0"/>
        <v>492.554447144845</v>
      </c>
    </row>
    <row r="21" spans="2:15">
      <c r="B21" s="52" t="s">
        <v>1013</v>
      </c>
      <c r="C21" s="47"/>
      <c r="D21" s="53">
        <f>'[10]Rev_SP-12me'!AJ22</f>
        <v>37802</v>
      </c>
      <c r="E21" s="53">
        <f>'[10]Rev_SP-12me'!AL22</f>
        <v>362.719853078931</v>
      </c>
      <c r="F21" s="53">
        <f>'[10]Rev_SP-12me'!AQ22</f>
        <v>296.36026262045</v>
      </c>
      <c r="G21" s="79">
        <f>'[10]Rev_SP-12me'!O22</f>
        <v>10</v>
      </c>
      <c r="H21" s="60">
        <f>'[10]Rev_SP-12me'!P22</f>
        <v>10</v>
      </c>
      <c r="I21" s="79">
        <f>'[10]Rev_SP-12me'!AA22</f>
        <v>160</v>
      </c>
      <c r="J21" s="8"/>
      <c r="K21" s="53">
        <f>'[10]Rev_SP-12me'!AT22</f>
        <v>4.35263823694717</v>
      </c>
      <c r="L21" s="53">
        <f>'[10]Rev_SP-12me'!AU22</f>
        <v>296.36026262045</v>
      </c>
      <c r="M21" s="53">
        <f>'[10]Rev_SP-12me'!AW22</f>
        <v>7.0637209828966</v>
      </c>
      <c r="N21" s="49"/>
      <c r="O21" s="60">
        <f t="shared" si="0"/>
        <v>307.776621840294</v>
      </c>
    </row>
    <row r="22" ht="15" spans="2:15">
      <c r="B22" s="54" t="s">
        <v>1014</v>
      </c>
      <c r="C22" s="55"/>
      <c r="D22" s="48">
        <f>'[10]Rev_SP-12me'!AJ23</f>
        <v>1238732</v>
      </c>
      <c r="E22" s="48">
        <f>'[10]Rev_SP-12me'!AL23</f>
        <v>4240</v>
      </c>
      <c r="F22" s="48">
        <f>'[10]Rev_SP-12me'!AQ23</f>
        <v>3410.78</v>
      </c>
      <c r="G22" s="79"/>
      <c r="H22" s="60"/>
      <c r="I22" s="79"/>
      <c r="J22" s="8"/>
      <c r="K22" s="48">
        <f>'[10]Rev_SP-12me'!AT23</f>
        <v>343.825130439376</v>
      </c>
      <c r="L22" s="48">
        <f>'[10]Rev_SP-12me'!AU23</f>
        <v>3462.99295905309</v>
      </c>
      <c r="M22" s="48">
        <f>'[10]Rev_SP-12me'!AW23</f>
        <v>119.384742599093</v>
      </c>
      <c r="N22" s="49"/>
      <c r="O22" s="60">
        <f t="shared" si="0"/>
        <v>3926.20283209156</v>
      </c>
    </row>
    <row r="23" spans="2:15">
      <c r="B23" s="56" t="s">
        <v>1015</v>
      </c>
      <c r="C23" s="55"/>
      <c r="D23" s="51">
        <f>'[10]Rev_SP-12me'!AJ24</f>
        <v>571811</v>
      </c>
      <c r="E23" s="51">
        <f>'[10]Rev_SP-12me'!AL24</f>
        <v>1013.52178667271</v>
      </c>
      <c r="F23" s="51">
        <f>'[10]Rev_SP-12me'!AQ24</f>
        <v>99.3520991458572</v>
      </c>
      <c r="G23" s="79"/>
      <c r="H23" s="60"/>
      <c r="I23" s="79"/>
      <c r="J23" s="8"/>
      <c r="K23" s="51">
        <f>'[10]Rev_SP-12me'!AT24</f>
        <v>72.9735686404349</v>
      </c>
      <c r="L23" s="51">
        <f>'[10]Rev_SP-12me'!AU24</f>
        <v>69.5464694021</v>
      </c>
      <c r="M23" s="51">
        <f>'[10]Rev_SP-12me'!AW24</f>
        <v>33.2257464690419</v>
      </c>
      <c r="N23" s="49"/>
      <c r="O23" s="60">
        <f t="shared" si="0"/>
        <v>175.745784511577</v>
      </c>
    </row>
    <row r="24" spans="2:15">
      <c r="B24" s="57" t="s">
        <v>1002</v>
      </c>
      <c r="C24" s="55"/>
      <c r="D24" s="53">
        <f>'[10]Rev_SP-12me'!AJ25</f>
        <v>571811</v>
      </c>
      <c r="E24" s="53">
        <f>'[10]Rev_SP-12me'!AL25</f>
        <v>1013.52178667271</v>
      </c>
      <c r="F24" s="53">
        <f>'[10]Rev_SP-12me'!AQ25</f>
        <v>99.3520991458572</v>
      </c>
      <c r="G24" s="79">
        <f>'[10]Rev_SP-12me'!O25</f>
        <v>60</v>
      </c>
      <c r="H24" s="60">
        <f>'[10]Rev_SP-12me'!P25</f>
        <v>7</v>
      </c>
      <c r="I24" s="79">
        <f>'[10]Rev_SP-12me'!AA25</f>
        <v>50</v>
      </c>
      <c r="J24" s="8"/>
      <c r="K24" s="53">
        <f>'[10]Rev_SP-12me'!AT25</f>
        <v>72.9735686404349</v>
      </c>
      <c r="L24" s="53">
        <f>'[10]Rev_SP-12me'!AU25</f>
        <v>69.5464694021</v>
      </c>
      <c r="M24" s="53">
        <f>'[10]Rev_SP-12me'!AW25</f>
        <v>33.2257464690419</v>
      </c>
      <c r="N24" s="49"/>
      <c r="O24" s="60">
        <f t="shared" si="0"/>
        <v>175.745784511577</v>
      </c>
    </row>
    <row r="25" spans="2:15">
      <c r="B25" s="56" t="s">
        <v>1016</v>
      </c>
      <c r="C25" s="55"/>
      <c r="D25" s="51">
        <f>'[10]Rev_SP-12me'!AJ26</f>
        <v>650970</v>
      </c>
      <c r="E25" s="51">
        <f>'[10]Rev_SP-12me'!AL26</f>
        <v>3204.78930983204</v>
      </c>
      <c r="F25" s="51">
        <f>'[10]Rev_SP-12me'!AQ26</f>
        <v>3302.21707574396</v>
      </c>
      <c r="G25" s="79"/>
      <c r="H25" s="60"/>
      <c r="I25" s="79"/>
      <c r="J25" s="8"/>
      <c r="K25" s="51">
        <f>'[10]Rev_SP-12me'!AT26</f>
        <v>269.202302025892</v>
      </c>
      <c r="L25" s="51">
        <f>'[10]Rev_SP-12me'!AU26</f>
        <v>3384.85923095971</v>
      </c>
      <c r="M25" s="51">
        <f>'[10]Rev_SP-12me'!AW26</f>
        <v>84.9502541755017</v>
      </c>
      <c r="N25" s="49"/>
      <c r="O25" s="60">
        <f t="shared" si="0"/>
        <v>3739.0117871611</v>
      </c>
    </row>
    <row r="26" spans="2:15">
      <c r="B26" s="58" t="s">
        <v>1006</v>
      </c>
      <c r="C26" s="55"/>
      <c r="D26" s="53">
        <f>'[10]Rev_SP-12me'!AJ27</f>
        <v>206445</v>
      </c>
      <c r="E26" s="53">
        <f>'[10]Rev_SP-12me'!AL27</f>
        <v>358.570178296888</v>
      </c>
      <c r="F26" s="53">
        <f>'[10]Rev_SP-12me'!AQ27</f>
        <v>644.868811282196</v>
      </c>
      <c r="G26" s="79">
        <f>'[10]Rev_SP-12me'!O27</f>
        <v>70</v>
      </c>
      <c r="H26" s="60">
        <f>'[10]Rev_SP-12me'!P27</f>
        <v>8.5</v>
      </c>
      <c r="I26" s="79">
        <f>'[10]Rev_SP-12me'!AA27</f>
        <v>90</v>
      </c>
      <c r="J26" s="8"/>
      <c r="K26" s="53">
        <f>'[10]Rev_SP-12me'!AT27</f>
        <v>30.1198949769386</v>
      </c>
      <c r="L26" s="53">
        <f>'[10]Rev_SP-12me'!AU27</f>
        <v>548.138489589867</v>
      </c>
      <c r="M26" s="53">
        <f>'[10]Rev_SP-12me'!AW27</f>
        <v>21.5923104201256</v>
      </c>
      <c r="N26" s="49"/>
      <c r="O26" s="60">
        <f t="shared" si="0"/>
        <v>599.850694986931</v>
      </c>
    </row>
    <row r="27" spans="2:15">
      <c r="B27" s="58" t="s">
        <v>1017</v>
      </c>
      <c r="C27" s="55"/>
      <c r="D27" s="53">
        <f>'[10]Rev_SP-12me'!AJ28</f>
        <v>252600</v>
      </c>
      <c r="E27" s="53">
        <f>'[10]Rev_SP-12me'!AL28</f>
        <v>657.90534263401</v>
      </c>
      <c r="F27" s="53">
        <f>'[10]Rev_SP-12me'!AQ28</f>
        <v>606.948489546929</v>
      </c>
      <c r="G27" s="79">
        <f>'[10]Rev_SP-12me'!O28</f>
        <v>70</v>
      </c>
      <c r="H27" s="60">
        <f>'[10]Rev_SP-12me'!P28</f>
        <v>9.9</v>
      </c>
      <c r="I27" s="79">
        <f>'[10]Rev_SP-12me'!AA28</f>
        <v>105</v>
      </c>
      <c r="J27" s="8"/>
      <c r="K27" s="53">
        <f>'[10]Rev_SP-12me'!AT28</f>
        <v>55.2640487812568</v>
      </c>
      <c r="L27" s="53">
        <f>'[10]Rev_SP-12me'!AU28</f>
        <v>600.87900465146</v>
      </c>
      <c r="M27" s="53">
        <f>'[10]Rev_SP-12me'!AW28</f>
        <v>30.8229982843421</v>
      </c>
      <c r="N27" s="49"/>
      <c r="O27" s="60">
        <f t="shared" si="0"/>
        <v>686.966051717059</v>
      </c>
    </row>
    <row r="28" spans="2:15">
      <c r="B28" s="58" t="s">
        <v>1018</v>
      </c>
      <c r="C28" s="55"/>
      <c r="D28" s="53">
        <f>'[10]Rev_SP-12me'!AJ29</f>
        <v>67797</v>
      </c>
      <c r="E28" s="53">
        <f>'[10]Rev_SP-12me'!AL29</f>
        <v>312.8876478247</v>
      </c>
      <c r="F28" s="53">
        <f>'[10]Rev_SP-12me'!AQ29</f>
        <v>326.633594798886</v>
      </c>
      <c r="G28" s="79">
        <f>'[10]Rev_SP-12me'!O29</f>
        <v>70</v>
      </c>
      <c r="H28" s="60">
        <f>'[10]Rev_SP-12me'!P29</f>
        <v>10.4</v>
      </c>
      <c r="I28" s="79">
        <f>'[10]Rev_SP-12me'!AA29</f>
        <v>120</v>
      </c>
      <c r="J28" s="8"/>
      <c r="K28" s="53">
        <f>'[10]Rev_SP-12me'!AT29</f>
        <v>26.2825624172748</v>
      </c>
      <c r="L28" s="53">
        <f>'[10]Rev_SP-12me'!AU29</f>
        <v>339.698938590842</v>
      </c>
      <c r="M28" s="53">
        <f>'[10]Rev_SP-12me'!AW29</f>
        <v>9.45461741741225</v>
      </c>
      <c r="N28" s="49"/>
      <c r="O28" s="60">
        <f t="shared" si="0"/>
        <v>375.436118425529</v>
      </c>
    </row>
    <row r="29" spans="2:15">
      <c r="B29" s="58" t="s">
        <v>1019</v>
      </c>
      <c r="C29" s="55"/>
      <c r="D29" s="53">
        <f>'[10]Rev_SP-12me'!AJ30</f>
        <v>124128</v>
      </c>
      <c r="E29" s="53">
        <f>'[10]Rev_SP-12me'!AL30</f>
        <v>1875.42614107644</v>
      </c>
      <c r="F29" s="53">
        <f>'[10]Rev_SP-12me'!AQ30</f>
        <v>1723.76618011594</v>
      </c>
      <c r="G29" s="79">
        <f>'[10]Rev_SP-12me'!O30</f>
        <v>70</v>
      </c>
      <c r="H29" s="60">
        <f>'[10]Rev_SP-12me'!P30</f>
        <v>11</v>
      </c>
      <c r="I29" s="79">
        <f>'[10]Rev_SP-12me'!AA30</f>
        <v>160</v>
      </c>
      <c r="J29" s="8"/>
      <c r="K29" s="53">
        <f>'[10]Rev_SP-12me'!AT30</f>
        <v>157.535795850421</v>
      </c>
      <c r="L29" s="53">
        <f>'[10]Rev_SP-12me'!AU30</f>
        <v>1896.14279812754</v>
      </c>
      <c r="M29" s="53">
        <f>'[10]Rev_SP-12me'!AW30</f>
        <v>23.0803280536218</v>
      </c>
      <c r="N29" s="49"/>
      <c r="O29" s="60">
        <f t="shared" si="0"/>
        <v>2076.75892203158</v>
      </c>
    </row>
    <row r="30" spans="2:15">
      <c r="B30" s="56" t="s">
        <v>1020</v>
      </c>
      <c r="C30" s="55"/>
      <c r="D30" s="51">
        <f>'[10]Rev_SP-12me'!AJ31</f>
        <v>2386</v>
      </c>
      <c r="E30" s="51">
        <f>'[10]Rev_SP-12me'!AL31</f>
        <v>7.30489344929642</v>
      </c>
      <c r="F30" s="51">
        <f>'[10]Rev_SP-12me'!AQ31</f>
        <v>4.51304749649662</v>
      </c>
      <c r="G30" s="79">
        <f>'[10]Rev_SP-12me'!O31</f>
        <v>70</v>
      </c>
      <c r="H30" s="60">
        <f>'[10]Rev_SP-12me'!P31</f>
        <v>13</v>
      </c>
      <c r="I30" s="79">
        <f>'[10]Rev_SP-12me'!AA31</f>
        <v>160</v>
      </c>
      <c r="J30" s="8"/>
      <c r="K30" s="51">
        <f>'[10]Rev_SP-12me'!AT31</f>
        <v>0.613611049740899</v>
      </c>
      <c r="L30" s="51">
        <f>'[10]Rev_SP-12me'!AU31</f>
        <v>5.8669617454456</v>
      </c>
      <c r="M30" s="51">
        <f>'[10]Rev_SP-12me'!AW31</f>
        <v>0.443652219772667</v>
      </c>
      <c r="N30" s="49"/>
      <c r="O30" s="60">
        <f t="shared" si="0"/>
        <v>6.92422501495917</v>
      </c>
    </row>
    <row r="31" spans="2:15">
      <c r="B31" s="56" t="s">
        <v>1021</v>
      </c>
      <c r="C31" s="55"/>
      <c r="D31" s="51">
        <f>'[10]Rev_SP-12me'!AJ32</f>
        <v>13565</v>
      </c>
      <c r="E31" s="51">
        <f>'[10]Rev_SP-12me'!AL32</f>
        <v>14.3840100459541</v>
      </c>
      <c r="F31" s="51">
        <f>'[10]Rev_SP-12me'!AQ32</f>
        <v>4.6977776136899</v>
      </c>
      <c r="G31" s="79"/>
      <c r="H31" s="60"/>
      <c r="I31" s="79"/>
      <c r="J31" s="8"/>
      <c r="K31" s="51">
        <f>'[10]Rev_SP-12me'!AT32</f>
        <v>1.0356487233087</v>
      </c>
      <c r="L31" s="51">
        <f>'[10]Rev_SP-12me'!AU32</f>
        <v>2.72029694584036</v>
      </c>
      <c r="M31" s="51">
        <f>'[10]Rev_SP-12me'!AW32</f>
        <v>0.765089734776913</v>
      </c>
      <c r="N31" s="49"/>
      <c r="O31" s="60">
        <f t="shared" si="0"/>
        <v>4.52103540392597</v>
      </c>
    </row>
    <row r="32" spans="2:15">
      <c r="B32" s="58" t="s">
        <v>1002</v>
      </c>
      <c r="C32" s="55"/>
      <c r="D32" s="53">
        <f>'[10]Rev_SP-12me'!AJ33</f>
        <v>9975</v>
      </c>
      <c r="E32" s="53">
        <f>'[10]Rev_SP-12me'!AL33</f>
        <v>10.513363667707</v>
      </c>
      <c r="F32" s="53">
        <f>'[10]Rev_SP-12me'!AQ33</f>
        <v>3.20186274428528</v>
      </c>
      <c r="G32" s="79">
        <f>'[10]Rev_SP-12me'!O33</f>
        <v>60</v>
      </c>
      <c r="H32" s="60">
        <f>'[10]Rev_SP-12me'!P33</f>
        <v>5.3</v>
      </c>
      <c r="I32" s="79">
        <f>'[10]Rev_SP-12me'!AA33</f>
        <v>45</v>
      </c>
      <c r="J32" s="8"/>
      <c r="K32" s="53">
        <f>'[10]Rev_SP-12me'!AT33</f>
        <v>0.756962184074905</v>
      </c>
      <c r="L32" s="53">
        <f>'[10]Rev_SP-12me'!AU33</f>
        <v>1.6969872544712</v>
      </c>
      <c r="M32" s="53">
        <f>'[10]Rev_SP-12me'!AW33</f>
        <v>0.521648130109115</v>
      </c>
      <c r="N32" s="49"/>
      <c r="O32" s="60">
        <f t="shared" si="0"/>
        <v>2.97559756865522</v>
      </c>
    </row>
    <row r="33" spans="2:15">
      <c r="B33" s="58" t="s">
        <v>1022</v>
      </c>
      <c r="C33" s="55"/>
      <c r="D33" s="53">
        <f>'[10]Rev_SP-12me'!AJ34</f>
        <v>2387</v>
      </c>
      <c r="E33" s="53">
        <f>'[10]Rev_SP-12me'!AL34</f>
        <v>2.49512428630846</v>
      </c>
      <c r="F33" s="53">
        <f>'[10]Rev_SP-12me'!AQ34</f>
        <v>1.09584956315888</v>
      </c>
      <c r="G33" s="79">
        <f>'[10]Rev_SP-12me'!O34</f>
        <v>60</v>
      </c>
      <c r="H33" s="60">
        <f>'[10]Rev_SP-12me'!P34</f>
        <v>6.6</v>
      </c>
      <c r="I33" s="79">
        <f>'[10]Rev_SP-12me'!AA34</f>
        <v>55</v>
      </c>
      <c r="J33" s="8"/>
      <c r="K33" s="53">
        <f>'[10]Rev_SP-12me'!AT34</f>
        <v>0.179648948614209</v>
      </c>
      <c r="L33" s="53">
        <f>'[10]Rev_SP-12me'!AU34</f>
        <v>0.72326071168486</v>
      </c>
      <c r="M33" s="53">
        <f>'[10]Rev_SP-12me'!AW34</f>
        <v>0.152569367332498</v>
      </c>
      <c r="N33" s="49"/>
      <c r="O33" s="60">
        <f t="shared" si="0"/>
        <v>1.05547902763157</v>
      </c>
    </row>
    <row r="34" spans="2:15">
      <c r="B34" s="58" t="s">
        <v>1023</v>
      </c>
      <c r="C34" s="55"/>
      <c r="D34" s="53">
        <f>'[10]Rev_SP-12me'!AJ35</f>
        <v>1203</v>
      </c>
      <c r="E34" s="53">
        <f>'[10]Rev_SP-12me'!AL35</f>
        <v>1.37552209193867</v>
      </c>
      <c r="F34" s="53">
        <f>'[10]Rev_SP-12me'!AQ35</f>
        <v>0.400065306245742</v>
      </c>
      <c r="G34" s="79">
        <f>'[10]Rev_SP-12me'!O35</f>
        <v>60</v>
      </c>
      <c r="H34" s="60">
        <f>'[10]Rev_SP-12me'!P35</f>
        <v>7.5</v>
      </c>
      <c r="I34" s="79">
        <f>'[10]Rev_SP-12me'!AA35</f>
        <v>65</v>
      </c>
      <c r="J34" s="8"/>
      <c r="K34" s="53">
        <f>'[10]Rev_SP-12me'!AT35</f>
        <v>0.099037590619584</v>
      </c>
      <c r="L34" s="53">
        <f>'[10]Rev_SP-12me'!AU35</f>
        <v>0.300048979684306</v>
      </c>
      <c r="M34" s="53">
        <f>'[10]Rev_SP-12me'!AW35</f>
        <v>0.0908722373352989</v>
      </c>
      <c r="N34" s="49"/>
      <c r="O34" s="60">
        <f t="shared" si="0"/>
        <v>0.489958807639189</v>
      </c>
    </row>
    <row r="35" ht="15" spans="2:15">
      <c r="B35" s="54" t="s">
        <v>1024</v>
      </c>
      <c r="C35" s="55"/>
      <c r="D35" s="48">
        <f>'[10]Rev_SP-12me'!AJ36</f>
        <v>49847</v>
      </c>
      <c r="E35" s="48">
        <f>'[10]Rev_SP-12me'!AN36*0.7457/10^3</f>
        <v>1289.00022236926</v>
      </c>
      <c r="F35" s="48">
        <f>'[10]Rev_SP-12me'!AQ36</f>
        <v>1028.7</v>
      </c>
      <c r="G35" s="79"/>
      <c r="H35" s="60"/>
      <c r="I35" s="79"/>
      <c r="J35" s="8"/>
      <c r="K35" s="48">
        <f>'[10]Rev_SP-12me'!AT36</f>
        <v>154.742359604397</v>
      </c>
      <c r="L35" s="48">
        <f>'[10]Rev_SP-12me'!AU36</f>
        <v>789.189759046206</v>
      </c>
      <c r="M35" s="48">
        <f>'[10]Rev_SP-12me'!AW36</f>
        <v>21.03579005</v>
      </c>
      <c r="N35" s="49"/>
      <c r="O35" s="60">
        <f t="shared" si="0"/>
        <v>964.967908700603</v>
      </c>
    </row>
    <row r="36" spans="2:15">
      <c r="B36" s="58" t="s">
        <v>1025</v>
      </c>
      <c r="C36" s="55"/>
      <c r="D36" s="53">
        <f>'[10]Rev_SP-12me'!AJ37</f>
        <v>45803.0569747639</v>
      </c>
      <c r="E36" s="53">
        <f>'[10]Rev_SP-12me'!AN37*0.7457/10^3</f>
        <v>1237.44668434971</v>
      </c>
      <c r="F36" s="53">
        <f>'[10]Rev_SP-12me'!AQ37</f>
        <v>987.139414945795</v>
      </c>
      <c r="G36" s="79">
        <f>'[10]Rev_SP-12me'!O37</f>
        <v>75</v>
      </c>
      <c r="H36" s="60">
        <f>'[10]Rev_SP-12me'!P37</f>
        <v>7.7</v>
      </c>
      <c r="I36" s="79">
        <f>'[10]Rev_SP-12me'!AA37</f>
        <v>360.25</v>
      </c>
      <c r="J36" s="8"/>
      <c r="K36" s="53">
        <f>'[10]Rev_SP-12me'!AT37</f>
        <v>149.349874737124</v>
      </c>
      <c r="L36" s="53">
        <f>'[10]Rev_SP-12me'!AU37</f>
        <v>760.097349508262</v>
      </c>
      <c r="M36" s="53">
        <f>'[10]Rev_SP-12me'!AW37</f>
        <v>19.329217208043</v>
      </c>
      <c r="N36" s="49"/>
      <c r="O36" s="60">
        <f t="shared" si="0"/>
        <v>928.776441453429</v>
      </c>
    </row>
    <row r="37" spans="2:15">
      <c r="B37" s="58" t="s">
        <v>1026</v>
      </c>
      <c r="C37" s="55"/>
      <c r="D37" s="53">
        <f>'[10]Rev_SP-12me'!AJ38</f>
        <v>0</v>
      </c>
      <c r="E37" s="53">
        <f>'[10]Rev_SP-12me'!AN38*0.7457/10^3</f>
        <v>0</v>
      </c>
      <c r="F37" s="53">
        <f>'[10]Rev_SP-12me'!AQ38</f>
        <v>0</v>
      </c>
      <c r="G37" s="79">
        <f>'[10]Rev_SP-12me'!O38</f>
        <v>75</v>
      </c>
      <c r="H37" s="60">
        <f>'[10]Rev_SP-12me'!P38</f>
        <v>8.4</v>
      </c>
      <c r="I37" s="79">
        <f>'[10]Rev_SP-12me'!AA38</f>
        <v>360.25</v>
      </c>
      <c r="J37" s="8"/>
      <c r="K37" s="53">
        <f>'[10]Rev_SP-12me'!AT38</f>
        <v>0</v>
      </c>
      <c r="L37" s="53">
        <f>'[10]Rev_SP-12me'!AU38</f>
        <v>0</v>
      </c>
      <c r="M37" s="53">
        <f>'[10]Rev_SP-12me'!AW38</f>
        <v>0</v>
      </c>
      <c r="N37" s="49"/>
      <c r="O37" s="60">
        <f t="shared" si="0"/>
        <v>0</v>
      </c>
    </row>
    <row r="38" spans="2:15">
      <c r="B38" s="58" t="s">
        <v>1027</v>
      </c>
      <c r="C38" s="55"/>
      <c r="D38" s="53">
        <f>'[10]Rev_SP-12me'!AJ39</f>
        <v>0</v>
      </c>
      <c r="E38" s="53">
        <f>'[10]Rev_SP-12me'!AN39*0.7457/10^3</f>
        <v>0</v>
      </c>
      <c r="F38" s="53">
        <f>'[10]Rev_SP-12me'!AQ39</f>
        <v>0</v>
      </c>
      <c r="G38" s="79">
        <f>'[10]Rev_SP-12me'!O39</f>
        <v>36</v>
      </c>
      <c r="H38" s="60">
        <f>'[10]Rev_SP-12me'!P39</f>
        <v>6.2</v>
      </c>
      <c r="I38" s="79">
        <f>'[10]Rev_SP-12me'!AA39</f>
        <v>360.25</v>
      </c>
      <c r="J38" s="8"/>
      <c r="K38" s="53">
        <f>'[10]Rev_SP-12me'!AT39</f>
        <v>0</v>
      </c>
      <c r="L38" s="53">
        <f>'[10]Rev_SP-12me'!AU39</f>
        <v>0</v>
      </c>
      <c r="M38" s="53">
        <f>'[10]Rev_SP-12me'!AW39</f>
        <v>0</v>
      </c>
      <c r="N38" s="49"/>
      <c r="O38" s="60">
        <f t="shared" si="0"/>
        <v>0</v>
      </c>
    </row>
    <row r="39" spans="2:15">
      <c r="B39" s="58" t="s">
        <v>1028</v>
      </c>
      <c r="C39" s="55"/>
      <c r="D39" s="53">
        <f>'[10]Rev_SP-12me'!AJ40</f>
        <v>0</v>
      </c>
      <c r="E39" s="53">
        <f>'[10]Rev_SP-12me'!AN40*0.7457/10^3</f>
        <v>0</v>
      </c>
      <c r="F39" s="53">
        <f>'[10]Rev_SP-12me'!AQ40</f>
        <v>0</v>
      </c>
      <c r="G39" s="79">
        <f>'[10]Rev_SP-12me'!O40</f>
        <v>36</v>
      </c>
      <c r="H39" s="60">
        <f>'[10]Rev_SP-12me'!P40</f>
        <v>6.2</v>
      </c>
      <c r="I39" s="79">
        <f>'[10]Rev_SP-12me'!AA40</f>
        <v>360.25</v>
      </c>
      <c r="J39" s="8"/>
      <c r="K39" s="53">
        <f>'[10]Rev_SP-12me'!AT40</f>
        <v>0</v>
      </c>
      <c r="L39" s="53">
        <f>'[10]Rev_SP-12me'!AU40</f>
        <v>0</v>
      </c>
      <c r="M39" s="53">
        <f>'[10]Rev_SP-12me'!AW40</f>
        <v>0</v>
      </c>
      <c r="N39" s="49"/>
      <c r="O39" s="60">
        <f t="shared" si="0"/>
        <v>0</v>
      </c>
    </row>
    <row r="40" spans="2:15">
      <c r="B40" s="58" t="s">
        <v>1029</v>
      </c>
      <c r="C40" s="55"/>
      <c r="D40" s="53">
        <f>'[10]Rev_SP-12me'!AJ41</f>
        <v>4043.9430252361</v>
      </c>
      <c r="E40" s="53">
        <f>'[10]Rev_SP-12me'!AN41*0.7457/10^3</f>
        <v>51.5535380195492</v>
      </c>
      <c r="F40" s="53">
        <f>'[10]Rev_SP-12me'!AQ41</f>
        <v>41.5605850542054</v>
      </c>
      <c r="G40" s="79">
        <f>'[10]Rev_SP-12me'!O41</f>
        <v>65</v>
      </c>
      <c r="H40" s="60">
        <f>'[10]Rev_SP-12me'!P41</f>
        <v>7</v>
      </c>
      <c r="I40" s="79">
        <f>'[10]Rev_SP-12me'!AA41</f>
        <v>360.25</v>
      </c>
      <c r="J40" s="8"/>
      <c r="K40" s="53">
        <f>'[10]Rev_SP-12me'!AT41</f>
        <v>5.39248486727215</v>
      </c>
      <c r="L40" s="53">
        <f>'[10]Rev_SP-12me'!AU41</f>
        <v>29.0924095379438</v>
      </c>
      <c r="M40" s="53">
        <f>'[10]Rev_SP-12me'!AW41</f>
        <v>1.70657284195696</v>
      </c>
      <c r="N40" s="49"/>
      <c r="O40" s="60">
        <f t="shared" si="0"/>
        <v>36.1914672471729</v>
      </c>
    </row>
    <row r="41" spans="2:15">
      <c r="B41" s="58" t="s">
        <v>1030</v>
      </c>
      <c r="C41" s="55"/>
      <c r="D41" s="53">
        <f>'[10]Rev_SP-12me'!AJ42</f>
        <v>0</v>
      </c>
      <c r="E41" s="53">
        <f>'[10]Rev_SP-12me'!AN42*0.7457/10^3</f>
        <v>0</v>
      </c>
      <c r="F41" s="53">
        <f>'[10]Rev_SP-12me'!AQ42</f>
        <v>0</v>
      </c>
      <c r="G41" s="79">
        <f>'[10]Rev_SP-12me'!O42</f>
        <v>75</v>
      </c>
      <c r="H41" s="60">
        <f>'[10]Rev_SP-12me'!P42</f>
        <v>7.3</v>
      </c>
      <c r="I41" s="79">
        <f>'[10]Rev_SP-12me'!AA42</f>
        <v>360.25</v>
      </c>
      <c r="J41" s="8"/>
      <c r="K41" s="53">
        <f>'[10]Rev_SP-12me'!AT42</f>
        <v>0</v>
      </c>
      <c r="L41" s="53">
        <f>'[10]Rev_SP-12me'!AU42</f>
        <v>0</v>
      </c>
      <c r="M41" s="53">
        <f>'[10]Rev_SP-12me'!AW42</f>
        <v>0</v>
      </c>
      <c r="N41" s="49"/>
      <c r="O41" s="60">
        <f t="shared" ref="O41:O68" si="1">SUM(K41:N41)</f>
        <v>0</v>
      </c>
    </row>
    <row r="42" ht="15" spans="2:15">
      <c r="B42" s="54" t="s">
        <v>1031</v>
      </c>
      <c r="C42" s="55"/>
      <c r="D42" s="48">
        <f>'[10]Rev_SP-12me'!AJ43</f>
        <v>4866</v>
      </c>
      <c r="E42" s="48">
        <f>'[10]Rev_SP-12me'!AN43*0.7457/10^3</f>
        <v>16.000002760208</v>
      </c>
      <c r="F42" s="48">
        <f>'[10]Rev_SP-12me'!AQ43</f>
        <v>10.48</v>
      </c>
      <c r="G42" s="79"/>
      <c r="H42" s="60"/>
      <c r="I42" s="79"/>
      <c r="J42" s="8"/>
      <c r="K42" s="48">
        <f>'[10]Rev_SP-12me'!AT43</f>
        <v>0.51495248256</v>
      </c>
      <c r="L42" s="48">
        <f>'[10]Rev_SP-12me'!AU43</f>
        <v>4.192</v>
      </c>
      <c r="M42" s="48">
        <f>'[10]Rev_SP-12me'!AW43</f>
        <v>0.287571346470208</v>
      </c>
      <c r="N42" s="49"/>
      <c r="O42" s="60">
        <f t="shared" si="1"/>
        <v>4.99452382903021</v>
      </c>
    </row>
    <row r="43" spans="2:15">
      <c r="B43" s="58" t="s">
        <v>178</v>
      </c>
      <c r="C43" s="55"/>
      <c r="D43" s="53">
        <f>'[10]Rev_SP-12me'!AJ44</f>
        <v>4788</v>
      </c>
      <c r="E43" s="53">
        <f>'[10]Rev_SP-12me'!AN44*0.7457/10^3</f>
        <v>16.000002760208</v>
      </c>
      <c r="F43" s="53">
        <f>'[10]Rev_SP-12me'!AQ44</f>
        <v>10.4708555688175</v>
      </c>
      <c r="G43" s="79">
        <f>'[10]Rev_SP-12me'!O44</f>
        <v>20</v>
      </c>
      <c r="H43" s="60">
        <f>'[10]Rev_SP-12me'!P44</f>
        <v>4</v>
      </c>
      <c r="I43" s="79">
        <f>'[10]Rev_SP-12me'!AA44</f>
        <v>50</v>
      </c>
      <c r="J43" s="8"/>
      <c r="K43" s="53">
        <f>'[10]Rev_SP-12me'!AT44</f>
        <v>0.51495248256</v>
      </c>
      <c r="L43" s="53">
        <f>'[10]Rev_SP-12me'!AU44</f>
        <v>4.18834222752701</v>
      </c>
      <c r="M43" s="53">
        <f>'[10]Rev_SP-12me'!AW44</f>
        <v>0.282961694800526</v>
      </c>
      <c r="N43" s="49"/>
      <c r="O43" s="60">
        <f t="shared" si="1"/>
        <v>4.98625640488754</v>
      </c>
    </row>
    <row r="44" spans="2:15">
      <c r="B44" s="58" t="s">
        <v>1033</v>
      </c>
      <c r="C44" s="55"/>
      <c r="D44" s="53">
        <f>'[10]Rev_SP-12me'!AJ45</f>
        <v>78</v>
      </c>
      <c r="E44" s="53">
        <f>'[10]Rev_SP-12me'!AN45*0.7457/10^3</f>
        <v>0</v>
      </c>
      <c r="F44" s="53">
        <f>'[10]Rev_SP-12me'!AQ45</f>
        <v>0.00914443118248077</v>
      </c>
      <c r="G44" s="79">
        <f>'[10]Rev_SP-12me'!O45</f>
        <v>20</v>
      </c>
      <c r="H44" s="60">
        <f>'[10]Rev_SP-12me'!P45</f>
        <v>4</v>
      </c>
      <c r="I44" s="79">
        <f>'[10]Rev_SP-12me'!AA45</f>
        <v>50</v>
      </c>
      <c r="J44" s="8"/>
      <c r="K44" s="53">
        <f>'[10]Rev_SP-12me'!AT45</f>
        <v>0</v>
      </c>
      <c r="L44" s="53">
        <f>'[10]Rev_SP-12me'!AU45</f>
        <v>0.00365777247299231</v>
      </c>
      <c r="M44" s="53">
        <f>'[10]Rev_SP-12me'!AW45</f>
        <v>0.00460965166968275</v>
      </c>
      <c r="N44" s="49"/>
      <c r="O44" s="60">
        <f t="shared" si="1"/>
        <v>0.00826742414267506</v>
      </c>
    </row>
    <row r="45" ht="15" spans="2:15">
      <c r="B45" s="54" t="s">
        <v>1034</v>
      </c>
      <c r="C45" s="55"/>
      <c r="D45" s="48">
        <f>'[10]Rev_SP-12me'!AJ46</f>
        <v>1421589.06964707</v>
      </c>
      <c r="E45" s="48">
        <f>'[10]Rev_SP-12me'!AN46*0.7457/10^3</f>
        <v>6081.00104905155</v>
      </c>
      <c r="F45" s="48">
        <f>'[10]Rev_SP-12me'!AQ46</f>
        <v>12127.2243701067</v>
      </c>
      <c r="G45" s="79"/>
      <c r="H45" s="60"/>
      <c r="I45" s="79"/>
      <c r="J45" s="8"/>
      <c r="K45" s="48">
        <f>'[10]Rev_SP-12me'!AT46</f>
        <v>0.0473311198610199</v>
      </c>
      <c r="L45" s="48">
        <f>'[10]Rev_SP-12me'!AU46</f>
        <v>9.62380325</v>
      </c>
      <c r="M45" s="48">
        <f>'[10]Rev_SP-12me'!AW46</f>
        <v>50.1555072080802</v>
      </c>
      <c r="N45" s="49"/>
      <c r="O45" s="60">
        <f t="shared" si="1"/>
        <v>59.8266415779412</v>
      </c>
    </row>
    <row r="46" spans="2:15">
      <c r="B46" s="56" t="s">
        <v>1035</v>
      </c>
      <c r="C46" s="55"/>
      <c r="D46" s="51">
        <f>'[10]Rev_SP-12me'!AJ47</f>
        <v>1421274.37706827</v>
      </c>
      <c r="E46" s="51">
        <f>'[10]Rev_SP-12me'!AN47*0.7457/10^3</f>
        <v>6079.53043171487</v>
      </c>
      <c r="F46" s="51">
        <f>'[10]Rev_SP-12me'!AQ47</f>
        <v>12124.8693741067</v>
      </c>
      <c r="G46" s="79"/>
      <c r="H46" s="60"/>
      <c r="I46" s="79"/>
      <c r="J46" s="8"/>
      <c r="K46" s="51">
        <f>'[10]Rev_SP-12me'!AT47</f>
        <v>0</v>
      </c>
      <c r="L46" s="51">
        <f>'[10]Rev_SP-12me'!AU47</f>
        <v>8.68180485</v>
      </c>
      <c r="M46" s="51">
        <f>'[10]Rev_SP-12me'!AW47</f>
        <v>50.1444044455161</v>
      </c>
      <c r="N46" s="49"/>
      <c r="O46" s="60">
        <f t="shared" si="1"/>
        <v>58.8262092955161</v>
      </c>
    </row>
    <row r="47" spans="2:15">
      <c r="B47" s="58" t="s">
        <v>1036</v>
      </c>
      <c r="C47" s="55"/>
      <c r="D47" s="53">
        <f>'[10]Rev_SP-12me'!AJ48</f>
        <v>2183.91710885706</v>
      </c>
      <c r="E47" s="53">
        <f>'[10]Rev_SP-12me'!AN48*0.7457/10^3</f>
        <v>10.762404612689</v>
      </c>
      <c r="F47" s="53">
        <f>'[10]Rev_SP-12me'!AQ48</f>
        <v>34.7272194</v>
      </c>
      <c r="G47" s="79"/>
      <c r="H47" s="60">
        <f>'[10]Rev_SP-12me'!P48</f>
        <v>2.5</v>
      </c>
      <c r="I47" s="79">
        <f>'[10]Rev_SP-12me'!AA48</f>
        <v>30</v>
      </c>
      <c r="J47" s="8"/>
      <c r="K47" s="53">
        <f>'[10]Rev_SP-12me'!AT48</f>
        <v>0</v>
      </c>
      <c r="L47" s="53">
        <f>'[10]Rev_SP-12me'!AU48</f>
        <v>8.68180485</v>
      </c>
      <c r="M47" s="53">
        <f>'[10]Rev_SP-12me'!AW48</f>
        <v>0.0770514297231648</v>
      </c>
      <c r="N47" s="49"/>
      <c r="O47" s="60">
        <f t="shared" si="1"/>
        <v>8.75885627972317</v>
      </c>
    </row>
    <row r="48" spans="2:15">
      <c r="B48" s="56" t="s">
        <v>1038</v>
      </c>
      <c r="C48" s="55"/>
      <c r="D48" s="53">
        <f>'[10]Rev_SP-12me'!AJ49</f>
        <v>1419090.45995941</v>
      </c>
      <c r="E48" s="53">
        <f>'[10]Rev_SP-12me'!AN49*0.7457/10^3</f>
        <v>6068.76802710218</v>
      </c>
      <c r="F48" s="53">
        <f>'[10]Rev_SP-12me'!AQ49</f>
        <v>12090.1421547067</v>
      </c>
      <c r="G48" s="79"/>
      <c r="H48" s="60"/>
      <c r="I48" s="79"/>
      <c r="J48" s="8"/>
      <c r="K48" s="53">
        <f>'[10]Rev_SP-12me'!AT49</f>
        <v>0</v>
      </c>
      <c r="L48" s="53">
        <f>'[10]Rev_SP-12me'!AU49</f>
        <v>0</v>
      </c>
      <c r="M48" s="53">
        <f>'[10]Rev_SP-12me'!AW49</f>
        <v>0</v>
      </c>
      <c r="N48" s="49"/>
      <c r="O48" s="60">
        <f t="shared" si="1"/>
        <v>0</v>
      </c>
    </row>
    <row r="49" spans="2:15">
      <c r="B49" s="58" t="s">
        <v>1099</v>
      </c>
      <c r="C49" s="55"/>
      <c r="D49" s="53">
        <f>'[10]Rev_SP-12me'!AJ50</f>
        <v>1419090.45995941</v>
      </c>
      <c r="E49" s="53">
        <f>'[10]Rev_SP-12me'!AN50*0.7457/10^3</f>
        <v>6068.76802710218</v>
      </c>
      <c r="F49" s="53">
        <f>'[10]Rev_SP-12me'!AQ50</f>
        <v>12090.1421547067</v>
      </c>
      <c r="G49" s="79"/>
      <c r="H49" s="60"/>
      <c r="I49" s="79">
        <f>'[10]Rev_SP-12me'!AA50</f>
        <v>30</v>
      </c>
      <c r="J49" s="8"/>
      <c r="K49" s="53">
        <f>'[10]Rev_SP-12me'!AT50</f>
        <v>0</v>
      </c>
      <c r="L49" s="53">
        <f>'[10]Rev_SP-12me'!AU50</f>
        <v>0</v>
      </c>
      <c r="M49" s="53">
        <f>'[10]Rev_SP-12me'!AW50</f>
        <v>50.067353015793</v>
      </c>
      <c r="N49" s="49"/>
      <c r="O49" s="60">
        <f t="shared" si="1"/>
        <v>50.067353015793</v>
      </c>
    </row>
    <row r="50" spans="2:15">
      <c r="B50" s="58" t="s">
        <v>1100</v>
      </c>
      <c r="C50" s="55"/>
      <c r="D50" s="53">
        <f>'[10]Rev_SP-12me'!AJ51</f>
        <v>0</v>
      </c>
      <c r="E50" s="53">
        <f>'[10]Rev_SP-12me'!AN51*0.7457/10^3</f>
        <v>0</v>
      </c>
      <c r="F50" s="53">
        <f>'[10]Rev_SP-12me'!AQ51</f>
        <v>0</v>
      </c>
      <c r="G50" s="79"/>
      <c r="H50" s="60"/>
      <c r="I50" s="79">
        <f>'[10]Rev_SP-12me'!AA51</f>
        <v>30</v>
      </c>
      <c r="J50" s="8"/>
      <c r="K50" s="53">
        <f>'[10]Rev_SP-12me'!AT51</f>
        <v>0</v>
      </c>
      <c r="L50" s="53">
        <f>'[10]Rev_SP-12me'!AU51</f>
        <v>0</v>
      </c>
      <c r="M50" s="53">
        <f>'[10]Rev_SP-12me'!AW51</f>
        <v>0</v>
      </c>
      <c r="N50" s="49"/>
      <c r="O50" s="60">
        <f t="shared" si="1"/>
        <v>0</v>
      </c>
    </row>
    <row r="51" spans="2:15">
      <c r="B51" s="56" t="s">
        <v>1039</v>
      </c>
      <c r="C51" s="55"/>
      <c r="D51" s="51">
        <f>'[10]Rev_SP-12me'!AJ52</f>
        <v>314.692578793215</v>
      </c>
      <c r="E51" s="51">
        <f>'[10]Rev_SP-12me'!AN52*0.7457/10^3</f>
        <v>1.47061733668177</v>
      </c>
      <c r="F51" s="51">
        <f>'[10]Rev_SP-12me'!AQ52</f>
        <v>2.354996</v>
      </c>
      <c r="G51" s="79"/>
      <c r="H51" s="60"/>
      <c r="I51" s="79"/>
      <c r="J51" s="8"/>
      <c r="K51" s="51">
        <f>'[10]Rev_SP-12me'!AT52</f>
        <v>0.0473311198610199</v>
      </c>
      <c r="L51" s="51">
        <f>'[10]Rev_SP-12me'!AU52</f>
        <v>0.9419984</v>
      </c>
      <c r="M51" s="51">
        <f>'[10]Rev_SP-12me'!AW52</f>
        <v>0.0111027625640868</v>
      </c>
      <c r="N51" s="49"/>
      <c r="O51" s="60">
        <f t="shared" si="1"/>
        <v>1.00043228242511</v>
      </c>
    </row>
    <row r="52" spans="2:15">
      <c r="B52" s="58" t="s">
        <v>1040</v>
      </c>
      <c r="C52" s="55"/>
      <c r="D52" s="53">
        <f>'[10]Rev_SP-12me'!AJ53</f>
        <v>314.692578793215</v>
      </c>
      <c r="E52" s="53">
        <f>'[10]Rev_SP-12me'!AN53*0.7457/10^3</f>
        <v>1.47061733668177</v>
      </c>
      <c r="F52" s="53">
        <f>'[10]Rev_SP-12me'!AQ53</f>
        <v>2.354996</v>
      </c>
      <c r="G52" s="79">
        <f>'[10]Rev_SP-12me'!O53</f>
        <v>20</v>
      </c>
      <c r="H52" s="60">
        <f>'[10]Rev_SP-12me'!P53</f>
        <v>4</v>
      </c>
      <c r="I52" s="79">
        <f>'[10]Rev_SP-12me'!AA53</f>
        <v>30</v>
      </c>
      <c r="J52" s="8"/>
      <c r="K52" s="53">
        <f>'[10]Rev_SP-12me'!AT53</f>
        <v>0.0473311198610199</v>
      </c>
      <c r="L52" s="53">
        <f>'[10]Rev_SP-12me'!AU53</f>
        <v>0.9419984</v>
      </c>
      <c r="M52" s="53">
        <f>'[10]Rev_SP-12me'!AW53</f>
        <v>0.0111027625640868</v>
      </c>
      <c r="N52" s="49"/>
      <c r="O52" s="60">
        <f t="shared" si="1"/>
        <v>1.00043228242511</v>
      </c>
    </row>
    <row r="53" ht="15" spans="2:15">
      <c r="B53" s="54" t="s">
        <v>1042</v>
      </c>
      <c r="C53" s="55"/>
      <c r="D53" s="48">
        <f>'[10]Rev_SP-12me'!AJ54</f>
        <v>81362.3767917837</v>
      </c>
      <c r="E53" s="48">
        <f>'[10]Rev_SP-12me'!AL54</f>
        <v>200.052230407724</v>
      </c>
      <c r="F53" s="48">
        <f>'[10]Rev_SP-12me'!AQ54</f>
        <v>250.249341207125</v>
      </c>
      <c r="G53" s="79"/>
      <c r="H53" s="60"/>
      <c r="I53" s="79"/>
      <c r="J53" s="8"/>
      <c r="K53" s="48">
        <f>'[10]Rev_SP-12me'!AT54</f>
        <v>7.68200564765661</v>
      </c>
      <c r="L53" s="48">
        <f>'[10]Rev_SP-12me'!AU54</f>
        <v>192.616496550317</v>
      </c>
      <c r="M53" s="48">
        <f>'[10]Rev_SP-12me'!AW54</f>
        <v>11.4372255375879</v>
      </c>
      <c r="N53" s="49"/>
      <c r="O53" s="60">
        <f t="shared" si="1"/>
        <v>211.735727735562</v>
      </c>
    </row>
    <row r="54" spans="2:15">
      <c r="B54" s="58" t="s">
        <v>1043</v>
      </c>
      <c r="C54" s="55"/>
      <c r="D54" s="53">
        <f>'[10]Rev_SP-12me'!AJ55</f>
        <v>37769.4829688193</v>
      </c>
      <c r="E54" s="53">
        <f>'[10]Rev_SP-12me'!AL55</f>
        <v>72.3378310620829</v>
      </c>
      <c r="F54" s="53">
        <f>'[10]Rev_SP-12me'!AQ55</f>
        <v>76.8083636342387</v>
      </c>
      <c r="G54" s="79">
        <f>'[10]Rev_SP-12me'!O55</f>
        <v>32</v>
      </c>
      <c r="H54" s="60">
        <f>'[10]Rev_SP-12me'!P55</f>
        <v>7.1</v>
      </c>
      <c r="I54" s="79">
        <f>'[10]Rev_SP-12me'!AA55</f>
        <v>120</v>
      </c>
      <c r="J54" s="8"/>
      <c r="K54" s="53">
        <f>'[10]Rev_SP-12me'!AT55</f>
        <v>2.77777271278398</v>
      </c>
      <c r="L54" s="53">
        <f>'[10]Rev_SP-12me'!AU55</f>
        <v>54.5339381803095</v>
      </c>
      <c r="M54" s="53">
        <f>'[10]Rev_SP-12me'!AW55</f>
        <v>5.30931017733116</v>
      </c>
      <c r="N54" s="49"/>
      <c r="O54" s="60">
        <f t="shared" si="1"/>
        <v>62.6210210704246</v>
      </c>
    </row>
    <row r="55" spans="2:15">
      <c r="B55" s="58" t="s">
        <v>1044</v>
      </c>
      <c r="C55" s="55"/>
      <c r="D55" s="53">
        <f>'[10]Rev_SP-12me'!AJ56</f>
        <v>12523.3100894045</v>
      </c>
      <c r="E55" s="53">
        <f>'[10]Rev_SP-12me'!AL56</f>
        <v>35.007723596682</v>
      </c>
      <c r="F55" s="53">
        <f>'[10]Rev_SP-12me'!AQ56</f>
        <v>48.0926692806154</v>
      </c>
      <c r="G55" s="79">
        <f>'[10]Rev_SP-12me'!O56</f>
        <v>32</v>
      </c>
      <c r="H55" s="60">
        <f>'[10]Rev_SP-12me'!P56</f>
        <v>7.6</v>
      </c>
      <c r="I55" s="79">
        <f>'[10]Rev_SP-12me'!AA56</f>
        <v>120</v>
      </c>
      <c r="J55" s="8"/>
      <c r="K55" s="53">
        <f>'[10]Rev_SP-12me'!AT56</f>
        <v>1.34429658611259</v>
      </c>
      <c r="L55" s="53">
        <f>'[10]Rev_SP-12me'!AU56</f>
        <v>36.5504286532677</v>
      </c>
      <c r="M55" s="53">
        <f>'[10]Rev_SP-12me'!AW56</f>
        <v>1.76041958971057</v>
      </c>
      <c r="N55" s="49"/>
      <c r="O55" s="60">
        <f t="shared" si="1"/>
        <v>39.6551448290909</v>
      </c>
    </row>
    <row r="56" spans="2:15">
      <c r="B56" s="58" t="s">
        <v>1045</v>
      </c>
      <c r="C56" s="55"/>
      <c r="D56" s="53">
        <f>'[10]Rev_SP-12me'!AJ57</f>
        <v>31069.5837335599</v>
      </c>
      <c r="E56" s="53">
        <f>'[10]Rev_SP-12me'!AL57</f>
        <v>92.7066757489594</v>
      </c>
      <c r="F56" s="53">
        <f>'[10]Rev_SP-12me'!AQ57</f>
        <v>125.348308292271</v>
      </c>
      <c r="G56" s="79">
        <f>'[10]Rev_SP-12me'!O57</f>
        <v>32</v>
      </c>
      <c r="H56" s="60">
        <f>'[10]Rev_SP-12me'!P57</f>
        <v>8.1</v>
      </c>
      <c r="I56" s="79">
        <f>'[10]Rev_SP-12me'!AA57</f>
        <v>120</v>
      </c>
      <c r="J56" s="8"/>
      <c r="K56" s="53">
        <f>'[10]Rev_SP-12me'!AT57</f>
        <v>3.55993634876004</v>
      </c>
      <c r="L56" s="53">
        <f>'[10]Rev_SP-12me'!AU57</f>
        <v>101.53212971674</v>
      </c>
      <c r="M56" s="53">
        <f>'[10]Rev_SP-12me'!AW57</f>
        <v>4.36749577054614</v>
      </c>
      <c r="N56" s="49"/>
      <c r="O56" s="60">
        <f t="shared" si="1"/>
        <v>109.459561836046</v>
      </c>
    </row>
    <row r="57" ht="15" spans="2:15">
      <c r="B57" s="54" t="s">
        <v>1046</v>
      </c>
      <c r="C57" s="55"/>
      <c r="D57" s="48">
        <f>'[10]Rev_SP-12me'!AJ65</f>
        <v>38007.6232082163</v>
      </c>
      <c r="E57" s="48">
        <f>'[10]Rev_SP-12me'!AN65*0.7457/10^3</f>
        <v>132.947792527494</v>
      </c>
      <c r="F57" s="48">
        <f>'[10]Rev_SP-12me'!AQ65</f>
        <v>235.260658792875</v>
      </c>
      <c r="G57" s="79"/>
      <c r="H57" s="60"/>
      <c r="I57" s="79">
        <f>'[10]Rev_SP-12me'!AA65</f>
        <v>120</v>
      </c>
      <c r="J57" s="8"/>
      <c r="K57" s="48">
        <f>'[10]Rev_SP-12me'!AT65</f>
        <v>6.84617840023572</v>
      </c>
      <c r="L57" s="48">
        <f>'[10]Rev_SP-12me'!AU65</f>
        <v>148.695311667648</v>
      </c>
      <c r="M57" s="48">
        <f>'[10]Rev_SP-12me'!AW65</f>
        <v>5.34278589098355</v>
      </c>
      <c r="N57" s="49"/>
      <c r="O57" s="60">
        <f t="shared" si="1"/>
        <v>160.884275958867</v>
      </c>
    </row>
    <row r="58" spans="2:15">
      <c r="B58" s="58" t="s">
        <v>1043</v>
      </c>
      <c r="C58" s="55"/>
      <c r="D58" s="53">
        <f>'[10]Rev_SP-12me'!AJ66</f>
        <v>27444.5600894045</v>
      </c>
      <c r="E58" s="53">
        <f>'[10]Rev_SP-12me'!AN66*0.7457/10^3</f>
        <v>91.9596741465695</v>
      </c>
      <c r="F58" s="53">
        <f>'[10]Rev_SP-12me'!AQ66</f>
        <v>173.479212502121</v>
      </c>
      <c r="G58" s="79">
        <f>'[10]Rev_SP-12me'!O66</f>
        <v>32</v>
      </c>
      <c r="H58" s="60">
        <f>'[10]Rev_SP-12me'!P66</f>
        <v>6</v>
      </c>
      <c r="I58" s="79">
        <f>'[10]Rev_SP-12me'!AA66</f>
        <v>120</v>
      </c>
      <c r="J58" s="8"/>
      <c r="K58" s="53">
        <f>'[10]Rev_SP-12me'!AT66</f>
        <v>4.73548543278567</v>
      </c>
      <c r="L58" s="53">
        <f>'[10]Rev_SP-12me'!AU66</f>
        <v>104.087527501273</v>
      </c>
      <c r="M58" s="53">
        <f>'[10]Rev_SP-12me'!AW66</f>
        <v>3.857921018282</v>
      </c>
      <c r="N58" s="49"/>
      <c r="O58" s="60">
        <f t="shared" si="1"/>
        <v>112.680933952341</v>
      </c>
    </row>
    <row r="59" spans="2:15">
      <c r="B59" s="58" t="s">
        <v>1044</v>
      </c>
      <c r="C59" s="55"/>
      <c r="D59" s="53">
        <f>'[10]Rev_SP-12me'!AJ67</f>
        <v>6492.62902689523</v>
      </c>
      <c r="E59" s="53">
        <f>'[10]Rev_SP-12me'!AN67*0.7457/10^3</f>
        <v>24.0002771332355</v>
      </c>
      <c r="F59" s="53">
        <f>'[10]Rev_SP-12me'!AQ67</f>
        <v>46.9223002919489</v>
      </c>
      <c r="G59" s="79">
        <f>'[10]Rev_SP-12me'!O67</f>
        <v>32</v>
      </c>
      <c r="H59" s="60">
        <f>'[10]Rev_SP-12me'!P67</f>
        <v>7.1</v>
      </c>
      <c r="I59" s="79">
        <f>'[10]Rev_SP-12me'!AA67</f>
        <v>120</v>
      </c>
      <c r="J59" s="8"/>
      <c r="K59" s="53">
        <f>'[10]Rev_SP-12me'!AT67</f>
        <v>1.23590001597994</v>
      </c>
      <c r="L59" s="53">
        <f>'[10]Rev_SP-12me'!AU67</f>
        <v>33.3148332072837</v>
      </c>
      <c r="M59" s="53">
        <f>'[10]Rev_SP-12me'!AW67</f>
        <v>0.912678137494986</v>
      </c>
      <c r="N59" s="49"/>
      <c r="O59" s="60">
        <f t="shared" si="1"/>
        <v>35.4634113607586</v>
      </c>
    </row>
    <row r="60" spans="2:15">
      <c r="B60" s="58" t="s">
        <v>1045</v>
      </c>
      <c r="C60" s="55"/>
      <c r="D60" s="53">
        <f>'[10]Rev_SP-12me'!AJ68</f>
        <v>4070.43409191665</v>
      </c>
      <c r="E60" s="53">
        <f>'[10]Rev_SP-12me'!AN68*0.7457/10^3</f>
        <v>16.9878412476892</v>
      </c>
      <c r="F60" s="53">
        <f>'[10]Rev_SP-12me'!AQ68</f>
        <v>14.8591459988049</v>
      </c>
      <c r="G60" s="79">
        <f>'[10]Rev_SP-12me'!O68</f>
        <v>32</v>
      </c>
      <c r="H60" s="60">
        <f>'[10]Rev_SP-12me'!P68</f>
        <v>7.6</v>
      </c>
      <c r="I60" s="79">
        <f>'[10]Rev_SP-12me'!AA68</f>
        <v>120</v>
      </c>
      <c r="J60" s="8"/>
      <c r="K60" s="53">
        <f>'[10]Rev_SP-12me'!AT68</f>
        <v>0.874792951470112</v>
      </c>
      <c r="L60" s="53">
        <f>'[10]Rev_SP-12me'!AU68</f>
        <v>11.2929509590917</v>
      </c>
      <c r="M60" s="53">
        <f>'[10]Rev_SP-12me'!AW68</f>
        <v>0.57218673520657</v>
      </c>
      <c r="N60" s="49"/>
      <c r="O60" s="60">
        <f t="shared" si="1"/>
        <v>12.7399306457684</v>
      </c>
    </row>
    <row r="61" ht="15" spans="2:15">
      <c r="B61" s="54" t="s">
        <v>1168</v>
      </c>
      <c r="C61" s="55"/>
      <c r="D61" s="48">
        <f>'[10]Rev_SP-12me'!AJ69</f>
        <v>0</v>
      </c>
      <c r="E61" s="48">
        <f>'[10]Rev_SP-12me'!AL69</f>
        <v>0</v>
      </c>
      <c r="F61" s="48">
        <f>'[10]Rev_SP-12me'!AQ69</f>
        <v>0</v>
      </c>
      <c r="G61" s="79"/>
      <c r="H61" s="60"/>
      <c r="I61" s="79"/>
      <c r="J61" s="8"/>
      <c r="K61" s="48">
        <f>'[10]Rev_SP-12me'!AT69</f>
        <v>0</v>
      </c>
      <c r="L61" s="48">
        <f>'[10]Rev_SP-12me'!AU69</f>
        <v>0</v>
      </c>
      <c r="M61" s="48">
        <f>'[10]Rev_SP-12me'!AW69</f>
        <v>0</v>
      </c>
      <c r="N61" s="49"/>
      <c r="O61" s="60">
        <f t="shared" si="1"/>
        <v>0</v>
      </c>
    </row>
    <row r="62" ht="15" spans="2:15">
      <c r="B62" s="54" t="s">
        <v>1049</v>
      </c>
      <c r="C62" s="55"/>
      <c r="D62" s="48">
        <f>'[10]Rev_SP-12me'!AJ58</f>
        <v>25868.7978783707</v>
      </c>
      <c r="E62" s="48">
        <f>'[10]Rev_SP-12me'!AL58</f>
        <v>82</v>
      </c>
      <c r="F62" s="48">
        <f>'[10]Rev_SP-12me'!AQ58</f>
        <v>96.23</v>
      </c>
      <c r="G62" s="79"/>
      <c r="H62" s="60"/>
      <c r="I62" s="79"/>
      <c r="J62" s="8"/>
      <c r="K62" s="48">
        <f>'[10]Rev_SP-12me'!AT58</f>
        <v>2.15091423766816</v>
      </c>
      <c r="L62" s="48">
        <f>'[10]Rev_SP-12me'!AU58</f>
        <v>76.470783352218</v>
      </c>
      <c r="M62" s="48">
        <f>'[10]Rev_SP-12me'!AW58</f>
        <v>3.06873041691491</v>
      </c>
      <c r="N62" s="49"/>
      <c r="O62" s="60">
        <f t="shared" si="1"/>
        <v>81.6904280068011</v>
      </c>
    </row>
    <row r="63" spans="2:15">
      <c r="B63" s="56" t="s">
        <v>1050</v>
      </c>
      <c r="C63" s="55"/>
      <c r="D63" s="62">
        <f>'[10]Rev_SP-12me'!AJ59</f>
        <v>21092.7978783707</v>
      </c>
      <c r="E63" s="62">
        <f>'[10]Rev_SP-12me'!AL59</f>
        <v>74.1746076233184</v>
      </c>
      <c r="F63" s="62">
        <f>'[10]Rev_SP-12me'!AQ59</f>
        <v>85.9266162188423</v>
      </c>
      <c r="G63" s="79">
        <f>'[10]Rev_SP-12me'!O59</f>
        <v>21</v>
      </c>
      <c r="H63" s="60">
        <f>'[10]Rev_SP-12me'!P59</f>
        <v>8.3</v>
      </c>
      <c r="I63" s="79">
        <f>'[10]Rev_SP-12me'!AA59</f>
        <v>100</v>
      </c>
      <c r="J63" s="8"/>
      <c r="K63" s="62">
        <f>'[10]Rev_SP-12me'!AT59</f>
        <v>1.86920011210762</v>
      </c>
      <c r="L63" s="62">
        <f>'[10]Rev_SP-12me'!AU59</f>
        <v>71.3190914616391</v>
      </c>
      <c r="M63" s="62">
        <f>'[10]Rev_SP-12me'!AW59</f>
        <v>2.50216924387177</v>
      </c>
      <c r="N63" s="49"/>
      <c r="O63" s="60">
        <f t="shared" si="1"/>
        <v>75.6904608176185</v>
      </c>
    </row>
    <row r="64" spans="2:15">
      <c r="B64" s="56" t="s">
        <v>1051</v>
      </c>
      <c r="C64" s="55"/>
      <c r="D64" s="62">
        <f>'[10]Rev_SP-12me'!AJ60</f>
        <v>4776</v>
      </c>
      <c r="E64" s="62">
        <f>'[10]Rev_SP-12me'!AL60</f>
        <v>7.82539237668161</v>
      </c>
      <c r="F64" s="62">
        <f>'[10]Rev_SP-12me'!AQ60</f>
        <v>10.3033837811577</v>
      </c>
      <c r="G64" s="79">
        <f>'[10]Rev_SP-12me'!O60</f>
        <v>30</v>
      </c>
      <c r="H64" s="60">
        <f>'[10]Rev_SP-12me'!P60</f>
        <v>5</v>
      </c>
      <c r="I64" s="79">
        <f>'[10]Rev_SP-12me'!AA60</f>
        <v>100</v>
      </c>
      <c r="J64" s="8"/>
      <c r="K64" s="62">
        <f>'[10]Rev_SP-12me'!AT60</f>
        <v>0.281714125560538</v>
      </c>
      <c r="L64" s="62">
        <f>'[10]Rev_SP-12me'!AU60</f>
        <v>5.15169189057886</v>
      </c>
      <c r="M64" s="62">
        <f>'[10]Rev_SP-12me'!AW60</f>
        <v>0.56656117304314</v>
      </c>
      <c r="N64" s="49"/>
      <c r="O64" s="60">
        <f t="shared" si="1"/>
        <v>5.99996718918254</v>
      </c>
    </row>
    <row r="65" spans="2:15">
      <c r="B65" s="56" t="s">
        <v>1052</v>
      </c>
      <c r="C65" s="55"/>
      <c r="D65" s="24">
        <f>'[10]Rev_SP-12me'!AJ61</f>
        <v>4776</v>
      </c>
      <c r="E65" s="24">
        <f>'[10]Rev_SP-12me'!AL61</f>
        <v>7.82539237668161</v>
      </c>
      <c r="F65" s="24">
        <f>'[10]Rev_SP-12me'!AQ61</f>
        <v>10.3033837811577</v>
      </c>
      <c r="G65" s="79">
        <f>'[10]Rev_SP-12me'!O61</f>
        <v>30</v>
      </c>
      <c r="H65" s="60">
        <f>'[10]Rev_SP-12me'!P61</f>
        <v>5</v>
      </c>
      <c r="I65" s="79">
        <f>'[10]Rev_SP-12me'!AA61</f>
        <v>100</v>
      </c>
      <c r="J65" s="8"/>
      <c r="K65" s="24">
        <f>'[10]Rev_SP-12me'!AT61</f>
        <v>0</v>
      </c>
      <c r="L65" s="24">
        <f>'[10]Rev_SP-12me'!AU61</f>
        <v>0</v>
      </c>
      <c r="M65" s="24">
        <f>'[10]Rev_SP-12me'!AW61</f>
        <v>0</v>
      </c>
      <c r="N65" s="49"/>
      <c r="O65" s="60">
        <f t="shared" si="1"/>
        <v>0</v>
      </c>
    </row>
    <row r="66" spans="2:15">
      <c r="B66" s="56" t="s">
        <v>1053</v>
      </c>
      <c r="C66" s="55"/>
      <c r="D66" s="24">
        <f>'[10]Rev_SP-12me'!AJ62</f>
        <v>0</v>
      </c>
      <c r="E66" s="24">
        <f>'[10]Rev_SP-12me'!AL62</f>
        <v>0</v>
      </c>
      <c r="F66" s="24">
        <f>'[10]Rev_SP-12me'!AQ62</f>
        <v>0</v>
      </c>
      <c r="G66" s="79">
        <f>'[10]Rev_SP-12me'!O62</f>
        <v>30</v>
      </c>
      <c r="H66" s="60">
        <f>'[10]Rev_SP-12me'!P62</f>
        <v>5</v>
      </c>
      <c r="I66" s="79">
        <f>'[10]Rev_SP-12me'!AA62</f>
        <v>100</v>
      </c>
      <c r="J66" s="8"/>
      <c r="K66" s="24">
        <f>'[10]Rev_SP-12me'!AT62</f>
        <v>0</v>
      </c>
      <c r="L66" s="24">
        <f>'[10]Rev_SP-12me'!AU62</f>
        <v>0</v>
      </c>
      <c r="M66" s="24">
        <f>'[10]Rev_SP-12me'!AW62</f>
        <v>0</v>
      </c>
      <c r="N66" s="49"/>
      <c r="O66" s="60">
        <f t="shared" si="1"/>
        <v>0</v>
      </c>
    </row>
    <row r="67" ht="15" spans="2:15">
      <c r="B67" s="54" t="s">
        <v>1054</v>
      </c>
      <c r="C67" s="55"/>
      <c r="D67" s="48">
        <f>'[10]Rev_SP-12me'!AJ63</f>
        <v>14038</v>
      </c>
      <c r="E67" s="48">
        <f>'[10]Rev_SP-12me'!AL63</f>
        <v>113</v>
      </c>
      <c r="F67" s="48">
        <f>'[10]Rev_SP-12me'!AQ63</f>
        <v>106.22</v>
      </c>
      <c r="G67" s="79">
        <f>'[10]Rev_SP-12me'!O63</f>
        <v>21</v>
      </c>
      <c r="H67" s="60">
        <f>'[10]Rev_SP-12me'!P63</f>
        <v>12</v>
      </c>
      <c r="I67" s="79">
        <f>'[10]Rev_SP-12me'!AA63</f>
        <v>100</v>
      </c>
      <c r="J67" s="8"/>
      <c r="K67" s="48">
        <f>'[10]Rev_SP-12me'!AT63</f>
        <v>2.8476</v>
      </c>
      <c r="L67" s="48">
        <f>'[10]Rev_SP-12me'!AU63</f>
        <v>127.464</v>
      </c>
      <c r="M67" s="48">
        <f>'[10]Rev_SP-12me'!AW63</f>
        <v>1.64445142857143</v>
      </c>
      <c r="N67" s="49"/>
      <c r="O67" s="60">
        <f t="shared" si="1"/>
        <v>131.956051428571</v>
      </c>
    </row>
    <row r="68" ht="15" spans="2:15">
      <c r="B68" s="54" t="s">
        <v>1101</v>
      </c>
      <c r="C68" s="55"/>
      <c r="D68" s="48">
        <f>'[10]Rev_SP-12me'!AJ64</f>
        <v>58</v>
      </c>
      <c r="E68" s="48">
        <f>'[10]Rev_SP-12me'!AL64</f>
        <v>2</v>
      </c>
      <c r="F68" s="48">
        <f>'[10]Rev_SP-12me'!AQ64</f>
        <v>2.2</v>
      </c>
      <c r="G68" s="79">
        <f>'[10]Rev_SP-12me'!O64</f>
        <v>50</v>
      </c>
      <c r="H68" s="60">
        <f>'[10]Rev_SP-12me'!P64</f>
        <v>6</v>
      </c>
      <c r="I68" s="79">
        <f>'[10]Rev_SP-12me'!AA64</f>
        <v>120</v>
      </c>
      <c r="J68" s="8"/>
      <c r="K68" s="48">
        <f>'[10]Rev_SP-12me'!AT64</f>
        <v>0.12</v>
      </c>
      <c r="L68" s="48">
        <f>'[10]Rev_SP-12me'!AU64</f>
        <v>1.32</v>
      </c>
      <c r="M68" s="48">
        <f>'[10]Rev_SP-12me'!AW64</f>
        <v>0.00815314285714286</v>
      </c>
      <c r="N68" s="49"/>
      <c r="O68" s="60">
        <f t="shared" si="1"/>
        <v>1.44815314285714</v>
      </c>
    </row>
    <row r="69" ht="15" spans="2:15">
      <c r="B69" s="54"/>
      <c r="C69" s="55"/>
      <c r="D69" s="24"/>
      <c r="E69" s="49"/>
      <c r="F69" s="49"/>
      <c r="G69" s="49"/>
      <c r="H69" s="49"/>
      <c r="I69" s="8"/>
      <c r="J69" s="8"/>
      <c r="K69" s="49"/>
      <c r="L69" s="49"/>
      <c r="M69" s="49"/>
      <c r="N69" s="49"/>
      <c r="O69" s="49"/>
    </row>
    <row r="70" ht="15" spans="2:15">
      <c r="B70" s="54" t="s">
        <v>1102</v>
      </c>
      <c r="C70" s="55"/>
      <c r="D70" s="63">
        <f>SUM(D9,D22,D35,D42,D45,D53,D57,D61,D62,D67,D68)</f>
        <v>11183504.8675254</v>
      </c>
      <c r="E70" s="64">
        <f>SUM(E9,E22,E35,E42,E45,E53,E57,E61,E62,E67,E68)</f>
        <v>25076.0012971162</v>
      </c>
      <c r="F70" s="63">
        <f>SUM(F9,F22,F35,F42,F45,F53,F57,F61,F62,F67,F68)</f>
        <v>28376.6643701067</v>
      </c>
      <c r="G70" s="63"/>
      <c r="H70" s="63"/>
      <c r="I70" s="63"/>
      <c r="J70" s="96"/>
      <c r="K70" s="64">
        <f>SUM(K9,K22,K35,K42,K45,K53,K57,K61,K62,K67,K68)</f>
        <v>673.816471931755</v>
      </c>
      <c r="L70" s="63">
        <f>SUM(L9,L22,L35,L42,L45,L53,L57,L61,L62,L67,L68)</f>
        <v>10008.3769089095</v>
      </c>
      <c r="M70" s="63">
        <f>SUM(M9,M22,M35,M42,M45,M53,M57,M61,M62,M67,M68)</f>
        <v>928.093935559379</v>
      </c>
      <c r="N70" s="65"/>
      <c r="O70" s="63">
        <f>SUM(O9,O22,O35,O42,O45,O53,O57,O61,O62,O67,O68)</f>
        <v>11610.2873164006</v>
      </c>
    </row>
    <row r="71" ht="15" spans="2:15">
      <c r="B71" s="66"/>
      <c r="C71" s="67"/>
      <c r="D71" s="68"/>
      <c r="E71" s="69"/>
      <c r="F71" s="68"/>
      <c r="G71" s="68"/>
      <c r="H71" s="68"/>
      <c r="I71" s="68"/>
      <c r="J71" s="8"/>
      <c r="K71" s="69"/>
      <c r="L71" s="68"/>
      <c r="M71" s="68"/>
      <c r="N71" s="49"/>
      <c r="O71" s="68"/>
    </row>
    <row r="72" ht="15" spans="2:15">
      <c r="B72" s="70" t="s">
        <v>907</v>
      </c>
      <c r="C72" s="70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2:15">
      <c r="B73" s="71" t="s">
        <v>190</v>
      </c>
      <c r="C73" s="55"/>
      <c r="D73" s="49"/>
      <c r="E73" s="49"/>
      <c r="F73" s="49"/>
      <c r="G73" s="8"/>
      <c r="H73" s="8"/>
      <c r="I73" s="8"/>
      <c r="J73" s="8"/>
      <c r="K73" s="49"/>
      <c r="L73" s="49"/>
      <c r="M73" s="49"/>
      <c r="N73" s="49"/>
      <c r="O73" s="49"/>
    </row>
    <row r="74" ht="15" spans="2:15">
      <c r="B74" s="71" t="s">
        <v>1103</v>
      </c>
      <c r="C74" s="72"/>
      <c r="D74" s="48">
        <f>'[10]Rev_SP-12me'!AJ84</f>
        <v>6123.6103208733</v>
      </c>
      <c r="E74" s="48">
        <f>'[10]Rev_SP-12me'!AL84</f>
        <v>2135.11947075882</v>
      </c>
      <c r="F74" s="48">
        <f>F75+F84</f>
        <v>4449.21271164848</v>
      </c>
      <c r="G74" s="68">
        <f>'[10]Rev_SP-12me'!O84</f>
        <v>0</v>
      </c>
      <c r="H74" s="69">
        <f>'[10]Rev_SP-12me'!P84</f>
        <v>0</v>
      </c>
      <c r="I74" s="68">
        <f>'[10]Rev_SP-12me'!AA84</f>
        <v>0</v>
      </c>
      <c r="J74" s="8"/>
      <c r="K74" s="48">
        <f>'[10]Rev_SP-12me'!AT84</f>
        <v>973.614478666021</v>
      </c>
      <c r="L74" s="48">
        <f>'[10]Rev_SP-12me'!AU84</f>
        <v>3422.78983277438</v>
      </c>
      <c r="M74" s="48">
        <f>'[10]Rev_SP-12me'!AW84</f>
        <v>14.3707876274232</v>
      </c>
      <c r="N74" s="49"/>
      <c r="O74" s="79">
        <f t="shared" ref="O74:O105" si="2">SUM(K74:N74)</f>
        <v>4410.77509906782</v>
      </c>
    </row>
    <row r="75" spans="2:15">
      <c r="B75" s="73" t="s">
        <v>1104</v>
      </c>
      <c r="C75" s="72"/>
      <c r="D75" s="51">
        <f>'[10]Rev_SP-12me'!AJ85</f>
        <v>5906.50744293748</v>
      </c>
      <c r="E75" s="51">
        <f>'[10]Rev_SP-12me'!AL85</f>
        <v>2135.11947075882</v>
      </c>
      <c r="F75" s="51">
        <f>'[10]Rev_SP-12me'!AQ85</f>
        <v>4300.84260643587</v>
      </c>
      <c r="G75" s="79">
        <f>'[10]Rev_SP-12me'!O85</f>
        <v>0</v>
      </c>
      <c r="H75" s="60">
        <f>'[10]Rev_SP-12me'!P85</f>
        <v>0</v>
      </c>
      <c r="I75" s="79">
        <f>'[10]Rev_SP-12me'!AA85</f>
        <v>0</v>
      </c>
      <c r="J75" s="8"/>
      <c r="K75" s="51">
        <f>'[10]Rev_SP-12me'!AT85</f>
        <v>973.614478666021</v>
      </c>
      <c r="L75" s="51">
        <f>'[10]Rev_SP-12me'!AU85</f>
        <v>3308.68703768747</v>
      </c>
      <c r="M75" s="51">
        <f>'[10]Rev_SP-12me'!AW85</f>
        <v>13.8612941768874</v>
      </c>
      <c r="N75" s="49"/>
      <c r="O75" s="79">
        <f t="shared" si="2"/>
        <v>4296.16281053038</v>
      </c>
    </row>
    <row r="76" spans="2:15">
      <c r="B76" s="74" t="s">
        <v>1105</v>
      </c>
      <c r="C76" s="72"/>
      <c r="D76" s="62">
        <f>'[10]Rev_SP-12me'!AJ86</f>
        <v>4427.15315911346</v>
      </c>
      <c r="E76" s="62">
        <f>'[10]Rev_SP-12me'!AL86</f>
        <v>2135.11947075882</v>
      </c>
      <c r="F76" s="62">
        <f>'[10]Rev_SP-12me'!AQ86</f>
        <v>1395.13532380973</v>
      </c>
      <c r="G76" s="94">
        <f>'[10]Rev_SP-12me'!O86</f>
        <v>475</v>
      </c>
      <c r="H76" s="91">
        <f>'[10]Rev_SP-12me'!P86</f>
        <v>7.65</v>
      </c>
      <c r="I76" s="94">
        <f>'[10]Rev_SP-12me'!AA86</f>
        <v>2000</v>
      </c>
      <c r="J76" s="8"/>
      <c r="K76" s="62">
        <f>'[10]Rev_SP-12me'!AT86</f>
        <v>973.614478666021</v>
      </c>
      <c r="L76" s="62">
        <f>'[10]Rev_SP-12me'!AU86</f>
        <v>1067.27852271445</v>
      </c>
      <c r="M76" s="62">
        <f>'[10]Rev_SP-12me'!AW86</f>
        <v>10.3895699611764</v>
      </c>
      <c r="N76" s="49"/>
      <c r="O76" s="79">
        <f t="shared" si="2"/>
        <v>2051.28257134165</v>
      </c>
    </row>
    <row r="77" ht="25.7" customHeight="1" spans="2:15">
      <c r="B77" s="75" t="s">
        <v>1106</v>
      </c>
      <c r="C77" s="55"/>
      <c r="D77" s="62">
        <f>'[10]Rev_SP-12me'!AJ87</f>
        <v>1274.25206748263</v>
      </c>
      <c r="E77" s="62">
        <f>'[10]Rev_SP-12me'!AL87</f>
        <v>0</v>
      </c>
      <c r="F77" s="62">
        <f>'[10]Rev_SP-12me'!AQ87</f>
        <v>229.738568745072</v>
      </c>
      <c r="G77" s="94">
        <f>'[10]Rev_SP-12me'!O87</f>
        <v>100</v>
      </c>
      <c r="H77" s="91">
        <f>'[10]Rev_SP-12me'!P87</f>
        <v>8</v>
      </c>
      <c r="I77" s="94">
        <f>'[10]Rev_SP-12me'!AA87</f>
        <v>2000</v>
      </c>
      <c r="J77" s="8"/>
      <c r="K77" s="62">
        <f>'[10]Rev_SP-12me'!AT87</f>
        <v>0</v>
      </c>
      <c r="L77" s="62">
        <f>'[10]Rev_SP-12me'!AU87</f>
        <v>183.790854996057</v>
      </c>
      <c r="M77" s="62">
        <f>'[10]Rev_SP-12me'!AW87</f>
        <v>2.99039371972747</v>
      </c>
      <c r="N77" s="8"/>
      <c r="O77" s="79">
        <f t="shared" si="2"/>
        <v>186.781248715784</v>
      </c>
    </row>
    <row r="78" spans="2:15">
      <c r="B78" s="74" t="s">
        <v>1107</v>
      </c>
      <c r="C78" s="55"/>
      <c r="D78" s="62">
        <f>'[10]Rev_SP-12me'!AJ88</f>
        <v>0</v>
      </c>
      <c r="E78" s="62">
        <f>'[10]Rev_SP-12me'!AL88</f>
        <v>0</v>
      </c>
      <c r="F78" s="62">
        <f>'[10]Rev_SP-12me'!AQ88</f>
        <v>0.201155178571006</v>
      </c>
      <c r="G78" s="94">
        <f>'[10]Rev_SP-12me'!O88</f>
        <v>0</v>
      </c>
      <c r="H78" s="91">
        <f>'[10]Rev_SP-12me'!P88</f>
        <v>7.65</v>
      </c>
      <c r="I78" s="94">
        <f>'[10]Rev_SP-12me'!AA88</f>
        <v>2000</v>
      </c>
      <c r="J78" s="8"/>
      <c r="K78" s="62">
        <f>'[10]Rev_SP-12me'!AT88</f>
        <v>0</v>
      </c>
      <c r="L78" s="62">
        <f>'[10]Rev_SP-12me'!AU88</f>
        <v>0.15388371160682</v>
      </c>
      <c r="M78" s="62">
        <f>'[10]Rev_SP-12me'!AW88</f>
        <v>0</v>
      </c>
      <c r="N78" s="8"/>
      <c r="O78" s="79">
        <f t="shared" si="2"/>
        <v>0.15388371160682</v>
      </c>
    </row>
    <row r="79" spans="2:15">
      <c r="B79" s="74" t="s">
        <v>1108</v>
      </c>
      <c r="C79" s="55"/>
      <c r="D79" s="62">
        <f>'[10]Rev_SP-12me'!AJ89</f>
        <v>0</v>
      </c>
      <c r="E79" s="62">
        <f>'[10]Rev_SP-12me'!AL89</f>
        <v>0</v>
      </c>
      <c r="F79" s="62">
        <f>'[10]Rev_SP-12me'!AQ89</f>
        <v>1.11045818108816</v>
      </c>
      <c r="G79" s="94">
        <f>'[10]Rev_SP-12me'!O89</f>
        <v>0</v>
      </c>
      <c r="H79" s="91">
        <f>'[10]Rev_SP-12me'!P89</f>
        <v>7.3</v>
      </c>
      <c r="I79" s="94">
        <f>'[10]Rev_SP-12me'!AA89</f>
        <v>2000</v>
      </c>
      <c r="J79" s="8"/>
      <c r="K79" s="62">
        <f>'[10]Rev_SP-12me'!AT89</f>
        <v>0</v>
      </c>
      <c r="L79" s="62">
        <f>'[10]Rev_SP-12me'!AU89</f>
        <v>0.810634472194357</v>
      </c>
      <c r="M79" s="62">
        <f>'[10]Rev_SP-12me'!AW89</f>
        <v>0</v>
      </c>
      <c r="N79" s="8"/>
      <c r="O79" s="79">
        <f t="shared" si="2"/>
        <v>0.810634472194357</v>
      </c>
    </row>
    <row r="80" spans="2:15">
      <c r="B80" s="74" t="s">
        <v>1109</v>
      </c>
      <c r="C80" s="55"/>
      <c r="D80" s="62">
        <f>'[10]Rev_SP-12me'!AJ90</f>
        <v>205.102216341383</v>
      </c>
      <c r="E80" s="62">
        <f>'[10]Rev_SP-12me'!AL90</f>
        <v>0</v>
      </c>
      <c r="F80" s="62">
        <f>'[10]Rev_SP-12me'!AQ90</f>
        <v>52.3274411007893</v>
      </c>
      <c r="G80" s="94">
        <f>'[10]Rev_SP-12me'!O90</f>
        <v>475</v>
      </c>
      <c r="H80" s="91">
        <f>'[10]Rev_SP-12me'!P90</f>
        <v>8.6</v>
      </c>
      <c r="I80" s="94">
        <f>'[10]Rev_SP-12me'!AA90</f>
        <v>2000</v>
      </c>
      <c r="J80" s="8"/>
      <c r="K80" s="62">
        <f>'[10]Rev_SP-12me'!AT90</f>
        <v>0</v>
      </c>
      <c r="L80" s="62">
        <f>'[10]Rev_SP-12me'!AU90</f>
        <v>45.0015993466788</v>
      </c>
      <c r="M80" s="62">
        <f>'[10]Rev_SP-12me'!AW90</f>
        <v>0.481330495983531</v>
      </c>
      <c r="N80" s="8"/>
      <c r="O80" s="79">
        <f t="shared" si="2"/>
        <v>45.4829298426623</v>
      </c>
    </row>
    <row r="81" spans="2:15">
      <c r="B81" s="76" t="s">
        <v>1110</v>
      </c>
      <c r="C81" s="55"/>
      <c r="D81" s="62">
        <f>'[10]Rev_SP-12me'!AJ91</f>
        <v>0</v>
      </c>
      <c r="E81" s="62">
        <f>'[10]Rev_SP-12me'!AL91</f>
        <v>0</v>
      </c>
      <c r="F81" s="62">
        <f>'[10]Rev_SP-12me'!AQ91</f>
        <v>689.060946288132</v>
      </c>
      <c r="G81" s="94">
        <f>'[10]Rev_SP-12me'!O91</f>
        <v>0</v>
      </c>
      <c r="H81" s="91">
        <f>'[10]Rev_SP-12me'!P91</f>
        <v>8.65</v>
      </c>
      <c r="I81" s="94">
        <f>'[10]Rev_SP-12me'!AA91</f>
        <v>2000</v>
      </c>
      <c r="J81" s="8"/>
      <c r="K81" s="62">
        <f>'[10]Rev_SP-12me'!AT91</f>
        <v>0</v>
      </c>
      <c r="L81" s="62">
        <f>'[10]Rev_SP-12me'!AU91</f>
        <v>596.037718539234</v>
      </c>
      <c r="M81" s="62">
        <f>'[10]Rev_SP-12me'!AW91</f>
        <v>0</v>
      </c>
      <c r="N81" s="8"/>
      <c r="O81" s="79">
        <f t="shared" si="2"/>
        <v>596.037718539234</v>
      </c>
    </row>
    <row r="82" spans="2:15">
      <c r="B82" s="76" t="s">
        <v>1111</v>
      </c>
      <c r="C82" s="55"/>
      <c r="D82" s="62">
        <f>'[10]Rev_SP-12me'!AJ92</f>
        <v>0</v>
      </c>
      <c r="E82" s="62">
        <f>'[10]Rev_SP-12me'!AL92</f>
        <v>0</v>
      </c>
      <c r="F82" s="62">
        <f>'[10]Rev_SP-12me'!AQ92</f>
        <v>649.95064837077</v>
      </c>
      <c r="G82" s="94">
        <f>'[10]Rev_SP-12me'!O92</f>
        <v>0</v>
      </c>
      <c r="H82" s="91">
        <f>'[10]Rev_SP-12me'!P92</f>
        <v>8.65</v>
      </c>
      <c r="I82" s="94">
        <f>'[10]Rev_SP-12me'!AA92</f>
        <v>2000</v>
      </c>
      <c r="J82" s="8"/>
      <c r="K82" s="62">
        <f>'[10]Rev_SP-12me'!AT92</f>
        <v>0</v>
      </c>
      <c r="L82" s="62">
        <f>'[10]Rev_SP-12me'!AU92</f>
        <v>562.207310840716</v>
      </c>
      <c r="M82" s="62">
        <f>'[10]Rev_SP-12me'!AW92</f>
        <v>0</v>
      </c>
      <c r="N82" s="8"/>
      <c r="O82" s="79">
        <f t="shared" si="2"/>
        <v>562.207310840716</v>
      </c>
    </row>
    <row r="83" spans="2:15">
      <c r="B83" s="76" t="s">
        <v>1112</v>
      </c>
      <c r="C83" s="55"/>
      <c r="D83" s="62">
        <f>'[10]Rev_SP-12me'!AJ93</f>
        <v>0</v>
      </c>
      <c r="E83" s="62">
        <f>'[10]Rev_SP-12me'!AL93</f>
        <v>0</v>
      </c>
      <c r="F83" s="62">
        <f>'[10]Rev_SP-12me'!AQ93</f>
        <v>1283.31806476171</v>
      </c>
      <c r="G83" s="94">
        <f>'[10]Rev_SP-12me'!O93</f>
        <v>0</v>
      </c>
      <c r="H83" s="91">
        <f>'[10]Rev_SP-12me'!P93</f>
        <v>6.65</v>
      </c>
      <c r="I83" s="94">
        <f>'[10]Rev_SP-12me'!AA93</f>
        <v>2000</v>
      </c>
      <c r="J83" s="8"/>
      <c r="K83" s="62">
        <f>'[10]Rev_SP-12me'!AT93</f>
        <v>0</v>
      </c>
      <c r="L83" s="62">
        <f>'[10]Rev_SP-12me'!AU93</f>
        <v>853.406513066539</v>
      </c>
      <c r="M83" s="62">
        <f>'[10]Rev_SP-12me'!AW93</f>
        <v>0</v>
      </c>
      <c r="N83" s="8"/>
      <c r="O83" s="79">
        <f t="shared" si="2"/>
        <v>853.406513066539</v>
      </c>
    </row>
    <row r="84" spans="2:15">
      <c r="B84" s="71" t="s">
        <v>1113</v>
      </c>
      <c r="C84" s="55"/>
      <c r="D84" s="51">
        <f>'[10]Rev_SP-12me'!AJ94</f>
        <v>217.102877935825</v>
      </c>
      <c r="E84" s="51">
        <f>'[10]Rev_SP-12me'!AL94</f>
        <v>0</v>
      </c>
      <c r="F84" s="51">
        <f>'[10]Rev_SP-12me'!AQ94</f>
        <v>148.370105212614</v>
      </c>
      <c r="G84" s="79">
        <f>'[10]Rev_SP-12me'!O94</f>
        <v>0</v>
      </c>
      <c r="H84" s="60">
        <f>'[10]Rev_SP-12me'!P94</f>
        <v>0</v>
      </c>
      <c r="I84" s="79">
        <f>'[10]Rev_SP-12me'!AA94</f>
        <v>0</v>
      </c>
      <c r="J84" s="8"/>
      <c r="K84" s="51">
        <f>'[10]Rev_SP-12me'!AT94</f>
        <v>0</v>
      </c>
      <c r="L84" s="51">
        <f>'[10]Rev_SP-12me'!AU94</f>
        <v>114.102795086903</v>
      </c>
      <c r="M84" s="51">
        <f>'[10]Rev_SP-12me'!AW94</f>
        <v>0.509493450535759</v>
      </c>
      <c r="N84" s="8"/>
      <c r="O84" s="79">
        <f t="shared" si="2"/>
        <v>114.612288537439</v>
      </c>
    </row>
    <row r="85" spans="2:15">
      <c r="B85" s="76" t="s">
        <v>1114</v>
      </c>
      <c r="C85" s="55"/>
      <c r="D85" s="53">
        <f>'[10]Rev_SP-12me'!AJ95</f>
        <v>217.102877935825</v>
      </c>
      <c r="E85" s="53">
        <f>'[10]Rev_SP-12me'!AL95</f>
        <v>0</v>
      </c>
      <c r="F85" s="53">
        <f>'[10]Rev_SP-12me'!AQ95</f>
        <v>53.9790632276775</v>
      </c>
      <c r="G85" s="94">
        <f>'[10]Rev_SP-12me'!O95</f>
        <v>475</v>
      </c>
      <c r="H85" s="91">
        <f>'[10]Rev_SP-12me'!P95</f>
        <v>7.65</v>
      </c>
      <c r="I85" s="94">
        <f>'[10]Rev_SP-12me'!AA95</f>
        <v>2000</v>
      </c>
      <c r="J85" s="8"/>
      <c r="K85" s="53">
        <f>'[10]Rev_SP-12me'!AT95</f>
        <v>0</v>
      </c>
      <c r="L85" s="53">
        <f>'[10]Rev_SP-12me'!AU95</f>
        <v>41.2939833691733</v>
      </c>
      <c r="M85" s="53">
        <f>'[10]Rev_SP-12me'!AW95</f>
        <v>0.509493450535759</v>
      </c>
      <c r="N85" s="8"/>
      <c r="O85" s="79">
        <f t="shared" si="2"/>
        <v>41.8034768197091</v>
      </c>
    </row>
    <row r="86" spans="2:15">
      <c r="B86" s="76" t="s">
        <v>1115</v>
      </c>
      <c r="C86" s="55"/>
      <c r="D86" s="53">
        <f>'[10]Rev_SP-12me'!AJ96</f>
        <v>0</v>
      </c>
      <c r="E86" s="53">
        <f>'[10]Rev_SP-12me'!AL96</f>
        <v>0</v>
      </c>
      <c r="F86" s="53">
        <f>'[10]Rev_SP-12me'!AQ96</f>
        <v>23.5773530924783</v>
      </c>
      <c r="G86" s="94">
        <f>'[10]Rev_SP-12me'!O96</f>
        <v>0</v>
      </c>
      <c r="H86" s="91">
        <f>'[10]Rev_SP-12me'!P96</f>
        <v>8.65</v>
      </c>
      <c r="I86" s="94">
        <f>'[10]Rev_SP-12me'!AA96</f>
        <v>2000</v>
      </c>
      <c r="J86" s="8"/>
      <c r="K86" s="53">
        <f>'[10]Rev_SP-12me'!AT96</f>
        <v>0</v>
      </c>
      <c r="L86" s="53">
        <f>'[10]Rev_SP-12me'!AU96</f>
        <v>20.3944104249938</v>
      </c>
      <c r="M86" s="53">
        <f>'[10]Rev_SP-12me'!AW96</f>
        <v>0</v>
      </c>
      <c r="N86" s="8"/>
      <c r="O86" s="79">
        <f t="shared" si="2"/>
        <v>20.3944104249938</v>
      </c>
    </row>
    <row r="87" spans="2:15">
      <c r="B87" s="76" t="s">
        <v>1116</v>
      </c>
      <c r="C87" s="55"/>
      <c r="D87" s="53">
        <f>'[10]Rev_SP-12me'!AJ97</f>
        <v>0</v>
      </c>
      <c r="E87" s="53">
        <f>'[10]Rev_SP-12me'!AL97</f>
        <v>0</v>
      </c>
      <c r="F87" s="53">
        <f>'[10]Rev_SP-12me'!AQ97</f>
        <v>26.6164908962548</v>
      </c>
      <c r="G87" s="94">
        <f>'[10]Rev_SP-12me'!O97</f>
        <v>0</v>
      </c>
      <c r="H87" s="91">
        <f>'[10]Rev_SP-12me'!P97</f>
        <v>8.65</v>
      </c>
      <c r="I87" s="94">
        <f>'[10]Rev_SP-12me'!AA97</f>
        <v>2000</v>
      </c>
      <c r="J87" s="8"/>
      <c r="K87" s="53">
        <f>'[10]Rev_SP-12me'!AT97</f>
        <v>0</v>
      </c>
      <c r="L87" s="53">
        <f>'[10]Rev_SP-12me'!AU97</f>
        <v>23.0232646252604</v>
      </c>
      <c r="M87" s="53">
        <f>'[10]Rev_SP-12me'!AW97</f>
        <v>0</v>
      </c>
      <c r="N87" s="8"/>
      <c r="O87" s="79">
        <f t="shared" si="2"/>
        <v>23.0232646252604</v>
      </c>
    </row>
    <row r="88" spans="2:15">
      <c r="B88" s="76" t="s">
        <v>1117</v>
      </c>
      <c r="C88" s="55"/>
      <c r="D88" s="53">
        <f>'[10]Rev_SP-12me'!AJ98</f>
        <v>0</v>
      </c>
      <c r="E88" s="53">
        <f>'[10]Rev_SP-12me'!AL98</f>
        <v>0</v>
      </c>
      <c r="F88" s="53">
        <f>'[10]Rev_SP-12me'!AQ98</f>
        <v>44.1971979962031</v>
      </c>
      <c r="G88" s="94">
        <f>'[10]Rev_SP-12me'!O98</f>
        <v>0</v>
      </c>
      <c r="H88" s="91">
        <f>'[10]Rev_SP-12me'!P98</f>
        <v>6.65</v>
      </c>
      <c r="I88" s="94">
        <f>'[10]Rev_SP-12me'!AA98</f>
        <v>2000</v>
      </c>
      <c r="J88" s="8"/>
      <c r="K88" s="53">
        <f>'[10]Rev_SP-12me'!AT98</f>
        <v>0</v>
      </c>
      <c r="L88" s="53">
        <f>'[10]Rev_SP-12me'!AU98</f>
        <v>29.3911366674751</v>
      </c>
      <c r="M88" s="53">
        <f>'[10]Rev_SP-12me'!AW98</f>
        <v>0</v>
      </c>
      <c r="N88" s="8"/>
      <c r="O88" s="79">
        <f t="shared" si="2"/>
        <v>29.3911366674751</v>
      </c>
    </row>
    <row r="89" ht="15" spans="2:15">
      <c r="B89" s="71" t="s">
        <v>1118</v>
      </c>
      <c r="C89" s="55"/>
      <c r="D89" s="48">
        <f>'[10]Rev_SP-12me'!AJ100</f>
        <v>0</v>
      </c>
      <c r="E89" s="48">
        <f>'[10]Rev_SP-12me'!AL100</f>
        <v>14.7137145555292</v>
      </c>
      <c r="F89" s="48">
        <f>'[10]Rev_SP-12me'!AQ100</f>
        <v>42.2072883515179</v>
      </c>
      <c r="G89" s="68">
        <f>'[10]Rev_SP-12me'!O100</f>
        <v>0</v>
      </c>
      <c r="H89" s="69">
        <f>'[10]Rev_SP-12me'!P100</f>
        <v>0</v>
      </c>
      <c r="I89" s="68">
        <f>'[10]Rev_SP-12me'!AA100</f>
        <v>8000</v>
      </c>
      <c r="J89" s="8"/>
      <c r="K89" s="48">
        <f>'[10]Rev_SP-12me'!AT100</f>
        <v>6.70945383732131</v>
      </c>
      <c r="L89" s="48">
        <f>'[10]Rev_SP-12me'!AU100</f>
        <v>32.5242010155615</v>
      </c>
      <c r="M89" s="48">
        <f>'[10]Rev_SP-12me'!AW100</f>
        <v>0</v>
      </c>
      <c r="N89" s="8"/>
      <c r="O89" s="79">
        <f t="shared" si="2"/>
        <v>39.2336548528828</v>
      </c>
    </row>
    <row r="90" spans="2:15">
      <c r="B90" s="74" t="s">
        <v>1119</v>
      </c>
      <c r="C90" s="55"/>
      <c r="D90" s="53">
        <f>'[10]Rev_SP-12me'!AJ101</f>
        <v>0</v>
      </c>
      <c r="E90" s="53">
        <f>'[10]Rev_SP-12me'!AL101</f>
        <v>14.7137145555292</v>
      </c>
      <c r="F90" s="53">
        <f>'[10]Rev_SP-12me'!AQ101</f>
        <v>18.3314016804679</v>
      </c>
      <c r="G90" s="94">
        <f>'[10]Rev_SP-12me'!O101</f>
        <v>475</v>
      </c>
      <c r="H90" s="91">
        <f>'[10]Rev_SP-12me'!P101</f>
        <v>7.65</v>
      </c>
      <c r="I90" s="94">
        <f>'[10]Rev_SP-12me'!AA101</f>
        <v>2000</v>
      </c>
      <c r="J90" s="8"/>
      <c r="K90" s="53">
        <f>'[10]Rev_SP-12me'!AT101</f>
        <v>6.70945383732131</v>
      </c>
      <c r="L90" s="53">
        <f>'[10]Rev_SP-12me'!AU101</f>
        <v>14.023522285558</v>
      </c>
      <c r="M90" s="53">
        <f>'[10]Rev_SP-12me'!AW101</f>
        <v>0</v>
      </c>
      <c r="N90" s="8"/>
      <c r="O90" s="79">
        <f t="shared" si="2"/>
        <v>20.7329761228793</v>
      </c>
    </row>
    <row r="91" spans="2:15">
      <c r="B91" s="74" t="s">
        <v>1120</v>
      </c>
      <c r="C91" s="55"/>
      <c r="D91" s="53">
        <f>'[10]Rev_SP-12me'!AJ102</f>
        <v>0</v>
      </c>
      <c r="E91" s="53">
        <f>'[10]Rev_SP-12me'!AL102</f>
        <v>0</v>
      </c>
      <c r="F91" s="53">
        <f>'[10]Rev_SP-12me'!AQ102</f>
        <v>6.1282942365454</v>
      </c>
      <c r="G91" s="94">
        <f>'[10]Rev_SP-12me'!O102</f>
        <v>0</v>
      </c>
      <c r="H91" s="91">
        <f>'[10]Rev_SP-12me'!P102</f>
        <v>8.65</v>
      </c>
      <c r="I91" s="94">
        <f>'[10]Rev_SP-12me'!AA102</f>
        <v>2000</v>
      </c>
      <c r="J91" s="8"/>
      <c r="K91" s="53">
        <f>'[10]Rev_SP-12me'!AT102</f>
        <v>0</v>
      </c>
      <c r="L91" s="53">
        <f>'[10]Rev_SP-12me'!AU102</f>
        <v>5.30097451461177</v>
      </c>
      <c r="M91" s="53">
        <f>'[10]Rev_SP-12me'!AW102</f>
        <v>0</v>
      </c>
      <c r="N91" s="8"/>
      <c r="O91" s="79">
        <f t="shared" si="2"/>
        <v>5.30097451461177</v>
      </c>
    </row>
    <row r="92" spans="2:15">
      <c r="B92" s="74" t="s">
        <v>1121</v>
      </c>
      <c r="C92" s="55"/>
      <c r="D92" s="53">
        <f>'[10]Rev_SP-12me'!AJ103</f>
        <v>0</v>
      </c>
      <c r="E92" s="53">
        <f>'[10]Rev_SP-12me'!AL103</f>
        <v>0</v>
      </c>
      <c r="F92" s="53">
        <f>'[10]Rev_SP-12me'!AQ103</f>
        <v>6.98777623223095</v>
      </c>
      <c r="G92" s="94">
        <f>'[10]Rev_SP-12me'!O103</f>
        <v>0</v>
      </c>
      <c r="H92" s="91">
        <f>'[10]Rev_SP-12me'!P103</f>
        <v>8.65</v>
      </c>
      <c r="I92" s="94">
        <f>'[10]Rev_SP-12me'!AA103</f>
        <v>2000</v>
      </c>
      <c r="J92" s="8"/>
      <c r="K92" s="53">
        <f>'[10]Rev_SP-12me'!AT103</f>
        <v>0</v>
      </c>
      <c r="L92" s="53">
        <f>'[10]Rev_SP-12me'!AU103</f>
        <v>6.04442644087977</v>
      </c>
      <c r="M92" s="53">
        <f>'[10]Rev_SP-12me'!AW103</f>
        <v>0</v>
      </c>
      <c r="N92" s="8"/>
      <c r="O92" s="79">
        <f t="shared" si="2"/>
        <v>6.04442644087977</v>
      </c>
    </row>
    <row r="93" spans="2:15">
      <c r="B93" s="74" t="s">
        <v>1122</v>
      </c>
      <c r="C93" s="55"/>
      <c r="D93" s="53">
        <f>'[10]Rev_SP-12me'!AJ104</f>
        <v>0</v>
      </c>
      <c r="E93" s="53">
        <f>'[10]Rev_SP-12me'!AL104</f>
        <v>0</v>
      </c>
      <c r="F93" s="53">
        <f>'[10]Rev_SP-12me'!AQ104</f>
        <v>10.7598162022737</v>
      </c>
      <c r="G93" s="94">
        <f>'[10]Rev_SP-12me'!O104</f>
        <v>0</v>
      </c>
      <c r="H93" s="91">
        <f>'[10]Rev_SP-12me'!P104</f>
        <v>6.65</v>
      </c>
      <c r="I93" s="94">
        <f>'[10]Rev_SP-12me'!AA104</f>
        <v>2000</v>
      </c>
      <c r="J93" s="8"/>
      <c r="K93" s="53">
        <f>'[10]Rev_SP-12me'!AT104</f>
        <v>0</v>
      </c>
      <c r="L93" s="53">
        <f>'[10]Rev_SP-12me'!AU104</f>
        <v>7.155277774512</v>
      </c>
      <c r="M93" s="53">
        <f>'[10]Rev_SP-12me'!AW104</f>
        <v>0</v>
      </c>
      <c r="N93" s="8"/>
      <c r="O93" s="79">
        <f t="shared" si="2"/>
        <v>7.155277774512</v>
      </c>
    </row>
    <row r="94" ht="15" spans="2:15">
      <c r="B94" s="71" t="s">
        <v>1123</v>
      </c>
      <c r="C94" s="55"/>
      <c r="D94" s="48">
        <f>'[10]Rev_SP-12me'!AJ99</f>
        <v>0</v>
      </c>
      <c r="E94" s="48">
        <f>'[10]Rev_SP-12me'!AL99</f>
        <v>0</v>
      </c>
      <c r="F94" s="48">
        <f>'[10]Rev_SP-12me'!AQ99</f>
        <v>0.14</v>
      </c>
      <c r="G94" s="68">
        <f>'[10]Rev_SP-12me'!O99</f>
        <v>475</v>
      </c>
      <c r="H94" s="69">
        <f>'[10]Rev_SP-12me'!P99</f>
        <v>7.65</v>
      </c>
      <c r="I94" s="68">
        <f>'[10]Rev_SP-12me'!AA99</f>
        <v>2000</v>
      </c>
      <c r="J94" s="8"/>
      <c r="K94" s="48">
        <f>'[10]Rev_SP-12me'!AT99</f>
        <v>0</v>
      </c>
      <c r="L94" s="48">
        <f>'[10]Rev_SP-12me'!AU99</f>
        <v>0.1071</v>
      </c>
      <c r="M94" s="48">
        <f>'[10]Rev_SP-12me'!AW99</f>
        <v>0</v>
      </c>
      <c r="N94" s="8"/>
      <c r="O94" s="79">
        <f t="shared" si="2"/>
        <v>0.1071</v>
      </c>
    </row>
    <row r="95" ht="15" spans="2:15">
      <c r="B95" s="71" t="s">
        <v>1124</v>
      </c>
      <c r="C95" s="55"/>
      <c r="D95" s="48">
        <f>'[10]Rev_SP-12me'!AJ105</f>
        <v>4829.02148835105</v>
      </c>
      <c r="E95" s="48">
        <f>'[10]Rev_SP-12me'!AL105</f>
        <v>1086.972639034</v>
      </c>
      <c r="F95" s="48">
        <f>'[10]Rev_SP-12me'!AQ105</f>
        <v>2334.22604197106</v>
      </c>
      <c r="G95" s="68">
        <f>'[10]Rev_SP-12me'!O105</f>
        <v>0</v>
      </c>
      <c r="H95" s="69">
        <f>'[10]Rev_SP-12me'!P105</f>
        <v>0</v>
      </c>
      <c r="I95" s="68">
        <f>'[10]Rev_SP-12me'!AA105</f>
        <v>0</v>
      </c>
      <c r="J95" s="8"/>
      <c r="K95" s="48">
        <f>'[10]Rev_SP-12me'!AT105</f>
        <v>495.659523399504</v>
      </c>
      <c r="L95" s="48">
        <f>'[10]Rev_SP-12me'!AU105</f>
        <v>2076.0340338904</v>
      </c>
      <c r="M95" s="48">
        <f>'[10]Rev_SP-12me'!AW105</f>
        <v>11.2323057629155</v>
      </c>
      <c r="N95" s="8"/>
      <c r="O95" s="79">
        <f t="shared" si="2"/>
        <v>2582.92586305282</v>
      </c>
    </row>
    <row r="96" spans="2:15">
      <c r="B96" s="74" t="s">
        <v>1119</v>
      </c>
      <c r="C96" s="55"/>
      <c r="D96" s="53">
        <f>'[10]Rev_SP-12me'!AJ106</f>
        <v>4829.02148835105</v>
      </c>
      <c r="E96" s="53">
        <f>'[10]Rev_SP-12me'!AL106</f>
        <v>1086.972639034</v>
      </c>
      <c r="F96" s="53">
        <f>'[10]Rev_SP-12me'!AQ106</f>
        <v>1029.39774207224</v>
      </c>
      <c r="G96" s="94">
        <f>'[10]Rev_SP-12me'!O106</f>
        <v>475</v>
      </c>
      <c r="H96" s="91">
        <f>'[10]Rev_SP-12me'!P106</f>
        <v>8.8</v>
      </c>
      <c r="I96" s="94">
        <f>'[10]Rev_SP-12me'!AA106</f>
        <v>2000</v>
      </c>
      <c r="J96" s="8"/>
      <c r="K96" s="53">
        <f>'[10]Rev_SP-12me'!AT106</f>
        <v>495.659523399504</v>
      </c>
      <c r="L96" s="53">
        <f>'[10]Rev_SP-12me'!AU106</f>
        <v>905.870013023574</v>
      </c>
      <c r="M96" s="53">
        <f>'[10]Rev_SP-12me'!AW106</f>
        <v>11.2323057629155</v>
      </c>
      <c r="N96" s="8"/>
      <c r="O96" s="79">
        <f t="shared" si="2"/>
        <v>1412.76184218599</v>
      </c>
    </row>
    <row r="97" spans="2:15">
      <c r="B97" s="74" t="s">
        <v>1120</v>
      </c>
      <c r="C97" s="55"/>
      <c r="D97" s="53">
        <f>'[10]Rev_SP-12me'!AJ107</f>
        <v>0</v>
      </c>
      <c r="E97" s="53">
        <f>'[10]Rev_SP-12me'!AL107</f>
        <v>0</v>
      </c>
      <c r="F97" s="53">
        <f>'[10]Rev_SP-12me'!AQ107</f>
        <v>447.684689089997</v>
      </c>
      <c r="G97" s="94">
        <f>'[10]Rev_SP-12me'!O107</f>
        <v>0</v>
      </c>
      <c r="H97" s="91">
        <f>'[10]Rev_SP-12me'!P107</f>
        <v>9.8</v>
      </c>
      <c r="I97" s="94">
        <f>'[10]Rev_SP-12me'!AA107</f>
        <v>2000</v>
      </c>
      <c r="J97" s="8"/>
      <c r="K97" s="53">
        <f>'[10]Rev_SP-12me'!AT107</f>
        <v>0</v>
      </c>
      <c r="L97" s="53">
        <f>'[10]Rev_SP-12me'!AU107</f>
        <v>438.730995308197</v>
      </c>
      <c r="M97" s="53">
        <f>'[10]Rev_SP-12me'!AW107</f>
        <v>0</v>
      </c>
      <c r="N97" s="8"/>
      <c r="O97" s="79">
        <f t="shared" si="2"/>
        <v>438.730995308197</v>
      </c>
    </row>
    <row r="98" spans="2:15">
      <c r="B98" s="74" t="s">
        <v>1121</v>
      </c>
      <c r="C98" s="55"/>
      <c r="D98" s="53">
        <f>'[10]Rev_SP-12me'!AJ108</f>
        <v>0</v>
      </c>
      <c r="E98" s="53">
        <f>'[10]Rev_SP-12me'!AL108</f>
        <v>0</v>
      </c>
      <c r="F98" s="53">
        <f>'[10]Rev_SP-12me'!AQ108</f>
        <v>314.305045638752</v>
      </c>
      <c r="G98" s="94">
        <f>'[10]Rev_SP-12me'!O108</f>
        <v>0</v>
      </c>
      <c r="H98" s="91">
        <f>'[10]Rev_SP-12me'!P108</f>
        <v>9.8</v>
      </c>
      <c r="I98" s="94">
        <f>'[10]Rev_SP-12me'!AA108</f>
        <v>2000</v>
      </c>
      <c r="J98" s="8"/>
      <c r="K98" s="53">
        <f>'[10]Rev_SP-12me'!AT108</f>
        <v>0</v>
      </c>
      <c r="L98" s="53">
        <f>'[10]Rev_SP-12me'!AU108</f>
        <v>308.018944725977</v>
      </c>
      <c r="M98" s="53">
        <f>'[10]Rev_SP-12me'!AW108</f>
        <v>0</v>
      </c>
      <c r="N98" s="8"/>
      <c r="O98" s="79">
        <f t="shared" si="2"/>
        <v>308.018944725977</v>
      </c>
    </row>
    <row r="99" spans="2:15">
      <c r="B99" s="74" t="s">
        <v>1122</v>
      </c>
      <c r="C99" s="55"/>
      <c r="D99" s="53">
        <f>'[10]Rev_SP-12me'!AJ109</f>
        <v>0</v>
      </c>
      <c r="E99" s="53">
        <f>'[10]Rev_SP-12me'!AL109</f>
        <v>0</v>
      </c>
      <c r="F99" s="53">
        <f>'[10]Rev_SP-12me'!AQ109</f>
        <v>542.838565170065</v>
      </c>
      <c r="G99" s="94">
        <f>'[10]Rev_SP-12me'!O109</f>
        <v>0</v>
      </c>
      <c r="H99" s="91">
        <f>'[10]Rev_SP-12me'!P109</f>
        <v>7.8</v>
      </c>
      <c r="I99" s="94">
        <f>'[10]Rev_SP-12me'!AA109</f>
        <v>2000</v>
      </c>
      <c r="J99" s="8"/>
      <c r="K99" s="53">
        <f>'[10]Rev_SP-12me'!AT109</f>
        <v>0</v>
      </c>
      <c r="L99" s="53">
        <f>'[10]Rev_SP-12me'!AU109</f>
        <v>423.41408083265</v>
      </c>
      <c r="M99" s="53">
        <f>'[10]Rev_SP-12me'!AW109</f>
        <v>0</v>
      </c>
      <c r="N99" s="8"/>
      <c r="O99" s="79">
        <f t="shared" si="2"/>
        <v>423.41408083265</v>
      </c>
    </row>
    <row r="100" ht="15" spans="2:15">
      <c r="B100" s="71" t="s">
        <v>1125</v>
      </c>
      <c r="C100" s="55"/>
      <c r="D100" s="48">
        <f>'[10]Rev_SP-12me'!AJ110</f>
        <v>0</v>
      </c>
      <c r="E100" s="48">
        <f>'[10]Rev_SP-12me'!AL110</f>
        <v>0</v>
      </c>
      <c r="F100" s="48">
        <f>'[10]Rev_SP-12me'!AQ110</f>
        <v>0.264178744346467</v>
      </c>
      <c r="G100" s="68">
        <f>'[10]Rev_SP-12me'!O110</f>
        <v>0</v>
      </c>
      <c r="H100" s="69">
        <f>'[10]Rev_SP-12me'!P110</f>
        <v>0</v>
      </c>
      <c r="I100" s="68">
        <f>'[10]Rev_SP-12me'!AA110</f>
        <v>8000</v>
      </c>
      <c r="J100" s="8"/>
      <c r="K100" s="48">
        <f>'[10]Rev_SP-12me'!AT110</f>
        <v>0</v>
      </c>
      <c r="L100" s="48">
        <f>'[10]Rev_SP-12me'!AU110</f>
        <v>0.132249098158426</v>
      </c>
      <c r="M100" s="48">
        <f>'[10]Rev_SP-12me'!AW110</f>
        <v>0</v>
      </c>
      <c r="N100" s="8"/>
      <c r="O100" s="79">
        <f t="shared" si="2"/>
        <v>0.132249098158426</v>
      </c>
    </row>
    <row r="101" spans="2:15">
      <c r="B101" s="74" t="s">
        <v>1119</v>
      </c>
      <c r="C101" s="55"/>
      <c r="D101" s="53">
        <f>'[10]Rev_SP-12me'!AJ111</f>
        <v>0</v>
      </c>
      <c r="E101" s="53">
        <f>'[10]Rev_SP-12me'!AL111</f>
        <v>0</v>
      </c>
      <c r="F101" s="53">
        <f>'[10]Rev_SP-12me'!AQ111</f>
        <v>0.148723242786164</v>
      </c>
      <c r="G101" s="94">
        <f>'[10]Rev_SP-12me'!O111</f>
        <v>260</v>
      </c>
      <c r="H101" s="91">
        <f>'[10]Rev_SP-12me'!P111</f>
        <v>5</v>
      </c>
      <c r="I101" s="94">
        <f>'[10]Rev_SP-12me'!AA111</f>
        <v>2000</v>
      </c>
      <c r="J101" s="8"/>
      <c r="K101" s="53">
        <f>'[10]Rev_SP-12me'!AT111</f>
        <v>0</v>
      </c>
      <c r="L101" s="53">
        <f>'[10]Rev_SP-12me'!AU111</f>
        <v>0.0743616213930819</v>
      </c>
      <c r="M101" s="53">
        <f>'[10]Rev_SP-12me'!AW111</f>
        <v>0</v>
      </c>
      <c r="N101" s="8"/>
      <c r="O101" s="79">
        <f t="shared" si="2"/>
        <v>0.0743616213930819</v>
      </c>
    </row>
    <row r="102" spans="2:15">
      <c r="B102" s="74" t="s">
        <v>1120</v>
      </c>
      <c r="C102" s="55"/>
      <c r="D102" s="53">
        <f>'[10]Rev_SP-12me'!AJ112</f>
        <v>0</v>
      </c>
      <c r="E102" s="53">
        <f>'[10]Rev_SP-12me'!AL112</f>
        <v>0</v>
      </c>
      <c r="F102" s="53">
        <f>'[10]Rev_SP-12me'!AQ112</f>
        <v>0.0294488677389703</v>
      </c>
      <c r="G102" s="94">
        <f>'[10]Rev_SP-12me'!O112</f>
        <v>0</v>
      </c>
      <c r="H102" s="91">
        <f>'[10]Rev_SP-12me'!P112</f>
        <v>6</v>
      </c>
      <c r="I102" s="94">
        <f>'[10]Rev_SP-12me'!AA112</f>
        <v>2000</v>
      </c>
      <c r="J102" s="8"/>
      <c r="K102" s="53">
        <f>'[10]Rev_SP-12me'!AT112</f>
        <v>0</v>
      </c>
      <c r="L102" s="53">
        <f>'[10]Rev_SP-12me'!AU112</f>
        <v>0.0176693206433822</v>
      </c>
      <c r="M102" s="53">
        <f>'[10]Rev_SP-12me'!AW112</f>
        <v>0</v>
      </c>
      <c r="N102" s="8"/>
      <c r="O102" s="79">
        <f t="shared" si="2"/>
        <v>0.0176693206433822</v>
      </c>
    </row>
    <row r="103" spans="2:15">
      <c r="B103" s="74" t="s">
        <v>1121</v>
      </c>
      <c r="C103" s="55"/>
      <c r="D103" s="53">
        <f>'[10]Rev_SP-12me'!AJ113</f>
        <v>0</v>
      </c>
      <c r="E103" s="53">
        <f>'[10]Rev_SP-12me'!AL113</f>
        <v>0</v>
      </c>
      <c r="F103" s="53">
        <f>'[10]Rev_SP-12me'!AQ113</f>
        <v>0.029077512967143</v>
      </c>
      <c r="G103" s="94">
        <f>'[10]Rev_SP-12me'!O113</f>
        <v>0</v>
      </c>
      <c r="H103" s="91">
        <f>'[10]Rev_SP-12me'!P113</f>
        <v>6</v>
      </c>
      <c r="I103" s="94">
        <f>'[10]Rev_SP-12me'!AA113</f>
        <v>2000</v>
      </c>
      <c r="J103" s="8"/>
      <c r="K103" s="53">
        <f>'[10]Rev_SP-12me'!AT113</f>
        <v>0</v>
      </c>
      <c r="L103" s="53">
        <f>'[10]Rev_SP-12me'!AU113</f>
        <v>0.0174465077802858</v>
      </c>
      <c r="M103" s="53">
        <f>'[10]Rev_SP-12me'!AW113</f>
        <v>0</v>
      </c>
      <c r="N103" s="8"/>
      <c r="O103" s="79">
        <f t="shared" si="2"/>
        <v>0.0174465077802858</v>
      </c>
    </row>
    <row r="104" spans="2:15">
      <c r="B104" s="74" t="s">
        <v>1122</v>
      </c>
      <c r="C104" s="55"/>
      <c r="D104" s="53">
        <f>'[10]Rev_SP-12me'!AJ114</f>
        <v>0</v>
      </c>
      <c r="E104" s="53">
        <f>'[10]Rev_SP-12me'!AL114</f>
        <v>0</v>
      </c>
      <c r="F104" s="53">
        <f>'[10]Rev_SP-12me'!AQ114</f>
        <v>0.0569291208541895</v>
      </c>
      <c r="G104" s="94">
        <f>'[10]Rev_SP-12me'!O114</f>
        <v>0</v>
      </c>
      <c r="H104" s="91">
        <f>'[10]Rev_SP-12me'!P114</f>
        <v>4</v>
      </c>
      <c r="I104" s="94">
        <f>'[10]Rev_SP-12me'!AA114</f>
        <v>2000</v>
      </c>
      <c r="J104" s="8"/>
      <c r="K104" s="53">
        <f>'[10]Rev_SP-12me'!AT114</f>
        <v>0</v>
      </c>
      <c r="L104" s="53">
        <f>'[10]Rev_SP-12me'!AU114</f>
        <v>0.0227716483416758</v>
      </c>
      <c r="M104" s="53">
        <f>'[10]Rev_SP-12me'!AW114</f>
        <v>0</v>
      </c>
      <c r="N104" s="8"/>
      <c r="O104" s="79">
        <f t="shared" si="2"/>
        <v>0.0227716483416758</v>
      </c>
    </row>
    <row r="105" ht="15" spans="2:15">
      <c r="B105" s="71" t="s">
        <v>1126</v>
      </c>
      <c r="C105" s="55"/>
      <c r="D105" s="48">
        <f>'[10]Rev_SP-12me'!AJ115</f>
        <v>11.9166666666667</v>
      </c>
      <c r="E105" s="48">
        <f>'[10]Rev_SP-12me'!AL115</f>
        <v>1.40321141837645</v>
      </c>
      <c r="F105" s="48">
        <f>'[10]Rev_SP-12me'!AQ115</f>
        <v>5.27</v>
      </c>
      <c r="G105" s="68">
        <f>'[10]Rev_SP-12me'!O115</f>
        <v>0</v>
      </c>
      <c r="H105" s="69">
        <f>'[10]Rev_SP-12me'!P115</f>
        <v>0</v>
      </c>
      <c r="I105" s="68">
        <f>'[10]Rev_SP-12me'!AA115</f>
        <v>0</v>
      </c>
      <c r="J105" s="8"/>
      <c r="K105" s="48">
        <f>'[10]Rev_SP-12me'!AT115</f>
        <v>0.639864406779661</v>
      </c>
      <c r="L105" s="48">
        <f>'[10]Rev_SP-12me'!AU115</f>
        <v>3.97531840363979</v>
      </c>
      <c r="M105" s="48">
        <f>'[10]Rev_SP-12me'!AW115</f>
        <v>0.0280374461277258</v>
      </c>
      <c r="N105" s="8"/>
      <c r="O105" s="79">
        <f t="shared" si="2"/>
        <v>4.64322025654718</v>
      </c>
    </row>
    <row r="106" spans="2:15">
      <c r="B106" s="74" t="s">
        <v>1119</v>
      </c>
      <c r="C106" s="55"/>
      <c r="D106" s="53">
        <f>'[10]Rev_SP-12me'!AJ116</f>
        <v>11.9166666666667</v>
      </c>
      <c r="E106" s="53">
        <f>'[10]Rev_SP-12me'!AL116</f>
        <v>1.40321141837645</v>
      </c>
      <c r="F106" s="53">
        <f>'[10]Rev_SP-12me'!AQ116</f>
        <v>1.42423027803581</v>
      </c>
      <c r="G106" s="94">
        <f>'[10]Rev_SP-12me'!O116</f>
        <v>475</v>
      </c>
      <c r="H106" s="91">
        <f>'[10]Rev_SP-12me'!P116</f>
        <v>8.5</v>
      </c>
      <c r="I106" s="94">
        <f>'[10]Rev_SP-12me'!AA116</f>
        <v>2000</v>
      </c>
      <c r="J106" s="8"/>
      <c r="K106" s="53">
        <f>'[10]Rev_SP-12me'!AT116</f>
        <v>0.639864406779661</v>
      </c>
      <c r="L106" s="53">
        <f>'[10]Rev_SP-12me'!AU116</f>
        <v>1.21059573633044</v>
      </c>
      <c r="M106" s="53">
        <f>'[10]Rev_SP-12me'!AW116</f>
        <v>0.0280374461277258</v>
      </c>
      <c r="N106" s="8"/>
      <c r="O106" s="79">
        <f t="shared" ref="O106:O124" si="3">SUM(K106:N106)</f>
        <v>1.87849758923783</v>
      </c>
    </row>
    <row r="107" spans="2:15">
      <c r="B107" s="74" t="s">
        <v>1120</v>
      </c>
      <c r="C107" s="55"/>
      <c r="D107" s="53">
        <f>'[10]Rev_SP-12me'!AJ117</f>
        <v>0</v>
      </c>
      <c r="E107" s="53">
        <f>'[10]Rev_SP-12me'!AL117</f>
        <v>0</v>
      </c>
      <c r="F107" s="53">
        <f>'[10]Rev_SP-12me'!AQ117</f>
        <v>1.19485043038249</v>
      </c>
      <c r="G107" s="94">
        <f>'[10]Rev_SP-12me'!O117</f>
        <v>0</v>
      </c>
      <c r="H107" s="91">
        <f>'[10]Rev_SP-12me'!P117</f>
        <v>9.5</v>
      </c>
      <c r="I107" s="94">
        <f>'[10]Rev_SP-12me'!AA117</f>
        <v>2000</v>
      </c>
      <c r="J107" s="8"/>
      <c r="K107" s="53">
        <f>'[10]Rev_SP-12me'!AT117</f>
        <v>0</v>
      </c>
      <c r="L107" s="53">
        <f>'[10]Rev_SP-12me'!AU117</f>
        <v>1.13510790886337</v>
      </c>
      <c r="M107" s="53">
        <f>'[10]Rev_SP-12me'!AW117</f>
        <v>0</v>
      </c>
      <c r="N107" s="8"/>
      <c r="O107" s="79">
        <f t="shared" si="3"/>
        <v>1.13510790886337</v>
      </c>
    </row>
    <row r="108" spans="2:15">
      <c r="B108" s="74" t="s">
        <v>1121</v>
      </c>
      <c r="C108" s="55"/>
      <c r="D108" s="53">
        <f>'[10]Rev_SP-12me'!AJ118</f>
        <v>0</v>
      </c>
      <c r="E108" s="53">
        <f>'[10]Rev_SP-12me'!AL118</f>
        <v>0</v>
      </c>
      <c r="F108" s="53">
        <f>'[10]Rev_SP-12me'!AQ118</f>
        <v>0.626778549019815</v>
      </c>
      <c r="G108" s="94">
        <f>'[10]Rev_SP-12me'!O118</f>
        <v>0</v>
      </c>
      <c r="H108" s="91">
        <f>'[10]Rev_SP-12me'!P118</f>
        <v>9.5</v>
      </c>
      <c r="I108" s="94">
        <f>'[10]Rev_SP-12me'!AA118</f>
        <v>2000</v>
      </c>
      <c r="J108" s="8"/>
      <c r="K108" s="53">
        <f>'[10]Rev_SP-12me'!AT118</f>
        <v>0</v>
      </c>
      <c r="L108" s="53">
        <f>'[10]Rev_SP-12me'!AU118</f>
        <v>1.07258483970737</v>
      </c>
      <c r="M108" s="53">
        <f>'[10]Rev_SP-12me'!AW118</f>
        <v>0</v>
      </c>
      <c r="N108" s="8"/>
      <c r="O108" s="79">
        <f t="shared" si="3"/>
        <v>1.07258483970737</v>
      </c>
    </row>
    <row r="109" spans="2:15">
      <c r="B109" s="74" t="s">
        <v>1122</v>
      </c>
      <c r="C109" s="55"/>
      <c r="D109" s="53">
        <f>'[10]Rev_SP-12me'!AJ119</f>
        <v>0</v>
      </c>
      <c r="E109" s="53">
        <f>'[10]Rev_SP-12me'!AL119</f>
        <v>0</v>
      </c>
      <c r="F109" s="53">
        <f>'[10]Rev_SP-12me'!AQ119</f>
        <v>2.02414074256188</v>
      </c>
      <c r="G109" s="94">
        <f>'[10]Rev_SP-12me'!O119</f>
        <v>0</v>
      </c>
      <c r="H109" s="91">
        <f>'[10]Rev_SP-12me'!P119</f>
        <v>7.5</v>
      </c>
      <c r="I109" s="94">
        <f>'[10]Rev_SP-12me'!AA119</f>
        <v>2000</v>
      </c>
      <c r="J109" s="8"/>
      <c r="K109" s="53">
        <f>'[10]Rev_SP-12me'!AT119</f>
        <v>0</v>
      </c>
      <c r="L109" s="53">
        <f>'[10]Rev_SP-12me'!AU119</f>
        <v>0.557029918738616</v>
      </c>
      <c r="M109" s="53">
        <f>'[10]Rev_SP-12me'!AW119</f>
        <v>0</v>
      </c>
      <c r="N109" s="8"/>
      <c r="O109" s="79">
        <f t="shared" si="3"/>
        <v>0.557029918738616</v>
      </c>
    </row>
    <row r="110" ht="15" spans="2:15">
      <c r="B110" s="71" t="s">
        <v>1127</v>
      </c>
      <c r="C110" s="55"/>
      <c r="D110" s="48">
        <f>'[10]Rev_SP-12me'!AJ120</f>
        <v>134.722972972973</v>
      </c>
      <c r="E110" s="48">
        <f>'[10]Rev_SP-12me'!AL120</f>
        <v>51.510819358386</v>
      </c>
      <c r="F110" s="48">
        <f>'[10]Rev_SP-12me'!AQ120</f>
        <v>77.0475129545</v>
      </c>
      <c r="G110" s="68">
        <f>'[10]Rev_SP-12me'!O120</f>
        <v>0</v>
      </c>
      <c r="H110" s="69">
        <f>'[10]Rev_SP-12me'!P120</f>
        <v>0</v>
      </c>
      <c r="I110" s="68">
        <f>'[10]Rev_SP-12me'!AA120</f>
        <v>0</v>
      </c>
      <c r="J110" s="8"/>
      <c r="K110" s="48">
        <f>'[10]Rev_SP-12me'!AT120</f>
        <v>8.14514831104479</v>
      </c>
      <c r="L110" s="48">
        <f>'[10]Rev_SP-12me'!AU120</f>
        <v>48.539933161335</v>
      </c>
      <c r="M110" s="48">
        <f>'[10]Rev_SP-12me'!AW120</f>
        <v>0.320295660854646</v>
      </c>
      <c r="N110" s="8"/>
      <c r="O110" s="79">
        <f t="shared" si="3"/>
        <v>57.0053771332344</v>
      </c>
    </row>
    <row r="111" spans="2:15">
      <c r="B111" s="74" t="s">
        <v>1128</v>
      </c>
      <c r="C111" s="55"/>
      <c r="D111" s="53">
        <f>'[10]Rev_SP-12me'!AJ121</f>
        <v>134.722972972973</v>
      </c>
      <c r="E111" s="53">
        <f>'[10]Rev_SP-12me'!AL121</f>
        <v>51.510819358386</v>
      </c>
      <c r="F111" s="53">
        <f>'[10]Rev_SP-12me'!AQ121</f>
        <v>77.0475129545</v>
      </c>
      <c r="G111" s="94">
        <f>'[10]Rev_SP-12me'!O121</f>
        <v>275</v>
      </c>
      <c r="H111" s="91">
        <f>'[10]Rev_SP-12me'!P121</f>
        <v>6.3</v>
      </c>
      <c r="I111" s="94">
        <f>'[10]Rev_SP-12me'!AA121</f>
        <v>2000</v>
      </c>
      <c r="J111" s="8"/>
      <c r="K111" s="53">
        <f>'[10]Rev_SP-12me'!AT121</f>
        <v>8.14514831104479</v>
      </c>
      <c r="L111" s="53">
        <f>'[10]Rev_SP-12me'!AU121</f>
        <v>48.539933161335</v>
      </c>
      <c r="M111" s="53">
        <f>'[10]Rev_SP-12me'!AW121</f>
        <v>0.320295660854646</v>
      </c>
      <c r="N111" s="8"/>
      <c r="O111" s="79">
        <f t="shared" si="3"/>
        <v>57.0053771332344</v>
      </c>
    </row>
    <row r="112" ht="15" spans="2:15">
      <c r="B112" s="71" t="s">
        <v>1129</v>
      </c>
      <c r="C112" s="55"/>
      <c r="D112" s="48">
        <f>'[10]Rev_SP-12me'!AJ132</f>
        <v>123</v>
      </c>
      <c r="E112" s="48">
        <f>'[10]Rev_SP-12me'!AL132</f>
        <v>40.3104272844545</v>
      </c>
      <c r="F112" s="48">
        <f>'[10]Rev_SP-12me'!AQ132</f>
        <v>146.4724870455</v>
      </c>
      <c r="G112" s="68">
        <f>'[10]Rev_SP-12me'!O132</f>
        <v>0</v>
      </c>
      <c r="H112" s="69">
        <f>'[10]Rev_SP-12me'!P132</f>
        <v>0</v>
      </c>
      <c r="I112" s="68">
        <f>'[10]Rev_SP-12me'!AA132</f>
        <v>0</v>
      </c>
      <c r="J112" s="8"/>
      <c r="K112" s="48">
        <f>'[10]Rev_SP-12me'!AT132</f>
        <v>0</v>
      </c>
      <c r="L112" s="48">
        <f>'[10]Rev_SP-12me'!AU132</f>
        <v>89.348217097755</v>
      </c>
      <c r="M112" s="48">
        <f>'[10]Rev_SP-12me'!AW132</f>
        <v>0.29242500678058</v>
      </c>
      <c r="N112" s="8"/>
      <c r="O112" s="79">
        <f t="shared" si="3"/>
        <v>89.6406421045356</v>
      </c>
    </row>
    <row r="113" spans="2:15">
      <c r="B113" s="74" t="s">
        <v>220</v>
      </c>
      <c r="C113" s="55"/>
      <c r="D113" s="53">
        <f>'[10]Rev_SP-12me'!AJ133</f>
        <v>123</v>
      </c>
      <c r="E113" s="53">
        <f>'[10]Rev_SP-12me'!AL133</f>
        <v>40.3104272844545</v>
      </c>
      <c r="F113" s="53">
        <f>'[10]Rev_SP-12me'!AQ133</f>
        <v>146.4724870455</v>
      </c>
      <c r="G113" s="94">
        <f>'[10]Rev_SP-12me'!O133</f>
        <v>0</v>
      </c>
      <c r="H113" s="91">
        <f>'[10]Rev_SP-12me'!P133</f>
        <v>6.1</v>
      </c>
      <c r="I113" s="94">
        <f>'[10]Rev_SP-12me'!AA133</f>
        <v>2000</v>
      </c>
      <c r="J113" s="8"/>
      <c r="K113" s="53">
        <f>'[10]Rev_SP-12me'!AT133</f>
        <v>0</v>
      </c>
      <c r="L113" s="53">
        <f>'[10]Rev_SP-12me'!AU133</f>
        <v>89.348217097755</v>
      </c>
      <c r="M113" s="53">
        <f>'[10]Rev_SP-12me'!AW133</f>
        <v>0.29242500678058</v>
      </c>
      <c r="N113" s="8"/>
      <c r="O113" s="79">
        <f t="shared" si="3"/>
        <v>89.6406421045356</v>
      </c>
    </row>
    <row r="114" spans="2:15">
      <c r="B114" s="74" t="s">
        <v>1130</v>
      </c>
      <c r="C114" s="55"/>
      <c r="D114" s="53">
        <f>'[10]Rev_SP-12me'!AJ134</f>
        <v>0</v>
      </c>
      <c r="E114" s="53">
        <f>'[10]Rev_SP-12me'!AL134</f>
        <v>0</v>
      </c>
      <c r="F114" s="53">
        <f>'[10]Rev_SP-12me'!AQ134</f>
        <v>0</v>
      </c>
      <c r="G114" s="94">
        <f>'[10]Rev_SP-12me'!O134</f>
        <v>0</v>
      </c>
      <c r="H114" s="91">
        <f>'[10]Rev_SP-12me'!P134</f>
        <v>0</v>
      </c>
      <c r="I114" s="94">
        <f>'[10]Rev_SP-12me'!AA134</f>
        <v>2000</v>
      </c>
      <c r="J114" s="8"/>
      <c r="K114" s="53">
        <f>'[10]Rev_SP-12me'!AT134</f>
        <v>0</v>
      </c>
      <c r="L114" s="53">
        <f>'[10]Rev_SP-12me'!AU134</f>
        <v>0</v>
      </c>
      <c r="M114" s="53">
        <f>'[10]Rev_SP-12me'!AW134</f>
        <v>0</v>
      </c>
      <c r="N114" s="8"/>
      <c r="O114" s="79">
        <f t="shared" si="3"/>
        <v>0</v>
      </c>
    </row>
    <row r="115" ht="15" spans="2:15">
      <c r="B115" s="71" t="s">
        <v>1131</v>
      </c>
      <c r="C115" s="55"/>
      <c r="D115" s="48">
        <f>'[10]Rev_SP-12me'!AJ122</f>
        <v>0</v>
      </c>
      <c r="E115" s="48">
        <f>'[10]Rev_SP-12me'!AL122</f>
        <v>0</v>
      </c>
      <c r="F115" s="48">
        <f>'[10]Rev_SP-12me'!AQ122</f>
        <v>0</v>
      </c>
      <c r="G115" s="68">
        <f>'[10]Rev_SP-12me'!O122</f>
        <v>0</v>
      </c>
      <c r="H115" s="69">
        <f>'[10]Rev_SP-12me'!P122</f>
        <v>0</v>
      </c>
      <c r="I115" s="68">
        <f>'[10]Rev_SP-12me'!AA122</f>
        <v>0</v>
      </c>
      <c r="J115" s="8"/>
      <c r="K115" s="48">
        <f>'[10]Rev_SP-12me'!AT122</f>
        <v>0</v>
      </c>
      <c r="L115" s="48">
        <f>'[10]Rev_SP-12me'!AU122</f>
        <v>0</v>
      </c>
      <c r="M115" s="48">
        <f>'[10]Rev_SP-12me'!AW122</f>
        <v>0</v>
      </c>
      <c r="N115" s="8"/>
      <c r="O115" s="79">
        <f t="shared" si="3"/>
        <v>0</v>
      </c>
    </row>
    <row r="116" ht="15" spans="2:15">
      <c r="B116" s="71" t="s">
        <v>1132</v>
      </c>
      <c r="C116" s="55"/>
      <c r="D116" s="48">
        <f>'[10]Rev_SP-12me'!AJ123</f>
        <v>0</v>
      </c>
      <c r="E116" s="48">
        <f>'[10]Rev_SP-12me'!AL123</f>
        <v>0</v>
      </c>
      <c r="F116" s="48">
        <f>'[10]Rev_SP-12me'!AQ123</f>
        <v>0</v>
      </c>
      <c r="G116" s="68">
        <f>'[10]Rev_SP-12me'!O123</f>
        <v>0</v>
      </c>
      <c r="H116" s="69">
        <f>'[10]Rev_SP-12me'!P123</f>
        <v>0</v>
      </c>
      <c r="I116" s="68">
        <f>'[10]Rev_SP-12me'!AA123</f>
        <v>0</v>
      </c>
      <c r="J116" s="8"/>
      <c r="K116" s="48">
        <f>'[10]Rev_SP-12me'!AT123</f>
        <v>0</v>
      </c>
      <c r="L116" s="48">
        <f>'[10]Rev_SP-12me'!AU123</f>
        <v>0</v>
      </c>
      <c r="M116" s="48">
        <f>'[10]Rev_SP-12me'!AW123</f>
        <v>0</v>
      </c>
      <c r="N116" s="8"/>
      <c r="O116" s="79">
        <f t="shared" si="3"/>
        <v>0</v>
      </c>
    </row>
    <row r="117" ht="15" spans="2:15">
      <c r="B117" s="71" t="s">
        <v>919</v>
      </c>
      <c r="C117" s="55"/>
      <c r="D117" s="48">
        <f>'[10]Rev_SP-12me'!AJ124</f>
        <v>230.093023255814</v>
      </c>
      <c r="E117" s="48">
        <f>'[10]Rev_SP-12me'!AL124</f>
        <v>98.017351997667</v>
      </c>
      <c r="F117" s="48">
        <f>'[10]Rev_SP-12me'!AQ124</f>
        <v>222.64</v>
      </c>
      <c r="G117" s="68">
        <f>'[10]Rev_SP-12me'!O124</f>
        <v>260</v>
      </c>
      <c r="H117" s="69">
        <f>'[10]Rev_SP-12me'!P124</f>
        <v>7.3</v>
      </c>
      <c r="I117" s="68">
        <f>'[10]Rev_SP-12me'!AA124</f>
        <v>2000</v>
      </c>
      <c r="J117" s="8"/>
      <c r="K117" s="48">
        <f>'[10]Rev_SP-12me'!AT124</f>
        <v>24.4651310586177</v>
      </c>
      <c r="L117" s="48">
        <f>'[10]Rev_SP-12me'!AU124</f>
        <v>162.5272</v>
      </c>
      <c r="M117" s="48">
        <f>'[10]Rev_SP-12me'!AW124</f>
        <v>0.5301892080099</v>
      </c>
      <c r="N117" s="8"/>
      <c r="O117" s="79">
        <f t="shared" si="3"/>
        <v>187.522520266628</v>
      </c>
    </row>
    <row r="118" ht="15" spans="2:15">
      <c r="B118" s="71" t="s">
        <v>1133</v>
      </c>
      <c r="C118" s="55"/>
      <c r="D118" s="48">
        <f>'[10]Rev_SP-12me'!AJ125</f>
        <v>533.186991869919</v>
      </c>
      <c r="E118" s="48">
        <f>'[10]Rev_SP-12me'!AL125</f>
        <v>114.091646539519</v>
      </c>
      <c r="F118" s="48">
        <f>'[10]Rev_SP-12me'!AQ125</f>
        <v>169.72</v>
      </c>
      <c r="G118" s="68">
        <f>'[10]Rev_SP-12me'!O125</f>
        <v>500</v>
      </c>
      <c r="H118" s="69">
        <f>'[10]Rev_SP-12me'!P125</f>
        <v>11.8</v>
      </c>
      <c r="I118" s="68">
        <f>'[10]Rev_SP-12me'!AA125</f>
        <v>2000</v>
      </c>
      <c r="J118" s="8"/>
      <c r="K118" s="48">
        <f>'[10]Rev_SP-12me'!AT125</f>
        <v>54.763990338969</v>
      </c>
      <c r="L118" s="48">
        <f>'[10]Rev_SP-12me'!AU125</f>
        <v>200.2696</v>
      </c>
      <c r="M118" s="48">
        <f>'[10]Rev_SP-12me'!AW125</f>
        <v>1.24918095238095</v>
      </c>
      <c r="N118" s="8"/>
      <c r="O118" s="79">
        <f t="shared" si="3"/>
        <v>256.28277129135</v>
      </c>
    </row>
    <row r="119" ht="15" spans="2:15">
      <c r="B119" s="71" t="s">
        <v>1134</v>
      </c>
      <c r="C119" s="55"/>
      <c r="D119" s="48">
        <f>'[10]Rev_SP-12me'!AJ126</f>
        <v>0</v>
      </c>
      <c r="E119" s="48">
        <f>'[10]Rev_SP-12me'!AL126</f>
        <v>0</v>
      </c>
      <c r="F119" s="48">
        <f>'[10]Rev_SP-12me'!AQ126</f>
        <v>0</v>
      </c>
      <c r="G119" s="68">
        <f>'[10]Rev_SP-12me'!O126</f>
        <v>0</v>
      </c>
      <c r="H119" s="69">
        <f>'[10]Rev_SP-12me'!P126</f>
        <v>4.84</v>
      </c>
      <c r="I119" s="68">
        <f>'[10]Rev_SP-12me'!AA126</f>
        <v>2000</v>
      </c>
      <c r="J119" s="8"/>
      <c r="K119" s="48">
        <f>'[10]Rev_SP-12me'!AT126</f>
        <v>0</v>
      </c>
      <c r="L119" s="48">
        <f>'[10]Rev_SP-12me'!AU126</f>
        <v>0</v>
      </c>
      <c r="M119" s="48">
        <f>'[10]Rev_SP-12me'!AW126</f>
        <v>0</v>
      </c>
      <c r="N119" s="8"/>
      <c r="O119" s="79">
        <f t="shared" si="3"/>
        <v>0</v>
      </c>
    </row>
    <row r="120" ht="15" spans="2:15">
      <c r="B120" s="71" t="s">
        <v>1135</v>
      </c>
      <c r="C120" s="55"/>
      <c r="D120" s="48">
        <f>'[10]Rev_SP-12me'!AJ127</f>
        <v>3</v>
      </c>
      <c r="E120" s="48">
        <f>'[10]Rev_SP-12me'!AL127</f>
        <v>3</v>
      </c>
      <c r="F120" s="48">
        <f>'[10]Rev_SP-12me'!AQ127</f>
        <v>6.71</v>
      </c>
      <c r="G120" s="68">
        <f>'[10]Rev_SP-12me'!O127</f>
        <v>100</v>
      </c>
      <c r="H120" s="69">
        <f>'[10]Rev_SP-12me'!P127</f>
        <v>6</v>
      </c>
      <c r="I120" s="68">
        <f>'[10]Rev_SP-12me'!AA127</f>
        <v>2000</v>
      </c>
      <c r="J120" s="8"/>
      <c r="K120" s="48">
        <f>'[10]Rev_SP-12me'!AT127</f>
        <v>0.288</v>
      </c>
      <c r="L120" s="48">
        <f>'[10]Rev_SP-12me'!AU127</f>
        <v>4.026</v>
      </c>
      <c r="M120" s="48">
        <f>'[10]Rev_SP-12me'!AW127</f>
        <v>0.0970285714285714</v>
      </c>
      <c r="N120" s="8"/>
      <c r="O120" s="79">
        <f t="shared" si="3"/>
        <v>4.41102857142857</v>
      </c>
    </row>
    <row r="121" spans="2:15">
      <c r="B121" s="76" t="s">
        <v>1119</v>
      </c>
      <c r="C121" s="55"/>
      <c r="D121" s="53">
        <f>'[10]Rev_SP-12me'!AJ128</f>
        <v>3</v>
      </c>
      <c r="E121" s="53">
        <f>'[10]Rev_SP-12me'!AL128</f>
        <v>3</v>
      </c>
      <c r="F121" s="53">
        <f>'[10]Rev_SP-12me'!AQ128</f>
        <v>6.71</v>
      </c>
      <c r="G121" s="94">
        <f>'[10]Rev_SP-12me'!O128</f>
        <v>100</v>
      </c>
      <c r="H121" s="91">
        <f>'[10]Rev_SP-12me'!P128</f>
        <v>6</v>
      </c>
      <c r="I121" s="94">
        <f>'[10]Rev_SP-12me'!AA128</f>
        <v>2000</v>
      </c>
      <c r="J121" s="8"/>
      <c r="K121" s="53">
        <f>'[10]Rev_SP-12me'!AT128</f>
        <v>0.288</v>
      </c>
      <c r="L121" s="53">
        <f>'[10]Rev_SP-12me'!AU128</f>
        <v>4.026</v>
      </c>
      <c r="M121" s="53">
        <f>'[10]Rev_SP-12me'!AW128</f>
        <v>0.00702857142857143</v>
      </c>
      <c r="N121" s="8"/>
      <c r="O121" s="79">
        <f t="shared" si="3"/>
        <v>4.32102857142857</v>
      </c>
    </row>
    <row r="122" spans="2:15">
      <c r="B122" s="76" t="s">
        <v>1120</v>
      </c>
      <c r="C122" s="55"/>
      <c r="D122" s="53">
        <f>'[10]Rev_SP-12me'!AJ129</f>
        <v>0</v>
      </c>
      <c r="E122" s="53">
        <f>'[10]Rev_SP-12me'!AL129</f>
        <v>0</v>
      </c>
      <c r="F122" s="53">
        <f>'[10]Rev_SP-12me'!AQ129</f>
        <v>0</v>
      </c>
      <c r="G122" s="94">
        <f>'[10]Rev_SP-12me'!O129</f>
        <v>0</v>
      </c>
      <c r="H122" s="91">
        <f>'[10]Rev_SP-12me'!P129</f>
        <v>7</v>
      </c>
      <c r="I122" s="94">
        <f>'[10]Rev_SP-12me'!AA129</f>
        <v>2000</v>
      </c>
      <c r="J122" s="8"/>
      <c r="K122" s="53">
        <f>'[10]Rev_SP-12me'!AT129</f>
        <v>0</v>
      </c>
      <c r="L122" s="53">
        <f>'[10]Rev_SP-12me'!AU129</f>
        <v>0</v>
      </c>
      <c r="M122" s="53">
        <f>'[10]Rev_SP-12me'!AW129</f>
        <v>0.03</v>
      </c>
      <c r="N122" s="8"/>
      <c r="O122" s="79">
        <f t="shared" si="3"/>
        <v>0.03</v>
      </c>
    </row>
    <row r="123" spans="2:15">
      <c r="B123" s="76" t="s">
        <v>1121</v>
      </c>
      <c r="C123" s="55"/>
      <c r="D123" s="53">
        <f>'[10]Rev_SP-12me'!AJ130</f>
        <v>0</v>
      </c>
      <c r="E123" s="53">
        <f>'[10]Rev_SP-12me'!AL130</f>
        <v>0</v>
      </c>
      <c r="F123" s="53">
        <f>'[10]Rev_SP-12me'!AQ130</f>
        <v>0</v>
      </c>
      <c r="G123" s="94">
        <f>'[10]Rev_SP-12me'!O130</f>
        <v>0</v>
      </c>
      <c r="H123" s="91">
        <f>'[10]Rev_SP-12me'!P130</f>
        <v>7</v>
      </c>
      <c r="I123" s="94">
        <f>'[10]Rev_SP-12me'!AA130</f>
        <v>2000</v>
      </c>
      <c r="J123" s="8"/>
      <c r="K123" s="53">
        <f>'[10]Rev_SP-12me'!AT130</f>
        <v>0</v>
      </c>
      <c r="L123" s="53">
        <f>'[10]Rev_SP-12me'!AU130</f>
        <v>0</v>
      </c>
      <c r="M123" s="53">
        <f>'[10]Rev_SP-12me'!AW130</f>
        <v>0.03</v>
      </c>
      <c r="N123" s="8"/>
      <c r="O123" s="79">
        <f t="shared" si="3"/>
        <v>0.03</v>
      </c>
    </row>
    <row r="124" spans="2:15">
      <c r="B124" s="76" t="s">
        <v>1122</v>
      </c>
      <c r="C124" s="55"/>
      <c r="D124" s="53">
        <f>'[10]Rev_SP-12me'!AJ131</f>
        <v>0</v>
      </c>
      <c r="E124" s="53">
        <f>'[10]Rev_SP-12me'!AL131</f>
        <v>0</v>
      </c>
      <c r="F124" s="53">
        <f>'[10]Rev_SP-12me'!AQ131</f>
        <v>0</v>
      </c>
      <c r="G124" s="94">
        <f>'[10]Rev_SP-12me'!O131</f>
        <v>0</v>
      </c>
      <c r="H124" s="91">
        <f>'[10]Rev_SP-12me'!P131</f>
        <v>5</v>
      </c>
      <c r="I124" s="94">
        <f>'[10]Rev_SP-12me'!AA131</f>
        <v>2000</v>
      </c>
      <c r="J124" s="8"/>
      <c r="K124" s="53">
        <f>'[10]Rev_SP-12me'!AT131</f>
        <v>0</v>
      </c>
      <c r="L124" s="53">
        <f>'[10]Rev_SP-12me'!AU131</f>
        <v>0</v>
      </c>
      <c r="M124" s="53">
        <f>'[10]Rev_SP-12me'!AW131</f>
        <v>0.03</v>
      </c>
      <c r="N124" s="8"/>
      <c r="O124" s="79">
        <f t="shared" si="3"/>
        <v>0.03</v>
      </c>
    </row>
    <row r="125" ht="15" spans="2:15">
      <c r="B125" s="77" t="s">
        <v>1136</v>
      </c>
      <c r="C125" s="55"/>
      <c r="D125" s="78">
        <f>SUM(D74,D89,D94,D95,D100,D105,D110,D112,D115,D116,D117,D118,D119,D120)</f>
        <v>11988.5514639897</v>
      </c>
      <c r="E125" s="78">
        <f>SUM(E74,E89,E94,E95,E100,E105,E110,E112,E115,E116,E117,E118,E119,E120)</f>
        <v>3545.13928094675</v>
      </c>
      <c r="F125" s="78">
        <f>SUM(F74,F89,F94,F95,F100,F105,F110,F112,F115,F116,F117,F118,F119,F120)</f>
        <v>7453.91022071541</v>
      </c>
      <c r="G125" s="95"/>
      <c r="H125" s="95"/>
      <c r="I125" s="95"/>
      <c r="J125" s="95"/>
      <c r="K125" s="78">
        <f>SUM(K74,K89,K94,K95,K100,K105,K110,K112,K115,K116,K117,K118,K119,K120)</f>
        <v>1564.28559001826</v>
      </c>
      <c r="L125" s="78">
        <f>SUM(L74,L89,L94,L95,L100,L105,L110,L112,L115,L116,L117,L118,L119,L120)</f>
        <v>6040.27368544123</v>
      </c>
      <c r="M125" s="78">
        <f>SUM(M74,M89,M94,M95,M100,M105,M110,M112,M115,M116,M117,M118,M119,M120)</f>
        <v>28.1202502359211</v>
      </c>
      <c r="N125" s="78">
        <f>SUM(N74,N89,N94,N95,N100,N105,N110,N112,N115,N116,N117,N118,N119,N120)</f>
        <v>0</v>
      </c>
      <c r="O125" s="80">
        <f>SUM(O74,O89,O94,O95,O100,O105,O110,O112,O115,O116,O117,O118,O119,O120)</f>
        <v>7632.67952569541</v>
      </c>
    </row>
    <row r="126" spans="2:3">
      <c r="B126" s="55"/>
      <c r="C126" s="55"/>
    </row>
    <row r="127" spans="2:15">
      <c r="B127" s="71" t="s">
        <v>212</v>
      </c>
      <c r="C127" s="55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</row>
    <row r="128" ht="15" spans="2:15">
      <c r="B128" s="71" t="s">
        <v>1137</v>
      </c>
      <c r="C128" s="55"/>
      <c r="D128" s="48">
        <f>'[10]Rev_SP-12me'!AJ149</f>
        <v>424.296063513067</v>
      </c>
      <c r="E128" s="48">
        <f>'[10]Rev_SP-12me'!AL149</f>
        <v>1574.66954189788</v>
      </c>
      <c r="F128" s="48">
        <f>F129+F137</f>
        <v>6010.27891215849</v>
      </c>
      <c r="G128" s="68">
        <f>'[10]Rev_SP-12me'!O149</f>
        <v>0</v>
      </c>
      <c r="H128" s="69">
        <f>'[10]Rev_SP-12me'!P149</f>
        <v>0</v>
      </c>
      <c r="I128" s="68">
        <f>'[10]Rev_SP-12me'!AA149</f>
        <v>0</v>
      </c>
      <c r="J128" s="8"/>
      <c r="K128" s="48">
        <f>'[10]Rev_SP-12me'!AT149</f>
        <v>718.049311105433</v>
      </c>
      <c r="L128" s="48">
        <f>'[10]Rev_SP-12me'!AU149</f>
        <v>4307.23589877194</v>
      </c>
      <c r="M128" s="48">
        <f>'[10]Rev_SP-12me'!AW149</f>
        <v>1.75710405386135</v>
      </c>
      <c r="N128" s="8"/>
      <c r="O128" s="24">
        <f t="shared" ref="O128:O172" si="4">SUM(K128:N128)</f>
        <v>5027.04231393123</v>
      </c>
    </row>
    <row r="129" spans="2:15">
      <c r="B129" s="81" t="s">
        <v>1138</v>
      </c>
      <c r="C129" s="55"/>
      <c r="D129" s="51">
        <f>'[10]Rev_SP-12me'!AJ150</f>
        <v>419.932186569633</v>
      </c>
      <c r="E129" s="51">
        <f>'[10]Rev_SP-12me'!AL150</f>
        <v>1574.66954189788</v>
      </c>
      <c r="F129" s="51">
        <f>'[10]Rev_SP-12me'!AQ150</f>
        <v>5981.55826312116</v>
      </c>
      <c r="G129" s="79">
        <f>'[10]Rev_SP-12me'!O150</f>
        <v>0</v>
      </c>
      <c r="H129" s="60">
        <f>'[10]Rev_SP-12me'!P150</f>
        <v>0</v>
      </c>
      <c r="I129" s="79">
        <f>'[10]Rev_SP-12me'!AA150</f>
        <v>0</v>
      </c>
      <c r="J129" s="8"/>
      <c r="K129" s="51">
        <f>'[10]Rev_SP-12me'!AT150</f>
        <v>718.049311105433</v>
      </c>
      <c r="L129" s="51">
        <f>'[10]Rev_SP-12me'!AU150</f>
        <v>4286.78988040776</v>
      </c>
      <c r="M129" s="51">
        <f>'[10]Rev_SP-12me'!AW150</f>
        <v>1.75710405386135</v>
      </c>
      <c r="N129" s="8"/>
      <c r="O129" s="24">
        <f t="shared" si="4"/>
        <v>5006.59629556705</v>
      </c>
    </row>
    <row r="130" spans="2:15">
      <c r="B130" s="74" t="s">
        <v>1105</v>
      </c>
      <c r="C130" s="55"/>
      <c r="D130" s="53">
        <f>'[10]Rev_SP-12me'!AJ151</f>
        <v>418.932186569633</v>
      </c>
      <c r="E130" s="53">
        <f>'[10]Rev_SP-12me'!AL151</f>
        <v>1574.66954189788</v>
      </c>
      <c r="F130" s="53">
        <f>'[10]Rev_SP-12me'!AQ151</f>
        <v>2130.59613139861</v>
      </c>
      <c r="G130" s="79">
        <f>'[10]Rev_SP-12me'!O151</f>
        <v>475</v>
      </c>
      <c r="H130" s="60">
        <f>'[10]Rev_SP-12me'!P151</f>
        <v>7.15</v>
      </c>
      <c r="I130" s="79">
        <f>'[10]Rev_SP-12me'!AA151</f>
        <v>3500</v>
      </c>
      <c r="J130" s="8"/>
      <c r="K130" s="53">
        <f>'[10]Rev_SP-12me'!AT151</f>
        <v>718.049311105433</v>
      </c>
      <c r="L130" s="53">
        <f>'[10]Rev_SP-12me'!AU151</f>
        <v>1523.37623395</v>
      </c>
      <c r="M130" s="53">
        <f>'[10]Rev_SP-12me'!AW151</f>
        <v>1.75293980041808</v>
      </c>
      <c r="N130" s="8"/>
      <c r="O130" s="24">
        <f t="shared" si="4"/>
        <v>2243.17848485585</v>
      </c>
    </row>
    <row r="131" spans="2:15">
      <c r="B131" s="74" t="s">
        <v>1139</v>
      </c>
      <c r="C131" s="55"/>
      <c r="D131" s="53">
        <f>'[10]Rev_SP-12me'!AJ152</f>
        <v>0</v>
      </c>
      <c r="E131" s="53">
        <f>'[10]Rev_SP-12me'!AL152</f>
        <v>0</v>
      </c>
      <c r="F131" s="53">
        <f>'[10]Rev_SP-12me'!AQ152</f>
        <v>0.126241052534123</v>
      </c>
      <c r="G131" s="79">
        <f>'[10]Rev_SP-12me'!O152</f>
        <v>0</v>
      </c>
      <c r="H131" s="60">
        <f>'[10]Rev_SP-12me'!P152</f>
        <v>7.15</v>
      </c>
      <c r="I131" s="79">
        <f>'[10]Rev_SP-12me'!AA152</f>
        <v>3500</v>
      </c>
      <c r="J131" s="8"/>
      <c r="K131" s="53">
        <f>'[10]Rev_SP-12me'!AT152</f>
        <v>0</v>
      </c>
      <c r="L131" s="53">
        <f>'[10]Rev_SP-12me'!AU152</f>
        <v>0.0902623525618976</v>
      </c>
      <c r="M131" s="53">
        <f>'[10]Rev_SP-12me'!AW152</f>
        <v>0</v>
      </c>
      <c r="N131" s="8"/>
      <c r="O131" s="24">
        <f t="shared" si="4"/>
        <v>0.0902623525618976</v>
      </c>
    </row>
    <row r="132" spans="2:15">
      <c r="B132" s="74" t="s">
        <v>1140</v>
      </c>
      <c r="C132" s="55"/>
      <c r="D132" s="53">
        <f>'[10]Rev_SP-12me'!AJ153</f>
        <v>0</v>
      </c>
      <c r="E132" s="53">
        <f>'[10]Rev_SP-12me'!AL153</f>
        <v>0</v>
      </c>
      <c r="F132" s="53">
        <f>'[10]Rev_SP-12me'!AQ153</f>
        <v>1.8422782671044</v>
      </c>
      <c r="G132" s="79">
        <f>'[10]Rev_SP-12me'!O153</f>
        <v>0</v>
      </c>
      <c r="H132" s="60">
        <f>'[10]Rev_SP-12me'!P153</f>
        <v>7.3</v>
      </c>
      <c r="I132" s="79">
        <f>'[10]Rev_SP-12me'!AA153</f>
        <v>3500</v>
      </c>
      <c r="J132" s="8"/>
      <c r="K132" s="53">
        <f>'[10]Rev_SP-12me'!AT153</f>
        <v>0</v>
      </c>
      <c r="L132" s="53">
        <f>'[10]Rev_SP-12me'!AU153</f>
        <v>1.34486313498621</v>
      </c>
      <c r="M132" s="53">
        <f>'[10]Rev_SP-12me'!AW153</f>
        <v>0</v>
      </c>
      <c r="N132" s="8"/>
      <c r="O132" s="24">
        <f t="shared" si="4"/>
        <v>1.34486313498621</v>
      </c>
    </row>
    <row r="133" spans="2:15">
      <c r="B133" s="74" t="s">
        <v>1141</v>
      </c>
      <c r="C133" s="55"/>
      <c r="D133" s="53">
        <f>'[10]Rev_SP-12me'!AJ154</f>
        <v>1</v>
      </c>
      <c r="E133" s="53">
        <f>'[10]Rev_SP-12me'!AL154</f>
        <v>0</v>
      </c>
      <c r="F133" s="53">
        <f>'[10]Rev_SP-12me'!AQ154</f>
        <v>2.67129740182411</v>
      </c>
      <c r="G133" s="79">
        <f>'[10]Rev_SP-12me'!O154</f>
        <v>475</v>
      </c>
      <c r="H133" s="60">
        <f>'[10]Rev_SP-12me'!P154</f>
        <v>7.9</v>
      </c>
      <c r="I133" s="79">
        <f>'[10]Rev_SP-12me'!AA154</f>
        <v>3500</v>
      </c>
      <c r="J133" s="8"/>
      <c r="K133" s="53">
        <f>'[10]Rev_SP-12me'!AT154</f>
        <v>0</v>
      </c>
      <c r="L133" s="53">
        <f>'[10]Rev_SP-12me'!AU154</f>
        <v>2.11032494744105</v>
      </c>
      <c r="M133" s="53">
        <f>'[10]Rev_SP-12me'!AW154</f>
        <v>0.00416425344326727</v>
      </c>
      <c r="N133" s="8"/>
      <c r="O133" s="24">
        <f t="shared" si="4"/>
        <v>2.11448920088432</v>
      </c>
    </row>
    <row r="134" spans="2:15">
      <c r="B134" s="76" t="s">
        <v>1120</v>
      </c>
      <c r="C134" s="55"/>
      <c r="D134" s="53">
        <f>'[10]Rev_SP-12me'!AJ155</f>
        <v>0</v>
      </c>
      <c r="E134" s="53">
        <f>'[10]Rev_SP-12me'!AL155</f>
        <v>0</v>
      </c>
      <c r="F134" s="53">
        <f>'[10]Rev_SP-12me'!AQ155</f>
        <v>1020.27061010427</v>
      </c>
      <c r="G134" s="79">
        <f>'[10]Rev_SP-12me'!O155</f>
        <v>0</v>
      </c>
      <c r="H134" s="60">
        <f>'[10]Rev_SP-12me'!P155</f>
        <v>8.15</v>
      </c>
      <c r="I134" s="79">
        <f>'[10]Rev_SP-12me'!AA155</f>
        <v>3500</v>
      </c>
      <c r="J134" s="8"/>
      <c r="K134" s="53">
        <f>'[10]Rev_SP-12me'!AT155</f>
        <v>0</v>
      </c>
      <c r="L134" s="53">
        <f>'[10]Rev_SP-12me'!AU155</f>
        <v>831.520547234984</v>
      </c>
      <c r="M134" s="53">
        <f>'[10]Rev_SP-12me'!AW155</f>
        <v>0</v>
      </c>
      <c r="N134" s="8"/>
      <c r="O134" s="24">
        <f t="shared" si="4"/>
        <v>831.520547234984</v>
      </c>
    </row>
    <row r="135" spans="2:15">
      <c r="B135" s="76" t="s">
        <v>1121</v>
      </c>
      <c r="C135" s="55"/>
      <c r="D135" s="53">
        <f>'[10]Rev_SP-12me'!AJ156</f>
        <v>0</v>
      </c>
      <c r="E135" s="53">
        <f>'[10]Rev_SP-12me'!AL156</f>
        <v>0</v>
      </c>
      <c r="F135" s="53">
        <f>'[10]Rev_SP-12me'!AQ156</f>
        <v>951.629251381201</v>
      </c>
      <c r="G135" s="79">
        <f>'[10]Rev_SP-12me'!O156</f>
        <v>0</v>
      </c>
      <c r="H135" s="60">
        <f>'[10]Rev_SP-12me'!P156</f>
        <v>8.15</v>
      </c>
      <c r="I135" s="79">
        <f>'[10]Rev_SP-12me'!AA156</f>
        <v>3500</v>
      </c>
      <c r="J135" s="8"/>
      <c r="K135" s="53">
        <f>'[10]Rev_SP-12me'!AT156</f>
        <v>0</v>
      </c>
      <c r="L135" s="53">
        <f>'[10]Rev_SP-12me'!AU156</f>
        <v>775.577839875679</v>
      </c>
      <c r="M135" s="53">
        <f>'[10]Rev_SP-12me'!AW156</f>
        <v>0</v>
      </c>
      <c r="N135" s="8"/>
      <c r="O135" s="24">
        <f t="shared" si="4"/>
        <v>775.577839875679</v>
      </c>
    </row>
    <row r="136" spans="2:15">
      <c r="B136" s="76" t="s">
        <v>1122</v>
      </c>
      <c r="C136" s="55"/>
      <c r="D136" s="53">
        <f>'[10]Rev_SP-12me'!AJ157</f>
        <v>0</v>
      </c>
      <c r="E136" s="53">
        <f>'[10]Rev_SP-12me'!AL157</f>
        <v>0</v>
      </c>
      <c r="F136" s="53">
        <f>'[10]Rev_SP-12me'!AQ157</f>
        <v>1874.42245351562</v>
      </c>
      <c r="G136" s="79">
        <f>'[10]Rev_SP-12me'!O157</f>
        <v>0</v>
      </c>
      <c r="H136" s="60">
        <f>'[10]Rev_SP-12me'!P157</f>
        <v>6.15</v>
      </c>
      <c r="I136" s="79">
        <f>'[10]Rev_SP-12me'!AA157</f>
        <v>3500</v>
      </c>
      <c r="J136" s="8"/>
      <c r="K136" s="53">
        <f>'[10]Rev_SP-12me'!AT157</f>
        <v>0</v>
      </c>
      <c r="L136" s="53">
        <f>'[10]Rev_SP-12me'!AU157</f>
        <v>1152.7698089121</v>
      </c>
      <c r="M136" s="53">
        <f>'[10]Rev_SP-12me'!AW157</f>
        <v>0</v>
      </c>
      <c r="N136" s="8"/>
      <c r="O136" s="24">
        <f t="shared" si="4"/>
        <v>1152.7698089121</v>
      </c>
    </row>
    <row r="137" spans="2:15">
      <c r="B137" s="71" t="s">
        <v>1113</v>
      </c>
      <c r="C137" s="55"/>
      <c r="D137" s="51">
        <f>'[10]Rev_SP-12me'!AJ158</f>
        <v>4.36387694343367</v>
      </c>
      <c r="E137" s="51">
        <f>'[10]Rev_SP-12me'!AL158</f>
        <v>0</v>
      </c>
      <c r="F137" s="51">
        <f>'[10]Rev_SP-12me'!AQ158</f>
        <v>28.720649037328</v>
      </c>
      <c r="G137" s="79">
        <f>'[10]Rev_SP-12me'!O158</f>
        <v>0</v>
      </c>
      <c r="H137" s="60">
        <f>'[10]Rev_SP-12me'!P158</f>
        <v>0</v>
      </c>
      <c r="I137" s="79">
        <f>'[10]Rev_SP-12me'!AA158</f>
        <v>0</v>
      </c>
      <c r="J137" s="8"/>
      <c r="K137" s="51">
        <f>'[10]Rev_SP-12me'!AT158</f>
        <v>0</v>
      </c>
      <c r="L137" s="51">
        <f>'[10]Rev_SP-12me'!AU158</f>
        <v>20.4460183641736</v>
      </c>
      <c r="M137" s="51">
        <f>'[10]Rev_SP-12me'!AW158</f>
        <v>0</v>
      </c>
      <c r="N137" s="8"/>
      <c r="O137" s="24">
        <f t="shared" si="4"/>
        <v>20.4460183641736</v>
      </c>
    </row>
    <row r="138" spans="2:15">
      <c r="B138" s="76" t="s">
        <v>1142</v>
      </c>
      <c r="C138" s="55"/>
      <c r="D138" s="53">
        <f>'[10]Rev_SP-12me'!AJ159</f>
        <v>4.36387694343367</v>
      </c>
      <c r="E138" s="53">
        <f>'[10]Rev_SP-12me'!AL159</f>
        <v>0</v>
      </c>
      <c r="F138" s="53">
        <f>'[10]Rev_SP-12me'!AQ159</f>
        <v>9.31672225348729</v>
      </c>
      <c r="G138" s="79">
        <f>'[10]Rev_SP-12me'!O159</f>
        <v>475</v>
      </c>
      <c r="H138" s="60">
        <f>'[10]Rev_SP-12me'!P159</f>
        <v>7.15</v>
      </c>
      <c r="I138" s="79">
        <f>'[10]Rev_SP-12me'!AA159</f>
        <v>3500</v>
      </c>
      <c r="J138" s="8"/>
      <c r="K138" s="53">
        <f>'[10]Rev_SP-12me'!AT159</f>
        <v>0</v>
      </c>
      <c r="L138" s="53">
        <f>'[10]Rev_SP-12me'!AU159</f>
        <v>6.66145641124341</v>
      </c>
      <c r="M138" s="53">
        <f>'[10]Rev_SP-12me'!AW159</f>
        <v>0.0181722895876883</v>
      </c>
      <c r="N138" s="8"/>
      <c r="O138" s="24">
        <f t="shared" si="4"/>
        <v>6.6796287008311</v>
      </c>
    </row>
    <row r="139" spans="2:15">
      <c r="B139" s="76" t="s">
        <v>1115</v>
      </c>
      <c r="C139" s="55"/>
      <c r="D139" s="53">
        <f>'[10]Rev_SP-12me'!AJ160</f>
        <v>0</v>
      </c>
      <c r="E139" s="53">
        <f>'[10]Rev_SP-12me'!AL160</f>
        <v>0</v>
      </c>
      <c r="F139" s="53">
        <f>'[10]Rev_SP-12me'!AQ160</f>
        <v>4.6946360047211</v>
      </c>
      <c r="G139" s="79">
        <f>'[10]Rev_SP-12me'!O160</f>
        <v>0</v>
      </c>
      <c r="H139" s="60">
        <f>'[10]Rev_SP-12me'!P160</f>
        <v>8.15</v>
      </c>
      <c r="I139" s="79">
        <f>'[10]Rev_SP-12me'!AA160</f>
        <v>3500</v>
      </c>
      <c r="J139" s="8"/>
      <c r="K139" s="53">
        <f>'[10]Rev_SP-12me'!AT160</f>
        <v>0</v>
      </c>
      <c r="L139" s="53">
        <f>'[10]Rev_SP-12me'!AU160</f>
        <v>3.8261283438477</v>
      </c>
      <c r="M139" s="53">
        <f>'[10]Rev_SP-12me'!AW160</f>
        <v>0</v>
      </c>
      <c r="N139" s="8"/>
      <c r="O139" s="24">
        <f t="shared" si="4"/>
        <v>3.8261283438477</v>
      </c>
    </row>
    <row r="140" spans="2:15">
      <c r="B140" s="76" t="s">
        <v>1116</v>
      </c>
      <c r="C140" s="55"/>
      <c r="D140" s="53">
        <f>'[10]Rev_SP-12me'!AJ161</f>
        <v>0</v>
      </c>
      <c r="E140" s="53">
        <f>'[10]Rev_SP-12me'!AL161</f>
        <v>0</v>
      </c>
      <c r="F140" s="53">
        <f>'[10]Rev_SP-12me'!AQ161</f>
        <v>4.56109889961993</v>
      </c>
      <c r="G140" s="79">
        <f>'[10]Rev_SP-12me'!O161</f>
        <v>0</v>
      </c>
      <c r="H140" s="60">
        <f>'[10]Rev_SP-12me'!P161</f>
        <v>8.15</v>
      </c>
      <c r="I140" s="79">
        <f>'[10]Rev_SP-12me'!AA161</f>
        <v>3500</v>
      </c>
      <c r="J140" s="8"/>
      <c r="K140" s="53">
        <f>'[10]Rev_SP-12me'!AT161</f>
        <v>0</v>
      </c>
      <c r="L140" s="53">
        <f>'[10]Rev_SP-12me'!AU161</f>
        <v>3.71729560319025</v>
      </c>
      <c r="M140" s="53">
        <f>'[10]Rev_SP-12me'!AW161</f>
        <v>0</v>
      </c>
      <c r="N140" s="8"/>
      <c r="O140" s="24">
        <f t="shared" si="4"/>
        <v>3.71729560319025</v>
      </c>
    </row>
    <row r="141" spans="2:15">
      <c r="B141" s="76" t="s">
        <v>1143</v>
      </c>
      <c r="C141" s="55"/>
      <c r="D141" s="53">
        <f>'[10]Rev_SP-12me'!AJ162</f>
        <v>0</v>
      </c>
      <c r="E141" s="53">
        <f>'[10]Rev_SP-12me'!AL162</f>
        <v>0</v>
      </c>
      <c r="F141" s="53">
        <f>'[10]Rev_SP-12me'!AQ162</f>
        <v>10.1481918794996</v>
      </c>
      <c r="G141" s="79">
        <f>'[10]Rev_SP-12me'!O162</f>
        <v>0</v>
      </c>
      <c r="H141" s="60">
        <f>'[10]Rev_SP-12me'!P162</f>
        <v>6.15</v>
      </c>
      <c r="I141" s="79">
        <f>'[10]Rev_SP-12me'!AA162</f>
        <v>3500</v>
      </c>
      <c r="J141" s="8"/>
      <c r="K141" s="53">
        <f>'[10]Rev_SP-12me'!AT162</f>
        <v>0</v>
      </c>
      <c r="L141" s="53">
        <f>'[10]Rev_SP-12me'!AU162</f>
        <v>6.24113800589227</v>
      </c>
      <c r="M141" s="53">
        <f>'[10]Rev_SP-12me'!AW162</f>
        <v>0</v>
      </c>
      <c r="N141" s="8"/>
      <c r="O141" s="24">
        <f t="shared" si="4"/>
        <v>6.24113800589227</v>
      </c>
    </row>
    <row r="142" ht="15" spans="2:15">
      <c r="B142" s="71" t="s">
        <v>1144</v>
      </c>
      <c r="C142" s="55"/>
      <c r="D142" s="48">
        <f>'[10]Rev_SP-12me'!AJ164</f>
        <v>0</v>
      </c>
      <c r="E142" s="48">
        <f>'[10]Rev_SP-12me'!AL164</f>
        <v>12.1559149244853</v>
      </c>
      <c r="F142" s="48">
        <f>'[10]Rev_SP-12me'!AQ164</f>
        <v>61.8606520817098</v>
      </c>
      <c r="G142" s="68">
        <f>'[10]Rev_SP-12me'!O164</f>
        <v>0</v>
      </c>
      <c r="H142" s="69">
        <f>'[10]Rev_SP-12me'!P164</f>
        <v>0</v>
      </c>
      <c r="I142" s="68">
        <f>'[10]Rev_SP-12me'!AA164</f>
        <v>14000</v>
      </c>
      <c r="J142" s="8"/>
      <c r="K142" s="48">
        <f>'[10]Rev_SP-12me'!AT164</f>
        <v>5.54309720556531</v>
      </c>
      <c r="L142" s="48">
        <f>'[10]Rev_SP-12me'!AU164</f>
        <v>44.3494567464979</v>
      </c>
      <c r="M142" s="48">
        <f>'[10]Rev_SP-12me'!AW164</f>
        <v>0</v>
      </c>
      <c r="N142" s="8"/>
      <c r="O142" s="24">
        <f t="shared" si="4"/>
        <v>49.8925539520632</v>
      </c>
    </row>
    <row r="143" spans="2:15">
      <c r="B143" s="74" t="s">
        <v>1119</v>
      </c>
      <c r="C143" s="55"/>
      <c r="D143" s="53">
        <f>'[10]Rev_SP-12me'!AJ165</f>
        <v>0</v>
      </c>
      <c r="E143" s="53">
        <f>'[10]Rev_SP-12me'!AL165</f>
        <v>12.1559149244853</v>
      </c>
      <c r="F143" s="53">
        <f>'[10]Rev_SP-12me'!AQ165</f>
        <v>24.630820364244</v>
      </c>
      <c r="G143" s="79">
        <f>'[10]Rev_SP-12me'!O165</f>
        <v>475</v>
      </c>
      <c r="H143" s="60">
        <f>'[10]Rev_SP-12me'!P165</f>
        <v>7.15</v>
      </c>
      <c r="I143" s="79">
        <f>'[10]Rev_SP-12me'!AA165</f>
        <v>3500</v>
      </c>
      <c r="J143" s="8"/>
      <c r="K143" s="53">
        <f>'[10]Rev_SP-12me'!AT165</f>
        <v>5.54309720556531</v>
      </c>
      <c r="L143" s="53">
        <f>'[10]Rev_SP-12me'!AU165</f>
        <v>17.6110365604345</v>
      </c>
      <c r="M143" s="53">
        <f>'[10]Rev_SP-12me'!AW165</f>
        <v>0</v>
      </c>
      <c r="N143" s="8"/>
      <c r="O143" s="24">
        <f t="shared" si="4"/>
        <v>23.1541337659998</v>
      </c>
    </row>
    <row r="144" spans="2:15">
      <c r="B144" s="74" t="s">
        <v>1120</v>
      </c>
      <c r="C144" s="55"/>
      <c r="D144" s="53">
        <f>'[10]Rev_SP-12me'!AJ166</f>
        <v>0</v>
      </c>
      <c r="E144" s="53">
        <f>'[10]Rev_SP-12me'!AL166</f>
        <v>0</v>
      </c>
      <c r="F144" s="53">
        <f>'[10]Rev_SP-12me'!AQ166</f>
        <v>9.48843594821208</v>
      </c>
      <c r="G144" s="79">
        <f>'[10]Rev_SP-12me'!O166</f>
        <v>0</v>
      </c>
      <c r="H144" s="60">
        <f>'[10]Rev_SP-12me'!P166</f>
        <v>8.15</v>
      </c>
      <c r="I144" s="79">
        <f>'[10]Rev_SP-12me'!AA166</f>
        <v>3500</v>
      </c>
      <c r="J144" s="8"/>
      <c r="K144" s="53">
        <f>'[10]Rev_SP-12me'!AT166</f>
        <v>0</v>
      </c>
      <c r="L144" s="53">
        <f>'[10]Rev_SP-12me'!AU166</f>
        <v>7.73307529779285</v>
      </c>
      <c r="M144" s="53">
        <f>'[10]Rev_SP-12me'!AW166</f>
        <v>0</v>
      </c>
      <c r="N144" s="8"/>
      <c r="O144" s="24">
        <f t="shared" si="4"/>
        <v>7.73307529779285</v>
      </c>
    </row>
    <row r="145" spans="2:15">
      <c r="B145" s="74" t="s">
        <v>1121</v>
      </c>
      <c r="C145" s="55"/>
      <c r="D145" s="53">
        <f>'[10]Rev_SP-12me'!AJ167</f>
        <v>0</v>
      </c>
      <c r="E145" s="53">
        <f>'[10]Rev_SP-12me'!AL167</f>
        <v>0</v>
      </c>
      <c r="F145" s="53">
        <f>'[10]Rev_SP-12me'!AQ167</f>
        <v>9.72193245089741</v>
      </c>
      <c r="G145" s="79">
        <f>'[10]Rev_SP-12me'!O167</f>
        <v>0</v>
      </c>
      <c r="H145" s="60">
        <f>'[10]Rev_SP-12me'!P167</f>
        <v>8.15</v>
      </c>
      <c r="I145" s="79">
        <f>'[10]Rev_SP-12me'!AA167</f>
        <v>3500</v>
      </c>
      <c r="J145" s="8"/>
      <c r="K145" s="53">
        <f>'[10]Rev_SP-12me'!AT167</f>
        <v>0</v>
      </c>
      <c r="L145" s="53">
        <f>'[10]Rev_SP-12me'!AU167</f>
        <v>7.92337494748139</v>
      </c>
      <c r="M145" s="53">
        <f>'[10]Rev_SP-12me'!AW167</f>
        <v>0</v>
      </c>
      <c r="N145" s="8"/>
      <c r="O145" s="24">
        <f t="shared" si="4"/>
        <v>7.92337494748139</v>
      </c>
    </row>
    <row r="146" spans="2:15">
      <c r="B146" s="74" t="s">
        <v>1122</v>
      </c>
      <c r="C146" s="55"/>
      <c r="D146" s="53">
        <f>'[10]Rev_SP-12me'!AJ168</f>
        <v>0</v>
      </c>
      <c r="E146" s="53">
        <f>'[10]Rev_SP-12me'!AL168</f>
        <v>0</v>
      </c>
      <c r="F146" s="53">
        <f>'[10]Rev_SP-12me'!AQ168</f>
        <v>18.0194633183564</v>
      </c>
      <c r="G146" s="79">
        <f>'[10]Rev_SP-12me'!O168</f>
        <v>0</v>
      </c>
      <c r="H146" s="60">
        <f>'[10]Rev_SP-12me'!P168</f>
        <v>6.15</v>
      </c>
      <c r="I146" s="79">
        <f>'[10]Rev_SP-12me'!AA168</f>
        <v>3500</v>
      </c>
      <c r="J146" s="8"/>
      <c r="K146" s="53">
        <f>'[10]Rev_SP-12me'!AT168</f>
        <v>0</v>
      </c>
      <c r="L146" s="53">
        <f>'[10]Rev_SP-12me'!AU168</f>
        <v>11.0819699407892</v>
      </c>
      <c r="M146" s="53">
        <f>'[10]Rev_SP-12me'!AW168</f>
        <v>0</v>
      </c>
      <c r="N146" s="8"/>
      <c r="O146" s="24">
        <f t="shared" si="4"/>
        <v>11.0819699407892</v>
      </c>
    </row>
    <row r="147" ht="15" spans="2:15">
      <c r="B147" s="71" t="s">
        <v>1123</v>
      </c>
      <c r="C147" s="55"/>
      <c r="D147" s="87">
        <f>'[10]Rev_SP-12me'!AJ163</f>
        <v>1</v>
      </c>
      <c r="E147" s="48">
        <f>'[10]Rev_SP-12me'!AL163</f>
        <v>15.5503512880562</v>
      </c>
      <c r="F147" s="48">
        <f>'[10]Rev_SP-12me'!AQ163</f>
        <v>0</v>
      </c>
      <c r="G147" s="68">
        <f>'[10]Rev_SP-12me'!O163</f>
        <v>475</v>
      </c>
      <c r="H147" s="69">
        <f>'[10]Rev_SP-12me'!P163</f>
        <v>7.15</v>
      </c>
      <c r="I147" s="68">
        <f>'[10]Rev_SP-12me'!AA163</f>
        <v>3500</v>
      </c>
      <c r="J147" s="8"/>
      <c r="K147" s="48">
        <f>'[10]Rev_SP-12me'!AT163</f>
        <v>7.09096018735363</v>
      </c>
      <c r="L147" s="48">
        <f>'[10]Rev_SP-12me'!AU163</f>
        <v>0</v>
      </c>
      <c r="M147" s="48">
        <f>'[10]Rev_SP-12me'!AW163</f>
        <v>0.0042</v>
      </c>
      <c r="N147" s="8"/>
      <c r="O147" s="24">
        <f t="shared" si="4"/>
        <v>7.09516018735363</v>
      </c>
    </row>
    <row r="148" ht="15" spans="2:15">
      <c r="B148" s="71" t="s">
        <v>1124</v>
      </c>
      <c r="C148" s="55"/>
      <c r="D148" s="48">
        <f>'[10]Rev_SP-12me'!AJ169</f>
        <v>174</v>
      </c>
      <c r="E148" s="48">
        <f>'[10]Rev_SP-12me'!AL169</f>
        <v>515.939730389015</v>
      </c>
      <c r="F148" s="48">
        <f>'[10]Rev_SP-12me'!AQ169</f>
        <v>1617.95969129032</v>
      </c>
      <c r="G148" s="68">
        <f>'[10]Rev_SP-12me'!O169</f>
        <v>0</v>
      </c>
      <c r="H148" s="69">
        <f>'[10]Rev_SP-12me'!P169</f>
        <v>0</v>
      </c>
      <c r="I148" s="68">
        <f>'[10]Rev_SP-12me'!AA169</f>
        <v>3500</v>
      </c>
      <c r="J148" s="8"/>
      <c r="K148" s="48">
        <f>'[10]Rev_SP-12me'!AT169</f>
        <v>235.268517057391</v>
      </c>
      <c r="L148" s="48">
        <f>'[10]Rev_SP-12me'!AU169</f>
        <v>1308.13940559309</v>
      </c>
      <c r="M148" s="48">
        <f>'[10]Rev_SP-12me'!AW169</f>
        <v>0.721828301069792</v>
      </c>
      <c r="N148" s="8"/>
      <c r="O148" s="24">
        <f t="shared" si="4"/>
        <v>1544.12975095155</v>
      </c>
    </row>
    <row r="149" spans="2:15">
      <c r="B149" s="76" t="s">
        <v>1145</v>
      </c>
      <c r="C149" s="55"/>
      <c r="D149" s="51">
        <f>'[10]Rev_SP-12me'!AJ170</f>
        <v>174</v>
      </c>
      <c r="E149" s="51">
        <f>'[10]Rev_SP-12me'!AL170</f>
        <v>515.939730389015</v>
      </c>
      <c r="F149" s="51">
        <f>'[10]Rev_SP-12me'!AQ170</f>
        <v>679.093682823812</v>
      </c>
      <c r="G149" s="79">
        <f>'[10]Rev_SP-12me'!O170</f>
        <v>475</v>
      </c>
      <c r="H149" s="60">
        <f>'[10]Rev_SP-12me'!P170</f>
        <v>8</v>
      </c>
      <c r="I149" s="79">
        <f>'[10]Rev_SP-12me'!AA170</f>
        <v>3500</v>
      </c>
      <c r="J149" s="8"/>
      <c r="K149" s="51">
        <f>'[10]Rev_SP-12me'!AT170</f>
        <v>235.268517057391</v>
      </c>
      <c r="L149" s="51">
        <f>'[10]Rev_SP-12me'!AU170</f>
        <v>543.27494625905</v>
      </c>
      <c r="M149" s="51">
        <f>'[10]Rev_SP-12me'!AW170</f>
        <v>0.721828301069792</v>
      </c>
      <c r="N149" s="8"/>
      <c r="O149" s="24">
        <f t="shared" si="4"/>
        <v>779.265291617511</v>
      </c>
    </row>
    <row r="150" spans="2:15">
      <c r="B150" s="76" t="s">
        <v>1120</v>
      </c>
      <c r="C150" s="55"/>
      <c r="D150" s="53">
        <f>'[10]Rev_SP-12me'!AJ171</f>
        <v>0</v>
      </c>
      <c r="E150" s="53">
        <f>'[10]Rev_SP-12me'!AL171</f>
        <v>0</v>
      </c>
      <c r="F150" s="53">
        <f>'[10]Rev_SP-12me'!AQ171</f>
        <v>291.176663041176</v>
      </c>
      <c r="G150" s="79">
        <f>'[10]Rev_SP-12me'!O171</f>
        <v>0</v>
      </c>
      <c r="H150" s="60">
        <f>'[10]Rev_SP-12me'!P171</f>
        <v>9</v>
      </c>
      <c r="I150" s="79">
        <f>'[10]Rev_SP-12me'!AA171</f>
        <v>3500</v>
      </c>
      <c r="J150" s="8"/>
      <c r="K150" s="53">
        <f>'[10]Rev_SP-12me'!AT171</f>
        <v>0</v>
      </c>
      <c r="L150" s="53">
        <f>'[10]Rev_SP-12me'!AU171</f>
        <v>262.058996737059</v>
      </c>
      <c r="M150" s="53">
        <f>'[10]Rev_SP-12me'!AW171</f>
        <v>0</v>
      </c>
      <c r="N150" s="8"/>
      <c r="O150" s="24">
        <f t="shared" si="4"/>
        <v>262.058996737059</v>
      </c>
    </row>
    <row r="151" spans="2:15">
      <c r="B151" s="76" t="s">
        <v>1121</v>
      </c>
      <c r="C151" s="55"/>
      <c r="D151" s="53">
        <f>'[10]Rev_SP-12me'!AJ172</f>
        <v>0</v>
      </c>
      <c r="E151" s="53">
        <f>'[10]Rev_SP-12me'!AL172</f>
        <v>0</v>
      </c>
      <c r="F151" s="53">
        <f>'[10]Rev_SP-12me'!AQ172</f>
        <v>247.114603996214</v>
      </c>
      <c r="G151" s="79">
        <f>'[10]Rev_SP-12me'!O172</f>
        <v>0</v>
      </c>
      <c r="H151" s="60">
        <f>'[10]Rev_SP-12me'!P172</f>
        <v>9</v>
      </c>
      <c r="I151" s="79">
        <f>'[10]Rev_SP-12me'!AA172</f>
        <v>3500</v>
      </c>
      <c r="J151" s="8"/>
      <c r="K151" s="53">
        <f>'[10]Rev_SP-12me'!AT172</f>
        <v>0</v>
      </c>
      <c r="L151" s="53">
        <f>'[10]Rev_SP-12me'!AU172</f>
        <v>222.403143596592</v>
      </c>
      <c r="M151" s="53">
        <f>'[10]Rev_SP-12me'!AW172</f>
        <v>0</v>
      </c>
      <c r="N151" s="8"/>
      <c r="O151" s="24">
        <f t="shared" si="4"/>
        <v>222.403143596592</v>
      </c>
    </row>
    <row r="152" spans="2:15">
      <c r="B152" s="76" t="s">
        <v>1122</v>
      </c>
      <c r="C152" s="55"/>
      <c r="D152" s="53">
        <f>'[10]Rev_SP-12me'!AJ173</f>
        <v>0</v>
      </c>
      <c r="E152" s="53">
        <f>'[10]Rev_SP-12me'!AL173</f>
        <v>0</v>
      </c>
      <c r="F152" s="53">
        <f>'[10]Rev_SP-12me'!AQ173</f>
        <v>400.574741429121</v>
      </c>
      <c r="G152" s="79">
        <f>'[10]Rev_SP-12me'!O173</f>
        <v>0</v>
      </c>
      <c r="H152" s="60">
        <f>'[10]Rev_SP-12me'!P173</f>
        <v>7</v>
      </c>
      <c r="I152" s="79">
        <f>'[10]Rev_SP-12me'!AA173</f>
        <v>3500</v>
      </c>
      <c r="J152" s="8"/>
      <c r="K152" s="53">
        <f>'[10]Rev_SP-12me'!AT173</f>
        <v>0</v>
      </c>
      <c r="L152" s="53">
        <f>'[10]Rev_SP-12me'!AU173</f>
        <v>280.402319000385</v>
      </c>
      <c r="M152" s="53">
        <f>'[10]Rev_SP-12me'!AW173</f>
        <v>0</v>
      </c>
      <c r="N152" s="8"/>
      <c r="O152" s="24">
        <f t="shared" si="4"/>
        <v>280.402319000385</v>
      </c>
    </row>
    <row r="153" spans="2:15">
      <c r="B153" s="76" t="s">
        <v>1146</v>
      </c>
      <c r="C153" s="55"/>
      <c r="D153" s="53">
        <f>'[10]Rev_SP-12me'!AJ174</f>
        <v>0</v>
      </c>
      <c r="E153" s="53">
        <f>'[10]Rev_SP-12me'!AL174</f>
        <v>0</v>
      </c>
      <c r="F153" s="53">
        <f>'[10]Rev_SP-12me'!AQ174</f>
        <v>0</v>
      </c>
      <c r="G153" s="79">
        <f>'[10]Rev_SP-12me'!O174</f>
        <v>475</v>
      </c>
      <c r="H153" s="60">
        <f>'[10]Rev_SP-12me'!P174</f>
        <v>8</v>
      </c>
      <c r="I153" s="79">
        <f>'[10]Rev_SP-12me'!AA174</f>
        <v>3500</v>
      </c>
      <c r="J153" s="8"/>
      <c r="K153" s="53">
        <f>'[10]Rev_SP-12me'!AT174</f>
        <v>0</v>
      </c>
      <c r="L153" s="53">
        <f>'[10]Rev_SP-12me'!AU174</f>
        <v>0</v>
      </c>
      <c r="M153" s="53">
        <f>'[10]Rev_SP-12me'!AW174</f>
        <v>0</v>
      </c>
      <c r="N153" s="8"/>
      <c r="O153" s="24">
        <f t="shared" si="4"/>
        <v>0</v>
      </c>
    </row>
    <row r="154" ht="15" spans="2:15">
      <c r="B154" s="71" t="s">
        <v>1125</v>
      </c>
      <c r="C154" s="55"/>
      <c r="D154" s="48">
        <f>'[10]Rev_SP-12me'!AJ175</f>
        <v>0</v>
      </c>
      <c r="E154" s="48">
        <f>'[10]Rev_SP-12me'!AL175</f>
        <v>0</v>
      </c>
      <c r="F154" s="48">
        <f>'[10]Rev_SP-12me'!AQ175</f>
        <v>2.21738254980643</v>
      </c>
      <c r="G154" s="68">
        <f>'[10]Rev_SP-12me'!O175</f>
        <v>0</v>
      </c>
      <c r="H154" s="69">
        <f>'[10]Rev_SP-12me'!P175</f>
        <v>0</v>
      </c>
      <c r="I154" s="68">
        <f>'[10]Rev_SP-12me'!AA175</f>
        <v>14000</v>
      </c>
      <c r="J154" s="8"/>
      <c r="K154" s="48">
        <f>'[10]Rev_SP-12me'!AT175</f>
        <v>0</v>
      </c>
      <c r="L154" s="48">
        <f>'[10]Rev_SP-12me'!AU175</f>
        <v>1.13243734528415</v>
      </c>
      <c r="M154" s="48">
        <f>'[10]Rev_SP-12me'!AW175</f>
        <v>0</v>
      </c>
      <c r="N154" s="8"/>
      <c r="O154" s="24">
        <f t="shared" si="4"/>
        <v>1.13243734528415</v>
      </c>
    </row>
    <row r="155" spans="2:15">
      <c r="B155" s="74" t="s">
        <v>1119</v>
      </c>
      <c r="C155" s="55"/>
      <c r="D155" s="53">
        <f>'[10]Rev_SP-12me'!AJ176</f>
        <v>0</v>
      </c>
      <c r="E155" s="53">
        <f>'[10]Rev_SP-12me'!AL176</f>
        <v>0</v>
      </c>
      <c r="F155" s="53">
        <f>'[10]Rev_SP-12me'!AQ176</f>
        <v>0.905694852573789</v>
      </c>
      <c r="G155" s="79">
        <f>'[10]Rev_SP-12me'!O176</f>
        <v>260</v>
      </c>
      <c r="H155" s="60">
        <f>'[10]Rev_SP-12me'!P176</f>
        <v>5</v>
      </c>
      <c r="I155" s="79">
        <f>'[10]Rev_SP-12me'!AA176</f>
        <v>3500</v>
      </c>
      <c r="J155" s="8"/>
      <c r="K155" s="53">
        <f>'[10]Rev_SP-12me'!AT176</f>
        <v>0</v>
      </c>
      <c r="L155" s="53">
        <f>'[10]Rev_SP-12me'!AU176</f>
        <v>0.452847426286894</v>
      </c>
      <c r="M155" s="53">
        <f>'[10]Rev_SP-12me'!AW176</f>
        <v>0</v>
      </c>
      <c r="N155" s="8"/>
      <c r="O155" s="24">
        <f t="shared" si="4"/>
        <v>0.452847426286894</v>
      </c>
    </row>
    <row r="156" spans="2:15">
      <c r="B156" s="74" t="s">
        <v>1120</v>
      </c>
      <c r="C156" s="55"/>
      <c r="D156" s="53">
        <f>'[10]Rev_SP-12me'!AJ177</f>
        <v>0</v>
      </c>
      <c r="E156" s="53">
        <f>'[10]Rev_SP-12me'!AL177</f>
        <v>0</v>
      </c>
      <c r="F156" s="53">
        <f>'[10]Rev_SP-12me'!AQ177</f>
        <v>0.385663128881866</v>
      </c>
      <c r="G156" s="79">
        <f>'[10]Rev_SP-12me'!O177</f>
        <v>0</v>
      </c>
      <c r="H156" s="60">
        <f>'[10]Rev_SP-12me'!P177</f>
        <v>6</v>
      </c>
      <c r="I156" s="79">
        <f>'[10]Rev_SP-12me'!AA177</f>
        <v>3500</v>
      </c>
      <c r="J156" s="8"/>
      <c r="K156" s="53">
        <f>'[10]Rev_SP-12me'!AT177</f>
        <v>0</v>
      </c>
      <c r="L156" s="53">
        <f>'[10]Rev_SP-12me'!AU177</f>
        <v>0.231397877329119</v>
      </c>
      <c r="M156" s="53">
        <f>'[10]Rev_SP-12me'!AW177</f>
        <v>0</v>
      </c>
      <c r="N156" s="8"/>
      <c r="O156" s="24">
        <f t="shared" si="4"/>
        <v>0.231397877329119</v>
      </c>
    </row>
    <row r="157" spans="2:15">
      <c r="B157" s="74" t="s">
        <v>1121</v>
      </c>
      <c r="C157" s="55"/>
      <c r="D157" s="53">
        <f>'[10]Rev_SP-12me'!AJ178</f>
        <v>0</v>
      </c>
      <c r="E157" s="53">
        <f>'[10]Rev_SP-12me'!AL178</f>
        <v>0</v>
      </c>
      <c r="F157" s="53">
        <f>'[10]Rev_SP-12me'!AQ178</f>
        <v>0.388911071639136</v>
      </c>
      <c r="G157" s="79">
        <f>'[10]Rev_SP-12me'!O178</f>
        <v>0</v>
      </c>
      <c r="H157" s="60">
        <f>'[10]Rev_SP-12me'!P178</f>
        <v>6</v>
      </c>
      <c r="I157" s="79">
        <f>'[10]Rev_SP-12me'!AA178</f>
        <v>3500</v>
      </c>
      <c r="J157" s="8"/>
      <c r="K157" s="53">
        <f>'[10]Rev_SP-12me'!AT178</f>
        <v>0</v>
      </c>
      <c r="L157" s="53">
        <f>'[10]Rev_SP-12me'!AU178</f>
        <v>0.233346642983482</v>
      </c>
      <c r="M157" s="53">
        <f>'[10]Rev_SP-12me'!AW178</f>
        <v>0</v>
      </c>
      <c r="N157" s="8"/>
      <c r="O157" s="24">
        <f t="shared" si="4"/>
        <v>0.233346642983482</v>
      </c>
    </row>
    <row r="158" spans="2:15">
      <c r="B158" s="74" t="s">
        <v>1122</v>
      </c>
      <c r="C158" s="55"/>
      <c r="D158" s="53">
        <f>'[10]Rev_SP-12me'!AJ179</f>
        <v>0</v>
      </c>
      <c r="E158" s="53">
        <f>'[10]Rev_SP-12me'!AL179</f>
        <v>0</v>
      </c>
      <c r="F158" s="53">
        <f>'[10]Rev_SP-12me'!AQ179</f>
        <v>0.537113496711644</v>
      </c>
      <c r="G158" s="79">
        <f>'[10]Rev_SP-12me'!O179</f>
        <v>0</v>
      </c>
      <c r="H158" s="60">
        <f>'[10]Rev_SP-12me'!P179</f>
        <v>4</v>
      </c>
      <c r="I158" s="79">
        <f>'[10]Rev_SP-12me'!AA179</f>
        <v>3500</v>
      </c>
      <c r="J158" s="8"/>
      <c r="K158" s="53">
        <f>'[10]Rev_SP-12me'!AT179</f>
        <v>0</v>
      </c>
      <c r="L158" s="53">
        <f>'[10]Rev_SP-12me'!AU179</f>
        <v>0.214845398684658</v>
      </c>
      <c r="M158" s="53">
        <f>'[10]Rev_SP-12me'!AW179</f>
        <v>0</v>
      </c>
      <c r="N158" s="8"/>
      <c r="O158" s="24">
        <f t="shared" si="4"/>
        <v>0.214845398684658</v>
      </c>
    </row>
    <row r="159" ht="15" spans="2:15">
      <c r="B159" s="71" t="s">
        <v>1126</v>
      </c>
      <c r="C159" s="55"/>
      <c r="D159" s="48">
        <f>'[10]Rev_SP-12me'!AJ180</f>
        <v>0</v>
      </c>
      <c r="E159" s="48">
        <f>'[10]Rev_SP-12me'!AL180</f>
        <v>0</v>
      </c>
      <c r="F159" s="48">
        <f>'[10]Rev_SP-12me'!AQ180</f>
        <v>0</v>
      </c>
      <c r="G159" s="68">
        <f>'[10]Rev_SP-12me'!O180</f>
        <v>0</v>
      </c>
      <c r="H159" s="69">
        <f>'[10]Rev_SP-12me'!P180</f>
        <v>0</v>
      </c>
      <c r="I159" s="68">
        <f>'[10]Rev_SP-12me'!AA180</f>
        <v>0</v>
      </c>
      <c r="J159" s="8"/>
      <c r="K159" s="48">
        <f>'[10]Rev_SP-12me'!AT180</f>
        <v>0</v>
      </c>
      <c r="L159" s="48">
        <f>'[10]Rev_SP-12me'!AU180</f>
        <v>0</v>
      </c>
      <c r="M159" s="48">
        <f>'[10]Rev_SP-12me'!AW180</f>
        <v>0</v>
      </c>
      <c r="N159" s="8"/>
      <c r="O159" s="24">
        <f t="shared" si="4"/>
        <v>0</v>
      </c>
    </row>
    <row r="160" spans="2:15">
      <c r="B160" s="76" t="s">
        <v>1119</v>
      </c>
      <c r="C160" s="55"/>
      <c r="D160" s="53">
        <f>'[10]Rev_SP-12me'!AJ181</f>
        <v>0</v>
      </c>
      <c r="E160" s="53">
        <f>'[10]Rev_SP-12me'!AL181</f>
        <v>0</v>
      </c>
      <c r="F160" s="53">
        <f>'[10]Rev_SP-12me'!AQ181</f>
        <v>0</v>
      </c>
      <c r="G160" s="79">
        <f>'[10]Rev_SP-12me'!O181</f>
        <v>475</v>
      </c>
      <c r="H160" s="60">
        <f>'[10]Rev_SP-12me'!P181</f>
        <v>7.85</v>
      </c>
      <c r="I160" s="79">
        <f>'[10]Rev_SP-12me'!AA181</f>
        <v>3500</v>
      </c>
      <c r="J160" s="8"/>
      <c r="K160" s="53">
        <f>'[10]Rev_SP-12me'!AT181</f>
        <v>0</v>
      </c>
      <c r="L160" s="53">
        <f>'[10]Rev_SP-12me'!AU181</f>
        <v>0</v>
      </c>
      <c r="M160" s="53">
        <f>'[10]Rev_SP-12me'!AW181</f>
        <v>0</v>
      </c>
      <c r="N160" s="8"/>
      <c r="O160" s="24">
        <f t="shared" si="4"/>
        <v>0</v>
      </c>
    </row>
    <row r="161" spans="2:15">
      <c r="B161" s="76" t="s">
        <v>1120</v>
      </c>
      <c r="C161" s="55"/>
      <c r="D161" s="53">
        <f>'[10]Rev_SP-12me'!AJ182</f>
        <v>0</v>
      </c>
      <c r="E161" s="53">
        <f>'[10]Rev_SP-12me'!AL182</f>
        <v>0</v>
      </c>
      <c r="F161" s="53">
        <f>'[10]Rev_SP-12me'!AQ182</f>
        <v>0</v>
      </c>
      <c r="G161" s="79">
        <f>'[10]Rev_SP-12me'!O182</f>
        <v>0</v>
      </c>
      <c r="H161" s="60">
        <f>'[10]Rev_SP-12me'!P182</f>
        <v>8.85</v>
      </c>
      <c r="I161" s="79">
        <f>'[10]Rev_SP-12me'!AA182</f>
        <v>3500</v>
      </c>
      <c r="J161" s="8"/>
      <c r="K161" s="53">
        <f>'[10]Rev_SP-12me'!AT182</f>
        <v>0</v>
      </c>
      <c r="L161" s="53">
        <f>'[10]Rev_SP-12me'!AU182</f>
        <v>0</v>
      </c>
      <c r="M161" s="53">
        <f>'[10]Rev_SP-12me'!AW182</f>
        <v>0</v>
      </c>
      <c r="N161" s="8"/>
      <c r="O161" s="24">
        <f t="shared" si="4"/>
        <v>0</v>
      </c>
    </row>
    <row r="162" spans="2:15">
      <c r="B162" s="76" t="s">
        <v>1121</v>
      </c>
      <c r="C162" s="55"/>
      <c r="D162" s="53">
        <f>'[10]Rev_SP-12me'!AJ183</f>
        <v>0</v>
      </c>
      <c r="E162" s="53">
        <f>'[10]Rev_SP-12me'!AL183</f>
        <v>0</v>
      </c>
      <c r="F162" s="53">
        <f>'[10]Rev_SP-12me'!AQ183</f>
        <v>0</v>
      </c>
      <c r="G162" s="79">
        <f>'[10]Rev_SP-12me'!O183</f>
        <v>0</v>
      </c>
      <c r="H162" s="60">
        <f>'[10]Rev_SP-12me'!P183</f>
        <v>8.85</v>
      </c>
      <c r="I162" s="79">
        <f>'[10]Rev_SP-12me'!AA183</f>
        <v>3500</v>
      </c>
      <c r="J162" s="8"/>
      <c r="K162" s="53">
        <f>'[10]Rev_SP-12me'!AT183</f>
        <v>0</v>
      </c>
      <c r="L162" s="53">
        <f>'[10]Rev_SP-12me'!AU183</f>
        <v>0</v>
      </c>
      <c r="M162" s="53">
        <f>'[10]Rev_SP-12me'!AW183</f>
        <v>0</v>
      </c>
      <c r="N162" s="8"/>
      <c r="O162" s="24">
        <f t="shared" si="4"/>
        <v>0</v>
      </c>
    </row>
    <row r="163" spans="2:15">
      <c r="B163" s="76" t="s">
        <v>1122</v>
      </c>
      <c r="C163" s="55"/>
      <c r="D163" s="53">
        <f>'[10]Rev_SP-12me'!AJ184</f>
        <v>0</v>
      </c>
      <c r="E163" s="53">
        <f>'[10]Rev_SP-12me'!AL184</f>
        <v>0</v>
      </c>
      <c r="F163" s="53">
        <f>'[10]Rev_SP-12me'!AQ184</f>
        <v>0</v>
      </c>
      <c r="G163" s="79">
        <f>'[10]Rev_SP-12me'!O184</f>
        <v>0</v>
      </c>
      <c r="H163" s="60">
        <f>'[10]Rev_SP-12me'!P184</f>
        <v>6.85</v>
      </c>
      <c r="I163" s="79">
        <f>'[10]Rev_SP-12me'!AA184</f>
        <v>3500</v>
      </c>
      <c r="J163" s="8"/>
      <c r="K163" s="53">
        <f>'[10]Rev_SP-12me'!AT184</f>
        <v>0</v>
      </c>
      <c r="L163" s="53">
        <f>'[10]Rev_SP-12me'!AU184</f>
        <v>0</v>
      </c>
      <c r="M163" s="53">
        <f>'[10]Rev_SP-12me'!AW184</f>
        <v>0</v>
      </c>
      <c r="N163" s="8"/>
      <c r="O163" s="24">
        <f t="shared" si="4"/>
        <v>0</v>
      </c>
    </row>
    <row r="164" ht="15" spans="2:15">
      <c r="B164" s="71" t="s">
        <v>1147</v>
      </c>
      <c r="C164" s="55"/>
      <c r="D164" s="48">
        <f>'[10]Rev_SP-12me'!AJ185</f>
        <v>20.1554054054054</v>
      </c>
      <c r="E164" s="48">
        <f>'[10]Rev_SP-12me'!AL185</f>
        <v>47.7301768985133</v>
      </c>
      <c r="F164" s="48">
        <f>'[10]Rev_SP-12me'!AQ185</f>
        <v>53.9945068682218</v>
      </c>
      <c r="G164" s="68">
        <f>'[10]Rev_SP-12me'!O185</f>
        <v>0</v>
      </c>
      <c r="H164" s="69">
        <f>'[10]Rev_SP-12me'!P185</f>
        <v>0</v>
      </c>
      <c r="I164" s="68">
        <f>'[10]Rev_SP-12me'!AA185</f>
        <v>0</v>
      </c>
      <c r="J164" s="8"/>
      <c r="K164" s="48">
        <f>'[10]Rev_SP-12me'!AT185</f>
        <v>7.54733422207742</v>
      </c>
      <c r="L164" s="48">
        <f>'[10]Rev_SP-12me'!AU185</f>
        <v>34.0165393269798</v>
      </c>
      <c r="M164" s="48">
        <f>'[10]Rev_SP-12me'!AW185</f>
        <v>0.0822861310608423</v>
      </c>
      <c r="N164" s="8"/>
      <c r="O164" s="24">
        <f t="shared" si="4"/>
        <v>41.6461596801181</v>
      </c>
    </row>
    <row r="165" spans="2:15">
      <c r="B165" s="82" t="s">
        <v>1128</v>
      </c>
      <c r="C165" s="55"/>
      <c r="D165" s="51">
        <f>'[10]Rev_SP-12me'!AJ186</f>
        <v>20.1554054054054</v>
      </c>
      <c r="E165" s="51">
        <f>'[10]Rev_SP-12me'!AL186</f>
        <v>47.7301768985133</v>
      </c>
      <c r="F165" s="51">
        <f>'[10]Rev_SP-12me'!AQ186</f>
        <v>53.9945068682218</v>
      </c>
      <c r="G165" s="79">
        <f>'[10]Rev_SP-12me'!O186</f>
        <v>275</v>
      </c>
      <c r="H165" s="60">
        <f>'[10]Rev_SP-12me'!P186</f>
        <v>6.3</v>
      </c>
      <c r="I165" s="79">
        <f>'[10]Rev_SP-12me'!AA186</f>
        <v>3500</v>
      </c>
      <c r="J165" s="8"/>
      <c r="K165" s="51">
        <f>'[10]Rev_SP-12me'!AT186</f>
        <v>7.54733422207742</v>
      </c>
      <c r="L165" s="51">
        <f>'[10]Rev_SP-12me'!AU186</f>
        <v>34.0165393269798</v>
      </c>
      <c r="M165" s="51">
        <f>'[10]Rev_SP-12me'!AW186</f>
        <v>0.0822861310608423</v>
      </c>
      <c r="N165" s="8"/>
      <c r="O165" s="24">
        <f t="shared" si="4"/>
        <v>41.6461596801181</v>
      </c>
    </row>
    <row r="166" ht="15" spans="2:15">
      <c r="B166" s="83" t="s">
        <v>1148</v>
      </c>
      <c r="C166" s="55"/>
      <c r="D166" s="48">
        <f>'[10]Rev_SP-12me'!AJ191</f>
        <v>13.7905405405405</v>
      </c>
      <c r="E166" s="48">
        <f>'[10]Rev_SP-12me'!AL191</f>
        <v>47.4859633725971</v>
      </c>
      <c r="F166" s="48">
        <f>'[10]Rev_SP-12me'!AQ191</f>
        <v>266.625493131778</v>
      </c>
      <c r="G166" s="68">
        <f>'[10]Rev_SP-12me'!O191</f>
        <v>0</v>
      </c>
      <c r="H166" s="69">
        <f>'[10]Rev_SP-12me'!P191</f>
        <v>0</v>
      </c>
      <c r="I166" s="68">
        <f>'[10]Rev_SP-12me'!AA191</f>
        <v>0</v>
      </c>
      <c r="J166" s="8"/>
      <c r="K166" s="48">
        <f>'[10]Rev_SP-12me'!AT191</f>
        <v>0</v>
      </c>
      <c r="L166" s="48">
        <f>'[10]Rev_SP-12me'!AU191</f>
        <v>162.641550810385</v>
      </c>
      <c r="M166" s="48">
        <f>'[10]Rev_SP-12me'!AW191</f>
        <v>0.0563010370416289</v>
      </c>
      <c r="N166" s="8"/>
      <c r="O166" s="24">
        <f t="shared" si="4"/>
        <v>162.697851847427</v>
      </c>
    </row>
    <row r="167" spans="2:15">
      <c r="B167" s="74" t="s">
        <v>1149</v>
      </c>
      <c r="C167" s="55"/>
      <c r="D167" s="51">
        <f>'[10]Rev_SP-12me'!AJ192</f>
        <v>13.7905405405405</v>
      </c>
      <c r="E167" s="51">
        <f>'[10]Rev_SP-12me'!AL192</f>
        <v>47.4859633725971</v>
      </c>
      <c r="F167" s="51">
        <f>'[10]Rev_SP-12me'!AQ192</f>
        <v>266.625493131778</v>
      </c>
      <c r="G167" s="79">
        <f>'[10]Rev_SP-12me'!O192</f>
        <v>0</v>
      </c>
      <c r="H167" s="60">
        <f>'[10]Rev_SP-12me'!P192</f>
        <v>6.1</v>
      </c>
      <c r="I167" s="79">
        <f>'[10]Rev_SP-12me'!AA192</f>
        <v>3500</v>
      </c>
      <c r="J167" s="8"/>
      <c r="K167" s="51">
        <f>'[10]Rev_SP-12me'!AT192</f>
        <v>0</v>
      </c>
      <c r="L167" s="51">
        <f>'[10]Rev_SP-12me'!AU192</f>
        <v>162.641550810385</v>
      </c>
      <c r="M167" s="51">
        <f>'[10]Rev_SP-12me'!AW192</f>
        <v>0.0563010370416289</v>
      </c>
      <c r="N167" s="8"/>
      <c r="O167" s="24">
        <f t="shared" si="4"/>
        <v>162.697851847427</v>
      </c>
    </row>
    <row r="168" ht="15" spans="2:15">
      <c r="B168" s="77" t="s">
        <v>1150</v>
      </c>
      <c r="C168" s="55"/>
      <c r="D168" s="48">
        <f>'[10]Rev_SP-12me'!AJ193</f>
        <v>0</v>
      </c>
      <c r="E168" s="48">
        <f>'[10]Rev_SP-12me'!AL193</f>
        <v>0</v>
      </c>
      <c r="F168" s="48">
        <f>'[10]Rev_SP-12me'!AQ193</f>
        <v>0</v>
      </c>
      <c r="G168" s="68">
        <f>'[10]Rev_SP-12me'!O193</f>
        <v>0</v>
      </c>
      <c r="H168" s="69">
        <f>'[10]Rev_SP-12me'!P193</f>
        <v>0</v>
      </c>
      <c r="I168" s="68">
        <f>'[10]Rev_SP-12me'!AA193</f>
        <v>3500</v>
      </c>
      <c r="J168" s="8"/>
      <c r="K168" s="48">
        <f>'[10]Rev_SP-12me'!AT193</f>
        <v>0</v>
      </c>
      <c r="L168" s="48">
        <f>'[10]Rev_SP-12me'!AU193</f>
        <v>0</v>
      </c>
      <c r="M168" s="48">
        <f>'[10]Rev_SP-12me'!AW193</f>
        <v>0</v>
      </c>
      <c r="N168" s="8"/>
      <c r="O168" s="24">
        <f t="shared" si="4"/>
        <v>0</v>
      </c>
    </row>
    <row r="169" ht="15" spans="2:15">
      <c r="B169" s="71" t="s">
        <v>1131</v>
      </c>
      <c r="C169" s="55"/>
      <c r="D169" s="48">
        <f>'[10]Rev_SP-12me'!AJ187</f>
        <v>1</v>
      </c>
      <c r="E169" s="48">
        <f>'[10]Rev_SP-12me'!AL187</f>
        <v>4.44293015332198</v>
      </c>
      <c r="F169" s="48">
        <f>'[10]Rev_SP-12me'!AQ187</f>
        <v>0</v>
      </c>
      <c r="G169" s="68">
        <f>'[10]Rev_SP-12me'!O187</f>
        <v>0</v>
      </c>
      <c r="H169" s="69">
        <f>'[10]Rev_SP-12me'!P187</f>
        <v>0</v>
      </c>
      <c r="I169" s="68">
        <f>'[10]Rev_SP-12me'!AA187</f>
        <v>0</v>
      </c>
      <c r="J169" s="8"/>
      <c r="K169" s="48">
        <f>'[10]Rev_SP-12me'!AT187</f>
        <v>0</v>
      </c>
      <c r="L169" s="48">
        <f>'[10]Rev_SP-12me'!AU187</f>
        <v>0</v>
      </c>
      <c r="M169" s="48">
        <f>'[10]Rev_SP-12me'!AW187</f>
        <v>0</v>
      </c>
      <c r="N169" s="8"/>
      <c r="O169" s="24">
        <f t="shared" si="4"/>
        <v>0</v>
      </c>
    </row>
    <row r="170" ht="15" spans="2:15">
      <c r="B170" s="71" t="s">
        <v>1132</v>
      </c>
      <c r="C170" s="55"/>
      <c r="D170" s="48">
        <f>'[10]Rev_SP-12me'!AJ188</f>
        <v>0</v>
      </c>
      <c r="E170" s="48">
        <f>'[10]Rev_SP-12me'!AL188</f>
        <v>0</v>
      </c>
      <c r="F170" s="48">
        <f>'[10]Rev_SP-12me'!AQ188</f>
        <v>0</v>
      </c>
      <c r="G170" s="68">
        <f>'[10]Rev_SP-12me'!O188</f>
        <v>0</v>
      </c>
      <c r="H170" s="69">
        <f>'[10]Rev_SP-12me'!P188</f>
        <v>0</v>
      </c>
      <c r="I170" s="68">
        <f>'[10]Rev_SP-12me'!AA188</f>
        <v>0</v>
      </c>
      <c r="J170" s="8"/>
      <c r="K170" s="48">
        <f>'[10]Rev_SP-12me'!AT188</f>
        <v>0</v>
      </c>
      <c r="L170" s="48">
        <f>'[10]Rev_SP-12me'!AU188</f>
        <v>0</v>
      </c>
      <c r="M170" s="48">
        <f>'[10]Rev_SP-12me'!AW188</f>
        <v>0</v>
      </c>
      <c r="N170" s="8"/>
      <c r="O170" s="24">
        <f t="shared" si="4"/>
        <v>0</v>
      </c>
    </row>
    <row r="171" ht="15" spans="2:15">
      <c r="B171" s="71" t="s">
        <v>919</v>
      </c>
      <c r="C171" s="55"/>
      <c r="D171" s="48">
        <f>'[10]Rev_SP-12me'!AJ189</f>
        <v>24.906976744186</v>
      </c>
      <c r="E171" s="48">
        <f>'[10]Rev_SP-12me'!AL189</f>
        <v>62.9826480023331</v>
      </c>
      <c r="F171" s="48">
        <f>'[10]Rev_SP-12me'!AQ189</f>
        <v>150.12</v>
      </c>
      <c r="G171" s="68">
        <f>'[10]Rev_SP-12me'!O189</f>
        <v>260</v>
      </c>
      <c r="H171" s="69">
        <f>'[10]Rev_SP-12me'!P189</f>
        <v>7.3</v>
      </c>
      <c r="I171" s="68">
        <f>'[10]Rev_SP-12me'!AA189</f>
        <v>3500</v>
      </c>
      <c r="J171" s="8"/>
      <c r="K171" s="48">
        <f>'[10]Rev_SP-12me'!AT189</f>
        <v>15.7204689413823</v>
      </c>
      <c r="L171" s="48">
        <f>'[10]Rev_SP-12me'!AU189</f>
        <v>109.5876</v>
      </c>
      <c r="M171" s="48">
        <f>'[10]Rev_SP-12me'!AW189</f>
        <v>0.0990709176701364</v>
      </c>
      <c r="N171" s="8"/>
      <c r="O171" s="24">
        <f t="shared" si="4"/>
        <v>125.407139859052</v>
      </c>
    </row>
    <row r="172" ht="15" spans="2:15">
      <c r="B172" s="71" t="s">
        <v>1133</v>
      </c>
      <c r="C172" s="55"/>
      <c r="D172" s="48">
        <f>'[10]Rev_SP-12me'!AJ190</f>
        <v>8.8130081300813</v>
      </c>
      <c r="E172" s="48">
        <f>'[10]Rev_SP-12me'!AL190</f>
        <v>23.9083534604814</v>
      </c>
      <c r="F172" s="48">
        <f>'[10]Rev_SP-12me'!AQ190</f>
        <v>44.46</v>
      </c>
      <c r="G172" s="68">
        <f>'[10]Rev_SP-12me'!O190</f>
        <v>500</v>
      </c>
      <c r="H172" s="69">
        <f>'[10]Rev_SP-12me'!P190</f>
        <v>11</v>
      </c>
      <c r="I172" s="68">
        <f>'[10]Rev_SP-12me'!AA190</f>
        <v>3500</v>
      </c>
      <c r="J172" s="8"/>
      <c r="K172" s="48">
        <f>'[10]Rev_SP-12me'!AT190</f>
        <v>11.4760096610311</v>
      </c>
      <c r="L172" s="48">
        <f>'[10]Rev_SP-12me'!AU190</f>
        <v>48.906</v>
      </c>
      <c r="M172" s="48">
        <f>'[10]Rev_SP-12me'!AW190</f>
        <v>0.0361333333333333</v>
      </c>
      <c r="N172" s="8"/>
      <c r="O172" s="24">
        <f t="shared" si="4"/>
        <v>60.4181429943644</v>
      </c>
    </row>
    <row r="173" ht="15" spans="2:15">
      <c r="B173" s="77" t="s">
        <v>1151</v>
      </c>
      <c r="C173" s="55"/>
      <c r="D173" s="78">
        <f>SUM(D128,D142,D147,D148,D154,D159,D164,D166,D168,D169,D170,D171,D172)</f>
        <v>667.96199433328</v>
      </c>
      <c r="E173" s="78">
        <f>SUM(E128,E142,E147,E148,E154,E159,E164,E166,E168,E169,E170,E171,E172)</f>
        <v>2304.86561038668</v>
      </c>
      <c r="F173" s="78">
        <f>SUM(F128,F142,F147,F148,F154,F159,F164,F166,F168,F169,F170,F171,F172)</f>
        <v>8207.51663808032</v>
      </c>
      <c r="G173" s="95"/>
      <c r="H173" s="95"/>
      <c r="I173" s="95"/>
      <c r="J173" s="95"/>
      <c r="K173" s="80">
        <f>SUM(K128,K142,K147,K148,K154,K159,K164,K166,K168,K169,K170,K171,K172)</f>
        <v>1000.69569838023</v>
      </c>
      <c r="L173" s="80">
        <f>SUM(L128,L142,L147,L148,L154,L159,L164,L166,L168,L169,L170,L171,L172)</f>
        <v>6016.00888859418</v>
      </c>
      <c r="M173" s="80">
        <f>SUM(M128,M142,M147,M148,M154,M159,M164,M166,M168,M169,M170,M171,M172)</f>
        <v>2.75692377403708</v>
      </c>
      <c r="N173" s="78">
        <f>SUM(N128,N142,N147,N148,N154,N159,N164,N166,N168,N169,N170,N171,N172)</f>
        <v>0</v>
      </c>
      <c r="O173" s="78">
        <f>SUM(O128,O142,O147,O148,O154,O159,O164,O166,O168,O169,O170,O171,O172)</f>
        <v>7019.46151074845</v>
      </c>
    </row>
    <row r="174" spans="2:15">
      <c r="B174" s="55"/>
      <c r="C174" s="55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</row>
    <row r="175" spans="2:15">
      <c r="B175" s="71" t="s">
        <v>1152</v>
      </c>
      <c r="C175" s="55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</row>
    <row r="176" ht="15" spans="2:15">
      <c r="B176" s="71" t="s">
        <v>1137</v>
      </c>
      <c r="C176" s="55"/>
      <c r="D176" s="48">
        <f>'[10]Rev_SP-12me'!AJ208</f>
        <v>48.0026463777704</v>
      </c>
      <c r="E176" s="48">
        <f>'[10]Rev_SP-12me'!AL208</f>
        <v>675.417012004775</v>
      </c>
      <c r="F176" s="48">
        <f>'[10]Rev_SP-12me'!AQ208</f>
        <v>4759.99343954088</v>
      </c>
      <c r="G176" s="68">
        <f>'[10]Rev_SP-12me'!O208</f>
        <v>0</v>
      </c>
      <c r="H176" s="69">
        <f>'[10]Rev_SP-12me'!P208</f>
        <v>0</v>
      </c>
      <c r="I176" s="68">
        <f>'[10]Rev_SP-12me'!AA208</f>
        <v>0</v>
      </c>
      <c r="J176" s="8"/>
      <c r="K176" s="48">
        <f>'[10]Rev_SP-12me'!AT208</f>
        <v>307.990157474177</v>
      </c>
      <c r="L176" s="48">
        <f>'[10]Rev_SP-12me'!AU208</f>
        <v>3155.61119090431</v>
      </c>
      <c r="M176" s="48">
        <f>'[10]Rev_SP-12me'!AW208</f>
        <v>0.304110858558894</v>
      </c>
      <c r="N176" s="8"/>
      <c r="O176" s="24">
        <f t="shared" ref="O176:O217" si="5">SUM(K176:N176)</f>
        <v>3463.90545923705</v>
      </c>
    </row>
    <row r="177" spans="2:15">
      <c r="B177" s="74" t="s">
        <v>1105</v>
      </c>
      <c r="C177" s="55"/>
      <c r="D177" s="51">
        <f>'[10]Rev_SP-12me'!AJ209</f>
        <v>48.0026463777704</v>
      </c>
      <c r="E177" s="51">
        <f>'[10]Rev_SP-12me'!AL209</f>
        <v>675.417012004775</v>
      </c>
      <c r="F177" s="51">
        <f>'[10]Rev_SP-12me'!AQ209</f>
        <v>2201.19698734249</v>
      </c>
      <c r="G177" s="79">
        <f>'[10]Rev_SP-12me'!O209</f>
        <v>475</v>
      </c>
      <c r="H177" s="60">
        <f>'[10]Rev_SP-12me'!P209</f>
        <v>6.65</v>
      </c>
      <c r="I177" s="79">
        <f>'[10]Rev_SP-12me'!AA209</f>
        <v>5000</v>
      </c>
      <c r="J177" s="8"/>
      <c r="K177" s="51">
        <f>'[10]Rev_SP-12me'!AT209</f>
        <v>307.990157474177</v>
      </c>
      <c r="L177" s="51">
        <f>'[10]Rev_SP-12me'!AU209</f>
        <v>1463.79599658275</v>
      </c>
      <c r="M177" s="51">
        <f>'[10]Rev_SP-12me'!AW209</f>
        <v>0.304110858558894</v>
      </c>
      <c r="N177" s="8"/>
      <c r="O177" s="24">
        <f t="shared" si="5"/>
        <v>1772.09026491549</v>
      </c>
    </row>
    <row r="178" spans="2:15">
      <c r="B178" s="74" t="s">
        <v>1139</v>
      </c>
      <c r="C178" s="55"/>
      <c r="D178" s="53">
        <f>'[10]Rev_SP-12me'!AJ210</f>
        <v>0</v>
      </c>
      <c r="E178" s="53">
        <f>'[10]Rev_SP-12me'!AL210</f>
        <v>0</v>
      </c>
      <c r="F178" s="53">
        <f>'[10]Rev_SP-12me'!AQ210</f>
        <v>0</v>
      </c>
      <c r="G178" s="94">
        <f>'[10]Rev_SP-12me'!O210</f>
        <v>0</v>
      </c>
      <c r="H178" s="91">
        <f>'[10]Rev_SP-12me'!P210</f>
        <v>6.65</v>
      </c>
      <c r="I178" s="94">
        <f>'[10]Rev_SP-12me'!AA210</f>
        <v>5000</v>
      </c>
      <c r="J178" s="8"/>
      <c r="K178" s="53">
        <f>'[10]Rev_SP-12me'!AT210</f>
        <v>0</v>
      </c>
      <c r="L178" s="53">
        <f>'[10]Rev_SP-12me'!AU210</f>
        <v>0</v>
      </c>
      <c r="M178" s="53">
        <f>'[10]Rev_SP-12me'!AW210</f>
        <v>0</v>
      </c>
      <c r="N178" s="8"/>
      <c r="O178" s="24">
        <f t="shared" si="5"/>
        <v>0</v>
      </c>
    </row>
    <row r="179" spans="2:15">
      <c r="B179" s="74" t="s">
        <v>1140</v>
      </c>
      <c r="C179" s="55"/>
      <c r="D179" s="53">
        <f>'[10]Rev_SP-12me'!AJ211</f>
        <v>0</v>
      </c>
      <c r="E179" s="53">
        <f>'[10]Rev_SP-12me'!AL211</f>
        <v>0</v>
      </c>
      <c r="F179" s="53">
        <f>'[10]Rev_SP-12me'!AQ211</f>
        <v>0</v>
      </c>
      <c r="G179" s="94">
        <f>'[10]Rev_SP-12me'!O211</f>
        <v>0</v>
      </c>
      <c r="H179" s="91">
        <f>'[10]Rev_SP-12me'!P211</f>
        <v>7.3</v>
      </c>
      <c r="I179" s="94">
        <f>'[10]Rev_SP-12me'!AA211</f>
        <v>5000</v>
      </c>
      <c r="J179" s="8"/>
      <c r="K179" s="53">
        <f>'[10]Rev_SP-12me'!AT211</f>
        <v>0</v>
      </c>
      <c r="L179" s="53">
        <f>'[10]Rev_SP-12me'!AU211</f>
        <v>0</v>
      </c>
      <c r="M179" s="53">
        <f>'[10]Rev_SP-12me'!AW211</f>
        <v>0</v>
      </c>
      <c r="N179" s="8"/>
      <c r="O179" s="24">
        <f t="shared" si="5"/>
        <v>0</v>
      </c>
    </row>
    <row r="180" spans="2:15">
      <c r="B180" s="74" t="s">
        <v>1141</v>
      </c>
      <c r="C180" s="55"/>
      <c r="D180" s="53">
        <f>'[10]Rev_SP-12me'!AJ212</f>
        <v>0</v>
      </c>
      <c r="E180" s="53">
        <f>'[10]Rev_SP-12me'!AL212</f>
        <v>0</v>
      </c>
      <c r="F180" s="53">
        <f>'[10]Rev_SP-12me'!AQ212</f>
        <v>0</v>
      </c>
      <c r="G180" s="94">
        <f>'[10]Rev_SP-12me'!O212</f>
        <v>475</v>
      </c>
      <c r="H180" s="91">
        <f>'[10]Rev_SP-12me'!P212</f>
        <v>7.7</v>
      </c>
      <c r="I180" s="94">
        <f>'[10]Rev_SP-12me'!AA212</f>
        <v>5000</v>
      </c>
      <c r="J180" s="8"/>
      <c r="K180" s="53">
        <f>'[10]Rev_SP-12me'!AT212</f>
        <v>0</v>
      </c>
      <c r="L180" s="53">
        <f>'[10]Rev_SP-12me'!AU212</f>
        <v>0</v>
      </c>
      <c r="M180" s="53">
        <f>'[10]Rev_SP-12me'!AW212</f>
        <v>0</v>
      </c>
      <c r="N180" s="8"/>
      <c r="O180" s="24">
        <f t="shared" si="5"/>
        <v>0</v>
      </c>
    </row>
    <row r="181" spans="2:15">
      <c r="B181" s="76" t="s">
        <v>1120</v>
      </c>
      <c r="C181" s="55"/>
      <c r="D181" s="53">
        <f>'[10]Rev_SP-12me'!AJ213</f>
        <v>0</v>
      </c>
      <c r="E181" s="53">
        <f>'[10]Rev_SP-12me'!AL213</f>
        <v>0</v>
      </c>
      <c r="F181" s="53">
        <f>'[10]Rev_SP-12me'!AQ213</f>
        <v>648.11135665373</v>
      </c>
      <c r="G181" s="94">
        <f>'[10]Rev_SP-12me'!O213</f>
        <v>0</v>
      </c>
      <c r="H181" s="91">
        <f>'[10]Rev_SP-12me'!P213</f>
        <v>7.65</v>
      </c>
      <c r="I181" s="94">
        <f>'[10]Rev_SP-12me'!AA213</f>
        <v>5000</v>
      </c>
      <c r="J181" s="8"/>
      <c r="K181" s="53">
        <f>'[10]Rev_SP-12me'!AT213</f>
        <v>0</v>
      </c>
      <c r="L181" s="53">
        <f>'[10]Rev_SP-12me'!AU213</f>
        <v>495.805187840103</v>
      </c>
      <c r="M181" s="53">
        <f>'[10]Rev_SP-12me'!AW213</f>
        <v>0</v>
      </c>
      <c r="N181" s="8"/>
      <c r="O181" s="24">
        <f t="shared" si="5"/>
        <v>495.805187840103</v>
      </c>
    </row>
    <row r="182" spans="2:15">
      <c r="B182" s="76" t="s">
        <v>1121</v>
      </c>
      <c r="C182" s="55"/>
      <c r="D182" s="53">
        <f>'[10]Rev_SP-12me'!AJ214</f>
        <v>0</v>
      </c>
      <c r="E182" s="53">
        <f>'[10]Rev_SP-12me'!AL214</f>
        <v>0</v>
      </c>
      <c r="F182" s="53">
        <f>'[10]Rev_SP-12me'!AQ214</f>
        <v>582.364637493587</v>
      </c>
      <c r="G182" s="94">
        <f>'[10]Rev_SP-12me'!O214</f>
        <v>0</v>
      </c>
      <c r="H182" s="91">
        <f>'[10]Rev_SP-12me'!P214</f>
        <v>7.65</v>
      </c>
      <c r="I182" s="94">
        <f>'[10]Rev_SP-12me'!AA214</f>
        <v>5000</v>
      </c>
      <c r="J182" s="8"/>
      <c r="K182" s="53">
        <f>'[10]Rev_SP-12me'!AT214</f>
        <v>0</v>
      </c>
      <c r="L182" s="53">
        <f>'[10]Rev_SP-12me'!AU214</f>
        <v>445.508947682594</v>
      </c>
      <c r="M182" s="53">
        <f>'[10]Rev_SP-12me'!AW214</f>
        <v>0</v>
      </c>
      <c r="N182" s="8"/>
      <c r="O182" s="24">
        <f t="shared" si="5"/>
        <v>445.508947682594</v>
      </c>
    </row>
    <row r="183" spans="2:15">
      <c r="B183" s="76" t="s">
        <v>1122</v>
      </c>
      <c r="C183" s="55"/>
      <c r="D183" s="53">
        <f>'[10]Rev_SP-12me'!AJ215</f>
        <v>0</v>
      </c>
      <c r="E183" s="53">
        <f>'[10]Rev_SP-12me'!AL215</f>
        <v>0</v>
      </c>
      <c r="F183" s="53">
        <f>'[10]Rev_SP-12me'!AQ215</f>
        <v>1328.32045805108</v>
      </c>
      <c r="G183" s="94">
        <f>'[10]Rev_SP-12me'!O215</f>
        <v>0</v>
      </c>
      <c r="H183" s="91">
        <f>'[10]Rev_SP-12me'!P215</f>
        <v>5.65</v>
      </c>
      <c r="I183" s="94">
        <f>'[10]Rev_SP-12me'!AA215</f>
        <v>5000</v>
      </c>
      <c r="J183" s="8"/>
      <c r="K183" s="53">
        <f>'[10]Rev_SP-12me'!AT215</f>
        <v>0</v>
      </c>
      <c r="L183" s="53">
        <f>'[10]Rev_SP-12me'!AU215</f>
        <v>750.501058798861</v>
      </c>
      <c r="M183" s="53">
        <f>'[10]Rev_SP-12me'!AW215</f>
        <v>0</v>
      </c>
      <c r="N183" s="8"/>
      <c r="O183" s="24">
        <f t="shared" si="5"/>
        <v>750.501058798861</v>
      </c>
    </row>
    <row r="184" ht="15" spans="2:15">
      <c r="B184" s="71" t="s">
        <v>1118</v>
      </c>
      <c r="C184" s="55"/>
      <c r="D184" s="87">
        <f>'[10]Rev_SP-12me'!AJ217</f>
        <v>0</v>
      </c>
      <c r="E184" s="48">
        <f>'[10]Rev_SP-12me'!AL217</f>
        <v>150.924345858515</v>
      </c>
      <c r="F184" s="48">
        <f>'[10]Rev_SP-12me'!AQ217</f>
        <v>1380.88347531764</v>
      </c>
      <c r="G184" s="68">
        <f>'[10]Rev_SP-12me'!O217</f>
        <v>0</v>
      </c>
      <c r="H184" s="69">
        <f>'[10]Rev_SP-12me'!P217</f>
        <v>0</v>
      </c>
      <c r="I184" s="68">
        <f>'[10]Rev_SP-12me'!AA217</f>
        <v>20000</v>
      </c>
      <c r="J184" s="8"/>
      <c r="K184" s="48">
        <f>'[10]Rev_SP-12me'!AT217</f>
        <v>68.821501711483</v>
      </c>
      <c r="L184" s="48">
        <f>'[10]Rev_SP-12me'!AU217</f>
        <v>919.034650156581</v>
      </c>
      <c r="M184" s="48">
        <f>'[10]Rev_SP-12me'!AW217</f>
        <v>0</v>
      </c>
      <c r="N184" s="8"/>
      <c r="O184" s="24">
        <f t="shared" si="5"/>
        <v>987.856151868064</v>
      </c>
    </row>
    <row r="185" spans="2:15">
      <c r="B185" s="74" t="s">
        <v>1119</v>
      </c>
      <c r="C185" s="55"/>
      <c r="D185" s="86">
        <f>'[10]Rev_SP-12me'!AJ218</f>
        <v>0</v>
      </c>
      <c r="E185" s="85">
        <f>'[10]Rev_SP-12me'!AL218</f>
        <v>150.924345858515</v>
      </c>
      <c r="F185" s="84">
        <f>'[10]Rev_SP-12me'!AQ218</f>
        <v>468.058543847866</v>
      </c>
      <c r="G185" s="84">
        <f>'[10]Rev_SP-12me'!O218</f>
        <v>475</v>
      </c>
      <c r="H185" s="97">
        <f>'[10]Rev_SP-12me'!P218</f>
        <v>6.65</v>
      </c>
      <c r="I185" s="53">
        <f>'[10]Rev_SP-12me'!AA218</f>
        <v>5000</v>
      </c>
      <c r="J185" s="8"/>
      <c r="K185" s="85">
        <f>'[10]Rev_SP-12me'!AT218</f>
        <v>68.821501711483</v>
      </c>
      <c r="L185" s="85">
        <f>'[10]Rev_SP-12me'!AU218</f>
        <v>311.258931658831</v>
      </c>
      <c r="M185" s="85">
        <f>'[10]Rev_SP-12me'!AW218</f>
        <v>0</v>
      </c>
      <c r="N185" s="8"/>
      <c r="O185" s="24">
        <f t="shared" si="5"/>
        <v>380.080433370314</v>
      </c>
    </row>
    <row r="186" spans="2:15">
      <c r="B186" s="74" t="s">
        <v>1120</v>
      </c>
      <c r="C186" s="55"/>
      <c r="D186" s="86">
        <f>'[10]Rev_SP-12me'!AJ219</f>
        <v>0</v>
      </c>
      <c r="E186" s="86">
        <f>'[10]Rev_SP-12me'!AL219</f>
        <v>0</v>
      </c>
      <c r="F186" s="84">
        <f>'[10]Rev_SP-12me'!AQ219</f>
        <v>228.715826918976</v>
      </c>
      <c r="G186" s="98">
        <f>'[10]Rev_SP-12me'!O219</f>
        <v>0</v>
      </c>
      <c r="H186" s="91">
        <f>'[10]Rev_SP-12me'!P219</f>
        <v>7.65</v>
      </c>
      <c r="I186" s="94">
        <f>'[10]Rev_SP-12me'!AA219</f>
        <v>5000</v>
      </c>
      <c r="J186" s="8"/>
      <c r="K186" s="86">
        <f>'[10]Rev_SP-12me'!AT219</f>
        <v>0</v>
      </c>
      <c r="L186" s="86">
        <f>'[10]Rev_SP-12me'!AU219</f>
        <v>174.967607593016</v>
      </c>
      <c r="M186" s="86">
        <f>'[10]Rev_SP-12me'!AW219</f>
        <v>0</v>
      </c>
      <c r="N186" s="8"/>
      <c r="O186" s="24">
        <f t="shared" si="5"/>
        <v>174.967607593016</v>
      </c>
    </row>
    <row r="187" spans="2:15">
      <c r="B187" s="74" t="s">
        <v>1121</v>
      </c>
      <c r="C187" s="55"/>
      <c r="D187" s="86">
        <f>'[10]Rev_SP-12me'!AJ220</f>
        <v>0</v>
      </c>
      <c r="E187" s="86">
        <f>'[10]Rev_SP-12me'!AL220</f>
        <v>0</v>
      </c>
      <c r="F187" s="84">
        <f>'[10]Rev_SP-12me'!AQ220</f>
        <v>231.432334167668</v>
      </c>
      <c r="G187" s="98">
        <f>'[10]Rev_SP-12me'!O220</f>
        <v>0</v>
      </c>
      <c r="H187" s="91">
        <f>'[10]Rev_SP-12me'!P220</f>
        <v>7.65</v>
      </c>
      <c r="I187" s="94">
        <f>'[10]Rev_SP-12me'!AA220</f>
        <v>5000</v>
      </c>
      <c r="J187" s="8"/>
      <c r="K187" s="86">
        <f>'[10]Rev_SP-12me'!AT220</f>
        <v>0</v>
      </c>
      <c r="L187" s="86">
        <f>'[10]Rev_SP-12me'!AU220</f>
        <v>177.045735638266</v>
      </c>
      <c r="M187" s="86">
        <f>'[10]Rev_SP-12me'!AW220</f>
        <v>0</v>
      </c>
      <c r="N187" s="8"/>
      <c r="O187" s="24">
        <f t="shared" si="5"/>
        <v>177.045735638266</v>
      </c>
    </row>
    <row r="188" spans="2:15">
      <c r="B188" s="74" t="s">
        <v>1122</v>
      </c>
      <c r="C188" s="55"/>
      <c r="D188" s="86">
        <f>'[10]Rev_SP-12me'!AJ221</f>
        <v>0</v>
      </c>
      <c r="E188" s="86">
        <f>'[10]Rev_SP-12me'!AL221</f>
        <v>0</v>
      </c>
      <c r="F188" s="84">
        <f>'[10]Rev_SP-12me'!AQ221</f>
        <v>452.67677038313</v>
      </c>
      <c r="G188" s="98">
        <f>'[10]Rev_SP-12me'!O221</f>
        <v>0</v>
      </c>
      <c r="H188" s="91">
        <f>'[10]Rev_SP-12me'!P221</f>
        <v>5.65</v>
      </c>
      <c r="I188" s="94">
        <f>'[10]Rev_SP-12me'!AA221</f>
        <v>5000</v>
      </c>
      <c r="J188" s="8"/>
      <c r="K188" s="86">
        <f>'[10]Rev_SP-12me'!AT221</f>
        <v>0</v>
      </c>
      <c r="L188" s="86">
        <f>'[10]Rev_SP-12me'!AU221</f>
        <v>255.762375266468</v>
      </c>
      <c r="M188" s="86">
        <f>'[10]Rev_SP-12me'!AW221</f>
        <v>0</v>
      </c>
      <c r="N188" s="8"/>
      <c r="O188" s="24">
        <f t="shared" si="5"/>
        <v>255.762375266468</v>
      </c>
    </row>
    <row r="189" ht="15" spans="2:15">
      <c r="B189" s="71" t="s">
        <v>1153</v>
      </c>
      <c r="C189" s="55"/>
      <c r="D189" s="87">
        <f>'[10]Rev_SP-12me'!AJ216</f>
        <v>2</v>
      </c>
      <c r="E189" s="48">
        <f>'[10]Rev_SP-12me'!AL216</f>
        <v>67.4496487119438</v>
      </c>
      <c r="F189" s="48">
        <f>'[10]Rev_SP-12me'!AQ216</f>
        <v>181.2065</v>
      </c>
      <c r="G189" s="68">
        <f>'[10]Rev_SP-12me'!O216</f>
        <v>475</v>
      </c>
      <c r="H189" s="69">
        <f>'[10]Rev_SP-12me'!P216</f>
        <v>6.65</v>
      </c>
      <c r="I189" s="68">
        <f>'[10]Rev_SP-12me'!AA216</f>
        <v>5000</v>
      </c>
      <c r="J189" s="8"/>
      <c r="K189" s="48">
        <f>'[10]Rev_SP-12me'!AT216</f>
        <v>30.7570398126464</v>
      </c>
      <c r="L189" s="48">
        <f>'[10]Rev_SP-12me'!AU216</f>
        <v>120.5023225</v>
      </c>
      <c r="M189" s="48">
        <f>'[10]Rev_SP-12me'!AW216</f>
        <v>0.012</v>
      </c>
      <c r="N189" s="8"/>
      <c r="O189" s="24">
        <f t="shared" si="5"/>
        <v>151.271362312646</v>
      </c>
    </row>
    <row r="190" ht="15" spans="2:15">
      <c r="B190" s="71" t="s">
        <v>1154</v>
      </c>
      <c r="C190" s="55"/>
      <c r="D190" s="48">
        <f>'[10]Rev_SP-12me'!AJ222</f>
        <v>4.53110156073287</v>
      </c>
      <c r="E190" s="48">
        <f>'[10]Rev_SP-12me'!AL222</f>
        <v>20.0876305769858</v>
      </c>
      <c r="F190" s="48">
        <f>'[10]Rev_SP-12me'!AQ222</f>
        <v>61.3754926841118</v>
      </c>
      <c r="G190" s="68">
        <f>'[10]Rev_SP-12me'!O222</f>
        <v>0</v>
      </c>
      <c r="H190" s="69">
        <f>'[10]Rev_SP-12me'!P222</f>
        <v>0</v>
      </c>
      <c r="I190" s="68">
        <f>'[10]Rev_SP-12me'!AA222</f>
        <v>0</v>
      </c>
      <c r="J190" s="8"/>
      <c r="K190" s="48">
        <f>'[10]Rev_SP-12me'!AT222</f>
        <v>9.15995954310553</v>
      </c>
      <c r="L190" s="48">
        <f>'[10]Rev_SP-12me'!AU222</f>
        <v>48.3289618582509</v>
      </c>
      <c r="M190" s="48">
        <f>'[10]Rev_SP-12me'!AW222</f>
        <v>0.0271866093643972</v>
      </c>
      <c r="N190" s="8"/>
      <c r="O190" s="24">
        <f t="shared" si="5"/>
        <v>57.5161080107208</v>
      </c>
    </row>
    <row r="191" spans="2:15">
      <c r="B191" s="76" t="s">
        <v>1119</v>
      </c>
      <c r="C191" s="55"/>
      <c r="D191" s="53">
        <f>'[10]Rev_SP-12me'!AJ223</f>
        <v>4.53110156073287</v>
      </c>
      <c r="E191" s="53">
        <f>'[10]Rev_SP-12me'!AL223</f>
        <v>20.0876305769858</v>
      </c>
      <c r="F191" s="53">
        <f>'[10]Rev_SP-12me'!AQ223</f>
        <v>28.6437601284902</v>
      </c>
      <c r="G191" s="94">
        <f>'[10]Rev_SP-12me'!O223</f>
        <v>475</v>
      </c>
      <c r="H191" s="91">
        <f>'[10]Rev_SP-12me'!P223</f>
        <v>7.8</v>
      </c>
      <c r="I191" s="94">
        <f>'[10]Rev_SP-12me'!AA223</f>
        <v>5000</v>
      </c>
      <c r="J191" s="8"/>
      <c r="K191" s="53">
        <f>'[10]Rev_SP-12me'!AT223</f>
        <v>9.15995954310553</v>
      </c>
      <c r="L191" s="53">
        <f>'[10]Rev_SP-12me'!AU223</f>
        <v>22.3421329002223</v>
      </c>
      <c r="M191" s="53">
        <f>'[10]Rev_SP-12me'!AW223</f>
        <v>0.0271866093643972</v>
      </c>
      <c r="N191" s="8"/>
      <c r="O191" s="24">
        <f t="shared" si="5"/>
        <v>31.5292790526922</v>
      </c>
    </row>
    <row r="192" spans="2:15">
      <c r="B192" s="76" t="s">
        <v>1120</v>
      </c>
      <c r="C192" s="55"/>
      <c r="D192" s="53">
        <f>'[10]Rev_SP-12me'!AJ224</f>
        <v>0</v>
      </c>
      <c r="E192" s="53">
        <f>'[10]Rev_SP-12me'!AL224</f>
        <v>0</v>
      </c>
      <c r="F192" s="53">
        <f>'[10]Rev_SP-12me'!AQ224</f>
        <v>8.93540127772087</v>
      </c>
      <c r="G192" s="94">
        <f>'[10]Rev_SP-12me'!O224</f>
        <v>0</v>
      </c>
      <c r="H192" s="91">
        <f>'[10]Rev_SP-12me'!P224</f>
        <v>8.8</v>
      </c>
      <c r="I192" s="94">
        <f>'[10]Rev_SP-12me'!AA224</f>
        <v>5000</v>
      </c>
      <c r="J192" s="8"/>
      <c r="K192" s="53">
        <f>'[10]Rev_SP-12me'!AT224</f>
        <v>0</v>
      </c>
      <c r="L192" s="53">
        <f>'[10]Rev_SP-12me'!AU224</f>
        <v>7.86315312439437</v>
      </c>
      <c r="M192" s="53">
        <f>'[10]Rev_SP-12me'!AW224</f>
        <v>0</v>
      </c>
      <c r="N192" s="8"/>
      <c r="O192" s="24">
        <f t="shared" si="5"/>
        <v>7.86315312439437</v>
      </c>
    </row>
    <row r="193" spans="2:15">
      <c r="B193" s="76" t="s">
        <v>1121</v>
      </c>
      <c r="C193" s="55"/>
      <c r="D193" s="53">
        <f>'[10]Rev_SP-12me'!AJ225</f>
        <v>0</v>
      </c>
      <c r="E193" s="53">
        <f>'[10]Rev_SP-12me'!AL225</f>
        <v>0</v>
      </c>
      <c r="F193" s="53">
        <f>'[10]Rev_SP-12me'!AQ225</f>
        <v>9.71085282330852</v>
      </c>
      <c r="G193" s="94">
        <f>'[10]Rev_SP-12me'!O225</f>
        <v>0</v>
      </c>
      <c r="H193" s="91">
        <f>'[10]Rev_SP-12me'!P225</f>
        <v>8.8</v>
      </c>
      <c r="I193" s="94">
        <f>'[10]Rev_SP-12me'!AA225</f>
        <v>5000</v>
      </c>
      <c r="J193" s="8"/>
      <c r="K193" s="53">
        <f>'[10]Rev_SP-12me'!AT225</f>
        <v>0</v>
      </c>
      <c r="L193" s="53">
        <f>'[10]Rev_SP-12me'!AU225</f>
        <v>8.5455504845115</v>
      </c>
      <c r="M193" s="53">
        <f>'[10]Rev_SP-12me'!AW225</f>
        <v>0</v>
      </c>
      <c r="N193" s="8"/>
      <c r="O193" s="24">
        <f t="shared" si="5"/>
        <v>8.5455504845115</v>
      </c>
    </row>
    <row r="194" spans="2:15">
      <c r="B194" s="76" t="s">
        <v>1122</v>
      </c>
      <c r="C194" s="55"/>
      <c r="D194" s="53">
        <f>'[10]Rev_SP-12me'!AJ226</f>
        <v>0</v>
      </c>
      <c r="E194" s="53">
        <f>'[10]Rev_SP-12me'!AL226</f>
        <v>0</v>
      </c>
      <c r="F194" s="53">
        <f>'[10]Rev_SP-12me'!AQ226</f>
        <v>14.0854784545922</v>
      </c>
      <c r="G194" s="94">
        <f>'[10]Rev_SP-12me'!O226</f>
        <v>0</v>
      </c>
      <c r="H194" s="91">
        <f>'[10]Rev_SP-12me'!P226</f>
        <v>6.8</v>
      </c>
      <c r="I194" s="94">
        <f>'[10]Rev_SP-12me'!AA226</f>
        <v>5000</v>
      </c>
      <c r="J194" s="8"/>
      <c r="K194" s="53">
        <f>'[10]Rev_SP-12me'!AT226</f>
        <v>0</v>
      </c>
      <c r="L194" s="53">
        <f>'[10]Rev_SP-12me'!AU226</f>
        <v>9.57812534912273</v>
      </c>
      <c r="M194" s="53">
        <f>'[10]Rev_SP-12me'!AW226</f>
        <v>0</v>
      </c>
      <c r="N194" s="8"/>
      <c r="O194" s="24">
        <f t="shared" si="5"/>
        <v>9.57812534912273</v>
      </c>
    </row>
    <row r="195" ht="15" spans="2:15">
      <c r="B195" s="71" t="s">
        <v>1125</v>
      </c>
      <c r="C195" s="55"/>
      <c r="D195" s="48">
        <f>'[10]Rev_SP-12me'!AJ227</f>
        <v>0</v>
      </c>
      <c r="E195" s="48">
        <f>'[10]Rev_SP-12me'!AL227</f>
        <v>0</v>
      </c>
      <c r="F195" s="48">
        <f>'[10]Rev_SP-12me'!AQ227</f>
        <v>0</v>
      </c>
      <c r="G195" s="68">
        <f>'[10]Rev_SP-12me'!O227</f>
        <v>0</v>
      </c>
      <c r="H195" s="69">
        <f>'[10]Rev_SP-12me'!P227</f>
        <v>0</v>
      </c>
      <c r="I195" s="68">
        <f>'[10]Rev_SP-12me'!AA227</f>
        <v>0</v>
      </c>
      <c r="J195" s="8"/>
      <c r="K195" s="48">
        <f>'[10]Rev_SP-12me'!AT227</f>
        <v>0</v>
      </c>
      <c r="L195" s="48">
        <f>'[10]Rev_SP-12me'!AU227</f>
        <v>0</v>
      </c>
      <c r="M195" s="48">
        <f>'[10]Rev_SP-12me'!AW227</f>
        <v>0</v>
      </c>
      <c r="N195" s="8"/>
      <c r="O195" s="24">
        <f t="shared" si="5"/>
        <v>0</v>
      </c>
    </row>
    <row r="196" spans="2:15">
      <c r="B196" s="74" t="s">
        <v>1119</v>
      </c>
      <c r="C196" s="55"/>
      <c r="D196" s="53">
        <f>'[10]Rev_SP-12me'!AJ228</f>
        <v>0</v>
      </c>
      <c r="E196" s="53">
        <f>'[10]Rev_SP-12me'!AL228</f>
        <v>0</v>
      </c>
      <c r="F196" s="53">
        <f>'[10]Rev_SP-12me'!AQ228</f>
        <v>0</v>
      </c>
      <c r="G196" s="94">
        <f>'[10]Rev_SP-12me'!O228</f>
        <v>260</v>
      </c>
      <c r="H196" s="91">
        <f>'[10]Rev_SP-12me'!P228</f>
        <v>5</v>
      </c>
      <c r="I196" s="94">
        <f>'[10]Rev_SP-12me'!AA228</f>
        <v>5000</v>
      </c>
      <c r="J196" s="8"/>
      <c r="K196" s="53">
        <f>'[10]Rev_SP-12me'!AT228</f>
        <v>0</v>
      </c>
      <c r="L196" s="53">
        <f>'[10]Rev_SP-12me'!AU228</f>
        <v>0</v>
      </c>
      <c r="M196" s="53">
        <f>'[10]Rev_SP-12me'!AW228</f>
        <v>0</v>
      </c>
      <c r="N196" s="8"/>
      <c r="O196" s="24">
        <f t="shared" si="5"/>
        <v>0</v>
      </c>
    </row>
    <row r="197" spans="2:15">
      <c r="B197" s="74" t="s">
        <v>1120</v>
      </c>
      <c r="C197" s="55"/>
      <c r="D197" s="53">
        <f>'[10]Rev_SP-12me'!AJ229</f>
        <v>0</v>
      </c>
      <c r="E197" s="53">
        <f>'[10]Rev_SP-12me'!AL229</f>
        <v>0</v>
      </c>
      <c r="F197" s="53">
        <f>'[10]Rev_SP-12me'!AQ229</f>
        <v>0</v>
      </c>
      <c r="G197" s="94">
        <f>'[10]Rev_SP-12me'!O229</f>
        <v>0</v>
      </c>
      <c r="H197" s="91">
        <f>'[10]Rev_SP-12me'!P229</f>
        <v>6</v>
      </c>
      <c r="I197" s="94">
        <f>'[10]Rev_SP-12me'!AA229</f>
        <v>5000</v>
      </c>
      <c r="J197" s="8"/>
      <c r="K197" s="53">
        <f>'[10]Rev_SP-12me'!AT229</f>
        <v>0</v>
      </c>
      <c r="L197" s="53">
        <f>'[10]Rev_SP-12me'!AU229</f>
        <v>0</v>
      </c>
      <c r="M197" s="53">
        <f>'[10]Rev_SP-12me'!AW229</f>
        <v>0</v>
      </c>
      <c r="N197" s="8"/>
      <c r="O197" s="24">
        <f t="shared" si="5"/>
        <v>0</v>
      </c>
    </row>
    <row r="198" spans="2:15">
      <c r="B198" s="74" t="s">
        <v>1121</v>
      </c>
      <c r="C198" s="55"/>
      <c r="D198" s="53">
        <f>'[10]Rev_SP-12me'!AJ230</f>
        <v>0</v>
      </c>
      <c r="E198" s="53">
        <f>'[10]Rev_SP-12me'!AL230</f>
        <v>0</v>
      </c>
      <c r="F198" s="53">
        <f>'[10]Rev_SP-12me'!AQ230</f>
        <v>0</v>
      </c>
      <c r="G198" s="94">
        <f>'[10]Rev_SP-12me'!O230</f>
        <v>0</v>
      </c>
      <c r="H198" s="91">
        <f>'[10]Rev_SP-12me'!P230</f>
        <v>6</v>
      </c>
      <c r="I198" s="94">
        <f>'[10]Rev_SP-12me'!AA230</f>
        <v>5000</v>
      </c>
      <c r="J198" s="8"/>
      <c r="K198" s="53">
        <f>'[10]Rev_SP-12me'!AT230</f>
        <v>0</v>
      </c>
      <c r="L198" s="53">
        <f>'[10]Rev_SP-12me'!AU230</f>
        <v>0</v>
      </c>
      <c r="M198" s="53">
        <f>'[10]Rev_SP-12me'!AW230</f>
        <v>0</v>
      </c>
      <c r="N198" s="8"/>
      <c r="O198" s="24">
        <f t="shared" si="5"/>
        <v>0</v>
      </c>
    </row>
    <row r="199" spans="2:15">
      <c r="B199" s="74" t="s">
        <v>1122</v>
      </c>
      <c r="C199" s="55"/>
      <c r="D199" s="53">
        <f>'[10]Rev_SP-12me'!AJ231</f>
        <v>0</v>
      </c>
      <c r="E199" s="53">
        <f>'[10]Rev_SP-12me'!AL231</f>
        <v>0</v>
      </c>
      <c r="F199" s="53">
        <f>'[10]Rev_SP-12me'!AQ231</f>
        <v>0</v>
      </c>
      <c r="G199" s="94">
        <f>'[10]Rev_SP-12me'!O231</f>
        <v>0</v>
      </c>
      <c r="H199" s="91">
        <f>'[10]Rev_SP-12me'!P231</f>
        <v>4</v>
      </c>
      <c r="I199" s="94">
        <f>'[10]Rev_SP-12me'!AA231</f>
        <v>5000</v>
      </c>
      <c r="J199" s="8"/>
      <c r="K199" s="53">
        <f>'[10]Rev_SP-12me'!AT231</f>
        <v>0</v>
      </c>
      <c r="L199" s="53">
        <f>'[10]Rev_SP-12me'!AU231</f>
        <v>0</v>
      </c>
      <c r="M199" s="53">
        <f>'[10]Rev_SP-12me'!AW231</f>
        <v>0</v>
      </c>
      <c r="N199" s="8"/>
      <c r="O199" s="24">
        <f t="shared" si="5"/>
        <v>0</v>
      </c>
    </row>
    <row r="200" ht="15" spans="2:15">
      <c r="B200" s="71" t="s">
        <v>1126</v>
      </c>
      <c r="C200" s="55"/>
      <c r="D200" s="48">
        <f>'[10]Rev_SP-12me'!AJ232</f>
        <v>1</v>
      </c>
      <c r="E200" s="48">
        <f>'[10]Rev_SP-12me'!AL232</f>
        <v>11.5967885816235</v>
      </c>
      <c r="F200" s="48">
        <f>'[10]Rev_SP-12me'!AQ232</f>
        <v>73.73</v>
      </c>
      <c r="G200" s="68">
        <f>'[10]Rev_SP-12me'!O232</f>
        <v>0</v>
      </c>
      <c r="H200" s="69">
        <f>'[10]Rev_SP-12me'!P232</f>
        <v>0</v>
      </c>
      <c r="I200" s="68">
        <f>'[10]Rev_SP-12me'!AA232</f>
        <v>0</v>
      </c>
      <c r="J200" s="8"/>
      <c r="K200" s="48">
        <f>'[10]Rev_SP-12me'!AT232</f>
        <v>5.28813559322034</v>
      </c>
      <c r="L200" s="48">
        <f>'[10]Rev_SP-12me'!AU232</f>
        <v>54.871054814338</v>
      </c>
      <c r="M200" s="48">
        <f>'[10]Rev_SP-12me'!AW232</f>
        <v>0.006</v>
      </c>
      <c r="N200" s="8"/>
      <c r="O200" s="24">
        <f t="shared" si="5"/>
        <v>60.1651904075583</v>
      </c>
    </row>
    <row r="201" spans="2:15">
      <c r="B201" s="76" t="s">
        <v>1119</v>
      </c>
      <c r="C201" s="55"/>
      <c r="D201" s="53">
        <f>'[10]Rev_SP-12me'!AJ233</f>
        <v>1</v>
      </c>
      <c r="E201" s="53">
        <f>'[10]Rev_SP-12me'!AL233</f>
        <v>11.5967885816235</v>
      </c>
      <c r="F201" s="53">
        <f>'[10]Rev_SP-12me'!AQ233</f>
        <v>21.5140316157615</v>
      </c>
      <c r="G201" s="94">
        <f>'[10]Rev_SP-12me'!O233</f>
        <v>475</v>
      </c>
      <c r="H201" s="91">
        <f>'[10]Rev_SP-12me'!P233</f>
        <v>7.45</v>
      </c>
      <c r="I201" s="94">
        <f>'[10]Rev_SP-12me'!AA233</f>
        <v>5000</v>
      </c>
      <c r="J201" s="8"/>
      <c r="K201" s="53">
        <f>'[10]Rev_SP-12me'!AT233</f>
        <v>5.28813559322034</v>
      </c>
      <c r="L201" s="53">
        <f>'[10]Rev_SP-12me'!AU233</f>
        <v>16.0279535537423</v>
      </c>
      <c r="M201" s="53">
        <f>'[10]Rev_SP-12me'!AW233</f>
        <v>0.006</v>
      </c>
      <c r="N201" s="8"/>
      <c r="O201" s="24">
        <f t="shared" si="5"/>
        <v>21.3220891469626</v>
      </c>
    </row>
    <row r="202" spans="2:15">
      <c r="B202" s="76" t="s">
        <v>1120</v>
      </c>
      <c r="C202" s="55"/>
      <c r="D202" s="53">
        <f>'[10]Rev_SP-12me'!AJ234</f>
        <v>0</v>
      </c>
      <c r="E202" s="53">
        <f>'[10]Rev_SP-12me'!AL234</f>
        <v>0</v>
      </c>
      <c r="F202" s="53">
        <f>'[10]Rev_SP-12me'!AQ234</f>
        <v>15.3401143396855</v>
      </c>
      <c r="G202" s="94">
        <f>'[10]Rev_SP-12me'!O234</f>
        <v>0</v>
      </c>
      <c r="H202" s="91">
        <f>'[10]Rev_SP-12me'!P234</f>
        <v>8.45</v>
      </c>
      <c r="I202" s="94">
        <f>'[10]Rev_SP-12me'!AA234</f>
        <v>5000</v>
      </c>
      <c r="J202" s="8"/>
      <c r="K202" s="53">
        <f>'[10]Rev_SP-12me'!AT234</f>
        <v>0</v>
      </c>
      <c r="L202" s="53">
        <f>'[10]Rev_SP-12me'!AU234</f>
        <v>12.9623966170342</v>
      </c>
      <c r="M202" s="53">
        <f>'[10]Rev_SP-12me'!AW234</f>
        <v>0</v>
      </c>
      <c r="N202" s="8"/>
      <c r="O202" s="24">
        <f t="shared" si="5"/>
        <v>12.9623966170342</v>
      </c>
    </row>
    <row r="203" spans="2:15">
      <c r="B203" s="76" t="s">
        <v>1121</v>
      </c>
      <c r="C203" s="55"/>
      <c r="D203" s="53">
        <f>'[10]Rev_SP-12me'!AJ235</f>
        <v>0</v>
      </c>
      <c r="E203" s="53">
        <f>'[10]Rev_SP-12me'!AL235</f>
        <v>0</v>
      </c>
      <c r="F203" s="53">
        <f>'[10]Rev_SP-12me'!AQ235</f>
        <v>10.4788939241235</v>
      </c>
      <c r="G203" s="94">
        <f>'[10]Rev_SP-12me'!O235</f>
        <v>0</v>
      </c>
      <c r="H203" s="91">
        <f>'[10]Rev_SP-12me'!P235</f>
        <v>8.45</v>
      </c>
      <c r="I203" s="94">
        <f>'[10]Rev_SP-12me'!AA235</f>
        <v>5000</v>
      </c>
      <c r="J203" s="8"/>
      <c r="K203" s="53">
        <f>'[10]Rev_SP-12me'!AT235</f>
        <v>0</v>
      </c>
      <c r="L203" s="53">
        <f>'[10]Rev_SP-12me'!AU235</f>
        <v>8.8546653658844</v>
      </c>
      <c r="M203" s="53">
        <f>'[10]Rev_SP-12me'!AW235</f>
        <v>0</v>
      </c>
      <c r="N203" s="8"/>
      <c r="O203" s="24">
        <f t="shared" si="5"/>
        <v>8.8546653658844</v>
      </c>
    </row>
    <row r="204" spans="2:15">
      <c r="B204" s="76" t="s">
        <v>1122</v>
      </c>
      <c r="C204" s="55"/>
      <c r="D204" s="53">
        <f>'[10]Rev_SP-12me'!AJ236</f>
        <v>0</v>
      </c>
      <c r="E204" s="53">
        <f>'[10]Rev_SP-12me'!AL236</f>
        <v>0</v>
      </c>
      <c r="F204" s="53">
        <f>'[10]Rev_SP-12me'!AQ236</f>
        <v>26.3969601204294</v>
      </c>
      <c r="G204" s="94">
        <f>'[10]Rev_SP-12me'!O236</f>
        <v>0</v>
      </c>
      <c r="H204" s="91">
        <f>'[10]Rev_SP-12me'!P236</f>
        <v>6.45</v>
      </c>
      <c r="I204" s="94">
        <f>'[10]Rev_SP-12me'!AA236</f>
        <v>5000</v>
      </c>
      <c r="J204" s="8"/>
      <c r="K204" s="53">
        <f>'[10]Rev_SP-12me'!AT236</f>
        <v>0</v>
      </c>
      <c r="L204" s="53">
        <f>'[10]Rev_SP-12me'!AU236</f>
        <v>17.026039277677</v>
      </c>
      <c r="M204" s="53">
        <f>'[10]Rev_SP-12me'!AW236</f>
        <v>0</v>
      </c>
      <c r="N204" s="8"/>
      <c r="O204" s="24">
        <f t="shared" si="5"/>
        <v>17.026039277677</v>
      </c>
    </row>
    <row r="205" ht="15" spans="2:15">
      <c r="B205" s="71" t="s">
        <v>1155</v>
      </c>
      <c r="C205" s="55"/>
      <c r="D205" s="48">
        <f>'[10]Rev_SP-12me'!AJ237</f>
        <v>20.1554054054054</v>
      </c>
      <c r="E205" s="48">
        <f>'[10]Rev_SP-12me'!AL237</f>
        <v>1795.6833872946</v>
      </c>
      <c r="F205" s="48">
        <f>'[10]Rev_SP-12me'!AQ237</f>
        <v>1987.24042578501</v>
      </c>
      <c r="G205" s="68">
        <f>'[10]Rev_SP-12me'!O237</f>
        <v>0</v>
      </c>
      <c r="H205" s="69">
        <f>'[10]Rev_SP-12me'!P237</f>
        <v>0</v>
      </c>
      <c r="I205" s="68">
        <f>'[10]Rev_SP-12me'!AA237</f>
        <v>0</v>
      </c>
      <c r="J205" s="8"/>
      <c r="K205" s="48">
        <f>'[10]Rev_SP-12me'!AT237</f>
        <v>283.942435615959</v>
      </c>
      <c r="L205" s="48">
        <f>'[10]Rev_SP-12me'!AU237</f>
        <v>1251.96146824456</v>
      </c>
      <c r="M205" s="48">
        <f>'[10]Rev_SP-12me'!AW237</f>
        <v>0.115402288294932</v>
      </c>
      <c r="N205" s="8"/>
      <c r="O205" s="24">
        <f t="shared" si="5"/>
        <v>1536.01930614881</v>
      </c>
    </row>
    <row r="206" spans="2:15">
      <c r="B206" s="74" t="s">
        <v>1128</v>
      </c>
      <c r="C206" s="55"/>
      <c r="D206" s="53">
        <f>'[10]Rev_SP-12me'!AJ238</f>
        <v>20.1554054054054</v>
      </c>
      <c r="E206" s="53">
        <f>'[10]Rev_SP-12me'!AL238</f>
        <v>1795.6833872946</v>
      </c>
      <c r="F206" s="53">
        <f>'[10]Rev_SP-12me'!AQ238</f>
        <v>1987.24042578501</v>
      </c>
      <c r="G206" s="94">
        <f>'[10]Rev_SP-12me'!O238</f>
        <v>275</v>
      </c>
      <c r="H206" s="91">
        <f>'[10]Rev_SP-12me'!P238</f>
        <v>6.3</v>
      </c>
      <c r="I206" s="94">
        <f>'[10]Rev_SP-12me'!AA238</f>
        <v>5000</v>
      </c>
      <c r="J206" s="8"/>
      <c r="K206" s="53">
        <f>'[10]Rev_SP-12me'!AT238</f>
        <v>283.942435615959</v>
      </c>
      <c r="L206" s="53">
        <f>'[10]Rev_SP-12me'!AU238</f>
        <v>1251.96146824456</v>
      </c>
      <c r="M206" s="53">
        <f>'[10]Rev_SP-12me'!AW238</f>
        <v>0.115402288294932</v>
      </c>
      <c r="N206" s="8"/>
      <c r="O206" s="24">
        <f t="shared" si="5"/>
        <v>1536.01930614881</v>
      </c>
    </row>
    <row r="207" spans="2:15">
      <c r="B207" s="74" t="s">
        <v>1156</v>
      </c>
      <c r="C207" s="55"/>
      <c r="D207" s="53">
        <f>'[10]Rev_SP-12me'!AJ239</f>
        <v>0</v>
      </c>
      <c r="E207" s="53">
        <f>'[10]Rev_SP-12me'!AL239</f>
        <v>0</v>
      </c>
      <c r="F207" s="53">
        <f>'[10]Rev_SP-12me'!AQ239</f>
        <v>0</v>
      </c>
      <c r="G207" s="94">
        <f>'[10]Rev_SP-12me'!O239</f>
        <v>275</v>
      </c>
      <c r="H207" s="91">
        <f>'[10]Rev_SP-12me'!P239</f>
        <v>6.3</v>
      </c>
      <c r="I207" s="94">
        <f>'[10]Rev_SP-12me'!AA239</f>
        <v>5000</v>
      </c>
      <c r="J207" s="8"/>
      <c r="K207" s="53">
        <f>'[10]Rev_SP-12me'!AT239</f>
        <v>0</v>
      </c>
      <c r="L207" s="53">
        <f>'[10]Rev_SP-12me'!AU239</f>
        <v>0</v>
      </c>
      <c r="M207" s="53">
        <f>'[10]Rev_SP-12me'!AW239</f>
        <v>0</v>
      </c>
      <c r="N207" s="8"/>
      <c r="O207" s="24">
        <f t="shared" si="5"/>
        <v>0</v>
      </c>
    </row>
    <row r="208" ht="15" spans="2:15">
      <c r="B208" s="71" t="s">
        <v>1157</v>
      </c>
      <c r="C208" s="55"/>
      <c r="D208" s="87">
        <f>'[10]Rev_SP-12me'!AJ247</f>
        <v>2</v>
      </c>
      <c r="E208" s="48">
        <f>'[10]Rev_SP-12me'!AL247</f>
        <v>70.2792257914437</v>
      </c>
      <c r="F208" s="48">
        <f>'[10]Rev_SP-12me'!AQ247</f>
        <v>315.069574214991</v>
      </c>
      <c r="G208" s="68">
        <f>'[10]Rev_SP-12me'!O247</f>
        <v>0</v>
      </c>
      <c r="H208" s="69">
        <f>'[10]Rev_SP-12me'!P247</f>
        <v>0</v>
      </c>
      <c r="I208" s="68">
        <f>'[10]Rev_SP-12me'!AA247</f>
        <v>0</v>
      </c>
      <c r="J208" s="8"/>
      <c r="K208" s="48">
        <f>'[10]Rev_SP-12me'!AT247</f>
        <v>0</v>
      </c>
      <c r="L208" s="48">
        <f>'[10]Rev_SP-12me'!AU247</f>
        <v>192.192440271145</v>
      </c>
      <c r="M208" s="48">
        <f>'[10]Rev_SP-12me'!AW247</f>
        <v>0.0114512495257458</v>
      </c>
      <c r="N208" s="8"/>
      <c r="O208" s="24">
        <f t="shared" si="5"/>
        <v>192.203891520671</v>
      </c>
    </row>
    <row r="209" spans="2:15">
      <c r="B209" s="74" t="s">
        <v>220</v>
      </c>
      <c r="C209" s="55"/>
      <c r="D209" s="86">
        <f>'[10]Rev_SP-12me'!AJ248</f>
        <v>2</v>
      </c>
      <c r="E209" s="53">
        <f>'[10]Rev_SP-12me'!AL248</f>
        <v>70.2792257914437</v>
      </c>
      <c r="F209" s="53">
        <f>'[10]Rev_SP-12me'!AQ248</f>
        <v>315.069574214991</v>
      </c>
      <c r="G209" s="94">
        <f>'[10]Rev_SP-12me'!O248</f>
        <v>0</v>
      </c>
      <c r="H209" s="91">
        <f>'[10]Rev_SP-12me'!P248</f>
        <v>6.1</v>
      </c>
      <c r="I209" s="94">
        <f>'[10]Rev_SP-12me'!AA248</f>
        <v>5000</v>
      </c>
      <c r="J209" s="8"/>
      <c r="K209" s="53">
        <f>'[10]Rev_SP-12me'!AT248</f>
        <v>0</v>
      </c>
      <c r="L209" s="53">
        <f>'[10]Rev_SP-12me'!AU248</f>
        <v>192.192440271145</v>
      </c>
      <c r="M209" s="53">
        <f>'[10]Rev_SP-12me'!AW248</f>
        <v>0.0114512495257458</v>
      </c>
      <c r="N209" s="8"/>
      <c r="O209" s="24">
        <f t="shared" si="5"/>
        <v>192.203891520671</v>
      </c>
    </row>
    <row r="210" ht="15" spans="2:15">
      <c r="B210" s="71" t="s">
        <v>1158</v>
      </c>
      <c r="C210" s="55"/>
      <c r="D210" s="87">
        <f>'[10]Rev_SP-12me'!AJ249</f>
        <v>0</v>
      </c>
      <c r="E210" s="87">
        <f>'[10]Rev_SP-12me'!AL249</f>
        <v>0</v>
      </c>
      <c r="F210" s="87">
        <f>'[10]Rev_SP-12me'!AQ249</f>
        <v>0</v>
      </c>
      <c r="G210" s="39">
        <f>'[10]Rev_SP-12me'!O249</f>
        <v>0</v>
      </c>
      <c r="H210" s="69">
        <f>'[10]Rev_SP-12me'!P249</f>
        <v>0</v>
      </c>
      <c r="I210" s="68">
        <f>'[10]Rev_SP-12me'!AA249</f>
        <v>0</v>
      </c>
      <c r="J210" s="8"/>
      <c r="K210" s="87">
        <f>'[10]Rev_SP-12me'!AT249</f>
        <v>0</v>
      </c>
      <c r="L210" s="87">
        <f>'[10]Rev_SP-12me'!AU249</f>
        <v>0</v>
      </c>
      <c r="M210" s="87">
        <f>'[10]Rev_SP-12me'!AW249</f>
        <v>0</v>
      </c>
      <c r="N210" s="8"/>
      <c r="O210" s="24">
        <f t="shared" si="5"/>
        <v>0</v>
      </c>
    </row>
    <row r="211" ht="15" spans="2:15">
      <c r="B211" s="88" t="s">
        <v>1159</v>
      </c>
      <c r="C211" s="55"/>
      <c r="D211" s="48">
        <f>'[10]Rev_SP-12me'!AJ240</f>
        <v>18.75</v>
      </c>
      <c r="E211" s="48">
        <f>'[10]Rev_SP-12me'!AL240</f>
        <v>158.557069846678</v>
      </c>
      <c r="F211" s="48">
        <f>'[10]Rev_SP-12me'!AQ240</f>
        <v>578.14</v>
      </c>
      <c r="G211" s="68">
        <f>'[10]Rev_SP-12me'!O240</f>
        <v>0</v>
      </c>
      <c r="H211" s="69">
        <f>'[10]Rev_SP-12me'!P240</f>
        <v>0</v>
      </c>
      <c r="I211" s="68">
        <f>'[10]Rev_SP-12me'!AA240</f>
        <v>0</v>
      </c>
      <c r="J211" s="8"/>
      <c r="K211" s="48">
        <f>'[10]Rev_SP-12me'!AT240</f>
        <v>72.3020238500852</v>
      </c>
      <c r="L211" s="48">
        <f>'[10]Rev_SP-12me'!AU240</f>
        <v>290.882255997683</v>
      </c>
      <c r="M211" s="48">
        <f>'[10]Rev_SP-12me'!AW240</f>
        <v>0.106953064811212</v>
      </c>
      <c r="N211" s="8"/>
      <c r="O211" s="24">
        <f t="shared" si="5"/>
        <v>363.291232912579</v>
      </c>
    </row>
    <row r="212" spans="2:15">
      <c r="B212" s="74" t="s">
        <v>1160</v>
      </c>
      <c r="C212" s="55"/>
      <c r="D212" s="53">
        <f>'[10]Rev_SP-12me'!AJ241</f>
        <v>13.75</v>
      </c>
      <c r="E212" s="53">
        <f>'[10]Rev_SP-12me'!AL241</f>
        <v>134.954003407155</v>
      </c>
      <c r="F212" s="53">
        <f>'[10]Rev_SP-12me'!AQ241</f>
        <v>470.295599768328</v>
      </c>
      <c r="G212" s="94">
        <f>'[10]Rev_SP-12me'!O241</f>
        <v>475</v>
      </c>
      <c r="H212" s="91">
        <f>'[10]Rev_SP-12me'!P241</f>
        <v>5.05</v>
      </c>
      <c r="I212" s="94">
        <f>'[10]Rev_SP-12me'!AA241</f>
        <v>5000</v>
      </c>
      <c r="J212" s="8"/>
      <c r="K212" s="53">
        <f>'[10]Rev_SP-12me'!AT241</f>
        <v>61.5390255536627</v>
      </c>
      <c r="L212" s="53">
        <f>'[10]Rev_SP-12me'!AU241</f>
        <v>237.499277883006</v>
      </c>
      <c r="M212" s="53">
        <f>'[10]Rev_SP-12me'!AW241</f>
        <v>0.0784322475282224</v>
      </c>
      <c r="N212" s="8"/>
      <c r="O212" s="24">
        <f t="shared" si="5"/>
        <v>299.116735684197</v>
      </c>
    </row>
    <row r="213" spans="2:15">
      <c r="B213" s="74" t="s">
        <v>1161</v>
      </c>
      <c r="C213" s="55"/>
      <c r="D213" s="53">
        <f>'[10]Rev_SP-12me'!AJ242</f>
        <v>0</v>
      </c>
      <c r="E213" s="53">
        <f>'[10]Rev_SP-12me'!AL242</f>
        <v>0</v>
      </c>
      <c r="F213" s="53">
        <f>'[10]Rev_SP-12me'!AQ242</f>
        <v>0</v>
      </c>
      <c r="G213" s="94">
        <f>'[10]Rev_SP-12me'!O242</f>
        <v>0</v>
      </c>
      <c r="H213" s="91">
        <f>'[10]Rev_SP-12me'!P242</f>
        <v>0</v>
      </c>
      <c r="I213" s="94">
        <f>'[10]Rev_SP-12me'!AA242</f>
        <v>5000</v>
      </c>
      <c r="J213" s="8"/>
      <c r="K213" s="53">
        <f>'[10]Rev_SP-12me'!AT242</f>
        <v>0</v>
      </c>
      <c r="L213" s="53">
        <f>'[10]Rev_SP-12me'!AU242</f>
        <v>0</v>
      </c>
      <c r="M213" s="53">
        <f>'[10]Rev_SP-12me'!AW242</f>
        <v>0</v>
      </c>
      <c r="N213" s="8"/>
      <c r="O213" s="24">
        <f t="shared" si="5"/>
        <v>0</v>
      </c>
    </row>
    <row r="214" spans="2:15">
      <c r="B214" s="74" t="s">
        <v>1162</v>
      </c>
      <c r="C214" s="55"/>
      <c r="D214" s="53">
        <f>'[10]Rev_SP-12me'!AJ243</f>
        <v>5</v>
      </c>
      <c r="E214" s="53">
        <f>'[10]Rev_SP-12me'!AL243</f>
        <v>23.603066439523</v>
      </c>
      <c r="F214" s="53">
        <f>'[10]Rev_SP-12me'!AQ243</f>
        <v>107.844400231672</v>
      </c>
      <c r="G214" s="94">
        <f>'[10]Rev_SP-12me'!O243</f>
        <v>475</v>
      </c>
      <c r="H214" s="91">
        <f>'[10]Rev_SP-12me'!P243</f>
        <v>4.95</v>
      </c>
      <c r="I214" s="94">
        <f>'[10]Rev_SP-12me'!AA243</f>
        <v>5000</v>
      </c>
      <c r="J214" s="8"/>
      <c r="K214" s="53">
        <f>'[10]Rev_SP-12me'!AT243</f>
        <v>10.7629982964225</v>
      </c>
      <c r="L214" s="53">
        <f>'[10]Rev_SP-12me'!AU243</f>
        <v>53.3829781146774</v>
      </c>
      <c r="M214" s="53">
        <f>'[10]Rev_SP-12me'!AW243</f>
        <v>0.02852081728299</v>
      </c>
      <c r="N214" s="8"/>
      <c r="O214" s="24">
        <f t="shared" si="5"/>
        <v>64.1744972283829</v>
      </c>
    </row>
    <row r="215" spans="2:15">
      <c r="B215" s="89" t="s">
        <v>1163</v>
      </c>
      <c r="C215" s="55"/>
      <c r="D215" s="53">
        <f>'[10]Rev_SP-12me'!AJ244</f>
        <v>0</v>
      </c>
      <c r="E215" s="53">
        <f>'[10]Rev_SP-12me'!AL244</f>
        <v>0</v>
      </c>
      <c r="F215" s="53">
        <f>'[10]Rev_SP-12me'!AQ244</f>
        <v>0</v>
      </c>
      <c r="G215" s="94">
        <f>'[10]Rev_SP-12me'!O244</f>
        <v>475</v>
      </c>
      <c r="H215" s="91">
        <f>'[10]Rev_SP-12me'!P244</f>
        <v>4.95</v>
      </c>
      <c r="I215" s="94">
        <f>'[10]Rev_SP-12me'!AA244</f>
        <v>5000</v>
      </c>
      <c r="J215" s="8"/>
      <c r="K215" s="53">
        <f>'[10]Rev_SP-12me'!AT244</f>
        <v>0</v>
      </c>
      <c r="L215" s="53">
        <f>'[10]Rev_SP-12me'!AU244</f>
        <v>0</v>
      </c>
      <c r="M215" s="53">
        <f>'[10]Rev_SP-12me'!AW244</f>
        <v>0</v>
      </c>
      <c r="N215" s="8"/>
      <c r="O215" s="24">
        <f t="shared" si="5"/>
        <v>0</v>
      </c>
    </row>
    <row r="216" ht="15" spans="2:15">
      <c r="B216" s="71" t="s">
        <v>919</v>
      </c>
      <c r="C216" s="55"/>
      <c r="D216" s="48">
        <f>'[10]Rev_SP-12me'!AJ245</f>
        <v>0</v>
      </c>
      <c r="E216" s="48">
        <f>'[10]Rev_SP-12me'!AL245</f>
        <v>0</v>
      </c>
      <c r="F216" s="48">
        <f>'[10]Rev_SP-12me'!AQ245</f>
        <v>0</v>
      </c>
      <c r="G216" s="68">
        <f>'[10]Rev_SP-12me'!O245</f>
        <v>260</v>
      </c>
      <c r="H216" s="69">
        <f>'[10]Rev_SP-12me'!P245</f>
        <v>7.3</v>
      </c>
      <c r="I216" s="68">
        <f>'[10]Rev_SP-12me'!AA245</f>
        <v>5000</v>
      </c>
      <c r="J216" s="8"/>
      <c r="K216" s="48">
        <f>'[10]Rev_SP-12me'!AT245</f>
        <v>0</v>
      </c>
      <c r="L216" s="48">
        <f>'[10]Rev_SP-12me'!AU245</f>
        <v>0</v>
      </c>
      <c r="M216" s="48">
        <f>'[10]Rev_SP-12me'!AW245</f>
        <v>0</v>
      </c>
      <c r="N216" s="8"/>
      <c r="O216" s="24">
        <f t="shared" si="5"/>
        <v>0</v>
      </c>
    </row>
    <row r="217" ht="15" spans="2:15">
      <c r="B217" s="71" t="s">
        <v>1133</v>
      </c>
      <c r="C217" s="55"/>
      <c r="D217" s="48">
        <f>'[10]Rev_SP-12me'!AJ246</f>
        <v>0</v>
      </c>
      <c r="E217" s="48">
        <f>'[10]Rev_SP-12me'!AL246</f>
        <v>0</v>
      </c>
      <c r="F217" s="48">
        <f>'[10]Rev_SP-12me'!AQ246</f>
        <v>0</v>
      </c>
      <c r="G217" s="68">
        <f>'[10]Rev_SP-12me'!O246</f>
        <v>500</v>
      </c>
      <c r="H217" s="69">
        <f>'[10]Rev_SP-12me'!P246</f>
        <v>10.8</v>
      </c>
      <c r="I217" s="68">
        <f>'[10]Rev_SP-12me'!AA246</f>
        <v>5000</v>
      </c>
      <c r="J217" s="8"/>
      <c r="K217" s="48">
        <f>'[10]Rev_SP-12me'!AT246</f>
        <v>0</v>
      </c>
      <c r="L217" s="48">
        <f>'[10]Rev_SP-12me'!AU246</f>
        <v>0</v>
      </c>
      <c r="M217" s="48">
        <f>'[10]Rev_SP-12me'!AW246</f>
        <v>0</v>
      </c>
      <c r="N217" s="8"/>
      <c r="O217" s="24">
        <f t="shared" si="5"/>
        <v>0</v>
      </c>
    </row>
    <row r="218" ht="15" spans="2:15">
      <c r="B218" s="77" t="s">
        <v>1164</v>
      </c>
      <c r="C218" s="55"/>
      <c r="D218" s="78">
        <f>SUM(D176,D184,D189,D190,D195,D200,D205,D208,D210,D211,D216,D217)</f>
        <v>96.4391533439087</v>
      </c>
      <c r="E218" s="78">
        <f>SUM(E176,E184,E189,E190,E195,E200,E205,E208,E210,E211,E216,E217)</f>
        <v>2949.99510866657</v>
      </c>
      <c r="F218" s="78">
        <f>SUM(F176,F184,F189,F190,F195,F200,F205,F208,F210,F211,F216,F217)</f>
        <v>9337.63890754263</v>
      </c>
      <c r="G218" s="95"/>
      <c r="H218" s="95"/>
      <c r="I218" s="95"/>
      <c r="J218" s="95"/>
      <c r="K218" s="78">
        <f>SUM(K176,K184,K189,K190,K195,K200,K205,K208,K210,K211,K216,K217)</f>
        <v>778.261253600676</v>
      </c>
      <c r="L218" s="78">
        <f>SUM(L176,L184,L189,L190,L195,L200,L205,L208,L210,L211,L216,L217)</f>
        <v>6033.38434474687</v>
      </c>
      <c r="M218" s="78">
        <f>SUM(M176,M184,M189,M190,M195,M200,M205,M208,M210,M211,M216,M217)</f>
        <v>0.583104070555181</v>
      </c>
      <c r="N218" s="78">
        <f>SUM(N176,N184,N189,N190,N195,N200,N205,N208,N210,N211,N216,N217)</f>
        <v>0</v>
      </c>
      <c r="O218" s="78">
        <f>SUM(O176,O184,O189,O190,O195,O200,O205,O208,O210,O211,O216,O217)</f>
        <v>6812.2287024181</v>
      </c>
    </row>
    <row r="219" spans="2:15">
      <c r="B219" s="77"/>
      <c r="C219" s="55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</row>
    <row r="220" ht="15" spans="2:15">
      <c r="B220" s="54" t="s">
        <v>1165</v>
      </c>
      <c r="C220" s="55"/>
      <c r="D220" s="78">
        <f>D125+D173+D218</f>
        <v>12752.9526116669</v>
      </c>
      <c r="E220" s="78">
        <f>E125+E173+E218</f>
        <v>8800</v>
      </c>
      <c r="F220" s="78">
        <f>F125+F173+F218</f>
        <v>24999.0657663384</v>
      </c>
      <c r="G220" s="99"/>
      <c r="H220" s="99"/>
      <c r="I220" s="99"/>
      <c r="J220" s="99"/>
      <c r="K220" s="78">
        <f>K125+K173+K218</f>
        <v>3343.24254199917</v>
      </c>
      <c r="L220" s="78">
        <f>L125+L173+L218</f>
        <v>18089.6669187823</v>
      </c>
      <c r="M220" s="78">
        <f>M125+M173+M218</f>
        <v>31.4602780805133</v>
      </c>
      <c r="N220" s="78">
        <f>N125+N173+N218</f>
        <v>0</v>
      </c>
      <c r="O220" s="78">
        <f>O125+O173+O218</f>
        <v>21464.369738862</v>
      </c>
    </row>
    <row r="221" ht="15" spans="2:15">
      <c r="B221" s="54" t="s">
        <v>1166</v>
      </c>
      <c r="C221" s="55"/>
      <c r="D221" s="78">
        <f>D220+D70</f>
        <v>11196257.8201371</v>
      </c>
      <c r="E221" s="78">
        <f>E220+E70</f>
        <v>33876.0012971162</v>
      </c>
      <c r="F221" s="78">
        <f>F220+F70</f>
        <v>53375.7301364451</v>
      </c>
      <c r="G221" s="99"/>
      <c r="H221" s="99"/>
      <c r="I221" s="99"/>
      <c r="J221" s="99"/>
      <c r="K221" s="80">
        <f>K220+K70</f>
        <v>4017.05901393092</v>
      </c>
      <c r="L221" s="80">
        <f>L220+L70</f>
        <v>28098.0438276918</v>
      </c>
      <c r="M221" s="80">
        <f>M220+M70</f>
        <v>959.554213639893</v>
      </c>
      <c r="N221" s="78">
        <f>N220+N70</f>
        <v>0</v>
      </c>
      <c r="O221" s="78">
        <f>O220+O70</f>
        <v>33074.6570552626</v>
      </c>
    </row>
    <row r="223" ht="15" spans="4:5">
      <c r="D223" s="11" t="s">
        <v>225</v>
      </c>
      <c r="E223" s="12"/>
    </row>
    <row r="224" spans="4:5">
      <c r="D224" s="13">
        <v>1</v>
      </c>
      <c r="E224" s="12" t="s">
        <v>226</v>
      </c>
    </row>
    <row r="225" spans="4:5">
      <c r="D225" s="13">
        <f>D224+1</f>
        <v>2</v>
      </c>
      <c r="E225" s="12" t="s">
        <v>233</v>
      </c>
    </row>
  </sheetData>
  <mergeCells count="11">
    <mergeCell ref="B2:P2"/>
    <mergeCell ref="G5:H5"/>
    <mergeCell ref="K5:O5"/>
    <mergeCell ref="B8:C8"/>
    <mergeCell ref="B72:C72"/>
    <mergeCell ref="D5:D6"/>
    <mergeCell ref="E5:E6"/>
    <mergeCell ref="F5:F6"/>
    <mergeCell ref="I5:I6"/>
    <mergeCell ref="J5:J6"/>
    <mergeCell ref="B5:C7"/>
  </mergeCells>
  <pageMargins left="0.7" right="0.7" top="0.75" bottom="0.75" header="0.3" footer="0.3"/>
  <pageSetup paperSize="1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  <pageSetUpPr fitToPage="1"/>
  </sheetPr>
  <dimension ref="B2:O83"/>
  <sheetViews>
    <sheetView showGridLines="0" view="pageBreakPreview" zoomScale="70" zoomScaleNormal="66" workbookViewId="0">
      <pane xSplit="4" ySplit="7" topLeftCell="J8" activePane="bottomRight" state="frozen"/>
      <selection/>
      <selection pane="topRight"/>
      <selection pane="bottomLeft"/>
      <selection pane="bottomRight" activeCell="D56" sqref="D56"/>
    </sheetView>
  </sheetViews>
  <sheetFormatPr defaultColWidth="9.14285714285714" defaultRowHeight="14.25"/>
  <cols>
    <col min="1" max="1" width="3.14285714285714" style="12" customWidth="1"/>
    <col min="2" max="2" width="8.42857142857143" style="12" customWidth="1"/>
    <col min="3" max="3" width="21.5714285714286" style="12" customWidth="1"/>
    <col min="4" max="4" width="44.5714285714286" style="12" customWidth="1"/>
    <col min="5" max="5" width="13.5714285714286" style="12" hidden="1" customWidth="1"/>
    <col min="6" max="6" width="12.5714285714286" style="12" hidden="1" customWidth="1"/>
    <col min="7" max="8" width="13.4285714285714" style="12" hidden="1" customWidth="1"/>
    <col min="9" max="9" width="12.5714285714286" style="12" hidden="1" customWidth="1"/>
    <col min="10" max="10" width="13.4285714285714" style="748" customWidth="1"/>
    <col min="11" max="11" width="11.8571428571429" style="748" customWidth="1"/>
    <col min="12" max="12" width="11.4285714285714" style="12" hidden="1" customWidth="1"/>
    <col min="13" max="13" width="12.4285714285714" style="12" hidden="1" customWidth="1"/>
    <col min="14" max="14" width="12.5714285714286" style="12" hidden="1" customWidth="1"/>
    <col min="15" max="15" width="9.42857142857143" style="12" customWidth="1"/>
    <col min="16" max="16384" width="9.14285714285714" style="12"/>
  </cols>
  <sheetData>
    <row r="2" ht="15" spans="9:9">
      <c r="I2" s="2" t="s">
        <v>156</v>
      </c>
    </row>
    <row r="3" ht="15" spans="9:9">
      <c r="I3" s="3" t="s">
        <v>227</v>
      </c>
    </row>
    <row r="4" ht="15" spans="2:8">
      <c r="B4" s="14"/>
      <c r="C4" s="14"/>
      <c r="D4" s="655"/>
      <c r="E4" s="655"/>
      <c r="F4" s="655"/>
      <c r="G4" s="655"/>
      <c r="H4" s="655"/>
    </row>
    <row r="5" ht="15" customHeight="1" spans="2:14">
      <c r="B5" s="656"/>
      <c r="C5" s="658" t="s">
        <v>159</v>
      </c>
      <c r="D5" s="873"/>
      <c r="E5" s="16" t="s">
        <v>160</v>
      </c>
      <c r="F5" s="16" t="s">
        <v>161</v>
      </c>
      <c r="G5" s="16" t="s">
        <v>162</v>
      </c>
      <c r="H5" s="16" t="s">
        <v>163</v>
      </c>
      <c r="I5" s="16" t="s">
        <v>164</v>
      </c>
      <c r="J5" s="888" t="s">
        <v>114</v>
      </c>
      <c r="K5" s="889"/>
      <c r="L5" s="885"/>
      <c r="M5" s="885"/>
      <c r="N5" s="886"/>
    </row>
    <row r="6" ht="45" spans="2:14">
      <c r="B6" s="656"/>
      <c r="C6" s="660"/>
      <c r="D6" s="874"/>
      <c r="E6" s="535"/>
      <c r="F6" s="535"/>
      <c r="G6" s="535"/>
      <c r="H6" s="535"/>
      <c r="I6" s="535"/>
      <c r="J6" s="890" t="s">
        <v>165</v>
      </c>
      <c r="K6" s="890" t="s">
        <v>166</v>
      </c>
      <c r="L6" s="5" t="s">
        <v>167</v>
      </c>
      <c r="M6" s="5" t="s">
        <v>168</v>
      </c>
      <c r="N6" s="5" t="s">
        <v>169</v>
      </c>
    </row>
    <row r="7" ht="15" spans="2:14">
      <c r="B7" s="656"/>
      <c r="C7" s="662"/>
      <c r="D7" s="875"/>
      <c r="E7" s="5" t="s">
        <v>128</v>
      </c>
      <c r="F7" s="5" t="s">
        <v>128</v>
      </c>
      <c r="G7" s="5" t="s">
        <v>128</v>
      </c>
      <c r="H7" s="5" t="s">
        <v>128</v>
      </c>
      <c r="I7" s="5" t="s">
        <v>131</v>
      </c>
      <c r="J7" s="890" t="s">
        <v>132</v>
      </c>
      <c r="K7" s="890" t="s">
        <v>132</v>
      </c>
      <c r="L7" s="5" t="s">
        <v>132</v>
      </c>
      <c r="M7" s="5" t="s">
        <v>132</v>
      </c>
      <c r="N7" s="5" t="s">
        <v>132</v>
      </c>
    </row>
    <row r="8" ht="15" spans="2:14">
      <c r="B8" s="656"/>
      <c r="C8" s="44" t="s">
        <v>170</v>
      </c>
      <c r="D8" s="45"/>
      <c r="E8" s="45"/>
      <c r="F8" s="45"/>
      <c r="G8" s="45"/>
      <c r="H8" s="45"/>
      <c r="I8" s="55"/>
      <c r="J8" s="750"/>
      <c r="K8" s="750"/>
      <c r="L8" s="55"/>
      <c r="M8" s="55"/>
      <c r="N8" s="55"/>
    </row>
    <row r="9" spans="2:14">
      <c r="B9" s="656"/>
      <c r="C9" s="47" t="s">
        <v>171</v>
      </c>
      <c r="D9" s="47" t="s">
        <v>172</v>
      </c>
      <c r="E9" s="882">
        <f>'[11]FY19-20 Actual Sales'!$E$8</f>
        <v>8636.2</v>
      </c>
      <c r="F9" s="882">
        <f>'[11]FY20-21 Actual Sales '!$E$8</f>
        <v>9301.48</v>
      </c>
      <c r="G9" s="882">
        <f>'[11]FY21-22 Actual Sales '!$E$8</f>
        <v>10066.61028</v>
      </c>
      <c r="H9" s="882">
        <f>'[11]FY22-23 Actual Sales'!$E$8</f>
        <v>10879.19117</v>
      </c>
      <c r="I9" s="153">
        <f>'[17]Rev SP FY24'!$AK$10</f>
        <v>11768.32427</v>
      </c>
      <c r="J9" s="891">
        <f>'[18]Rev_SP-12me'!$I$10</f>
        <v>12730.1243226403</v>
      </c>
      <c r="K9" s="891">
        <f>'[18]Rev_SP-12me'!$AL$10</f>
        <v>13770.5302430351</v>
      </c>
      <c r="L9" s="153">
        <f>'[19]Rev_SP-12me'!$AL$10</f>
        <v>15344</v>
      </c>
      <c r="M9" s="153">
        <f>'[20]Rev_SP-12me'!$AL$10</f>
        <v>16722</v>
      </c>
      <c r="N9" s="153">
        <f>'[21]Rev_SP-12me'!$AL$10</f>
        <v>18223</v>
      </c>
    </row>
    <row r="10" spans="3:14">
      <c r="C10" s="55" t="s">
        <v>228</v>
      </c>
      <c r="D10" s="55" t="s">
        <v>174</v>
      </c>
      <c r="E10" s="153">
        <f>'[11]FY19-20 Actual Sales'!$E$21</f>
        <v>2724.92024</v>
      </c>
      <c r="F10" s="153">
        <f>'[11]FY20-21 Actual Sales '!$E$21</f>
        <v>2860.64</v>
      </c>
      <c r="G10" s="153">
        <f>'[11]FY21-22 Actual Sales '!$E$21</f>
        <v>3227.92177</v>
      </c>
      <c r="H10" s="153">
        <f>'[11]FY22-23 Actual Sales'!$E$21</f>
        <v>3581.27058</v>
      </c>
      <c r="I10" s="153">
        <f>'[17]Rev SP FY24'!$AK$23</f>
        <v>3881.54647</v>
      </c>
      <c r="J10" s="891">
        <f>'[18]Rev_SP-12me'!$I$23</f>
        <v>4206.99934903256</v>
      </c>
      <c r="K10" s="891">
        <f>'[18]Rev_SP-12me'!$AL$23</f>
        <v>4559.74021167918</v>
      </c>
      <c r="L10" s="153">
        <f>'[19]Rev_SP-12me'!$AL$23</f>
        <v>5020</v>
      </c>
      <c r="M10" s="153">
        <f>'[20]Rev_SP-12me'!$AL$23</f>
        <v>5463</v>
      </c>
      <c r="N10" s="153">
        <f>'[21]Rev_SP-12me'!$AL$23</f>
        <v>5944</v>
      </c>
    </row>
    <row r="11" spans="3:14">
      <c r="C11" s="55" t="s">
        <v>175</v>
      </c>
      <c r="D11" s="55" t="s">
        <v>176</v>
      </c>
      <c r="E11" s="153">
        <f>'[11]FY19-20 Actual Sales'!$F$34*0.7457/10^3</f>
        <v>933.072039</v>
      </c>
      <c r="F11" s="153">
        <f>'[11]FY20-21 Actual Sales '!$F$34*0.7457/10^3</f>
        <v>959.231195</v>
      </c>
      <c r="G11" s="153">
        <f>'[11]FY21-22 Actual Sales '!$E$34+'[11]FY21-22 Actual Sales '!$F$34*0.7457/10^3</f>
        <v>986.687869</v>
      </c>
      <c r="H11" s="153">
        <f>'[11]FY22-23 Actual Sales'!$E$34+'[11]FY22-23 Actual Sales'!$F$34*0.7457/10^3</f>
        <v>1023.465793</v>
      </c>
      <c r="I11" s="153">
        <f>'[17]Rev SP FY24'!$AM$36*0.7457/10^3</f>
        <v>1059.430904</v>
      </c>
      <c r="J11" s="891">
        <f>'[18]Rev_SP-12me'!$J$36*0.7457/10^3</f>
        <v>1096.98240899737</v>
      </c>
      <c r="K11" s="891">
        <f>'[18]Rev_SP-12me'!$AN$36*0.7457/10^3</f>
        <v>1135.86492626013</v>
      </c>
      <c r="L11" s="153">
        <f>'[19]Rev_SP-12me'!$AN$36*0.7457/10^3</f>
        <v>1381.00023824045</v>
      </c>
      <c r="M11" s="153">
        <f>'[20]Rev_SP-12me'!$AN$36*0.7457/10^3</f>
        <v>1429.00024652108</v>
      </c>
      <c r="N11" s="153">
        <f>'[21]Rev_SP-12me'!$AN$36*0.7457/10^3</f>
        <v>1478.00025497421</v>
      </c>
    </row>
    <row r="12" spans="3:14">
      <c r="C12" s="55" t="s">
        <v>177</v>
      </c>
      <c r="D12" s="55" t="s">
        <v>178</v>
      </c>
      <c r="E12" s="153">
        <f>'[11]FY19-20 Actual Sales'!$F$41*0.7457/10^3</f>
        <v>12.199652</v>
      </c>
      <c r="F12" s="153">
        <f>'[11]FY20-21 Actual Sales '!$F$41*0.7457/10^3</f>
        <v>12.483018</v>
      </c>
      <c r="G12" s="153">
        <f>'[11]FY21-22 Actual Sales '!$E$41+'[11]FY21-22 Actual Sales '!$F$41*0.7457/10^3</f>
        <v>12.788755</v>
      </c>
      <c r="H12" s="153">
        <f>'[11]FY22-23 Actual Sales'!$E$41+'[11]FY22-23 Actual Sales'!$F$41*0.7457/10^3</f>
        <v>13.243632</v>
      </c>
      <c r="I12" s="153">
        <f>'[17]Rev SP FY24'!$AM$43*0.7457/10^3</f>
        <v>15.130253</v>
      </c>
      <c r="J12" s="891">
        <f>'[18]Rev_SP-12me'!$J$43*0.7457/10^3</f>
        <v>16.3584195096473</v>
      </c>
      <c r="K12" s="891">
        <f>'[18]Rev_SP-12me'!$AN$43*0.7457/10^3</f>
        <v>17.7055557778718</v>
      </c>
      <c r="L12" s="153">
        <f>'[19]Rev_SP-12me'!$AN$43*0.7457/10^3</f>
        <v>17.000002932721</v>
      </c>
      <c r="M12" s="153">
        <f>'[20]Rev_SP-12me'!$AN$43*0.7457/10^3</f>
        <v>17.000002932721</v>
      </c>
      <c r="N12" s="153">
        <f>'[21]Rev_SP-12me'!$AN$43*0.7457/10^3</f>
        <v>18.000003105234</v>
      </c>
    </row>
    <row r="13" spans="3:14">
      <c r="C13" s="55" t="s">
        <v>179</v>
      </c>
      <c r="D13" s="55" t="s">
        <v>180</v>
      </c>
      <c r="E13" s="153">
        <f>'[11]FY19-20 Actual Sales'!$F$44*0.7457/10^3</f>
        <v>4227.22416</v>
      </c>
      <c r="F13" s="153">
        <f>'[11]FY20-21 Actual Sales '!$F$44*0.7457/10^3</f>
        <v>4398.623305</v>
      </c>
      <c r="G13" s="153">
        <f>'[11]FY21-22 Actual Sales '!$E$44+'[11]FY21-22 Actual Sales '!$F$44*0.7457/10^3</f>
        <v>4666.090981</v>
      </c>
      <c r="H13" s="153">
        <f>'[11]FY22-23 Actual Sales'!$E$44+'[11]FY22-23 Actual Sales'!$F$44*0.7457/10^3</f>
        <v>4844.283453</v>
      </c>
      <c r="I13" s="153">
        <f>'[17]Rev SP FY24'!$AM$46*0.7457/10^3</f>
        <v>5046.196642</v>
      </c>
      <c r="J13" s="891">
        <f>'[18]Rev_SP-12me'!$J$46*0.7457/10^3</f>
        <v>5316.8745565</v>
      </c>
      <c r="K13" s="891">
        <f>'[18]Rev_SP-12me'!$AN$46*0.7457/10^3</f>
        <v>5601.0906545</v>
      </c>
      <c r="L13" s="153">
        <f>'[19]Rev_SP-12me'!$AN$46*0.7457/10^3</f>
        <v>6489.00111943686</v>
      </c>
      <c r="M13" s="153">
        <f>'[20]Rev_SP-12me'!$AN$46*0.7457/10^3</f>
        <v>6704.00115652715</v>
      </c>
      <c r="N13" s="153">
        <f>'[21]Rev_SP-12me'!$AN$46*0.7457/10^3</f>
        <v>6925.00119465252</v>
      </c>
    </row>
    <row r="14" spans="3:14">
      <c r="C14" s="55" t="s">
        <v>181</v>
      </c>
      <c r="D14" s="55" t="s">
        <v>182</v>
      </c>
      <c r="E14" s="153">
        <f>'[11]FY19-20 Actual Sales'!$E$52+'[11]FY19-20 Actual Sales'!$F$52*0.7457/10^3</f>
        <v>283.817872</v>
      </c>
      <c r="F14" s="153">
        <f>'[11]FY20-21 Actual Sales '!$E$52+'[11]FY20-21 Actual Sales '!$F$52*0.7457/10^3</f>
        <v>270.868770145</v>
      </c>
      <c r="G14" s="153">
        <f>'[11]FY21-22 Actual Sales '!$E$52+'[11]FY21-22 Actual Sales '!$F$52*0.7457/10^3</f>
        <v>277.017488</v>
      </c>
      <c r="H14" s="153">
        <f>'[11]FY22-23 Actual Sales'!$E$52+'[11]FY22-23 Actual Sales'!$F$52*0.7457/10^3</f>
        <v>282.086721737</v>
      </c>
      <c r="I14" s="153">
        <f>'[17]Rev SP FY24'!$AK$54+'[17]Rev SP FY24'!$AM$65*0.7457/10^3</f>
        <v>286.860636909</v>
      </c>
      <c r="J14" s="891">
        <f>'[18]Rev_SP-12me'!$I$54+('[18]Rev_SP-12me'!$J$65*0.7457/10^3)</f>
        <v>291.549615079202</v>
      </c>
      <c r="K14" s="891">
        <f>'[18]Rev_SP-12me'!$AL$54+('[18]Rev_SP-12me'!$AN$65*0.7457/10^3)</f>
        <v>292.709705592983</v>
      </c>
      <c r="L14" s="153">
        <f>'[19]Rev_SP-12me'!$AL$54+('[19]Rev_SP-12me'!$AN$65*0.7457/10^3)</f>
        <v>367.000025276952</v>
      </c>
      <c r="M14" s="153">
        <f>'[20]Rev_SP-12me'!$AL$54+('[20]Rev_SP-12me'!$AN$65*0.7457/10^3)</f>
        <v>385.000026516694</v>
      </c>
      <c r="N14" s="153">
        <f>'[21]Rev_SP-12me'!$AL$54+('[21]Rev_SP-12me'!$AN$65*0.7457/10^3)</f>
        <v>404.00002782531</v>
      </c>
    </row>
    <row r="15" spans="3:14">
      <c r="C15" s="55" t="s">
        <v>183</v>
      </c>
      <c r="D15" s="55" t="s">
        <v>184</v>
      </c>
      <c r="E15" s="153">
        <f>'[11]FY19-20 Actual Sales'!$E$61</f>
        <v>58.88</v>
      </c>
      <c r="F15" s="153">
        <f>'[11]FY20-21 Actual Sales '!$E$61</f>
        <v>62.42</v>
      </c>
      <c r="G15" s="153">
        <f>'[11]FY21-22 Actual Sales '!$E$61</f>
        <v>65.41</v>
      </c>
      <c r="H15" s="153">
        <f>'[11]FY22-23 Actual Sales'!$E$61</f>
        <v>71.36</v>
      </c>
      <c r="I15" s="153">
        <f>'[17]Rev SP FY24'!$AK$58</f>
        <v>76.33</v>
      </c>
      <c r="J15" s="891">
        <f>'[18]Rev_SP-12me'!$I$58</f>
        <v>81.4473817185997</v>
      </c>
      <c r="K15" s="891">
        <f>'[18]Rev_SP-12me'!$AL$58</f>
        <v>86.9078473577268</v>
      </c>
      <c r="L15" s="153">
        <f>'[19]Rev_SP-12me'!$AL$58</f>
        <v>95</v>
      </c>
      <c r="M15" s="153">
        <f>'[20]Rev_SP-12me'!$AL$58</f>
        <v>102</v>
      </c>
      <c r="N15" s="153">
        <f>'[21]Rev_SP-12me'!$AL$58</f>
        <v>110</v>
      </c>
    </row>
    <row r="16" spans="3:14">
      <c r="C16" s="55" t="s">
        <v>185</v>
      </c>
      <c r="D16" s="55" t="s">
        <v>186</v>
      </c>
      <c r="E16" s="153">
        <f>'[11]FY19-20 Actual Sales'!$E$66</f>
        <v>37.65</v>
      </c>
      <c r="F16" s="153">
        <f>'[11]FY20-21 Actual Sales '!$E$66</f>
        <v>59.95</v>
      </c>
      <c r="G16" s="153">
        <f>'[11]FY21-22 Actual Sales '!$E$66</f>
        <v>87.51</v>
      </c>
      <c r="H16" s="153">
        <f>'[11]FY22-23 Actual Sales'!$E$66</f>
        <v>102.26</v>
      </c>
      <c r="I16" s="153">
        <f>'[17]Rev SP FY24'!$AK$63</f>
        <v>118.13</v>
      </c>
      <c r="J16" s="891">
        <f>'[18]Rev_SP-12me'!$I$63</f>
        <v>148.098460091206</v>
      </c>
      <c r="K16" s="891">
        <f>'[18]Rev_SP-12me'!$AL$63</f>
        <v>185.669634143626</v>
      </c>
      <c r="L16" s="153">
        <f>'[19]Rev_SP-12me'!$AL$63</f>
        <v>124</v>
      </c>
      <c r="M16" s="153">
        <f>'[20]Rev_SP-12me'!$AL$63</f>
        <v>131</v>
      </c>
      <c r="N16" s="153">
        <f>'[21]Rev_SP-12me'!$AL$63</f>
        <v>137</v>
      </c>
    </row>
    <row r="17" spans="3:14">
      <c r="C17" s="55" t="s">
        <v>187</v>
      </c>
      <c r="D17" s="55" t="s">
        <v>188</v>
      </c>
      <c r="E17" s="153">
        <f>'[11]FY19-20 Actual Sales'!$E$67</f>
        <v>0.05</v>
      </c>
      <c r="F17" s="153">
        <f>'[11]FY20-21 Actual Sales '!$E$67</f>
        <v>0.38</v>
      </c>
      <c r="G17" s="153">
        <f>'[11]FY21-22 Actual Sales '!$E$67</f>
        <v>0.87</v>
      </c>
      <c r="H17" s="153">
        <f>'[11]FY22-23 Actual Sales'!$E$67</f>
        <v>1.93</v>
      </c>
      <c r="I17" s="153">
        <f>'[17]Rev SP FY24'!$AK$64</f>
        <v>7.25</v>
      </c>
      <c r="J17" s="891">
        <f>'[18]Rev_SP-12me'!$I$64</f>
        <v>12.201</v>
      </c>
      <c r="K17" s="891">
        <f>'[18]Rev_SP-12me'!$AL$64</f>
        <v>19.9148408294931</v>
      </c>
      <c r="L17" s="153">
        <f>'[19]Rev_SP-12me'!$AL$64</f>
        <v>8.39278125</v>
      </c>
      <c r="M17" s="153">
        <f>'[20]Rev_SP-12me'!$AL$64</f>
        <v>8.8124203125</v>
      </c>
      <c r="N17" s="153">
        <f>'[21]Rev_SP-12me'!$AL$64</f>
        <v>9.253041328125</v>
      </c>
    </row>
    <row r="18" spans="3:14">
      <c r="C18" s="55"/>
      <c r="D18" s="55"/>
      <c r="E18" s="101"/>
      <c r="F18" s="101"/>
      <c r="G18" s="101"/>
      <c r="H18" s="101"/>
      <c r="I18" s="101"/>
      <c r="J18" s="892"/>
      <c r="K18" s="892"/>
      <c r="L18" s="101"/>
      <c r="M18" s="101"/>
      <c r="N18" s="101"/>
    </row>
    <row r="19" spans="3:14">
      <c r="C19" s="55"/>
      <c r="D19" s="55"/>
      <c r="E19" s="101"/>
      <c r="F19" s="101"/>
      <c r="G19" s="101"/>
      <c r="H19" s="101"/>
      <c r="I19" s="101"/>
      <c r="J19" s="892"/>
      <c r="K19" s="892"/>
      <c r="L19" s="101"/>
      <c r="M19" s="101"/>
      <c r="N19" s="101"/>
    </row>
    <row r="20" spans="3:14">
      <c r="C20" s="55"/>
      <c r="D20" s="55"/>
      <c r="E20" s="101"/>
      <c r="F20" s="101"/>
      <c r="G20" s="101"/>
      <c r="H20" s="101"/>
      <c r="I20" s="101"/>
      <c r="J20" s="892"/>
      <c r="K20" s="892"/>
      <c r="L20" s="101"/>
      <c r="M20" s="101"/>
      <c r="N20" s="101"/>
    </row>
    <row r="21" spans="3:14">
      <c r="C21" s="55"/>
      <c r="D21" s="55"/>
      <c r="E21" s="101"/>
      <c r="F21" s="101"/>
      <c r="G21" s="101"/>
      <c r="H21" s="101"/>
      <c r="I21" s="101"/>
      <c r="J21" s="892"/>
      <c r="K21" s="892"/>
      <c r="L21" s="101"/>
      <c r="M21" s="101"/>
      <c r="N21" s="101"/>
    </row>
    <row r="22" ht="15" spans="3:14">
      <c r="C22" s="537" t="s">
        <v>189</v>
      </c>
      <c r="D22" s="540"/>
      <c r="E22" s="878">
        <f>SUM(E9:E21)</f>
        <v>16914.013963</v>
      </c>
      <c r="F22" s="878">
        <f t="shared" ref="F22:N22" si="0">SUM(F9:F21)</f>
        <v>17926.076288145</v>
      </c>
      <c r="G22" s="878">
        <f t="shared" si="0"/>
        <v>19390.907143</v>
      </c>
      <c r="H22" s="878">
        <f t="shared" si="0"/>
        <v>20799.091349737</v>
      </c>
      <c r="I22" s="878">
        <f t="shared" si="0"/>
        <v>22259.199175909</v>
      </c>
      <c r="J22" s="893">
        <f t="shared" si="0"/>
        <v>23900.6355135689</v>
      </c>
      <c r="K22" s="893">
        <f t="shared" si="0"/>
        <v>25670.1336191761</v>
      </c>
      <c r="L22" s="878">
        <f t="shared" si="0"/>
        <v>28845.394167137</v>
      </c>
      <c r="M22" s="878">
        <f t="shared" si="0"/>
        <v>30961.8138528101</v>
      </c>
      <c r="N22" s="878">
        <f t="shared" si="0"/>
        <v>33248.2545218854</v>
      </c>
    </row>
    <row r="23" ht="15" spans="3:14">
      <c r="C23" s="44" t="s">
        <v>190</v>
      </c>
      <c r="D23" s="45"/>
      <c r="E23" s="45"/>
      <c r="F23" s="45"/>
      <c r="G23" s="45"/>
      <c r="H23" s="45"/>
      <c r="I23" s="55"/>
      <c r="J23" s="750"/>
      <c r="K23" s="750"/>
      <c r="L23" s="55"/>
      <c r="M23" s="55"/>
      <c r="N23" s="55"/>
    </row>
    <row r="24" spans="3:14">
      <c r="C24" s="55" t="s">
        <v>191</v>
      </c>
      <c r="D24" s="55" t="s">
        <v>192</v>
      </c>
      <c r="E24" s="882">
        <f>'[11]FY19-20 Actual Sales'!$E$76+'[11]FY19-20 Actual Sales'!$E$77+'[11]FY19-20 Actual Sales'!$E$80+'[11]FY19-20 Actual Sales'!$E$84+'[11]FY19-20 Actual Sales'!$E$88</f>
        <v>1456.61206</v>
      </c>
      <c r="F24" s="882">
        <f>'[11]FY20-21 Actual Sales '!$E$76+'[11]FY20-21 Actual Sales '!$E$77+'[11]FY20-21 Actual Sales '!$E$80+'[11]FY20-21 Actual Sales '!$E$84+'[11]FY20-21 Actual Sales '!$E$88</f>
        <v>1559.39781</v>
      </c>
      <c r="G24" s="882">
        <f>'[11]FY21-22 Actual Sales '!$E$76+'[11]FY21-22 Actual Sales '!$E$88</f>
        <v>1591.4033</v>
      </c>
      <c r="H24" s="882">
        <f>'[11]FY22-23 Actual Sales'!$E$76+'[11]FY22-23 Actual Sales'!$E$88</f>
        <v>1678.74049</v>
      </c>
      <c r="I24" s="153">
        <f>'[17]Rev SP FY24'!$AK$84+'[17]Rev SP FY24'!$AK$100</f>
        <v>1771.66671</v>
      </c>
      <c r="J24" s="891">
        <f>'[18]Rev_SP-12me'!$I$84+'[18]Rev_SP-12me'!$I$100</f>
        <v>1529.6729323312</v>
      </c>
      <c r="K24" s="891">
        <f>'[18]Rev_SP-12me'!$AL$84+'[18]Rev_SP-12me'!$AL$100</f>
        <v>1616.92789975108</v>
      </c>
      <c r="L24" s="153">
        <f>'[19]Rev_SP-12me'!$AL$84+'[19]Rev_SP-12me'!$AL$100</f>
        <v>2450.89463730117</v>
      </c>
      <c r="M24" s="153">
        <f>'[20]Rev_SP-12me'!$AL$84+'[20]Rev_SP-12me'!$AL$100</f>
        <v>2618.62214419837</v>
      </c>
      <c r="N24" s="153">
        <f>'[21]Rev_SP-12me'!$AL$84+'[21]Rev_SP-12me'!$AL$100</f>
        <v>2799.07055751754</v>
      </c>
    </row>
    <row r="25" spans="3:14">
      <c r="C25" s="55" t="s">
        <v>193</v>
      </c>
      <c r="D25" s="55" t="s">
        <v>194</v>
      </c>
      <c r="E25" s="153">
        <v>0</v>
      </c>
      <c r="F25" s="153">
        <v>0</v>
      </c>
      <c r="G25" s="153">
        <f>'[11]FY21-22 Actual Sales '!$E$92</f>
        <v>0</v>
      </c>
      <c r="H25" s="153">
        <f>'[11]FY22-23 Actual Sales'!$E$92</f>
        <v>0</v>
      </c>
      <c r="I25" s="153">
        <f>'[17]Rev SP FY24'!$AK$99</f>
        <v>0.49</v>
      </c>
      <c r="J25" s="891">
        <f>'[18]Rev_SP-12me'!$I$99</f>
        <v>0</v>
      </c>
      <c r="K25" s="891">
        <f>'[18]Rev_SP-12me'!$AL$99</f>
        <v>0</v>
      </c>
      <c r="L25" s="153">
        <f>'[19]Rev_SP-12me'!$AL$99</f>
        <v>0</v>
      </c>
      <c r="M25" s="153">
        <f>'[20]Rev_SP-12me'!$AL$99</f>
        <v>0</v>
      </c>
      <c r="N25" s="153">
        <f>'[21]Rev_SP-12me'!$AL$99</f>
        <v>0</v>
      </c>
    </row>
    <row r="26" spans="3:14">
      <c r="C26" s="55" t="s">
        <v>195</v>
      </c>
      <c r="D26" s="55" t="s">
        <v>196</v>
      </c>
      <c r="E26" s="153">
        <f>'[11]FY19-20 Actual Sales'!$E$93</f>
        <v>850.20017</v>
      </c>
      <c r="F26" s="153">
        <f>'[11]FY20-21 Actual Sales '!$E$90</f>
        <v>829.75967</v>
      </c>
      <c r="G26" s="153">
        <f>'[11]FY21-22 Actual Sales '!$E$93</f>
        <v>884.88667</v>
      </c>
      <c r="H26" s="153">
        <f>'[11]FY22-23 Actual Sales'!$E$93</f>
        <v>977.79554</v>
      </c>
      <c r="I26" s="153">
        <f>'[17]Rev SP FY24'!$AK$105</f>
        <v>1084.6856</v>
      </c>
      <c r="J26" s="891">
        <f>'[18]Rev_SP-12me'!$I$105</f>
        <v>1018.92972452783</v>
      </c>
      <c r="K26" s="891">
        <f>'[18]Rev_SP-12me'!$AL$105</f>
        <v>1029.11902177311</v>
      </c>
      <c r="L26" s="153">
        <f>'[19]Rev_SP-12me'!$AL$105</f>
        <v>1231.63443202928</v>
      </c>
      <c r="M26" s="153">
        <f>'[20]Rev_SP-12me'!$AL$105</f>
        <v>1310.66263375819</v>
      </c>
      <c r="N26" s="153">
        <f>'[21]Rev_SP-12me'!$AL$105</f>
        <v>1395.0486796721</v>
      </c>
    </row>
    <row r="27" spans="3:14">
      <c r="C27" s="55" t="s">
        <v>197</v>
      </c>
      <c r="D27" s="55" t="s">
        <v>198</v>
      </c>
      <c r="E27" s="153">
        <v>0</v>
      </c>
      <c r="F27" s="153">
        <v>0</v>
      </c>
      <c r="G27" s="153">
        <v>0</v>
      </c>
      <c r="H27" s="153">
        <f>'[11]FY22-23 Actual Sales'!$E$97</f>
        <v>0</v>
      </c>
      <c r="I27" s="101">
        <f>'[17]Rev SP FY24'!$AK$110</f>
        <v>0.23</v>
      </c>
      <c r="J27" s="891">
        <f>'[18]Rev_SP-12me'!$I$110</f>
        <v>0</v>
      </c>
      <c r="K27" s="891">
        <f>'[18]Rev_SP-12me'!$AL$110</f>
        <v>0</v>
      </c>
      <c r="L27" s="153">
        <f>'[19]Rev_SP-12me'!$AL$110</f>
        <v>0</v>
      </c>
      <c r="M27" s="153">
        <f>'[20]Rev_SP-12me'!$AL$110</f>
        <v>0</v>
      </c>
      <c r="N27" s="153">
        <f>'[21]Rev_SP-12me'!$AL$110</f>
        <v>0</v>
      </c>
    </row>
    <row r="28" spans="3:14">
      <c r="C28" s="55" t="s">
        <v>199</v>
      </c>
      <c r="D28" s="55" t="s">
        <v>200</v>
      </c>
      <c r="E28" s="153">
        <f>'[11]FY19-20 Actual Sales'!$E$97</f>
        <v>1.69</v>
      </c>
      <c r="F28" s="153">
        <f>'[11]FY20-21 Actual Sales '!$E$94</f>
        <v>1.935</v>
      </c>
      <c r="G28" s="153">
        <f>'[11]FY21-22 Actual Sales '!$E$97</f>
        <v>1.815</v>
      </c>
      <c r="H28" s="153">
        <f>'[11]FY22-23 Actual Sales'!$E$101</f>
        <v>1.815</v>
      </c>
      <c r="I28" s="153">
        <f>'[17]Rev SP FY24'!$AK$115</f>
        <v>3.505</v>
      </c>
      <c r="J28" s="891">
        <f>'[18]Rev_SP-12me'!$I$115</f>
        <v>3.02498938462724</v>
      </c>
      <c r="K28" s="891">
        <f>'[18]Rev_SP-12me'!$AL$115</f>
        <v>3.09676222963622</v>
      </c>
      <c r="L28" s="153">
        <f>'[19]Rev_SP-12me'!$AL$115</f>
        <v>1.40321141837645</v>
      </c>
      <c r="M28" s="153">
        <f>'[20]Rev_SP-12me'!$AL$115</f>
        <v>1.40321141837645</v>
      </c>
      <c r="N28" s="153">
        <f>'[21]Rev_SP-12me'!$AL$115</f>
        <v>1.40321141837645</v>
      </c>
    </row>
    <row r="29" spans="3:15">
      <c r="C29" s="55" t="s">
        <v>201</v>
      </c>
      <c r="D29" s="55" t="s">
        <v>202</v>
      </c>
      <c r="E29" s="153">
        <f>'[11]FY19-20 Actual Sales'!$E$101</f>
        <v>47.5072</v>
      </c>
      <c r="F29" s="153">
        <f>'[11]FY20-21 Actual Sales '!E98</f>
        <v>48.1282</v>
      </c>
      <c r="G29" s="153">
        <f>'[11]FY21-22 Actual Sales '!$E$101</f>
        <v>46.9432</v>
      </c>
      <c r="H29" s="153">
        <f>'[11]FY22-23 Actual Sales'!$E$105</f>
        <v>47.4582</v>
      </c>
      <c r="I29" s="153">
        <f>'[17]Rev SP FY24'!$AK$120</f>
        <v>47.1582</v>
      </c>
      <c r="J29" s="891">
        <f>'[18]Rev_SP-12me'!$I$120</f>
        <v>26.8133129159538</v>
      </c>
      <c r="K29" s="891">
        <f>'[18]Rev_SP-12me'!$AL$120</f>
        <v>28.2849246927044</v>
      </c>
      <c r="L29" s="153">
        <f>'[19]Rev_SP-12me'!$AL$120</f>
        <v>56.9052792522258</v>
      </c>
      <c r="M29" s="153">
        <f>'[20]Rev_SP-12me'!$AL$120</f>
        <v>59.8157785437858</v>
      </c>
      <c r="N29" s="153">
        <f>'[21]Rev_SP-12me'!$AL$120</f>
        <v>62.8768209021507</v>
      </c>
      <c r="O29" s="887">
        <f>I29+I46+I65</f>
        <v>1869.785</v>
      </c>
    </row>
    <row r="30" spans="3:14">
      <c r="C30" s="55" t="s">
        <v>203</v>
      </c>
      <c r="D30" s="55" t="s">
        <v>204</v>
      </c>
      <c r="E30" s="153">
        <f>'[11]FY19-20 Actual Sales'!$E$102</f>
        <v>40.22</v>
      </c>
      <c r="F30" s="153">
        <f>'[11]FY20-21 Actual Sales '!E99</f>
        <v>39.385</v>
      </c>
      <c r="G30" s="153">
        <f>'[11]FY21-22 Actual Sales '!$E$102</f>
        <v>38.317</v>
      </c>
      <c r="H30" s="153">
        <f>'[11]FY22-23 Actual Sales'!$E$106</f>
        <v>37.139</v>
      </c>
      <c r="I30" s="153">
        <f>'[17]Rev SP FY24'!$AK$132</f>
        <v>37.069</v>
      </c>
      <c r="J30" s="891">
        <f>'[18]Rev_SP-12me'!$I$132</f>
        <v>34.380809169</v>
      </c>
      <c r="K30" s="891">
        <f>'[18]Rev_SP-12me'!$AL$132</f>
        <v>36.09984962745</v>
      </c>
      <c r="L30" s="153">
        <f>'[19]Rev_SP-12me'!$AL$132</f>
        <v>44.5319284369911</v>
      </c>
      <c r="M30" s="153">
        <f>'[20]Rev_SP-12me'!$AL$132</f>
        <v>46.8095755704528</v>
      </c>
      <c r="N30" s="153">
        <f>'[21]Rev_SP-12me'!$AL$132</f>
        <v>49.2050320384038</v>
      </c>
    </row>
    <row r="31" spans="3:14">
      <c r="C31" s="55" t="s">
        <v>205</v>
      </c>
      <c r="D31" s="55" t="s">
        <v>206</v>
      </c>
      <c r="E31" s="153">
        <f>'[11]FY19-20 Actual Sales'!$E$103</f>
        <v>65.856</v>
      </c>
      <c r="F31" s="153">
        <f>'[11]FY20-21 Actual Sales '!E100</f>
        <v>77.136</v>
      </c>
      <c r="G31" s="153">
        <f>'[11]FY21-22 Actual Sales '!$E$103</f>
        <v>85.437</v>
      </c>
      <c r="H31" s="153">
        <f>'[11]FY22-23 Actual Sales'!$E$107</f>
        <v>96.029</v>
      </c>
      <c r="I31" s="153">
        <f>'[17]Rev SP FY24'!$AK$124</f>
        <v>111.234</v>
      </c>
      <c r="J31" s="891">
        <f>'[18]Rev_SP-12me'!$I$124</f>
        <v>81.5487776516464</v>
      </c>
      <c r="K31" s="891">
        <f>'[18]Rev_SP-12me'!$AL$124</f>
        <v>90.8951923481818</v>
      </c>
      <c r="L31" s="153">
        <f>'[19]Rev_SP-12me'!$AL$124</f>
        <v>108.367010283135</v>
      </c>
      <c r="M31" s="153">
        <f>'[20]Rev_SP-12me'!$AL$124</f>
        <v>113.23743771159</v>
      </c>
      <c r="N31" s="153">
        <f>'[21]Rev_SP-12me'!$AL$124</f>
        <v>119.32547199716</v>
      </c>
    </row>
    <row r="32" spans="3:14">
      <c r="C32" s="55" t="s">
        <v>207</v>
      </c>
      <c r="D32" s="55" t="s">
        <v>186</v>
      </c>
      <c r="E32" s="153">
        <f>'[11]FY19-20 Actual Sales'!$E$104</f>
        <v>54.888</v>
      </c>
      <c r="F32" s="153">
        <f>'[11]FY20-21 Actual Sales '!E101</f>
        <v>65.217</v>
      </c>
      <c r="G32" s="153">
        <f>'[11]FY21-22 Actual Sales '!$E$104</f>
        <v>76.162</v>
      </c>
      <c r="H32" s="153">
        <f>'[11]FY22-23 Actual Sales'!$E$108</f>
        <v>99.268</v>
      </c>
      <c r="I32" s="153">
        <f>'[17]Rev SP FY24'!$AK$125</f>
        <v>117.761</v>
      </c>
      <c r="J32" s="891">
        <f>'[18]Rev_SP-12me'!$I$125</f>
        <v>128.281889826877</v>
      </c>
      <c r="K32" s="891">
        <f>'[18]Rev_SP-12me'!$AL$125</f>
        <v>161.041086101677</v>
      </c>
      <c r="L32" s="153">
        <f>'[19]Rev_SP-12me'!$AL$125</f>
        <v>125.666161405847</v>
      </c>
      <c r="M32" s="153">
        <f>'[20]Rev_SP-12me'!$AL$125</f>
        <v>132.280169900891</v>
      </c>
      <c r="N32" s="153">
        <f>'[21]Rev_SP-12me'!$AL$125</f>
        <v>138.894178395936</v>
      </c>
    </row>
    <row r="33" spans="3:14">
      <c r="C33" s="55" t="s">
        <v>208</v>
      </c>
      <c r="D33" s="55" t="s">
        <v>209</v>
      </c>
      <c r="E33" s="153">
        <v>0</v>
      </c>
      <c r="F33" s="153">
        <v>0</v>
      </c>
      <c r="G33" s="153">
        <v>0</v>
      </c>
      <c r="H33" s="153">
        <v>0</v>
      </c>
      <c r="I33" s="153">
        <f>'[17]Rev SP FY24'!$AK$126</f>
        <v>0</v>
      </c>
      <c r="J33" s="891">
        <f>'[18]Rev_SP-12me'!$I$126</f>
        <v>0</v>
      </c>
      <c r="K33" s="891">
        <f>'[18]Rev_SP-12me'!$AL$126</f>
        <v>0</v>
      </c>
      <c r="L33" s="153">
        <v>0</v>
      </c>
      <c r="M33" s="153">
        <v>0</v>
      </c>
      <c r="N33" s="153">
        <v>0</v>
      </c>
    </row>
    <row r="34" spans="3:14">
      <c r="C34" s="55" t="s">
        <v>210</v>
      </c>
      <c r="D34" s="55" t="s">
        <v>188</v>
      </c>
      <c r="E34" s="153">
        <f>'[11]FY19-20 Actual Sales'!$E$105</f>
        <v>2.5</v>
      </c>
      <c r="F34" s="153">
        <f>'[11]FY20-21 Actual Sales '!$E$102</f>
        <v>2.6</v>
      </c>
      <c r="G34" s="153">
        <f>'[11]FY21-22 Actual Sales '!$E$105</f>
        <v>2.6</v>
      </c>
      <c r="H34" s="153">
        <f>'[11]FY22-23 Actual Sales'!$E$109</f>
        <v>4.1</v>
      </c>
      <c r="I34" s="153">
        <f>'[17]Rev SP FY24'!$AK$127</f>
        <v>9.807</v>
      </c>
      <c r="J34" s="891">
        <f>'[18]Rev_SP-12me'!$I$127</f>
        <v>9.6519432174</v>
      </c>
      <c r="K34" s="891">
        <f>'[18]Rev_SP-12me'!$AL$127</f>
        <v>12.2547840778932</v>
      </c>
      <c r="L34" s="153">
        <f>'[19]Rev_SP-12me'!$AL$127</f>
        <v>11.352828375</v>
      </c>
      <c r="M34" s="153">
        <f>'[20]Rev_SP-12me'!$AL$127</f>
        <v>11.92046979375</v>
      </c>
      <c r="N34" s="153">
        <f>'[21]Rev_SP-12me'!$AL$127</f>
        <v>12.5164932834375</v>
      </c>
    </row>
    <row r="35" spans="3:14">
      <c r="C35" s="55"/>
      <c r="D35" s="55"/>
      <c r="E35" s="101"/>
      <c r="F35" s="101"/>
      <c r="G35" s="101"/>
      <c r="H35" s="101"/>
      <c r="I35" s="101"/>
      <c r="J35" s="892"/>
      <c r="K35" s="892"/>
      <c r="L35" s="101"/>
      <c r="M35" s="101"/>
      <c r="N35" s="101"/>
    </row>
    <row r="36" spans="3:14">
      <c r="C36" s="55"/>
      <c r="D36" s="55"/>
      <c r="E36" s="101"/>
      <c r="F36" s="101"/>
      <c r="G36" s="101"/>
      <c r="H36" s="101"/>
      <c r="I36" s="101"/>
      <c r="J36" s="892"/>
      <c r="K36" s="892"/>
      <c r="L36" s="101"/>
      <c r="M36" s="101"/>
      <c r="N36" s="101"/>
    </row>
    <row r="37" spans="3:14">
      <c r="C37" s="55"/>
      <c r="D37" s="55"/>
      <c r="E37" s="883"/>
      <c r="F37" s="883"/>
      <c r="G37" s="883"/>
      <c r="H37" s="883"/>
      <c r="I37" s="101"/>
      <c r="J37" s="892"/>
      <c r="K37" s="892"/>
      <c r="L37" s="101"/>
      <c r="M37" s="101"/>
      <c r="N37" s="101"/>
    </row>
    <row r="38" spans="3:14">
      <c r="C38" s="55"/>
      <c r="D38" s="55"/>
      <c r="E38" s="101"/>
      <c r="F38" s="101"/>
      <c r="G38" s="101"/>
      <c r="H38" s="101"/>
      <c r="I38" s="101"/>
      <c r="J38" s="892"/>
      <c r="K38" s="892"/>
      <c r="L38" s="101"/>
      <c r="M38" s="101"/>
      <c r="N38" s="101"/>
    </row>
    <row r="39" ht="15" spans="3:14">
      <c r="C39" s="537" t="s">
        <v>211</v>
      </c>
      <c r="D39" s="540"/>
      <c r="E39" s="878">
        <f>SUM(E24:E38)</f>
        <v>2519.47343</v>
      </c>
      <c r="F39" s="878">
        <f t="shared" ref="F39:N39" si="1">SUM(F24:F38)</f>
        <v>2623.55868</v>
      </c>
      <c r="G39" s="878">
        <f t="shared" si="1"/>
        <v>2727.56417</v>
      </c>
      <c r="H39" s="878">
        <f t="shared" si="1"/>
        <v>2942.34523</v>
      </c>
      <c r="I39" s="878">
        <f t="shared" si="1"/>
        <v>3183.60651</v>
      </c>
      <c r="J39" s="893">
        <f t="shared" si="1"/>
        <v>2832.30437902453</v>
      </c>
      <c r="K39" s="893">
        <f t="shared" si="1"/>
        <v>2977.71952060173</v>
      </c>
      <c r="L39" s="878">
        <f t="shared" si="1"/>
        <v>4030.75548850202</v>
      </c>
      <c r="M39" s="878">
        <f t="shared" si="1"/>
        <v>4294.75142089541</v>
      </c>
      <c r="N39" s="878">
        <f t="shared" si="1"/>
        <v>4578.34044522511</v>
      </c>
    </row>
    <row r="40" ht="15" spans="3:14">
      <c r="C40" s="44" t="s">
        <v>212</v>
      </c>
      <c r="D40" s="45"/>
      <c r="E40" s="45"/>
      <c r="F40" s="45"/>
      <c r="G40" s="45"/>
      <c r="H40" s="45"/>
      <c r="I40" s="55"/>
      <c r="J40" s="750"/>
      <c r="K40" s="750"/>
      <c r="L40" s="55"/>
      <c r="M40" s="55"/>
      <c r="N40" s="55"/>
    </row>
    <row r="41" spans="3:14">
      <c r="C41" s="55" t="s">
        <v>191</v>
      </c>
      <c r="D41" s="55" t="s">
        <v>192</v>
      </c>
      <c r="E41" s="883">
        <f>'[11]FY19-20 Actual Sales'!$E$108+'[11]FY19-20 Actual Sales'!$E$111+'[11]FY19-20 Actual Sales'!$E$115+'[11]FY19-20 Actual Sales'!$E$119</f>
        <v>1141.668</v>
      </c>
      <c r="F41" s="883">
        <f>'[11]FY20-21 Actual Sales '!$E$105+'[11]FY20-21 Actual Sales '!$E$108+'[11]FY20-21 Actual Sales '!$E$112+'[11]FY20-21 Actual Sales '!$E$116</f>
        <v>1153.126</v>
      </c>
      <c r="G41" s="883">
        <f>'[11]FY21-22 Actual Sales '!$E$108+'[11]FY21-22 Actual Sales '!$E$119</f>
        <v>1195.165</v>
      </c>
      <c r="H41" s="883">
        <f>'[11]FY22-23 Actual Sales'!$E$115+'[11]FY22-23 Actual Sales'!$E$126</f>
        <v>1240.124</v>
      </c>
      <c r="I41" s="101">
        <f>'[17]Rev SP FY24'!$AK$150+'[17]Rev SP FY24'!$AK$164+'[17]Rev_SP-12me'!$I$158</f>
        <v>1371.513</v>
      </c>
      <c r="J41" s="892">
        <f>'[18]Rev_SP-12me'!$I$149+'[18]Rev_SP-12me'!$I$164</f>
        <v>1229.807976</v>
      </c>
      <c r="K41" s="892">
        <f>'[18]Rev_SP-12me'!$AL$149+'[18]Rev_SP-12me'!$AL$164</f>
        <v>1291.2983748</v>
      </c>
      <c r="L41" s="101">
        <f>'[19]Rev_SP-12me'!$AL$149+'[19]Rev_SP-12me'!$AL$164</f>
        <v>1809.04361744246</v>
      </c>
      <c r="M41" s="101">
        <f>'[20]Rev_SP-12me'!$AL$149+'[20]Rev_SP-12me'!$AL$164</f>
        <v>1932.84591037009</v>
      </c>
      <c r="N41" s="101">
        <f>'[21]Rev_SP-12me'!$AL$149+'[21]Rev_SP-12me'!$AL$164</f>
        <v>2066.03770304223</v>
      </c>
    </row>
    <row r="42" spans="3:14">
      <c r="C42" s="55" t="s">
        <v>193</v>
      </c>
      <c r="D42" s="55" t="s">
        <v>194</v>
      </c>
      <c r="E42" s="101">
        <f>'[11]FY19-20 Actual Sales'!$E$123</f>
        <v>8</v>
      </c>
      <c r="F42" s="101">
        <f>'[11]FY20-21 Actual Sales '!$E$117</f>
        <v>4</v>
      </c>
      <c r="G42" s="101">
        <f>'[11]FY21-22 Actual Sales '!$E$123</f>
        <v>8</v>
      </c>
      <c r="H42" s="101">
        <f>'[11]FY22-23 Actual Sales'!$E$130</f>
        <v>8</v>
      </c>
      <c r="I42" s="101">
        <f>'[17]Rev SP FY24'!$AK$163</f>
        <v>0</v>
      </c>
      <c r="J42" s="892">
        <f>'[18]Rev_SP-12me'!$I$163</f>
        <v>0</v>
      </c>
      <c r="K42" s="892">
        <f>'[18]Rev_SP-12me'!$AL$163</f>
        <v>0</v>
      </c>
      <c r="L42" s="101">
        <f>'[19]Rev_SP-12me'!$AL$163</f>
        <v>15.5503512880562</v>
      </c>
      <c r="M42" s="101">
        <f>'[20]Rev_SP-12me'!$AL$163</f>
        <v>15.5503512880562</v>
      </c>
      <c r="N42" s="101">
        <f>'[21]Rev_SP-12me'!$AL$163</f>
        <v>15.5503512880562</v>
      </c>
    </row>
    <row r="43" spans="3:14">
      <c r="C43" s="55" t="s">
        <v>195</v>
      </c>
      <c r="D43" s="55" t="s">
        <v>196</v>
      </c>
      <c r="E43" s="101">
        <f>'[11]FY19-20 Actual Sales'!$E$124</f>
        <v>338.432</v>
      </c>
      <c r="F43" s="101">
        <f>'[11]FY20-21 Actual Sales '!$E$118</f>
        <v>360.123</v>
      </c>
      <c r="G43" s="101">
        <f>'[11]FY21-22 Actual Sales '!$E$124</f>
        <v>384.044</v>
      </c>
      <c r="H43" s="101">
        <f>'[11]FY22-23 Actual Sales'!$E$131</f>
        <v>464.118</v>
      </c>
      <c r="I43" s="101">
        <f>'[17]Rev SP FY24'!$AK$169</f>
        <v>511.203</v>
      </c>
      <c r="J43" s="892">
        <f>'[18]Rev_SP-12me'!$I$169</f>
        <v>453.53464216588</v>
      </c>
      <c r="K43" s="892">
        <f>'[18]Rev_SP-12me'!$AL$169</f>
        <v>499.586374274174</v>
      </c>
      <c r="L43" s="101">
        <f>'[19]Rev_SP-12me'!$AL$169</f>
        <v>584.60453739088</v>
      </c>
      <c r="M43" s="101">
        <f>'[20]Rev_SP-12me'!$AL$169</f>
        <v>622.115867141899</v>
      </c>
      <c r="N43" s="101">
        <f>'[21]Rev_SP-12me'!$AL$169</f>
        <v>662.170337892988</v>
      </c>
    </row>
    <row r="44" spans="3:14">
      <c r="C44" s="55" t="s">
        <v>197</v>
      </c>
      <c r="D44" s="55" t="s">
        <v>198</v>
      </c>
      <c r="E44" s="101">
        <v>0</v>
      </c>
      <c r="F44" s="101">
        <v>0</v>
      </c>
      <c r="G44" s="101">
        <v>0</v>
      </c>
      <c r="H44" s="101">
        <v>0</v>
      </c>
      <c r="I44" s="101">
        <f>'[17]Rev_SP-12me'!$I$176</f>
        <v>1.501</v>
      </c>
      <c r="J44" s="892">
        <f>'[18]Rev_SP-12me'!$I$175</f>
        <v>0</v>
      </c>
      <c r="K44" s="892">
        <f>'[18]Rev_SP-12me'!$AL$175</f>
        <v>0</v>
      </c>
      <c r="L44" s="101">
        <f>'[19]Rev_SP-12me'!$AL$175</f>
        <v>0</v>
      </c>
      <c r="M44" s="101">
        <f>'[20]Rev_SP-12me'!$AL$175</f>
        <v>0</v>
      </c>
      <c r="N44" s="101">
        <f>'[21]Rev_SP-12me'!$AL$175</f>
        <v>0</v>
      </c>
    </row>
    <row r="45" spans="3:14">
      <c r="C45" s="55" t="s">
        <v>199</v>
      </c>
      <c r="D45" s="55" t="s">
        <v>200</v>
      </c>
      <c r="E45" s="101">
        <v>0</v>
      </c>
      <c r="F45" s="101">
        <v>0</v>
      </c>
      <c r="G45" s="101">
        <v>0</v>
      </c>
      <c r="H45" s="101">
        <v>0</v>
      </c>
      <c r="I45" s="101">
        <f>'[17]Rev SP FY24'!$AK$180</f>
        <v>0</v>
      </c>
      <c r="J45" s="892">
        <f>'[18]Rev_SP-12me'!$I$180</f>
        <v>0</v>
      </c>
      <c r="K45" s="892">
        <f>'[18]Rev_SP-12me'!$AL$180</f>
        <v>0</v>
      </c>
      <c r="L45" s="101">
        <f>'[19]Rev_SP-12me'!$AL$180</f>
        <v>0</v>
      </c>
      <c r="M45" s="101">
        <f>'[20]Rev_SP-12me'!$AL$180</f>
        <v>0</v>
      </c>
      <c r="N45" s="101">
        <f>'[21]Rev_SP-12me'!$AL$180</f>
        <v>0</v>
      </c>
    </row>
    <row r="46" spans="3:14">
      <c r="C46" s="55" t="s">
        <v>201</v>
      </c>
      <c r="D46" s="55" t="s">
        <v>202</v>
      </c>
      <c r="E46" s="101">
        <f>'[11]FY19-20 Actual Sales'!$E$132</f>
        <v>42.91</v>
      </c>
      <c r="F46" s="101">
        <f>'[11]FY20-21 Actual Sales '!$E$126</f>
        <v>42.91</v>
      </c>
      <c r="G46" s="101">
        <f>'[11]FY21-22 Actual Sales '!$E$132</f>
        <v>44.91</v>
      </c>
      <c r="H46" s="101">
        <f>'[11]FY22-23 Actual Sales'!$E$143</f>
        <v>43.975</v>
      </c>
      <c r="I46" s="101">
        <f>'[17]Rev SP FY24'!$AK$185</f>
        <v>64.719</v>
      </c>
      <c r="J46" s="892">
        <f>'[18]Rev_SP-12me'!$I$185</f>
        <v>25.0678999995</v>
      </c>
      <c r="K46" s="892">
        <f>'[18]Rev_SP-12me'!$AL$185</f>
        <v>26.4672850500122</v>
      </c>
      <c r="L46" s="101">
        <f>'[19]Rev_SP-12me'!$AL$185</f>
        <v>52.7287097933893</v>
      </c>
      <c r="M46" s="101">
        <f>'[20]Rev_SP-12me'!$AL$185</f>
        <v>55.4255926576014</v>
      </c>
      <c r="N46" s="101">
        <f>'[21]Rev_SP-12me'!$AL$185</f>
        <v>58.261969463066</v>
      </c>
    </row>
    <row r="47" spans="3:14">
      <c r="C47" s="55" t="s">
        <v>203</v>
      </c>
      <c r="D47" s="55" t="s">
        <v>204</v>
      </c>
      <c r="E47" s="101">
        <f>'[11]FY19-20 Actual Sales'!$E$133</f>
        <v>43.75</v>
      </c>
      <c r="F47" s="101">
        <f>'[11]FY20-21 Actual Sales '!$E$127</f>
        <v>43.75</v>
      </c>
      <c r="G47" s="101">
        <f>'[11]FY21-22 Actual Sales '!$E$133</f>
        <v>43.75</v>
      </c>
      <c r="H47" s="101">
        <f>'[11]FY22-23 Actual Sales'!$E$144</f>
        <v>43.75</v>
      </c>
      <c r="I47" s="101">
        <f>'[17]Rev SP FY24'!$AK$191</f>
        <v>43.75</v>
      </c>
      <c r="J47" s="892">
        <f>'[18]Rev_SP-12me'!$I$191</f>
        <v>40.806045</v>
      </c>
      <c r="K47" s="892">
        <f>'[18]Rev_SP-12me'!$AL$191</f>
        <v>42.84634725</v>
      </c>
      <c r="L47" s="101">
        <f>'[19]Rev_SP-12me'!$AL$191</f>
        <v>52.4589210565272</v>
      </c>
      <c r="M47" s="101">
        <f>'[20]Rev_SP-12me'!$AL$191</f>
        <v>55.1420052022755</v>
      </c>
      <c r="N47" s="101">
        <f>'[21]Rev_SP-12me'!$AL$191</f>
        <v>57.963869562459</v>
      </c>
    </row>
    <row r="48" spans="3:14">
      <c r="C48" s="55" t="s">
        <v>213</v>
      </c>
      <c r="D48" s="55" t="s">
        <v>229</v>
      </c>
      <c r="E48" s="101"/>
      <c r="F48" s="101"/>
      <c r="G48" s="101"/>
      <c r="H48" s="101">
        <f>'[11]FY22-23 Actual Sales'!$E$147</f>
        <v>4</v>
      </c>
      <c r="I48" s="101">
        <f>'[17]Rev SP FY24'!$AK$187</f>
        <v>0</v>
      </c>
      <c r="J48" s="892">
        <f>'[18]Rev_SP-12me'!$I$187</f>
        <v>0</v>
      </c>
      <c r="K48" s="892">
        <f>'[18]Rev_SP-12me'!$AL$187</f>
        <v>0</v>
      </c>
      <c r="L48" s="101">
        <f>'[19]Rev_SP-12me'!$AL$187</f>
        <v>5.34241908006814</v>
      </c>
      <c r="M48" s="101">
        <f>'[20]Rev_SP-12me'!$AL$187</f>
        <v>4.44293015332198</v>
      </c>
      <c r="N48" s="101">
        <f>'[21]Rev_SP-12me'!$AL$187</f>
        <v>4.87891862631152</v>
      </c>
    </row>
    <row r="49" spans="3:14">
      <c r="C49" s="55" t="s">
        <v>215</v>
      </c>
      <c r="D49" s="55" t="s">
        <v>230</v>
      </c>
      <c r="E49" s="101"/>
      <c r="F49" s="101"/>
      <c r="G49" s="101"/>
      <c r="H49" s="101"/>
      <c r="I49" s="101">
        <f>'[17]Rev SP FY24'!$AK$188</f>
        <v>0</v>
      </c>
      <c r="J49" s="892">
        <f>'[18]Rev_SP-12me'!$I$188</f>
        <v>1</v>
      </c>
      <c r="K49" s="892">
        <f>'[18]Rev_SP-12me'!$AL$188</f>
        <v>0</v>
      </c>
      <c r="L49" s="101">
        <f>'[19]Rev_SP-12me'!$AL$188</f>
        <v>0</v>
      </c>
      <c r="M49" s="101">
        <f>'[20]Rev_SP-12me'!$AL$188</f>
        <v>0</v>
      </c>
      <c r="N49" s="101">
        <f>'[21]Rev_SP-12me'!$AL$188</f>
        <v>0</v>
      </c>
    </row>
    <row r="50" spans="3:14">
      <c r="C50" s="55" t="s">
        <v>205</v>
      </c>
      <c r="D50" s="55" t="s">
        <v>206</v>
      </c>
      <c r="E50" s="101">
        <f>'[11]FY19-20 Actual Sales'!$E$134</f>
        <v>43.805</v>
      </c>
      <c r="F50" s="101">
        <f>'[11]FY20-21 Actual Sales '!$E$128</f>
        <v>51.705</v>
      </c>
      <c r="G50" s="101">
        <f>'[11]FY21-22 Actual Sales '!$E$134</f>
        <v>53.205</v>
      </c>
      <c r="H50" s="101">
        <f>'[11]FY22-23 Actual Sales'!$E$145</f>
        <v>61.705</v>
      </c>
      <c r="I50" s="101">
        <f>'[17]Rev SP FY24'!$AK$189</f>
        <v>65.205</v>
      </c>
      <c r="J50" s="892">
        <f>'[18]Rev_SP-12me'!$I$189</f>
        <v>42.320994975</v>
      </c>
      <c r="K50" s="892">
        <f>'[18]Rev_SP-12me'!$AL$189</f>
        <v>44.43704472375</v>
      </c>
      <c r="L50" s="101">
        <f>'[19]Rev_SP-12me'!$AL$189</f>
        <v>69.6329897168651</v>
      </c>
      <c r="M50" s="101">
        <f>'[20]Rev_SP-12me'!$AL$189</f>
        <v>72.7625622884096</v>
      </c>
      <c r="N50" s="101">
        <f>'[21]Rev_SP-12me'!$AL$189</f>
        <v>76.6745280028402</v>
      </c>
    </row>
    <row r="51" spans="3:14">
      <c r="C51" s="55" t="s">
        <v>231</v>
      </c>
      <c r="D51" s="55" t="s">
        <v>186</v>
      </c>
      <c r="E51" s="101">
        <f>'[11]FY19-20 Actual Sales'!$E$135</f>
        <v>12.352</v>
      </c>
      <c r="F51" s="101">
        <f>'[11]FY20-21 Actual Sales '!$E$129</f>
        <v>15.402</v>
      </c>
      <c r="G51" s="101">
        <f>'[11]FY21-22 Actual Sales '!$E$135</f>
        <v>17.802</v>
      </c>
      <c r="H51" s="101">
        <f>'[11]FY22-23 Actual Sales'!$E$146</f>
        <v>20.802</v>
      </c>
      <c r="I51" s="101">
        <f>'[17]Rev SP FY24'!$AK$190</f>
        <v>23.502</v>
      </c>
      <c r="J51" s="892">
        <f>'[18]Rev_SP-12me'!$I$190</f>
        <v>23.3742500370435</v>
      </c>
      <c r="K51" s="892">
        <f>'[18]Rev_SP-12me'!$AL$190</f>
        <v>25.9703550617484</v>
      </c>
      <c r="L51" s="101">
        <f>'[19]Rev_SP-12me'!$AL$190</f>
        <v>26.3338385941534</v>
      </c>
      <c r="M51" s="101">
        <f>'[20]Rev_SP-12me'!$AL$190</f>
        <v>27.7198300991089</v>
      </c>
      <c r="N51" s="101">
        <f>'[21]Rev_SP-12me'!$AL$190</f>
        <v>29.1058216040643</v>
      </c>
    </row>
    <row r="52" spans="3:14">
      <c r="C52" s="55" t="s">
        <v>208</v>
      </c>
      <c r="D52" s="55" t="s">
        <v>209</v>
      </c>
      <c r="E52" s="101">
        <v>0</v>
      </c>
      <c r="F52" s="101">
        <v>0</v>
      </c>
      <c r="G52" s="101">
        <v>0</v>
      </c>
      <c r="H52" s="101">
        <v>0</v>
      </c>
      <c r="I52" s="101">
        <v>0</v>
      </c>
      <c r="J52" s="892">
        <v>0</v>
      </c>
      <c r="K52" s="892">
        <v>0</v>
      </c>
      <c r="L52" s="101">
        <v>0</v>
      </c>
      <c r="M52" s="101">
        <v>0</v>
      </c>
      <c r="N52" s="101">
        <v>0</v>
      </c>
    </row>
    <row r="53" spans="3:14">
      <c r="C53" s="55" t="s">
        <v>210</v>
      </c>
      <c r="D53" s="55" t="s">
        <v>188</v>
      </c>
      <c r="E53" s="101">
        <v>0</v>
      </c>
      <c r="F53" s="101">
        <v>0</v>
      </c>
      <c r="G53" s="101">
        <v>0</v>
      </c>
      <c r="H53" s="101">
        <v>0</v>
      </c>
      <c r="I53" s="101">
        <v>0</v>
      </c>
      <c r="J53" s="892">
        <v>0</v>
      </c>
      <c r="K53" s="892">
        <v>0</v>
      </c>
      <c r="L53" s="101">
        <v>0</v>
      </c>
      <c r="M53" s="101">
        <v>0</v>
      </c>
      <c r="N53" s="101">
        <v>0</v>
      </c>
    </row>
    <row r="54" spans="3:14">
      <c r="C54" s="55"/>
      <c r="D54" s="55"/>
      <c r="E54" s="101"/>
      <c r="F54" s="101"/>
      <c r="G54" s="101"/>
      <c r="H54" s="101"/>
      <c r="I54" s="101"/>
      <c r="J54" s="892"/>
      <c r="K54" s="892"/>
      <c r="L54" s="101"/>
      <c r="M54" s="101"/>
      <c r="N54" s="101"/>
    </row>
    <row r="55" spans="3:14">
      <c r="C55" s="55"/>
      <c r="D55" s="55"/>
      <c r="E55" s="101"/>
      <c r="F55" s="101"/>
      <c r="G55" s="101"/>
      <c r="H55" s="101"/>
      <c r="I55" s="101"/>
      <c r="J55" s="892"/>
      <c r="K55" s="892"/>
      <c r="L55" s="101"/>
      <c r="M55" s="101"/>
      <c r="N55" s="101"/>
    </row>
    <row r="56" spans="3:14">
      <c r="C56" s="55"/>
      <c r="D56" s="55"/>
      <c r="E56" s="883"/>
      <c r="F56" s="883"/>
      <c r="G56" s="883"/>
      <c r="H56" s="883"/>
      <c r="I56" s="101"/>
      <c r="J56" s="892"/>
      <c r="K56" s="892"/>
      <c r="L56" s="101"/>
      <c r="M56" s="101"/>
      <c r="N56" s="101"/>
    </row>
    <row r="57" spans="3:14">
      <c r="C57" s="55"/>
      <c r="D57" s="55"/>
      <c r="E57" s="101"/>
      <c r="F57" s="101"/>
      <c r="G57" s="101"/>
      <c r="H57" s="101"/>
      <c r="I57" s="101"/>
      <c r="J57" s="892"/>
      <c r="K57" s="892"/>
      <c r="L57" s="101"/>
      <c r="M57" s="101"/>
      <c r="N57" s="101"/>
    </row>
    <row r="58" ht="15" spans="3:14">
      <c r="C58" s="537" t="s">
        <v>211</v>
      </c>
      <c r="D58" s="540"/>
      <c r="E58" s="878">
        <f>SUM(E41:E57)</f>
        <v>1630.917</v>
      </c>
      <c r="F58" s="878">
        <f t="shared" ref="F58:N58" si="2">SUM(F41:F57)</f>
        <v>1671.016</v>
      </c>
      <c r="G58" s="878">
        <f t="shared" si="2"/>
        <v>1746.876</v>
      </c>
      <c r="H58" s="878">
        <f t="shared" si="2"/>
        <v>1886.474</v>
      </c>
      <c r="I58" s="878">
        <f t="shared" si="2"/>
        <v>2081.393</v>
      </c>
      <c r="J58" s="893">
        <f t="shared" si="2"/>
        <v>1815.91180817742</v>
      </c>
      <c r="K58" s="893">
        <f t="shared" si="2"/>
        <v>1930.60578115968</v>
      </c>
      <c r="L58" s="878">
        <f t="shared" si="2"/>
        <v>2615.6953843624</v>
      </c>
      <c r="M58" s="878">
        <f t="shared" si="2"/>
        <v>2786.00504920076</v>
      </c>
      <c r="N58" s="878">
        <f t="shared" si="2"/>
        <v>2970.64349948201</v>
      </c>
    </row>
    <row r="59" ht="15" spans="3:14">
      <c r="C59" s="44" t="s">
        <v>219</v>
      </c>
      <c r="D59" s="45"/>
      <c r="E59" s="45"/>
      <c r="F59" s="45"/>
      <c r="G59" s="45"/>
      <c r="H59" s="45"/>
      <c r="I59" s="55"/>
      <c r="J59" s="750"/>
      <c r="K59" s="750"/>
      <c r="L59" s="55"/>
      <c r="M59" s="55"/>
      <c r="N59" s="55"/>
    </row>
    <row r="60" spans="3:14">
      <c r="C60" s="55" t="s">
        <v>191</v>
      </c>
      <c r="D60" s="55" t="s">
        <v>192</v>
      </c>
      <c r="E60" s="882">
        <f>'[11]FY19-20 Actual Sales'!$E$138+'[11]FY19-20 Actual Sales'!$E$145</f>
        <v>597.044</v>
      </c>
      <c r="F60" s="882">
        <f>'[11]FY20-21 Actual Sales '!$E$132+'[11]FY20-21 Actual Sales '!$E$139</f>
        <v>634.072</v>
      </c>
      <c r="G60" s="882">
        <f>'[11]FY21-22 Actual Sales '!$E$138+'[11]FY21-22 Actual Sales '!$E$145</f>
        <v>694.194</v>
      </c>
      <c r="H60" s="882">
        <f>'[11]FY22-23 Actual Sales'!$E$149+'[11]FY22-23 Actual Sales'!$E$156</f>
        <v>784.049</v>
      </c>
      <c r="I60" s="153">
        <f>'[17]Rev SP FY24'!$AK$208+'[17]Rev SP FY24'!$AK$217</f>
        <v>810.699</v>
      </c>
      <c r="J60" s="891">
        <f>'[18]Rev_SP-12me'!$I$208+'[18]Rev_SP-12me'!$I$217</f>
        <v>803.10148065</v>
      </c>
      <c r="K60" s="891">
        <f>'[18]Rev_SP-12me'!$AL$208+'[18]Rev_SP-12me'!$AL$217</f>
        <v>843.2565546825</v>
      </c>
      <c r="L60" s="153">
        <f>'[19]Rev_SP-12me'!$AL$208+'[19]Rev_SP-12me'!$AL$217</f>
        <v>942.061745256374</v>
      </c>
      <c r="M60" s="153">
        <f>'[20]Rev_SP-12me'!$AL$208+'[20]Rev_SP-12me'!$AL$217</f>
        <v>1006.53194543155</v>
      </c>
      <c r="N60" s="153">
        <f>'[21]Rev_SP-12me'!$AL$208+'[21]Rev_SP-12me'!$AL$217</f>
        <v>1075.89173944024</v>
      </c>
    </row>
    <row r="61" spans="3:14">
      <c r="C61" s="55" t="s">
        <v>193</v>
      </c>
      <c r="D61" s="55" t="s">
        <v>194</v>
      </c>
      <c r="E61" s="153">
        <f>'[11]FY19-20 Actual Sales'!$E$149</f>
        <v>45.2</v>
      </c>
      <c r="F61" s="153">
        <f>'[11]FY20-21 Actual Sales '!$E$140</f>
        <v>25.2</v>
      </c>
      <c r="G61" s="153">
        <f>'[11]FY21-22 Actual Sales '!$E$149</f>
        <v>53.7</v>
      </c>
      <c r="H61" s="153">
        <f>'[11]FY22-23 Actual Sales'!$E$160</f>
        <v>34.7</v>
      </c>
      <c r="I61" s="153">
        <f>'[17]Rev SP FY24'!$AK$216</f>
        <v>26.6</v>
      </c>
      <c r="J61" s="891">
        <f>'[18]Rev_SP-12me'!$I$216</f>
        <v>0</v>
      </c>
      <c r="K61" s="891">
        <f>'[18]Rev_SP-12me'!$AL$216</f>
        <v>0</v>
      </c>
      <c r="L61" s="153">
        <f>'[19]Rev_SP-12me'!$AL$216</f>
        <v>67.4496487119438</v>
      </c>
      <c r="M61" s="153">
        <f>'[20]Rev_SP-12me'!$AL$216</f>
        <v>67.4496487119438</v>
      </c>
      <c r="N61" s="153">
        <f>'[21]Rev_SP-12me'!$AL$216</f>
        <v>67.4496487119438</v>
      </c>
    </row>
    <row r="62" spans="3:14">
      <c r="C62" s="55" t="s">
        <v>195</v>
      </c>
      <c r="D62" s="55" t="s">
        <v>196</v>
      </c>
      <c r="E62" s="153">
        <f>'[11]FY19-20 Actual Sales'!$E$150</f>
        <v>17.07</v>
      </c>
      <c r="F62" s="153">
        <f>'[11]FY20-21 Actual Sales '!$E$141</f>
        <v>17.07</v>
      </c>
      <c r="G62" s="153">
        <f>'[11]FY21-22 Actual Sales '!$E$150</f>
        <v>17.57</v>
      </c>
      <c r="H62" s="153">
        <f>'[11]FY22-23 Actual Sales'!$E$161</f>
        <v>18.07</v>
      </c>
      <c r="I62" s="153">
        <f>'[17]Rev SP FY24'!$AK$222</f>
        <v>78</v>
      </c>
      <c r="J62" s="891">
        <f>'[18]Rev_SP-12me'!$I$222</f>
        <v>88.6172839965</v>
      </c>
      <c r="K62" s="891">
        <f>'[18]Rev_SP-12me'!$AL$222</f>
        <v>90.38962967643</v>
      </c>
      <c r="L62" s="153">
        <f>'[19]Rev_SP-12me'!$AL$222</f>
        <v>22.7610305798379</v>
      </c>
      <c r="M62" s="153">
        <f>'[20]Rev_SP-12me'!$AL$222</f>
        <v>24.2214990999145</v>
      </c>
      <c r="N62" s="153">
        <f>'[21]Rev_SP-12me'!$AL$222</f>
        <v>25.7809824349116</v>
      </c>
    </row>
    <row r="63" spans="3:14">
      <c r="C63" s="55" t="s">
        <v>197</v>
      </c>
      <c r="D63" s="55" t="s">
        <v>198</v>
      </c>
      <c r="E63" s="153">
        <v>0</v>
      </c>
      <c r="F63" s="153">
        <v>0</v>
      </c>
      <c r="G63" s="153">
        <v>0</v>
      </c>
      <c r="H63" s="153">
        <f>'[11]FY22-23 Actual Sales'!$E$165</f>
        <v>0</v>
      </c>
      <c r="I63" s="153">
        <f>'[17]Rev SP FY24'!$AK$227</f>
        <v>0</v>
      </c>
      <c r="J63" s="891">
        <f>'[18]Rev_SP-12me'!$I$227</f>
        <v>0</v>
      </c>
      <c r="K63" s="891">
        <f>'[18]Rev_SP-12me'!$AL$227</f>
        <v>0</v>
      </c>
      <c r="L63" s="153">
        <f>'[19]Rev_SP-12me'!$AL$227</f>
        <v>0</v>
      </c>
      <c r="M63" s="153">
        <f>'[20]Rev_SP-12me'!$AL$227</f>
        <v>0</v>
      </c>
      <c r="N63" s="153">
        <f>'[21]Rev_SP-12me'!$AL$227</f>
        <v>0</v>
      </c>
    </row>
    <row r="64" spans="3:14">
      <c r="C64" s="55" t="s">
        <v>199</v>
      </c>
      <c r="D64" s="55" t="s">
        <v>200</v>
      </c>
      <c r="E64" s="153">
        <f>'[11]FY19-20 Actual Sales'!$E$154</f>
        <v>15</v>
      </c>
      <c r="F64" s="153">
        <f>'[11]FY20-21 Actual Sales '!$E$145</f>
        <v>11</v>
      </c>
      <c r="G64" s="153">
        <f>'[11]FY21-22 Actual Sales '!$E$154</f>
        <v>11</v>
      </c>
      <c r="H64" s="153">
        <f>'[11]FY22-23 Actual Sales'!$E$169</f>
        <v>15</v>
      </c>
      <c r="I64" s="153">
        <f>'[17]Rev SP FY24'!$AK$232</f>
        <v>19</v>
      </c>
      <c r="J64" s="891">
        <f>'[18]Rev_SP-12me'!$I$232</f>
        <v>17.9828059760959</v>
      </c>
      <c r="K64" s="891">
        <f>'[18]Rev_SP-12me'!$AL$232</f>
        <v>18.9766627999478</v>
      </c>
      <c r="L64" s="153">
        <f>'[19]Rev_SP-12me'!$AL$232</f>
        <v>11.5967885816235</v>
      </c>
      <c r="M64" s="153">
        <f>'[20]Rev_SP-12me'!$AL$232</f>
        <v>11.5967885816235</v>
      </c>
      <c r="N64" s="153">
        <f>'[21]Rev_SP-12me'!$AL$232</f>
        <v>11.5967885816235</v>
      </c>
    </row>
    <row r="65" spans="3:14">
      <c r="C65" s="55" t="s">
        <v>201</v>
      </c>
      <c r="D65" s="55" t="s">
        <v>202</v>
      </c>
      <c r="E65" s="153">
        <f>'[11]FY19-20 Actual Sales'!E158</f>
        <v>960.4078</v>
      </c>
      <c r="F65" s="153">
        <f>'[11]FY20-21 Actual Sales '!$E$149</f>
        <v>1450.4078</v>
      </c>
      <c r="G65" s="153">
        <f>'[11]FY21-22 Actual Sales '!$E$158</f>
        <v>1450.4078</v>
      </c>
      <c r="H65" s="153">
        <f>'[11]FY22-23 Actual Sales'!$E$173</f>
        <v>1654.4078</v>
      </c>
      <c r="I65" s="153">
        <f>'[17]Rev SP FY24'!$AK$237</f>
        <v>1757.9078</v>
      </c>
      <c r="J65" s="891">
        <f>'[18]Rev_SP-12me'!$I$237</f>
        <v>715.1565225</v>
      </c>
      <c r="K65" s="891">
        <f>'[18]Rev_SP-12me'!$AL$237</f>
        <v>729.45965295</v>
      </c>
      <c r="L65" s="153">
        <f>'[19]Rev_SP-12me'!$AL$237</f>
        <v>1983.73595829721</v>
      </c>
      <c r="M65" s="153">
        <f>'[20]Rev_SP-12me'!$AL$237</f>
        <v>2085.19688032652</v>
      </c>
      <c r="N65" s="153">
        <f>'[21]Rev_SP-12me'!$AL$237</f>
        <v>2191.90578108148</v>
      </c>
    </row>
    <row r="66" spans="3:14">
      <c r="C66" s="55" t="s">
        <v>203</v>
      </c>
      <c r="D66" s="55" t="s">
        <v>220</v>
      </c>
      <c r="E66" s="153">
        <f>'[11]FY19-20 Actual Sales'!E159</f>
        <v>64.75</v>
      </c>
      <c r="F66" s="153">
        <f>'[11]FY20-21 Actual Sales '!$E$150</f>
        <v>64.75</v>
      </c>
      <c r="G66" s="153">
        <f>'[11]FY21-22 Actual Sales '!$E$159</f>
        <v>64.75</v>
      </c>
      <c r="H66" s="153">
        <f>'[11]FY22-23 Actual Sales'!$E$174</f>
        <v>64.75</v>
      </c>
      <c r="I66" s="153">
        <f>'[17]Rev SP FY24'!$AK$247</f>
        <v>64.75</v>
      </c>
      <c r="J66" s="891">
        <f>'[18]Rev_SP-12me'!$I$247</f>
        <v>55.3686</v>
      </c>
      <c r="K66" s="891">
        <f>'[18]Rev_SP-12me'!$AL$247</f>
        <v>56.475972</v>
      </c>
      <c r="L66" s="153">
        <f>'[19]Rev_SP-12me'!$AL$247</f>
        <v>77.6392031636602</v>
      </c>
      <c r="M66" s="153">
        <f>'[20]Rev_SP-12me'!$AL$247</f>
        <v>81.6101676993677</v>
      </c>
      <c r="N66" s="153">
        <f>'[21]Rev_SP-12me'!$AL$247</f>
        <v>85.7865269524393</v>
      </c>
    </row>
    <row r="67" spans="3:14">
      <c r="C67" s="55" t="s">
        <v>221</v>
      </c>
      <c r="D67" s="55" t="s">
        <v>232</v>
      </c>
      <c r="E67" s="153">
        <f>'[11]FY19-20 Actual Sales'!E160+'[11]FY19-20 Actual Sales'!$E$161</f>
        <v>113.25</v>
      </c>
      <c r="F67" s="153">
        <f>'[11]FY20-21 Actual Sales '!$E$151+'[11]FY20-21 Actual Sales '!$E$152</f>
        <v>113.75</v>
      </c>
      <c r="G67" s="153">
        <f>'[11]FY21-22 Actual Sales '!$E$160+'[11]FY21-22 Actual Sales '!$E$161</f>
        <v>125.25</v>
      </c>
      <c r="H67" s="153">
        <f>'[11]FY22-23 Actual Sales'!$E$175+'[11]FY22-23 Actual Sales'!$E$176</f>
        <v>142.75</v>
      </c>
      <c r="I67" s="153">
        <f>'[17]Rev SP FY24'!$AK$240</f>
        <v>196.5</v>
      </c>
      <c r="J67" s="891">
        <f>'[18]Rev_SP-12me'!$I$240</f>
        <v>204.7897425</v>
      </c>
      <c r="K67" s="891">
        <f>'[18]Rev_SP-12me'!$AL$240</f>
        <v>215.029229625</v>
      </c>
      <c r="L67" s="153">
        <f>'[19]Rev_SP-12me'!$AL$240</f>
        <v>190.657580919932</v>
      </c>
      <c r="M67" s="153">
        <f>'[20]Rev_SP-12me'!$AL$240</f>
        <v>208.166950596252</v>
      </c>
      <c r="N67" s="153">
        <f>'[21]Rev_SP-12me'!$AL$240</f>
        <v>228.594548551959</v>
      </c>
    </row>
    <row r="68" spans="3:14">
      <c r="C68" s="55" t="s">
        <v>205</v>
      </c>
      <c r="D68" s="55" t="s">
        <v>206</v>
      </c>
      <c r="E68" s="153">
        <v>0</v>
      </c>
      <c r="F68" s="153">
        <v>0</v>
      </c>
      <c r="G68" s="153">
        <v>0</v>
      </c>
      <c r="H68" s="153">
        <v>0</v>
      </c>
      <c r="I68" s="153">
        <v>0</v>
      </c>
      <c r="J68" s="891">
        <f>'[18]Rev_SP-12me'!$I$245</f>
        <v>0</v>
      </c>
      <c r="K68" s="891">
        <f>'[18]Rev_SP-12me'!$AL$245</f>
        <v>0</v>
      </c>
      <c r="L68" s="153">
        <f>'[19]Rev_SP-12me'!$AL$245</f>
        <v>0</v>
      </c>
      <c r="M68" s="153">
        <f>'[20]Rev_SP-12me'!$AL$245</f>
        <v>0</v>
      </c>
      <c r="N68" s="153">
        <f>'[21]Rev_SP-12me'!$AL$245</f>
        <v>0</v>
      </c>
    </row>
    <row r="69" spans="3:14">
      <c r="C69" s="55" t="s">
        <v>207</v>
      </c>
      <c r="D69" s="55" t="s">
        <v>186</v>
      </c>
      <c r="E69" s="153">
        <v>0</v>
      </c>
      <c r="F69" s="153">
        <v>0</v>
      </c>
      <c r="G69" s="153">
        <v>0</v>
      </c>
      <c r="H69" s="153">
        <v>0</v>
      </c>
      <c r="I69" s="153">
        <v>0</v>
      </c>
      <c r="J69" s="891">
        <f>'[18]Rev_SP-12me'!$I$246</f>
        <v>0</v>
      </c>
      <c r="K69" s="891">
        <f>'[18]Rev_SP-12me'!$AL$246</f>
        <v>0</v>
      </c>
      <c r="L69" s="153">
        <f>'[19]Rev_SP-12me'!$AL$246</f>
        <v>0</v>
      </c>
      <c r="M69" s="153">
        <f>'[20]Rev_SP-12me'!$AL$246</f>
        <v>0</v>
      </c>
      <c r="N69" s="153">
        <f>'[21]Rev_SP-12me'!$AL$246</f>
        <v>0</v>
      </c>
    </row>
    <row r="70" spans="3:14">
      <c r="C70" s="55" t="s">
        <v>208</v>
      </c>
      <c r="D70" s="55" t="s">
        <v>209</v>
      </c>
      <c r="E70" s="153">
        <v>0</v>
      </c>
      <c r="F70" s="153">
        <v>0</v>
      </c>
      <c r="G70" s="153">
        <v>0</v>
      </c>
      <c r="H70" s="153">
        <v>0</v>
      </c>
      <c r="I70" s="153">
        <v>0</v>
      </c>
      <c r="J70" s="891">
        <v>0</v>
      </c>
      <c r="K70" s="891">
        <v>0</v>
      </c>
      <c r="L70" s="153">
        <v>0</v>
      </c>
      <c r="M70" s="153">
        <v>0</v>
      </c>
      <c r="N70" s="153">
        <v>0</v>
      </c>
    </row>
    <row r="71" spans="3:14">
      <c r="C71" s="55" t="s">
        <v>210</v>
      </c>
      <c r="D71" s="55" t="s">
        <v>188</v>
      </c>
      <c r="E71" s="153">
        <v>0</v>
      </c>
      <c r="F71" s="153">
        <v>0</v>
      </c>
      <c r="G71" s="153">
        <v>0</v>
      </c>
      <c r="H71" s="153">
        <v>0</v>
      </c>
      <c r="I71" s="153">
        <v>0</v>
      </c>
      <c r="J71" s="891">
        <v>0</v>
      </c>
      <c r="K71" s="891">
        <v>0</v>
      </c>
      <c r="L71" s="153">
        <v>0</v>
      </c>
      <c r="M71" s="153">
        <v>0</v>
      </c>
      <c r="N71" s="153">
        <v>0</v>
      </c>
    </row>
    <row r="72" spans="3:14">
      <c r="C72" s="55"/>
      <c r="D72" s="55"/>
      <c r="E72" s="101"/>
      <c r="F72" s="101"/>
      <c r="G72" s="101"/>
      <c r="H72" s="101"/>
      <c r="I72" s="101"/>
      <c r="J72" s="892"/>
      <c r="K72" s="892"/>
      <c r="L72" s="101"/>
      <c r="M72" s="101"/>
      <c r="N72" s="101"/>
    </row>
    <row r="73" spans="3:14">
      <c r="C73" s="55"/>
      <c r="D73" s="55"/>
      <c r="E73" s="883"/>
      <c r="F73" s="883"/>
      <c r="G73" s="883"/>
      <c r="H73" s="883"/>
      <c r="I73" s="101"/>
      <c r="J73" s="892"/>
      <c r="K73" s="892"/>
      <c r="L73" s="101"/>
      <c r="M73" s="101"/>
      <c r="N73" s="101"/>
    </row>
    <row r="74" spans="3:14">
      <c r="C74" s="55"/>
      <c r="D74" s="55"/>
      <c r="E74" s="101"/>
      <c r="F74" s="101"/>
      <c r="G74" s="101"/>
      <c r="H74" s="101"/>
      <c r="I74" s="101"/>
      <c r="J74" s="892"/>
      <c r="K74" s="892"/>
      <c r="L74" s="101"/>
      <c r="M74" s="101"/>
      <c r="N74" s="101"/>
    </row>
    <row r="75" spans="3:14">
      <c r="C75" s="55"/>
      <c r="D75" s="55"/>
      <c r="E75" s="883"/>
      <c r="F75" s="883"/>
      <c r="G75" s="883"/>
      <c r="H75" s="883"/>
      <c r="I75" s="101"/>
      <c r="J75" s="892"/>
      <c r="K75" s="892"/>
      <c r="L75" s="101"/>
      <c r="M75" s="101"/>
      <c r="N75" s="101"/>
    </row>
    <row r="76" ht="15" spans="3:14">
      <c r="C76" s="537" t="s">
        <v>211</v>
      </c>
      <c r="D76" s="540"/>
      <c r="E76" s="878">
        <f>SUM(E60:E75)</f>
        <v>1812.7218</v>
      </c>
      <c r="F76" s="878">
        <f t="shared" ref="F76:N76" si="3">SUM(F60:F75)</f>
        <v>2316.2498</v>
      </c>
      <c r="G76" s="878">
        <f t="shared" si="3"/>
        <v>2416.8718</v>
      </c>
      <c r="H76" s="878">
        <f t="shared" si="3"/>
        <v>2713.7268</v>
      </c>
      <c r="I76" s="878">
        <f t="shared" si="3"/>
        <v>2953.4568</v>
      </c>
      <c r="J76" s="893">
        <f t="shared" si="3"/>
        <v>1885.0164356226</v>
      </c>
      <c r="K76" s="893">
        <f t="shared" si="3"/>
        <v>1953.58770173388</v>
      </c>
      <c r="L76" s="878">
        <f t="shared" si="3"/>
        <v>3295.90195551058</v>
      </c>
      <c r="M76" s="878">
        <f t="shared" si="3"/>
        <v>3484.77388044717</v>
      </c>
      <c r="N76" s="878">
        <f t="shared" si="3"/>
        <v>3687.0060157546</v>
      </c>
    </row>
    <row r="77" ht="15" spans="3:14">
      <c r="C77" s="537" t="s">
        <v>223</v>
      </c>
      <c r="D77" s="540"/>
      <c r="E77" s="878">
        <f t="shared" ref="E77:N77" si="4">E39+E58+E76</f>
        <v>5963.11223</v>
      </c>
      <c r="F77" s="878">
        <f t="shared" si="4"/>
        <v>6610.82448</v>
      </c>
      <c r="G77" s="878">
        <f t="shared" si="4"/>
        <v>6891.31197</v>
      </c>
      <c r="H77" s="878">
        <f t="shared" si="4"/>
        <v>7542.54603</v>
      </c>
      <c r="I77" s="878">
        <f t="shared" si="4"/>
        <v>8218.45631</v>
      </c>
      <c r="J77" s="893">
        <f t="shared" si="4"/>
        <v>6533.23262282455</v>
      </c>
      <c r="K77" s="893">
        <f t="shared" si="4"/>
        <v>6861.9130034953</v>
      </c>
      <c r="L77" s="878">
        <f t="shared" si="4"/>
        <v>9942.35282837501</v>
      </c>
      <c r="M77" s="878">
        <f t="shared" si="4"/>
        <v>10565.5303505433</v>
      </c>
      <c r="N77" s="878">
        <f t="shared" si="4"/>
        <v>11235.9899604617</v>
      </c>
    </row>
    <row r="78" ht="15" spans="3:14">
      <c r="C78" s="537" t="s">
        <v>224</v>
      </c>
      <c r="D78" s="540"/>
      <c r="E78" s="878">
        <f t="shared" ref="E78:N78" si="5">E77+E22</f>
        <v>22877.126193</v>
      </c>
      <c r="F78" s="878">
        <f t="shared" si="5"/>
        <v>24536.900768145</v>
      </c>
      <c r="G78" s="878">
        <f t="shared" si="5"/>
        <v>26282.219113</v>
      </c>
      <c r="H78" s="878">
        <f t="shared" si="5"/>
        <v>28341.637379737</v>
      </c>
      <c r="I78" s="878">
        <f t="shared" si="5"/>
        <v>30477.655485909</v>
      </c>
      <c r="J78" s="893">
        <f t="shared" si="5"/>
        <v>30433.8681363934</v>
      </c>
      <c r="K78" s="893">
        <f t="shared" si="5"/>
        <v>32532.0466226714</v>
      </c>
      <c r="L78" s="877">
        <f t="shared" si="5"/>
        <v>38787.746995512</v>
      </c>
      <c r="M78" s="877">
        <f t="shared" si="5"/>
        <v>41527.3442033535</v>
      </c>
      <c r="N78" s="877">
        <f t="shared" si="5"/>
        <v>44484.2444823471</v>
      </c>
    </row>
    <row r="81" ht="15" spans="4:5">
      <c r="D81" s="11"/>
      <c r="E81" s="11" t="s">
        <v>225</v>
      </c>
    </row>
    <row r="82" spans="4:6">
      <c r="D82" s="13"/>
      <c r="E82" s="13">
        <v>1</v>
      </c>
      <c r="F82" s="12" t="s">
        <v>226</v>
      </c>
    </row>
    <row r="83" spans="5:6">
      <c r="E83" s="13">
        <f>E82+1</f>
        <v>2</v>
      </c>
      <c r="F83" s="12" t="s">
        <v>233</v>
      </c>
    </row>
  </sheetData>
  <mergeCells count="17">
    <mergeCell ref="J5:N5"/>
    <mergeCell ref="C8:D8"/>
    <mergeCell ref="C22:D22"/>
    <mergeCell ref="C23:D23"/>
    <mergeCell ref="C39:D39"/>
    <mergeCell ref="C40:D40"/>
    <mergeCell ref="C58:D58"/>
    <mergeCell ref="C59:D59"/>
    <mergeCell ref="C76:D76"/>
    <mergeCell ref="C77:D77"/>
    <mergeCell ref="C78:D78"/>
    <mergeCell ref="E5:E6"/>
    <mergeCell ref="F5:F6"/>
    <mergeCell ref="G5:G6"/>
    <mergeCell ref="H5:H6"/>
    <mergeCell ref="I5:I6"/>
    <mergeCell ref="C5:D7"/>
  </mergeCells>
  <printOptions horizontalCentered="1"/>
  <pageMargins left="0.751388888888889" right="0.751388888888889" top="1" bottom="1" header="0.5" footer="0.5"/>
  <pageSetup paperSize="9" scale="65" orientation="portrait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Y302"/>
  <sheetViews>
    <sheetView showGridLines="0" zoomScale="80" zoomScaleNormal="80" workbookViewId="0">
      <pane xSplit="3" ySplit="9" topLeftCell="J10" activePane="bottomRight" state="frozen"/>
      <selection/>
      <selection pane="topRight"/>
      <selection pane="bottomLeft"/>
      <selection pane="bottomRight" activeCell="Q34" sqref="Q34"/>
    </sheetView>
  </sheetViews>
  <sheetFormatPr defaultColWidth="9.14285714285714" defaultRowHeight="14.25"/>
  <cols>
    <col min="1" max="1" width="9.14285714285714" style="1"/>
    <col min="2" max="2" width="33" style="1" customWidth="1"/>
    <col min="3" max="3" width="38.5714285714286" style="1" customWidth="1"/>
    <col min="4" max="4" width="14" style="1" customWidth="1"/>
    <col min="5" max="5" width="25" style="1" customWidth="1"/>
    <col min="6" max="6" width="17.5714285714286" style="1" customWidth="1"/>
    <col min="7" max="7" width="20.4285714285714" style="1" customWidth="1"/>
    <col min="8" max="8" width="14.5714285714286" style="1" customWidth="1"/>
    <col min="9" max="9" width="17.4285714285714" style="1" customWidth="1"/>
    <col min="10" max="10" width="24.4285714285714" style="1" customWidth="1"/>
    <col min="11" max="11" width="17.1428571428571" style="1" customWidth="1"/>
    <col min="12" max="12" width="19.5714285714286" style="1" customWidth="1"/>
    <col min="13" max="14" width="10.4285714285714" style="1" customWidth="1"/>
    <col min="15" max="15" width="21.5714285714286" style="1" customWidth="1"/>
    <col min="16" max="16384" width="9.14285714285714" style="1"/>
  </cols>
  <sheetData>
    <row r="2" ht="15" spans="2:25">
      <c r="B2" s="34"/>
      <c r="C2" s="34"/>
      <c r="D2" s="34"/>
      <c r="E2" s="34"/>
      <c r="F2" s="34"/>
      <c r="H2" s="34" t="s">
        <v>156</v>
      </c>
      <c r="I2" s="34"/>
      <c r="J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</row>
    <row r="3" ht="15" spans="1:20">
      <c r="A3" s="3" t="s">
        <v>1193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spans="1:9">
      <c r="A4" s="35"/>
      <c r="B4" s="35"/>
      <c r="C4" s="35"/>
      <c r="D4" s="35"/>
      <c r="E4" s="35"/>
      <c r="F4" s="35"/>
      <c r="G4" s="35"/>
      <c r="H4" s="35"/>
      <c r="I4" s="35"/>
    </row>
    <row r="7" ht="15" spans="2:15">
      <c r="B7" s="36" t="s">
        <v>159</v>
      </c>
      <c r="C7" s="37"/>
      <c r="D7" s="38" t="s">
        <v>879</v>
      </c>
      <c r="E7" s="39" t="s">
        <v>1190</v>
      </c>
      <c r="F7" s="39"/>
      <c r="G7" s="39"/>
      <c r="H7" s="39"/>
      <c r="I7" s="39"/>
      <c r="J7" s="39" t="s">
        <v>1191</v>
      </c>
      <c r="K7" s="39"/>
      <c r="L7" s="39"/>
      <c r="M7" s="39"/>
      <c r="N7" s="39"/>
      <c r="O7" s="39"/>
    </row>
    <row r="8" ht="15" spans="2:15">
      <c r="B8" s="40"/>
      <c r="C8" s="41"/>
      <c r="D8" s="38"/>
      <c r="E8" s="38" t="s">
        <v>1092</v>
      </c>
      <c r="F8" s="38" t="s">
        <v>1093</v>
      </c>
      <c r="G8" s="38" t="s">
        <v>1089</v>
      </c>
      <c r="H8" s="38" t="s">
        <v>1090</v>
      </c>
      <c r="I8" s="38" t="s">
        <v>97</v>
      </c>
      <c r="J8" s="38" t="s">
        <v>1092</v>
      </c>
      <c r="K8" s="38" t="s">
        <v>1093</v>
      </c>
      <c r="L8" s="38" t="s">
        <v>1089</v>
      </c>
      <c r="M8" s="38" t="s">
        <v>1090</v>
      </c>
      <c r="N8" s="38" t="s">
        <v>97</v>
      </c>
      <c r="O8" s="39" t="s">
        <v>1192</v>
      </c>
    </row>
    <row r="9" ht="15" spans="2:15">
      <c r="B9" s="42"/>
      <c r="C9" s="43"/>
      <c r="D9" s="39" t="s">
        <v>1096</v>
      </c>
      <c r="E9" s="38" t="s">
        <v>550</v>
      </c>
      <c r="F9" s="38" t="s">
        <v>550</v>
      </c>
      <c r="G9" s="38" t="s">
        <v>550</v>
      </c>
      <c r="H9" s="38" t="s">
        <v>550</v>
      </c>
      <c r="I9" s="38" t="s">
        <v>550</v>
      </c>
      <c r="J9" s="38" t="s">
        <v>550</v>
      </c>
      <c r="K9" s="38" t="s">
        <v>550</v>
      </c>
      <c r="L9" s="38" t="s">
        <v>550</v>
      </c>
      <c r="M9" s="38" t="s">
        <v>550</v>
      </c>
      <c r="N9" s="38" t="s">
        <v>550</v>
      </c>
      <c r="O9" s="39" t="s">
        <v>754</v>
      </c>
    </row>
    <row r="10" ht="15" spans="2:15">
      <c r="B10" s="44" t="s">
        <v>890</v>
      </c>
      <c r="C10" s="45"/>
      <c r="E10" s="8"/>
      <c r="F10" s="8"/>
      <c r="G10" s="8"/>
      <c r="H10" s="8"/>
      <c r="I10" s="8"/>
      <c r="J10" s="8"/>
      <c r="K10" s="8"/>
      <c r="L10" s="8"/>
      <c r="M10" s="8"/>
      <c r="N10" s="59"/>
      <c r="O10" s="8"/>
    </row>
    <row r="11" ht="15" spans="2:15">
      <c r="B11" s="46" t="s">
        <v>1000</v>
      </c>
      <c r="C11" s="47"/>
      <c r="D11" s="48">
        <f>'[10]Rev_SP-12me'!AQ10</f>
        <v>11109.32</v>
      </c>
      <c r="E11" s="48">
        <f>'[10]Rev_SP-12me'!AT10</f>
        <v>155.04</v>
      </c>
      <c r="F11" s="48">
        <f>'[10]Rev_SP-12me'!AU10</f>
        <v>5195.81179599001</v>
      </c>
      <c r="G11" s="48">
        <f>'[10]Rev_SP-12me'!AW10</f>
        <v>715.728977938821</v>
      </c>
      <c r="H11" s="49"/>
      <c r="I11" s="60">
        <f t="shared" ref="I11:I42" si="0">SUM(E11:H11)</f>
        <v>6066.58077392883</v>
      </c>
      <c r="J11" s="48">
        <v>155.04</v>
      </c>
      <c r="K11" s="48">
        <v>5195.81179599001</v>
      </c>
      <c r="L11" s="48">
        <v>715.728977938821</v>
      </c>
      <c r="M11" s="49"/>
      <c r="N11" s="61">
        <f t="shared" ref="N11:N74" si="1">SUM(J11:M11)</f>
        <v>6066.58077392883</v>
      </c>
      <c r="O11" s="60">
        <f t="shared" ref="O11:O38" si="2">N11*10/D11</f>
        <v>5.460802977976</v>
      </c>
    </row>
    <row r="12" spans="2:15">
      <c r="B12" s="50" t="s">
        <v>1001</v>
      </c>
      <c r="C12" s="47"/>
      <c r="D12" s="51">
        <f>'[10]Rev_SP-12me'!AQ11</f>
        <v>2492.02805980674</v>
      </c>
      <c r="E12" s="51">
        <f>'[10]Rev_SP-12me'!AT11</f>
        <v>58.0939712334883</v>
      </c>
      <c r="F12" s="51">
        <f>'[10]Rev_SP-12me'!AU11</f>
        <v>558.202623924158</v>
      </c>
      <c r="G12" s="51">
        <f>'[10]Rev_SP-12me'!AW11</f>
        <v>284.721250714718</v>
      </c>
      <c r="H12" s="49"/>
      <c r="I12" s="60">
        <f t="shared" si="0"/>
        <v>901.017845872364</v>
      </c>
      <c r="J12" s="51">
        <v>58.0939712334883</v>
      </c>
      <c r="K12" s="51">
        <v>558.202623924158</v>
      </c>
      <c r="L12" s="51">
        <v>284.721250714718</v>
      </c>
      <c r="M12" s="49"/>
      <c r="N12" s="61">
        <f t="shared" si="1"/>
        <v>901.017845872364</v>
      </c>
      <c r="O12" s="60">
        <f t="shared" si="2"/>
        <v>3.6156007245851</v>
      </c>
    </row>
    <row r="13" spans="2:15">
      <c r="B13" s="52" t="s">
        <v>1002</v>
      </c>
      <c r="C13" s="47"/>
      <c r="D13" s="53">
        <f>'[10]Rev_SP-12me'!AQ12</f>
        <v>1863.70499666027</v>
      </c>
      <c r="E13" s="53">
        <f>'[10]Rev_SP-12me'!AT12</f>
        <v>30.7482964738821</v>
      </c>
      <c r="F13" s="53">
        <f>'[10]Rev_SP-12me'!AU12</f>
        <v>363.422474348752</v>
      </c>
      <c r="G13" s="53">
        <f>'[10]Rev_SP-12me'!AW12</f>
        <v>114.35208850819</v>
      </c>
      <c r="H13" s="49"/>
      <c r="I13" s="60">
        <f t="shared" si="0"/>
        <v>508.522859330824</v>
      </c>
      <c r="J13" s="53">
        <v>30.7482964738821</v>
      </c>
      <c r="K13" s="53">
        <v>363.422474348752</v>
      </c>
      <c r="L13" s="53">
        <v>114.35208850819</v>
      </c>
      <c r="M13" s="49"/>
      <c r="N13" s="61">
        <f t="shared" si="1"/>
        <v>508.522859330824</v>
      </c>
      <c r="O13" s="60">
        <f t="shared" si="2"/>
        <v>2.7285587592569</v>
      </c>
    </row>
    <row r="14" spans="2:15">
      <c r="B14" s="52" t="s">
        <v>1004</v>
      </c>
      <c r="C14" s="47"/>
      <c r="D14" s="53">
        <f>'[10]Rev_SP-12me'!AQ13</f>
        <v>628.32306314647</v>
      </c>
      <c r="E14" s="53">
        <f>'[10]Rev_SP-12me'!AT13</f>
        <v>27.3456747596062</v>
      </c>
      <c r="F14" s="53">
        <f>'[10]Rev_SP-12me'!AU13</f>
        <v>194.780149575406</v>
      </c>
      <c r="G14" s="53">
        <f>'[10]Rev_SP-12me'!AW13</f>
        <v>170.369162206528</v>
      </c>
      <c r="H14" s="49"/>
      <c r="I14" s="60">
        <f t="shared" si="0"/>
        <v>392.49498654154</v>
      </c>
      <c r="J14" s="53">
        <v>27.3456747596062</v>
      </c>
      <c r="K14" s="53">
        <v>194.780149575406</v>
      </c>
      <c r="L14" s="53">
        <v>170.369162206528</v>
      </c>
      <c r="M14" s="49"/>
      <c r="N14" s="61">
        <f t="shared" si="1"/>
        <v>392.49498654154</v>
      </c>
      <c r="O14" s="60">
        <f t="shared" si="2"/>
        <v>6.24670666354395</v>
      </c>
    </row>
    <row r="15" spans="2:15">
      <c r="B15" s="50" t="s">
        <v>1005</v>
      </c>
      <c r="C15" s="47"/>
      <c r="D15" s="51">
        <f>'[10]Rev_SP-12me'!AQ14</f>
        <v>3825.08595019733</v>
      </c>
      <c r="E15" s="51">
        <f>'[10]Rev_SP-12me'!AT14</f>
        <v>47.7762822962509</v>
      </c>
      <c r="F15" s="51">
        <f>'[10]Rev_SP-12me'!AU14</f>
        <v>1458.00880922852</v>
      </c>
      <c r="G15" s="51">
        <f>'[10]Rev_SP-12me'!AW14</f>
        <v>256.426728885309</v>
      </c>
      <c r="H15" s="49"/>
      <c r="I15" s="60">
        <f t="shared" si="0"/>
        <v>1762.21182041008</v>
      </c>
      <c r="J15" s="51">
        <v>47.7762822962509</v>
      </c>
      <c r="K15" s="51">
        <v>1458.00880922852</v>
      </c>
      <c r="L15" s="51">
        <v>256.426728885309</v>
      </c>
      <c r="M15" s="49"/>
      <c r="N15" s="61">
        <f t="shared" si="1"/>
        <v>1762.21182041008</v>
      </c>
      <c r="O15" s="60">
        <f t="shared" si="2"/>
        <v>4.60698620463462</v>
      </c>
    </row>
    <row r="16" spans="2:15">
      <c r="B16" s="52" t="s">
        <v>1006</v>
      </c>
      <c r="C16" s="47"/>
      <c r="D16" s="53">
        <f>'[10]Rev_SP-12me'!AQ15</f>
        <v>2700.23176332995</v>
      </c>
      <c r="E16" s="53">
        <f>'[10]Rev_SP-12me'!AT15</f>
        <v>0</v>
      </c>
      <c r="F16" s="53">
        <f>'[10]Rev_SP-12me'!AU15</f>
        <v>918.078799532183</v>
      </c>
      <c r="G16" s="53">
        <f>'[10]Rev_SP-12me'!AW15</f>
        <v>0</v>
      </c>
      <c r="H16" s="49"/>
      <c r="I16" s="60">
        <f t="shared" si="0"/>
        <v>918.078799532183</v>
      </c>
      <c r="J16" s="53">
        <v>0</v>
      </c>
      <c r="K16" s="53">
        <v>918.078799532183</v>
      </c>
      <c r="L16" s="53">
        <v>0</v>
      </c>
      <c r="M16" s="49"/>
      <c r="N16" s="61">
        <f t="shared" si="1"/>
        <v>918.078799532183</v>
      </c>
      <c r="O16" s="60">
        <f t="shared" si="2"/>
        <v>3.4</v>
      </c>
    </row>
    <row r="17" spans="2:15">
      <c r="B17" s="52" t="s">
        <v>1007</v>
      </c>
      <c r="C17" s="47"/>
      <c r="D17" s="53">
        <f>'[10]Rev_SP-12me'!AQ16</f>
        <v>1124.85418686738</v>
      </c>
      <c r="E17" s="53">
        <f>'[10]Rev_SP-12me'!AT16</f>
        <v>47.7762822962509</v>
      </c>
      <c r="F17" s="53">
        <f>'[10]Rev_SP-12me'!AU16</f>
        <v>539.93000969634</v>
      </c>
      <c r="G17" s="53">
        <f>'[10]Rev_SP-12me'!AW16</f>
        <v>256.426728885309</v>
      </c>
      <c r="H17" s="49"/>
      <c r="I17" s="60">
        <f t="shared" si="0"/>
        <v>844.1330208779</v>
      </c>
      <c r="J17" s="53">
        <v>47.7762822962509</v>
      </c>
      <c r="K17" s="53">
        <v>539.93000969634</v>
      </c>
      <c r="L17" s="53">
        <v>256.426728885309</v>
      </c>
      <c r="M17" s="49"/>
      <c r="N17" s="61">
        <f t="shared" si="1"/>
        <v>844.1330208779</v>
      </c>
      <c r="O17" s="60">
        <f t="shared" si="2"/>
        <v>7.5043772849238</v>
      </c>
    </row>
    <row r="18" spans="2:15">
      <c r="B18" s="50" t="s">
        <v>1008</v>
      </c>
      <c r="C18" s="47"/>
      <c r="D18" s="51">
        <f>'[10]Rev_SP-12me'!AQ17</f>
        <v>4792.20598999594</v>
      </c>
      <c r="E18" s="51">
        <f>'[10]Rev_SP-12me'!AT17</f>
        <v>49.1697464702608</v>
      </c>
      <c r="F18" s="51">
        <f>'[10]Rev_SP-12me'!AU17</f>
        <v>3179.60036283733</v>
      </c>
      <c r="G18" s="51">
        <f>'[10]Rev_SP-12me'!AW17</f>
        <v>174.580998338794</v>
      </c>
      <c r="H18" s="49"/>
      <c r="I18" s="60">
        <f t="shared" si="0"/>
        <v>3403.35110764638</v>
      </c>
      <c r="J18" s="51">
        <v>49.1697464702608</v>
      </c>
      <c r="K18" s="51">
        <v>3179.60036283733</v>
      </c>
      <c r="L18" s="51">
        <v>174.580998338794</v>
      </c>
      <c r="M18" s="49"/>
      <c r="N18" s="61">
        <f t="shared" si="1"/>
        <v>3403.35110764638</v>
      </c>
      <c r="O18" s="60">
        <f t="shared" si="2"/>
        <v>7.10184644556414</v>
      </c>
    </row>
    <row r="19" spans="2:15">
      <c r="B19" s="52" t="s">
        <v>1009</v>
      </c>
      <c r="C19" s="47"/>
      <c r="D19" s="53">
        <f>'[10]Rev_SP-12me'!AQ18</f>
        <v>2748.206488247</v>
      </c>
      <c r="E19" s="53">
        <f>'[10]Rev_SP-12me'!AT18</f>
        <v>0</v>
      </c>
      <c r="F19" s="53">
        <f>'[10]Rev_SP-12me'!AU18</f>
        <v>1401.58530900597</v>
      </c>
      <c r="G19" s="53">
        <f>'[10]Rev_SP-12me'!AW18</f>
        <v>0</v>
      </c>
      <c r="H19" s="49"/>
      <c r="I19" s="60">
        <f t="shared" si="0"/>
        <v>1401.58530900597</v>
      </c>
      <c r="J19" s="53">
        <v>0</v>
      </c>
      <c r="K19" s="53">
        <v>1401.58530900597</v>
      </c>
      <c r="L19" s="53">
        <v>0</v>
      </c>
      <c r="M19" s="49"/>
      <c r="N19" s="61">
        <f t="shared" si="1"/>
        <v>1401.58530900597</v>
      </c>
      <c r="O19" s="60">
        <f t="shared" si="2"/>
        <v>5.1</v>
      </c>
    </row>
    <row r="20" spans="2:15">
      <c r="B20" s="52" t="s">
        <v>1010</v>
      </c>
      <c r="C20" s="47"/>
      <c r="D20" s="53">
        <f>'[10]Rev_SP-12me'!AQ19</f>
        <v>883.956084710964</v>
      </c>
      <c r="E20" s="53">
        <f>'[10]Rev_SP-12me'!AT19</f>
        <v>24.4274806156568</v>
      </c>
      <c r="F20" s="53">
        <f>'[10]Rev_SP-12me'!AU19</f>
        <v>680.646185227442</v>
      </c>
      <c r="G20" s="53">
        <f>'[10]Rev_SP-12me'!AW19</f>
        <v>96.4489090378857</v>
      </c>
      <c r="H20" s="49"/>
      <c r="I20" s="60">
        <f t="shared" si="0"/>
        <v>801.522574880984</v>
      </c>
      <c r="J20" s="53">
        <v>24.4274806156568</v>
      </c>
      <c r="K20" s="53">
        <v>680.646185227442</v>
      </c>
      <c r="L20" s="53">
        <v>96.4489090378857</v>
      </c>
      <c r="M20" s="49"/>
      <c r="N20" s="61">
        <f t="shared" si="1"/>
        <v>801.522574880984</v>
      </c>
      <c r="O20" s="60">
        <f t="shared" si="2"/>
        <v>9.06744790543601</v>
      </c>
    </row>
    <row r="21" spans="2:15">
      <c r="B21" s="52" t="s">
        <v>1011</v>
      </c>
      <c r="C21" s="47"/>
      <c r="D21" s="53">
        <f>'[10]Rev_SP-12me'!AQ20</f>
        <v>389.807814263622</v>
      </c>
      <c r="E21" s="53">
        <f>'[10]Rev_SP-12me'!AT20</f>
        <v>10.4582824791009</v>
      </c>
      <c r="F21" s="53">
        <f>'[10]Rev_SP-12me'!AU20</f>
        <v>350.82703283726</v>
      </c>
      <c r="G21" s="53">
        <f>'[10]Rev_SP-12me'!AW20</f>
        <v>38.6268394579317</v>
      </c>
      <c r="H21" s="49"/>
      <c r="I21" s="60">
        <f t="shared" si="0"/>
        <v>399.912154774293</v>
      </c>
      <c r="J21" s="53">
        <v>10.4582824791009</v>
      </c>
      <c r="K21" s="53">
        <v>350.82703283726</v>
      </c>
      <c r="L21" s="53">
        <v>38.6268394579317</v>
      </c>
      <c r="M21" s="49"/>
      <c r="N21" s="61">
        <f t="shared" si="1"/>
        <v>399.912154774293</v>
      </c>
      <c r="O21" s="60">
        <f t="shared" si="2"/>
        <v>10.2592133903154</v>
      </c>
    </row>
    <row r="22" spans="2:15">
      <c r="B22" s="52" t="s">
        <v>1012</v>
      </c>
      <c r="C22" s="47"/>
      <c r="D22" s="53">
        <f>'[10]Rev_SP-12me'!AQ21</f>
        <v>473.875340153904</v>
      </c>
      <c r="E22" s="53">
        <f>'[10]Rev_SP-12me'!AT21</f>
        <v>9.93134513855592</v>
      </c>
      <c r="F22" s="53">
        <f>'[10]Rev_SP-12me'!AU21</f>
        <v>450.181573146209</v>
      </c>
      <c r="G22" s="53">
        <f>'[10]Rev_SP-12me'!AW21</f>
        <v>32.4415288600802</v>
      </c>
      <c r="H22" s="49"/>
      <c r="I22" s="60">
        <f t="shared" si="0"/>
        <v>492.554447144845</v>
      </c>
      <c r="J22" s="53">
        <v>9.93134513855592</v>
      </c>
      <c r="K22" s="53">
        <v>450.181573146209</v>
      </c>
      <c r="L22" s="53">
        <v>32.4415288600802</v>
      </c>
      <c r="M22" s="49"/>
      <c r="N22" s="61">
        <f t="shared" si="1"/>
        <v>492.554447144845</v>
      </c>
      <c r="O22" s="60">
        <f t="shared" si="2"/>
        <v>10.3941776540825</v>
      </c>
    </row>
    <row r="23" spans="2:15">
      <c r="B23" s="52" t="s">
        <v>1013</v>
      </c>
      <c r="C23" s="47"/>
      <c r="D23" s="53">
        <f>'[10]Rev_SP-12me'!AQ22</f>
        <v>296.36026262045</v>
      </c>
      <c r="E23" s="53">
        <f>'[10]Rev_SP-12me'!AT22</f>
        <v>4.35263823694717</v>
      </c>
      <c r="F23" s="53">
        <f>'[10]Rev_SP-12me'!AU22</f>
        <v>296.36026262045</v>
      </c>
      <c r="G23" s="53">
        <f>'[10]Rev_SP-12me'!AW22</f>
        <v>7.0637209828966</v>
      </c>
      <c r="H23" s="49"/>
      <c r="I23" s="60">
        <f t="shared" si="0"/>
        <v>307.776621840294</v>
      </c>
      <c r="J23" s="53">
        <v>4.35263823694717</v>
      </c>
      <c r="K23" s="53">
        <v>296.36026262045</v>
      </c>
      <c r="L23" s="53">
        <v>7.0637209828966</v>
      </c>
      <c r="M23" s="49"/>
      <c r="N23" s="61">
        <f t="shared" si="1"/>
        <v>307.776621840294</v>
      </c>
      <c r="O23" s="60">
        <f t="shared" si="2"/>
        <v>10.3852189601568</v>
      </c>
    </row>
    <row r="24" ht="15" spans="2:15">
      <c r="B24" s="54" t="s">
        <v>1014</v>
      </c>
      <c r="C24" s="55"/>
      <c r="D24" s="48">
        <f>'[10]Rev_SP-12me'!AQ23</f>
        <v>3410.78</v>
      </c>
      <c r="E24" s="48">
        <f>'[10]Rev_SP-12me'!AT23</f>
        <v>343.825130439376</v>
      </c>
      <c r="F24" s="48">
        <f>'[10]Rev_SP-12me'!AU23</f>
        <v>3462.99295905309</v>
      </c>
      <c r="G24" s="48">
        <f>'[10]Rev_SP-12me'!AW23</f>
        <v>119.384742599093</v>
      </c>
      <c r="H24" s="49"/>
      <c r="I24" s="60">
        <f t="shared" si="0"/>
        <v>3926.20283209156</v>
      </c>
      <c r="J24" s="48">
        <v>343.825130439376</v>
      </c>
      <c r="K24" s="48">
        <v>3462.99295905309</v>
      </c>
      <c r="L24" s="48">
        <v>119.384742599093</v>
      </c>
      <c r="M24" s="49"/>
      <c r="N24" s="61">
        <f t="shared" si="1"/>
        <v>3926.20283209156</v>
      </c>
      <c r="O24" s="60">
        <f t="shared" si="2"/>
        <v>11.5111582455965</v>
      </c>
    </row>
    <row r="25" spans="2:15">
      <c r="B25" s="56" t="s">
        <v>1015</v>
      </c>
      <c r="C25" s="55"/>
      <c r="D25" s="51">
        <f>'[10]Rev_SP-12me'!AQ24</f>
        <v>99.3520991458572</v>
      </c>
      <c r="E25" s="51">
        <f>'[10]Rev_SP-12me'!AT24</f>
        <v>72.9735686404349</v>
      </c>
      <c r="F25" s="51">
        <f>'[10]Rev_SP-12me'!AU24</f>
        <v>69.5464694021</v>
      </c>
      <c r="G25" s="51">
        <f>'[10]Rev_SP-12me'!AW24</f>
        <v>33.2257464690419</v>
      </c>
      <c r="H25" s="49"/>
      <c r="I25" s="60">
        <f t="shared" si="0"/>
        <v>175.745784511577</v>
      </c>
      <c r="J25" s="51">
        <v>72.9735686404349</v>
      </c>
      <c r="K25" s="51">
        <v>69.5464694021</v>
      </c>
      <c r="L25" s="51">
        <v>33.2257464690419</v>
      </c>
      <c r="M25" s="49"/>
      <c r="N25" s="61">
        <f t="shared" si="1"/>
        <v>175.745784511577</v>
      </c>
      <c r="O25" s="60">
        <f t="shared" si="2"/>
        <v>17.6891868438096</v>
      </c>
    </row>
    <row r="26" spans="2:15">
      <c r="B26" s="57" t="s">
        <v>1002</v>
      </c>
      <c r="C26" s="55"/>
      <c r="D26" s="53">
        <f>'[10]Rev_SP-12me'!AQ25</f>
        <v>99.3520991458572</v>
      </c>
      <c r="E26" s="53">
        <f>'[10]Rev_SP-12me'!AT25</f>
        <v>72.9735686404349</v>
      </c>
      <c r="F26" s="53">
        <f>'[10]Rev_SP-12me'!AU25</f>
        <v>69.5464694021</v>
      </c>
      <c r="G26" s="53">
        <f>'[10]Rev_SP-12me'!AW25</f>
        <v>33.2257464690419</v>
      </c>
      <c r="H26" s="49"/>
      <c r="I26" s="60">
        <f t="shared" si="0"/>
        <v>175.745784511577</v>
      </c>
      <c r="J26" s="53">
        <v>72.9735686404349</v>
      </c>
      <c r="K26" s="53">
        <v>69.5464694021</v>
      </c>
      <c r="L26" s="53">
        <v>33.2257464690419</v>
      </c>
      <c r="M26" s="49"/>
      <c r="N26" s="61">
        <f t="shared" si="1"/>
        <v>175.745784511577</v>
      </c>
      <c r="O26" s="60">
        <f t="shared" si="2"/>
        <v>17.6891868438096</v>
      </c>
    </row>
    <row r="27" spans="2:15">
      <c r="B27" s="56" t="s">
        <v>1016</v>
      </c>
      <c r="C27" s="55"/>
      <c r="D27" s="51">
        <f>'[10]Rev_SP-12me'!AQ26</f>
        <v>3302.21707574396</v>
      </c>
      <c r="E27" s="51">
        <f>'[10]Rev_SP-12me'!AT26</f>
        <v>269.202302025892</v>
      </c>
      <c r="F27" s="51">
        <f>'[10]Rev_SP-12me'!AU26</f>
        <v>3384.85923095971</v>
      </c>
      <c r="G27" s="51">
        <f>'[10]Rev_SP-12me'!AW26</f>
        <v>84.9502541755017</v>
      </c>
      <c r="H27" s="49"/>
      <c r="I27" s="60">
        <f t="shared" si="0"/>
        <v>3739.0117871611</v>
      </c>
      <c r="J27" s="51">
        <v>269.202302025892</v>
      </c>
      <c r="K27" s="51">
        <v>3384.85923095971</v>
      </c>
      <c r="L27" s="51">
        <v>84.9502541755017</v>
      </c>
      <c r="M27" s="49"/>
      <c r="N27" s="61">
        <f t="shared" si="1"/>
        <v>3739.0117871611</v>
      </c>
      <c r="O27" s="60">
        <f t="shared" si="2"/>
        <v>11.3227316720805</v>
      </c>
    </row>
    <row r="28" spans="2:15">
      <c r="B28" s="58" t="s">
        <v>1006</v>
      </c>
      <c r="C28" s="55"/>
      <c r="D28" s="53">
        <f>'[10]Rev_SP-12me'!AQ27</f>
        <v>644.868811282196</v>
      </c>
      <c r="E28" s="53">
        <f>'[10]Rev_SP-12me'!AT27</f>
        <v>30.1198949769386</v>
      </c>
      <c r="F28" s="53">
        <f>'[10]Rev_SP-12me'!AU27</f>
        <v>548.138489589867</v>
      </c>
      <c r="G28" s="53">
        <f>'[10]Rev_SP-12me'!AW27</f>
        <v>21.5923104201256</v>
      </c>
      <c r="H28" s="49"/>
      <c r="I28" s="60">
        <f t="shared" si="0"/>
        <v>599.850694986931</v>
      </c>
      <c r="J28" s="53">
        <v>30.1198949769386</v>
      </c>
      <c r="K28" s="53">
        <v>548.138489589867</v>
      </c>
      <c r="L28" s="53">
        <v>21.5923104201256</v>
      </c>
      <c r="M28" s="49"/>
      <c r="N28" s="61">
        <f t="shared" si="1"/>
        <v>599.850694986931</v>
      </c>
      <c r="O28" s="60">
        <f t="shared" si="2"/>
        <v>9.30190272024856</v>
      </c>
    </row>
    <row r="29" spans="2:15">
      <c r="B29" s="58" t="s">
        <v>1017</v>
      </c>
      <c r="C29" s="55"/>
      <c r="D29" s="53">
        <f>'[10]Rev_SP-12me'!AQ28</f>
        <v>606.948489546929</v>
      </c>
      <c r="E29" s="53">
        <f>'[10]Rev_SP-12me'!AT28</f>
        <v>55.2640487812568</v>
      </c>
      <c r="F29" s="53">
        <f>'[10]Rev_SP-12me'!AU28</f>
        <v>600.87900465146</v>
      </c>
      <c r="G29" s="53">
        <f>'[10]Rev_SP-12me'!AW28</f>
        <v>30.8229982843421</v>
      </c>
      <c r="H29" s="49"/>
      <c r="I29" s="60">
        <f t="shared" si="0"/>
        <v>686.966051717059</v>
      </c>
      <c r="J29" s="53">
        <v>55.2640487812568</v>
      </c>
      <c r="K29" s="53">
        <v>600.87900465146</v>
      </c>
      <c r="L29" s="53">
        <v>30.8229982843421</v>
      </c>
      <c r="M29" s="49"/>
      <c r="N29" s="61">
        <f t="shared" si="1"/>
        <v>686.966051717059</v>
      </c>
      <c r="O29" s="60">
        <f t="shared" si="2"/>
        <v>11.3183583705738</v>
      </c>
    </row>
    <row r="30" spans="2:15">
      <c r="B30" s="58" t="s">
        <v>1018</v>
      </c>
      <c r="C30" s="55"/>
      <c r="D30" s="53">
        <f>'[10]Rev_SP-12me'!AQ29</f>
        <v>326.633594798886</v>
      </c>
      <c r="E30" s="53">
        <f>'[10]Rev_SP-12me'!AT29</f>
        <v>26.2825624172748</v>
      </c>
      <c r="F30" s="53">
        <f>'[10]Rev_SP-12me'!AU29</f>
        <v>339.698938590842</v>
      </c>
      <c r="G30" s="53">
        <f>'[10]Rev_SP-12me'!AW29</f>
        <v>9.45461741741225</v>
      </c>
      <c r="H30" s="49"/>
      <c r="I30" s="60">
        <f t="shared" si="0"/>
        <v>375.436118425529</v>
      </c>
      <c r="J30" s="53">
        <v>26.2825624172748</v>
      </c>
      <c r="K30" s="53">
        <v>339.698938590842</v>
      </c>
      <c r="L30" s="53">
        <v>9.45461741741225</v>
      </c>
      <c r="M30" s="49"/>
      <c r="N30" s="61">
        <f t="shared" si="1"/>
        <v>375.436118425529</v>
      </c>
      <c r="O30" s="60">
        <f t="shared" si="2"/>
        <v>11.4941060688106</v>
      </c>
    </row>
    <row r="31" spans="2:15">
      <c r="B31" s="58" t="s">
        <v>1019</v>
      </c>
      <c r="C31" s="55"/>
      <c r="D31" s="53">
        <f>'[10]Rev_SP-12me'!AQ30</f>
        <v>1723.76618011594</v>
      </c>
      <c r="E31" s="53">
        <f>'[10]Rev_SP-12me'!AT30</f>
        <v>157.535795850421</v>
      </c>
      <c r="F31" s="53">
        <f>'[10]Rev_SP-12me'!AU30</f>
        <v>1896.14279812754</v>
      </c>
      <c r="G31" s="53">
        <f>'[10]Rev_SP-12me'!AW30</f>
        <v>23.0803280536218</v>
      </c>
      <c r="H31" s="49"/>
      <c r="I31" s="60">
        <f t="shared" si="0"/>
        <v>2076.75892203158</v>
      </c>
      <c r="J31" s="53">
        <v>157.535795850421</v>
      </c>
      <c r="K31" s="53">
        <v>1896.14279812754</v>
      </c>
      <c r="L31" s="53">
        <v>23.0803280536218</v>
      </c>
      <c r="M31" s="49"/>
      <c r="N31" s="61">
        <f t="shared" si="1"/>
        <v>2076.75892203158</v>
      </c>
      <c r="O31" s="60">
        <f t="shared" si="2"/>
        <v>12.0477994404781</v>
      </c>
    </row>
    <row r="32" spans="2:15">
      <c r="B32" s="56" t="s">
        <v>1020</v>
      </c>
      <c r="C32" s="55"/>
      <c r="D32" s="51">
        <f>'[10]Rev_SP-12me'!AQ31</f>
        <v>4.51304749649662</v>
      </c>
      <c r="E32" s="51">
        <f>'[10]Rev_SP-12me'!AT31</f>
        <v>0.613611049740899</v>
      </c>
      <c r="F32" s="51">
        <f>'[10]Rev_SP-12me'!AU31</f>
        <v>5.8669617454456</v>
      </c>
      <c r="G32" s="51">
        <f>'[10]Rev_SP-12me'!AW31</f>
        <v>0.443652219772667</v>
      </c>
      <c r="H32" s="49"/>
      <c r="I32" s="60">
        <f t="shared" si="0"/>
        <v>6.92422501495917</v>
      </c>
      <c r="J32" s="51">
        <v>0.613611049740899</v>
      </c>
      <c r="K32" s="51">
        <v>5.8669617454456</v>
      </c>
      <c r="L32" s="51">
        <v>0.443652219772667</v>
      </c>
      <c r="M32" s="49"/>
      <c r="N32" s="61">
        <f t="shared" si="1"/>
        <v>6.92422501495917</v>
      </c>
      <c r="O32" s="60">
        <f t="shared" si="2"/>
        <v>15.3426814593338</v>
      </c>
    </row>
    <row r="33" spans="2:15">
      <c r="B33" s="56" t="s">
        <v>1021</v>
      </c>
      <c r="C33" s="55"/>
      <c r="D33" s="51">
        <f>'[10]Rev_SP-12me'!AQ32</f>
        <v>4.6977776136899</v>
      </c>
      <c r="E33" s="51">
        <f>'[10]Rev_SP-12me'!AT32</f>
        <v>1.0356487233087</v>
      </c>
      <c r="F33" s="51">
        <f>'[10]Rev_SP-12me'!AU32</f>
        <v>2.72029694584036</v>
      </c>
      <c r="G33" s="51">
        <f>'[10]Rev_SP-12me'!AW32</f>
        <v>0.765089734776913</v>
      </c>
      <c r="H33" s="49"/>
      <c r="I33" s="60">
        <f t="shared" si="0"/>
        <v>4.52103540392597</v>
      </c>
      <c r="J33" s="51">
        <v>1.0356487233087</v>
      </c>
      <c r="K33" s="51">
        <v>2.72029694584036</v>
      </c>
      <c r="L33" s="51">
        <v>0.765089734776913</v>
      </c>
      <c r="M33" s="49"/>
      <c r="N33" s="61">
        <f t="shared" si="1"/>
        <v>4.52103540392597</v>
      </c>
      <c r="O33" s="60">
        <f t="shared" si="2"/>
        <v>9.62377484781553</v>
      </c>
    </row>
    <row r="34" spans="2:15">
      <c r="B34" s="58" t="s">
        <v>1002</v>
      </c>
      <c r="C34" s="55"/>
      <c r="D34" s="53">
        <f>'[10]Rev_SP-12me'!AQ33</f>
        <v>3.20186274428528</v>
      </c>
      <c r="E34" s="53">
        <f>'[10]Rev_SP-12me'!AT33</f>
        <v>0.756962184074905</v>
      </c>
      <c r="F34" s="53">
        <f>'[10]Rev_SP-12me'!AU33</f>
        <v>1.6969872544712</v>
      </c>
      <c r="G34" s="53">
        <f>'[10]Rev_SP-12me'!AW33</f>
        <v>0.521648130109115</v>
      </c>
      <c r="H34" s="49"/>
      <c r="I34" s="60">
        <f t="shared" si="0"/>
        <v>2.97559756865522</v>
      </c>
      <c r="J34" s="53">
        <v>0.756962184074905</v>
      </c>
      <c r="K34" s="53">
        <v>1.6969872544712</v>
      </c>
      <c r="L34" s="53">
        <v>0.521648130109115</v>
      </c>
      <c r="M34" s="49"/>
      <c r="N34" s="61">
        <f t="shared" si="1"/>
        <v>2.97559756865522</v>
      </c>
      <c r="O34" s="60">
        <f t="shared" si="2"/>
        <v>9.29333268256454</v>
      </c>
    </row>
    <row r="35" spans="2:15">
      <c r="B35" s="58" t="s">
        <v>1022</v>
      </c>
      <c r="C35" s="55"/>
      <c r="D35" s="53">
        <f>'[10]Rev_SP-12me'!AQ34</f>
        <v>1.09584956315888</v>
      </c>
      <c r="E35" s="53">
        <f>'[10]Rev_SP-12me'!AT34</f>
        <v>0.179648948614209</v>
      </c>
      <c r="F35" s="53">
        <f>'[10]Rev_SP-12me'!AU34</f>
        <v>0.72326071168486</v>
      </c>
      <c r="G35" s="53">
        <f>'[10]Rev_SP-12me'!AW34</f>
        <v>0.152569367332498</v>
      </c>
      <c r="H35" s="49"/>
      <c r="I35" s="60">
        <f t="shared" si="0"/>
        <v>1.05547902763157</v>
      </c>
      <c r="J35" s="53">
        <v>0.179648948614209</v>
      </c>
      <c r="K35" s="53">
        <v>0.72326071168486</v>
      </c>
      <c r="L35" s="53">
        <v>0.152569367332498</v>
      </c>
      <c r="M35" s="49"/>
      <c r="N35" s="61">
        <f t="shared" si="1"/>
        <v>1.05547902763157</v>
      </c>
      <c r="O35" s="60">
        <f t="shared" si="2"/>
        <v>9.63160513190386</v>
      </c>
    </row>
    <row r="36" spans="2:15">
      <c r="B36" s="58" t="s">
        <v>1023</v>
      </c>
      <c r="C36" s="55"/>
      <c r="D36" s="53">
        <f>'[10]Rev_SP-12me'!AQ35</f>
        <v>0.400065306245742</v>
      </c>
      <c r="E36" s="53">
        <f>'[10]Rev_SP-12me'!AT35</f>
        <v>0.099037590619584</v>
      </c>
      <c r="F36" s="53">
        <f>'[10]Rev_SP-12me'!AU35</f>
        <v>0.300048979684306</v>
      </c>
      <c r="G36" s="53">
        <f>'[10]Rev_SP-12me'!AW35</f>
        <v>0.0908722373352989</v>
      </c>
      <c r="H36" s="49"/>
      <c r="I36" s="60">
        <f t="shared" si="0"/>
        <v>0.489958807639189</v>
      </c>
      <c r="J36" s="53">
        <v>0.099037590619584</v>
      </c>
      <c r="K36" s="53">
        <v>0.300048979684306</v>
      </c>
      <c r="L36" s="53">
        <v>0.0908722373352989</v>
      </c>
      <c r="M36" s="49"/>
      <c r="N36" s="61">
        <f t="shared" si="1"/>
        <v>0.489958807639189</v>
      </c>
      <c r="O36" s="60">
        <f t="shared" si="2"/>
        <v>12.2469706817874</v>
      </c>
    </row>
    <row r="37" ht="15" spans="2:15">
      <c r="B37" s="54" t="s">
        <v>1024</v>
      </c>
      <c r="C37" s="55"/>
      <c r="D37" s="48">
        <f>'[10]Rev_SP-12me'!AQ36</f>
        <v>1028.7</v>
      </c>
      <c r="E37" s="48">
        <f>'[10]Rev_SP-12me'!AT36</f>
        <v>154.742359604397</v>
      </c>
      <c r="F37" s="48">
        <f>'[10]Rev_SP-12me'!AU36</f>
        <v>789.189759046206</v>
      </c>
      <c r="G37" s="48">
        <f>'[10]Rev_SP-12me'!AW36</f>
        <v>21.03579005</v>
      </c>
      <c r="H37" s="49"/>
      <c r="I37" s="60">
        <f t="shared" si="0"/>
        <v>964.967908700603</v>
      </c>
      <c r="J37" s="48">
        <v>154.742359604397</v>
      </c>
      <c r="K37" s="48">
        <v>789.189759046206</v>
      </c>
      <c r="L37" s="48">
        <v>21.03579005</v>
      </c>
      <c r="M37" s="49"/>
      <c r="N37" s="61">
        <f t="shared" si="1"/>
        <v>964.967908700603</v>
      </c>
      <c r="O37" s="60">
        <f t="shared" si="2"/>
        <v>9.38045988821428</v>
      </c>
    </row>
    <row r="38" spans="2:15">
      <c r="B38" s="58" t="s">
        <v>1025</v>
      </c>
      <c r="C38" s="55"/>
      <c r="D38" s="53">
        <f>'[10]Rev_SP-12me'!AQ37</f>
        <v>987.139414945795</v>
      </c>
      <c r="E38" s="53">
        <f>'[10]Rev_SP-12me'!AT37</f>
        <v>149.349874737124</v>
      </c>
      <c r="F38" s="53">
        <f>'[10]Rev_SP-12me'!AU37</f>
        <v>760.097349508262</v>
      </c>
      <c r="G38" s="53">
        <f>'[10]Rev_SP-12me'!AW37</f>
        <v>19.329217208043</v>
      </c>
      <c r="H38" s="49"/>
      <c r="I38" s="60">
        <f t="shared" si="0"/>
        <v>928.776441453429</v>
      </c>
      <c r="J38" s="53">
        <v>149.349874737124</v>
      </c>
      <c r="K38" s="53">
        <v>760.097349508262</v>
      </c>
      <c r="L38" s="53">
        <v>19.329217208043</v>
      </c>
      <c r="M38" s="49"/>
      <c r="N38" s="61">
        <f t="shared" si="1"/>
        <v>928.776441453429</v>
      </c>
      <c r="O38" s="60">
        <f t="shared" si="2"/>
        <v>9.40876665839981</v>
      </c>
    </row>
    <row r="39" spans="2:15">
      <c r="B39" s="58" t="s">
        <v>1026</v>
      </c>
      <c r="C39" s="55"/>
      <c r="D39" s="53">
        <f>'[10]Rev_SP-12me'!AQ38</f>
        <v>0</v>
      </c>
      <c r="E39" s="53">
        <f>'[10]Rev_SP-12me'!AT38</f>
        <v>0</v>
      </c>
      <c r="F39" s="53">
        <f>'[10]Rev_SP-12me'!AU38</f>
        <v>0</v>
      </c>
      <c r="G39" s="53">
        <f>'[10]Rev_SP-12me'!AW38</f>
        <v>0</v>
      </c>
      <c r="H39" s="49"/>
      <c r="I39" s="60">
        <f t="shared" si="0"/>
        <v>0</v>
      </c>
      <c r="J39" s="53">
        <v>0</v>
      </c>
      <c r="K39" s="53">
        <v>0</v>
      </c>
      <c r="L39" s="53">
        <v>0</v>
      </c>
      <c r="M39" s="49"/>
      <c r="N39" s="61">
        <f t="shared" si="1"/>
        <v>0</v>
      </c>
      <c r="O39" s="60"/>
    </row>
    <row r="40" spans="2:15">
      <c r="B40" s="58" t="s">
        <v>1027</v>
      </c>
      <c r="C40" s="55"/>
      <c r="D40" s="53">
        <f>'[10]Rev_SP-12me'!AQ39</f>
        <v>0</v>
      </c>
      <c r="E40" s="53">
        <f>'[10]Rev_SP-12me'!AT39</f>
        <v>0</v>
      </c>
      <c r="F40" s="53">
        <f>'[10]Rev_SP-12me'!AU39</f>
        <v>0</v>
      </c>
      <c r="G40" s="53">
        <f>'[10]Rev_SP-12me'!AW39</f>
        <v>0</v>
      </c>
      <c r="H40" s="49"/>
      <c r="I40" s="60">
        <f t="shared" si="0"/>
        <v>0</v>
      </c>
      <c r="J40" s="53">
        <v>0</v>
      </c>
      <c r="K40" s="53">
        <v>0</v>
      </c>
      <c r="L40" s="53">
        <v>0</v>
      </c>
      <c r="M40" s="49"/>
      <c r="N40" s="61">
        <f t="shared" si="1"/>
        <v>0</v>
      </c>
      <c r="O40" s="60"/>
    </row>
    <row r="41" spans="2:15">
      <c r="B41" s="58" t="s">
        <v>1028</v>
      </c>
      <c r="C41" s="55"/>
      <c r="D41" s="53">
        <f>'[10]Rev_SP-12me'!AQ40</f>
        <v>0</v>
      </c>
      <c r="E41" s="53">
        <f>'[10]Rev_SP-12me'!AT40</f>
        <v>0</v>
      </c>
      <c r="F41" s="53">
        <f>'[10]Rev_SP-12me'!AU40</f>
        <v>0</v>
      </c>
      <c r="G41" s="53">
        <f>'[10]Rev_SP-12me'!AW40</f>
        <v>0</v>
      </c>
      <c r="H41" s="49"/>
      <c r="I41" s="60">
        <f t="shared" si="0"/>
        <v>0</v>
      </c>
      <c r="J41" s="53">
        <v>0</v>
      </c>
      <c r="K41" s="53">
        <v>0</v>
      </c>
      <c r="L41" s="53">
        <v>0</v>
      </c>
      <c r="M41" s="49"/>
      <c r="N41" s="61">
        <f t="shared" si="1"/>
        <v>0</v>
      </c>
      <c r="O41" s="60"/>
    </row>
    <row r="42" spans="2:15">
      <c r="B42" s="58" t="s">
        <v>1029</v>
      </c>
      <c r="C42" s="55"/>
      <c r="D42" s="53">
        <f>'[10]Rev_SP-12me'!AQ41</f>
        <v>41.5605850542054</v>
      </c>
      <c r="E42" s="53">
        <f>'[10]Rev_SP-12me'!AT41</f>
        <v>5.39248486727215</v>
      </c>
      <c r="F42" s="53">
        <f>'[10]Rev_SP-12me'!AU41</f>
        <v>29.0924095379438</v>
      </c>
      <c r="G42" s="53">
        <f>'[10]Rev_SP-12me'!AW41</f>
        <v>1.70657284195696</v>
      </c>
      <c r="H42" s="49"/>
      <c r="I42" s="60">
        <f t="shared" si="0"/>
        <v>36.1914672471729</v>
      </c>
      <c r="J42" s="53">
        <v>5.39248486727215</v>
      </c>
      <c r="K42" s="53">
        <v>29.0924095379438</v>
      </c>
      <c r="L42" s="53">
        <v>1.70657284195696</v>
      </c>
      <c r="M42" s="49"/>
      <c r="N42" s="61">
        <f t="shared" si="1"/>
        <v>36.1914672471729</v>
      </c>
      <c r="O42" s="60">
        <f>N42*10/D42</f>
        <v>8.7081226599602</v>
      </c>
    </row>
    <row r="43" spans="2:15">
      <c r="B43" s="58" t="s">
        <v>1030</v>
      </c>
      <c r="C43" s="55"/>
      <c r="D43" s="53">
        <f>'[10]Rev_SP-12me'!AQ42</f>
        <v>0</v>
      </c>
      <c r="E43" s="53">
        <f>'[10]Rev_SP-12me'!AT42</f>
        <v>0</v>
      </c>
      <c r="F43" s="53">
        <f>'[10]Rev_SP-12me'!AU42</f>
        <v>0</v>
      </c>
      <c r="G43" s="53">
        <f>'[10]Rev_SP-12me'!AW42</f>
        <v>0</v>
      </c>
      <c r="H43" s="49"/>
      <c r="I43" s="60">
        <f t="shared" ref="I43:I70" si="3">SUM(E43:H43)</f>
        <v>0</v>
      </c>
      <c r="J43" s="53">
        <v>0</v>
      </c>
      <c r="K43" s="53">
        <v>0</v>
      </c>
      <c r="L43" s="53">
        <v>0</v>
      </c>
      <c r="M43" s="49"/>
      <c r="N43" s="61">
        <f t="shared" si="1"/>
        <v>0</v>
      </c>
      <c r="O43" s="60"/>
    </row>
    <row r="44" ht="15" spans="2:15">
      <c r="B44" s="54" t="s">
        <v>1031</v>
      </c>
      <c r="C44" s="55"/>
      <c r="D44" s="48">
        <f>'[10]Rev_SP-12me'!AQ43</f>
        <v>10.48</v>
      </c>
      <c r="E44" s="48">
        <f>'[10]Rev_SP-12me'!AT43</f>
        <v>0.51495248256</v>
      </c>
      <c r="F44" s="48">
        <f>'[10]Rev_SP-12me'!AU43</f>
        <v>4.192</v>
      </c>
      <c r="G44" s="48">
        <f>'[10]Rev_SP-12me'!AW43</f>
        <v>0.287571346470208</v>
      </c>
      <c r="H44" s="49"/>
      <c r="I44" s="60">
        <f t="shared" si="3"/>
        <v>4.99452382903021</v>
      </c>
      <c r="J44" s="48">
        <v>0.51495248256</v>
      </c>
      <c r="K44" s="48">
        <v>4.192</v>
      </c>
      <c r="L44" s="48">
        <v>0.287571346470208</v>
      </c>
      <c r="M44" s="49"/>
      <c r="N44" s="61">
        <f t="shared" si="1"/>
        <v>4.99452382903021</v>
      </c>
      <c r="O44" s="60">
        <f t="shared" ref="O44:O51" si="4">N44*10/D44</f>
        <v>4.7657670124334</v>
      </c>
    </row>
    <row r="45" spans="2:15">
      <c r="B45" s="58" t="s">
        <v>178</v>
      </c>
      <c r="C45" s="55"/>
      <c r="D45" s="53">
        <f>'[10]Rev_SP-12me'!AQ44</f>
        <v>10.4708555688175</v>
      </c>
      <c r="E45" s="53">
        <f>'[10]Rev_SP-12me'!AT44</f>
        <v>0.51495248256</v>
      </c>
      <c r="F45" s="53">
        <f>'[10]Rev_SP-12me'!AU44</f>
        <v>4.18834222752701</v>
      </c>
      <c r="G45" s="53">
        <f>'[10]Rev_SP-12me'!AW44</f>
        <v>0.282961694800526</v>
      </c>
      <c r="H45" s="49"/>
      <c r="I45" s="60">
        <f t="shared" si="3"/>
        <v>4.98625640488754</v>
      </c>
      <c r="J45" s="53">
        <v>0.51495248256</v>
      </c>
      <c r="K45" s="53">
        <v>4.18834222752701</v>
      </c>
      <c r="L45" s="53">
        <v>0.282961694800526</v>
      </c>
      <c r="M45" s="49"/>
      <c r="N45" s="61">
        <f t="shared" si="1"/>
        <v>4.98625640488754</v>
      </c>
      <c r="O45" s="60">
        <f t="shared" si="4"/>
        <v>4.76203340989322</v>
      </c>
    </row>
    <row r="46" spans="2:15">
      <c r="B46" s="58" t="s">
        <v>1033</v>
      </c>
      <c r="C46" s="55"/>
      <c r="D46" s="53">
        <f>'[10]Rev_SP-12me'!AQ45</f>
        <v>0.00914443118248077</v>
      </c>
      <c r="E46" s="53">
        <f>'[10]Rev_SP-12me'!AT45</f>
        <v>0</v>
      </c>
      <c r="F46" s="53">
        <f>'[10]Rev_SP-12me'!AU45</f>
        <v>0.00365777247299231</v>
      </c>
      <c r="G46" s="53">
        <f>'[10]Rev_SP-12me'!AW45</f>
        <v>0.00460965166968275</v>
      </c>
      <c r="H46" s="49"/>
      <c r="I46" s="60">
        <f t="shared" si="3"/>
        <v>0.00826742414267506</v>
      </c>
      <c r="J46" s="53">
        <v>0</v>
      </c>
      <c r="K46" s="53">
        <v>0.00365777247299231</v>
      </c>
      <c r="L46" s="53">
        <v>0.00460965166968275</v>
      </c>
      <c r="M46" s="49"/>
      <c r="N46" s="61">
        <f t="shared" si="1"/>
        <v>0.00826742414267506</v>
      </c>
      <c r="O46" s="60">
        <f t="shared" si="4"/>
        <v>9.04093866277226</v>
      </c>
    </row>
    <row r="47" ht="15" spans="2:15">
      <c r="B47" s="54" t="s">
        <v>1034</v>
      </c>
      <c r="C47" s="55"/>
      <c r="D47" s="48">
        <f>'[10]Rev_SP-12me'!AQ46</f>
        <v>12127.2243701067</v>
      </c>
      <c r="E47" s="48">
        <f>'[10]Rev_SP-12me'!AT46</f>
        <v>0.0473311198610199</v>
      </c>
      <c r="F47" s="48">
        <f>'[10]Rev_SP-12me'!AU46</f>
        <v>9.62380325</v>
      </c>
      <c r="G47" s="48">
        <f>'[10]Rev_SP-12me'!AW46</f>
        <v>50.1555072080802</v>
      </c>
      <c r="H47" s="49"/>
      <c r="I47" s="60">
        <f t="shared" si="3"/>
        <v>59.8266415779412</v>
      </c>
      <c r="J47" s="48">
        <v>0.0473311198610199</v>
      </c>
      <c r="K47" s="48">
        <v>9.62380325</v>
      </c>
      <c r="L47" s="48">
        <v>50.1555072080802</v>
      </c>
      <c r="M47" s="49"/>
      <c r="N47" s="61">
        <f t="shared" si="1"/>
        <v>59.8266415779412</v>
      </c>
      <c r="O47" s="60">
        <f t="shared" si="4"/>
        <v>0.0493325098572534</v>
      </c>
    </row>
    <row r="48" spans="2:15">
      <c r="B48" s="56" t="s">
        <v>1035</v>
      </c>
      <c r="C48" s="55"/>
      <c r="D48" s="51">
        <f>'[10]Rev_SP-12me'!AQ47</f>
        <v>12124.8693741067</v>
      </c>
      <c r="E48" s="51">
        <f>'[10]Rev_SP-12me'!AT47</f>
        <v>0</v>
      </c>
      <c r="F48" s="51">
        <f>'[10]Rev_SP-12me'!AU47</f>
        <v>8.68180485</v>
      </c>
      <c r="G48" s="51">
        <f>'[10]Rev_SP-12me'!AW47</f>
        <v>50.1444044455161</v>
      </c>
      <c r="H48" s="49"/>
      <c r="I48" s="60">
        <f t="shared" si="3"/>
        <v>58.8262092955161</v>
      </c>
      <c r="J48" s="51">
        <v>0</v>
      </c>
      <c r="K48" s="51">
        <v>8.68180485</v>
      </c>
      <c r="L48" s="51">
        <v>50.1444044455161</v>
      </c>
      <c r="M48" s="49"/>
      <c r="N48" s="61">
        <f t="shared" si="1"/>
        <v>58.8262092955161</v>
      </c>
      <c r="O48" s="60">
        <f t="shared" si="4"/>
        <v>0.0485169839611984</v>
      </c>
    </row>
    <row r="49" spans="2:15">
      <c r="B49" s="58" t="s">
        <v>1036</v>
      </c>
      <c r="C49" s="55"/>
      <c r="D49" s="53">
        <f>'[10]Rev_SP-12me'!AQ48</f>
        <v>34.7272194</v>
      </c>
      <c r="E49" s="53">
        <f>'[10]Rev_SP-12me'!AT48</f>
        <v>0</v>
      </c>
      <c r="F49" s="53">
        <f>'[10]Rev_SP-12me'!AU48</f>
        <v>8.68180485</v>
      </c>
      <c r="G49" s="53">
        <f>'[10]Rev_SP-12me'!AW48</f>
        <v>0.0770514297231648</v>
      </c>
      <c r="H49" s="49"/>
      <c r="I49" s="60">
        <f t="shared" si="3"/>
        <v>8.75885627972317</v>
      </c>
      <c r="J49" s="53">
        <v>0</v>
      </c>
      <c r="K49" s="53">
        <v>8.68180485</v>
      </c>
      <c r="L49" s="53">
        <v>0.0770514297231648</v>
      </c>
      <c r="M49" s="49"/>
      <c r="N49" s="61">
        <f t="shared" si="1"/>
        <v>8.75885627972317</v>
      </c>
      <c r="O49" s="60">
        <f t="shared" si="4"/>
        <v>2.52218761854661</v>
      </c>
    </row>
    <row r="50" spans="2:15">
      <c r="B50" s="56" t="s">
        <v>1038</v>
      </c>
      <c r="C50" s="55"/>
      <c r="D50" s="53">
        <f>'[10]Rev_SP-12me'!AQ49</f>
        <v>12090.1421547067</v>
      </c>
      <c r="E50" s="53">
        <f>'[10]Rev_SP-12me'!AT49</f>
        <v>0</v>
      </c>
      <c r="F50" s="53">
        <f>'[10]Rev_SP-12me'!AU49</f>
        <v>0</v>
      </c>
      <c r="G50" s="53">
        <f>'[10]Rev_SP-12me'!AW49</f>
        <v>0</v>
      </c>
      <c r="H50" s="49"/>
      <c r="I50" s="60">
        <f t="shared" si="3"/>
        <v>0</v>
      </c>
      <c r="J50" s="53">
        <v>0</v>
      </c>
      <c r="K50" s="53">
        <v>0</v>
      </c>
      <c r="L50" s="53">
        <v>0</v>
      </c>
      <c r="M50" s="49"/>
      <c r="N50" s="61">
        <f t="shared" si="1"/>
        <v>0</v>
      </c>
      <c r="O50" s="60">
        <f t="shared" si="4"/>
        <v>0</v>
      </c>
    </row>
    <row r="51" spans="2:15">
      <c r="B51" s="58" t="s">
        <v>1099</v>
      </c>
      <c r="C51" s="55"/>
      <c r="D51" s="53">
        <f>'[10]Rev_SP-12me'!AQ50</f>
        <v>12090.1421547067</v>
      </c>
      <c r="E51" s="53">
        <f>'[10]Rev_SP-12me'!AT50</f>
        <v>0</v>
      </c>
      <c r="F51" s="53">
        <f>'[10]Rev_SP-12me'!AU50</f>
        <v>0</v>
      </c>
      <c r="G51" s="53">
        <f>'[10]Rev_SP-12me'!AW50</f>
        <v>50.067353015793</v>
      </c>
      <c r="H51" s="49"/>
      <c r="I51" s="60">
        <f t="shared" si="3"/>
        <v>50.067353015793</v>
      </c>
      <c r="J51" s="53">
        <v>0</v>
      </c>
      <c r="K51" s="53">
        <v>0</v>
      </c>
      <c r="L51" s="53">
        <v>50.067353015793</v>
      </c>
      <c r="M51" s="49"/>
      <c r="N51" s="61">
        <f t="shared" si="1"/>
        <v>50.067353015793</v>
      </c>
      <c r="O51" s="60">
        <f t="shared" si="4"/>
        <v>0.0414117157392577</v>
      </c>
    </row>
    <row r="52" spans="2:15">
      <c r="B52" s="58" t="s">
        <v>1100</v>
      </c>
      <c r="C52" s="55"/>
      <c r="D52" s="53">
        <f>'[10]Rev_SP-12me'!AQ51</f>
        <v>0</v>
      </c>
      <c r="E52" s="53">
        <f>'[10]Rev_SP-12me'!AT51</f>
        <v>0</v>
      </c>
      <c r="F52" s="53">
        <f>'[10]Rev_SP-12me'!AU51</f>
        <v>0</v>
      </c>
      <c r="G52" s="53">
        <f>'[10]Rev_SP-12me'!AW51</f>
        <v>0</v>
      </c>
      <c r="H52" s="49"/>
      <c r="I52" s="60">
        <f t="shared" si="3"/>
        <v>0</v>
      </c>
      <c r="J52" s="53">
        <v>0</v>
      </c>
      <c r="K52" s="53">
        <v>0</v>
      </c>
      <c r="L52" s="53">
        <v>0</v>
      </c>
      <c r="M52" s="49"/>
      <c r="N52" s="61">
        <f t="shared" si="1"/>
        <v>0</v>
      </c>
      <c r="O52" s="60"/>
    </row>
    <row r="53" spans="2:15">
      <c r="B53" s="56" t="s">
        <v>1039</v>
      </c>
      <c r="C53" s="55"/>
      <c r="D53" s="51">
        <f>'[10]Rev_SP-12me'!AQ52</f>
        <v>2.354996</v>
      </c>
      <c r="E53" s="51">
        <f>'[10]Rev_SP-12me'!AT52</f>
        <v>0.0473311198610199</v>
      </c>
      <c r="F53" s="51">
        <f>'[10]Rev_SP-12me'!AU52</f>
        <v>0.9419984</v>
      </c>
      <c r="G53" s="51">
        <f>'[10]Rev_SP-12me'!AW52</f>
        <v>0.0111027625640868</v>
      </c>
      <c r="H53" s="49"/>
      <c r="I53" s="60">
        <f t="shared" si="3"/>
        <v>1.00043228242511</v>
      </c>
      <c r="J53" s="51">
        <v>0.0473311198610199</v>
      </c>
      <c r="K53" s="51">
        <v>0.9419984</v>
      </c>
      <c r="L53" s="51">
        <v>0.0111027625640868</v>
      </c>
      <c r="M53" s="49"/>
      <c r="N53" s="61">
        <f t="shared" si="1"/>
        <v>1.00043228242511</v>
      </c>
      <c r="O53" s="60">
        <f t="shared" ref="O53:O62" si="5">N53*10/D53</f>
        <v>4.24812731072625</v>
      </c>
    </row>
    <row r="54" spans="2:15">
      <c r="B54" s="58" t="s">
        <v>1040</v>
      </c>
      <c r="C54" s="55"/>
      <c r="D54" s="53">
        <f>'[10]Rev_SP-12me'!AQ53</f>
        <v>2.354996</v>
      </c>
      <c r="E54" s="53">
        <f>'[10]Rev_SP-12me'!AT53</f>
        <v>0.0473311198610199</v>
      </c>
      <c r="F54" s="53">
        <f>'[10]Rev_SP-12me'!AU53</f>
        <v>0.9419984</v>
      </c>
      <c r="G54" s="53">
        <f>'[10]Rev_SP-12me'!AW53</f>
        <v>0.0111027625640868</v>
      </c>
      <c r="H54" s="49"/>
      <c r="I54" s="60">
        <f t="shared" si="3"/>
        <v>1.00043228242511</v>
      </c>
      <c r="J54" s="53">
        <v>0.0473311198610199</v>
      </c>
      <c r="K54" s="53">
        <v>0.9419984</v>
      </c>
      <c r="L54" s="53">
        <v>0.0111027625640868</v>
      </c>
      <c r="M54" s="49"/>
      <c r="N54" s="61">
        <f t="shared" si="1"/>
        <v>1.00043228242511</v>
      </c>
      <c r="O54" s="60">
        <f t="shared" si="5"/>
        <v>4.24812731072625</v>
      </c>
    </row>
    <row r="55" ht="15" spans="2:15">
      <c r="B55" s="54" t="s">
        <v>1042</v>
      </c>
      <c r="C55" s="55"/>
      <c r="D55" s="48">
        <f>'[10]Rev_SP-12me'!AQ54</f>
        <v>250.249341207125</v>
      </c>
      <c r="E55" s="48">
        <f>'[10]Rev_SP-12me'!AT54</f>
        <v>7.68200564765661</v>
      </c>
      <c r="F55" s="48">
        <f>'[10]Rev_SP-12me'!AU54</f>
        <v>192.616496550317</v>
      </c>
      <c r="G55" s="48">
        <f>'[10]Rev_SP-12me'!AW54</f>
        <v>11.4372255375879</v>
      </c>
      <c r="H55" s="49"/>
      <c r="I55" s="60">
        <f t="shared" si="3"/>
        <v>211.735727735562</v>
      </c>
      <c r="J55" s="48">
        <v>7.68200564765661</v>
      </c>
      <c r="K55" s="48">
        <v>192.616496550317</v>
      </c>
      <c r="L55" s="48">
        <v>11.4372255375879</v>
      </c>
      <c r="M55" s="49"/>
      <c r="N55" s="61">
        <f t="shared" si="1"/>
        <v>211.735727735562</v>
      </c>
      <c r="O55" s="60">
        <f t="shared" si="5"/>
        <v>8.4609904151681</v>
      </c>
    </row>
    <row r="56" spans="2:15">
      <c r="B56" s="58" t="s">
        <v>1043</v>
      </c>
      <c r="C56" s="55"/>
      <c r="D56" s="53">
        <f>'[10]Rev_SP-12me'!AQ55</f>
        <v>76.8083636342387</v>
      </c>
      <c r="E56" s="53">
        <f>'[10]Rev_SP-12me'!AT55</f>
        <v>2.77777271278398</v>
      </c>
      <c r="F56" s="53">
        <f>'[10]Rev_SP-12me'!AU55</f>
        <v>54.5339381803095</v>
      </c>
      <c r="G56" s="53">
        <f>'[10]Rev_SP-12me'!AW55</f>
        <v>5.30931017733116</v>
      </c>
      <c r="H56" s="49"/>
      <c r="I56" s="60">
        <f t="shared" si="3"/>
        <v>62.6210210704246</v>
      </c>
      <c r="J56" s="53">
        <v>2.77777271278398</v>
      </c>
      <c r="K56" s="53">
        <v>54.5339381803095</v>
      </c>
      <c r="L56" s="53">
        <v>5.30931017733117</v>
      </c>
      <c r="M56" s="49"/>
      <c r="N56" s="61">
        <f t="shared" si="1"/>
        <v>62.6210210704246</v>
      </c>
      <c r="O56" s="60">
        <f t="shared" si="5"/>
        <v>8.15289092326271</v>
      </c>
    </row>
    <row r="57" spans="2:15">
      <c r="B57" s="58" t="s">
        <v>1044</v>
      </c>
      <c r="C57" s="55"/>
      <c r="D57" s="53">
        <f>'[10]Rev_SP-12me'!AQ56</f>
        <v>48.0926692806154</v>
      </c>
      <c r="E57" s="53">
        <f>'[10]Rev_SP-12me'!AT56</f>
        <v>1.34429658611259</v>
      </c>
      <c r="F57" s="53">
        <f>'[10]Rev_SP-12me'!AU56</f>
        <v>36.5504286532677</v>
      </c>
      <c r="G57" s="53">
        <f>'[10]Rev_SP-12me'!AW56</f>
        <v>1.76041958971057</v>
      </c>
      <c r="H57" s="49"/>
      <c r="I57" s="60">
        <f t="shared" si="3"/>
        <v>39.6551448290909</v>
      </c>
      <c r="J57" s="53">
        <v>1.34429658611259</v>
      </c>
      <c r="K57" s="53">
        <v>36.5504286532677</v>
      </c>
      <c r="L57" s="53">
        <v>1.76041958971057</v>
      </c>
      <c r="M57" s="49"/>
      <c r="N57" s="61">
        <f t="shared" si="1"/>
        <v>39.6551448290909</v>
      </c>
      <c r="O57" s="60">
        <f t="shared" si="5"/>
        <v>8.24556952697042</v>
      </c>
    </row>
    <row r="58" spans="2:15">
      <c r="B58" s="58" t="s">
        <v>1045</v>
      </c>
      <c r="C58" s="55"/>
      <c r="D58" s="53">
        <f>'[10]Rev_SP-12me'!AQ57</f>
        <v>125.348308292271</v>
      </c>
      <c r="E58" s="53">
        <f>'[10]Rev_SP-12me'!AT57</f>
        <v>3.55993634876004</v>
      </c>
      <c r="F58" s="53">
        <f>'[10]Rev_SP-12me'!AU57</f>
        <v>101.53212971674</v>
      </c>
      <c r="G58" s="53">
        <f>'[10]Rev_SP-12me'!AW57</f>
        <v>4.36749577054614</v>
      </c>
      <c r="H58" s="49"/>
      <c r="I58" s="60">
        <f t="shared" si="3"/>
        <v>109.459561836046</v>
      </c>
      <c r="J58" s="53">
        <v>3.55993634876004</v>
      </c>
      <c r="K58" s="53">
        <v>101.53212971674</v>
      </c>
      <c r="L58" s="53">
        <v>4.36749577054614</v>
      </c>
      <c r="M58" s="49"/>
      <c r="N58" s="61">
        <f t="shared" si="1"/>
        <v>109.459561836046</v>
      </c>
      <c r="O58" s="60">
        <f t="shared" si="5"/>
        <v>8.73243231817876</v>
      </c>
    </row>
    <row r="59" ht="15" spans="2:15">
      <c r="B59" s="54" t="s">
        <v>1046</v>
      </c>
      <c r="C59" s="55"/>
      <c r="D59" s="48">
        <f>'[10]Rev_SP-12me'!AQ65</f>
        <v>235.260658792875</v>
      </c>
      <c r="E59" s="48">
        <f>'[10]Rev_SP-12me'!AT65</f>
        <v>6.84617840023572</v>
      </c>
      <c r="F59" s="48">
        <f>'[10]Rev_SP-12me'!AU65</f>
        <v>148.695311667648</v>
      </c>
      <c r="G59" s="48">
        <f>'[10]Rev_SP-12me'!AW65</f>
        <v>5.34278589098355</v>
      </c>
      <c r="H59" s="49"/>
      <c r="I59" s="60">
        <f t="shared" si="3"/>
        <v>160.884275958867</v>
      </c>
      <c r="J59" s="48">
        <v>6.84617840023572</v>
      </c>
      <c r="K59" s="48">
        <v>148.695311667648</v>
      </c>
      <c r="L59" s="48">
        <v>5.34278589098355</v>
      </c>
      <c r="M59" s="49"/>
      <c r="N59" s="61">
        <f t="shared" si="1"/>
        <v>160.884275958867</v>
      </c>
      <c r="O59" s="60">
        <f t="shared" si="5"/>
        <v>6.83855417154599</v>
      </c>
    </row>
    <row r="60" spans="2:15">
      <c r="B60" s="58" t="s">
        <v>1043</v>
      </c>
      <c r="C60" s="55"/>
      <c r="D60" s="53">
        <f>'[10]Rev_SP-12me'!AQ66</f>
        <v>173.479212502121</v>
      </c>
      <c r="E60" s="53">
        <f>'[10]Rev_SP-12me'!AT66</f>
        <v>4.73548543278567</v>
      </c>
      <c r="F60" s="53">
        <f>'[10]Rev_SP-12me'!AU66</f>
        <v>104.087527501273</v>
      </c>
      <c r="G60" s="53">
        <f>'[10]Rev_SP-12me'!AW66</f>
        <v>3.857921018282</v>
      </c>
      <c r="H60" s="49"/>
      <c r="I60" s="60">
        <f t="shared" si="3"/>
        <v>112.680933952341</v>
      </c>
      <c r="J60" s="53">
        <v>4.73548543278567</v>
      </c>
      <c r="K60" s="53">
        <v>104.087527501273</v>
      </c>
      <c r="L60" s="53">
        <v>3.857921018282</v>
      </c>
      <c r="M60" s="49"/>
      <c r="N60" s="61">
        <f t="shared" si="1"/>
        <v>112.680933952341</v>
      </c>
      <c r="O60" s="60">
        <f t="shared" si="5"/>
        <v>6.49535655178069</v>
      </c>
    </row>
    <row r="61" spans="2:15">
      <c r="B61" s="58" t="s">
        <v>1044</v>
      </c>
      <c r="C61" s="55"/>
      <c r="D61" s="53">
        <f>'[10]Rev_SP-12me'!AQ67</f>
        <v>46.9223002919489</v>
      </c>
      <c r="E61" s="53">
        <f>'[10]Rev_SP-12me'!AT67</f>
        <v>1.23590001597994</v>
      </c>
      <c r="F61" s="53">
        <f>'[10]Rev_SP-12me'!AU67</f>
        <v>33.3148332072837</v>
      </c>
      <c r="G61" s="53">
        <f>'[10]Rev_SP-12me'!AW67</f>
        <v>0.912678137494986</v>
      </c>
      <c r="H61" s="49"/>
      <c r="I61" s="60">
        <f t="shared" si="3"/>
        <v>35.4634113607586</v>
      </c>
      <c r="J61" s="53">
        <v>1.23590001597994</v>
      </c>
      <c r="K61" s="53">
        <v>33.3148332072837</v>
      </c>
      <c r="L61" s="53">
        <v>0.912678137494986</v>
      </c>
      <c r="M61" s="49"/>
      <c r="N61" s="61">
        <f t="shared" si="1"/>
        <v>35.4634113607586</v>
      </c>
      <c r="O61" s="60">
        <f t="shared" si="5"/>
        <v>7.55790128363412</v>
      </c>
    </row>
    <row r="62" spans="2:15">
      <c r="B62" s="58" t="s">
        <v>1045</v>
      </c>
      <c r="C62" s="55"/>
      <c r="D62" s="53">
        <f>'[10]Rev_SP-12me'!AQ68</f>
        <v>14.8591459988049</v>
      </c>
      <c r="E62" s="53">
        <f>'[10]Rev_SP-12me'!AT68</f>
        <v>0.874792951470112</v>
      </c>
      <c r="F62" s="53">
        <f>'[10]Rev_SP-12me'!AU68</f>
        <v>11.2929509590917</v>
      </c>
      <c r="G62" s="53">
        <f>'[10]Rev_SP-12me'!AW68</f>
        <v>0.57218673520657</v>
      </c>
      <c r="H62" s="49"/>
      <c r="I62" s="60">
        <f t="shared" si="3"/>
        <v>12.7399306457684</v>
      </c>
      <c r="J62" s="53">
        <v>0.874792951470112</v>
      </c>
      <c r="K62" s="53">
        <v>11.2929509590917</v>
      </c>
      <c r="L62" s="53">
        <v>0.57218673520657</v>
      </c>
      <c r="M62" s="49"/>
      <c r="N62" s="61">
        <f t="shared" si="1"/>
        <v>12.7399306457684</v>
      </c>
      <c r="O62" s="60">
        <f t="shared" si="5"/>
        <v>8.57379734124225</v>
      </c>
    </row>
    <row r="63" ht="15" spans="2:15">
      <c r="B63" s="54" t="s">
        <v>1168</v>
      </c>
      <c r="C63" s="55"/>
      <c r="D63" s="48">
        <f>'[10]Rev_SP-12me'!AQ69</f>
        <v>0</v>
      </c>
      <c r="E63" s="48">
        <f>'[10]Rev_SP-12me'!AT69</f>
        <v>0</v>
      </c>
      <c r="F63" s="48">
        <f>'[10]Rev_SP-12me'!AU69</f>
        <v>0</v>
      </c>
      <c r="G63" s="48">
        <f>'[10]Rev_SP-12me'!AW69</f>
        <v>0</v>
      </c>
      <c r="H63" s="49"/>
      <c r="I63" s="60">
        <f t="shared" si="3"/>
        <v>0</v>
      </c>
      <c r="J63" s="48">
        <v>0</v>
      </c>
      <c r="K63" s="48">
        <v>0</v>
      </c>
      <c r="L63" s="48">
        <v>0</v>
      </c>
      <c r="M63" s="49"/>
      <c r="N63" s="61">
        <f t="shared" si="1"/>
        <v>0</v>
      </c>
      <c r="O63" s="60"/>
    </row>
    <row r="64" ht="15" spans="2:15">
      <c r="B64" s="54" t="s">
        <v>1049</v>
      </c>
      <c r="C64" s="55"/>
      <c r="D64" s="48">
        <f>'[10]Rev_SP-12me'!AQ58</f>
        <v>96.23</v>
      </c>
      <c r="E64" s="48">
        <f>'[10]Rev_SP-12me'!AT58</f>
        <v>2.15091423766816</v>
      </c>
      <c r="F64" s="48">
        <f>'[10]Rev_SP-12me'!AU58</f>
        <v>76.470783352218</v>
      </c>
      <c r="G64" s="48">
        <f>'[10]Rev_SP-12me'!AW58</f>
        <v>3.06873041691491</v>
      </c>
      <c r="H64" s="49"/>
      <c r="I64" s="60">
        <f t="shared" si="3"/>
        <v>81.6904280068011</v>
      </c>
      <c r="J64" s="48">
        <v>2.15091423766816</v>
      </c>
      <c r="K64" s="48">
        <v>76.470783352218</v>
      </c>
      <c r="L64" s="48">
        <v>3.06873041691491</v>
      </c>
      <c r="M64" s="49"/>
      <c r="N64" s="61">
        <f t="shared" si="1"/>
        <v>81.6904280068011</v>
      </c>
      <c r="O64" s="60">
        <f>N64*10/D64</f>
        <v>8.48908116042825</v>
      </c>
    </row>
    <row r="65" spans="2:15">
      <c r="B65" s="56" t="s">
        <v>1050</v>
      </c>
      <c r="C65" s="55"/>
      <c r="D65" s="62">
        <f>'[10]Rev_SP-12me'!AQ59</f>
        <v>85.9266162188423</v>
      </c>
      <c r="E65" s="62">
        <f>'[10]Rev_SP-12me'!AT59</f>
        <v>1.86920011210762</v>
      </c>
      <c r="F65" s="62">
        <f>'[10]Rev_SP-12me'!AU59</f>
        <v>71.3190914616391</v>
      </c>
      <c r="G65" s="62">
        <f>'[10]Rev_SP-12me'!AW59</f>
        <v>2.50216924387177</v>
      </c>
      <c r="H65" s="49"/>
      <c r="I65" s="60">
        <f t="shared" si="3"/>
        <v>75.6904608176185</v>
      </c>
      <c r="J65" s="62">
        <v>1.86920011210762</v>
      </c>
      <c r="K65" s="62">
        <v>71.3190914616391</v>
      </c>
      <c r="L65" s="62">
        <v>2.50216924387177</v>
      </c>
      <c r="M65" s="49"/>
      <c r="N65" s="61">
        <f t="shared" si="1"/>
        <v>75.6904608176185</v>
      </c>
      <c r="O65" s="60">
        <f>N65*10/D65</f>
        <v>8.80873286396454</v>
      </c>
    </row>
    <row r="66" spans="2:15">
      <c r="B66" s="56" t="s">
        <v>1051</v>
      </c>
      <c r="C66" s="55"/>
      <c r="D66" s="62">
        <f>'[10]Rev_SP-12me'!AQ60</f>
        <v>10.3033837811577</v>
      </c>
      <c r="E66" s="62">
        <f>'[10]Rev_SP-12me'!AT60</f>
        <v>0.281714125560538</v>
      </c>
      <c r="F66" s="62">
        <f>'[10]Rev_SP-12me'!AU60</f>
        <v>5.15169189057886</v>
      </c>
      <c r="G66" s="62">
        <f>'[10]Rev_SP-12me'!AW60</f>
        <v>0.56656117304314</v>
      </c>
      <c r="H66" s="49"/>
      <c r="I66" s="60">
        <f t="shared" si="3"/>
        <v>5.99996718918254</v>
      </c>
      <c r="J66" s="62">
        <v>0.281714125560538</v>
      </c>
      <c r="K66" s="62">
        <v>5.15169189057886</v>
      </c>
      <c r="L66" s="62">
        <v>0.56656117304314</v>
      </c>
      <c r="M66" s="49"/>
      <c r="N66" s="61">
        <f t="shared" si="1"/>
        <v>5.99996718918254</v>
      </c>
      <c r="O66" s="60">
        <f>N66*10/D66</f>
        <v>5.82329777927419</v>
      </c>
    </row>
    <row r="67" spans="2:15">
      <c r="B67" s="56" t="s">
        <v>1052</v>
      </c>
      <c r="C67" s="55"/>
      <c r="D67" s="24">
        <f>'[10]Rev_SP-12me'!AQ61</f>
        <v>10.3033837811577</v>
      </c>
      <c r="E67" s="24">
        <f>'[10]Rev_SP-12me'!AT61</f>
        <v>0</v>
      </c>
      <c r="F67" s="24">
        <f>'[10]Rev_SP-12me'!AU61</f>
        <v>0</v>
      </c>
      <c r="G67" s="24">
        <f>'[10]Rev_SP-12me'!AW61</f>
        <v>0</v>
      </c>
      <c r="H67" s="49"/>
      <c r="I67" s="60">
        <f t="shared" si="3"/>
        <v>0</v>
      </c>
      <c r="J67" s="24">
        <v>0</v>
      </c>
      <c r="K67" s="24">
        <v>0</v>
      </c>
      <c r="L67" s="24">
        <v>0</v>
      </c>
      <c r="M67" s="49"/>
      <c r="N67" s="61">
        <f t="shared" si="1"/>
        <v>0</v>
      </c>
      <c r="O67" s="60">
        <f>N67*10/D67</f>
        <v>0</v>
      </c>
    </row>
    <row r="68" spans="2:15">
      <c r="B68" s="56" t="s">
        <v>1053</v>
      </c>
      <c r="C68" s="55"/>
      <c r="D68" s="24">
        <f>'[10]Rev_SP-12me'!AQ62</f>
        <v>0</v>
      </c>
      <c r="E68" s="24">
        <f>'[10]Rev_SP-12me'!AT62</f>
        <v>0</v>
      </c>
      <c r="F68" s="24">
        <f>'[10]Rev_SP-12me'!AU62</f>
        <v>0</v>
      </c>
      <c r="G68" s="24">
        <f>'[10]Rev_SP-12me'!AW62</f>
        <v>0</v>
      </c>
      <c r="H68" s="49"/>
      <c r="I68" s="60">
        <f t="shared" si="3"/>
        <v>0</v>
      </c>
      <c r="J68" s="24">
        <v>0</v>
      </c>
      <c r="K68" s="24">
        <v>0</v>
      </c>
      <c r="L68" s="24">
        <v>0</v>
      </c>
      <c r="M68" s="49"/>
      <c r="N68" s="61">
        <f t="shared" si="1"/>
        <v>0</v>
      </c>
      <c r="O68" s="60"/>
    </row>
    <row r="69" ht="15" spans="2:15">
      <c r="B69" s="54" t="s">
        <v>1054</v>
      </c>
      <c r="C69" s="55"/>
      <c r="D69" s="48">
        <f>'[10]Rev_SP-12me'!AQ63</f>
        <v>106.22</v>
      </c>
      <c r="E69" s="48">
        <f>'[10]Rev_SP-12me'!AT63</f>
        <v>2.8476</v>
      </c>
      <c r="F69" s="48">
        <f>'[10]Rev_SP-12me'!AU63</f>
        <v>127.464</v>
      </c>
      <c r="G69" s="48">
        <f>'[10]Rev_SP-12me'!AW63</f>
        <v>1.64445142857143</v>
      </c>
      <c r="H69" s="49"/>
      <c r="I69" s="60">
        <f t="shared" si="3"/>
        <v>131.956051428571</v>
      </c>
      <c r="J69" s="48">
        <v>2.8476</v>
      </c>
      <c r="K69" s="48">
        <v>127.464</v>
      </c>
      <c r="L69" s="48">
        <v>1.64445142857143</v>
      </c>
      <c r="M69" s="49"/>
      <c r="N69" s="61">
        <f t="shared" si="1"/>
        <v>131.956051428571</v>
      </c>
      <c r="O69" s="60">
        <f>N69*10/D69</f>
        <v>12.422900718186</v>
      </c>
    </row>
    <row r="70" ht="15" spans="2:15">
      <c r="B70" s="54" t="s">
        <v>1101</v>
      </c>
      <c r="C70" s="55"/>
      <c r="D70" s="48">
        <f>'[10]Rev_SP-12me'!AQ64</f>
        <v>2.2</v>
      </c>
      <c r="E70" s="48">
        <f>'[10]Rev_SP-12me'!AT64</f>
        <v>0.12</v>
      </c>
      <c r="F70" s="48">
        <f>'[10]Rev_SP-12me'!AU64</f>
        <v>1.32</v>
      </c>
      <c r="G70" s="48">
        <f>'[10]Rev_SP-12me'!AW64</f>
        <v>0.00815314285714286</v>
      </c>
      <c r="H70" s="49"/>
      <c r="I70" s="60">
        <f t="shared" si="3"/>
        <v>1.44815314285714</v>
      </c>
      <c r="J70" s="48">
        <v>0.12</v>
      </c>
      <c r="K70" s="48">
        <v>1.32</v>
      </c>
      <c r="L70" s="48">
        <v>0.00815314285714286</v>
      </c>
      <c r="M70" s="49"/>
      <c r="N70" s="61">
        <f t="shared" si="1"/>
        <v>1.44815314285714</v>
      </c>
      <c r="O70" s="60">
        <f>N70*10/D70</f>
        <v>6.58251428571428</v>
      </c>
    </row>
    <row r="71" ht="15" spans="2:15">
      <c r="B71" s="54"/>
      <c r="C71" s="55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61">
        <f t="shared" si="1"/>
        <v>0</v>
      </c>
      <c r="O71" s="60"/>
    </row>
    <row r="72" ht="15" spans="2:15">
      <c r="B72" s="54" t="s">
        <v>1102</v>
      </c>
      <c r="C72" s="55"/>
      <c r="D72" s="63">
        <f>SUM(D11,D24,D37,D44,D47,D55,D59,D63,D64,D69,D70)</f>
        <v>28376.6643701067</v>
      </c>
      <c r="E72" s="64">
        <f>SUM(E11,E24,E37,E44,E47,E55,E59,E63,E64,E69,E70)</f>
        <v>673.816471931755</v>
      </c>
      <c r="F72" s="63">
        <f>SUM(F11,F24,F37,F44,F47,F55,F59,F63,F64,F69,F70)</f>
        <v>10008.3769089095</v>
      </c>
      <c r="G72" s="63">
        <f>SUM(G11,G24,G37,G44,G47,G55,G59,G63,G64,G69,G70)</f>
        <v>928.093935559379</v>
      </c>
      <c r="H72" s="65"/>
      <c r="I72" s="63">
        <f>SUM(I11,I24,I37,I44,I47,I55,I59,I63,I64,I69,I70)</f>
        <v>11610.2873164006</v>
      </c>
      <c r="J72" s="64">
        <v>673.816471931754</v>
      </c>
      <c r="K72" s="63">
        <v>10008.3769089095</v>
      </c>
      <c r="L72" s="63">
        <v>928.093935559379</v>
      </c>
      <c r="M72" s="65"/>
      <c r="N72" s="61">
        <f t="shared" si="1"/>
        <v>11610.2873164006</v>
      </c>
      <c r="O72" s="60">
        <f>N72*10/D72</f>
        <v>4.09149122143879</v>
      </c>
    </row>
    <row r="73" ht="15" spans="2:15">
      <c r="B73" s="66"/>
      <c r="C73" s="67"/>
      <c r="D73" s="68"/>
      <c r="E73" s="69"/>
      <c r="F73" s="68"/>
      <c r="G73" s="68"/>
      <c r="H73" s="49"/>
      <c r="I73" s="68"/>
      <c r="J73" s="69"/>
      <c r="K73" s="68"/>
      <c r="L73" s="68"/>
      <c r="M73" s="49"/>
      <c r="N73" s="61">
        <f t="shared" si="1"/>
        <v>0</v>
      </c>
      <c r="O73" s="60"/>
    </row>
    <row r="74" ht="15" spans="2:15">
      <c r="B74" s="70" t="s">
        <v>907</v>
      </c>
      <c r="C74" s="70"/>
      <c r="D74" s="8"/>
      <c r="E74" s="8"/>
      <c r="F74" s="8"/>
      <c r="G74" s="8"/>
      <c r="H74" s="8"/>
      <c r="I74" s="8"/>
      <c r="J74" s="8"/>
      <c r="K74" s="8"/>
      <c r="L74" s="8"/>
      <c r="M74" s="8"/>
      <c r="N74" s="61">
        <f t="shared" si="1"/>
        <v>0</v>
      </c>
      <c r="O74" s="60"/>
    </row>
    <row r="75" spans="2:15">
      <c r="B75" s="71" t="s">
        <v>190</v>
      </c>
      <c r="C75" s="55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61">
        <f t="shared" ref="N75:N138" si="6">SUM(J75:M75)</f>
        <v>0</v>
      </c>
      <c r="O75" s="60"/>
    </row>
    <row r="76" ht="15" spans="2:15">
      <c r="B76" s="71" t="s">
        <v>1103</v>
      </c>
      <c r="C76" s="72"/>
      <c r="D76" s="48">
        <f>D77+D86</f>
        <v>4449.21271164848</v>
      </c>
      <c r="E76" s="48">
        <f>'[10]Rev_SP-12me'!AT84</f>
        <v>973.614478666021</v>
      </c>
      <c r="F76" s="48">
        <f>'[10]Rev_SP-12me'!AU84</f>
        <v>3422.78983277438</v>
      </c>
      <c r="G76" s="48">
        <f>'[10]Rev_SP-12me'!AW84</f>
        <v>14.3707876274232</v>
      </c>
      <c r="H76" s="49"/>
      <c r="I76" s="79">
        <f t="shared" ref="I76:I107" si="7">SUM(E76:H76)</f>
        <v>4410.77509906782</v>
      </c>
      <c r="J76" s="48">
        <v>973.614478666021</v>
      </c>
      <c r="K76" s="48">
        <v>3422.78983277438</v>
      </c>
      <c r="L76" s="48">
        <v>14.3707876274232</v>
      </c>
      <c r="M76" s="49"/>
      <c r="N76" s="61">
        <f t="shared" si="6"/>
        <v>4410.77509906782</v>
      </c>
      <c r="O76" s="60">
        <f t="shared" ref="O76:O115" si="8">N76*10/D76</f>
        <v>9.91360805816268</v>
      </c>
    </row>
    <row r="77" spans="2:15">
      <c r="B77" s="73" t="s">
        <v>1104</v>
      </c>
      <c r="C77" s="72"/>
      <c r="D77" s="51">
        <f>'[10]Rev_SP-12me'!AQ85</f>
        <v>4300.84260643587</v>
      </c>
      <c r="E77" s="51">
        <f>'[10]Rev_SP-12me'!AT85</f>
        <v>973.614478666021</v>
      </c>
      <c r="F77" s="51">
        <f>'[10]Rev_SP-12me'!AU85</f>
        <v>3308.68703768747</v>
      </c>
      <c r="G77" s="51">
        <f>'[10]Rev_SP-12me'!AW85</f>
        <v>13.8612941768874</v>
      </c>
      <c r="H77" s="49"/>
      <c r="I77" s="79">
        <f t="shared" si="7"/>
        <v>4296.16281053038</v>
      </c>
      <c r="J77" s="51">
        <v>973.614478666021</v>
      </c>
      <c r="K77" s="51">
        <v>3308.68703768747</v>
      </c>
      <c r="L77" s="51">
        <v>13.8612941768874</v>
      </c>
      <c r="M77" s="49"/>
      <c r="N77" s="61">
        <f t="shared" si="6"/>
        <v>4296.16281053038</v>
      </c>
      <c r="O77" s="60">
        <f t="shared" si="8"/>
        <v>9.98911888591671</v>
      </c>
    </row>
    <row r="78" spans="2:15">
      <c r="B78" s="74" t="s">
        <v>1105</v>
      </c>
      <c r="C78" s="72"/>
      <c r="D78" s="62">
        <f>'[10]Rev_SP-12me'!AQ86</f>
        <v>1395.13532380973</v>
      </c>
      <c r="E78" s="62">
        <f>'[10]Rev_SP-12me'!AT86</f>
        <v>973.614478666021</v>
      </c>
      <c r="F78" s="62">
        <f>'[10]Rev_SP-12me'!AU86</f>
        <v>1067.27852271445</v>
      </c>
      <c r="G78" s="62">
        <f>'[10]Rev_SP-12me'!AW86</f>
        <v>10.3895699611764</v>
      </c>
      <c r="H78" s="49"/>
      <c r="I78" s="79">
        <f t="shared" si="7"/>
        <v>2051.28257134165</v>
      </c>
      <c r="J78" s="62">
        <v>973.614478666021</v>
      </c>
      <c r="K78" s="62">
        <v>1067.27852271445</v>
      </c>
      <c r="L78" s="62">
        <v>10.3895699611764</v>
      </c>
      <c r="M78" s="49"/>
      <c r="N78" s="61">
        <f t="shared" si="6"/>
        <v>2051.28257134165</v>
      </c>
      <c r="O78" s="60">
        <f t="shared" si="8"/>
        <v>14.7031082672336</v>
      </c>
    </row>
    <row r="79" ht="25.5" spans="2:15">
      <c r="B79" s="75" t="s">
        <v>1106</v>
      </c>
      <c r="C79" s="55"/>
      <c r="D79" s="62">
        <f>'[10]Rev_SP-12me'!AQ87</f>
        <v>229.738568745072</v>
      </c>
      <c r="E79" s="62">
        <f>'[10]Rev_SP-12me'!AT87</f>
        <v>0</v>
      </c>
      <c r="F79" s="62">
        <f>'[10]Rev_SP-12me'!AU87</f>
        <v>183.790854996057</v>
      </c>
      <c r="G79" s="62">
        <f>'[10]Rev_SP-12me'!AW87</f>
        <v>2.99039371972747</v>
      </c>
      <c r="H79" s="8"/>
      <c r="I79" s="79">
        <f t="shared" si="7"/>
        <v>186.781248715784</v>
      </c>
      <c r="J79" s="62">
        <v>0</v>
      </c>
      <c r="K79" s="62">
        <v>183.790854996057</v>
      </c>
      <c r="L79" s="62">
        <v>2.99039371972747</v>
      </c>
      <c r="M79" s="8"/>
      <c r="N79" s="61">
        <f t="shared" si="6"/>
        <v>186.781248715784</v>
      </c>
      <c r="O79" s="60">
        <f t="shared" si="8"/>
        <v>8.13016507137054</v>
      </c>
    </row>
    <row r="80" spans="2:15">
      <c r="B80" s="74" t="s">
        <v>1107</v>
      </c>
      <c r="C80" s="55"/>
      <c r="D80" s="62">
        <f>'[10]Rev_SP-12me'!AQ88</f>
        <v>0.201155178571006</v>
      </c>
      <c r="E80" s="62">
        <f>'[10]Rev_SP-12me'!AT88</f>
        <v>0</v>
      </c>
      <c r="F80" s="62">
        <f>'[10]Rev_SP-12me'!AU88</f>
        <v>0.15388371160682</v>
      </c>
      <c r="G80" s="62">
        <f>'[10]Rev_SP-12me'!AW88</f>
        <v>0</v>
      </c>
      <c r="H80" s="8"/>
      <c r="I80" s="79">
        <f t="shared" si="7"/>
        <v>0.15388371160682</v>
      </c>
      <c r="J80" s="62">
        <v>0</v>
      </c>
      <c r="K80" s="62">
        <v>0.15388371160682</v>
      </c>
      <c r="L80" s="62">
        <v>0</v>
      </c>
      <c r="M80" s="8"/>
      <c r="N80" s="61">
        <f t="shared" si="6"/>
        <v>0.15388371160682</v>
      </c>
      <c r="O80" s="60">
        <f t="shared" si="8"/>
        <v>7.65000000000002</v>
      </c>
    </row>
    <row r="81" spans="2:15">
      <c r="B81" s="74" t="s">
        <v>1108</v>
      </c>
      <c r="C81" s="55"/>
      <c r="D81" s="62">
        <f>'[10]Rev_SP-12me'!AQ89</f>
        <v>1.11045818108816</v>
      </c>
      <c r="E81" s="62">
        <f>'[10]Rev_SP-12me'!AT89</f>
        <v>0</v>
      </c>
      <c r="F81" s="62">
        <f>'[10]Rev_SP-12me'!AU89</f>
        <v>0.810634472194357</v>
      </c>
      <c r="G81" s="62">
        <f>'[10]Rev_SP-12me'!AW89</f>
        <v>0</v>
      </c>
      <c r="H81" s="8"/>
      <c r="I81" s="79">
        <f t="shared" si="7"/>
        <v>0.810634472194357</v>
      </c>
      <c r="J81" s="62">
        <v>0</v>
      </c>
      <c r="K81" s="62">
        <v>0.810634472194357</v>
      </c>
      <c r="L81" s="62">
        <v>0</v>
      </c>
      <c r="M81" s="8"/>
      <c r="N81" s="61">
        <f t="shared" si="6"/>
        <v>0.810634472194357</v>
      </c>
      <c r="O81" s="60">
        <f t="shared" si="8"/>
        <v>7.3</v>
      </c>
    </row>
    <row r="82" spans="2:15">
      <c r="B82" s="74" t="s">
        <v>1109</v>
      </c>
      <c r="C82" s="55"/>
      <c r="D82" s="62">
        <f>'[10]Rev_SP-12me'!AQ90</f>
        <v>52.3274411007893</v>
      </c>
      <c r="E82" s="62">
        <f>'[10]Rev_SP-12me'!AT90</f>
        <v>0</v>
      </c>
      <c r="F82" s="62">
        <f>'[10]Rev_SP-12me'!AU90</f>
        <v>45.0015993466788</v>
      </c>
      <c r="G82" s="62">
        <f>'[10]Rev_SP-12me'!AW90</f>
        <v>0.481330495983531</v>
      </c>
      <c r="H82" s="8"/>
      <c r="I82" s="79">
        <f t="shared" si="7"/>
        <v>45.4829298426623</v>
      </c>
      <c r="J82" s="62">
        <v>0</v>
      </c>
      <c r="K82" s="62">
        <v>45.0015993466788</v>
      </c>
      <c r="L82" s="62">
        <v>0.481330495983531</v>
      </c>
      <c r="M82" s="8"/>
      <c r="N82" s="61">
        <f t="shared" si="6"/>
        <v>45.4829298426623</v>
      </c>
      <c r="O82" s="60">
        <f t="shared" si="8"/>
        <v>8.69198433668033</v>
      </c>
    </row>
    <row r="83" spans="2:15">
      <c r="B83" s="76" t="s">
        <v>1110</v>
      </c>
      <c r="C83" s="55"/>
      <c r="D83" s="62">
        <f>'[10]Rev_SP-12me'!AQ91</f>
        <v>689.060946288132</v>
      </c>
      <c r="E83" s="62">
        <f>'[10]Rev_SP-12me'!AT91</f>
        <v>0</v>
      </c>
      <c r="F83" s="62">
        <f>'[10]Rev_SP-12me'!AU91</f>
        <v>596.037718539234</v>
      </c>
      <c r="G83" s="62">
        <f>'[10]Rev_SP-12me'!AW91</f>
        <v>0</v>
      </c>
      <c r="H83" s="8"/>
      <c r="I83" s="79">
        <f t="shared" si="7"/>
        <v>596.037718539234</v>
      </c>
      <c r="J83" s="62">
        <v>0</v>
      </c>
      <c r="K83" s="62">
        <v>596.037718539234</v>
      </c>
      <c r="L83" s="62">
        <v>0</v>
      </c>
      <c r="M83" s="8"/>
      <c r="N83" s="61">
        <f t="shared" si="6"/>
        <v>596.037718539234</v>
      </c>
      <c r="O83" s="60">
        <f t="shared" si="8"/>
        <v>8.65</v>
      </c>
    </row>
    <row r="84" spans="2:15">
      <c r="B84" s="76" t="s">
        <v>1111</v>
      </c>
      <c r="C84" s="55"/>
      <c r="D84" s="62">
        <f>'[10]Rev_SP-12me'!AQ92</f>
        <v>649.95064837077</v>
      </c>
      <c r="E84" s="62">
        <f>'[10]Rev_SP-12me'!AT92</f>
        <v>0</v>
      </c>
      <c r="F84" s="62">
        <f>'[10]Rev_SP-12me'!AU92</f>
        <v>562.207310840716</v>
      </c>
      <c r="G84" s="62">
        <f>'[10]Rev_SP-12me'!AW92</f>
        <v>0</v>
      </c>
      <c r="H84" s="8"/>
      <c r="I84" s="79">
        <f t="shared" si="7"/>
        <v>562.207310840716</v>
      </c>
      <c r="J84" s="62">
        <v>0</v>
      </c>
      <c r="K84" s="62">
        <v>562.207310840716</v>
      </c>
      <c r="L84" s="62">
        <v>0</v>
      </c>
      <c r="M84" s="8"/>
      <c r="N84" s="61">
        <f t="shared" si="6"/>
        <v>562.207310840716</v>
      </c>
      <c r="O84" s="60">
        <f t="shared" si="8"/>
        <v>8.65</v>
      </c>
    </row>
    <row r="85" spans="2:15">
      <c r="B85" s="76" t="s">
        <v>1112</v>
      </c>
      <c r="C85" s="55"/>
      <c r="D85" s="62">
        <f>'[10]Rev_SP-12me'!AQ93</f>
        <v>1283.31806476171</v>
      </c>
      <c r="E85" s="62">
        <f>'[10]Rev_SP-12me'!AT93</f>
        <v>0</v>
      </c>
      <c r="F85" s="62">
        <f>'[10]Rev_SP-12me'!AU93</f>
        <v>853.406513066539</v>
      </c>
      <c r="G85" s="62">
        <f>'[10]Rev_SP-12me'!AW93</f>
        <v>0</v>
      </c>
      <c r="H85" s="8"/>
      <c r="I85" s="79">
        <f t="shared" si="7"/>
        <v>853.406513066539</v>
      </c>
      <c r="J85" s="62">
        <v>0</v>
      </c>
      <c r="K85" s="62">
        <v>853.406513066539</v>
      </c>
      <c r="L85" s="62">
        <v>0</v>
      </c>
      <c r="M85" s="8"/>
      <c r="N85" s="61">
        <f t="shared" si="6"/>
        <v>853.406513066539</v>
      </c>
      <c r="O85" s="60">
        <f t="shared" si="8"/>
        <v>6.65000000000001</v>
      </c>
    </row>
    <row r="86" spans="2:15">
      <c r="B86" s="71" t="s">
        <v>1113</v>
      </c>
      <c r="C86" s="55"/>
      <c r="D86" s="51">
        <f>'[10]Rev_SP-12me'!AQ94</f>
        <v>148.370105212614</v>
      </c>
      <c r="E86" s="51">
        <f>'[10]Rev_SP-12me'!AT94</f>
        <v>0</v>
      </c>
      <c r="F86" s="51">
        <f>'[10]Rev_SP-12me'!AU94</f>
        <v>114.102795086903</v>
      </c>
      <c r="G86" s="51">
        <f>'[10]Rev_SP-12me'!AW94</f>
        <v>0.509493450535759</v>
      </c>
      <c r="H86" s="8"/>
      <c r="I86" s="79">
        <f t="shared" si="7"/>
        <v>114.612288537439</v>
      </c>
      <c r="J86" s="51">
        <v>0</v>
      </c>
      <c r="K86" s="51">
        <v>114.102795086903</v>
      </c>
      <c r="L86" s="51">
        <v>0.509493450535759</v>
      </c>
      <c r="M86" s="8"/>
      <c r="N86" s="61">
        <f t="shared" si="6"/>
        <v>114.612288537439</v>
      </c>
      <c r="O86" s="60">
        <f t="shared" si="8"/>
        <v>7.7247561679086</v>
      </c>
    </row>
    <row r="87" spans="2:15">
      <c r="B87" s="76" t="s">
        <v>1114</v>
      </c>
      <c r="C87" s="55"/>
      <c r="D87" s="53">
        <f>'[10]Rev_SP-12me'!AQ95</f>
        <v>53.9790632276775</v>
      </c>
      <c r="E87" s="53">
        <f>'[10]Rev_SP-12me'!AT95</f>
        <v>0</v>
      </c>
      <c r="F87" s="53">
        <f>'[10]Rev_SP-12me'!AU95</f>
        <v>41.2939833691733</v>
      </c>
      <c r="G87" s="53">
        <f>'[10]Rev_SP-12me'!AW95</f>
        <v>0.509493450535759</v>
      </c>
      <c r="H87" s="8"/>
      <c r="I87" s="79">
        <f t="shared" si="7"/>
        <v>41.8034768197091</v>
      </c>
      <c r="J87" s="53">
        <v>0</v>
      </c>
      <c r="K87" s="53">
        <v>41.2939833691733</v>
      </c>
      <c r="L87" s="53">
        <v>0.509493450535759</v>
      </c>
      <c r="M87" s="8"/>
      <c r="N87" s="61">
        <f t="shared" si="6"/>
        <v>41.8034768197091</v>
      </c>
      <c r="O87" s="60">
        <f t="shared" si="8"/>
        <v>7.7443872346185</v>
      </c>
    </row>
    <row r="88" spans="2:15">
      <c r="B88" s="76" t="s">
        <v>1115</v>
      </c>
      <c r="C88" s="55"/>
      <c r="D88" s="53">
        <f>'[10]Rev_SP-12me'!AQ96</f>
        <v>23.5773530924783</v>
      </c>
      <c r="E88" s="53">
        <f>'[10]Rev_SP-12me'!AT96</f>
        <v>0</v>
      </c>
      <c r="F88" s="53">
        <f>'[10]Rev_SP-12me'!AU96</f>
        <v>20.3944104249938</v>
      </c>
      <c r="G88" s="53">
        <f>'[10]Rev_SP-12me'!AW96</f>
        <v>0</v>
      </c>
      <c r="H88" s="8"/>
      <c r="I88" s="79">
        <f t="shared" si="7"/>
        <v>20.3944104249938</v>
      </c>
      <c r="J88" s="53">
        <v>0</v>
      </c>
      <c r="K88" s="53">
        <v>20.3944104249938</v>
      </c>
      <c r="L88" s="53">
        <v>0</v>
      </c>
      <c r="M88" s="8"/>
      <c r="N88" s="61">
        <f t="shared" si="6"/>
        <v>20.3944104249938</v>
      </c>
      <c r="O88" s="60">
        <f t="shared" si="8"/>
        <v>8.65000000000003</v>
      </c>
    </row>
    <row r="89" spans="2:15">
      <c r="B89" s="76" t="s">
        <v>1116</v>
      </c>
      <c r="C89" s="55"/>
      <c r="D89" s="53">
        <f>'[10]Rev_SP-12me'!AQ97</f>
        <v>26.6164908962548</v>
      </c>
      <c r="E89" s="53">
        <f>'[10]Rev_SP-12me'!AT97</f>
        <v>0</v>
      </c>
      <c r="F89" s="53">
        <f>'[10]Rev_SP-12me'!AU97</f>
        <v>23.0232646252604</v>
      </c>
      <c r="G89" s="53">
        <f>'[10]Rev_SP-12me'!AW97</f>
        <v>0</v>
      </c>
      <c r="H89" s="8"/>
      <c r="I89" s="79">
        <f t="shared" si="7"/>
        <v>23.0232646252604</v>
      </c>
      <c r="J89" s="53">
        <v>0</v>
      </c>
      <c r="K89" s="53">
        <v>23.0232646252604</v>
      </c>
      <c r="L89" s="53">
        <v>0</v>
      </c>
      <c r="M89" s="8"/>
      <c r="N89" s="61">
        <f t="shared" si="6"/>
        <v>23.0232646252604</v>
      </c>
      <c r="O89" s="60">
        <f t="shared" si="8"/>
        <v>8.65</v>
      </c>
    </row>
    <row r="90" spans="2:15">
      <c r="B90" s="76" t="s">
        <v>1117</v>
      </c>
      <c r="C90" s="55"/>
      <c r="D90" s="53">
        <f>'[10]Rev_SP-12me'!AQ98</f>
        <v>44.1971979962031</v>
      </c>
      <c r="E90" s="53">
        <f>'[10]Rev_SP-12me'!AT98</f>
        <v>0</v>
      </c>
      <c r="F90" s="53">
        <f>'[10]Rev_SP-12me'!AU98</f>
        <v>29.3911366674751</v>
      </c>
      <c r="G90" s="53">
        <f>'[10]Rev_SP-12me'!AW98</f>
        <v>0</v>
      </c>
      <c r="H90" s="8"/>
      <c r="I90" s="79">
        <f t="shared" si="7"/>
        <v>29.3911366674751</v>
      </c>
      <c r="J90" s="53">
        <v>0</v>
      </c>
      <c r="K90" s="53">
        <v>29.3911366674751</v>
      </c>
      <c r="L90" s="53">
        <v>0</v>
      </c>
      <c r="M90" s="8"/>
      <c r="N90" s="61">
        <f t="shared" si="6"/>
        <v>29.3911366674751</v>
      </c>
      <c r="O90" s="60">
        <f t="shared" si="8"/>
        <v>6.65000000000001</v>
      </c>
    </row>
    <row r="91" ht="15" spans="2:15">
      <c r="B91" s="71" t="s">
        <v>1118</v>
      </c>
      <c r="C91" s="55"/>
      <c r="D91" s="48">
        <f>'[10]Rev_SP-12me'!AQ100</f>
        <v>42.2072883515179</v>
      </c>
      <c r="E91" s="48">
        <f>'[10]Rev_SP-12me'!AT100</f>
        <v>6.70945383732131</v>
      </c>
      <c r="F91" s="48">
        <f>'[10]Rev_SP-12me'!AU100</f>
        <v>32.5242010155615</v>
      </c>
      <c r="G91" s="48">
        <f>'[10]Rev_SP-12me'!AW100</f>
        <v>0</v>
      </c>
      <c r="H91" s="8"/>
      <c r="I91" s="79">
        <f t="shared" si="7"/>
        <v>39.2336548528828</v>
      </c>
      <c r="J91" s="48">
        <v>6.70945383732131</v>
      </c>
      <c r="K91" s="48">
        <v>32.5242010155615</v>
      </c>
      <c r="L91" s="48">
        <v>0</v>
      </c>
      <c r="M91" s="8"/>
      <c r="N91" s="61">
        <f t="shared" si="6"/>
        <v>39.2336548528828</v>
      </c>
      <c r="O91" s="60">
        <f t="shared" si="8"/>
        <v>9.29546919151271</v>
      </c>
    </row>
    <row r="92" spans="2:15">
      <c r="B92" s="74" t="s">
        <v>1119</v>
      </c>
      <c r="C92" s="55"/>
      <c r="D92" s="53">
        <f>'[10]Rev_SP-12me'!AQ101</f>
        <v>18.3314016804679</v>
      </c>
      <c r="E92" s="53">
        <f>'[10]Rev_SP-12me'!AT101</f>
        <v>6.70945383732131</v>
      </c>
      <c r="F92" s="53">
        <f>'[10]Rev_SP-12me'!AU101</f>
        <v>14.023522285558</v>
      </c>
      <c r="G92" s="53">
        <f>'[10]Rev_SP-12me'!AW101</f>
        <v>0</v>
      </c>
      <c r="H92" s="8"/>
      <c r="I92" s="79">
        <f t="shared" si="7"/>
        <v>20.7329761228793</v>
      </c>
      <c r="J92" s="53">
        <v>6.70945383732131</v>
      </c>
      <c r="K92" s="53">
        <v>14.023522285558</v>
      </c>
      <c r="L92" s="53">
        <v>0</v>
      </c>
      <c r="M92" s="8"/>
      <c r="N92" s="61">
        <f t="shared" si="6"/>
        <v>20.7329761228793</v>
      </c>
      <c r="O92" s="60">
        <f t="shared" si="8"/>
        <v>11.3100877304818</v>
      </c>
    </row>
    <row r="93" spans="2:15">
      <c r="B93" s="74" t="s">
        <v>1120</v>
      </c>
      <c r="C93" s="55"/>
      <c r="D93" s="53">
        <f>'[10]Rev_SP-12me'!AQ102</f>
        <v>6.1282942365454</v>
      </c>
      <c r="E93" s="53">
        <f>'[10]Rev_SP-12me'!AT102</f>
        <v>0</v>
      </c>
      <c r="F93" s="53">
        <f>'[10]Rev_SP-12me'!AU102</f>
        <v>5.30097451461177</v>
      </c>
      <c r="G93" s="53">
        <f>'[10]Rev_SP-12me'!AW102</f>
        <v>0</v>
      </c>
      <c r="H93" s="8"/>
      <c r="I93" s="79">
        <f t="shared" si="7"/>
        <v>5.30097451461177</v>
      </c>
      <c r="J93" s="53">
        <v>0</v>
      </c>
      <c r="K93" s="53">
        <v>5.30097451461177</v>
      </c>
      <c r="L93" s="53">
        <v>0</v>
      </c>
      <c r="M93" s="8"/>
      <c r="N93" s="61">
        <f t="shared" si="6"/>
        <v>5.30097451461177</v>
      </c>
      <c r="O93" s="60">
        <f t="shared" si="8"/>
        <v>8.65</v>
      </c>
    </row>
    <row r="94" spans="2:15">
      <c r="B94" s="74" t="s">
        <v>1121</v>
      </c>
      <c r="C94" s="55"/>
      <c r="D94" s="53">
        <f>'[10]Rev_SP-12me'!AQ103</f>
        <v>6.98777623223095</v>
      </c>
      <c r="E94" s="53">
        <f>'[10]Rev_SP-12me'!AT103</f>
        <v>0</v>
      </c>
      <c r="F94" s="53">
        <f>'[10]Rev_SP-12me'!AU103</f>
        <v>6.04442644087977</v>
      </c>
      <c r="G94" s="53">
        <f>'[10]Rev_SP-12me'!AW103</f>
        <v>0</v>
      </c>
      <c r="H94" s="8"/>
      <c r="I94" s="79">
        <f t="shared" si="7"/>
        <v>6.04442644087977</v>
      </c>
      <c r="J94" s="53">
        <v>0</v>
      </c>
      <c r="K94" s="53">
        <v>6.04442644087977</v>
      </c>
      <c r="L94" s="53">
        <v>0</v>
      </c>
      <c r="M94" s="8"/>
      <c r="N94" s="61">
        <f t="shared" si="6"/>
        <v>6.04442644087977</v>
      </c>
      <c r="O94" s="60">
        <f t="shared" si="8"/>
        <v>8.65</v>
      </c>
    </row>
    <row r="95" spans="2:15">
      <c r="B95" s="74" t="s">
        <v>1122</v>
      </c>
      <c r="C95" s="55"/>
      <c r="D95" s="53">
        <f>'[10]Rev_SP-12me'!AQ104</f>
        <v>10.7598162022737</v>
      </c>
      <c r="E95" s="53">
        <f>'[10]Rev_SP-12me'!AT104</f>
        <v>0</v>
      </c>
      <c r="F95" s="53">
        <f>'[10]Rev_SP-12me'!AU104</f>
        <v>7.155277774512</v>
      </c>
      <c r="G95" s="53">
        <f>'[10]Rev_SP-12me'!AW104</f>
        <v>0</v>
      </c>
      <c r="H95" s="8"/>
      <c r="I95" s="79">
        <f t="shared" si="7"/>
        <v>7.155277774512</v>
      </c>
      <c r="J95" s="53">
        <v>0</v>
      </c>
      <c r="K95" s="53">
        <v>7.155277774512</v>
      </c>
      <c r="L95" s="53">
        <v>0</v>
      </c>
      <c r="M95" s="8"/>
      <c r="N95" s="61">
        <f t="shared" si="6"/>
        <v>7.155277774512</v>
      </c>
      <c r="O95" s="60">
        <f t="shared" si="8"/>
        <v>6.64999999999999</v>
      </c>
    </row>
    <row r="96" ht="15" spans="2:15">
      <c r="B96" s="71" t="s">
        <v>1123</v>
      </c>
      <c r="C96" s="55"/>
      <c r="D96" s="48">
        <f>'[10]Rev_SP-12me'!AQ99</f>
        <v>0.14</v>
      </c>
      <c r="E96" s="48">
        <f>'[10]Rev_SP-12me'!AT99</f>
        <v>0</v>
      </c>
      <c r="F96" s="48">
        <f>'[10]Rev_SP-12me'!AU99</f>
        <v>0.1071</v>
      </c>
      <c r="G96" s="48">
        <f>'[10]Rev_SP-12me'!AW99</f>
        <v>0</v>
      </c>
      <c r="H96" s="8"/>
      <c r="I96" s="79">
        <f t="shared" si="7"/>
        <v>0.1071</v>
      </c>
      <c r="J96" s="48">
        <v>0</v>
      </c>
      <c r="K96" s="48">
        <v>0.1071</v>
      </c>
      <c r="L96" s="48">
        <v>0</v>
      </c>
      <c r="M96" s="8"/>
      <c r="N96" s="61">
        <f t="shared" si="6"/>
        <v>0.1071</v>
      </c>
      <c r="O96" s="60">
        <f t="shared" si="8"/>
        <v>7.65</v>
      </c>
    </row>
    <row r="97" ht="15" spans="2:15">
      <c r="B97" s="71" t="s">
        <v>1124</v>
      </c>
      <c r="C97" s="55"/>
      <c r="D97" s="48">
        <f>'[10]Rev_SP-12me'!AQ105</f>
        <v>2334.22604197106</v>
      </c>
      <c r="E97" s="48">
        <f>'[10]Rev_SP-12me'!AT105</f>
        <v>495.659523399504</v>
      </c>
      <c r="F97" s="48">
        <f>'[10]Rev_SP-12me'!AU105</f>
        <v>2076.0340338904</v>
      </c>
      <c r="G97" s="48">
        <f>'[10]Rev_SP-12me'!AW105</f>
        <v>11.2323057629155</v>
      </c>
      <c r="H97" s="8"/>
      <c r="I97" s="79">
        <f t="shared" si="7"/>
        <v>2582.92586305282</v>
      </c>
      <c r="J97" s="48">
        <v>495.659523399504</v>
      </c>
      <c r="K97" s="48">
        <v>2076.0340338904</v>
      </c>
      <c r="L97" s="48">
        <v>11.2323057629155</v>
      </c>
      <c r="M97" s="8"/>
      <c r="N97" s="61">
        <f t="shared" si="6"/>
        <v>2582.92586305282</v>
      </c>
      <c r="O97" s="60">
        <f t="shared" si="8"/>
        <v>11.0654487466507</v>
      </c>
    </row>
    <row r="98" spans="2:15">
      <c r="B98" s="74" t="s">
        <v>1119</v>
      </c>
      <c r="C98" s="55"/>
      <c r="D98" s="53">
        <f>'[10]Rev_SP-12me'!AQ106</f>
        <v>1029.39774207224</v>
      </c>
      <c r="E98" s="53">
        <f>'[10]Rev_SP-12me'!AT106</f>
        <v>495.659523399504</v>
      </c>
      <c r="F98" s="53">
        <f>'[10]Rev_SP-12me'!AU106</f>
        <v>905.870013023574</v>
      </c>
      <c r="G98" s="53">
        <f>'[10]Rev_SP-12me'!AW106</f>
        <v>11.2323057629155</v>
      </c>
      <c r="H98" s="8"/>
      <c r="I98" s="79">
        <f t="shared" si="7"/>
        <v>1412.76184218599</v>
      </c>
      <c r="J98" s="53">
        <v>495.659523399504</v>
      </c>
      <c r="K98" s="53">
        <v>905.870013023574</v>
      </c>
      <c r="L98" s="53">
        <v>11.2323057629155</v>
      </c>
      <c r="M98" s="8"/>
      <c r="N98" s="61">
        <f t="shared" si="6"/>
        <v>1412.76184218599</v>
      </c>
      <c r="O98" s="60">
        <f t="shared" si="8"/>
        <v>13.7241591315522</v>
      </c>
    </row>
    <row r="99" spans="2:15">
      <c r="B99" s="74" t="s">
        <v>1120</v>
      </c>
      <c r="C99" s="55"/>
      <c r="D99" s="53">
        <f>'[10]Rev_SP-12me'!AQ107</f>
        <v>447.684689089997</v>
      </c>
      <c r="E99" s="53">
        <f>'[10]Rev_SP-12me'!AT107</f>
        <v>0</v>
      </c>
      <c r="F99" s="53">
        <f>'[10]Rev_SP-12me'!AU107</f>
        <v>438.730995308197</v>
      </c>
      <c r="G99" s="53">
        <f>'[10]Rev_SP-12me'!AW107</f>
        <v>0</v>
      </c>
      <c r="H99" s="8"/>
      <c r="I99" s="79">
        <f t="shared" si="7"/>
        <v>438.730995308197</v>
      </c>
      <c r="J99" s="53">
        <v>0</v>
      </c>
      <c r="K99" s="53">
        <v>438.730995308197</v>
      </c>
      <c r="L99" s="53">
        <v>0</v>
      </c>
      <c r="M99" s="8"/>
      <c r="N99" s="61">
        <f t="shared" si="6"/>
        <v>438.730995308197</v>
      </c>
      <c r="O99" s="60">
        <f t="shared" si="8"/>
        <v>9.8</v>
      </c>
    </row>
    <row r="100" spans="2:15">
      <c r="B100" s="74" t="s">
        <v>1121</v>
      </c>
      <c r="C100" s="55"/>
      <c r="D100" s="53">
        <f>'[10]Rev_SP-12me'!AQ108</f>
        <v>314.305045638752</v>
      </c>
      <c r="E100" s="53">
        <f>'[10]Rev_SP-12me'!AT108</f>
        <v>0</v>
      </c>
      <c r="F100" s="53">
        <f>'[10]Rev_SP-12me'!AU108</f>
        <v>308.018944725977</v>
      </c>
      <c r="G100" s="53">
        <f>'[10]Rev_SP-12me'!AW108</f>
        <v>0</v>
      </c>
      <c r="H100" s="8"/>
      <c r="I100" s="79">
        <f t="shared" si="7"/>
        <v>308.018944725977</v>
      </c>
      <c r="J100" s="53">
        <v>0</v>
      </c>
      <c r="K100" s="53">
        <v>308.018944725977</v>
      </c>
      <c r="L100" s="53">
        <v>0</v>
      </c>
      <c r="M100" s="8"/>
      <c r="N100" s="61">
        <f t="shared" si="6"/>
        <v>308.018944725977</v>
      </c>
      <c r="O100" s="60">
        <f t="shared" si="8"/>
        <v>9.8</v>
      </c>
    </row>
    <row r="101" spans="2:15">
      <c r="B101" s="74" t="s">
        <v>1122</v>
      </c>
      <c r="C101" s="55"/>
      <c r="D101" s="53">
        <f>'[10]Rev_SP-12me'!AQ109</f>
        <v>542.838565170065</v>
      </c>
      <c r="E101" s="53">
        <f>'[10]Rev_SP-12me'!AT109</f>
        <v>0</v>
      </c>
      <c r="F101" s="53">
        <f>'[10]Rev_SP-12me'!AU109</f>
        <v>423.41408083265</v>
      </c>
      <c r="G101" s="53">
        <f>'[10]Rev_SP-12me'!AW109</f>
        <v>0</v>
      </c>
      <c r="H101" s="8"/>
      <c r="I101" s="79">
        <f t="shared" si="7"/>
        <v>423.41408083265</v>
      </c>
      <c r="J101" s="53">
        <v>0</v>
      </c>
      <c r="K101" s="53">
        <v>423.41408083265</v>
      </c>
      <c r="L101" s="53">
        <v>0</v>
      </c>
      <c r="M101" s="8"/>
      <c r="N101" s="61">
        <f t="shared" si="6"/>
        <v>423.41408083265</v>
      </c>
      <c r="O101" s="60">
        <f t="shared" si="8"/>
        <v>7.79999999999999</v>
      </c>
    </row>
    <row r="102" ht="15" spans="2:15">
      <c r="B102" s="71" t="s">
        <v>1125</v>
      </c>
      <c r="C102" s="55"/>
      <c r="D102" s="48">
        <f>'[10]Rev_SP-12me'!AQ110</f>
        <v>0.264178744346467</v>
      </c>
      <c r="E102" s="48">
        <f>'[10]Rev_SP-12me'!AT110</f>
        <v>0</v>
      </c>
      <c r="F102" s="48">
        <f>'[10]Rev_SP-12me'!AU110</f>
        <v>0.132249098158426</v>
      </c>
      <c r="G102" s="48">
        <f>'[10]Rev_SP-12me'!AW110</f>
        <v>0</v>
      </c>
      <c r="H102" s="8"/>
      <c r="I102" s="79">
        <f t="shared" si="7"/>
        <v>0.132249098158426</v>
      </c>
      <c r="J102" s="48">
        <v>0</v>
      </c>
      <c r="K102" s="48">
        <v>0.132249098158426</v>
      </c>
      <c r="L102" s="48">
        <v>0</v>
      </c>
      <c r="M102" s="8"/>
      <c r="N102" s="61">
        <f t="shared" si="6"/>
        <v>0.132249098158426</v>
      </c>
      <c r="O102" s="60">
        <f t="shared" si="8"/>
        <v>5.00604613310536</v>
      </c>
    </row>
    <row r="103" spans="2:15">
      <c r="B103" s="74" t="s">
        <v>1119</v>
      </c>
      <c r="C103" s="55"/>
      <c r="D103" s="53">
        <f>'[10]Rev_SP-12me'!AQ111</f>
        <v>0.148723242786164</v>
      </c>
      <c r="E103" s="53">
        <f>'[10]Rev_SP-12me'!AT111</f>
        <v>0</v>
      </c>
      <c r="F103" s="53">
        <f>'[10]Rev_SP-12me'!AU111</f>
        <v>0.0743616213930819</v>
      </c>
      <c r="G103" s="53">
        <f>'[10]Rev_SP-12me'!AW111</f>
        <v>0</v>
      </c>
      <c r="H103" s="8"/>
      <c r="I103" s="79">
        <f t="shared" si="7"/>
        <v>0.0743616213930819</v>
      </c>
      <c r="J103" s="53">
        <v>0</v>
      </c>
      <c r="K103" s="53">
        <v>0.0743616213930819</v>
      </c>
      <c r="L103" s="53">
        <v>0</v>
      </c>
      <c r="M103" s="8"/>
      <c r="N103" s="61">
        <f t="shared" si="6"/>
        <v>0.0743616213930819</v>
      </c>
      <c r="O103" s="60">
        <f t="shared" si="8"/>
        <v>4.99999999999999</v>
      </c>
    </row>
    <row r="104" spans="2:15">
      <c r="B104" s="74" t="s">
        <v>1120</v>
      </c>
      <c r="C104" s="55"/>
      <c r="D104" s="53">
        <f>'[10]Rev_SP-12me'!AQ112</f>
        <v>0.0294488677389703</v>
      </c>
      <c r="E104" s="53">
        <f>'[10]Rev_SP-12me'!AT112</f>
        <v>0</v>
      </c>
      <c r="F104" s="53">
        <f>'[10]Rev_SP-12me'!AU112</f>
        <v>0.0176693206433822</v>
      </c>
      <c r="G104" s="53">
        <f>'[10]Rev_SP-12me'!AW112</f>
        <v>0</v>
      </c>
      <c r="H104" s="8"/>
      <c r="I104" s="79">
        <f t="shared" si="7"/>
        <v>0.0176693206433822</v>
      </c>
      <c r="J104" s="53">
        <v>0</v>
      </c>
      <c r="K104" s="53">
        <v>0.0176693206433822</v>
      </c>
      <c r="L104" s="53">
        <v>0</v>
      </c>
      <c r="M104" s="8"/>
      <c r="N104" s="61">
        <f t="shared" si="6"/>
        <v>0.0176693206433822</v>
      </c>
      <c r="O104" s="60">
        <f t="shared" si="8"/>
        <v>6.00000000000001</v>
      </c>
    </row>
    <row r="105" spans="2:15">
      <c r="B105" s="74" t="s">
        <v>1121</v>
      </c>
      <c r="C105" s="55"/>
      <c r="D105" s="53">
        <f>'[10]Rev_SP-12me'!AQ113</f>
        <v>0.029077512967143</v>
      </c>
      <c r="E105" s="53">
        <f>'[10]Rev_SP-12me'!AT113</f>
        <v>0</v>
      </c>
      <c r="F105" s="53">
        <f>'[10]Rev_SP-12me'!AU113</f>
        <v>0.0174465077802858</v>
      </c>
      <c r="G105" s="53">
        <f>'[10]Rev_SP-12me'!AW113</f>
        <v>0</v>
      </c>
      <c r="H105" s="8"/>
      <c r="I105" s="79">
        <f t="shared" si="7"/>
        <v>0.0174465077802858</v>
      </c>
      <c r="J105" s="53">
        <v>0</v>
      </c>
      <c r="K105" s="53">
        <v>0.0174465077802858</v>
      </c>
      <c r="L105" s="53">
        <v>0</v>
      </c>
      <c r="M105" s="8"/>
      <c r="N105" s="61">
        <f t="shared" si="6"/>
        <v>0.0174465077802858</v>
      </c>
      <c r="O105" s="60">
        <f t="shared" si="8"/>
        <v>6</v>
      </c>
    </row>
    <row r="106" spans="2:15">
      <c r="B106" s="74" t="s">
        <v>1122</v>
      </c>
      <c r="C106" s="55"/>
      <c r="D106" s="53">
        <f>'[10]Rev_SP-12me'!AQ114</f>
        <v>0.0569291208541895</v>
      </c>
      <c r="E106" s="53">
        <f>'[10]Rev_SP-12me'!AT114</f>
        <v>0</v>
      </c>
      <c r="F106" s="53">
        <f>'[10]Rev_SP-12me'!AU114</f>
        <v>0.0227716483416758</v>
      </c>
      <c r="G106" s="53">
        <f>'[10]Rev_SP-12me'!AW114</f>
        <v>0</v>
      </c>
      <c r="H106" s="8"/>
      <c r="I106" s="79">
        <f t="shared" si="7"/>
        <v>0.0227716483416758</v>
      </c>
      <c r="J106" s="53">
        <v>0</v>
      </c>
      <c r="K106" s="53">
        <v>0.0227716483416758</v>
      </c>
      <c r="L106" s="53">
        <v>0</v>
      </c>
      <c r="M106" s="8"/>
      <c r="N106" s="61">
        <f t="shared" si="6"/>
        <v>0.0227716483416758</v>
      </c>
      <c r="O106" s="60">
        <f t="shared" si="8"/>
        <v>4</v>
      </c>
    </row>
    <row r="107" ht="15" spans="2:15">
      <c r="B107" s="71" t="s">
        <v>1126</v>
      </c>
      <c r="C107" s="55"/>
      <c r="D107" s="48">
        <f>'[10]Rev_SP-12me'!AQ115</f>
        <v>5.27</v>
      </c>
      <c r="E107" s="48">
        <f>'[10]Rev_SP-12me'!AT115</f>
        <v>0.639864406779661</v>
      </c>
      <c r="F107" s="48">
        <f>'[10]Rev_SP-12me'!AU115</f>
        <v>3.97531840363979</v>
      </c>
      <c r="G107" s="48">
        <f>'[10]Rev_SP-12me'!AW115</f>
        <v>0.0280374461277258</v>
      </c>
      <c r="H107" s="8"/>
      <c r="I107" s="79">
        <f t="shared" si="7"/>
        <v>4.64322025654718</v>
      </c>
      <c r="J107" s="48">
        <v>0.639864406779661</v>
      </c>
      <c r="K107" s="48">
        <v>3.97531840363979</v>
      </c>
      <c r="L107" s="48">
        <v>0.0280374461277258</v>
      </c>
      <c r="M107" s="8"/>
      <c r="N107" s="61">
        <f t="shared" si="6"/>
        <v>4.64322025654718</v>
      </c>
      <c r="O107" s="60">
        <f t="shared" si="8"/>
        <v>8.81066462342918</v>
      </c>
    </row>
    <row r="108" spans="2:15">
      <c r="B108" s="74" t="s">
        <v>1119</v>
      </c>
      <c r="C108" s="55"/>
      <c r="D108" s="53">
        <f>'[10]Rev_SP-12me'!AQ116</f>
        <v>1.42423027803581</v>
      </c>
      <c r="E108" s="53">
        <f>'[10]Rev_SP-12me'!AT116</f>
        <v>0.639864406779661</v>
      </c>
      <c r="F108" s="53">
        <f>'[10]Rev_SP-12me'!AU116</f>
        <v>1.21059573633044</v>
      </c>
      <c r="G108" s="53">
        <f>'[10]Rev_SP-12me'!AW116</f>
        <v>0.0280374461277258</v>
      </c>
      <c r="H108" s="8"/>
      <c r="I108" s="79">
        <f t="shared" ref="I108:I126" si="9">SUM(E108:H108)</f>
        <v>1.87849758923783</v>
      </c>
      <c r="J108" s="53">
        <v>0.639864406779661</v>
      </c>
      <c r="K108" s="53">
        <v>1.21059573633044</v>
      </c>
      <c r="L108" s="53">
        <v>0.0280374461277258</v>
      </c>
      <c r="M108" s="8"/>
      <c r="N108" s="61">
        <f t="shared" si="6"/>
        <v>1.87849758923783</v>
      </c>
      <c r="O108" s="60">
        <f t="shared" si="8"/>
        <v>13.1895636415518</v>
      </c>
    </row>
    <row r="109" spans="2:15">
      <c r="B109" s="74" t="s">
        <v>1120</v>
      </c>
      <c r="C109" s="55"/>
      <c r="D109" s="53">
        <f>'[10]Rev_SP-12me'!AQ117</f>
        <v>1.19485043038249</v>
      </c>
      <c r="E109" s="53">
        <f>'[10]Rev_SP-12me'!AT117</f>
        <v>0</v>
      </c>
      <c r="F109" s="53">
        <f>'[10]Rev_SP-12me'!AU117</f>
        <v>1.13510790886337</v>
      </c>
      <c r="G109" s="53">
        <f>'[10]Rev_SP-12me'!AW117</f>
        <v>0</v>
      </c>
      <c r="H109" s="8"/>
      <c r="I109" s="79">
        <f t="shared" si="9"/>
        <v>1.13510790886337</v>
      </c>
      <c r="J109" s="53">
        <v>0</v>
      </c>
      <c r="K109" s="53">
        <v>1.13510790886337</v>
      </c>
      <c r="L109" s="53">
        <v>0</v>
      </c>
      <c r="M109" s="8"/>
      <c r="N109" s="61">
        <f t="shared" si="6"/>
        <v>1.13510790886337</v>
      </c>
      <c r="O109" s="60">
        <f t="shared" si="8"/>
        <v>9.50000000000004</v>
      </c>
    </row>
    <row r="110" spans="2:15">
      <c r="B110" s="74" t="s">
        <v>1121</v>
      </c>
      <c r="C110" s="55"/>
      <c r="D110" s="53">
        <f>'[10]Rev_SP-12me'!AQ118</f>
        <v>0.626778549019815</v>
      </c>
      <c r="E110" s="53">
        <f>'[10]Rev_SP-12me'!AT118</f>
        <v>0</v>
      </c>
      <c r="F110" s="53">
        <f>'[10]Rev_SP-12me'!AU118</f>
        <v>1.07258483970737</v>
      </c>
      <c r="G110" s="53">
        <f>'[10]Rev_SP-12me'!AW118</f>
        <v>0</v>
      </c>
      <c r="H110" s="8"/>
      <c r="I110" s="79">
        <f t="shared" si="9"/>
        <v>1.07258483970737</v>
      </c>
      <c r="J110" s="53">
        <v>0</v>
      </c>
      <c r="K110" s="53">
        <v>1.07258483970737</v>
      </c>
      <c r="L110" s="53">
        <v>0</v>
      </c>
      <c r="M110" s="8"/>
      <c r="N110" s="61">
        <f t="shared" si="6"/>
        <v>1.07258483970737</v>
      </c>
      <c r="O110" s="60">
        <f t="shared" si="8"/>
        <v>17.1126603069733</v>
      </c>
    </row>
    <row r="111" spans="2:15">
      <c r="B111" s="74" t="s">
        <v>1122</v>
      </c>
      <c r="C111" s="55"/>
      <c r="D111" s="53">
        <f>'[10]Rev_SP-12me'!AQ119</f>
        <v>2.02414074256188</v>
      </c>
      <c r="E111" s="53">
        <f>'[10]Rev_SP-12me'!AT119</f>
        <v>0</v>
      </c>
      <c r="F111" s="53">
        <f>'[10]Rev_SP-12me'!AU119</f>
        <v>0.557029918738616</v>
      </c>
      <c r="G111" s="53">
        <f>'[10]Rev_SP-12me'!AW119</f>
        <v>0</v>
      </c>
      <c r="H111" s="8"/>
      <c r="I111" s="79">
        <f t="shared" si="9"/>
        <v>0.557029918738616</v>
      </c>
      <c r="J111" s="53">
        <v>0</v>
      </c>
      <c r="K111" s="53">
        <v>0.557029918738616</v>
      </c>
      <c r="L111" s="53">
        <v>0</v>
      </c>
      <c r="M111" s="8"/>
      <c r="N111" s="61">
        <f t="shared" si="6"/>
        <v>0.557029918738616</v>
      </c>
      <c r="O111" s="60">
        <f t="shared" si="8"/>
        <v>2.75193274373601</v>
      </c>
    </row>
    <row r="112" ht="15" spans="2:15">
      <c r="B112" s="71" t="s">
        <v>1127</v>
      </c>
      <c r="C112" s="55"/>
      <c r="D112" s="48">
        <f>'[10]Rev_SP-12me'!AQ120</f>
        <v>77.0475129545</v>
      </c>
      <c r="E112" s="48">
        <f>'[10]Rev_SP-12me'!AT120</f>
        <v>8.14514831104479</v>
      </c>
      <c r="F112" s="48">
        <f>'[10]Rev_SP-12me'!AU120</f>
        <v>48.539933161335</v>
      </c>
      <c r="G112" s="48">
        <f>'[10]Rev_SP-12me'!AW120</f>
        <v>0.320295660854646</v>
      </c>
      <c r="H112" s="8"/>
      <c r="I112" s="79">
        <f t="shared" si="9"/>
        <v>57.0053771332344</v>
      </c>
      <c r="J112" s="48">
        <v>8.14514831104479</v>
      </c>
      <c r="K112" s="48">
        <v>48.539933161335</v>
      </c>
      <c r="L112" s="48">
        <v>0.320295660854646</v>
      </c>
      <c r="M112" s="8"/>
      <c r="N112" s="61">
        <f t="shared" si="6"/>
        <v>57.0053771332344</v>
      </c>
      <c r="O112" s="60">
        <f t="shared" si="8"/>
        <v>7.39873033499455</v>
      </c>
    </row>
    <row r="113" spans="2:15">
      <c r="B113" s="74" t="s">
        <v>1128</v>
      </c>
      <c r="C113" s="55"/>
      <c r="D113" s="53">
        <f>'[10]Rev_SP-12me'!AQ121</f>
        <v>77.0475129545</v>
      </c>
      <c r="E113" s="53">
        <f>'[10]Rev_SP-12me'!AT121</f>
        <v>8.14514831104479</v>
      </c>
      <c r="F113" s="53">
        <f>'[10]Rev_SP-12me'!AU121</f>
        <v>48.539933161335</v>
      </c>
      <c r="G113" s="53">
        <f>'[10]Rev_SP-12me'!AW121</f>
        <v>0.320295660854646</v>
      </c>
      <c r="H113" s="8"/>
      <c r="I113" s="79">
        <f t="shared" si="9"/>
        <v>57.0053771332344</v>
      </c>
      <c r="J113" s="53">
        <v>8.14514831104479</v>
      </c>
      <c r="K113" s="53">
        <v>48.539933161335</v>
      </c>
      <c r="L113" s="53">
        <v>0.320295660854646</v>
      </c>
      <c r="M113" s="8"/>
      <c r="N113" s="61">
        <f t="shared" si="6"/>
        <v>57.0053771332344</v>
      </c>
      <c r="O113" s="60">
        <f t="shared" si="8"/>
        <v>7.39873033499455</v>
      </c>
    </row>
    <row r="114" ht="15" spans="2:15">
      <c r="B114" s="71" t="s">
        <v>1129</v>
      </c>
      <c r="C114" s="55"/>
      <c r="D114" s="48">
        <f>'[10]Rev_SP-12me'!AQ132</f>
        <v>146.4724870455</v>
      </c>
      <c r="E114" s="48">
        <f>'[10]Rev_SP-12me'!AT132</f>
        <v>0</v>
      </c>
      <c r="F114" s="48">
        <f>'[10]Rev_SP-12me'!AU132</f>
        <v>89.348217097755</v>
      </c>
      <c r="G114" s="48">
        <f>'[10]Rev_SP-12me'!AW132</f>
        <v>0.29242500678058</v>
      </c>
      <c r="H114" s="8"/>
      <c r="I114" s="79">
        <f t="shared" si="9"/>
        <v>89.6406421045356</v>
      </c>
      <c r="J114" s="48">
        <v>0</v>
      </c>
      <c r="K114" s="48">
        <v>89.348217097755</v>
      </c>
      <c r="L114" s="48">
        <v>0.29242500678058</v>
      </c>
      <c r="M114" s="8"/>
      <c r="N114" s="61">
        <f t="shared" si="6"/>
        <v>89.6406421045356</v>
      </c>
      <c r="O114" s="60">
        <f t="shared" si="8"/>
        <v>6.11996450068399</v>
      </c>
    </row>
    <row r="115" spans="2:15">
      <c r="B115" s="74" t="s">
        <v>220</v>
      </c>
      <c r="C115" s="55"/>
      <c r="D115" s="53">
        <f>'[10]Rev_SP-12me'!AQ133</f>
        <v>146.4724870455</v>
      </c>
      <c r="E115" s="53">
        <f>'[10]Rev_SP-12me'!AT133</f>
        <v>0</v>
      </c>
      <c r="F115" s="53">
        <f>'[10]Rev_SP-12me'!AU133</f>
        <v>89.348217097755</v>
      </c>
      <c r="G115" s="53">
        <f>'[10]Rev_SP-12me'!AW133</f>
        <v>0.29242500678058</v>
      </c>
      <c r="H115" s="8"/>
      <c r="I115" s="79">
        <f t="shared" si="9"/>
        <v>89.6406421045356</v>
      </c>
      <c r="J115" s="53">
        <v>0</v>
      </c>
      <c r="K115" s="53">
        <v>89.348217097755</v>
      </c>
      <c r="L115" s="53">
        <v>0.29242500678058</v>
      </c>
      <c r="M115" s="8"/>
      <c r="N115" s="61">
        <f t="shared" si="6"/>
        <v>89.6406421045356</v>
      </c>
      <c r="O115" s="60">
        <f t="shared" si="8"/>
        <v>6.11996450068399</v>
      </c>
    </row>
    <row r="116" spans="2:15">
      <c r="B116" s="74" t="s">
        <v>1130</v>
      </c>
      <c r="C116" s="55"/>
      <c r="D116" s="53">
        <f>'[10]Rev_SP-12me'!AQ134</f>
        <v>0</v>
      </c>
      <c r="E116" s="53">
        <f>'[10]Rev_SP-12me'!AT134</f>
        <v>0</v>
      </c>
      <c r="F116" s="53">
        <f>'[10]Rev_SP-12me'!AU134</f>
        <v>0</v>
      </c>
      <c r="G116" s="53">
        <f>'[10]Rev_SP-12me'!AW134</f>
        <v>0</v>
      </c>
      <c r="H116" s="8"/>
      <c r="I116" s="79">
        <f t="shared" si="9"/>
        <v>0</v>
      </c>
      <c r="J116" s="53">
        <v>0</v>
      </c>
      <c r="K116" s="53">
        <v>0</v>
      </c>
      <c r="L116" s="53">
        <v>0</v>
      </c>
      <c r="M116" s="8"/>
      <c r="N116" s="61">
        <f t="shared" si="6"/>
        <v>0</v>
      </c>
      <c r="O116" s="60"/>
    </row>
    <row r="117" ht="15" spans="2:15">
      <c r="B117" s="71" t="s">
        <v>1131</v>
      </c>
      <c r="C117" s="55"/>
      <c r="D117" s="48">
        <f>'[10]Rev_SP-12me'!AQ122</f>
        <v>0</v>
      </c>
      <c r="E117" s="48">
        <f>'[10]Rev_SP-12me'!AT122</f>
        <v>0</v>
      </c>
      <c r="F117" s="48">
        <f>'[10]Rev_SP-12me'!AU122</f>
        <v>0</v>
      </c>
      <c r="G117" s="48">
        <f>'[10]Rev_SP-12me'!AW122</f>
        <v>0</v>
      </c>
      <c r="H117" s="8"/>
      <c r="I117" s="79">
        <f t="shared" si="9"/>
        <v>0</v>
      </c>
      <c r="J117" s="48">
        <v>0</v>
      </c>
      <c r="K117" s="48">
        <v>0</v>
      </c>
      <c r="L117" s="48">
        <v>0</v>
      </c>
      <c r="M117" s="8"/>
      <c r="N117" s="61">
        <f t="shared" si="6"/>
        <v>0</v>
      </c>
      <c r="O117" s="60"/>
    </row>
    <row r="118" ht="15" spans="2:15">
      <c r="B118" s="71" t="s">
        <v>1132</v>
      </c>
      <c r="C118" s="55"/>
      <c r="D118" s="48">
        <f>'[10]Rev_SP-12me'!AQ123</f>
        <v>0</v>
      </c>
      <c r="E118" s="48">
        <f>'[10]Rev_SP-12me'!AT123</f>
        <v>0</v>
      </c>
      <c r="F118" s="48">
        <f>'[10]Rev_SP-12me'!AU123</f>
        <v>0</v>
      </c>
      <c r="G118" s="48">
        <f>'[10]Rev_SP-12me'!AW123</f>
        <v>0</v>
      </c>
      <c r="H118" s="8"/>
      <c r="I118" s="79">
        <f t="shared" si="9"/>
        <v>0</v>
      </c>
      <c r="J118" s="48">
        <v>0</v>
      </c>
      <c r="K118" s="48">
        <v>0</v>
      </c>
      <c r="L118" s="48">
        <v>0</v>
      </c>
      <c r="M118" s="8"/>
      <c r="N118" s="61">
        <f t="shared" si="6"/>
        <v>0</v>
      </c>
      <c r="O118" s="60"/>
    </row>
    <row r="119" ht="15" spans="2:15">
      <c r="B119" s="71" t="s">
        <v>919</v>
      </c>
      <c r="C119" s="55"/>
      <c r="D119" s="48">
        <f>'[10]Rev_SP-12me'!AQ124</f>
        <v>222.64</v>
      </c>
      <c r="E119" s="48">
        <f>'[10]Rev_SP-12me'!AT124</f>
        <v>24.4651310586177</v>
      </c>
      <c r="F119" s="48">
        <f>'[10]Rev_SP-12me'!AU124</f>
        <v>162.5272</v>
      </c>
      <c r="G119" s="48">
        <f>'[10]Rev_SP-12me'!AW124</f>
        <v>0.5301892080099</v>
      </c>
      <c r="H119" s="8"/>
      <c r="I119" s="79">
        <f t="shared" si="9"/>
        <v>187.522520266628</v>
      </c>
      <c r="J119" s="48">
        <v>24.4651310586177</v>
      </c>
      <c r="K119" s="48">
        <v>162.5272</v>
      </c>
      <c r="L119" s="48">
        <v>0.5301892080099</v>
      </c>
      <c r="M119" s="8"/>
      <c r="N119" s="61">
        <f t="shared" si="6"/>
        <v>187.522520266628</v>
      </c>
      <c r="O119" s="60">
        <f>N119*10/D119</f>
        <v>8.42267877589955</v>
      </c>
    </row>
    <row r="120" ht="15" spans="2:15">
      <c r="B120" s="71" t="s">
        <v>1133</v>
      </c>
      <c r="C120" s="55"/>
      <c r="D120" s="48">
        <f>'[10]Rev_SP-12me'!AQ125</f>
        <v>169.72</v>
      </c>
      <c r="E120" s="48">
        <f>'[10]Rev_SP-12me'!AT125</f>
        <v>54.763990338969</v>
      </c>
      <c r="F120" s="48">
        <f>'[10]Rev_SP-12me'!AU125</f>
        <v>200.2696</v>
      </c>
      <c r="G120" s="48">
        <f>'[10]Rev_SP-12me'!AW125</f>
        <v>1.24918095238095</v>
      </c>
      <c r="H120" s="8"/>
      <c r="I120" s="79">
        <f t="shared" si="9"/>
        <v>256.28277129135</v>
      </c>
      <c r="J120" s="48">
        <v>54.763990338969</v>
      </c>
      <c r="K120" s="48">
        <v>200.2696</v>
      </c>
      <c r="L120" s="48">
        <v>1.24918095238095</v>
      </c>
      <c r="M120" s="8"/>
      <c r="N120" s="61">
        <f t="shared" si="6"/>
        <v>256.28277129135</v>
      </c>
      <c r="O120" s="60">
        <f>N120*10/D120</f>
        <v>15.1003282636902</v>
      </c>
    </row>
    <row r="121" ht="15" spans="2:15">
      <c r="B121" s="71" t="s">
        <v>1134</v>
      </c>
      <c r="C121" s="55"/>
      <c r="D121" s="48">
        <f>'[10]Rev_SP-12me'!AQ126</f>
        <v>0</v>
      </c>
      <c r="E121" s="48">
        <f>'[10]Rev_SP-12me'!AT126</f>
        <v>0</v>
      </c>
      <c r="F121" s="48">
        <f>'[10]Rev_SP-12me'!AU126</f>
        <v>0</v>
      </c>
      <c r="G121" s="48">
        <f>'[10]Rev_SP-12me'!AW126</f>
        <v>0</v>
      </c>
      <c r="H121" s="8"/>
      <c r="I121" s="79">
        <f t="shared" si="9"/>
        <v>0</v>
      </c>
      <c r="J121" s="48">
        <v>0</v>
      </c>
      <c r="K121" s="48">
        <v>0</v>
      </c>
      <c r="L121" s="48">
        <v>0</v>
      </c>
      <c r="M121" s="8"/>
      <c r="N121" s="61">
        <f t="shared" si="6"/>
        <v>0</v>
      </c>
      <c r="O121" s="60"/>
    </row>
    <row r="122" ht="15" spans="2:15">
      <c r="B122" s="71" t="s">
        <v>1135</v>
      </c>
      <c r="C122" s="55"/>
      <c r="D122" s="48">
        <f>'[10]Rev_SP-12me'!AQ127</f>
        <v>6.71</v>
      </c>
      <c r="E122" s="48">
        <f>'[10]Rev_SP-12me'!AT127</f>
        <v>0.288</v>
      </c>
      <c r="F122" s="48">
        <f>'[10]Rev_SP-12me'!AU127</f>
        <v>4.026</v>
      </c>
      <c r="G122" s="48">
        <f>'[10]Rev_SP-12me'!AW127</f>
        <v>0.0970285714285714</v>
      </c>
      <c r="H122" s="8"/>
      <c r="I122" s="79">
        <f t="shared" si="9"/>
        <v>4.41102857142857</v>
      </c>
      <c r="J122" s="48">
        <v>0.288</v>
      </c>
      <c r="K122" s="48">
        <v>4.026</v>
      </c>
      <c r="L122" s="48">
        <v>0.0970285714285714</v>
      </c>
      <c r="M122" s="8"/>
      <c r="N122" s="61">
        <f t="shared" si="6"/>
        <v>4.41102857142857</v>
      </c>
      <c r="O122" s="60">
        <f>N122*10/D122</f>
        <v>6.57381307217373</v>
      </c>
    </row>
    <row r="123" spans="2:15">
      <c r="B123" s="76" t="s">
        <v>1119</v>
      </c>
      <c r="C123" s="55"/>
      <c r="D123" s="53">
        <f>'[10]Rev_SP-12me'!AQ128</f>
        <v>6.71</v>
      </c>
      <c r="E123" s="53">
        <f>'[10]Rev_SP-12me'!AT128</f>
        <v>0.288</v>
      </c>
      <c r="F123" s="53">
        <f>'[10]Rev_SP-12me'!AU128</f>
        <v>4.026</v>
      </c>
      <c r="G123" s="53">
        <f>'[10]Rev_SP-12me'!AW128</f>
        <v>0.00702857142857143</v>
      </c>
      <c r="H123" s="8"/>
      <c r="I123" s="79">
        <f t="shared" si="9"/>
        <v>4.32102857142857</v>
      </c>
      <c r="J123" s="53">
        <v>0.288</v>
      </c>
      <c r="K123" s="53">
        <v>4.026</v>
      </c>
      <c r="L123" s="53">
        <v>0.00702857142857143</v>
      </c>
      <c r="M123" s="8"/>
      <c r="N123" s="61">
        <f t="shared" si="6"/>
        <v>4.32102857142857</v>
      </c>
      <c r="O123" s="60">
        <f>N123*10/D123</f>
        <v>6.43968490525867</v>
      </c>
    </row>
    <row r="124" spans="2:15">
      <c r="B124" s="76" t="s">
        <v>1120</v>
      </c>
      <c r="C124" s="55"/>
      <c r="D124" s="53">
        <f>'[10]Rev_SP-12me'!AQ129</f>
        <v>0</v>
      </c>
      <c r="E124" s="53">
        <f>'[10]Rev_SP-12me'!AT129</f>
        <v>0</v>
      </c>
      <c r="F124" s="53">
        <f>'[10]Rev_SP-12me'!AU129</f>
        <v>0</v>
      </c>
      <c r="G124" s="53">
        <f>'[10]Rev_SP-12me'!AW129</f>
        <v>0.03</v>
      </c>
      <c r="H124" s="8"/>
      <c r="I124" s="79">
        <f t="shared" si="9"/>
        <v>0.03</v>
      </c>
      <c r="J124" s="53">
        <v>0</v>
      </c>
      <c r="K124" s="53">
        <v>0</v>
      </c>
      <c r="L124" s="53">
        <v>0.03</v>
      </c>
      <c r="M124" s="8"/>
      <c r="N124" s="61">
        <f t="shared" si="6"/>
        <v>0.03</v>
      </c>
      <c r="O124" s="60"/>
    </row>
    <row r="125" spans="2:15">
      <c r="B125" s="76" t="s">
        <v>1121</v>
      </c>
      <c r="C125" s="55"/>
      <c r="D125" s="53">
        <f>'[10]Rev_SP-12me'!AQ130</f>
        <v>0</v>
      </c>
      <c r="E125" s="53">
        <f>'[10]Rev_SP-12me'!AT130</f>
        <v>0</v>
      </c>
      <c r="F125" s="53">
        <f>'[10]Rev_SP-12me'!AU130</f>
        <v>0</v>
      </c>
      <c r="G125" s="53">
        <f>'[10]Rev_SP-12me'!AW130</f>
        <v>0.03</v>
      </c>
      <c r="H125" s="8"/>
      <c r="I125" s="79">
        <f t="shared" si="9"/>
        <v>0.03</v>
      </c>
      <c r="J125" s="53">
        <v>0</v>
      </c>
      <c r="K125" s="53">
        <v>0</v>
      </c>
      <c r="L125" s="53">
        <v>0.03</v>
      </c>
      <c r="M125" s="8"/>
      <c r="N125" s="61">
        <f t="shared" si="6"/>
        <v>0.03</v>
      </c>
      <c r="O125" s="60"/>
    </row>
    <row r="126" spans="2:15">
      <c r="B126" s="76" t="s">
        <v>1122</v>
      </c>
      <c r="C126" s="55"/>
      <c r="D126" s="53">
        <f>'[10]Rev_SP-12me'!AQ131</f>
        <v>0</v>
      </c>
      <c r="E126" s="53">
        <f>'[10]Rev_SP-12me'!AT131</f>
        <v>0</v>
      </c>
      <c r="F126" s="53">
        <f>'[10]Rev_SP-12me'!AU131</f>
        <v>0</v>
      </c>
      <c r="G126" s="53">
        <f>'[10]Rev_SP-12me'!AW131</f>
        <v>0.03</v>
      </c>
      <c r="H126" s="8"/>
      <c r="I126" s="79">
        <f t="shared" si="9"/>
        <v>0.03</v>
      </c>
      <c r="J126" s="53">
        <v>0</v>
      </c>
      <c r="K126" s="53">
        <v>0</v>
      </c>
      <c r="L126" s="53">
        <v>0.03</v>
      </c>
      <c r="M126" s="8"/>
      <c r="N126" s="61">
        <f t="shared" si="6"/>
        <v>0.03</v>
      </c>
      <c r="O126" s="60"/>
    </row>
    <row r="127" ht="15" spans="2:15">
      <c r="B127" s="77" t="s">
        <v>1136</v>
      </c>
      <c r="C127" s="55"/>
      <c r="D127" s="78">
        <f t="shared" ref="D127:I127" si="10">SUM(D76,D91,D96,D97,D102,D107,D112,D114,D117,D118,D119,D120,D121,D122)</f>
        <v>7453.91022071541</v>
      </c>
      <c r="E127" s="78">
        <f t="shared" si="10"/>
        <v>1564.28559001826</v>
      </c>
      <c r="F127" s="78">
        <f t="shared" si="10"/>
        <v>6040.27368544123</v>
      </c>
      <c r="G127" s="78">
        <f t="shared" si="10"/>
        <v>28.1202502359211</v>
      </c>
      <c r="H127" s="78">
        <f t="shared" si="10"/>
        <v>0</v>
      </c>
      <c r="I127" s="80">
        <f t="shared" si="10"/>
        <v>7632.67952569541</v>
      </c>
      <c r="J127" s="78">
        <v>1564.28559001826</v>
      </c>
      <c r="K127" s="78">
        <v>6040.27368544123</v>
      </c>
      <c r="L127" s="78">
        <v>28.1202502359211</v>
      </c>
      <c r="M127" s="78"/>
      <c r="N127" s="61">
        <f t="shared" si="6"/>
        <v>7632.67952569541</v>
      </c>
      <c r="O127" s="60">
        <f>N127*10/D127</f>
        <v>10.2398329194832</v>
      </c>
    </row>
    <row r="128" spans="2:15">
      <c r="B128" s="55"/>
      <c r="C128" s="55"/>
      <c r="N128" s="61">
        <f t="shared" si="6"/>
        <v>0</v>
      </c>
      <c r="O128" s="60"/>
    </row>
    <row r="129" spans="2:15">
      <c r="B129" s="71" t="s">
        <v>212</v>
      </c>
      <c r="C129" s="55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61">
        <f t="shared" si="6"/>
        <v>0</v>
      </c>
      <c r="O129" s="60"/>
    </row>
    <row r="130" ht="15" spans="2:15">
      <c r="B130" s="71" t="s">
        <v>1137</v>
      </c>
      <c r="C130" s="55"/>
      <c r="D130" s="48">
        <f>D131+D139</f>
        <v>6010.27891215849</v>
      </c>
      <c r="E130" s="48">
        <f>'[10]Rev_SP-12me'!AT149</f>
        <v>718.049311105433</v>
      </c>
      <c r="F130" s="48">
        <f>'[10]Rev_SP-12me'!AU149</f>
        <v>4307.23589877194</v>
      </c>
      <c r="G130" s="48">
        <f>'[10]Rev_SP-12me'!AW149</f>
        <v>1.75710405386135</v>
      </c>
      <c r="H130" s="8"/>
      <c r="I130" s="24">
        <f t="shared" ref="I130:I174" si="11">SUM(E130:H130)</f>
        <v>5027.04231393123</v>
      </c>
      <c r="J130" s="48">
        <v>718.049311105433</v>
      </c>
      <c r="K130" s="48">
        <v>4307.23589877194</v>
      </c>
      <c r="L130" s="48">
        <v>1.75710405386135</v>
      </c>
      <c r="M130" s="8"/>
      <c r="N130" s="61">
        <f t="shared" si="6"/>
        <v>5027.04231393123</v>
      </c>
      <c r="O130" s="60">
        <f t="shared" ref="O130:O148" si="12">N130*10/D130</f>
        <v>8.36407492464581</v>
      </c>
    </row>
    <row r="131" spans="2:15">
      <c r="B131" s="81" t="s">
        <v>1138</v>
      </c>
      <c r="C131" s="55"/>
      <c r="D131" s="51">
        <f>'[10]Rev_SP-12me'!AQ150</f>
        <v>5981.55826312116</v>
      </c>
      <c r="E131" s="51">
        <f>'[10]Rev_SP-12me'!AT150</f>
        <v>718.049311105433</v>
      </c>
      <c r="F131" s="51">
        <f>'[10]Rev_SP-12me'!AU150</f>
        <v>4286.78988040776</v>
      </c>
      <c r="G131" s="51">
        <f>'[10]Rev_SP-12me'!AW150</f>
        <v>1.75710405386135</v>
      </c>
      <c r="H131" s="8"/>
      <c r="I131" s="24">
        <f t="shared" si="11"/>
        <v>5006.59629556705</v>
      </c>
      <c r="J131" s="51">
        <v>718.049311105433</v>
      </c>
      <c r="K131" s="51">
        <v>4286.78988040776</v>
      </c>
      <c r="L131" s="51">
        <v>1.75710405386135</v>
      </c>
      <c r="M131" s="8"/>
      <c r="N131" s="61">
        <f t="shared" si="6"/>
        <v>5006.59629556705</v>
      </c>
      <c r="O131" s="60">
        <f t="shared" si="12"/>
        <v>8.37005354680709</v>
      </c>
    </row>
    <row r="132" spans="2:15">
      <c r="B132" s="74" t="s">
        <v>1105</v>
      </c>
      <c r="C132" s="55"/>
      <c r="D132" s="53">
        <f>'[10]Rev_SP-12me'!AQ151</f>
        <v>2130.59613139861</v>
      </c>
      <c r="E132" s="53">
        <f>'[10]Rev_SP-12me'!AT151</f>
        <v>718.049311105433</v>
      </c>
      <c r="F132" s="53">
        <f>'[10]Rev_SP-12me'!AU151</f>
        <v>1523.37623395</v>
      </c>
      <c r="G132" s="53">
        <f>'[10]Rev_SP-12me'!AW151</f>
        <v>1.75293980041808</v>
      </c>
      <c r="H132" s="8"/>
      <c r="I132" s="24">
        <f t="shared" si="11"/>
        <v>2243.17848485585</v>
      </c>
      <c r="J132" s="53">
        <v>718.049311105433</v>
      </c>
      <c r="K132" s="53">
        <v>1523.37623395</v>
      </c>
      <c r="L132" s="53">
        <v>1.75293980041808</v>
      </c>
      <c r="M132" s="8"/>
      <c r="N132" s="61">
        <f t="shared" si="6"/>
        <v>2243.17848485585</v>
      </c>
      <c r="O132" s="60">
        <f t="shared" si="12"/>
        <v>10.5284077624948</v>
      </c>
    </row>
    <row r="133" spans="2:15">
      <c r="B133" s="74" t="s">
        <v>1139</v>
      </c>
      <c r="C133" s="55"/>
      <c r="D133" s="53">
        <f>'[10]Rev_SP-12me'!AQ152</f>
        <v>0.126241052534123</v>
      </c>
      <c r="E133" s="53">
        <f>'[10]Rev_SP-12me'!AT152</f>
        <v>0</v>
      </c>
      <c r="F133" s="53">
        <f>'[10]Rev_SP-12me'!AU152</f>
        <v>0.0902623525618976</v>
      </c>
      <c r="G133" s="53">
        <f>'[10]Rev_SP-12me'!AW152</f>
        <v>0</v>
      </c>
      <c r="H133" s="8"/>
      <c r="I133" s="24">
        <f t="shared" si="11"/>
        <v>0.0902623525618976</v>
      </c>
      <c r="J133" s="53">
        <v>0</v>
      </c>
      <c r="K133" s="53">
        <v>0.0902623525618976</v>
      </c>
      <c r="L133" s="53">
        <v>0</v>
      </c>
      <c r="M133" s="8"/>
      <c r="N133" s="61">
        <f t="shared" si="6"/>
        <v>0.0902623525618976</v>
      </c>
      <c r="O133" s="60">
        <f t="shared" si="12"/>
        <v>7.14999999999997</v>
      </c>
    </row>
    <row r="134" spans="2:15">
      <c r="B134" s="74" t="s">
        <v>1140</v>
      </c>
      <c r="C134" s="55"/>
      <c r="D134" s="53">
        <f>'[10]Rev_SP-12me'!AQ153</f>
        <v>1.8422782671044</v>
      </c>
      <c r="E134" s="53">
        <f>'[10]Rev_SP-12me'!AT153</f>
        <v>0</v>
      </c>
      <c r="F134" s="53">
        <f>'[10]Rev_SP-12me'!AU153</f>
        <v>1.34486313498621</v>
      </c>
      <c r="G134" s="53">
        <f>'[10]Rev_SP-12me'!AW153</f>
        <v>0</v>
      </c>
      <c r="H134" s="8"/>
      <c r="I134" s="24">
        <f t="shared" si="11"/>
        <v>1.34486313498621</v>
      </c>
      <c r="J134" s="53">
        <v>0</v>
      </c>
      <c r="K134" s="53">
        <v>1.34486313498621</v>
      </c>
      <c r="L134" s="53">
        <v>0</v>
      </c>
      <c r="M134" s="8"/>
      <c r="N134" s="61">
        <f t="shared" si="6"/>
        <v>1.34486313498621</v>
      </c>
      <c r="O134" s="60">
        <f t="shared" si="12"/>
        <v>7.29999999999999</v>
      </c>
    </row>
    <row r="135" spans="2:15">
      <c r="B135" s="74" t="s">
        <v>1141</v>
      </c>
      <c r="C135" s="55"/>
      <c r="D135" s="53">
        <f>'[10]Rev_SP-12me'!AQ154</f>
        <v>2.67129740182411</v>
      </c>
      <c r="E135" s="53">
        <f>'[10]Rev_SP-12me'!AT154</f>
        <v>0</v>
      </c>
      <c r="F135" s="53">
        <f>'[10]Rev_SP-12me'!AU154</f>
        <v>2.11032494744105</v>
      </c>
      <c r="G135" s="53">
        <f>'[10]Rev_SP-12me'!AW154</f>
        <v>0.00416425344326727</v>
      </c>
      <c r="H135" s="8"/>
      <c r="I135" s="24">
        <f t="shared" si="11"/>
        <v>2.11448920088432</v>
      </c>
      <c r="J135" s="53">
        <v>0</v>
      </c>
      <c r="K135" s="53">
        <v>2.11032494744105</v>
      </c>
      <c r="L135" s="53">
        <v>0.00416425344326727</v>
      </c>
      <c r="M135" s="8"/>
      <c r="N135" s="61">
        <f t="shared" si="6"/>
        <v>2.11448920088432</v>
      </c>
      <c r="O135" s="60">
        <f t="shared" si="12"/>
        <v>7.91558887992189</v>
      </c>
    </row>
    <row r="136" spans="2:15">
      <c r="B136" s="76" t="s">
        <v>1120</v>
      </c>
      <c r="C136" s="55"/>
      <c r="D136" s="53">
        <f>'[10]Rev_SP-12me'!AQ155</f>
        <v>1020.27061010427</v>
      </c>
      <c r="E136" s="53">
        <f>'[10]Rev_SP-12me'!AT155</f>
        <v>0</v>
      </c>
      <c r="F136" s="53">
        <f>'[10]Rev_SP-12me'!AU155</f>
        <v>831.520547234984</v>
      </c>
      <c r="G136" s="53">
        <f>'[10]Rev_SP-12me'!AW155</f>
        <v>0</v>
      </c>
      <c r="H136" s="8"/>
      <c r="I136" s="24">
        <f t="shared" si="11"/>
        <v>831.520547234984</v>
      </c>
      <c r="J136" s="53">
        <v>0</v>
      </c>
      <c r="K136" s="53">
        <v>831.520547234984</v>
      </c>
      <c r="L136" s="53">
        <v>0</v>
      </c>
      <c r="M136" s="8"/>
      <c r="N136" s="61">
        <f t="shared" si="6"/>
        <v>831.520547234984</v>
      </c>
      <c r="O136" s="60">
        <f t="shared" si="12"/>
        <v>8.15000000000004</v>
      </c>
    </row>
    <row r="137" spans="2:15">
      <c r="B137" s="76" t="s">
        <v>1121</v>
      </c>
      <c r="C137" s="55"/>
      <c r="D137" s="53">
        <f>'[10]Rev_SP-12me'!AQ156</f>
        <v>951.629251381201</v>
      </c>
      <c r="E137" s="53">
        <f>'[10]Rev_SP-12me'!AT156</f>
        <v>0</v>
      </c>
      <c r="F137" s="53">
        <f>'[10]Rev_SP-12me'!AU156</f>
        <v>775.577839875679</v>
      </c>
      <c r="G137" s="53">
        <f>'[10]Rev_SP-12me'!AW156</f>
        <v>0</v>
      </c>
      <c r="H137" s="8"/>
      <c r="I137" s="24">
        <f t="shared" si="11"/>
        <v>775.577839875679</v>
      </c>
      <c r="J137" s="53">
        <v>0</v>
      </c>
      <c r="K137" s="53">
        <v>775.577839875679</v>
      </c>
      <c r="L137" s="53">
        <v>0</v>
      </c>
      <c r="M137" s="8"/>
      <c r="N137" s="61">
        <f t="shared" si="6"/>
        <v>775.577839875679</v>
      </c>
      <c r="O137" s="60">
        <f t="shared" si="12"/>
        <v>8.15</v>
      </c>
    </row>
    <row r="138" spans="2:15">
      <c r="B138" s="76" t="s">
        <v>1122</v>
      </c>
      <c r="C138" s="55"/>
      <c r="D138" s="53">
        <f>'[10]Rev_SP-12me'!AQ157</f>
        <v>1874.42245351562</v>
      </c>
      <c r="E138" s="53">
        <f>'[10]Rev_SP-12me'!AT157</f>
        <v>0</v>
      </c>
      <c r="F138" s="53">
        <f>'[10]Rev_SP-12me'!AU157</f>
        <v>1152.7698089121</v>
      </c>
      <c r="G138" s="53">
        <f>'[10]Rev_SP-12me'!AW157</f>
        <v>0</v>
      </c>
      <c r="H138" s="8"/>
      <c r="I138" s="24">
        <f t="shared" si="11"/>
        <v>1152.7698089121</v>
      </c>
      <c r="J138" s="53">
        <v>0</v>
      </c>
      <c r="K138" s="53">
        <v>1152.7698089121</v>
      </c>
      <c r="L138" s="53">
        <v>0</v>
      </c>
      <c r="M138" s="8"/>
      <c r="N138" s="61">
        <f t="shared" si="6"/>
        <v>1152.7698089121</v>
      </c>
      <c r="O138" s="60">
        <f t="shared" si="12"/>
        <v>6.14999999999997</v>
      </c>
    </row>
    <row r="139" spans="2:15">
      <c r="B139" s="71" t="s">
        <v>1113</v>
      </c>
      <c r="C139" s="55"/>
      <c r="D139" s="51">
        <f>'[10]Rev_SP-12me'!AQ158</f>
        <v>28.720649037328</v>
      </c>
      <c r="E139" s="51">
        <f>'[10]Rev_SP-12me'!AT158</f>
        <v>0</v>
      </c>
      <c r="F139" s="51">
        <f>'[10]Rev_SP-12me'!AU158</f>
        <v>20.4460183641736</v>
      </c>
      <c r="G139" s="51">
        <f>'[10]Rev_SP-12me'!AW158</f>
        <v>0</v>
      </c>
      <c r="H139" s="8"/>
      <c r="I139" s="24">
        <f t="shared" si="11"/>
        <v>20.4460183641736</v>
      </c>
      <c r="J139" s="51">
        <v>0</v>
      </c>
      <c r="K139" s="51">
        <v>20.4460183641736</v>
      </c>
      <c r="L139" s="51">
        <v>0</v>
      </c>
      <c r="M139" s="8"/>
      <c r="N139" s="61">
        <f t="shared" ref="N139:N202" si="13">SUM(J139:M139)</f>
        <v>20.4460183641736</v>
      </c>
      <c r="O139" s="60">
        <f t="shared" si="12"/>
        <v>7.11892629501516</v>
      </c>
    </row>
    <row r="140" spans="2:15">
      <c r="B140" s="76" t="s">
        <v>1142</v>
      </c>
      <c r="C140" s="55"/>
      <c r="D140" s="53">
        <f>'[10]Rev_SP-12me'!AQ159</f>
        <v>9.31672225348729</v>
      </c>
      <c r="E140" s="53">
        <f>'[10]Rev_SP-12me'!AT159</f>
        <v>0</v>
      </c>
      <c r="F140" s="53">
        <f>'[10]Rev_SP-12me'!AU159</f>
        <v>6.66145641124341</v>
      </c>
      <c r="G140" s="53">
        <f>'[10]Rev_SP-12me'!AW159</f>
        <v>0.0181722895876883</v>
      </c>
      <c r="H140" s="8"/>
      <c r="I140" s="24">
        <f t="shared" si="11"/>
        <v>6.6796287008311</v>
      </c>
      <c r="J140" s="53">
        <v>0</v>
      </c>
      <c r="K140" s="53">
        <v>6.66145641124341</v>
      </c>
      <c r="L140" s="53">
        <v>0.0181722895876883</v>
      </c>
      <c r="M140" s="8"/>
      <c r="N140" s="61">
        <f t="shared" si="13"/>
        <v>6.6796287008311</v>
      </c>
      <c r="O140" s="60">
        <f t="shared" si="12"/>
        <v>7.16950502450675</v>
      </c>
    </row>
    <row r="141" spans="2:15">
      <c r="B141" s="76" t="s">
        <v>1115</v>
      </c>
      <c r="C141" s="55"/>
      <c r="D141" s="53">
        <f>'[10]Rev_SP-12me'!AQ160</f>
        <v>4.6946360047211</v>
      </c>
      <c r="E141" s="53">
        <f>'[10]Rev_SP-12me'!AT160</f>
        <v>0</v>
      </c>
      <c r="F141" s="53">
        <f>'[10]Rev_SP-12me'!AU160</f>
        <v>3.8261283438477</v>
      </c>
      <c r="G141" s="53">
        <f>'[10]Rev_SP-12me'!AW160</f>
        <v>0</v>
      </c>
      <c r="H141" s="8"/>
      <c r="I141" s="24">
        <f t="shared" si="11"/>
        <v>3.8261283438477</v>
      </c>
      <c r="J141" s="53">
        <v>0</v>
      </c>
      <c r="K141" s="53">
        <v>3.8261283438477</v>
      </c>
      <c r="L141" s="53">
        <v>0</v>
      </c>
      <c r="M141" s="8"/>
      <c r="N141" s="61">
        <f t="shared" si="13"/>
        <v>3.8261283438477</v>
      </c>
      <c r="O141" s="60">
        <f t="shared" si="12"/>
        <v>8.15000000000001</v>
      </c>
    </row>
    <row r="142" spans="2:15">
      <c r="B142" s="76" t="s">
        <v>1116</v>
      </c>
      <c r="C142" s="55"/>
      <c r="D142" s="53">
        <f>'[10]Rev_SP-12me'!AQ161</f>
        <v>4.56109889961993</v>
      </c>
      <c r="E142" s="53">
        <f>'[10]Rev_SP-12me'!AT161</f>
        <v>0</v>
      </c>
      <c r="F142" s="53">
        <f>'[10]Rev_SP-12me'!AU161</f>
        <v>3.71729560319025</v>
      </c>
      <c r="G142" s="53">
        <f>'[10]Rev_SP-12me'!AW161</f>
        <v>0</v>
      </c>
      <c r="H142" s="8"/>
      <c r="I142" s="24">
        <f t="shared" si="11"/>
        <v>3.71729560319025</v>
      </c>
      <c r="J142" s="53">
        <v>0</v>
      </c>
      <c r="K142" s="53">
        <v>3.71729560319025</v>
      </c>
      <c r="L142" s="53">
        <v>0</v>
      </c>
      <c r="M142" s="8"/>
      <c r="N142" s="61">
        <f t="shared" si="13"/>
        <v>3.71729560319025</v>
      </c>
      <c r="O142" s="60">
        <f t="shared" si="12"/>
        <v>8.15000000000002</v>
      </c>
    </row>
    <row r="143" spans="2:15">
      <c r="B143" s="76" t="s">
        <v>1143</v>
      </c>
      <c r="C143" s="55"/>
      <c r="D143" s="53">
        <f>'[10]Rev_SP-12me'!AQ162</f>
        <v>10.1481918794996</v>
      </c>
      <c r="E143" s="53">
        <f>'[10]Rev_SP-12me'!AT162</f>
        <v>0</v>
      </c>
      <c r="F143" s="53">
        <f>'[10]Rev_SP-12me'!AU162</f>
        <v>6.24113800589227</v>
      </c>
      <c r="G143" s="53">
        <f>'[10]Rev_SP-12me'!AW162</f>
        <v>0</v>
      </c>
      <c r="H143" s="8"/>
      <c r="I143" s="24">
        <f t="shared" si="11"/>
        <v>6.24113800589227</v>
      </c>
      <c r="J143" s="53">
        <v>0</v>
      </c>
      <c r="K143" s="53">
        <v>6.24113800589227</v>
      </c>
      <c r="L143" s="53">
        <v>0</v>
      </c>
      <c r="M143" s="8"/>
      <c r="N143" s="61">
        <f t="shared" si="13"/>
        <v>6.24113800589227</v>
      </c>
      <c r="O143" s="60">
        <f t="shared" si="12"/>
        <v>6.15000000000002</v>
      </c>
    </row>
    <row r="144" ht="15" spans="2:15">
      <c r="B144" s="71" t="s">
        <v>1144</v>
      </c>
      <c r="C144" s="55"/>
      <c r="D144" s="48">
        <f>'[10]Rev_SP-12me'!AQ164</f>
        <v>61.8606520817098</v>
      </c>
      <c r="E144" s="48">
        <f>'[10]Rev_SP-12me'!AT164</f>
        <v>5.54309720556531</v>
      </c>
      <c r="F144" s="48">
        <f>'[10]Rev_SP-12me'!AU164</f>
        <v>44.3494567464979</v>
      </c>
      <c r="G144" s="48">
        <f>'[10]Rev_SP-12me'!AW164</f>
        <v>0</v>
      </c>
      <c r="H144" s="8"/>
      <c r="I144" s="24">
        <f t="shared" si="11"/>
        <v>49.8925539520632</v>
      </c>
      <c r="J144" s="48">
        <v>5.54309720556531</v>
      </c>
      <c r="K144" s="48">
        <v>44.3494567464979</v>
      </c>
      <c r="L144" s="48">
        <v>0</v>
      </c>
      <c r="M144" s="8"/>
      <c r="N144" s="61">
        <f t="shared" si="13"/>
        <v>49.8925539520632</v>
      </c>
      <c r="O144" s="60">
        <f t="shared" si="12"/>
        <v>8.06531329255335</v>
      </c>
    </row>
    <row r="145" spans="2:15">
      <c r="B145" s="74" t="s">
        <v>1119</v>
      </c>
      <c r="C145" s="55"/>
      <c r="D145" s="53">
        <f>'[10]Rev_SP-12me'!AQ165</f>
        <v>24.630820364244</v>
      </c>
      <c r="E145" s="53">
        <f>'[10]Rev_SP-12me'!AT165</f>
        <v>5.54309720556531</v>
      </c>
      <c r="F145" s="53">
        <f>'[10]Rev_SP-12me'!AU165</f>
        <v>17.6110365604345</v>
      </c>
      <c r="G145" s="53">
        <f>'[10]Rev_SP-12me'!AW165</f>
        <v>0</v>
      </c>
      <c r="H145" s="8"/>
      <c r="I145" s="24">
        <f t="shared" si="11"/>
        <v>23.1541337659998</v>
      </c>
      <c r="J145" s="53">
        <v>5.54309720556531</v>
      </c>
      <c r="K145" s="53">
        <v>17.6110365604345</v>
      </c>
      <c r="L145" s="53">
        <v>0</v>
      </c>
      <c r="M145" s="8"/>
      <c r="N145" s="61">
        <f t="shared" si="13"/>
        <v>23.1541337659998</v>
      </c>
      <c r="O145" s="60">
        <f t="shared" si="12"/>
        <v>9.40047201984881</v>
      </c>
    </row>
    <row r="146" spans="2:15">
      <c r="B146" s="74" t="s">
        <v>1120</v>
      </c>
      <c r="C146" s="55"/>
      <c r="D146" s="53">
        <f>'[10]Rev_SP-12me'!AQ166</f>
        <v>9.48843594821208</v>
      </c>
      <c r="E146" s="53">
        <f>'[10]Rev_SP-12me'!AT166</f>
        <v>0</v>
      </c>
      <c r="F146" s="53">
        <f>'[10]Rev_SP-12me'!AU166</f>
        <v>7.73307529779285</v>
      </c>
      <c r="G146" s="53">
        <f>'[10]Rev_SP-12me'!AW166</f>
        <v>0</v>
      </c>
      <c r="H146" s="8"/>
      <c r="I146" s="24">
        <f t="shared" si="11"/>
        <v>7.73307529779285</v>
      </c>
      <c r="J146" s="53">
        <v>0</v>
      </c>
      <c r="K146" s="53">
        <v>7.73307529779285</v>
      </c>
      <c r="L146" s="53">
        <v>0</v>
      </c>
      <c r="M146" s="8"/>
      <c r="N146" s="61">
        <f t="shared" si="13"/>
        <v>7.73307529779285</v>
      </c>
      <c r="O146" s="60">
        <f t="shared" si="12"/>
        <v>8.15</v>
      </c>
    </row>
    <row r="147" spans="2:15">
      <c r="B147" s="74" t="s">
        <v>1121</v>
      </c>
      <c r="C147" s="55"/>
      <c r="D147" s="53">
        <f>'[10]Rev_SP-12me'!AQ167</f>
        <v>9.72193245089741</v>
      </c>
      <c r="E147" s="53">
        <f>'[10]Rev_SP-12me'!AT167</f>
        <v>0</v>
      </c>
      <c r="F147" s="53">
        <f>'[10]Rev_SP-12me'!AU167</f>
        <v>7.92337494748139</v>
      </c>
      <c r="G147" s="53">
        <f>'[10]Rev_SP-12me'!AW167</f>
        <v>0</v>
      </c>
      <c r="H147" s="8"/>
      <c r="I147" s="24">
        <f t="shared" si="11"/>
        <v>7.92337494748139</v>
      </c>
      <c r="J147" s="53">
        <v>0</v>
      </c>
      <c r="K147" s="53">
        <v>7.92337494748139</v>
      </c>
      <c r="L147" s="53">
        <v>0</v>
      </c>
      <c r="M147" s="8"/>
      <c r="N147" s="61">
        <f t="shared" si="13"/>
        <v>7.92337494748139</v>
      </c>
      <c r="O147" s="60">
        <f t="shared" si="12"/>
        <v>8.15</v>
      </c>
    </row>
    <row r="148" spans="2:15">
      <c r="B148" s="74" t="s">
        <v>1122</v>
      </c>
      <c r="C148" s="55"/>
      <c r="D148" s="53">
        <f>'[10]Rev_SP-12me'!AQ168</f>
        <v>18.0194633183564</v>
      </c>
      <c r="E148" s="53">
        <f>'[10]Rev_SP-12me'!AT168</f>
        <v>0</v>
      </c>
      <c r="F148" s="53">
        <f>'[10]Rev_SP-12me'!AU168</f>
        <v>11.0819699407892</v>
      </c>
      <c r="G148" s="53">
        <f>'[10]Rev_SP-12me'!AW168</f>
        <v>0</v>
      </c>
      <c r="H148" s="8"/>
      <c r="I148" s="24">
        <f t="shared" si="11"/>
        <v>11.0819699407892</v>
      </c>
      <c r="J148" s="53">
        <v>0</v>
      </c>
      <c r="K148" s="53">
        <v>11.0819699407892</v>
      </c>
      <c r="L148" s="53">
        <v>0</v>
      </c>
      <c r="M148" s="8"/>
      <c r="N148" s="61">
        <f t="shared" si="13"/>
        <v>11.0819699407892</v>
      </c>
      <c r="O148" s="60">
        <f t="shared" si="12"/>
        <v>6.15000000000001</v>
      </c>
    </row>
    <row r="149" ht="15" spans="2:15">
      <c r="B149" s="71" t="s">
        <v>1123</v>
      </c>
      <c r="C149" s="55"/>
      <c r="D149" s="48">
        <f>'[10]Rev_SP-12me'!AQ163</f>
        <v>0</v>
      </c>
      <c r="E149" s="48">
        <f>'[10]Rev_SP-12me'!AT163</f>
        <v>7.09096018735363</v>
      </c>
      <c r="F149" s="48">
        <f>'[10]Rev_SP-12me'!AU163</f>
        <v>0</v>
      </c>
      <c r="G149" s="48">
        <f>'[10]Rev_SP-12me'!AW163</f>
        <v>0.0042</v>
      </c>
      <c r="H149" s="8"/>
      <c r="I149" s="24">
        <f t="shared" si="11"/>
        <v>7.09516018735363</v>
      </c>
      <c r="J149" s="48">
        <v>7.09096018735363</v>
      </c>
      <c r="K149" s="48">
        <v>0</v>
      </c>
      <c r="L149" s="48">
        <v>0.0042</v>
      </c>
      <c r="M149" s="8"/>
      <c r="N149" s="61">
        <f t="shared" si="13"/>
        <v>7.09516018735363</v>
      </c>
      <c r="O149" s="60"/>
    </row>
    <row r="150" ht="15" spans="2:15">
      <c r="B150" s="71" t="s">
        <v>1124</v>
      </c>
      <c r="C150" s="55"/>
      <c r="D150" s="48">
        <f>'[10]Rev_SP-12me'!AQ169</f>
        <v>1617.95969129032</v>
      </c>
      <c r="E150" s="48">
        <f>'[10]Rev_SP-12me'!AT169</f>
        <v>235.268517057391</v>
      </c>
      <c r="F150" s="48">
        <f>'[10]Rev_SP-12me'!AU169</f>
        <v>1308.13940559309</v>
      </c>
      <c r="G150" s="48">
        <f>'[10]Rev_SP-12me'!AW169</f>
        <v>0.721828301069792</v>
      </c>
      <c r="H150" s="8"/>
      <c r="I150" s="24">
        <f t="shared" si="11"/>
        <v>1544.12975095155</v>
      </c>
      <c r="J150" s="48">
        <v>235.268517057391</v>
      </c>
      <c r="K150" s="48">
        <v>1308.13940559309</v>
      </c>
      <c r="L150" s="48">
        <v>0.721828301069792</v>
      </c>
      <c r="M150" s="8"/>
      <c r="N150" s="61">
        <f t="shared" si="13"/>
        <v>1544.12975095155</v>
      </c>
      <c r="O150" s="60">
        <f>N150*10/D150</f>
        <v>9.54368492159474</v>
      </c>
    </row>
    <row r="151" spans="2:15">
      <c r="B151" s="76" t="s">
        <v>1145</v>
      </c>
      <c r="C151" s="55"/>
      <c r="D151" s="51">
        <f>'[10]Rev_SP-12me'!AQ170</f>
        <v>679.093682823812</v>
      </c>
      <c r="E151" s="51">
        <f>'[10]Rev_SP-12me'!AT170</f>
        <v>235.268517057391</v>
      </c>
      <c r="F151" s="51">
        <f>'[10]Rev_SP-12me'!AU170</f>
        <v>543.27494625905</v>
      </c>
      <c r="G151" s="51">
        <f>'[10]Rev_SP-12me'!AW170</f>
        <v>0.721828301069792</v>
      </c>
      <c r="H151" s="8"/>
      <c r="I151" s="24">
        <f t="shared" si="11"/>
        <v>779.265291617511</v>
      </c>
      <c r="J151" s="51">
        <v>235.268517057391</v>
      </c>
      <c r="K151" s="51">
        <v>543.27494625905</v>
      </c>
      <c r="L151" s="51">
        <v>0.721828301069792</v>
      </c>
      <c r="M151" s="8"/>
      <c r="N151" s="61">
        <f t="shared" si="13"/>
        <v>779.265291617511</v>
      </c>
      <c r="O151" s="60">
        <f>N151*10/D151</f>
        <v>11.4750779064409</v>
      </c>
    </row>
    <row r="152" spans="2:15">
      <c r="B152" s="76" t="s">
        <v>1120</v>
      </c>
      <c r="C152" s="55"/>
      <c r="D152" s="53">
        <f>'[10]Rev_SP-12me'!AQ171</f>
        <v>291.176663041176</v>
      </c>
      <c r="E152" s="53">
        <f>'[10]Rev_SP-12me'!AT171</f>
        <v>0</v>
      </c>
      <c r="F152" s="53">
        <f>'[10]Rev_SP-12me'!AU171</f>
        <v>262.058996737059</v>
      </c>
      <c r="G152" s="53">
        <f>'[10]Rev_SP-12me'!AW171</f>
        <v>0</v>
      </c>
      <c r="H152" s="8"/>
      <c r="I152" s="24">
        <f t="shared" si="11"/>
        <v>262.058996737059</v>
      </c>
      <c r="J152" s="53">
        <v>0</v>
      </c>
      <c r="K152" s="53">
        <v>262.058996737059</v>
      </c>
      <c r="L152" s="53">
        <v>0</v>
      </c>
      <c r="M152" s="8"/>
      <c r="N152" s="61">
        <f t="shared" si="13"/>
        <v>262.058996737059</v>
      </c>
      <c r="O152" s="60">
        <f>N152*10/D152</f>
        <v>9.00000000000002</v>
      </c>
    </row>
    <row r="153" spans="2:15">
      <c r="B153" s="76" t="s">
        <v>1121</v>
      </c>
      <c r="C153" s="55"/>
      <c r="D153" s="53">
        <f>'[10]Rev_SP-12me'!AQ172</f>
        <v>247.114603996214</v>
      </c>
      <c r="E153" s="53">
        <f>'[10]Rev_SP-12me'!AT172</f>
        <v>0</v>
      </c>
      <c r="F153" s="53">
        <f>'[10]Rev_SP-12me'!AU172</f>
        <v>222.403143596592</v>
      </c>
      <c r="G153" s="53">
        <f>'[10]Rev_SP-12me'!AW172</f>
        <v>0</v>
      </c>
      <c r="H153" s="8"/>
      <c r="I153" s="24">
        <f t="shared" si="11"/>
        <v>222.403143596592</v>
      </c>
      <c r="J153" s="53">
        <v>0</v>
      </c>
      <c r="K153" s="53">
        <v>222.403143596592</v>
      </c>
      <c r="L153" s="53">
        <v>0</v>
      </c>
      <c r="M153" s="8"/>
      <c r="N153" s="61">
        <f t="shared" si="13"/>
        <v>222.403143596592</v>
      </c>
      <c r="O153" s="60">
        <f>N153*10/D153</f>
        <v>8.99999999999998</v>
      </c>
    </row>
    <row r="154" spans="2:15">
      <c r="B154" s="76" t="s">
        <v>1122</v>
      </c>
      <c r="C154" s="55"/>
      <c r="D154" s="53">
        <f>'[10]Rev_SP-12me'!AQ173</f>
        <v>400.574741429121</v>
      </c>
      <c r="E154" s="53">
        <f>'[10]Rev_SP-12me'!AT173</f>
        <v>0</v>
      </c>
      <c r="F154" s="53">
        <f>'[10]Rev_SP-12me'!AU173</f>
        <v>280.402319000385</v>
      </c>
      <c r="G154" s="53">
        <f>'[10]Rev_SP-12me'!AW173</f>
        <v>0</v>
      </c>
      <c r="H154" s="8"/>
      <c r="I154" s="24">
        <f t="shared" si="11"/>
        <v>280.402319000385</v>
      </c>
      <c r="J154" s="53">
        <v>0</v>
      </c>
      <c r="K154" s="53">
        <v>280.402319000385</v>
      </c>
      <c r="L154" s="53">
        <v>0</v>
      </c>
      <c r="M154" s="8"/>
      <c r="N154" s="61">
        <f t="shared" si="13"/>
        <v>280.402319000385</v>
      </c>
      <c r="O154" s="60">
        <f>N154*10/D154</f>
        <v>7.00000000000001</v>
      </c>
    </row>
    <row r="155" spans="2:15">
      <c r="B155" s="76" t="s">
        <v>1146</v>
      </c>
      <c r="C155" s="55"/>
      <c r="D155" s="53">
        <f>'[10]Rev_SP-12me'!AQ174</f>
        <v>0</v>
      </c>
      <c r="E155" s="53">
        <f>'[10]Rev_SP-12me'!AT174</f>
        <v>0</v>
      </c>
      <c r="F155" s="53">
        <f>'[10]Rev_SP-12me'!AU174</f>
        <v>0</v>
      </c>
      <c r="G155" s="53">
        <f>'[10]Rev_SP-12me'!AW174</f>
        <v>0</v>
      </c>
      <c r="H155" s="8"/>
      <c r="I155" s="24">
        <f t="shared" si="11"/>
        <v>0</v>
      </c>
      <c r="J155" s="53">
        <v>0</v>
      </c>
      <c r="K155" s="53">
        <v>0</v>
      </c>
      <c r="L155" s="53">
        <v>0</v>
      </c>
      <c r="M155" s="8"/>
      <c r="N155" s="61">
        <f t="shared" si="13"/>
        <v>0</v>
      </c>
      <c r="O155" s="60"/>
    </row>
    <row r="156" ht="15" spans="2:15">
      <c r="B156" s="71" t="s">
        <v>1125</v>
      </c>
      <c r="C156" s="55"/>
      <c r="D156" s="48">
        <f>'[10]Rev_SP-12me'!AQ175</f>
        <v>2.21738254980643</v>
      </c>
      <c r="E156" s="48">
        <f>'[10]Rev_SP-12me'!AT175</f>
        <v>0</v>
      </c>
      <c r="F156" s="48">
        <f>'[10]Rev_SP-12me'!AU175</f>
        <v>1.13243734528415</v>
      </c>
      <c r="G156" s="48">
        <f>'[10]Rev_SP-12me'!AW175</f>
        <v>0</v>
      </c>
      <c r="H156" s="8"/>
      <c r="I156" s="24">
        <f t="shared" si="11"/>
        <v>1.13243734528415</v>
      </c>
      <c r="J156" s="48">
        <v>0</v>
      </c>
      <c r="K156" s="48">
        <v>1.13243734528415</v>
      </c>
      <c r="L156" s="48">
        <v>0</v>
      </c>
      <c r="M156" s="8"/>
      <c r="N156" s="61">
        <f t="shared" si="13"/>
        <v>1.13243734528415</v>
      </c>
      <c r="O156" s="60">
        <f>N156*10/D156</f>
        <v>5.1070905441328</v>
      </c>
    </row>
    <row r="157" spans="2:15">
      <c r="B157" s="74" t="s">
        <v>1119</v>
      </c>
      <c r="C157" s="55"/>
      <c r="D157" s="53">
        <f>'[10]Rev_SP-12me'!AQ176</f>
        <v>0.905694852573789</v>
      </c>
      <c r="E157" s="53">
        <f>'[10]Rev_SP-12me'!AT176</f>
        <v>0</v>
      </c>
      <c r="F157" s="53">
        <f>'[10]Rev_SP-12me'!AU176</f>
        <v>0.452847426286894</v>
      </c>
      <c r="G157" s="53">
        <f>'[10]Rev_SP-12me'!AW176</f>
        <v>0</v>
      </c>
      <c r="H157" s="8"/>
      <c r="I157" s="24">
        <f t="shared" si="11"/>
        <v>0.452847426286894</v>
      </c>
      <c r="J157" s="53">
        <v>0</v>
      </c>
      <c r="K157" s="53">
        <v>0.452847426286894</v>
      </c>
      <c r="L157" s="53">
        <v>0</v>
      </c>
      <c r="M157" s="8"/>
      <c r="N157" s="61">
        <f t="shared" si="13"/>
        <v>0.452847426286894</v>
      </c>
      <c r="O157" s="60">
        <f>N157*10/D157</f>
        <v>4.99999999999999</v>
      </c>
    </row>
    <row r="158" spans="2:15">
      <c r="B158" s="74" t="s">
        <v>1120</v>
      </c>
      <c r="C158" s="55"/>
      <c r="D158" s="53">
        <f>'[10]Rev_SP-12me'!AQ177</f>
        <v>0.385663128881866</v>
      </c>
      <c r="E158" s="53">
        <f>'[10]Rev_SP-12me'!AT177</f>
        <v>0</v>
      </c>
      <c r="F158" s="53">
        <f>'[10]Rev_SP-12me'!AU177</f>
        <v>0.231397877329119</v>
      </c>
      <c r="G158" s="53">
        <f>'[10]Rev_SP-12me'!AW177</f>
        <v>0</v>
      </c>
      <c r="H158" s="8"/>
      <c r="I158" s="24">
        <f t="shared" si="11"/>
        <v>0.231397877329119</v>
      </c>
      <c r="J158" s="53">
        <v>0</v>
      </c>
      <c r="K158" s="53">
        <v>0.231397877329119</v>
      </c>
      <c r="L158" s="53">
        <v>0</v>
      </c>
      <c r="M158" s="8"/>
      <c r="N158" s="61">
        <f t="shared" si="13"/>
        <v>0.231397877329119</v>
      </c>
      <c r="O158" s="60">
        <f>N158*10/D158</f>
        <v>5.99999999999998</v>
      </c>
    </row>
    <row r="159" spans="2:15">
      <c r="B159" s="74" t="s">
        <v>1121</v>
      </c>
      <c r="C159" s="55"/>
      <c r="D159" s="53">
        <f>'[10]Rev_SP-12me'!AQ178</f>
        <v>0.388911071639136</v>
      </c>
      <c r="E159" s="53">
        <f>'[10]Rev_SP-12me'!AT178</f>
        <v>0</v>
      </c>
      <c r="F159" s="53">
        <f>'[10]Rev_SP-12me'!AU178</f>
        <v>0.233346642983482</v>
      </c>
      <c r="G159" s="53">
        <f>'[10]Rev_SP-12me'!AW178</f>
        <v>0</v>
      </c>
      <c r="H159" s="8"/>
      <c r="I159" s="24">
        <f t="shared" si="11"/>
        <v>0.233346642983482</v>
      </c>
      <c r="J159" s="53">
        <v>0</v>
      </c>
      <c r="K159" s="53">
        <v>0.233346642983482</v>
      </c>
      <c r="L159" s="53">
        <v>0</v>
      </c>
      <c r="M159" s="8"/>
      <c r="N159" s="61">
        <f t="shared" si="13"/>
        <v>0.233346642983482</v>
      </c>
      <c r="O159" s="60">
        <f>N159*10/D159</f>
        <v>6.00000000000001</v>
      </c>
    </row>
    <row r="160" spans="2:15">
      <c r="B160" s="74" t="s">
        <v>1122</v>
      </c>
      <c r="C160" s="55"/>
      <c r="D160" s="53">
        <f>'[10]Rev_SP-12me'!AQ179</f>
        <v>0.537113496711644</v>
      </c>
      <c r="E160" s="53">
        <f>'[10]Rev_SP-12me'!AT179</f>
        <v>0</v>
      </c>
      <c r="F160" s="53">
        <f>'[10]Rev_SP-12me'!AU179</f>
        <v>0.214845398684658</v>
      </c>
      <c r="G160" s="53">
        <f>'[10]Rev_SP-12me'!AW179</f>
        <v>0</v>
      </c>
      <c r="H160" s="8"/>
      <c r="I160" s="24">
        <f t="shared" si="11"/>
        <v>0.214845398684658</v>
      </c>
      <c r="J160" s="53">
        <v>0</v>
      </c>
      <c r="K160" s="53">
        <v>0.214845398684658</v>
      </c>
      <c r="L160" s="53">
        <v>0</v>
      </c>
      <c r="M160" s="8"/>
      <c r="N160" s="61">
        <f t="shared" si="13"/>
        <v>0.214845398684658</v>
      </c>
      <c r="O160" s="60">
        <f>N160*10/D160</f>
        <v>4.00000000000001</v>
      </c>
    </row>
    <row r="161" ht="15" spans="2:15">
      <c r="B161" s="71" t="s">
        <v>1126</v>
      </c>
      <c r="C161" s="55"/>
      <c r="D161" s="48">
        <f>'[10]Rev_SP-12me'!AQ180</f>
        <v>0</v>
      </c>
      <c r="E161" s="48">
        <f>'[10]Rev_SP-12me'!AT180</f>
        <v>0</v>
      </c>
      <c r="F161" s="48">
        <f>'[10]Rev_SP-12me'!AU180</f>
        <v>0</v>
      </c>
      <c r="G161" s="48">
        <f>'[10]Rev_SP-12me'!AW180</f>
        <v>0</v>
      </c>
      <c r="H161" s="8"/>
      <c r="I161" s="24">
        <f t="shared" si="11"/>
        <v>0</v>
      </c>
      <c r="J161" s="48">
        <v>0</v>
      </c>
      <c r="K161" s="48">
        <v>0</v>
      </c>
      <c r="L161" s="48">
        <v>0</v>
      </c>
      <c r="M161" s="8"/>
      <c r="N161" s="61">
        <f t="shared" si="13"/>
        <v>0</v>
      </c>
      <c r="O161" s="60"/>
    </row>
    <row r="162" spans="2:15">
      <c r="B162" s="76" t="s">
        <v>1119</v>
      </c>
      <c r="C162" s="55"/>
      <c r="D162" s="53">
        <f>'[10]Rev_SP-12me'!AQ181</f>
        <v>0</v>
      </c>
      <c r="E162" s="53">
        <f>'[10]Rev_SP-12me'!AT181</f>
        <v>0</v>
      </c>
      <c r="F162" s="53">
        <f>'[10]Rev_SP-12me'!AU181</f>
        <v>0</v>
      </c>
      <c r="G162" s="53">
        <f>'[10]Rev_SP-12me'!AW181</f>
        <v>0</v>
      </c>
      <c r="H162" s="8"/>
      <c r="I162" s="24">
        <f t="shared" si="11"/>
        <v>0</v>
      </c>
      <c r="J162" s="53">
        <v>0</v>
      </c>
      <c r="K162" s="53">
        <v>0</v>
      </c>
      <c r="L162" s="53">
        <v>0</v>
      </c>
      <c r="M162" s="8"/>
      <c r="N162" s="61">
        <f t="shared" si="13"/>
        <v>0</v>
      </c>
      <c r="O162" s="60"/>
    </row>
    <row r="163" spans="2:15">
      <c r="B163" s="76" t="s">
        <v>1120</v>
      </c>
      <c r="C163" s="55"/>
      <c r="D163" s="53">
        <f>'[10]Rev_SP-12me'!AQ182</f>
        <v>0</v>
      </c>
      <c r="E163" s="53">
        <f>'[10]Rev_SP-12me'!AT182</f>
        <v>0</v>
      </c>
      <c r="F163" s="53">
        <f>'[10]Rev_SP-12me'!AU182</f>
        <v>0</v>
      </c>
      <c r="G163" s="53">
        <f>'[10]Rev_SP-12me'!AW182</f>
        <v>0</v>
      </c>
      <c r="H163" s="8"/>
      <c r="I163" s="24">
        <f t="shared" si="11"/>
        <v>0</v>
      </c>
      <c r="J163" s="53">
        <v>0</v>
      </c>
      <c r="K163" s="53">
        <v>0</v>
      </c>
      <c r="L163" s="53">
        <v>0</v>
      </c>
      <c r="M163" s="8"/>
      <c r="N163" s="61">
        <f t="shared" si="13"/>
        <v>0</v>
      </c>
      <c r="O163" s="60"/>
    </row>
    <row r="164" spans="2:15">
      <c r="B164" s="76" t="s">
        <v>1121</v>
      </c>
      <c r="C164" s="55"/>
      <c r="D164" s="53">
        <f>'[10]Rev_SP-12me'!AQ183</f>
        <v>0</v>
      </c>
      <c r="E164" s="53">
        <f>'[10]Rev_SP-12me'!AT183</f>
        <v>0</v>
      </c>
      <c r="F164" s="53">
        <f>'[10]Rev_SP-12me'!AU183</f>
        <v>0</v>
      </c>
      <c r="G164" s="53">
        <f>'[10]Rev_SP-12me'!AW183</f>
        <v>0</v>
      </c>
      <c r="H164" s="8"/>
      <c r="I164" s="24">
        <f t="shared" si="11"/>
        <v>0</v>
      </c>
      <c r="J164" s="53">
        <v>0</v>
      </c>
      <c r="K164" s="53">
        <v>0</v>
      </c>
      <c r="L164" s="53">
        <v>0</v>
      </c>
      <c r="M164" s="8"/>
      <c r="N164" s="61">
        <f t="shared" si="13"/>
        <v>0</v>
      </c>
      <c r="O164" s="60"/>
    </row>
    <row r="165" spans="2:15">
      <c r="B165" s="76" t="s">
        <v>1122</v>
      </c>
      <c r="C165" s="55"/>
      <c r="D165" s="53">
        <f>'[10]Rev_SP-12me'!AQ184</f>
        <v>0</v>
      </c>
      <c r="E165" s="53">
        <f>'[10]Rev_SP-12me'!AT184</f>
        <v>0</v>
      </c>
      <c r="F165" s="53">
        <f>'[10]Rev_SP-12me'!AU184</f>
        <v>0</v>
      </c>
      <c r="G165" s="53">
        <f>'[10]Rev_SP-12me'!AW184</f>
        <v>0</v>
      </c>
      <c r="H165" s="8"/>
      <c r="I165" s="24">
        <f t="shared" si="11"/>
        <v>0</v>
      </c>
      <c r="J165" s="53">
        <v>0</v>
      </c>
      <c r="K165" s="53">
        <v>0</v>
      </c>
      <c r="L165" s="53">
        <v>0</v>
      </c>
      <c r="M165" s="8"/>
      <c r="N165" s="61">
        <f t="shared" si="13"/>
        <v>0</v>
      </c>
      <c r="O165" s="60"/>
    </row>
    <row r="166" ht="15" spans="2:15">
      <c r="B166" s="71" t="s">
        <v>1147</v>
      </c>
      <c r="C166" s="55"/>
      <c r="D166" s="48">
        <f>'[10]Rev_SP-12me'!AQ185</f>
        <v>53.9945068682218</v>
      </c>
      <c r="E166" s="48">
        <f>'[10]Rev_SP-12me'!AT185</f>
        <v>7.54733422207742</v>
      </c>
      <c r="F166" s="48">
        <f>'[10]Rev_SP-12me'!AU185</f>
        <v>34.0165393269798</v>
      </c>
      <c r="G166" s="48">
        <f>'[10]Rev_SP-12me'!AW185</f>
        <v>0.0822861310608423</v>
      </c>
      <c r="H166" s="8"/>
      <c r="I166" s="24">
        <f t="shared" si="11"/>
        <v>41.6461596801181</v>
      </c>
      <c r="J166" s="48">
        <v>7.54733422207742</v>
      </c>
      <c r="K166" s="48">
        <v>34.0165393269798</v>
      </c>
      <c r="L166" s="48">
        <v>0.0822861310608423</v>
      </c>
      <c r="M166" s="8"/>
      <c r="N166" s="61">
        <f t="shared" si="13"/>
        <v>41.6461596801181</v>
      </c>
      <c r="O166" s="60">
        <f>N166*10/D166</f>
        <v>7.71303639863941</v>
      </c>
    </row>
    <row r="167" spans="2:15">
      <c r="B167" s="82" t="s">
        <v>1128</v>
      </c>
      <c r="C167" s="55"/>
      <c r="D167" s="51">
        <f>'[10]Rev_SP-12me'!AQ186</f>
        <v>53.9945068682218</v>
      </c>
      <c r="E167" s="51">
        <f>'[10]Rev_SP-12me'!AT186</f>
        <v>7.54733422207742</v>
      </c>
      <c r="F167" s="51">
        <f>'[10]Rev_SP-12me'!AU186</f>
        <v>34.0165393269798</v>
      </c>
      <c r="G167" s="51">
        <f>'[10]Rev_SP-12me'!AW186</f>
        <v>0.0822861310608423</v>
      </c>
      <c r="H167" s="8"/>
      <c r="I167" s="24">
        <f t="shared" si="11"/>
        <v>41.6461596801181</v>
      </c>
      <c r="J167" s="51">
        <v>7.54733422207742</v>
      </c>
      <c r="K167" s="51">
        <v>34.0165393269798</v>
      </c>
      <c r="L167" s="51">
        <v>0.0822861310608423</v>
      </c>
      <c r="M167" s="8"/>
      <c r="N167" s="61">
        <f t="shared" si="13"/>
        <v>41.6461596801181</v>
      </c>
      <c r="O167" s="60">
        <f>N167*10/D167</f>
        <v>7.71303639863941</v>
      </c>
    </row>
    <row r="168" ht="15" spans="2:15">
      <c r="B168" s="83" t="s">
        <v>1148</v>
      </c>
      <c r="C168" s="55"/>
      <c r="D168" s="48">
        <f>'[10]Rev_SP-12me'!AQ191</f>
        <v>266.625493131778</v>
      </c>
      <c r="E168" s="48">
        <f>'[10]Rev_SP-12me'!AT191</f>
        <v>0</v>
      </c>
      <c r="F168" s="48">
        <f>'[10]Rev_SP-12me'!AU191</f>
        <v>162.641550810385</v>
      </c>
      <c r="G168" s="48">
        <f>'[10]Rev_SP-12me'!AW191</f>
        <v>0.0563010370416289</v>
      </c>
      <c r="H168" s="8"/>
      <c r="I168" s="24">
        <f t="shared" si="11"/>
        <v>162.697851847427</v>
      </c>
      <c r="J168" s="48">
        <v>0</v>
      </c>
      <c r="K168" s="48">
        <v>162.641550810385</v>
      </c>
      <c r="L168" s="48">
        <v>0.0563010370416289</v>
      </c>
      <c r="M168" s="8"/>
      <c r="N168" s="61">
        <f t="shared" si="13"/>
        <v>162.697851847427</v>
      </c>
      <c r="O168" s="60">
        <f>N168*10/D168</f>
        <v>6.10211161492402</v>
      </c>
    </row>
    <row r="169" spans="2:15">
      <c r="B169" s="74" t="s">
        <v>1149</v>
      </c>
      <c r="C169" s="55"/>
      <c r="D169" s="51">
        <f>'[10]Rev_SP-12me'!AQ192</f>
        <v>266.625493131778</v>
      </c>
      <c r="E169" s="51">
        <f>'[10]Rev_SP-12me'!AT192</f>
        <v>0</v>
      </c>
      <c r="F169" s="51">
        <f>'[10]Rev_SP-12me'!AU192</f>
        <v>162.641550810385</v>
      </c>
      <c r="G169" s="51">
        <f>'[10]Rev_SP-12me'!AW192</f>
        <v>0.0563010370416289</v>
      </c>
      <c r="H169" s="8"/>
      <c r="I169" s="24">
        <f t="shared" si="11"/>
        <v>162.697851847427</v>
      </c>
      <c r="J169" s="51">
        <v>0</v>
      </c>
      <c r="K169" s="51">
        <v>162.641550810385</v>
      </c>
      <c r="L169" s="51">
        <v>0.0563010370416289</v>
      </c>
      <c r="M169" s="8"/>
      <c r="N169" s="61">
        <f t="shared" si="13"/>
        <v>162.697851847427</v>
      </c>
      <c r="O169" s="60">
        <f>N169*10/D169</f>
        <v>6.10211161492402</v>
      </c>
    </row>
    <row r="170" ht="15" spans="2:15">
      <c r="B170" s="77" t="s">
        <v>1150</v>
      </c>
      <c r="C170" s="55"/>
      <c r="D170" s="48">
        <f>'[10]Rev_SP-12me'!AQ193</f>
        <v>0</v>
      </c>
      <c r="E170" s="48">
        <f>'[10]Rev_SP-12me'!AT193</f>
        <v>0</v>
      </c>
      <c r="F170" s="48">
        <f>'[10]Rev_SP-12me'!AU193</f>
        <v>0</v>
      </c>
      <c r="G170" s="48">
        <f>'[10]Rev_SP-12me'!AW193</f>
        <v>0</v>
      </c>
      <c r="H170" s="8"/>
      <c r="I170" s="24">
        <f t="shared" si="11"/>
        <v>0</v>
      </c>
      <c r="J170" s="48">
        <v>0</v>
      </c>
      <c r="K170" s="48">
        <v>0</v>
      </c>
      <c r="L170" s="48">
        <v>0</v>
      </c>
      <c r="M170" s="8"/>
      <c r="N170" s="61">
        <f t="shared" si="13"/>
        <v>0</v>
      </c>
      <c r="O170" s="60"/>
    </row>
    <row r="171" ht="15" spans="2:15">
      <c r="B171" s="71" t="s">
        <v>1131</v>
      </c>
      <c r="C171" s="55"/>
      <c r="D171" s="48">
        <f>'[10]Rev_SP-12me'!AQ187</f>
        <v>0</v>
      </c>
      <c r="E171" s="48">
        <f>'[10]Rev_SP-12me'!AT187</f>
        <v>0</v>
      </c>
      <c r="F171" s="48">
        <f>'[10]Rev_SP-12me'!AU187</f>
        <v>0</v>
      </c>
      <c r="G171" s="48">
        <f>'[10]Rev_SP-12me'!AW187</f>
        <v>0</v>
      </c>
      <c r="H171" s="8"/>
      <c r="I171" s="24">
        <f t="shared" si="11"/>
        <v>0</v>
      </c>
      <c r="J171" s="48">
        <v>0</v>
      </c>
      <c r="K171" s="48">
        <v>0</v>
      </c>
      <c r="L171" s="48">
        <v>0</v>
      </c>
      <c r="M171" s="8"/>
      <c r="N171" s="61">
        <f t="shared" si="13"/>
        <v>0</v>
      </c>
      <c r="O171" s="60"/>
    </row>
    <row r="172" ht="15" spans="2:15">
      <c r="B172" s="71" t="s">
        <v>1132</v>
      </c>
      <c r="C172" s="55"/>
      <c r="D172" s="48">
        <f>'[10]Rev_SP-12me'!AQ188</f>
        <v>0</v>
      </c>
      <c r="E172" s="48">
        <f>'[10]Rev_SP-12me'!AT188</f>
        <v>0</v>
      </c>
      <c r="F172" s="48">
        <f>'[10]Rev_SP-12me'!AU188</f>
        <v>0</v>
      </c>
      <c r="G172" s="48">
        <f>'[10]Rev_SP-12me'!AW188</f>
        <v>0</v>
      </c>
      <c r="H172" s="8"/>
      <c r="I172" s="24">
        <f t="shared" si="11"/>
        <v>0</v>
      </c>
      <c r="J172" s="48">
        <v>0</v>
      </c>
      <c r="K172" s="48">
        <v>0</v>
      </c>
      <c r="L172" s="48">
        <v>0</v>
      </c>
      <c r="M172" s="8"/>
      <c r="N172" s="61">
        <f t="shared" si="13"/>
        <v>0</v>
      </c>
      <c r="O172" s="60"/>
    </row>
    <row r="173" ht="15" spans="2:15">
      <c r="B173" s="71" t="s">
        <v>919</v>
      </c>
      <c r="C173" s="55"/>
      <c r="D173" s="48">
        <f>'[10]Rev_SP-12me'!AQ189</f>
        <v>150.12</v>
      </c>
      <c r="E173" s="48">
        <f>'[10]Rev_SP-12me'!AT189</f>
        <v>15.7204689413823</v>
      </c>
      <c r="F173" s="48">
        <f>'[10]Rev_SP-12me'!AU189</f>
        <v>109.5876</v>
      </c>
      <c r="G173" s="48">
        <f>'[10]Rev_SP-12me'!AW189</f>
        <v>0.0990709176701364</v>
      </c>
      <c r="H173" s="8"/>
      <c r="I173" s="24">
        <f t="shared" si="11"/>
        <v>125.407139859052</v>
      </c>
      <c r="J173" s="48">
        <v>15.7204689413823</v>
      </c>
      <c r="K173" s="48">
        <v>109.5876</v>
      </c>
      <c r="L173" s="48">
        <v>0.0990709176701364</v>
      </c>
      <c r="M173" s="8"/>
      <c r="N173" s="61">
        <f t="shared" si="13"/>
        <v>125.407139859052</v>
      </c>
      <c r="O173" s="60">
        <f>N173*10/D173</f>
        <v>8.3537929562385</v>
      </c>
    </row>
    <row r="174" ht="15" spans="2:15">
      <c r="B174" s="71" t="s">
        <v>1133</v>
      </c>
      <c r="C174" s="55"/>
      <c r="D174" s="48">
        <f>'[10]Rev_SP-12me'!AQ190</f>
        <v>44.46</v>
      </c>
      <c r="E174" s="48">
        <f>'[10]Rev_SP-12me'!AT190</f>
        <v>11.4760096610311</v>
      </c>
      <c r="F174" s="48">
        <f>'[10]Rev_SP-12me'!AU190</f>
        <v>48.906</v>
      </c>
      <c r="G174" s="48">
        <f>'[10]Rev_SP-12me'!AW190</f>
        <v>0.0361333333333333</v>
      </c>
      <c r="H174" s="8"/>
      <c r="I174" s="24">
        <f t="shared" si="11"/>
        <v>60.4181429943644</v>
      </c>
      <c r="J174" s="48">
        <v>11.4760096610311</v>
      </c>
      <c r="K174" s="48">
        <v>48.906</v>
      </c>
      <c r="L174" s="48">
        <v>0.0361333333333333</v>
      </c>
      <c r="M174" s="8"/>
      <c r="N174" s="61">
        <f t="shared" si="13"/>
        <v>60.4181429943644</v>
      </c>
      <c r="O174" s="60">
        <f>N174*10/D174</f>
        <v>13.5893259096636</v>
      </c>
    </row>
    <row r="175" ht="15" spans="2:15">
      <c r="B175" s="77" t="s">
        <v>1151</v>
      </c>
      <c r="C175" s="55"/>
      <c r="D175" s="78">
        <f t="shared" ref="D175:I175" si="14">SUM(D130,D144,D149,D150,D156,D161,D166,D168,D170,D171,D172,D173,D174)</f>
        <v>8207.51663808032</v>
      </c>
      <c r="E175" s="80">
        <f t="shared" si="14"/>
        <v>1000.69569838023</v>
      </c>
      <c r="F175" s="80">
        <f t="shared" si="14"/>
        <v>6016.00888859418</v>
      </c>
      <c r="G175" s="80">
        <f t="shared" si="14"/>
        <v>2.75692377403708</v>
      </c>
      <c r="H175" s="78">
        <f t="shared" si="14"/>
        <v>0</v>
      </c>
      <c r="I175" s="78">
        <f t="shared" si="14"/>
        <v>7019.46151074845</v>
      </c>
      <c r="J175" s="80">
        <v>1000.69569838023</v>
      </c>
      <c r="K175" s="80">
        <v>6016.00888859417</v>
      </c>
      <c r="L175" s="80">
        <v>2.75692377403708</v>
      </c>
      <c r="M175" s="78"/>
      <c r="N175" s="61">
        <f t="shared" si="13"/>
        <v>7019.46151074844</v>
      </c>
      <c r="O175" s="60">
        <f>N175*10/D175</f>
        <v>8.55247917278695</v>
      </c>
    </row>
    <row r="176" spans="2:15">
      <c r="B176" s="55"/>
      <c r="C176" s="55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61">
        <f t="shared" si="13"/>
        <v>0</v>
      </c>
      <c r="O176" s="60"/>
    </row>
    <row r="177" spans="2:15">
      <c r="B177" s="71" t="s">
        <v>1152</v>
      </c>
      <c r="C177" s="55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61">
        <f t="shared" si="13"/>
        <v>0</v>
      </c>
      <c r="O177" s="60"/>
    </row>
    <row r="178" ht="15" spans="2:15">
      <c r="B178" s="71" t="s">
        <v>1137</v>
      </c>
      <c r="C178" s="55"/>
      <c r="D178" s="48">
        <f>'[10]Rev_SP-12me'!AQ208</f>
        <v>4759.99343954088</v>
      </c>
      <c r="E178" s="48">
        <f>'[10]Rev_SP-12me'!AT208</f>
        <v>307.990157474177</v>
      </c>
      <c r="F178" s="48">
        <f>'[10]Rev_SP-12me'!AU208</f>
        <v>3155.61119090431</v>
      </c>
      <c r="G178" s="48">
        <f>'[10]Rev_SP-12me'!AW208</f>
        <v>0.304110858558894</v>
      </c>
      <c r="H178" s="8"/>
      <c r="I178" s="24">
        <f t="shared" ref="I178:I219" si="15">SUM(E178:H178)</f>
        <v>3463.90545923705</v>
      </c>
      <c r="J178" s="48">
        <v>307.990157474177</v>
      </c>
      <c r="K178" s="48">
        <v>3155.61119090431</v>
      </c>
      <c r="L178" s="48">
        <v>0.304110858558894</v>
      </c>
      <c r="M178" s="8"/>
      <c r="N178" s="61">
        <f t="shared" si="13"/>
        <v>3463.90545923705</v>
      </c>
      <c r="O178" s="60">
        <f>N178*10/D178</f>
        <v>7.27712233899876</v>
      </c>
    </row>
    <row r="179" spans="2:15">
      <c r="B179" s="74" t="s">
        <v>1105</v>
      </c>
      <c r="C179" s="55"/>
      <c r="D179" s="51">
        <f>'[10]Rev_SP-12me'!AQ209</f>
        <v>2201.19698734249</v>
      </c>
      <c r="E179" s="51">
        <f>'[10]Rev_SP-12me'!AT209</f>
        <v>307.990157474177</v>
      </c>
      <c r="F179" s="51">
        <f>'[10]Rev_SP-12me'!AU209</f>
        <v>1463.79599658275</v>
      </c>
      <c r="G179" s="51">
        <f>'[10]Rev_SP-12me'!AW209</f>
        <v>0.304110858558894</v>
      </c>
      <c r="H179" s="8"/>
      <c r="I179" s="24">
        <f t="shared" si="15"/>
        <v>1772.09026491549</v>
      </c>
      <c r="J179" s="51">
        <v>307.990157474177</v>
      </c>
      <c r="K179" s="51">
        <v>1463.79599658275</v>
      </c>
      <c r="L179" s="51">
        <v>0.304110858558894</v>
      </c>
      <c r="M179" s="8"/>
      <c r="N179" s="61">
        <f t="shared" si="13"/>
        <v>1772.09026491549</v>
      </c>
      <c r="O179" s="60">
        <f>N179*10/D179</f>
        <v>8.05057555096391</v>
      </c>
    </row>
    <row r="180" spans="2:15">
      <c r="B180" s="74" t="s">
        <v>1139</v>
      </c>
      <c r="C180" s="55"/>
      <c r="D180" s="53">
        <f>'[10]Rev_SP-12me'!AQ210</f>
        <v>0</v>
      </c>
      <c r="E180" s="53">
        <f>'[10]Rev_SP-12me'!AT210</f>
        <v>0</v>
      </c>
      <c r="F180" s="53">
        <f>'[10]Rev_SP-12me'!AU210</f>
        <v>0</v>
      </c>
      <c r="G180" s="53">
        <f>'[10]Rev_SP-12me'!AW210</f>
        <v>0</v>
      </c>
      <c r="H180" s="8"/>
      <c r="I180" s="24">
        <f t="shared" si="15"/>
        <v>0</v>
      </c>
      <c r="J180" s="53">
        <v>0</v>
      </c>
      <c r="K180" s="53">
        <v>0</v>
      </c>
      <c r="L180" s="53">
        <v>0</v>
      </c>
      <c r="M180" s="8"/>
      <c r="N180" s="61">
        <f t="shared" si="13"/>
        <v>0</v>
      </c>
      <c r="O180" s="60"/>
    </row>
    <row r="181" spans="2:15">
      <c r="B181" s="74" t="s">
        <v>1140</v>
      </c>
      <c r="C181" s="55"/>
      <c r="D181" s="53">
        <f>'[10]Rev_SP-12me'!AQ211</f>
        <v>0</v>
      </c>
      <c r="E181" s="53">
        <f>'[10]Rev_SP-12me'!AT211</f>
        <v>0</v>
      </c>
      <c r="F181" s="53">
        <f>'[10]Rev_SP-12me'!AU211</f>
        <v>0</v>
      </c>
      <c r="G181" s="53">
        <f>'[10]Rev_SP-12me'!AW211</f>
        <v>0</v>
      </c>
      <c r="H181" s="8"/>
      <c r="I181" s="24">
        <f t="shared" si="15"/>
        <v>0</v>
      </c>
      <c r="J181" s="53">
        <v>0</v>
      </c>
      <c r="K181" s="53">
        <v>0</v>
      </c>
      <c r="L181" s="53">
        <v>0</v>
      </c>
      <c r="M181" s="8"/>
      <c r="N181" s="61">
        <f t="shared" si="13"/>
        <v>0</v>
      </c>
      <c r="O181" s="60"/>
    </row>
    <row r="182" spans="2:15">
      <c r="B182" s="74" t="s">
        <v>1141</v>
      </c>
      <c r="C182" s="55"/>
      <c r="D182" s="53">
        <f>'[10]Rev_SP-12me'!AQ212</f>
        <v>0</v>
      </c>
      <c r="E182" s="53">
        <f>'[10]Rev_SP-12me'!AT212</f>
        <v>0</v>
      </c>
      <c r="F182" s="53">
        <f>'[10]Rev_SP-12me'!AU212</f>
        <v>0</v>
      </c>
      <c r="G182" s="53">
        <f>'[10]Rev_SP-12me'!AW212</f>
        <v>0</v>
      </c>
      <c r="H182" s="8"/>
      <c r="I182" s="24">
        <f t="shared" si="15"/>
        <v>0</v>
      </c>
      <c r="J182" s="53">
        <v>0</v>
      </c>
      <c r="K182" s="53">
        <v>0</v>
      </c>
      <c r="L182" s="53">
        <v>0</v>
      </c>
      <c r="M182" s="8"/>
      <c r="N182" s="61">
        <f t="shared" si="13"/>
        <v>0</v>
      </c>
      <c r="O182" s="60"/>
    </row>
    <row r="183" spans="2:15">
      <c r="B183" s="76" t="s">
        <v>1120</v>
      </c>
      <c r="C183" s="55"/>
      <c r="D183" s="53">
        <f>'[10]Rev_SP-12me'!AQ213</f>
        <v>648.11135665373</v>
      </c>
      <c r="E183" s="53">
        <f>'[10]Rev_SP-12me'!AT213</f>
        <v>0</v>
      </c>
      <c r="F183" s="53">
        <f>'[10]Rev_SP-12me'!AU213</f>
        <v>495.805187840103</v>
      </c>
      <c r="G183" s="53">
        <f>'[10]Rev_SP-12me'!AW213</f>
        <v>0</v>
      </c>
      <c r="H183" s="8"/>
      <c r="I183" s="24">
        <f t="shared" si="15"/>
        <v>495.805187840103</v>
      </c>
      <c r="J183" s="53">
        <v>0</v>
      </c>
      <c r="K183" s="53">
        <v>495.805187840103</v>
      </c>
      <c r="L183" s="53">
        <v>0</v>
      </c>
      <c r="M183" s="8"/>
      <c r="N183" s="61">
        <f t="shared" si="13"/>
        <v>495.805187840103</v>
      </c>
      <c r="O183" s="60">
        <f t="shared" ref="O183:O196" si="16">N183*10/D183</f>
        <v>7.64999999999999</v>
      </c>
    </row>
    <row r="184" spans="2:15">
      <c r="B184" s="76" t="s">
        <v>1121</v>
      </c>
      <c r="C184" s="55"/>
      <c r="D184" s="53">
        <f>'[10]Rev_SP-12me'!AQ214</f>
        <v>582.364637493587</v>
      </c>
      <c r="E184" s="53">
        <f>'[10]Rev_SP-12me'!AT214</f>
        <v>0</v>
      </c>
      <c r="F184" s="53">
        <f>'[10]Rev_SP-12me'!AU214</f>
        <v>445.508947682594</v>
      </c>
      <c r="G184" s="53">
        <f>'[10]Rev_SP-12me'!AW214</f>
        <v>0</v>
      </c>
      <c r="H184" s="8"/>
      <c r="I184" s="24">
        <f t="shared" si="15"/>
        <v>445.508947682594</v>
      </c>
      <c r="J184" s="53">
        <v>0</v>
      </c>
      <c r="K184" s="53">
        <v>445.508947682594</v>
      </c>
      <c r="L184" s="53">
        <v>0</v>
      </c>
      <c r="M184" s="8"/>
      <c r="N184" s="61">
        <f t="shared" si="13"/>
        <v>445.508947682594</v>
      </c>
      <c r="O184" s="60">
        <f t="shared" si="16"/>
        <v>7.65</v>
      </c>
    </row>
    <row r="185" spans="2:15">
      <c r="B185" s="76" t="s">
        <v>1122</v>
      </c>
      <c r="C185" s="55"/>
      <c r="D185" s="53">
        <f>'[10]Rev_SP-12me'!AQ215</f>
        <v>1328.32045805108</v>
      </c>
      <c r="E185" s="53">
        <f>'[10]Rev_SP-12me'!AT215</f>
        <v>0</v>
      </c>
      <c r="F185" s="53">
        <f>'[10]Rev_SP-12me'!AU215</f>
        <v>750.501058798861</v>
      </c>
      <c r="G185" s="53">
        <f>'[10]Rev_SP-12me'!AW215</f>
        <v>0</v>
      </c>
      <c r="H185" s="8"/>
      <c r="I185" s="24">
        <f t="shared" si="15"/>
        <v>750.501058798861</v>
      </c>
      <c r="J185" s="53">
        <v>0</v>
      </c>
      <c r="K185" s="53">
        <v>750.501058798861</v>
      </c>
      <c r="L185" s="53">
        <v>0</v>
      </c>
      <c r="M185" s="8"/>
      <c r="N185" s="61">
        <f t="shared" si="13"/>
        <v>750.501058798861</v>
      </c>
      <c r="O185" s="60">
        <f t="shared" si="16"/>
        <v>5.65000000000001</v>
      </c>
    </row>
    <row r="186" ht="15" spans="2:15">
      <c r="B186" s="71" t="s">
        <v>1118</v>
      </c>
      <c r="C186" s="55"/>
      <c r="D186" s="48">
        <f>'[10]Rev_SP-12me'!AQ217</f>
        <v>1380.88347531764</v>
      </c>
      <c r="E186" s="48">
        <f>'[10]Rev_SP-12me'!AT217</f>
        <v>68.821501711483</v>
      </c>
      <c r="F186" s="48">
        <f>'[10]Rev_SP-12me'!AU217</f>
        <v>919.034650156581</v>
      </c>
      <c r="G186" s="48">
        <f>'[10]Rev_SP-12me'!AW217</f>
        <v>0</v>
      </c>
      <c r="H186" s="8"/>
      <c r="I186" s="24">
        <f t="shared" si="15"/>
        <v>987.856151868064</v>
      </c>
      <c r="J186" s="48">
        <v>68.821501711483</v>
      </c>
      <c r="K186" s="48">
        <v>919.034650156581</v>
      </c>
      <c r="L186" s="48">
        <v>0</v>
      </c>
      <c r="M186" s="8"/>
      <c r="N186" s="61">
        <f t="shared" si="13"/>
        <v>987.856151868064</v>
      </c>
      <c r="O186" s="60">
        <f t="shared" si="16"/>
        <v>7.15379805411047</v>
      </c>
    </row>
    <row r="187" spans="2:15">
      <c r="B187" s="74" t="s">
        <v>1119</v>
      </c>
      <c r="C187" s="55"/>
      <c r="D187" s="84">
        <f>'[10]Rev_SP-12me'!AQ218</f>
        <v>468.058543847866</v>
      </c>
      <c r="E187" s="85">
        <f>'[10]Rev_SP-12me'!AT218</f>
        <v>68.821501711483</v>
      </c>
      <c r="F187" s="85">
        <f>'[10]Rev_SP-12me'!AU218</f>
        <v>311.258931658831</v>
      </c>
      <c r="G187" s="85">
        <f>'[10]Rev_SP-12me'!AW218</f>
        <v>0</v>
      </c>
      <c r="H187" s="8"/>
      <c r="I187" s="24">
        <f t="shared" si="15"/>
        <v>380.080433370314</v>
      </c>
      <c r="J187" s="85">
        <v>68.821501711483</v>
      </c>
      <c r="K187" s="85">
        <v>311.258931658831</v>
      </c>
      <c r="L187" s="85">
        <v>0</v>
      </c>
      <c r="M187" s="8"/>
      <c r="N187" s="61">
        <f t="shared" si="13"/>
        <v>380.080433370314</v>
      </c>
      <c r="O187" s="60">
        <f t="shared" si="16"/>
        <v>8.120360975482</v>
      </c>
    </row>
    <row r="188" spans="2:15">
      <c r="B188" s="74" t="s">
        <v>1120</v>
      </c>
      <c r="C188" s="55"/>
      <c r="D188" s="84">
        <f>'[10]Rev_SP-12me'!AQ219</f>
        <v>228.715826918976</v>
      </c>
      <c r="E188" s="86">
        <f>'[10]Rev_SP-12me'!AT219</f>
        <v>0</v>
      </c>
      <c r="F188" s="86">
        <f>'[10]Rev_SP-12me'!AU219</f>
        <v>174.967607593016</v>
      </c>
      <c r="G188" s="86">
        <f>'[10]Rev_SP-12me'!AW219</f>
        <v>0</v>
      </c>
      <c r="H188" s="8"/>
      <c r="I188" s="24">
        <f t="shared" si="15"/>
        <v>174.967607593016</v>
      </c>
      <c r="J188" s="86">
        <v>0</v>
      </c>
      <c r="K188" s="86">
        <v>174.967607593016</v>
      </c>
      <c r="L188" s="86">
        <v>0</v>
      </c>
      <c r="M188" s="8"/>
      <c r="N188" s="61">
        <f t="shared" si="13"/>
        <v>174.967607593016</v>
      </c>
      <c r="O188" s="60">
        <f t="shared" si="16"/>
        <v>7.64999999999997</v>
      </c>
    </row>
    <row r="189" spans="2:15">
      <c r="B189" s="74" t="s">
        <v>1121</v>
      </c>
      <c r="C189" s="55"/>
      <c r="D189" s="84">
        <f>'[10]Rev_SP-12me'!AQ220</f>
        <v>231.432334167668</v>
      </c>
      <c r="E189" s="86">
        <f>'[10]Rev_SP-12me'!AT220</f>
        <v>0</v>
      </c>
      <c r="F189" s="86">
        <f>'[10]Rev_SP-12me'!AU220</f>
        <v>177.045735638266</v>
      </c>
      <c r="G189" s="86">
        <f>'[10]Rev_SP-12me'!AW220</f>
        <v>0</v>
      </c>
      <c r="H189" s="8"/>
      <c r="I189" s="24">
        <f t="shared" si="15"/>
        <v>177.045735638266</v>
      </c>
      <c r="J189" s="86">
        <v>0</v>
      </c>
      <c r="K189" s="86">
        <v>177.045735638266</v>
      </c>
      <c r="L189" s="86">
        <v>0</v>
      </c>
      <c r="M189" s="8"/>
      <c r="N189" s="61">
        <f t="shared" si="13"/>
        <v>177.045735638266</v>
      </c>
      <c r="O189" s="60">
        <f t="shared" si="16"/>
        <v>7.65</v>
      </c>
    </row>
    <row r="190" spans="2:15">
      <c r="B190" s="74" t="s">
        <v>1122</v>
      </c>
      <c r="C190" s="55"/>
      <c r="D190" s="84">
        <f>'[10]Rev_SP-12me'!AQ221</f>
        <v>452.67677038313</v>
      </c>
      <c r="E190" s="86">
        <f>'[10]Rev_SP-12me'!AT221</f>
        <v>0</v>
      </c>
      <c r="F190" s="86">
        <f>'[10]Rev_SP-12me'!AU221</f>
        <v>255.762375266468</v>
      </c>
      <c r="G190" s="86">
        <f>'[10]Rev_SP-12me'!AW221</f>
        <v>0</v>
      </c>
      <c r="H190" s="8"/>
      <c r="I190" s="24">
        <f t="shared" si="15"/>
        <v>255.762375266468</v>
      </c>
      <c r="J190" s="86">
        <v>0</v>
      </c>
      <c r="K190" s="86">
        <v>255.762375266468</v>
      </c>
      <c r="L190" s="86">
        <v>0</v>
      </c>
      <c r="M190" s="8"/>
      <c r="N190" s="61">
        <f t="shared" si="13"/>
        <v>255.762375266468</v>
      </c>
      <c r="O190" s="60">
        <f t="shared" si="16"/>
        <v>5.64999999999999</v>
      </c>
    </row>
    <row r="191" ht="15" spans="2:15">
      <c r="B191" s="71" t="s">
        <v>1153</v>
      </c>
      <c r="C191" s="55"/>
      <c r="D191" s="48">
        <f>'[10]Rev_SP-12me'!AQ216</f>
        <v>181.2065</v>
      </c>
      <c r="E191" s="48">
        <f>'[10]Rev_SP-12me'!AT216</f>
        <v>30.7570398126464</v>
      </c>
      <c r="F191" s="48">
        <f>'[10]Rev_SP-12me'!AU216</f>
        <v>120.5023225</v>
      </c>
      <c r="G191" s="48">
        <f>'[10]Rev_SP-12me'!AW216</f>
        <v>0.012</v>
      </c>
      <c r="H191" s="8"/>
      <c r="I191" s="24">
        <f t="shared" si="15"/>
        <v>151.271362312646</v>
      </c>
      <c r="J191" s="48">
        <v>30.7570398126464</v>
      </c>
      <c r="K191" s="48">
        <v>120.5023225</v>
      </c>
      <c r="L191" s="48">
        <v>0.012</v>
      </c>
      <c r="M191" s="8"/>
      <c r="N191" s="61">
        <f t="shared" si="13"/>
        <v>151.271362312646</v>
      </c>
      <c r="O191" s="60">
        <f t="shared" si="16"/>
        <v>8.34800971889234</v>
      </c>
    </row>
    <row r="192" ht="15" spans="2:15">
      <c r="B192" s="71" t="s">
        <v>1154</v>
      </c>
      <c r="C192" s="55"/>
      <c r="D192" s="48">
        <f>'[10]Rev_SP-12me'!AQ222</f>
        <v>61.3754926841118</v>
      </c>
      <c r="E192" s="48">
        <f>'[10]Rev_SP-12me'!AT222</f>
        <v>9.15995954310553</v>
      </c>
      <c r="F192" s="48">
        <f>'[10]Rev_SP-12me'!AU222</f>
        <v>48.3289618582509</v>
      </c>
      <c r="G192" s="48">
        <f>'[10]Rev_SP-12me'!AW222</f>
        <v>0.0271866093643972</v>
      </c>
      <c r="H192" s="8"/>
      <c r="I192" s="24">
        <f t="shared" si="15"/>
        <v>57.5161080107208</v>
      </c>
      <c r="J192" s="48">
        <v>9.15995954310553</v>
      </c>
      <c r="K192" s="48">
        <v>48.3289618582509</v>
      </c>
      <c r="L192" s="48">
        <v>0.0271866093643972</v>
      </c>
      <c r="M192" s="8"/>
      <c r="N192" s="61">
        <f t="shared" si="13"/>
        <v>57.5161080107208</v>
      </c>
      <c r="O192" s="60">
        <f t="shared" si="16"/>
        <v>9.37118473439317</v>
      </c>
    </row>
    <row r="193" spans="2:15">
      <c r="B193" s="76" t="s">
        <v>1119</v>
      </c>
      <c r="C193" s="55"/>
      <c r="D193" s="53">
        <f>'[10]Rev_SP-12me'!AQ223</f>
        <v>28.6437601284902</v>
      </c>
      <c r="E193" s="53">
        <f>'[10]Rev_SP-12me'!AT223</f>
        <v>9.15995954310553</v>
      </c>
      <c r="F193" s="53">
        <f>'[10]Rev_SP-12me'!AU223</f>
        <v>22.3421329002223</v>
      </c>
      <c r="G193" s="53">
        <f>'[10]Rev_SP-12me'!AW223</f>
        <v>0.0271866093643972</v>
      </c>
      <c r="H193" s="8"/>
      <c r="I193" s="24">
        <f t="shared" si="15"/>
        <v>31.5292790526922</v>
      </c>
      <c r="J193" s="53">
        <v>9.15995954310553</v>
      </c>
      <c r="K193" s="53">
        <v>22.3421329002223</v>
      </c>
      <c r="L193" s="53">
        <v>0.0271866093643972</v>
      </c>
      <c r="M193" s="8"/>
      <c r="N193" s="61">
        <f t="shared" si="13"/>
        <v>31.5292790526922</v>
      </c>
      <c r="O193" s="60">
        <f t="shared" si="16"/>
        <v>11.0073813323594</v>
      </c>
    </row>
    <row r="194" spans="2:15">
      <c r="B194" s="76" t="s">
        <v>1120</v>
      </c>
      <c r="C194" s="55"/>
      <c r="D194" s="53">
        <f>'[10]Rev_SP-12me'!AQ224</f>
        <v>8.93540127772087</v>
      </c>
      <c r="E194" s="53">
        <f>'[10]Rev_SP-12me'!AT224</f>
        <v>0</v>
      </c>
      <c r="F194" s="53">
        <f>'[10]Rev_SP-12me'!AU224</f>
        <v>7.86315312439437</v>
      </c>
      <c r="G194" s="53">
        <f>'[10]Rev_SP-12me'!AW224</f>
        <v>0</v>
      </c>
      <c r="H194" s="8"/>
      <c r="I194" s="24">
        <f t="shared" si="15"/>
        <v>7.86315312439437</v>
      </c>
      <c r="J194" s="53">
        <v>0</v>
      </c>
      <c r="K194" s="53">
        <v>7.86315312439437</v>
      </c>
      <c r="L194" s="53">
        <v>0</v>
      </c>
      <c r="M194" s="8"/>
      <c r="N194" s="61">
        <f t="shared" si="13"/>
        <v>7.86315312439437</v>
      </c>
      <c r="O194" s="60">
        <f t="shared" si="16"/>
        <v>8.80000000000001</v>
      </c>
    </row>
    <row r="195" spans="2:15">
      <c r="B195" s="76" t="s">
        <v>1121</v>
      </c>
      <c r="C195" s="55"/>
      <c r="D195" s="53">
        <f>'[10]Rev_SP-12me'!AQ225</f>
        <v>9.71085282330852</v>
      </c>
      <c r="E195" s="53">
        <f>'[10]Rev_SP-12me'!AT225</f>
        <v>0</v>
      </c>
      <c r="F195" s="53">
        <f>'[10]Rev_SP-12me'!AU225</f>
        <v>8.5455504845115</v>
      </c>
      <c r="G195" s="53">
        <f>'[10]Rev_SP-12me'!AW225</f>
        <v>0</v>
      </c>
      <c r="H195" s="8"/>
      <c r="I195" s="24">
        <f t="shared" si="15"/>
        <v>8.5455504845115</v>
      </c>
      <c r="J195" s="53">
        <v>0</v>
      </c>
      <c r="K195" s="53">
        <v>8.5455504845115</v>
      </c>
      <c r="L195" s="53">
        <v>0</v>
      </c>
      <c r="M195" s="8"/>
      <c r="N195" s="61">
        <f t="shared" si="13"/>
        <v>8.5455504845115</v>
      </c>
      <c r="O195" s="60">
        <f t="shared" si="16"/>
        <v>8.8</v>
      </c>
    </row>
    <row r="196" spans="2:15">
      <c r="B196" s="76" t="s">
        <v>1122</v>
      </c>
      <c r="C196" s="55"/>
      <c r="D196" s="53">
        <f>'[10]Rev_SP-12me'!AQ226</f>
        <v>14.0854784545922</v>
      </c>
      <c r="E196" s="53">
        <f>'[10]Rev_SP-12me'!AT226</f>
        <v>0</v>
      </c>
      <c r="F196" s="53">
        <f>'[10]Rev_SP-12me'!AU226</f>
        <v>9.57812534912273</v>
      </c>
      <c r="G196" s="53">
        <f>'[10]Rev_SP-12me'!AW226</f>
        <v>0</v>
      </c>
      <c r="H196" s="8"/>
      <c r="I196" s="24">
        <f t="shared" si="15"/>
        <v>9.57812534912273</v>
      </c>
      <c r="J196" s="53">
        <v>0</v>
      </c>
      <c r="K196" s="53">
        <v>9.57812534912273</v>
      </c>
      <c r="L196" s="53">
        <v>0</v>
      </c>
      <c r="M196" s="8"/>
      <c r="N196" s="61">
        <f t="shared" si="13"/>
        <v>9.57812534912273</v>
      </c>
      <c r="O196" s="60">
        <f t="shared" si="16"/>
        <v>6.80000000000002</v>
      </c>
    </row>
    <row r="197" ht="15" spans="2:15">
      <c r="B197" s="71" t="s">
        <v>1125</v>
      </c>
      <c r="C197" s="55"/>
      <c r="D197" s="48">
        <f>'[10]Rev_SP-12me'!AQ227</f>
        <v>0</v>
      </c>
      <c r="E197" s="48">
        <f>'[10]Rev_SP-12me'!AT227</f>
        <v>0</v>
      </c>
      <c r="F197" s="48">
        <f>'[10]Rev_SP-12me'!AU227</f>
        <v>0</v>
      </c>
      <c r="G197" s="48">
        <f>'[10]Rev_SP-12me'!AW227</f>
        <v>0</v>
      </c>
      <c r="H197" s="8"/>
      <c r="I197" s="24">
        <f t="shared" si="15"/>
        <v>0</v>
      </c>
      <c r="J197" s="48">
        <v>0</v>
      </c>
      <c r="K197" s="48">
        <v>0</v>
      </c>
      <c r="L197" s="48">
        <v>0</v>
      </c>
      <c r="M197" s="8"/>
      <c r="N197" s="61">
        <f t="shared" si="13"/>
        <v>0</v>
      </c>
      <c r="O197" s="60"/>
    </row>
    <row r="198" spans="2:15">
      <c r="B198" s="74" t="s">
        <v>1119</v>
      </c>
      <c r="C198" s="55"/>
      <c r="D198" s="53">
        <f>'[10]Rev_SP-12me'!AQ228</f>
        <v>0</v>
      </c>
      <c r="E198" s="53">
        <f>'[10]Rev_SP-12me'!AT228</f>
        <v>0</v>
      </c>
      <c r="F198" s="53">
        <f>'[10]Rev_SP-12me'!AU228</f>
        <v>0</v>
      </c>
      <c r="G198" s="53">
        <f>'[10]Rev_SP-12me'!AW228</f>
        <v>0</v>
      </c>
      <c r="H198" s="8"/>
      <c r="I198" s="24">
        <f t="shared" si="15"/>
        <v>0</v>
      </c>
      <c r="J198" s="53">
        <v>0</v>
      </c>
      <c r="K198" s="53">
        <v>0</v>
      </c>
      <c r="L198" s="53">
        <v>0</v>
      </c>
      <c r="M198" s="8"/>
      <c r="N198" s="61">
        <f t="shared" si="13"/>
        <v>0</v>
      </c>
      <c r="O198" s="60"/>
    </row>
    <row r="199" spans="2:15">
      <c r="B199" s="74" t="s">
        <v>1120</v>
      </c>
      <c r="C199" s="55"/>
      <c r="D199" s="53">
        <f>'[10]Rev_SP-12me'!AQ229</f>
        <v>0</v>
      </c>
      <c r="E199" s="53">
        <f>'[10]Rev_SP-12me'!AT229</f>
        <v>0</v>
      </c>
      <c r="F199" s="53">
        <f>'[10]Rev_SP-12me'!AU229</f>
        <v>0</v>
      </c>
      <c r="G199" s="53">
        <f>'[10]Rev_SP-12me'!AW229</f>
        <v>0</v>
      </c>
      <c r="H199" s="8"/>
      <c r="I199" s="24">
        <f t="shared" si="15"/>
        <v>0</v>
      </c>
      <c r="J199" s="53">
        <v>0</v>
      </c>
      <c r="K199" s="53">
        <v>0</v>
      </c>
      <c r="L199" s="53">
        <v>0</v>
      </c>
      <c r="M199" s="8"/>
      <c r="N199" s="61">
        <f t="shared" si="13"/>
        <v>0</v>
      </c>
      <c r="O199" s="60"/>
    </row>
    <row r="200" spans="2:15">
      <c r="B200" s="74" t="s">
        <v>1121</v>
      </c>
      <c r="C200" s="55"/>
      <c r="D200" s="53">
        <f>'[10]Rev_SP-12me'!AQ230</f>
        <v>0</v>
      </c>
      <c r="E200" s="53">
        <f>'[10]Rev_SP-12me'!AT230</f>
        <v>0</v>
      </c>
      <c r="F200" s="53">
        <f>'[10]Rev_SP-12me'!AU230</f>
        <v>0</v>
      </c>
      <c r="G200" s="53">
        <f>'[10]Rev_SP-12me'!AW230</f>
        <v>0</v>
      </c>
      <c r="H200" s="8"/>
      <c r="I200" s="24">
        <f t="shared" si="15"/>
        <v>0</v>
      </c>
      <c r="J200" s="53">
        <v>0</v>
      </c>
      <c r="K200" s="53">
        <v>0</v>
      </c>
      <c r="L200" s="53">
        <v>0</v>
      </c>
      <c r="M200" s="8"/>
      <c r="N200" s="61">
        <f t="shared" si="13"/>
        <v>0</v>
      </c>
      <c r="O200" s="60"/>
    </row>
    <row r="201" spans="2:15">
      <c r="B201" s="74" t="s">
        <v>1122</v>
      </c>
      <c r="C201" s="55"/>
      <c r="D201" s="53">
        <f>'[10]Rev_SP-12me'!AQ231</f>
        <v>0</v>
      </c>
      <c r="E201" s="53">
        <f>'[10]Rev_SP-12me'!AT231</f>
        <v>0</v>
      </c>
      <c r="F201" s="53">
        <f>'[10]Rev_SP-12me'!AU231</f>
        <v>0</v>
      </c>
      <c r="G201" s="53">
        <f>'[10]Rev_SP-12me'!AW231</f>
        <v>0</v>
      </c>
      <c r="H201" s="8"/>
      <c r="I201" s="24">
        <f t="shared" si="15"/>
        <v>0</v>
      </c>
      <c r="J201" s="53">
        <v>0</v>
      </c>
      <c r="K201" s="53">
        <v>0</v>
      </c>
      <c r="L201" s="53">
        <v>0</v>
      </c>
      <c r="M201" s="8"/>
      <c r="N201" s="61">
        <f t="shared" si="13"/>
        <v>0</v>
      </c>
      <c r="O201" s="60"/>
    </row>
    <row r="202" ht="15" spans="2:15">
      <c r="B202" s="71" t="s">
        <v>1126</v>
      </c>
      <c r="C202" s="55"/>
      <c r="D202" s="48">
        <f>'[10]Rev_SP-12me'!AQ232</f>
        <v>73.73</v>
      </c>
      <c r="E202" s="48">
        <f>'[10]Rev_SP-12me'!AT232</f>
        <v>5.28813559322034</v>
      </c>
      <c r="F202" s="48">
        <f>'[10]Rev_SP-12me'!AU232</f>
        <v>54.871054814338</v>
      </c>
      <c r="G202" s="48">
        <f>'[10]Rev_SP-12me'!AW232</f>
        <v>0.006</v>
      </c>
      <c r="H202" s="8"/>
      <c r="I202" s="24">
        <f t="shared" si="15"/>
        <v>60.1651904075583</v>
      </c>
      <c r="J202" s="48">
        <v>5.28813559322034</v>
      </c>
      <c r="K202" s="48">
        <v>54.871054814338</v>
      </c>
      <c r="L202" s="48">
        <v>0.006</v>
      </c>
      <c r="M202" s="8"/>
      <c r="N202" s="61">
        <f t="shared" si="13"/>
        <v>60.1651904075583</v>
      </c>
      <c r="O202" s="60">
        <f t="shared" ref="O202:O208" si="17">N202*10/D202</f>
        <v>8.16020485657919</v>
      </c>
    </row>
    <row r="203" spans="2:15">
      <c r="B203" s="76" t="s">
        <v>1119</v>
      </c>
      <c r="C203" s="55"/>
      <c r="D203" s="53">
        <f>'[10]Rev_SP-12me'!AQ233</f>
        <v>21.5140316157615</v>
      </c>
      <c r="E203" s="53">
        <f>'[10]Rev_SP-12me'!AT233</f>
        <v>5.28813559322034</v>
      </c>
      <c r="F203" s="53">
        <f>'[10]Rev_SP-12me'!AU233</f>
        <v>16.0279535537423</v>
      </c>
      <c r="G203" s="53">
        <f>'[10]Rev_SP-12me'!AW233</f>
        <v>0.006</v>
      </c>
      <c r="H203" s="8"/>
      <c r="I203" s="24">
        <f t="shared" si="15"/>
        <v>21.3220891469626</v>
      </c>
      <c r="J203" s="53">
        <v>5.28813559322034</v>
      </c>
      <c r="K203" s="53">
        <v>16.0279535537423</v>
      </c>
      <c r="L203" s="53">
        <v>0.006</v>
      </c>
      <c r="M203" s="8"/>
      <c r="N203" s="61">
        <f t="shared" ref="N203:N220" si="18">SUM(J203:M203)</f>
        <v>21.3220891469626</v>
      </c>
      <c r="O203" s="60">
        <f t="shared" si="17"/>
        <v>9.91078265932349</v>
      </c>
    </row>
    <row r="204" spans="2:15">
      <c r="B204" s="76" t="s">
        <v>1120</v>
      </c>
      <c r="C204" s="55"/>
      <c r="D204" s="53">
        <f>'[10]Rev_SP-12me'!AQ234</f>
        <v>15.3401143396855</v>
      </c>
      <c r="E204" s="53">
        <f>'[10]Rev_SP-12me'!AT234</f>
        <v>0</v>
      </c>
      <c r="F204" s="53">
        <f>'[10]Rev_SP-12me'!AU234</f>
        <v>12.9623966170342</v>
      </c>
      <c r="G204" s="53">
        <f>'[10]Rev_SP-12me'!AW234</f>
        <v>0</v>
      </c>
      <c r="H204" s="8"/>
      <c r="I204" s="24">
        <f t="shared" si="15"/>
        <v>12.9623966170342</v>
      </c>
      <c r="J204" s="53">
        <v>0</v>
      </c>
      <c r="K204" s="53">
        <v>12.9623966170342</v>
      </c>
      <c r="L204" s="53">
        <v>0</v>
      </c>
      <c r="M204" s="8"/>
      <c r="N204" s="61">
        <f t="shared" si="18"/>
        <v>12.9623966170342</v>
      </c>
      <c r="O204" s="60">
        <f t="shared" si="17"/>
        <v>8.44999999999997</v>
      </c>
    </row>
    <row r="205" spans="2:15">
      <c r="B205" s="76" t="s">
        <v>1121</v>
      </c>
      <c r="C205" s="55"/>
      <c r="D205" s="53">
        <f>'[10]Rev_SP-12me'!AQ235</f>
        <v>10.4788939241235</v>
      </c>
      <c r="E205" s="53">
        <f>'[10]Rev_SP-12me'!AT235</f>
        <v>0</v>
      </c>
      <c r="F205" s="53">
        <f>'[10]Rev_SP-12me'!AU235</f>
        <v>8.8546653658844</v>
      </c>
      <c r="G205" s="53">
        <f>'[10]Rev_SP-12me'!AW235</f>
        <v>0</v>
      </c>
      <c r="H205" s="8"/>
      <c r="I205" s="24">
        <f t="shared" si="15"/>
        <v>8.8546653658844</v>
      </c>
      <c r="J205" s="53">
        <v>0</v>
      </c>
      <c r="K205" s="53">
        <v>8.8546653658844</v>
      </c>
      <c r="L205" s="53">
        <v>0</v>
      </c>
      <c r="M205" s="8"/>
      <c r="N205" s="61">
        <f t="shared" si="18"/>
        <v>8.8546653658844</v>
      </c>
      <c r="O205" s="60">
        <f t="shared" si="17"/>
        <v>8.45000000000004</v>
      </c>
    </row>
    <row r="206" spans="2:15">
      <c r="B206" s="76" t="s">
        <v>1122</v>
      </c>
      <c r="C206" s="55"/>
      <c r="D206" s="53">
        <f>'[10]Rev_SP-12me'!AQ236</f>
        <v>26.3969601204294</v>
      </c>
      <c r="E206" s="53">
        <f>'[10]Rev_SP-12me'!AT236</f>
        <v>0</v>
      </c>
      <c r="F206" s="53">
        <f>'[10]Rev_SP-12me'!AU236</f>
        <v>17.026039277677</v>
      </c>
      <c r="G206" s="53">
        <f>'[10]Rev_SP-12me'!AW236</f>
        <v>0</v>
      </c>
      <c r="H206" s="8"/>
      <c r="I206" s="24">
        <f t="shared" si="15"/>
        <v>17.026039277677</v>
      </c>
      <c r="J206" s="53">
        <v>0</v>
      </c>
      <c r="K206" s="53">
        <v>17.026039277677</v>
      </c>
      <c r="L206" s="53">
        <v>0</v>
      </c>
      <c r="M206" s="8"/>
      <c r="N206" s="61">
        <f t="shared" si="18"/>
        <v>17.026039277677</v>
      </c>
      <c r="O206" s="60">
        <f t="shared" si="17"/>
        <v>6.45000000000001</v>
      </c>
    </row>
    <row r="207" ht="15" spans="2:15">
      <c r="B207" s="71" t="s">
        <v>1155</v>
      </c>
      <c r="C207" s="55"/>
      <c r="D207" s="48">
        <f>'[10]Rev_SP-12me'!AQ237</f>
        <v>1987.24042578501</v>
      </c>
      <c r="E207" s="48">
        <f>'[10]Rev_SP-12me'!AT237</f>
        <v>283.942435615959</v>
      </c>
      <c r="F207" s="48">
        <f>'[10]Rev_SP-12me'!AU237</f>
        <v>1251.96146824456</v>
      </c>
      <c r="G207" s="48">
        <f>'[10]Rev_SP-12me'!AW237</f>
        <v>0.115402288294932</v>
      </c>
      <c r="H207" s="8"/>
      <c r="I207" s="24">
        <f t="shared" si="15"/>
        <v>1536.01930614881</v>
      </c>
      <c r="J207" s="48">
        <v>283.942435615959</v>
      </c>
      <c r="K207" s="48">
        <v>1251.96146824456</v>
      </c>
      <c r="L207" s="48">
        <v>0.115402288294932</v>
      </c>
      <c r="M207" s="8"/>
      <c r="N207" s="61">
        <f t="shared" si="18"/>
        <v>1536.01930614881</v>
      </c>
      <c r="O207" s="60">
        <f t="shared" si="17"/>
        <v>7.72940851151439</v>
      </c>
    </row>
    <row r="208" spans="2:15">
      <c r="B208" s="74" t="s">
        <v>1128</v>
      </c>
      <c r="C208" s="55"/>
      <c r="D208" s="53">
        <f>'[10]Rev_SP-12me'!AQ238</f>
        <v>1987.24042578501</v>
      </c>
      <c r="E208" s="53">
        <f>'[10]Rev_SP-12me'!AT238</f>
        <v>283.942435615959</v>
      </c>
      <c r="F208" s="53">
        <f>'[10]Rev_SP-12me'!AU238</f>
        <v>1251.96146824456</v>
      </c>
      <c r="G208" s="53">
        <f>'[10]Rev_SP-12me'!AW238</f>
        <v>0.115402288294932</v>
      </c>
      <c r="H208" s="8"/>
      <c r="I208" s="24">
        <f t="shared" si="15"/>
        <v>1536.01930614881</v>
      </c>
      <c r="J208" s="53">
        <v>283.942435615959</v>
      </c>
      <c r="K208" s="53">
        <v>1251.96146824456</v>
      </c>
      <c r="L208" s="53">
        <v>0.115402288294932</v>
      </c>
      <c r="M208" s="8"/>
      <c r="N208" s="61">
        <f t="shared" si="18"/>
        <v>1536.01930614881</v>
      </c>
      <c r="O208" s="60">
        <f t="shared" si="17"/>
        <v>7.72940851151439</v>
      </c>
    </row>
    <row r="209" spans="2:15">
      <c r="B209" s="74" t="s">
        <v>1156</v>
      </c>
      <c r="C209" s="55"/>
      <c r="D209" s="53">
        <f>'[10]Rev_SP-12me'!AQ239</f>
        <v>0</v>
      </c>
      <c r="E209" s="53">
        <f>'[10]Rev_SP-12me'!AT239</f>
        <v>0</v>
      </c>
      <c r="F209" s="53">
        <f>'[10]Rev_SP-12me'!AU239</f>
        <v>0</v>
      </c>
      <c r="G209" s="53">
        <f>'[10]Rev_SP-12me'!AW239</f>
        <v>0</v>
      </c>
      <c r="H209" s="8"/>
      <c r="I209" s="24">
        <f t="shared" si="15"/>
        <v>0</v>
      </c>
      <c r="J209" s="53">
        <v>0</v>
      </c>
      <c r="K209" s="53">
        <v>0</v>
      </c>
      <c r="L209" s="53">
        <v>0</v>
      </c>
      <c r="M209" s="8"/>
      <c r="N209" s="61">
        <f t="shared" si="18"/>
        <v>0</v>
      </c>
      <c r="O209" s="60"/>
    </row>
    <row r="210" ht="15" spans="2:15">
      <c r="B210" s="71" t="s">
        <v>1157</v>
      </c>
      <c r="C210" s="55"/>
      <c r="D210" s="48">
        <f>'[10]Rev_SP-12me'!AQ247</f>
        <v>315.069574214991</v>
      </c>
      <c r="E210" s="48">
        <f>'[10]Rev_SP-12me'!AT247</f>
        <v>0</v>
      </c>
      <c r="F210" s="48">
        <f>'[10]Rev_SP-12me'!AU247</f>
        <v>192.192440271145</v>
      </c>
      <c r="G210" s="48">
        <f>'[10]Rev_SP-12me'!AW247</f>
        <v>0.0114512495257458</v>
      </c>
      <c r="H210" s="8"/>
      <c r="I210" s="24">
        <f t="shared" si="15"/>
        <v>192.203891520671</v>
      </c>
      <c r="J210" s="48">
        <v>0</v>
      </c>
      <c r="K210" s="48">
        <v>192.192440271145</v>
      </c>
      <c r="L210" s="48">
        <v>0.0114512495257458</v>
      </c>
      <c r="M210" s="8"/>
      <c r="N210" s="61">
        <f t="shared" si="18"/>
        <v>192.203891520671</v>
      </c>
      <c r="O210" s="60">
        <f>N210*10/D210</f>
        <v>6.10036345145528</v>
      </c>
    </row>
    <row r="211" spans="2:15">
      <c r="B211" s="74" t="s">
        <v>220</v>
      </c>
      <c r="C211" s="55"/>
      <c r="D211" s="53">
        <f>'[10]Rev_SP-12me'!AQ248</f>
        <v>315.069574214991</v>
      </c>
      <c r="E211" s="53">
        <f>'[10]Rev_SP-12me'!AT248</f>
        <v>0</v>
      </c>
      <c r="F211" s="53">
        <f>'[10]Rev_SP-12me'!AU248</f>
        <v>192.192440271145</v>
      </c>
      <c r="G211" s="53">
        <f>'[10]Rev_SP-12me'!AW248</f>
        <v>0.0114512495257458</v>
      </c>
      <c r="H211" s="8"/>
      <c r="I211" s="24">
        <f t="shared" si="15"/>
        <v>192.203891520671</v>
      </c>
      <c r="J211" s="53">
        <v>0</v>
      </c>
      <c r="K211" s="53">
        <v>192.192440271145</v>
      </c>
      <c r="L211" s="53">
        <v>0.0114512495257458</v>
      </c>
      <c r="M211" s="8"/>
      <c r="N211" s="61">
        <f t="shared" si="18"/>
        <v>192.203891520671</v>
      </c>
      <c r="O211" s="60">
        <f>N211*10/D211</f>
        <v>6.10036345145528</v>
      </c>
    </row>
    <row r="212" ht="15" spans="2:15">
      <c r="B212" s="71" t="s">
        <v>1158</v>
      </c>
      <c r="C212" s="55"/>
      <c r="D212" s="87">
        <f>'[10]Rev_SP-12me'!AQ249</f>
        <v>0</v>
      </c>
      <c r="E212" s="87">
        <f>'[10]Rev_SP-12me'!AT249</f>
        <v>0</v>
      </c>
      <c r="F212" s="87">
        <f>'[10]Rev_SP-12me'!AU249</f>
        <v>0</v>
      </c>
      <c r="G212" s="87">
        <f>'[10]Rev_SP-12me'!AW249</f>
        <v>0</v>
      </c>
      <c r="H212" s="8"/>
      <c r="I212" s="24">
        <f t="shared" si="15"/>
        <v>0</v>
      </c>
      <c r="J212" s="87">
        <v>0</v>
      </c>
      <c r="K212" s="87">
        <v>0</v>
      </c>
      <c r="L212" s="87">
        <v>0</v>
      </c>
      <c r="M212" s="8"/>
      <c r="N212" s="61">
        <f t="shared" si="18"/>
        <v>0</v>
      </c>
      <c r="O212" s="60"/>
    </row>
    <row r="213" ht="15" spans="2:15">
      <c r="B213" s="88" t="s">
        <v>1159</v>
      </c>
      <c r="C213" s="55"/>
      <c r="D213" s="48">
        <f>'[10]Rev_SP-12me'!AQ240</f>
        <v>578.14</v>
      </c>
      <c r="E213" s="48">
        <f>'[10]Rev_SP-12me'!AT240</f>
        <v>72.3020238500852</v>
      </c>
      <c r="F213" s="48">
        <f>'[10]Rev_SP-12me'!AU240</f>
        <v>290.882255997683</v>
      </c>
      <c r="G213" s="48">
        <f>'[10]Rev_SP-12me'!AW240</f>
        <v>0.106953064811212</v>
      </c>
      <c r="H213" s="8"/>
      <c r="I213" s="24">
        <f t="shared" si="15"/>
        <v>363.291232912579</v>
      </c>
      <c r="J213" s="48">
        <v>72.3020238500852</v>
      </c>
      <c r="K213" s="48">
        <v>290.882255997683</v>
      </c>
      <c r="L213" s="48">
        <v>0.106953064811212</v>
      </c>
      <c r="M213" s="8"/>
      <c r="N213" s="61">
        <f t="shared" si="18"/>
        <v>363.291232912579</v>
      </c>
      <c r="O213" s="60">
        <f>N213*10/D213</f>
        <v>6.28379342222609</v>
      </c>
    </row>
    <row r="214" spans="2:15">
      <c r="B214" s="74" t="s">
        <v>1160</v>
      </c>
      <c r="C214" s="55"/>
      <c r="D214" s="53">
        <f>'[10]Rev_SP-12me'!AQ241</f>
        <v>470.295599768328</v>
      </c>
      <c r="E214" s="53">
        <f>'[10]Rev_SP-12me'!AT241</f>
        <v>61.5390255536627</v>
      </c>
      <c r="F214" s="53">
        <f>'[10]Rev_SP-12me'!AU241</f>
        <v>237.499277883006</v>
      </c>
      <c r="G214" s="53">
        <f>'[10]Rev_SP-12me'!AW241</f>
        <v>0.0784322475282224</v>
      </c>
      <c r="H214" s="8"/>
      <c r="I214" s="24">
        <f t="shared" si="15"/>
        <v>299.116735684197</v>
      </c>
      <c r="J214" s="53">
        <v>61.5390255536627</v>
      </c>
      <c r="K214" s="53">
        <v>237.499277883006</v>
      </c>
      <c r="L214" s="53">
        <v>0.0784322475282224</v>
      </c>
      <c r="M214" s="8"/>
      <c r="N214" s="61">
        <f t="shared" si="18"/>
        <v>299.116735684197</v>
      </c>
      <c r="O214" s="60">
        <f>N214*10/D214</f>
        <v>6.360185717909</v>
      </c>
    </row>
    <row r="215" spans="2:15">
      <c r="B215" s="74" t="s">
        <v>1161</v>
      </c>
      <c r="C215" s="55"/>
      <c r="D215" s="53">
        <f>'[10]Rev_SP-12me'!AQ242</f>
        <v>0</v>
      </c>
      <c r="E215" s="53">
        <f>'[10]Rev_SP-12me'!AT242</f>
        <v>0</v>
      </c>
      <c r="F215" s="53">
        <f>'[10]Rev_SP-12me'!AU242</f>
        <v>0</v>
      </c>
      <c r="G215" s="53">
        <f>'[10]Rev_SP-12me'!AW242</f>
        <v>0</v>
      </c>
      <c r="H215" s="8"/>
      <c r="I215" s="24">
        <f t="shared" si="15"/>
        <v>0</v>
      </c>
      <c r="J215" s="53">
        <v>0</v>
      </c>
      <c r="K215" s="53">
        <v>0</v>
      </c>
      <c r="L215" s="53">
        <v>0</v>
      </c>
      <c r="M215" s="8"/>
      <c r="N215" s="61">
        <f t="shared" si="18"/>
        <v>0</v>
      </c>
      <c r="O215" s="60"/>
    </row>
    <row r="216" spans="2:15">
      <c r="B216" s="74" t="s">
        <v>1162</v>
      </c>
      <c r="C216" s="55"/>
      <c r="D216" s="53">
        <f>'[10]Rev_SP-12me'!AQ243</f>
        <v>107.844400231672</v>
      </c>
      <c r="E216" s="53">
        <f>'[10]Rev_SP-12me'!AT243</f>
        <v>10.7629982964225</v>
      </c>
      <c r="F216" s="53">
        <f>'[10]Rev_SP-12me'!AU243</f>
        <v>53.3829781146774</v>
      </c>
      <c r="G216" s="53">
        <f>'[10]Rev_SP-12me'!AW243</f>
        <v>0.02852081728299</v>
      </c>
      <c r="H216" s="8"/>
      <c r="I216" s="24">
        <f t="shared" si="15"/>
        <v>64.1744972283829</v>
      </c>
      <c r="J216" s="53">
        <v>10.7629982964225</v>
      </c>
      <c r="K216" s="53">
        <v>53.3829781146774</v>
      </c>
      <c r="L216" s="53">
        <v>0.02852081728299</v>
      </c>
      <c r="M216" s="8"/>
      <c r="N216" s="61">
        <f t="shared" si="18"/>
        <v>64.1744972283829</v>
      </c>
      <c r="O216" s="60">
        <f>N216*10/D216</f>
        <v>5.95065641707153</v>
      </c>
    </row>
    <row r="217" spans="2:15">
      <c r="B217" s="89" t="s">
        <v>1163</v>
      </c>
      <c r="C217" s="55"/>
      <c r="D217" s="53">
        <f>'[10]Rev_SP-12me'!AQ244</f>
        <v>0</v>
      </c>
      <c r="E217" s="53">
        <f>'[10]Rev_SP-12me'!AT244</f>
        <v>0</v>
      </c>
      <c r="F217" s="53">
        <f>'[10]Rev_SP-12me'!AU244</f>
        <v>0</v>
      </c>
      <c r="G217" s="53">
        <f>'[10]Rev_SP-12me'!AW244</f>
        <v>0</v>
      </c>
      <c r="H217" s="8"/>
      <c r="I217" s="24">
        <f t="shared" si="15"/>
        <v>0</v>
      </c>
      <c r="J217" s="53">
        <v>0</v>
      </c>
      <c r="K217" s="53">
        <v>0</v>
      </c>
      <c r="L217" s="53">
        <v>0</v>
      </c>
      <c r="M217" s="8"/>
      <c r="N217" s="61">
        <f t="shared" si="18"/>
        <v>0</v>
      </c>
      <c r="O217" s="60"/>
    </row>
    <row r="218" ht="15" spans="2:15">
      <c r="B218" s="71" t="s">
        <v>919</v>
      </c>
      <c r="C218" s="55"/>
      <c r="D218" s="48">
        <f>'[10]Rev_SP-12me'!AQ245</f>
        <v>0</v>
      </c>
      <c r="E218" s="48">
        <f>'[10]Rev_SP-12me'!AT245</f>
        <v>0</v>
      </c>
      <c r="F218" s="48">
        <f>'[10]Rev_SP-12me'!AU245</f>
        <v>0</v>
      </c>
      <c r="G218" s="48">
        <f>'[10]Rev_SP-12me'!AW245</f>
        <v>0</v>
      </c>
      <c r="H218" s="8"/>
      <c r="I218" s="24">
        <f t="shared" si="15"/>
        <v>0</v>
      </c>
      <c r="J218" s="48">
        <v>0</v>
      </c>
      <c r="K218" s="48">
        <v>0</v>
      </c>
      <c r="L218" s="48">
        <v>0</v>
      </c>
      <c r="M218" s="8"/>
      <c r="N218" s="61">
        <f t="shared" si="18"/>
        <v>0</v>
      </c>
      <c r="O218" s="60"/>
    </row>
    <row r="219" ht="15" spans="2:15">
      <c r="B219" s="71" t="s">
        <v>1133</v>
      </c>
      <c r="C219" s="55"/>
      <c r="D219" s="48">
        <f>'[10]Rev_SP-12me'!AQ246</f>
        <v>0</v>
      </c>
      <c r="E219" s="48">
        <f>'[10]Rev_SP-12me'!AT246</f>
        <v>0</v>
      </c>
      <c r="F219" s="48">
        <f>'[10]Rev_SP-12me'!AU246</f>
        <v>0</v>
      </c>
      <c r="G219" s="48">
        <f>'[10]Rev_SP-12me'!AW246</f>
        <v>0</v>
      </c>
      <c r="H219" s="8"/>
      <c r="I219" s="24">
        <f t="shared" si="15"/>
        <v>0</v>
      </c>
      <c r="J219" s="48">
        <v>0</v>
      </c>
      <c r="K219" s="48">
        <v>0</v>
      </c>
      <c r="L219" s="48">
        <v>0</v>
      </c>
      <c r="M219" s="8"/>
      <c r="N219" s="61">
        <f t="shared" si="18"/>
        <v>0</v>
      </c>
      <c r="O219" s="60"/>
    </row>
    <row r="220" ht="15" spans="2:15">
      <c r="B220" s="77" t="s">
        <v>1164</v>
      </c>
      <c r="C220" s="55"/>
      <c r="D220" s="78">
        <f t="shared" ref="D220:I220" si="19">SUM(D178,D186,D191,D192,D197,D202,D207,D210,D212,D213,D218,D219)</f>
        <v>9337.63890754263</v>
      </c>
      <c r="E220" s="78">
        <f t="shared" si="19"/>
        <v>778.261253600676</v>
      </c>
      <c r="F220" s="78">
        <f t="shared" si="19"/>
        <v>6033.38434474687</v>
      </c>
      <c r="G220" s="78">
        <f t="shared" si="19"/>
        <v>0.583104070555181</v>
      </c>
      <c r="H220" s="78">
        <f t="shared" si="19"/>
        <v>0</v>
      </c>
      <c r="I220" s="78">
        <f t="shared" si="19"/>
        <v>6812.2287024181</v>
      </c>
      <c r="J220" s="78">
        <v>778.261253600677</v>
      </c>
      <c r="K220" s="78">
        <v>6033.38434474686</v>
      </c>
      <c r="L220" s="78">
        <v>0.583104070555182</v>
      </c>
      <c r="M220" s="78"/>
      <c r="N220" s="78">
        <f t="shared" si="18"/>
        <v>6812.22870241809</v>
      </c>
      <c r="O220" s="60">
        <f>N220*10/D220</f>
        <v>7.29545099127297</v>
      </c>
    </row>
    <row r="221" spans="2:15">
      <c r="B221" s="77"/>
      <c r="C221" s="55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61"/>
      <c r="O221" s="60"/>
    </row>
    <row r="222" ht="15" spans="2:15">
      <c r="B222" s="54" t="s">
        <v>1165</v>
      </c>
      <c r="C222" s="55"/>
      <c r="D222" s="78">
        <f t="shared" ref="D222:N222" si="20">D127+D175+D220</f>
        <v>24999.0657663384</v>
      </c>
      <c r="E222" s="78">
        <f t="shared" si="20"/>
        <v>3343.24254199917</v>
      </c>
      <c r="F222" s="78">
        <f t="shared" si="20"/>
        <v>18089.6669187823</v>
      </c>
      <c r="G222" s="78">
        <f t="shared" si="20"/>
        <v>31.4602780805133</v>
      </c>
      <c r="H222" s="78">
        <f t="shared" si="20"/>
        <v>0</v>
      </c>
      <c r="I222" s="78">
        <f t="shared" si="20"/>
        <v>21464.369738862</v>
      </c>
      <c r="J222" s="78">
        <f t="shared" si="20"/>
        <v>3343.24254199917</v>
      </c>
      <c r="K222" s="78">
        <f t="shared" si="20"/>
        <v>18089.6669187823</v>
      </c>
      <c r="L222" s="78">
        <f t="shared" si="20"/>
        <v>31.4602780805134</v>
      </c>
      <c r="M222" s="78">
        <f t="shared" si="20"/>
        <v>0</v>
      </c>
      <c r="N222" s="78">
        <f t="shared" si="20"/>
        <v>21464.3697388619</v>
      </c>
      <c r="O222" s="60">
        <f>N222*10/D222</f>
        <v>8.58606875132272</v>
      </c>
    </row>
    <row r="223" ht="15" spans="2:15">
      <c r="B223" s="54" t="s">
        <v>1166</v>
      </c>
      <c r="C223" s="55"/>
      <c r="D223" s="78">
        <f t="shared" ref="D223:N223" si="21">D222+D72</f>
        <v>53375.7301364451</v>
      </c>
      <c r="E223" s="80">
        <f t="shared" si="21"/>
        <v>4017.05901393092</v>
      </c>
      <c r="F223" s="80">
        <f t="shared" si="21"/>
        <v>28098.0438276918</v>
      </c>
      <c r="G223" s="80">
        <f t="shared" si="21"/>
        <v>959.554213639893</v>
      </c>
      <c r="H223" s="78">
        <f t="shared" si="21"/>
        <v>0</v>
      </c>
      <c r="I223" s="78">
        <f t="shared" si="21"/>
        <v>33074.6570552626</v>
      </c>
      <c r="J223" s="80">
        <f t="shared" si="21"/>
        <v>4017.05901393092</v>
      </c>
      <c r="K223" s="80">
        <f t="shared" si="21"/>
        <v>28098.0438276918</v>
      </c>
      <c r="L223" s="80">
        <f t="shared" si="21"/>
        <v>959.554213639892</v>
      </c>
      <c r="M223" s="78">
        <f t="shared" si="21"/>
        <v>0</v>
      </c>
      <c r="N223" s="78">
        <f t="shared" si="21"/>
        <v>33074.6570552626</v>
      </c>
      <c r="O223" s="60">
        <f>N223*10/D223</f>
        <v>6.19657229432055</v>
      </c>
    </row>
    <row r="224" spans="2:3">
      <c r="B224" s="12"/>
      <c r="C224" s="12"/>
    </row>
    <row r="225" spans="2:3">
      <c r="B225" s="12"/>
      <c r="C225" s="12"/>
    </row>
    <row r="226" spans="2:3">
      <c r="B226" s="12"/>
      <c r="C226" s="12"/>
    </row>
    <row r="227" ht="15" spans="2:9">
      <c r="B227" s="12"/>
      <c r="C227" s="12"/>
      <c r="H227" s="11" t="s">
        <v>225</v>
      </c>
      <c r="I227" s="12"/>
    </row>
    <row r="228" spans="2:9">
      <c r="B228" s="12"/>
      <c r="C228" s="12"/>
      <c r="H228" s="13">
        <v>1</v>
      </c>
      <c r="I228" s="12" t="s">
        <v>226</v>
      </c>
    </row>
    <row r="229" spans="2:9">
      <c r="B229" s="12"/>
      <c r="C229" s="12"/>
      <c r="H229" s="13"/>
      <c r="I229" s="12"/>
    </row>
    <row r="230" spans="2:3">
      <c r="B230" s="12"/>
      <c r="C230" s="12"/>
    </row>
    <row r="231" spans="2:3">
      <c r="B231" s="12"/>
      <c r="C231" s="12"/>
    </row>
    <row r="232" spans="2:3">
      <c r="B232" s="12"/>
      <c r="C232" s="12"/>
    </row>
    <row r="233" spans="2:3">
      <c r="B233" s="12"/>
      <c r="C233" s="12"/>
    </row>
    <row r="234" spans="2:3">
      <c r="B234" s="12"/>
      <c r="C234" s="12"/>
    </row>
    <row r="235" spans="2:3">
      <c r="B235" s="12"/>
      <c r="C235" s="12"/>
    </row>
    <row r="236" spans="2:3">
      <c r="B236" s="12"/>
      <c r="C236" s="12"/>
    </row>
    <row r="237" spans="2:3">
      <c r="B237" s="12"/>
      <c r="C237" s="12"/>
    </row>
    <row r="238" spans="2:3">
      <c r="B238" s="12"/>
      <c r="C238" s="12"/>
    </row>
    <row r="239" spans="2:3">
      <c r="B239" s="12"/>
      <c r="C239" s="12"/>
    </row>
    <row r="240" spans="2:3">
      <c r="B240" s="12"/>
      <c r="C240" s="12"/>
    </row>
    <row r="241" spans="2:3">
      <c r="B241" s="12"/>
      <c r="C241" s="12"/>
    </row>
    <row r="242" spans="2:3">
      <c r="B242" s="12"/>
      <c r="C242" s="12"/>
    </row>
    <row r="243" spans="2:3">
      <c r="B243" s="12"/>
      <c r="C243" s="12"/>
    </row>
    <row r="244" spans="2:3">
      <c r="B244" s="12"/>
      <c r="C244" s="12"/>
    </row>
    <row r="245" spans="2:3">
      <c r="B245" s="12"/>
      <c r="C245" s="12"/>
    </row>
    <row r="246" spans="2:3">
      <c r="B246" s="12"/>
      <c r="C246" s="12"/>
    </row>
    <row r="247" spans="2:3">
      <c r="B247" s="12"/>
      <c r="C247" s="12"/>
    </row>
    <row r="248" spans="2:3">
      <c r="B248" s="12"/>
      <c r="C248" s="12"/>
    </row>
    <row r="249" spans="2:3">
      <c r="B249" s="12"/>
      <c r="C249" s="12"/>
    </row>
    <row r="250" spans="2:3">
      <c r="B250" s="12"/>
      <c r="C250" s="12"/>
    </row>
    <row r="251" spans="2:3">
      <c r="B251" s="12"/>
      <c r="C251" s="12"/>
    </row>
    <row r="252" spans="2:3">
      <c r="B252" s="12"/>
      <c r="C252" s="12"/>
    </row>
    <row r="253" spans="2:3">
      <c r="B253" s="12"/>
      <c r="C253" s="12"/>
    </row>
    <row r="254" spans="2:3">
      <c r="B254" s="12"/>
      <c r="C254" s="12"/>
    </row>
    <row r="255" spans="2:3">
      <c r="B255" s="12"/>
      <c r="C255" s="12"/>
    </row>
    <row r="256" spans="2:3">
      <c r="B256" s="12"/>
      <c r="C256" s="12"/>
    </row>
    <row r="257" spans="2:3">
      <c r="B257" s="12"/>
      <c r="C257" s="12"/>
    </row>
    <row r="258" spans="2:3">
      <c r="B258" s="12"/>
      <c r="C258" s="12"/>
    </row>
    <row r="259" spans="2:3">
      <c r="B259" s="12"/>
      <c r="C259" s="12"/>
    </row>
    <row r="260" spans="2:3">
      <c r="B260" s="12"/>
      <c r="C260" s="12"/>
    </row>
    <row r="261" spans="2:3">
      <c r="B261" s="12"/>
      <c r="C261" s="12"/>
    </row>
    <row r="262" spans="2:3">
      <c r="B262" s="12"/>
      <c r="C262" s="12"/>
    </row>
    <row r="263" spans="2:3">
      <c r="B263" s="12"/>
      <c r="C263" s="12"/>
    </row>
    <row r="264" spans="2:3">
      <c r="B264" s="12"/>
      <c r="C264" s="12"/>
    </row>
    <row r="265" spans="2:3">
      <c r="B265" s="12"/>
      <c r="C265" s="12"/>
    </row>
    <row r="266" spans="2:3">
      <c r="B266" s="12"/>
      <c r="C266" s="12"/>
    </row>
    <row r="267" spans="2:3">
      <c r="B267" s="12"/>
      <c r="C267" s="12"/>
    </row>
    <row r="268" spans="2:3">
      <c r="B268" s="12"/>
      <c r="C268" s="12"/>
    </row>
    <row r="269" spans="2:3">
      <c r="B269" s="12"/>
      <c r="C269" s="12"/>
    </row>
    <row r="270" spans="2:3">
      <c r="B270" s="12"/>
      <c r="C270" s="12"/>
    </row>
    <row r="271" spans="2:3">
      <c r="B271" s="12"/>
      <c r="C271" s="12"/>
    </row>
    <row r="272" spans="2:3">
      <c r="B272" s="12"/>
      <c r="C272" s="12"/>
    </row>
    <row r="273" spans="2:3">
      <c r="B273" s="12"/>
      <c r="C273" s="12"/>
    </row>
    <row r="274" spans="2:3">
      <c r="B274" s="12"/>
      <c r="C274" s="12"/>
    </row>
    <row r="275" spans="2:3">
      <c r="B275" s="12"/>
      <c r="C275" s="12"/>
    </row>
    <row r="276" spans="2:3">
      <c r="B276" s="12"/>
      <c r="C276" s="12"/>
    </row>
    <row r="277" spans="2:3">
      <c r="B277" s="12"/>
      <c r="C277" s="12"/>
    </row>
    <row r="278" spans="2:3">
      <c r="B278" s="12"/>
      <c r="C278" s="12"/>
    </row>
    <row r="279" spans="2:3">
      <c r="B279" s="12"/>
      <c r="C279" s="12"/>
    </row>
    <row r="280" spans="2:3">
      <c r="B280" s="12"/>
      <c r="C280" s="12"/>
    </row>
    <row r="281" spans="2:3">
      <c r="B281" s="12"/>
      <c r="C281" s="12"/>
    </row>
    <row r="282" spans="2:3">
      <c r="B282" s="12"/>
      <c r="C282" s="12"/>
    </row>
    <row r="283" spans="2:3">
      <c r="B283" s="12"/>
      <c r="C283" s="12"/>
    </row>
    <row r="284" spans="2:3">
      <c r="B284" s="12"/>
      <c r="C284" s="12"/>
    </row>
    <row r="285" spans="2:3">
      <c r="B285" s="12"/>
      <c r="C285" s="12"/>
    </row>
    <row r="286" spans="2:3">
      <c r="B286" s="12"/>
      <c r="C286" s="12"/>
    </row>
    <row r="287" spans="2:3">
      <c r="B287" s="12"/>
      <c r="C287" s="12"/>
    </row>
    <row r="288" spans="2:3">
      <c r="B288" s="12"/>
      <c r="C288" s="12"/>
    </row>
    <row r="289" spans="2:3">
      <c r="B289" s="12"/>
      <c r="C289" s="12"/>
    </row>
    <row r="290" spans="2:3">
      <c r="B290" s="12"/>
      <c r="C290" s="12"/>
    </row>
    <row r="291" spans="2:3">
      <c r="B291" s="12"/>
      <c r="C291" s="12"/>
    </row>
    <row r="292" spans="2:3">
      <c r="B292" s="12"/>
      <c r="C292" s="12"/>
    </row>
    <row r="293" spans="2:3">
      <c r="B293" s="12"/>
      <c r="C293" s="12"/>
    </row>
    <row r="294" spans="2:3">
      <c r="B294" s="12"/>
      <c r="C294" s="12"/>
    </row>
    <row r="295" spans="2:3">
      <c r="B295" s="12"/>
      <c r="C295" s="12"/>
    </row>
    <row r="296" spans="2:3">
      <c r="B296" s="12"/>
      <c r="C296" s="12"/>
    </row>
    <row r="297" spans="2:3">
      <c r="B297" s="12"/>
      <c r="C297" s="12"/>
    </row>
    <row r="298" spans="2:3">
      <c r="B298" s="12"/>
      <c r="C298" s="12"/>
    </row>
    <row r="299" spans="2:3">
      <c r="B299" s="12"/>
      <c r="C299" s="12"/>
    </row>
    <row r="300" spans="2:3">
      <c r="B300" s="12"/>
      <c r="C300" s="12"/>
    </row>
    <row r="301" spans="2:3">
      <c r="B301" s="12"/>
      <c r="C301" s="12"/>
    </row>
    <row r="302" spans="2:3">
      <c r="B302" s="12" t="s">
        <v>258</v>
      </c>
      <c r="C302" s="12" t="s">
        <v>258</v>
      </c>
    </row>
  </sheetData>
  <mergeCells count="7">
    <mergeCell ref="A3:T3"/>
    <mergeCell ref="E7:I7"/>
    <mergeCell ref="J7:O7"/>
    <mergeCell ref="B10:C10"/>
    <mergeCell ref="B74:C74"/>
    <mergeCell ref="D7:D8"/>
    <mergeCell ref="B7:C9"/>
  </mergeCells>
  <pageMargins left="0.7" right="0.7" top="0.75" bottom="0.75" header="0.3" footer="0.3"/>
  <pageSetup paperSize="1" orientation="portrait"/>
  <headerFooter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18"/>
  <sheetViews>
    <sheetView showGridLines="0" workbookViewId="0">
      <selection activeCell="E16" sqref="E16"/>
    </sheetView>
  </sheetViews>
  <sheetFormatPr defaultColWidth="9.14285714285714" defaultRowHeight="14.25"/>
  <cols>
    <col min="1" max="1" width="9.14285714285714" style="1"/>
    <col min="2" max="2" width="7.14285714285714" style="1" customWidth="1"/>
    <col min="3" max="3" width="49" style="1" customWidth="1"/>
    <col min="4" max="5" width="13.8571428571429" style="1" customWidth="1"/>
    <col min="6" max="6" width="11.8571428571429" style="1" customWidth="1"/>
    <col min="7" max="7" width="11" style="1" customWidth="1"/>
    <col min="8" max="8" width="14.4285714285714" style="1" customWidth="1"/>
    <col min="9" max="9" width="13.8571428571429" style="1" customWidth="1"/>
    <col min="10" max="10" width="16" style="1" customWidth="1"/>
    <col min="11" max="11" width="21" style="1" customWidth="1"/>
    <col min="12" max="16384" width="9.14285714285714" style="1"/>
  </cols>
  <sheetData>
    <row r="2" ht="15" spans="2:16">
      <c r="B2" s="2" t="s">
        <v>156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7:7">
      <c r="G3" s="3" t="s">
        <v>1194</v>
      </c>
    </row>
    <row r="5" ht="15" spans="2:11">
      <c r="B5" s="14" t="s">
        <v>1226</v>
      </c>
      <c r="C5" s="15"/>
      <c r="D5" s="15"/>
      <c r="E5" s="15"/>
      <c r="F5" s="15"/>
      <c r="G5" s="15"/>
      <c r="H5" s="15"/>
      <c r="I5" s="15"/>
      <c r="J5" s="15"/>
      <c r="K5" s="33" t="s">
        <v>109</v>
      </c>
    </row>
    <row r="6" ht="45" spans="2:11">
      <c r="B6" s="16" t="s">
        <v>3</v>
      </c>
      <c r="C6" s="17" t="s">
        <v>110</v>
      </c>
      <c r="D6" s="5" t="s">
        <v>116</v>
      </c>
      <c r="E6" s="5" t="s">
        <v>1196</v>
      </c>
      <c r="F6" s="5" t="s">
        <v>130</v>
      </c>
      <c r="G6" s="5" t="s">
        <v>1197</v>
      </c>
      <c r="H6" s="5" t="s">
        <v>1227</v>
      </c>
      <c r="I6" s="5" t="s">
        <v>1198</v>
      </c>
      <c r="J6" s="5" t="s">
        <v>1199</v>
      </c>
      <c r="K6" s="5" t="s">
        <v>1200</v>
      </c>
    </row>
    <row r="7" ht="15" spans="2:11">
      <c r="B7" s="6" t="s">
        <v>283</v>
      </c>
      <c r="C7" s="18" t="s">
        <v>1201</v>
      </c>
      <c r="D7" s="19"/>
      <c r="E7" s="19"/>
      <c r="F7" s="19"/>
      <c r="G7" s="19"/>
      <c r="H7" s="19"/>
      <c r="I7" s="19"/>
      <c r="J7" s="19"/>
      <c r="K7" s="21"/>
    </row>
    <row r="8" spans="2:11">
      <c r="B8" s="20"/>
      <c r="C8" s="21" t="s">
        <v>133</v>
      </c>
      <c r="D8" s="22">
        <f>SUM('[71]PP Summary'!$L$6:$L$12)</f>
        <v>35446.49</v>
      </c>
      <c r="E8" s="22">
        <f>D8</f>
        <v>35446.49</v>
      </c>
      <c r="F8" s="22">
        <f>SUM('[71]PP Summary'!$M$6:$M$12)</f>
        <v>38965.4456808679</v>
      </c>
      <c r="G8" s="22">
        <f>F8-D8</f>
        <v>3518.9556808679</v>
      </c>
      <c r="H8" s="23" t="s">
        <v>1228</v>
      </c>
      <c r="I8" s="20" t="s">
        <v>1229</v>
      </c>
      <c r="J8" s="20" t="s">
        <v>1230</v>
      </c>
      <c r="K8" s="22">
        <f t="shared" ref="K8:K13" si="0">G8</f>
        <v>3518.9556808679</v>
      </c>
    </row>
    <row r="9" spans="2:11">
      <c r="B9" s="20"/>
      <c r="C9" s="21" t="s">
        <v>134</v>
      </c>
      <c r="D9" s="24">
        <f>'[71]PP Summary'!$L$13</f>
        <v>-1619.14</v>
      </c>
      <c r="E9" s="25">
        <f>D9</f>
        <v>-1619.14</v>
      </c>
      <c r="F9" s="22">
        <f>'[71]PP Summary'!$M$13</f>
        <v>-1694.07888967169</v>
      </c>
      <c r="G9" s="22">
        <f>F9-D9</f>
        <v>-74.9388896716898</v>
      </c>
      <c r="H9" s="26"/>
      <c r="I9" s="20" t="s">
        <v>1229</v>
      </c>
      <c r="J9" s="20" t="s">
        <v>1230</v>
      </c>
      <c r="K9" s="22">
        <f t="shared" si="0"/>
        <v>-74.9388896716898</v>
      </c>
    </row>
    <row r="10" spans="2:11">
      <c r="B10" s="20"/>
      <c r="C10" s="21" t="s">
        <v>135</v>
      </c>
      <c r="D10" s="22">
        <f>'[71]PP Summary'!$L$16</f>
        <v>5014.03</v>
      </c>
      <c r="E10" s="22">
        <f>D10</f>
        <v>5014.03</v>
      </c>
      <c r="F10" s="22">
        <f>'[71]PP Summary'!$M$16</f>
        <v>5870.81641786566</v>
      </c>
      <c r="G10" s="22">
        <f>F10-D10</f>
        <v>856.78641786566</v>
      </c>
      <c r="H10" s="27"/>
      <c r="I10" s="20" t="s">
        <v>1229</v>
      </c>
      <c r="J10" s="20" t="s">
        <v>1230</v>
      </c>
      <c r="K10" s="22">
        <f t="shared" si="0"/>
        <v>856.78641786566</v>
      </c>
    </row>
    <row r="11" spans="2:11">
      <c r="B11" s="20"/>
      <c r="C11" s="28" t="s">
        <v>1231</v>
      </c>
      <c r="D11" s="22">
        <f>'[71]PP Summary'!$L$14</f>
        <v>0</v>
      </c>
      <c r="E11" s="22">
        <f>D11</f>
        <v>0</v>
      </c>
      <c r="F11" s="22">
        <f>'[71]PP Summary'!$F$52</f>
        <v>0</v>
      </c>
      <c r="G11" s="22">
        <f>F11-D11</f>
        <v>0</v>
      </c>
      <c r="H11" s="21"/>
      <c r="I11" s="20" t="s">
        <v>1229</v>
      </c>
      <c r="J11" s="20" t="s">
        <v>1230</v>
      </c>
      <c r="K11" s="22">
        <f t="shared" si="0"/>
        <v>0</v>
      </c>
    </row>
    <row r="12" spans="2:11">
      <c r="B12" s="20"/>
      <c r="C12" s="28" t="s">
        <v>493</v>
      </c>
      <c r="D12" s="22">
        <f>'[71]PP Summary'!$L$15</f>
        <v>1307.44</v>
      </c>
      <c r="E12" s="22">
        <f>D12</f>
        <v>1307.44</v>
      </c>
      <c r="F12" s="22">
        <f>'[71]PP Summary'!$M$15</f>
        <v>1307.4400008</v>
      </c>
      <c r="G12" s="22">
        <f>F12-D12</f>
        <v>7.99999952505459e-7</v>
      </c>
      <c r="H12" s="21"/>
      <c r="I12" s="20" t="s">
        <v>1229</v>
      </c>
      <c r="J12" s="20" t="s">
        <v>1230</v>
      </c>
      <c r="K12" s="22">
        <f t="shared" si="0"/>
        <v>7.99999952505459e-7</v>
      </c>
    </row>
    <row r="13" ht="15" spans="2:11">
      <c r="B13" s="29"/>
      <c r="C13" s="18" t="s">
        <v>8</v>
      </c>
      <c r="D13" s="19"/>
      <c r="E13" s="30">
        <f>SUM(E8:E12)</f>
        <v>40148.82</v>
      </c>
      <c r="F13" s="30">
        <f>SUM(F8:F12)</f>
        <v>44449.6232098619</v>
      </c>
      <c r="G13" s="30">
        <f>SUM(G8:G12)</f>
        <v>4300.80320986187</v>
      </c>
      <c r="H13" s="19"/>
      <c r="I13" s="19"/>
      <c r="J13" s="19"/>
      <c r="K13" s="22">
        <f t="shared" si="0"/>
        <v>4300.80320986187</v>
      </c>
    </row>
    <row r="14" ht="15" spans="2:11">
      <c r="B14" s="6" t="s">
        <v>285</v>
      </c>
      <c r="C14" s="18" t="s">
        <v>1232</v>
      </c>
      <c r="D14" s="21"/>
      <c r="E14" s="21"/>
      <c r="F14" s="21"/>
      <c r="G14" s="21"/>
      <c r="H14" s="21"/>
      <c r="I14" s="21"/>
      <c r="J14" s="21"/>
      <c r="K14" s="21"/>
    </row>
    <row r="15" spans="2:11">
      <c r="B15" s="31"/>
      <c r="C15" s="32" t="s">
        <v>88</v>
      </c>
      <c r="D15" s="21"/>
      <c r="E15" s="21"/>
      <c r="F15" s="21"/>
      <c r="G15" s="21"/>
      <c r="H15" s="21"/>
      <c r="I15" s="21"/>
      <c r="J15" s="21"/>
      <c r="K15" s="21"/>
    </row>
    <row r="16" spans="2:11">
      <c r="B16" s="31"/>
      <c r="C16" s="32" t="s">
        <v>1221</v>
      </c>
      <c r="D16" s="21"/>
      <c r="E16" s="21"/>
      <c r="F16" s="21"/>
      <c r="G16" s="21"/>
      <c r="H16" s="21"/>
      <c r="I16" s="21"/>
      <c r="J16" s="21"/>
      <c r="K16" s="21"/>
    </row>
    <row r="17" ht="15" spans="2:11">
      <c r="B17" s="29"/>
      <c r="C17" s="18" t="s">
        <v>1233</v>
      </c>
      <c r="D17" s="19"/>
      <c r="E17" s="30">
        <f ca="1">SUM(E15:E17)</f>
        <v>0</v>
      </c>
      <c r="F17" s="30">
        <f ca="1">SUM(F15:F17)</f>
        <v>0</v>
      </c>
      <c r="G17" s="30">
        <f ca="1">F17-E17</f>
        <v>0</v>
      </c>
      <c r="H17" s="19"/>
      <c r="I17" s="19"/>
      <c r="J17" s="19"/>
      <c r="K17" s="21"/>
    </row>
    <row r="18" ht="15" spans="2:11">
      <c r="B18" s="29" t="s">
        <v>287</v>
      </c>
      <c r="C18" s="18" t="s">
        <v>1234</v>
      </c>
      <c r="D18" s="21"/>
      <c r="E18" s="30">
        <f ca="1">E17-E13</f>
        <v>-40148.82</v>
      </c>
      <c r="F18" s="30">
        <f ca="1">F17-F13</f>
        <v>-44449.6232098619</v>
      </c>
      <c r="G18" s="30">
        <f ca="1">F18-E18</f>
        <v>-4300.8032098619</v>
      </c>
      <c r="H18" s="21"/>
      <c r="I18" s="21"/>
      <c r="J18" s="21"/>
      <c r="K18" s="21"/>
    </row>
  </sheetData>
  <mergeCells count="2">
    <mergeCell ref="B2:P2"/>
    <mergeCell ref="H8:H10"/>
  </mergeCells>
  <pageMargins left="0.7" right="0.7" top="0.75" bottom="0.75" header="0.3" footer="0.3"/>
  <pageSetup paperSize="9" orientation="portrait"/>
  <headerFooter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12"/>
  <sheetViews>
    <sheetView showGridLines="0" topLeftCell="A5" workbookViewId="0">
      <selection activeCell="D20" sqref="D20:D22"/>
    </sheetView>
  </sheetViews>
  <sheetFormatPr defaultColWidth="9.14285714285714" defaultRowHeight="14.25"/>
  <cols>
    <col min="1" max="1" width="9.14285714285714" style="1"/>
    <col min="2" max="2" width="7.42857142857143" style="1" customWidth="1"/>
    <col min="3" max="3" width="60.5714285714286" style="1" customWidth="1"/>
    <col min="4" max="4" width="13.8571428571429" style="1" customWidth="1"/>
    <col min="5" max="16384" width="9.14285714285714" style="1"/>
  </cols>
  <sheetData>
    <row r="2" ht="15" spans="2:16">
      <c r="B2" s="2" t="s">
        <v>156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3:3">
      <c r="C3" s="3" t="s">
        <v>1235</v>
      </c>
    </row>
    <row r="4" ht="15" spans="4:4">
      <c r="D4" s="4" t="s">
        <v>109</v>
      </c>
    </row>
    <row r="5" ht="15" spans="2:4">
      <c r="B5" s="5" t="s">
        <v>3</v>
      </c>
      <c r="C5" s="6" t="s">
        <v>110</v>
      </c>
      <c r="D5" s="5" t="s">
        <v>653</v>
      </c>
    </row>
    <row r="6" spans="2:4">
      <c r="B6" s="7">
        <v>1</v>
      </c>
      <c r="C6" s="8" t="s">
        <v>1219</v>
      </c>
      <c r="D6" s="9">
        <f>'F26-Year(n+1)(Current Tariff)x'!O221</f>
        <v>33074.6570552626</v>
      </c>
    </row>
    <row r="7" spans="2:4">
      <c r="B7" s="7">
        <f>B6+1</f>
        <v>2</v>
      </c>
      <c r="C7" s="8" t="s">
        <v>1220</v>
      </c>
      <c r="D7" s="9">
        <f>'F26-Year(n+1)(Proposed Tariff)x'!O221</f>
        <v>33074.6570552626</v>
      </c>
    </row>
    <row r="8" spans="2:4">
      <c r="B8" s="7">
        <f>B7+1</f>
        <v>3</v>
      </c>
      <c r="C8" s="8" t="s">
        <v>1221</v>
      </c>
      <c r="D8" s="10"/>
    </row>
    <row r="9" spans="2:4">
      <c r="B9" s="7">
        <f>B8+1</f>
        <v>4</v>
      </c>
      <c r="C9" s="8" t="s">
        <v>1236</v>
      </c>
      <c r="D9" s="9">
        <f>D6-D7-D8</f>
        <v>0</v>
      </c>
    </row>
    <row r="11" ht="15" spans="2:3">
      <c r="B11" s="11" t="s">
        <v>225</v>
      </c>
      <c r="C11" s="12"/>
    </row>
    <row r="12" spans="2:3">
      <c r="B12" s="13">
        <v>1</v>
      </c>
      <c r="C12" s="12" t="s">
        <v>1223</v>
      </c>
    </row>
  </sheetData>
  <mergeCells count="1">
    <mergeCell ref="B2:P2"/>
  </mergeCells>
  <pageMargins left="0.7" right="0.7" top="0.75" bottom="0.75" header="0.3" footer="0.3"/>
  <pageSetup paperSize="1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O83"/>
  <sheetViews>
    <sheetView showGridLines="0" zoomScale="66" zoomScaleNormal="66" zoomScaleSheetLayoutView="70" workbookViewId="0">
      <pane xSplit="4" ySplit="7" topLeftCell="G8" activePane="bottomRight" state="frozen"/>
      <selection/>
      <selection pane="topRight"/>
      <selection pane="bottomLeft"/>
      <selection pane="bottomRight" activeCell="J1" sqref="J$1:K$1048576"/>
    </sheetView>
  </sheetViews>
  <sheetFormatPr defaultColWidth="9.14285714285714" defaultRowHeight="14.25"/>
  <cols>
    <col min="1" max="1" width="3.14285714285714" style="12" customWidth="1"/>
    <col min="2" max="2" width="8.42857142857143" style="12" customWidth="1"/>
    <col min="3" max="3" width="21.5714285714286" style="12" customWidth="1"/>
    <col min="4" max="4" width="44.5714285714286" style="12" customWidth="1"/>
    <col min="5" max="5" width="13.5714285714286" style="12" customWidth="1"/>
    <col min="6" max="6" width="12.5714285714286" style="12" customWidth="1"/>
    <col min="7" max="8" width="13.4285714285714" style="12" customWidth="1"/>
    <col min="9" max="9" width="12.5714285714286" style="12" customWidth="1"/>
    <col min="10" max="10" width="13.4285714285714" style="12" customWidth="1"/>
    <col min="11" max="11" width="11.8571428571429" style="12" customWidth="1"/>
    <col min="12" max="12" width="11.4285714285714" style="12" customWidth="1"/>
    <col min="13" max="13" width="12.4285714285714" style="12" customWidth="1"/>
    <col min="14" max="14" width="12.5714285714286" style="12" customWidth="1"/>
    <col min="15" max="15" width="9.42857142857143" style="12" customWidth="1"/>
    <col min="16" max="16384" width="9.14285714285714" style="12"/>
  </cols>
  <sheetData>
    <row r="2" ht="15" spans="9:9">
      <c r="I2" s="2" t="s">
        <v>156</v>
      </c>
    </row>
    <row r="3" ht="15" spans="9:9">
      <c r="I3" s="3" t="s">
        <v>227</v>
      </c>
    </row>
    <row r="4" ht="15" spans="2:8">
      <c r="B4" s="14"/>
      <c r="C4" s="14"/>
      <c r="D4" s="655"/>
      <c r="E4" s="655"/>
      <c r="F4" s="655"/>
      <c r="G4" s="655"/>
      <c r="H4" s="655"/>
    </row>
    <row r="5" ht="15" customHeight="1" spans="2:14">
      <c r="B5" s="656"/>
      <c r="C5" s="658" t="s">
        <v>159</v>
      </c>
      <c r="D5" s="873"/>
      <c r="E5" s="16" t="s">
        <v>160</v>
      </c>
      <c r="F5" s="16" t="s">
        <v>161</v>
      </c>
      <c r="G5" s="16" t="s">
        <v>162</v>
      </c>
      <c r="H5" s="16" t="s">
        <v>163</v>
      </c>
      <c r="I5" s="16" t="s">
        <v>164</v>
      </c>
      <c r="J5" s="884" t="s">
        <v>114</v>
      </c>
      <c r="K5" s="885"/>
      <c r="L5" s="885"/>
      <c r="M5" s="885"/>
      <c r="N5" s="886"/>
    </row>
    <row r="6" ht="45" spans="2:14">
      <c r="B6" s="656"/>
      <c r="C6" s="660"/>
      <c r="D6" s="874"/>
      <c r="E6" s="535"/>
      <c r="F6" s="535"/>
      <c r="G6" s="535"/>
      <c r="H6" s="535"/>
      <c r="I6" s="535"/>
      <c r="J6" s="5" t="s">
        <v>165</v>
      </c>
      <c r="K6" s="5" t="s">
        <v>166</v>
      </c>
      <c r="L6" s="5" t="s">
        <v>167</v>
      </c>
      <c r="M6" s="5" t="s">
        <v>168</v>
      </c>
      <c r="N6" s="5" t="s">
        <v>169</v>
      </c>
    </row>
    <row r="7" ht="15" spans="2:14">
      <c r="B7" s="656"/>
      <c r="C7" s="662"/>
      <c r="D7" s="875"/>
      <c r="E7" s="5" t="s">
        <v>128</v>
      </c>
      <c r="F7" s="5" t="s">
        <v>128</v>
      </c>
      <c r="G7" s="5" t="s">
        <v>128</v>
      </c>
      <c r="H7" s="5" t="s">
        <v>128</v>
      </c>
      <c r="I7" s="5" t="s">
        <v>131</v>
      </c>
      <c r="J7" s="5" t="s">
        <v>132</v>
      </c>
      <c r="K7" s="5" t="s">
        <v>132</v>
      </c>
      <c r="L7" s="5" t="s">
        <v>132</v>
      </c>
      <c r="M7" s="5" t="s">
        <v>132</v>
      </c>
      <c r="N7" s="5" t="s">
        <v>132</v>
      </c>
    </row>
    <row r="8" ht="15" spans="2:14">
      <c r="B8" s="656"/>
      <c r="C8" s="44" t="s">
        <v>170</v>
      </c>
      <c r="D8" s="45"/>
      <c r="E8" s="45"/>
      <c r="F8" s="45"/>
      <c r="G8" s="45"/>
      <c r="H8" s="45"/>
      <c r="I8" s="55"/>
      <c r="J8" s="55"/>
      <c r="K8" s="55"/>
      <c r="L8" s="55"/>
      <c r="M8" s="55"/>
      <c r="N8" s="55"/>
    </row>
    <row r="9" spans="2:14">
      <c r="B9" s="656"/>
      <c r="C9" s="47" t="s">
        <v>171</v>
      </c>
      <c r="D9" s="47" t="s">
        <v>172</v>
      </c>
      <c r="E9" s="882">
        <f>'[11]FY19-20 Actual Sales'!$E$8</f>
        <v>8636.2</v>
      </c>
      <c r="F9" s="882">
        <f>'[11]FY20-21 Actual Sales '!$E$8</f>
        <v>9301.48</v>
      </c>
      <c r="G9" s="882">
        <f>'[11]FY21-22 Actual Sales '!$E$8</f>
        <v>10066.61028</v>
      </c>
      <c r="H9" s="882">
        <f>'[11]FY22-23 Actual Sales'!$E$8</f>
        <v>10879.19117</v>
      </c>
      <c r="I9" s="153">
        <f>'[17]Rev SP FY24'!$AK$10</f>
        <v>11768.32427</v>
      </c>
      <c r="J9" s="153">
        <f>'[18]Rev_SP-12me'!$I$10</f>
        <v>12730.1243226403</v>
      </c>
      <c r="K9" s="153">
        <f>'[18]Rev_SP-12me'!$AL$10</f>
        <v>13770.5302430351</v>
      </c>
      <c r="L9" s="153">
        <f>'[19]Rev_SP-12me'!$AL$10</f>
        <v>15344</v>
      </c>
      <c r="M9" s="153">
        <f>'[20]Rev_SP-12me'!$AL$10</f>
        <v>16722</v>
      </c>
      <c r="N9" s="153">
        <f>'[21]Rev_SP-12me'!$AL$10</f>
        <v>18223</v>
      </c>
    </row>
    <row r="10" spans="3:14">
      <c r="C10" s="55" t="s">
        <v>228</v>
      </c>
      <c r="D10" s="55" t="s">
        <v>174</v>
      </c>
      <c r="E10" s="153">
        <f>'[11]FY19-20 Actual Sales'!$E$21</f>
        <v>2724.92024</v>
      </c>
      <c r="F10" s="153">
        <f>'[11]FY20-21 Actual Sales '!$E$21</f>
        <v>2860.64</v>
      </c>
      <c r="G10" s="153">
        <f>'[11]FY21-22 Actual Sales '!$E$21</f>
        <v>3227.92177</v>
      </c>
      <c r="H10" s="153">
        <f>'[11]FY22-23 Actual Sales'!$E$21</f>
        <v>3581.27058</v>
      </c>
      <c r="I10" s="153">
        <f>'[17]Rev SP FY24'!$AK$23</f>
        <v>3881.54647</v>
      </c>
      <c r="J10" s="153">
        <f>'[18]Rev_SP-12me'!$I$23</f>
        <v>4206.99934903256</v>
      </c>
      <c r="K10" s="153">
        <f>'[18]Rev_SP-12me'!$AL$23</f>
        <v>4559.74021167918</v>
      </c>
      <c r="L10" s="153">
        <f>'[19]Rev_SP-12me'!$AL$23</f>
        <v>5020</v>
      </c>
      <c r="M10" s="153">
        <f>'[20]Rev_SP-12me'!$AL$23</f>
        <v>5463</v>
      </c>
      <c r="N10" s="153">
        <f>'[21]Rev_SP-12me'!$AL$23</f>
        <v>5944</v>
      </c>
    </row>
    <row r="11" spans="3:14">
      <c r="C11" s="55" t="s">
        <v>175</v>
      </c>
      <c r="D11" s="55" t="s">
        <v>176</v>
      </c>
      <c r="E11" s="153">
        <f>'[11]FY19-20 Actual Sales'!$F$34*0.7457/10^3</f>
        <v>933.072039</v>
      </c>
      <c r="F11" s="153">
        <f>'[11]FY20-21 Actual Sales '!$F$34*0.7457/10^3</f>
        <v>959.231195</v>
      </c>
      <c r="G11" s="153">
        <f>'[11]FY21-22 Actual Sales '!$E$34+'[11]FY21-22 Actual Sales '!$F$34*0.7457/10^3</f>
        <v>986.687869</v>
      </c>
      <c r="H11" s="153">
        <f>'[11]FY22-23 Actual Sales'!$E$34+'[11]FY22-23 Actual Sales'!$F$34*0.7457/10^3</f>
        <v>1023.465793</v>
      </c>
      <c r="I11" s="153">
        <f>'[17]Rev SP FY24'!$AM$36*0.7457/10^3</f>
        <v>1059.430904</v>
      </c>
      <c r="J11" s="153">
        <f>'[18]Rev_SP-12me'!$J$36*0.7457/10^3</f>
        <v>1096.98240899737</v>
      </c>
      <c r="K11" s="153">
        <f>'[18]Rev_SP-12me'!$AN$36*0.7457/10^3</f>
        <v>1135.86492626013</v>
      </c>
      <c r="L11" s="153">
        <f>'[19]Rev_SP-12me'!$AN$36*0.7457/10^3</f>
        <v>1381.00023824045</v>
      </c>
      <c r="M11" s="153">
        <f>'[20]Rev_SP-12me'!$AN$36*0.7457/10^3</f>
        <v>1429.00024652108</v>
      </c>
      <c r="N11" s="153">
        <f>'[21]Rev_SP-12me'!$AN$36*0.7457/10^3</f>
        <v>1478.00025497421</v>
      </c>
    </row>
    <row r="12" spans="3:14">
      <c r="C12" s="55" t="s">
        <v>177</v>
      </c>
      <c r="D12" s="55" t="s">
        <v>178</v>
      </c>
      <c r="E12" s="153">
        <f>'[11]FY19-20 Actual Sales'!$F$41*0.7457/10^3</f>
        <v>12.199652</v>
      </c>
      <c r="F12" s="153">
        <f>'[11]FY20-21 Actual Sales '!$F$41*0.7457/10^3</f>
        <v>12.483018</v>
      </c>
      <c r="G12" s="153">
        <f>'[11]FY21-22 Actual Sales '!$E$41+'[11]FY21-22 Actual Sales '!$F$41*0.7457/10^3</f>
        <v>12.788755</v>
      </c>
      <c r="H12" s="153">
        <f>'[11]FY22-23 Actual Sales'!$E$41+'[11]FY22-23 Actual Sales'!$F$41*0.7457/10^3</f>
        <v>13.243632</v>
      </c>
      <c r="I12" s="153">
        <f>'[17]Rev SP FY24'!$AM$43*0.7457/10^3</f>
        <v>15.130253</v>
      </c>
      <c r="J12" s="153">
        <f>'[18]Rev_SP-12me'!$J$43*0.7457/10^3</f>
        <v>16.3584195096473</v>
      </c>
      <c r="K12" s="153">
        <f>'[18]Rev_SP-12me'!$AN$43*0.7457/10^3</f>
        <v>17.7055557778718</v>
      </c>
      <c r="L12" s="153">
        <f>'[19]Rev_SP-12me'!$AN$43*0.7457/10^3</f>
        <v>17.000002932721</v>
      </c>
      <c r="M12" s="153">
        <f>'[20]Rev_SP-12me'!$AN$43*0.7457/10^3</f>
        <v>17.000002932721</v>
      </c>
      <c r="N12" s="153">
        <f>'[21]Rev_SP-12me'!$AN$43*0.7457/10^3</f>
        <v>18.000003105234</v>
      </c>
    </row>
    <row r="13" spans="3:14">
      <c r="C13" s="55" t="s">
        <v>179</v>
      </c>
      <c r="D13" s="55" t="s">
        <v>180</v>
      </c>
      <c r="E13" s="153">
        <f>'[11]FY19-20 Actual Sales'!$F$44*0.7457/10^3</f>
        <v>4227.22416</v>
      </c>
      <c r="F13" s="153">
        <f>'[11]FY20-21 Actual Sales '!$F$44*0.7457/10^3</f>
        <v>4398.623305</v>
      </c>
      <c r="G13" s="153">
        <f>'[11]FY21-22 Actual Sales '!$E$44+'[11]FY21-22 Actual Sales '!$F$44*0.7457/10^3</f>
        <v>4666.090981</v>
      </c>
      <c r="H13" s="153">
        <f>'[11]FY22-23 Actual Sales'!$E$44+'[11]FY22-23 Actual Sales'!$F$44*0.7457/10^3</f>
        <v>4844.283453</v>
      </c>
      <c r="I13" s="153">
        <f>'[17]Rev SP FY24'!$AM$46*0.7457/10^3</f>
        <v>5046.196642</v>
      </c>
      <c r="J13" s="153">
        <f>'[18]Rev_SP-12me'!$J$46*0.7457/10^3</f>
        <v>5316.8745565</v>
      </c>
      <c r="K13" s="153">
        <f>'[18]Rev_SP-12me'!$AN$46*0.7457/10^3</f>
        <v>5601.0906545</v>
      </c>
      <c r="L13" s="153">
        <f>'[19]Rev_SP-12me'!$AN$46*0.7457/10^3</f>
        <v>6489.00111943686</v>
      </c>
      <c r="M13" s="153">
        <f>'[20]Rev_SP-12me'!$AN$46*0.7457/10^3</f>
        <v>6704.00115652715</v>
      </c>
      <c r="N13" s="153">
        <f>'[21]Rev_SP-12me'!$AN$46*0.7457/10^3</f>
        <v>6925.00119465252</v>
      </c>
    </row>
    <row r="14" spans="3:14">
      <c r="C14" s="55" t="s">
        <v>181</v>
      </c>
      <c r="D14" s="55" t="s">
        <v>182</v>
      </c>
      <c r="E14" s="153">
        <f>'[11]FY19-20 Actual Sales'!$E$52+'[11]FY19-20 Actual Sales'!$F$52*0.7457/10^3</f>
        <v>283.817872</v>
      </c>
      <c r="F14" s="153">
        <f>'[11]FY20-21 Actual Sales '!$E$52+'[11]FY20-21 Actual Sales '!$F$52*0.7457/10^3</f>
        <v>270.868770145</v>
      </c>
      <c r="G14" s="153">
        <f>'[11]FY21-22 Actual Sales '!$E$52+'[11]FY21-22 Actual Sales '!$F$52*0.7457/10^3</f>
        <v>277.017488</v>
      </c>
      <c r="H14" s="153">
        <f>'[11]FY22-23 Actual Sales'!$E$52+'[11]FY22-23 Actual Sales'!$F$52*0.7457/10^3</f>
        <v>282.086721737</v>
      </c>
      <c r="I14" s="153">
        <f>'[17]Rev SP FY24'!$AK$54+'[17]Rev SP FY24'!$AM$65*0.7457/10^3</f>
        <v>286.860636909</v>
      </c>
      <c r="J14" s="153">
        <f>'[18]Rev_SP-12me'!$I$54+('[18]Rev_SP-12me'!$J$65*0.7457/10^3)</f>
        <v>291.549615079202</v>
      </c>
      <c r="K14" s="153">
        <f>'[18]Rev_SP-12me'!$AL$54+('[18]Rev_SP-12me'!$AN$65*0.7457/10^3)</f>
        <v>292.709705592983</v>
      </c>
      <c r="L14" s="153">
        <f>'[19]Rev_SP-12me'!$AL$54+('[19]Rev_SP-12me'!$AN$65*0.7457/10^3)</f>
        <v>367.000025276952</v>
      </c>
      <c r="M14" s="153">
        <f>'[20]Rev_SP-12me'!$AL$54+('[20]Rev_SP-12me'!$AN$65*0.7457/10^3)</f>
        <v>385.000026516694</v>
      </c>
      <c r="N14" s="153">
        <f>'[21]Rev_SP-12me'!$AL$54+('[21]Rev_SP-12me'!$AN$65*0.7457/10^3)</f>
        <v>404.00002782531</v>
      </c>
    </row>
    <row r="15" spans="3:14">
      <c r="C15" s="55" t="s">
        <v>183</v>
      </c>
      <c r="D15" s="55" t="s">
        <v>184</v>
      </c>
      <c r="E15" s="153">
        <f>'[11]FY19-20 Actual Sales'!$E$61</f>
        <v>58.88</v>
      </c>
      <c r="F15" s="153">
        <f>'[11]FY20-21 Actual Sales '!$E$61</f>
        <v>62.42</v>
      </c>
      <c r="G15" s="153">
        <f>'[11]FY21-22 Actual Sales '!$E$61</f>
        <v>65.41</v>
      </c>
      <c r="H15" s="153">
        <f>'[11]FY22-23 Actual Sales'!$E$61</f>
        <v>71.36</v>
      </c>
      <c r="I15" s="153">
        <f>'[17]Rev SP FY24'!$AK$58</f>
        <v>76.33</v>
      </c>
      <c r="J15" s="153">
        <f>'[18]Rev_SP-12me'!$I$58</f>
        <v>81.4473817185997</v>
      </c>
      <c r="K15" s="153">
        <f>'[18]Rev_SP-12me'!$AL$58</f>
        <v>86.9078473577268</v>
      </c>
      <c r="L15" s="153">
        <f>'[19]Rev_SP-12me'!$AL$58</f>
        <v>95</v>
      </c>
      <c r="M15" s="153">
        <f>'[20]Rev_SP-12me'!$AL$58</f>
        <v>102</v>
      </c>
      <c r="N15" s="153">
        <f>'[21]Rev_SP-12me'!$AL$58</f>
        <v>110</v>
      </c>
    </row>
    <row r="16" spans="3:14">
      <c r="C16" s="55" t="s">
        <v>185</v>
      </c>
      <c r="D16" s="55" t="s">
        <v>186</v>
      </c>
      <c r="E16" s="153">
        <f>'[11]FY19-20 Actual Sales'!$E$66</f>
        <v>37.65</v>
      </c>
      <c r="F16" s="153">
        <f>'[11]FY20-21 Actual Sales '!$E$66</f>
        <v>59.95</v>
      </c>
      <c r="G16" s="153">
        <f>'[11]FY21-22 Actual Sales '!$E$66</f>
        <v>87.51</v>
      </c>
      <c r="H16" s="153">
        <f>'[11]FY22-23 Actual Sales'!$E$66</f>
        <v>102.26</v>
      </c>
      <c r="I16" s="153">
        <f>'[17]Rev SP FY24'!$AK$63</f>
        <v>118.13</v>
      </c>
      <c r="J16" s="153">
        <f>'[18]Rev_SP-12me'!$I$63</f>
        <v>148.098460091206</v>
      </c>
      <c r="K16" s="153">
        <f>'[18]Rev_SP-12me'!$AL$63</f>
        <v>185.669634143626</v>
      </c>
      <c r="L16" s="153">
        <f>'[19]Rev_SP-12me'!$AL$63</f>
        <v>124</v>
      </c>
      <c r="M16" s="153">
        <f>'[20]Rev_SP-12me'!$AL$63</f>
        <v>131</v>
      </c>
      <c r="N16" s="153">
        <f>'[21]Rev_SP-12me'!$AL$63</f>
        <v>137</v>
      </c>
    </row>
    <row r="17" spans="3:14">
      <c r="C17" s="55" t="s">
        <v>187</v>
      </c>
      <c r="D17" s="55" t="s">
        <v>188</v>
      </c>
      <c r="E17" s="153">
        <f>'[11]FY19-20 Actual Sales'!$E$67</f>
        <v>0.05</v>
      </c>
      <c r="F17" s="153">
        <f>'[11]FY20-21 Actual Sales '!$E$67</f>
        <v>0.38</v>
      </c>
      <c r="G17" s="153">
        <f>'[11]FY21-22 Actual Sales '!$E$67</f>
        <v>0.87</v>
      </c>
      <c r="H17" s="153">
        <f>'[11]FY22-23 Actual Sales'!$E$67</f>
        <v>1.93</v>
      </c>
      <c r="I17" s="153">
        <f>'[17]Rev SP FY24'!$AK$64</f>
        <v>7.25</v>
      </c>
      <c r="J17" s="153">
        <f>'[18]Rev_SP-12me'!$I$64</f>
        <v>12.201</v>
      </c>
      <c r="K17" s="153">
        <f>'[18]Rev_SP-12me'!$AL$64</f>
        <v>19.9148408294931</v>
      </c>
      <c r="L17" s="153">
        <f>'[19]Rev_SP-12me'!$AL$64</f>
        <v>8.39278125</v>
      </c>
      <c r="M17" s="153">
        <f>'[20]Rev_SP-12me'!$AL$64</f>
        <v>8.8124203125</v>
      </c>
      <c r="N17" s="153">
        <f>'[21]Rev_SP-12me'!$AL$64</f>
        <v>9.253041328125</v>
      </c>
    </row>
    <row r="18" spans="3:14">
      <c r="C18" s="55"/>
      <c r="D18" s="55"/>
      <c r="E18" s="101"/>
      <c r="F18" s="101"/>
      <c r="G18" s="101"/>
      <c r="H18" s="101"/>
      <c r="I18" s="101"/>
      <c r="J18" s="101"/>
      <c r="K18" s="101"/>
      <c r="L18" s="101"/>
      <c r="M18" s="101"/>
      <c r="N18" s="101"/>
    </row>
    <row r="19" spans="3:14">
      <c r="C19" s="55"/>
      <c r="D19" s="55"/>
      <c r="E19" s="101"/>
      <c r="F19" s="101"/>
      <c r="G19" s="101"/>
      <c r="H19" s="101"/>
      <c r="I19" s="101"/>
      <c r="J19" s="101"/>
      <c r="K19" s="101"/>
      <c r="L19" s="101"/>
      <c r="M19" s="101"/>
      <c r="N19" s="101"/>
    </row>
    <row r="20" spans="3:14">
      <c r="C20" s="55"/>
      <c r="D20" s="55"/>
      <c r="E20" s="101"/>
      <c r="F20" s="101"/>
      <c r="G20" s="101"/>
      <c r="H20" s="101"/>
      <c r="I20" s="101"/>
      <c r="J20" s="101"/>
      <c r="K20" s="101"/>
      <c r="L20" s="101"/>
      <c r="M20" s="101"/>
      <c r="N20" s="101"/>
    </row>
    <row r="21" spans="3:14">
      <c r="C21" s="55"/>
      <c r="D21" s="55"/>
      <c r="E21" s="101"/>
      <c r="F21" s="101"/>
      <c r="G21" s="101"/>
      <c r="H21" s="101"/>
      <c r="I21" s="101"/>
      <c r="J21" s="101"/>
      <c r="K21" s="101"/>
      <c r="L21" s="101"/>
      <c r="M21" s="101"/>
      <c r="N21" s="101"/>
    </row>
    <row r="22" ht="15" spans="3:14">
      <c r="C22" s="537" t="s">
        <v>189</v>
      </c>
      <c r="D22" s="540"/>
      <c r="E22" s="878">
        <f>SUM(E9:E21)</f>
        <v>16914.013963</v>
      </c>
      <c r="F22" s="878">
        <f t="shared" ref="F22:N22" si="0">SUM(F9:F21)</f>
        <v>17926.076288145</v>
      </c>
      <c r="G22" s="878">
        <f t="shared" si="0"/>
        <v>19390.907143</v>
      </c>
      <c r="H22" s="878">
        <f t="shared" si="0"/>
        <v>20799.091349737</v>
      </c>
      <c r="I22" s="878">
        <f t="shared" si="0"/>
        <v>22259.199175909</v>
      </c>
      <c r="J22" s="878">
        <f t="shared" si="0"/>
        <v>23900.6355135689</v>
      </c>
      <c r="K22" s="878">
        <f t="shared" si="0"/>
        <v>25670.1336191761</v>
      </c>
      <c r="L22" s="878">
        <f t="shared" si="0"/>
        <v>28845.394167137</v>
      </c>
      <c r="M22" s="878">
        <f t="shared" si="0"/>
        <v>30961.8138528101</v>
      </c>
      <c r="N22" s="878">
        <f t="shared" si="0"/>
        <v>33248.2545218854</v>
      </c>
    </row>
    <row r="23" ht="15" spans="3:14">
      <c r="C23" s="44" t="s">
        <v>190</v>
      </c>
      <c r="D23" s="45"/>
      <c r="E23" s="45"/>
      <c r="F23" s="45"/>
      <c r="G23" s="45"/>
      <c r="H23" s="45"/>
      <c r="I23" s="55"/>
      <c r="J23" s="55"/>
      <c r="K23" s="55"/>
      <c r="L23" s="55"/>
      <c r="M23" s="55"/>
      <c r="N23" s="55"/>
    </row>
    <row r="24" spans="3:14">
      <c r="C24" s="55" t="s">
        <v>191</v>
      </c>
      <c r="D24" s="55" t="s">
        <v>192</v>
      </c>
      <c r="E24" s="882">
        <f>'[11]FY19-20 Actual Sales'!$E$76+'[11]FY19-20 Actual Sales'!$E$77+'[11]FY19-20 Actual Sales'!$E$80+'[11]FY19-20 Actual Sales'!$E$84+'[11]FY19-20 Actual Sales'!$E$88</f>
        <v>1456.61206</v>
      </c>
      <c r="F24" s="882">
        <f>'[11]FY20-21 Actual Sales '!$E$76+'[11]FY20-21 Actual Sales '!$E$77+'[11]FY20-21 Actual Sales '!$E$80+'[11]FY20-21 Actual Sales '!$E$84+'[11]FY20-21 Actual Sales '!$E$88</f>
        <v>1559.39781</v>
      </c>
      <c r="G24" s="882">
        <f>'[11]FY21-22 Actual Sales '!$E$76+'[11]FY21-22 Actual Sales '!$E$88</f>
        <v>1591.4033</v>
      </c>
      <c r="H24" s="882">
        <f>'[11]FY22-23 Actual Sales'!$E$76+'[11]FY22-23 Actual Sales'!$E$88</f>
        <v>1678.74049</v>
      </c>
      <c r="I24" s="153">
        <f>'[17]Rev SP FY24'!$AK$84+'[17]Rev SP FY24'!$AK$100</f>
        <v>1771.66671</v>
      </c>
      <c r="J24" s="153">
        <f>'[18]Rev_SP-12me'!$I$84+'[18]Rev_SP-12me'!$I$100</f>
        <v>1529.6729323312</v>
      </c>
      <c r="K24" s="153">
        <f>'[18]Rev_SP-12me'!$AL$84+'[18]Rev_SP-12me'!$AL$100</f>
        <v>1616.92789975108</v>
      </c>
      <c r="L24" s="153">
        <f>'[19]Rev_SP-12me'!$AL$84+'[19]Rev_SP-12me'!$AL$100</f>
        <v>2450.89463730117</v>
      </c>
      <c r="M24" s="153">
        <f>'[20]Rev_SP-12me'!$AL$84+'[20]Rev_SP-12me'!$AL$100</f>
        <v>2618.62214419837</v>
      </c>
      <c r="N24" s="153">
        <f>'[21]Rev_SP-12me'!$AL$84+'[21]Rev_SP-12me'!$AL$100</f>
        <v>2799.07055751754</v>
      </c>
    </row>
    <row r="25" spans="3:14">
      <c r="C25" s="55" t="s">
        <v>193</v>
      </c>
      <c r="D25" s="55" t="s">
        <v>194</v>
      </c>
      <c r="E25" s="153">
        <v>0</v>
      </c>
      <c r="F25" s="153">
        <v>0</v>
      </c>
      <c r="G25" s="153">
        <f>'[11]FY21-22 Actual Sales '!$E$92</f>
        <v>0</v>
      </c>
      <c r="H25" s="153">
        <f>'[11]FY22-23 Actual Sales'!$E$92</f>
        <v>0</v>
      </c>
      <c r="I25" s="153">
        <f>'[17]Rev SP FY24'!$AK$99</f>
        <v>0.49</v>
      </c>
      <c r="J25" s="153">
        <f>'[18]Rev_SP-12me'!$I$99</f>
        <v>0</v>
      </c>
      <c r="K25" s="153">
        <f>'[18]Rev_SP-12me'!$AL$99</f>
        <v>0</v>
      </c>
      <c r="L25" s="153">
        <f>'[19]Rev_SP-12me'!$AL$99</f>
        <v>0</v>
      </c>
      <c r="M25" s="153">
        <f>'[20]Rev_SP-12me'!$AL$99</f>
        <v>0</v>
      </c>
      <c r="N25" s="153">
        <f>'[21]Rev_SP-12me'!$AL$99</f>
        <v>0</v>
      </c>
    </row>
    <row r="26" spans="3:14">
      <c r="C26" s="55" t="s">
        <v>195</v>
      </c>
      <c r="D26" s="55" t="s">
        <v>196</v>
      </c>
      <c r="E26" s="153">
        <f>'[11]FY19-20 Actual Sales'!$E$93</f>
        <v>850.20017</v>
      </c>
      <c r="F26" s="153">
        <f>'[11]FY20-21 Actual Sales '!$E$90</f>
        <v>829.75967</v>
      </c>
      <c r="G26" s="153">
        <f>'[11]FY21-22 Actual Sales '!$E$93</f>
        <v>884.88667</v>
      </c>
      <c r="H26" s="153">
        <f>'[11]FY22-23 Actual Sales'!$E$93</f>
        <v>977.79554</v>
      </c>
      <c r="I26" s="153">
        <f>'[17]Rev SP FY24'!$AK$105</f>
        <v>1084.6856</v>
      </c>
      <c r="J26" s="153">
        <f>'[18]Rev_SP-12me'!$I$105</f>
        <v>1018.92972452783</v>
      </c>
      <c r="K26" s="153">
        <f>'[18]Rev_SP-12me'!$AL$105</f>
        <v>1029.11902177311</v>
      </c>
      <c r="L26" s="153">
        <f>'[19]Rev_SP-12me'!$AL$105</f>
        <v>1231.63443202928</v>
      </c>
      <c r="M26" s="153">
        <f>'[20]Rev_SP-12me'!$AL$105</f>
        <v>1310.66263375819</v>
      </c>
      <c r="N26" s="153">
        <f>'[21]Rev_SP-12me'!$AL$105</f>
        <v>1395.0486796721</v>
      </c>
    </row>
    <row r="27" spans="3:14">
      <c r="C27" s="55" t="s">
        <v>197</v>
      </c>
      <c r="D27" s="55" t="s">
        <v>198</v>
      </c>
      <c r="E27" s="153">
        <v>0</v>
      </c>
      <c r="F27" s="153">
        <v>0</v>
      </c>
      <c r="G27" s="153">
        <v>0</v>
      </c>
      <c r="H27" s="153">
        <f>'[11]FY22-23 Actual Sales'!$E$97</f>
        <v>0</v>
      </c>
      <c r="I27" s="101">
        <f>'[17]Rev SP FY24'!$AK$110</f>
        <v>0.23</v>
      </c>
      <c r="J27" s="153">
        <f>'[18]Rev_SP-12me'!$I$110</f>
        <v>0</v>
      </c>
      <c r="K27" s="153">
        <f>'[18]Rev_SP-12me'!$AL$110</f>
        <v>0</v>
      </c>
      <c r="L27" s="153">
        <f>'[19]Rev_SP-12me'!$AL$110</f>
        <v>0</v>
      </c>
      <c r="M27" s="153">
        <f>'[20]Rev_SP-12me'!$AL$110</f>
        <v>0</v>
      </c>
      <c r="N27" s="153">
        <f>'[21]Rev_SP-12me'!$AL$110</f>
        <v>0</v>
      </c>
    </row>
    <row r="28" spans="3:14">
      <c r="C28" s="55" t="s">
        <v>199</v>
      </c>
      <c r="D28" s="55" t="s">
        <v>200</v>
      </c>
      <c r="E28" s="153">
        <f>'[11]FY19-20 Actual Sales'!$E$97</f>
        <v>1.69</v>
      </c>
      <c r="F28" s="153">
        <f>'[11]FY20-21 Actual Sales '!$E$94</f>
        <v>1.935</v>
      </c>
      <c r="G28" s="153">
        <f>'[11]FY21-22 Actual Sales '!$E$97</f>
        <v>1.815</v>
      </c>
      <c r="H28" s="153">
        <f>'[11]FY22-23 Actual Sales'!$E$101</f>
        <v>1.815</v>
      </c>
      <c r="I28" s="153">
        <f>'[17]Rev SP FY24'!$AK$115</f>
        <v>3.505</v>
      </c>
      <c r="J28" s="153">
        <f>'[18]Rev_SP-12me'!$I$115</f>
        <v>3.02498938462724</v>
      </c>
      <c r="K28" s="153">
        <f>'[18]Rev_SP-12me'!$AL$115</f>
        <v>3.09676222963622</v>
      </c>
      <c r="L28" s="153">
        <f>'[19]Rev_SP-12me'!$AL$115</f>
        <v>1.40321141837645</v>
      </c>
      <c r="M28" s="153">
        <f>'[20]Rev_SP-12me'!$AL$115</f>
        <v>1.40321141837645</v>
      </c>
      <c r="N28" s="153">
        <f>'[21]Rev_SP-12me'!$AL$115</f>
        <v>1.40321141837645</v>
      </c>
    </row>
    <row r="29" spans="3:15">
      <c r="C29" s="55" t="s">
        <v>201</v>
      </c>
      <c r="D29" s="55" t="s">
        <v>202</v>
      </c>
      <c r="E29" s="153">
        <f>'[11]FY19-20 Actual Sales'!$E$101</f>
        <v>47.5072</v>
      </c>
      <c r="F29" s="153">
        <f>'[11]FY20-21 Actual Sales '!E98</f>
        <v>48.1282</v>
      </c>
      <c r="G29" s="153">
        <f>'[11]FY21-22 Actual Sales '!$E$101</f>
        <v>46.9432</v>
      </c>
      <c r="H29" s="153">
        <f>'[11]FY22-23 Actual Sales'!$E$105</f>
        <v>47.4582</v>
      </c>
      <c r="I29" s="153">
        <f>'[17]Rev SP FY24'!$AK$120</f>
        <v>47.1582</v>
      </c>
      <c r="J29" s="153">
        <f>'[18]Rev_SP-12me'!$I$120</f>
        <v>26.8133129159538</v>
      </c>
      <c r="K29" s="153">
        <f>'[18]Rev_SP-12me'!$AL$120</f>
        <v>28.2849246927044</v>
      </c>
      <c r="L29" s="153">
        <f>'[19]Rev_SP-12me'!$AL$120</f>
        <v>56.9052792522258</v>
      </c>
      <c r="M29" s="153">
        <f>'[20]Rev_SP-12me'!$AL$120</f>
        <v>59.8157785437858</v>
      </c>
      <c r="N29" s="153">
        <f>'[21]Rev_SP-12me'!$AL$120</f>
        <v>62.8768209021507</v>
      </c>
      <c r="O29" s="887">
        <f>I29+I46+I65</f>
        <v>1869.785</v>
      </c>
    </row>
    <row r="30" spans="3:14">
      <c r="C30" s="55" t="s">
        <v>203</v>
      </c>
      <c r="D30" s="55" t="s">
        <v>204</v>
      </c>
      <c r="E30" s="153">
        <f>'[11]FY19-20 Actual Sales'!$E$102</f>
        <v>40.22</v>
      </c>
      <c r="F30" s="153">
        <f>'[11]FY20-21 Actual Sales '!E99</f>
        <v>39.385</v>
      </c>
      <c r="G30" s="153">
        <f>'[11]FY21-22 Actual Sales '!$E$102</f>
        <v>38.317</v>
      </c>
      <c r="H30" s="153">
        <f>'[11]FY22-23 Actual Sales'!$E$106</f>
        <v>37.139</v>
      </c>
      <c r="I30" s="153">
        <f>'[17]Rev SP FY24'!$AK$132</f>
        <v>37.069</v>
      </c>
      <c r="J30" s="153">
        <f>'[18]Rev_SP-12me'!$I$132</f>
        <v>34.380809169</v>
      </c>
      <c r="K30" s="153">
        <f>'[18]Rev_SP-12me'!$AL$132</f>
        <v>36.09984962745</v>
      </c>
      <c r="L30" s="153">
        <f>'[19]Rev_SP-12me'!$AL$132</f>
        <v>44.5319284369911</v>
      </c>
      <c r="M30" s="153">
        <f>'[20]Rev_SP-12me'!$AL$132</f>
        <v>46.8095755704528</v>
      </c>
      <c r="N30" s="153">
        <f>'[21]Rev_SP-12me'!$AL$132</f>
        <v>49.2050320384038</v>
      </c>
    </row>
    <row r="31" spans="3:14">
      <c r="C31" s="55" t="s">
        <v>205</v>
      </c>
      <c r="D31" s="55" t="s">
        <v>206</v>
      </c>
      <c r="E31" s="153">
        <f>'[11]FY19-20 Actual Sales'!$E$103</f>
        <v>65.856</v>
      </c>
      <c r="F31" s="153">
        <f>'[11]FY20-21 Actual Sales '!E100</f>
        <v>77.136</v>
      </c>
      <c r="G31" s="153">
        <f>'[11]FY21-22 Actual Sales '!$E$103</f>
        <v>85.437</v>
      </c>
      <c r="H31" s="153">
        <f>'[11]FY22-23 Actual Sales'!$E$107</f>
        <v>96.029</v>
      </c>
      <c r="I31" s="153">
        <f>'[17]Rev SP FY24'!$AK$124</f>
        <v>111.234</v>
      </c>
      <c r="J31" s="153">
        <f>'[18]Rev_SP-12me'!$I$124</f>
        <v>81.5487776516464</v>
      </c>
      <c r="K31" s="153">
        <f>'[18]Rev_SP-12me'!$AL$124</f>
        <v>90.8951923481818</v>
      </c>
      <c r="L31" s="153">
        <f>'[19]Rev_SP-12me'!$AL$124</f>
        <v>108.367010283135</v>
      </c>
      <c r="M31" s="153">
        <f>'[20]Rev_SP-12me'!$AL$124</f>
        <v>113.23743771159</v>
      </c>
      <c r="N31" s="153">
        <f>'[21]Rev_SP-12me'!$AL$124</f>
        <v>119.32547199716</v>
      </c>
    </row>
    <row r="32" spans="3:14">
      <c r="C32" s="55" t="s">
        <v>207</v>
      </c>
      <c r="D32" s="55" t="s">
        <v>186</v>
      </c>
      <c r="E32" s="153">
        <f>'[11]FY19-20 Actual Sales'!$E$104</f>
        <v>54.888</v>
      </c>
      <c r="F32" s="153">
        <f>'[11]FY20-21 Actual Sales '!E101</f>
        <v>65.217</v>
      </c>
      <c r="G32" s="153">
        <f>'[11]FY21-22 Actual Sales '!$E$104</f>
        <v>76.162</v>
      </c>
      <c r="H32" s="153">
        <f>'[11]FY22-23 Actual Sales'!$E$108</f>
        <v>99.268</v>
      </c>
      <c r="I32" s="153">
        <f>'[17]Rev SP FY24'!$AK$125</f>
        <v>117.761</v>
      </c>
      <c r="J32" s="153">
        <f>'[18]Rev_SP-12me'!$I$125</f>
        <v>128.281889826877</v>
      </c>
      <c r="K32" s="153">
        <f>'[18]Rev_SP-12me'!$AL$125</f>
        <v>161.041086101677</v>
      </c>
      <c r="L32" s="153">
        <f>'[19]Rev_SP-12me'!$AL$125</f>
        <v>125.666161405847</v>
      </c>
      <c r="M32" s="153">
        <f>'[20]Rev_SP-12me'!$AL$125</f>
        <v>132.280169900891</v>
      </c>
      <c r="N32" s="153">
        <f>'[21]Rev_SP-12me'!$AL$125</f>
        <v>138.894178395936</v>
      </c>
    </row>
    <row r="33" spans="3:14">
      <c r="C33" s="55" t="s">
        <v>208</v>
      </c>
      <c r="D33" s="55" t="s">
        <v>209</v>
      </c>
      <c r="E33" s="153">
        <v>0</v>
      </c>
      <c r="F33" s="153">
        <v>0</v>
      </c>
      <c r="G33" s="153">
        <v>0</v>
      </c>
      <c r="H33" s="153">
        <v>0</v>
      </c>
      <c r="I33" s="153">
        <f>'[17]Rev SP FY24'!$AK$126</f>
        <v>0</v>
      </c>
      <c r="J33" s="153">
        <f>'[18]Rev_SP-12me'!$I$126</f>
        <v>0</v>
      </c>
      <c r="K33" s="153">
        <f>'[18]Rev_SP-12me'!$AL$126</f>
        <v>0</v>
      </c>
      <c r="L33" s="153">
        <v>0</v>
      </c>
      <c r="M33" s="153">
        <v>0</v>
      </c>
      <c r="N33" s="153">
        <v>0</v>
      </c>
    </row>
    <row r="34" spans="3:14">
      <c r="C34" s="55" t="s">
        <v>210</v>
      </c>
      <c r="D34" s="55" t="s">
        <v>188</v>
      </c>
      <c r="E34" s="153">
        <f>'[11]FY19-20 Actual Sales'!$E$105</f>
        <v>2.5</v>
      </c>
      <c r="F34" s="153">
        <f>'[11]FY20-21 Actual Sales '!$E$102</f>
        <v>2.6</v>
      </c>
      <c r="G34" s="153">
        <f>'[11]FY21-22 Actual Sales '!$E$105</f>
        <v>2.6</v>
      </c>
      <c r="H34" s="153">
        <f>'[11]FY22-23 Actual Sales'!$E$109</f>
        <v>4.1</v>
      </c>
      <c r="I34" s="153">
        <f>'[17]Rev SP FY24'!$AK$127</f>
        <v>9.807</v>
      </c>
      <c r="J34" s="153">
        <f>'[18]Rev_SP-12me'!$I$127</f>
        <v>9.6519432174</v>
      </c>
      <c r="K34" s="153">
        <f>'[18]Rev_SP-12me'!$AL$127</f>
        <v>12.2547840778932</v>
      </c>
      <c r="L34" s="153">
        <f>'[19]Rev_SP-12me'!$AL$127</f>
        <v>11.352828375</v>
      </c>
      <c r="M34" s="153">
        <f>'[20]Rev_SP-12me'!$AL$127</f>
        <v>11.92046979375</v>
      </c>
      <c r="N34" s="153">
        <f>'[21]Rev_SP-12me'!$AL$127</f>
        <v>12.5164932834375</v>
      </c>
    </row>
    <row r="35" spans="3:14">
      <c r="C35" s="55"/>
      <c r="D35" s="55"/>
      <c r="E35" s="101"/>
      <c r="F35" s="101"/>
      <c r="G35" s="101"/>
      <c r="H35" s="101"/>
      <c r="I35" s="101"/>
      <c r="J35" s="101"/>
      <c r="K35" s="101"/>
      <c r="L35" s="101"/>
      <c r="M35" s="101"/>
      <c r="N35" s="101"/>
    </row>
    <row r="36" spans="3:14">
      <c r="C36" s="55"/>
      <c r="D36" s="55"/>
      <c r="E36" s="101"/>
      <c r="F36" s="101"/>
      <c r="G36" s="101"/>
      <c r="H36" s="101"/>
      <c r="I36" s="101"/>
      <c r="J36" s="101"/>
      <c r="K36" s="101"/>
      <c r="L36" s="101"/>
      <c r="M36" s="101"/>
      <c r="N36" s="101"/>
    </row>
    <row r="37" spans="3:14">
      <c r="C37" s="55"/>
      <c r="D37" s="55"/>
      <c r="E37" s="883"/>
      <c r="F37" s="883"/>
      <c r="G37" s="883"/>
      <c r="H37" s="883"/>
      <c r="I37" s="101"/>
      <c r="J37" s="101"/>
      <c r="K37" s="101"/>
      <c r="L37" s="101"/>
      <c r="M37" s="101"/>
      <c r="N37" s="101"/>
    </row>
    <row r="38" spans="3:14">
      <c r="C38" s="55"/>
      <c r="D38" s="55"/>
      <c r="E38" s="101"/>
      <c r="F38" s="101"/>
      <c r="G38" s="101"/>
      <c r="H38" s="101"/>
      <c r="I38" s="101"/>
      <c r="J38" s="101"/>
      <c r="K38" s="101"/>
      <c r="L38" s="101"/>
      <c r="M38" s="101"/>
      <c r="N38" s="101"/>
    </row>
    <row r="39" ht="15" spans="3:14">
      <c r="C39" s="537" t="s">
        <v>211</v>
      </c>
      <c r="D39" s="540"/>
      <c r="E39" s="878">
        <f>SUM(E24:E38)</f>
        <v>2519.47343</v>
      </c>
      <c r="F39" s="878">
        <f t="shared" ref="F39:N39" si="1">SUM(F24:F38)</f>
        <v>2623.55868</v>
      </c>
      <c r="G39" s="878">
        <f t="shared" si="1"/>
        <v>2727.56417</v>
      </c>
      <c r="H39" s="878">
        <f t="shared" si="1"/>
        <v>2942.34523</v>
      </c>
      <c r="I39" s="878">
        <f t="shared" si="1"/>
        <v>3183.60651</v>
      </c>
      <c r="J39" s="878">
        <f t="shared" si="1"/>
        <v>2832.30437902453</v>
      </c>
      <c r="K39" s="878">
        <f t="shared" si="1"/>
        <v>2977.71952060173</v>
      </c>
      <c r="L39" s="878">
        <f t="shared" si="1"/>
        <v>4030.75548850202</v>
      </c>
      <c r="M39" s="878">
        <f t="shared" si="1"/>
        <v>4294.75142089541</v>
      </c>
      <c r="N39" s="878">
        <f t="shared" si="1"/>
        <v>4578.34044522511</v>
      </c>
    </row>
    <row r="40" ht="15" spans="3:14">
      <c r="C40" s="44" t="s">
        <v>212</v>
      </c>
      <c r="D40" s="45"/>
      <c r="E40" s="45"/>
      <c r="F40" s="45"/>
      <c r="G40" s="45"/>
      <c r="H40" s="45"/>
      <c r="I40" s="55"/>
      <c r="J40" s="55"/>
      <c r="K40" s="55"/>
      <c r="L40" s="55"/>
      <c r="M40" s="55"/>
      <c r="N40" s="55"/>
    </row>
    <row r="41" spans="3:14">
      <c r="C41" s="55" t="s">
        <v>191</v>
      </c>
      <c r="D41" s="55" t="s">
        <v>192</v>
      </c>
      <c r="E41" s="883">
        <f>'[11]FY19-20 Actual Sales'!$E$108+'[11]FY19-20 Actual Sales'!$E$111+'[11]FY19-20 Actual Sales'!$E$115+'[11]FY19-20 Actual Sales'!$E$119</f>
        <v>1141.668</v>
      </c>
      <c r="F41" s="883">
        <f>'[11]FY20-21 Actual Sales '!$E$105+'[11]FY20-21 Actual Sales '!$E$108+'[11]FY20-21 Actual Sales '!$E$112+'[11]FY20-21 Actual Sales '!$E$116</f>
        <v>1153.126</v>
      </c>
      <c r="G41" s="883">
        <f>'[11]FY21-22 Actual Sales '!$E$108+'[11]FY21-22 Actual Sales '!$E$119</f>
        <v>1195.165</v>
      </c>
      <c r="H41" s="883">
        <f>'[11]FY22-23 Actual Sales'!$E$115+'[11]FY22-23 Actual Sales'!$E$126</f>
        <v>1240.124</v>
      </c>
      <c r="I41" s="101">
        <f>'[17]Rev SP FY24'!$AK$150+'[17]Rev SP FY24'!$AK$164+'[17]Rev_SP-12me'!$I$158</f>
        <v>1371.513</v>
      </c>
      <c r="J41" s="101">
        <f>'[18]Rev_SP-12me'!$I$149+'[18]Rev_SP-12me'!$I$164</f>
        <v>1229.807976</v>
      </c>
      <c r="K41" s="101">
        <f>'[18]Rev_SP-12me'!$AL$149+'[18]Rev_SP-12me'!$AL$164</f>
        <v>1291.2983748</v>
      </c>
      <c r="L41" s="101">
        <f>'[19]Rev_SP-12me'!$AL$149+'[19]Rev_SP-12me'!$AL$164</f>
        <v>1809.04361744246</v>
      </c>
      <c r="M41" s="101">
        <f>'[20]Rev_SP-12me'!$AL$149+'[20]Rev_SP-12me'!$AL$164</f>
        <v>1932.84591037009</v>
      </c>
      <c r="N41" s="101">
        <f>'[21]Rev_SP-12me'!$AL$149+'[21]Rev_SP-12me'!$AL$164</f>
        <v>2066.03770304223</v>
      </c>
    </row>
    <row r="42" spans="3:14">
      <c r="C42" s="55" t="s">
        <v>193</v>
      </c>
      <c r="D42" s="55" t="s">
        <v>194</v>
      </c>
      <c r="E42" s="101">
        <f>'[11]FY19-20 Actual Sales'!$E$123</f>
        <v>8</v>
      </c>
      <c r="F42" s="101">
        <f>'[11]FY20-21 Actual Sales '!$E$117</f>
        <v>4</v>
      </c>
      <c r="G42" s="101">
        <f>'[11]FY21-22 Actual Sales '!$E$123</f>
        <v>8</v>
      </c>
      <c r="H42" s="101">
        <f>'[11]FY22-23 Actual Sales'!$E$130</f>
        <v>8</v>
      </c>
      <c r="I42" s="101">
        <f>'[17]Rev SP FY24'!$AK$163</f>
        <v>0</v>
      </c>
      <c r="J42" s="153">
        <f>'[18]Rev_SP-12me'!$I$163</f>
        <v>0</v>
      </c>
      <c r="K42" s="101">
        <f>'[18]Rev_SP-12me'!$AL$163</f>
        <v>0</v>
      </c>
      <c r="L42" s="101">
        <f>'[19]Rev_SP-12me'!$AL$163</f>
        <v>15.5503512880562</v>
      </c>
      <c r="M42" s="101">
        <f>'[20]Rev_SP-12me'!$AL$163</f>
        <v>15.5503512880562</v>
      </c>
      <c r="N42" s="101">
        <f>'[21]Rev_SP-12me'!$AL$163</f>
        <v>15.5503512880562</v>
      </c>
    </row>
    <row r="43" spans="3:14">
      <c r="C43" s="55" t="s">
        <v>195</v>
      </c>
      <c r="D43" s="55" t="s">
        <v>196</v>
      </c>
      <c r="E43" s="101">
        <f>'[11]FY19-20 Actual Sales'!$E$124</f>
        <v>338.432</v>
      </c>
      <c r="F43" s="101">
        <f>'[11]FY20-21 Actual Sales '!$E$118</f>
        <v>360.123</v>
      </c>
      <c r="G43" s="101">
        <f>'[11]FY21-22 Actual Sales '!$E$124</f>
        <v>384.044</v>
      </c>
      <c r="H43" s="101">
        <f>'[11]FY22-23 Actual Sales'!$E$131</f>
        <v>464.118</v>
      </c>
      <c r="I43" s="101">
        <f>'[17]Rev SP FY24'!$AK$169</f>
        <v>511.203</v>
      </c>
      <c r="J43" s="153">
        <f>'[18]Rev_SP-12me'!$I$169</f>
        <v>453.53464216588</v>
      </c>
      <c r="K43" s="101">
        <f>'[18]Rev_SP-12me'!$AL$169</f>
        <v>499.586374274174</v>
      </c>
      <c r="L43" s="101">
        <f>'[19]Rev_SP-12me'!$AL$169</f>
        <v>584.60453739088</v>
      </c>
      <c r="M43" s="101">
        <f>'[20]Rev_SP-12me'!$AL$169</f>
        <v>622.115867141899</v>
      </c>
      <c r="N43" s="101">
        <f>'[21]Rev_SP-12me'!$AL$169</f>
        <v>662.170337892988</v>
      </c>
    </row>
    <row r="44" spans="3:14">
      <c r="C44" s="55" t="s">
        <v>197</v>
      </c>
      <c r="D44" s="55" t="s">
        <v>198</v>
      </c>
      <c r="E44" s="101">
        <v>0</v>
      </c>
      <c r="F44" s="101">
        <v>0</v>
      </c>
      <c r="G44" s="101">
        <v>0</v>
      </c>
      <c r="H44" s="101">
        <v>0</v>
      </c>
      <c r="I44" s="101">
        <f>'[17]Rev_SP-12me'!$I$176</f>
        <v>1.501</v>
      </c>
      <c r="J44" s="153">
        <f>'[18]Rev_SP-12me'!$I$175</f>
        <v>0</v>
      </c>
      <c r="K44" s="101">
        <f>'[18]Rev_SP-12me'!$AL$175</f>
        <v>0</v>
      </c>
      <c r="L44" s="101">
        <f>'[19]Rev_SP-12me'!$AL$175</f>
        <v>0</v>
      </c>
      <c r="M44" s="101">
        <f>'[20]Rev_SP-12me'!$AL$175</f>
        <v>0</v>
      </c>
      <c r="N44" s="101">
        <f>'[21]Rev_SP-12me'!$AL$175</f>
        <v>0</v>
      </c>
    </row>
    <row r="45" spans="3:14">
      <c r="C45" s="55" t="s">
        <v>199</v>
      </c>
      <c r="D45" s="55" t="s">
        <v>200</v>
      </c>
      <c r="E45" s="101">
        <v>0</v>
      </c>
      <c r="F45" s="101">
        <v>0</v>
      </c>
      <c r="G45" s="101">
        <v>0</v>
      </c>
      <c r="H45" s="101">
        <v>0</v>
      </c>
      <c r="I45" s="101">
        <f>'[17]Rev SP FY24'!$AK$180</f>
        <v>0</v>
      </c>
      <c r="J45" s="153">
        <f>'[18]Rev_SP-12me'!$I$180</f>
        <v>0</v>
      </c>
      <c r="K45" s="101">
        <f>'[18]Rev_SP-12me'!$AL$180</f>
        <v>0</v>
      </c>
      <c r="L45" s="101">
        <f>'[19]Rev_SP-12me'!$AL$180</f>
        <v>0</v>
      </c>
      <c r="M45" s="101">
        <f>'[20]Rev_SP-12me'!$AL$180</f>
        <v>0</v>
      </c>
      <c r="N45" s="101">
        <f>'[21]Rev_SP-12me'!$AL$180</f>
        <v>0</v>
      </c>
    </row>
    <row r="46" spans="3:14">
      <c r="C46" s="55" t="s">
        <v>201</v>
      </c>
      <c r="D46" s="55" t="s">
        <v>202</v>
      </c>
      <c r="E46" s="101">
        <f>'[11]FY19-20 Actual Sales'!$E$132</f>
        <v>42.91</v>
      </c>
      <c r="F46" s="101">
        <f>'[11]FY20-21 Actual Sales '!$E$126</f>
        <v>42.91</v>
      </c>
      <c r="G46" s="101">
        <f>'[11]FY21-22 Actual Sales '!$E$132</f>
        <v>44.91</v>
      </c>
      <c r="H46" s="101">
        <f>'[11]FY22-23 Actual Sales'!$E$143</f>
        <v>43.975</v>
      </c>
      <c r="I46" s="101">
        <f>'[17]Rev SP FY24'!$AK$185</f>
        <v>64.719</v>
      </c>
      <c r="J46" s="153">
        <f>'[18]Rev_SP-12me'!$I$185</f>
        <v>25.0678999995</v>
      </c>
      <c r="K46" s="101">
        <f>'[18]Rev_SP-12me'!$AL$185</f>
        <v>26.4672850500122</v>
      </c>
      <c r="L46" s="101">
        <f>'[19]Rev_SP-12me'!$AL$185</f>
        <v>52.7287097933893</v>
      </c>
      <c r="M46" s="101">
        <f>'[20]Rev_SP-12me'!$AL$185</f>
        <v>55.4255926576014</v>
      </c>
      <c r="N46" s="101">
        <f>'[21]Rev_SP-12me'!$AL$185</f>
        <v>58.261969463066</v>
      </c>
    </row>
    <row r="47" spans="3:14">
      <c r="C47" s="55" t="s">
        <v>203</v>
      </c>
      <c r="D47" s="55" t="s">
        <v>204</v>
      </c>
      <c r="E47" s="101">
        <f>'[11]FY19-20 Actual Sales'!$E$133</f>
        <v>43.75</v>
      </c>
      <c r="F47" s="101">
        <f>'[11]FY20-21 Actual Sales '!$E$127</f>
        <v>43.75</v>
      </c>
      <c r="G47" s="101">
        <f>'[11]FY21-22 Actual Sales '!$E$133</f>
        <v>43.75</v>
      </c>
      <c r="H47" s="101">
        <f>'[11]FY22-23 Actual Sales'!$E$144</f>
        <v>43.75</v>
      </c>
      <c r="I47" s="101">
        <f>'[17]Rev SP FY24'!$AK$191</f>
        <v>43.75</v>
      </c>
      <c r="J47" s="153">
        <f>'[18]Rev_SP-12me'!$I$191</f>
        <v>40.806045</v>
      </c>
      <c r="K47" s="101">
        <f>'[18]Rev_SP-12me'!$AL$191</f>
        <v>42.84634725</v>
      </c>
      <c r="L47" s="101">
        <f>'[19]Rev_SP-12me'!$AL$191</f>
        <v>52.4589210565272</v>
      </c>
      <c r="M47" s="101">
        <f>'[20]Rev_SP-12me'!$AL$191</f>
        <v>55.1420052022755</v>
      </c>
      <c r="N47" s="101">
        <f>'[21]Rev_SP-12me'!$AL$191</f>
        <v>57.963869562459</v>
      </c>
    </row>
    <row r="48" spans="3:14">
      <c r="C48" s="55" t="s">
        <v>213</v>
      </c>
      <c r="D48" s="55" t="s">
        <v>229</v>
      </c>
      <c r="E48" s="101"/>
      <c r="F48" s="101"/>
      <c r="G48" s="101"/>
      <c r="H48" s="101">
        <f>'[11]FY22-23 Actual Sales'!$E$147</f>
        <v>4</v>
      </c>
      <c r="I48" s="101">
        <f>'[17]Rev SP FY24'!$AK$187</f>
        <v>0</v>
      </c>
      <c r="J48" s="153">
        <f>'[18]Rev_SP-12me'!$I$187</f>
        <v>0</v>
      </c>
      <c r="K48" s="101">
        <f>'[18]Rev_SP-12me'!$AL$187</f>
        <v>0</v>
      </c>
      <c r="L48" s="101">
        <f>'[19]Rev_SP-12me'!$AL$187</f>
        <v>5.34241908006814</v>
      </c>
      <c r="M48" s="101">
        <f>'[20]Rev_SP-12me'!$AL$187</f>
        <v>4.44293015332198</v>
      </c>
      <c r="N48" s="101">
        <f>'[21]Rev_SP-12me'!$AL$187</f>
        <v>4.87891862631152</v>
      </c>
    </row>
    <row r="49" spans="3:14">
      <c r="C49" s="55" t="s">
        <v>215</v>
      </c>
      <c r="D49" s="55" t="s">
        <v>230</v>
      </c>
      <c r="E49" s="101"/>
      <c r="F49" s="101"/>
      <c r="G49" s="101"/>
      <c r="H49" s="101"/>
      <c r="I49" s="101">
        <f>'[17]Rev SP FY24'!$AK$188</f>
        <v>0</v>
      </c>
      <c r="J49" s="153">
        <f>'[18]Rev_SP-12me'!$I$188</f>
        <v>1</v>
      </c>
      <c r="K49" s="101">
        <f>'[18]Rev_SP-12me'!$AL$188</f>
        <v>0</v>
      </c>
      <c r="L49" s="101">
        <f>'[19]Rev_SP-12me'!$AL$188</f>
        <v>0</v>
      </c>
      <c r="M49" s="101">
        <f>'[20]Rev_SP-12me'!$AL$188</f>
        <v>0</v>
      </c>
      <c r="N49" s="101">
        <f>'[21]Rev_SP-12me'!$AL$188</f>
        <v>0</v>
      </c>
    </row>
    <row r="50" spans="3:14">
      <c r="C50" s="55" t="s">
        <v>205</v>
      </c>
      <c r="D50" s="55" t="s">
        <v>206</v>
      </c>
      <c r="E50" s="101">
        <f>'[11]FY19-20 Actual Sales'!$E$134</f>
        <v>43.805</v>
      </c>
      <c r="F50" s="101">
        <f>'[11]FY20-21 Actual Sales '!$E$128</f>
        <v>51.705</v>
      </c>
      <c r="G50" s="101">
        <f>'[11]FY21-22 Actual Sales '!$E$134</f>
        <v>53.205</v>
      </c>
      <c r="H50" s="101">
        <f>'[11]FY22-23 Actual Sales'!$E$145</f>
        <v>61.705</v>
      </c>
      <c r="I50" s="101">
        <f>'[17]Rev SP FY24'!$AK$189</f>
        <v>65.205</v>
      </c>
      <c r="J50" s="153">
        <f>'[18]Rev_SP-12me'!$I$189</f>
        <v>42.320994975</v>
      </c>
      <c r="K50" s="101">
        <f>'[18]Rev_SP-12me'!$AL$189</f>
        <v>44.43704472375</v>
      </c>
      <c r="L50" s="101">
        <f>'[19]Rev_SP-12me'!$AL$189</f>
        <v>69.6329897168651</v>
      </c>
      <c r="M50" s="101">
        <f>'[20]Rev_SP-12me'!$AL$189</f>
        <v>72.7625622884096</v>
      </c>
      <c r="N50" s="101">
        <f>'[21]Rev_SP-12me'!$AL$189</f>
        <v>76.6745280028402</v>
      </c>
    </row>
    <row r="51" spans="3:14">
      <c r="C51" s="55" t="s">
        <v>231</v>
      </c>
      <c r="D51" s="55" t="s">
        <v>186</v>
      </c>
      <c r="E51" s="101">
        <f>'[11]FY19-20 Actual Sales'!$E$135</f>
        <v>12.352</v>
      </c>
      <c r="F51" s="101">
        <f>'[11]FY20-21 Actual Sales '!$E$129</f>
        <v>15.402</v>
      </c>
      <c r="G51" s="101">
        <f>'[11]FY21-22 Actual Sales '!$E$135</f>
        <v>17.802</v>
      </c>
      <c r="H51" s="101">
        <f>'[11]FY22-23 Actual Sales'!$E$146</f>
        <v>20.802</v>
      </c>
      <c r="I51" s="101">
        <f>'[17]Rev SP FY24'!$AK$190</f>
        <v>23.502</v>
      </c>
      <c r="J51" s="153">
        <f>'[18]Rev_SP-12me'!$I$190</f>
        <v>23.3742500370435</v>
      </c>
      <c r="K51" s="101">
        <f>'[18]Rev_SP-12me'!$AL$190</f>
        <v>25.9703550617484</v>
      </c>
      <c r="L51" s="101">
        <f>'[19]Rev_SP-12me'!$AL$190</f>
        <v>26.3338385941534</v>
      </c>
      <c r="M51" s="101">
        <f>'[20]Rev_SP-12me'!$AL$190</f>
        <v>27.7198300991089</v>
      </c>
      <c r="N51" s="101">
        <f>'[21]Rev_SP-12me'!$AL$190</f>
        <v>29.1058216040643</v>
      </c>
    </row>
    <row r="52" spans="3:14">
      <c r="C52" s="55" t="s">
        <v>208</v>
      </c>
      <c r="D52" s="55" t="s">
        <v>209</v>
      </c>
      <c r="E52" s="101">
        <v>0</v>
      </c>
      <c r="F52" s="101">
        <v>0</v>
      </c>
      <c r="G52" s="101">
        <v>0</v>
      </c>
      <c r="H52" s="101">
        <v>0</v>
      </c>
      <c r="I52" s="101">
        <v>0</v>
      </c>
      <c r="J52" s="153">
        <v>0</v>
      </c>
      <c r="K52" s="101">
        <v>0</v>
      </c>
      <c r="L52" s="101">
        <v>0</v>
      </c>
      <c r="M52" s="101">
        <v>0</v>
      </c>
      <c r="N52" s="101">
        <v>0</v>
      </c>
    </row>
    <row r="53" spans="3:14">
      <c r="C53" s="55" t="s">
        <v>210</v>
      </c>
      <c r="D53" s="55" t="s">
        <v>188</v>
      </c>
      <c r="E53" s="101">
        <v>0</v>
      </c>
      <c r="F53" s="101">
        <v>0</v>
      </c>
      <c r="G53" s="101">
        <v>0</v>
      </c>
      <c r="H53" s="101">
        <v>0</v>
      </c>
      <c r="I53" s="101">
        <v>0</v>
      </c>
      <c r="J53" s="153">
        <v>0</v>
      </c>
      <c r="K53" s="101">
        <v>0</v>
      </c>
      <c r="L53" s="101">
        <v>0</v>
      </c>
      <c r="M53" s="101">
        <v>0</v>
      </c>
      <c r="N53" s="101">
        <v>0</v>
      </c>
    </row>
    <row r="54" spans="3:14">
      <c r="C54" s="55"/>
      <c r="D54" s="55"/>
      <c r="E54" s="101"/>
      <c r="F54" s="101"/>
      <c r="G54" s="101"/>
      <c r="H54" s="101"/>
      <c r="I54" s="101"/>
      <c r="J54" s="101"/>
      <c r="K54" s="101"/>
      <c r="L54" s="101"/>
      <c r="M54" s="101"/>
      <c r="N54" s="101"/>
    </row>
    <row r="55" spans="3:14">
      <c r="C55" s="55"/>
      <c r="D55" s="55"/>
      <c r="E55" s="101"/>
      <c r="F55" s="101"/>
      <c r="G55" s="101"/>
      <c r="H55" s="101"/>
      <c r="I55" s="101"/>
      <c r="J55" s="101"/>
      <c r="K55" s="101"/>
      <c r="L55" s="101"/>
      <c r="M55" s="101"/>
      <c r="N55" s="101"/>
    </row>
    <row r="56" spans="3:14">
      <c r="C56" s="55"/>
      <c r="D56" s="55"/>
      <c r="E56" s="883"/>
      <c r="F56" s="883"/>
      <c r="G56" s="883"/>
      <c r="H56" s="883"/>
      <c r="I56" s="101"/>
      <c r="J56" s="101"/>
      <c r="K56" s="101"/>
      <c r="L56" s="101"/>
      <c r="M56" s="101"/>
      <c r="N56" s="101"/>
    </row>
    <row r="57" spans="3:14">
      <c r="C57" s="55"/>
      <c r="D57" s="55"/>
      <c r="E57" s="101"/>
      <c r="F57" s="101"/>
      <c r="G57" s="101"/>
      <c r="H57" s="101"/>
      <c r="I57" s="101"/>
      <c r="J57" s="101"/>
      <c r="K57" s="101"/>
      <c r="L57" s="101"/>
      <c r="M57" s="101"/>
      <c r="N57" s="101"/>
    </row>
    <row r="58" ht="15" spans="3:14">
      <c r="C58" s="537" t="s">
        <v>211</v>
      </c>
      <c r="D58" s="540"/>
      <c r="E58" s="878">
        <f>SUM(E41:E57)</f>
        <v>1630.917</v>
      </c>
      <c r="F58" s="878">
        <f t="shared" ref="F58:N58" si="2">SUM(F41:F57)</f>
        <v>1671.016</v>
      </c>
      <c r="G58" s="878">
        <f t="shared" si="2"/>
        <v>1746.876</v>
      </c>
      <c r="H58" s="878">
        <f t="shared" si="2"/>
        <v>1886.474</v>
      </c>
      <c r="I58" s="878">
        <f t="shared" si="2"/>
        <v>2081.393</v>
      </c>
      <c r="J58" s="878">
        <f t="shared" si="2"/>
        <v>1815.91180817742</v>
      </c>
      <c r="K58" s="878">
        <f t="shared" si="2"/>
        <v>1930.60578115968</v>
      </c>
      <c r="L58" s="878">
        <f t="shared" si="2"/>
        <v>2615.6953843624</v>
      </c>
      <c r="M58" s="878">
        <f t="shared" si="2"/>
        <v>2786.00504920076</v>
      </c>
      <c r="N58" s="878">
        <f t="shared" si="2"/>
        <v>2970.64349948201</v>
      </c>
    </row>
    <row r="59" ht="15" spans="3:14">
      <c r="C59" s="44" t="s">
        <v>219</v>
      </c>
      <c r="D59" s="45"/>
      <c r="E59" s="45"/>
      <c r="F59" s="45"/>
      <c r="G59" s="45"/>
      <c r="H59" s="45"/>
      <c r="I59" s="55"/>
      <c r="J59" s="55"/>
      <c r="K59" s="55"/>
      <c r="L59" s="55"/>
      <c r="M59" s="55"/>
      <c r="N59" s="55"/>
    </row>
    <row r="60" spans="3:14">
      <c r="C60" s="55" t="s">
        <v>191</v>
      </c>
      <c r="D60" s="55" t="s">
        <v>192</v>
      </c>
      <c r="E60" s="882">
        <f>'[11]FY19-20 Actual Sales'!$E$138+'[11]FY19-20 Actual Sales'!$E$145</f>
        <v>597.044</v>
      </c>
      <c r="F60" s="882">
        <f>'[11]FY20-21 Actual Sales '!$E$132+'[11]FY20-21 Actual Sales '!$E$139</f>
        <v>634.072</v>
      </c>
      <c r="G60" s="882">
        <f>'[11]FY21-22 Actual Sales '!$E$138+'[11]FY21-22 Actual Sales '!$E$145</f>
        <v>694.194</v>
      </c>
      <c r="H60" s="882">
        <f>'[11]FY22-23 Actual Sales'!$E$149+'[11]FY22-23 Actual Sales'!$E$156</f>
        <v>784.049</v>
      </c>
      <c r="I60" s="153">
        <f>'[17]Rev SP FY24'!$AK$208+'[17]Rev SP FY24'!$AK$217</f>
        <v>810.699</v>
      </c>
      <c r="J60" s="153">
        <f>'[18]Rev_SP-12me'!$I$208+'[18]Rev_SP-12me'!$I$217</f>
        <v>803.10148065</v>
      </c>
      <c r="K60" s="153">
        <f>'[18]Rev_SP-12me'!$AL$208+'[18]Rev_SP-12me'!$AL$217</f>
        <v>843.2565546825</v>
      </c>
      <c r="L60" s="153">
        <f>'[19]Rev_SP-12me'!$AL$208+'[19]Rev_SP-12me'!$AL$217</f>
        <v>942.061745256374</v>
      </c>
      <c r="M60" s="153">
        <f>'[20]Rev_SP-12me'!$AL$208+'[20]Rev_SP-12me'!$AL$217</f>
        <v>1006.53194543155</v>
      </c>
      <c r="N60" s="153">
        <f>'[21]Rev_SP-12me'!$AL$208+'[21]Rev_SP-12me'!$AL$217</f>
        <v>1075.89173944024</v>
      </c>
    </row>
    <row r="61" spans="3:14">
      <c r="C61" s="55" t="s">
        <v>193</v>
      </c>
      <c r="D61" s="55" t="s">
        <v>194</v>
      </c>
      <c r="E61" s="153">
        <f>'[11]FY19-20 Actual Sales'!$E$149</f>
        <v>45.2</v>
      </c>
      <c r="F61" s="153">
        <f>'[11]FY20-21 Actual Sales '!$E$140</f>
        <v>25.2</v>
      </c>
      <c r="G61" s="153">
        <f>'[11]FY21-22 Actual Sales '!$E$149</f>
        <v>53.7</v>
      </c>
      <c r="H61" s="153">
        <f>'[11]FY22-23 Actual Sales'!$E$160</f>
        <v>34.7</v>
      </c>
      <c r="I61" s="153">
        <f>'[17]Rev SP FY24'!$AK$216</f>
        <v>26.6</v>
      </c>
      <c r="J61" s="153">
        <f>'[18]Rev_SP-12me'!$I$216</f>
        <v>0</v>
      </c>
      <c r="K61" s="153">
        <f>'[18]Rev_SP-12me'!$AL$216</f>
        <v>0</v>
      </c>
      <c r="L61" s="153">
        <f>'[19]Rev_SP-12me'!$AL$216</f>
        <v>67.4496487119438</v>
      </c>
      <c r="M61" s="153">
        <f>'[20]Rev_SP-12me'!$AL$216</f>
        <v>67.4496487119438</v>
      </c>
      <c r="N61" s="153">
        <f>'[21]Rev_SP-12me'!$AL$216</f>
        <v>67.4496487119438</v>
      </c>
    </row>
    <row r="62" spans="3:14">
      <c r="C62" s="55" t="s">
        <v>195</v>
      </c>
      <c r="D62" s="55" t="s">
        <v>196</v>
      </c>
      <c r="E62" s="153">
        <f>'[11]FY19-20 Actual Sales'!$E$150</f>
        <v>17.07</v>
      </c>
      <c r="F62" s="153">
        <f>'[11]FY20-21 Actual Sales '!$E$141</f>
        <v>17.07</v>
      </c>
      <c r="G62" s="153">
        <f>'[11]FY21-22 Actual Sales '!$E$150</f>
        <v>17.57</v>
      </c>
      <c r="H62" s="153">
        <f>'[11]FY22-23 Actual Sales'!$E$161</f>
        <v>18.07</v>
      </c>
      <c r="I62" s="153">
        <f>'[17]Rev SP FY24'!$AK$222</f>
        <v>78</v>
      </c>
      <c r="J62" s="153">
        <f>'[18]Rev_SP-12me'!$I$222</f>
        <v>88.6172839965</v>
      </c>
      <c r="K62" s="153">
        <f>'[18]Rev_SP-12me'!$AL$222</f>
        <v>90.38962967643</v>
      </c>
      <c r="L62" s="153">
        <f>'[19]Rev_SP-12me'!$AL$222</f>
        <v>22.7610305798379</v>
      </c>
      <c r="M62" s="153">
        <f>'[20]Rev_SP-12me'!$AL$222</f>
        <v>24.2214990999145</v>
      </c>
      <c r="N62" s="153">
        <f>'[21]Rev_SP-12me'!$AL$222</f>
        <v>25.7809824349116</v>
      </c>
    </row>
    <row r="63" spans="3:14">
      <c r="C63" s="55" t="s">
        <v>197</v>
      </c>
      <c r="D63" s="55" t="s">
        <v>198</v>
      </c>
      <c r="E63" s="153">
        <v>0</v>
      </c>
      <c r="F63" s="153">
        <v>0</v>
      </c>
      <c r="G63" s="153">
        <v>0</v>
      </c>
      <c r="H63" s="153">
        <f>'[11]FY22-23 Actual Sales'!$E$165</f>
        <v>0</v>
      </c>
      <c r="I63" s="153">
        <f>'[17]Rev SP FY24'!$AK$227</f>
        <v>0</v>
      </c>
      <c r="J63" s="153">
        <f>'[18]Rev_SP-12me'!$I$227</f>
        <v>0</v>
      </c>
      <c r="K63" s="153">
        <f>'[18]Rev_SP-12me'!$AL$227</f>
        <v>0</v>
      </c>
      <c r="L63" s="153">
        <f>'[19]Rev_SP-12me'!$AL$227</f>
        <v>0</v>
      </c>
      <c r="M63" s="153">
        <f>'[20]Rev_SP-12me'!$AL$227</f>
        <v>0</v>
      </c>
      <c r="N63" s="153">
        <f>'[21]Rev_SP-12me'!$AL$227</f>
        <v>0</v>
      </c>
    </row>
    <row r="64" spans="3:14">
      <c r="C64" s="55" t="s">
        <v>199</v>
      </c>
      <c r="D64" s="55" t="s">
        <v>200</v>
      </c>
      <c r="E64" s="153">
        <f>'[11]FY19-20 Actual Sales'!$E$154</f>
        <v>15</v>
      </c>
      <c r="F64" s="153">
        <f>'[11]FY20-21 Actual Sales '!$E$145</f>
        <v>11</v>
      </c>
      <c r="G64" s="153">
        <f>'[11]FY21-22 Actual Sales '!$E$154</f>
        <v>11</v>
      </c>
      <c r="H64" s="153">
        <f>'[11]FY22-23 Actual Sales'!$E$169</f>
        <v>15</v>
      </c>
      <c r="I64" s="153">
        <f>'[17]Rev SP FY24'!$AK$232</f>
        <v>19</v>
      </c>
      <c r="J64" s="153">
        <f>'[18]Rev_SP-12me'!$I$232</f>
        <v>17.9828059760959</v>
      </c>
      <c r="K64" s="153">
        <f>'[18]Rev_SP-12me'!$AL$232</f>
        <v>18.9766627999478</v>
      </c>
      <c r="L64" s="153">
        <f>'[19]Rev_SP-12me'!$AL$232</f>
        <v>11.5967885816235</v>
      </c>
      <c r="M64" s="153">
        <f>'[20]Rev_SP-12me'!$AL$232</f>
        <v>11.5967885816235</v>
      </c>
      <c r="N64" s="153">
        <f>'[21]Rev_SP-12me'!$AL$232</f>
        <v>11.5967885816235</v>
      </c>
    </row>
    <row r="65" spans="3:14">
      <c r="C65" s="55" t="s">
        <v>201</v>
      </c>
      <c r="D65" s="55" t="s">
        <v>202</v>
      </c>
      <c r="E65" s="153">
        <f>'[11]FY19-20 Actual Sales'!E158</f>
        <v>960.4078</v>
      </c>
      <c r="F65" s="153">
        <f>'[11]FY20-21 Actual Sales '!$E$149</f>
        <v>1450.4078</v>
      </c>
      <c r="G65" s="153">
        <f>'[11]FY21-22 Actual Sales '!$E$158</f>
        <v>1450.4078</v>
      </c>
      <c r="H65" s="153">
        <f>'[11]FY22-23 Actual Sales'!$E$173</f>
        <v>1654.4078</v>
      </c>
      <c r="I65" s="153">
        <f>'[17]Rev SP FY24'!$AK$237</f>
        <v>1757.9078</v>
      </c>
      <c r="J65" s="153">
        <f>'[18]Rev_SP-12me'!$I$237</f>
        <v>715.1565225</v>
      </c>
      <c r="K65" s="153">
        <f>'[18]Rev_SP-12me'!$AL$237</f>
        <v>729.45965295</v>
      </c>
      <c r="L65" s="153">
        <f>'[19]Rev_SP-12me'!$AL$237</f>
        <v>1983.73595829721</v>
      </c>
      <c r="M65" s="153">
        <f>'[20]Rev_SP-12me'!$AL$237</f>
        <v>2085.19688032652</v>
      </c>
      <c r="N65" s="153">
        <f>'[21]Rev_SP-12me'!$AL$237</f>
        <v>2191.90578108148</v>
      </c>
    </row>
    <row r="66" spans="3:14">
      <c r="C66" s="55" t="s">
        <v>203</v>
      </c>
      <c r="D66" s="55" t="s">
        <v>220</v>
      </c>
      <c r="E66" s="153">
        <f>'[11]FY19-20 Actual Sales'!E159</f>
        <v>64.75</v>
      </c>
      <c r="F66" s="153">
        <f>'[11]FY20-21 Actual Sales '!$E$150</f>
        <v>64.75</v>
      </c>
      <c r="G66" s="153">
        <f>'[11]FY21-22 Actual Sales '!$E$159</f>
        <v>64.75</v>
      </c>
      <c r="H66" s="153">
        <f>'[11]FY22-23 Actual Sales'!$E$174</f>
        <v>64.75</v>
      </c>
      <c r="I66" s="153">
        <f>'[17]Rev SP FY24'!$AK$247</f>
        <v>64.75</v>
      </c>
      <c r="J66" s="153">
        <f>'[18]Rev_SP-12me'!$I$247</f>
        <v>55.3686</v>
      </c>
      <c r="K66" s="153">
        <f>'[18]Rev_SP-12me'!$AL$247</f>
        <v>56.475972</v>
      </c>
      <c r="L66" s="153">
        <f>'[19]Rev_SP-12me'!$AL$247</f>
        <v>77.6392031636602</v>
      </c>
      <c r="M66" s="153">
        <f>'[20]Rev_SP-12me'!$AL$247</f>
        <v>81.6101676993677</v>
      </c>
      <c r="N66" s="153">
        <f>'[21]Rev_SP-12me'!$AL$247</f>
        <v>85.7865269524393</v>
      </c>
    </row>
    <row r="67" spans="3:14">
      <c r="C67" s="55" t="s">
        <v>221</v>
      </c>
      <c r="D67" s="55" t="s">
        <v>232</v>
      </c>
      <c r="E67" s="153">
        <f>'[11]FY19-20 Actual Sales'!E160+'[11]FY19-20 Actual Sales'!$E$161</f>
        <v>113.25</v>
      </c>
      <c r="F67" s="153">
        <f>'[11]FY20-21 Actual Sales '!$E$151+'[11]FY20-21 Actual Sales '!$E$152</f>
        <v>113.75</v>
      </c>
      <c r="G67" s="153">
        <f>'[11]FY21-22 Actual Sales '!$E$160+'[11]FY21-22 Actual Sales '!$E$161</f>
        <v>125.25</v>
      </c>
      <c r="H67" s="153">
        <f>'[11]FY22-23 Actual Sales'!$E$175+'[11]FY22-23 Actual Sales'!$E$176</f>
        <v>142.75</v>
      </c>
      <c r="I67" s="153">
        <f>'[17]Rev SP FY24'!$AK$240</f>
        <v>196.5</v>
      </c>
      <c r="J67" s="153">
        <f>'[18]Rev_SP-12me'!$I$240</f>
        <v>204.7897425</v>
      </c>
      <c r="K67" s="153">
        <f>'[18]Rev_SP-12me'!$AL$240</f>
        <v>215.029229625</v>
      </c>
      <c r="L67" s="153">
        <f>'[19]Rev_SP-12me'!$AL$240</f>
        <v>190.657580919932</v>
      </c>
      <c r="M67" s="153">
        <f>'[20]Rev_SP-12me'!$AL$240</f>
        <v>208.166950596252</v>
      </c>
      <c r="N67" s="153">
        <f>'[21]Rev_SP-12me'!$AL$240</f>
        <v>228.594548551959</v>
      </c>
    </row>
    <row r="68" spans="3:14">
      <c r="C68" s="55" t="s">
        <v>205</v>
      </c>
      <c r="D68" s="55" t="s">
        <v>206</v>
      </c>
      <c r="E68" s="153">
        <v>0</v>
      </c>
      <c r="F68" s="153">
        <v>0</v>
      </c>
      <c r="G68" s="153">
        <v>0</v>
      </c>
      <c r="H68" s="153">
        <v>0</v>
      </c>
      <c r="I68" s="153">
        <v>0</v>
      </c>
      <c r="J68" s="153">
        <f>'[18]Rev_SP-12me'!$I$245</f>
        <v>0</v>
      </c>
      <c r="K68" s="153">
        <f>'[18]Rev_SP-12me'!$AL$245</f>
        <v>0</v>
      </c>
      <c r="L68" s="153">
        <f>'[19]Rev_SP-12me'!$AL$245</f>
        <v>0</v>
      </c>
      <c r="M68" s="153">
        <f>'[20]Rev_SP-12me'!$AL$245</f>
        <v>0</v>
      </c>
      <c r="N68" s="153">
        <f>'[21]Rev_SP-12me'!$AL$245</f>
        <v>0</v>
      </c>
    </row>
    <row r="69" spans="3:14">
      <c r="C69" s="55" t="s">
        <v>207</v>
      </c>
      <c r="D69" s="55" t="s">
        <v>186</v>
      </c>
      <c r="E69" s="153">
        <v>0</v>
      </c>
      <c r="F69" s="153">
        <v>0</v>
      </c>
      <c r="G69" s="153">
        <v>0</v>
      </c>
      <c r="H69" s="153">
        <v>0</v>
      </c>
      <c r="I69" s="153">
        <v>0</v>
      </c>
      <c r="J69" s="153">
        <f>'[18]Rev_SP-12me'!$I$246</f>
        <v>0</v>
      </c>
      <c r="K69" s="153">
        <f>'[18]Rev_SP-12me'!$AL$246</f>
        <v>0</v>
      </c>
      <c r="L69" s="153">
        <f>'[19]Rev_SP-12me'!$AL$246</f>
        <v>0</v>
      </c>
      <c r="M69" s="153">
        <f>'[20]Rev_SP-12me'!$AL$246</f>
        <v>0</v>
      </c>
      <c r="N69" s="153">
        <f>'[21]Rev_SP-12me'!$AL$246</f>
        <v>0</v>
      </c>
    </row>
    <row r="70" spans="3:14">
      <c r="C70" s="55" t="s">
        <v>208</v>
      </c>
      <c r="D70" s="55" t="s">
        <v>209</v>
      </c>
      <c r="E70" s="153">
        <v>0</v>
      </c>
      <c r="F70" s="153">
        <v>0</v>
      </c>
      <c r="G70" s="153">
        <v>0</v>
      </c>
      <c r="H70" s="153">
        <v>0</v>
      </c>
      <c r="I70" s="153">
        <v>0</v>
      </c>
      <c r="J70" s="153">
        <v>0</v>
      </c>
      <c r="K70" s="153">
        <v>0</v>
      </c>
      <c r="L70" s="153">
        <v>0</v>
      </c>
      <c r="M70" s="153">
        <v>0</v>
      </c>
      <c r="N70" s="153">
        <v>0</v>
      </c>
    </row>
    <row r="71" spans="3:14">
      <c r="C71" s="55" t="s">
        <v>210</v>
      </c>
      <c r="D71" s="55" t="s">
        <v>188</v>
      </c>
      <c r="E71" s="153">
        <v>0</v>
      </c>
      <c r="F71" s="153">
        <v>0</v>
      </c>
      <c r="G71" s="153">
        <v>0</v>
      </c>
      <c r="H71" s="153">
        <v>0</v>
      </c>
      <c r="I71" s="153">
        <v>0</v>
      </c>
      <c r="J71" s="153">
        <v>0</v>
      </c>
      <c r="K71" s="153">
        <v>0</v>
      </c>
      <c r="L71" s="153">
        <v>0</v>
      </c>
      <c r="M71" s="153">
        <v>0</v>
      </c>
      <c r="N71" s="153">
        <v>0</v>
      </c>
    </row>
    <row r="72" spans="3:14">
      <c r="C72" s="55"/>
      <c r="D72" s="55"/>
      <c r="E72" s="101"/>
      <c r="F72" s="101"/>
      <c r="G72" s="101"/>
      <c r="H72" s="101"/>
      <c r="I72" s="101"/>
      <c r="J72" s="101"/>
      <c r="K72" s="101"/>
      <c r="L72" s="101"/>
      <c r="M72" s="101"/>
      <c r="N72" s="101"/>
    </row>
    <row r="73" spans="3:14">
      <c r="C73" s="55"/>
      <c r="D73" s="55"/>
      <c r="E73" s="883"/>
      <c r="F73" s="883"/>
      <c r="G73" s="883"/>
      <c r="H73" s="883"/>
      <c r="I73" s="101"/>
      <c r="J73" s="101"/>
      <c r="K73" s="101"/>
      <c r="L73" s="101"/>
      <c r="M73" s="101"/>
      <c r="N73" s="101"/>
    </row>
    <row r="74" spans="3:14">
      <c r="C74" s="55"/>
      <c r="D74" s="55"/>
      <c r="E74" s="101"/>
      <c r="F74" s="101"/>
      <c r="G74" s="101"/>
      <c r="H74" s="101"/>
      <c r="I74" s="101"/>
      <c r="J74" s="101"/>
      <c r="K74" s="101"/>
      <c r="L74" s="101"/>
      <c r="M74" s="101"/>
      <c r="N74" s="101"/>
    </row>
    <row r="75" spans="3:14">
      <c r="C75" s="55"/>
      <c r="D75" s="55"/>
      <c r="E75" s="883"/>
      <c r="F75" s="883"/>
      <c r="G75" s="883"/>
      <c r="H75" s="883"/>
      <c r="I75" s="101"/>
      <c r="J75" s="101"/>
      <c r="K75" s="101"/>
      <c r="L75" s="101"/>
      <c r="M75" s="101"/>
      <c r="N75" s="101"/>
    </row>
    <row r="76" ht="15" spans="3:14">
      <c r="C76" s="537" t="s">
        <v>211</v>
      </c>
      <c r="D76" s="540"/>
      <c r="E76" s="878">
        <f>SUM(E60:E75)</f>
        <v>1812.7218</v>
      </c>
      <c r="F76" s="878">
        <f t="shared" ref="F76:N76" si="3">SUM(F60:F75)</f>
        <v>2316.2498</v>
      </c>
      <c r="G76" s="878">
        <f t="shared" si="3"/>
        <v>2416.8718</v>
      </c>
      <c r="H76" s="878">
        <f t="shared" si="3"/>
        <v>2713.7268</v>
      </c>
      <c r="I76" s="878">
        <f t="shared" si="3"/>
        <v>2953.4568</v>
      </c>
      <c r="J76" s="878">
        <f t="shared" si="3"/>
        <v>1885.0164356226</v>
      </c>
      <c r="K76" s="878">
        <f t="shared" si="3"/>
        <v>1953.58770173388</v>
      </c>
      <c r="L76" s="878">
        <f t="shared" si="3"/>
        <v>3295.90195551058</v>
      </c>
      <c r="M76" s="878">
        <f t="shared" si="3"/>
        <v>3484.77388044717</v>
      </c>
      <c r="N76" s="878">
        <f t="shared" si="3"/>
        <v>3687.0060157546</v>
      </c>
    </row>
    <row r="77" ht="15" spans="3:14">
      <c r="C77" s="537" t="s">
        <v>223</v>
      </c>
      <c r="D77" s="540"/>
      <c r="E77" s="878">
        <f t="shared" ref="E77:N77" si="4">E39+E58+E76</f>
        <v>5963.11223</v>
      </c>
      <c r="F77" s="878">
        <f t="shared" si="4"/>
        <v>6610.82448</v>
      </c>
      <c r="G77" s="878">
        <f t="shared" si="4"/>
        <v>6891.31197</v>
      </c>
      <c r="H77" s="878">
        <f t="shared" si="4"/>
        <v>7542.54603</v>
      </c>
      <c r="I77" s="878">
        <f t="shared" si="4"/>
        <v>8218.45631</v>
      </c>
      <c r="J77" s="878">
        <f t="shared" si="4"/>
        <v>6533.23262282455</v>
      </c>
      <c r="K77" s="878">
        <f t="shared" si="4"/>
        <v>6861.9130034953</v>
      </c>
      <c r="L77" s="878">
        <f t="shared" si="4"/>
        <v>9942.35282837501</v>
      </c>
      <c r="M77" s="878">
        <f t="shared" si="4"/>
        <v>10565.5303505433</v>
      </c>
      <c r="N77" s="878">
        <f t="shared" si="4"/>
        <v>11235.9899604617</v>
      </c>
    </row>
    <row r="78" ht="15" spans="3:14">
      <c r="C78" s="537" t="s">
        <v>224</v>
      </c>
      <c r="D78" s="540"/>
      <c r="E78" s="878">
        <f t="shared" ref="E78:N78" si="5">E77+E22</f>
        <v>22877.126193</v>
      </c>
      <c r="F78" s="878">
        <f t="shared" si="5"/>
        <v>24536.900768145</v>
      </c>
      <c r="G78" s="878">
        <f t="shared" si="5"/>
        <v>26282.219113</v>
      </c>
      <c r="H78" s="878">
        <f t="shared" si="5"/>
        <v>28341.637379737</v>
      </c>
      <c r="I78" s="878">
        <f t="shared" si="5"/>
        <v>30477.655485909</v>
      </c>
      <c r="J78" s="878">
        <f t="shared" si="5"/>
        <v>30433.8681363934</v>
      </c>
      <c r="K78" s="878">
        <f t="shared" si="5"/>
        <v>32532.0466226714</v>
      </c>
      <c r="L78" s="877">
        <f t="shared" si="5"/>
        <v>38787.746995512</v>
      </c>
      <c r="M78" s="877">
        <f t="shared" si="5"/>
        <v>41527.3442033535</v>
      </c>
      <c r="N78" s="877">
        <f t="shared" si="5"/>
        <v>44484.2444823471</v>
      </c>
    </row>
    <row r="81" ht="15" spans="4:5">
      <c r="D81" s="11"/>
      <c r="E81" s="11" t="s">
        <v>225</v>
      </c>
    </row>
    <row r="82" spans="4:6">
      <c r="D82" s="13"/>
      <c r="E82" s="13">
        <v>1</v>
      </c>
      <c r="F82" s="12" t="s">
        <v>226</v>
      </c>
    </row>
    <row r="83" spans="5:6">
      <c r="E83" s="13">
        <f>E82+1</f>
        <v>2</v>
      </c>
      <c r="F83" s="12" t="s">
        <v>233</v>
      </c>
    </row>
  </sheetData>
  <mergeCells count="17">
    <mergeCell ref="J5:N5"/>
    <mergeCell ref="C8:D8"/>
    <mergeCell ref="C22:D22"/>
    <mergeCell ref="C23:D23"/>
    <mergeCell ref="C39:D39"/>
    <mergeCell ref="C40:D40"/>
    <mergeCell ref="C58:D58"/>
    <mergeCell ref="C59:D59"/>
    <mergeCell ref="C76:D76"/>
    <mergeCell ref="C77:D77"/>
    <mergeCell ref="C78:D78"/>
    <mergeCell ref="E5:E6"/>
    <mergeCell ref="F5:F6"/>
    <mergeCell ref="G5:G6"/>
    <mergeCell ref="H5:H6"/>
    <mergeCell ref="I5:I6"/>
    <mergeCell ref="C5:D7"/>
  </mergeCells>
  <pageMargins left="0.75" right="0.75" top="1" bottom="1" header="0.5" footer="0.5"/>
  <pageSetup paperSize="9" scale="38" orientation="landscape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</sheetPr>
  <dimension ref="B2:U826"/>
  <sheetViews>
    <sheetView showGridLines="0" view="pageBreakPreview" zoomScale="70" zoomScaleNormal="100" topLeftCell="C1" workbookViewId="0">
      <pane xSplit="2" ySplit="380" topLeftCell="E537" activePane="bottomRight" state="frozen"/>
      <selection/>
      <selection pane="topRight"/>
      <selection pane="bottomLeft"/>
      <selection pane="bottomRight" activeCell="J3" sqref="J3"/>
    </sheetView>
  </sheetViews>
  <sheetFormatPr defaultColWidth="9.14285714285714" defaultRowHeight="14.25"/>
  <cols>
    <col min="1" max="1" width="3.14285714285714" style="12" hidden="1" customWidth="1"/>
    <col min="2" max="2" width="8.42857142857143" style="12" hidden="1" customWidth="1"/>
    <col min="3" max="3" width="21.5714285714286" style="12" customWidth="1"/>
    <col min="4" max="4" width="32.7142857142857" style="12" customWidth="1"/>
    <col min="5" max="5" width="13.5714285714286" style="12" customWidth="1"/>
    <col min="6" max="6" width="12.5714285714286" style="12" customWidth="1"/>
    <col min="7" max="7" width="13.4285714285714" style="12" customWidth="1"/>
    <col min="8" max="8" width="13.5714285714286" style="12" customWidth="1"/>
    <col min="9" max="9" width="12.5714285714286" style="12" customWidth="1"/>
    <col min="10" max="10" width="14.5714285714286" style="12" customWidth="1"/>
    <col min="11" max="11" width="12.5714285714286" style="12" customWidth="1"/>
    <col min="12" max="12" width="11.8571428571429" style="12" customWidth="1"/>
    <col min="13" max="13" width="13.8571428571429" style="12" customWidth="1"/>
    <col min="14" max="16" width="11.8571428571429" style="12" customWidth="1"/>
    <col min="17" max="17" width="11.4285714285714" style="12" customWidth="1"/>
    <col min="18" max="18" width="12.4285714285714" style="12" customWidth="1"/>
    <col min="19" max="19" width="12.5714285714286" style="12" customWidth="1"/>
    <col min="20" max="16384" width="9.14285714285714" style="12"/>
  </cols>
  <sheetData>
    <row r="2" ht="15" spans="10:10">
      <c r="J2" s="2" t="s">
        <v>0</v>
      </c>
    </row>
    <row r="3" ht="15" spans="10:10">
      <c r="J3" s="3" t="s">
        <v>234</v>
      </c>
    </row>
    <row r="4" ht="15" spans="2:19">
      <c r="B4" s="14"/>
      <c r="C4" s="14" t="s">
        <v>235</v>
      </c>
      <c r="D4" s="655"/>
      <c r="E4" s="655"/>
      <c r="F4" s="655"/>
      <c r="G4" s="655"/>
      <c r="S4" s="3" t="s">
        <v>236</v>
      </c>
    </row>
    <row r="5" ht="15" hidden="1" spans="2:19">
      <c r="B5" s="656"/>
      <c r="C5" s="658" t="s">
        <v>159</v>
      </c>
      <c r="D5" s="873"/>
      <c r="E5" s="16" t="s">
        <v>160</v>
      </c>
      <c r="F5" s="16" t="s">
        <v>161</v>
      </c>
      <c r="G5" s="16" t="s">
        <v>162</v>
      </c>
      <c r="H5" s="306" t="s">
        <v>163</v>
      </c>
      <c r="I5" s="307"/>
      <c r="J5" s="308"/>
      <c r="K5" s="306" t="s">
        <v>164</v>
      </c>
      <c r="L5" s="307"/>
      <c r="M5" s="307"/>
      <c r="N5" s="307"/>
      <c r="O5" s="135" t="s">
        <v>114</v>
      </c>
      <c r="P5" s="135"/>
      <c r="Q5" s="135"/>
      <c r="R5" s="135"/>
      <c r="S5" s="135"/>
    </row>
    <row r="6" ht="45" hidden="1" spans="2:19">
      <c r="B6" s="656"/>
      <c r="C6" s="660"/>
      <c r="D6" s="874"/>
      <c r="E6" s="535"/>
      <c r="F6" s="535"/>
      <c r="G6" s="535"/>
      <c r="H6" s="5" t="s">
        <v>116</v>
      </c>
      <c r="I6" s="5" t="s">
        <v>237</v>
      </c>
      <c r="J6" s="5" t="s">
        <v>118</v>
      </c>
      <c r="K6" s="5" t="s">
        <v>116</v>
      </c>
      <c r="L6" s="5" t="s">
        <v>119</v>
      </c>
      <c r="M6" s="5" t="s">
        <v>120</v>
      </c>
      <c r="N6" s="5" t="s">
        <v>238</v>
      </c>
      <c r="O6" s="5" t="s">
        <v>165</v>
      </c>
      <c r="P6" s="5" t="s">
        <v>166</v>
      </c>
      <c r="Q6" s="5" t="s">
        <v>167</v>
      </c>
      <c r="R6" s="5" t="s">
        <v>168</v>
      </c>
      <c r="S6" s="5" t="s">
        <v>169</v>
      </c>
    </row>
    <row r="7" ht="15" hidden="1" spans="2:19">
      <c r="B7" s="656"/>
      <c r="C7" s="662"/>
      <c r="D7" s="875"/>
      <c r="E7" s="5" t="s">
        <v>128</v>
      </c>
      <c r="F7" s="5" t="s">
        <v>128</v>
      </c>
      <c r="G7" s="5" t="s">
        <v>128</v>
      </c>
      <c r="H7" s="5" t="s">
        <v>127</v>
      </c>
      <c r="I7" s="5" t="s">
        <v>128</v>
      </c>
      <c r="J7" s="5" t="s">
        <v>129</v>
      </c>
      <c r="K7" s="5" t="s">
        <v>127</v>
      </c>
      <c r="L7" s="5" t="s">
        <v>130</v>
      </c>
      <c r="M7" s="5" t="s">
        <v>131</v>
      </c>
      <c r="N7" s="5" t="s">
        <v>131</v>
      </c>
      <c r="O7" s="5" t="s">
        <v>132</v>
      </c>
      <c r="P7" s="5" t="s">
        <v>132</v>
      </c>
      <c r="Q7" s="5" t="s">
        <v>132</v>
      </c>
      <c r="R7" s="5" t="s">
        <v>132</v>
      </c>
      <c r="S7" s="5" t="s">
        <v>132</v>
      </c>
    </row>
    <row r="8" ht="15" hidden="1" spans="2:19">
      <c r="B8" s="656"/>
      <c r="C8" s="44" t="s">
        <v>170</v>
      </c>
      <c r="D8" s="45"/>
      <c r="E8" s="876"/>
      <c r="F8" s="876"/>
      <c r="G8" s="876"/>
      <c r="H8" s="876"/>
      <c r="I8" s="876"/>
      <c r="J8" s="876"/>
      <c r="K8" s="876"/>
      <c r="L8" s="876"/>
      <c r="M8" s="876"/>
      <c r="N8" s="876"/>
      <c r="O8" s="876"/>
      <c r="P8" s="876"/>
      <c r="Q8" s="876"/>
      <c r="R8" s="876"/>
      <c r="S8" s="876"/>
    </row>
    <row r="9" ht="15" hidden="1" spans="2:19">
      <c r="B9" s="656"/>
      <c r="C9" s="47" t="s">
        <v>171</v>
      </c>
      <c r="D9" s="47" t="s">
        <v>172</v>
      </c>
      <c r="E9" s="876">
        <f>F4A!E8+F4B!E9</f>
        <v>8709.647634</v>
      </c>
      <c r="F9" s="876">
        <f>F4A!F8+F4B!F9</f>
        <v>8911.84365781</v>
      </c>
      <c r="G9" s="876">
        <f>F4A!G8+F4B!G9</f>
        <v>9335.21218323</v>
      </c>
      <c r="H9" s="876">
        <f>F4A!H8+F4B!H9</f>
        <v>10722.4</v>
      </c>
      <c r="I9" s="876">
        <f>F4A!I8+F4B!I9</f>
        <v>9952.10895307</v>
      </c>
      <c r="J9" s="876">
        <f>F4A!J8+F4B!J9</f>
        <v>-770.29104693</v>
      </c>
      <c r="K9" s="876">
        <f>F4A!K8+F4B!K9</f>
        <v>11346.06</v>
      </c>
      <c r="L9" s="876">
        <f>F4A!L8+F4B!L9</f>
        <v>5850.138082</v>
      </c>
      <c r="M9" s="876">
        <f>F4A!M8+F4B!M9</f>
        <v>4977.07262345</v>
      </c>
      <c r="N9" s="879">
        <f>F4A!N8+F4B!N9</f>
        <v>10827.21070545</v>
      </c>
      <c r="O9" s="876">
        <f>F4A!O8+F4B!O9</f>
        <v>11697.603127462</v>
      </c>
      <c r="P9" s="876">
        <f>F4A!P8+F4B!P9</f>
        <v>12611.1428672529</v>
      </c>
      <c r="Q9" s="876">
        <f>F4A!Q8+F4B!Q9</f>
        <v>12893.9584280188</v>
      </c>
      <c r="R9" s="876">
        <f>F4A!R8+F4B!R9</f>
        <v>13754.3059347644</v>
      </c>
      <c r="S9" s="876">
        <f>F4A!S8+F4B!S9</f>
        <v>14673.8269024978</v>
      </c>
    </row>
    <row r="10" ht="15" hidden="1" spans="3:19">
      <c r="C10" s="55" t="s">
        <v>173</v>
      </c>
      <c r="D10" s="55" t="s">
        <v>174</v>
      </c>
      <c r="E10" s="876">
        <f>F4A!E9+F4B!E10</f>
        <v>2582.086421</v>
      </c>
      <c r="F10" s="876">
        <f>F4A!F9+F4B!F10</f>
        <v>2160.57243333</v>
      </c>
      <c r="G10" s="876">
        <f>F4A!G9+F4B!G10</f>
        <v>2468.33932908</v>
      </c>
      <c r="H10" s="876">
        <f>F4A!H9+F4B!H10</f>
        <v>3110.72</v>
      </c>
      <c r="I10" s="876">
        <f>F4A!I9+F4B!I10</f>
        <v>3076.96768843</v>
      </c>
      <c r="J10" s="876">
        <f>F4A!J9+F4B!J10</f>
        <v>-33.7523115699996</v>
      </c>
      <c r="K10" s="876">
        <f>F4A!K9+F4B!K10</f>
        <v>2974.84</v>
      </c>
      <c r="L10" s="876">
        <f>F4A!L9+F4B!L10</f>
        <v>1816.85510457</v>
      </c>
      <c r="M10" s="876">
        <f>F4A!M9+F4B!M10</f>
        <v>1707.00462</v>
      </c>
      <c r="N10" s="879">
        <f>F4A!N9+F4B!N10</f>
        <v>3523.85972457</v>
      </c>
      <c r="O10" s="876">
        <f>F4A!O9+F4B!O10</f>
        <v>3939.00601597876</v>
      </c>
      <c r="P10" s="876">
        <f>F4A!P9+F4B!P10</f>
        <v>4403.06073642308</v>
      </c>
      <c r="Q10" s="876">
        <f>F4A!Q9+F4B!Q10</f>
        <v>5295.36553468023</v>
      </c>
      <c r="R10" s="876">
        <f>F4A!R9+F4B!R10</f>
        <v>6168.70725627932</v>
      </c>
      <c r="S10" s="876">
        <f>F4A!S9+F4B!S10</f>
        <v>7089.3824490533</v>
      </c>
    </row>
    <row r="11" ht="15" hidden="1" spans="3:19">
      <c r="C11" s="55" t="s">
        <v>175</v>
      </c>
      <c r="D11" s="55" t="s">
        <v>176</v>
      </c>
      <c r="E11" s="876">
        <f>F4A!E10+F4B!E11</f>
        <v>846.820004</v>
      </c>
      <c r="F11" s="876">
        <f>F4A!F10+F4B!F11</f>
        <v>880.0070935</v>
      </c>
      <c r="G11" s="876">
        <f>F4A!G10+F4B!G11</f>
        <v>892.181106</v>
      </c>
      <c r="H11" s="876">
        <f>F4A!H10+F4B!H11</f>
        <v>905.51</v>
      </c>
      <c r="I11" s="876">
        <f>F4A!I10+F4B!I11</f>
        <v>933.0692865</v>
      </c>
      <c r="J11" s="876">
        <f>F4A!J10+F4B!J11</f>
        <v>27.5592865</v>
      </c>
      <c r="K11" s="876">
        <f>F4A!K10+F4B!K11</f>
        <v>847.17</v>
      </c>
      <c r="L11" s="876">
        <f>F4A!L10+F4B!L11</f>
        <v>482.635182</v>
      </c>
      <c r="M11" s="876">
        <f>F4A!M10+F4B!M11</f>
        <v>500.640591</v>
      </c>
      <c r="N11" s="879">
        <f>F4A!N10+F4B!N11</f>
        <v>983.275773</v>
      </c>
      <c r="O11" s="876">
        <f>F4A!O10+F4B!O11</f>
        <v>1012.35752113662</v>
      </c>
      <c r="P11" s="876">
        <f>F4A!P10+F4B!P11</f>
        <v>1048.4454732488</v>
      </c>
      <c r="Q11" s="876">
        <f>F4A!Q10+F4B!Q11</f>
        <v>1123.72972027633</v>
      </c>
      <c r="R11" s="876">
        <f>F4A!R10+F4B!R11</f>
        <v>1176.80264612297</v>
      </c>
      <c r="S11" s="876">
        <f>F4A!S10+F4B!S11</f>
        <v>1232.71188925714</v>
      </c>
    </row>
    <row r="12" ht="15" hidden="1" spans="3:19">
      <c r="C12" s="55" t="s">
        <v>177</v>
      </c>
      <c r="D12" s="55" t="s">
        <v>178</v>
      </c>
      <c r="E12" s="876">
        <f>F4A!E11+F4B!E12</f>
        <v>9.077129</v>
      </c>
      <c r="F12" s="876">
        <f>F4A!F11+F4B!F12</f>
        <v>9.579231</v>
      </c>
      <c r="G12" s="876">
        <f>F4A!G11+F4B!G12</f>
        <v>8.981455</v>
      </c>
      <c r="H12" s="876">
        <f>F4A!H11+F4B!H12</f>
        <v>9.17</v>
      </c>
      <c r="I12" s="876">
        <f>F4A!I11+F4B!I12</f>
        <v>9.52599</v>
      </c>
      <c r="J12" s="876">
        <f>F4A!J11+F4B!J12</f>
        <v>0.355990000000002</v>
      </c>
      <c r="K12" s="876">
        <f>F4A!K11+F4B!K12</f>
        <v>9.5</v>
      </c>
      <c r="L12" s="876">
        <f>F4A!L11+F4B!L12</f>
        <v>4.83358</v>
      </c>
      <c r="M12" s="876">
        <f>F4A!M11+F4B!M12</f>
        <v>4.677071</v>
      </c>
      <c r="N12" s="879">
        <f>F4A!N11+F4B!N12</f>
        <v>9.510651</v>
      </c>
      <c r="O12" s="876">
        <f>F4A!O11+F4B!O12</f>
        <v>9.46335842153401</v>
      </c>
      <c r="P12" s="876">
        <f>F4A!P11+F4B!P12</f>
        <v>9.62967180970268</v>
      </c>
      <c r="Q12" s="876">
        <f>F4A!Q11+F4B!Q12</f>
        <v>9.62500545027539</v>
      </c>
      <c r="R12" s="876">
        <f>F4A!R11+F4B!R12</f>
        <v>9.75914658499812</v>
      </c>
      <c r="S12" s="876">
        <f>F4A!S11+F4B!S12</f>
        <v>9.80645828524739</v>
      </c>
    </row>
    <row r="13" ht="15" hidden="1" spans="3:19">
      <c r="C13" s="55" t="s">
        <v>179</v>
      </c>
      <c r="D13" s="55" t="s">
        <v>180</v>
      </c>
      <c r="E13" s="876">
        <f>F4A!E12+F4B!E13</f>
        <v>10818.3927530706</v>
      </c>
      <c r="F13" s="876">
        <f>F4A!F12+F4B!F13</f>
        <v>11744.8428733557</v>
      </c>
      <c r="G13" s="876">
        <f>F4A!G12+F4B!G13</f>
        <v>11724.3576385522</v>
      </c>
      <c r="H13" s="876">
        <f>F4A!H12+F4B!H13</f>
        <v>10391.18</v>
      </c>
      <c r="I13" s="876">
        <f>F4A!I12+F4B!I13</f>
        <v>12127.2243701067</v>
      </c>
      <c r="J13" s="876">
        <f>F4A!J12+F4B!J13</f>
        <v>1736.04437010666</v>
      </c>
      <c r="K13" s="876">
        <f>F4A!K12+F4B!K13</f>
        <v>11410.74</v>
      </c>
      <c r="L13" s="876">
        <f>F4A!L12+F4B!L13</f>
        <v>6248.60909749297</v>
      </c>
      <c r="M13" s="876">
        <f>F4A!M12+F4B!M13</f>
        <v>9458.40310958755</v>
      </c>
      <c r="N13" s="879">
        <f>F4A!N12+F4B!N13</f>
        <v>15707.0122070805</v>
      </c>
      <c r="O13" s="876">
        <f>F4A!O12+F4B!O13</f>
        <v>16400.2035853187</v>
      </c>
      <c r="P13" s="876">
        <f>F4A!P12+F4B!P13</f>
        <v>17123.9873054058</v>
      </c>
      <c r="Q13" s="876">
        <f>F4A!Q12+F4B!Q13</f>
        <v>13052.8047610477</v>
      </c>
      <c r="R13" s="876">
        <f>F4A!R12+F4B!R13</f>
        <v>13336.0372206003</v>
      </c>
      <c r="S13" s="876">
        <f>F4A!S12+F4B!S13</f>
        <v>13591.8907847435</v>
      </c>
    </row>
    <row r="14" ht="15" hidden="1" spans="3:19">
      <c r="C14" s="55" t="s">
        <v>181</v>
      </c>
      <c r="D14" s="55" t="s">
        <v>182</v>
      </c>
      <c r="E14" s="876">
        <f>F4A!E13+F4B!E14</f>
        <v>484.0302154</v>
      </c>
      <c r="F14" s="876">
        <f>F4A!F13+F4B!F14</f>
        <v>478.21771542</v>
      </c>
      <c r="G14" s="876">
        <f>F4A!G13+F4B!G14</f>
        <v>462.1855846</v>
      </c>
      <c r="H14" s="876">
        <f>F4A!H13+F4B!H14</f>
        <v>484.03</v>
      </c>
      <c r="I14" s="876">
        <f>F4A!I13+F4B!I14</f>
        <v>466.66695525</v>
      </c>
      <c r="J14" s="876">
        <f>F4A!J13+F4B!J14</f>
        <v>-17.36304475</v>
      </c>
      <c r="K14" s="876">
        <f>F4A!K13+F4B!K14</f>
        <v>454.29</v>
      </c>
      <c r="L14" s="876">
        <f>F4A!L13+F4B!L14</f>
        <v>244.402128</v>
      </c>
      <c r="M14" s="876">
        <f>F4A!M13+F4B!M14</f>
        <v>260.70032525</v>
      </c>
      <c r="N14" s="879">
        <f>F4A!N13+F4B!N14</f>
        <v>505.10245325</v>
      </c>
      <c r="O14" s="876">
        <f>F4A!O13+F4B!O14</f>
        <v>513.93762104636</v>
      </c>
      <c r="P14" s="876">
        <f>F4A!P13+F4B!P14</f>
        <v>522.927332122974</v>
      </c>
      <c r="Q14" s="876">
        <f>F4A!Q13+F4B!Q14</f>
        <v>518.21632901562</v>
      </c>
      <c r="R14" s="876">
        <f>F4A!R13+F4B!R14</f>
        <v>530.212586461387</v>
      </c>
      <c r="S14" s="876">
        <f>F4A!S13+F4B!S14</f>
        <v>543.924510694315</v>
      </c>
    </row>
    <row r="15" ht="15" hidden="1" spans="3:19">
      <c r="C15" s="55" t="s">
        <v>183</v>
      </c>
      <c r="D15" s="55" t="s">
        <v>184</v>
      </c>
      <c r="E15" s="876">
        <f>F4A!E14+F4B!E15</f>
        <v>76.52737232</v>
      </c>
      <c r="F15" s="876">
        <f>F4A!F14+F4B!F15</f>
        <v>47.7098197</v>
      </c>
      <c r="G15" s="876">
        <f>F4A!G14+F4B!G15</f>
        <v>61.3140215</v>
      </c>
      <c r="H15" s="876">
        <f>F4A!H14+F4B!H15</f>
        <v>93.61</v>
      </c>
      <c r="I15" s="876">
        <f>F4A!I14+F4B!I15</f>
        <v>88.07401945</v>
      </c>
      <c r="J15" s="876">
        <f>F4A!J14+F4B!J15</f>
        <v>-5.53598055</v>
      </c>
      <c r="K15" s="876">
        <f>F4A!K14+F4B!K15</f>
        <v>103.75</v>
      </c>
      <c r="L15" s="876">
        <f>F4A!L14+F4B!L15</f>
        <v>47.005129</v>
      </c>
      <c r="M15" s="876">
        <f>F4A!M14+F4B!M15</f>
        <v>47.541701</v>
      </c>
      <c r="N15" s="879">
        <f>F4A!N14+F4B!N15</f>
        <v>94.54683</v>
      </c>
      <c r="O15" s="876">
        <f>F4A!O14+F4B!O15</f>
        <v>101.306486363046</v>
      </c>
      <c r="P15" s="876">
        <f>F4A!P14+F4B!P15</f>
        <v>108.549426556406</v>
      </c>
      <c r="Q15" s="876">
        <f>F4A!Q14+F4B!Q15</f>
        <v>121.59866293272</v>
      </c>
      <c r="R15" s="876">
        <f>F4A!R14+F4B!R15</f>
        <v>139.444888421057</v>
      </c>
      <c r="S15" s="876">
        <f>F4A!S14+F4B!S15</f>
        <v>152.866934150094</v>
      </c>
    </row>
    <row r="16" ht="15" hidden="1" spans="3:19">
      <c r="C16" s="55" t="s">
        <v>185</v>
      </c>
      <c r="D16" s="55" t="s">
        <v>186</v>
      </c>
      <c r="E16" s="876">
        <f>F4A!E15+F4B!E16</f>
        <v>42.86933842</v>
      </c>
      <c r="F16" s="876">
        <f>F4A!F15+F4B!F16</f>
        <v>53.42929032</v>
      </c>
      <c r="G16" s="876">
        <f>F4A!G15+F4B!G16</f>
        <v>82.287986</v>
      </c>
      <c r="H16" s="876">
        <f>F4A!H15+F4B!H16</f>
        <v>70.84</v>
      </c>
      <c r="I16" s="876">
        <f>F4A!I15+F4B!I16</f>
        <v>96.3381664</v>
      </c>
      <c r="J16" s="876">
        <f>F4A!J15+F4B!J16</f>
        <v>25.4981664</v>
      </c>
      <c r="K16" s="876">
        <f>F4A!K15+F4B!K16</f>
        <v>100.49</v>
      </c>
      <c r="L16" s="876">
        <f>F4A!L15+F4B!L16</f>
        <v>55.293871</v>
      </c>
      <c r="M16" s="876">
        <f>F4A!M15+F4B!M16</f>
        <v>58.139891</v>
      </c>
      <c r="N16" s="879">
        <f>F4A!N15+F4B!N16</f>
        <v>113.433762</v>
      </c>
      <c r="O16" s="876">
        <f>F4A!O15+F4B!O16</f>
        <v>133.599144375556</v>
      </c>
      <c r="P16" s="876">
        <f>F4A!P15+F4B!P16</f>
        <v>157.328110571629</v>
      </c>
      <c r="Q16" s="876">
        <f>F4A!Q15+F4B!Q16</f>
        <v>274.857771378514</v>
      </c>
      <c r="R16" s="876">
        <f>F4A!R15+F4B!R16</f>
        <v>349.834259795802</v>
      </c>
      <c r="S16" s="876">
        <f>F4A!S15+F4B!S16</f>
        <v>452.767380597408</v>
      </c>
    </row>
    <row r="17" ht="15" hidden="1" spans="3:19">
      <c r="C17" s="55" t="s">
        <v>187</v>
      </c>
      <c r="D17" s="55" t="s">
        <v>188</v>
      </c>
      <c r="E17" s="876">
        <f>F4A!E16+F4B!E17</f>
        <v>0.000108</v>
      </c>
      <c r="F17" s="876">
        <f>F4A!F16+F4B!F17</f>
        <v>0.0195023</v>
      </c>
      <c r="G17" s="876">
        <f>F4A!G16+F4B!G17</f>
        <v>0.130377</v>
      </c>
      <c r="H17" s="876">
        <f>F4A!H16+F4B!H17</f>
        <v>1.74</v>
      </c>
      <c r="I17" s="876">
        <f>F4A!I16+F4B!I17</f>
        <v>0.532207</v>
      </c>
      <c r="J17" s="876">
        <f>F4A!J16+F4B!J17</f>
        <v>-1.207793</v>
      </c>
      <c r="K17" s="876">
        <f>F4A!K16+F4B!K17</f>
        <v>1.64</v>
      </c>
      <c r="L17" s="876">
        <f>F4A!L16+F4B!L17</f>
        <v>0.690192</v>
      </c>
      <c r="M17" s="876">
        <f>F4A!M16+F4B!M17</f>
        <v>1.592118</v>
      </c>
      <c r="N17" s="879">
        <f>F4A!N16+F4B!N17</f>
        <v>2.28231</v>
      </c>
      <c r="O17" s="876">
        <f>F4A!O16+F4B!O17</f>
        <v>10.2408207592832</v>
      </c>
      <c r="P17" s="876">
        <f>F4A!P16+F4B!P17</f>
        <v>46.8702400877059</v>
      </c>
      <c r="Q17" s="876">
        <f>F4A!Q16+F4B!Q17</f>
        <v>3.03775461</v>
      </c>
      <c r="R17" s="876">
        <f>F4A!R16+F4B!R17</f>
        <v>3.341530071</v>
      </c>
      <c r="S17" s="876">
        <f>F4A!S16+F4B!S17</f>
        <v>3.6756830781</v>
      </c>
    </row>
    <row r="18" ht="15" hidden="1" spans="3:19">
      <c r="C18" s="55"/>
      <c r="D18" s="55"/>
      <c r="E18" s="876"/>
      <c r="F18" s="876"/>
      <c r="G18" s="876"/>
      <c r="H18" s="876"/>
      <c r="I18" s="876"/>
      <c r="J18" s="876"/>
      <c r="K18" s="876"/>
      <c r="L18" s="876"/>
      <c r="M18" s="876"/>
      <c r="N18" s="876"/>
      <c r="O18" s="876"/>
      <c r="P18" s="876"/>
      <c r="Q18" s="876"/>
      <c r="R18" s="876"/>
      <c r="S18" s="876"/>
    </row>
    <row r="19" ht="15" hidden="1" spans="3:19">
      <c r="C19" s="55"/>
      <c r="D19" s="55"/>
      <c r="E19" s="876"/>
      <c r="F19" s="876"/>
      <c r="G19" s="876"/>
      <c r="H19" s="876"/>
      <c r="I19" s="876"/>
      <c r="J19" s="876"/>
      <c r="K19" s="876"/>
      <c r="L19" s="876"/>
      <c r="M19" s="876"/>
      <c r="N19" s="876"/>
      <c r="O19" s="876"/>
      <c r="P19" s="876"/>
      <c r="Q19" s="876"/>
      <c r="R19" s="876"/>
      <c r="S19" s="876"/>
    </row>
    <row r="20" ht="15" hidden="1" spans="3:19">
      <c r="C20" s="55"/>
      <c r="D20" s="55"/>
      <c r="E20" s="876"/>
      <c r="F20" s="876"/>
      <c r="G20" s="876"/>
      <c r="H20" s="876"/>
      <c r="I20" s="876"/>
      <c r="J20" s="876"/>
      <c r="K20" s="876"/>
      <c r="L20" s="876"/>
      <c r="M20" s="876"/>
      <c r="N20" s="876"/>
      <c r="O20" s="876"/>
      <c r="P20" s="876"/>
      <c r="Q20" s="876"/>
      <c r="R20" s="876"/>
      <c r="S20" s="876"/>
    </row>
    <row r="21" ht="15" hidden="1" spans="3:19">
      <c r="C21" s="55"/>
      <c r="D21" s="55"/>
      <c r="E21" s="876"/>
      <c r="F21" s="876"/>
      <c r="G21" s="876"/>
      <c r="H21" s="876"/>
      <c r="I21" s="876"/>
      <c r="J21" s="876"/>
      <c r="K21" s="876"/>
      <c r="L21" s="876"/>
      <c r="M21" s="876"/>
      <c r="N21" s="876"/>
      <c r="O21" s="876"/>
      <c r="P21" s="876"/>
      <c r="Q21" s="876"/>
      <c r="R21" s="876"/>
      <c r="S21" s="876"/>
    </row>
    <row r="22" ht="15" hidden="1" spans="3:19">
      <c r="C22" s="537" t="s">
        <v>189</v>
      </c>
      <c r="D22" s="540"/>
      <c r="E22" s="877">
        <f>Q99</f>
        <v>23569.4509752106</v>
      </c>
      <c r="F22" s="877">
        <f>Q173</f>
        <v>24286.2216167357</v>
      </c>
      <c r="G22" s="877">
        <f>Q246</f>
        <v>25034.9896809622</v>
      </c>
      <c r="H22" s="877">
        <f>SUM(H9:H21)</f>
        <v>25789.2</v>
      </c>
      <c r="I22" s="877">
        <f>Q319</f>
        <v>26750.5076362067</v>
      </c>
      <c r="J22" s="877">
        <f>I22-H22</f>
        <v>961.307636206657</v>
      </c>
      <c r="K22" s="877">
        <f>SUM(K9:K21)</f>
        <v>27248.48</v>
      </c>
      <c r="L22" s="877">
        <f>SUM(E395:J395)</f>
        <v>14750.462366063</v>
      </c>
      <c r="M22" s="877">
        <f>SUM(K395:P395)</f>
        <v>17015.7720502875</v>
      </c>
      <c r="N22" s="878">
        <f>L22+M22</f>
        <v>31766.2344163505</v>
      </c>
      <c r="O22" s="877">
        <f>Q469</f>
        <v>33817.7176808618</v>
      </c>
      <c r="P22" s="877">
        <f>Q544</f>
        <v>36031.941163479</v>
      </c>
      <c r="Q22" s="877">
        <f>Q618</f>
        <v>33293.1939674102</v>
      </c>
      <c r="R22" s="877">
        <f>Q692</f>
        <v>35468.4454691012</v>
      </c>
      <c r="S22" s="877">
        <f>Q766</f>
        <v>37750.8529923569</v>
      </c>
    </row>
    <row r="23" ht="15" hidden="1" spans="3:19">
      <c r="C23" s="44" t="s">
        <v>190</v>
      </c>
      <c r="D23" s="45"/>
      <c r="E23" s="876"/>
      <c r="F23" s="876"/>
      <c r="G23" s="876"/>
      <c r="H23" s="876"/>
      <c r="I23" s="876"/>
      <c r="J23" s="876"/>
      <c r="K23" s="876"/>
      <c r="L23" s="876"/>
      <c r="M23" s="876"/>
      <c r="N23" s="876"/>
      <c r="O23" s="876"/>
      <c r="P23" s="876"/>
      <c r="Q23" s="876"/>
      <c r="R23" s="876"/>
      <c r="S23" s="876"/>
    </row>
    <row r="24" ht="15" hidden="1" spans="3:19">
      <c r="C24" s="55" t="s">
        <v>191</v>
      </c>
      <c r="D24" s="55" t="s">
        <v>192</v>
      </c>
      <c r="E24" s="876">
        <f>F4A!E23+F4B!E24</f>
        <v>3661.12433634736</v>
      </c>
      <c r="F24" s="876">
        <f>F4A!F23+F4B!F24</f>
        <v>3460.2168271</v>
      </c>
      <c r="G24" s="876">
        <f>F4A!G23+F4B!G24</f>
        <v>3860.71856804</v>
      </c>
      <c r="H24" s="876">
        <f>F4A!H23+F4B!H24</f>
        <v>4440.71</v>
      </c>
      <c r="I24" s="876">
        <f>F4A!I23+F4B!I24</f>
        <v>4197.4817069</v>
      </c>
      <c r="J24" s="876">
        <f>F4A!J23+F4B!J24</f>
        <v>-243.2282931</v>
      </c>
      <c r="K24" s="876">
        <f>F4A!K23+F4B!K24</f>
        <v>4401.71</v>
      </c>
      <c r="L24" s="876">
        <f>F4A!L23+F4B!L24</f>
        <v>2161.8010102213</v>
      </c>
      <c r="M24" s="876">
        <f>F4A!M23+F4B!M24</f>
        <v>2182.463017515</v>
      </c>
      <c r="N24" s="876">
        <f>F4A!N23+F4B!N24</f>
        <v>4344.2640277363</v>
      </c>
      <c r="O24" s="876">
        <f>F4A!O23+F4B!O24</f>
        <v>4477.29783357603</v>
      </c>
      <c r="P24" s="876">
        <f>F4A!P23+F4B!P24</f>
        <v>4623.62972118259</v>
      </c>
      <c r="Q24" s="876">
        <f>F4A!Q23+F4B!Q24</f>
        <v>5286.21344431107</v>
      </c>
      <c r="R24" s="876">
        <f>F4A!R23+F4B!R24</f>
        <v>5629.40787754343</v>
      </c>
      <c r="S24" s="876">
        <f>F4A!S23+F4B!S24</f>
        <v>5970.42081291085</v>
      </c>
    </row>
    <row r="25" ht="15" hidden="1" spans="3:19">
      <c r="C25" s="55" t="s">
        <v>193</v>
      </c>
      <c r="D25" s="55" t="s">
        <v>194</v>
      </c>
      <c r="E25" s="876">
        <f>F4A!E24+F4B!E25</f>
        <v>0</v>
      </c>
      <c r="F25" s="876">
        <f>F4A!F24+F4B!F25</f>
        <v>0</v>
      </c>
      <c r="G25" s="876">
        <f>F4A!G24+F4B!G25</f>
        <v>0</v>
      </c>
      <c r="H25" s="876">
        <f>F4A!H24+F4B!H25</f>
        <v>0</v>
      </c>
      <c r="I25" s="876">
        <f>F4A!I24+F4B!I25</f>
        <v>0.413403</v>
      </c>
      <c r="J25" s="876">
        <f>F4A!J24+F4B!J25</f>
        <v>0.413403</v>
      </c>
      <c r="K25" s="876">
        <f>F4A!K24+F4B!K25</f>
        <v>0.41</v>
      </c>
      <c r="L25" s="876">
        <f>F4A!L24+F4B!L25</f>
        <v>0.041272</v>
      </c>
      <c r="M25" s="876">
        <f>F4A!M24+F4B!M25</f>
        <v>0.221531</v>
      </c>
      <c r="N25" s="880">
        <f>F4A!N24+F4B!N25</f>
        <v>0.262803</v>
      </c>
      <c r="O25" s="876">
        <f>F4A!O24+F4B!O25</f>
        <v>0.52979462</v>
      </c>
      <c r="P25" s="876">
        <f>F4A!P24+F4B!P25</f>
        <v>0.5403905124</v>
      </c>
      <c r="Q25" s="876">
        <f>F4A!Q24+F4B!Q25</f>
        <v>0.278888646024</v>
      </c>
      <c r="R25" s="876">
        <f>F4A!R24+F4B!R25</f>
        <v>0.28446641894448</v>
      </c>
      <c r="S25" s="876">
        <f>F4A!S24+F4B!S25</f>
        <v>0.29015574732337</v>
      </c>
    </row>
    <row r="26" ht="15" hidden="1" spans="3:19">
      <c r="C26" s="55" t="s">
        <v>239</v>
      </c>
      <c r="D26" s="55" t="s">
        <v>196</v>
      </c>
      <c r="E26" s="876">
        <f>F4A!E25+F4B!E26</f>
        <v>1664.12308595</v>
      </c>
      <c r="F26" s="876">
        <f>F4A!F25+F4B!F26</f>
        <v>1181.77761811</v>
      </c>
      <c r="G26" s="876">
        <f>F4A!G25+F4B!G26</f>
        <v>1451.62618627</v>
      </c>
      <c r="H26" s="876">
        <f>F4A!H25+F4B!H26</f>
        <v>2024.94</v>
      </c>
      <c r="I26" s="876">
        <f>F4A!I25+F4B!I26</f>
        <v>1890.23215567</v>
      </c>
      <c r="J26" s="876">
        <f>F4A!J25+F4B!J26</f>
        <v>-134.70784433</v>
      </c>
      <c r="K26" s="876">
        <f>F4A!K25+F4B!K26</f>
        <v>1884.74</v>
      </c>
      <c r="L26" s="876">
        <f>F4A!L25+F4B!L26</f>
        <v>1094.541446105</v>
      </c>
      <c r="M26" s="876">
        <f>F4A!M25+F4B!M26</f>
        <v>1010.1536395</v>
      </c>
      <c r="N26" s="880">
        <f>F4A!N25+F4B!N26</f>
        <v>2104.695085605</v>
      </c>
      <c r="O26" s="876">
        <f>F4A!O25+F4B!O26</f>
        <v>2322.26759052296</v>
      </c>
      <c r="P26" s="876">
        <f>F4A!P25+F4B!P26</f>
        <v>2574.01348848237</v>
      </c>
      <c r="Q26" s="876">
        <f>F4A!Q25+F4B!Q26</f>
        <v>3296.96559345707</v>
      </c>
      <c r="R26" s="876">
        <f>F4A!R25+F4B!R26</f>
        <v>3884.77919457282</v>
      </c>
      <c r="S26" s="876">
        <f>F4A!S25+F4B!S26</f>
        <v>4486.79861970186</v>
      </c>
    </row>
    <row r="27" ht="15" hidden="1" spans="3:19">
      <c r="C27" s="55" t="s">
        <v>197</v>
      </c>
      <c r="D27" s="55" t="s">
        <v>198</v>
      </c>
      <c r="E27" s="876">
        <f>F4A!E26+F4B!E27</f>
        <v>0</v>
      </c>
      <c r="F27" s="876">
        <f>F4A!F26+F4B!F27</f>
        <v>0</v>
      </c>
      <c r="G27" s="876">
        <f>F4A!G26+F4B!G27</f>
        <v>0</v>
      </c>
      <c r="H27" s="876">
        <f>F4A!H26+F4B!H27</f>
        <v>0</v>
      </c>
      <c r="I27" s="876">
        <f>F4A!I26+F4B!I27</f>
        <v>0.243296</v>
      </c>
      <c r="J27" s="876">
        <f>F4A!J26+F4B!J27</f>
        <v>0.243296</v>
      </c>
      <c r="K27" s="876">
        <f>F4A!K26+F4B!K27</f>
        <v>1</v>
      </c>
      <c r="L27" s="876">
        <f>F4A!L26+F4B!L27</f>
        <v>0.166209</v>
      </c>
      <c r="M27" s="876">
        <f>F4A!M26+F4B!M27</f>
        <v>0.1711</v>
      </c>
      <c r="N27" s="880">
        <f>F4A!N26+F4B!N27</f>
        <v>0.337309</v>
      </c>
      <c r="O27" s="876">
        <f>F4A!O26+F4B!O27</f>
        <v>0.394456</v>
      </c>
      <c r="P27" s="876">
        <f>F4A!P26+F4B!P27</f>
        <v>0.461284863244088</v>
      </c>
      <c r="Q27" s="876">
        <f>F4A!Q26+F4B!Q27</f>
        <v>0.357955009272</v>
      </c>
      <c r="R27" s="876">
        <f>F4A!R26+F4B!R27</f>
        <v>0.36511410945744</v>
      </c>
      <c r="S27" s="876">
        <f>F4A!S26+F4B!S27</f>
        <v>0.372416391646589</v>
      </c>
    </row>
    <row r="28" ht="15" hidden="1" spans="3:19">
      <c r="C28" s="55" t="s">
        <v>199</v>
      </c>
      <c r="D28" s="55" t="s">
        <v>200</v>
      </c>
      <c r="E28" s="876">
        <f>F4A!E27+F4B!E28</f>
        <v>4.335629</v>
      </c>
      <c r="F28" s="876">
        <f>F4A!F27+F4B!F28</f>
        <v>2.345433</v>
      </c>
      <c r="G28" s="876">
        <f>F4A!G27+F4B!G28</f>
        <v>3.3875608</v>
      </c>
      <c r="H28" s="876">
        <f>F4A!H27+F4B!H28</f>
        <v>3.84</v>
      </c>
      <c r="I28" s="876">
        <f>F4A!I27+F4B!I28</f>
        <v>4.348109</v>
      </c>
      <c r="J28" s="876">
        <f>F4A!J27+F4B!J28</f>
        <v>0.508109</v>
      </c>
      <c r="K28" s="876">
        <f>F4A!K27+F4B!K28</f>
        <v>4.05</v>
      </c>
      <c r="L28" s="876">
        <f>F4A!L27+F4B!L28</f>
        <v>2.45733</v>
      </c>
      <c r="M28" s="876">
        <f>F4A!M27+F4B!M28</f>
        <v>2.362795</v>
      </c>
      <c r="N28" s="880">
        <f>F4A!N27+F4B!N28</f>
        <v>4.820125</v>
      </c>
      <c r="O28" s="876">
        <f>F4A!O27+F4B!O28</f>
        <v>5.37734636570593</v>
      </c>
      <c r="P28" s="876">
        <f>F4A!P27+F4B!P28</f>
        <v>5.98000855702511</v>
      </c>
      <c r="Q28" s="876">
        <f>F4A!Q27+F4B!Q28</f>
        <v>5.7225800755113</v>
      </c>
      <c r="R28" s="876">
        <f>F4A!R27+F4B!R28</f>
        <v>6.35525285457383</v>
      </c>
      <c r="S28" s="876">
        <f>F4A!S27+F4B!S28</f>
        <v>6.85645005414459</v>
      </c>
    </row>
    <row r="29" ht="15" hidden="1" spans="3:19">
      <c r="C29" s="55" t="s">
        <v>201</v>
      </c>
      <c r="D29" s="55" t="s">
        <v>202</v>
      </c>
      <c r="E29" s="876">
        <f>F4A!E28+F4B!E29</f>
        <v>41.89</v>
      </c>
      <c r="F29" s="876">
        <f>F4A!F28+F4B!F29</f>
        <v>42.12</v>
      </c>
      <c r="G29" s="876">
        <f>F4A!G28+F4B!G29</f>
        <v>41.676726</v>
      </c>
      <c r="H29" s="876">
        <f>F4A!H28+F4B!H29</f>
        <v>57.51</v>
      </c>
      <c r="I29" s="876">
        <f>F4A!I28+F4B!I29</f>
        <v>47.07831532</v>
      </c>
      <c r="J29" s="876">
        <f>F4A!J28+F4B!J29</f>
        <v>-10.43168468</v>
      </c>
      <c r="K29" s="876">
        <f>F4A!K28+F4B!K29</f>
        <v>38.83</v>
      </c>
      <c r="L29" s="876">
        <f>F4A!L28+F4B!L29</f>
        <v>7.66654644</v>
      </c>
      <c r="M29" s="876">
        <f>F4A!M28+F4B!M29</f>
        <v>10.16216783</v>
      </c>
      <c r="N29" s="880">
        <f>F4A!N28+F4B!N29</f>
        <v>17.82871427</v>
      </c>
      <c r="O29" s="876">
        <f>F4A!O28+F4B!O29</f>
        <v>22.7178453815</v>
      </c>
      <c r="P29" s="876">
        <f>F4A!P28+F4B!P29</f>
        <v>24.98962991965</v>
      </c>
      <c r="Q29" s="876">
        <f>F4A!Q28+F4B!Q29</f>
        <v>18.548994326508</v>
      </c>
      <c r="R29" s="876">
        <f>F4A!R28+F4B!R29</f>
        <v>18.9199742130382</v>
      </c>
      <c r="S29" s="876">
        <f>F4A!S28+F4B!S29</f>
        <v>19.2983736972989</v>
      </c>
    </row>
    <row r="30" ht="15" hidden="1" spans="3:19">
      <c r="C30" s="55" t="s">
        <v>203</v>
      </c>
      <c r="D30" s="55" t="s">
        <v>204</v>
      </c>
      <c r="E30" s="876">
        <f>F4A!E29+F4B!E30</f>
        <v>95.48</v>
      </c>
      <c r="F30" s="876">
        <f>F4A!F29+F4B!F30</f>
        <v>112.56</v>
      </c>
      <c r="G30" s="876">
        <f>F4A!G29+F4B!G30</f>
        <v>130.22228</v>
      </c>
      <c r="H30" s="876">
        <f>F4A!H29+F4B!H30</f>
        <v>154.57</v>
      </c>
      <c r="I30" s="876">
        <f>F4A!I29+F4B!I30</f>
        <v>137.65589982</v>
      </c>
      <c r="J30" s="876">
        <f>F4A!J29+F4B!J30</f>
        <v>-16.91410018</v>
      </c>
      <c r="K30" s="876">
        <f>F4A!K29+F4B!K30</f>
        <v>155.21</v>
      </c>
      <c r="L30" s="876">
        <f>F4A!L29+F4B!L30</f>
        <v>63.68782433</v>
      </c>
      <c r="M30" s="876">
        <f>F4A!M29+F4B!M30</f>
        <v>65.7997826</v>
      </c>
      <c r="N30" s="880">
        <f>F4A!N29+F4B!N30</f>
        <v>129.48760693</v>
      </c>
      <c r="O30" s="876">
        <f>F4A!O29+F4B!O30</f>
        <v>132.503651882</v>
      </c>
      <c r="P30" s="876">
        <f>F4A!P29+F4B!P30</f>
        <v>138.018972117969</v>
      </c>
      <c r="Q30" s="876">
        <f>F4A!Q29+F4B!Q30</f>
        <v>175.451215969936</v>
      </c>
      <c r="R30" s="876">
        <f>F4A!R29+F4B!R30</f>
        <v>186.230410238936</v>
      </c>
      <c r="S30" s="876">
        <f>F4A!S29+F4B!S30</f>
        <v>197.83437442266</v>
      </c>
    </row>
    <row r="31" ht="15" hidden="1" spans="3:19">
      <c r="C31" s="55" t="s">
        <v>205</v>
      </c>
      <c r="D31" s="55" t="s">
        <v>206</v>
      </c>
      <c r="E31" s="876">
        <f>F4A!E30+F4B!E31</f>
        <v>118.49</v>
      </c>
      <c r="F31" s="876">
        <f>F4A!F30+F4B!F31</f>
        <v>127.59</v>
      </c>
      <c r="G31" s="876">
        <f>F4A!G30+F4B!G31</f>
        <v>146.68270205</v>
      </c>
      <c r="H31" s="876">
        <f>F4A!H30+F4B!H31</f>
        <v>154.67</v>
      </c>
      <c r="I31" s="876">
        <f>F4A!I30+F4B!I31</f>
        <v>183.9896945</v>
      </c>
      <c r="J31" s="876">
        <f>F4A!J30+F4B!J31</f>
        <v>29.3196945</v>
      </c>
      <c r="K31" s="876">
        <f>F4A!K30+F4B!K31</f>
        <v>202.26</v>
      </c>
      <c r="L31" s="876">
        <f>F4A!L30+F4B!L31</f>
        <v>115.86824484</v>
      </c>
      <c r="M31" s="876">
        <f>F4A!M30+F4B!M31</f>
        <v>104.65608307</v>
      </c>
      <c r="N31" s="880">
        <f>F4A!N30+F4B!N31</f>
        <v>220.52432791</v>
      </c>
      <c r="O31" s="876">
        <f>F4A!O30+F4B!O31</f>
        <v>268.934584357356</v>
      </c>
      <c r="P31" s="876">
        <f>F4A!P30+F4B!P31</f>
        <v>329.15660398209</v>
      </c>
      <c r="Q31" s="876">
        <f>F4A!Q30+F4B!Q31</f>
        <v>356.529529933021</v>
      </c>
      <c r="R31" s="876">
        <f>F4A!R30+F4B!R31</f>
        <v>425.832522933912</v>
      </c>
      <c r="S31" s="876">
        <f>F4A!S30+F4B!S31</f>
        <v>503.648904267523</v>
      </c>
    </row>
    <row r="32" ht="15" hidden="1" spans="3:19">
      <c r="C32" s="55" t="s">
        <v>207</v>
      </c>
      <c r="D32" s="55" t="s">
        <v>186</v>
      </c>
      <c r="E32" s="876">
        <f>F4A!E31+F4B!E32</f>
        <v>91.83</v>
      </c>
      <c r="F32" s="876">
        <f>F4A!F31+F4B!F32</f>
        <v>85.4</v>
      </c>
      <c r="G32" s="876">
        <f>F4A!G31+F4B!G32</f>
        <v>112.48471693</v>
      </c>
      <c r="H32" s="876">
        <f>F4A!H31+F4B!H32</f>
        <v>124.57</v>
      </c>
      <c r="I32" s="876">
        <f>F4A!I31+F4B!I32</f>
        <v>153.938916</v>
      </c>
      <c r="J32" s="876">
        <f>F4A!J31+F4B!J32</f>
        <v>29.368916</v>
      </c>
      <c r="K32" s="876">
        <f>F4A!K31+F4B!K32</f>
        <v>170.56</v>
      </c>
      <c r="L32" s="876">
        <f>F4A!L31+F4B!L32</f>
        <v>88.90078132</v>
      </c>
      <c r="M32" s="876">
        <f>F4A!M31+F4B!M32</f>
        <v>96.08969453</v>
      </c>
      <c r="N32" s="880">
        <f>F4A!N31+F4B!N32</f>
        <v>184.99047585</v>
      </c>
      <c r="O32" s="876">
        <f>F4A!O31+F4B!O32</f>
        <v>224.202563167036</v>
      </c>
      <c r="P32" s="876">
        <f>F4A!P31+F4B!P32</f>
        <v>271.726363747655</v>
      </c>
      <c r="Q32" s="876">
        <f>F4A!Q31+F4B!Q32</f>
        <v>333.905463151925</v>
      </c>
      <c r="R32" s="876">
        <f>F4A!R31+F4B!R32</f>
        <v>415.077818689777</v>
      </c>
      <c r="S32" s="876">
        <f>F4A!S31+F4B!S32</f>
        <v>506.15758125266</v>
      </c>
    </row>
    <row r="33" ht="15" hidden="1" spans="3:19">
      <c r="C33" s="55" t="s">
        <v>208</v>
      </c>
      <c r="D33" s="55" t="s">
        <v>209</v>
      </c>
      <c r="E33" s="876">
        <f>F4A!E32+F4B!E33</f>
        <v>0</v>
      </c>
      <c r="F33" s="876">
        <f>F4A!F32+F4B!F33</f>
        <v>0</v>
      </c>
      <c r="G33" s="876">
        <f>F4A!G32+F4B!G33</f>
        <v>0</v>
      </c>
      <c r="H33" s="876">
        <f>F4A!H32+F4B!H33</f>
        <v>0</v>
      </c>
      <c r="I33" s="876">
        <f>F4A!I32+F4B!I33</f>
        <v>0</v>
      </c>
      <c r="J33" s="876">
        <f>F4A!J32+F4B!J33</f>
        <v>0</v>
      </c>
      <c r="K33" s="876">
        <f>F4A!K32+F4B!K33</f>
        <v>0</v>
      </c>
      <c r="L33" s="876">
        <f>F4A!L32+F4B!L33</f>
        <v>0</v>
      </c>
      <c r="M33" s="876">
        <f>F4A!M32+F4B!M33</f>
        <v>0</v>
      </c>
      <c r="N33" s="876">
        <f>F4A!N32+F4B!N33</f>
        <v>0</v>
      </c>
      <c r="O33" s="876">
        <f>F4A!O32+F4B!O33</f>
        <v>0</v>
      </c>
      <c r="P33" s="876">
        <f>F4A!P32+F4B!P33</f>
        <v>0</v>
      </c>
      <c r="Q33" s="876">
        <f>F4A!Q32+F4B!Q33</f>
        <v>0</v>
      </c>
      <c r="R33" s="876">
        <f>F4A!R32+F4B!R33</f>
        <v>0</v>
      </c>
      <c r="S33" s="876">
        <f>F4A!S32+F4B!S33</f>
        <v>0</v>
      </c>
    </row>
    <row r="34" ht="15" hidden="1" spans="3:19">
      <c r="C34" s="55" t="s">
        <v>210</v>
      </c>
      <c r="D34" s="55" t="s">
        <v>188</v>
      </c>
      <c r="E34" s="876">
        <f>F4A!E33+F4B!E34</f>
        <v>2.43</v>
      </c>
      <c r="F34" s="876">
        <f>F4A!F33+F4B!F34</f>
        <v>1.6</v>
      </c>
      <c r="G34" s="876">
        <f>F4A!G33+F4B!G34</f>
        <v>3.428271</v>
      </c>
      <c r="H34" s="876">
        <f>F4A!H33+F4B!H34</f>
        <v>14.02</v>
      </c>
      <c r="I34" s="876">
        <f>F4A!I33+F4B!I34</f>
        <v>5.539859</v>
      </c>
      <c r="J34" s="876">
        <f>F4A!J33+F4B!J34</f>
        <v>-8.480141</v>
      </c>
      <c r="K34" s="876">
        <f>F4A!K33+F4B!K34</f>
        <v>6.55</v>
      </c>
      <c r="L34" s="876">
        <f>F4A!L33+F4B!L34</f>
        <v>4.6311</v>
      </c>
      <c r="M34" s="876">
        <f>F4A!M33+F4B!M34</f>
        <v>7.390609</v>
      </c>
      <c r="N34" s="880">
        <f>F4A!N33+F4B!N34</f>
        <v>12.021709</v>
      </c>
      <c r="O34" s="876">
        <f>F4A!O33+F4B!O34</f>
        <v>30.5185396001659</v>
      </c>
      <c r="P34" s="876">
        <f>F4A!P33+F4B!P34</f>
        <v>71.3525124061748</v>
      </c>
      <c r="Q34" s="876">
        <f>F4A!Q33+F4B!Q34</f>
        <v>16.000894679</v>
      </c>
      <c r="R34" s="876">
        <f>F4A!R33+F4B!R34</f>
        <v>17.6009841469</v>
      </c>
      <c r="S34" s="876">
        <f>F4A!S33+F4B!S34</f>
        <v>19.36108256159</v>
      </c>
    </row>
    <row r="35" ht="15" hidden="1" spans="3:19">
      <c r="C35" s="55"/>
      <c r="D35" s="55"/>
      <c r="E35" s="876"/>
      <c r="F35" s="876"/>
      <c r="G35" s="876"/>
      <c r="H35" s="876"/>
      <c r="I35" s="876"/>
      <c r="J35" s="876"/>
      <c r="K35" s="876"/>
      <c r="L35" s="876"/>
      <c r="M35" s="876"/>
      <c r="N35" s="876"/>
      <c r="O35" s="876"/>
      <c r="P35" s="876"/>
      <c r="Q35" s="876"/>
      <c r="R35" s="876"/>
      <c r="S35" s="876"/>
    </row>
    <row r="36" ht="15" hidden="1" spans="3:19">
      <c r="C36" s="55"/>
      <c r="D36" s="55"/>
      <c r="E36" s="876"/>
      <c r="F36" s="876"/>
      <c r="G36" s="876"/>
      <c r="H36" s="876"/>
      <c r="I36" s="876"/>
      <c r="J36" s="876"/>
      <c r="K36" s="876"/>
      <c r="L36" s="876"/>
      <c r="M36" s="876"/>
      <c r="N36" s="876"/>
      <c r="O36" s="876"/>
      <c r="P36" s="876"/>
      <c r="Q36" s="876"/>
      <c r="R36" s="876"/>
      <c r="S36" s="876"/>
    </row>
    <row r="37" ht="15" hidden="1" spans="3:19">
      <c r="C37" s="55"/>
      <c r="D37" s="55"/>
      <c r="E37" s="876"/>
      <c r="F37" s="876"/>
      <c r="G37" s="876"/>
      <c r="H37" s="876"/>
      <c r="I37" s="876"/>
      <c r="J37" s="876"/>
      <c r="K37" s="876"/>
      <c r="L37" s="876"/>
      <c r="M37" s="876"/>
      <c r="N37" s="876"/>
      <c r="O37" s="876"/>
      <c r="P37" s="876"/>
      <c r="Q37" s="876"/>
      <c r="R37" s="876"/>
      <c r="S37" s="876"/>
    </row>
    <row r="38" ht="15" hidden="1" spans="3:19">
      <c r="C38" s="55"/>
      <c r="D38" s="55"/>
      <c r="E38" s="876"/>
      <c r="F38" s="876"/>
      <c r="G38" s="876"/>
      <c r="H38" s="876"/>
      <c r="I38" s="876"/>
      <c r="J38" s="876"/>
      <c r="K38" s="876"/>
      <c r="L38" s="876"/>
      <c r="M38" s="876"/>
      <c r="N38" s="876"/>
      <c r="O38" s="876"/>
      <c r="P38" s="876"/>
      <c r="Q38" s="876"/>
      <c r="R38" s="876"/>
      <c r="S38" s="876"/>
    </row>
    <row r="39" ht="15" hidden="1" spans="3:19">
      <c r="C39" s="537" t="s">
        <v>211</v>
      </c>
      <c r="D39" s="540"/>
      <c r="E39" s="878">
        <f>Q116</f>
        <v>5679.70305129736</v>
      </c>
      <c r="F39" s="878">
        <f>Q190</f>
        <v>5013.60987821</v>
      </c>
      <c r="G39" s="878">
        <f>Q263</f>
        <v>5750.22701109</v>
      </c>
      <c r="H39" s="878">
        <f>SUM(H24:H38)</f>
        <v>6974.83</v>
      </c>
      <c r="I39" s="878">
        <f>Q336</f>
        <v>6620.92135521</v>
      </c>
      <c r="J39" s="878">
        <f>I39-H39</f>
        <v>-353.908644789999</v>
      </c>
      <c r="K39" s="878">
        <f>SUM(K24:K38)</f>
        <v>6865.32</v>
      </c>
      <c r="L39" s="878">
        <f>SUM(E412:J412)</f>
        <v>3539.7617642563</v>
      </c>
      <c r="M39" s="878">
        <f>SUM(K412:P412)</f>
        <v>3479.470420045</v>
      </c>
      <c r="N39" s="878">
        <f>L39+M39</f>
        <v>7019.2321843013</v>
      </c>
      <c r="O39" s="878">
        <f>Q486</f>
        <v>7484.74420547276</v>
      </c>
      <c r="P39" s="878">
        <f>Q561</f>
        <v>8039.86897577117</v>
      </c>
      <c r="Q39" s="878">
        <f>Q635</f>
        <v>9489.97455955934</v>
      </c>
      <c r="R39" s="878">
        <f>Q709</f>
        <v>10584.8536157218</v>
      </c>
      <c r="S39" s="878">
        <f>Q783</f>
        <v>11711.0387710075</v>
      </c>
    </row>
    <row r="40" ht="15" hidden="1" spans="3:19">
      <c r="C40" s="44" t="s">
        <v>212</v>
      </c>
      <c r="D40" s="45"/>
      <c r="E40" s="876"/>
      <c r="F40" s="876"/>
      <c r="G40" s="876"/>
      <c r="H40" s="876"/>
      <c r="I40" s="876"/>
      <c r="J40" s="876"/>
      <c r="K40" s="876"/>
      <c r="L40" s="876"/>
      <c r="M40" s="876"/>
      <c r="N40" s="876"/>
      <c r="O40" s="876"/>
      <c r="P40" s="876"/>
      <c r="Q40" s="876"/>
      <c r="R40" s="876"/>
      <c r="S40" s="876"/>
    </row>
    <row r="41" ht="15" hidden="1" spans="3:19">
      <c r="C41" s="55" t="s">
        <v>191</v>
      </c>
      <c r="D41" s="55" t="s">
        <v>192</v>
      </c>
      <c r="E41" s="876">
        <f>F4A!E40+F4B!E41</f>
        <v>4218.92397782</v>
      </c>
      <c r="F41" s="876">
        <f>F4A!F40+F4B!F41</f>
        <v>3575.85890144</v>
      </c>
      <c r="G41" s="876">
        <f>F4A!G40+F4B!G41</f>
        <v>4590.39422317</v>
      </c>
      <c r="H41" s="876">
        <f>F4A!H40+F4B!H41</f>
        <v>5721.31</v>
      </c>
      <c r="I41" s="876">
        <f>F4A!I40+F4B!I41</f>
        <v>5498.74110573</v>
      </c>
      <c r="J41" s="876">
        <f>F4A!J40+F4B!J41</f>
        <v>-222.568894270001</v>
      </c>
      <c r="K41" s="876">
        <f>F4A!K40+F4B!K41</f>
        <v>6733.34</v>
      </c>
      <c r="L41" s="876">
        <f>F4A!L40+F4B!L41</f>
        <v>2854.097971888</v>
      </c>
      <c r="M41" s="876">
        <f>F4A!M40+F4B!M41</f>
        <v>2983.2300315</v>
      </c>
      <c r="N41" s="876">
        <f>F4A!N40+F4B!N41</f>
        <v>5837.328003388</v>
      </c>
      <c r="O41" s="876">
        <f>F4A!O40+F4B!O41</f>
        <v>6815.87953882063</v>
      </c>
      <c r="P41" s="876">
        <f>F4A!P40+F4B!P41</f>
        <v>7684.91455724616</v>
      </c>
      <c r="Q41" s="876">
        <f>F4A!Q40+F4B!Q41</f>
        <v>8824.67954092314</v>
      </c>
      <c r="R41" s="876">
        <f>F4A!R40+F4B!R41</f>
        <v>10055.3906813339</v>
      </c>
      <c r="S41" s="876">
        <f>F4A!S40+F4B!S41</f>
        <v>11345.6813065585</v>
      </c>
    </row>
    <row r="42" ht="15" hidden="1" spans="3:19">
      <c r="C42" s="55" t="s">
        <v>193</v>
      </c>
      <c r="D42" s="55" t="s">
        <v>194</v>
      </c>
      <c r="E42" s="876">
        <f>F4A!E41+F4B!E42</f>
        <v>44.0475</v>
      </c>
      <c r="F42" s="876">
        <f>F4A!F41+F4B!F42</f>
        <v>25.4862</v>
      </c>
      <c r="G42" s="876">
        <f>F4A!G41+F4B!G42</f>
        <v>37.0829</v>
      </c>
      <c r="H42" s="876">
        <f>F4A!H41+F4B!H42</f>
        <v>44.05</v>
      </c>
      <c r="I42" s="876">
        <f>F4A!I41+F4B!I42</f>
        <v>43.282</v>
      </c>
      <c r="J42" s="876">
        <f>F4A!J41+F4B!J42</f>
        <v>-0.767999999999994</v>
      </c>
      <c r="K42" s="876">
        <f>F4A!K41+F4B!K42</f>
        <v>37.08</v>
      </c>
      <c r="L42" s="876">
        <f>F4A!L41+F4B!L42</f>
        <v>0</v>
      </c>
      <c r="M42" s="876">
        <f>F4A!M41+F4B!M42</f>
        <v>0</v>
      </c>
      <c r="N42" s="876">
        <f>F4A!N41+F4B!N42</f>
        <v>0</v>
      </c>
      <c r="O42" s="876">
        <f>F4A!O41+F4B!O42</f>
        <v>0.53654</v>
      </c>
      <c r="P42" s="876">
        <f>F4A!P41+F4B!P42</f>
        <v>0.53654</v>
      </c>
      <c r="Q42" s="876">
        <f>F4A!Q41+F4B!Q42</f>
        <v>0</v>
      </c>
      <c r="R42" s="876">
        <f>F4A!R41+F4B!R42</f>
        <v>0</v>
      </c>
      <c r="S42" s="876">
        <f>F4A!S41+F4B!S42</f>
        <v>0</v>
      </c>
    </row>
    <row r="43" ht="15" hidden="1" spans="3:19">
      <c r="C43" s="55" t="s">
        <v>239</v>
      </c>
      <c r="D43" s="55" t="s">
        <v>196</v>
      </c>
      <c r="E43" s="876">
        <f>F4A!E42+F4B!E43</f>
        <v>867.96008174</v>
      </c>
      <c r="F43" s="876">
        <f>F4A!F42+F4B!F43</f>
        <v>626.180324</v>
      </c>
      <c r="G43" s="876">
        <f>F4A!G42+F4B!G43</f>
        <v>772.70093215</v>
      </c>
      <c r="H43" s="876">
        <f>F4A!H42+F4B!H43</f>
        <v>1183.43</v>
      </c>
      <c r="I43" s="876">
        <f>F4A!I42+F4B!I43</f>
        <v>1197.782522</v>
      </c>
      <c r="J43" s="876">
        <f>F4A!J42+F4B!J43</f>
        <v>14.3525219999999</v>
      </c>
      <c r="K43" s="876">
        <f>F4A!K42+F4B!K43</f>
        <v>1302.04</v>
      </c>
      <c r="L43" s="876">
        <f>F4A!L42+F4B!L43</f>
        <v>733.180662595</v>
      </c>
      <c r="M43" s="876">
        <f>F4A!M42+F4B!M43</f>
        <v>666.5047085</v>
      </c>
      <c r="N43" s="879">
        <f>F4A!N42+F4B!N43</f>
        <v>1399.685371095</v>
      </c>
      <c r="O43" s="876">
        <f>F4A!O42+F4B!O43</f>
        <v>1560.47628455835</v>
      </c>
      <c r="P43" s="876">
        <f>F4A!P42+F4B!P43</f>
        <v>1771.70160889593</v>
      </c>
      <c r="Q43" s="876">
        <f>F4A!Q42+F4B!Q43</f>
        <v>2712.58196035535</v>
      </c>
      <c r="R43" s="876">
        <f>F4A!R42+F4B!R43</f>
        <v>3487.04181947717</v>
      </c>
      <c r="S43" s="876">
        <f>F4A!S42+F4B!S43</f>
        <v>4317.90410180877</v>
      </c>
    </row>
    <row r="44" ht="15" hidden="1" spans="3:19">
      <c r="C44" s="55" t="s">
        <v>197</v>
      </c>
      <c r="D44" s="55" t="s">
        <v>198</v>
      </c>
      <c r="E44" s="876">
        <f>F4A!E43+F4B!E44</f>
        <v>0</v>
      </c>
      <c r="F44" s="876">
        <f>F4A!F43+F4B!F44</f>
        <v>0</v>
      </c>
      <c r="G44" s="876">
        <f>F4A!G43+F4B!G44</f>
        <v>0</v>
      </c>
      <c r="H44" s="876">
        <f>F4A!H43+F4B!H44</f>
        <v>0</v>
      </c>
      <c r="I44" s="876">
        <f>F4A!I43+F4B!I44</f>
        <v>1.8433</v>
      </c>
      <c r="J44" s="876">
        <f>F4A!J43+F4B!J44</f>
        <v>1.8433</v>
      </c>
      <c r="K44" s="876">
        <f>F4A!K43+F4B!K44</f>
        <v>0</v>
      </c>
      <c r="L44" s="876">
        <f>F4A!L43+F4B!L44</f>
        <v>1.89218</v>
      </c>
      <c r="M44" s="876">
        <f>F4A!M43+F4B!M44</f>
        <v>1.92777</v>
      </c>
      <c r="N44" s="879">
        <f>F4A!N43+F4B!N44</f>
        <v>3.81995</v>
      </c>
      <c r="O44" s="876">
        <f>F4A!O43+F4B!O44</f>
        <v>4.80134654594394</v>
      </c>
      <c r="P44" s="876">
        <f>F4A!P43+F4B!P44</f>
        <v>5.28148120053833</v>
      </c>
      <c r="Q44" s="876">
        <f>F4A!Q43+F4B!Q44</f>
        <v>4.0537614996</v>
      </c>
      <c r="R44" s="876">
        <f>F4A!R43+F4B!R44</f>
        <v>4.134836729592</v>
      </c>
      <c r="S44" s="876">
        <f>F4A!S43+F4B!S44</f>
        <v>4.21753346418384</v>
      </c>
    </row>
    <row r="45" ht="15" hidden="1" spans="3:19">
      <c r="C45" s="55" t="s">
        <v>199</v>
      </c>
      <c r="D45" s="55" t="s">
        <v>200</v>
      </c>
      <c r="E45" s="876">
        <f>F4A!E44+F4B!E45</f>
        <v>0</v>
      </c>
      <c r="F45" s="876">
        <f>F4A!F44+F4B!F45</f>
        <v>0</v>
      </c>
      <c r="G45" s="876">
        <f>F4A!G44+F4B!G45</f>
        <v>0</v>
      </c>
      <c r="H45" s="876">
        <f>F4A!H44+F4B!H45</f>
        <v>0</v>
      </c>
      <c r="I45" s="876">
        <f>F4A!I44+F4B!I45</f>
        <v>0</v>
      </c>
      <c r="J45" s="876">
        <f>F4A!J44+F4B!J45</f>
        <v>0</v>
      </c>
      <c r="K45" s="876">
        <f>F4A!K44+F4B!K45</f>
        <v>0</v>
      </c>
      <c r="L45" s="876">
        <f>F4A!L44+F4B!L45</f>
        <v>0</v>
      </c>
      <c r="M45" s="876">
        <f>F4A!M44+F4B!M45</f>
        <v>0</v>
      </c>
      <c r="N45" s="879">
        <f>F4A!N44+F4B!N45</f>
        <v>0</v>
      </c>
      <c r="O45" s="876">
        <f>F4A!O44+F4B!O45</f>
        <v>0</v>
      </c>
      <c r="P45" s="876">
        <f>F4A!P44+F4B!P45</f>
        <v>0</v>
      </c>
      <c r="Q45" s="876">
        <f>F4A!Q44+F4B!Q45</f>
        <v>0</v>
      </c>
      <c r="R45" s="876">
        <f>F4A!R44+F4B!R45</f>
        <v>0</v>
      </c>
      <c r="S45" s="876">
        <f>F4A!S44+F4B!S45</f>
        <v>0</v>
      </c>
    </row>
    <row r="46" ht="15" hidden="1" spans="3:19">
      <c r="C46" s="55" t="s">
        <v>201</v>
      </c>
      <c r="D46" s="55" t="s">
        <v>202</v>
      </c>
      <c r="E46" s="876">
        <f>F4A!E45+F4B!E46</f>
        <v>17.59</v>
      </c>
      <c r="F46" s="876">
        <f>F4A!F45+F4B!F46</f>
        <v>14.51</v>
      </c>
      <c r="G46" s="876">
        <f>F4A!G45+F4B!G46</f>
        <v>15.38839</v>
      </c>
      <c r="H46" s="876">
        <f>F4A!H45+F4B!H46</f>
        <v>20.26</v>
      </c>
      <c r="I46" s="876">
        <f>F4A!I45+F4B!I46</f>
        <v>17.04318</v>
      </c>
      <c r="J46" s="876">
        <f>F4A!J45+F4B!J46</f>
        <v>-3.21682</v>
      </c>
      <c r="K46" s="876">
        <f>F4A!K45+F4B!K46</f>
        <v>15.48</v>
      </c>
      <c r="L46" s="876">
        <f>F4A!L45+F4B!L46</f>
        <v>14.823585</v>
      </c>
      <c r="M46" s="876">
        <f>F4A!M45+F4B!M46</f>
        <v>28.59946</v>
      </c>
      <c r="N46" s="879">
        <f>F4A!N45+F4B!N46</f>
        <v>43.423045</v>
      </c>
      <c r="O46" s="876">
        <f>F4A!O45+F4B!O46</f>
        <v>66.1702299355033</v>
      </c>
      <c r="P46" s="876">
        <f>F4A!P45+F4B!P46</f>
        <v>86.2466042202066</v>
      </c>
      <c r="Q46" s="876">
        <f>F4A!Q45+F4B!Q46</f>
        <v>67.1614264465227</v>
      </c>
      <c r="R46" s="876">
        <f>F4A!R45+F4B!R46</f>
        <v>90.1789671761244</v>
      </c>
      <c r="S46" s="876">
        <f>F4A!S45+F4B!S46</f>
        <v>125.839267679164</v>
      </c>
    </row>
    <row r="47" ht="15" hidden="1" spans="3:19">
      <c r="C47" s="55" t="s">
        <v>203</v>
      </c>
      <c r="D47" s="55" t="s">
        <v>204</v>
      </c>
      <c r="E47" s="876">
        <f>F4A!E46+F4B!E47</f>
        <v>158.72</v>
      </c>
      <c r="F47" s="876">
        <f>F4A!F46+F4B!F47</f>
        <v>191.4</v>
      </c>
      <c r="G47" s="876">
        <f>F4A!G46+F4B!G47</f>
        <v>229.68429</v>
      </c>
      <c r="H47" s="876">
        <f>F4A!H46+F4B!H47</f>
        <v>233.67</v>
      </c>
      <c r="I47" s="876">
        <f>F4A!I46+F4B!I47</f>
        <v>247.927045</v>
      </c>
      <c r="J47" s="876">
        <f>F4A!J46+F4B!J47</f>
        <v>14.257045</v>
      </c>
      <c r="K47" s="876">
        <f>F4A!K46+F4B!K47</f>
        <v>277.08</v>
      </c>
      <c r="L47" s="876">
        <f>F4A!L46+F4B!L47</f>
        <v>124.37639</v>
      </c>
      <c r="M47" s="876">
        <f>F4A!M46+F4B!M47</f>
        <v>129.302335</v>
      </c>
      <c r="N47" s="879">
        <f>F4A!N46+F4B!N47</f>
        <v>253.678725</v>
      </c>
      <c r="O47" s="876">
        <f>F4A!O46+F4B!O47</f>
        <v>267.966979829087</v>
      </c>
      <c r="P47" s="876">
        <f>F4A!P46+F4B!P47</f>
        <v>282.096660471516</v>
      </c>
      <c r="Q47" s="876">
        <f>F4A!Q46+F4B!Q47</f>
        <v>310.435691550538</v>
      </c>
      <c r="R47" s="876">
        <f>F4A!R46+F4B!R47</f>
        <v>329.715769268503</v>
      </c>
      <c r="S47" s="876">
        <f>F4A!S46+F4B!S47</f>
        <v>349.062248161582</v>
      </c>
    </row>
    <row r="48" ht="15" hidden="1" spans="3:19">
      <c r="C48" s="55" t="s">
        <v>213</v>
      </c>
      <c r="D48" s="55" t="s">
        <v>229</v>
      </c>
      <c r="E48" s="876">
        <f>F4A!E47+F4B!E48</f>
        <v>0</v>
      </c>
      <c r="F48" s="876">
        <f>F4A!F47+F4B!F48</f>
        <v>0</v>
      </c>
      <c r="G48" s="876">
        <f>F4A!G47+F4B!G48</f>
        <v>0</v>
      </c>
      <c r="H48" s="876">
        <f>F4A!H47+F4B!H48</f>
        <v>0</v>
      </c>
      <c r="I48" s="876">
        <f>F4A!I47+F4B!I48</f>
        <v>2.9508</v>
      </c>
      <c r="J48" s="876">
        <f>F4A!J47+F4B!J48</f>
        <v>2.9508</v>
      </c>
      <c r="K48" s="876">
        <f>F4A!K47+F4B!K48</f>
        <v>0</v>
      </c>
      <c r="L48" s="876">
        <f>F4A!L47+F4B!L48</f>
        <v>9.1653</v>
      </c>
      <c r="M48" s="876">
        <f>F4A!M47+F4B!M48</f>
        <v>0</v>
      </c>
      <c r="N48" s="879">
        <f>F4A!N47+F4B!N48</f>
        <v>9.1653</v>
      </c>
      <c r="O48" s="876">
        <f>F4A!O47+F4B!O48</f>
        <v>0</v>
      </c>
      <c r="P48" s="876">
        <f>F4A!P47+F4B!P48</f>
        <v>0</v>
      </c>
      <c r="Q48" s="876">
        <f>F4A!Q47+F4B!Q48</f>
        <v>0</v>
      </c>
      <c r="R48" s="876">
        <f>F4A!R47+F4B!R48</f>
        <v>0</v>
      </c>
      <c r="S48" s="876">
        <f>F4A!S47+F4B!S48</f>
        <v>0</v>
      </c>
    </row>
    <row r="49" ht="15" hidden="1" spans="3:19">
      <c r="C49" s="55" t="s">
        <v>205</v>
      </c>
      <c r="D49" s="55" t="s">
        <v>206</v>
      </c>
      <c r="E49" s="876">
        <f>F4A!E48+F4B!E49</f>
        <v>76.6</v>
      </c>
      <c r="F49" s="876">
        <f>F4A!F48+F4B!F49</f>
        <v>85.16</v>
      </c>
      <c r="G49" s="876">
        <f>F4A!G48+F4B!G49</f>
        <v>99.584716</v>
      </c>
      <c r="H49" s="876">
        <f>F4A!H48+F4B!H49</f>
        <v>121.07</v>
      </c>
      <c r="I49" s="876">
        <f>F4A!I48+F4B!I49</f>
        <v>124.072753</v>
      </c>
      <c r="J49" s="876">
        <f>F4A!J48+F4B!J49</f>
        <v>3.00275300000001</v>
      </c>
      <c r="K49" s="876">
        <f>F4A!K48+F4B!K49</f>
        <v>145.97</v>
      </c>
      <c r="L49" s="876">
        <f>F4A!L48+F4B!L49</f>
        <v>73.22984</v>
      </c>
      <c r="M49" s="876">
        <f>F4A!M48+F4B!M49</f>
        <v>64.801976</v>
      </c>
      <c r="N49" s="879">
        <f>F4A!N48+F4B!N49</f>
        <v>138.031816</v>
      </c>
      <c r="O49" s="876">
        <f>F4A!O48+F4B!O49</f>
        <v>162.163493368031</v>
      </c>
      <c r="P49" s="876">
        <f>F4A!P48+F4B!P49</f>
        <v>0</v>
      </c>
      <c r="Q49" s="876">
        <f>F4A!Q48+F4B!Q49</f>
        <v>10.6099804125</v>
      </c>
      <c r="R49" s="876">
        <f>F4A!R48+F4B!R49</f>
        <v>11.140479433125</v>
      </c>
      <c r="S49" s="876">
        <f>F4A!S48+F4B!S49</f>
        <v>11.6975034047813</v>
      </c>
    </row>
    <row r="50" ht="15" hidden="1" spans="3:19">
      <c r="C50" s="55" t="s">
        <v>231</v>
      </c>
      <c r="D50" s="55" t="s">
        <v>186</v>
      </c>
      <c r="E50" s="876">
        <f>F4A!E49+F4B!E50</f>
        <v>44.13</v>
      </c>
      <c r="F50" s="876">
        <f>F4A!F49+F4B!F50</f>
        <v>18.45</v>
      </c>
      <c r="G50" s="876">
        <f>F4A!G49+F4B!G50</f>
        <v>41.242005</v>
      </c>
      <c r="H50" s="876">
        <f>F4A!H49+F4B!H50</f>
        <v>26.65</v>
      </c>
      <c r="I50" s="876">
        <f>F4A!I49+F4B!I50</f>
        <v>40.313566</v>
      </c>
      <c r="J50" s="876">
        <f>F4A!J49+F4B!J50</f>
        <v>13.663566</v>
      </c>
      <c r="K50" s="876">
        <f>F4A!K49+F4B!K50</f>
        <v>43.08</v>
      </c>
      <c r="L50" s="876">
        <f>F4A!L49+F4B!L50</f>
        <v>22.855685</v>
      </c>
      <c r="M50" s="876">
        <f>F4A!M49+F4B!M50</f>
        <v>17.356752</v>
      </c>
      <c r="N50" s="879">
        <f>F4A!N49+F4B!N50</f>
        <v>40.212437</v>
      </c>
      <c r="O50" s="876">
        <f>F4A!O49+F4B!O50</f>
        <v>35.4172710167591</v>
      </c>
      <c r="P50" s="876">
        <f>F4A!P49+F4B!P50</f>
        <v>188.407399757014</v>
      </c>
      <c r="Q50" s="876">
        <f>F4A!Q49+F4B!Q50</f>
        <v>219.358323403401</v>
      </c>
      <c r="R50" s="876">
        <f>F4A!R49+F4B!R50</f>
        <v>256.889529809964</v>
      </c>
      <c r="S50" s="876">
        <f>F4A!S49+F4B!S50</f>
        <v>297.139508648874</v>
      </c>
    </row>
    <row r="51" ht="15" hidden="1" spans="3:19">
      <c r="C51" s="55" t="s">
        <v>208</v>
      </c>
      <c r="D51" s="55" t="s">
        <v>209</v>
      </c>
      <c r="E51" s="876">
        <f>F4A!E50+F4B!E51</f>
        <v>0</v>
      </c>
      <c r="F51" s="876">
        <f>F4A!F50+F4B!F51</f>
        <v>0</v>
      </c>
      <c r="G51" s="876">
        <f>F4A!G50+F4B!G51</f>
        <v>0</v>
      </c>
      <c r="H51" s="876">
        <f>F4A!H50+F4B!H51</f>
        <v>0</v>
      </c>
      <c r="I51" s="876">
        <f>F4A!I50+F4B!I51</f>
        <v>0</v>
      </c>
      <c r="J51" s="876">
        <f>F4A!J50+F4B!J51</f>
        <v>0</v>
      </c>
      <c r="K51" s="876">
        <f>F4A!K50+F4B!K51</f>
        <v>0</v>
      </c>
      <c r="L51" s="876">
        <f>F4A!L50+F4B!L51</f>
        <v>0</v>
      </c>
      <c r="M51" s="876">
        <f>F4A!M50+F4B!M51</f>
        <v>0</v>
      </c>
      <c r="N51" s="879">
        <f>F4A!N50+F4B!N51</f>
        <v>0</v>
      </c>
      <c r="O51" s="876">
        <f>F4A!O50+F4B!O51</f>
        <v>0</v>
      </c>
      <c r="P51" s="876">
        <f>F4A!P50+F4B!P51</f>
        <v>36.1256164370943</v>
      </c>
      <c r="Q51" s="876">
        <f>F4A!Q50+F4B!Q51</f>
        <v>53.5205060233894</v>
      </c>
      <c r="R51" s="876">
        <f>F4A!R50+F4B!R51</f>
        <v>56.3840540874934</v>
      </c>
      <c r="S51" s="876">
        <f>F4A!S50+F4B!S51</f>
        <v>60.2972236254077</v>
      </c>
    </row>
    <row r="52" ht="15" hidden="1" spans="3:19">
      <c r="C52" s="55" t="s">
        <v>210</v>
      </c>
      <c r="D52" s="55" t="s">
        <v>188</v>
      </c>
      <c r="E52" s="876">
        <f>F4A!E51+F4B!E52</f>
        <v>0</v>
      </c>
      <c r="F52" s="876">
        <f>F4A!F51+F4B!F52</f>
        <v>0</v>
      </c>
      <c r="G52" s="876">
        <f>F4A!G51+F4B!G52</f>
        <v>0</v>
      </c>
      <c r="H52" s="876">
        <f>F4A!H51+F4B!H52</f>
        <v>0</v>
      </c>
      <c r="I52" s="876">
        <f>F4A!I51+F4B!I52</f>
        <v>0</v>
      </c>
      <c r="J52" s="876">
        <f>F4A!J51+F4B!J52</f>
        <v>0</v>
      </c>
      <c r="K52" s="876">
        <f>F4A!K51+F4B!K52</f>
        <v>0</v>
      </c>
      <c r="L52" s="876">
        <f>F4A!L51+F4B!L52</f>
        <v>0</v>
      </c>
      <c r="M52" s="876">
        <f>F4A!M51+F4B!M52</f>
        <v>0</v>
      </c>
      <c r="N52" s="879">
        <f>F4A!N51+F4B!N52</f>
        <v>0</v>
      </c>
      <c r="O52" s="876">
        <f>F4A!O51+F4B!O52</f>
        <v>0</v>
      </c>
      <c r="P52" s="876">
        <f>F4A!P51+F4B!P52</f>
        <v>0</v>
      </c>
      <c r="Q52" s="876">
        <f>F4A!Q51+F4B!Q52</f>
        <v>0</v>
      </c>
      <c r="R52" s="876">
        <f>F4A!R51+F4B!R52</f>
        <v>0</v>
      </c>
      <c r="S52" s="876">
        <f>F4A!S51+F4B!S52</f>
        <v>0</v>
      </c>
    </row>
    <row r="53" ht="15" hidden="1" spans="3:19">
      <c r="C53" s="55"/>
      <c r="D53" s="55"/>
      <c r="E53" s="876"/>
      <c r="F53" s="876"/>
      <c r="G53" s="876"/>
      <c r="H53" s="876"/>
      <c r="I53" s="876"/>
      <c r="J53" s="876"/>
      <c r="K53" s="876"/>
      <c r="L53" s="876"/>
      <c r="M53" s="876"/>
      <c r="N53" s="876"/>
      <c r="O53" s="876"/>
      <c r="P53" s="876"/>
      <c r="Q53" s="876"/>
      <c r="R53" s="876"/>
      <c r="S53" s="876"/>
    </row>
    <row r="54" ht="15" hidden="1" spans="3:19">
      <c r="C54" s="55"/>
      <c r="D54" s="55"/>
      <c r="E54" s="876"/>
      <c r="F54" s="876"/>
      <c r="G54" s="876"/>
      <c r="H54" s="876"/>
      <c r="I54" s="876"/>
      <c r="J54" s="876"/>
      <c r="K54" s="876"/>
      <c r="L54" s="876"/>
      <c r="M54" s="876"/>
      <c r="N54" s="876"/>
      <c r="O54" s="876"/>
      <c r="P54" s="876"/>
      <c r="Q54" s="876"/>
      <c r="R54" s="876"/>
      <c r="S54" s="876"/>
    </row>
    <row r="55" ht="15" hidden="1" spans="3:19">
      <c r="C55" s="55"/>
      <c r="D55" s="55"/>
      <c r="E55" s="876"/>
      <c r="F55" s="876"/>
      <c r="G55" s="876"/>
      <c r="H55" s="876"/>
      <c r="I55" s="876"/>
      <c r="J55" s="876"/>
      <c r="K55" s="876"/>
      <c r="L55" s="876"/>
      <c r="M55" s="876"/>
      <c r="N55" s="876"/>
      <c r="O55" s="876"/>
      <c r="P55" s="876"/>
      <c r="Q55" s="876"/>
      <c r="R55" s="876"/>
      <c r="S55" s="876"/>
    </row>
    <row r="56" ht="15" hidden="1" spans="3:19">
      <c r="C56" s="55"/>
      <c r="D56" s="55"/>
      <c r="E56" s="876"/>
      <c r="F56" s="876"/>
      <c r="G56" s="876"/>
      <c r="H56" s="876"/>
      <c r="I56" s="876"/>
      <c r="J56" s="876"/>
      <c r="K56" s="876"/>
      <c r="L56" s="876"/>
      <c r="M56" s="876"/>
      <c r="N56" s="876"/>
      <c r="O56" s="876"/>
      <c r="P56" s="876"/>
      <c r="Q56" s="876"/>
      <c r="R56" s="876"/>
      <c r="S56" s="876"/>
    </row>
    <row r="57" ht="15" hidden="1" spans="3:19">
      <c r="C57" s="537" t="s">
        <v>211</v>
      </c>
      <c r="D57" s="540"/>
      <c r="E57" s="877">
        <f>Q133</f>
        <v>5427.97155956</v>
      </c>
      <c r="F57" s="877">
        <f>Q207</f>
        <v>4537.04542544</v>
      </c>
      <c r="G57" s="877">
        <f>Q280</f>
        <v>5786.07745632</v>
      </c>
      <c r="H57" s="877">
        <f>SUM(H41:H56)</f>
        <v>7350.44</v>
      </c>
      <c r="I57" s="877">
        <f>Q354</f>
        <v>7173.95627173</v>
      </c>
      <c r="J57" s="877">
        <f>I57-H57</f>
        <v>-176.483728270001</v>
      </c>
      <c r="K57" s="877">
        <f>SUM(K41:K56)</f>
        <v>8554.07</v>
      </c>
      <c r="L57" s="877">
        <f>SUM(E429:J429)</f>
        <v>3833.621614483</v>
      </c>
      <c r="M57" s="877">
        <f>SUM(K429:P429)</f>
        <v>3891.723033</v>
      </c>
      <c r="N57" s="878">
        <f>L57+M57</f>
        <v>7725.344647483</v>
      </c>
      <c r="O57" s="877">
        <f>Q504</f>
        <v>8913.41168407431</v>
      </c>
      <c r="P57" s="877">
        <f>Q578</f>
        <v>10055.3104682285</v>
      </c>
      <c r="Q57" s="877">
        <f>Q652</f>
        <v>12202.4011906144</v>
      </c>
      <c r="R57" s="877">
        <f>Q726</f>
        <v>14290.8761373159</v>
      </c>
      <c r="S57" s="877">
        <f>Q800</f>
        <v>16511.8386933512</v>
      </c>
    </row>
    <row r="58" ht="15" hidden="1" spans="3:19">
      <c r="C58" s="44" t="s">
        <v>219</v>
      </c>
      <c r="D58" s="45"/>
      <c r="E58" s="876"/>
      <c r="F58" s="876"/>
      <c r="G58" s="876"/>
      <c r="H58" s="876"/>
      <c r="I58" s="876"/>
      <c r="J58" s="876"/>
      <c r="K58" s="876"/>
      <c r="L58" s="876"/>
      <c r="M58" s="876"/>
      <c r="N58" s="876"/>
      <c r="O58" s="876"/>
      <c r="P58" s="876"/>
      <c r="Q58" s="876"/>
      <c r="R58" s="876"/>
      <c r="S58" s="876"/>
    </row>
    <row r="59" ht="15" hidden="1" spans="3:19">
      <c r="C59" s="55" t="s">
        <v>191</v>
      </c>
      <c r="D59" s="55" t="s">
        <v>192</v>
      </c>
      <c r="E59" s="876">
        <f>F4A!E58+F4B!E59</f>
        <v>2503.92938901</v>
      </c>
      <c r="F59" s="876">
        <f>F4A!F58+F4B!F59</f>
        <v>2237.72151054</v>
      </c>
      <c r="G59" s="876">
        <f>F4A!G58+F4B!G59</f>
        <v>3160.693707</v>
      </c>
      <c r="H59" s="876">
        <f>F4A!H58+F4B!H59</f>
        <v>3534.58</v>
      </c>
      <c r="I59" s="876">
        <f>F4A!I58+F4B!I59</f>
        <v>4311.075245</v>
      </c>
      <c r="J59" s="876">
        <f>F4A!J58+F4B!J59</f>
        <v>776.495245</v>
      </c>
      <c r="K59" s="876">
        <f>F4A!K58+F4B!K59</f>
        <v>5214.14</v>
      </c>
      <c r="L59" s="876">
        <f>F4A!L58+F4B!L59</f>
        <v>2133.410507</v>
      </c>
      <c r="M59" s="876">
        <f>F4A!M58+F4B!M59</f>
        <v>2326.07904</v>
      </c>
      <c r="N59" s="876">
        <f>F4A!N58+F4B!N59</f>
        <v>4459.489547</v>
      </c>
      <c r="O59" s="876">
        <f>F4A!O58+F4B!O59</f>
        <v>4716.46701034221</v>
      </c>
      <c r="P59" s="876">
        <f>F4A!P58+F4B!P59</f>
        <v>5002.47501853381</v>
      </c>
      <c r="Q59" s="876">
        <f>F4A!Q58+F4B!Q59</f>
        <v>8554.41594892262</v>
      </c>
      <c r="R59" s="876">
        <f>F4A!R58+F4B!R59</f>
        <v>10213.4341673838</v>
      </c>
      <c r="S59" s="876">
        <f>F4A!S58+F4B!S59</f>
        <v>12209.5371115723</v>
      </c>
    </row>
    <row r="60" ht="15" hidden="1" spans="3:19">
      <c r="C60" s="55" t="s">
        <v>193</v>
      </c>
      <c r="D60" s="55" t="s">
        <v>194</v>
      </c>
      <c r="E60" s="876">
        <f>F4A!E59+F4B!E60</f>
        <v>193.954</v>
      </c>
      <c r="F60" s="876">
        <f>F4A!F59+F4B!F60</f>
        <v>104.53</v>
      </c>
      <c r="G60" s="876">
        <f>F4A!G59+F4B!G60</f>
        <v>211.2313</v>
      </c>
      <c r="H60" s="876">
        <f>F4A!H59+F4B!H60</f>
        <v>193.95</v>
      </c>
      <c r="I60" s="876">
        <f>F4A!I59+F4B!I60</f>
        <v>209.4758</v>
      </c>
      <c r="J60" s="876">
        <f>F4A!J59+F4B!J60</f>
        <v>15.5258</v>
      </c>
      <c r="K60" s="876">
        <f>F4A!K59+F4B!K60</f>
        <v>211.23</v>
      </c>
      <c r="L60" s="876">
        <f>F4A!L59+F4B!L60</f>
        <v>76.908765</v>
      </c>
      <c r="M60" s="876">
        <f>F4A!M59+F4B!M60</f>
        <v>76.244735</v>
      </c>
      <c r="N60" s="879">
        <f>F4A!N59+F4B!N60</f>
        <v>153.1535</v>
      </c>
      <c r="O60" s="876">
        <f>F4A!O59+F4B!O60</f>
        <v>149.934735</v>
      </c>
      <c r="P60" s="876">
        <f>F4A!P59+F4B!P60</f>
        <v>152.9334297</v>
      </c>
      <c r="Q60" s="876">
        <f>F4A!Q59+F4B!Q60</f>
        <v>162.527719428</v>
      </c>
      <c r="R60" s="876">
        <f>F4A!R59+F4B!R60</f>
        <v>165.77827381656</v>
      </c>
      <c r="S60" s="876">
        <f>F4A!S59+F4B!S60</f>
        <v>169.093839292891</v>
      </c>
    </row>
    <row r="61" ht="15" hidden="1" spans="3:19">
      <c r="C61" s="55" t="s">
        <v>239</v>
      </c>
      <c r="D61" s="55" t="s">
        <v>196</v>
      </c>
      <c r="E61" s="876">
        <f>F4A!E60+F4B!E61</f>
        <v>50.823967</v>
      </c>
      <c r="F61" s="876">
        <f>F4A!F60+F4B!F61</f>
        <v>37.02036</v>
      </c>
      <c r="G61" s="876">
        <f>F4A!G60+F4B!G61</f>
        <v>40.808457</v>
      </c>
      <c r="H61" s="876">
        <f>F4A!H60+F4B!H61</f>
        <v>53.02</v>
      </c>
      <c r="I61" s="876">
        <f>F4A!I60+F4B!I61</f>
        <v>46.242353</v>
      </c>
      <c r="J61" s="876">
        <f>F4A!J60+F4B!J61</f>
        <v>-6.77764700000001</v>
      </c>
      <c r="K61" s="876">
        <f>F4A!K60+F4B!K61</f>
        <v>40.39</v>
      </c>
      <c r="L61" s="876">
        <f>F4A!L60+F4B!L61</f>
        <v>31.686245</v>
      </c>
      <c r="M61" s="876">
        <f>F4A!M60+F4B!M61</f>
        <v>62.55702</v>
      </c>
      <c r="N61" s="879">
        <f>F4A!N60+F4B!N61</f>
        <v>94.243265</v>
      </c>
      <c r="O61" s="876">
        <f>F4A!O60+F4B!O61</f>
        <v>202.610551505612</v>
      </c>
      <c r="P61" s="876">
        <f>F4A!P60+F4B!P61</f>
        <v>345.646916498293</v>
      </c>
      <c r="Q61" s="876">
        <f>F4A!Q60+F4B!Q61</f>
        <v>206.331023812313</v>
      </c>
      <c r="R61" s="876">
        <f>F4A!R60+F4B!R61</f>
        <v>285.316839721895</v>
      </c>
      <c r="S61" s="876">
        <f>F4A!S60+F4B!S61</f>
        <v>410.567814645112</v>
      </c>
    </row>
    <row r="62" ht="15" hidden="1" spans="3:19">
      <c r="C62" s="55" t="s">
        <v>197</v>
      </c>
      <c r="D62" s="55" t="s">
        <v>198</v>
      </c>
      <c r="E62" s="876">
        <f>F4A!E61+F4B!E62</f>
        <v>0</v>
      </c>
      <c r="F62" s="876">
        <f>F4A!F61+F4B!F62</f>
        <v>0</v>
      </c>
      <c r="G62" s="876">
        <f>F4A!G61+F4B!G62</f>
        <v>0</v>
      </c>
      <c r="H62" s="876">
        <f>F4A!H61+F4B!H62</f>
        <v>0</v>
      </c>
      <c r="I62" s="876">
        <f>F4A!I61+F4B!I62</f>
        <v>0</v>
      </c>
      <c r="J62" s="876">
        <f>F4A!J61+F4B!J62</f>
        <v>0</v>
      </c>
      <c r="K62" s="876">
        <f>F4A!K61+F4B!K62</f>
        <v>0</v>
      </c>
      <c r="L62" s="876">
        <f>F4A!L61+F4B!L62</f>
        <v>0</v>
      </c>
      <c r="M62" s="876">
        <f>F4A!M61+F4B!M62</f>
        <v>0</v>
      </c>
      <c r="N62" s="879">
        <f>F4A!N61+F4B!N62</f>
        <v>0</v>
      </c>
      <c r="O62" s="876">
        <f>F4A!O61+F4B!O62</f>
        <v>0</v>
      </c>
      <c r="P62" s="876">
        <f>F4A!P61+F4B!P62</f>
        <v>0</v>
      </c>
      <c r="Q62" s="876">
        <f>F4A!Q61+F4B!Q62</f>
        <v>0</v>
      </c>
      <c r="R62" s="876">
        <f>F4A!R61+F4B!R62</f>
        <v>0</v>
      </c>
      <c r="S62" s="876">
        <f>F4A!S61+F4B!S62</f>
        <v>0</v>
      </c>
    </row>
    <row r="63" ht="15" hidden="1" spans="3:19">
      <c r="C63" s="55" t="s">
        <v>199</v>
      </c>
      <c r="D63" s="55" t="s">
        <v>200</v>
      </c>
      <c r="E63" s="876">
        <f>F4A!E62+F4B!E63</f>
        <v>86.414</v>
      </c>
      <c r="F63" s="876">
        <f>F4A!F62+F4B!F63</f>
        <v>50.366</v>
      </c>
      <c r="G63" s="876">
        <f>F4A!G62+F4B!G63</f>
        <v>0</v>
      </c>
      <c r="H63" s="876">
        <f>F4A!H62+F4B!H63</f>
        <v>109.79</v>
      </c>
      <c r="I63" s="876">
        <f>F4A!I62+F4B!I63</f>
        <v>60.93195</v>
      </c>
      <c r="J63" s="876">
        <f>F4A!J62+F4B!J63</f>
        <v>-48.85805</v>
      </c>
      <c r="K63" s="876">
        <f>F4A!K62+F4B!K63</f>
        <v>55.76</v>
      </c>
      <c r="L63" s="876">
        <f>F4A!L62+F4B!L63</f>
        <v>42.98554</v>
      </c>
      <c r="M63" s="876">
        <f>F4A!M62+F4B!M63</f>
        <v>41.99624</v>
      </c>
      <c r="N63" s="879">
        <f>F4A!N62+F4B!N63</f>
        <v>84.98178</v>
      </c>
      <c r="O63" s="876">
        <f>F4A!O62+F4B!O63</f>
        <v>109.964613322014</v>
      </c>
      <c r="P63" s="876">
        <f>F4A!P62+F4B!P63</f>
        <v>133.669346242745</v>
      </c>
      <c r="Q63" s="876">
        <f>F4A!Q62+F4B!Q63</f>
        <v>99.1191505122703</v>
      </c>
      <c r="R63" s="876">
        <f>F4A!R62+F4B!R63</f>
        <v>114.873373270218</v>
      </c>
      <c r="S63" s="876">
        <f>F4A!S62+F4B!S63</f>
        <v>130.404997104381</v>
      </c>
    </row>
    <row r="64" ht="15" hidden="1" spans="3:19">
      <c r="C64" s="55" t="s">
        <v>201</v>
      </c>
      <c r="D64" s="55" t="s">
        <v>240</v>
      </c>
      <c r="E64" s="876">
        <f>F4A!E63+F4B!E64</f>
        <v>1861.57</v>
      </c>
      <c r="F64" s="876">
        <f>F4A!F63+F4B!F64</f>
        <v>1560.78</v>
      </c>
      <c r="G64" s="876">
        <f>F4A!G63+F4B!G64</f>
        <v>1877.73325733</v>
      </c>
      <c r="H64" s="876">
        <f>F4A!H63+F4B!H64</f>
        <v>3161.75</v>
      </c>
      <c r="I64" s="876">
        <f>F4A!I63+F4B!I64</f>
        <v>1642.35012187</v>
      </c>
      <c r="J64" s="876">
        <f>F4A!J63+F4B!J64</f>
        <v>-1519.39987813</v>
      </c>
      <c r="K64" s="876">
        <f>F4A!K63+F4B!K64</f>
        <v>3790.35</v>
      </c>
      <c r="L64" s="876">
        <f>F4A!L63+F4B!L64</f>
        <v>627.72570776</v>
      </c>
      <c r="M64" s="876">
        <f>F4A!M63+F4B!M64</f>
        <v>578.11605371</v>
      </c>
      <c r="N64" s="879">
        <f>F4A!N63+F4B!N64</f>
        <v>1205.84176147</v>
      </c>
      <c r="O64" s="876">
        <f>F4A!O63+F4B!O64</f>
        <v>1522.4983747842</v>
      </c>
      <c r="P64" s="876">
        <f>F4A!P63+F4B!P64</f>
        <v>1644.29824476694</v>
      </c>
      <c r="Q64" s="876">
        <f>F4A!Q63+F4B!Q64</f>
        <v>1254.55776863339</v>
      </c>
      <c r="R64" s="876">
        <f>F4A!R63+F4B!R64</f>
        <v>1279.64892400606</v>
      </c>
      <c r="S64" s="876">
        <f>F4A!S63+F4B!S64</f>
        <v>1305.24190248618</v>
      </c>
    </row>
    <row r="65" ht="15" hidden="1" spans="3:19">
      <c r="C65" s="55" t="s">
        <v>203</v>
      </c>
      <c r="D65" s="55" t="s">
        <v>220</v>
      </c>
      <c r="E65" s="876">
        <f>F4A!E64+F4B!E65</f>
        <v>204.79</v>
      </c>
      <c r="F65" s="876">
        <f>F4A!F64+F4B!F65</f>
        <v>208.01</v>
      </c>
      <c r="G65" s="876">
        <f>F4A!G64+F4B!G65</f>
        <v>238.748</v>
      </c>
      <c r="H65" s="876">
        <f>F4A!H64+F4B!H65</f>
        <v>234.54</v>
      </c>
      <c r="I65" s="876">
        <f>F4A!I64+F4B!I65</f>
        <v>260.3885</v>
      </c>
      <c r="J65" s="876">
        <f>F4A!J64+F4B!J65</f>
        <v>25.8485</v>
      </c>
      <c r="K65" s="876">
        <f>F4A!K64+F4B!K65</f>
        <v>282.28</v>
      </c>
      <c r="L65" s="876">
        <f>F4A!L64+F4B!L65</f>
        <v>133.03478</v>
      </c>
      <c r="M65" s="876">
        <f>F4A!M64+F4B!M65</f>
        <v>140.69472</v>
      </c>
      <c r="N65" s="879">
        <f>F4A!N64+F4B!N65</f>
        <v>273.7295</v>
      </c>
      <c r="O65" s="876">
        <f>F4A!O64+F4B!O65</f>
        <v>291.523761861199</v>
      </c>
      <c r="P65" s="876">
        <f>F4A!P64+F4B!P65</f>
        <v>311.591330244946</v>
      </c>
      <c r="Q65" s="876">
        <f>F4A!Q64+F4B!Q65</f>
        <v>333.165395188793</v>
      </c>
      <c r="R65" s="876">
        <f>F4A!R64+F4B!R65</f>
        <v>356.126191388755</v>
      </c>
      <c r="S65" s="876">
        <f>F4A!S64+F4B!S65</f>
        <v>379.140639443868</v>
      </c>
    </row>
    <row r="66" ht="15" hidden="1" spans="3:21">
      <c r="C66" s="55" t="s">
        <v>241</v>
      </c>
      <c r="D66" s="55" t="s">
        <v>229</v>
      </c>
      <c r="E66" s="876">
        <f>F4A!E65+F4B!E66</f>
        <v>250</v>
      </c>
      <c r="F66" s="876">
        <f>F4A!F65+F4B!F66</f>
        <v>192.31</v>
      </c>
      <c r="G66" s="876">
        <f>F4A!G65+F4B!G66</f>
        <v>298.610028</v>
      </c>
      <c r="H66" s="876">
        <f>F4A!H65+F4B!H66</f>
        <v>862.64</v>
      </c>
      <c r="I66" s="876">
        <f>F4A!I65+F4B!I66</f>
        <v>386.274181</v>
      </c>
      <c r="J66" s="876">
        <f>F4A!J65+F4B!J66</f>
        <v>-476.365819</v>
      </c>
      <c r="K66" s="876">
        <f>F4A!K65+F4B!K66</f>
        <v>566.31</v>
      </c>
      <c r="L66" s="876">
        <f>F4A!L65+F4B!L66</f>
        <v>230.526453</v>
      </c>
      <c r="M66" s="876">
        <f>F4A!M65+F4B!M66</f>
        <v>263.034845</v>
      </c>
      <c r="N66" s="879">
        <f>F4A!N65+F4B!N66</f>
        <v>493.561298</v>
      </c>
      <c r="O66" s="876">
        <f>F4A!O65+F4B!O66</f>
        <v>940.872995139916</v>
      </c>
      <c r="P66" s="876">
        <f>F4A!P65+F4B!P66</f>
        <v>1463.37736580925</v>
      </c>
      <c r="Q66" s="876">
        <f>F4A!Q65+F4B!Q66</f>
        <v>1103.03180551582</v>
      </c>
      <c r="R66" s="876">
        <f>F4A!R65+F4B!R66</f>
        <v>1432.46745824722</v>
      </c>
      <c r="S66" s="876">
        <f>F4A!S65+F4B!S66</f>
        <v>1861.75522620511</v>
      </c>
      <c r="U66" s="215"/>
    </row>
    <row r="67" ht="15" hidden="1" spans="3:19">
      <c r="C67" s="55" t="s">
        <v>242</v>
      </c>
      <c r="D67" s="55" t="s">
        <v>243</v>
      </c>
      <c r="E67" s="876">
        <f>F4A!E66+F4B!E67</f>
        <v>81.01</v>
      </c>
      <c r="F67" s="876">
        <f>F4A!F66+F4B!F67</f>
        <v>47.06</v>
      </c>
      <c r="G67" s="876">
        <f>F4A!G66+F4B!G67</f>
        <v>65.583331</v>
      </c>
      <c r="H67" s="876">
        <f>F4A!H66+F4B!H67</f>
        <v>276.72</v>
      </c>
      <c r="I67" s="876">
        <f>F4A!I66+F4B!I67</f>
        <v>88.577285</v>
      </c>
      <c r="J67" s="876">
        <f>F4A!J66+F4B!J67</f>
        <v>-188.142715</v>
      </c>
      <c r="K67" s="876">
        <f>F4A!K66+F4B!K67</f>
        <v>110</v>
      </c>
      <c r="L67" s="876">
        <f>F4A!L66+F4B!L67</f>
        <v>47.30329</v>
      </c>
      <c r="M67" s="876">
        <f>F4A!M66+F4B!M67</f>
        <v>55.745798</v>
      </c>
      <c r="N67" s="879">
        <f>F4A!N66+F4B!N67</f>
        <v>103.049088</v>
      </c>
      <c r="O67" s="876">
        <f>F4A!O66+F4B!O67</f>
        <v>169.845920353557</v>
      </c>
      <c r="P67" s="876">
        <f>F4A!P66+F4B!P67</f>
        <v>251.044663358325</v>
      </c>
      <c r="Q67" s="876">
        <f>F4A!Q66+F4B!Q67</f>
        <v>319.533944115101</v>
      </c>
      <c r="R67" s="876">
        <f>F4A!R66+F4B!R67</f>
        <v>372.666925460986</v>
      </c>
      <c r="S67" s="876">
        <f>F4A!S66+F4B!S67</f>
        <v>432.651895371196</v>
      </c>
    </row>
    <row r="68" ht="15" hidden="1" spans="3:19">
      <c r="C68" s="55" t="s">
        <v>205</v>
      </c>
      <c r="D68" s="55" t="s">
        <v>206</v>
      </c>
      <c r="E68" s="876">
        <f>F4A!E67+F4B!E68</f>
        <v>0</v>
      </c>
      <c r="F68" s="876">
        <f>F4A!F67+F4B!F68</f>
        <v>0</v>
      </c>
      <c r="G68" s="876">
        <f>F4A!G67+F4B!G68</f>
        <v>0</v>
      </c>
      <c r="H68" s="876">
        <f>F4A!H67+F4B!H68</f>
        <v>0</v>
      </c>
      <c r="I68" s="876">
        <f>F4A!I67+F4B!I68</f>
        <v>0</v>
      </c>
      <c r="J68" s="876">
        <f>F4A!J67+F4B!J68</f>
        <v>0</v>
      </c>
      <c r="K68" s="876">
        <f>F4A!K67+F4B!K68</f>
        <v>0</v>
      </c>
      <c r="L68" s="876">
        <f>F4A!L67+F4B!L68</f>
        <v>0</v>
      </c>
      <c r="M68" s="876">
        <f>F4A!M67+F4B!M68</f>
        <v>0</v>
      </c>
      <c r="N68" s="876">
        <f>F4A!N67+F4B!N68</f>
        <v>0</v>
      </c>
      <c r="O68" s="876">
        <f>F4A!O67+F4B!O68</f>
        <v>0</v>
      </c>
      <c r="P68" s="876">
        <f>F4A!P67+F4B!P68</f>
        <v>0</v>
      </c>
      <c r="Q68" s="876">
        <f>F4A!Q67+F4B!Q68</f>
        <v>0</v>
      </c>
      <c r="R68" s="876">
        <f>F4A!R67+F4B!R68</f>
        <v>0</v>
      </c>
      <c r="S68" s="876">
        <f>F4A!S67+F4B!S68</f>
        <v>0</v>
      </c>
    </row>
    <row r="69" ht="15" hidden="1" spans="3:19">
      <c r="C69" s="55" t="s">
        <v>207</v>
      </c>
      <c r="D69" s="55" t="s">
        <v>186</v>
      </c>
      <c r="E69" s="876">
        <f>F4A!E68+F4B!E69</f>
        <v>0</v>
      </c>
      <c r="F69" s="876">
        <f>F4A!F68+F4B!F69</f>
        <v>0</v>
      </c>
      <c r="G69" s="876">
        <f>F4A!G68+F4B!G69</f>
        <v>0</v>
      </c>
      <c r="H69" s="876">
        <f>F4A!H68+F4B!H69</f>
        <v>0</v>
      </c>
      <c r="I69" s="876">
        <f>F4A!I68+F4B!I69</f>
        <v>0</v>
      </c>
      <c r="J69" s="876">
        <f>F4A!J68+F4B!J69</f>
        <v>0</v>
      </c>
      <c r="K69" s="876">
        <f>F4A!K68+F4B!K69</f>
        <v>0</v>
      </c>
      <c r="L69" s="876">
        <f>F4A!L68+F4B!L69</f>
        <v>0</v>
      </c>
      <c r="M69" s="876">
        <f>F4A!M68+F4B!M69</f>
        <v>0</v>
      </c>
      <c r="N69" s="876">
        <f>F4A!N68+F4B!N69</f>
        <v>0</v>
      </c>
      <c r="O69" s="876">
        <f>F4A!O68+F4B!O69</f>
        <v>0</v>
      </c>
      <c r="P69" s="876">
        <f>F4A!P68+F4B!P69</f>
        <v>0</v>
      </c>
      <c r="Q69" s="876">
        <f>F4A!Q68+F4B!Q69</f>
        <v>0</v>
      </c>
      <c r="R69" s="876">
        <f>F4A!R68+F4B!R69</f>
        <v>0</v>
      </c>
      <c r="S69" s="876">
        <f>F4A!S68+F4B!S69</f>
        <v>0</v>
      </c>
    </row>
    <row r="70" ht="15" hidden="1" spans="3:19">
      <c r="C70" s="55" t="s">
        <v>208</v>
      </c>
      <c r="D70" s="55" t="s">
        <v>209</v>
      </c>
      <c r="E70" s="876">
        <f>F4A!E69+F4B!E70</f>
        <v>0</v>
      </c>
      <c r="F70" s="876">
        <f>F4A!F69+F4B!F70</f>
        <v>0</v>
      </c>
      <c r="G70" s="876">
        <f>F4A!G69+F4B!G70</f>
        <v>0</v>
      </c>
      <c r="H70" s="876">
        <f>F4A!H69+F4B!H70</f>
        <v>0</v>
      </c>
      <c r="I70" s="876">
        <f>F4A!I69+F4B!I70</f>
        <v>0</v>
      </c>
      <c r="J70" s="876">
        <f>F4A!J69+F4B!J70</f>
        <v>0</v>
      </c>
      <c r="K70" s="876">
        <f>F4A!K69+F4B!K70</f>
        <v>0</v>
      </c>
      <c r="L70" s="876">
        <f>F4A!L69+F4B!L70</f>
        <v>0</v>
      </c>
      <c r="M70" s="876">
        <f>F4A!M69+F4B!M70</f>
        <v>0</v>
      </c>
      <c r="N70" s="876">
        <f>F4A!N69+F4B!N70</f>
        <v>0</v>
      </c>
      <c r="O70" s="876">
        <f>F4A!O69+F4B!O70</f>
        <v>0</v>
      </c>
      <c r="P70" s="876">
        <f>F4A!P69+F4B!P70</f>
        <v>0</v>
      </c>
      <c r="Q70" s="876">
        <f>F4A!Q69+F4B!Q70</f>
        <v>0</v>
      </c>
      <c r="R70" s="876">
        <f>F4A!R69+F4B!R70</f>
        <v>0</v>
      </c>
      <c r="S70" s="876">
        <f>F4A!S69+F4B!S70</f>
        <v>0</v>
      </c>
    </row>
    <row r="71" ht="15" hidden="1" spans="3:19">
      <c r="C71" s="55" t="s">
        <v>210</v>
      </c>
      <c r="D71" s="55" t="s">
        <v>188</v>
      </c>
      <c r="E71" s="876">
        <f>F4A!E70+F4B!E71</f>
        <v>0</v>
      </c>
      <c r="F71" s="876">
        <f>F4A!F70+F4B!F71</f>
        <v>0</v>
      </c>
      <c r="G71" s="876">
        <f>F4A!G70+F4B!G71</f>
        <v>0</v>
      </c>
      <c r="H71" s="876">
        <f>F4A!H70+F4B!H71</f>
        <v>0</v>
      </c>
      <c r="I71" s="876">
        <f>F4A!I70+F4B!I71</f>
        <v>0</v>
      </c>
      <c r="J71" s="876">
        <f>F4A!J70+F4B!J71</f>
        <v>0</v>
      </c>
      <c r="K71" s="876">
        <f>F4A!K70+F4B!K71</f>
        <v>0</v>
      </c>
      <c r="L71" s="876">
        <f>F4A!L70+F4B!L71</f>
        <v>0</v>
      </c>
      <c r="M71" s="876">
        <f>F4A!M70+F4B!M71</f>
        <v>0</v>
      </c>
      <c r="N71" s="876">
        <f>F4A!N70+F4B!N71</f>
        <v>0</v>
      </c>
      <c r="O71" s="876">
        <f>F4A!O70+F4B!O71</f>
        <v>0</v>
      </c>
      <c r="P71" s="876">
        <f>F4A!P70+F4B!P71</f>
        <v>0</v>
      </c>
      <c r="Q71" s="876">
        <f>F4A!Q70+F4B!Q71</f>
        <v>0</v>
      </c>
      <c r="R71" s="876">
        <f>F4A!R70+F4B!R71</f>
        <v>0</v>
      </c>
      <c r="S71" s="876">
        <f>F4A!S70+F4B!S71</f>
        <v>0</v>
      </c>
    </row>
    <row r="72" ht="15" hidden="1" spans="3:19">
      <c r="C72" s="55"/>
      <c r="D72" s="55"/>
      <c r="E72" s="876"/>
      <c r="F72" s="876"/>
      <c r="G72" s="876"/>
      <c r="H72" s="876"/>
      <c r="I72" s="876"/>
      <c r="J72" s="876"/>
      <c r="K72" s="876"/>
      <c r="L72" s="876"/>
      <c r="M72" s="876"/>
      <c r="N72" s="876"/>
      <c r="O72" s="876"/>
      <c r="P72" s="876"/>
      <c r="Q72" s="876"/>
      <c r="R72" s="876"/>
      <c r="S72" s="876"/>
    </row>
    <row r="73" ht="15" hidden="1" spans="3:19">
      <c r="C73" s="55"/>
      <c r="D73" s="55"/>
      <c r="E73" s="876"/>
      <c r="F73" s="876"/>
      <c r="G73" s="876"/>
      <c r="H73" s="876"/>
      <c r="I73" s="876"/>
      <c r="J73" s="876"/>
      <c r="K73" s="876"/>
      <c r="L73" s="876"/>
      <c r="M73" s="876"/>
      <c r="N73" s="876"/>
      <c r="O73" s="876"/>
      <c r="P73" s="876"/>
      <c r="Q73" s="876"/>
      <c r="R73" s="876"/>
      <c r="S73" s="876"/>
    </row>
    <row r="74" ht="15" hidden="1" spans="3:19">
      <c r="C74" s="55"/>
      <c r="D74" s="55"/>
      <c r="E74" s="876"/>
      <c r="F74" s="876"/>
      <c r="G74" s="876"/>
      <c r="H74" s="876"/>
      <c r="I74" s="876"/>
      <c r="J74" s="876"/>
      <c r="K74" s="876"/>
      <c r="L74" s="876"/>
      <c r="M74" s="876"/>
      <c r="N74" s="876"/>
      <c r="O74" s="876"/>
      <c r="P74" s="876"/>
      <c r="Q74" s="876"/>
      <c r="R74" s="876"/>
      <c r="S74" s="876"/>
    </row>
    <row r="75" ht="15" hidden="1" spans="3:19">
      <c r="C75" s="55"/>
      <c r="D75" s="55"/>
      <c r="E75" s="876"/>
      <c r="F75" s="876"/>
      <c r="G75" s="876"/>
      <c r="H75" s="876"/>
      <c r="I75" s="876"/>
      <c r="J75" s="876"/>
      <c r="K75" s="876"/>
      <c r="L75" s="876"/>
      <c r="M75" s="876"/>
      <c r="N75" s="876"/>
      <c r="O75" s="876"/>
      <c r="P75" s="876"/>
      <c r="Q75" s="876"/>
      <c r="R75" s="876"/>
      <c r="S75" s="876"/>
    </row>
    <row r="76" ht="15" hidden="1" spans="3:19">
      <c r="C76" s="537" t="s">
        <v>211</v>
      </c>
      <c r="D76" s="540"/>
      <c r="E76" s="877">
        <f t="shared" ref="E76:E78" si="0">Q152</f>
        <v>5232.49135601</v>
      </c>
      <c r="F76" s="877">
        <f t="shared" ref="F76:F78" si="1">Q225</f>
        <v>4437.79787054</v>
      </c>
      <c r="G76" s="877">
        <f t="shared" ref="G76:G78" si="2">Q299</f>
        <v>5940.81574433</v>
      </c>
      <c r="H76" s="877">
        <f>SUM(H59:H75)</f>
        <v>8426.99</v>
      </c>
      <c r="I76" s="877">
        <f t="shared" ref="I76:I78" si="3">Q373</f>
        <v>7005.31543587</v>
      </c>
      <c r="J76" s="877">
        <f t="shared" ref="J76:J78" si="4">I76-H76</f>
        <v>-1421.67456413</v>
      </c>
      <c r="K76" s="877">
        <f>SUM(K59:K75)</f>
        <v>10270.46</v>
      </c>
      <c r="L76" s="877">
        <f t="shared" ref="L76:L78" si="5">SUM(E448:J448)</f>
        <v>3323.58128776</v>
      </c>
      <c r="M76" s="877">
        <f t="shared" ref="M76:M78" si="6">SUM(K448:P448)</f>
        <v>3544.46845171</v>
      </c>
      <c r="N76" s="877">
        <f t="shared" ref="N76:N78" si="7">L76+M76</f>
        <v>6868.04973947</v>
      </c>
      <c r="O76" s="877">
        <f t="shared" ref="O76:O78" si="8">Q523</f>
        <v>8103.71796230871</v>
      </c>
      <c r="P76" s="877">
        <f t="shared" ref="P76:P78" si="9">Q597</f>
        <v>9305.0363151543</v>
      </c>
      <c r="Q76" s="877">
        <f t="shared" ref="Q76:Q78" si="10">Q671</f>
        <v>12032.6827561283</v>
      </c>
      <c r="R76" s="877">
        <f t="shared" ref="R76:R78" si="11">Q745</f>
        <v>14220.3121532955</v>
      </c>
      <c r="S76" s="877">
        <f t="shared" ref="S76:S78" si="12">Q819</f>
        <v>16898.393426121</v>
      </c>
    </row>
    <row r="77" ht="15" hidden="1" spans="3:19">
      <c r="C77" s="537" t="s">
        <v>223</v>
      </c>
      <c r="D77" s="540"/>
      <c r="E77" s="877">
        <f t="shared" si="0"/>
        <v>16340.1659668674</v>
      </c>
      <c r="F77" s="877">
        <f t="shared" si="1"/>
        <v>13988.45317419</v>
      </c>
      <c r="G77" s="877">
        <f t="shared" si="2"/>
        <v>17477.12021174</v>
      </c>
      <c r="H77" s="877">
        <f>SUM(H39,H57,H76)</f>
        <v>22752.26</v>
      </c>
      <c r="I77" s="877">
        <f t="shared" si="3"/>
        <v>20800.19306281</v>
      </c>
      <c r="J77" s="877">
        <f t="shared" si="4"/>
        <v>-1952.06693719</v>
      </c>
      <c r="K77" s="877">
        <f>SUM(K39,K57,K76)</f>
        <v>25689.85</v>
      </c>
      <c r="L77" s="877">
        <f t="shared" si="5"/>
        <v>10696.9646664993</v>
      </c>
      <c r="M77" s="877">
        <f t="shared" si="6"/>
        <v>10915.661904755</v>
      </c>
      <c r="N77" s="877">
        <f t="shared" si="7"/>
        <v>21612.6265712543</v>
      </c>
      <c r="O77" s="877">
        <f t="shared" si="8"/>
        <v>24501.8738518558</v>
      </c>
      <c r="P77" s="877">
        <f t="shared" si="9"/>
        <v>27400.2157591539</v>
      </c>
      <c r="Q77" s="877">
        <f t="shared" si="10"/>
        <v>33725.0585063021</v>
      </c>
      <c r="R77" s="877">
        <f t="shared" si="11"/>
        <v>39096.0419063332</v>
      </c>
      <c r="S77" s="877">
        <f t="shared" si="12"/>
        <v>45121.2708904798</v>
      </c>
    </row>
    <row r="78" ht="15" hidden="1" spans="3:19">
      <c r="C78" s="537" t="s">
        <v>224</v>
      </c>
      <c r="D78" s="540"/>
      <c r="E78" s="878">
        <f t="shared" si="0"/>
        <v>39909.616942078</v>
      </c>
      <c r="F78" s="878">
        <f t="shared" si="1"/>
        <v>38274.6747909257</v>
      </c>
      <c r="G78" s="878">
        <f t="shared" si="2"/>
        <v>42512.1098927022</v>
      </c>
      <c r="H78" s="877">
        <f>SUM(H22,H77)</f>
        <v>48541.46</v>
      </c>
      <c r="I78" s="878">
        <f t="shared" si="3"/>
        <v>47550.7006990167</v>
      </c>
      <c r="J78" s="877">
        <f t="shared" si="4"/>
        <v>-990.759300983351</v>
      </c>
      <c r="K78" s="877">
        <f>SUM(K22,K77)</f>
        <v>52938.33</v>
      </c>
      <c r="L78" s="877">
        <f t="shared" si="5"/>
        <v>25447.4270325623</v>
      </c>
      <c r="M78" s="877">
        <f t="shared" si="6"/>
        <v>27931.4339550426</v>
      </c>
      <c r="N78" s="878">
        <f t="shared" si="7"/>
        <v>53378.8609876048</v>
      </c>
      <c r="O78" s="878">
        <f t="shared" si="8"/>
        <v>58319.5915327176</v>
      </c>
      <c r="P78" s="878">
        <f t="shared" si="9"/>
        <v>63432.156922633</v>
      </c>
      <c r="Q78" s="878">
        <f t="shared" si="10"/>
        <v>67018.2524737123</v>
      </c>
      <c r="R78" s="878">
        <f t="shared" si="11"/>
        <v>74564.4873754344</v>
      </c>
      <c r="S78" s="878">
        <f t="shared" si="12"/>
        <v>82872.1238828367</v>
      </c>
    </row>
    <row r="79" hidden="1"/>
    <row r="80" hidden="1"/>
    <row r="81" ht="15" hidden="1" spans="3:15">
      <c r="C81" s="14" t="s">
        <v>244</v>
      </c>
      <c r="M81" s="219"/>
      <c r="N81" s="219"/>
      <c r="O81" s="219"/>
    </row>
    <row r="82" ht="15" hidden="1" spans="3:17">
      <c r="C82" s="14"/>
      <c r="M82" s="219"/>
      <c r="N82" s="219"/>
      <c r="O82" s="219"/>
      <c r="Q82" s="3" t="s">
        <v>236</v>
      </c>
    </row>
    <row r="83" ht="15" hidden="1" spans="3:17">
      <c r="C83" s="6" t="s">
        <v>159</v>
      </c>
      <c r="D83" s="6"/>
      <c r="E83" s="135" t="s">
        <v>245</v>
      </c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</row>
    <row r="84" ht="15" hidden="1" spans="3:17">
      <c r="C84" s="6"/>
      <c r="D84" s="6"/>
      <c r="E84" s="135" t="s">
        <v>246</v>
      </c>
      <c r="F84" s="135" t="s">
        <v>247</v>
      </c>
      <c r="G84" s="135" t="s">
        <v>248</v>
      </c>
      <c r="H84" s="135" t="s">
        <v>249</v>
      </c>
      <c r="I84" s="135" t="s">
        <v>250</v>
      </c>
      <c r="J84" s="135" t="s">
        <v>251</v>
      </c>
      <c r="K84" s="135" t="s">
        <v>252</v>
      </c>
      <c r="L84" s="135" t="s">
        <v>253</v>
      </c>
      <c r="M84" s="135" t="s">
        <v>254</v>
      </c>
      <c r="N84" s="135" t="s">
        <v>255</v>
      </c>
      <c r="O84" s="135" t="s">
        <v>256</v>
      </c>
      <c r="P84" s="135" t="s">
        <v>257</v>
      </c>
      <c r="Q84" s="135" t="s">
        <v>97</v>
      </c>
    </row>
    <row r="85" ht="15" hidden="1" spans="3:17">
      <c r="C85" s="44" t="s">
        <v>170</v>
      </c>
      <c r="D85" s="45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316">
        <f>SUM(E85:P85)</f>
        <v>0</v>
      </c>
    </row>
    <row r="86" ht="15" hidden="1" spans="3:17">
      <c r="C86" s="47" t="s">
        <v>171</v>
      </c>
      <c r="D86" s="47" t="s">
        <v>172</v>
      </c>
      <c r="E86" s="147">
        <f>F4A!E85+F4B!E86</f>
        <v>884.884793</v>
      </c>
      <c r="F86" s="147">
        <f>F4A!F85+F4B!F86</f>
        <v>1043.906337</v>
      </c>
      <c r="G86" s="147">
        <f>F4A!G85+F4B!G86</f>
        <v>792.471829</v>
      </c>
      <c r="H86" s="147">
        <f>F4A!H85+F4B!H86</f>
        <v>709.51629</v>
      </c>
      <c r="I86" s="147">
        <f>F4A!I85+F4B!I86</f>
        <v>712.021638</v>
      </c>
      <c r="J86" s="147">
        <f>F4A!J85+F4B!J86</f>
        <v>683.041211</v>
      </c>
      <c r="K86" s="147">
        <f>F4A!K85+F4B!K86</f>
        <v>670.673864</v>
      </c>
      <c r="L86" s="147">
        <f>F4A!L85+F4B!L86</f>
        <v>623.023792</v>
      </c>
      <c r="M86" s="147">
        <f>F4A!M85+F4B!M86</f>
        <v>587.786236</v>
      </c>
      <c r="N86" s="147">
        <f>F4A!N85+F4B!N86</f>
        <v>604.0984</v>
      </c>
      <c r="O86" s="147">
        <f>F4A!O85+F4B!O86</f>
        <v>620.276841</v>
      </c>
      <c r="P86" s="147">
        <f>F4A!P85+F4B!P86</f>
        <v>777.946403</v>
      </c>
      <c r="Q86" s="316">
        <f t="shared" ref="Q86:Q99" si="13">SUM(E86:P86)</f>
        <v>8709.647634</v>
      </c>
    </row>
    <row r="87" ht="15" hidden="1" spans="3:17">
      <c r="C87" s="55" t="s">
        <v>173</v>
      </c>
      <c r="D87" s="55" t="s">
        <v>174</v>
      </c>
      <c r="E87" s="147">
        <f>F4A!E86+F4B!E87</f>
        <v>256.562792</v>
      </c>
      <c r="F87" s="147">
        <f>F4A!F86+F4B!F87</f>
        <v>285.334947</v>
      </c>
      <c r="G87" s="147">
        <f>F4A!G86+F4B!G87</f>
        <v>241.302582</v>
      </c>
      <c r="H87" s="147">
        <f>F4A!H86+F4B!H87</f>
        <v>229.495392</v>
      </c>
      <c r="I87" s="147">
        <f>F4A!I86+F4B!I87</f>
        <v>218.639599</v>
      </c>
      <c r="J87" s="147">
        <f>F4A!J86+F4B!J87</f>
        <v>213.824873</v>
      </c>
      <c r="K87" s="147">
        <f>F4A!K86+F4B!K87</f>
        <v>209.363924</v>
      </c>
      <c r="L87" s="147">
        <f>F4A!L86+F4B!L87</f>
        <v>206.508438</v>
      </c>
      <c r="M87" s="147">
        <f>F4A!M86+F4B!M87</f>
        <v>194.340244</v>
      </c>
      <c r="N87" s="147">
        <f>F4A!N86+F4B!N87</f>
        <v>196.372163</v>
      </c>
      <c r="O87" s="147">
        <f>F4A!O86+F4B!O87</f>
        <v>205.114459</v>
      </c>
      <c r="P87" s="147">
        <f>F4A!P86+F4B!P87</f>
        <v>125.227008</v>
      </c>
      <c r="Q87" s="316">
        <f t="shared" si="13"/>
        <v>2582.086421</v>
      </c>
    </row>
    <row r="88" ht="15" hidden="1" spans="3:17">
      <c r="C88" s="55" t="s">
        <v>175</v>
      </c>
      <c r="D88" s="55" t="s">
        <v>176</v>
      </c>
      <c r="E88" s="147">
        <f>F4A!E87+F4B!E88</f>
        <v>76.251569</v>
      </c>
      <c r="F88" s="147">
        <f>F4A!F87+F4B!F88</f>
        <v>79.648053</v>
      </c>
      <c r="G88" s="147">
        <f>F4A!G87+F4B!G88</f>
        <v>71.291729</v>
      </c>
      <c r="H88" s="147">
        <f>F4A!H87+F4B!H88</f>
        <v>75.360349</v>
      </c>
      <c r="I88" s="147">
        <f>F4A!I87+F4B!I88</f>
        <v>68.289691</v>
      </c>
      <c r="J88" s="147">
        <f>F4A!J87+F4B!J88</f>
        <v>65.419105</v>
      </c>
      <c r="K88" s="147">
        <f>F4A!K87+F4B!K88</f>
        <v>63.78829</v>
      </c>
      <c r="L88" s="147">
        <f>F4A!L87+F4B!L88</f>
        <v>74.435213</v>
      </c>
      <c r="M88" s="147">
        <f>F4A!M87+F4B!M88</f>
        <v>81.513021</v>
      </c>
      <c r="N88" s="147">
        <f>F4A!N87+F4B!N88</f>
        <v>76.33141</v>
      </c>
      <c r="O88" s="147">
        <f>F4A!O87+F4B!O88</f>
        <v>74.669941</v>
      </c>
      <c r="P88" s="147">
        <f>F4A!P87+F4B!P88</f>
        <v>39.821633</v>
      </c>
      <c r="Q88" s="316">
        <f t="shared" si="13"/>
        <v>846.820004</v>
      </c>
    </row>
    <row r="89" ht="15" hidden="1" spans="3:17">
      <c r="C89" s="55" t="s">
        <v>177</v>
      </c>
      <c r="D89" s="55" t="s">
        <v>178</v>
      </c>
      <c r="E89" s="147">
        <f>F4A!E88+F4B!E89</f>
        <v>0.850626</v>
      </c>
      <c r="F89" s="147">
        <f>F4A!F88+F4B!F89</f>
        <v>0.84115</v>
      </c>
      <c r="G89" s="147">
        <f>F4A!G88+F4B!G89</f>
        <v>0.808885</v>
      </c>
      <c r="H89" s="147">
        <f>F4A!H88+F4B!H89</f>
        <v>0.811432</v>
      </c>
      <c r="I89" s="147">
        <f>F4A!I88+F4B!I89</f>
        <v>0.772806</v>
      </c>
      <c r="J89" s="147">
        <f>F4A!J88+F4B!J89</f>
        <v>0.781606</v>
      </c>
      <c r="K89" s="147">
        <f>F4A!K88+F4B!K89</f>
        <v>0.766743</v>
      </c>
      <c r="L89" s="147">
        <f>F4A!L88+F4B!L89</f>
        <v>0.78723</v>
      </c>
      <c r="M89" s="147">
        <f>F4A!M88+F4B!M89</f>
        <v>0.822177</v>
      </c>
      <c r="N89" s="147">
        <f>F4A!N88+F4B!N89</f>
        <v>0.653015</v>
      </c>
      <c r="O89" s="147">
        <f>F4A!O88+F4B!O89</f>
        <v>0.764459</v>
      </c>
      <c r="P89" s="147">
        <f>F4A!P88+F4B!P89</f>
        <v>0.417</v>
      </c>
      <c r="Q89" s="316">
        <f t="shared" si="13"/>
        <v>9.077129</v>
      </c>
    </row>
    <row r="90" ht="15" hidden="1" spans="3:17">
      <c r="C90" s="55" t="s">
        <v>179</v>
      </c>
      <c r="D90" s="55" t="s">
        <v>180</v>
      </c>
      <c r="E90" s="147">
        <f>F4A!E89+F4B!E90</f>
        <v>803.002796767668</v>
      </c>
      <c r="F90" s="147">
        <f>F4A!F89+F4B!F90</f>
        <v>649.039038739027</v>
      </c>
      <c r="G90" s="147">
        <f>F4A!G89+F4B!G90</f>
        <v>573.288955114617</v>
      </c>
      <c r="H90" s="147">
        <f>F4A!H89+F4B!H90</f>
        <v>776.234785796966</v>
      </c>
      <c r="I90" s="147">
        <f>F4A!I89+F4B!I90</f>
        <v>1063.16006873165</v>
      </c>
      <c r="J90" s="147">
        <f>F4A!J89+F4B!J90</f>
        <v>817.897245027652</v>
      </c>
      <c r="K90" s="147">
        <f>F4A!K89+F4B!K90</f>
        <v>677.755441547175</v>
      </c>
      <c r="L90" s="147">
        <f>F4A!L89+F4B!L90</f>
        <v>638.62</v>
      </c>
      <c r="M90" s="147">
        <f>F4A!M89+F4B!M90</f>
        <v>1027.11</v>
      </c>
      <c r="N90" s="147">
        <f>F4A!N89+F4B!N90</f>
        <v>1221.02768290285</v>
      </c>
      <c r="O90" s="147">
        <f>F4A!O89+F4B!O90</f>
        <v>1210.79</v>
      </c>
      <c r="P90" s="147">
        <f>F4A!P89+F4B!P90</f>
        <v>1360.46673844303</v>
      </c>
      <c r="Q90" s="316">
        <f t="shared" si="13"/>
        <v>10818.3927530706</v>
      </c>
    </row>
    <row r="91" ht="15" hidden="1" spans="3:17">
      <c r="C91" s="55" t="s">
        <v>181</v>
      </c>
      <c r="D91" s="55" t="s">
        <v>182</v>
      </c>
      <c r="E91" s="147">
        <f>F4A!E90+F4B!E91</f>
        <v>39.596774</v>
      </c>
      <c r="F91" s="147">
        <f>F4A!F90+F4B!F91</f>
        <v>40.309135</v>
      </c>
      <c r="G91" s="147">
        <f>F4A!G90+F4B!G91</f>
        <v>38.952576</v>
      </c>
      <c r="H91" s="147">
        <f>F4A!H90+F4B!H91</f>
        <v>39.0937444</v>
      </c>
      <c r="I91" s="147">
        <f>F4A!I90+F4B!I91</f>
        <v>40.184036</v>
      </c>
      <c r="J91" s="147">
        <f>F4A!J90+F4B!J91</f>
        <v>39.51</v>
      </c>
      <c r="K91" s="147">
        <f>F4A!K90+F4B!K91</f>
        <v>42.541449</v>
      </c>
      <c r="L91" s="147">
        <f>F4A!L90+F4B!L91</f>
        <v>41.050427</v>
      </c>
      <c r="M91" s="147">
        <f>F4A!M90+F4B!M91</f>
        <v>41.551359</v>
      </c>
      <c r="N91" s="147">
        <f>F4A!N90+F4B!N91</f>
        <v>43.003093</v>
      </c>
      <c r="O91" s="147">
        <f>F4A!O90+F4B!O91</f>
        <v>41.037552</v>
      </c>
      <c r="P91" s="147">
        <f>F4A!P90+F4B!P91</f>
        <v>37.20007</v>
      </c>
      <c r="Q91" s="316">
        <f t="shared" si="13"/>
        <v>484.0302154</v>
      </c>
    </row>
    <row r="92" ht="15" hidden="1" spans="3:17">
      <c r="C92" s="55" t="s">
        <v>183</v>
      </c>
      <c r="D92" s="55" t="s">
        <v>184</v>
      </c>
      <c r="E92" s="147">
        <f>F4A!E91+F4B!E92</f>
        <v>6.699668</v>
      </c>
      <c r="F92" s="147">
        <f>F4A!F91+F4B!F92</f>
        <v>7.455792</v>
      </c>
      <c r="G92" s="147">
        <f>F4A!G91+F4B!G92</f>
        <v>6.460264</v>
      </c>
      <c r="H92" s="147">
        <f>F4A!H91+F4B!H92</f>
        <v>7.08003</v>
      </c>
      <c r="I92" s="147">
        <f>F4A!I91+F4B!I92</f>
        <v>6.986888</v>
      </c>
      <c r="J92" s="147">
        <f>F4A!J91+F4B!J92</f>
        <v>6.41</v>
      </c>
      <c r="K92" s="147">
        <f>F4A!K91+F4B!K92</f>
        <v>5.88161</v>
      </c>
      <c r="L92" s="147">
        <f>F4A!L91+F4B!L92</f>
        <v>6.689935</v>
      </c>
      <c r="M92" s="147">
        <f>F4A!M91+F4B!M92</f>
        <v>6.17857472</v>
      </c>
      <c r="N92" s="147">
        <f>F4A!N91+F4B!N92</f>
        <v>5.9845786</v>
      </c>
      <c r="O92" s="147">
        <f>F4A!O91+F4B!O92</f>
        <v>6.680032</v>
      </c>
      <c r="P92" s="147">
        <f>F4A!P91+F4B!P92</f>
        <v>4.02</v>
      </c>
      <c r="Q92" s="316">
        <f t="shared" si="13"/>
        <v>76.52737232</v>
      </c>
    </row>
    <row r="93" ht="15" hidden="1" spans="3:17">
      <c r="C93" s="55" t="s">
        <v>185</v>
      </c>
      <c r="D93" s="55" t="s">
        <v>186</v>
      </c>
      <c r="E93" s="147">
        <f>F4A!E92+F4B!E93</f>
        <v>3.306331</v>
      </c>
      <c r="F93" s="147">
        <f>F4A!F92+F4B!F93</f>
        <v>3.702237</v>
      </c>
      <c r="G93" s="147">
        <f>F4A!G92+F4B!G93</f>
        <v>3.389874</v>
      </c>
      <c r="H93" s="147">
        <f>F4A!H92+F4B!H93</f>
        <v>3.622246</v>
      </c>
      <c r="I93" s="147">
        <f>F4A!I92+F4B!I93</f>
        <v>3.36</v>
      </c>
      <c r="J93" s="147">
        <f>F4A!J92+F4B!J93</f>
        <v>3.57</v>
      </c>
      <c r="K93" s="147">
        <f>F4A!K92+F4B!K93</f>
        <v>3.481424</v>
      </c>
      <c r="L93" s="147">
        <f>F4A!L92+F4B!L93</f>
        <v>3.64040799</v>
      </c>
      <c r="M93" s="147">
        <f>F4A!M92+F4B!M93</f>
        <v>3.87637443</v>
      </c>
      <c r="N93" s="147">
        <f>F4A!N92+F4B!N93</f>
        <v>4.161525</v>
      </c>
      <c r="O93" s="147">
        <f>F4A!O92+F4B!O93</f>
        <v>4.474799</v>
      </c>
      <c r="P93" s="147">
        <f>F4A!P92+F4B!P93</f>
        <v>2.28412</v>
      </c>
      <c r="Q93" s="316">
        <f t="shared" si="13"/>
        <v>42.86933842</v>
      </c>
    </row>
    <row r="94" ht="15" hidden="1" spans="3:17">
      <c r="C94" s="55" t="s">
        <v>187</v>
      </c>
      <c r="D94" s="55" t="s">
        <v>188</v>
      </c>
      <c r="E94" s="147">
        <f>F4A!E93+F4B!E94</f>
        <v>0</v>
      </c>
      <c r="F94" s="147">
        <f>F4A!F93+F4B!F94</f>
        <v>0</v>
      </c>
      <c r="G94" s="147">
        <f>F4A!G93+F4B!G94</f>
        <v>0</v>
      </c>
      <c r="H94" s="147">
        <f>F4A!H93+F4B!H94</f>
        <v>0</v>
      </c>
      <c r="I94" s="147">
        <f>F4A!I93+F4B!I94</f>
        <v>0</v>
      </c>
      <c r="J94" s="147">
        <f>F4A!J93+F4B!J94</f>
        <v>0</v>
      </c>
      <c r="K94" s="147">
        <f>F4A!K93+F4B!K94</f>
        <v>0</v>
      </c>
      <c r="L94" s="147">
        <f>F4A!L93+F4B!L94</f>
        <v>0</v>
      </c>
      <c r="M94" s="147">
        <f>F4A!M93+F4B!M94</f>
        <v>2.5e-5</v>
      </c>
      <c r="N94" s="147">
        <f>F4A!N93+F4B!N94</f>
        <v>8.3e-5</v>
      </c>
      <c r="O94" s="147">
        <f>F4A!O93+F4B!O94</f>
        <v>0</v>
      </c>
      <c r="P94" s="147">
        <f>F4A!P93+F4B!P94</f>
        <v>0</v>
      </c>
      <c r="Q94" s="316">
        <f t="shared" si="13"/>
        <v>0.000108</v>
      </c>
    </row>
    <row r="95" ht="15" hidden="1" spans="3:17">
      <c r="C95" s="55"/>
      <c r="D95" s="55"/>
      <c r="E95" s="147">
        <f>F4A!E94+F4B!E95</f>
        <v>0</v>
      </c>
      <c r="F95" s="147">
        <f>F4A!F94+F4B!F95</f>
        <v>0</v>
      </c>
      <c r="G95" s="147">
        <f>F4A!G94+F4B!G95</f>
        <v>0</v>
      </c>
      <c r="H95" s="147">
        <f>F4A!H94+F4B!H95</f>
        <v>0</v>
      </c>
      <c r="I95" s="147">
        <f>F4A!I94+F4B!I95</f>
        <v>0</v>
      </c>
      <c r="J95" s="147">
        <f>F4A!J94+F4B!J95</f>
        <v>0</v>
      </c>
      <c r="K95" s="147">
        <f>F4A!K94+F4B!K95</f>
        <v>0</v>
      </c>
      <c r="L95" s="147">
        <f>F4A!L94+F4B!L95</f>
        <v>0</v>
      </c>
      <c r="M95" s="147">
        <f>F4A!M94+F4B!M95</f>
        <v>0</v>
      </c>
      <c r="N95" s="147">
        <f>F4A!N94+F4B!N95</f>
        <v>0</v>
      </c>
      <c r="O95" s="147">
        <f>F4A!O94+F4B!O95</f>
        <v>0</v>
      </c>
      <c r="P95" s="147">
        <f>F4A!P94+F4B!P95</f>
        <v>0</v>
      </c>
      <c r="Q95" s="316">
        <f t="shared" si="13"/>
        <v>0</v>
      </c>
    </row>
    <row r="96" ht="15" hidden="1" spans="3:17">
      <c r="C96" s="55"/>
      <c r="D96" s="55"/>
      <c r="E96" s="147">
        <f>F4A!E95+F4B!E96</f>
        <v>0</v>
      </c>
      <c r="F96" s="147">
        <f>F4A!F95+F4B!F96</f>
        <v>0</v>
      </c>
      <c r="G96" s="147">
        <f>F4A!G95+F4B!G96</f>
        <v>0</v>
      </c>
      <c r="H96" s="147">
        <f>F4A!H95+F4B!H96</f>
        <v>0</v>
      </c>
      <c r="I96" s="147">
        <f>F4A!I95+F4B!I96</f>
        <v>0</v>
      </c>
      <c r="J96" s="147">
        <f>F4A!J95+F4B!J96</f>
        <v>0</v>
      </c>
      <c r="K96" s="147">
        <f>F4A!K95+F4B!K96</f>
        <v>0</v>
      </c>
      <c r="L96" s="147">
        <f>F4A!L95+F4B!L96</f>
        <v>0</v>
      </c>
      <c r="M96" s="147">
        <f>F4A!M95+F4B!M96</f>
        <v>0</v>
      </c>
      <c r="N96" s="147">
        <f>F4A!N95+F4B!N96</f>
        <v>0</v>
      </c>
      <c r="O96" s="147">
        <f>F4A!O95+F4B!O96</f>
        <v>0</v>
      </c>
      <c r="P96" s="147">
        <f>F4A!P95+F4B!P96</f>
        <v>0</v>
      </c>
      <c r="Q96" s="316">
        <f t="shared" si="13"/>
        <v>0</v>
      </c>
    </row>
    <row r="97" ht="15" hidden="1" spans="3:17">
      <c r="C97" s="55"/>
      <c r="D97" s="55"/>
      <c r="E97" s="147">
        <f>F4A!E96+F4B!E97</f>
        <v>0</v>
      </c>
      <c r="F97" s="147">
        <f>F4A!F96+F4B!F97</f>
        <v>0</v>
      </c>
      <c r="G97" s="147">
        <f>F4A!G96+F4B!G97</f>
        <v>0</v>
      </c>
      <c r="H97" s="147">
        <f>F4A!H96+F4B!H97</f>
        <v>0</v>
      </c>
      <c r="I97" s="147">
        <f>F4A!I96+F4B!I97</f>
        <v>0</v>
      </c>
      <c r="J97" s="147">
        <f>F4A!J96+F4B!J97</f>
        <v>0</v>
      </c>
      <c r="K97" s="147">
        <f>F4A!K96+F4B!K97</f>
        <v>0</v>
      </c>
      <c r="L97" s="147">
        <f>F4A!L96+F4B!L97</f>
        <v>0</v>
      </c>
      <c r="M97" s="147">
        <f>F4A!M96+F4B!M97</f>
        <v>0</v>
      </c>
      <c r="N97" s="147">
        <f>F4A!N96+F4B!N97</f>
        <v>0</v>
      </c>
      <c r="O97" s="147">
        <f>F4A!O96+F4B!O97</f>
        <v>0</v>
      </c>
      <c r="P97" s="147">
        <f>F4A!P96+F4B!P97</f>
        <v>0</v>
      </c>
      <c r="Q97" s="316">
        <f t="shared" si="13"/>
        <v>0</v>
      </c>
    </row>
    <row r="98" ht="15" hidden="1" spans="3:17">
      <c r="C98" s="55" t="s">
        <v>258</v>
      </c>
      <c r="D98" s="55" t="s">
        <v>258</v>
      </c>
      <c r="E98" s="147">
        <f>F4A!E97+F4B!E98</f>
        <v>0</v>
      </c>
      <c r="F98" s="147">
        <f>F4A!F97+F4B!F98</f>
        <v>0</v>
      </c>
      <c r="G98" s="147">
        <f>F4A!G97+F4B!G98</f>
        <v>0</v>
      </c>
      <c r="H98" s="147">
        <f>F4A!H97+F4B!H98</f>
        <v>0</v>
      </c>
      <c r="I98" s="147">
        <f>F4A!I97+F4B!I98</f>
        <v>0</v>
      </c>
      <c r="J98" s="147">
        <f>F4A!J97+F4B!J98</f>
        <v>0</v>
      </c>
      <c r="K98" s="147">
        <f>F4A!K97+F4B!K98</f>
        <v>0</v>
      </c>
      <c r="L98" s="147">
        <f>F4A!L97+F4B!L98</f>
        <v>0</v>
      </c>
      <c r="M98" s="147">
        <f>F4A!M97+F4B!M98</f>
        <v>0</v>
      </c>
      <c r="N98" s="147">
        <f>F4A!N97+F4B!N98</f>
        <v>0</v>
      </c>
      <c r="O98" s="147">
        <f>F4A!O97+F4B!O98</f>
        <v>0</v>
      </c>
      <c r="P98" s="147">
        <f>F4A!P97+F4B!P98</f>
        <v>0</v>
      </c>
      <c r="Q98" s="316">
        <f t="shared" si="13"/>
        <v>0</v>
      </c>
    </row>
    <row r="99" ht="15" hidden="1" spans="3:17">
      <c r="C99" s="537" t="s">
        <v>189</v>
      </c>
      <c r="D99" s="540"/>
      <c r="E99" s="316">
        <f t="shared" ref="E99:P99" si="14">SUM(E86:E98)</f>
        <v>2071.15534976767</v>
      </c>
      <c r="F99" s="316">
        <f t="shared" si="14"/>
        <v>2110.23668973903</v>
      </c>
      <c r="G99" s="316">
        <f t="shared" si="14"/>
        <v>1727.96669411462</v>
      </c>
      <c r="H99" s="316">
        <f t="shared" si="14"/>
        <v>1841.21426919697</v>
      </c>
      <c r="I99" s="316">
        <f t="shared" si="14"/>
        <v>2113.41472673165</v>
      </c>
      <c r="J99" s="316">
        <f t="shared" si="14"/>
        <v>1830.45404002765</v>
      </c>
      <c r="K99" s="316">
        <f t="shared" si="14"/>
        <v>1674.25274554717</v>
      </c>
      <c r="L99" s="316">
        <f t="shared" si="14"/>
        <v>1594.75544299</v>
      </c>
      <c r="M99" s="316">
        <f t="shared" si="14"/>
        <v>1943.17801115</v>
      </c>
      <c r="N99" s="316">
        <f t="shared" si="14"/>
        <v>2151.63195050285</v>
      </c>
      <c r="O99" s="316">
        <f t="shared" si="14"/>
        <v>2163.808083</v>
      </c>
      <c r="P99" s="316">
        <f t="shared" si="14"/>
        <v>2347.38297244303</v>
      </c>
      <c r="Q99" s="316">
        <f t="shared" si="13"/>
        <v>23569.4509752106</v>
      </c>
    </row>
    <row r="100" ht="15" hidden="1" spans="3:17">
      <c r="C100" s="44" t="s">
        <v>190</v>
      </c>
      <c r="D100" s="45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316">
        <f t="shared" ref="Q100:Q116" si="15">SUM(E100:P100)</f>
        <v>0</v>
      </c>
    </row>
    <row r="101" ht="15" hidden="1" spans="3:17">
      <c r="C101" s="55" t="s">
        <v>191</v>
      </c>
      <c r="D101" s="55" t="s">
        <v>192</v>
      </c>
      <c r="E101" s="147">
        <f>F4A!E100+F4B!E101</f>
        <v>306.4062041324</v>
      </c>
      <c r="F101" s="147">
        <f>F4A!F100+F4B!F101</f>
        <v>303.426912033253</v>
      </c>
      <c r="G101" s="147">
        <f>F4A!G100+F4B!G101</f>
        <v>313.617830779067</v>
      </c>
      <c r="H101" s="147">
        <f>F4A!H100+F4B!H101</f>
        <v>302.286195540025</v>
      </c>
      <c r="I101" s="147">
        <f>F4A!I100+F4B!I101</f>
        <v>300.537060824971</v>
      </c>
      <c r="J101" s="147">
        <f>F4A!J100+F4B!J101</f>
        <v>298.376113303519</v>
      </c>
      <c r="K101" s="147">
        <f>F4A!K100+F4B!K101</f>
        <v>270.034982081941</v>
      </c>
      <c r="L101" s="147">
        <f>F4A!L100+F4B!L101</f>
        <v>302.381370717692</v>
      </c>
      <c r="M101" s="147">
        <f>F4A!M100+F4B!M101</f>
        <v>311.846913116749</v>
      </c>
      <c r="N101" s="147">
        <f>F4A!N100+F4B!N101</f>
        <v>316.216871389554</v>
      </c>
      <c r="O101" s="147">
        <f>F4A!O100+F4B!O101</f>
        <v>328.230280838616</v>
      </c>
      <c r="P101" s="147">
        <f>F4A!P100+F4B!P101</f>
        <v>307.763601589577</v>
      </c>
      <c r="Q101" s="316">
        <f t="shared" si="15"/>
        <v>3661.12433634736</v>
      </c>
    </row>
    <row r="102" ht="15" hidden="1" spans="3:17">
      <c r="C102" s="55" t="s">
        <v>193</v>
      </c>
      <c r="D102" s="55" t="s">
        <v>194</v>
      </c>
      <c r="E102" s="147">
        <f>F4A!E101+F4B!E102</f>
        <v>0</v>
      </c>
      <c r="F102" s="147">
        <f>F4A!F101+F4B!F102</f>
        <v>0</v>
      </c>
      <c r="G102" s="147">
        <f>F4A!G101+F4B!G102</f>
        <v>0</v>
      </c>
      <c r="H102" s="147">
        <f>F4A!H101+F4B!H102</f>
        <v>0</v>
      </c>
      <c r="I102" s="147">
        <f>F4A!I101+F4B!I102</f>
        <v>0</v>
      </c>
      <c r="J102" s="147">
        <f>F4A!J101+F4B!J102</f>
        <v>0</v>
      </c>
      <c r="K102" s="147">
        <f>F4A!K101+F4B!K102</f>
        <v>0</v>
      </c>
      <c r="L102" s="147">
        <f>F4A!L101+F4B!L102</f>
        <v>0</v>
      </c>
      <c r="M102" s="147">
        <f>F4A!M101+F4B!M102</f>
        <v>0</v>
      </c>
      <c r="N102" s="147">
        <f>F4A!N101+F4B!N102</f>
        <v>0</v>
      </c>
      <c r="O102" s="147">
        <f>F4A!O101+F4B!O102</f>
        <v>0</v>
      </c>
      <c r="P102" s="147">
        <f>F4A!P101+F4B!P102</f>
        <v>0</v>
      </c>
      <c r="Q102" s="316">
        <f t="shared" si="15"/>
        <v>0</v>
      </c>
    </row>
    <row r="103" ht="15" hidden="1" spans="3:17">
      <c r="C103" s="55" t="s">
        <v>239</v>
      </c>
      <c r="D103" s="55" t="s">
        <v>196</v>
      </c>
      <c r="E103" s="147">
        <f>F4A!E102+F4B!E103</f>
        <v>153.17</v>
      </c>
      <c r="F103" s="147">
        <f>F4A!F102+F4B!F103</f>
        <v>160.67</v>
      </c>
      <c r="G103" s="147">
        <f>F4A!G102+F4B!G103</f>
        <v>171.93</v>
      </c>
      <c r="H103" s="147">
        <f>F4A!H102+F4B!H103</f>
        <v>143.08</v>
      </c>
      <c r="I103" s="147">
        <f>F4A!I102+F4B!I103</f>
        <v>138.64</v>
      </c>
      <c r="J103" s="147">
        <f>F4A!J102+F4B!J103</f>
        <v>136.23</v>
      </c>
      <c r="K103" s="147">
        <f>F4A!K102+F4B!K103</f>
        <v>128.39563286</v>
      </c>
      <c r="L103" s="147">
        <f>F4A!L102+F4B!L103</f>
        <v>136.43721588</v>
      </c>
      <c r="M103" s="147">
        <f>F4A!M102+F4B!M103</f>
        <v>122.81</v>
      </c>
      <c r="N103" s="147">
        <f>F4A!N102+F4B!N103</f>
        <v>117.4</v>
      </c>
      <c r="O103" s="147">
        <f>F4A!O102+F4B!O103</f>
        <v>128.05227648</v>
      </c>
      <c r="P103" s="147">
        <f>F4A!P102+F4B!P103</f>
        <v>127.30796073</v>
      </c>
      <c r="Q103" s="316">
        <f t="shared" si="15"/>
        <v>1664.12308595</v>
      </c>
    </row>
    <row r="104" ht="15" hidden="1" spans="3:17">
      <c r="C104" s="55" t="s">
        <v>197</v>
      </c>
      <c r="D104" s="55" t="s">
        <v>198</v>
      </c>
      <c r="E104" s="147">
        <f>F4A!E103+F4B!E104</f>
        <v>0</v>
      </c>
      <c r="F104" s="147">
        <f>F4A!F103+F4B!F104</f>
        <v>0</v>
      </c>
      <c r="G104" s="147">
        <f>F4A!G103+F4B!G104</f>
        <v>0</v>
      </c>
      <c r="H104" s="147">
        <f>F4A!H103+F4B!H104</f>
        <v>0</v>
      </c>
      <c r="I104" s="147">
        <f>F4A!I103+F4B!I104</f>
        <v>0</v>
      </c>
      <c r="J104" s="147">
        <f>F4A!J103+F4B!J104</f>
        <v>0</v>
      </c>
      <c r="K104" s="147">
        <f>F4A!K103+F4B!K104</f>
        <v>0</v>
      </c>
      <c r="L104" s="147">
        <f>F4A!L103+F4B!L104</f>
        <v>0</v>
      </c>
      <c r="M104" s="147">
        <f>F4A!M103+F4B!M104</f>
        <v>0</v>
      </c>
      <c r="N104" s="147">
        <f>F4A!N103+F4B!N104</f>
        <v>0</v>
      </c>
      <c r="O104" s="147">
        <f>F4A!O103+F4B!O104</f>
        <v>0</v>
      </c>
      <c r="P104" s="147">
        <f>F4A!P103+F4B!P104</f>
        <v>0</v>
      </c>
      <c r="Q104" s="316">
        <f t="shared" si="15"/>
        <v>0</v>
      </c>
    </row>
    <row r="105" ht="15" hidden="1" spans="3:17">
      <c r="C105" s="55" t="s">
        <v>199</v>
      </c>
      <c r="D105" s="55" t="s">
        <v>200</v>
      </c>
      <c r="E105" s="147">
        <f>F4A!E104+F4B!E105</f>
        <v>0.41</v>
      </c>
      <c r="F105" s="147">
        <f>F4A!F104+F4B!F105</f>
        <v>0.45</v>
      </c>
      <c r="G105" s="147">
        <f>F4A!G104+F4B!G105</f>
        <v>0.47</v>
      </c>
      <c r="H105" s="147">
        <f>F4A!H104+F4B!H105</f>
        <v>0.39</v>
      </c>
      <c r="I105" s="147">
        <f>F4A!I104+F4B!I105</f>
        <v>0.36</v>
      </c>
      <c r="J105" s="147">
        <f>F4A!J104+F4B!J105</f>
        <v>0.36</v>
      </c>
      <c r="K105" s="147">
        <f>F4A!K104+F4B!K105</f>
        <v>0.332443</v>
      </c>
      <c r="L105" s="147">
        <f>F4A!L104+F4B!L105</f>
        <v>0.332566</v>
      </c>
      <c r="M105" s="147">
        <f>F4A!M104+F4B!M105</f>
        <v>0.302489</v>
      </c>
      <c r="N105" s="147">
        <f>F4A!N104+F4B!N105</f>
        <v>0.304442</v>
      </c>
      <c r="O105" s="147">
        <f>F4A!O104+F4B!O105</f>
        <v>0.317742</v>
      </c>
      <c r="P105" s="147">
        <f>F4A!P104+F4B!P105</f>
        <v>0.305947</v>
      </c>
      <c r="Q105" s="316">
        <f t="shared" si="15"/>
        <v>4.335629</v>
      </c>
    </row>
    <row r="106" ht="15" hidden="1" spans="3:17">
      <c r="C106" s="55" t="s">
        <v>201</v>
      </c>
      <c r="D106" s="55" t="s">
        <v>202</v>
      </c>
      <c r="E106" s="147">
        <f>F4A!E105+F4B!E106</f>
        <v>3.71</v>
      </c>
      <c r="F106" s="147">
        <f>F4A!F105+F4B!F106</f>
        <v>0.84</v>
      </c>
      <c r="G106" s="147">
        <f>F4A!G105+F4B!G106</f>
        <v>0.76</v>
      </c>
      <c r="H106" s="147">
        <f>F4A!H105+F4B!H106</f>
        <v>0.74</v>
      </c>
      <c r="I106" s="147">
        <f>F4A!I105+F4B!I106</f>
        <v>1.63</v>
      </c>
      <c r="J106" s="147">
        <f>F4A!J105+F4B!J106</f>
        <v>5.26</v>
      </c>
      <c r="K106" s="147">
        <f>F4A!K105+F4B!K106</f>
        <v>4.03</v>
      </c>
      <c r="L106" s="147">
        <f>F4A!L105+F4B!L106</f>
        <v>4.24</v>
      </c>
      <c r="M106" s="147">
        <f>F4A!M105+F4B!M106</f>
        <v>2.29</v>
      </c>
      <c r="N106" s="147">
        <f>F4A!N105+F4B!N106</f>
        <v>5.98</v>
      </c>
      <c r="O106" s="147">
        <f>F4A!O105+F4B!O106</f>
        <v>5.99</v>
      </c>
      <c r="P106" s="147">
        <f>F4A!P105+F4B!P106</f>
        <v>6.42</v>
      </c>
      <c r="Q106" s="316">
        <f t="shared" si="15"/>
        <v>41.89</v>
      </c>
    </row>
    <row r="107" ht="15" hidden="1" spans="3:17">
      <c r="C107" s="55" t="s">
        <v>203</v>
      </c>
      <c r="D107" s="55" t="s">
        <v>204</v>
      </c>
      <c r="E107" s="147">
        <f>F4A!E106+F4B!E107</f>
        <v>8.63</v>
      </c>
      <c r="F107" s="147">
        <f>F4A!F106+F4B!F107</f>
        <v>7.57</v>
      </c>
      <c r="G107" s="147">
        <f>F4A!G106+F4B!G107</f>
        <v>7.77</v>
      </c>
      <c r="H107" s="147">
        <f>F4A!H106+F4B!H107</f>
        <v>8.25</v>
      </c>
      <c r="I107" s="147">
        <f>F4A!I106+F4B!I107</f>
        <v>7.21</v>
      </c>
      <c r="J107" s="147">
        <f>F4A!J106+F4B!J107</f>
        <v>7.25</v>
      </c>
      <c r="K107" s="147">
        <f>F4A!K106+F4B!K107</f>
        <v>7.04</v>
      </c>
      <c r="L107" s="147">
        <f>F4A!L106+F4B!L107</f>
        <v>8.16</v>
      </c>
      <c r="M107" s="147">
        <f>F4A!M106+F4B!M107</f>
        <v>8.35</v>
      </c>
      <c r="N107" s="147">
        <f>F4A!N106+F4B!N107</f>
        <v>8.5</v>
      </c>
      <c r="O107" s="147">
        <f>F4A!O106+F4B!O107</f>
        <v>8.5</v>
      </c>
      <c r="P107" s="147">
        <f>F4A!P106+F4B!P107</f>
        <v>8.25</v>
      </c>
      <c r="Q107" s="316">
        <f t="shared" si="15"/>
        <v>95.48</v>
      </c>
    </row>
    <row r="108" ht="15" hidden="1" spans="3:17">
      <c r="C108" s="55" t="s">
        <v>205</v>
      </c>
      <c r="D108" s="55" t="s">
        <v>206</v>
      </c>
      <c r="E108" s="147">
        <f>F4A!E107+F4B!E108</f>
        <v>11.59</v>
      </c>
      <c r="F108" s="147">
        <f>F4A!F107+F4B!F108</f>
        <v>12.5</v>
      </c>
      <c r="G108" s="147">
        <f>F4A!G107+F4B!G108</f>
        <v>13.82</v>
      </c>
      <c r="H108" s="147">
        <f>F4A!H107+F4B!H108</f>
        <v>9.76</v>
      </c>
      <c r="I108" s="147">
        <f>F4A!I107+F4B!I108</f>
        <v>9.09</v>
      </c>
      <c r="J108" s="147">
        <f>F4A!J107+F4B!J108</f>
        <v>8.85</v>
      </c>
      <c r="K108" s="147">
        <f>F4A!K107+F4B!K108</f>
        <v>8.74</v>
      </c>
      <c r="L108" s="147">
        <f>F4A!L107+F4B!L108</f>
        <v>9.1</v>
      </c>
      <c r="M108" s="147">
        <f>F4A!M107+F4B!M108</f>
        <v>8.32</v>
      </c>
      <c r="N108" s="147">
        <f>F4A!N107+F4B!N108</f>
        <v>8.49</v>
      </c>
      <c r="O108" s="147">
        <f>F4A!O107+F4B!O108</f>
        <v>8.76</v>
      </c>
      <c r="P108" s="147">
        <f>F4A!P107+F4B!P108</f>
        <v>9.47</v>
      </c>
      <c r="Q108" s="316">
        <f t="shared" si="15"/>
        <v>118.49</v>
      </c>
    </row>
    <row r="109" ht="15" hidden="1" spans="3:17">
      <c r="C109" s="55" t="s">
        <v>207</v>
      </c>
      <c r="D109" s="55" t="s">
        <v>186</v>
      </c>
      <c r="E109" s="147">
        <f>F4A!E108+F4B!E109</f>
        <v>7.52</v>
      </c>
      <c r="F109" s="147">
        <f>F4A!F108+F4B!F109</f>
        <v>7.25</v>
      </c>
      <c r="G109" s="147">
        <f>F4A!G108+F4B!G109</f>
        <v>7.44</v>
      </c>
      <c r="H109" s="147">
        <f>F4A!H108+F4B!H109</f>
        <v>7.2</v>
      </c>
      <c r="I109" s="147">
        <f>F4A!I108+F4B!I109</f>
        <v>6.97</v>
      </c>
      <c r="J109" s="147">
        <f>F4A!J108+F4B!J109</f>
        <v>8</v>
      </c>
      <c r="K109" s="147">
        <f>F4A!K108+F4B!K109</f>
        <v>7.91</v>
      </c>
      <c r="L109" s="147">
        <f>F4A!L108+F4B!L109</f>
        <v>8.53</v>
      </c>
      <c r="M109" s="147">
        <f>F4A!M108+F4B!M109</f>
        <v>7.71</v>
      </c>
      <c r="N109" s="147">
        <f>F4A!N108+F4B!N109</f>
        <v>7.85</v>
      </c>
      <c r="O109" s="147">
        <f>F4A!O108+F4B!O109</f>
        <v>8.03</v>
      </c>
      <c r="P109" s="147">
        <f>F4A!P108+F4B!P109</f>
        <v>7.42</v>
      </c>
      <c r="Q109" s="316">
        <f t="shared" si="15"/>
        <v>91.83</v>
      </c>
    </row>
    <row r="110" ht="15" hidden="1" spans="3:17">
      <c r="C110" s="55" t="s">
        <v>208</v>
      </c>
      <c r="D110" s="55" t="s">
        <v>209</v>
      </c>
      <c r="E110" s="147">
        <f>F4A!E109+F4B!E110</f>
        <v>0</v>
      </c>
      <c r="F110" s="147">
        <f>F4A!F109+F4B!F110</f>
        <v>0</v>
      </c>
      <c r="G110" s="147">
        <f>F4A!G109+F4B!G110</f>
        <v>0</v>
      </c>
      <c r="H110" s="147">
        <f>F4A!H109+F4B!H110</f>
        <v>0</v>
      </c>
      <c r="I110" s="147">
        <f>F4A!I109+F4B!I110</f>
        <v>0</v>
      </c>
      <c r="J110" s="147">
        <f>F4A!J109+F4B!J110</f>
        <v>0</v>
      </c>
      <c r="K110" s="147">
        <f>F4A!K109+F4B!K110</f>
        <v>0</v>
      </c>
      <c r="L110" s="147">
        <f>F4A!L109+F4B!L110</f>
        <v>0</v>
      </c>
      <c r="M110" s="147">
        <f>F4A!M109+F4B!M110</f>
        <v>0</v>
      </c>
      <c r="N110" s="147">
        <f>F4A!N109+F4B!N110</f>
        <v>0</v>
      </c>
      <c r="O110" s="147">
        <f>F4A!O109+F4B!O110</f>
        <v>0</v>
      </c>
      <c r="P110" s="147">
        <f>F4A!P109+F4B!P110</f>
        <v>0</v>
      </c>
      <c r="Q110" s="316">
        <f t="shared" si="15"/>
        <v>0</v>
      </c>
    </row>
    <row r="111" ht="15" hidden="1" spans="3:17">
      <c r="C111" s="55" t="s">
        <v>210</v>
      </c>
      <c r="D111" s="55" t="s">
        <v>188</v>
      </c>
      <c r="E111" s="147">
        <f>F4A!E110+F4B!E111</f>
        <v>0</v>
      </c>
      <c r="F111" s="147">
        <f>F4A!F110+F4B!F111</f>
        <v>0</v>
      </c>
      <c r="G111" s="147">
        <f>F4A!G110+F4B!G111</f>
        <v>0</v>
      </c>
      <c r="H111" s="147">
        <f>F4A!H110+F4B!H111</f>
        <v>0</v>
      </c>
      <c r="I111" s="147">
        <f>F4A!I110+F4B!I111</f>
        <v>0</v>
      </c>
      <c r="J111" s="147">
        <f>F4A!J110+F4B!J111</f>
        <v>0.19</v>
      </c>
      <c r="K111" s="147">
        <f>F4A!K110+F4B!K111</f>
        <v>0.36</v>
      </c>
      <c r="L111" s="147">
        <f>F4A!L110+F4B!L111</f>
        <v>0.33</v>
      </c>
      <c r="M111" s="147">
        <f>F4A!M110+F4B!M111</f>
        <v>0.37</v>
      </c>
      <c r="N111" s="147">
        <f>F4A!N110+F4B!N111</f>
        <v>0.39</v>
      </c>
      <c r="O111" s="147">
        <f>F4A!O110+F4B!O111</f>
        <v>0.4</v>
      </c>
      <c r="P111" s="147">
        <f>F4A!P110+F4B!P111</f>
        <v>0.39</v>
      </c>
      <c r="Q111" s="316">
        <f t="shared" si="15"/>
        <v>2.43</v>
      </c>
    </row>
    <row r="112" ht="15" hidden="1" spans="3:17">
      <c r="C112" s="55"/>
      <c r="D112" s="55"/>
      <c r="E112" s="147">
        <f>F4A!E111+F4B!E112</f>
        <v>0</v>
      </c>
      <c r="F112" s="147">
        <f>F4A!F111+F4B!F112</f>
        <v>0</v>
      </c>
      <c r="G112" s="147">
        <f>F4A!G111+F4B!G112</f>
        <v>0</v>
      </c>
      <c r="H112" s="147">
        <f>F4A!H111+F4B!H112</f>
        <v>0</v>
      </c>
      <c r="I112" s="147">
        <f>F4A!I111+F4B!I112</f>
        <v>0</v>
      </c>
      <c r="J112" s="147">
        <f>F4A!J111+F4B!J112</f>
        <v>0</v>
      </c>
      <c r="K112" s="147">
        <f>F4A!K111+F4B!K112</f>
        <v>0</v>
      </c>
      <c r="L112" s="147">
        <f>F4A!L111+F4B!L112</f>
        <v>0</v>
      </c>
      <c r="M112" s="147">
        <f>F4A!M111+F4B!M112</f>
        <v>0</v>
      </c>
      <c r="N112" s="147">
        <f>F4A!N111+F4B!N112</f>
        <v>0</v>
      </c>
      <c r="O112" s="147">
        <f>F4A!O111+F4B!O112</f>
        <v>0</v>
      </c>
      <c r="P112" s="147">
        <f>F4A!P111+F4B!P112</f>
        <v>0</v>
      </c>
      <c r="Q112" s="316">
        <f t="shared" si="15"/>
        <v>0</v>
      </c>
    </row>
    <row r="113" ht="15" hidden="1" spans="3:17">
      <c r="C113" s="55"/>
      <c r="D113" s="55"/>
      <c r="E113" s="147">
        <f>F4A!E112+F4B!E113</f>
        <v>0</v>
      </c>
      <c r="F113" s="147">
        <f>F4A!F112+F4B!F113</f>
        <v>0</v>
      </c>
      <c r="G113" s="147">
        <f>F4A!G112+F4B!G113</f>
        <v>0</v>
      </c>
      <c r="H113" s="147">
        <f>F4A!H112+F4B!H113</f>
        <v>0</v>
      </c>
      <c r="I113" s="147">
        <f>F4A!I112+F4B!I113</f>
        <v>0</v>
      </c>
      <c r="J113" s="147">
        <f>F4A!J112+F4B!J113</f>
        <v>0</v>
      </c>
      <c r="K113" s="147">
        <f>F4A!K112+F4B!K113</f>
        <v>0</v>
      </c>
      <c r="L113" s="147">
        <f>F4A!L112+F4B!L113</f>
        <v>0</v>
      </c>
      <c r="M113" s="147">
        <f>F4A!M112+F4B!M113</f>
        <v>0</v>
      </c>
      <c r="N113" s="147">
        <f>F4A!N112+F4B!N113</f>
        <v>0</v>
      </c>
      <c r="O113" s="147">
        <f>F4A!O112+F4B!O113</f>
        <v>0</v>
      </c>
      <c r="P113" s="147">
        <f>F4A!P112+F4B!P113</f>
        <v>0</v>
      </c>
      <c r="Q113" s="316">
        <f t="shared" si="15"/>
        <v>0</v>
      </c>
    </row>
    <row r="114" ht="15" hidden="1" spans="3:17">
      <c r="C114" s="55"/>
      <c r="D114" s="55"/>
      <c r="E114" s="147">
        <f>F4A!E113+F4B!E114</f>
        <v>0</v>
      </c>
      <c r="F114" s="147">
        <f>F4A!F113+F4B!F114</f>
        <v>0</v>
      </c>
      <c r="G114" s="147">
        <f>F4A!G113+F4B!G114</f>
        <v>0</v>
      </c>
      <c r="H114" s="147">
        <f>F4A!H113+F4B!H114</f>
        <v>0</v>
      </c>
      <c r="I114" s="147">
        <f>F4A!I113+F4B!I114</f>
        <v>0</v>
      </c>
      <c r="J114" s="147">
        <f>F4A!J113+F4B!J114</f>
        <v>0</v>
      </c>
      <c r="K114" s="147">
        <f>F4A!K113+F4B!K114</f>
        <v>0</v>
      </c>
      <c r="L114" s="147">
        <f>F4A!L113+F4B!L114</f>
        <v>0</v>
      </c>
      <c r="M114" s="147">
        <f>F4A!M113+F4B!M114</f>
        <v>0</v>
      </c>
      <c r="N114" s="147">
        <f>F4A!N113+F4B!N114</f>
        <v>0</v>
      </c>
      <c r="O114" s="147">
        <f>F4A!O113+F4B!O114</f>
        <v>0</v>
      </c>
      <c r="P114" s="147">
        <f>F4A!P113+F4B!P114</f>
        <v>0</v>
      </c>
      <c r="Q114" s="316">
        <f t="shared" si="15"/>
        <v>0</v>
      </c>
    </row>
    <row r="115" ht="15" hidden="1" spans="3:17">
      <c r="C115" s="55" t="s">
        <v>258</v>
      </c>
      <c r="D115" s="55" t="s">
        <v>258</v>
      </c>
      <c r="E115" s="147">
        <f>F4A!E114+F4B!E115</f>
        <v>0</v>
      </c>
      <c r="F115" s="147">
        <f>F4A!F114+F4B!F115</f>
        <v>0</v>
      </c>
      <c r="G115" s="147">
        <f>F4A!G114+F4B!G115</f>
        <v>0</v>
      </c>
      <c r="H115" s="147">
        <f>F4A!H114+F4B!H115</f>
        <v>0</v>
      </c>
      <c r="I115" s="147">
        <f>F4A!I114+F4B!I115</f>
        <v>0</v>
      </c>
      <c r="J115" s="147">
        <f>F4A!J114+F4B!J115</f>
        <v>0</v>
      </c>
      <c r="K115" s="147">
        <f>F4A!K114+F4B!K115</f>
        <v>0</v>
      </c>
      <c r="L115" s="147">
        <f>F4A!L114+F4B!L115</f>
        <v>0</v>
      </c>
      <c r="M115" s="147">
        <f>F4A!M114+F4B!M115</f>
        <v>0</v>
      </c>
      <c r="N115" s="147">
        <f>F4A!N114+F4B!N115</f>
        <v>0</v>
      </c>
      <c r="O115" s="147">
        <f>F4A!O114+F4B!O115</f>
        <v>0</v>
      </c>
      <c r="P115" s="147">
        <f>F4A!P114+F4B!P115</f>
        <v>0</v>
      </c>
      <c r="Q115" s="316">
        <f t="shared" si="15"/>
        <v>0</v>
      </c>
    </row>
    <row r="116" ht="15" hidden="1" spans="3:17">
      <c r="C116" s="537" t="s">
        <v>211</v>
      </c>
      <c r="D116" s="540"/>
      <c r="E116" s="316">
        <f t="shared" ref="E116:P116" si="16">SUM(E101:E115)</f>
        <v>491.4362041324</v>
      </c>
      <c r="F116" s="316">
        <f t="shared" si="16"/>
        <v>492.706912033253</v>
      </c>
      <c r="G116" s="316">
        <f t="shared" si="16"/>
        <v>515.807830779067</v>
      </c>
      <c r="H116" s="316">
        <f t="shared" si="16"/>
        <v>471.706195540025</v>
      </c>
      <c r="I116" s="316">
        <f t="shared" si="16"/>
        <v>464.437060824971</v>
      </c>
      <c r="J116" s="316">
        <f t="shared" si="16"/>
        <v>464.516113303519</v>
      </c>
      <c r="K116" s="316">
        <f t="shared" si="16"/>
        <v>426.843057941941</v>
      </c>
      <c r="L116" s="316">
        <f t="shared" si="16"/>
        <v>469.511152597692</v>
      </c>
      <c r="M116" s="316">
        <f t="shared" si="16"/>
        <v>461.999402116749</v>
      </c>
      <c r="N116" s="316">
        <f t="shared" si="16"/>
        <v>465.131313389554</v>
      </c>
      <c r="O116" s="316">
        <f t="shared" si="16"/>
        <v>488.280299318616</v>
      </c>
      <c r="P116" s="316">
        <f t="shared" si="16"/>
        <v>467.327509319577</v>
      </c>
      <c r="Q116" s="316">
        <f t="shared" si="15"/>
        <v>5679.70305129736</v>
      </c>
    </row>
    <row r="117" ht="15" hidden="1" spans="3:17">
      <c r="C117" s="44" t="s">
        <v>212</v>
      </c>
      <c r="D117" s="45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316">
        <f t="shared" ref="Q117:Q133" si="17">SUM(E117:P117)</f>
        <v>0</v>
      </c>
    </row>
    <row r="118" ht="15" hidden="1" spans="3:17">
      <c r="C118" s="55" t="s">
        <v>191</v>
      </c>
      <c r="D118" s="55" t="s">
        <v>192</v>
      </c>
      <c r="E118" s="147">
        <f>F4A!E117+F4B!E118</f>
        <v>392.07</v>
      </c>
      <c r="F118" s="147">
        <f>F4A!F117+F4B!F118</f>
        <v>360.78</v>
      </c>
      <c r="G118" s="147">
        <f>F4A!G117+F4B!G118</f>
        <v>401.21</v>
      </c>
      <c r="H118" s="147">
        <f>F4A!H117+F4B!H118</f>
        <v>381.48</v>
      </c>
      <c r="I118" s="147">
        <f>F4A!I117+F4B!I118</f>
        <v>367.95</v>
      </c>
      <c r="J118" s="147">
        <f>F4A!J117+F4B!J118</f>
        <v>359.49</v>
      </c>
      <c r="K118" s="147">
        <f>F4A!K117+F4B!K118</f>
        <v>315.49885033</v>
      </c>
      <c r="L118" s="147">
        <f>F4A!L117+F4B!L118</f>
        <v>329.63431352</v>
      </c>
      <c r="M118" s="147">
        <f>F4A!M117+F4B!M118</f>
        <v>322.74</v>
      </c>
      <c r="N118" s="147">
        <f>F4A!N117+F4B!N118</f>
        <v>327.06</v>
      </c>
      <c r="O118" s="147">
        <f>F4A!O117+F4B!O118</f>
        <v>339.78558844</v>
      </c>
      <c r="P118" s="147">
        <f>F4A!P117+F4B!P118</f>
        <v>321.22522553</v>
      </c>
      <c r="Q118" s="316">
        <f t="shared" si="17"/>
        <v>4218.92397782</v>
      </c>
    </row>
    <row r="119" ht="15" hidden="1" spans="3:17">
      <c r="C119" s="55" t="s">
        <v>193</v>
      </c>
      <c r="D119" s="55" t="s">
        <v>194</v>
      </c>
      <c r="E119" s="147">
        <f>F4A!E118+F4B!E119</f>
        <v>4.55</v>
      </c>
      <c r="F119" s="147">
        <f>F4A!F118+F4B!F119</f>
        <v>4.88</v>
      </c>
      <c r="G119" s="147">
        <f>F4A!G118+F4B!G119</f>
        <v>4.47</v>
      </c>
      <c r="H119" s="147">
        <f>F4A!H118+F4B!H119</f>
        <v>4.65</v>
      </c>
      <c r="I119" s="147">
        <f>F4A!I118+F4B!I119</f>
        <v>4.91</v>
      </c>
      <c r="J119" s="147">
        <f>F4A!J118+F4B!J119</f>
        <v>4.04</v>
      </c>
      <c r="K119" s="147">
        <f>F4A!K118+F4B!K119</f>
        <v>3.85</v>
      </c>
      <c r="L119" s="147">
        <f>F4A!L118+F4B!L119</f>
        <v>2.92</v>
      </c>
      <c r="M119" s="147">
        <f>F4A!M118+F4B!M119</f>
        <v>2.46</v>
      </c>
      <c r="N119" s="147">
        <f>F4A!N118+F4B!N119</f>
        <v>2.58</v>
      </c>
      <c r="O119" s="147">
        <f>F4A!O118+F4B!O119</f>
        <v>2.3955</v>
      </c>
      <c r="P119" s="147">
        <f>F4A!P118+F4B!P119</f>
        <v>2.342</v>
      </c>
      <c r="Q119" s="316">
        <f t="shared" si="17"/>
        <v>44.0475</v>
      </c>
    </row>
    <row r="120" ht="15" hidden="1" spans="3:17">
      <c r="C120" s="55" t="s">
        <v>239</v>
      </c>
      <c r="D120" s="55" t="s">
        <v>196</v>
      </c>
      <c r="E120" s="147">
        <f>F4A!E119+F4B!E120</f>
        <v>71.36</v>
      </c>
      <c r="F120" s="147">
        <f>F4A!F119+F4B!F120</f>
        <v>74.91</v>
      </c>
      <c r="G120" s="147">
        <f>F4A!G119+F4B!G120</f>
        <v>83.57</v>
      </c>
      <c r="H120" s="147">
        <f>F4A!H119+F4B!H120</f>
        <v>73.96</v>
      </c>
      <c r="I120" s="147">
        <f>F4A!I119+F4B!I120</f>
        <v>73.49</v>
      </c>
      <c r="J120" s="147">
        <f>F4A!J119+F4B!J120</f>
        <v>75.21</v>
      </c>
      <c r="K120" s="147">
        <f>F4A!K119+F4B!K120</f>
        <v>71.14057271</v>
      </c>
      <c r="L120" s="147">
        <f>F4A!L119+F4B!L120</f>
        <v>74.09192839</v>
      </c>
      <c r="M120" s="147">
        <f>F4A!M119+F4B!M120</f>
        <v>66.06916142</v>
      </c>
      <c r="N120" s="147">
        <f>F4A!N119+F4B!N120</f>
        <v>64.17145726</v>
      </c>
      <c r="O120" s="147">
        <f>F4A!O119+F4B!O120</f>
        <v>70.43499459</v>
      </c>
      <c r="P120" s="147">
        <f>F4A!P119+F4B!P120</f>
        <v>69.55196737</v>
      </c>
      <c r="Q120" s="316">
        <f t="shared" si="17"/>
        <v>867.96008174</v>
      </c>
    </row>
    <row r="121" ht="15" hidden="1" spans="3:17">
      <c r="C121" s="55" t="s">
        <v>197</v>
      </c>
      <c r="D121" s="55" t="s">
        <v>198</v>
      </c>
      <c r="E121" s="147">
        <f>F4A!E120+F4B!E121</f>
        <v>0</v>
      </c>
      <c r="F121" s="147">
        <f>F4A!F120+F4B!F121</f>
        <v>0</v>
      </c>
      <c r="G121" s="147">
        <f>F4A!G120+F4B!G121</f>
        <v>0</v>
      </c>
      <c r="H121" s="147">
        <f>F4A!H120+F4B!H121</f>
        <v>0</v>
      </c>
      <c r="I121" s="147">
        <f>F4A!I120+F4B!I121</f>
        <v>0</v>
      </c>
      <c r="J121" s="147">
        <f>F4A!J120+F4B!J121</f>
        <v>0</v>
      </c>
      <c r="K121" s="147">
        <f>F4A!K120+F4B!K121</f>
        <v>0</v>
      </c>
      <c r="L121" s="147">
        <f>F4A!L120+F4B!L121</f>
        <v>0</v>
      </c>
      <c r="M121" s="147">
        <f>F4A!M120+F4B!M121</f>
        <v>0</v>
      </c>
      <c r="N121" s="147">
        <f>F4A!N120+F4B!N121</f>
        <v>0</v>
      </c>
      <c r="O121" s="147">
        <f>F4A!O120+F4B!O121</f>
        <v>0</v>
      </c>
      <c r="P121" s="147">
        <f>F4A!P120+F4B!P121</f>
        <v>0</v>
      </c>
      <c r="Q121" s="316">
        <f t="shared" si="17"/>
        <v>0</v>
      </c>
    </row>
    <row r="122" ht="15" hidden="1" spans="3:17">
      <c r="C122" s="55" t="s">
        <v>199</v>
      </c>
      <c r="D122" s="55" t="s">
        <v>200</v>
      </c>
      <c r="E122" s="147">
        <f>F4A!E121+F4B!E122</f>
        <v>0</v>
      </c>
      <c r="F122" s="147">
        <f>F4A!F121+F4B!F122</f>
        <v>0</v>
      </c>
      <c r="G122" s="147">
        <f>F4A!G121+F4B!G122</f>
        <v>0</v>
      </c>
      <c r="H122" s="147">
        <f>F4A!H121+F4B!H122</f>
        <v>0</v>
      </c>
      <c r="I122" s="147">
        <f>F4A!I121+F4B!I122</f>
        <v>0</v>
      </c>
      <c r="J122" s="147">
        <f>F4A!J121+F4B!J122</f>
        <v>0</v>
      </c>
      <c r="K122" s="147">
        <f>F4A!K121+F4B!K122</f>
        <v>0</v>
      </c>
      <c r="L122" s="147">
        <f>F4A!L121+F4B!L122</f>
        <v>0</v>
      </c>
      <c r="M122" s="147">
        <f>F4A!M121+F4B!M122</f>
        <v>0</v>
      </c>
      <c r="N122" s="147">
        <f>F4A!N121+F4B!N122</f>
        <v>0</v>
      </c>
      <c r="O122" s="147">
        <f>F4A!O121+F4B!O122</f>
        <v>0</v>
      </c>
      <c r="P122" s="147">
        <f>F4A!P121+F4B!P122</f>
        <v>0</v>
      </c>
      <c r="Q122" s="316">
        <f t="shared" si="17"/>
        <v>0</v>
      </c>
    </row>
    <row r="123" ht="15" hidden="1" spans="3:17">
      <c r="C123" s="55" t="s">
        <v>201</v>
      </c>
      <c r="D123" s="55" t="s">
        <v>202</v>
      </c>
      <c r="E123" s="147">
        <f>F4A!E122+F4B!E123</f>
        <v>0.94</v>
      </c>
      <c r="F123" s="147">
        <f>F4A!F122+F4B!F123</f>
        <v>0.59</v>
      </c>
      <c r="G123" s="147">
        <f>F4A!G122+F4B!G123</f>
        <v>0.19</v>
      </c>
      <c r="H123" s="147">
        <f>F4A!H122+F4B!H123</f>
        <v>0.22</v>
      </c>
      <c r="I123" s="147">
        <f>F4A!I122+F4B!I123</f>
        <v>0.93</v>
      </c>
      <c r="J123" s="147">
        <f>F4A!J122+F4B!J123</f>
        <v>2.2</v>
      </c>
      <c r="K123" s="147">
        <f>F4A!K122+F4B!K123</f>
        <v>1.64</v>
      </c>
      <c r="L123" s="147">
        <f>F4A!L122+F4B!L123</f>
        <v>1.47</v>
      </c>
      <c r="M123" s="147">
        <f>F4A!M122+F4B!M123</f>
        <v>1.63</v>
      </c>
      <c r="N123" s="147">
        <f>F4A!N122+F4B!N123</f>
        <v>2.47</v>
      </c>
      <c r="O123" s="147">
        <f>F4A!O122+F4B!O123</f>
        <v>2.97</v>
      </c>
      <c r="P123" s="147">
        <f>F4A!P122+F4B!P123</f>
        <v>2.34</v>
      </c>
      <c r="Q123" s="316">
        <f t="shared" si="17"/>
        <v>17.59</v>
      </c>
    </row>
    <row r="124" ht="15" hidden="1" spans="3:17">
      <c r="C124" s="55" t="s">
        <v>203</v>
      </c>
      <c r="D124" s="55" t="s">
        <v>204</v>
      </c>
      <c r="E124" s="147">
        <f>F4A!E123+F4B!E124</f>
        <v>14.27</v>
      </c>
      <c r="F124" s="147">
        <f>F4A!F123+F4B!F124</f>
        <v>13.8</v>
      </c>
      <c r="G124" s="147">
        <f>F4A!G123+F4B!G124</f>
        <v>13.72</v>
      </c>
      <c r="H124" s="147">
        <f>F4A!H123+F4B!H124</f>
        <v>11.95</v>
      </c>
      <c r="I124" s="147">
        <f>F4A!I123+F4B!I124</f>
        <v>12.4</v>
      </c>
      <c r="J124" s="147">
        <f>F4A!J123+F4B!J124</f>
        <v>12.75</v>
      </c>
      <c r="K124" s="147">
        <f>F4A!K123+F4B!K124</f>
        <v>12.18</v>
      </c>
      <c r="L124" s="147">
        <f>F4A!L123+F4B!L124</f>
        <v>13.12</v>
      </c>
      <c r="M124" s="147">
        <f>F4A!M123+F4B!M124</f>
        <v>13.06</v>
      </c>
      <c r="N124" s="147">
        <f>F4A!N123+F4B!N124</f>
        <v>13.79</v>
      </c>
      <c r="O124" s="147">
        <f>F4A!O123+F4B!O124</f>
        <v>13.73</v>
      </c>
      <c r="P124" s="147">
        <f>F4A!P123+F4B!P124</f>
        <v>13.95</v>
      </c>
      <c r="Q124" s="316">
        <f t="shared" si="17"/>
        <v>158.72</v>
      </c>
    </row>
    <row r="125" ht="15" hidden="1" spans="3:17">
      <c r="C125" s="55" t="s">
        <v>205</v>
      </c>
      <c r="D125" s="55" t="s">
        <v>206</v>
      </c>
      <c r="E125" s="147">
        <f>F4A!E124+F4B!E125</f>
        <v>7.54</v>
      </c>
      <c r="F125" s="147">
        <f>F4A!F124+F4B!F125</f>
        <v>8.99</v>
      </c>
      <c r="G125" s="147">
        <f>F4A!G124+F4B!G125</f>
        <v>9.43</v>
      </c>
      <c r="H125" s="147">
        <f>F4A!H124+F4B!H125</f>
        <v>5.96</v>
      </c>
      <c r="I125" s="147">
        <f>F4A!I124+F4B!I125</f>
        <v>5.81</v>
      </c>
      <c r="J125" s="147">
        <f>F4A!J124+F4B!J125</f>
        <v>5.8</v>
      </c>
      <c r="K125" s="147">
        <f>F4A!K124+F4B!K125</f>
        <v>5.29</v>
      </c>
      <c r="L125" s="147">
        <f>F4A!L124+F4B!L125</f>
        <v>5.58</v>
      </c>
      <c r="M125" s="147">
        <f>F4A!M124+F4B!M125</f>
        <v>5.26</v>
      </c>
      <c r="N125" s="147">
        <f>F4A!N124+F4B!N125</f>
        <v>5.38</v>
      </c>
      <c r="O125" s="147">
        <f>F4A!O124+F4B!O125</f>
        <v>5.58</v>
      </c>
      <c r="P125" s="147">
        <f>F4A!P124+F4B!P125</f>
        <v>5.98</v>
      </c>
      <c r="Q125" s="316">
        <f t="shared" si="17"/>
        <v>76.6</v>
      </c>
    </row>
    <row r="126" ht="15" hidden="1" spans="3:17">
      <c r="C126" s="55" t="s">
        <v>231</v>
      </c>
      <c r="D126" s="55" t="s">
        <v>186</v>
      </c>
      <c r="E126" s="147">
        <f>F4A!E125+F4B!E126</f>
        <v>2.36</v>
      </c>
      <c r="F126" s="147">
        <f>F4A!F125+F4B!F126</f>
        <v>2.99</v>
      </c>
      <c r="G126" s="147">
        <f>F4A!G125+F4B!G126</f>
        <v>4.03</v>
      </c>
      <c r="H126" s="147">
        <f>F4A!H125+F4B!H126</f>
        <v>4.12</v>
      </c>
      <c r="I126" s="147">
        <f>F4A!I125+F4B!I126</f>
        <v>4.58</v>
      </c>
      <c r="J126" s="147">
        <f>F4A!J125+F4B!J126</f>
        <v>4.27</v>
      </c>
      <c r="K126" s="147">
        <f>F4A!K125+F4B!K126</f>
        <v>3.27</v>
      </c>
      <c r="L126" s="147">
        <f>F4A!L125+F4B!L126</f>
        <v>3.72</v>
      </c>
      <c r="M126" s="147">
        <f>F4A!M125+F4B!M126</f>
        <v>4.74</v>
      </c>
      <c r="N126" s="147">
        <f>F4A!N125+F4B!N126</f>
        <v>4.9</v>
      </c>
      <c r="O126" s="147">
        <f>F4A!O125+F4B!O126</f>
        <v>2.85</v>
      </c>
      <c r="P126" s="147">
        <f>F4A!P125+F4B!P126</f>
        <v>2.3</v>
      </c>
      <c r="Q126" s="316">
        <f t="shared" si="17"/>
        <v>44.13</v>
      </c>
    </row>
    <row r="127" ht="15" hidden="1" spans="3:17">
      <c r="C127" s="55" t="s">
        <v>208</v>
      </c>
      <c r="D127" s="55" t="s">
        <v>209</v>
      </c>
      <c r="E127" s="147">
        <f>F4A!E126+F4B!E127</f>
        <v>0</v>
      </c>
      <c r="F127" s="147">
        <f>F4A!F126+F4B!F127</f>
        <v>0</v>
      </c>
      <c r="G127" s="147">
        <f>F4A!G126+F4B!G127</f>
        <v>0</v>
      </c>
      <c r="H127" s="147">
        <f>F4A!H126+F4B!H127</f>
        <v>0</v>
      </c>
      <c r="I127" s="147">
        <f>F4A!I126+F4B!I127</f>
        <v>0</v>
      </c>
      <c r="J127" s="147">
        <f>F4A!J126+F4B!J127</f>
        <v>0</v>
      </c>
      <c r="K127" s="147">
        <f>F4A!K126+F4B!K127</f>
        <v>0</v>
      </c>
      <c r="L127" s="147">
        <f>F4A!L126+F4B!L127</f>
        <v>0</v>
      </c>
      <c r="M127" s="147">
        <f>F4A!M126+F4B!M127</f>
        <v>0</v>
      </c>
      <c r="N127" s="147">
        <f>F4A!N126+F4B!N127</f>
        <v>0</v>
      </c>
      <c r="O127" s="147">
        <f>F4A!O126+F4B!O127</f>
        <v>0</v>
      </c>
      <c r="P127" s="147">
        <f>F4A!P126+F4B!P127</f>
        <v>0</v>
      </c>
      <c r="Q127" s="316">
        <f t="shared" si="17"/>
        <v>0</v>
      </c>
    </row>
    <row r="128" ht="15" hidden="1" spans="3:17">
      <c r="C128" s="55" t="s">
        <v>210</v>
      </c>
      <c r="D128" s="55" t="s">
        <v>188</v>
      </c>
      <c r="E128" s="147">
        <f>F4A!E127+F4B!E128</f>
        <v>0</v>
      </c>
      <c r="F128" s="147">
        <f>F4A!F127+F4B!F128</f>
        <v>0</v>
      </c>
      <c r="G128" s="147">
        <f>F4A!G127+F4B!G128</f>
        <v>0</v>
      </c>
      <c r="H128" s="147">
        <f>F4A!H127+F4B!H128</f>
        <v>0</v>
      </c>
      <c r="I128" s="147">
        <f>F4A!I127+F4B!I128</f>
        <v>0</v>
      </c>
      <c r="J128" s="147">
        <f>F4A!J127+F4B!J128</f>
        <v>0</v>
      </c>
      <c r="K128" s="147">
        <f>F4A!K127+F4B!K128</f>
        <v>0</v>
      </c>
      <c r="L128" s="147">
        <f>F4A!L127+F4B!L128</f>
        <v>0</v>
      </c>
      <c r="M128" s="147">
        <f>F4A!M127+F4B!M128</f>
        <v>0</v>
      </c>
      <c r="N128" s="147">
        <f>F4A!N127+F4B!N128</f>
        <v>0</v>
      </c>
      <c r="O128" s="147">
        <f>F4A!O127+F4B!O128</f>
        <v>0</v>
      </c>
      <c r="P128" s="147">
        <f>F4A!P127+F4B!P128</f>
        <v>0</v>
      </c>
      <c r="Q128" s="316">
        <f t="shared" si="17"/>
        <v>0</v>
      </c>
    </row>
    <row r="129" ht="15" hidden="1" spans="3:17">
      <c r="C129" s="55"/>
      <c r="D129" s="55"/>
      <c r="E129" s="147">
        <f>F4A!E128+F4B!E129</f>
        <v>0</v>
      </c>
      <c r="F129" s="147">
        <f>F4A!F128+F4B!F129</f>
        <v>0</v>
      </c>
      <c r="G129" s="147">
        <f>F4A!G128+F4B!G129</f>
        <v>0</v>
      </c>
      <c r="H129" s="147">
        <f>F4A!H128+F4B!H129</f>
        <v>0</v>
      </c>
      <c r="I129" s="147">
        <f>F4A!I128+F4B!I129</f>
        <v>0</v>
      </c>
      <c r="J129" s="147">
        <f>F4A!J128+F4B!J129</f>
        <v>0</v>
      </c>
      <c r="K129" s="147">
        <f>F4A!K128+F4B!K129</f>
        <v>0</v>
      </c>
      <c r="L129" s="147">
        <f>F4A!L128+F4B!L129</f>
        <v>0</v>
      </c>
      <c r="M129" s="147">
        <f>F4A!M128+F4B!M129</f>
        <v>0</v>
      </c>
      <c r="N129" s="147">
        <f>F4A!N128+F4B!N129</f>
        <v>0</v>
      </c>
      <c r="O129" s="147">
        <f>F4A!O128+F4B!O129</f>
        <v>0</v>
      </c>
      <c r="P129" s="147">
        <f>F4A!P128+F4B!P129</f>
        <v>0</v>
      </c>
      <c r="Q129" s="316">
        <f t="shared" si="17"/>
        <v>0</v>
      </c>
    </row>
    <row r="130" ht="15" hidden="1" spans="3:17">
      <c r="C130" s="55"/>
      <c r="D130" s="55"/>
      <c r="E130" s="147">
        <f>F4A!E129+F4B!E130</f>
        <v>0</v>
      </c>
      <c r="F130" s="147">
        <f>F4A!F129+F4B!F130</f>
        <v>0</v>
      </c>
      <c r="G130" s="147">
        <f>F4A!G129+F4B!G130</f>
        <v>0</v>
      </c>
      <c r="H130" s="147">
        <f>F4A!H129+F4B!H130</f>
        <v>0</v>
      </c>
      <c r="I130" s="147">
        <f>F4A!I129+F4B!I130</f>
        <v>0</v>
      </c>
      <c r="J130" s="147">
        <f>F4A!J129+F4B!J130</f>
        <v>0</v>
      </c>
      <c r="K130" s="147">
        <f>F4A!K129+F4B!K130</f>
        <v>0</v>
      </c>
      <c r="L130" s="147">
        <f>F4A!L129+F4B!L130</f>
        <v>0</v>
      </c>
      <c r="M130" s="147">
        <f>F4A!M129+F4B!M130</f>
        <v>0</v>
      </c>
      <c r="N130" s="147">
        <f>F4A!N129+F4B!N130</f>
        <v>0</v>
      </c>
      <c r="O130" s="147">
        <f>F4A!O129+F4B!O130</f>
        <v>0</v>
      </c>
      <c r="P130" s="147">
        <f>F4A!P129+F4B!P130</f>
        <v>0</v>
      </c>
      <c r="Q130" s="316">
        <f t="shared" si="17"/>
        <v>0</v>
      </c>
    </row>
    <row r="131" ht="15" hidden="1" spans="3:17">
      <c r="C131" s="55"/>
      <c r="D131" s="55"/>
      <c r="E131" s="147">
        <f>F4A!E130+F4B!E131</f>
        <v>0</v>
      </c>
      <c r="F131" s="147">
        <f>F4A!F130+F4B!F131</f>
        <v>0</v>
      </c>
      <c r="G131" s="147">
        <f>F4A!G130+F4B!G131</f>
        <v>0</v>
      </c>
      <c r="H131" s="147">
        <f>F4A!H130+F4B!H131</f>
        <v>0</v>
      </c>
      <c r="I131" s="147">
        <f>F4A!I130+F4B!I131</f>
        <v>0</v>
      </c>
      <c r="J131" s="147">
        <f>F4A!J130+F4B!J131</f>
        <v>0</v>
      </c>
      <c r="K131" s="147">
        <f>F4A!K130+F4B!K131</f>
        <v>0</v>
      </c>
      <c r="L131" s="147">
        <f>F4A!L130+F4B!L131</f>
        <v>0</v>
      </c>
      <c r="M131" s="147">
        <f>F4A!M130+F4B!M131</f>
        <v>0</v>
      </c>
      <c r="N131" s="147">
        <f>F4A!N130+F4B!N131</f>
        <v>0</v>
      </c>
      <c r="O131" s="147">
        <f>F4A!O130+F4B!O131</f>
        <v>0</v>
      </c>
      <c r="P131" s="147">
        <f>F4A!P130+F4B!P131</f>
        <v>0</v>
      </c>
      <c r="Q131" s="316">
        <f t="shared" si="17"/>
        <v>0</v>
      </c>
    </row>
    <row r="132" ht="15" hidden="1" spans="3:17">
      <c r="C132" s="55" t="s">
        <v>258</v>
      </c>
      <c r="D132" s="55" t="s">
        <v>258</v>
      </c>
      <c r="E132" s="147">
        <f>F4A!E131+F4B!E132</f>
        <v>0</v>
      </c>
      <c r="F132" s="147">
        <f>F4A!F131+F4B!F132</f>
        <v>0</v>
      </c>
      <c r="G132" s="147">
        <f>F4A!G131+F4B!G132</f>
        <v>0</v>
      </c>
      <c r="H132" s="147">
        <f>F4A!H131+F4B!H132</f>
        <v>0</v>
      </c>
      <c r="I132" s="147">
        <f>F4A!I131+F4B!I132</f>
        <v>0</v>
      </c>
      <c r="J132" s="147">
        <f>F4A!J131+F4B!J132</f>
        <v>0</v>
      </c>
      <c r="K132" s="147">
        <f>F4A!K131+F4B!K132</f>
        <v>0</v>
      </c>
      <c r="L132" s="147">
        <f>F4A!L131+F4B!L132</f>
        <v>0</v>
      </c>
      <c r="M132" s="147">
        <f>F4A!M131+F4B!M132</f>
        <v>0</v>
      </c>
      <c r="N132" s="147">
        <f>F4A!N131+F4B!N132</f>
        <v>0</v>
      </c>
      <c r="O132" s="147">
        <f>F4A!O131+F4B!O132</f>
        <v>0</v>
      </c>
      <c r="P132" s="147">
        <f>F4A!P131+F4B!P132</f>
        <v>0</v>
      </c>
      <c r="Q132" s="316">
        <f t="shared" si="17"/>
        <v>0</v>
      </c>
    </row>
    <row r="133" ht="15" hidden="1" spans="3:17">
      <c r="C133" s="537" t="s">
        <v>211</v>
      </c>
      <c r="D133" s="540"/>
      <c r="E133" s="316">
        <f t="shared" ref="E133:P133" si="18">SUM(E118:E132)</f>
        <v>493.09</v>
      </c>
      <c r="F133" s="316">
        <f t="shared" si="18"/>
        <v>466.94</v>
      </c>
      <c r="G133" s="316">
        <f t="shared" si="18"/>
        <v>516.62</v>
      </c>
      <c r="H133" s="316">
        <f t="shared" si="18"/>
        <v>482.34</v>
      </c>
      <c r="I133" s="316">
        <f t="shared" si="18"/>
        <v>470.07</v>
      </c>
      <c r="J133" s="316">
        <f t="shared" si="18"/>
        <v>463.76</v>
      </c>
      <c r="K133" s="316">
        <f t="shared" si="18"/>
        <v>412.86942304</v>
      </c>
      <c r="L133" s="316">
        <f t="shared" si="18"/>
        <v>430.53624191</v>
      </c>
      <c r="M133" s="316">
        <f t="shared" si="18"/>
        <v>415.95916142</v>
      </c>
      <c r="N133" s="316">
        <f t="shared" si="18"/>
        <v>420.35145726</v>
      </c>
      <c r="O133" s="316">
        <f t="shared" si="18"/>
        <v>437.74608303</v>
      </c>
      <c r="P133" s="316">
        <f t="shared" si="18"/>
        <v>417.6891929</v>
      </c>
      <c r="Q133" s="316">
        <f t="shared" si="17"/>
        <v>5427.97155956</v>
      </c>
    </row>
    <row r="134" ht="15" hidden="1" spans="3:17">
      <c r="C134" s="44" t="s">
        <v>219</v>
      </c>
      <c r="D134" s="4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316">
        <f t="shared" ref="Q134:Q154" si="19">SUM(E134:P134)</f>
        <v>0</v>
      </c>
    </row>
    <row r="135" ht="15" hidden="1" spans="3:17">
      <c r="C135" s="55" t="s">
        <v>191</v>
      </c>
      <c r="D135" s="55" t="s">
        <v>192</v>
      </c>
      <c r="E135" s="147">
        <f>F4A!E134+F4B!E135</f>
        <v>232.58</v>
      </c>
      <c r="F135" s="147">
        <f>F4A!F134+F4B!F135</f>
        <v>211.74</v>
      </c>
      <c r="G135" s="147">
        <f>F4A!G134+F4B!G135</f>
        <v>225.03</v>
      </c>
      <c r="H135" s="147">
        <f>F4A!H134+F4B!H135</f>
        <v>213.29</v>
      </c>
      <c r="I135" s="147">
        <f>F4A!I134+F4B!I135</f>
        <v>211.73</v>
      </c>
      <c r="J135" s="147">
        <f>F4A!J134+F4B!J135</f>
        <v>195.46</v>
      </c>
      <c r="K135" s="147">
        <f>F4A!K134+F4B!K135</f>
        <v>189.71196556</v>
      </c>
      <c r="L135" s="147">
        <f>F4A!L134+F4B!L135</f>
        <v>208.85335118</v>
      </c>
      <c r="M135" s="147">
        <f>F4A!M134+F4B!M135</f>
        <v>209.16</v>
      </c>
      <c r="N135" s="147">
        <f>F4A!N134+F4B!N135</f>
        <v>201.8</v>
      </c>
      <c r="O135" s="147">
        <f>F4A!O134+F4B!O135</f>
        <v>209.46616522</v>
      </c>
      <c r="P135" s="147">
        <f>F4A!P134+F4B!P135</f>
        <v>195.10790705</v>
      </c>
      <c r="Q135" s="316">
        <f t="shared" si="19"/>
        <v>2503.92938901</v>
      </c>
    </row>
    <row r="136" ht="15" hidden="1" spans="3:17">
      <c r="C136" s="55" t="s">
        <v>193</v>
      </c>
      <c r="D136" s="55" t="s">
        <v>194</v>
      </c>
      <c r="E136" s="147">
        <f>F4A!E135+F4B!E136</f>
        <v>26.34</v>
      </c>
      <c r="F136" s="147">
        <f>F4A!F135+F4B!F136</f>
        <v>20.22</v>
      </c>
      <c r="G136" s="147">
        <f>F4A!G135+F4B!G136</f>
        <v>23.21</v>
      </c>
      <c r="H136" s="147">
        <f>F4A!H135+F4B!H136</f>
        <v>21.26</v>
      </c>
      <c r="I136" s="147">
        <f>F4A!I135+F4B!I136</f>
        <v>17.96</v>
      </c>
      <c r="J136" s="147">
        <f>F4A!J135+F4B!J136</f>
        <v>13.3</v>
      </c>
      <c r="K136" s="147">
        <f>F4A!K135+F4B!K136</f>
        <v>13.13</v>
      </c>
      <c r="L136" s="147">
        <f>F4A!L135+F4B!L136</f>
        <v>10.95</v>
      </c>
      <c r="M136" s="147">
        <f>F4A!M135+F4B!M136</f>
        <v>6.61</v>
      </c>
      <c r="N136" s="147">
        <f>F4A!N135+F4B!N136</f>
        <v>9.99</v>
      </c>
      <c r="O136" s="147">
        <f>F4A!O135+F4B!O136</f>
        <v>14.964</v>
      </c>
      <c r="P136" s="147">
        <f>F4A!P135+F4B!P136</f>
        <v>16.02</v>
      </c>
      <c r="Q136" s="316">
        <f t="shared" si="19"/>
        <v>193.954</v>
      </c>
    </row>
    <row r="137" ht="15" hidden="1" spans="3:17">
      <c r="C137" s="55" t="s">
        <v>239</v>
      </c>
      <c r="D137" s="55" t="s">
        <v>196</v>
      </c>
      <c r="E137" s="147">
        <f>F4A!E136+F4B!E137</f>
        <v>4.83</v>
      </c>
      <c r="F137" s="147">
        <f>F4A!F136+F4B!F137</f>
        <v>5.09</v>
      </c>
      <c r="G137" s="147">
        <f>F4A!G136+F4B!G137</f>
        <v>5.51</v>
      </c>
      <c r="H137" s="147">
        <f>F4A!H136+F4B!H137</f>
        <v>4.76</v>
      </c>
      <c r="I137" s="147">
        <f>F4A!I136+F4B!I137</f>
        <v>4.06</v>
      </c>
      <c r="J137" s="147">
        <f>F4A!J136+F4B!J137</f>
        <v>4.23</v>
      </c>
      <c r="K137" s="147">
        <f>F4A!K136+F4B!K137</f>
        <v>3.826916</v>
      </c>
      <c r="L137" s="147">
        <f>F4A!L136+F4B!L137</f>
        <v>4.24071</v>
      </c>
      <c r="M137" s="147">
        <f>F4A!M136+F4B!M137</f>
        <v>3.455934</v>
      </c>
      <c r="N137" s="147">
        <f>F4A!N136+F4B!N137</f>
        <v>3.31506</v>
      </c>
      <c r="O137" s="147">
        <f>F4A!O136+F4B!O137</f>
        <v>3.781275</v>
      </c>
      <c r="P137" s="147">
        <f>F4A!P136+F4B!P137</f>
        <v>3.724072</v>
      </c>
      <c r="Q137" s="316">
        <f t="shared" si="19"/>
        <v>50.823967</v>
      </c>
    </row>
    <row r="138" ht="15" hidden="1" spans="3:17">
      <c r="C138" s="55" t="s">
        <v>197</v>
      </c>
      <c r="D138" s="55" t="s">
        <v>198</v>
      </c>
      <c r="E138" s="147">
        <f>F4A!E137+F4B!E138</f>
        <v>0</v>
      </c>
      <c r="F138" s="147">
        <f>F4A!F137+F4B!F138</f>
        <v>0</v>
      </c>
      <c r="G138" s="147">
        <f>F4A!G137+F4B!G138</f>
        <v>0</v>
      </c>
      <c r="H138" s="147">
        <f>F4A!H137+F4B!H138</f>
        <v>0</v>
      </c>
      <c r="I138" s="147">
        <f>F4A!I137+F4B!I138</f>
        <v>0</v>
      </c>
      <c r="J138" s="147">
        <f>F4A!J137+F4B!J138</f>
        <v>0</v>
      </c>
      <c r="K138" s="147">
        <f>F4A!K137+F4B!K138</f>
        <v>0</v>
      </c>
      <c r="L138" s="147">
        <f>F4A!L137+F4B!L138</f>
        <v>0</v>
      </c>
      <c r="M138" s="147">
        <f>F4A!M137+F4B!M138</f>
        <v>0</v>
      </c>
      <c r="N138" s="147">
        <f>F4A!N137+F4B!N138</f>
        <v>0</v>
      </c>
      <c r="O138" s="147">
        <f>F4A!O137+F4B!O138</f>
        <v>0</v>
      </c>
      <c r="P138" s="147">
        <f>F4A!P137+F4B!P138</f>
        <v>0</v>
      </c>
      <c r="Q138" s="316">
        <f t="shared" si="19"/>
        <v>0</v>
      </c>
    </row>
    <row r="139" ht="15" hidden="1" spans="3:17">
      <c r="C139" s="55" t="s">
        <v>199</v>
      </c>
      <c r="D139" s="55" t="s">
        <v>200</v>
      </c>
      <c r="E139" s="147">
        <f>F4A!E138+F4B!E139</f>
        <v>7.01</v>
      </c>
      <c r="F139" s="147">
        <f>F4A!F138+F4B!F139</f>
        <v>7.37</v>
      </c>
      <c r="G139" s="147">
        <f>F4A!G138+F4B!G139</f>
        <v>8.5</v>
      </c>
      <c r="H139" s="147">
        <f>F4A!H138+F4B!H139</f>
        <v>7.68</v>
      </c>
      <c r="I139" s="147">
        <f>F4A!I138+F4B!I139</f>
        <v>7.11</v>
      </c>
      <c r="J139" s="147">
        <f>F4A!J138+F4B!J139</f>
        <v>7.46</v>
      </c>
      <c r="K139" s="147">
        <f>F4A!K138+F4B!K139</f>
        <v>7.354</v>
      </c>
      <c r="L139" s="147">
        <f>F4A!L138+F4B!L139</f>
        <v>7.307</v>
      </c>
      <c r="M139" s="147">
        <f>F4A!M138+F4B!M139</f>
        <v>6.691</v>
      </c>
      <c r="N139" s="147">
        <f>F4A!N138+F4B!N139</f>
        <v>6.449</v>
      </c>
      <c r="O139" s="147">
        <f>F4A!O138+F4B!O139</f>
        <v>7.028</v>
      </c>
      <c r="P139" s="147">
        <f>F4A!P138+F4B!P139</f>
        <v>6.455</v>
      </c>
      <c r="Q139" s="316">
        <f t="shared" si="19"/>
        <v>86.414</v>
      </c>
    </row>
    <row r="140" ht="15" hidden="1" spans="3:17">
      <c r="C140" s="55" t="s">
        <v>201</v>
      </c>
      <c r="D140" s="55" t="s">
        <v>240</v>
      </c>
      <c r="E140" s="147">
        <f>F4A!E139+F4B!E140</f>
        <v>50.56</v>
      </c>
      <c r="F140" s="147">
        <f>F4A!F139+F4B!F140</f>
        <v>24.21</v>
      </c>
      <c r="G140" s="147">
        <f>F4A!G139+F4B!G140</f>
        <v>34.28</v>
      </c>
      <c r="H140" s="147">
        <f>F4A!H139+F4B!H140</f>
        <v>24.28</v>
      </c>
      <c r="I140" s="147">
        <f>F4A!I139+F4B!I140</f>
        <v>130.01</v>
      </c>
      <c r="J140" s="147">
        <f>F4A!J139+F4B!J140</f>
        <v>301.46</v>
      </c>
      <c r="K140" s="147">
        <f>F4A!K139+F4B!K140</f>
        <v>226.43</v>
      </c>
      <c r="L140" s="147">
        <f>F4A!L139+F4B!L140</f>
        <v>224.67</v>
      </c>
      <c r="M140" s="147">
        <f>F4A!M139+F4B!M140</f>
        <v>192.1</v>
      </c>
      <c r="N140" s="147">
        <f>F4A!N139+F4B!N140</f>
        <v>207.44</v>
      </c>
      <c r="O140" s="147">
        <f>F4A!O139+F4B!O140</f>
        <v>231.59</v>
      </c>
      <c r="P140" s="147">
        <f>F4A!P139+F4B!P140</f>
        <v>214.54</v>
      </c>
      <c r="Q140" s="316">
        <f t="shared" si="19"/>
        <v>1861.57</v>
      </c>
    </row>
    <row r="141" ht="15" hidden="1" spans="3:17">
      <c r="C141" s="55" t="s">
        <v>203</v>
      </c>
      <c r="D141" s="55" t="s">
        <v>220</v>
      </c>
      <c r="E141" s="147">
        <f>F4A!E140+F4B!E141</f>
        <v>15.33</v>
      </c>
      <c r="F141" s="147">
        <f>F4A!F140+F4B!F141</f>
        <v>16.25</v>
      </c>
      <c r="G141" s="147">
        <f>F4A!G140+F4B!G141</f>
        <v>16.82</v>
      </c>
      <c r="H141" s="147">
        <f>F4A!H140+F4B!H141</f>
        <v>15.02</v>
      </c>
      <c r="I141" s="147">
        <f>F4A!I140+F4B!I141</f>
        <v>17.5</v>
      </c>
      <c r="J141" s="147">
        <f>F4A!J140+F4B!J141</f>
        <v>16.47</v>
      </c>
      <c r="K141" s="147">
        <f>F4A!K140+F4B!K141</f>
        <v>18.22</v>
      </c>
      <c r="L141" s="147">
        <f>F4A!L140+F4B!L141</f>
        <v>17.79</v>
      </c>
      <c r="M141" s="147">
        <f>F4A!M140+F4B!M141</f>
        <v>17.12</v>
      </c>
      <c r="N141" s="147">
        <f>F4A!N140+F4B!N141</f>
        <v>18.2</v>
      </c>
      <c r="O141" s="147">
        <f>F4A!O140+F4B!O141</f>
        <v>17.93</v>
      </c>
      <c r="P141" s="147">
        <f>F4A!P140+F4B!P141</f>
        <v>18.14</v>
      </c>
      <c r="Q141" s="316">
        <f t="shared" si="19"/>
        <v>204.79</v>
      </c>
    </row>
    <row r="142" ht="15" hidden="1" spans="3:17">
      <c r="C142" s="55" t="s">
        <v>241</v>
      </c>
      <c r="D142" s="55" t="s">
        <v>229</v>
      </c>
      <c r="E142" s="147">
        <f>F4A!E141+F4B!E142</f>
        <v>18.49</v>
      </c>
      <c r="F142" s="147">
        <f>F4A!F141+F4B!F142</f>
        <v>18.61</v>
      </c>
      <c r="G142" s="147">
        <f>F4A!G141+F4B!G142</f>
        <v>18.85</v>
      </c>
      <c r="H142" s="147">
        <f>F4A!H141+F4B!H142</f>
        <v>20.85</v>
      </c>
      <c r="I142" s="147">
        <f>F4A!I141+F4B!I142</f>
        <v>18.32</v>
      </c>
      <c r="J142" s="147">
        <f>F4A!J141+F4B!J142</f>
        <v>20.49</v>
      </c>
      <c r="K142" s="147">
        <f>F4A!K141+F4B!K142</f>
        <v>18.43</v>
      </c>
      <c r="L142" s="147">
        <f>F4A!L141+F4B!L142</f>
        <v>19.86</v>
      </c>
      <c r="M142" s="147">
        <f>F4A!M141+F4B!M142</f>
        <v>25.18</v>
      </c>
      <c r="N142" s="147">
        <f>F4A!N141+F4B!N142</f>
        <v>23.59</v>
      </c>
      <c r="O142" s="147">
        <f>F4A!O141+F4B!O142</f>
        <v>24.66</v>
      </c>
      <c r="P142" s="147">
        <f>F4A!P141+F4B!P142</f>
        <v>22.67</v>
      </c>
      <c r="Q142" s="316">
        <f t="shared" si="19"/>
        <v>250</v>
      </c>
    </row>
    <row r="143" ht="15" hidden="1" spans="3:17">
      <c r="C143" s="55" t="s">
        <v>259</v>
      </c>
      <c r="D143" s="55" t="s">
        <v>243</v>
      </c>
      <c r="E143" s="147">
        <f>F4A!E142+F4B!E143</f>
        <v>6.79</v>
      </c>
      <c r="F143" s="147">
        <f>F4A!F142+F4B!F143</f>
        <v>7.17</v>
      </c>
      <c r="G143" s="147">
        <f>F4A!G142+F4B!G143</f>
        <v>6.92</v>
      </c>
      <c r="H143" s="147">
        <f>F4A!H142+F4B!H143</f>
        <v>6.32</v>
      </c>
      <c r="I143" s="147">
        <f>F4A!I142+F4B!I143</f>
        <v>6.4</v>
      </c>
      <c r="J143" s="147">
        <f>F4A!J142+F4B!J143</f>
        <v>6.52</v>
      </c>
      <c r="K143" s="147">
        <f>F4A!K142+F4B!K143</f>
        <v>6.65</v>
      </c>
      <c r="L143" s="147">
        <f>F4A!L142+F4B!L143</f>
        <v>6.95</v>
      </c>
      <c r="M143" s="147">
        <f>F4A!M142+F4B!M143</f>
        <v>6.53</v>
      </c>
      <c r="N143" s="147">
        <f>F4A!N142+F4B!N143</f>
        <v>6.69</v>
      </c>
      <c r="O143" s="147">
        <f>F4A!O142+F4B!O143</f>
        <v>7.19</v>
      </c>
      <c r="P143" s="147">
        <f>F4A!P142+F4B!P143</f>
        <v>6.88</v>
      </c>
      <c r="Q143" s="316">
        <f t="shared" si="19"/>
        <v>81.01</v>
      </c>
    </row>
    <row r="144" ht="15" hidden="1" spans="3:17">
      <c r="C144" s="55" t="s">
        <v>205</v>
      </c>
      <c r="D144" s="55" t="s">
        <v>206</v>
      </c>
      <c r="E144" s="147">
        <f>F4A!E143+F4B!E144</f>
        <v>0</v>
      </c>
      <c r="F144" s="147">
        <f>F4A!F143+F4B!F144</f>
        <v>0</v>
      </c>
      <c r="G144" s="147">
        <f>F4A!G143+F4B!G144</f>
        <v>0</v>
      </c>
      <c r="H144" s="147">
        <f>F4A!H143+F4B!H144</f>
        <v>0</v>
      </c>
      <c r="I144" s="147">
        <f>F4A!I143+F4B!I144</f>
        <v>0</v>
      </c>
      <c r="J144" s="147">
        <f>F4A!J143+F4B!J144</f>
        <v>0</v>
      </c>
      <c r="K144" s="147">
        <f>F4A!K143+F4B!K144</f>
        <v>0</v>
      </c>
      <c r="L144" s="147">
        <f>F4A!L143+F4B!L144</f>
        <v>0</v>
      </c>
      <c r="M144" s="147">
        <f>F4A!M143+F4B!M144</f>
        <v>0</v>
      </c>
      <c r="N144" s="147">
        <f>F4A!N143+F4B!N144</f>
        <v>0</v>
      </c>
      <c r="O144" s="147">
        <f>F4A!O143+F4B!O144</f>
        <v>0</v>
      </c>
      <c r="P144" s="147">
        <f>F4A!P143+F4B!P144</f>
        <v>0</v>
      </c>
      <c r="Q144" s="316">
        <f t="shared" si="19"/>
        <v>0</v>
      </c>
    </row>
    <row r="145" ht="15" hidden="1" spans="3:17">
      <c r="C145" s="55" t="s">
        <v>207</v>
      </c>
      <c r="D145" s="55" t="s">
        <v>186</v>
      </c>
      <c r="E145" s="147">
        <f>F4A!E144+F4B!E145</f>
        <v>0</v>
      </c>
      <c r="F145" s="147">
        <f>F4A!F144+F4B!F145</f>
        <v>0</v>
      </c>
      <c r="G145" s="147">
        <f>F4A!G144+F4B!G145</f>
        <v>0</v>
      </c>
      <c r="H145" s="147">
        <f>F4A!H144+F4B!H145</f>
        <v>0</v>
      </c>
      <c r="I145" s="147">
        <f>F4A!I144+F4B!I145</f>
        <v>0</v>
      </c>
      <c r="J145" s="147">
        <f>F4A!J144+F4B!J145</f>
        <v>0</v>
      </c>
      <c r="K145" s="147">
        <f>F4A!K144+F4B!K145</f>
        <v>0</v>
      </c>
      <c r="L145" s="147">
        <f>F4A!L144+F4B!L145</f>
        <v>0</v>
      </c>
      <c r="M145" s="147">
        <f>F4A!M144+F4B!M145</f>
        <v>0</v>
      </c>
      <c r="N145" s="147">
        <f>F4A!N144+F4B!N145</f>
        <v>0</v>
      </c>
      <c r="O145" s="147">
        <f>F4A!O144+F4B!O145</f>
        <v>0</v>
      </c>
      <c r="P145" s="147">
        <f>F4A!P144+F4B!P145</f>
        <v>0</v>
      </c>
      <c r="Q145" s="316">
        <f t="shared" si="19"/>
        <v>0</v>
      </c>
    </row>
    <row r="146" ht="15" hidden="1" spans="3:17">
      <c r="C146" s="55" t="s">
        <v>208</v>
      </c>
      <c r="D146" s="55" t="s">
        <v>209</v>
      </c>
      <c r="E146" s="147">
        <f>F4A!E145+F4B!E146</f>
        <v>0</v>
      </c>
      <c r="F146" s="147">
        <f>F4A!F145+F4B!F146</f>
        <v>0</v>
      </c>
      <c r="G146" s="147">
        <f>F4A!G145+F4B!G146</f>
        <v>0</v>
      </c>
      <c r="H146" s="147">
        <f>F4A!H145+F4B!H146</f>
        <v>0</v>
      </c>
      <c r="I146" s="147">
        <f>F4A!I145+F4B!I146</f>
        <v>0</v>
      </c>
      <c r="J146" s="147">
        <f>F4A!J145+F4B!J146</f>
        <v>0</v>
      </c>
      <c r="K146" s="147">
        <f>F4A!K145+F4B!K146</f>
        <v>0</v>
      </c>
      <c r="L146" s="147">
        <f>F4A!L145+F4B!L146</f>
        <v>0</v>
      </c>
      <c r="M146" s="147">
        <f>F4A!M145+F4B!M146</f>
        <v>0</v>
      </c>
      <c r="N146" s="147">
        <f>F4A!N145+F4B!N146</f>
        <v>0</v>
      </c>
      <c r="O146" s="147">
        <f>F4A!O145+F4B!O146</f>
        <v>0</v>
      </c>
      <c r="P146" s="147">
        <f>F4A!P145+F4B!P146</f>
        <v>0</v>
      </c>
      <c r="Q146" s="316">
        <f t="shared" si="19"/>
        <v>0</v>
      </c>
    </row>
    <row r="147" ht="15" hidden="1" spans="3:17">
      <c r="C147" s="55" t="s">
        <v>210</v>
      </c>
      <c r="D147" s="55" t="s">
        <v>188</v>
      </c>
      <c r="E147" s="147">
        <f>F4A!E146+F4B!E147</f>
        <v>0</v>
      </c>
      <c r="F147" s="147">
        <f>F4A!F146+F4B!F147</f>
        <v>0</v>
      </c>
      <c r="G147" s="147">
        <f>F4A!G146+F4B!G147</f>
        <v>0</v>
      </c>
      <c r="H147" s="147">
        <f>F4A!H146+F4B!H147</f>
        <v>0</v>
      </c>
      <c r="I147" s="147">
        <f>F4A!I146+F4B!I147</f>
        <v>0</v>
      </c>
      <c r="J147" s="147">
        <f>F4A!J146+F4B!J147</f>
        <v>0</v>
      </c>
      <c r="K147" s="147">
        <f>F4A!K146+F4B!K147</f>
        <v>0</v>
      </c>
      <c r="L147" s="147">
        <f>F4A!L146+F4B!L147</f>
        <v>0</v>
      </c>
      <c r="M147" s="147">
        <f>F4A!M146+F4B!M147</f>
        <v>0</v>
      </c>
      <c r="N147" s="147">
        <f>F4A!N146+F4B!N147</f>
        <v>0</v>
      </c>
      <c r="O147" s="147">
        <f>F4A!O146+F4B!O147</f>
        <v>0</v>
      </c>
      <c r="P147" s="147">
        <f>F4A!P146+F4B!P147</f>
        <v>0</v>
      </c>
      <c r="Q147" s="316">
        <f t="shared" si="19"/>
        <v>0</v>
      </c>
    </row>
    <row r="148" ht="15" hidden="1" spans="3:17">
      <c r="C148" s="55"/>
      <c r="D148" s="55"/>
      <c r="E148" s="147">
        <f>F4A!E147+F4B!E148</f>
        <v>0</v>
      </c>
      <c r="F148" s="147">
        <f>F4A!F147+F4B!F148</f>
        <v>0</v>
      </c>
      <c r="G148" s="147">
        <f>F4A!G147+F4B!G148</f>
        <v>0</v>
      </c>
      <c r="H148" s="147">
        <f>F4A!H147+F4B!H148</f>
        <v>0</v>
      </c>
      <c r="I148" s="147">
        <f>F4A!I147+F4B!I148</f>
        <v>0</v>
      </c>
      <c r="J148" s="147">
        <f>F4A!J147+F4B!J148</f>
        <v>0</v>
      </c>
      <c r="K148" s="147">
        <f>F4A!K147+F4B!K148</f>
        <v>0</v>
      </c>
      <c r="L148" s="147">
        <f>F4A!L147+F4B!L148</f>
        <v>0</v>
      </c>
      <c r="M148" s="147">
        <f>F4A!M147+F4B!M148</f>
        <v>0</v>
      </c>
      <c r="N148" s="147">
        <f>F4A!N147+F4B!N148</f>
        <v>0</v>
      </c>
      <c r="O148" s="147">
        <f>F4A!O147+F4B!O148</f>
        <v>0</v>
      </c>
      <c r="P148" s="147">
        <f>F4A!P147+F4B!P148</f>
        <v>0</v>
      </c>
      <c r="Q148" s="316">
        <f t="shared" si="19"/>
        <v>0</v>
      </c>
    </row>
    <row r="149" ht="15" hidden="1" spans="3:17">
      <c r="C149" s="55"/>
      <c r="D149" s="55"/>
      <c r="E149" s="147">
        <f>F4A!E148+F4B!E149</f>
        <v>0</v>
      </c>
      <c r="F149" s="147">
        <f>F4A!F148+F4B!F149</f>
        <v>0</v>
      </c>
      <c r="G149" s="147">
        <f>F4A!G148+F4B!G149</f>
        <v>0</v>
      </c>
      <c r="H149" s="147">
        <f>F4A!H148+F4B!H149</f>
        <v>0</v>
      </c>
      <c r="I149" s="147">
        <f>F4A!I148+F4B!I149</f>
        <v>0</v>
      </c>
      <c r="J149" s="147">
        <f>F4A!J148+F4B!J149</f>
        <v>0</v>
      </c>
      <c r="K149" s="147">
        <f>F4A!K148+F4B!K149</f>
        <v>0</v>
      </c>
      <c r="L149" s="147">
        <f>F4A!L148+F4B!L149</f>
        <v>0</v>
      </c>
      <c r="M149" s="147">
        <f>F4A!M148+F4B!M149</f>
        <v>0</v>
      </c>
      <c r="N149" s="147">
        <f>F4A!N148+F4B!N149</f>
        <v>0</v>
      </c>
      <c r="O149" s="147">
        <f>F4A!O148+F4B!O149</f>
        <v>0</v>
      </c>
      <c r="P149" s="147">
        <f>F4A!P148+F4B!P149</f>
        <v>0</v>
      </c>
      <c r="Q149" s="316">
        <f t="shared" si="19"/>
        <v>0</v>
      </c>
    </row>
    <row r="150" ht="15" hidden="1" spans="3:17">
      <c r="C150" s="55"/>
      <c r="D150" s="55"/>
      <c r="E150" s="147">
        <f>F4A!E149+F4B!E150</f>
        <v>0</v>
      </c>
      <c r="F150" s="147">
        <f>F4A!F149+F4B!F150</f>
        <v>0</v>
      </c>
      <c r="G150" s="147">
        <f>F4A!G149+F4B!G150</f>
        <v>0</v>
      </c>
      <c r="H150" s="147">
        <f>F4A!H149+F4B!H150</f>
        <v>0</v>
      </c>
      <c r="I150" s="147">
        <f>F4A!I149+F4B!I150</f>
        <v>0</v>
      </c>
      <c r="J150" s="147">
        <f>F4A!J149+F4B!J150</f>
        <v>0</v>
      </c>
      <c r="K150" s="147">
        <f>F4A!K149+F4B!K150</f>
        <v>0</v>
      </c>
      <c r="L150" s="147">
        <f>F4A!L149+F4B!L150</f>
        <v>0</v>
      </c>
      <c r="M150" s="147">
        <f>F4A!M149+F4B!M150</f>
        <v>0</v>
      </c>
      <c r="N150" s="147">
        <f>F4A!N149+F4B!N150</f>
        <v>0</v>
      </c>
      <c r="O150" s="147">
        <f>F4A!O149+F4B!O150</f>
        <v>0</v>
      </c>
      <c r="P150" s="147">
        <f>F4A!P149+F4B!P150</f>
        <v>0</v>
      </c>
      <c r="Q150" s="316">
        <f t="shared" si="19"/>
        <v>0</v>
      </c>
    </row>
    <row r="151" ht="15" hidden="1" spans="3:17">
      <c r="C151" s="55" t="s">
        <v>258</v>
      </c>
      <c r="D151" s="55" t="s">
        <v>258</v>
      </c>
      <c r="E151" s="147">
        <f>F4A!E150+F4B!E151</f>
        <v>0</v>
      </c>
      <c r="F151" s="147">
        <f>F4A!F150+F4B!F151</f>
        <v>0</v>
      </c>
      <c r="G151" s="147">
        <f>F4A!G150+F4B!G151</f>
        <v>0</v>
      </c>
      <c r="H151" s="147">
        <f>F4A!H150+F4B!H151</f>
        <v>0</v>
      </c>
      <c r="I151" s="147">
        <f>F4A!I150+F4B!I151</f>
        <v>0</v>
      </c>
      <c r="J151" s="147">
        <f>F4A!J150+F4B!J151</f>
        <v>0</v>
      </c>
      <c r="K151" s="147">
        <f>F4A!K150+F4B!K151</f>
        <v>0</v>
      </c>
      <c r="L151" s="147">
        <f>F4A!L150+F4B!L151</f>
        <v>0</v>
      </c>
      <c r="M151" s="147">
        <f>F4A!M150+F4B!M151</f>
        <v>0</v>
      </c>
      <c r="N151" s="147">
        <f>F4A!N150+F4B!N151</f>
        <v>0</v>
      </c>
      <c r="O151" s="147">
        <f>F4A!O150+F4B!O151</f>
        <v>0</v>
      </c>
      <c r="P151" s="147">
        <f>F4A!P150+F4B!P151</f>
        <v>0</v>
      </c>
      <c r="Q151" s="316">
        <f t="shared" si="19"/>
        <v>0</v>
      </c>
    </row>
    <row r="152" ht="15" hidden="1" spans="3:17">
      <c r="C152" s="537" t="s">
        <v>211</v>
      </c>
      <c r="D152" s="540"/>
      <c r="E152" s="316">
        <f>SUM(E135:E151)</f>
        <v>361.93</v>
      </c>
      <c r="F152" s="316">
        <f t="shared" ref="F152:P152" si="20">SUM(F135:F151)</f>
        <v>310.66</v>
      </c>
      <c r="G152" s="316">
        <f t="shared" si="20"/>
        <v>339.12</v>
      </c>
      <c r="H152" s="316">
        <f t="shared" si="20"/>
        <v>313.46</v>
      </c>
      <c r="I152" s="316">
        <f t="shared" si="20"/>
        <v>413.09</v>
      </c>
      <c r="J152" s="316">
        <f t="shared" si="20"/>
        <v>565.39</v>
      </c>
      <c r="K152" s="316">
        <f t="shared" si="20"/>
        <v>483.75288156</v>
      </c>
      <c r="L152" s="316">
        <f t="shared" si="20"/>
        <v>500.62106118</v>
      </c>
      <c r="M152" s="316">
        <f t="shared" si="20"/>
        <v>466.846934</v>
      </c>
      <c r="N152" s="316">
        <f t="shared" si="20"/>
        <v>477.47406</v>
      </c>
      <c r="O152" s="316">
        <f t="shared" si="20"/>
        <v>516.60944022</v>
      </c>
      <c r="P152" s="316">
        <f t="shared" si="20"/>
        <v>483.53697905</v>
      </c>
      <c r="Q152" s="316">
        <f t="shared" si="19"/>
        <v>5232.49135601</v>
      </c>
    </row>
    <row r="153" ht="15" hidden="1" spans="3:17">
      <c r="C153" s="537" t="s">
        <v>223</v>
      </c>
      <c r="D153" s="540"/>
      <c r="E153" s="316">
        <f t="shared" ref="E153:P153" si="21">E116+E133+E152</f>
        <v>1346.4562041324</v>
      </c>
      <c r="F153" s="316">
        <f t="shared" si="21"/>
        <v>1270.30691203325</v>
      </c>
      <c r="G153" s="316">
        <f t="shared" si="21"/>
        <v>1371.54783077907</v>
      </c>
      <c r="H153" s="316">
        <f t="shared" si="21"/>
        <v>1267.50619554002</v>
      </c>
      <c r="I153" s="316">
        <f t="shared" si="21"/>
        <v>1347.59706082497</v>
      </c>
      <c r="J153" s="316">
        <f t="shared" si="21"/>
        <v>1493.66611330352</v>
      </c>
      <c r="K153" s="316">
        <f t="shared" si="21"/>
        <v>1323.46536254194</v>
      </c>
      <c r="L153" s="316">
        <f t="shared" si="21"/>
        <v>1400.66845568769</v>
      </c>
      <c r="M153" s="316">
        <f t="shared" si="21"/>
        <v>1344.80549753675</v>
      </c>
      <c r="N153" s="316">
        <f t="shared" si="21"/>
        <v>1362.95683064955</v>
      </c>
      <c r="O153" s="316">
        <f t="shared" si="21"/>
        <v>1442.63582256862</v>
      </c>
      <c r="P153" s="316">
        <f t="shared" si="21"/>
        <v>1368.55368126958</v>
      </c>
      <c r="Q153" s="316">
        <f t="shared" si="19"/>
        <v>16340.1659668674</v>
      </c>
    </row>
    <row r="154" ht="15" hidden="1" spans="3:17">
      <c r="C154" s="537" t="s">
        <v>224</v>
      </c>
      <c r="D154" s="540"/>
      <c r="E154" s="316">
        <f t="shared" ref="E154:P154" si="22">E153+E99</f>
        <v>3417.61155390007</v>
      </c>
      <c r="F154" s="316">
        <f t="shared" si="22"/>
        <v>3380.54360177228</v>
      </c>
      <c r="G154" s="316">
        <f t="shared" si="22"/>
        <v>3099.51452489368</v>
      </c>
      <c r="H154" s="316">
        <f t="shared" si="22"/>
        <v>3108.72046473699</v>
      </c>
      <c r="I154" s="316">
        <f t="shared" si="22"/>
        <v>3461.01178755662</v>
      </c>
      <c r="J154" s="316">
        <f t="shared" si="22"/>
        <v>3324.12015333117</v>
      </c>
      <c r="K154" s="316">
        <f t="shared" si="22"/>
        <v>2997.71810808912</v>
      </c>
      <c r="L154" s="316">
        <f t="shared" si="22"/>
        <v>2995.42389867769</v>
      </c>
      <c r="M154" s="316">
        <f t="shared" si="22"/>
        <v>3287.98350868675</v>
      </c>
      <c r="N154" s="316">
        <f t="shared" si="22"/>
        <v>3514.5887811524</v>
      </c>
      <c r="O154" s="316">
        <f t="shared" si="22"/>
        <v>3606.44390556862</v>
      </c>
      <c r="P154" s="316">
        <f t="shared" si="22"/>
        <v>3715.93665371261</v>
      </c>
      <c r="Q154" s="316">
        <f t="shared" si="19"/>
        <v>39909.616942078</v>
      </c>
    </row>
    <row r="155" ht="15" hidden="1" spans="3:17">
      <c r="C155" s="3"/>
      <c r="D155" s="3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</row>
    <row r="156" ht="15" hidden="1" spans="3:17">
      <c r="C156" s="14"/>
      <c r="Q156" s="3" t="s">
        <v>236</v>
      </c>
    </row>
    <row r="157" ht="15" hidden="1" spans="3:17">
      <c r="C157" s="6" t="s">
        <v>159</v>
      </c>
      <c r="D157" s="6"/>
      <c r="E157" s="135" t="s">
        <v>260</v>
      </c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</row>
    <row r="158" ht="15" hidden="1" spans="3:17">
      <c r="C158" s="6"/>
      <c r="D158" s="6"/>
      <c r="E158" s="135" t="s">
        <v>246</v>
      </c>
      <c r="F158" s="135" t="s">
        <v>247</v>
      </c>
      <c r="G158" s="135" t="s">
        <v>248</v>
      </c>
      <c r="H158" s="135" t="s">
        <v>249</v>
      </c>
      <c r="I158" s="135" t="s">
        <v>250</v>
      </c>
      <c r="J158" s="135" t="s">
        <v>251</v>
      </c>
      <c r="K158" s="135" t="s">
        <v>252</v>
      </c>
      <c r="L158" s="135" t="s">
        <v>253</v>
      </c>
      <c r="M158" s="135" t="s">
        <v>254</v>
      </c>
      <c r="N158" s="135" t="s">
        <v>255</v>
      </c>
      <c r="O158" s="135" t="s">
        <v>256</v>
      </c>
      <c r="P158" s="135" t="s">
        <v>257</v>
      </c>
      <c r="Q158" s="135" t="s">
        <v>97</v>
      </c>
    </row>
    <row r="159" ht="15" hidden="1" spans="3:17">
      <c r="C159" s="44" t="s">
        <v>170</v>
      </c>
      <c r="D159" s="45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316">
        <f>SUM(E159:P159)</f>
        <v>0</v>
      </c>
    </row>
    <row r="160" ht="15" hidden="1" spans="3:17">
      <c r="C160" s="47" t="s">
        <v>171</v>
      </c>
      <c r="D160" s="47" t="s">
        <v>172</v>
      </c>
      <c r="E160" s="147">
        <f>F4A!E159+F4B!E160</f>
        <v>889.482661</v>
      </c>
      <c r="F160" s="147">
        <f>F4A!F159+F4B!F160</f>
        <v>1007.1437855</v>
      </c>
      <c r="G160" s="147">
        <f>F4A!G159+F4B!G160</f>
        <v>774.11618395</v>
      </c>
      <c r="H160" s="147">
        <f>F4A!H159+F4B!H160</f>
        <v>787.64137773</v>
      </c>
      <c r="I160" s="147">
        <f>F4A!I159+F4B!I160</f>
        <v>711.48126579</v>
      </c>
      <c r="J160" s="147">
        <f>F4A!J159+F4B!J160</f>
        <v>733.62959309</v>
      </c>
      <c r="K160" s="147">
        <f>F4A!K159+F4B!K160</f>
        <v>716.03611939</v>
      </c>
      <c r="L160" s="147">
        <f>F4A!L159+F4B!L160</f>
        <v>619.75025767</v>
      </c>
      <c r="M160" s="147">
        <f>F4A!M159+F4B!M160</f>
        <v>597.95278521</v>
      </c>
      <c r="N160" s="147">
        <f>F4A!N159+F4B!N160</f>
        <v>616.09748825</v>
      </c>
      <c r="O160" s="147">
        <f>F4A!O159+F4B!O160</f>
        <v>615.98324113</v>
      </c>
      <c r="P160" s="147">
        <f>F4A!P159+F4B!P160</f>
        <v>842.5288991</v>
      </c>
      <c r="Q160" s="316">
        <f t="shared" ref="Q160:Q173" si="23">SUM(E160:P160)</f>
        <v>8911.84365781</v>
      </c>
    </row>
    <row r="161" ht="15" hidden="1" spans="3:17">
      <c r="C161" s="55" t="s">
        <v>173</v>
      </c>
      <c r="D161" s="55" t="s">
        <v>174</v>
      </c>
      <c r="E161" s="147">
        <f>F4A!E160+F4B!E161</f>
        <v>157.241375</v>
      </c>
      <c r="F161" s="147">
        <f>F4A!F160+F4B!F161</f>
        <v>245.755592</v>
      </c>
      <c r="G161" s="147">
        <f>F4A!G160+F4B!G161</f>
        <v>166.2556645</v>
      </c>
      <c r="H161" s="147">
        <f>F4A!H160+F4B!H161</f>
        <v>165.3770375</v>
      </c>
      <c r="I161" s="147">
        <f>F4A!I160+F4B!I161</f>
        <v>155.674095</v>
      </c>
      <c r="J161" s="147">
        <f>F4A!J160+F4B!J161</f>
        <v>171.68024801</v>
      </c>
      <c r="K161" s="147">
        <f>F4A!K160+F4B!K161</f>
        <v>177.68252325</v>
      </c>
      <c r="L161" s="147">
        <f>F4A!L160+F4B!L161</f>
        <v>167.36727319</v>
      </c>
      <c r="M161" s="147">
        <f>F4A!M160+F4B!M161</f>
        <v>169.94316952</v>
      </c>
      <c r="N161" s="147">
        <f>F4A!N160+F4B!N161</f>
        <v>173.3462431</v>
      </c>
      <c r="O161" s="147">
        <f>F4A!O160+F4B!O161</f>
        <v>180.2769248</v>
      </c>
      <c r="P161" s="147">
        <f>F4A!P160+F4B!P161</f>
        <v>229.97228746</v>
      </c>
      <c r="Q161" s="316">
        <f t="shared" si="23"/>
        <v>2160.57243333</v>
      </c>
    </row>
    <row r="162" ht="15" hidden="1" spans="3:17">
      <c r="C162" s="55" t="s">
        <v>175</v>
      </c>
      <c r="D162" s="55" t="s">
        <v>176</v>
      </c>
      <c r="E162" s="147">
        <f>F4A!E161+F4B!E162</f>
        <v>81.518555</v>
      </c>
      <c r="F162" s="147">
        <f>F4A!F161+F4B!F162</f>
        <v>63.440446</v>
      </c>
      <c r="G162" s="147">
        <f>F4A!G161+F4B!G162</f>
        <v>63.1360545</v>
      </c>
      <c r="H162" s="147">
        <f>F4A!H161+F4B!H162</f>
        <v>66.772574</v>
      </c>
      <c r="I162" s="147">
        <f>F4A!I161+F4B!I162</f>
        <v>64.056426</v>
      </c>
      <c r="J162" s="147">
        <f>F4A!J161+F4B!J162</f>
        <v>70.532176</v>
      </c>
      <c r="K162" s="147">
        <f>F4A!K161+F4B!K162</f>
        <v>69.908382</v>
      </c>
      <c r="L162" s="147">
        <f>F4A!L161+F4B!L162</f>
        <v>77.5692</v>
      </c>
      <c r="M162" s="147">
        <f>F4A!M161+F4B!M162</f>
        <v>87.046812</v>
      </c>
      <c r="N162" s="147">
        <f>F4A!N161+F4B!N162</f>
        <v>78.657146</v>
      </c>
      <c r="O162" s="147">
        <f>F4A!O161+F4B!O162</f>
        <v>76.932426</v>
      </c>
      <c r="P162" s="147">
        <f>F4A!P161+F4B!P162</f>
        <v>80.436896</v>
      </c>
      <c r="Q162" s="316">
        <f t="shared" si="23"/>
        <v>880.0070935</v>
      </c>
    </row>
    <row r="163" ht="15" hidden="1" spans="3:17">
      <c r="C163" s="55" t="s">
        <v>177</v>
      </c>
      <c r="D163" s="55" t="s">
        <v>178</v>
      </c>
      <c r="E163" s="147">
        <f>F4A!E162+F4B!E163</f>
        <v>1.115069</v>
      </c>
      <c r="F163" s="147">
        <f>F4A!F162+F4B!F163</f>
        <v>0.815745</v>
      </c>
      <c r="G163" s="147">
        <f>F4A!G162+F4B!G163</f>
        <v>0.760655</v>
      </c>
      <c r="H163" s="147">
        <f>F4A!H162+F4B!H163</f>
        <v>0.807323</v>
      </c>
      <c r="I163" s="147">
        <f>F4A!I162+F4B!I163</f>
        <v>0.67538</v>
      </c>
      <c r="J163" s="147">
        <f>F4A!J162+F4B!J163</f>
        <v>0.80567</v>
      </c>
      <c r="K163" s="147">
        <f>F4A!K162+F4B!K163</f>
        <v>0.767763</v>
      </c>
      <c r="L163" s="147">
        <f>F4A!L162+F4B!L163</f>
        <v>0.727058</v>
      </c>
      <c r="M163" s="147">
        <f>F4A!M162+F4B!M163</f>
        <v>0.813521</v>
      </c>
      <c r="N163" s="147">
        <f>F4A!N162+F4B!N163</f>
        <v>0.735393</v>
      </c>
      <c r="O163" s="147">
        <f>F4A!O162+F4B!O163</f>
        <v>0.738009</v>
      </c>
      <c r="P163" s="147">
        <f>F4A!P162+F4B!P163</f>
        <v>0.817645</v>
      </c>
      <c r="Q163" s="316">
        <f t="shared" si="23"/>
        <v>9.579231</v>
      </c>
    </row>
    <row r="164" ht="15" hidden="1" spans="3:17">
      <c r="C164" s="55" t="s">
        <v>179</v>
      </c>
      <c r="D164" s="55" t="s">
        <v>180</v>
      </c>
      <c r="E164" s="147">
        <f>F4A!E163+F4B!E164</f>
        <v>700.883191121226</v>
      </c>
      <c r="F164" s="147">
        <f>F4A!F163+F4B!F164</f>
        <v>652.515841899179</v>
      </c>
      <c r="G164" s="147">
        <f>F4A!G163+F4B!G164</f>
        <v>557.744076512743</v>
      </c>
      <c r="H164" s="147">
        <f>F4A!H163+F4B!H164</f>
        <v>1005.72579887347</v>
      </c>
      <c r="I164" s="147">
        <f>F4A!I163+F4B!I164</f>
        <v>937.29656875768</v>
      </c>
      <c r="J164" s="147">
        <f>F4A!J163+F4B!J164</f>
        <v>743.72</v>
      </c>
      <c r="K164" s="147">
        <f>F4A!K163+F4B!K164</f>
        <v>613.03</v>
      </c>
      <c r="L164" s="147">
        <f>F4A!L163+F4B!L164</f>
        <v>504.954009414208</v>
      </c>
      <c r="M164" s="147">
        <f>F4A!M163+F4B!M164</f>
        <v>1080.42</v>
      </c>
      <c r="N164" s="147">
        <f>F4A!N163+F4B!N164</f>
        <v>1496.2531956607</v>
      </c>
      <c r="O164" s="147">
        <f>F4A!O163+F4B!O164</f>
        <v>1389.22311687039</v>
      </c>
      <c r="P164" s="147">
        <f>F4A!P163+F4B!P164</f>
        <v>2063.07707424606</v>
      </c>
      <c r="Q164" s="316">
        <f t="shared" si="23"/>
        <v>11744.8428733557</v>
      </c>
    </row>
    <row r="165" ht="15" hidden="1" spans="3:17">
      <c r="C165" s="55" t="s">
        <v>181</v>
      </c>
      <c r="D165" s="55" t="s">
        <v>182</v>
      </c>
      <c r="E165" s="147">
        <f>F4A!E164+F4B!E165</f>
        <v>45.4151409</v>
      </c>
      <c r="F165" s="147">
        <f>F4A!F164+F4B!F165</f>
        <v>41.22368106</v>
      </c>
      <c r="G165" s="147">
        <f>F4A!G164+F4B!G165</f>
        <v>40.33599186</v>
      </c>
      <c r="H165" s="147">
        <f>F4A!H164+F4B!H165</f>
        <v>44.05345225</v>
      </c>
      <c r="I165" s="147">
        <f>F4A!I164+F4B!I165</f>
        <v>36.911133</v>
      </c>
      <c r="J165" s="147">
        <f>F4A!J164+F4B!J165</f>
        <v>36.38</v>
      </c>
      <c r="K165" s="147">
        <f>F4A!K164+F4B!K165</f>
        <v>38.78735625</v>
      </c>
      <c r="L165" s="147">
        <f>F4A!L164+F4B!L165</f>
        <v>39.129566</v>
      </c>
      <c r="M165" s="147">
        <f>F4A!M164+F4B!M165</f>
        <v>39.831662</v>
      </c>
      <c r="N165" s="147">
        <f>F4A!N164+F4B!N165</f>
        <v>38.81545775</v>
      </c>
      <c r="O165" s="147">
        <f>F4A!O164+F4B!O165</f>
        <v>36.45786175</v>
      </c>
      <c r="P165" s="147">
        <f>F4A!P164+F4B!P165</f>
        <v>40.8764126</v>
      </c>
      <c r="Q165" s="316">
        <f t="shared" si="23"/>
        <v>478.21771542</v>
      </c>
    </row>
    <row r="166" ht="15" hidden="1" spans="3:17">
      <c r="C166" s="55" t="s">
        <v>183</v>
      </c>
      <c r="D166" s="55" t="s">
        <v>184</v>
      </c>
      <c r="E166" s="147">
        <f>F4A!E165+F4B!E166</f>
        <v>2.141105</v>
      </c>
      <c r="F166" s="147">
        <f>F4A!F165+F4B!F166</f>
        <v>6.077554</v>
      </c>
      <c r="G166" s="147">
        <f>F4A!G165+F4B!G166</f>
        <v>3.59016925</v>
      </c>
      <c r="H166" s="147">
        <f>F4A!H165+F4B!H166</f>
        <v>3.49083375</v>
      </c>
      <c r="I166" s="147">
        <f>F4A!I165+F4B!I166</f>
        <v>3.271898</v>
      </c>
      <c r="J166" s="147">
        <f>F4A!J165+F4B!J166</f>
        <v>3.65</v>
      </c>
      <c r="K166" s="147">
        <f>F4A!K165+F4B!K166</f>
        <v>3.649295</v>
      </c>
      <c r="L166" s="147">
        <f>F4A!L165+F4B!L166</f>
        <v>3.419242</v>
      </c>
      <c r="M166" s="147">
        <f>F4A!M165+F4B!M166</f>
        <v>3.638594</v>
      </c>
      <c r="N166" s="147">
        <f>F4A!N165+F4B!N166</f>
        <v>3.606449</v>
      </c>
      <c r="O166" s="147">
        <f>F4A!O165+F4B!O166</f>
        <v>4.993773</v>
      </c>
      <c r="P166" s="147">
        <f>F4A!P165+F4B!P166</f>
        <v>6.1809067</v>
      </c>
      <c r="Q166" s="316">
        <f t="shared" si="23"/>
        <v>47.7098197</v>
      </c>
    </row>
    <row r="167" ht="15" hidden="1" spans="3:17">
      <c r="C167" s="55" t="s">
        <v>185</v>
      </c>
      <c r="D167" s="55" t="s">
        <v>186</v>
      </c>
      <c r="E167" s="147">
        <f>F4A!E166+F4B!E167</f>
        <v>3.94086732</v>
      </c>
      <c r="F167" s="147">
        <f>F4A!F166+F4B!F167</f>
        <v>4.516936</v>
      </c>
      <c r="G167" s="147">
        <f>F4A!G166+F4B!G167</f>
        <v>3.017399</v>
      </c>
      <c r="H167" s="147">
        <f>F4A!H166+F4B!H167</f>
        <v>3.306336</v>
      </c>
      <c r="I167" s="147">
        <f>F4A!I166+F4B!I167</f>
        <v>3.423059</v>
      </c>
      <c r="J167" s="147">
        <f>F4A!J166+F4B!J167</f>
        <v>3.922136</v>
      </c>
      <c r="K167" s="147">
        <f>F4A!K166+F4B!K167</f>
        <v>4.317746</v>
      </c>
      <c r="L167" s="147">
        <f>F4A!L166+F4B!L167</f>
        <v>4.214107</v>
      </c>
      <c r="M167" s="147">
        <f>F4A!M166+F4B!M167</f>
        <v>5.094679</v>
      </c>
      <c r="N167" s="147">
        <f>F4A!N166+F4B!N167</f>
        <v>5.290805</v>
      </c>
      <c r="O167" s="147">
        <f>F4A!O166+F4B!O167</f>
        <v>5.583481</v>
      </c>
      <c r="P167" s="147">
        <f>F4A!P166+F4B!P167</f>
        <v>6.801739</v>
      </c>
      <c r="Q167" s="316">
        <f t="shared" si="23"/>
        <v>53.42929032</v>
      </c>
    </row>
    <row r="168" ht="15" hidden="1" spans="3:17">
      <c r="C168" s="55" t="s">
        <v>187</v>
      </c>
      <c r="D168" s="55" t="s">
        <v>188</v>
      </c>
      <c r="E168" s="147">
        <f>F4A!E167+F4B!E168</f>
        <v>5.2e-5</v>
      </c>
      <c r="F168" s="147">
        <f>F4A!F167+F4B!F168</f>
        <v>0.000643</v>
      </c>
      <c r="G168" s="147">
        <f>F4A!G167+F4B!G168</f>
        <v>0.0004393</v>
      </c>
      <c r="H168" s="147">
        <f>F4A!H167+F4B!H168</f>
        <v>0.000616</v>
      </c>
      <c r="I168" s="147">
        <f>F4A!I167+F4B!I168</f>
        <v>0.00096</v>
      </c>
      <c r="J168" s="147">
        <f>F4A!J167+F4B!J168</f>
        <v>0.00159</v>
      </c>
      <c r="K168" s="147">
        <f>F4A!K167+F4B!K168</f>
        <v>0.000971</v>
      </c>
      <c r="L168" s="147">
        <f>F4A!L167+F4B!L168</f>
        <v>0.006312</v>
      </c>
      <c r="M168" s="147">
        <f>F4A!M167+F4B!M168</f>
        <v>0.002167</v>
      </c>
      <c r="N168" s="147">
        <f>F4A!N167+F4B!N168</f>
        <v>0.001029</v>
      </c>
      <c r="O168" s="147">
        <f>F4A!O167+F4B!O168</f>
        <v>0.003907</v>
      </c>
      <c r="P168" s="147">
        <f>F4A!P167+F4B!P168</f>
        <v>0.000816</v>
      </c>
      <c r="Q168" s="316">
        <f t="shared" si="23"/>
        <v>0.0195023</v>
      </c>
    </row>
    <row r="169" ht="15" hidden="1" spans="3:17">
      <c r="C169" s="55"/>
      <c r="D169" s="55"/>
      <c r="E169" s="147">
        <f>F4A!E168+F4B!E169</f>
        <v>0</v>
      </c>
      <c r="F169" s="147">
        <f>F4A!F168+F4B!F169</f>
        <v>0</v>
      </c>
      <c r="G169" s="147">
        <f>F4A!G168+F4B!G169</f>
        <v>0</v>
      </c>
      <c r="H169" s="147">
        <f>F4A!H168+F4B!H169</f>
        <v>0</v>
      </c>
      <c r="I169" s="147">
        <f>F4A!I168+F4B!I169</f>
        <v>0</v>
      </c>
      <c r="J169" s="147">
        <f>F4A!J168+F4B!J169</f>
        <v>0</v>
      </c>
      <c r="K169" s="147">
        <f>F4A!K168+F4B!K169</f>
        <v>0</v>
      </c>
      <c r="L169" s="147">
        <f>F4A!L168+F4B!L169</f>
        <v>0</v>
      </c>
      <c r="M169" s="147">
        <f>F4A!M168+F4B!M169</f>
        <v>0</v>
      </c>
      <c r="N169" s="147">
        <f>F4A!N168+F4B!N169</f>
        <v>0</v>
      </c>
      <c r="O169" s="147">
        <f>F4A!O168+F4B!O169</f>
        <v>0</v>
      </c>
      <c r="P169" s="147">
        <f>F4A!P168+F4B!P169</f>
        <v>0</v>
      </c>
      <c r="Q169" s="316">
        <f t="shared" si="23"/>
        <v>0</v>
      </c>
    </row>
    <row r="170" ht="15" hidden="1" spans="3:17">
      <c r="C170" s="55"/>
      <c r="D170" s="55"/>
      <c r="E170" s="147">
        <f>F4A!E169+F4B!E170</f>
        <v>0</v>
      </c>
      <c r="F170" s="147">
        <f>F4A!F169+F4B!F170</f>
        <v>0</v>
      </c>
      <c r="G170" s="147">
        <f>F4A!G169+F4B!G170</f>
        <v>0</v>
      </c>
      <c r="H170" s="147">
        <f>F4A!H169+F4B!H170</f>
        <v>0</v>
      </c>
      <c r="I170" s="147">
        <f>F4A!I169+F4B!I170</f>
        <v>0</v>
      </c>
      <c r="J170" s="147">
        <f>F4A!J169+F4B!J170</f>
        <v>0</v>
      </c>
      <c r="K170" s="147">
        <f>F4A!K169+F4B!K170</f>
        <v>0</v>
      </c>
      <c r="L170" s="147">
        <f>F4A!L169+F4B!L170</f>
        <v>0</v>
      </c>
      <c r="M170" s="147">
        <f>F4A!M169+F4B!M170</f>
        <v>0</v>
      </c>
      <c r="N170" s="147">
        <f>F4A!N169+F4B!N170</f>
        <v>0</v>
      </c>
      <c r="O170" s="147">
        <f>F4A!O169+F4B!O170</f>
        <v>0</v>
      </c>
      <c r="P170" s="147">
        <f>F4A!P169+F4B!P170</f>
        <v>0</v>
      </c>
      <c r="Q170" s="316">
        <f t="shared" si="23"/>
        <v>0</v>
      </c>
    </row>
    <row r="171" ht="15" hidden="1" spans="3:17">
      <c r="C171" s="55"/>
      <c r="D171" s="55"/>
      <c r="E171" s="147">
        <f>F4A!E170+F4B!E171</f>
        <v>0</v>
      </c>
      <c r="F171" s="147">
        <f>F4A!F170+F4B!F171</f>
        <v>0</v>
      </c>
      <c r="G171" s="147">
        <f>F4A!G170+F4B!G171</f>
        <v>0</v>
      </c>
      <c r="H171" s="147">
        <f>F4A!H170+F4B!H171</f>
        <v>0</v>
      </c>
      <c r="I171" s="147">
        <f>F4A!I170+F4B!I171</f>
        <v>0</v>
      </c>
      <c r="J171" s="147">
        <f>F4A!J170+F4B!J171</f>
        <v>0</v>
      </c>
      <c r="K171" s="147">
        <f>F4A!K170+F4B!K171</f>
        <v>0</v>
      </c>
      <c r="L171" s="147">
        <f>F4A!L170+F4B!L171</f>
        <v>0</v>
      </c>
      <c r="M171" s="147">
        <f>F4A!M170+F4B!M171</f>
        <v>0</v>
      </c>
      <c r="N171" s="147">
        <f>F4A!N170+F4B!N171</f>
        <v>0</v>
      </c>
      <c r="O171" s="147">
        <f>F4A!O170+F4B!O171</f>
        <v>0</v>
      </c>
      <c r="P171" s="147">
        <f>F4A!P170+F4B!P171</f>
        <v>0</v>
      </c>
      <c r="Q171" s="316">
        <f t="shared" si="23"/>
        <v>0</v>
      </c>
    </row>
    <row r="172" ht="15" hidden="1" spans="3:17">
      <c r="C172" s="55" t="s">
        <v>258</v>
      </c>
      <c r="D172" s="55" t="s">
        <v>258</v>
      </c>
      <c r="E172" s="147">
        <f>F4A!E171+F4B!E172</f>
        <v>0</v>
      </c>
      <c r="F172" s="147">
        <f>F4A!F171+F4B!F172</f>
        <v>0</v>
      </c>
      <c r="G172" s="147">
        <f>F4A!G171+F4B!G172</f>
        <v>0</v>
      </c>
      <c r="H172" s="147">
        <f>F4A!H171+F4B!H172</f>
        <v>0</v>
      </c>
      <c r="I172" s="147">
        <f>F4A!I171+F4B!I172</f>
        <v>0</v>
      </c>
      <c r="J172" s="147">
        <f>F4A!J171+F4B!J172</f>
        <v>0</v>
      </c>
      <c r="K172" s="147">
        <f>F4A!K171+F4B!K172</f>
        <v>0</v>
      </c>
      <c r="L172" s="147">
        <f>F4A!L171+F4B!L172</f>
        <v>0</v>
      </c>
      <c r="M172" s="147">
        <f>F4A!M171+F4B!M172</f>
        <v>0</v>
      </c>
      <c r="N172" s="147">
        <f>F4A!N171+F4B!N172</f>
        <v>0</v>
      </c>
      <c r="O172" s="147">
        <f>F4A!O171+F4B!O172</f>
        <v>0</v>
      </c>
      <c r="P172" s="147">
        <f>F4A!P171+F4B!P172</f>
        <v>0</v>
      </c>
      <c r="Q172" s="316">
        <f t="shared" si="23"/>
        <v>0</v>
      </c>
    </row>
    <row r="173" ht="15" hidden="1" spans="3:17">
      <c r="C173" s="537" t="s">
        <v>189</v>
      </c>
      <c r="D173" s="540"/>
      <c r="E173" s="316">
        <f t="shared" ref="E173:P173" si="24">SUM(E160:E172)</f>
        <v>1881.73801634123</v>
      </c>
      <c r="F173" s="316">
        <f t="shared" si="24"/>
        <v>2021.49022445918</v>
      </c>
      <c r="G173" s="316">
        <f t="shared" si="24"/>
        <v>1608.95663387274</v>
      </c>
      <c r="H173" s="316">
        <f t="shared" si="24"/>
        <v>2077.17534910347</v>
      </c>
      <c r="I173" s="316">
        <f t="shared" si="24"/>
        <v>1912.79078554768</v>
      </c>
      <c r="J173" s="316">
        <f t="shared" si="24"/>
        <v>1764.3214131</v>
      </c>
      <c r="K173" s="316">
        <f t="shared" si="24"/>
        <v>1624.18015589</v>
      </c>
      <c r="L173" s="316">
        <f t="shared" si="24"/>
        <v>1417.13702527421</v>
      </c>
      <c r="M173" s="316">
        <f t="shared" si="24"/>
        <v>1984.74338973</v>
      </c>
      <c r="N173" s="316">
        <f t="shared" si="24"/>
        <v>2412.8032067607</v>
      </c>
      <c r="O173" s="316">
        <f t="shared" si="24"/>
        <v>2310.19274055039</v>
      </c>
      <c r="P173" s="316">
        <f t="shared" si="24"/>
        <v>3270.69267610606</v>
      </c>
      <c r="Q173" s="316">
        <f t="shared" si="23"/>
        <v>24286.2216167357</v>
      </c>
    </row>
    <row r="174" ht="15" hidden="1" spans="3:17">
      <c r="C174" s="44" t="s">
        <v>190</v>
      </c>
      <c r="D174" s="45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316">
        <f t="shared" ref="Q174:Q190" si="25">SUM(E174:P174)</f>
        <v>0</v>
      </c>
    </row>
    <row r="175" ht="15" hidden="1" spans="3:17">
      <c r="C175" s="55" t="s">
        <v>191</v>
      </c>
      <c r="D175" s="55" t="s">
        <v>192</v>
      </c>
      <c r="E175" s="147">
        <f>F4A!E174+F4B!E175</f>
        <v>179.85</v>
      </c>
      <c r="F175" s="147">
        <f>F4A!F174+F4B!F175</f>
        <v>226.56</v>
      </c>
      <c r="G175" s="147">
        <f>F4A!G174+F4B!G175</f>
        <v>284.68</v>
      </c>
      <c r="H175" s="147">
        <f>F4A!H174+F4B!H175</f>
        <v>284.77</v>
      </c>
      <c r="I175" s="147">
        <f>F4A!I174+F4B!I175</f>
        <v>286.1</v>
      </c>
      <c r="J175" s="147">
        <f>F4A!J174+F4B!J175</f>
        <v>302.35</v>
      </c>
      <c r="K175" s="147">
        <f>F4A!K174+F4B!K175</f>
        <v>296.49</v>
      </c>
      <c r="L175" s="147">
        <f>F4A!L174+F4B!L175</f>
        <v>312.36</v>
      </c>
      <c r="M175" s="147">
        <f>F4A!M174+F4B!M175</f>
        <v>321.46</v>
      </c>
      <c r="N175" s="147">
        <f>F4A!N174+F4B!N175</f>
        <v>328.87</v>
      </c>
      <c r="O175" s="147">
        <f>F4A!O174+F4B!O175</f>
        <v>328.01</v>
      </c>
      <c r="P175" s="147">
        <f>F4A!P174+F4B!P175</f>
        <v>308.7168271</v>
      </c>
      <c r="Q175" s="316">
        <f t="shared" si="25"/>
        <v>3460.2168271</v>
      </c>
    </row>
    <row r="176" ht="15" hidden="1" spans="3:17">
      <c r="C176" s="55" t="s">
        <v>193</v>
      </c>
      <c r="D176" s="55" t="s">
        <v>194</v>
      </c>
      <c r="E176" s="147">
        <f>F4A!E175+F4B!E176</f>
        <v>0</v>
      </c>
      <c r="F176" s="147">
        <f>F4A!F175+F4B!F176</f>
        <v>0</v>
      </c>
      <c r="G176" s="147">
        <f>F4A!G175+F4B!G176</f>
        <v>0</v>
      </c>
      <c r="H176" s="147">
        <f>F4A!H175+F4B!H176</f>
        <v>0</v>
      </c>
      <c r="I176" s="147">
        <f>F4A!I175+F4B!I176</f>
        <v>0</v>
      </c>
      <c r="J176" s="147">
        <f>F4A!J175+F4B!J176</f>
        <v>0</v>
      </c>
      <c r="K176" s="147">
        <f>F4A!K175+F4B!K176</f>
        <v>0</v>
      </c>
      <c r="L176" s="147">
        <f>F4A!L175+F4B!L176</f>
        <v>0</v>
      </c>
      <c r="M176" s="147">
        <f>F4A!M175+F4B!M176</f>
        <v>0</v>
      </c>
      <c r="N176" s="147">
        <f>F4A!N175+F4B!N176</f>
        <v>0</v>
      </c>
      <c r="O176" s="147">
        <f>F4A!O175+F4B!O176</f>
        <v>0</v>
      </c>
      <c r="P176" s="147">
        <f>F4A!P175+F4B!P176</f>
        <v>0</v>
      </c>
      <c r="Q176" s="316">
        <f t="shared" si="25"/>
        <v>0</v>
      </c>
    </row>
    <row r="177" ht="15" hidden="1" spans="3:17">
      <c r="C177" s="55" t="s">
        <v>239</v>
      </c>
      <c r="D177" s="55" t="s">
        <v>196</v>
      </c>
      <c r="E177" s="147">
        <f>F4A!E176+F4B!E177</f>
        <v>82.26</v>
      </c>
      <c r="F177" s="147">
        <f>F4A!F176+F4B!F177</f>
        <v>85.21</v>
      </c>
      <c r="G177" s="147">
        <f>F4A!G176+F4B!G177</f>
        <v>106.06</v>
      </c>
      <c r="H177" s="147">
        <f>F4A!H176+F4B!H177</f>
        <v>96.06</v>
      </c>
      <c r="I177" s="147">
        <f>F4A!I176+F4B!I177</f>
        <v>97.93</v>
      </c>
      <c r="J177" s="147">
        <f>F4A!J176+F4B!J177</f>
        <v>100.08</v>
      </c>
      <c r="K177" s="147">
        <f>F4A!K176+F4B!K177</f>
        <v>101.43</v>
      </c>
      <c r="L177" s="147">
        <f>F4A!L176+F4B!L177</f>
        <v>102.75</v>
      </c>
      <c r="M177" s="147">
        <f>F4A!M176+F4B!M177</f>
        <v>96.2</v>
      </c>
      <c r="N177" s="147">
        <f>F4A!N176+F4B!N177</f>
        <v>98.12473311</v>
      </c>
      <c r="O177" s="147">
        <f>F4A!O176+F4B!O177</f>
        <v>105.462729</v>
      </c>
      <c r="P177" s="147">
        <f>F4A!P176+F4B!P177</f>
        <v>110.210156</v>
      </c>
      <c r="Q177" s="316">
        <f t="shared" si="25"/>
        <v>1181.77761811</v>
      </c>
    </row>
    <row r="178" ht="15" hidden="1" spans="3:17">
      <c r="C178" s="55" t="s">
        <v>197</v>
      </c>
      <c r="D178" s="55" t="s">
        <v>198</v>
      </c>
      <c r="E178" s="147">
        <f>F4A!E177+F4B!E178</f>
        <v>0</v>
      </c>
      <c r="F178" s="147">
        <f>F4A!F177+F4B!F178</f>
        <v>0</v>
      </c>
      <c r="G178" s="147">
        <f>F4A!G177+F4B!G178</f>
        <v>0</v>
      </c>
      <c r="H178" s="147">
        <f>F4A!H177+F4B!H178</f>
        <v>0</v>
      </c>
      <c r="I178" s="147">
        <f>F4A!I177+F4B!I178</f>
        <v>0</v>
      </c>
      <c r="J178" s="147">
        <f>F4A!J177+F4B!J178</f>
        <v>0</v>
      </c>
      <c r="K178" s="147">
        <f>F4A!K177+F4B!K178</f>
        <v>0</v>
      </c>
      <c r="L178" s="147">
        <f>F4A!L177+F4B!L178</f>
        <v>0</v>
      </c>
      <c r="M178" s="147">
        <f>F4A!M177+F4B!M178</f>
        <v>0</v>
      </c>
      <c r="N178" s="147">
        <f>F4A!N177+F4B!N178</f>
        <v>0</v>
      </c>
      <c r="O178" s="147">
        <f>F4A!O177+F4B!O178</f>
        <v>0</v>
      </c>
      <c r="P178" s="147">
        <f>F4A!P177+F4B!P178</f>
        <v>0</v>
      </c>
      <c r="Q178" s="316">
        <f t="shared" ref="Q178" si="26">SUM(E178:P178)</f>
        <v>0</v>
      </c>
    </row>
    <row r="179" ht="15" hidden="1" spans="3:17">
      <c r="C179" s="55" t="s">
        <v>199</v>
      </c>
      <c r="D179" s="55" t="s">
        <v>200</v>
      </c>
      <c r="E179" s="147">
        <f>F4A!E178+F4B!E179</f>
        <v>0.16</v>
      </c>
      <c r="F179" s="147">
        <f>F4A!F178+F4B!F179</f>
        <v>0.13</v>
      </c>
      <c r="G179" s="147">
        <f>F4A!G178+F4B!G179</f>
        <v>0.18</v>
      </c>
      <c r="H179" s="147">
        <f>F4A!H178+F4B!H179</f>
        <v>0.19</v>
      </c>
      <c r="I179" s="147">
        <f>F4A!I178+F4B!I179</f>
        <v>0.19</v>
      </c>
      <c r="J179" s="147">
        <f>F4A!J178+F4B!J179</f>
        <v>0.18</v>
      </c>
      <c r="K179" s="147">
        <f>F4A!K178+F4B!K179</f>
        <v>0.2</v>
      </c>
      <c r="L179" s="147">
        <f>F4A!L178+F4B!L179</f>
        <v>0.22</v>
      </c>
      <c r="M179" s="147">
        <f>F4A!M178+F4B!M179</f>
        <v>0.22</v>
      </c>
      <c r="N179" s="147">
        <f>F4A!N178+F4B!N179</f>
        <v>0.215848</v>
      </c>
      <c r="O179" s="147">
        <f>F4A!O178+F4B!O179</f>
        <v>0.218184</v>
      </c>
      <c r="P179" s="147">
        <f>F4A!P178+F4B!P179</f>
        <v>0.241401</v>
      </c>
      <c r="Q179" s="316">
        <f t="shared" si="25"/>
        <v>2.345433</v>
      </c>
    </row>
    <row r="180" ht="15" hidden="1" spans="3:17">
      <c r="C180" s="55" t="s">
        <v>201</v>
      </c>
      <c r="D180" s="55" t="s">
        <v>202</v>
      </c>
      <c r="E180" s="147">
        <f>F4A!E179+F4B!E180</f>
        <v>3.91</v>
      </c>
      <c r="F180" s="147">
        <f>F4A!F179+F4B!F180</f>
        <v>1.12</v>
      </c>
      <c r="G180" s="147">
        <f>F4A!G179+F4B!G180</f>
        <v>1.39</v>
      </c>
      <c r="H180" s="147">
        <f>F4A!H179+F4B!H180</f>
        <v>1.09</v>
      </c>
      <c r="I180" s="147">
        <f>F4A!I179+F4B!I180</f>
        <v>1.49</v>
      </c>
      <c r="J180" s="147">
        <f>F4A!J179+F4B!J180</f>
        <v>3.87</v>
      </c>
      <c r="K180" s="147">
        <f>F4A!K179+F4B!K180</f>
        <v>3.19</v>
      </c>
      <c r="L180" s="147">
        <f>F4A!L179+F4B!L180</f>
        <v>4.29</v>
      </c>
      <c r="M180" s="147">
        <f>F4A!M179+F4B!M180</f>
        <v>2.37</v>
      </c>
      <c r="N180" s="147">
        <f>F4A!N179+F4B!N180</f>
        <v>5.82</v>
      </c>
      <c r="O180" s="147">
        <f>F4A!O179+F4B!O180</f>
        <v>6.69</v>
      </c>
      <c r="P180" s="147">
        <f>F4A!P179+F4B!P180</f>
        <v>6.89</v>
      </c>
      <c r="Q180" s="316">
        <f t="shared" si="25"/>
        <v>42.12</v>
      </c>
    </row>
    <row r="181" ht="15" hidden="1" spans="3:17">
      <c r="C181" s="55" t="s">
        <v>203</v>
      </c>
      <c r="D181" s="55" t="s">
        <v>204</v>
      </c>
      <c r="E181" s="147">
        <f>F4A!E180+F4B!E181</f>
        <v>9.29</v>
      </c>
      <c r="F181" s="147">
        <f>F4A!F180+F4B!F181</f>
        <v>9.21</v>
      </c>
      <c r="G181" s="147">
        <f>F4A!G180+F4B!G181</f>
        <v>8.94</v>
      </c>
      <c r="H181" s="147">
        <f>F4A!H180+F4B!H181</f>
        <v>8.9</v>
      </c>
      <c r="I181" s="147">
        <f>F4A!I180+F4B!I181</f>
        <v>8.82</v>
      </c>
      <c r="J181" s="147">
        <f>F4A!J180+F4B!J181</f>
        <v>9.34</v>
      </c>
      <c r="K181" s="147">
        <f>F4A!K180+F4B!K181</f>
        <v>8.56</v>
      </c>
      <c r="L181" s="147">
        <f>F4A!L180+F4B!L181</f>
        <v>8.18</v>
      </c>
      <c r="M181" s="147">
        <f>F4A!M180+F4B!M181</f>
        <v>10.08</v>
      </c>
      <c r="N181" s="147">
        <f>F4A!N180+F4B!N181</f>
        <v>10.47</v>
      </c>
      <c r="O181" s="147">
        <f>F4A!O180+F4B!O181</f>
        <v>10.72</v>
      </c>
      <c r="P181" s="147">
        <f>F4A!P180+F4B!P181</f>
        <v>10.05</v>
      </c>
      <c r="Q181" s="316">
        <f t="shared" si="25"/>
        <v>112.56</v>
      </c>
    </row>
    <row r="182" ht="15" hidden="1" spans="3:17">
      <c r="C182" s="55" t="s">
        <v>205</v>
      </c>
      <c r="D182" s="55" t="s">
        <v>206</v>
      </c>
      <c r="E182" s="147">
        <f>F4A!E181+F4B!E182</f>
        <v>11.64</v>
      </c>
      <c r="F182" s="147">
        <f>F4A!F181+F4B!F182</f>
        <v>13.6</v>
      </c>
      <c r="G182" s="147">
        <f>F4A!G181+F4B!G182</f>
        <v>13.89</v>
      </c>
      <c r="H182" s="147">
        <f>F4A!H181+F4B!H182</f>
        <v>10.1</v>
      </c>
      <c r="I182" s="147">
        <f>F4A!I181+F4B!I182</f>
        <v>10.44</v>
      </c>
      <c r="J182" s="147">
        <f>F4A!J181+F4B!J182</f>
        <v>10.38</v>
      </c>
      <c r="K182" s="147">
        <f>F4A!K181+F4B!K182</f>
        <v>10.01</v>
      </c>
      <c r="L182" s="147">
        <f>F4A!L181+F4B!L182</f>
        <v>9.76</v>
      </c>
      <c r="M182" s="147">
        <f>F4A!M181+F4B!M182</f>
        <v>9.04</v>
      </c>
      <c r="N182" s="147">
        <f>F4A!N181+F4B!N182</f>
        <v>9.14</v>
      </c>
      <c r="O182" s="147">
        <f>F4A!O181+F4B!O182</f>
        <v>9.49</v>
      </c>
      <c r="P182" s="147">
        <f>F4A!P181+F4B!P182</f>
        <v>10.1</v>
      </c>
      <c r="Q182" s="316">
        <f t="shared" si="25"/>
        <v>127.59</v>
      </c>
    </row>
    <row r="183" ht="15" hidden="1" spans="3:17">
      <c r="C183" s="55" t="s">
        <v>207</v>
      </c>
      <c r="D183" s="55" t="s">
        <v>186</v>
      </c>
      <c r="E183" s="147">
        <f>F4A!E182+F4B!E183</f>
        <v>4.92</v>
      </c>
      <c r="F183" s="147">
        <f>F4A!F182+F4B!F183</f>
        <v>5.26</v>
      </c>
      <c r="G183" s="147">
        <f>F4A!G182+F4B!G183</f>
        <v>5.93</v>
      </c>
      <c r="H183" s="147">
        <f>F4A!H182+F4B!H183</f>
        <v>5.85</v>
      </c>
      <c r="I183" s="147">
        <f>F4A!I182+F4B!I183</f>
        <v>6.77</v>
      </c>
      <c r="J183" s="147">
        <f>F4A!J182+F4B!J183</f>
        <v>7.14</v>
      </c>
      <c r="K183" s="147">
        <f>F4A!K182+F4B!K183</f>
        <v>7.73</v>
      </c>
      <c r="L183" s="147">
        <f>F4A!L182+F4B!L183</f>
        <v>8.32</v>
      </c>
      <c r="M183" s="147">
        <f>F4A!M182+F4B!M183</f>
        <v>8.04</v>
      </c>
      <c r="N183" s="147">
        <f>F4A!N182+F4B!N183</f>
        <v>8.59</v>
      </c>
      <c r="O183" s="147">
        <f>F4A!O182+F4B!O183</f>
        <v>8.93</v>
      </c>
      <c r="P183" s="147">
        <f>F4A!P182+F4B!P183</f>
        <v>7.92</v>
      </c>
      <c r="Q183" s="316">
        <f t="shared" si="25"/>
        <v>85.4</v>
      </c>
    </row>
    <row r="184" ht="15" hidden="1" spans="3:17">
      <c r="C184" s="55" t="s">
        <v>208</v>
      </c>
      <c r="D184" s="55" t="s">
        <v>209</v>
      </c>
      <c r="E184" s="147">
        <f>F4A!E183+F4B!E184</f>
        <v>0</v>
      </c>
      <c r="F184" s="147">
        <f>F4A!F183+F4B!F184</f>
        <v>0</v>
      </c>
      <c r="G184" s="147">
        <f>F4A!G183+F4B!G184</f>
        <v>0</v>
      </c>
      <c r="H184" s="147">
        <f>F4A!H183+F4B!H184</f>
        <v>0</v>
      </c>
      <c r="I184" s="147">
        <f>F4A!I183+F4B!I184</f>
        <v>0</v>
      </c>
      <c r="J184" s="147">
        <f>F4A!J183+F4B!J184</f>
        <v>0</v>
      </c>
      <c r="K184" s="147">
        <f>F4A!K183+F4B!K184</f>
        <v>0</v>
      </c>
      <c r="L184" s="147">
        <f>F4A!L183+F4B!L184</f>
        <v>0</v>
      </c>
      <c r="M184" s="147">
        <f>F4A!M183+F4B!M184</f>
        <v>0</v>
      </c>
      <c r="N184" s="147">
        <f>F4A!N183+F4B!N184</f>
        <v>0</v>
      </c>
      <c r="O184" s="147">
        <f>F4A!O183+F4B!O184</f>
        <v>0</v>
      </c>
      <c r="P184" s="147">
        <f>F4A!P183+F4B!P184</f>
        <v>0</v>
      </c>
      <c r="Q184" s="316">
        <f t="shared" si="25"/>
        <v>0</v>
      </c>
    </row>
    <row r="185" ht="15" hidden="1" spans="3:17">
      <c r="C185" s="55" t="s">
        <v>210</v>
      </c>
      <c r="D185" s="55" t="s">
        <v>188</v>
      </c>
      <c r="E185" s="147">
        <f>F4A!E184+F4B!E185</f>
        <v>0.03</v>
      </c>
      <c r="F185" s="147">
        <f>F4A!F184+F4B!F185</f>
        <v>0</v>
      </c>
      <c r="G185" s="147">
        <f>F4A!G184+F4B!G185</f>
        <v>0</v>
      </c>
      <c r="H185" s="147">
        <f>F4A!H184+F4B!H185</f>
        <v>0</v>
      </c>
      <c r="I185" s="147">
        <f>F4A!I184+F4B!I185</f>
        <v>0</v>
      </c>
      <c r="J185" s="147">
        <f>F4A!J184+F4B!J185</f>
        <v>0</v>
      </c>
      <c r="K185" s="147">
        <f>F4A!K184+F4B!K185</f>
        <v>0.11</v>
      </c>
      <c r="L185" s="147">
        <f>F4A!L184+F4B!L185</f>
        <v>0.17</v>
      </c>
      <c r="M185" s="147">
        <f>F4A!M184+F4B!M185</f>
        <v>0.3</v>
      </c>
      <c r="N185" s="147">
        <f>F4A!N184+F4B!N185</f>
        <v>0.32</v>
      </c>
      <c r="O185" s="147">
        <f>F4A!O184+F4B!O185</f>
        <v>0.33</v>
      </c>
      <c r="P185" s="147">
        <f>F4A!P184+F4B!P185</f>
        <v>0.34</v>
      </c>
      <c r="Q185" s="316">
        <f t="shared" si="25"/>
        <v>1.6</v>
      </c>
    </row>
    <row r="186" ht="15" hidden="1" spans="3:17">
      <c r="C186" s="55"/>
      <c r="D186" s="55"/>
      <c r="E186" s="147">
        <f>F4A!E185+F4B!E186</f>
        <v>0</v>
      </c>
      <c r="F186" s="147">
        <f>F4A!F185+F4B!F186</f>
        <v>0</v>
      </c>
      <c r="G186" s="147">
        <f>F4A!G185+F4B!G186</f>
        <v>0</v>
      </c>
      <c r="H186" s="147">
        <f>F4A!H185+F4B!H186</f>
        <v>0</v>
      </c>
      <c r="I186" s="147">
        <f>F4A!I185+F4B!I186</f>
        <v>0</v>
      </c>
      <c r="J186" s="147">
        <f>F4A!J185+F4B!J186</f>
        <v>0</v>
      </c>
      <c r="K186" s="147">
        <f>F4A!K185+F4B!K186</f>
        <v>0</v>
      </c>
      <c r="L186" s="147">
        <f>F4A!L185+F4B!L186</f>
        <v>0</v>
      </c>
      <c r="M186" s="147">
        <f>F4A!M185+F4B!M186</f>
        <v>0</v>
      </c>
      <c r="N186" s="147">
        <f>F4A!N185+F4B!N186</f>
        <v>0</v>
      </c>
      <c r="O186" s="147">
        <f>F4A!O185+F4B!O186</f>
        <v>0</v>
      </c>
      <c r="P186" s="147">
        <f>F4A!P185+F4B!P186</f>
        <v>0</v>
      </c>
      <c r="Q186" s="316">
        <f t="shared" si="25"/>
        <v>0</v>
      </c>
    </row>
    <row r="187" ht="15" hidden="1" spans="3:17">
      <c r="C187" s="55"/>
      <c r="D187" s="55"/>
      <c r="E187" s="147">
        <f>F4A!E186+F4B!E187</f>
        <v>0</v>
      </c>
      <c r="F187" s="147">
        <f>F4A!F186+F4B!F187</f>
        <v>0</v>
      </c>
      <c r="G187" s="147">
        <f>F4A!G186+F4B!G187</f>
        <v>0</v>
      </c>
      <c r="H187" s="147">
        <f>F4A!H186+F4B!H187</f>
        <v>0</v>
      </c>
      <c r="I187" s="147">
        <f>F4A!I186+F4B!I187</f>
        <v>0</v>
      </c>
      <c r="J187" s="147">
        <f>F4A!J186+F4B!J187</f>
        <v>0</v>
      </c>
      <c r="K187" s="147">
        <f>F4A!K186+F4B!K187</f>
        <v>0</v>
      </c>
      <c r="L187" s="147">
        <f>F4A!L186+F4B!L187</f>
        <v>0</v>
      </c>
      <c r="M187" s="147">
        <f>F4A!M186+F4B!M187</f>
        <v>0</v>
      </c>
      <c r="N187" s="147">
        <f>F4A!N186+F4B!N187</f>
        <v>0</v>
      </c>
      <c r="O187" s="147">
        <f>F4A!O186+F4B!O187</f>
        <v>0</v>
      </c>
      <c r="P187" s="147">
        <f>F4A!P186+F4B!P187</f>
        <v>0</v>
      </c>
      <c r="Q187" s="316">
        <f t="shared" si="25"/>
        <v>0</v>
      </c>
    </row>
    <row r="188" ht="15" hidden="1" spans="3:17">
      <c r="C188" s="55"/>
      <c r="D188" s="55"/>
      <c r="E188" s="147">
        <f>F4A!E187+F4B!E188</f>
        <v>0</v>
      </c>
      <c r="F188" s="147">
        <f>F4A!F187+F4B!F188</f>
        <v>0</v>
      </c>
      <c r="G188" s="147">
        <f>F4A!G187+F4B!G188</f>
        <v>0</v>
      </c>
      <c r="H188" s="147">
        <f>F4A!H187+F4B!H188</f>
        <v>0</v>
      </c>
      <c r="I188" s="147">
        <f>F4A!I187+F4B!I188</f>
        <v>0</v>
      </c>
      <c r="J188" s="147">
        <f>F4A!J187+F4B!J188</f>
        <v>0</v>
      </c>
      <c r="K188" s="147">
        <f>F4A!K187+F4B!K188</f>
        <v>0</v>
      </c>
      <c r="L188" s="147">
        <f>F4A!L187+F4B!L188</f>
        <v>0</v>
      </c>
      <c r="M188" s="147">
        <f>F4A!M187+F4B!M188</f>
        <v>0</v>
      </c>
      <c r="N188" s="147">
        <f>F4A!N187+F4B!N188</f>
        <v>0</v>
      </c>
      <c r="O188" s="147">
        <f>F4A!O187+F4B!O188</f>
        <v>0</v>
      </c>
      <c r="P188" s="147">
        <f>F4A!P187+F4B!P188</f>
        <v>0</v>
      </c>
      <c r="Q188" s="316">
        <f t="shared" si="25"/>
        <v>0</v>
      </c>
    </row>
    <row r="189" ht="15" hidden="1" spans="3:17">
      <c r="C189" s="55" t="s">
        <v>258</v>
      </c>
      <c r="D189" s="55" t="s">
        <v>258</v>
      </c>
      <c r="E189" s="147">
        <f>F4A!E188+F4B!E189</f>
        <v>0</v>
      </c>
      <c r="F189" s="147">
        <f>F4A!F188+F4B!F189</f>
        <v>0</v>
      </c>
      <c r="G189" s="147">
        <f>F4A!G188+F4B!G189</f>
        <v>0</v>
      </c>
      <c r="H189" s="147">
        <f>F4A!H188+F4B!H189</f>
        <v>0</v>
      </c>
      <c r="I189" s="147">
        <f>F4A!I188+F4B!I189</f>
        <v>0</v>
      </c>
      <c r="J189" s="147">
        <f>F4A!J188+F4B!J189</f>
        <v>0</v>
      </c>
      <c r="K189" s="147">
        <f>F4A!K188+F4B!K189</f>
        <v>0</v>
      </c>
      <c r="L189" s="147">
        <f>F4A!L188+F4B!L189</f>
        <v>0</v>
      </c>
      <c r="M189" s="147">
        <f>F4A!M188+F4B!M189</f>
        <v>0</v>
      </c>
      <c r="N189" s="147">
        <f>F4A!N188+F4B!N189</f>
        <v>0</v>
      </c>
      <c r="O189" s="147">
        <f>F4A!O188+F4B!O189</f>
        <v>0</v>
      </c>
      <c r="P189" s="147">
        <f>F4A!P188+F4B!P189</f>
        <v>0</v>
      </c>
      <c r="Q189" s="316">
        <f t="shared" si="25"/>
        <v>0</v>
      </c>
    </row>
    <row r="190" ht="15" hidden="1" spans="3:17">
      <c r="C190" s="537" t="s">
        <v>211</v>
      </c>
      <c r="D190" s="540"/>
      <c r="E190" s="316">
        <f>SUM(E175:E189)</f>
        <v>292.06</v>
      </c>
      <c r="F190" s="316">
        <f t="shared" ref="F190:P190" si="27">SUM(F175:F189)</f>
        <v>341.09</v>
      </c>
      <c r="G190" s="316">
        <f t="shared" si="27"/>
        <v>421.07</v>
      </c>
      <c r="H190" s="316">
        <f t="shared" si="27"/>
        <v>406.96</v>
      </c>
      <c r="I190" s="316">
        <f t="shared" si="27"/>
        <v>411.74</v>
      </c>
      <c r="J190" s="316">
        <f t="shared" si="27"/>
        <v>433.34</v>
      </c>
      <c r="K190" s="316">
        <f t="shared" si="27"/>
        <v>427.72</v>
      </c>
      <c r="L190" s="316">
        <f t="shared" si="27"/>
        <v>446.05</v>
      </c>
      <c r="M190" s="316">
        <f t="shared" si="27"/>
        <v>447.71</v>
      </c>
      <c r="N190" s="316">
        <f t="shared" si="27"/>
        <v>461.55058111</v>
      </c>
      <c r="O190" s="316">
        <f t="shared" si="27"/>
        <v>469.850913</v>
      </c>
      <c r="P190" s="316">
        <f t="shared" si="27"/>
        <v>454.4683841</v>
      </c>
      <c r="Q190" s="316">
        <f t="shared" si="25"/>
        <v>5013.60987821</v>
      </c>
    </row>
    <row r="191" ht="15" hidden="1" spans="3:17">
      <c r="C191" s="44" t="s">
        <v>212</v>
      </c>
      <c r="D191" s="45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316">
        <f t="shared" ref="Q191:Q207" si="28">SUM(E191:P191)</f>
        <v>0</v>
      </c>
    </row>
    <row r="192" ht="15" hidden="1" spans="3:17">
      <c r="C192" s="55" t="s">
        <v>191</v>
      </c>
      <c r="D192" s="55" t="s">
        <v>192</v>
      </c>
      <c r="E192" s="147">
        <f>F4A!E191+F4B!E192</f>
        <v>174.4</v>
      </c>
      <c r="F192" s="147">
        <f>F4A!F191+F4B!F192</f>
        <v>221.27</v>
      </c>
      <c r="G192" s="147">
        <f>F4A!G191+F4B!G192</f>
        <v>284.78</v>
      </c>
      <c r="H192" s="147">
        <f>F4A!H191+F4B!H192</f>
        <v>280.18</v>
      </c>
      <c r="I192" s="147">
        <f>F4A!I191+F4B!I192</f>
        <v>287.25</v>
      </c>
      <c r="J192" s="147">
        <f>F4A!J191+F4B!J192</f>
        <v>307.8</v>
      </c>
      <c r="K192" s="147">
        <f>F4A!K191+F4B!K192</f>
        <v>311.07</v>
      </c>
      <c r="L192" s="147">
        <f>F4A!L191+F4B!L192</f>
        <v>319.32</v>
      </c>
      <c r="M192" s="147">
        <f>F4A!M191+F4B!M192</f>
        <v>312.07</v>
      </c>
      <c r="N192" s="147">
        <f>F4A!N191+F4B!N192</f>
        <v>339.89907744</v>
      </c>
      <c r="O192" s="147">
        <f>F4A!O191+F4B!O192</f>
        <v>367.04454</v>
      </c>
      <c r="P192" s="147">
        <f>F4A!P191+F4B!P192</f>
        <v>370.775284</v>
      </c>
      <c r="Q192" s="316">
        <f t="shared" si="28"/>
        <v>3575.85890144</v>
      </c>
    </row>
    <row r="193" ht="15" hidden="1" spans="3:17">
      <c r="C193" s="55" t="s">
        <v>193</v>
      </c>
      <c r="D193" s="55" t="s">
        <v>194</v>
      </c>
      <c r="E193" s="147">
        <f>F4A!E192+F4B!E193</f>
        <v>0.26</v>
      </c>
      <c r="F193" s="147">
        <f>F4A!F192+F4B!F193</f>
        <v>1.42</v>
      </c>
      <c r="G193" s="147">
        <f>F4A!G192+F4B!G193</f>
        <v>2.36</v>
      </c>
      <c r="H193" s="147">
        <f>F4A!H192+F4B!H193</f>
        <v>2.55</v>
      </c>
      <c r="I193" s="147">
        <f>F4A!I192+F4B!I193</f>
        <v>2.36</v>
      </c>
      <c r="J193" s="147">
        <f>F4A!J192+F4B!J193</f>
        <v>1.72</v>
      </c>
      <c r="K193" s="147">
        <f>F4A!K192+F4B!K193</f>
        <v>2.3</v>
      </c>
      <c r="L193" s="147">
        <f>F4A!L192+F4B!L193</f>
        <v>2.58</v>
      </c>
      <c r="M193" s="147">
        <f>F4A!M192+F4B!M193</f>
        <v>2.38</v>
      </c>
      <c r="N193" s="147">
        <f>F4A!N192+F4B!N193</f>
        <v>2.6814</v>
      </c>
      <c r="O193" s="147">
        <f>F4A!O192+F4B!O193</f>
        <v>2.5048</v>
      </c>
      <c r="P193" s="147">
        <f>F4A!P192+F4B!P193</f>
        <v>2.37</v>
      </c>
      <c r="Q193" s="316">
        <f t="shared" si="28"/>
        <v>25.4862</v>
      </c>
    </row>
    <row r="194" ht="15" hidden="1" spans="3:17">
      <c r="C194" s="55" t="s">
        <v>239</v>
      </c>
      <c r="D194" s="55" t="s">
        <v>196</v>
      </c>
      <c r="E194" s="147">
        <f>F4A!E193+F4B!E194</f>
        <v>45.01</v>
      </c>
      <c r="F194" s="147">
        <f>F4A!F193+F4B!F194</f>
        <v>45.26</v>
      </c>
      <c r="G194" s="147">
        <f>F4A!G193+F4B!G194</f>
        <v>54.52</v>
      </c>
      <c r="H194" s="147">
        <f>F4A!H193+F4B!H194</f>
        <v>51.01</v>
      </c>
      <c r="I194" s="147">
        <f>F4A!I193+F4B!I194</f>
        <v>50.42</v>
      </c>
      <c r="J194" s="147">
        <f>F4A!J193+F4B!J194</f>
        <v>53.13</v>
      </c>
      <c r="K194" s="147">
        <f>F4A!K193+F4B!K194</f>
        <v>53.19</v>
      </c>
      <c r="L194" s="147">
        <f>F4A!L193+F4B!L194</f>
        <v>53.73</v>
      </c>
      <c r="M194" s="147">
        <f>F4A!M193+F4B!M194</f>
        <v>51.79</v>
      </c>
      <c r="N194" s="147">
        <f>F4A!N193+F4B!N194</f>
        <v>54.133897</v>
      </c>
      <c r="O194" s="147">
        <f>F4A!O193+F4B!O194</f>
        <v>56.294178</v>
      </c>
      <c r="P194" s="147">
        <f>F4A!P193+F4B!P194</f>
        <v>57.692249</v>
      </c>
      <c r="Q194" s="316">
        <f t="shared" si="28"/>
        <v>626.180324</v>
      </c>
    </row>
    <row r="195" ht="15" hidden="1" spans="3:17">
      <c r="C195" s="55" t="s">
        <v>197</v>
      </c>
      <c r="D195" s="55" t="s">
        <v>198</v>
      </c>
      <c r="E195" s="147">
        <f>F4A!E194+F4B!E195</f>
        <v>0</v>
      </c>
      <c r="F195" s="147">
        <f>F4A!F194+F4B!F195</f>
        <v>0</v>
      </c>
      <c r="G195" s="147">
        <f>F4A!G194+F4B!G195</f>
        <v>0</v>
      </c>
      <c r="H195" s="147">
        <f>F4A!H194+F4B!H195</f>
        <v>0</v>
      </c>
      <c r="I195" s="147">
        <f>F4A!I194+F4B!I195</f>
        <v>0</v>
      </c>
      <c r="J195" s="147">
        <f>F4A!J194+F4B!J195</f>
        <v>0</v>
      </c>
      <c r="K195" s="147">
        <f>F4A!K194+F4B!K195</f>
        <v>0</v>
      </c>
      <c r="L195" s="147">
        <f>F4A!L194+F4B!L195</f>
        <v>0</v>
      </c>
      <c r="M195" s="147">
        <f>F4A!M194+F4B!M195</f>
        <v>0</v>
      </c>
      <c r="N195" s="147">
        <f>F4A!N194+F4B!N195</f>
        <v>0</v>
      </c>
      <c r="O195" s="147">
        <f>F4A!O194+F4B!O195</f>
        <v>0</v>
      </c>
      <c r="P195" s="147">
        <f>F4A!P194+F4B!P195</f>
        <v>0</v>
      </c>
      <c r="Q195" s="316">
        <f t="shared" ref="Q195" si="29">SUM(E195:P195)</f>
        <v>0</v>
      </c>
    </row>
    <row r="196" ht="15" hidden="1" spans="3:17">
      <c r="C196" s="55" t="s">
        <v>199</v>
      </c>
      <c r="D196" s="55" t="s">
        <v>200</v>
      </c>
      <c r="E196" s="147">
        <f>F4A!E195+F4B!E196</f>
        <v>0</v>
      </c>
      <c r="F196" s="147">
        <f>F4A!F195+F4B!F196</f>
        <v>0</v>
      </c>
      <c r="G196" s="147">
        <f>F4A!G195+F4B!G196</f>
        <v>0</v>
      </c>
      <c r="H196" s="147">
        <f>F4A!H195+F4B!H196</f>
        <v>0</v>
      </c>
      <c r="I196" s="147">
        <f>F4A!I195+F4B!I196</f>
        <v>0</v>
      </c>
      <c r="J196" s="147">
        <f>F4A!J195+F4B!J196</f>
        <v>0</v>
      </c>
      <c r="K196" s="147">
        <f>F4A!K195+F4B!K196</f>
        <v>0</v>
      </c>
      <c r="L196" s="147">
        <f>F4A!L195+F4B!L196</f>
        <v>0</v>
      </c>
      <c r="M196" s="147">
        <f>F4A!M195+F4B!M196</f>
        <v>0</v>
      </c>
      <c r="N196" s="147">
        <f>F4A!N195+F4B!N196</f>
        <v>0</v>
      </c>
      <c r="O196" s="147">
        <f>F4A!O195+F4B!O196</f>
        <v>0</v>
      </c>
      <c r="P196" s="147">
        <f>F4A!P195+F4B!P196</f>
        <v>0</v>
      </c>
      <c r="Q196" s="316">
        <f t="shared" si="28"/>
        <v>0</v>
      </c>
    </row>
    <row r="197" ht="15" hidden="1" spans="3:17">
      <c r="C197" s="55" t="s">
        <v>201</v>
      </c>
      <c r="D197" s="55" t="s">
        <v>202</v>
      </c>
      <c r="E197" s="147">
        <f>F4A!E196+F4B!E197</f>
        <v>1.96</v>
      </c>
      <c r="F197" s="147">
        <f>F4A!F196+F4B!F197</f>
        <v>0.23</v>
      </c>
      <c r="G197" s="147">
        <f>F4A!G196+F4B!G197</f>
        <v>0.07</v>
      </c>
      <c r="H197" s="147">
        <f>F4A!H196+F4B!H197</f>
        <v>0.08</v>
      </c>
      <c r="I197" s="147">
        <f>F4A!I196+F4B!I197</f>
        <v>0.41</v>
      </c>
      <c r="J197" s="147">
        <f>F4A!J196+F4B!J197</f>
        <v>0.84</v>
      </c>
      <c r="K197" s="147">
        <f>F4A!K196+F4B!K197</f>
        <v>0.69</v>
      </c>
      <c r="L197" s="147">
        <f>F4A!L196+F4B!L197</f>
        <v>1.36</v>
      </c>
      <c r="M197" s="147">
        <f>F4A!M196+F4B!M197</f>
        <v>0.82</v>
      </c>
      <c r="N197" s="147">
        <f>F4A!N196+F4B!N197</f>
        <v>1.39</v>
      </c>
      <c r="O197" s="147">
        <f>F4A!O196+F4B!O197</f>
        <v>2.93</v>
      </c>
      <c r="P197" s="147">
        <f>F4A!P196+F4B!P197</f>
        <v>3.73</v>
      </c>
      <c r="Q197" s="316">
        <f t="shared" si="28"/>
        <v>14.51</v>
      </c>
    </row>
    <row r="198" ht="15" hidden="1" spans="3:17">
      <c r="C198" s="55" t="s">
        <v>203</v>
      </c>
      <c r="D198" s="55" t="s">
        <v>204</v>
      </c>
      <c r="E198" s="147">
        <f>F4A!E197+F4B!E198</f>
        <v>16.08</v>
      </c>
      <c r="F198" s="147">
        <f>F4A!F197+F4B!F198</f>
        <v>15.72</v>
      </c>
      <c r="G198" s="147">
        <f>F4A!G197+F4B!G198</f>
        <v>15.83</v>
      </c>
      <c r="H198" s="147">
        <f>F4A!H197+F4B!H198</f>
        <v>15.79</v>
      </c>
      <c r="I198" s="147">
        <f>F4A!I197+F4B!I198</f>
        <v>16.24</v>
      </c>
      <c r="J198" s="147">
        <f>F4A!J197+F4B!J198</f>
        <v>17.09</v>
      </c>
      <c r="K198" s="147">
        <f>F4A!K197+F4B!K198</f>
        <v>16.09</v>
      </c>
      <c r="L198" s="147">
        <f>F4A!L197+F4B!L198</f>
        <v>9.85</v>
      </c>
      <c r="M198" s="147">
        <f>F4A!M197+F4B!M198</f>
        <v>15.23</v>
      </c>
      <c r="N198" s="147">
        <f>F4A!N197+F4B!N198</f>
        <v>18.59</v>
      </c>
      <c r="O198" s="147">
        <f>F4A!O197+F4B!O198</f>
        <v>18.31</v>
      </c>
      <c r="P198" s="147">
        <f>F4A!P197+F4B!P198</f>
        <v>16.58</v>
      </c>
      <c r="Q198" s="316">
        <f t="shared" si="28"/>
        <v>191.4</v>
      </c>
    </row>
    <row r="199" ht="15" hidden="1" spans="3:17">
      <c r="C199" s="55" t="s">
        <v>205</v>
      </c>
      <c r="D199" s="55" t="s">
        <v>206</v>
      </c>
      <c r="E199" s="147">
        <f>F4A!E198+F4B!E199</f>
        <v>7.42</v>
      </c>
      <c r="F199" s="147">
        <f>F4A!F198+F4B!F199</f>
        <v>8.82</v>
      </c>
      <c r="G199" s="147">
        <f>F4A!G198+F4B!G199</f>
        <v>9.12</v>
      </c>
      <c r="H199" s="147">
        <f>F4A!H198+F4B!H199</f>
        <v>6.89</v>
      </c>
      <c r="I199" s="147">
        <f>F4A!I198+F4B!I199</f>
        <v>6.47</v>
      </c>
      <c r="J199" s="147">
        <f>F4A!J198+F4B!J199</f>
        <v>6.75</v>
      </c>
      <c r="K199" s="147">
        <f>F4A!K198+F4B!K199</f>
        <v>6.51</v>
      </c>
      <c r="L199" s="147">
        <f>F4A!L198+F4B!L199</f>
        <v>6.49</v>
      </c>
      <c r="M199" s="147">
        <f>F4A!M198+F4B!M199</f>
        <v>6.26</v>
      </c>
      <c r="N199" s="147">
        <f>F4A!N198+F4B!N199</f>
        <v>6.47</v>
      </c>
      <c r="O199" s="147">
        <f>F4A!O198+F4B!O199</f>
        <v>6.63</v>
      </c>
      <c r="P199" s="147">
        <f>F4A!P198+F4B!P199</f>
        <v>7.33</v>
      </c>
      <c r="Q199" s="316">
        <f t="shared" si="28"/>
        <v>85.16</v>
      </c>
    </row>
    <row r="200" ht="15" hidden="1" spans="3:17">
      <c r="C200" s="55" t="s">
        <v>231</v>
      </c>
      <c r="D200" s="55" t="s">
        <v>186</v>
      </c>
      <c r="E200" s="147">
        <f>F4A!E199+F4B!E200</f>
        <v>2.09</v>
      </c>
      <c r="F200" s="147">
        <f>F4A!F199+F4B!F200</f>
        <v>2.1</v>
      </c>
      <c r="G200" s="147">
        <f>F4A!G199+F4B!G200</f>
        <v>1.6</v>
      </c>
      <c r="H200" s="147">
        <f>F4A!H199+F4B!H200</f>
        <v>1.56</v>
      </c>
      <c r="I200" s="147">
        <f>F4A!I199+F4B!I200</f>
        <v>1.77</v>
      </c>
      <c r="J200" s="147">
        <f>F4A!J199+F4B!J200</f>
        <v>1.95</v>
      </c>
      <c r="K200" s="147">
        <f>F4A!K199+F4B!K200</f>
        <v>1.79</v>
      </c>
      <c r="L200" s="147">
        <f>F4A!L199+F4B!L200</f>
        <v>1.09</v>
      </c>
      <c r="M200" s="147">
        <f>F4A!M199+F4B!M200</f>
        <v>1.23</v>
      </c>
      <c r="N200" s="147">
        <f>F4A!N199+F4B!N200</f>
        <v>1.15</v>
      </c>
      <c r="O200" s="147">
        <f>F4A!O199+F4B!O200</f>
        <v>0.98</v>
      </c>
      <c r="P200" s="147">
        <f>F4A!P199+F4B!P200</f>
        <v>1.14</v>
      </c>
      <c r="Q200" s="316">
        <f t="shared" si="28"/>
        <v>18.45</v>
      </c>
    </row>
    <row r="201" ht="15" hidden="1" spans="3:17">
      <c r="C201" s="55" t="s">
        <v>208</v>
      </c>
      <c r="D201" s="55" t="s">
        <v>209</v>
      </c>
      <c r="E201" s="147">
        <f>F4A!E200+F4B!E201</f>
        <v>0</v>
      </c>
      <c r="F201" s="147">
        <f>F4A!F200+F4B!F201</f>
        <v>0</v>
      </c>
      <c r="G201" s="147">
        <f>F4A!G200+F4B!G201</f>
        <v>0</v>
      </c>
      <c r="H201" s="147">
        <f>F4A!H200+F4B!H201</f>
        <v>0</v>
      </c>
      <c r="I201" s="147">
        <f>F4A!I200+F4B!I201</f>
        <v>0</v>
      </c>
      <c r="J201" s="147">
        <f>F4A!J200+F4B!J201</f>
        <v>0</v>
      </c>
      <c r="K201" s="147">
        <f>F4A!K200+F4B!K201</f>
        <v>0</v>
      </c>
      <c r="L201" s="147">
        <f>F4A!L200+F4B!L201</f>
        <v>0</v>
      </c>
      <c r="M201" s="147">
        <f>F4A!M200+F4B!M201</f>
        <v>0</v>
      </c>
      <c r="N201" s="147">
        <f>F4A!N200+F4B!N201</f>
        <v>0</v>
      </c>
      <c r="O201" s="147">
        <f>F4A!O200+F4B!O201</f>
        <v>0</v>
      </c>
      <c r="P201" s="147">
        <f>F4A!P200+F4B!P201</f>
        <v>0</v>
      </c>
      <c r="Q201" s="316">
        <f t="shared" si="28"/>
        <v>0</v>
      </c>
    </row>
    <row r="202" ht="15" hidden="1" spans="3:17">
      <c r="C202" s="55" t="s">
        <v>210</v>
      </c>
      <c r="D202" s="55" t="s">
        <v>188</v>
      </c>
      <c r="E202" s="147">
        <f>F4A!E201+F4B!E202</f>
        <v>0</v>
      </c>
      <c r="F202" s="147">
        <f>F4A!F201+F4B!F202</f>
        <v>0</v>
      </c>
      <c r="G202" s="147">
        <f>F4A!G201+F4B!G202</f>
        <v>0</v>
      </c>
      <c r="H202" s="147">
        <f>F4A!H201+F4B!H202</f>
        <v>0</v>
      </c>
      <c r="I202" s="147">
        <f>F4A!I201+F4B!I202</f>
        <v>0</v>
      </c>
      <c r="J202" s="147">
        <f>F4A!J201+F4B!J202</f>
        <v>0</v>
      </c>
      <c r="K202" s="147">
        <f>F4A!K201+F4B!K202</f>
        <v>0</v>
      </c>
      <c r="L202" s="147">
        <f>F4A!L201+F4B!L202</f>
        <v>0</v>
      </c>
      <c r="M202" s="147">
        <f>F4A!M201+F4B!M202</f>
        <v>0</v>
      </c>
      <c r="N202" s="147">
        <f>F4A!N201+F4B!N202</f>
        <v>0</v>
      </c>
      <c r="O202" s="147">
        <f>F4A!O201+F4B!O202</f>
        <v>0</v>
      </c>
      <c r="P202" s="147">
        <f>F4A!P201+F4B!P202</f>
        <v>0</v>
      </c>
      <c r="Q202" s="316">
        <f t="shared" si="28"/>
        <v>0</v>
      </c>
    </row>
    <row r="203" ht="15" hidden="1" spans="3:17">
      <c r="C203" s="55"/>
      <c r="D203" s="55"/>
      <c r="E203" s="147">
        <f>F4A!E202+F4B!E203</f>
        <v>0</v>
      </c>
      <c r="F203" s="147">
        <f>F4A!F202+F4B!F203</f>
        <v>0</v>
      </c>
      <c r="G203" s="147">
        <f>F4A!G202+F4B!G203</f>
        <v>0</v>
      </c>
      <c r="H203" s="147">
        <f>F4A!H202+F4B!H203</f>
        <v>0</v>
      </c>
      <c r="I203" s="147">
        <f>F4A!I202+F4B!I203</f>
        <v>0</v>
      </c>
      <c r="J203" s="147">
        <f>F4A!J202+F4B!J203</f>
        <v>0</v>
      </c>
      <c r="K203" s="147">
        <f>F4A!K202+F4B!K203</f>
        <v>0</v>
      </c>
      <c r="L203" s="147">
        <f>F4A!L202+F4B!L203</f>
        <v>0</v>
      </c>
      <c r="M203" s="147">
        <f>F4A!M202+F4B!M203</f>
        <v>0</v>
      </c>
      <c r="N203" s="147">
        <f>F4A!N202+F4B!N203</f>
        <v>0</v>
      </c>
      <c r="O203" s="147">
        <f>F4A!O202+F4B!O203</f>
        <v>0</v>
      </c>
      <c r="P203" s="147">
        <f>F4A!P202+F4B!P203</f>
        <v>0</v>
      </c>
      <c r="Q203" s="316">
        <f t="shared" si="28"/>
        <v>0</v>
      </c>
    </row>
    <row r="204" ht="15" hidden="1" spans="3:17">
      <c r="C204" s="55"/>
      <c r="D204" s="55"/>
      <c r="E204" s="147">
        <f>F4A!E203+F4B!E204</f>
        <v>0</v>
      </c>
      <c r="F204" s="147">
        <f>F4A!F203+F4B!F204</f>
        <v>0</v>
      </c>
      <c r="G204" s="147">
        <f>F4A!G203+F4B!G204</f>
        <v>0</v>
      </c>
      <c r="H204" s="147">
        <f>F4A!H203+F4B!H204</f>
        <v>0</v>
      </c>
      <c r="I204" s="147">
        <f>F4A!I203+F4B!I204</f>
        <v>0</v>
      </c>
      <c r="J204" s="147">
        <f>F4A!J203+F4B!J204</f>
        <v>0</v>
      </c>
      <c r="K204" s="147">
        <f>F4A!K203+F4B!K204</f>
        <v>0</v>
      </c>
      <c r="L204" s="147">
        <f>F4A!L203+F4B!L204</f>
        <v>0</v>
      </c>
      <c r="M204" s="147">
        <f>F4A!M203+F4B!M204</f>
        <v>0</v>
      </c>
      <c r="N204" s="147">
        <f>F4A!N203+F4B!N204</f>
        <v>0</v>
      </c>
      <c r="O204" s="147">
        <f>F4A!O203+F4B!O204</f>
        <v>0</v>
      </c>
      <c r="P204" s="147">
        <f>F4A!P203+F4B!P204</f>
        <v>0</v>
      </c>
      <c r="Q204" s="316">
        <f t="shared" si="28"/>
        <v>0</v>
      </c>
    </row>
    <row r="205" ht="15" hidden="1" spans="3:17">
      <c r="C205" s="55"/>
      <c r="D205" s="55"/>
      <c r="E205" s="147">
        <f>F4A!E204+F4B!E205</f>
        <v>0</v>
      </c>
      <c r="F205" s="147">
        <f>F4A!F204+F4B!F205</f>
        <v>0</v>
      </c>
      <c r="G205" s="147">
        <f>F4A!G204+F4B!G205</f>
        <v>0</v>
      </c>
      <c r="H205" s="147">
        <f>F4A!H204+F4B!H205</f>
        <v>0</v>
      </c>
      <c r="I205" s="147">
        <f>F4A!I204+F4B!I205</f>
        <v>0</v>
      </c>
      <c r="J205" s="147">
        <f>F4A!J204+F4B!J205</f>
        <v>0</v>
      </c>
      <c r="K205" s="147">
        <f>F4A!K204+F4B!K205</f>
        <v>0</v>
      </c>
      <c r="L205" s="147">
        <f>F4A!L204+F4B!L205</f>
        <v>0</v>
      </c>
      <c r="M205" s="147">
        <f>F4A!M204+F4B!M205</f>
        <v>0</v>
      </c>
      <c r="N205" s="147">
        <f>F4A!N204+F4B!N205</f>
        <v>0</v>
      </c>
      <c r="O205" s="147">
        <f>F4A!O204+F4B!O205</f>
        <v>0</v>
      </c>
      <c r="P205" s="147">
        <f>F4A!P204+F4B!P205</f>
        <v>0</v>
      </c>
      <c r="Q205" s="316">
        <f t="shared" si="28"/>
        <v>0</v>
      </c>
    </row>
    <row r="206" ht="15" hidden="1" spans="3:17">
      <c r="C206" s="55" t="s">
        <v>258</v>
      </c>
      <c r="D206" s="55" t="s">
        <v>258</v>
      </c>
      <c r="E206" s="147">
        <f>F4A!E205+F4B!E206</f>
        <v>0</v>
      </c>
      <c r="F206" s="147">
        <f>F4A!F205+F4B!F206</f>
        <v>0</v>
      </c>
      <c r="G206" s="147">
        <f>F4A!G205+F4B!G206</f>
        <v>0</v>
      </c>
      <c r="H206" s="147">
        <f>F4A!H205+F4B!H206</f>
        <v>0</v>
      </c>
      <c r="I206" s="147">
        <f>F4A!I205+F4B!I206</f>
        <v>0</v>
      </c>
      <c r="J206" s="147">
        <f>F4A!J205+F4B!J206</f>
        <v>0</v>
      </c>
      <c r="K206" s="147">
        <f>F4A!K205+F4B!K206</f>
        <v>0</v>
      </c>
      <c r="L206" s="147">
        <f>F4A!L205+F4B!L206</f>
        <v>0</v>
      </c>
      <c r="M206" s="147">
        <f>F4A!M205+F4B!M206</f>
        <v>0</v>
      </c>
      <c r="N206" s="147">
        <f>F4A!N205+F4B!N206</f>
        <v>0</v>
      </c>
      <c r="O206" s="147">
        <f>F4A!O205+F4B!O206</f>
        <v>0</v>
      </c>
      <c r="P206" s="147">
        <f>F4A!P205+F4B!P206</f>
        <v>0</v>
      </c>
      <c r="Q206" s="316">
        <f t="shared" si="28"/>
        <v>0</v>
      </c>
    </row>
    <row r="207" ht="15" hidden="1" spans="3:17">
      <c r="C207" s="537" t="s">
        <v>211</v>
      </c>
      <c r="D207" s="540"/>
      <c r="E207" s="316">
        <f>SUM(E192:E206)</f>
        <v>247.22</v>
      </c>
      <c r="F207" s="316">
        <f t="shared" ref="F207:P207" si="30">SUM(F192:F206)</f>
        <v>294.82</v>
      </c>
      <c r="G207" s="316">
        <f t="shared" si="30"/>
        <v>368.28</v>
      </c>
      <c r="H207" s="316">
        <f t="shared" si="30"/>
        <v>358.06</v>
      </c>
      <c r="I207" s="316">
        <f t="shared" si="30"/>
        <v>364.92</v>
      </c>
      <c r="J207" s="316">
        <f t="shared" si="30"/>
        <v>389.28</v>
      </c>
      <c r="K207" s="316">
        <f t="shared" si="30"/>
        <v>391.64</v>
      </c>
      <c r="L207" s="316">
        <f t="shared" si="30"/>
        <v>394.42</v>
      </c>
      <c r="M207" s="316">
        <f t="shared" si="30"/>
        <v>389.78</v>
      </c>
      <c r="N207" s="316">
        <f t="shared" si="30"/>
        <v>424.31437444</v>
      </c>
      <c r="O207" s="316">
        <f t="shared" si="30"/>
        <v>454.693518</v>
      </c>
      <c r="P207" s="316">
        <f t="shared" si="30"/>
        <v>459.617533</v>
      </c>
      <c r="Q207" s="316">
        <f t="shared" si="28"/>
        <v>4537.04542544</v>
      </c>
    </row>
    <row r="208" ht="15" hidden="1" spans="3:17">
      <c r="C208" s="44" t="s">
        <v>219</v>
      </c>
      <c r="D208" s="45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316">
        <f t="shared" ref="Q208:Q227" si="31">SUM(E208:P208)</f>
        <v>0</v>
      </c>
    </row>
    <row r="209" ht="15" hidden="1" spans="3:17">
      <c r="C209" s="55" t="s">
        <v>191</v>
      </c>
      <c r="D209" s="55" t="s">
        <v>192</v>
      </c>
      <c r="E209" s="147">
        <f>F4A!E208+F4B!E209</f>
        <v>130.49</v>
      </c>
      <c r="F209" s="147">
        <f>F4A!F208+F4B!F209</f>
        <v>165.04</v>
      </c>
      <c r="G209" s="147">
        <f>F4A!G208+F4B!G209</f>
        <v>166.32</v>
      </c>
      <c r="H209" s="147">
        <f>F4A!H208+F4B!H209</f>
        <v>166.16</v>
      </c>
      <c r="I209" s="147">
        <f>F4A!I208+F4B!I209</f>
        <v>165.1</v>
      </c>
      <c r="J209" s="147">
        <f>F4A!J208+F4B!J209</f>
        <v>177.75</v>
      </c>
      <c r="K209" s="147">
        <f>F4A!K208+F4B!K209</f>
        <v>196.87</v>
      </c>
      <c r="L209" s="147">
        <f>F4A!L208+F4B!L209</f>
        <v>187.39</v>
      </c>
      <c r="M209" s="147">
        <f>F4A!M208+F4B!M209</f>
        <v>200.39</v>
      </c>
      <c r="N209" s="147">
        <f>F4A!N208+F4B!N209</f>
        <v>213.25353935</v>
      </c>
      <c r="O209" s="147">
        <f>F4A!O208+F4B!O209</f>
        <v>223.17034719</v>
      </c>
      <c r="P209" s="147">
        <f>F4A!P208+F4B!P209</f>
        <v>245.787624</v>
      </c>
      <c r="Q209" s="316">
        <f t="shared" si="31"/>
        <v>2237.72151054</v>
      </c>
    </row>
    <row r="210" ht="15" hidden="1" spans="3:17">
      <c r="C210" s="55" t="s">
        <v>193</v>
      </c>
      <c r="D210" s="55" t="s">
        <v>194</v>
      </c>
      <c r="E210" s="147">
        <f>F4A!E209+F4B!E210</f>
        <v>1.38</v>
      </c>
      <c r="F210" s="147">
        <f>F4A!F209+F4B!F210</f>
        <v>5.99</v>
      </c>
      <c r="G210" s="147">
        <f>F4A!G209+F4B!G210</f>
        <v>9.52</v>
      </c>
      <c r="H210" s="147">
        <f>F4A!H209+F4B!H210</f>
        <v>4.83</v>
      </c>
      <c r="I210" s="147">
        <f>F4A!I209+F4B!I210</f>
        <v>2.41</v>
      </c>
      <c r="J210" s="147">
        <f>F4A!J209+F4B!J210</f>
        <v>3.92</v>
      </c>
      <c r="K210" s="147">
        <f>F4A!K209+F4B!K210</f>
        <v>11.11</v>
      </c>
      <c r="L210" s="147">
        <f>F4A!L209+F4B!L210</f>
        <v>13.99</v>
      </c>
      <c r="M210" s="147">
        <f>F4A!M209+F4B!M210</f>
        <v>14.54</v>
      </c>
      <c r="N210" s="147">
        <f>F4A!N209+F4B!N210</f>
        <v>14.26</v>
      </c>
      <c r="O210" s="147">
        <f>F4A!O209+F4B!O210</f>
        <v>11.71</v>
      </c>
      <c r="P210" s="147">
        <f>F4A!P209+F4B!P210</f>
        <v>10.87</v>
      </c>
      <c r="Q210" s="316">
        <f t="shared" si="31"/>
        <v>104.53</v>
      </c>
    </row>
    <row r="211" ht="15" hidden="1" spans="3:17">
      <c r="C211" s="55" t="s">
        <v>239</v>
      </c>
      <c r="D211" s="55" t="s">
        <v>196</v>
      </c>
      <c r="E211" s="147">
        <f>F4A!E210+F4B!E211</f>
        <v>1.88</v>
      </c>
      <c r="F211" s="147">
        <f>F4A!F210+F4B!F211</f>
        <v>2.51</v>
      </c>
      <c r="G211" s="147">
        <f>F4A!G210+F4B!G211</f>
        <v>3.66</v>
      </c>
      <c r="H211" s="147">
        <f>F4A!H210+F4B!H211</f>
        <v>3.29</v>
      </c>
      <c r="I211" s="147">
        <f>F4A!I210+F4B!I211</f>
        <v>3.34</v>
      </c>
      <c r="J211" s="147">
        <f>F4A!J210+F4B!J211</f>
        <v>3.46</v>
      </c>
      <c r="K211" s="147">
        <f>F4A!K210+F4B!K211</f>
        <v>3.39</v>
      </c>
      <c r="L211" s="147">
        <f>F4A!L210+F4B!L211</f>
        <v>3.19</v>
      </c>
      <c r="M211" s="147">
        <f>F4A!M210+F4B!M211</f>
        <v>2.97</v>
      </c>
      <c r="N211" s="147">
        <f>F4A!N210+F4B!N211</f>
        <v>2.95766</v>
      </c>
      <c r="O211" s="147">
        <f>F4A!O210+F4B!O211</f>
        <v>3.088329</v>
      </c>
      <c r="P211" s="147">
        <f>F4A!P210+F4B!P211</f>
        <v>3.284371</v>
      </c>
      <c r="Q211" s="316">
        <f t="shared" si="31"/>
        <v>37.02036</v>
      </c>
    </row>
    <row r="212" ht="15" hidden="1" spans="3:17">
      <c r="C212" s="55" t="s">
        <v>197</v>
      </c>
      <c r="D212" s="55" t="s">
        <v>198</v>
      </c>
      <c r="E212" s="147">
        <f>F4A!E211+F4B!E212</f>
        <v>0</v>
      </c>
      <c r="F212" s="147">
        <f>F4A!F211+F4B!F212</f>
        <v>0</v>
      </c>
      <c r="G212" s="147">
        <f>F4A!G211+F4B!G212</f>
        <v>0</v>
      </c>
      <c r="H212" s="147">
        <f>F4A!H211+F4B!H212</f>
        <v>0</v>
      </c>
      <c r="I212" s="147">
        <f>F4A!I211+F4B!I212</f>
        <v>0</v>
      </c>
      <c r="J212" s="147">
        <f>F4A!J211+F4B!J212</f>
        <v>0</v>
      </c>
      <c r="K212" s="147">
        <f>F4A!K211+F4B!K212</f>
        <v>0</v>
      </c>
      <c r="L212" s="147">
        <f>F4A!L211+F4B!L212</f>
        <v>0</v>
      </c>
      <c r="M212" s="147">
        <f>F4A!M211+F4B!M212</f>
        <v>0</v>
      </c>
      <c r="N212" s="147">
        <f>F4A!N211+F4B!N212</f>
        <v>0</v>
      </c>
      <c r="O212" s="147">
        <f>F4A!O211+F4B!O212</f>
        <v>0</v>
      </c>
      <c r="P212" s="147">
        <f>F4A!P211+F4B!P212</f>
        <v>0</v>
      </c>
      <c r="Q212" s="316">
        <f t="shared" ref="Q212" si="32">SUM(E212:P212)</f>
        <v>0</v>
      </c>
    </row>
    <row r="213" ht="15" hidden="1" spans="3:17">
      <c r="C213" s="55" t="s">
        <v>199</v>
      </c>
      <c r="D213" s="55" t="s">
        <v>200</v>
      </c>
      <c r="E213" s="147">
        <f>F4A!E212+F4B!E213</f>
        <v>3.49</v>
      </c>
      <c r="F213" s="147">
        <f>F4A!F212+F4B!F213</f>
        <v>4.01</v>
      </c>
      <c r="G213" s="147">
        <f>F4A!G212+F4B!G213</f>
        <v>6.41</v>
      </c>
      <c r="H213" s="147">
        <f>F4A!H212+F4B!H213</f>
        <v>5.7</v>
      </c>
      <c r="I213" s="147">
        <f>F4A!I212+F4B!I213</f>
        <v>4.09</v>
      </c>
      <c r="J213" s="147">
        <f>F4A!J212+F4B!J213</f>
        <v>4.11</v>
      </c>
      <c r="K213" s="147">
        <f>F4A!K212+F4B!K213</f>
        <v>4.05</v>
      </c>
      <c r="L213" s="147">
        <f>F4A!L212+F4B!L213</f>
        <v>3.99</v>
      </c>
      <c r="M213" s="147">
        <f>F4A!M212+F4B!M213</f>
        <v>3.47</v>
      </c>
      <c r="N213" s="147">
        <f>F4A!N212+F4B!N213</f>
        <v>3.525</v>
      </c>
      <c r="O213" s="147">
        <f>F4A!O212+F4B!O213</f>
        <v>3.846</v>
      </c>
      <c r="P213" s="147">
        <f>F4A!P212+F4B!P213</f>
        <v>3.675</v>
      </c>
      <c r="Q213" s="316">
        <f t="shared" si="31"/>
        <v>50.366</v>
      </c>
    </row>
    <row r="214" ht="15" hidden="1" spans="3:17">
      <c r="C214" s="55" t="s">
        <v>201</v>
      </c>
      <c r="D214" s="55" t="s">
        <v>240</v>
      </c>
      <c r="E214" s="147">
        <f>F4A!E213+F4B!E214</f>
        <v>185.9</v>
      </c>
      <c r="F214" s="147">
        <f>F4A!F213+F4B!F214</f>
        <v>56.15</v>
      </c>
      <c r="G214" s="147">
        <f>F4A!G213+F4B!G214</f>
        <v>122.98</v>
      </c>
      <c r="H214" s="147">
        <f>F4A!H213+F4B!H214</f>
        <v>86.59</v>
      </c>
      <c r="I214" s="147">
        <f>F4A!I213+F4B!I214</f>
        <v>144.21</v>
      </c>
      <c r="J214" s="147">
        <f>F4A!J213+F4B!J214</f>
        <v>189.87</v>
      </c>
      <c r="K214" s="147">
        <f>F4A!K213+F4B!K214</f>
        <v>54</v>
      </c>
      <c r="L214" s="147">
        <f>F4A!L213+F4B!L214</f>
        <v>47.46</v>
      </c>
      <c r="M214" s="147">
        <f>F4A!M213+F4B!M214</f>
        <v>95.07</v>
      </c>
      <c r="N214" s="147">
        <f>F4A!N213+F4B!N214</f>
        <v>163.05</v>
      </c>
      <c r="O214" s="147">
        <f>F4A!O213+F4B!O214</f>
        <v>211.66</v>
      </c>
      <c r="P214" s="147">
        <f>F4A!P213+F4B!P214</f>
        <v>203.84</v>
      </c>
      <c r="Q214" s="316">
        <f t="shared" si="31"/>
        <v>1560.78</v>
      </c>
    </row>
    <row r="215" ht="15" hidden="1" spans="3:17">
      <c r="C215" s="55" t="s">
        <v>203</v>
      </c>
      <c r="D215" s="55" t="s">
        <v>220</v>
      </c>
      <c r="E215" s="147">
        <f>F4A!E214+F4B!E215</f>
        <v>20.34</v>
      </c>
      <c r="F215" s="147">
        <f>F4A!F214+F4B!F215</f>
        <v>19.3</v>
      </c>
      <c r="G215" s="147">
        <f>F4A!G214+F4B!G215</f>
        <v>20.1</v>
      </c>
      <c r="H215" s="147">
        <f>F4A!H214+F4B!H215</f>
        <v>18.29</v>
      </c>
      <c r="I215" s="147">
        <f>F4A!I214+F4B!I215</f>
        <v>20.23</v>
      </c>
      <c r="J215" s="147">
        <f>F4A!J214+F4B!J215</f>
        <v>19.57</v>
      </c>
      <c r="K215" s="147">
        <f>F4A!K214+F4B!K215</f>
        <v>18.35</v>
      </c>
      <c r="L215" s="147">
        <f>F4A!L214+F4B!L215</f>
        <v>0.74</v>
      </c>
      <c r="M215" s="147">
        <f>F4A!M214+F4B!M215</f>
        <v>14.76</v>
      </c>
      <c r="N215" s="147">
        <f>F4A!N214+F4B!N215</f>
        <v>18.29</v>
      </c>
      <c r="O215" s="147">
        <f>F4A!O214+F4B!O215</f>
        <v>20.54</v>
      </c>
      <c r="P215" s="147">
        <f>F4A!P214+F4B!P215</f>
        <v>17.5</v>
      </c>
      <c r="Q215" s="316">
        <f t="shared" si="31"/>
        <v>208.01</v>
      </c>
    </row>
    <row r="216" ht="15" hidden="1" spans="3:17">
      <c r="C216" s="55" t="s">
        <v>241</v>
      </c>
      <c r="D216" s="55" t="s">
        <v>229</v>
      </c>
      <c r="E216" s="147">
        <f>F4A!E215+F4B!E216</f>
        <v>13.32</v>
      </c>
      <c r="F216" s="147">
        <f>F4A!F215+F4B!F216</f>
        <v>12.71</v>
      </c>
      <c r="G216" s="147">
        <f>F4A!G215+F4B!G216</f>
        <v>15.97</v>
      </c>
      <c r="H216" s="147">
        <f>F4A!H215+F4B!H216</f>
        <v>13.3</v>
      </c>
      <c r="I216" s="147">
        <f>F4A!I215+F4B!I216</f>
        <v>13.76</v>
      </c>
      <c r="J216" s="147">
        <f>F4A!J215+F4B!J216</f>
        <v>14.21</v>
      </c>
      <c r="K216" s="147">
        <f>F4A!K215+F4B!K216</f>
        <v>13.86</v>
      </c>
      <c r="L216" s="147">
        <f>F4A!L215+F4B!L216</f>
        <v>15.4</v>
      </c>
      <c r="M216" s="147">
        <f>F4A!M215+F4B!M216</f>
        <v>16.67</v>
      </c>
      <c r="N216" s="147">
        <f>F4A!N215+F4B!N216</f>
        <v>19.74</v>
      </c>
      <c r="O216" s="147">
        <f>F4A!O215+F4B!O216</f>
        <v>22.96</v>
      </c>
      <c r="P216" s="147">
        <f>F4A!P215+F4B!P216</f>
        <v>20.41</v>
      </c>
      <c r="Q216" s="316">
        <f t="shared" si="31"/>
        <v>192.31</v>
      </c>
    </row>
    <row r="217" ht="15" hidden="1" spans="3:17">
      <c r="C217" s="55" t="s">
        <v>259</v>
      </c>
      <c r="D217" s="55" t="s">
        <v>243</v>
      </c>
      <c r="E217" s="147">
        <f>F4A!E216+F4B!E217</f>
        <v>1.76</v>
      </c>
      <c r="F217" s="147">
        <f>F4A!F216+F4B!F217</f>
        <v>1.69</v>
      </c>
      <c r="G217" s="147">
        <f>F4A!G216+F4B!G217</f>
        <v>2</v>
      </c>
      <c r="H217" s="147">
        <f>F4A!H216+F4B!H217</f>
        <v>1.77</v>
      </c>
      <c r="I217" s="147">
        <f>F4A!I216+F4B!I217</f>
        <v>1.74</v>
      </c>
      <c r="J217" s="147">
        <f>F4A!J216+F4B!J217</f>
        <v>3.57</v>
      </c>
      <c r="K217" s="147">
        <f>F4A!K216+F4B!K217</f>
        <v>5.66</v>
      </c>
      <c r="L217" s="147">
        <f>F4A!L216+F4B!L217</f>
        <v>5.88</v>
      </c>
      <c r="M217" s="147">
        <f>F4A!M216+F4B!M217</f>
        <v>5.78</v>
      </c>
      <c r="N217" s="147">
        <f>F4A!N216+F4B!N217</f>
        <v>5.82</v>
      </c>
      <c r="O217" s="147">
        <f>F4A!O216+F4B!O217</f>
        <v>5.89</v>
      </c>
      <c r="P217" s="147">
        <f>F4A!P216+F4B!P217</f>
        <v>5.5</v>
      </c>
      <c r="Q217" s="316">
        <f t="shared" ref="Q217" si="33">SUM(E217:P217)</f>
        <v>47.06</v>
      </c>
    </row>
    <row r="218" ht="15" hidden="1" spans="3:17">
      <c r="C218" s="55" t="s">
        <v>205</v>
      </c>
      <c r="D218" s="55" t="s">
        <v>206</v>
      </c>
      <c r="E218" s="147">
        <f>F4A!E217+F4B!E218</f>
        <v>0</v>
      </c>
      <c r="F218" s="147">
        <f>F4A!F217+F4B!F218</f>
        <v>0</v>
      </c>
      <c r="G218" s="147">
        <f>F4A!G217+F4B!G218</f>
        <v>0</v>
      </c>
      <c r="H218" s="147">
        <f>F4A!H217+F4B!H218</f>
        <v>0</v>
      </c>
      <c r="I218" s="147">
        <f>F4A!I217+F4B!I218</f>
        <v>0</v>
      </c>
      <c r="J218" s="147">
        <f>F4A!J217+F4B!J218</f>
        <v>0</v>
      </c>
      <c r="K218" s="147">
        <f>F4A!K217+F4B!K218</f>
        <v>0</v>
      </c>
      <c r="L218" s="147">
        <f>F4A!L217+F4B!L218</f>
        <v>0</v>
      </c>
      <c r="M218" s="147">
        <f>F4A!M217+F4B!M218</f>
        <v>0</v>
      </c>
      <c r="N218" s="147">
        <f>F4A!N217+F4B!N218</f>
        <v>0</v>
      </c>
      <c r="O218" s="147">
        <f>F4A!O217+F4B!O218</f>
        <v>0</v>
      </c>
      <c r="P218" s="147">
        <f>F4A!P217+F4B!P218</f>
        <v>0</v>
      </c>
      <c r="Q218" s="316">
        <f t="shared" si="31"/>
        <v>0</v>
      </c>
    </row>
    <row r="219" ht="15" hidden="1" spans="3:17">
      <c r="C219" s="55" t="s">
        <v>207</v>
      </c>
      <c r="D219" s="55" t="s">
        <v>186</v>
      </c>
      <c r="E219" s="147">
        <f>F4A!E218+F4B!E219</f>
        <v>0</v>
      </c>
      <c r="F219" s="147">
        <f>F4A!F218+F4B!F219</f>
        <v>0</v>
      </c>
      <c r="G219" s="147">
        <f>F4A!G218+F4B!G219</f>
        <v>0</v>
      </c>
      <c r="H219" s="147">
        <f>F4A!H218+F4B!H219</f>
        <v>0</v>
      </c>
      <c r="I219" s="147">
        <f>F4A!I218+F4B!I219</f>
        <v>0</v>
      </c>
      <c r="J219" s="147">
        <f>F4A!J218+F4B!J219</f>
        <v>0</v>
      </c>
      <c r="K219" s="147">
        <f>F4A!K218+F4B!K219</f>
        <v>0</v>
      </c>
      <c r="L219" s="147">
        <f>F4A!L218+F4B!L219</f>
        <v>0</v>
      </c>
      <c r="M219" s="147">
        <f>F4A!M218+F4B!M219</f>
        <v>0</v>
      </c>
      <c r="N219" s="147">
        <f>F4A!N218+F4B!N219</f>
        <v>0</v>
      </c>
      <c r="O219" s="147">
        <f>F4A!O218+F4B!O219</f>
        <v>0</v>
      </c>
      <c r="P219" s="147">
        <f>F4A!P218+F4B!P219</f>
        <v>0</v>
      </c>
      <c r="Q219" s="316">
        <f t="shared" si="31"/>
        <v>0</v>
      </c>
    </row>
    <row r="220" ht="15" hidden="1" spans="3:17">
      <c r="C220" s="55" t="s">
        <v>208</v>
      </c>
      <c r="D220" s="55" t="s">
        <v>209</v>
      </c>
      <c r="E220" s="147">
        <f>F4A!E219+F4B!E220</f>
        <v>0</v>
      </c>
      <c r="F220" s="147">
        <f>F4A!F219+F4B!F220</f>
        <v>0</v>
      </c>
      <c r="G220" s="147">
        <f>F4A!G219+F4B!G220</f>
        <v>0</v>
      </c>
      <c r="H220" s="147">
        <f>F4A!H219+F4B!H220</f>
        <v>0</v>
      </c>
      <c r="I220" s="147">
        <f>F4A!I219+F4B!I220</f>
        <v>0</v>
      </c>
      <c r="J220" s="147">
        <f>F4A!J219+F4B!J220</f>
        <v>0</v>
      </c>
      <c r="K220" s="147">
        <f>F4A!K219+F4B!K220</f>
        <v>0</v>
      </c>
      <c r="L220" s="147">
        <f>F4A!L219+F4B!L220</f>
        <v>0</v>
      </c>
      <c r="M220" s="147">
        <f>F4A!M219+F4B!M220</f>
        <v>0</v>
      </c>
      <c r="N220" s="147">
        <f>F4A!N219+F4B!N220</f>
        <v>0</v>
      </c>
      <c r="O220" s="147">
        <f>F4A!O219+F4B!O220</f>
        <v>0</v>
      </c>
      <c r="P220" s="147">
        <f>F4A!P219+F4B!P220</f>
        <v>0</v>
      </c>
      <c r="Q220" s="316">
        <f t="shared" si="31"/>
        <v>0</v>
      </c>
    </row>
    <row r="221" ht="15" hidden="1" spans="3:17">
      <c r="C221" s="55" t="s">
        <v>210</v>
      </c>
      <c r="D221" s="55" t="s">
        <v>188</v>
      </c>
      <c r="E221" s="147">
        <f>F4A!E220+F4B!E221</f>
        <v>0</v>
      </c>
      <c r="F221" s="147">
        <f>F4A!F220+F4B!F221</f>
        <v>0</v>
      </c>
      <c r="G221" s="147">
        <f>F4A!G220+F4B!G221</f>
        <v>0</v>
      </c>
      <c r="H221" s="147">
        <f>F4A!H220+F4B!H221</f>
        <v>0</v>
      </c>
      <c r="I221" s="147">
        <f>F4A!I220+F4B!I221</f>
        <v>0</v>
      </c>
      <c r="J221" s="147">
        <f>F4A!J220+F4B!J221</f>
        <v>0</v>
      </c>
      <c r="K221" s="147">
        <f>F4A!K220+F4B!K221</f>
        <v>0</v>
      </c>
      <c r="L221" s="147">
        <f>F4A!L220+F4B!L221</f>
        <v>0</v>
      </c>
      <c r="M221" s="147">
        <f>F4A!M220+F4B!M221</f>
        <v>0</v>
      </c>
      <c r="N221" s="147">
        <f>F4A!N220+F4B!N221</f>
        <v>0</v>
      </c>
      <c r="O221" s="147">
        <f>F4A!O220+F4B!O221</f>
        <v>0</v>
      </c>
      <c r="P221" s="147">
        <f>F4A!P220+F4B!P221</f>
        <v>0</v>
      </c>
      <c r="Q221" s="316">
        <f t="shared" si="31"/>
        <v>0</v>
      </c>
    </row>
    <row r="222" ht="15" hidden="1" spans="3:17">
      <c r="C222" s="55"/>
      <c r="D222" s="55"/>
      <c r="E222" s="147">
        <f>F4A!E221+F4B!E222</f>
        <v>0</v>
      </c>
      <c r="F222" s="147">
        <f>F4A!F221+F4B!F222</f>
        <v>0</v>
      </c>
      <c r="G222" s="147">
        <f>F4A!G221+F4B!G222</f>
        <v>0</v>
      </c>
      <c r="H222" s="147">
        <f>F4A!H221+F4B!H222</f>
        <v>0</v>
      </c>
      <c r="I222" s="147">
        <f>F4A!I221+F4B!I222</f>
        <v>0</v>
      </c>
      <c r="J222" s="147">
        <f>F4A!J221+F4B!J222</f>
        <v>0</v>
      </c>
      <c r="K222" s="147">
        <f>F4A!K221+F4B!K222</f>
        <v>0</v>
      </c>
      <c r="L222" s="147">
        <f>F4A!L221+F4B!L222</f>
        <v>0</v>
      </c>
      <c r="M222" s="147">
        <f>F4A!M221+F4B!M222</f>
        <v>0</v>
      </c>
      <c r="N222" s="147">
        <f>F4A!N221+F4B!N222</f>
        <v>0</v>
      </c>
      <c r="O222" s="147">
        <f>F4A!O221+F4B!O222</f>
        <v>0</v>
      </c>
      <c r="P222" s="147">
        <f>F4A!P221+F4B!P222</f>
        <v>0</v>
      </c>
      <c r="Q222" s="316">
        <f t="shared" si="31"/>
        <v>0</v>
      </c>
    </row>
    <row r="223" ht="15" hidden="1" spans="3:17">
      <c r="C223" s="55"/>
      <c r="D223" s="55"/>
      <c r="E223" s="147">
        <f>F4A!E222+F4B!E223</f>
        <v>0</v>
      </c>
      <c r="F223" s="147">
        <f>F4A!F222+F4B!F223</f>
        <v>0</v>
      </c>
      <c r="G223" s="147">
        <f>F4A!G222+F4B!G223</f>
        <v>0</v>
      </c>
      <c r="H223" s="147">
        <f>F4A!H222+F4B!H223</f>
        <v>0</v>
      </c>
      <c r="I223" s="147">
        <f>F4A!I222+F4B!I223</f>
        <v>0</v>
      </c>
      <c r="J223" s="147">
        <f>F4A!J222+F4B!J223</f>
        <v>0</v>
      </c>
      <c r="K223" s="147">
        <f>F4A!K222+F4B!K223</f>
        <v>0</v>
      </c>
      <c r="L223" s="147">
        <f>F4A!L222+F4B!L223</f>
        <v>0</v>
      </c>
      <c r="M223" s="147">
        <f>F4A!M222+F4B!M223</f>
        <v>0</v>
      </c>
      <c r="N223" s="147">
        <f>F4A!N222+F4B!N223</f>
        <v>0</v>
      </c>
      <c r="O223" s="147">
        <f>F4A!O222+F4B!O223</f>
        <v>0</v>
      </c>
      <c r="P223" s="147">
        <f>F4A!P222+F4B!P223</f>
        <v>0</v>
      </c>
      <c r="Q223" s="316">
        <f t="shared" si="31"/>
        <v>0</v>
      </c>
    </row>
    <row r="224" ht="15" hidden="1" spans="3:17">
      <c r="C224" s="55" t="s">
        <v>258</v>
      </c>
      <c r="D224" s="55" t="s">
        <v>258</v>
      </c>
      <c r="E224" s="147">
        <f>F4A!E223+F4B!E224</f>
        <v>0</v>
      </c>
      <c r="F224" s="147">
        <f>F4A!F223+F4B!F224</f>
        <v>0</v>
      </c>
      <c r="G224" s="147">
        <f>F4A!G223+F4B!G224</f>
        <v>0</v>
      </c>
      <c r="H224" s="147">
        <f>F4A!H223+F4B!H224</f>
        <v>0</v>
      </c>
      <c r="I224" s="147">
        <f>F4A!I223+F4B!I224</f>
        <v>0</v>
      </c>
      <c r="J224" s="147">
        <f>F4A!J223+F4B!J224</f>
        <v>0</v>
      </c>
      <c r="K224" s="147">
        <f>F4A!K223+F4B!K224</f>
        <v>0</v>
      </c>
      <c r="L224" s="147">
        <f>F4A!L223+F4B!L224</f>
        <v>0</v>
      </c>
      <c r="M224" s="147">
        <f>F4A!M223+F4B!M224</f>
        <v>0</v>
      </c>
      <c r="N224" s="147">
        <f>F4A!N223+F4B!N224</f>
        <v>0</v>
      </c>
      <c r="O224" s="147">
        <f>F4A!O223+F4B!O224</f>
        <v>0</v>
      </c>
      <c r="P224" s="147">
        <f>F4A!P223+F4B!P224</f>
        <v>0</v>
      </c>
      <c r="Q224" s="316">
        <f t="shared" si="31"/>
        <v>0</v>
      </c>
    </row>
    <row r="225" ht="15" hidden="1" spans="3:17">
      <c r="C225" s="537" t="s">
        <v>211</v>
      </c>
      <c r="D225" s="540"/>
      <c r="E225" s="316">
        <f>SUM(E209:E224)</f>
        <v>358.56</v>
      </c>
      <c r="F225" s="316">
        <f t="shared" ref="F225:P225" si="34">SUM(F209:F224)</f>
        <v>267.4</v>
      </c>
      <c r="G225" s="316">
        <f t="shared" si="34"/>
        <v>346.96</v>
      </c>
      <c r="H225" s="316">
        <f t="shared" si="34"/>
        <v>299.93</v>
      </c>
      <c r="I225" s="316">
        <f t="shared" si="34"/>
        <v>354.88</v>
      </c>
      <c r="J225" s="316">
        <f t="shared" si="34"/>
        <v>416.46</v>
      </c>
      <c r="K225" s="316">
        <f t="shared" si="34"/>
        <v>307.29</v>
      </c>
      <c r="L225" s="316">
        <f t="shared" si="34"/>
        <v>278.04</v>
      </c>
      <c r="M225" s="316">
        <f t="shared" si="34"/>
        <v>353.65</v>
      </c>
      <c r="N225" s="316">
        <f t="shared" si="34"/>
        <v>440.89619935</v>
      </c>
      <c r="O225" s="316">
        <f t="shared" si="34"/>
        <v>502.86467619</v>
      </c>
      <c r="P225" s="316">
        <f t="shared" si="34"/>
        <v>510.866995</v>
      </c>
      <c r="Q225" s="316">
        <f t="shared" si="31"/>
        <v>4437.79787054</v>
      </c>
    </row>
    <row r="226" ht="15" hidden="1" spans="3:17">
      <c r="C226" s="537" t="s">
        <v>223</v>
      </c>
      <c r="D226" s="540"/>
      <c r="E226" s="316">
        <f>E225+E207+E190</f>
        <v>897.84</v>
      </c>
      <c r="F226" s="316">
        <f t="shared" ref="F226:P226" si="35">F225+F207+F190</f>
        <v>903.31</v>
      </c>
      <c r="G226" s="316">
        <f t="shared" si="35"/>
        <v>1136.31</v>
      </c>
      <c r="H226" s="316">
        <f t="shared" si="35"/>
        <v>1064.95</v>
      </c>
      <c r="I226" s="316">
        <f t="shared" si="35"/>
        <v>1131.54</v>
      </c>
      <c r="J226" s="316">
        <f t="shared" si="35"/>
        <v>1239.08</v>
      </c>
      <c r="K226" s="316">
        <f t="shared" si="35"/>
        <v>1126.65</v>
      </c>
      <c r="L226" s="316">
        <f t="shared" si="35"/>
        <v>1118.51</v>
      </c>
      <c r="M226" s="316">
        <f t="shared" si="35"/>
        <v>1191.14</v>
      </c>
      <c r="N226" s="316">
        <f t="shared" si="35"/>
        <v>1326.7611549</v>
      </c>
      <c r="O226" s="316">
        <f t="shared" si="35"/>
        <v>1427.40910719</v>
      </c>
      <c r="P226" s="316">
        <f t="shared" si="35"/>
        <v>1424.9529121</v>
      </c>
      <c r="Q226" s="316">
        <f t="shared" si="31"/>
        <v>13988.45317419</v>
      </c>
    </row>
    <row r="227" ht="15" hidden="1" spans="3:17">
      <c r="C227" s="537" t="s">
        <v>224</v>
      </c>
      <c r="D227" s="540"/>
      <c r="E227" s="316">
        <f>E226+E173</f>
        <v>2779.57801634123</v>
      </c>
      <c r="F227" s="316">
        <f t="shared" ref="F227:P227" si="36">F226+F173</f>
        <v>2924.80022445918</v>
      </c>
      <c r="G227" s="316">
        <f t="shared" si="36"/>
        <v>2745.26663387274</v>
      </c>
      <c r="H227" s="316">
        <f t="shared" si="36"/>
        <v>3142.12534910347</v>
      </c>
      <c r="I227" s="316">
        <f t="shared" si="36"/>
        <v>3044.33078554768</v>
      </c>
      <c r="J227" s="316">
        <f t="shared" si="36"/>
        <v>3003.4014131</v>
      </c>
      <c r="K227" s="316">
        <f t="shared" si="36"/>
        <v>2750.83015589</v>
      </c>
      <c r="L227" s="316">
        <f t="shared" si="36"/>
        <v>2535.64702527421</v>
      </c>
      <c r="M227" s="316">
        <f t="shared" si="36"/>
        <v>3175.88338973</v>
      </c>
      <c r="N227" s="316">
        <f t="shared" si="36"/>
        <v>3739.5643616607</v>
      </c>
      <c r="O227" s="316">
        <f t="shared" si="36"/>
        <v>3737.60184774039</v>
      </c>
      <c r="P227" s="316">
        <f t="shared" si="36"/>
        <v>4695.64558820606</v>
      </c>
      <c r="Q227" s="316">
        <f t="shared" si="31"/>
        <v>38274.6747909257</v>
      </c>
    </row>
    <row r="228" ht="15" hidden="1" spans="3:17">
      <c r="C228" s="3"/>
      <c r="D228" s="3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</row>
    <row r="229" ht="15" hidden="1" spans="3:17">
      <c r="C229" s="14"/>
      <c r="Q229" s="3" t="s">
        <v>236</v>
      </c>
    </row>
    <row r="230" ht="15" hidden="1" spans="3:17">
      <c r="C230" s="6" t="s">
        <v>159</v>
      </c>
      <c r="D230" s="6"/>
      <c r="E230" s="135" t="s">
        <v>261</v>
      </c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</row>
    <row r="231" ht="15" hidden="1" spans="3:17">
      <c r="C231" s="6"/>
      <c r="D231" s="6"/>
      <c r="E231" s="135" t="s">
        <v>246</v>
      </c>
      <c r="F231" s="135" t="s">
        <v>247</v>
      </c>
      <c r="G231" s="135" t="s">
        <v>248</v>
      </c>
      <c r="H231" s="135" t="s">
        <v>249</v>
      </c>
      <c r="I231" s="135" t="s">
        <v>250</v>
      </c>
      <c r="J231" s="135" t="s">
        <v>251</v>
      </c>
      <c r="K231" s="135" t="s">
        <v>252</v>
      </c>
      <c r="L231" s="135" t="s">
        <v>253</v>
      </c>
      <c r="M231" s="135" t="s">
        <v>254</v>
      </c>
      <c r="N231" s="135" t="s">
        <v>255</v>
      </c>
      <c r="O231" s="135" t="s">
        <v>256</v>
      </c>
      <c r="P231" s="135" t="s">
        <v>257</v>
      </c>
      <c r="Q231" s="135" t="s">
        <v>97</v>
      </c>
    </row>
    <row r="232" ht="15" hidden="1" spans="3:17">
      <c r="C232" s="44" t="s">
        <v>170</v>
      </c>
      <c r="D232" s="45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316">
        <f>SUM(E232:P232)</f>
        <v>0</v>
      </c>
    </row>
    <row r="233" ht="15" hidden="1" spans="3:17">
      <c r="C233" s="47" t="s">
        <v>171</v>
      </c>
      <c r="D233" s="47" t="s">
        <v>172</v>
      </c>
      <c r="E233" s="147">
        <f>F4A!E232+F4B!E233</f>
        <v>958.6312096</v>
      </c>
      <c r="F233" s="147">
        <f>F4A!F232+F4B!F233</f>
        <v>947.77734622</v>
      </c>
      <c r="G233" s="147">
        <f>F4A!G232+F4B!G233</f>
        <v>817.066939</v>
      </c>
      <c r="H233" s="147">
        <f>F4A!H232+F4B!H233</f>
        <v>781.51773</v>
      </c>
      <c r="I233" s="147">
        <f>F4A!I232+F4B!I233</f>
        <v>783.46889321</v>
      </c>
      <c r="J233" s="147">
        <f>F4A!J232+F4B!J233</f>
        <v>744.23774119</v>
      </c>
      <c r="K233" s="147">
        <f>F4A!K232+F4B!K233</f>
        <v>770.82084596</v>
      </c>
      <c r="L233" s="147">
        <f>F4A!L232+F4B!L233</f>
        <v>678.15063825</v>
      </c>
      <c r="M233" s="147">
        <f>F4A!M232+F4B!M233</f>
        <v>642.3749949</v>
      </c>
      <c r="N233" s="147">
        <f>F4A!N232+F4B!N233</f>
        <v>634.498739</v>
      </c>
      <c r="O233" s="147">
        <f>F4A!O232+F4B!O233</f>
        <v>652.04275759</v>
      </c>
      <c r="P233" s="147">
        <f>F4A!P232+F4B!P233</f>
        <v>924.62434831</v>
      </c>
      <c r="Q233" s="316">
        <f t="shared" ref="Q233:Q246" si="37">SUM(E233:P233)</f>
        <v>9335.21218323</v>
      </c>
    </row>
    <row r="234" ht="15" hidden="1" spans="3:17">
      <c r="C234" s="55" t="s">
        <v>173</v>
      </c>
      <c r="D234" s="55" t="s">
        <v>174</v>
      </c>
      <c r="E234" s="147">
        <f>F4A!E233+F4B!E234</f>
        <v>216.622602</v>
      </c>
      <c r="F234" s="147">
        <f>F4A!F233+F4B!F234</f>
        <v>164.782805</v>
      </c>
      <c r="G234" s="147">
        <f>F4A!G233+F4B!G234</f>
        <v>187.96645104</v>
      </c>
      <c r="H234" s="147">
        <f>F4A!H233+F4B!H234</f>
        <v>203.2554</v>
      </c>
      <c r="I234" s="147">
        <f>F4A!I233+F4B!I234</f>
        <v>208.33792147</v>
      </c>
      <c r="J234" s="147">
        <f>F4A!J233+F4B!J234</f>
        <v>202.38050946</v>
      </c>
      <c r="K234" s="147">
        <f>F4A!K233+F4B!K234</f>
        <v>219.36207261</v>
      </c>
      <c r="L234" s="147">
        <f>F4A!L233+F4B!L234</f>
        <v>206.03346725</v>
      </c>
      <c r="M234" s="147">
        <f>F4A!M233+F4B!M234</f>
        <v>200.8110605</v>
      </c>
      <c r="N234" s="147">
        <f>F4A!N233+F4B!N234</f>
        <v>188.034485</v>
      </c>
      <c r="O234" s="147">
        <f>F4A!O233+F4B!O234</f>
        <v>203.62566825</v>
      </c>
      <c r="P234" s="147">
        <f>F4A!P233+F4B!P234</f>
        <v>267.1268865</v>
      </c>
      <c r="Q234" s="316">
        <f t="shared" si="37"/>
        <v>2468.33932908</v>
      </c>
    </row>
    <row r="235" ht="15" hidden="1" spans="3:17">
      <c r="C235" s="55" t="s">
        <v>175</v>
      </c>
      <c r="D235" s="55" t="s">
        <v>176</v>
      </c>
      <c r="E235" s="147">
        <f>F4A!E234+F4B!E235</f>
        <v>72.129595</v>
      </c>
      <c r="F235" s="147">
        <f>F4A!F234+F4B!F235</f>
        <v>62.519583</v>
      </c>
      <c r="G235" s="147">
        <f>F4A!G234+F4B!G235</f>
        <v>70.313388</v>
      </c>
      <c r="H235" s="147">
        <f>F4A!H234+F4B!H235</f>
        <v>75.565589</v>
      </c>
      <c r="I235" s="147">
        <f>F4A!I234+F4B!I235</f>
        <v>74.327884</v>
      </c>
      <c r="J235" s="147">
        <f>F4A!J234+F4B!J235</f>
        <v>69.495636</v>
      </c>
      <c r="K235" s="147">
        <f>F4A!K234+F4B!K235</f>
        <v>71.286587</v>
      </c>
      <c r="L235" s="147">
        <f>F4A!L234+F4B!L235</f>
        <v>75.917098</v>
      </c>
      <c r="M235" s="147">
        <f>F4A!M234+F4B!M235</f>
        <v>85.897062</v>
      </c>
      <c r="N235" s="147">
        <f>F4A!N234+F4B!N235</f>
        <v>79.088023</v>
      </c>
      <c r="O235" s="147">
        <f>F4A!O234+F4B!O235</f>
        <v>76.008109</v>
      </c>
      <c r="P235" s="147">
        <f>F4A!P234+F4B!P235</f>
        <v>79.632552</v>
      </c>
      <c r="Q235" s="316">
        <f t="shared" si="37"/>
        <v>892.181106</v>
      </c>
    </row>
    <row r="236" ht="15" hidden="1" spans="3:17">
      <c r="C236" s="55" t="s">
        <v>177</v>
      </c>
      <c r="D236" s="55" t="s">
        <v>178</v>
      </c>
      <c r="E236" s="147">
        <f>F4A!E235+F4B!E236</f>
        <v>0.811382</v>
      </c>
      <c r="F236" s="147">
        <f>F4A!F235+F4B!F236</f>
        <v>0.687753</v>
      </c>
      <c r="G236" s="147">
        <f>F4A!G235+F4B!G236</f>
        <v>0.782228</v>
      </c>
      <c r="H236" s="147">
        <f>F4A!H235+F4B!H236</f>
        <v>0.806994</v>
      </c>
      <c r="I236" s="147">
        <f>F4A!I235+F4B!I236</f>
        <v>0.767551</v>
      </c>
      <c r="J236" s="147">
        <f>F4A!J235+F4B!J236</f>
        <v>0.730633</v>
      </c>
      <c r="K236" s="147">
        <f>F4A!K235+F4B!K236</f>
        <v>0.782965</v>
      </c>
      <c r="L236" s="147">
        <f>F4A!L235+F4B!L236</f>
        <v>0.753787</v>
      </c>
      <c r="M236" s="147">
        <f>F4A!M235+F4B!M236</f>
        <v>0.764057</v>
      </c>
      <c r="N236" s="147">
        <f>F4A!N235+F4B!N236</f>
        <v>0.648226</v>
      </c>
      <c r="O236" s="147">
        <f>F4A!O235+F4B!O236</f>
        <v>0.627256</v>
      </c>
      <c r="P236" s="147">
        <f>F4A!P235+F4B!P236</f>
        <v>0.818623</v>
      </c>
      <c r="Q236" s="316">
        <f t="shared" si="37"/>
        <v>8.981455</v>
      </c>
    </row>
    <row r="237" ht="15" hidden="1" spans="3:17">
      <c r="C237" s="55" t="s">
        <v>179</v>
      </c>
      <c r="D237" s="55" t="s">
        <v>180</v>
      </c>
      <c r="E237" s="147">
        <f>F4A!E236+F4B!E237</f>
        <v>1072.59193717063</v>
      </c>
      <c r="F237" s="147">
        <f>F4A!F236+F4B!F237</f>
        <v>556.239089937373</v>
      </c>
      <c r="G237" s="147">
        <f>F4A!G236+F4B!G237</f>
        <v>545.389182946933</v>
      </c>
      <c r="H237" s="147">
        <f>F4A!H236+F4B!H237</f>
        <v>935.437165580384</v>
      </c>
      <c r="I237" s="147">
        <f>F4A!I236+F4B!I237</f>
        <v>1428.66565815359</v>
      </c>
      <c r="J237" s="147">
        <f>F4A!J236+F4B!J237</f>
        <v>871.507398885458</v>
      </c>
      <c r="K237" s="147">
        <f>F4A!K236+F4B!K237</f>
        <v>1004.44518767881</v>
      </c>
      <c r="L237" s="147">
        <f>F4A!L236+F4B!L237</f>
        <v>394.882793219235</v>
      </c>
      <c r="M237" s="147">
        <f>F4A!M236+F4B!M237</f>
        <v>882.23348368295</v>
      </c>
      <c r="N237" s="147">
        <f>F4A!N236+F4B!N237</f>
        <v>1166.43524578621</v>
      </c>
      <c r="O237" s="147">
        <f>F4A!O236+F4B!O237</f>
        <v>1197.76734866097</v>
      </c>
      <c r="P237" s="147">
        <f>F4A!P236+F4B!P237</f>
        <v>1668.76314684963</v>
      </c>
      <c r="Q237" s="316">
        <f t="shared" si="37"/>
        <v>11724.3576385522</v>
      </c>
    </row>
    <row r="238" ht="15" hidden="1" spans="3:17">
      <c r="C238" s="55" t="s">
        <v>181</v>
      </c>
      <c r="D238" s="55" t="s">
        <v>182</v>
      </c>
      <c r="E238" s="147">
        <f>F4A!E237+F4B!E238</f>
        <v>39.974317</v>
      </c>
      <c r="F238" s="147">
        <f>F4A!F237+F4B!F238</f>
        <v>37.89918</v>
      </c>
      <c r="G238" s="147">
        <f>F4A!G237+F4B!G238</f>
        <v>36.7185941</v>
      </c>
      <c r="H238" s="147">
        <f>F4A!H237+F4B!H238</f>
        <v>37.23527875</v>
      </c>
      <c r="I238" s="147">
        <f>F4A!I237+F4B!I238</f>
        <v>37.20049</v>
      </c>
      <c r="J238" s="147">
        <f>F4A!J237+F4B!J238</f>
        <v>36.156446</v>
      </c>
      <c r="K238" s="147">
        <f>F4A!K237+F4B!K238</f>
        <v>39.504069</v>
      </c>
      <c r="L238" s="147">
        <f>F4A!L237+F4B!L238</f>
        <v>37.812615</v>
      </c>
      <c r="M238" s="147">
        <f>F4A!M237+F4B!M238</f>
        <v>39.7390975</v>
      </c>
      <c r="N238" s="147">
        <f>F4A!N237+F4B!N238</f>
        <v>38.91495325</v>
      </c>
      <c r="O238" s="147">
        <f>F4A!O237+F4B!O238</f>
        <v>38.393703</v>
      </c>
      <c r="P238" s="147">
        <f>F4A!P237+F4B!P238</f>
        <v>42.636841</v>
      </c>
      <c r="Q238" s="316">
        <f t="shared" si="37"/>
        <v>462.1855846</v>
      </c>
    </row>
    <row r="239" ht="15" hidden="1" spans="3:17">
      <c r="C239" s="55" t="s">
        <v>183</v>
      </c>
      <c r="D239" s="55" t="s">
        <v>184</v>
      </c>
      <c r="E239" s="147">
        <f>F4A!E238+F4B!E239</f>
        <v>4.9724112</v>
      </c>
      <c r="F239" s="147">
        <f>F4A!F238+F4B!F239</f>
        <v>3.9698763</v>
      </c>
      <c r="G239" s="147">
        <f>F4A!G238+F4B!G239</f>
        <v>3.8782</v>
      </c>
      <c r="H239" s="147">
        <f>F4A!H238+F4B!H239</f>
        <v>4.268814</v>
      </c>
      <c r="I239" s="147">
        <f>F4A!I238+F4B!I239</f>
        <v>4.424712</v>
      </c>
      <c r="J239" s="147">
        <f>F4A!J238+F4B!J239</f>
        <v>4.478792</v>
      </c>
      <c r="K239" s="147">
        <f>F4A!K238+F4B!K239</f>
        <v>5.1390957</v>
      </c>
      <c r="L239" s="147">
        <f>F4A!L238+F4B!L239</f>
        <v>6.1701034</v>
      </c>
      <c r="M239" s="147">
        <f>F4A!M238+F4B!M239</f>
        <v>5.851374</v>
      </c>
      <c r="N239" s="147">
        <f>F4A!N238+F4B!N239</f>
        <v>4.0501452</v>
      </c>
      <c r="O239" s="147">
        <f>F4A!O238+F4B!O239</f>
        <v>5.9031316</v>
      </c>
      <c r="P239" s="147">
        <f>F4A!P238+F4B!P239</f>
        <v>8.2073661</v>
      </c>
      <c r="Q239" s="316">
        <f t="shared" si="37"/>
        <v>61.3140215</v>
      </c>
    </row>
    <row r="240" ht="15" hidden="1" spans="3:17">
      <c r="C240" s="55" t="s">
        <v>185</v>
      </c>
      <c r="D240" s="55" t="s">
        <v>186</v>
      </c>
      <c r="E240" s="147">
        <f>F4A!E239+F4B!E240</f>
        <v>6.329285</v>
      </c>
      <c r="F240" s="147">
        <f>F4A!F239+F4B!F240</f>
        <v>5.696465</v>
      </c>
      <c r="G240" s="147">
        <f>F4A!G239+F4B!G240</f>
        <v>5.892033</v>
      </c>
      <c r="H240" s="147">
        <f>F4A!H239+F4B!H240</f>
        <v>6.324905</v>
      </c>
      <c r="I240" s="147">
        <f>F4A!I239+F4B!I240</f>
        <v>6.69901</v>
      </c>
      <c r="J240" s="147">
        <f>F4A!J239+F4B!J240</f>
        <v>6.614965</v>
      </c>
      <c r="K240" s="147">
        <f>F4A!K239+F4B!K240</f>
        <v>7.313747</v>
      </c>
      <c r="L240" s="147">
        <f>F4A!L239+F4B!L240</f>
        <v>6.741851</v>
      </c>
      <c r="M240" s="147">
        <f>F4A!M239+F4B!M240</f>
        <v>7.121061</v>
      </c>
      <c r="N240" s="147">
        <f>F4A!N239+F4B!N240</f>
        <v>7.045018</v>
      </c>
      <c r="O240" s="147">
        <f>F4A!O239+F4B!O240</f>
        <v>7.455261</v>
      </c>
      <c r="P240" s="147">
        <f>F4A!P239+F4B!P240</f>
        <v>9.054385</v>
      </c>
      <c r="Q240" s="316">
        <f t="shared" si="37"/>
        <v>82.287986</v>
      </c>
    </row>
    <row r="241" ht="15" hidden="1" spans="3:17">
      <c r="C241" s="55" t="s">
        <v>187</v>
      </c>
      <c r="D241" s="55" t="s">
        <v>188</v>
      </c>
      <c r="E241" s="147">
        <f>F4A!E240+F4B!E241</f>
        <v>0.002711</v>
      </c>
      <c r="F241" s="147">
        <f>F4A!F240+F4B!F241</f>
        <v>0.001399</v>
      </c>
      <c r="G241" s="147">
        <f>F4A!G240+F4B!G241</f>
        <v>0.002161</v>
      </c>
      <c r="H241" s="147">
        <f>F4A!H240+F4B!H241</f>
        <v>0.004707</v>
      </c>
      <c r="I241" s="147">
        <f>F4A!I240+F4B!I241</f>
        <v>0.0063</v>
      </c>
      <c r="J241" s="147">
        <f>F4A!J240+F4B!J241</f>
        <v>0.009721</v>
      </c>
      <c r="K241" s="147">
        <f>F4A!K240+F4B!K241</f>
        <v>0.012039</v>
      </c>
      <c r="L241" s="147">
        <f>F4A!L240+F4B!L241</f>
        <v>0.012754</v>
      </c>
      <c r="M241" s="147">
        <f>F4A!M240+F4B!M241</f>
        <v>0.01836</v>
      </c>
      <c r="N241" s="147">
        <f>F4A!N240+F4B!N241</f>
        <v>0.017074</v>
      </c>
      <c r="O241" s="147">
        <f>F4A!O240+F4B!O241</f>
        <v>0.020971</v>
      </c>
      <c r="P241" s="147">
        <f>F4A!P240+F4B!P241</f>
        <v>0.02218</v>
      </c>
      <c r="Q241" s="316">
        <f t="shared" si="37"/>
        <v>0.130377</v>
      </c>
    </row>
    <row r="242" ht="15" hidden="1" spans="3:17">
      <c r="C242" s="55"/>
      <c r="D242" s="55"/>
      <c r="E242" s="147">
        <f>F4A!E241+F4B!E242</f>
        <v>0</v>
      </c>
      <c r="F242" s="147">
        <f>F4A!F241+F4B!F242</f>
        <v>0</v>
      </c>
      <c r="G242" s="147">
        <f>F4A!G241+F4B!G242</f>
        <v>0</v>
      </c>
      <c r="H242" s="147">
        <f>F4A!H241+F4B!H242</f>
        <v>0</v>
      </c>
      <c r="I242" s="147">
        <f>F4A!I241+F4B!I242</f>
        <v>0</v>
      </c>
      <c r="J242" s="147">
        <f>F4A!J241+F4B!J242</f>
        <v>0</v>
      </c>
      <c r="K242" s="147">
        <f>F4A!K241+F4B!K242</f>
        <v>0</v>
      </c>
      <c r="L242" s="147">
        <f>F4A!L241+F4B!L242</f>
        <v>0</v>
      </c>
      <c r="M242" s="147">
        <f>F4A!M241+F4B!M242</f>
        <v>0</v>
      </c>
      <c r="N242" s="147">
        <f>F4A!N241+F4B!N242</f>
        <v>0</v>
      </c>
      <c r="O242" s="147">
        <f>F4A!O241+F4B!O242</f>
        <v>0</v>
      </c>
      <c r="P242" s="147">
        <f>F4A!P241+F4B!P242</f>
        <v>0</v>
      </c>
      <c r="Q242" s="316">
        <f t="shared" si="37"/>
        <v>0</v>
      </c>
    </row>
    <row r="243" ht="15" hidden="1" spans="3:17">
      <c r="C243" s="55"/>
      <c r="D243" s="55"/>
      <c r="E243" s="147">
        <f>F4A!E242+F4B!E243</f>
        <v>0</v>
      </c>
      <c r="F243" s="147">
        <f>F4A!F242+F4B!F243</f>
        <v>0</v>
      </c>
      <c r="G243" s="147">
        <f>F4A!G242+F4B!G243</f>
        <v>0</v>
      </c>
      <c r="H243" s="147">
        <f>F4A!H242+F4B!H243</f>
        <v>0</v>
      </c>
      <c r="I243" s="147">
        <f>F4A!I242+F4B!I243</f>
        <v>0</v>
      </c>
      <c r="J243" s="147">
        <f>F4A!J242+F4B!J243</f>
        <v>0</v>
      </c>
      <c r="K243" s="147">
        <f>F4A!K242+F4B!K243</f>
        <v>0</v>
      </c>
      <c r="L243" s="147">
        <f>F4A!L242+F4B!L243</f>
        <v>0</v>
      </c>
      <c r="M243" s="147">
        <f>F4A!M242+F4B!M243</f>
        <v>0</v>
      </c>
      <c r="N243" s="147">
        <f>F4A!N242+F4B!N243</f>
        <v>0</v>
      </c>
      <c r="O243" s="147">
        <f>F4A!O242+F4B!O243</f>
        <v>0</v>
      </c>
      <c r="P243" s="147">
        <f>F4A!P242+F4B!P243</f>
        <v>0</v>
      </c>
      <c r="Q243" s="316">
        <f t="shared" si="37"/>
        <v>0</v>
      </c>
    </row>
    <row r="244" ht="15" hidden="1" spans="3:17">
      <c r="C244" s="55"/>
      <c r="D244" s="55"/>
      <c r="E244" s="147">
        <f>F4A!E243+F4B!E244</f>
        <v>0</v>
      </c>
      <c r="F244" s="147">
        <f>F4A!F243+F4B!F244</f>
        <v>0</v>
      </c>
      <c r="G244" s="147">
        <f>F4A!G243+F4B!G244</f>
        <v>0</v>
      </c>
      <c r="H244" s="147">
        <f>F4A!H243+F4B!H244</f>
        <v>0</v>
      </c>
      <c r="I244" s="147">
        <f>F4A!I243+F4B!I244</f>
        <v>0</v>
      </c>
      <c r="J244" s="147">
        <f>F4A!J243+F4B!J244</f>
        <v>0</v>
      </c>
      <c r="K244" s="147">
        <f>F4A!K243+F4B!K244</f>
        <v>0</v>
      </c>
      <c r="L244" s="147">
        <f>F4A!L243+F4B!L244</f>
        <v>0</v>
      </c>
      <c r="M244" s="147">
        <f>F4A!M243+F4B!M244</f>
        <v>0</v>
      </c>
      <c r="N244" s="147">
        <f>F4A!N243+F4B!N244</f>
        <v>0</v>
      </c>
      <c r="O244" s="147">
        <f>F4A!O243+F4B!O244</f>
        <v>0</v>
      </c>
      <c r="P244" s="147">
        <f>F4A!P243+F4B!P244</f>
        <v>0</v>
      </c>
      <c r="Q244" s="316">
        <f t="shared" si="37"/>
        <v>0</v>
      </c>
    </row>
    <row r="245" ht="15" hidden="1" spans="3:17">
      <c r="C245" s="55" t="s">
        <v>258</v>
      </c>
      <c r="D245" s="55" t="s">
        <v>258</v>
      </c>
      <c r="E245" s="147">
        <f>F4A!E244+F4B!E245</f>
        <v>0</v>
      </c>
      <c r="F245" s="147">
        <f>F4A!F244+F4B!F245</f>
        <v>0</v>
      </c>
      <c r="G245" s="147">
        <f>F4A!G244+F4B!G245</f>
        <v>0</v>
      </c>
      <c r="H245" s="147">
        <f>F4A!H244+F4B!H245</f>
        <v>0</v>
      </c>
      <c r="I245" s="147">
        <f>F4A!I244+F4B!I245</f>
        <v>0</v>
      </c>
      <c r="J245" s="147">
        <f>F4A!J244+F4B!J245</f>
        <v>0</v>
      </c>
      <c r="K245" s="147">
        <f>F4A!K244+F4B!K245</f>
        <v>0</v>
      </c>
      <c r="L245" s="147">
        <f>F4A!L244+F4B!L245</f>
        <v>0</v>
      </c>
      <c r="M245" s="147">
        <f>F4A!M244+F4B!M245</f>
        <v>0</v>
      </c>
      <c r="N245" s="147">
        <f>F4A!N244+F4B!N245</f>
        <v>0</v>
      </c>
      <c r="O245" s="147">
        <f>F4A!O244+F4B!O245</f>
        <v>0</v>
      </c>
      <c r="P245" s="147">
        <f>F4A!P244+F4B!P245</f>
        <v>0</v>
      </c>
      <c r="Q245" s="316">
        <f t="shared" si="37"/>
        <v>0</v>
      </c>
    </row>
    <row r="246" ht="15" hidden="1" spans="3:17">
      <c r="C246" s="537" t="s">
        <v>189</v>
      </c>
      <c r="D246" s="540"/>
      <c r="E246" s="316">
        <f t="shared" ref="E246:P246" si="38">SUM(E233:E245)</f>
        <v>2372.06544997063</v>
      </c>
      <c r="F246" s="316">
        <f t="shared" si="38"/>
        <v>1779.57349745737</v>
      </c>
      <c r="G246" s="316">
        <f t="shared" si="38"/>
        <v>1668.00917708693</v>
      </c>
      <c r="H246" s="316">
        <f t="shared" si="38"/>
        <v>2044.41658333038</v>
      </c>
      <c r="I246" s="316">
        <f t="shared" si="38"/>
        <v>2543.89841983359</v>
      </c>
      <c r="J246" s="316">
        <f t="shared" si="38"/>
        <v>1935.61184253546</v>
      </c>
      <c r="K246" s="316">
        <f t="shared" si="38"/>
        <v>2118.66660894881</v>
      </c>
      <c r="L246" s="316">
        <f t="shared" si="38"/>
        <v>1406.47510711924</v>
      </c>
      <c r="M246" s="316">
        <f t="shared" si="38"/>
        <v>1864.81055058295</v>
      </c>
      <c r="N246" s="316">
        <f t="shared" si="38"/>
        <v>2118.73190923621</v>
      </c>
      <c r="O246" s="316">
        <f t="shared" si="38"/>
        <v>2181.84420610097</v>
      </c>
      <c r="P246" s="316">
        <f t="shared" si="38"/>
        <v>3000.88632875963</v>
      </c>
      <c r="Q246" s="316">
        <f t="shared" si="37"/>
        <v>25034.9896809622</v>
      </c>
    </row>
    <row r="247" ht="15" hidden="1" spans="3:17">
      <c r="C247" s="44" t="s">
        <v>190</v>
      </c>
      <c r="D247" s="45"/>
      <c r="E247" s="147"/>
      <c r="F247" s="147"/>
      <c r="G247" s="147"/>
      <c r="H247" s="147"/>
      <c r="I247" s="147"/>
      <c r="J247" s="147"/>
      <c r="K247" s="147"/>
      <c r="L247" s="147"/>
      <c r="M247" s="147"/>
      <c r="N247" s="147"/>
      <c r="O247" s="147"/>
      <c r="P247" s="147"/>
      <c r="Q247" s="316">
        <f t="shared" ref="Q247:Q280" si="39">SUM(E247:P247)</f>
        <v>0</v>
      </c>
    </row>
    <row r="248" ht="15" hidden="1" spans="3:17">
      <c r="C248" s="55" t="s">
        <v>191</v>
      </c>
      <c r="D248" s="55" t="s">
        <v>192</v>
      </c>
      <c r="E248" s="147">
        <f>F4A!E247+F4B!E248</f>
        <v>332.544070280001</v>
      </c>
      <c r="F248" s="147">
        <f>F4A!F247+F4B!F248</f>
        <v>296.7444354</v>
      </c>
      <c r="G248" s="147">
        <f>F4A!G247+F4B!G248</f>
        <v>301.99576105</v>
      </c>
      <c r="H248" s="147">
        <f>F4A!H247+F4B!H248</f>
        <v>321.228852779999</v>
      </c>
      <c r="I248" s="147">
        <f>F4A!I247+F4B!I248</f>
        <v>326.266262549999</v>
      </c>
      <c r="J248" s="147">
        <f>F4A!J247+F4B!J248</f>
        <v>320.032160720001</v>
      </c>
      <c r="K248" s="147">
        <f>F4A!K247+F4B!K248</f>
        <v>309.161398929999</v>
      </c>
      <c r="L248" s="147">
        <f>F4A!L247+F4B!L248</f>
        <v>330.646328459999</v>
      </c>
      <c r="M248" s="147">
        <f>F4A!M247+F4B!M248</f>
        <v>334.94531104</v>
      </c>
      <c r="N248" s="147">
        <f>F4A!N247+F4B!N248</f>
        <v>337.16304669</v>
      </c>
      <c r="O248" s="147">
        <f>F4A!O247+F4B!O248</f>
        <v>334.920558119999</v>
      </c>
      <c r="P248" s="147">
        <f>F4A!P247+F4B!P248</f>
        <v>315.07038202</v>
      </c>
      <c r="Q248" s="316">
        <f t="shared" si="39"/>
        <v>3860.71856804</v>
      </c>
    </row>
    <row r="249" ht="15" hidden="1" spans="3:17">
      <c r="C249" s="55" t="s">
        <v>193</v>
      </c>
      <c r="D249" s="55" t="s">
        <v>194</v>
      </c>
      <c r="E249" s="147">
        <f>F4A!E248+F4B!E249</f>
        <v>0</v>
      </c>
      <c r="F249" s="147">
        <f>F4A!F248+F4B!F249</f>
        <v>0</v>
      </c>
      <c r="G249" s="147">
        <f>F4A!G248+F4B!G249</f>
        <v>0</v>
      </c>
      <c r="H249" s="147">
        <f>F4A!H248+F4B!H249</f>
        <v>0</v>
      </c>
      <c r="I249" s="147">
        <f>F4A!I248+F4B!I249</f>
        <v>0</v>
      </c>
      <c r="J249" s="147">
        <f>F4A!J248+F4B!J249</f>
        <v>0</v>
      </c>
      <c r="K249" s="147">
        <f>F4A!K248+F4B!K249</f>
        <v>0</v>
      </c>
      <c r="L249" s="147">
        <f>F4A!L248+F4B!L249</f>
        <v>0</v>
      </c>
      <c r="M249" s="147">
        <f>F4A!M248+F4B!M249</f>
        <v>0</v>
      </c>
      <c r="N249" s="147">
        <f>F4A!N248+F4B!N249</f>
        <v>0</v>
      </c>
      <c r="O249" s="147">
        <f>F4A!O248+F4B!O249</f>
        <v>0</v>
      </c>
      <c r="P249" s="147">
        <f>F4A!P248+F4B!P249</f>
        <v>0</v>
      </c>
      <c r="Q249" s="316">
        <f t="shared" si="39"/>
        <v>0</v>
      </c>
    </row>
    <row r="250" ht="15" hidden="1" spans="3:17">
      <c r="C250" s="55" t="s">
        <v>239</v>
      </c>
      <c r="D250" s="55" t="s">
        <v>196</v>
      </c>
      <c r="E250" s="147">
        <f>F4A!E249+F4B!E250</f>
        <v>135.33931926</v>
      </c>
      <c r="F250" s="147">
        <f>F4A!F249+F4B!F250</f>
        <v>116.92400986</v>
      </c>
      <c r="G250" s="147">
        <f>F4A!G249+F4B!G250</f>
        <v>105.71268346</v>
      </c>
      <c r="H250" s="147">
        <f>F4A!H249+F4B!H250</f>
        <v>118.80580985</v>
      </c>
      <c r="I250" s="147">
        <f>F4A!I249+F4B!I250</f>
        <v>124.65938299</v>
      </c>
      <c r="J250" s="147">
        <f>F4A!J249+F4B!J250</f>
        <v>122.62340804</v>
      </c>
      <c r="K250" s="147">
        <f>F4A!K249+F4B!K250</f>
        <v>131.27630043</v>
      </c>
      <c r="L250" s="147">
        <f>F4A!L249+F4B!L250</f>
        <v>125.499898209999</v>
      </c>
      <c r="M250" s="147">
        <f>F4A!M249+F4B!M250</f>
        <v>122.17824065</v>
      </c>
      <c r="N250" s="147">
        <f>F4A!N249+F4B!N250</f>
        <v>113.94841667</v>
      </c>
      <c r="O250" s="147">
        <f>F4A!O249+F4B!O250</f>
        <v>109.91896391</v>
      </c>
      <c r="P250" s="147">
        <f>F4A!P249+F4B!P250</f>
        <v>124.73975294</v>
      </c>
      <c r="Q250" s="316">
        <f t="shared" si="39"/>
        <v>1451.62618627</v>
      </c>
    </row>
    <row r="251" ht="15" hidden="1" spans="3:17">
      <c r="C251" s="55" t="s">
        <v>197</v>
      </c>
      <c r="D251" s="55" t="s">
        <v>198</v>
      </c>
      <c r="E251" s="147">
        <f>F4A!E250+F4B!E251</f>
        <v>0</v>
      </c>
      <c r="F251" s="147">
        <f>F4A!F250+F4B!F251</f>
        <v>0</v>
      </c>
      <c r="G251" s="147">
        <f>F4A!G250+F4B!G251</f>
        <v>0</v>
      </c>
      <c r="H251" s="147">
        <f>F4A!H250+F4B!H251</f>
        <v>0</v>
      </c>
      <c r="I251" s="147">
        <f>F4A!I250+F4B!I251</f>
        <v>0</v>
      </c>
      <c r="J251" s="147">
        <f>F4A!J250+F4B!J251</f>
        <v>0</v>
      </c>
      <c r="K251" s="147">
        <f>F4A!K250+F4B!K251</f>
        <v>0</v>
      </c>
      <c r="L251" s="147">
        <f>F4A!L250+F4B!L251</f>
        <v>0</v>
      </c>
      <c r="M251" s="147">
        <f>F4A!M250+F4B!M251</f>
        <v>0</v>
      </c>
      <c r="N251" s="147">
        <f>F4A!N250+F4B!N251</f>
        <v>0</v>
      </c>
      <c r="O251" s="147">
        <f>F4A!O250+F4B!O251</f>
        <v>0</v>
      </c>
      <c r="P251" s="147">
        <f>F4A!P250+F4B!P251</f>
        <v>0</v>
      </c>
      <c r="Q251" s="316">
        <f t="shared" ref="Q251" si="40">SUM(E251:P251)</f>
        <v>0</v>
      </c>
    </row>
    <row r="252" ht="15" hidden="1" spans="3:17">
      <c r="C252" s="55" t="s">
        <v>199</v>
      </c>
      <c r="D252" s="55" t="s">
        <v>200</v>
      </c>
      <c r="E252" s="147">
        <f>F4A!E251+F4B!E252</f>
        <v>0.292469</v>
      </c>
      <c r="F252" s="147">
        <f>F4A!F251+F4B!F252</f>
        <v>0.270392</v>
      </c>
      <c r="G252" s="147">
        <f>F4A!G251+F4B!G252</f>
        <v>0.234387</v>
      </c>
      <c r="H252" s="147">
        <f>F4A!H251+F4B!H252</f>
        <v>0.262396</v>
      </c>
      <c r="I252" s="147">
        <f>F4A!I251+F4B!I252</f>
        <v>0.285778</v>
      </c>
      <c r="J252" s="147">
        <f>F4A!J251+F4B!J252</f>
        <v>0.295408</v>
      </c>
      <c r="K252" s="147">
        <f>F4A!K251+F4B!K252</f>
        <v>0.300113</v>
      </c>
      <c r="L252" s="147">
        <f>F4A!L251+F4B!L252</f>
        <v>0.305227</v>
      </c>
      <c r="M252" s="147">
        <f>F4A!M251+F4B!M252</f>
        <v>0.305084</v>
      </c>
      <c r="N252" s="147">
        <f>F4A!N251+F4B!N252</f>
        <v>0.2911648</v>
      </c>
      <c r="O252" s="147">
        <f>F4A!O251+F4B!O252</f>
        <v>0.269018</v>
      </c>
      <c r="P252" s="147">
        <f>F4A!P251+F4B!P252</f>
        <v>0.276124</v>
      </c>
      <c r="Q252" s="316">
        <f t="shared" si="39"/>
        <v>3.3875608</v>
      </c>
    </row>
    <row r="253" ht="15" hidden="1" spans="3:17">
      <c r="C253" s="55" t="s">
        <v>201</v>
      </c>
      <c r="D253" s="55" t="s">
        <v>202</v>
      </c>
      <c r="E253" s="147">
        <f>F4A!E252+F4B!E253</f>
        <v>5.098911</v>
      </c>
      <c r="F253" s="147">
        <f>F4A!F252+F4B!F253</f>
        <v>1.125737</v>
      </c>
      <c r="G253" s="147">
        <f>F4A!G252+F4B!G253</f>
        <v>0.655789</v>
      </c>
      <c r="H253" s="147">
        <f>F4A!H252+F4B!H253</f>
        <v>0.850232</v>
      </c>
      <c r="I253" s="147">
        <f>F4A!I252+F4B!I253</f>
        <v>2.978438</v>
      </c>
      <c r="J253" s="147">
        <f>F4A!J252+F4B!J253</f>
        <v>4.169779</v>
      </c>
      <c r="K253" s="147">
        <f>F4A!K252+F4B!K253</f>
        <v>5.090822</v>
      </c>
      <c r="L253" s="147">
        <f>F4A!L252+F4B!L253</f>
        <v>3.925507</v>
      </c>
      <c r="M253" s="147">
        <f>F4A!M252+F4B!M253</f>
        <v>1.892511</v>
      </c>
      <c r="N253" s="147">
        <f>F4A!N252+F4B!N253</f>
        <v>4.936936</v>
      </c>
      <c r="O253" s="147">
        <f>F4A!O252+F4B!O253</f>
        <v>5.117686</v>
      </c>
      <c r="P253" s="147">
        <f>F4A!P252+F4B!P253</f>
        <v>5.834378</v>
      </c>
      <c r="Q253" s="316">
        <f t="shared" si="39"/>
        <v>41.676726</v>
      </c>
    </row>
    <row r="254" ht="15" hidden="1" spans="3:17">
      <c r="C254" s="55" t="s">
        <v>203</v>
      </c>
      <c r="D254" s="55" t="s">
        <v>204</v>
      </c>
      <c r="E254" s="147">
        <f>F4A!E253+F4B!E254</f>
        <v>11.473512</v>
      </c>
      <c r="F254" s="147">
        <f>F4A!F253+F4B!F254</f>
        <v>10.681545</v>
      </c>
      <c r="G254" s="147">
        <f>F4A!G253+F4B!G254</f>
        <v>10.455111</v>
      </c>
      <c r="H254" s="147">
        <f>F4A!H253+F4B!H254</f>
        <v>10.456347</v>
      </c>
      <c r="I254" s="147">
        <f>F4A!I253+F4B!I254</f>
        <v>10.8146315</v>
      </c>
      <c r="J254" s="147">
        <f>F4A!J253+F4B!J254</f>
        <v>10.613011</v>
      </c>
      <c r="K254" s="147">
        <f>F4A!K253+F4B!K254</f>
        <v>10.948582</v>
      </c>
      <c r="L254" s="147">
        <f>F4A!L253+F4B!L254</f>
        <v>11.269684</v>
      </c>
      <c r="M254" s="147">
        <f>F4A!M253+F4B!M254</f>
        <v>10.916776</v>
      </c>
      <c r="N254" s="147">
        <f>F4A!N253+F4B!N254</f>
        <v>11.1741985</v>
      </c>
      <c r="O254" s="147">
        <f>F4A!O253+F4B!O254</f>
        <v>10.960835</v>
      </c>
      <c r="P254" s="147">
        <f>F4A!P253+F4B!P254</f>
        <v>10.458047</v>
      </c>
      <c r="Q254" s="316">
        <f t="shared" si="39"/>
        <v>130.22228</v>
      </c>
    </row>
    <row r="255" ht="15" hidden="1" spans="3:17">
      <c r="C255" s="55" t="s">
        <v>205</v>
      </c>
      <c r="D255" s="55" t="s">
        <v>206</v>
      </c>
      <c r="E255" s="147">
        <f>F4A!E254+F4B!E255</f>
        <v>14.581323</v>
      </c>
      <c r="F255" s="147">
        <f>F4A!F254+F4B!F255</f>
        <v>14.678289</v>
      </c>
      <c r="G255" s="147">
        <f>F4A!G254+F4B!G255</f>
        <v>14.124176</v>
      </c>
      <c r="H255" s="147">
        <f>F4A!H254+F4B!H255</f>
        <v>12.035335</v>
      </c>
      <c r="I255" s="147">
        <f>F4A!I254+F4B!I255</f>
        <v>12.083102</v>
      </c>
      <c r="J255" s="147">
        <f>F4A!J254+F4B!J255</f>
        <v>11.7113118</v>
      </c>
      <c r="K255" s="147">
        <f>F4A!K254+F4B!K255</f>
        <v>11.8348675</v>
      </c>
      <c r="L255" s="147">
        <f>F4A!L254+F4B!L255</f>
        <v>11.489955</v>
      </c>
      <c r="M255" s="147">
        <f>F4A!M254+F4B!M255</f>
        <v>10.88195575</v>
      </c>
      <c r="N255" s="147">
        <f>F4A!N254+F4B!N255</f>
        <v>11.005298</v>
      </c>
      <c r="O255" s="147">
        <f>F4A!O254+F4B!O255</f>
        <v>10.857859</v>
      </c>
      <c r="P255" s="147">
        <f>F4A!P254+F4B!P255</f>
        <v>11.39923</v>
      </c>
      <c r="Q255" s="316">
        <f t="shared" si="39"/>
        <v>146.68270205</v>
      </c>
    </row>
    <row r="256" ht="15" hidden="1" spans="3:17">
      <c r="C256" s="55" t="s">
        <v>207</v>
      </c>
      <c r="D256" s="55" t="s">
        <v>186</v>
      </c>
      <c r="E256" s="147">
        <f>F4A!E255+F4B!E256</f>
        <v>8.710615</v>
      </c>
      <c r="F256" s="147">
        <f>F4A!F255+F4B!F256</f>
        <v>7.95727</v>
      </c>
      <c r="G256" s="147">
        <f>F4A!G255+F4B!G256</f>
        <v>8.22206250000001</v>
      </c>
      <c r="H256" s="147">
        <f>F4A!H255+F4B!H256</f>
        <v>8.76820200000001</v>
      </c>
      <c r="I256" s="147">
        <f>F4A!I255+F4B!I256</f>
        <v>9.743914</v>
      </c>
      <c r="J256" s="147">
        <f>F4A!J255+F4B!J256</f>
        <v>9.652652</v>
      </c>
      <c r="K256" s="147">
        <f>F4A!K255+F4B!K256</f>
        <v>10.108731</v>
      </c>
      <c r="L256" s="147">
        <f>F4A!L255+F4B!L256</f>
        <v>9.71765939</v>
      </c>
      <c r="M256" s="147">
        <f>F4A!M255+F4B!M256</f>
        <v>9.73335603999999</v>
      </c>
      <c r="N256" s="147">
        <f>F4A!N255+F4B!N256</f>
        <v>10.3633035</v>
      </c>
      <c r="O256" s="147">
        <f>F4A!O255+F4B!O256</f>
        <v>9.914018</v>
      </c>
      <c r="P256" s="147">
        <f>F4A!P255+F4B!P256</f>
        <v>9.59293350000001</v>
      </c>
      <c r="Q256" s="316">
        <f t="shared" si="39"/>
        <v>112.48471693</v>
      </c>
    </row>
    <row r="257" ht="15" hidden="1" spans="3:17">
      <c r="C257" s="55" t="s">
        <v>208</v>
      </c>
      <c r="D257" s="55" t="s">
        <v>209</v>
      </c>
      <c r="E257" s="147">
        <f>F4A!E256+F4B!E257</f>
        <v>0</v>
      </c>
      <c r="F257" s="147">
        <f>F4A!F256+F4B!F257</f>
        <v>0</v>
      </c>
      <c r="G257" s="147">
        <f>F4A!G256+F4B!G257</f>
        <v>0</v>
      </c>
      <c r="H257" s="147">
        <f>F4A!H256+F4B!H257</f>
        <v>0</v>
      </c>
      <c r="I257" s="147">
        <f>F4A!I256+F4B!I257</f>
        <v>0</v>
      </c>
      <c r="J257" s="147">
        <f>F4A!J256+F4B!J257</f>
        <v>0</v>
      </c>
      <c r="K257" s="147">
        <f>F4A!K256+F4B!K257</f>
        <v>0</v>
      </c>
      <c r="L257" s="147">
        <f>F4A!L256+F4B!L257</f>
        <v>0</v>
      </c>
      <c r="M257" s="147">
        <f>F4A!M256+F4B!M257</f>
        <v>0</v>
      </c>
      <c r="N257" s="147">
        <f>F4A!N256+F4B!N257</f>
        <v>0</v>
      </c>
      <c r="O257" s="147">
        <f>F4A!O256+F4B!O257</f>
        <v>0</v>
      </c>
      <c r="P257" s="147">
        <f>F4A!P256+F4B!P257</f>
        <v>0</v>
      </c>
      <c r="Q257" s="316">
        <f t="shared" si="39"/>
        <v>0</v>
      </c>
    </row>
    <row r="258" ht="15" hidden="1" spans="3:17">
      <c r="C258" s="55" t="s">
        <v>210</v>
      </c>
      <c r="D258" s="55" t="s">
        <v>188</v>
      </c>
      <c r="E258" s="147">
        <f>F4A!E257+F4B!E258</f>
        <v>0.368187</v>
      </c>
      <c r="F258" s="147">
        <f>F4A!F257+F4B!F258</f>
        <v>0.131025</v>
      </c>
      <c r="G258" s="147">
        <f>F4A!G257+F4B!G258</f>
        <v>0.026748</v>
      </c>
      <c r="H258" s="147">
        <f>F4A!H257+F4B!H258</f>
        <v>0.186214</v>
      </c>
      <c r="I258" s="147">
        <f>F4A!I257+F4B!I258</f>
        <v>0.254198</v>
      </c>
      <c r="J258" s="147">
        <f>F4A!J257+F4B!J258</f>
        <v>0.288007</v>
      </c>
      <c r="K258" s="147">
        <f>F4A!K257+F4B!K258</f>
        <v>0.35733</v>
      </c>
      <c r="L258" s="147">
        <f>F4A!L257+F4B!L258</f>
        <v>0.383213</v>
      </c>
      <c r="M258" s="147">
        <f>F4A!M257+F4B!M258</f>
        <v>0.385307</v>
      </c>
      <c r="N258" s="147">
        <f>F4A!N257+F4B!N258</f>
        <v>0.361173</v>
      </c>
      <c r="O258" s="147">
        <f>F4A!O257+F4B!O258</f>
        <v>0.336359</v>
      </c>
      <c r="P258" s="147">
        <f>F4A!P257+F4B!P258</f>
        <v>0.35051</v>
      </c>
      <c r="Q258" s="316">
        <f t="shared" si="39"/>
        <v>3.428271</v>
      </c>
    </row>
    <row r="259" ht="15" hidden="1" spans="3:17">
      <c r="C259" s="55"/>
      <c r="D259" s="55"/>
      <c r="E259" s="147">
        <f>F4A!E258+F4B!E259</f>
        <v>0</v>
      </c>
      <c r="F259" s="147">
        <f>F4A!F258+F4B!F259</f>
        <v>0</v>
      </c>
      <c r="G259" s="147">
        <f>F4A!G258+F4B!G259</f>
        <v>0</v>
      </c>
      <c r="H259" s="147">
        <f>F4A!H258+F4B!H259</f>
        <v>0</v>
      </c>
      <c r="I259" s="147">
        <f>F4A!I258+F4B!I259</f>
        <v>0</v>
      </c>
      <c r="J259" s="147">
        <f>F4A!J258+F4B!J259</f>
        <v>0</v>
      </c>
      <c r="K259" s="147">
        <f>F4A!K258+F4B!K259</f>
        <v>0</v>
      </c>
      <c r="L259" s="147">
        <f>F4A!L258+F4B!L259</f>
        <v>0</v>
      </c>
      <c r="M259" s="147">
        <f>F4A!M258+F4B!M259</f>
        <v>0</v>
      </c>
      <c r="N259" s="147">
        <f>F4A!N258+F4B!N259</f>
        <v>0</v>
      </c>
      <c r="O259" s="147">
        <f>F4A!O258+F4B!O259</f>
        <v>0</v>
      </c>
      <c r="P259" s="147">
        <f>F4A!P258+F4B!P259</f>
        <v>0</v>
      </c>
      <c r="Q259" s="316">
        <f t="shared" si="39"/>
        <v>0</v>
      </c>
    </row>
    <row r="260" ht="15" hidden="1" spans="3:17">
      <c r="C260" s="55"/>
      <c r="D260" s="55"/>
      <c r="E260" s="147">
        <f>F4A!E259+F4B!E260</f>
        <v>0</v>
      </c>
      <c r="F260" s="147">
        <f>F4A!F259+F4B!F260</f>
        <v>0</v>
      </c>
      <c r="G260" s="147">
        <f>F4A!G259+F4B!G260</f>
        <v>0</v>
      </c>
      <c r="H260" s="147">
        <f>F4A!H259+F4B!H260</f>
        <v>0</v>
      </c>
      <c r="I260" s="147">
        <f>F4A!I259+F4B!I260</f>
        <v>0</v>
      </c>
      <c r="J260" s="147">
        <f>F4A!J259+F4B!J260</f>
        <v>0</v>
      </c>
      <c r="K260" s="147">
        <f>F4A!K259+F4B!K260</f>
        <v>0</v>
      </c>
      <c r="L260" s="147">
        <f>F4A!L259+F4B!L260</f>
        <v>0</v>
      </c>
      <c r="M260" s="147">
        <f>F4A!M259+F4B!M260</f>
        <v>0</v>
      </c>
      <c r="N260" s="147">
        <f>F4A!N259+F4B!N260</f>
        <v>0</v>
      </c>
      <c r="O260" s="147">
        <f>F4A!O259+F4B!O260</f>
        <v>0</v>
      </c>
      <c r="P260" s="147">
        <f>F4A!P259+F4B!P260</f>
        <v>0</v>
      </c>
      <c r="Q260" s="316">
        <f t="shared" si="39"/>
        <v>0</v>
      </c>
    </row>
    <row r="261" ht="15" hidden="1" spans="3:17">
      <c r="C261" s="55"/>
      <c r="D261" s="55"/>
      <c r="E261" s="147">
        <f>F4A!E260+F4B!E261</f>
        <v>0</v>
      </c>
      <c r="F261" s="147">
        <f>F4A!F260+F4B!F261</f>
        <v>0</v>
      </c>
      <c r="G261" s="147">
        <f>F4A!G260+F4B!G261</f>
        <v>0</v>
      </c>
      <c r="H261" s="147">
        <f>F4A!H260+F4B!H261</f>
        <v>0</v>
      </c>
      <c r="I261" s="147">
        <f>F4A!I260+F4B!I261</f>
        <v>0</v>
      </c>
      <c r="J261" s="147">
        <f>F4A!J260+F4B!J261</f>
        <v>0</v>
      </c>
      <c r="K261" s="147">
        <f>F4A!K260+F4B!K261</f>
        <v>0</v>
      </c>
      <c r="L261" s="147">
        <f>F4A!L260+F4B!L261</f>
        <v>0</v>
      </c>
      <c r="M261" s="147">
        <f>F4A!M260+F4B!M261</f>
        <v>0</v>
      </c>
      <c r="N261" s="147">
        <f>F4A!N260+F4B!N261</f>
        <v>0</v>
      </c>
      <c r="O261" s="147">
        <f>F4A!O260+F4B!O261</f>
        <v>0</v>
      </c>
      <c r="P261" s="147">
        <f>F4A!P260+F4B!P261</f>
        <v>0</v>
      </c>
      <c r="Q261" s="316">
        <f t="shared" si="39"/>
        <v>0</v>
      </c>
    </row>
    <row r="262" ht="15" hidden="1" spans="3:17">
      <c r="C262" s="55" t="s">
        <v>258</v>
      </c>
      <c r="D262" s="55" t="s">
        <v>258</v>
      </c>
      <c r="E262" s="147">
        <f>F4A!E261+F4B!E262</f>
        <v>0</v>
      </c>
      <c r="F262" s="147">
        <f>F4A!F261+F4B!F262</f>
        <v>0</v>
      </c>
      <c r="G262" s="147">
        <f>F4A!G261+F4B!G262</f>
        <v>0</v>
      </c>
      <c r="H262" s="147">
        <f>F4A!H261+F4B!H262</f>
        <v>0</v>
      </c>
      <c r="I262" s="147">
        <f>F4A!I261+F4B!I262</f>
        <v>0</v>
      </c>
      <c r="J262" s="147">
        <f>F4A!J261+F4B!J262</f>
        <v>0</v>
      </c>
      <c r="K262" s="147">
        <f>F4A!K261+F4B!K262</f>
        <v>0</v>
      </c>
      <c r="L262" s="147">
        <f>F4A!L261+F4B!L262</f>
        <v>0</v>
      </c>
      <c r="M262" s="147">
        <f>F4A!M261+F4B!M262</f>
        <v>0</v>
      </c>
      <c r="N262" s="147">
        <f>F4A!N261+F4B!N262</f>
        <v>0</v>
      </c>
      <c r="O262" s="147">
        <f>F4A!O261+F4B!O262</f>
        <v>0</v>
      </c>
      <c r="P262" s="147">
        <f>F4A!P261+F4B!P262</f>
        <v>0</v>
      </c>
      <c r="Q262" s="316">
        <f t="shared" si="39"/>
        <v>0</v>
      </c>
    </row>
    <row r="263" ht="15" hidden="1" spans="3:17">
      <c r="C263" s="537" t="s">
        <v>211</v>
      </c>
      <c r="D263" s="540"/>
      <c r="E263" s="316">
        <f>SUM(E248:E262)</f>
        <v>508.408406540001</v>
      </c>
      <c r="F263" s="316">
        <f t="shared" ref="F263:P263" si="41">SUM(F248:F262)</f>
        <v>448.51270326</v>
      </c>
      <c r="G263" s="316">
        <f t="shared" si="41"/>
        <v>441.42671801</v>
      </c>
      <c r="H263" s="316">
        <f t="shared" si="41"/>
        <v>472.593388629999</v>
      </c>
      <c r="I263" s="316">
        <f t="shared" si="41"/>
        <v>487.085707039999</v>
      </c>
      <c r="J263" s="316">
        <f t="shared" si="41"/>
        <v>479.385737560001</v>
      </c>
      <c r="K263" s="316">
        <f t="shared" si="41"/>
        <v>479.078144859999</v>
      </c>
      <c r="L263" s="316">
        <f t="shared" si="41"/>
        <v>493.237472059998</v>
      </c>
      <c r="M263" s="316">
        <f t="shared" si="41"/>
        <v>491.23854148</v>
      </c>
      <c r="N263" s="316">
        <f t="shared" si="41"/>
        <v>489.24353716</v>
      </c>
      <c r="O263" s="316">
        <f t="shared" si="41"/>
        <v>482.295297029999</v>
      </c>
      <c r="P263" s="316">
        <f t="shared" si="41"/>
        <v>477.72135746</v>
      </c>
      <c r="Q263" s="316">
        <f t="shared" si="39"/>
        <v>5750.22701109</v>
      </c>
    </row>
    <row r="264" ht="15" hidden="1" spans="3:17">
      <c r="C264" s="44" t="s">
        <v>212</v>
      </c>
      <c r="D264" s="45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316">
        <f t="shared" si="39"/>
        <v>0</v>
      </c>
    </row>
    <row r="265" ht="15" hidden="1" spans="3:17">
      <c r="C265" s="55" t="s">
        <v>191</v>
      </c>
      <c r="D265" s="55" t="s">
        <v>192</v>
      </c>
      <c r="E265" s="147">
        <f>F4A!E264+F4B!E265</f>
        <v>405.53433667</v>
      </c>
      <c r="F265" s="147">
        <f>F4A!F264+F4B!F265</f>
        <v>340.25796541</v>
      </c>
      <c r="G265" s="147">
        <f>F4A!G264+F4B!G265</f>
        <v>340.75413179</v>
      </c>
      <c r="H265" s="147">
        <f>F4A!H264+F4B!H265</f>
        <v>358.81999154</v>
      </c>
      <c r="I265" s="147">
        <f>F4A!I264+F4B!I265</f>
        <v>375.50052967</v>
      </c>
      <c r="J265" s="147">
        <f>F4A!J264+F4B!J265</f>
        <v>417.45251747</v>
      </c>
      <c r="K265" s="147">
        <f>F4A!K264+F4B!K265</f>
        <v>419.33088867</v>
      </c>
      <c r="L265" s="147">
        <f>F4A!L264+F4B!L265</f>
        <v>374.86296477</v>
      </c>
      <c r="M265" s="147">
        <f>F4A!M264+F4B!M265</f>
        <v>381.64778267</v>
      </c>
      <c r="N265" s="147">
        <f>F4A!N264+F4B!N265</f>
        <v>384.62622567</v>
      </c>
      <c r="O265" s="147">
        <f>F4A!O264+F4B!O265</f>
        <v>400.06796117</v>
      </c>
      <c r="P265" s="147">
        <f>F4A!P264+F4B!P265</f>
        <v>391.53892767</v>
      </c>
      <c r="Q265" s="316">
        <f t="shared" si="39"/>
        <v>4590.39422317</v>
      </c>
    </row>
    <row r="266" ht="15" hidden="1" spans="3:17">
      <c r="C266" s="55" t="s">
        <v>193</v>
      </c>
      <c r="D266" s="55" t="s">
        <v>194</v>
      </c>
      <c r="E266" s="147">
        <f>F4A!E265+F4B!E266</f>
        <v>2.7233</v>
      </c>
      <c r="F266" s="147">
        <f>F4A!F265+F4B!F266</f>
        <v>2.0101</v>
      </c>
      <c r="G266" s="147">
        <f>F4A!G265+F4B!G266</f>
        <v>2.51</v>
      </c>
      <c r="H266" s="147">
        <f>F4A!H265+F4B!H266</f>
        <v>2.4058</v>
      </c>
      <c r="I266" s="147">
        <f>F4A!I265+F4B!I266</f>
        <v>2.3152</v>
      </c>
      <c r="J266" s="147">
        <f>F4A!J265+F4B!J266</f>
        <v>2.4022</v>
      </c>
      <c r="K266" s="147">
        <f>F4A!K265+F4B!K266</f>
        <v>2.213</v>
      </c>
      <c r="L266" s="147">
        <f>F4A!L265+F4B!L266</f>
        <v>2.3597</v>
      </c>
      <c r="M266" s="147">
        <f>F4A!M265+F4B!M266</f>
        <v>3.812</v>
      </c>
      <c r="N266" s="147">
        <f>F4A!N265+F4B!N266</f>
        <v>5.0228</v>
      </c>
      <c r="O266" s="147">
        <f>F4A!O265+F4B!O266</f>
        <v>4.4858</v>
      </c>
      <c r="P266" s="147">
        <f>F4A!P265+F4B!P266</f>
        <v>4.823</v>
      </c>
      <c r="Q266" s="316">
        <f t="shared" si="39"/>
        <v>37.0829</v>
      </c>
    </row>
    <row r="267" ht="15" hidden="1" spans="3:17">
      <c r="C267" s="55" t="s">
        <v>239</v>
      </c>
      <c r="D267" s="55" t="s">
        <v>196</v>
      </c>
      <c r="E267" s="147">
        <f>F4A!E266+F4B!E267</f>
        <v>67.697895</v>
      </c>
      <c r="F267" s="147">
        <f>F4A!F266+F4B!F267</f>
        <v>60.464027</v>
      </c>
      <c r="G267" s="147">
        <f>F4A!G266+F4B!G267</f>
        <v>58.28261515</v>
      </c>
      <c r="H267" s="147">
        <f>F4A!H266+F4B!H267</f>
        <v>62.643967</v>
      </c>
      <c r="I267" s="147">
        <f>F4A!I266+F4B!I267</f>
        <v>63.271288</v>
      </c>
      <c r="J267" s="147">
        <f>F4A!J266+F4B!J267</f>
        <v>66.10577</v>
      </c>
      <c r="K267" s="147">
        <f>F4A!K266+F4B!K267</f>
        <v>69.941145</v>
      </c>
      <c r="L267" s="147">
        <f>F4A!L266+F4B!L267</f>
        <v>68.049809</v>
      </c>
      <c r="M267" s="147">
        <f>F4A!M266+F4B!M267</f>
        <v>66.49284</v>
      </c>
      <c r="N267" s="147">
        <f>F4A!N266+F4B!N267</f>
        <v>64.091723</v>
      </c>
      <c r="O267" s="147">
        <f>F4A!O266+F4B!O267</f>
        <v>62.346976</v>
      </c>
      <c r="P267" s="147">
        <f>F4A!P266+F4B!P267</f>
        <v>63.312877</v>
      </c>
      <c r="Q267" s="316">
        <f t="shared" si="39"/>
        <v>772.70093215</v>
      </c>
    </row>
    <row r="268" ht="15" hidden="1" spans="3:17">
      <c r="C268" s="55" t="s">
        <v>197</v>
      </c>
      <c r="D268" s="55" t="s">
        <v>198</v>
      </c>
      <c r="E268" s="147">
        <f>F4A!E267+F4B!E268</f>
        <v>0</v>
      </c>
      <c r="F268" s="147">
        <f>F4A!F267+F4B!F268</f>
        <v>0</v>
      </c>
      <c r="G268" s="147">
        <f>F4A!G267+F4B!G268</f>
        <v>0</v>
      </c>
      <c r="H268" s="147">
        <f>F4A!H267+F4B!H268</f>
        <v>0</v>
      </c>
      <c r="I268" s="147">
        <f>F4A!I267+F4B!I268</f>
        <v>0</v>
      </c>
      <c r="J268" s="147">
        <f>F4A!J267+F4B!J268</f>
        <v>0</v>
      </c>
      <c r="K268" s="147">
        <f>F4A!K267+F4B!K268</f>
        <v>0</v>
      </c>
      <c r="L268" s="147">
        <f>F4A!L267+F4B!L268</f>
        <v>0</v>
      </c>
      <c r="M268" s="147">
        <f>F4A!M267+F4B!M268</f>
        <v>0</v>
      </c>
      <c r="N268" s="147">
        <f>F4A!N267+F4B!N268</f>
        <v>0</v>
      </c>
      <c r="O268" s="147">
        <f>F4A!O267+F4B!O268</f>
        <v>0</v>
      </c>
      <c r="P268" s="147">
        <f>F4A!P267+F4B!P268</f>
        <v>0</v>
      </c>
      <c r="Q268" s="316">
        <f t="shared" ref="Q268" si="42">SUM(E268:P268)</f>
        <v>0</v>
      </c>
    </row>
    <row r="269" ht="15" hidden="1" spans="3:17">
      <c r="C269" s="55" t="s">
        <v>199</v>
      </c>
      <c r="D269" s="55" t="s">
        <v>200</v>
      </c>
      <c r="E269" s="147">
        <f>F4A!E268+F4B!E269</f>
        <v>0</v>
      </c>
      <c r="F269" s="147">
        <f>F4A!F268+F4B!F269</f>
        <v>0</v>
      </c>
      <c r="G269" s="147">
        <f>F4A!G268+F4B!G269</f>
        <v>0</v>
      </c>
      <c r="H269" s="147">
        <f>F4A!H268+F4B!H269</f>
        <v>0</v>
      </c>
      <c r="I269" s="147">
        <f>F4A!I268+F4B!I269</f>
        <v>0</v>
      </c>
      <c r="J269" s="147">
        <f>F4A!J268+F4B!J269</f>
        <v>0</v>
      </c>
      <c r="K269" s="147">
        <f>F4A!K268+F4B!K269</f>
        <v>0</v>
      </c>
      <c r="L269" s="147">
        <f>F4A!L268+F4B!L269</f>
        <v>0</v>
      </c>
      <c r="M269" s="147">
        <f>F4A!M268+F4B!M269</f>
        <v>0</v>
      </c>
      <c r="N269" s="147">
        <f>F4A!N268+F4B!N269</f>
        <v>0</v>
      </c>
      <c r="O269" s="147">
        <f>F4A!O268+F4B!O269</f>
        <v>0</v>
      </c>
      <c r="P269" s="147">
        <f>F4A!P268+F4B!P269</f>
        <v>0</v>
      </c>
      <c r="Q269" s="316">
        <f t="shared" si="39"/>
        <v>0</v>
      </c>
    </row>
    <row r="270" ht="15" hidden="1" spans="3:17">
      <c r="C270" s="55" t="s">
        <v>201</v>
      </c>
      <c r="D270" s="55" t="s">
        <v>202</v>
      </c>
      <c r="E270" s="147">
        <f>F4A!E269+F4B!E270</f>
        <v>2.00429</v>
      </c>
      <c r="F270" s="147">
        <f>F4A!F269+F4B!F270</f>
        <v>0.41722</v>
      </c>
      <c r="G270" s="147">
        <f>F4A!G269+F4B!G270</f>
        <v>0.06461</v>
      </c>
      <c r="H270" s="147">
        <f>F4A!H269+F4B!H270</f>
        <v>0.22211</v>
      </c>
      <c r="I270" s="147">
        <f>F4A!I269+F4B!I270</f>
        <v>0.96775</v>
      </c>
      <c r="J270" s="147">
        <f>F4A!J269+F4B!J270</f>
        <v>1.50842</v>
      </c>
      <c r="K270" s="147">
        <f>F4A!K269+F4B!K270</f>
        <v>1.69882</v>
      </c>
      <c r="L270" s="147">
        <f>F4A!L269+F4B!L270</f>
        <v>1.70025</v>
      </c>
      <c r="M270" s="147">
        <f>F4A!M269+F4B!M270</f>
        <v>1.41856</v>
      </c>
      <c r="N270" s="147">
        <f>F4A!N269+F4B!N270</f>
        <v>1.8518</v>
      </c>
      <c r="O270" s="147">
        <f>F4A!O269+F4B!O270</f>
        <v>1.69385</v>
      </c>
      <c r="P270" s="147">
        <f>F4A!P269+F4B!P270</f>
        <v>1.84071</v>
      </c>
      <c r="Q270" s="316">
        <f t="shared" si="39"/>
        <v>15.38839</v>
      </c>
    </row>
    <row r="271" ht="15" hidden="1" spans="3:17">
      <c r="C271" s="55" t="s">
        <v>203</v>
      </c>
      <c r="D271" s="55" t="s">
        <v>204</v>
      </c>
      <c r="E271" s="147">
        <f>F4A!E270+F4B!E271</f>
        <v>19.86252</v>
      </c>
      <c r="F271" s="147">
        <f>F4A!F270+F4B!F271</f>
        <v>18.37851</v>
      </c>
      <c r="G271" s="147">
        <f>F4A!G270+F4B!G271</f>
        <v>17.73945</v>
      </c>
      <c r="H271" s="147">
        <f>F4A!H270+F4B!H271</f>
        <v>18.48545</v>
      </c>
      <c r="I271" s="147">
        <f>F4A!I270+F4B!I271</f>
        <v>18.04961</v>
      </c>
      <c r="J271" s="147">
        <f>F4A!J270+F4B!J271</f>
        <v>19.54697</v>
      </c>
      <c r="K271" s="147">
        <f>F4A!K270+F4B!K271</f>
        <v>19.29402</v>
      </c>
      <c r="L271" s="147">
        <f>F4A!L270+F4B!L271</f>
        <v>20.541525</v>
      </c>
      <c r="M271" s="147">
        <f>F4A!M270+F4B!M271</f>
        <v>19.324575</v>
      </c>
      <c r="N271" s="147">
        <f>F4A!N270+F4B!N271</f>
        <v>19.159135</v>
      </c>
      <c r="O271" s="147">
        <f>F4A!O270+F4B!O271</f>
        <v>19.925975</v>
      </c>
      <c r="P271" s="147">
        <f>F4A!P270+F4B!P271</f>
        <v>19.37655</v>
      </c>
      <c r="Q271" s="316">
        <f t="shared" si="39"/>
        <v>229.68429</v>
      </c>
    </row>
    <row r="272" ht="15" hidden="1" spans="3:17">
      <c r="C272" s="55" t="s">
        <v>205</v>
      </c>
      <c r="D272" s="55" t="s">
        <v>206</v>
      </c>
      <c r="E272" s="147">
        <f>F4A!E271+F4B!E272</f>
        <v>9.878352</v>
      </c>
      <c r="F272" s="147">
        <f>F4A!F271+F4B!F272</f>
        <v>9.848847</v>
      </c>
      <c r="G272" s="147">
        <f>F4A!G271+F4B!G272</f>
        <v>9.124203</v>
      </c>
      <c r="H272" s="147">
        <f>F4A!H271+F4B!H272</f>
        <v>8.125513</v>
      </c>
      <c r="I272" s="147">
        <f>F4A!I271+F4B!I272</f>
        <v>8.1839</v>
      </c>
      <c r="J272" s="147">
        <f>F4A!J271+F4B!J272</f>
        <v>8.074923</v>
      </c>
      <c r="K272" s="147">
        <f>F4A!K271+F4B!K272</f>
        <v>7.995032</v>
      </c>
      <c r="L272" s="147">
        <f>F4A!L271+F4B!L272</f>
        <v>7.964878</v>
      </c>
      <c r="M272" s="147">
        <f>F4A!M271+F4B!M272</f>
        <v>7.558957</v>
      </c>
      <c r="N272" s="147">
        <f>F4A!N271+F4B!N272</f>
        <v>7.39315</v>
      </c>
      <c r="O272" s="147">
        <f>F4A!O271+F4B!O272</f>
        <v>7.478686</v>
      </c>
      <c r="P272" s="147">
        <f>F4A!P271+F4B!P272</f>
        <v>7.958275</v>
      </c>
      <c r="Q272" s="316">
        <f t="shared" si="39"/>
        <v>99.584716</v>
      </c>
    </row>
    <row r="273" ht="15" hidden="1" spans="3:17">
      <c r="C273" s="55" t="s">
        <v>231</v>
      </c>
      <c r="D273" s="55" t="s">
        <v>186</v>
      </c>
      <c r="E273" s="147">
        <f>F4A!E272+F4B!E273</f>
        <v>2.072329</v>
      </c>
      <c r="F273" s="147">
        <f>F4A!F272+F4B!F273</f>
        <v>2.074251</v>
      </c>
      <c r="G273" s="147">
        <f>F4A!G272+F4B!G273</f>
        <v>2.907319</v>
      </c>
      <c r="H273" s="147">
        <f>F4A!H272+F4B!H273</f>
        <v>3.338448</v>
      </c>
      <c r="I273" s="147">
        <f>F4A!I272+F4B!I273</f>
        <v>3.765689</v>
      </c>
      <c r="J273" s="147">
        <f>F4A!J272+F4B!J273</f>
        <v>4.298725</v>
      </c>
      <c r="K273" s="147">
        <f>F4A!K272+F4B!K273</f>
        <v>4.023692</v>
      </c>
      <c r="L273" s="147">
        <f>F4A!L272+F4B!L273</f>
        <v>3.825091</v>
      </c>
      <c r="M273" s="147">
        <f>F4A!M272+F4B!M273</f>
        <v>4.259647</v>
      </c>
      <c r="N273" s="147">
        <f>F4A!N272+F4B!N273</f>
        <v>3.945143</v>
      </c>
      <c r="O273" s="147">
        <f>F4A!O272+F4B!O273</f>
        <v>3.627512</v>
      </c>
      <c r="P273" s="147">
        <f>F4A!P272+F4B!P273</f>
        <v>3.104159</v>
      </c>
      <c r="Q273" s="316">
        <f t="shared" si="39"/>
        <v>41.242005</v>
      </c>
    </row>
    <row r="274" ht="15" hidden="1" spans="3:17">
      <c r="C274" s="55" t="s">
        <v>208</v>
      </c>
      <c r="D274" s="55" t="s">
        <v>209</v>
      </c>
      <c r="E274" s="147">
        <f>F4A!E273+F4B!E274</f>
        <v>0</v>
      </c>
      <c r="F274" s="147">
        <f>F4A!F273+F4B!F274</f>
        <v>0</v>
      </c>
      <c r="G274" s="147">
        <f>F4A!G273+F4B!G274</f>
        <v>0</v>
      </c>
      <c r="H274" s="147">
        <f>F4A!H273+F4B!H274</f>
        <v>0</v>
      </c>
      <c r="I274" s="147">
        <f>F4A!I273+F4B!I274</f>
        <v>0</v>
      </c>
      <c r="J274" s="147">
        <f>F4A!J273+F4B!J274</f>
        <v>0</v>
      </c>
      <c r="K274" s="147">
        <f>F4A!K273+F4B!K274</f>
        <v>0</v>
      </c>
      <c r="L274" s="147">
        <f>F4A!L273+F4B!L274</f>
        <v>0</v>
      </c>
      <c r="M274" s="147">
        <f>F4A!M273+F4B!M274</f>
        <v>0</v>
      </c>
      <c r="N274" s="147">
        <f>F4A!N273+F4B!N274</f>
        <v>0</v>
      </c>
      <c r="O274" s="147">
        <f>F4A!O273+F4B!O274</f>
        <v>0</v>
      </c>
      <c r="P274" s="147">
        <f>F4A!P273+F4B!P274</f>
        <v>0</v>
      </c>
      <c r="Q274" s="316">
        <f t="shared" si="39"/>
        <v>0</v>
      </c>
    </row>
    <row r="275" ht="15" hidden="1" spans="3:17">
      <c r="C275" s="55" t="s">
        <v>210</v>
      </c>
      <c r="D275" s="55" t="s">
        <v>188</v>
      </c>
      <c r="E275" s="147">
        <f>F4A!E274+F4B!E275</f>
        <v>0</v>
      </c>
      <c r="F275" s="147">
        <f>F4A!F274+F4B!F275</f>
        <v>0</v>
      </c>
      <c r="G275" s="147">
        <f>F4A!G274+F4B!G275</f>
        <v>0</v>
      </c>
      <c r="H275" s="147">
        <f>F4A!H274+F4B!H275</f>
        <v>0</v>
      </c>
      <c r="I275" s="147">
        <f>F4A!I274+F4B!I275</f>
        <v>0</v>
      </c>
      <c r="J275" s="147">
        <f>F4A!J274+F4B!J275</f>
        <v>0</v>
      </c>
      <c r="K275" s="147">
        <f>F4A!K274+F4B!K275</f>
        <v>0</v>
      </c>
      <c r="L275" s="147">
        <f>F4A!L274+F4B!L275</f>
        <v>0</v>
      </c>
      <c r="M275" s="147">
        <f>F4A!M274+F4B!M275</f>
        <v>0</v>
      </c>
      <c r="N275" s="147">
        <f>F4A!N274+F4B!N275</f>
        <v>0</v>
      </c>
      <c r="O275" s="147">
        <f>F4A!O274+F4B!O275</f>
        <v>0</v>
      </c>
      <c r="P275" s="147">
        <f>F4A!P274+F4B!P275</f>
        <v>0</v>
      </c>
      <c r="Q275" s="316">
        <f t="shared" si="39"/>
        <v>0</v>
      </c>
    </row>
    <row r="276" ht="15" hidden="1" spans="3:17">
      <c r="C276" s="55"/>
      <c r="D276" s="55"/>
      <c r="E276" s="147">
        <f>F4A!E275+F4B!E276</f>
        <v>0</v>
      </c>
      <c r="F276" s="147">
        <f>F4A!F275+F4B!F276</f>
        <v>0</v>
      </c>
      <c r="G276" s="147">
        <f>F4A!G275+F4B!G276</f>
        <v>0</v>
      </c>
      <c r="H276" s="147">
        <f>F4A!H275+F4B!H276</f>
        <v>0</v>
      </c>
      <c r="I276" s="147">
        <f>F4A!I275+F4B!I276</f>
        <v>0</v>
      </c>
      <c r="J276" s="147">
        <f>F4A!J275+F4B!J276</f>
        <v>0</v>
      </c>
      <c r="K276" s="147">
        <f>F4A!K275+F4B!K276</f>
        <v>0</v>
      </c>
      <c r="L276" s="147">
        <f>F4A!L275+F4B!L276</f>
        <v>0</v>
      </c>
      <c r="M276" s="147">
        <f>F4A!M275+F4B!M276</f>
        <v>0</v>
      </c>
      <c r="N276" s="147">
        <f>F4A!N275+F4B!N276</f>
        <v>0</v>
      </c>
      <c r="O276" s="147">
        <f>F4A!O275+F4B!O276</f>
        <v>0</v>
      </c>
      <c r="P276" s="147">
        <f>F4A!P275+F4B!P276</f>
        <v>0</v>
      </c>
      <c r="Q276" s="316">
        <f t="shared" si="39"/>
        <v>0</v>
      </c>
    </row>
    <row r="277" ht="15" hidden="1" spans="3:17">
      <c r="C277" s="55"/>
      <c r="D277" s="55"/>
      <c r="E277" s="147">
        <f>F4A!E276+F4B!E277</f>
        <v>0</v>
      </c>
      <c r="F277" s="147">
        <f>F4A!F276+F4B!F277</f>
        <v>0</v>
      </c>
      <c r="G277" s="147">
        <f>F4A!G276+F4B!G277</f>
        <v>0</v>
      </c>
      <c r="H277" s="147">
        <f>F4A!H276+F4B!H277</f>
        <v>0</v>
      </c>
      <c r="I277" s="147">
        <f>F4A!I276+F4B!I277</f>
        <v>0</v>
      </c>
      <c r="J277" s="147">
        <f>F4A!J276+F4B!J277</f>
        <v>0</v>
      </c>
      <c r="K277" s="147">
        <f>F4A!K276+F4B!K277</f>
        <v>0</v>
      </c>
      <c r="L277" s="147">
        <f>F4A!L276+F4B!L277</f>
        <v>0</v>
      </c>
      <c r="M277" s="147">
        <f>F4A!M276+F4B!M277</f>
        <v>0</v>
      </c>
      <c r="N277" s="147">
        <f>F4A!N276+F4B!N277</f>
        <v>0</v>
      </c>
      <c r="O277" s="147">
        <f>F4A!O276+F4B!O277</f>
        <v>0</v>
      </c>
      <c r="P277" s="147">
        <f>F4A!P276+F4B!P277</f>
        <v>0</v>
      </c>
      <c r="Q277" s="316">
        <f t="shared" si="39"/>
        <v>0</v>
      </c>
    </row>
    <row r="278" ht="15" hidden="1" spans="3:17">
      <c r="C278" s="55"/>
      <c r="D278" s="55"/>
      <c r="E278" s="147">
        <f>F4A!E277+F4B!E278</f>
        <v>0</v>
      </c>
      <c r="F278" s="147">
        <f>F4A!F277+F4B!F278</f>
        <v>0</v>
      </c>
      <c r="G278" s="147">
        <f>F4A!G277+F4B!G278</f>
        <v>0</v>
      </c>
      <c r="H278" s="147">
        <f>F4A!H277+F4B!H278</f>
        <v>0</v>
      </c>
      <c r="I278" s="147">
        <f>F4A!I277+F4B!I278</f>
        <v>0</v>
      </c>
      <c r="J278" s="147">
        <f>F4A!J277+F4B!J278</f>
        <v>0</v>
      </c>
      <c r="K278" s="147">
        <f>F4A!K277+F4B!K278</f>
        <v>0</v>
      </c>
      <c r="L278" s="147">
        <f>F4A!L277+F4B!L278</f>
        <v>0</v>
      </c>
      <c r="M278" s="147">
        <f>F4A!M277+F4B!M278</f>
        <v>0</v>
      </c>
      <c r="N278" s="147">
        <f>F4A!N277+F4B!N278</f>
        <v>0</v>
      </c>
      <c r="O278" s="147">
        <f>F4A!O277+F4B!O278</f>
        <v>0</v>
      </c>
      <c r="P278" s="147">
        <f>F4A!P277+F4B!P278</f>
        <v>0</v>
      </c>
      <c r="Q278" s="316">
        <f t="shared" si="39"/>
        <v>0</v>
      </c>
    </row>
    <row r="279" ht="15" hidden="1" spans="3:17">
      <c r="C279" s="55" t="s">
        <v>258</v>
      </c>
      <c r="D279" s="55" t="s">
        <v>258</v>
      </c>
      <c r="E279" s="147">
        <f>F4A!E278+F4B!E279</f>
        <v>0</v>
      </c>
      <c r="F279" s="147">
        <f>F4A!F278+F4B!F279</f>
        <v>0</v>
      </c>
      <c r="G279" s="147">
        <f>F4A!G278+F4B!G279</f>
        <v>0</v>
      </c>
      <c r="H279" s="147">
        <f>F4A!H278+F4B!H279</f>
        <v>0</v>
      </c>
      <c r="I279" s="147">
        <f>F4A!I278+F4B!I279</f>
        <v>0</v>
      </c>
      <c r="J279" s="147">
        <f>F4A!J278+F4B!J279</f>
        <v>0</v>
      </c>
      <c r="K279" s="147">
        <f>F4A!K278+F4B!K279</f>
        <v>0</v>
      </c>
      <c r="L279" s="147">
        <f>F4A!L278+F4B!L279</f>
        <v>0</v>
      </c>
      <c r="M279" s="147">
        <f>F4A!M278+F4B!M279</f>
        <v>0</v>
      </c>
      <c r="N279" s="147">
        <f>F4A!N278+F4B!N279</f>
        <v>0</v>
      </c>
      <c r="O279" s="147">
        <f>F4A!O278+F4B!O279</f>
        <v>0</v>
      </c>
      <c r="P279" s="147">
        <f>F4A!P278+F4B!P279</f>
        <v>0</v>
      </c>
      <c r="Q279" s="316">
        <f t="shared" si="39"/>
        <v>0</v>
      </c>
    </row>
    <row r="280" ht="15" hidden="1" spans="3:17">
      <c r="C280" s="537" t="s">
        <v>211</v>
      </c>
      <c r="D280" s="540"/>
      <c r="E280" s="316">
        <f t="shared" ref="E280:P280" si="43">SUM(E265:E279)</f>
        <v>509.77302267</v>
      </c>
      <c r="F280" s="316">
        <f t="shared" si="43"/>
        <v>433.45092041</v>
      </c>
      <c r="G280" s="316">
        <f t="shared" si="43"/>
        <v>431.38232894</v>
      </c>
      <c r="H280" s="316">
        <f t="shared" si="43"/>
        <v>454.04127954</v>
      </c>
      <c r="I280" s="316">
        <f t="shared" si="43"/>
        <v>472.05396667</v>
      </c>
      <c r="J280" s="316">
        <f t="shared" si="43"/>
        <v>519.38952547</v>
      </c>
      <c r="K280" s="316">
        <f t="shared" si="43"/>
        <v>524.49659767</v>
      </c>
      <c r="L280" s="316">
        <f t="shared" si="43"/>
        <v>479.30421777</v>
      </c>
      <c r="M280" s="316">
        <f t="shared" si="43"/>
        <v>484.51436167</v>
      </c>
      <c r="N280" s="316">
        <f t="shared" si="43"/>
        <v>486.08997667</v>
      </c>
      <c r="O280" s="316">
        <f t="shared" si="43"/>
        <v>499.62676017</v>
      </c>
      <c r="P280" s="316">
        <f t="shared" si="43"/>
        <v>491.95449867</v>
      </c>
      <c r="Q280" s="316">
        <f t="shared" si="39"/>
        <v>5786.07745632</v>
      </c>
    </row>
    <row r="281" ht="15" hidden="1" spans="3:17">
      <c r="C281" s="44" t="s">
        <v>219</v>
      </c>
      <c r="D281" s="45"/>
      <c r="E281" s="147"/>
      <c r="F281" s="147"/>
      <c r="G281" s="147"/>
      <c r="H281" s="147"/>
      <c r="I281" s="147"/>
      <c r="J281" s="147"/>
      <c r="K281" s="147"/>
      <c r="L281" s="147"/>
      <c r="M281" s="147"/>
      <c r="N281" s="147"/>
      <c r="O281" s="147"/>
      <c r="P281" s="147"/>
      <c r="Q281" s="316">
        <f t="shared" ref="Q281:Q301" si="44">SUM(E281:P281)</f>
        <v>0</v>
      </c>
    </row>
    <row r="282" ht="15" hidden="1" spans="3:17">
      <c r="C282" s="55" t="s">
        <v>191</v>
      </c>
      <c r="D282" s="55" t="s">
        <v>192</v>
      </c>
      <c r="E282" s="147">
        <f>F4A!E281+F4B!E282</f>
        <v>246.88802</v>
      </c>
      <c r="F282" s="147">
        <f>F4A!F281+F4B!F282</f>
        <v>219.117628</v>
      </c>
      <c r="G282" s="147">
        <f>F4A!G281+F4B!G282</f>
        <v>214.363429</v>
      </c>
      <c r="H282" s="147">
        <f>F4A!H281+F4B!H282</f>
        <v>234.271289</v>
      </c>
      <c r="I282" s="147">
        <f>F4A!I281+F4B!I282</f>
        <v>235.319246</v>
      </c>
      <c r="J282" s="147">
        <f>F4A!J281+F4B!J282</f>
        <v>266.180269</v>
      </c>
      <c r="K282" s="147">
        <f>F4A!K281+F4B!K282</f>
        <v>277.71949</v>
      </c>
      <c r="L282" s="147">
        <f>F4A!L281+F4B!L282</f>
        <v>269.053504</v>
      </c>
      <c r="M282" s="147">
        <f>F4A!M281+F4B!M282</f>
        <v>279.214718</v>
      </c>
      <c r="N282" s="147">
        <f>F4A!N281+F4B!N282</f>
        <v>285.376775</v>
      </c>
      <c r="O282" s="147">
        <f>F4A!O281+F4B!O282</f>
        <v>311.642486</v>
      </c>
      <c r="P282" s="147">
        <f>F4A!P281+F4B!P282</f>
        <v>321.546853</v>
      </c>
      <c r="Q282" s="316">
        <f t="shared" si="44"/>
        <v>3160.693707</v>
      </c>
    </row>
    <row r="283" ht="15" hidden="1" spans="3:17">
      <c r="C283" s="55" t="s">
        <v>193</v>
      </c>
      <c r="D283" s="55" t="s">
        <v>194</v>
      </c>
      <c r="E283" s="147">
        <f>F4A!E282+F4B!E283</f>
        <v>12.909</v>
      </c>
      <c r="F283" s="147">
        <f>F4A!F282+F4B!F283</f>
        <v>8.193</v>
      </c>
      <c r="G283" s="147">
        <f>F4A!G282+F4B!G283</f>
        <v>14.817</v>
      </c>
      <c r="H283" s="147">
        <f>F4A!H282+F4B!H283</f>
        <v>15.5985</v>
      </c>
      <c r="I283" s="147">
        <f>F4A!I282+F4B!I283</f>
        <v>12.1635</v>
      </c>
      <c r="J283" s="147">
        <f>F4A!J282+F4B!J283</f>
        <v>14.256</v>
      </c>
      <c r="K283" s="147">
        <f>F4A!K282+F4B!K283</f>
        <v>15.2805</v>
      </c>
      <c r="L283" s="147">
        <f>F4A!L282+F4B!L283</f>
        <v>18.7237</v>
      </c>
      <c r="M283" s="147">
        <f>F4A!M282+F4B!M283</f>
        <v>17.944</v>
      </c>
      <c r="N283" s="147">
        <f>F4A!N282+F4B!N283</f>
        <v>25.1596</v>
      </c>
      <c r="O283" s="147">
        <f>F4A!O282+F4B!O283</f>
        <v>29.5004</v>
      </c>
      <c r="P283" s="147">
        <f>F4A!P282+F4B!P283</f>
        <v>26.6861</v>
      </c>
      <c r="Q283" s="316">
        <f t="shared" si="44"/>
        <v>211.2313</v>
      </c>
    </row>
    <row r="284" ht="15" hidden="1" spans="3:17">
      <c r="C284" s="55" t="s">
        <v>239</v>
      </c>
      <c r="D284" s="55" t="s">
        <v>196</v>
      </c>
      <c r="E284" s="147">
        <f>F4A!E283+F4B!E284</f>
        <v>3.909173</v>
      </c>
      <c r="F284" s="147">
        <f>F4A!F283+F4B!F284</f>
        <v>3.285101</v>
      </c>
      <c r="G284" s="147">
        <f>F4A!G283+F4B!G284</f>
        <v>3.560676</v>
      </c>
      <c r="H284" s="147">
        <f>F4A!H283+F4B!H284</f>
        <v>3.938138</v>
      </c>
      <c r="I284" s="147">
        <f>F4A!I283+F4B!I284</f>
        <v>3.593856</v>
      </c>
      <c r="J284" s="147">
        <f>F4A!J283+F4B!J284</f>
        <v>3.650065</v>
      </c>
      <c r="K284" s="147">
        <f>F4A!K283+F4B!K284</f>
        <v>3.6716</v>
      </c>
      <c r="L284" s="147">
        <f>F4A!L283+F4B!L284</f>
        <v>3.307266</v>
      </c>
      <c r="M284" s="147">
        <f>F4A!M283+F4B!M284</f>
        <v>3.122177</v>
      </c>
      <c r="N284" s="147">
        <f>F4A!N283+F4B!N284</f>
        <v>2.854174</v>
      </c>
      <c r="O284" s="147">
        <f>F4A!O283+F4B!O284</f>
        <v>2.76787</v>
      </c>
      <c r="P284" s="147">
        <f>F4A!P283+F4B!P284</f>
        <v>3.148361</v>
      </c>
      <c r="Q284" s="316">
        <f t="shared" si="44"/>
        <v>40.808457</v>
      </c>
    </row>
    <row r="285" ht="15" hidden="1" spans="3:17">
      <c r="C285" s="55" t="s">
        <v>197</v>
      </c>
      <c r="D285" s="55" t="s">
        <v>198</v>
      </c>
      <c r="E285" s="147">
        <f>F4A!E284+F4B!E285</f>
        <v>0</v>
      </c>
      <c r="F285" s="147">
        <f>F4A!F284+F4B!F285</f>
        <v>0</v>
      </c>
      <c r="G285" s="147">
        <f>F4A!G284+F4B!G285</f>
        <v>0</v>
      </c>
      <c r="H285" s="147">
        <f>F4A!H284+F4B!H285</f>
        <v>0</v>
      </c>
      <c r="I285" s="147">
        <f>F4A!I284+F4B!I285</f>
        <v>0</v>
      </c>
      <c r="J285" s="147">
        <f>F4A!J284+F4B!J285</f>
        <v>0</v>
      </c>
      <c r="K285" s="147">
        <f>F4A!K284+F4B!K285</f>
        <v>0</v>
      </c>
      <c r="L285" s="147">
        <f>F4A!L284+F4B!L285</f>
        <v>0</v>
      </c>
      <c r="M285" s="147">
        <f>F4A!M284+F4B!M285</f>
        <v>0</v>
      </c>
      <c r="N285" s="147">
        <f>F4A!N284+F4B!N285</f>
        <v>0</v>
      </c>
      <c r="O285" s="147">
        <f>F4A!O284+F4B!O285</f>
        <v>0</v>
      </c>
      <c r="P285" s="147">
        <f>F4A!P284+F4B!P285</f>
        <v>0</v>
      </c>
      <c r="Q285" s="316">
        <f t="shared" si="44"/>
        <v>0</v>
      </c>
    </row>
    <row r="286" ht="15" hidden="1" spans="3:17">
      <c r="C286" s="55" t="s">
        <v>199</v>
      </c>
      <c r="D286" s="55" t="s">
        <v>200</v>
      </c>
      <c r="E286" s="147">
        <f>F4A!E285+F4B!E286</f>
        <v>4.783</v>
      </c>
      <c r="F286" s="147">
        <f>F4A!F285+F4B!F286</f>
        <v>4.198</v>
      </c>
      <c r="G286" s="147">
        <f>F4A!G285+F4B!G286</f>
        <v>4.096</v>
      </c>
      <c r="H286" s="147">
        <f>F4A!H285+F4B!H286</f>
        <v>4.265</v>
      </c>
      <c r="I286" s="147">
        <f>F4A!I285+F4B!I286</f>
        <v>3.896</v>
      </c>
      <c r="J286" s="147">
        <f>F4A!J285+F4B!J286</f>
        <v>4.037</v>
      </c>
      <c r="K286" s="147">
        <f>F4A!K285+F4B!K286</f>
        <v>4.089</v>
      </c>
      <c r="L286" s="147">
        <f>F4A!L285+F4B!L286</f>
        <v>4.066</v>
      </c>
      <c r="M286" s="147">
        <f>F4A!M285+F4B!M286</f>
        <v>3.77</v>
      </c>
      <c r="N286" s="147">
        <f>F4A!N285+F4B!N286</f>
        <v>3.490574</v>
      </c>
      <c r="O286" s="147">
        <f>F4A!O285+F4B!O286</f>
        <v>3.33</v>
      </c>
      <c r="P286" s="147">
        <f>F4A!P285+F4B!P286</f>
        <v>3.38709</v>
      </c>
      <c r="Q286" s="316">
        <f t="shared" ref="Q286:Q287" si="45">SUM(E286:P286)</f>
        <v>47.407664</v>
      </c>
    </row>
    <row r="287" ht="15" hidden="1" spans="3:17">
      <c r="C287" s="55" t="s">
        <v>201</v>
      </c>
      <c r="D287" s="55" t="s">
        <v>240</v>
      </c>
      <c r="E287" s="147">
        <f>F4A!E286+F4B!E287</f>
        <v>265.57071494</v>
      </c>
      <c r="F287" s="147">
        <f>F4A!F286+F4B!F287</f>
        <v>46.37728272</v>
      </c>
      <c r="G287" s="147">
        <f>F4A!G286+F4B!G287</f>
        <v>44.59254952</v>
      </c>
      <c r="H287" s="147">
        <f>F4A!H286+F4B!H287</f>
        <v>132.90736653</v>
      </c>
      <c r="I287" s="147">
        <f>F4A!I286+F4B!I287</f>
        <v>115.38506575</v>
      </c>
      <c r="J287" s="147">
        <f>F4A!J286+F4B!J287</f>
        <v>227.75544887</v>
      </c>
      <c r="K287" s="147">
        <f>F4A!K286+F4B!K287</f>
        <v>246.0922826</v>
      </c>
      <c r="L287" s="147">
        <f>F4A!L286+F4B!L287</f>
        <v>173.78894969</v>
      </c>
      <c r="M287" s="147">
        <f>F4A!M286+F4B!M287</f>
        <v>118.1355829</v>
      </c>
      <c r="N287" s="147">
        <f>F4A!N286+F4B!N287</f>
        <v>175.08176514</v>
      </c>
      <c r="O287" s="147">
        <f>F4A!O286+F4B!O287</f>
        <v>164.23623184</v>
      </c>
      <c r="P287" s="147">
        <f>F4A!P286+F4B!P287</f>
        <v>167.81001683</v>
      </c>
      <c r="Q287" s="316">
        <f t="shared" si="45"/>
        <v>1877.73325733</v>
      </c>
    </row>
    <row r="288" ht="15" hidden="1" spans="3:17">
      <c r="C288" s="55" t="s">
        <v>203</v>
      </c>
      <c r="D288" s="55" t="s">
        <v>220</v>
      </c>
      <c r="E288" s="147">
        <f>F4A!E287+F4B!E288</f>
        <v>21.048</v>
      </c>
      <c r="F288" s="147">
        <f>F4A!F287+F4B!F288</f>
        <v>20.058</v>
      </c>
      <c r="G288" s="147">
        <f>F4A!G287+F4B!G288</f>
        <v>14.568</v>
      </c>
      <c r="H288" s="147">
        <f>F4A!H287+F4B!H288</f>
        <v>19.296</v>
      </c>
      <c r="I288" s="147">
        <f>F4A!I287+F4B!I288</f>
        <v>20.226</v>
      </c>
      <c r="J288" s="147">
        <f>F4A!J287+F4B!J288</f>
        <v>19.962</v>
      </c>
      <c r="K288" s="147">
        <f>F4A!K287+F4B!K288</f>
        <v>21.72</v>
      </c>
      <c r="L288" s="147">
        <f>F4A!L287+F4B!L288</f>
        <v>19.58</v>
      </c>
      <c r="M288" s="147">
        <f>F4A!M287+F4B!M288</f>
        <v>20.538</v>
      </c>
      <c r="N288" s="147">
        <f>F4A!N287+F4B!N288</f>
        <v>19.658</v>
      </c>
      <c r="O288" s="147">
        <f>F4A!O287+F4B!O288</f>
        <v>21.082</v>
      </c>
      <c r="P288" s="147">
        <f>F4A!P287+F4B!P288</f>
        <v>21.012</v>
      </c>
      <c r="Q288" s="316">
        <f t="shared" si="44"/>
        <v>238.748</v>
      </c>
    </row>
    <row r="289" ht="15" hidden="1" spans="3:17">
      <c r="C289" s="55" t="s">
        <v>241</v>
      </c>
      <c r="D289" s="55" t="s">
        <v>229</v>
      </c>
      <c r="E289" s="147">
        <f>F4A!E288+F4B!E289</f>
        <v>23.554072</v>
      </c>
      <c r="F289" s="147">
        <f>F4A!F288+F4B!F289</f>
        <v>21.396363</v>
      </c>
      <c r="G289" s="147">
        <f>F4A!G288+F4B!G289</f>
        <v>21.488154</v>
      </c>
      <c r="H289" s="147">
        <f>F4A!H288+F4B!H289</f>
        <v>21.570796</v>
      </c>
      <c r="I289" s="147">
        <f>F4A!I288+F4B!I289</f>
        <v>24.503117</v>
      </c>
      <c r="J289" s="147">
        <f>F4A!J288+F4B!J289</f>
        <v>25.06973</v>
      </c>
      <c r="K289" s="147">
        <f>F4A!K288+F4B!K289</f>
        <v>25.336347</v>
      </c>
      <c r="L289" s="147">
        <f>F4A!L288+F4B!L289</f>
        <v>26.244343</v>
      </c>
      <c r="M289" s="147">
        <f>F4A!M288+F4B!M289</f>
        <v>26.003648</v>
      </c>
      <c r="N289" s="147">
        <f>F4A!N288+F4B!N289</f>
        <v>28.885992</v>
      </c>
      <c r="O289" s="147">
        <f>F4A!O288+F4B!O289</f>
        <v>27.529892</v>
      </c>
      <c r="P289" s="147">
        <f>F4A!P288+F4B!P289</f>
        <v>27.027574</v>
      </c>
      <c r="Q289" s="316">
        <f t="shared" si="44"/>
        <v>298.610028</v>
      </c>
    </row>
    <row r="290" ht="15" hidden="1" spans="3:17">
      <c r="C290" s="55" t="s">
        <v>259</v>
      </c>
      <c r="D290" s="55" t="s">
        <v>243</v>
      </c>
      <c r="E290" s="147">
        <f>F4A!E289+F4B!E290</f>
        <v>6.285889</v>
      </c>
      <c r="F290" s="147">
        <f>F4A!F289+F4B!F290</f>
        <v>3.958795</v>
      </c>
      <c r="G290" s="147">
        <f>F4A!G289+F4B!G290</f>
        <v>3.15885</v>
      </c>
      <c r="H290" s="147">
        <f>F4A!H289+F4B!H290</f>
        <v>5.271632</v>
      </c>
      <c r="I290" s="147">
        <f>F4A!I289+F4B!I290</f>
        <v>5.673988</v>
      </c>
      <c r="J290" s="147">
        <f>F4A!J289+F4B!J290</f>
        <v>5.871838</v>
      </c>
      <c r="K290" s="147">
        <f>F4A!K289+F4B!K290</f>
        <v>6.053575</v>
      </c>
      <c r="L290" s="147">
        <f>F4A!L289+F4B!L290</f>
        <v>6.110538</v>
      </c>
      <c r="M290" s="147">
        <f>F4A!M289+F4B!M290</f>
        <v>6.256292</v>
      </c>
      <c r="N290" s="147">
        <f>F4A!N289+F4B!N290</f>
        <v>5.786496</v>
      </c>
      <c r="O290" s="147">
        <f>F4A!O289+F4B!O290</f>
        <v>5.533106</v>
      </c>
      <c r="P290" s="147">
        <f>F4A!P289+F4B!P290</f>
        <v>5.622332</v>
      </c>
      <c r="Q290" s="316">
        <f t="shared" ref="Q290" si="46">SUM(E290:P290)</f>
        <v>65.583331</v>
      </c>
    </row>
    <row r="291" ht="15" hidden="1" spans="3:17">
      <c r="C291" s="55" t="s">
        <v>205</v>
      </c>
      <c r="D291" s="55" t="s">
        <v>206</v>
      </c>
      <c r="E291" s="147">
        <f>F4A!E290+F4B!E291</f>
        <v>0</v>
      </c>
      <c r="F291" s="147">
        <f>F4A!F290+F4B!F291</f>
        <v>0</v>
      </c>
      <c r="G291" s="147">
        <f>F4A!G290+F4B!G291</f>
        <v>0</v>
      </c>
      <c r="H291" s="147">
        <f>F4A!H290+F4B!H291</f>
        <v>0</v>
      </c>
      <c r="I291" s="147">
        <f>F4A!I290+F4B!I291</f>
        <v>0</v>
      </c>
      <c r="J291" s="147">
        <f>F4A!J290+F4B!J291</f>
        <v>0</v>
      </c>
      <c r="K291" s="147">
        <f>F4A!K290+F4B!K291</f>
        <v>0</v>
      </c>
      <c r="L291" s="147">
        <f>F4A!L290+F4B!L291</f>
        <v>0</v>
      </c>
      <c r="M291" s="147">
        <f>F4A!M290+F4B!M291</f>
        <v>0</v>
      </c>
      <c r="N291" s="147">
        <f>F4A!N290+F4B!N291</f>
        <v>0</v>
      </c>
      <c r="O291" s="147">
        <f>F4A!O290+F4B!O291</f>
        <v>0</v>
      </c>
      <c r="P291" s="147">
        <f>F4A!P290+F4B!P291</f>
        <v>0</v>
      </c>
      <c r="Q291" s="316">
        <f t="shared" si="44"/>
        <v>0</v>
      </c>
    </row>
    <row r="292" ht="15" hidden="1" spans="3:17">
      <c r="C292" s="55" t="s">
        <v>207</v>
      </c>
      <c r="D292" s="55" t="s">
        <v>186</v>
      </c>
      <c r="E292" s="147">
        <f>F4A!E291+F4B!E292</f>
        <v>0</v>
      </c>
      <c r="F292" s="147">
        <f>F4A!F291+F4B!F292</f>
        <v>0</v>
      </c>
      <c r="G292" s="147">
        <f>F4A!G291+F4B!G292</f>
        <v>0</v>
      </c>
      <c r="H292" s="147">
        <f>F4A!H291+F4B!H292</f>
        <v>0</v>
      </c>
      <c r="I292" s="147">
        <f>F4A!I291+F4B!I292</f>
        <v>0</v>
      </c>
      <c r="J292" s="147">
        <f>F4A!J291+F4B!J292</f>
        <v>0</v>
      </c>
      <c r="K292" s="147">
        <f>F4A!K291+F4B!K292</f>
        <v>0</v>
      </c>
      <c r="L292" s="147">
        <f>F4A!L291+F4B!L292</f>
        <v>0</v>
      </c>
      <c r="M292" s="147">
        <f>F4A!M291+F4B!M292</f>
        <v>0</v>
      </c>
      <c r="N292" s="147">
        <f>F4A!N291+F4B!N292</f>
        <v>0</v>
      </c>
      <c r="O292" s="147">
        <f>F4A!O291+F4B!O292</f>
        <v>0</v>
      </c>
      <c r="P292" s="147">
        <f>F4A!P291+F4B!P292</f>
        <v>0</v>
      </c>
      <c r="Q292" s="316">
        <f t="shared" si="44"/>
        <v>0</v>
      </c>
    </row>
    <row r="293" ht="15" hidden="1" spans="3:17">
      <c r="C293" s="55" t="s">
        <v>208</v>
      </c>
      <c r="D293" s="55" t="s">
        <v>209</v>
      </c>
      <c r="E293" s="147">
        <f>F4A!E292+F4B!E293</f>
        <v>0</v>
      </c>
      <c r="F293" s="147">
        <f>F4A!F292+F4B!F293</f>
        <v>0</v>
      </c>
      <c r="G293" s="147">
        <f>F4A!G292+F4B!G293</f>
        <v>0</v>
      </c>
      <c r="H293" s="147">
        <f>F4A!H292+F4B!H293</f>
        <v>0</v>
      </c>
      <c r="I293" s="147">
        <f>F4A!I292+F4B!I293</f>
        <v>0</v>
      </c>
      <c r="J293" s="147">
        <f>F4A!J292+F4B!J293</f>
        <v>0</v>
      </c>
      <c r="K293" s="147">
        <f>F4A!K292+F4B!K293</f>
        <v>0</v>
      </c>
      <c r="L293" s="147">
        <f>F4A!L292+F4B!L293</f>
        <v>0</v>
      </c>
      <c r="M293" s="147">
        <f>F4A!M292+F4B!M293</f>
        <v>0</v>
      </c>
      <c r="N293" s="147">
        <f>F4A!N292+F4B!N293</f>
        <v>0</v>
      </c>
      <c r="O293" s="147">
        <f>F4A!O292+F4B!O293</f>
        <v>0</v>
      </c>
      <c r="P293" s="147">
        <f>F4A!P292+F4B!P293</f>
        <v>0</v>
      </c>
      <c r="Q293" s="316">
        <f t="shared" si="44"/>
        <v>0</v>
      </c>
    </row>
    <row r="294" ht="15" hidden="1" spans="3:17">
      <c r="C294" s="55" t="s">
        <v>210</v>
      </c>
      <c r="D294" s="55" t="s">
        <v>188</v>
      </c>
      <c r="E294" s="147">
        <f>F4A!E293+F4B!E294</f>
        <v>0</v>
      </c>
      <c r="F294" s="147">
        <f>F4A!F293+F4B!F294</f>
        <v>0</v>
      </c>
      <c r="G294" s="147">
        <f>F4A!G293+F4B!G294</f>
        <v>0</v>
      </c>
      <c r="H294" s="147">
        <f>F4A!H293+F4B!H294</f>
        <v>0</v>
      </c>
      <c r="I294" s="147">
        <f>F4A!I293+F4B!I294</f>
        <v>0</v>
      </c>
      <c r="J294" s="147">
        <f>F4A!J293+F4B!J294</f>
        <v>0</v>
      </c>
      <c r="K294" s="147">
        <f>F4A!K293+F4B!K294</f>
        <v>0</v>
      </c>
      <c r="L294" s="147">
        <f>F4A!L293+F4B!L294</f>
        <v>0</v>
      </c>
      <c r="M294" s="147">
        <f>F4A!M293+F4B!M294</f>
        <v>0</v>
      </c>
      <c r="N294" s="147">
        <f>F4A!N293+F4B!N294</f>
        <v>0</v>
      </c>
      <c r="O294" s="147">
        <f>F4A!O293+F4B!O294</f>
        <v>0</v>
      </c>
      <c r="P294" s="147">
        <f>F4A!P293+F4B!P294</f>
        <v>0</v>
      </c>
      <c r="Q294" s="316">
        <f t="shared" si="44"/>
        <v>0</v>
      </c>
    </row>
    <row r="295" ht="15" hidden="1" spans="3:17">
      <c r="C295" s="55"/>
      <c r="D295" s="55"/>
      <c r="E295" s="147">
        <f>F4A!E294+F4B!E295</f>
        <v>0</v>
      </c>
      <c r="F295" s="147">
        <f>F4A!F294+F4B!F295</f>
        <v>0</v>
      </c>
      <c r="G295" s="147">
        <f>F4A!G294+F4B!G295</f>
        <v>0</v>
      </c>
      <c r="H295" s="147">
        <f>F4A!H294+F4B!H295</f>
        <v>0</v>
      </c>
      <c r="I295" s="147">
        <f>F4A!I294+F4B!I295</f>
        <v>0</v>
      </c>
      <c r="J295" s="147">
        <f>F4A!J294+F4B!J295</f>
        <v>0</v>
      </c>
      <c r="K295" s="147">
        <f>F4A!K294+F4B!K295</f>
        <v>0</v>
      </c>
      <c r="L295" s="147">
        <f>F4A!L294+F4B!L295</f>
        <v>0</v>
      </c>
      <c r="M295" s="147">
        <f>F4A!M294+F4B!M295</f>
        <v>0</v>
      </c>
      <c r="N295" s="147">
        <f>F4A!N294+F4B!N295</f>
        <v>0</v>
      </c>
      <c r="O295" s="147">
        <f>F4A!O294+F4B!O295</f>
        <v>0</v>
      </c>
      <c r="P295" s="147">
        <f>F4A!P294+F4B!P295</f>
        <v>0</v>
      </c>
      <c r="Q295" s="316">
        <f t="shared" si="44"/>
        <v>0</v>
      </c>
    </row>
    <row r="296" ht="15" hidden="1" spans="3:17">
      <c r="C296" s="55"/>
      <c r="D296" s="55"/>
      <c r="E296" s="147">
        <f>F4A!E295+F4B!E296</f>
        <v>0</v>
      </c>
      <c r="F296" s="147">
        <f>F4A!F295+F4B!F296</f>
        <v>0</v>
      </c>
      <c r="G296" s="147">
        <f>F4A!G295+F4B!G296</f>
        <v>0</v>
      </c>
      <c r="H296" s="147">
        <f>F4A!H295+F4B!H296</f>
        <v>0</v>
      </c>
      <c r="I296" s="147">
        <f>F4A!I295+F4B!I296</f>
        <v>0</v>
      </c>
      <c r="J296" s="147">
        <f>F4A!J295+F4B!J296</f>
        <v>0</v>
      </c>
      <c r="K296" s="147">
        <f>F4A!K295+F4B!K296</f>
        <v>0</v>
      </c>
      <c r="L296" s="147">
        <f>F4A!L295+F4B!L296</f>
        <v>0</v>
      </c>
      <c r="M296" s="147">
        <f>F4A!M295+F4B!M296</f>
        <v>0</v>
      </c>
      <c r="N296" s="147">
        <f>F4A!N295+F4B!N296</f>
        <v>0</v>
      </c>
      <c r="O296" s="147">
        <f>F4A!O295+F4B!O296</f>
        <v>0</v>
      </c>
      <c r="P296" s="147">
        <f>F4A!P295+F4B!P296</f>
        <v>0</v>
      </c>
      <c r="Q296" s="316">
        <f t="shared" si="44"/>
        <v>0</v>
      </c>
    </row>
    <row r="297" ht="15" hidden="1" spans="3:17">
      <c r="C297" s="55"/>
      <c r="D297" s="55"/>
      <c r="E297" s="147">
        <f>F4A!E296+F4B!E297</f>
        <v>0</v>
      </c>
      <c r="F297" s="147">
        <f>F4A!F296+F4B!F297</f>
        <v>0</v>
      </c>
      <c r="G297" s="147">
        <f>F4A!G296+F4B!G297</f>
        <v>0</v>
      </c>
      <c r="H297" s="147">
        <f>F4A!H296+F4B!H297</f>
        <v>0</v>
      </c>
      <c r="I297" s="147">
        <f>F4A!I296+F4B!I297</f>
        <v>0</v>
      </c>
      <c r="J297" s="147">
        <f>F4A!J296+F4B!J297</f>
        <v>0</v>
      </c>
      <c r="K297" s="147">
        <f>F4A!K296+F4B!K297</f>
        <v>0</v>
      </c>
      <c r="L297" s="147">
        <f>F4A!L296+F4B!L297</f>
        <v>0</v>
      </c>
      <c r="M297" s="147">
        <f>F4A!M296+F4B!M297</f>
        <v>0</v>
      </c>
      <c r="N297" s="147">
        <f>F4A!N296+F4B!N297</f>
        <v>0</v>
      </c>
      <c r="O297" s="147">
        <f>F4A!O296+F4B!O297</f>
        <v>0</v>
      </c>
      <c r="P297" s="147">
        <f>F4A!P296+F4B!P297</f>
        <v>0</v>
      </c>
      <c r="Q297" s="316">
        <f t="shared" si="44"/>
        <v>0</v>
      </c>
    </row>
    <row r="298" ht="15" hidden="1" spans="3:17">
      <c r="C298" s="55" t="s">
        <v>258</v>
      </c>
      <c r="D298" s="55" t="s">
        <v>258</v>
      </c>
      <c r="E298" s="147">
        <f>F4A!E297+F4B!E298</f>
        <v>0</v>
      </c>
      <c r="F298" s="147">
        <f>F4A!F297+F4B!F298</f>
        <v>0</v>
      </c>
      <c r="G298" s="147">
        <f>F4A!G297+F4B!G298</f>
        <v>0</v>
      </c>
      <c r="H298" s="147">
        <f>F4A!H297+F4B!H298</f>
        <v>0</v>
      </c>
      <c r="I298" s="147">
        <f>F4A!I297+F4B!I298</f>
        <v>0</v>
      </c>
      <c r="J298" s="147">
        <f>F4A!J297+F4B!J298</f>
        <v>0</v>
      </c>
      <c r="K298" s="147">
        <f>F4A!K297+F4B!K298</f>
        <v>0</v>
      </c>
      <c r="L298" s="147">
        <f>F4A!L297+F4B!L298</f>
        <v>0</v>
      </c>
      <c r="M298" s="147">
        <f>F4A!M297+F4B!M298</f>
        <v>0</v>
      </c>
      <c r="N298" s="147">
        <f>F4A!N297+F4B!N298</f>
        <v>0</v>
      </c>
      <c r="O298" s="147">
        <f>F4A!O297+F4B!O298</f>
        <v>0</v>
      </c>
      <c r="P298" s="147">
        <f>F4A!P297+F4B!P298</f>
        <v>0</v>
      </c>
      <c r="Q298" s="316">
        <f t="shared" si="44"/>
        <v>0</v>
      </c>
    </row>
    <row r="299" ht="15" hidden="1" spans="3:17">
      <c r="C299" s="537" t="s">
        <v>211</v>
      </c>
      <c r="D299" s="540"/>
      <c r="E299" s="316">
        <f t="shared" ref="E299:P299" si="47">SUM(E282:E298)</f>
        <v>584.94786894</v>
      </c>
      <c r="F299" s="316">
        <f t="shared" si="47"/>
        <v>326.58416972</v>
      </c>
      <c r="G299" s="316">
        <f t="shared" si="47"/>
        <v>320.64465852</v>
      </c>
      <c r="H299" s="316">
        <f t="shared" si="47"/>
        <v>437.11872153</v>
      </c>
      <c r="I299" s="316">
        <f t="shared" si="47"/>
        <v>420.76077275</v>
      </c>
      <c r="J299" s="316">
        <f t="shared" si="47"/>
        <v>566.78235087</v>
      </c>
      <c r="K299" s="316">
        <f t="shared" si="47"/>
        <v>599.9627946</v>
      </c>
      <c r="L299" s="316">
        <f t="shared" si="47"/>
        <v>520.87430069</v>
      </c>
      <c r="M299" s="316">
        <f t="shared" si="47"/>
        <v>474.9844179</v>
      </c>
      <c r="N299" s="316">
        <f t="shared" si="47"/>
        <v>546.29337614</v>
      </c>
      <c r="O299" s="316">
        <f t="shared" si="47"/>
        <v>565.62198584</v>
      </c>
      <c r="P299" s="316">
        <f t="shared" si="47"/>
        <v>576.24032683</v>
      </c>
      <c r="Q299" s="316">
        <f t="shared" si="44"/>
        <v>5940.81574433</v>
      </c>
    </row>
    <row r="300" ht="15" hidden="1" spans="3:17">
      <c r="C300" s="537" t="s">
        <v>223</v>
      </c>
      <c r="D300" s="540"/>
      <c r="E300" s="316">
        <f t="shared" ref="E300:P300" si="48">E299+E280+E263</f>
        <v>1603.12929815</v>
      </c>
      <c r="F300" s="316">
        <f t="shared" si="48"/>
        <v>1208.54779339</v>
      </c>
      <c r="G300" s="316">
        <f t="shared" si="48"/>
        <v>1193.45370547</v>
      </c>
      <c r="H300" s="316">
        <f t="shared" si="48"/>
        <v>1363.7533897</v>
      </c>
      <c r="I300" s="316">
        <f t="shared" si="48"/>
        <v>1379.90044646</v>
      </c>
      <c r="J300" s="316">
        <f t="shared" si="48"/>
        <v>1565.5576139</v>
      </c>
      <c r="K300" s="316">
        <f t="shared" si="48"/>
        <v>1603.53753713</v>
      </c>
      <c r="L300" s="316">
        <f t="shared" si="48"/>
        <v>1493.41599052</v>
      </c>
      <c r="M300" s="316">
        <f t="shared" si="48"/>
        <v>1450.73732105</v>
      </c>
      <c r="N300" s="316">
        <f t="shared" si="48"/>
        <v>1521.62688997</v>
      </c>
      <c r="O300" s="316">
        <f t="shared" si="48"/>
        <v>1547.54404304</v>
      </c>
      <c r="P300" s="316">
        <f t="shared" si="48"/>
        <v>1545.91618296</v>
      </c>
      <c r="Q300" s="316">
        <f t="shared" si="44"/>
        <v>17477.12021174</v>
      </c>
    </row>
    <row r="301" ht="15" hidden="1" spans="3:17">
      <c r="C301" s="537" t="s">
        <v>224</v>
      </c>
      <c r="D301" s="540"/>
      <c r="E301" s="316">
        <f t="shared" ref="E301:P301" si="49">E300+E246</f>
        <v>3975.19474812063</v>
      </c>
      <c r="F301" s="316">
        <f t="shared" si="49"/>
        <v>2988.12129084737</v>
      </c>
      <c r="G301" s="316">
        <f t="shared" si="49"/>
        <v>2861.46288255693</v>
      </c>
      <c r="H301" s="316">
        <f t="shared" si="49"/>
        <v>3408.16997303038</v>
      </c>
      <c r="I301" s="316">
        <f t="shared" si="49"/>
        <v>3923.79886629359</v>
      </c>
      <c r="J301" s="316">
        <f t="shared" si="49"/>
        <v>3501.16945643546</v>
      </c>
      <c r="K301" s="316">
        <f t="shared" si="49"/>
        <v>3722.20414607881</v>
      </c>
      <c r="L301" s="316">
        <f t="shared" si="49"/>
        <v>2899.89109763923</v>
      </c>
      <c r="M301" s="316">
        <f t="shared" si="49"/>
        <v>3315.54787163295</v>
      </c>
      <c r="N301" s="316">
        <f t="shared" si="49"/>
        <v>3640.35879920621</v>
      </c>
      <c r="O301" s="316">
        <f t="shared" si="49"/>
        <v>3729.38824914097</v>
      </c>
      <c r="P301" s="316">
        <f t="shared" si="49"/>
        <v>4546.80251171963</v>
      </c>
      <c r="Q301" s="316">
        <f t="shared" si="44"/>
        <v>42512.1098927022</v>
      </c>
    </row>
    <row r="302" ht="15" hidden="1" spans="3:17">
      <c r="C302" s="14"/>
      <c r="Q302" s="3" t="s">
        <v>236</v>
      </c>
    </row>
    <row r="303" ht="15" hidden="1" spans="3:17">
      <c r="C303" s="6" t="s">
        <v>159</v>
      </c>
      <c r="D303" s="6"/>
      <c r="E303" s="135" t="s">
        <v>262</v>
      </c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</row>
    <row r="304" ht="15" hidden="1" spans="3:17">
      <c r="C304" s="6"/>
      <c r="D304" s="6"/>
      <c r="E304" s="135" t="s">
        <v>246</v>
      </c>
      <c r="F304" s="135" t="s">
        <v>247</v>
      </c>
      <c r="G304" s="135" t="s">
        <v>248</v>
      </c>
      <c r="H304" s="135" t="s">
        <v>249</v>
      </c>
      <c r="I304" s="135" t="s">
        <v>250</v>
      </c>
      <c r="J304" s="135" t="s">
        <v>251</v>
      </c>
      <c r="K304" s="135" t="s">
        <v>252</v>
      </c>
      <c r="L304" s="135" t="s">
        <v>253</v>
      </c>
      <c r="M304" s="135" t="s">
        <v>254</v>
      </c>
      <c r="N304" s="135" t="s">
        <v>255</v>
      </c>
      <c r="O304" s="135" t="s">
        <v>256</v>
      </c>
      <c r="P304" s="135" t="s">
        <v>257</v>
      </c>
      <c r="Q304" s="135" t="s">
        <v>97</v>
      </c>
    </row>
    <row r="305" ht="15" hidden="1" spans="3:17">
      <c r="C305" s="44" t="s">
        <v>170</v>
      </c>
      <c r="D305" s="45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316">
        <f>SUM(E305:P305)</f>
        <v>0</v>
      </c>
    </row>
    <row r="306" ht="15" hidden="1" spans="3:17">
      <c r="C306" s="47" t="s">
        <v>171</v>
      </c>
      <c r="D306" s="47" t="s">
        <v>172</v>
      </c>
      <c r="E306" s="147">
        <f>F4A!E305+F4B!E306</f>
        <v>1054.49917709</v>
      </c>
      <c r="F306" s="147">
        <f>F4A!F305+F4B!F306</f>
        <v>1071.68560656</v>
      </c>
      <c r="G306" s="147">
        <f>F4A!G305+F4B!G306</f>
        <v>919.87931851</v>
      </c>
      <c r="H306" s="147">
        <f>F4A!H305+F4B!H306</f>
        <v>782.42434202</v>
      </c>
      <c r="I306" s="147">
        <f>F4A!I305+F4B!I306</f>
        <v>835.5457414</v>
      </c>
      <c r="J306" s="147">
        <f>F4A!J305+F4B!J306</f>
        <v>808.12435736</v>
      </c>
      <c r="K306" s="147">
        <f>F4A!K305+F4B!K306</f>
        <v>747.661322</v>
      </c>
      <c r="L306" s="147">
        <f>F4A!L305+F4B!L306</f>
        <v>713.3555715</v>
      </c>
      <c r="M306" s="147">
        <f>F4A!M305+F4B!M306</f>
        <v>720.93670168</v>
      </c>
      <c r="N306" s="147">
        <f>F4A!N305+F4B!N306</f>
        <v>682.8638952</v>
      </c>
      <c r="O306" s="147">
        <f>F4A!O305+F4B!O306</f>
        <v>721.0716355</v>
      </c>
      <c r="P306" s="147">
        <f>F4A!P305+F4B!P306</f>
        <v>894.06128425</v>
      </c>
      <c r="Q306" s="316">
        <f t="shared" ref="Q306:Q319" si="50">SUM(E306:P306)</f>
        <v>9952.10895307</v>
      </c>
    </row>
    <row r="307" ht="15" hidden="1" spans="3:17">
      <c r="C307" s="55" t="s">
        <v>173</v>
      </c>
      <c r="D307" s="55" t="s">
        <v>174</v>
      </c>
      <c r="E307" s="147">
        <f>F4A!E306+F4B!E307</f>
        <v>287.3821605</v>
      </c>
      <c r="F307" s="147">
        <f>F4A!F306+F4B!F307</f>
        <v>294.66361475</v>
      </c>
      <c r="G307" s="147">
        <f>F4A!G306+F4B!G307</f>
        <v>268.698341</v>
      </c>
      <c r="H307" s="147">
        <f>F4A!H306+F4B!H307</f>
        <v>231.91902975</v>
      </c>
      <c r="I307" s="147">
        <f>F4A!I306+F4B!I307</f>
        <v>252.08797125</v>
      </c>
      <c r="J307" s="147">
        <f>F4A!J306+F4B!J307</f>
        <v>251.81102075</v>
      </c>
      <c r="K307" s="147">
        <f>F4A!K306+F4B!K307</f>
        <v>239.37629918</v>
      </c>
      <c r="L307" s="147">
        <f>F4A!L306+F4B!L307</f>
        <v>240.630599</v>
      </c>
      <c r="M307" s="147">
        <f>F4A!M306+F4B!M307</f>
        <v>244.72922025</v>
      </c>
      <c r="N307" s="147">
        <f>F4A!N306+F4B!N307</f>
        <v>231.475063</v>
      </c>
      <c r="O307" s="147">
        <f>F4A!O306+F4B!O307</f>
        <v>247.637579</v>
      </c>
      <c r="P307" s="147">
        <f>F4A!P306+F4B!P307</f>
        <v>286.55679</v>
      </c>
      <c r="Q307" s="316">
        <f t="shared" si="50"/>
        <v>3076.96768843</v>
      </c>
    </row>
    <row r="308" ht="15" hidden="1" spans="3:17">
      <c r="C308" s="55" t="s">
        <v>175</v>
      </c>
      <c r="D308" s="55" t="s">
        <v>176</v>
      </c>
      <c r="E308" s="147">
        <f>F4A!E307+F4B!E308</f>
        <v>80.540946</v>
      </c>
      <c r="F308" s="147">
        <f>F4A!F307+F4B!F308</f>
        <v>80.615591</v>
      </c>
      <c r="G308" s="147">
        <f>F4A!G307+F4B!G308</f>
        <v>77.60986</v>
      </c>
      <c r="H308" s="147">
        <f>F4A!H307+F4B!H308</f>
        <v>71.092956</v>
      </c>
      <c r="I308" s="147">
        <f>F4A!I307+F4B!I308</f>
        <v>73.4384755</v>
      </c>
      <c r="J308" s="147">
        <f>F4A!J307+F4B!J308</f>
        <v>73.916187</v>
      </c>
      <c r="K308" s="147">
        <f>F4A!K307+F4B!K308</f>
        <v>69.627046</v>
      </c>
      <c r="L308" s="147">
        <f>F4A!L307+F4B!L308</f>
        <v>83.492833</v>
      </c>
      <c r="M308" s="147">
        <f>F4A!M307+F4B!M308</f>
        <v>84.7954</v>
      </c>
      <c r="N308" s="147">
        <f>F4A!N307+F4B!N308</f>
        <v>78.695625</v>
      </c>
      <c r="O308" s="147">
        <f>F4A!O307+F4B!O308</f>
        <v>78.388408</v>
      </c>
      <c r="P308" s="147">
        <f>F4A!P307+F4B!P308</f>
        <v>80.8559589999999</v>
      </c>
      <c r="Q308" s="316">
        <f t="shared" si="50"/>
        <v>933.0692865</v>
      </c>
    </row>
    <row r="309" ht="15" hidden="1" spans="3:17">
      <c r="C309" s="55" t="s">
        <v>177</v>
      </c>
      <c r="D309" s="55" t="s">
        <v>178</v>
      </c>
      <c r="E309" s="147">
        <f>F4A!E308+F4B!E309</f>
        <v>0.879329</v>
      </c>
      <c r="F309" s="147">
        <f>F4A!F308+F4B!F309</f>
        <v>0.879206</v>
      </c>
      <c r="G309" s="147">
        <f>F4A!G308+F4B!G309</f>
        <v>0.813468</v>
      </c>
      <c r="H309" s="147">
        <f>F4A!H308+F4B!H309</f>
        <v>0.740623</v>
      </c>
      <c r="I309" s="147">
        <f>F4A!I308+F4B!I309</f>
        <v>0.756743</v>
      </c>
      <c r="J309" s="147">
        <f>F4A!J308+F4B!J309</f>
        <v>0.790529</v>
      </c>
      <c r="K309" s="147">
        <f>F4A!K308+F4B!K309</f>
        <v>0.736981</v>
      </c>
      <c r="L309" s="147">
        <f>F4A!L308+F4B!L309</f>
        <v>0.80415</v>
      </c>
      <c r="M309" s="147">
        <f>F4A!M308+F4B!M309</f>
        <v>0.844049</v>
      </c>
      <c r="N309" s="147">
        <f>F4A!N308+F4B!N309</f>
        <v>0.746537</v>
      </c>
      <c r="O309" s="147">
        <f>F4A!O308+F4B!O309</f>
        <v>0.71819</v>
      </c>
      <c r="P309" s="147">
        <f>F4A!P308+F4B!P309</f>
        <v>0.816185</v>
      </c>
      <c r="Q309" s="316">
        <f t="shared" si="50"/>
        <v>9.52599</v>
      </c>
    </row>
    <row r="310" ht="15" hidden="1" spans="3:17">
      <c r="C310" s="55" t="s">
        <v>179</v>
      </c>
      <c r="D310" s="55" t="s">
        <v>180</v>
      </c>
      <c r="E310" s="147">
        <f>F4A!E309+F4B!E310</f>
        <v>1254.20211058848</v>
      </c>
      <c r="F310" s="147">
        <f>F4A!F309+F4B!F310</f>
        <v>593.193606162004</v>
      </c>
      <c r="G310" s="147">
        <f>F4A!G309+F4B!G310</f>
        <v>543.474133148526</v>
      </c>
      <c r="H310" s="147">
        <f>F4A!H309+F4B!H310</f>
        <v>780.52</v>
      </c>
      <c r="I310" s="147">
        <f>F4A!I309+F4B!I310</f>
        <v>961.56</v>
      </c>
      <c r="J310" s="147">
        <f>F4A!J309+F4B!J310</f>
        <v>1043.74</v>
      </c>
      <c r="K310" s="147">
        <f>F4A!K309+F4B!K310</f>
        <v>701.02753478761</v>
      </c>
      <c r="L310" s="147">
        <f>F4A!L309+F4B!L310</f>
        <v>593.875110158624</v>
      </c>
      <c r="M310" s="147">
        <f>F4A!M309+F4B!M310</f>
        <v>1041.53916312042</v>
      </c>
      <c r="N310" s="147">
        <f>F4A!N309+F4B!N310</f>
        <v>1398.71766225091</v>
      </c>
      <c r="O310" s="147">
        <f>F4A!O309+F4B!O310</f>
        <v>1488.39335589008</v>
      </c>
      <c r="P310" s="147">
        <f>F4A!P309+F4B!P310</f>
        <v>1726.981694</v>
      </c>
      <c r="Q310" s="316">
        <f t="shared" si="50"/>
        <v>12127.2243701067</v>
      </c>
    </row>
    <row r="311" ht="15" hidden="1" spans="3:17">
      <c r="C311" s="55" t="s">
        <v>181</v>
      </c>
      <c r="D311" s="55" t="s">
        <v>182</v>
      </c>
      <c r="E311" s="147">
        <f>F4A!E310+F4B!E311</f>
        <v>40.484487</v>
      </c>
      <c r="F311" s="147">
        <f>F4A!F310+F4B!F311</f>
        <v>39.110261</v>
      </c>
      <c r="G311" s="147">
        <f>F4A!G310+F4B!G311</f>
        <v>36.011614</v>
      </c>
      <c r="H311" s="147">
        <f>F4A!H310+F4B!H311</f>
        <v>33.568339</v>
      </c>
      <c r="I311" s="147">
        <f>F4A!I310+F4B!I311</f>
        <v>36.34499075</v>
      </c>
      <c r="J311" s="147">
        <f>F4A!J310+F4B!J311</f>
        <v>37.490599</v>
      </c>
      <c r="K311" s="147">
        <f>F4A!K310+F4B!K311</f>
        <v>39.630035</v>
      </c>
      <c r="L311" s="147">
        <f>F4A!L310+F4B!L311</f>
        <v>39.282273</v>
      </c>
      <c r="M311" s="147">
        <f>F4A!M310+F4B!M311</f>
        <v>41.373676</v>
      </c>
      <c r="N311" s="147">
        <f>F4A!N310+F4B!N311</f>
        <v>41.1030005</v>
      </c>
      <c r="O311" s="147">
        <f>F4A!O310+F4B!O311</f>
        <v>39.504416</v>
      </c>
      <c r="P311" s="147">
        <f>F4A!P310+F4B!P311</f>
        <v>42.763264</v>
      </c>
      <c r="Q311" s="316">
        <f t="shared" si="50"/>
        <v>466.66695525</v>
      </c>
    </row>
    <row r="312" ht="15" hidden="1" spans="3:17">
      <c r="C312" s="55" t="s">
        <v>183</v>
      </c>
      <c r="D312" s="55" t="s">
        <v>184</v>
      </c>
      <c r="E312" s="147">
        <f>F4A!E311+F4B!E312</f>
        <v>9.374641</v>
      </c>
      <c r="F312" s="147">
        <f>F4A!F311+F4B!F312</f>
        <v>7.187622</v>
      </c>
      <c r="G312" s="147">
        <f>F4A!G311+F4B!G312</f>
        <v>6.765159</v>
      </c>
      <c r="H312" s="147">
        <f>F4A!H311+F4B!H312</f>
        <v>6.72374275</v>
      </c>
      <c r="I312" s="147">
        <f>F4A!I311+F4B!I312</f>
        <v>7.564866</v>
      </c>
      <c r="J312" s="147">
        <f>F4A!J311+F4B!J312</f>
        <v>6.704741</v>
      </c>
      <c r="K312" s="147">
        <f>F4A!K311+F4B!K312</f>
        <v>7.054721</v>
      </c>
      <c r="L312" s="147">
        <f>F4A!L311+F4B!L312</f>
        <v>7.1476982</v>
      </c>
      <c r="M312" s="147">
        <f>F4A!M311+F4B!M312</f>
        <v>7.117874</v>
      </c>
      <c r="N312" s="147">
        <f>F4A!N311+F4B!N312</f>
        <v>6.315293</v>
      </c>
      <c r="O312" s="147">
        <f>F4A!O311+F4B!O312</f>
        <v>7.218932</v>
      </c>
      <c r="P312" s="147">
        <f>F4A!P311+F4B!P312</f>
        <v>8.8987295</v>
      </c>
      <c r="Q312" s="316">
        <f t="shared" si="50"/>
        <v>88.07401945</v>
      </c>
    </row>
    <row r="313" ht="15" hidden="1" spans="3:17">
      <c r="C313" s="55" t="s">
        <v>185</v>
      </c>
      <c r="D313" s="55" t="s">
        <v>186</v>
      </c>
      <c r="E313" s="147">
        <f>F4A!E312+F4B!E313</f>
        <v>9.1814284</v>
      </c>
      <c r="F313" s="147">
        <f>F4A!F312+F4B!F313</f>
        <v>8.863599</v>
      </c>
      <c r="G313" s="147">
        <f>F4A!G312+F4B!G313</f>
        <v>8.21191</v>
      </c>
      <c r="H313" s="147">
        <f>F4A!H312+F4B!H313</f>
        <v>7.270117</v>
      </c>
      <c r="I313" s="147">
        <f>F4A!I312+F4B!I313</f>
        <v>7.527117</v>
      </c>
      <c r="J313" s="147">
        <f>F4A!J312+F4B!J313</f>
        <v>7.597726</v>
      </c>
      <c r="K313" s="147">
        <f>F4A!K312+F4B!K313</f>
        <v>7.181891</v>
      </c>
      <c r="L313" s="147">
        <f>F4A!L312+F4B!L313</f>
        <v>7.709997</v>
      </c>
      <c r="M313" s="147">
        <f>F4A!M312+F4B!M313</f>
        <v>8.04304</v>
      </c>
      <c r="N313" s="147">
        <f>F4A!N312+F4B!N313</f>
        <v>7.992419</v>
      </c>
      <c r="O313" s="147">
        <f>F4A!O312+F4B!O313</f>
        <v>8.073885</v>
      </c>
      <c r="P313" s="147">
        <f>F4A!P312+F4B!P313</f>
        <v>8.685037</v>
      </c>
      <c r="Q313" s="316">
        <f t="shared" si="50"/>
        <v>96.3381664</v>
      </c>
    </row>
    <row r="314" ht="15" hidden="1" spans="3:17">
      <c r="C314" s="55" t="s">
        <v>187</v>
      </c>
      <c r="D314" s="55" t="s">
        <v>188</v>
      </c>
      <c r="E314" s="147">
        <f>F4A!E313+F4B!E314</f>
        <v>0.025866</v>
      </c>
      <c r="F314" s="147">
        <f>F4A!F313+F4B!F314</f>
        <v>0.027789</v>
      </c>
      <c r="G314" s="147">
        <f>F4A!G313+F4B!G314</f>
        <v>0.030726</v>
      </c>
      <c r="H314" s="147">
        <f>F4A!H313+F4B!H314</f>
        <v>0.030687</v>
      </c>
      <c r="I314" s="147">
        <f>F4A!I313+F4B!I314</f>
        <v>0.033495</v>
      </c>
      <c r="J314" s="147">
        <f>F4A!J313+F4B!J314</f>
        <v>0.043436</v>
      </c>
      <c r="K314" s="147">
        <f>F4A!K313+F4B!K314</f>
        <v>0.043189</v>
      </c>
      <c r="L314" s="147">
        <f>F4A!L313+F4B!L314</f>
        <v>0.053362</v>
      </c>
      <c r="M314" s="147">
        <f>F4A!M313+F4B!M314</f>
        <v>0.056037</v>
      </c>
      <c r="N314" s="147">
        <f>F4A!N313+F4B!N314</f>
        <v>0.05953</v>
      </c>
      <c r="O314" s="147">
        <f>F4A!O313+F4B!O314</f>
        <v>0.059889</v>
      </c>
      <c r="P314" s="147">
        <f>F4A!P313+F4B!P314</f>
        <v>0.068201</v>
      </c>
      <c r="Q314" s="316">
        <f t="shared" si="50"/>
        <v>0.532207</v>
      </c>
    </row>
    <row r="315" ht="15" hidden="1" spans="3:17">
      <c r="C315" s="55"/>
      <c r="D315" s="55"/>
      <c r="E315" s="147">
        <f>F4A!E314+F4B!E315</f>
        <v>0</v>
      </c>
      <c r="F315" s="147">
        <f>F4A!F314+F4B!F315</f>
        <v>0</v>
      </c>
      <c r="G315" s="147">
        <f>F4A!G314+F4B!G315</f>
        <v>0</v>
      </c>
      <c r="H315" s="147">
        <f>F4A!H314+F4B!H315</f>
        <v>0</v>
      </c>
      <c r="I315" s="147">
        <f>F4A!I314+F4B!I315</f>
        <v>0</v>
      </c>
      <c r="J315" s="147">
        <f>F4A!J314+F4B!J315</f>
        <v>0</v>
      </c>
      <c r="K315" s="147">
        <f>F4A!K314+F4B!K315</f>
        <v>0</v>
      </c>
      <c r="L315" s="147">
        <f>F4A!L314+F4B!L315</f>
        <v>0</v>
      </c>
      <c r="M315" s="147">
        <f>F4A!M314+F4B!M315</f>
        <v>0</v>
      </c>
      <c r="N315" s="147">
        <f>F4A!N314+F4B!N315</f>
        <v>0</v>
      </c>
      <c r="O315" s="147">
        <f>F4A!O314+F4B!O315</f>
        <v>0</v>
      </c>
      <c r="P315" s="147">
        <f>F4A!P314+F4B!P315</f>
        <v>0</v>
      </c>
      <c r="Q315" s="316">
        <f t="shared" si="50"/>
        <v>0</v>
      </c>
    </row>
    <row r="316" ht="15" hidden="1" spans="3:17">
      <c r="C316" s="55"/>
      <c r="D316" s="55"/>
      <c r="E316" s="147">
        <f>F4A!E315+F4B!E316</f>
        <v>0</v>
      </c>
      <c r="F316" s="147">
        <f>F4A!F315+F4B!F316</f>
        <v>0</v>
      </c>
      <c r="G316" s="147">
        <f>F4A!G315+F4B!G316</f>
        <v>0</v>
      </c>
      <c r="H316" s="147">
        <f>F4A!H315+F4B!H316</f>
        <v>0</v>
      </c>
      <c r="I316" s="147">
        <f>F4A!I315+F4B!I316</f>
        <v>0</v>
      </c>
      <c r="J316" s="147">
        <f>F4A!J315+F4B!J316</f>
        <v>0</v>
      </c>
      <c r="K316" s="147">
        <f>F4A!K315+F4B!K316</f>
        <v>0</v>
      </c>
      <c r="L316" s="147">
        <f>F4A!L315+F4B!L316</f>
        <v>0</v>
      </c>
      <c r="M316" s="147">
        <f>F4A!M315+F4B!M316</f>
        <v>0</v>
      </c>
      <c r="N316" s="147">
        <f>F4A!N315+F4B!N316</f>
        <v>0</v>
      </c>
      <c r="O316" s="147">
        <f>F4A!O315+F4B!O316</f>
        <v>0</v>
      </c>
      <c r="P316" s="147">
        <f>F4A!P315+F4B!P316</f>
        <v>0</v>
      </c>
      <c r="Q316" s="316">
        <f t="shared" si="50"/>
        <v>0</v>
      </c>
    </row>
    <row r="317" ht="15" hidden="1" spans="3:17">
      <c r="C317" s="55"/>
      <c r="D317" s="55"/>
      <c r="E317" s="147">
        <f>F4A!E316+F4B!E317</f>
        <v>0</v>
      </c>
      <c r="F317" s="147">
        <f>F4A!F316+F4B!F317</f>
        <v>0</v>
      </c>
      <c r="G317" s="147">
        <f>F4A!G316+F4B!G317</f>
        <v>0</v>
      </c>
      <c r="H317" s="147">
        <f>F4A!H316+F4B!H317</f>
        <v>0</v>
      </c>
      <c r="I317" s="147">
        <f>F4A!I316+F4B!I317</f>
        <v>0</v>
      </c>
      <c r="J317" s="147">
        <f>F4A!J316+F4B!J317</f>
        <v>0</v>
      </c>
      <c r="K317" s="147">
        <f>F4A!K316+F4B!K317</f>
        <v>0</v>
      </c>
      <c r="L317" s="147">
        <f>F4A!L316+F4B!L317</f>
        <v>0</v>
      </c>
      <c r="M317" s="147">
        <f>F4A!M316+F4B!M317</f>
        <v>0</v>
      </c>
      <c r="N317" s="147">
        <f>F4A!N316+F4B!N317</f>
        <v>0</v>
      </c>
      <c r="O317" s="147">
        <f>F4A!O316+F4B!O317</f>
        <v>0</v>
      </c>
      <c r="P317" s="147">
        <f>F4A!P316+F4B!P317</f>
        <v>0</v>
      </c>
      <c r="Q317" s="316">
        <f t="shared" si="50"/>
        <v>0</v>
      </c>
    </row>
    <row r="318" ht="15" hidden="1" spans="3:17">
      <c r="C318" s="55" t="s">
        <v>258</v>
      </c>
      <c r="D318" s="55" t="s">
        <v>258</v>
      </c>
      <c r="E318" s="147">
        <f>F4A!E317+F4B!E318</f>
        <v>0</v>
      </c>
      <c r="F318" s="147">
        <f>F4A!F317+F4B!F318</f>
        <v>0</v>
      </c>
      <c r="G318" s="147">
        <f>F4A!G317+F4B!G318</f>
        <v>0</v>
      </c>
      <c r="H318" s="147">
        <f>F4A!H317+F4B!H318</f>
        <v>0</v>
      </c>
      <c r="I318" s="147">
        <f>F4A!I317+F4B!I318</f>
        <v>0</v>
      </c>
      <c r="J318" s="147">
        <f>F4A!J317+F4B!J318</f>
        <v>0</v>
      </c>
      <c r="K318" s="147">
        <f>F4A!K317+F4B!K318</f>
        <v>0</v>
      </c>
      <c r="L318" s="147">
        <f>F4A!L317+F4B!L318</f>
        <v>0</v>
      </c>
      <c r="M318" s="147">
        <f>F4A!M317+F4B!M318</f>
        <v>0</v>
      </c>
      <c r="N318" s="147">
        <f>F4A!N317+F4B!N318</f>
        <v>0</v>
      </c>
      <c r="O318" s="147">
        <f>F4A!O317+F4B!O318</f>
        <v>0</v>
      </c>
      <c r="P318" s="147">
        <f>F4A!P317+F4B!P318</f>
        <v>0</v>
      </c>
      <c r="Q318" s="316">
        <f t="shared" si="50"/>
        <v>0</v>
      </c>
    </row>
    <row r="319" ht="15" hidden="1" spans="3:17">
      <c r="C319" s="537" t="s">
        <v>189</v>
      </c>
      <c r="D319" s="540"/>
      <c r="E319" s="316">
        <f t="shared" ref="E319:P319" si="51">SUM(E306:E318)</f>
        <v>2736.57014557848</v>
      </c>
      <c r="F319" s="316">
        <f t="shared" si="51"/>
        <v>2096.226895472</v>
      </c>
      <c r="G319" s="316">
        <f t="shared" si="51"/>
        <v>1861.49452965853</v>
      </c>
      <c r="H319" s="316">
        <f t="shared" si="51"/>
        <v>1914.28983652</v>
      </c>
      <c r="I319" s="316">
        <f t="shared" si="51"/>
        <v>2174.8593999</v>
      </c>
      <c r="J319" s="316">
        <f t="shared" si="51"/>
        <v>2230.21859611</v>
      </c>
      <c r="K319" s="316">
        <f t="shared" si="51"/>
        <v>1812.33901896761</v>
      </c>
      <c r="L319" s="316">
        <f t="shared" si="51"/>
        <v>1686.35159385862</v>
      </c>
      <c r="M319" s="316">
        <f t="shared" si="51"/>
        <v>2149.43516105042</v>
      </c>
      <c r="N319" s="316">
        <f t="shared" si="51"/>
        <v>2447.96902495091</v>
      </c>
      <c r="O319" s="316">
        <f t="shared" si="51"/>
        <v>2591.06629039008</v>
      </c>
      <c r="P319" s="316">
        <f t="shared" si="51"/>
        <v>3049.68714375</v>
      </c>
      <c r="Q319" s="316">
        <f t="shared" si="50"/>
        <v>26750.5076362067</v>
      </c>
    </row>
    <row r="320" ht="15" hidden="1" spans="3:17">
      <c r="C320" s="44" t="s">
        <v>190</v>
      </c>
      <c r="D320" s="45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316">
        <f t="shared" ref="Q320:Q336" si="52">SUM(E320:P320)</f>
        <v>0</v>
      </c>
    </row>
    <row r="321" ht="15" hidden="1" spans="3:17">
      <c r="C321" s="55" t="s">
        <v>191</v>
      </c>
      <c r="D321" s="55" t="s">
        <v>192</v>
      </c>
      <c r="E321" s="147">
        <f>F4A!E320+F4B!E321</f>
        <v>357.57</v>
      </c>
      <c r="F321" s="147">
        <f>F4A!F320+F4B!F321</f>
        <v>327.5</v>
      </c>
      <c r="G321" s="147">
        <f>F4A!G320+F4B!G321</f>
        <v>348.82</v>
      </c>
      <c r="H321" s="147">
        <f>F4A!H320+F4B!H321</f>
        <v>312.31955297</v>
      </c>
      <c r="I321" s="147">
        <f>F4A!I320+F4B!I321</f>
        <v>327.19917946</v>
      </c>
      <c r="J321" s="147">
        <f>F4A!J320+F4B!J321</f>
        <v>333.60409199</v>
      </c>
      <c r="K321" s="147">
        <f>F4A!K320+F4B!K321</f>
        <v>317.66043277</v>
      </c>
      <c r="L321" s="147">
        <f>F4A!L320+F4B!L321</f>
        <v>339.20359666</v>
      </c>
      <c r="M321" s="147">
        <f>F4A!M320+F4B!M321</f>
        <v>342.10168914</v>
      </c>
      <c r="N321" s="147">
        <f>F4A!N320+F4B!N321</f>
        <v>353.62049077</v>
      </c>
      <c r="O321" s="147">
        <f>F4A!O320+F4B!O321</f>
        <v>353.18132207</v>
      </c>
      <c r="P321" s="147">
        <f>F4A!P320+F4B!P321</f>
        <v>484.70135107</v>
      </c>
      <c r="Q321" s="316">
        <f t="shared" si="52"/>
        <v>4197.4817069</v>
      </c>
    </row>
    <row r="322" ht="15" hidden="1" spans="3:17">
      <c r="C322" s="55" t="s">
        <v>193</v>
      </c>
      <c r="D322" s="55" t="s">
        <v>194</v>
      </c>
      <c r="E322" s="147">
        <f>F4A!E321+F4B!E322</f>
        <v>0</v>
      </c>
      <c r="F322" s="147">
        <f>F4A!F321+F4B!F322</f>
        <v>0</v>
      </c>
      <c r="G322" s="147">
        <f>F4A!G321+F4B!G322</f>
        <v>0</v>
      </c>
      <c r="H322" s="147">
        <f>F4A!H321+F4B!H322</f>
        <v>0</v>
      </c>
      <c r="I322" s="147">
        <f>F4A!I321+F4B!I322</f>
        <v>0.4101</v>
      </c>
      <c r="J322" s="147">
        <f>F4A!J321+F4B!J322</f>
        <v>0.0015</v>
      </c>
      <c r="K322" s="147">
        <f>F4A!K321+F4B!K322</f>
        <v>0</v>
      </c>
      <c r="L322" s="147">
        <f>F4A!L321+F4B!L322</f>
        <v>0</v>
      </c>
      <c r="M322" s="147">
        <f>F4A!M321+F4B!M322</f>
        <v>0</v>
      </c>
      <c r="N322" s="147">
        <f>F4A!N321+F4B!N322</f>
        <v>0</v>
      </c>
      <c r="O322" s="147">
        <f>F4A!O321+F4B!O322</f>
        <v>0</v>
      </c>
      <c r="P322" s="147">
        <f>F4A!P321+F4B!P322</f>
        <v>0.001803</v>
      </c>
      <c r="Q322" s="316">
        <f t="shared" si="52"/>
        <v>0.413403</v>
      </c>
    </row>
    <row r="323" ht="15" hidden="1" spans="3:17">
      <c r="C323" s="55" t="s">
        <v>239</v>
      </c>
      <c r="D323" s="55" t="s">
        <v>196</v>
      </c>
      <c r="E323" s="147">
        <f>F4A!E322+F4B!E323</f>
        <v>171.84</v>
      </c>
      <c r="F323" s="147">
        <f>F4A!F322+F4B!F323</f>
        <v>174.25</v>
      </c>
      <c r="G323" s="147">
        <f>F4A!G322+F4B!G323</f>
        <v>179.79</v>
      </c>
      <c r="H323" s="147">
        <f>F4A!H322+F4B!H323</f>
        <v>144.86727249</v>
      </c>
      <c r="I323" s="147">
        <f>F4A!I322+F4B!I323</f>
        <v>147.16457658</v>
      </c>
      <c r="J323" s="147">
        <f>F4A!J322+F4B!J323</f>
        <v>156.13046103</v>
      </c>
      <c r="K323" s="147">
        <f>F4A!K322+F4B!K323</f>
        <v>146.79458573</v>
      </c>
      <c r="L323" s="147">
        <f>F4A!L322+F4B!L323</f>
        <v>138.89520262</v>
      </c>
      <c r="M323" s="147">
        <f>F4A!M322+F4B!M323</f>
        <v>135.99557205</v>
      </c>
      <c r="N323" s="147">
        <f>F4A!N322+F4B!N323</f>
        <v>138.72055816</v>
      </c>
      <c r="O323" s="147">
        <f>F4A!O322+F4B!O323</f>
        <v>140.38698099</v>
      </c>
      <c r="P323" s="147">
        <f>F4A!P322+F4B!P323</f>
        <v>215.39694602</v>
      </c>
      <c r="Q323" s="316">
        <f t="shared" si="52"/>
        <v>1890.23215567</v>
      </c>
    </row>
    <row r="324" ht="15" hidden="1" spans="3:17">
      <c r="C324" s="55" t="s">
        <v>197</v>
      </c>
      <c r="D324" s="55" t="s">
        <v>198</v>
      </c>
      <c r="E324" s="147">
        <f>F4A!E323+F4B!E324</f>
        <v>0.032178</v>
      </c>
      <c r="F324" s="147">
        <f>F4A!F323+F4B!F324</f>
        <v>0.074464</v>
      </c>
      <c r="G324" s="147">
        <f>F4A!G323+F4B!G324</f>
        <v>0.00743</v>
      </c>
      <c r="H324" s="147">
        <f>F4A!H323+F4B!H324</f>
        <v>0</v>
      </c>
      <c r="I324" s="147">
        <f>F4A!I323+F4B!I324</f>
        <v>0</v>
      </c>
      <c r="J324" s="147">
        <f>F4A!J323+F4B!J324</f>
        <v>0</v>
      </c>
      <c r="K324" s="147">
        <f>F4A!K323+F4B!K324</f>
        <v>0</v>
      </c>
      <c r="L324" s="147">
        <f>F4A!L323+F4B!L324</f>
        <v>0</v>
      </c>
      <c r="M324" s="147">
        <f>F4A!M323+F4B!M324</f>
        <v>0.032196</v>
      </c>
      <c r="N324" s="147">
        <f>F4A!N323+F4B!N324</f>
        <v>0.028971</v>
      </c>
      <c r="O324" s="147">
        <f>F4A!O323+F4B!O324</f>
        <v>0.033588</v>
      </c>
      <c r="P324" s="147">
        <f>F4A!P323+F4B!P324</f>
        <v>0.034469</v>
      </c>
      <c r="Q324" s="316">
        <f t="shared" ref="Q324" si="53">SUM(E324:P324)</f>
        <v>0.243296</v>
      </c>
    </row>
    <row r="325" ht="15" hidden="1" spans="3:17">
      <c r="C325" s="55" t="s">
        <v>199</v>
      </c>
      <c r="D325" s="55" t="s">
        <v>200</v>
      </c>
      <c r="E325" s="147">
        <f>F4A!E324+F4B!E325</f>
        <v>0.37</v>
      </c>
      <c r="F325" s="147">
        <f>F4A!F324+F4B!F325</f>
        <v>0.36</v>
      </c>
      <c r="G325" s="147">
        <f>F4A!G324+F4B!G325</f>
        <v>0.38</v>
      </c>
      <c r="H325" s="147">
        <f>F4A!H324+F4B!H325</f>
        <v>0.322311</v>
      </c>
      <c r="I325" s="147">
        <f>F4A!I324+F4B!I325</f>
        <v>0.347776</v>
      </c>
      <c r="J325" s="147">
        <f>F4A!J324+F4B!J325</f>
        <v>0.361763</v>
      </c>
      <c r="K325" s="147">
        <f>F4A!K324+F4B!K325</f>
        <v>0.353814</v>
      </c>
      <c r="L325" s="147">
        <f>F4A!L324+F4B!L325</f>
        <v>0.346308</v>
      </c>
      <c r="M325" s="147">
        <f>F4A!M324+F4B!M325</f>
        <v>0.334942</v>
      </c>
      <c r="N325" s="147">
        <f>F4A!N324+F4B!N325</f>
        <v>0.343065</v>
      </c>
      <c r="O325" s="147">
        <f>F4A!O324+F4B!O325</f>
        <v>0.335306</v>
      </c>
      <c r="P325" s="147">
        <f>F4A!P324+F4B!P325</f>
        <v>0.492824</v>
      </c>
      <c r="Q325" s="316">
        <f t="shared" si="52"/>
        <v>4.348109</v>
      </c>
    </row>
    <row r="326" ht="15" hidden="1" spans="3:17">
      <c r="C326" s="55" t="s">
        <v>201</v>
      </c>
      <c r="D326" s="55" t="s">
        <v>202</v>
      </c>
      <c r="E326" s="147">
        <f>F4A!E325+F4B!E326</f>
        <v>4.08</v>
      </c>
      <c r="F326" s="147">
        <f>F4A!F325+F4B!F326</f>
        <v>0.78</v>
      </c>
      <c r="G326" s="147">
        <f>F4A!G325+F4B!G326</f>
        <v>0.69</v>
      </c>
      <c r="H326" s="147">
        <f>F4A!H325+F4B!H326</f>
        <v>1.062505</v>
      </c>
      <c r="I326" s="147">
        <f>F4A!I325+F4B!I326</f>
        <v>2.095463</v>
      </c>
      <c r="J326" s="147">
        <f>F4A!J325+F4B!J326</f>
        <v>4.22927425</v>
      </c>
      <c r="K326" s="147">
        <f>F4A!K325+F4B!K326</f>
        <v>3.46676966</v>
      </c>
      <c r="L326" s="147">
        <f>F4A!L325+F4B!L326</f>
        <v>4.40827641</v>
      </c>
      <c r="M326" s="147">
        <f>F4A!M325+F4B!M326</f>
        <v>6.371162</v>
      </c>
      <c r="N326" s="147">
        <f>F4A!N325+F4B!N326</f>
        <v>5.678977</v>
      </c>
      <c r="O326" s="147">
        <f>F4A!O325+F4B!O326</f>
        <v>5.911532</v>
      </c>
      <c r="P326" s="147">
        <f>F4A!P325+F4B!P326</f>
        <v>8.304356</v>
      </c>
      <c r="Q326" s="316">
        <f t="shared" si="52"/>
        <v>47.07831532</v>
      </c>
    </row>
    <row r="327" ht="15" hidden="1" spans="3:17">
      <c r="C327" s="55" t="s">
        <v>203</v>
      </c>
      <c r="D327" s="55" t="s">
        <v>204</v>
      </c>
      <c r="E327" s="147">
        <f>F4A!E326+F4B!E327</f>
        <v>11.07</v>
      </c>
      <c r="F327" s="147">
        <f>F4A!F326+F4B!F327</f>
        <v>11.09</v>
      </c>
      <c r="G327" s="147">
        <f>F4A!G326+F4B!G327</f>
        <v>11.15</v>
      </c>
      <c r="H327" s="147">
        <f>F4A!H326+F4B!H327</f>
        <v>10.38198541</v>
      </c>
      <c r="I327" s="147">
        <f>F4A!I326+F4B!I327</f>
        <v>10.94462091</v>
      </c>
      <c r="J327" s="147">
        <f>F4A!J326+F4B!J327</f>
        <v>11.4960205</v>
      </c>
      <c r="K327" s="147">
        <f>F4A!K326+F4B!K327</f>
        <v>10.825784</v>
      </c>
      <c r="L327" s="147">
        <f>F4A!L326+F4B!L327</f>
        <v>11.524172</v>
      </c>
      <c r="M327" s="147">
        <f>F4A!M326+F4B!M327</f>
        <v>11.066141</v>
      </c>
      <c r="N327" s="147">
        <f>F4A!N326+F4B!N327</f>
        <v>11.445718</v>
      </c>
      <c r="O327" s="147">
        <f>F4A!O326+F4B!O327</f>
        <v>11.37224</v>
      </c>
      <c r="P327" s="147">
        <f>F4A!P326+F4B!P327</f>
        <v>15.289218</v>
      </c>
      <c r="Q327" s="316">
        <f t="shared" si="52"/>
        <v>137.65589982</v>
      </c>
    </row>
    <row r="328" ht="15" hidden="1" spans="3:17">
      <c r="C328" s="55" t="s">
        <v>205</v>
      </c>
      <c r="D328" s="55" t="s">
        <v>206</v>
      </c>
      <c r="E328" s="147">
        <f>F4A!E327+F4B!E328</f>
        <v>18.59</v>
      </c>
      <c r="F328" s="147">
        <f>F4A!F327+F4B!F328</f>
        <v>19.69</v>
      </c>
      <c r="G328" s="147">
        <f>F4A!G327+F4B!G328</f>
        <v>18.81</v>
      </c>
      <c r="H328" s="147">
        <f>F4A!H327+F4B!H328</f>
        <v>13.691047</v>
      </c>
      <c r="I328" s="147">
        <f>F4A!I327+F4B!I328</f>
        <v>13.597374</v>
      </c>
      <c r="J328" s="147">
        <f>F4A!J327+F4B!J328</f>
        <v>14.135622</v>
      </c>
      <c r="K328" s="147">
        <f>F4A!K327+F4B!K328</f>
        <v>13.1151365</v>
      </c>
      <c r="L328" s="147">
        <f>F4A!L327+F4B!L328</f>
        <v>12.810408</v>
      </c>
      <c r="M328" s="147">
        <f>F4A!M327+F4B!M328</f>
        <v>12.637645</v>
      </c>
      <c r="N328" s="147">
        <f>F4A!N327+F4B!N328</f>
        <v>12.884047</v>
      </c>
      <c r="O328" s="147">
        <f>F4A!O327+F4B!O328</f>
        <v>13.51772</v>
      </c>
      <c r="P328" s="147">
        <f>F4A!P327+F4B!P328</f>
        <v>20.510695</v>
      </c>
      <c r="Q328" s="316">
        <f t="shared" si="52"/>
        <v>183.9896945</v>
      </c>
    </row>
    <row r="329" ht="15" hidden="1" spans="3:17">
      <c r="C329" s="55" t="s">
        <v>207</v>
      </c>
      <c r="D329" s="55" t="s">
        <v>186</v>
      </c>
      <c r="E329" s="147">
        <f>F4A!E328+F4B!E329</f>
        <v>11.76</v>
      </c>
      <c r="F329" s="147">
        <f>F4A!F328+F4B!F329</f>
        <v>11.23</v>
      </c>
      <c r="G329" s="147">
        <f>F4A!G328+F4B!G329</f>
        <v>11.95</v>
      </c>
      <c r="H329" s="147">
        <f>F4A!H328+F4B!H329</f>
        <v>10.432735</v>
      </c>
      <c r="I329" s="147">
        <f>F4A!I328+F4B!I329</f>
        <v>11.5848855</v>
      </c>
      <c r="J329" s="147">
        <f>F4A!J328+F4B!J329</f>
        <v>12.576347</v>
      </c>
      <c r="K329" s="147">
        <f>F4A!K328+F4B!K329</f>
        <v>12.446289</v>
      </c>
      <c r="L329" s="147">
        <f>F4A!L328+F4B!L329</f>
        <v>14.1603415</v>
      </c>
      <c r="M329" s="147">
        <f>F4A!M328+F4B!M329</f>
        <v>13.573868</v>
      </c>
      <c r="N329" s="147">
        <f>F4A!N328+F4B!N329</f>
        <v>13.565659</v>
      </c>
      <c r="O329" s="147">
        <f>F4A!O328+F4B!O329</f>
        <v>13.264512</v>
      </c>
      <c r="P329" s="147">
        <f>F4A!P328+F4B!P329</f>
        <v>17.394279</v>
      </c>
      <c r="Q329" s="316">
        <f t="shared" si="52"/>
        <v>153.938916</v>
      </c>
    </row>
    <row r="330" ht="15" hidden="1" spans="3:17">
      <c r="C330" s="55" t="s">
        <v>208</v>
      </c>
      <c r="D330" s="55" t="s">
        <v>209</v>
      </c>
      <c r="E330" s="147">
        <f>F4A!E329+F4B!E330</f>
        <v>0</v>
      </c>
      <c r="F330" s="147">
        <f>F4A!F329+F4B!F330</f>
        <v>0</v>
      </c>
      <c r="G330" s="147">
        <f>F4A!G329+F4B!G330</f>
        <v>0</v>
      </c>
      <c r="H330" s="147">
        <f>F4A!H329+F4B!H330</f>
        <v>0</v>
      </c>
      <c r="I330" s="147">
        <f>F4A!I329+F4B!I330</f>
        <v>0</v>
      </c>
      <c r="J330" s="147">
        <f>F4A!J329+F4B!J330</f>
        <v>0</v>
      </c>
      <c r="K330" s="147">
        <f>F4A!K329+F4B!K330</f>
        <v>0</v>
      </c>
      <c r="L330" s="147">
        <f>F4A!L329+F4B!L330</f>
        <v>0</v>
      </c>
      <c r="M330" s="147">
        <f>F4A!M329+F4B!M330</f>
        <v>0</v>
      </c>
      <c r="N330" s="147">
        <f>F4A!N329+F4B!N330</f>
        <v>0</v>
      </c>
      <c r="O330" s="147">
        <f>F4A!O329+F4B!O330</f>
        <v>0</v>
      </c>
      <c r="P330" s="147">
        <f>F4A!P329+F4B!P330</f>
        <v>0</v>
      </c>
      <c r="Q330" s="316">
        <f t="shared" si="52"/>
        <v>0</v>
      </c>
    </row>
    <row r="331" ht="15" hidden="1" spans="3:17">
      <c r="C331" s="55" t="s">
        <v>210</v>
      </c>
      <c r="D331" s="55" t="s">
        <v>188</v>
      </c>
      <c r="E331" s="147">
        <f>F4A!E330+F4B!E331</f>
        <v>0.45</v>
      </c>
      <c r="F331" s="147">
        <f>F4A!F330+F4B!F331</f>
        <v>0.44</v>
      </c>
      <c r="G331" s="147">
        <f>F4A!G330+F4B!G331</f>
        <v>0.47</v>
      </c>
      <c r="H331" s="147">
        <f>F4A!H330+F4B!H331</f>
        <v>0.416371</v>
      </c>
      <c r="I331" s="147">
        <f>F4A!I330+F4B!I331</f>
        <v>0.40566</v>
      </c>
      <c r="J331" s="147">
        <f>F4A!J330+F4B!J331</f>
        <v>0.43609</v>
      </c>
      <c r="K331" s="147">
        <f>F4A!K330+F4B!K331</f>
        <v>0.426135</v>
      </c>
      <c r="L331" s="147">
        <f>F4A!L330+F4B!L331</f>
        <v>0.436821</v>
      </c>
      <c r="M331" s="147">
        <f>F4A!M330+F4B!M331</f>
        <v>0.432815</v>
      </c>
      <c r="N331" s="147">
        <f>F4A!N330+F4B!N331</f>
        <v>0.441702</v>
      </c>
      <c r="O331" s="147">
        <f>F4A!O330+F4B!O331</f>
        <v>0.478036</v>
      </c>
      <c r="P331" s="147">
        <f>F4A!P330+F4B!P331</f>
        <v>0.706229</v>
      </c>
      <c r="Q331" s="316">
        <f t="shared" si="52"/>
        <v>5.539859</v>
      </c>
    </row>
    <row r="332" ht="15" hidden="1" spans="3:17">
      <c r="C332" s="55"/>
      <c r="D332" s="55"/>
      <c r="E332" s="147">
        <f>F4A!E331+F4B!E332</f>
        <v>0</v>
      </c>
      <c r="F332" s="147">
        <f>F4A!F331+F4B!F332</f>
        <v>0</v>
      </c>
      <c r="G332" s="147">
        <f>F4A!G331+F4B!G332</f>
        <v>0</v>
      </c>
      <c r="H332" s="147">
        <f>F4A!H331+F4B!H332</f>
        <v>0</v>
      </c>
      <c r="I332" s="147">
        <f>F4A!I331+F4B!I332</f>
        <v>0</v>
      </c>
      <c r="J332" s="147">
        <f>F4A!J331+F4B!J332</f>
        <v>0</v>
      </c>
      <c r="K332" s="147">
        <f>F4A!K331+F4B!K332</f>
        <v>0</v>
      </c>
      <c r="L332" s="147">
        <f>F4A!L331+F4B!L332</f>
        <v>0</v>
      </c>
      <c r="M332" s="147">
        <f>F4A!M331+F4B!M332</f>
        <v>0</v>
      </c>
      <c r="N332" s="147">
        <f>F4A!N331+F4B!N332</f>
        <v>0</v>
      </c>
      <c r="O332" s="147">
        <f>F4A!O331+F4B!O332</f>
        <v>0</v>
      </c>
      <c r="P332" s="147">
        <f>F4A!P331+F4B!P332</f>
        <v>0</v>
      </c>
      <c r="Q332" s="316">
        <f t="shared" si="52"/>
        <v>0</v>
      </c>
    </row>
    <row r="333" ht="15" hidden="1" spans="3:17">
      <c r="C333" s="55"/>
      <c r="D333" s="55"/>
      <c r="E333" s="147">
        <f>F4A!E332+F4B!E333</f>
        <v>0</v>
      </c>
      <c r="F333" s="147">
        <f>F4A!F332+F4B!F333</f>
        <v>0</v>
      </c>
      <c r="G333" s="147">
        <f>F4A!G332+F4B!G333</f>
        <v>0</v>
      </c>
      <c r="H333" s="147">
        <f>F4A!H332+F4B!H333</f>
        <v>0</v>
      </c>
      <c r="I333" s="147">
        <f>F4A!I332+F4B!I333</f>
        <v>0</v>
      </c>
      <c r="J333" s="147">
        <f>F4A!J332+F4B!J333</f>
        <v>0</v>
      </c>
      <c r="K333" s="147">
        <f>F4A!K332+F4B!K333</f>
        <v>0</v>
      </c>
      <c r="L333" s="147">
        <f>F4A!L332+F4B!L333</f>
        <v>0</v>
      </c>
      <c r="M333" s="147">
        <f>F4A!M332+F4B!M333</f>
        <v>0</v>
      </c>
      <c r="N333" s="147">
        <f>F4A!N332+F4B!N333</f>
        <v>0</v>
      </c>
      <c r="O333" s="147">
        <f>F4A!O332+F4B!O333</f>
        <v>0</v>
      </c>
      <c r="P333" s="147">
        <f>F4A!P332+F4B!P333</f>
        <v>0</v>
      </c>
      <c r="Q333" s="316">
        <f t="shared" si="52"/>
        <v>0</v>
      </c>
    </row>
    <row r="334" ht="15" hidden="1" spans="3:17">
      <c r="C334" s="55"/>
      <c r="D334" s="55"/>
      <c r="E334" s="147">
        <f>F4A!E333+F4B!E334</f>
        <v>0</v>
      </c>
      <c r="F334" s="147">
        <f>F4A!F333+F4B!F334</f>
        <v>0</v>
      </c>
      <c r="G334" s="147">
        <f>F4A!G333+F4B!G334</f>
        <v>0</v>
      </c>
      <c r="H334" s="147">
        <f>F4A!H333+F4B!H334</f>
        <v>0</v>
      </c>
      <c r="I334" s="147">
        <f>F4A!I333+F4B!I334</f>
        <v>0</v>
      </c>
      <c r="J334" s="147">
        <f>F4A!J333+F4B!J334</f>
        <v>0</v>
      </c>
      <c r="K334" s="147">
        <f>F4A!K333+F4B!K334</f>
        <v>0</v>
      </c>
      <c r="L334" s="147">
        <f>F4A!L333+F4B!L334</f>
        <v>0</v>
      </c>
      <c r="M334" s="147">
        <f>F4A!M333+F4B!M334</f>
        <v>0</v>
      </c>
      <c r="N334" s="147">
        <f>F4A!N333+F4B!N334</f>
        <v>0</v>
      </c>
      <c r="O334" s="147">
        <f>F4A!O333+F4B!O334</f>
        <v>0</v>
      </c>
      <c r="P334" s="147">
        <f>F4A!P333+F4B!P334</f>
        <v>0</v>
      </c>
      <c r="Q334" s="316">
        <f t="shared" si="52"/>
        <v>0</v>
      </c>
    </row>
    <row r="335" ht="15" hidden="1" spans="3:17">
      <c r="C335" s="55" t="s">
        <v>258</v>
      </c>
      <c r="D335" s="55" t="s">
        <v>258</v>
      </c>
      <c r="E335" s="147">
        <f>F4A!E334+F4B!E335</f>
        <v>0</v>
      </c>
      <c r="F335" s="147">
        <f>F4A!F334+F4B!F335</f>
        <v>0</v>
      </c>
      <c r="G335" s="147">
        <f>F4A!G334+F4B!G335</f>
        <v>0</v>
      </c>
      <c r="H335" s="147">
        <f>F4A!H334+F4B!H335</f>
        <v>0</v>
      </c>
      <c r="I335" s="147">
        <f>F4A!I334+F4B!I335</f>
        <v>0</v>
      </c>
      <c r="J335" s="147">
        <f>F4A!J334+F4B!J335</f>
        <v>0</v>
      </c>
      <c r="K335" s="147">
        <f>F4A!K334+F4B!K335</f>
        <v>0</v>
      </c>
      <c r="L335" s="147">
        <f>F4A!L334+F4B!L335</f>
        <v>0</v>
      </c>
      <c r="M335" s="147">
        <f>F4A!M334+F4B!M335</f>
        <v>0</v>
      </c>
      <c r="N335" s="147">
        <f>F4A!N334+F4B!N335</f>
        <v>0</v>
      </c>
      <c r="O335" s="147">
        <f>F4A!O334+F4B!O335</f>
        <v>0</v>
      </c>
      <c r="P335" s="147">
        <f>F4A!P334+F4B!P335</f>
        <v>0</v>
      </c>
      <c r="Q335" s="316">
        <f t="shared" si="52"/>
        <v>0</v>
      </c>
    </row>
    <row r="336" ht="15" hidden="1" spans="3:17">
      <c r="C336" s="537" t="s">
        <v>211</v>
      </c>
      <c r="D336" s="540"/>
      <c r="E336" s="316">
        <f t="shared" ref="E336:P336" si="54">SUM(E321:E335)</f>
        <v>575.762178</v>
      </c>
      <c r="F336" s="316">
        <f t="shared" si="54"/>
        <v>545.414464</v>
      </c>
      <c r="G336" s="316">
        <f t="shared" si="54"/>
        <v>572.06743</v>
      </c>
      <c r="H336" s="316">
        <f t="shared" si="54"/>
        <v>493.49377987</v>
      </c>
      <c r="I336" s="316">
        <f t="shared" si="54"/>
        <v>513.74963545</v>
      </c>
      <c r="J336" s="316">
        <f t="shared" si="54"/>
        <v>532.97116977</v>
      </c>
      <c r="K336" s="316">
        <f t="shared" si="54"/>
        <v>505.08894666</v>
      </c>
      <c r="L336" s="316">
        <f t="shared" si="54"/>
        <v>521.78512619</v>
      </c>
      <c r="M336" s="316">
        <f t="shared" si="54"/>
        <v>522.54603019</v>
      </c>
      <c r="N336" s="316">
        <f t="shared" si="54"/>
        <v>536.72918793</v>
      </c>
      <c r="O336" s="316">
        <f t="shared" si="54"/>
        <v>538.48123706</v>
      </c>
      <c r="P336" s="316">
        <f t="shared" si="54"/>
        <v>762.83217009</v>
      </c>
      <c r="Q336" s="316">
        <f t="shared" si="52"/>
        <v>6620.92135521</v>
      </c>
    </row>
    <row r="337" ht="15" hidden="1" spans="3:17">
      <c r="C337" s="44" t="s">
        <v>212</v>
      </c>
      <c r="D337" s="45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316">
        <f t="shared" ref="Q337:Q354" si="55">SUM(E337:P337)</f>
        <v>0</v>
      </c>
    </row>
    <row r="338" ht="15" hidden="1" spans="3:17">
      <c r="C338" s="55" t="s">
        <v>191</v>
      </c>
      <c r="D338" s="55" t="s">
        <v>192</v>
      </c>
      <c r="E338" s="147">
        <f>F4A!E337+F4B!E338</f>
        <v>462.3</v>
      </c>
      <c r="F338" s="147">
        <f>F4A!F337+F4B!F338</f>
        <v>443.32</v>
      </c>
      <c r="G338" s="147">
        <f>F4A!G337+F4B!G338</f>
        <v>456.09</v>
      </c>
      <c r="H338" s="147">
        <f>F4A!H337+F4B!H338</f>
        <v>435.480396</v>
      </c>
      <c r="I338" s="147">
        <f>F4A!I337+F4B!I338</f>
        <v>436.032314</v>
      </c>
      <c r="J338" s="147">
        <f>F4A!J337+F4B!J338</f>
        <v>443.44037523</v>
      </c>
      <c r="K338" s="147">
        <f>F4A!K337+F4B!K338</f>
        <v>422.064112</v>
      </c>
      <c r="L338" s="147">
        <f>F4A!L337+F4B!L338</f>
        <v>438.8500435</v>
      </c>
      <c r="M338" s="147">
        <f>F4A!M337+F4B!M338</f>
        <v>440.6811815</v>
      </c>
      <c r="N338" s="147">
        <f>F4A!N337+F4B!N338</f>
        <v>443.1017745</v>
      </c>
      <c r="O338" s="147">
        <f>F4A!O337+F4B!O338</f>
        <v>447.9502955</v>
      </c>
      <c r="P338" s="147">
        <f>F4A!P337+F4B!P338</f>
        <v>629.4306135</v>
      </c>
      <c r="Q338" s="316">
        <f t="shared" si="55"/>
        <v>5498.74110573</v>
      </c>
    </row>
    <row r="339" ht="15" hidden="1" spans="3:17">
      <c r="C339" s="55" t="s">
        <v>193</v>
      </c>
      <c r="D339" s="55" t="s">
        <v>194</v>
      </c>
      <c r="E339" s="147">
        <f>F4A!E338+F4B!E339</f>
        <v>6.85</v>
      </c>
      <c r="F339" s="147">
        <f>F4A!F338+F4B!F339</f>
        <v>6.48</v>
      </c>
      <c r="G339" s="147">
        <f>F4A!G338+F4B!G339</f>
        <v>6.48</v>
      </c>
      <c r="H339" s="147">
        <f>F4A!H338+F4B!H339</f>
        <v>4.8932</v>
      </c>
      <c r="I339" s="147">
        <f>F4A!I338+F4B!I339</f>
        <v>2.7269</v>
      </c>
      <c r="J339" s="147">
        <f>F4A!J338+F4B!J339</f>
        <v>2.4399</v>
      </c>
      <c r="K339" s="147">
        <f>F4A!K338+F4B!K339</f>
        <v>1.3661</v>
      </c>
      <c r="L339" s="147">
        <f>F4A!L338+F4B!L339</f>
        <v>1.5926</v>
      </c>
      <c r="M339" s="147">
        <f>F4A!M338+F4B!M339</f>
        <v>3.4797</v>
      </c>
      <c r="N339" s="147">
        <f>F4A!N338+F4B!N339</f>
        <v>4.5297</v>
      </c>
      <c r="O339" s="147">
        <f>F4A!O338+F4B!O339</f>
        <v>2.4428</v>
      </c>
      <c r="P339" s="147">
        <f>F4A!P338+F4B!P339</f>
        <v>0.0011</v>
      </c>
      <c r="Q339" s="316">
        <f t="shared" si="55"/>
        <v>43.282</v>
      </c>
    </row>
    <row r="340" ht="15" hidden="1" spans="3:17">
      <c r="C340" s="55" t="s">
        <v>239</v>
      </c>
      <c r="D340" s="55" t="s">
        <v>196</v>
      </c>
      <c r="E340" s="147">
        <f>F4A!E339+F4B!E340</f>
        <v>88.62</v>
      </c>
      <c r="F340" s="147">
        <f>F4A!F339+F4B!F340</f>
        <v>95.12</v>
      </c>
      <c r="G340" s="147">
        <f>F4A!G339+F4B!G340</f>
        <v>102.2</v>
      </c>
      <c r="H340" s="147">
        <f>F4A!H339+F4B!H340</f>
        <v>91.70565</v>
      </c>
      <c r="I340" s="147">
        <f>F4A!I339+F4B!I340</f>
        <v>95.851009</v>
      </c>
      <c r="J340" s="147">
        <f>F4A!J339+F4B!J340</f>
        <v>100.436035</v>
      </c>
      <c r="K340" s="147">
        <f>F4A!K339+F4B!K340</f>
        <v>97.008417</v>
      </c>
      <c r="L340" s="147">
        <f>F4A!L339+F4B!L340</f>
        <v>95.453312</v>
      </c>
      <c r="M340" s="147">
        <f>F4A!M339+F4B!M340</f>
        <v>92.87741</v>
      </c>
      <c r="N340" s="147">
        <f>F4A!N339+F4B!N340</f>
        <v>95.297907</v>
      </c>
      <c r="O340" s="147">
        <f>F4A!O339+F4B!O340</f>
        <v>97.874269</v>
      </c>
      <c r="P340" s="147">
        <f>F4A!P339+F4B!P340</f>
        <v>145.338513</v>
      </c>
      <c r="Q340" s="316">
        <f t="shared" si="55"/>
        <v>1197.782522</v>
      </c>
    </row>
    <row r="341" ht="15" hidden="1" spans="3:17">
      <c r="C341" s="55" t="s">
        <v>197</v>
      </c>
      <c r="D341" s="55" t="s">
        <v>198</v>
      </c>
      <c r="E341" s="147">
        <f>F4A!E340+F4B!E341</f>
        <v>0</v>
      </c>
      <c r="F341" s="147">
        <f>F4A!F340+F4B!F341</f>
        <v>0</v>
      </c>
      <c r="G341" s="147">
        <f>F4A!G340+F4B!G341</f>
        <v>0</v>
      </c>
      <c r="H341" s="147">
        <f>F4A!H340+F4B!H341</f>
        <v>0</v>
      </c>
      <c r="I341" s="147">
        <f>F4A!I340+F4B!I341</f>
        <v>0</v>
      </c>
      <c r="J341" s="147">
        <f>F4A!J340+F4B!J341</f>
        <v>0.2272</v>
      </c>
      <c r="K341" s="147">
        <f>F4A!K340+F4B!K341</f>
        <v>0.2887</v>
      </c>
      <c r="L341" s="147">
        <f>F4A!L340+F4B!L341</f>
        <v>0.2863</v>
      </c>
      <c r="M341" s="147">
        <f>F4A!M340+F4B!M341</f>
        <v>0.2918</v>
      </c>
      <c r="N341" s="147">
        <f>F4A!N340+F4B!N341</f>
        <v>0.251</v>
      </c>
      <c r="O341" s="147">
        <f>F4A!O340+F4B!O341</f>
        <v>0.2549</v>
      </c>
      <c r="P341" s="147">
        <f>F4A!P340+F4B!P341</f>
        <v>0.2434</v>
      </c>
      <c r="Q341" s="316">
        <f t="shared" ref="Q341" si="56">SUM(E341:P341)</f>
        <v>1.8433</v>
      </c>
    </row>
    <row r="342" ht="15" hidden="1" spans="3:17">
      <c r="C342" s="55" t="s">
        <v>199</v>
      </c>
      <c r="D342" s="55" t="s">
        <v>200</v>
      </c>
      <c r="E342" s="147">
        <f>F4A!E341+F4B!E342</f>
        <v>0</v>
      </c>
      <c r="F342" s="147">
        <f>F4A!F341+F4B!F342</f>
        <v>0</v>
      </c>
      <c r="G342" s="147">
        <f>F4A!G341+F4B!G342</f>
        <v>0</v>
      </c>
      <c r="H342" s="147">
        <f>F4A!H341+F4B!H342</f>
        <v>0</v>
      </c>
      <c r="I342" s="147">
        <f>F4A!I341+F4B!I342</f>
        <v>0</v>
      </c>
      <c r="J342" s="147">
        <f>F4A!J341+F4B!J342</f>
        <v>0</v>
      </c>
      <c r="K342" s="147">
        <f>F4A!K341+F4B!K342</f>
        <v>0</v>
      </c>
      <c r="L342" s="147">
        <f>F4A!L341+F4B!L342</f>
        <v>0</v>
      </c>
      <c r="M342" s="147">
        <f>F4A!M341+F4B!M342</f>
        <v>0</v>
      </c>
      <c r="N342" s="147">
        <f>F4A!N341+F4B!N342</f>
        <v>0</v>
      </c>
      <c r="O342" s="147">
        <f>F4A!O341+F4B!O342</f>
        <v>0</v>
      </c>
      <c r="P342" s="147">
        <f>F4A!P341+F4B!P342</f>
        <v>0</v>
      </c>
      <c r="Q342" s="316">
        <f t="shared" si="55"/>
        <v>0</v>
      </c>
    </row>
    <row r="343" ht="15" hidden="1" spans="3:17">
      <c r="C343" s="55" t="s">
        <v>201</v>
      </c>
      <c r="D343" s="55" t="s">
        <v>202</v>
      </c>
      <c r="E343" s="147">
        <f>F4A!E342+F4B!E343</f>
        <v>0.84</v>
      </c>
      <c r="F343" s="147">
        <f>F4A!F342+F4B!F343</f>
        <v>0.39</v>
      </c>
      <c r="G343" s="147">
        <f>F4A!G342+F4B!G343</f>
        <v>0.07</v>
      </c>
      <c r="H343" s="147">
        <f>F4A!H342+F4B!H343</f>
        <v>0.53411</v>
      </c>
      <c r="I343" s="147">
        <f>F4A!I342+F4B!I343</f>
        <v>1.15526</v>
      </c>
      <c r="J343" s="147">
        <f>F4A!J342+F4B!J343</f>
        <v>1.76723</v>
      </c>
      <c r="K343" s="147">
        <f>F4A!K342+F4B!K343</f>
        <v>1.29062</v>
      </c>
      <c r="L343" s="147">
        <f>F4A!L342+F4B!L343</f>
        <v>1.64535</v>
      </c>
      <c r="M343" s="147">
        <f>F4A!M342+F4B!M343</f>
        <v>1.27887</v>
      </c>
      <c r="N343" s="147">
        <f>F4A!N342+F4B!N343</f>
        <v>2.62074</v>
      </c>
      <c r="O343" s="147">
        <f>F4A!O342+F4B!O343</f>
        <v>2.2689</v>
      </c>
      <c r="P343" s="147">
        <f>F4A!P342+F4B!P343</f>
        <v>3.1821</v>
      </c>
      <c r="Q343" s="316">
        <f t="shared" si="55"/>
        <v>17.04318</v>
      </c>
    </row>
    <row r="344" ht="15" hidden="1" spans="3:17">
      <c r="C344" s="55" t="s">
        <v>203</v>
      </c>
      <c r="D344" s="55" t="s">
        <v>204</v>
      </c>
      <c r="E344" s="147">
        <f>F4A!E343+F4B!E344</f>
        <v>19.47</v>
      </c>
      <c r="F344" s="147">
        <f>F4A!F343+F4B!F344</f>
        <v>20.99</v>
      </c>
      <c r="G344" s="147">
        <f>F4A!G343+F4B!G344</f>
        <v>21.1</v>
      </c>
      <c r="H344" s="147">
        <f>F4A!H343+F4B!H344</f>
        <v>20.4317</v>
      </c>
      <c r="I344" s="147">
        <f>F4A!I343+F4B!I344</f>
        <v>20.10299</v>
      </c>
      <c r="J344" s="147">
        <f>F4A!J343+F4B!J344</f>
        <v>20.61542</v>
      </c>
      <c r="K344" s="147">
        <f>F4A!K343+F4B!K344</f>
        <v>19.67954</v>
      </c>
      <c r="L344" s="147">
        <f>F4A!L343+F4B!L344</f>
        <v>20.0456</v>
      </c>
      <c r="M344" s="147">
        <f>F4A!M343+F4B!M344</f>
        <v>19.76087</v>
      </c>
      <c r="N344" s="147">
        <f>F4A!N343+F4B!N344</f>
        <v>18.31444</v>
      </c>
      <c r="O344" s="147">
        <f>F4A!O343+F4B!O344</f>
        <v>20.85805</v>
      </c>
      <c r="P344" s="147">
        <f>F4A!P343+F4B!P344</f>
        <v>26.558435</v>
      </c>
      <c r="Q344" s="316">
        <f t="shared" si="55"/>
        <v>247.927045</v>
      </c>
    </row>
    <row r="345" ht="15" hidden="1" spans="3:17">
      <c r="C345" s="55" t="s">
        <v>213</v>
      </c>
      <c r="D345" s="55" t="s">
        <v>229</v>
      </c>
      <c r="E345" s="147">
        <f>F4A!E344+F4B!E345</f>
        <v>0</v>
      </c>
      <c r="F345" s="147">
        <f>F4A!F344+F4B!F345</f>
        <v>0</v>
      </c>
      <c r="G345" s="147">
        <f>F4A!G344+F4B!G345</f>
        <v>0</v>
      </c>
      <c r="H345" s="147">
        <f>F4A!H344+F4B!H345</f>
        <v>0</v>
      </c>
      <c r="I345" s="147">
        <f>F4A!I344+F4B!I345</f>
        <v>0</v>
      </c>
      <c r="J345" s="147">
        <f>F4A!J344+F4B!J345</f>
        <v>0</v>
      </c>
      <c r="K345" s="147">
        <f>F4A!K344+F4B!K345</f>
        <v>0</v>
      </c>
      <c r="L345" s="147">
        <f>F4A!L344+F4B!L345</f>
        <v>0.2742</v>
      </c>
      <c r="M345" s="147">
        <f>F4A!M344+F4B!M345</f>
        <v>0.30885</v>
      </c>
      <c r="N345" s="147">
        <f>F4A!N344+F4B!N345</f>
        <v>0.4818</v>
      </c>
      <c r="O345" s="147">
        <f>F4A!O344+F4B!O345</f>
        <v>0.45825</v>
      </c>
      <c r="P345" s="147">
        <f>F4A!P344+F4B!P345</f>
        <v>1.4277</v>
      </c>
      <c r="Q345" s="316">
        <f t="shared" si="55"/>
        <v>2.9508</v>
      </c>
    </row>
    <row r="346" ht="15" hidden="1" spans="3:17">
      <c r="C346" s="55" t="s">
        <v>205</v>
      </c>
      <c r="D346" s="55" t="s">
        <v>206</v>
      </c>
      <c r="E346" s="147">
        <f>F4A!E345+F4B!E345</f>
        <v>12.56</v>
      </c>
      <c r="F346" s="147">
        <f>F4A!F345+F4B!F345</f>
        <v>13.27</v>
      </c>
      <c r="G346" s="147">
        <f>F4A!G345+F4B!G345</f>
        <v>12.7</v>
      </c>
      <c r="H346" s="147">
        <f>F4A!H345+F4B!H345</f>
        <v>9.095474</v>
      </c>
      <c r="I346" s="147">
        <f>F4A!I345+F4B!I345</f>
        <v>9.241715</v>
      </c>
      <c r="J346" s="147">
        <f>F4A!J345+F4B!J345</f>
        <v>9.654017</v>
      </c>
      <c r="K346" s="147">
        <f>F4A!K345+F4B!K345</f>
        <v>8.91257</v>
      </c>
      <c r="L346" s="147">
        <f>F4A!L345+F4B!L345</f>
        <v>8.87118</v>
      </c>
      <c r="M346" s="147">
        <f>F4A!M345+F4B!M345</f>
        <v>8.849315</v>
      </c>
      <c r="N346" s="147">
        <f>F4A!N345+F4B!N345</f>
        <v>8.862205</v>
      </c>
      <c r="O346" s="147">
        <f>F4A!O345+F4B!O345</f>
        <v>9.168395</v>
      </c>
      <c r="P346" s="147">
        <f>F4A!P345+F4B!P345</f>
        <v>12.887882</v>
      </c>
      <c r="Q346" s="316">
        <f t="shared" si="55"/>
        <v>124.072753</v>
      </c>
    </row>
    <row r="347" ht="15" hidden="1" spans="3:17">
      <c r="C347" s="55" t="s">
        <v>231</v>
      </c>
      <c r="D347" s="55" t="s">
        <v>186</v>
      </c>
      <c r="E347" s="147">
        <f>F4A!E346+F4B!E346</f>
        <v>3.15</v>
      </c>
      <c r="F347" s="147">
        <f>F4A!F346+F4B!F346</f>
        <v>2.06</v>
      </c>
      <c r="G347" s="147">
        <f>F4A!G346+F4B!G346</f>
        <v>2.31</v>
      </c>
      <c r="H347" s="147">
        <f>F4A!H346+F4B!H346</f>
        <v>2.8021</v>
      </c>
      <c r="I347" s="147">
        <f>F4A!I346+F4B!I346</f>
        <v>3.0558</v>
      </c>
      <c r="J347" s="147">
        <f>F4A!J346+F4B!J346</f>
        <v>3.727714</v>
      </c>
      <c r="K347" s="147">
        <f>F4A!K346+F4B!K346</f>
        <v>3.933598</v>
      </c>
      <c r="L347" s="147">
        <f>F4A!L346+F4B!L346</f>
        <v>3.694535</v>
      </c>
      <c r="M347" s="147">
        <f>F4A!M346+F4B!M346</f>
        <v>3.718147</v>
      </c>
      <c r="N347" s="147">
        <f>F4A!N346+F4B!N346</f>
        <v>3.890713</v>
      </c>
      <c r="O347" s="147">
        <f>F4A!O346+F4B!O346</f>
        <v>3.335858</v>
      </c>
      <c r="P347" s="147">
        <f>F4A!P346+F4B!P346</f>
        <v>4.635101</v>
      </c>
      <c r="Q347" s="316">
        <f t="shared" si="55"/>
        <v>40.313566</v>
      </c>
    </row>
    <row r="348" ht="15" hidden="1" spans="3:17">
      <c r="C348" s="55" t="s">
        <v>208</v>
      </c>
      <c r="D348" s="55" t="s">
        <v>209</v>
      </c>
      <c r="E348" s="147">
        <f>F4A!E347+F4B!E347</f>
        <v>0</v>
      </c>
      <c r="F348" s="147">
        <f>F4A!F347+F4B!F347</f>
        <v>0</v>
      </c>
      <c r="G348" s="147">
        <f>F4A!G347+F4B!G347</f>
        <v>0</v>
      </c>
      <c r="H348" s="147">
        <f>F4A!H347+F4B!H347</f>
        <v>0</v>
      </c>
      <c r="I348" s="147">
        <f>F4A!I347+F4B!I347</f>
        <v>0</v>
      </c>
      <c r="J348" s="147">
        <f>F4A!J347+F4B!J347</f>
        <v>0</v>
      </c>
      <c r="K348" s="147">
        <f>F4A!K347+F4B!K347</f>
        <v>0</v>
      </c>
      <c r="L348" s="147">
        <f>F4A!L347+F4B!L347</f>
        <v>0</v>
      </c>
      <c r="M348" s="147">
        <f>F4A!M347+F4B!M347</f>
        <v>0</v>
      </c>
      <c r="N348" s="147">
        <f>F4A!N347+F4B!N347</f>
        <v>0</v>
      </c>
      <c r="O348" s="147">
        <f>F4A!O347+F4B!O347</f>
        <v>0</v>
      </c>
      <c r="P348" s="147">
        <f>F4A!P347+F4B!P347</f>
        <v>0</v>
      </c>
      <c r="Q348" s="316">
        <f t="shared" si="55"/>
        <v>0</v>
      </c>
    </row>
    <row r="349" ht="15" hidden="1" spans="3:17">
      <c r="C349" s="55" t="s">
        <v>210</v>
      </c>
      <c r="D349" s="55" t="s">
        <v>188</v>
      </c>
      <c r="E349" s="147">
        <f>F4A!E348+F4B!E348</f>
        <v>0</v>
      </c>
      <c r="F349" s="147">
        <f>F4A!F348+F4B!F348</f>
        <v>0</v>
      </c>
      <c r="G349" s="147">
        <f>F4A!G348+F4B!G348</f>
        <v>0</v>
      </c>
      <c r="H349" s="147">
        <f>F4A!H348+F4B!H348</f>
        <v>0</v>
      </c>
      <c r="I349" s="147">
        <f>F4A!I348+F4B!I348</f>
        <v>0</v>
      </c>
      <c r="J349" s="147">
        <f>F4A!J348+F4B!J348</f>
        <v>0</v>
      </c>
      <c r="K349" s="147">
        <f>F4A!K348+F4B!K348</f>
        <v>0</v>
      </c>
      <c r="L349" s="147">
        <f>F4A!L348+F4B!L348</f>
        <v>0</v>
      </c>
      <c r="M349" s="147">
        <f>F4A!M348+F4B!M348</f>
        <v>0</v>
      </c>
      <c r="N349" s="147">
        <f>F4A!N348+F4B!N348</f>
        <v>0</v>
      </c>
      <c r="O349" s="147">
        <f>F4A!O348+F4B!O348</f>
        <v>0</v>
      </c>
      <c r="P349" s="147">
        <f>F4A!P348+F4B!P348</f>
        <v>0</v>
      </c>
      <c r="Q349" s="316">
        <f t="shared" si="55"/>
        <v>0</v>
      </c>
    </row>
    <row r="350" ht="15" hidden="1" spans="3:17">
      <c r="C350" s="55"/>
      <c r="D350" s="55"/>
      <c r="E350" s="147">
        <f>F4A!E349+F4B!E349</f>
        <v>0</v>
      </c>
      <c r="F350" s="147">
        <f>F4A!F349+F4B!F349</f>
        <v>0</v>
      </c>
      <c r="G350" s="147">
        <f>F4A!G349+F4B!G349</f>
        <v>0</v>
      </c>
      <c r="H350" s="147">
        <f>F4A!H349+F4B!H349</f>
        <v>0</v>
      </c>
      <c r="I350" s="147">
        <f>F4A!I349+F4B!I349</f>
        <v>0</v>
      </c>
      <c r="J350" s="147">
        <f>F4A!J349+F4B!J349</f>
        <v>0</v>
      </c>
      <c r="K350" s="147">
        <f>F4A!K349+F4B!K349</f>
        <v>0</v>
      </c>
      <c r="L350" s="147">
        <f>F4A!L349+F4B!L349</f>
        <v>0</v>
      </c>
      <c r="M350" s="147">
        <f>F4A!M349+F4B!M349</f>
        <v>0</v>
      </c>
      <c r="N350" s="147">
        <f>F4A!N349+F4B!N349</f>
        <v>0</v>
      </c>
      <c r="O350" s="147">
        <f>F4A!O349+F4B!O349</f>
        <v>0</v>
      </c>
      <c r="P350" s="147">
        <f>F4A!P349+F4B!P349</f>
        <v>0</v>
      </c>
      <c r="Q350" s="316">
        <f t="shared" si="55"/>
        <v>0</v>
      </c>
    </row>
    <row r="351" ht="15" hidden="1" spans="3:17">
      <c r="C351" s="55"/>
      <c r="D351" s="55"/>
      <c r="E351" s="147">
        <f>F4A!E350+F4B!E350</f>
        <v>0</v>
      </c>
      <c r="F351" s="147">
        <f>F4A!F350+F4B!F350</f>
        <v>0</v>
      </c>
      <c r="G351" s="147">
        <f>F4A!G350+F4B!G350</f>
        <v>0</v>
      </c>
      <c r="H351" s="147">
        <f>F4A!H350+F4B!H350</f>
        <v>0</v>
      </c>
      <c r="I351" s="147">
        <f>F4A!I350+F4B!I350</f>
        <v>0</v>
      </c>
      <c r="J351" s="147">
        <f>F4A!J350+F4B!J350</f>
        <v>0</v>
      </c>
      <c r="K351" s="147">
        <f>F4A!K350+F4B!K350</f>
        <v>0</v>
      </c>
      <c r="L351" s="147">
        <f>F4A!L350+F4B!L350</f>
        <v>0</v>
      </c>
      <c r="M351" s="147">
        <f>F4A!M350+F4B!M350</f>
        <v>0</v>
      </c>
      <c r="N351" s="147">
        <f>F4A!N350+F4B!N350</f>
        <v>0</v>
      </c>
      <c r="O351" s="147">
        <f>F4A!O350+F4B!O350</f>
        <v>0</v>
      </c>
      <c r="P351" s="147">
        <f>F4A!P350+F4B!P350</f>
        <v>0</v>
      </c>
      <c r="Q351" s="316">
        <f t="shared" si="55"/>
        <v>0</v>
      </c>
    </row>
    <row r="352" ht="15" hidden="1" spans="3:17">
      <c r="C352" s="55"/>
      <c r="D352" s="55"/>
      <c r="E352" s="147">
        <f>F4A!E351+F4B!E351</f>
        <v>0</v>
      </c>
      <c r="F352" s="147">
        <f>F4A!F351+F4B!F351</f>
        <v>0</v>
      </c>
      <c r="G352" s="147">
        <f>F4A!G351+F4B!G351</f>
        <v>0</v>
      </c>
      <c r="H352" s="147">
        <f>F4A!H351+F4B!H351</f>
        <v>0</v>
      </c>
      <c r="I352" s="147">
        <f>F4A!I351+F4B!I351</f>
        <v>0</v>
      </c>
      <c r="J352" s="147">
        <f>F4A!J351+F4B!J351</f>
        <v>0</v>
      </c>
      <c r="K352" s="147">
        <f>F4A!K351+F4B!K351</f>
        <v>0</v>
      </c>
      <c r="L352" s="147">
        <f>F4A!L351+F4B!L351</f>
        <v>0</v>
      </c>
      <c r="M352" s="147">
        <f>F4A!M351+F4B!M351</f>
        <v>0</v>
      </c>
      <c r="N352" s="147">
        <f>F4A!N351+F4B!N351</f>
        <v>0</v>
      </c>
      <c r="O352" s="147">
        <f>F4A!O351+F4B!O351</f>
        <v>0</v>
      </c>
      <c r="P352" s="147">
        <f>F4A!P351+F4B!P351</f>
        <v>0</v>
      </c>
      <c r="Q352" s="316">
        <f t="shared" si="55"/>
        <v>0</v>
      </c>
    </row>
    <row r="353" ht="15" hidden="1" spans="3:17">
      <c r="C353" s="55" t="s">
        <v>258</v>
      </c>
      <c r="D353" s="55" t="s">
        <v>258</v>
      </c>
      <c r="E353" s="147">
        <f>F4A!E352+F4B!E352</f>
        <v>0</v>
      </c>
      <c r="F353" s="147">
        <f>F4A!F352+F4B!F352</f>
        <v>0</v>
      </c>
      <c r="G353" s="147">
        <f>F4A!G352+F4B!G352</f>
        <v>0</v>
      </c>
      <c r="H353" s="147">
        <f>F4A!H352+F4B!H352</f>
        <v>0</v>
      </c>
      <c r="I353" s="147">
        <f>F4A!I352+F4B!I352</f>
        <v>0</v>
      </c>
      <c r="J353" s="147">
        <f>F4A!J352+F4B!J352</f>
        <v>0</v>
      </c>
      <c r="K353" s="147">
        <f>F4A!K352+F4B!K352</f>
        <v>0</v>
      </c>
      <c r="L353" s="147">
        <f>F4A!L352+F4B!L352</f>
        <v>0</v>
      </c>
      <c r="M353" s="147">
        <f>F4A!M352+F4B!M352</f>
        <v>0</v>
      </c>
      <c r="N353" s="147">
        <f>F4A!N352+F4B!N352</f>
        <v>0</v>
      </c>
      <c r="O353" s="147">
        <f>F4A!O352+F4B!O352</f>
        <v>0</v>
      </c>
      <c r="P353" s="147">
        <f>F4A!P352+F4B!P352</f>
        <v>0</v>
      </c>
      <c r="Q353" s="316">
        <f t="shared" si="55"/>
        <v>0</v>
      </c>
    </row>
    <row r="354" ht="15" hidden="1" spans="3:17">
      <c r="C354" s="537" t="s">
        <v>211</v>
      </c>
      <c r="D354" s="540"/>
      <c r="E354" s="316">
        <f>SUM(E338:E353)</f>
        <v>593.79</v>
      </c>
      <c r="F354" s="316">
        <f t="shared" ref="F354:P354" si="57">SUM(F338:F353)</f>
        <v>581.63</v>
      </c>
      <c r="G354" s="316">
        <f t="shared" si="57"/>
        <v>600.95</v>
      </c>
      <c r="H354" s="316">
        <f t="shared" si="57"/>
        <v>564.94263</v>
      </c>
      <c r="I354" s="316">
        <f t="shared" si="57"/>
        <v>568.165988</v>
      </c>
      <c r="J354" s="316">
        <f t="shared" si="57"/>
        <v>582.30789123</v>
      </c>
      <c r="K354" s="316">
        <f t="shared" si="57"/>
        <v>554.543657</v>
      </c>
      <c r="L354" s="316">
        <f t="shared" si="57"/>
        <v>570.7131205</v>
      </c>
      <c r="M354" s="316">
        <f t="shared" si="57"/>
        <v>571.2461435</v>
      </c>
      <c r="N354" s="316">
        <f t="shared" si="57"/>
        <v>577.3502795</v>
      </c>
      <c r="O354" s="316">
        <f t="shared" si="57"/>
        <v>584.6117175</v>
      </c>
      <c r="P354" s="316">
        <f t="shared" si="57"/>
        <v>823.7048445</v>
      </c>
      <c r="Q354" s="316">
        <f t="shared" si="55"/>
        <v>7173.95627173</v>
      </c>
    </row>
    <row r="355" ht="15" hidden="1" spans="3:17">
      <c r="C355" s="44" t="s">
        <v>219</v>
      </c>
      <c r="D355" s="45"/>
      <c r="E355" s="147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316">
        <f t="shared" ref="Q355:Q375" si="58">SUM(E355:P355)</f>
        <v>0</v>
      </c>
    </row>
    <row r="356" ht="15" hidden="1" spans="3:17">
      <c r="C356" s="55" t="s">
        <v>191</v>
      </c>
      <c r="D356" s="55" t="s">
        <v>192</v>
      </c>
      <c r="E356" s="147">
        <f>F4A!E355+F4B!E355</f>
        <v>355.61</v>
      </c>
      <c r="F356" s="147">
        <f>F4A!F355+F4B!F355</f>
        <v>344.54</v>
      </c>
      <c r="G356" s="147">
        <f>F4A!G355+F4B!G355</f>
        <v>351.58</v>
      </c>
      <c r="H356" s="147">
        <f>F4A!H355+F4B!H355</f>
        <v>334.120885</v>
      </c>
      <c r="I356" s="147">
        <f>F4A!I355+F4B!I355</f>
        <v>318.724166</v>
      </c>
      <c r="J356" s="147">
        <f>F4A!J355+F4B!J355</f>
        <v>332.409625</v>
      </c>
      <c r="K356" s="147">
        <f>F4A!K355+F4B!K355</f>
        <v>321.745552</v>
      </c>
      <c r="L356" s="147">
        <f>F4A!L355+F4B!L355</f>
        <v>344.509495</v>
      </c>
      <c r="M356" s="147">
        <f>F4A!M355+F4B!M355</f>
        <v>371.668269</v>
      </c>
      <c r="N356" s="147">
        <f>F4A!N355+F4B!N355</f>
        <v>377.86533</v>
      </c>
      <c r="O356" s="147">
        <f>F4A!O355+F4B!O355</f>
        <v>369.931735</v>
      </c>
      <c r="P356" s="147">
        <f>F4A!P355+F4B!P355</f>
        <v>488.370188</v>
      </c>
      <c r="Q356" s="316">
        <f t="shared" si="58"/>
        <v>4311.075245</v>
      </c>
    </row>
    <row r="357" ht="15" hidden="1" spans="3:17">
      <c r="C357" s="55" t="s">
        <v>193</v>
      </c>
      <c r="D357" s="55" t="s">
        <v>194</v>
      </c>
      <c r="E357" s="147">
        <f>F4A!E356+F4B!E356</f>
        <v>23.48</v>
      </c>
      <c r="F357" s="147">
        <f>F4A!F356+F4B!F356</f>
        <v>21.87</v>
      </c>
      <c r="G357" s="147">
        <f>F4A!G356+F4B!G356</f>
        <v>4.11</v>
      </c>
      <c r="H357" s="147">
        <f>F4A!H356+F4B!H356</f>
        <v>9.1813</v>
      </c>
      <c r="I357" s="147">
        <f>F4A!I356+F4B!I356</f>
        <v>13.3907</v>
      </c>
      <c r="J357" s="147">
        <f>F4A!J356+F4B!J356</f>
        <v>21.5588</v>
      </c>
      <c r="K357" s="147">
        <f>F4A!K356+F4B!K356</f>
        <v>16.9256</v>
      </c>
      <c r="L357" s="147">
        <f>F4A!L356+F4B!L356</f>
        <v>11.7192</v>
      </c>
      <c r="M357" s="147">
        <f>F4A!M356+F4B!M356</f>
        <v>15.059</v>
      </c>
      <c r="N357" s="147">
        <f>F4A!N356+F4B!N356</f>
        <v>21.8133</v>
      </c>
      <c r="O357" s="147">
        <f>F4A!O356+F4B!O356</f>
        <v>22.0713</v>
      </c>
      <c r="P357" s="147">
        <f>F4A!P356+F4B!P356</f>
        <v>28.2966</v>
      </c>
      <c r="Q357" s="316">
        <f t="shared" si="58"/>
        <v>209.4758</v>
      </c>
    </row>
    <row r="358" ht="15" hidden="1" spans="3:17">
      <c r="C358" s="55" t="s">
        <v>239</v>
      </c>
      <c r="D358" s="55" t="s">
        <v>196</v>
      </c>
      <c r="E358" s="147">
        <f>F4A!E357+F4B!E357</f>
        <v>4.44</v>
      </c>
      <c r="F358" s="147">
        <f>F4A!F357+F4B!F357</f>
        <v>4.5</v>
      </c>
      <c r="G358" s="147">
        <f>F4A!G357+F4B!G357</f>
        <v>4.76</v>
      </c>
      <c r="H358" s="147">
        <f>F4A!H357+F4B!H357</f>
        <v>3.749087</v>
      </c>
      <c r="I358" s="147">
        <f>F4A!I357+F4B!I357</f>
        <v>3.763473</v>
      </c>
      <c r="J358" s="147">
        <f>F4A!J357+F4B!J357</f>
        <v>3.895418</v>
      </c>
      <c r="K358" s="147">
        <f>F4A!K357+F4B!K357</f>
        <v>3.525431</v>
      </c>
      <c r="L358" s="147">
        <f>F4A!L357+F4B!L357</f>
        <v>3.251987</v>
      </c>
      <c r="M358" s="147">
        <f>F4A!M357+F4B!M357</f>
        <v>3.171337</v>
      </c>
      <c r="N358" s="147">
        <f>F4A!N357+F4B!N357</f>
        <v>3.256324</v>
      </c>
      <c r="O358" s="147">
        <f>F4A!O357+F4B!O357</f>
        <v>3.282163</v>
      </c>
      <c r="P358" s="147">
        <f>F4A!P357+F4B!P357</f>
        <v>4.647133</v>
      </c>
      <c r="Q358" s="316">
        <f t="shared" si="58"/>
        <v>46.242353</v>
      </c>
    </row>
    <row r="359" ht="15" hidden="1" spans="3:17">
      <c r="C359" s="55" t="s">
        <v>197</v>
      </c>
      <c r="D359" s="55" t="s">
        <v>198</v>
      </c>
      <c r="E359" s="147">
        <f>F4A!E358+F4B!E358</f>
        <v>0</v>
      </c>
      <c r="F359" s="147">
        <f>F4A!F358+F4B!F358</f>
        <v>0</v>
      </c>
      <c r="G359" s="147">
        <f>F4A!G358+F4B!G358</f>
        <v>0</v>
      </c>
      <c r="H359" s="147">
        <f>F4A!H358+F4B!H358</f>
        <v>0</v>
      </c>
      <c r="I359" s="147">
        <f>F4A!I358+F4B!I358</f>
        <v>0</v>
      </c>
      <c r="J359" s="147">
        <f>F4A!J358+F4B!J358</f>
        <v>0</v>
      </c>
      <c r="K359" s="147">
        <f>F4A!K358+F4B!K358</f>
        <v>0</v>
      </c>
      <c r="L359" s="147">
        <f>F4A!L358+F4B!L358</f>
        <v>0</v>
      </c>
      <c r="M359" s="147">
        <f>F4A!M358+F4B!M358</f>
        <v>0</v>
      </c>
      <c r="N359" s="147">
        <f>F4A!N358+F4B!N358</f>
        <v>0</v>
      </c>
      <c r="O359" s="147">
        <f>F4A!O358+F4B!O358</f>
        <v>0</v>
      </c>
      <c r="P359" s="147">
        <f>F4A!P358+F4B!P358</f>
        <v>0</v>
      </c>
      <c r="Q359" s="316">
        <f t="shared" ref="Q359" si="59">SUM(E359:P359)</f>
        <v>0</v>
      </c>
    </row>
    <row r="360" ht="15" hidden="1" spans="3:17">
      <c r="C360" s="55" t="s">
        <v>199</v>
      </c>
      <c r="D360" s="55" t="s">
        <v>200</v>
      </c>
      <c r="E360" s="147">
        <f>F4A!E359+F4B!E359</f>
        <v>3.57</v>
      </c>
      <c r="F360" s="147">
        <f>F4A!F359+F4B!F359</f>
        <v>5.83</v>
      </c>
      <c r="G360" s="147">
        <f>F4A!G359+F4B!G359</f>
        <v>5.74</v>
      </c>
      <c r="H360" s="147">
        <f>F4A!H359+F4B!H359</f>
        <v>5.25716</v>
      </c>
      <c r="I360" s="147">
        <f>F4A!I359+F4B!I359</f>
        <v>5.4137</v>
      </c>
      <c r="J360" s="147">
        <f>F4A!J359+F4B!J359</f>
        <v>5.14825</v>
      </c>
      <c r="K360" s="147">
        <f>F4A!K359+F4B!K359</f>
        <v>5.00233</v>
      </c>
      <c r="L360" s="147">
        <f>F4A!L359+F4B!L359</f>
        <v>4.48875</v>
      </c>
      <c r="M360" s="147">
        <f>F4A!M359+F4B!M359</f>
        <v>4.48381</v>
      </c>
      <c r="N360" s="147">
        <f>F4A!N359+F4B!N359</f>
        <v>4.56061</v>
      </c>
      <c r="O360" s="147">
        <f>F4A!O359+F4B!O359</f>
        <v>4.524071</v>
      </c>
      <c r="P360" s="147">
        <f>F4A!P359+F4B!P359</f>
        <v>6.913269</v>
      </c>
      <c r="Q360" s="316">
        <f t="shared" si="58"/>
        <v>60.93195</v>
      </c>
    </row>
    <row r="361" ht="15" hidden="1" spans="3:17">
      <c r="C361" s="55" t="s">
        <v>201</v>
      </c>
      <c r="D361" s="55" t="s">
        <v>240</v>
      </c>
      <c r="E361" s="147">
        <f>F4A!E360+F4B!E360</f>
        <v>58.74</v>
      </c>
      <c r="F361" s="147">
        <f>F4A!F360+F4B!F360</f>
        <v>42.43</v>
      </c>
      <c r="G361" s="147">
        <f>F4A!G360+F4B!G360</f>
        <v>27.15</v>
      </c>
      <c r="H361" s="147">
        <f>F4A!H360+F4B!H360</f>
        <v>32.4930164</v>
      </c>
      <c r="I361" s="147">
        <f>F4A!I360+F4B!I360</f>
        <v>257.61023215</v>
      </c>
      <c r="J361" s="147">
        <f>F4A!J360+F4B!J360</f>
        <v>145.6663161</v>
      </c>
      <c r="K361" s="147">
        <f>F4A!K360+F4B!K360</f>
        <v>165.33804903</v>
      </c>
      <c r="L361" s="147">
        <f>F4A!L360+F4B!L360</f>
        <v>143.7146327</v>
      </c>
      <c r="M361" s="147">
        <f>F4A!M360+F4B!M360</f>
        <v>135.38569923</v>
      </c>
      <c r="N361" s="147">
        <f>F4A!N360+F4B!N360</f>
        <v>199.60889899</v>
      </c>
      <c r="O361" s="147">
        <f>F4A!O360+F4B!O360</f>
        <v>202.17613159</v>
      </c>
      <c r="P361" s="147">
        <f>F4A!P360+F4B!P360</f>
        <v>232.03714568</v>
      </c>
      <c r="Q361" s="316">
        <f t="shared" si="58"/>
        <v>1642.35012187</v>
      </c>
    </row>
    <row r="362" ht="15" hidden="1" spans="3:17">
      <c r="C362" s="55" t="s">
        <v>203</v>
      </c>
      <c r="D362" s="55" t="s">
        <v>220</v>
      </c>
      <c r="E362" s="147">
        <f>F4A!E361+F4B!E361</f>
        <v>20.48</v>
      </c>
      <c r="F362" s="147">
        <f>F4A!F361+F4B!F361</f>
        <v>19.62</v>
      </c>
      <c r="G362" s="147">
        <f>F4A!G361+F4B!G361</f>
        <v>22.14</v>
      </c>
      <c r="H362" s="147">
        <f>F4A!H361+F4B!H361</f>
        <v>20.938</v>
      </c>
      <c r="I362" s="147">
        <f>F4A!I361+F4B!I361</f>
        <v>21.114</v>
      </c>
      <c r="J362" s="147">
        <f>F4A!J361+F4B!J361</f>
        <v>22.678</v>
      </c>
      <c r="K362" s="147">
        <f>F4A!K361+F4B!K361</f>
        <v>20.778</v>
      </c>
      <c r="L362" s="147">
        <f>F4A!L361+F4B!L361</f>
        <v>22.356</v>
      </c>
      <c r="M362" s="147">
        <f>F4A!M361+F4B!M361</f>
        <v>20.248</v>
      </c>
      <c r="N362" s="147">
        <f>F4A!N361+F4B!N361</f>
        <v>18.81</v>
      </c>
      <c r="O362" s="147">
        <f>F4A!O361+F4B!O361</f>
        <v>20.632</v>
      </c>
      <c r="P362" s="147">
        <f>F4A!P361+F4B!P361</f>
        <v>30.5945</v>
      </c>
      <c r="Q362" s="316">
        <f t="shared" si="58"/>
        <v>260.3885</v>
      </c>
    </row>
    <row r="363" ht="15" hidden="1" spans="3:17">
      <c r="C363" s="55" t="s">
        <v>241</v>
      </c>
      <c r="D363" s="55" t="s">
        <v>229</v>
      </c>
      <c r="E363" s="147">
        <f>F4A!E362+F4B!E362</f>
        <v>29.55</v>
      </c>
      <c r="F363" s="147">
        <f>F4A!F362+F4B!F362</f>
        <v>30.79</v>
      </c>
      <c r="G363" s="147">
        <f>F4A!G362+F4B!G362</f>
        <v>31.11</v>
      </c>
      <c r="H363" s="147">
        <f>F4A!H362+F4B!H362</f>
        <v>27.46177</v>
      </c>
      <c r="I363" s="147">
        <f>F4A!I362+F4B!I362</f>
        <v>28.1507</v>
      </c>
      <c r="J363" s="147">
        <f>F4A!J362+F4B!J362</f>
        <v>32.712257</v>
      </c>
      <c r="K363" s="147">
        <f>F4A!K362+F4B!K362</f>
        <v>29.063232</v>
      </c>
      <c r="L363" s="147">
        <f>F4A!L362+F4B!L362</f>
        <v>30.706796</v>
      </c>
      <c r="M363" s="147">
        <f>F4A!M362+F4B!M362</f>
        <v>31.742884</v>
      </c>
      <c r="N363" s="147">
        <f>F4A!N362+F4B!N362</f>
        <v>33.435977</v>
      </c>
      <c r="O363" s="147">
        <f>F4A!O362+F4B!O362</f>
        <v>33.870729</v>
      </c>
      <c r="P363" s="147">
        <f>F4A!P362+F4B!P362</f>
        <v>47.679836</v>
      </c>
      <c r="Q363" s="316">
        <f t="shared" si="58"/>
        <v>386.274181</v>
      </c>
    </row>
    <row r="364" ht="15" hidden="1" spans="3:17">
      <c r="C364" s="55" t="s">
        <v>259</v>
      </c>
      <c r="D364" s="55" t="s">
        <v>243</v>
      </c>
      <c r="E364" s="147">
        <f>F4A!E363+F4B!E363</f>
        <v>7.07</v>
      </c>
      <c r="F364" s="147">
        <f>F4A!F363+F4B!F363</f>
        <v>6.94</v>
      </c>
      <c r="G364" s="147">
        <f>F4A!G363+F4B!G363</f>
        <v>7.36</v>
      </c>
      <c r="H364" s="147">
        <f>F4A!H363+F4B!H363</f>
        <v>6.929584</v>
      </c>
      <c r="I364" s="147">
        <f>F4A!I363+F4B!I363</f>
        <v>7.084346</v>
      </c>
      <c r="J364" s="147">
        <f>F4A!J363+F4B!J363</f>
        <v>7.562948</v>
      </c>
      <c r="K364" s="147">
        <f>F4A!K363+F4B!K363</f>
        <v>7.142887</v>
      </c>
      <c r="L364" s="147">
        <f>F4A!L363+F4B!L363</f>
        <v>7.093945</v>
      </c>
      <c r="M364" s="147">
        <f>F4A!M363+F4B!M363</f>
        <v>7.170892</v>
      </c>
      <c r="N364" s="147">
        <f>F4A!N363+F4B!N363</f>
        <v>7.373449</v>
      </c>
      <c r="O364" s="147">
        <f>F4A!O363+F4B!O363</f>
        <v>7.508761</v>
      </c>
      <c r="P364" s="147">
        <f>F4A!P363+F4B!P363</f>
        <v>9.340473</v>
      </c>
      <c r="Q364" s="316">
        <f t="shared" ref="Q364" si="60">SUM(E364:P364)</f>
        <v>88.577285</v>
      </c>
    </row>
    <row r="365" ht="15" hidden="1" spans="3:17">
      <c r="C365" s="55" t="s">
        <v>205</v>
      </c>
      <c r="D365" s="55" t="s">
        <v>206</v>
      </c>
      <c r="E365" s="147">
        <f>F4A!E364+F4B!E364</f>
        <v>0</v>
      </c>
      <c r="F365" s="147">
        <f>F4A!F364+F4B!F364</f>
        <v>0</v>
      </c>
      <c r="G365" s="147">
        <f>F4A!G364+F4B!G364</f>
        <v>0</v>
      </c>
      <c r="H365" s="147">
        <f>F4A!H364+F4B!H364</f>
        <v>0</v>
      </c>
      <c r="I365" s="147">
        <f>F4A!I364+F4B!I364</f>
        <v>0</v>
      </c>
      <c r="J365" s="147">
        <f>F4A!J364+F4B!J364</f>
        <v>0</v>
      </c>
      <c r="K365" s="147">
        <f>F4A!K364+F4B!K364</f>
        <v>0</v>
      </c>
      <c r="L365" s="147">
        <f>F4A!L364+F4B!L364</f>
        <v>0</v>
      </c>
      <c r="M365" s="147">
        <f>F4A!M364+F4B!M364</f>
        <v>0</v>
      </c>
      <c r="N365" s="147">
        <f>F4A!N364+F4B!N364</f>
        <v>0</v>
      </c>
      <c r="O365" s="147">
        <f>F4A!O364+F4B!O364</f>
        <v>0</v>
      </c>
      <c r="P365" s="147">
        <f>F4A!P364+F4B!P364</f>
        <v>0</v>
      </c>
      <c r="Q365" s="316">
        <f t="shared" si="58"/>
        <v>0</v>
      </c>
    </row>
    <row r="366" ht="15" hidden="1" spans="3:17">
      <c r="C366" s="55" t="s">
        <v>207</v>
      </c>
      <c r="D366" s="55" t="s">
        <v>186</v>
      </c>
      <c r="E366" s="147">
        <f>F4A!E365+F4B!E365</f>
        <v>0</v>
      </c>
      <c r="F366" s="147">
        <f>F4A!F365+F4B!F365</f>
        <v>0</v>
      </c>
      <c r="G366" s="147">
        <f>F4A!G365+F4B!G365</f>
        <v>0</v>
      </c>
      <c r="H366" s="147">
        <f>F4A!H365+F4B!H365</f>
        <v>0</v>
      </c>
      <c r="I366" s="147">
        <f>F4A!I365+F4B!I365</f>
        <v>0</v>
      </c>
      <c r="J366" s="147">
        <f>F4A!J365+F4B!J365</f>
        <v>0</v>
      </c>
      <c r="K366" s="147">
        <f>F4A!K365+F4B!K365</f>
        <v>0</v>
      </c>
      <c r="L366" s="147">
        <f>F4A!L365+F4B!L365</f>
        <v>0</v>
      </c>
      <c r="M366" s="147">
        <f>F4A!M365+F4B!M365</f>
        <v>0</v>
      </c>
      <c r="N366" s="147">
        <f>F4A!N365+F4B!N365</f>
        <v>0</v>
      </c>
      <c r="O366" s="147">
        <f>F4A!O365+F4B!O365</f>
        <v>0</v>
      </c>
      <c r="P366" s="147">
        <f>F4A!P365+F4B!P365</f>
        <v>0</v>
      </c>
      <c r="Q366" s="316">
        <f t="shared" si="58"/>
        <v>0</v>
      </c>
    </row>
    <row r="367" ht="15" hidden="1" spans="3:17">
      <c r="C367" s="55" t="s">
        <v>208</v>
      </c>
      <c r="D367" s="55" t="s">
        <v>209</v>
      </c>
      <c r="E367" s="147">
        <f>F4A!E366+F4B!E366</f>
        <v>0</v>
      </c>
      <c r="F367" s="147">
        <f>F4A!F366+F4B!F366</f>
        <v>0</v>
      </c>
      <c r="G367" s="147">
        <f>F4A!G366+F4B!G366</f>
        <v>0</v>
      </c>
      <c r="H367" s="147">
        <f>F4A!H366+F4B!H366</f>
        <v>0</v>
      </c>
      <c r="I367" s="147">
        <f>F4A!I366+F4B!I366</f>
        <v>0</v>
      </c>
      <c r="J367" s="147">
        <f>F4A!J366+F4B!J366</f>
        <v>0</v>
      </c>
      <c r="K367" s="147">
        <f>F4A!K366+F4B!K366</f>
        <v>0</v>
      </c>
      <c r="L367" s="147">
        <f>F4A!L366+F4B!L366</f>
        <v>0</v>
      </c>
      <c r="M367" s="147">
        <f>F4A!M366+F4B!M366</f>
        <v>0</v>
      </c>
      <c r="N367" s="147">
        <f>F4A!N366+F4B!N366</f>
        <v>0</v>
      </c>
      <c r="O367" s="147">
        <f>F4A!O366+F4B!O366</f>
        <v>0</v>
      </c>
      <c r="P367" s="147">
        <f>F4A!P366+F4B!P366</f>
        <v>0</v>
      </c>
      <c r="Q367" s="316">
        <f t="shared" si="58"/>
        <v>0</v>
      </c>
    </row>
    <row r="368" ht="15" hidden="1" spans="3:17">
      <c r="C368" s="55" t="s">
        <v>210</v>
      </c>
      <c r="D368" s="55" t="s">
        <v>188</v>
      </c>
      <c r="E368" s="147">
        <f>F4A!E367+F4B!E367</f>
        <v>0</v>
      </c>
      <c r="F368" s="147">
        <f>F4A!F367+F4B!F367</f>
        <v>0</v>
      </c>
      <c r="G368" s="147">
        <f>F4A!G367+F4B!G367</f>
        <v>0</v>
      </c>
      <c r="H368" s="147">
        <f>F4A!H367+F4B!H367</f>
        <v>0</v>
      </c>
      <c r="I368" s="147">
        <f>F4A!I367+F4B!I367</f>
        <v>0</v>
      </c>
      <c r="J368" s="147">
        <f>F4A!J367+F4B!J367</f>
        <v>0</v>
      </c>
      <c r="K368" s="147">
        <f>F4A!K367+F4B!K367</f>
        <v>0</v>
      </c>
      <c r="L368" s="147">
        <f>F4A!L367+F4B!L367</f>
        <v>0</v>
      </c>
      <c r="M368" s="147">
        <f>F4A!M367+F4B!M367</f>
        <v>0</v>
      </c>
      <c r="N368" s="147">
        <f>F4A!N367+F4B!N367</f>
        <v>0</v>
      </c>
      <c r="O368" s="147">
        <f>F4A!O367+F4B!O367</f>
        <v>0</v>
      </c>
      <c r="P368" s="147">
        <f>F4A!P367+F4B!P367</f>
        <v>0</v>
      </c>
      <c r="Q368" s="316">
        <f t="shared" si="58"/>
        <v>0</v>
      </c>
    </row>
    <row r="369" ht="15" hidden="1" spans="3:17">
      <c r="C369" s="55"/>
      <c r="D369" s="55"/>
      <c r="E369" s="147">
        <f>F4A!E368+F4B!E368</f>
        <v>0</v>
      </c>
      <c r="F369" s="147">
        <f>F4A!F368+F4B!F368</f>
        <v>0</v>
      </c>
      <c r="G369" s="147">
        <f>F4A!G368+F4B!G368</f>
        <v>0</v>
      </c>
      <c r="H369" s="147">
        <f>F4A!H368+F4B!H368</f>
        <v>0</v>
      </c>
      <c r="I369" s="147">
        <f>F4A!I368+F4B!I368</f>
        <v>0</v>
      </c>
      <c r="J369" s="147">
        <f>F4A!J368+F4B!J368</f>
        <v>0</v>
      </c>
      <c r="K369" s="147">
        <f>F4A!K368+F4B!K368</f>
        <v>0</v>
      </c>
      <c r="L369" s="147">
        <f>F4A!L368+F4B!L368</f>
        <v>0</v>
      </c>
      <c r="M369" s="147">
        <f>F4A!M368+F4B!M368</f>
        <v>0</v>
      </c>
      <c r="N369" s="147">
        <f>F4A!N368+F4B!N368</f>
        <v>0</v>
      </c>
      <c r="O369" s="147">
        <f>F4A!O368+F4B!O368</f>
        <v>0</v>
      </c>
      <c r="P369" s="147">
        <f>F4A!P368+F4B!P368</f>
        <v>0</v>
      </c>
      <c r="Q369" s="316">
        <f t="shared" si="58"/>
        <v>0</v>
      </c>
    </row>
    <row r="370" ht="15" hidden="1" spans="3:17">
      <c r="C370" s="55"/>
      <c r="D370" s="55"/>
      <c r="E370" s="147">
        <f>F4A!E369+F4B!E369</f>
        <v>0</v>
      </c>
      <c r="F370" s="147">
        <f>F4A!F369+F4B!F369</f>
        <v>0</v>
      </c>
      <c r="G370" s="147">
        <f>F4A!G369+F4B!G369</f>
        <v>0</v>
      </c>
      <c r="H370" s="147">
        <f>F4A!H369+F4B!H369</f>
        <v>0</v>
      </c>
      <c r="I370" s="147">
        <f>F4A!I369+F4B!I369</f>
        <v>0</v>
      </c>
      <c r="J370" s="147">
        <f>F4A!J369+F4B!J369</f>
        <v>0</v>
      </c>
      <c r="K370" s="147">
        <f>F4A!K369+F4B!K369</f>
        <v>0</v>
      </c>
      <c r="L370" s="147">
        <f>F4A!L369+F4B!L369</f>
        <v>0</v>
      </c>
      <c r="M370" s="147">
        <f>F4A!M369+F4B!M369</f>
        <v>0</v>
      </c>
      <c r="N370" s="147">
        <f>F4A!N369+F4B!N369</f>
        <v>0</v>
      </c>
      <c r="O370" s="147">
        <f>F4A!O369+F4B!O369</f>
        <v>0</v>
      </c>
      <c r="P370" s="147">
        <f>F4A!P369+F4B!P369</f>
        <v>0</v>
      </c>
      <c r="Q370" s="316">
        <f t="shared" si="58"/>
        <v>0</v>
      </c>
    </row>
    <row r="371" ht="15" hidden="1" spans="3:17">
      <c r="C371" s="55"/>
      <c r="D371" s="55"/>
      <c r="E371" s="147">
        <f>F4A!E370+F4B!E370</f>
        <v>0</v>
      </c>
      <c r="F371" s="147">
        <f>F4A!F370+F4B!F370</f>
        <v>0</v>
      </c>
      <c r="G371" s="147">
        <f>F4A!G370+F4B!G370</f>
        <v>0</v>
      </c>
      <c r="H371" s="147">
        <f>F4A!H370+F4B!H370</f>
        <v>0</v>
      </c>
      <c r="I371" s="147">
        <f>F4A!I370+F4B!I370</f>
        <v>0</v>
      </c>
      <c r="J371" s="147">
        <f>F4A!J370+F4B!J370</f>
        <v>0</v>
      </c>
      <c r="K371" s="147">
        <f>F4A!K370+F4B!K370</f>
        <v>0</v>
      </c>
      <c r="L371" s="147">
        <f>F4A!L370+F4B!L370</f>
        <v>0</v>
      </c>
      <c r="M371" s="147">
        <f>F4A!M370+F4B!M370</f>
        <v>0</v>
      </c>
      <c r="N371" s="147">
        <f>F4A!N370+F4B!N370</f>
        <v>0</v>
      </c>
      <c r="O371" s="147">
        <f>F4A!O370+F4B!O370</f>
        <v>0</v>
      </c>
      <c r="P371" s="147">
        <f>F4A!P370+F4B!P370</f>
        <v>0</v>
      </c>
      <c r="Q371" s="316">
        <f t="shared" si="58"/>
        <v>0</v>
      </c>
    </row>
    <row r="372" ht="15" hidden="1" spans="3:17">
      <c r="C372" s="55" t="s">
        <v>258</v>
      </c>
      <c r="D372" s="55" t="s">
        <v>258</v>
      </c>
      <c r="E372" s="147">
        <f>F4A!E371+F4B!E371</f>
        <v>0</v>
      </c>
      <c r="F372" s="147">
        <f>F4A!F371+F4B!F371</f>
        <v>0</v>
      </c>
      <c r="G372" s="147">
        <f>F4A!G371+F4B!G371</f>
        <v>0</v>
      </c>
      <c r="H372" s="147">
        <f>F4A!H371+F4B!H371</f>
        <v>0</v>
      </c>
      <c r="I372" s="147">
        <f>F4A!I371+F4B!I371</f>
        <v>0</v>
      </c>
      <c r="J372" s="147">
        <f>F4A!J371+F4B!J371</f>
        <v>0</v>
      </c>
      <c r="K372" s="147">
        <f>F4A!K371+F4B!K371</f>
        <v>0</v>
      </c>
      <c r="L372" s="147">
        <f>F4A!L371+F4B!L371</f>
        <v>0</v>
      </c>
      <c r="M372" s="147">
        <f>F4A!M371+F4B!M371</f>
        <v>0</v>
      </c>
      <c r="N372" s="147">
        <f>F4A!N371+F4B!N371</f>
        <v>0</v>
      </c>
      <c r="O372" s="147">
        <f>F4A!O371+F4B!O371</f>
        <v>0</v>
      </c>
      <c r="P372" s="147">
        <f>F4A!P371+F4B!P371</f>
        <v>0</v>
      </c>
      <c r="Q372" s="316">
        <f t="shared" si="58"/>
        <v>0</v>
      </c>
    </row>
    <row r="373" ht="15" hidden="1" spans="3:17">
      <c r="C373" s="537" t="s">
        <v>211</v>
      </c>
      <c r="D373" s="540"/>
      <c r="E373" s="316">
        <f t="shared" ref="E373:P373" si="61">SUM(E356:E372)</f>
        <v>502.94</v>
      </c>
      <c r="F373" s="316">
        <f t="shared" si="61"/>
        <v>476.52</v>
      </c>
      <c r="G373" s="316">
        <f t="shared" si="61"/>
        <v>453.95</v>
      </c>
      <c r="H373" s="316">
        <f t="shared" si="61"/>
        <v>440.1308024</v>
      </c>
      <c r="I373" s="316">
        <f t="shared" si="61"/>
        <v>655.25131715</v>
      </c>
      <c r="J373" s="316">
        <f t="shared" si="61"/>
        <v>571.6316141</v>
      </c>
      <c r="K373" s="316">
        <f t="shared" si="61"/>
        <v>569.52108103</v>
      </c>
      <c r="L373" s="316">
        <f t="shared" si="61"/>
        <v>567.8408057</v>
      </c>
      <c r="M373" s="316">
        <f t="shared" si="61"/>
        <v>588.92989123</v>
      </c>
      <c r="N373" s="316">
        <f t="shared" si="61"/>
        <v>666.72388899</v>
      </c>
      <c r="O373" s="316">
        <f t="shared" si="61"/>
        <v>663.99689059</v>
      </c>
      <c r="P373" s="316">
        <f t="shared" si="61"/>
        <v>847.87914468</v>
      </c>
      <c r="Q373" s="316">
        <f t="shared" si="58"/>
        <v>7005.31543587</v>
      </c>
    </row>
    <row r="374" ht="15" hidden="1" spans="3:17">
      <c r="C374" s="537" t="s">
        <v>223</v>
      </c>
      <c r="D374" s="540"/>
      <c r="E374" s="316">
        <f t="shared" ref="E374:P374" si="62">E373+E354+E336</f>
        <v>1672.492178</v>
      </c>
      <c r="F374" s="316">
        <f t="shared" si="62"/>
        <v>1603.564464</v>
      </c>
      <c r="G374" s="316">
        <f t="shared" si="62"/>
        <v>1626.96743</v>
      </c>
      <c r="H374" s="316">
        <f t="shared" si="62"/>
        <v>1498.56721227</v>
      </c>
      <c r="I374" s="316">
        <f t="shared" si="62"/>
        <v>1737.1669406</v>
      </c>
      <c r="J374" s="316">
        <f t="shared" si="62"/>
        <v>1686.9106751</v>
      </c>
      <c r="K374" s="316">
        <f t="shared" si="62"/>
        <v>1629.15368469</v>
      </c>
      <c r="L374" s="316">
        <f t="shared" si="62"/>
        <v>1660.33905239</v>
      </c>
      <c r="M374" s="316">
        <f t="shared" si="62"/>
        <v>1682.72206492</v>
      </c>
      <c r="N374" s="316">
        <f t="shared" si="62"/>
        <v>1780.80335642</v>
      </c>
      <c r="O374" s="316">
        <f t="shared" si="62"/>
        <v>1787.08984515</v>
      </c>
      <c r="P374" s="316">
        <f t="shared" si="62"/>
        <v>2434.41615927</v>
      </c>
      <c r="Q374" s="316">
        <f t="shared" si="58"/>
        <v>20800.19306281</v>
      </c>
    </row>
    <row r="375" ht="15" hidden="1" spans="3:17">
      <c r="C375" s="537" t="s">
        <v>224</v>
      </c>
      <c r="D375" s="540"/>
      <c r="E375" s="316">
        <f t="shared" ref="E375:P375" si="63">E374+E319</f>
        <v>4409.06232357848</v>
      </c>
      <c r="F375" s="316">
        <f t="shared" si="63"/>
        <v>3699.791359472</v>
      </c>
      <c r="G375" s="316">
        <f t="shared" si="63"/>
        <v>3488.46195965853</v>
      </c>
      <c r="H375" s="316">
        <f t="shared" si="63"/>
        <v>3412.85704879</v>
      </c>
      <c r="I375" s="316">
        <f t="shared" si="63"/>
        <v>3912.0263405</v>
      </c>
      <c r="J375" s="316">
        <f t="shared" si="63"/>
        <v>3917.12927121</v>
      </c>
      <c r="K375" s="316">
        <f t="shared" si="63"/>
        <v>3441.49270365761</v>
      </c>
      <c r="L375" s="316">
        <f t="shared" si="63"/>
        <v>3346.69064624862</v>
      </c>
      <c r="M375" s="316">
        <f t="shared" si="63"/>
        <v>3832.15722597042</v>
      </c>
      <c r="N375" s="316">
        <f t="shared" si="63"/>
        <v>4228.77238137091</v>
      </c>
      <c r="O375" s="316">
        <f t="shared" si="63"/>
        <v>4378.15613554008</v>
      </c>
      <c r="P375" s="316">
        <f t="shared" si="63"/>
        <v>5484.10330302</v>
      </c>
      <c r="Q375" s="316">
        <f t="shared" si="58"/>
        <v>47550.7006990167</v>
      </c>
    </row>
    <row r="376" ht="15" hidden="1" spans="3:17">
      <c r="C376" s="3"/>
      <c r="D376" s="3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</row>
    <row r="377" ht="15" hidden="1" spans="3:17">
      <c r="C377" s="14"/>
      <c r="Q377" s="3" t="s">
        <v>236</v>
      </c>
    </row>
    <row r="378" ht="15" spans="3:17">
      <c r="C378" s="658" t="s">
        <v>159</v>
      </c>
      <c r="D378" s="873"/>
      <c r="E378" s="881" t="s">
        <v>164</v>
      </c>
      <c r="F378" s="881"/>
      <c r="G378" s="881"/>
      <c r="H378" s="881"/>
      <c r="I378" s="881"/>
      <c r="J378" s="881"/>
      <c r="K378" s="881"/>
      <c r="L378" s="881"/>
      <c r="M378" s="881"/>
      <c r="N378" s="881"/>
      <c r="O378" s="881"/>
      <c r="P378" s="881"/>
      <c r="Q378" s="881"/>
    </row>
    <row r="379" ht="15" spans="3:17">
      <c r="C379" s="660"/>
      <c r="D379" s="874"/>
      <c r="E379" s="135" t="s">
        <v>246</v>
      </c>
      <c r="F379" s="135" t="s">
        <v>247</v>
      </c>
      <c r="G379" s="135" t="s">
        <v>248</v>
      </c>
      <c r="H379" s="135" t="s">
        <v>249</v>
      </c>
      <c r="I379" s="135" t="s">
        <v>250</v>
      </c>
      <c r="J379" s="135" t="s">
        <v>251</v>
      </c>
      <c r="K379" s="135" t="s">
        <v>252</v>
      </c>
      <c r="L379" s="135" t="s">
        <v>253</v>
      </c>
      <c r="M379" s="135" t="s">
        <v>254</v>
      </c>
      <c r="N379" s="135" t="s">
        <v>255</v>
      </c>
      <c r="O379" s="135" t="s">
        <v>256</v>
      </c>
      <c r="P379" s="135" t="s">
        <v>257</v>
      </c>
      <c r="Q379" s="135" t="s">
        <v>97</v>
      </c>
    </row>
    <row r="380" ht="15" spans="3:17">
      <c r="C380" s="662"/>
      <c r="D380" s="875"/>
      <c r="E380" s="135" t="s">
        <v>130</v>
      </c>
      <c r="F380" s="135" t="s">
        <v>130</v>
      </c>
      <c r="G380" s="135" t="s">
        <v>130</v>
      </c>
      <c r="H380" s="135" t="s">
        <v>130</v>
      </c>
      <c r="I380" s="135" t="s">
        <v>130</v>
      </c>
      <c r="J380" s="135" t="s">
        <v>130</v>
      </c>
      <c r="K380" s="135" t="s">
        <v>130</v>
      </c>
      <c r="L380" s="135" t="s">
        <v>130</v>
      </c>
      <c r="M380" s="135" t="s">
        <v>130</v>
      </c>
      <c r="N380" s="135" t="s">
        <v>130</v>
      </c>
      <c r="O380" s="135" t="s">
        <v>130</v>
      </c>
      <c r="P380" s="135" t="s">
        <v>130</v>
      </c>
      <c r="Q380" s="135" t="s">
        <v>131</v>
      </c>
    </row>
    <row r="381" ht="15" spans="3:17">
      <c r="C381" s="44" t="s">
        <v>170</v>
      </c>
      <c r="D381" s="45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316">
        <f>SUM(E381:P381)</f>
        <v>0</v>
      </c>
    </row>
    <row r="382" ht="15" spans="3:17">
      <c r="C382" s="47" t="s">
        <v>171</v>
      </c>
      <c r="D382" s="47" t="s">
        <v>172</v>
      </c>
      <c r="E382" s="147">
        <f>F4A!E381+F4B!E381</f>
        <v>979.833323</v>
      </c>
      <c r="F382" s="147">
        <f>F4A!F381+F4B!F381</f>
        <v>1179.125271</v>
      </c>
      <c r="G382" s="147">
        <f>F4A!G381+F4B!G381</f>
        <v>1050.9528675</v>
      </c>
      <c r="H382" s="147">
        <f>F4A!H381+F4B!H381</f>
        <v>823.852195</v>
      </c>
      <c r="I382" s="147">
        <f>F4A!I381+F4B!I381</f>
        <v>942.718718</v>
      </c>
      <c r="J382" s="147">
        <f>F4A!J381+F4B!J381</f>
        <v>873.6557075</v>
      </c>
      <c r="K382" s="147">
        <f>F4A!K381+F4B!K381</f>
        <v>864.3465265</v>
      </c>
      <c r="L382" s="147">
        <f>F4A!L381+F4B!L381</f>
        <v>800.6604215</v>
      </c>
      <c r="M382" s="147">
        <f>F4A!M381+F4B!M381</f>
        <v>710.2218347</v>
      </c>
      <c r="N382" s="147">
        <f>F4A!N381+F4B!N381</f>
        <v>801.539299</v>
      </c>
      <c r="O382" s="147">
        <f>F4A!O381+F4B!O381</f>
        <v>759.2039685</v>
      </c>
      <c r="P382" s="147">
        <f>F4A!P381+F4B!P381</f>
        <v>1041.10057325</v>
      </c>
      <c r="Q382" s="316">
        <f t="shared" ref="Q382:Q395" si="64">SUM(E382:P382)</f>
        <v>10827.21070545</v>
      </c>
    </row>
    <row r="383" ht="15" spans="3:17">
      <c r="C383" s="55" t="s">
        <v>173</v>
      </c>
      <c r="D383" s="55" t="s">
        <v>174</v>
      </c>
      <c r="E383" s="147">
        <f>F4A!E382+F4B!E382</f>
        <v>299.95327925</v>
      </c>
      <c r="F383" s="147">
        <f>F4A!F382+F4B!F382</f>
        <v>344.29363547</v>
      </c>
      <c r="G383" s="147">
        <f>F4A!G382+F4B!G382</f>
        <v>316.5308635</v>
      </c>
      <c r="H383" s="147">
        <f>F4A!H382+F4B!H382</f>
        <v>269.099578</v>
      </c>
      <c r="I383" s="147">
        <f>F4A!I382+F4B!I382</f>
        <v>304.82621735</v>
      </c>
      <c r="J383" s="147">
        <f>F4A!J382+F4B!J382</f>
        <v>282.151531</v>
      </c>
      <c r="K383" s="147">
        <f>F4A!K382+F4B!K382</f>
        <v>288.990846</v>
      </c>
      <c r="L383" s="147">
        <f>F4A!L382+F4B!L382</f>
        <v>273.465352</v>
      </c>
      <c r="M383" s="147">
        <f>F4A!M382+F4B!M382</f>
        <v>252.170298</v>
      </c>
      <c r="N383" s="147">
        <f>F4A!N382+F4B!N382</f>
        <v>276.0549455</v>
      </c>
      <c r="O383" s="147">
        <f>F4A!O382+F4B!O382</f>
        <v>275.603935</v>
      </c>
      <c r="P383" s="147">
        <f>F4A!P382+F4B!P382</f>
        <v>340.7192435</v>
      </c>
      <c r="Q383" s="316">
        <f t="shared" si="64"/>
        <v>3523.85972457</v>
      </c>
    </row>
    <row r="384" ht="15" spans="3:17">
      <c r="C384" s="55" t="s">
        <v>175</v>
      </c>
      <c r="D384" s="55" t="s">
        <v>176</v>
      </c>
      <c r="E384" s="147">
        <f>F4A!E383+F4B!E383</f>
        <v>79.7589609999999</v>
      </c>
      <c r="F384" s="147">
        <f>F4A!F383+F4B!F383</f>
        <v>86.364798</v>
      </c>
      <c r="G384" s="147">
        <f>F4A!G383+F4B!G383</f>
        <v>81.628037</v>
      </c>
      <c r="H384" s="147">
        <f>F4A!H383+F4B!H383</f>
        <v>76.706924</v>
      </c>
      <c r="I384" s="147">
        <f>F4A!I383+F4B!I383</f>
        <v>82.06121</v>
      </c>
      <c r="J384" s="147">
        <f>F4A!J383+F4B!J383</f>
        <v>76.1152520000001</v>
      </c>
      <c r="K384" s="147">
        <f>F4A!K383+F4B!K383</f>
        <v>77.8585809999999</v>
      </c>
      <c r="L384" s="147">
        <f>F4A!L383+F4B!L383</f>
        <v>80.066399</v>
      </c>
      <c r="M384" s="147">
        <f>F4A!M383+F4B!M383</f>
        <v>88.7314900000001</v>
      </c>
      <c r="N384" s="147">
        <f>F4A!N383+F4B!N383</f>
        <v>86.204375</v>
      </c>
      <c r="O384" s="147">
        <f>F4A!O383+F4B!O383</f>
        <v>79.339746</v>
      </c>
      <c r="P384" s="147">
        <f>F4A!P383+F4B!P383</f>
        <v>88.44</v>
      </c>
      <c r="Q384" s="316">
        <f t="shared" si="64"/>
        <v>983.275773</v>
      </c>
    </row>
    <row r="385" ht="15" spans="3:17">
      <c r="C385" s="55" t="s">
        <v>177</v>
      </c>
      <c r="D385" s="55" t="s">
        <v>178</v>
      </c>
      <c r="E385" s="147">
        <f>F4A!E384+F4B!E384</f>
        <v>0.848615</v>
      </c>
      <c r="F385" s="147">
        <f>F4A!F384+F4B!F384</f>
        <v>0.886062</v>
      </c>
      <c r="G385" s="147">
        <f>F4A!G384+F4B!G384</f>
        <v>0.782066</v>
      </c>
      <c r="H385" s="147">
        <f>F4A!H384+F4B!H384</f>
        <v>0.757177</v>
      </c>
      <c r="I385" s="147">
        <f>F4A!I384+F4B!I384</f>
        <v>0.804778</v>
      </c>
      <c r="J385" s="147">
        <f>F4A!J384+F4B!J384</f>
        <v>0.754882</v>
      </c>
      <c r="K385" s="147">
        <f>F4A!K384+F4B!K384</f>
        <v>0.783993</v>
      </c>
      <c r="L385" s="147">
        <f>F4A!L384+F4B!L384</f>
        <v>0.737626</v>
      </c>
      <c r="M385" s="147">
        <f>F4A!M384+F4B!M384</f>
        <v>0.779551</v>
      </c>
      <c r="N385" s="147">
        <f>F4A!N384+F4B!N384</f>
        <v>0.808689</v>
      </c>
      <c r="O385" s="147">
        <f>F4A!O384+F4B!O384</f>
        <v>0.727212</v>
      </c>
      <c r="P385" s="147">
        <f>F4A!P384+F4B!P384</f>
        <v>0.84</v>
      </c>
      <c r="Q385" s="316">
        <f t="shared" si="64"/>
        <v>9.510651</v>
      </c>
    </row>
    <row r="386" ht="15" spans="3:17">
      <c r="C386" s="55" t="s">
        <v>179</v>
      </c>
      <c r="D386" s="55" t="s">
        <v>180</v>
      </c>
      <c r="E386" s="147">
        <f>F4A!E385+F4B!E385</f>
        <v>1266.95010928518</v>
      </c>
      <c r="F386" s="147">
        <f>F4A!F385+F4B!F385</f>
        <v>492.193237403279</v>
      </c>
      <c r="G386" s="147">
        <f>F4A!G385+F4B!G385</f>
        <v>634.453835266266</v>
      </c>
      <c r="H386" s="147">
        <f>F4A!H385+F4B!H385</f>
        <v>979.893971825415</v>
      </c>
      <c r="I386" s="147">
        <f>F4A!I385+F4B!I385</f>
        <v>1640.44173852728</v>
      </c>
      <c r="J386" s="147">
        <f>F4A!J385+F4B!J385</f>
        <v>1234.67620518555</v>
      </c>
      <c r="K386" s="147">
        <f>F4A!K385+F4B!K385</f>
        <v>1811.8894396692</v>
      </c>
      <c r="L386" s="147">
        <f>F4A!L385+F4B!L385</f>
        <v>840.616979274728</v>
      </c>
      <c r="M386" s="147">
        <f>F4A!M385+F4B!M385</f>
        <v>1191.21261654491</v>
      </c>
      <c r="N386" s="147">
        <f>F4A!N385+F4B!N385</f>
        <v>1657.83421070719</v>
      </c>
      <c r="O386" s="147">
        <f>F4A!O385+F4B!O385</f>
        <v>1877.45986339152</v>
      </c>
      <c r="P386" s="147">
        <f>F4A!P385+F4B!P385</f>
        <v>2079.39</v>
      </c>
      <c r="Q386" s="316">
        <f t="shared" si="64"/>
        <v>15707.0122070805</v>
      </c>
    </row>
    <row r="387" ht="15" spans="3:17">
      <c r="C387" s="55" t="s">
        <v>181</v>
      </c>
      <c r="D387" s="55" t="s">
        <v>182</v>
      </c>
      <c r="E387" s="147">
        <f>F4A!E386+F4B!E386</f>
        <v>40.720597</v>
      </c>
      <c r="F387" s="147">
        <f>F4A!F386+F4B!F386</f>
        <v>42.393444</v>
      </c>
      <c r="G387" s="147">
        <f>F4A!G386+F4B!G386</f>
        <v>39.64402</v>
      </c>
      <c r="H387" s="147">
        <f>F4A!H386+F4B!H386</f>
        <v>39.430268</v>
      </c>
      <c r="I387" s="147">
        <f>F4A!I386+F4B!I386</f>
        <v>41.998558</v>
      </c>
      <c r="J387" s="147">
        <f>F4A!J386+F4B!J386</f>
        <v>40.215241</v>
      </c>
      <c r="K387" s="147">
        <f>F4A!K386+F4B!K386</f>
        <v>42.71799225</v>
      </c>
      <c r="L387" s="147">
        <f>F4A!L386+F4B!L386</f>
        <v>43.860212</v>
      </c>
      <c r="M387" s="147">
        <f>F4A!M386+F4B!M386</f>
        <v>43.556689</v>
      </c>
      <c r="N387" s="147">
        <f>F4A!N386+F4B!N386</f>
        <v>44.421229</v>
      </c>
      <c r="O387" s="147">
        <f>F4A!O386+F4B!O386</f>
        <v>41.10123</v>
      </c>
      <c r="P387" s="147">
        <f>F4A!P386+F4B!P386</f>
        <v>45.042973</v>
      </c>
      <c r="Q387" s="316">
        <f t="shared" si="64"/>
        <v>505.10245325</v>
      </c>
    </row>
    <row r="388" ht="15" spans="3:17">
      <c r="C388" s="55" t="s">
        <v>183</v>
      </c>
      <c r="D388" s="55" t="s">
        <v>184</v>
      </c>
      <c r="E388" s="147">
        <f>F4A!E387+F4B!E387</f>
        <v>7.871618</v>
      </c>
      <c r="F388" s="147">
        <f>F4A!F387+F4B!F387</f>
        <v>6.438644</v>
      </c>
      <c r="G388" s="147">
        <f>F4A!G387+F4B!G387</f>
        <v>7.633369</v>
      </c>
      <c r="H388" s="147">
        <f>F4A!H387+F4B!H387</f>
        <v>7.744419</v>
      </c>
      <c r="I388" s="147">
        <f>F4A!I387+F4B!I387</f>
        <v>8.981126</v>
      </c>
      <c r="J388" s="147">
        <f>F4A!J387+F4B!J387</f>
        <v>8.335953</v>
      </c>
      <c r="K388" s="147">
        <f>F4A!K387+F4B!K387</f>
        <v>6.910908</v>
      </c>
      <c r="L388" s="147">
        <f>F4A!L387+F4B!L387</f>
        <v>7.983732</v>
      </c>
      <c r="M388" s="147">
        <f>F4A!M387+F4B!M387</f>
        <v>7.105351</v>
      </c>
      <c r="N388" s="147">
        <f>F4A!N387+F4B!N387</f>
        <v>7.278144</v>
      </c>
      <c r="O388" s="147">
        <f>F4A!O387+F4B!O387</f>
        <v>8.019773</v>
      </c>
      <c r="P388" s="147">
        <f>F4A!P387+F4B!P387</f>
        <v>10.243793</v>
      </c>
      <c r="Q388" s="316">
        <f t="shared" si="64"/>
        <v>94.54683</v>
      </c>
    </row>
    <row r="389" ht="15" spans="3:17">
      <c r="C389" s="55" t="s">
        <v>185</v>
      </c>
      <c r="D389" s="55" t="s">
        <v>186</v>
      </c>
      <c r="E389" s="147">
        <f>F4A!E388+F4B!E388</f>
        <v>8.949712</v>
      </c>
      <c r="F389" s="147">
        <f>F4A!F388+F4B!F388</f>
        <v>10.139776</v>
      </c>
      <c r="G389" s="147">
        <f>F4A!G388+F4B!G388</f>
        <v>9.548661</v>
      </c>
      <c r="H389" s="147">
        <f>F4A!H388+F4B!H388</f>
        <v>8.274876</v>
      </c>
      <c r="I389" s="147">
        <f>F4A!I388+F4B!I388</f>
        <v>9.496726</v>
      </c>
      <c r="J389" s="147">
        <f>F4A!J388+F4B!J388</f>
        <v>8.88412</v>
      </c>
      <c r="K389" s="147">
        <f>F4A!K388+F4B!K388</f>
        <v>9.257893</v>
      </c>
      <c r="L389" s="147">
        <f>F4A!L388+F4B!L388</f>
        <v>8.903807</v>
      </c>
      <c r="M389" s="147">
        <f>F4A!M388+F4B!M388</f>
        <v>8.853159</v>
      </c>
      <c r="N389" s="147">
        <f>F4A!N388+F4B!N388</f>
        <v>9.808557</v>
      </c>
      <c r="O389" s="147">
        <f>F4A!O388+F4B!O388</f>
        <v>9.524462</v>
      </c>
      <c r="P389" s="147">
        <f>F4A!P388+F4B!P388</f>
        <v>11.792013</v>
      </c>
      <c r="Q389" s="316">
        <f t="shared" si="64"/>
        <v>113.433762</v>
      </c>
    </row>
    <row r="390" ht="15" spans="3:17">
      <c r="C390" s="55" t="s">
        <v>187</v>
      </c>
      <c r="D390" s="55" t="s">
        <v>188</v>
      </c>
      <c r="E390" s="147">
        <f>F4A!E389+F4B!E389</f>
        <v>0.075772</v>
      </c>
      <c r="F390" s="147">
        <f>F4A!F389+F4B!F389</f>
        <v>0.091755</v>
      </c>
      <c r="G390" s="147">
        <f>F4A!G389+F4B!G389</f>
        <v>0.094195</v>
      </c>
      <c r="H390" s="147">
        <f>F4A!H389+F4B!H389</f>
        <v>0.127181</v>
      </c>
      <c r="I390" s="147">
        <f>F4A!I389+F4B!I389</f>
        <v>0.152761</v>
      </c>
      <c r="J390" s="147">
        <f>F4A!J389+F4B!J389</f>
        <v>0.148528</v>
      </c>
      <c r="K390" s="147">
        <f>F4A!K389+F4B!K389</f>
        <v>0.196572</v>
      </c>
      <c r="L390" s="147">
        <f>F4A!L389+F4B!L389</f>
        <v>0.2374</v>
      </c>
      <c r="M390" s="147">
        <f>F4A!M389+F4B!M389</f>
        <v>0.239067</v>
      </c>
      <c r="N390" s="147">
        <f>F4A!N389+F4B!N389</f>
        <v>0.307397</v>
      </c>
      <c r="O390" s="147">
        <f>F4A!O389+F4B!O389</f>
        <v>0.269827</v>
      </c>
      <c r="P390" s="147">
        <f>F4A!P389+F4B!P389</f>
        <v>0.341855</v>
      </c>
      <c r="Q390" s="316">
        <f t="shared" si="64"/>
        <v>2.28231</v>
      </c>
    </row>
    <row r="391" ht="15" spans="3:17">
      <c r="C391" s="55"/>
      <c r="D391" s="55"/>
      <c r="E391" s="147">
        <f>F4A!E390+F4B!E390</f>
        <v>0</v>
      </c>
      <c r="F391" s="147">
        <f>F4A!F390+F4B!F390</f>
        <v>0</v>
      </c>
      <c r="G391" s="147">
        <f>F4A!G390+F4B!G390</f>
        <v>0</v>
      </c>
      <c r="H391" s="147">
        <f>F4A!H390+F4B!H390</f>
        <v>0</v>
      </c>
      <c r="I391" s="147">
        <f>F4A!I390+F4B!I390</f>
        <v>0</v>
      </c>
      <c r="J391" s="147">
        <f>F4A!J390+F4B!J390</f>
        <v>0</v>
      </c>
      <c r="K391" s="147">
        <f>F4A!K390+F4B!K390</f>
        <v>0</v>
      </c>
      <c r="L391" s="147">
        <f>F4A!L390+F4B!L390</f>
        <v>0</v>
      </c>
      <c r="M391" s="147">
        <f>F4A!M390+F4B!M390</f>
        <v>0</v>
      </c>
      <c r="N391" s="147">
        <f>F4A!N390+F4B!N390</f>
        <v>0</v>
      </c>
      <c r="O391" s="147">
        <f>F4A!O390+F4B!O390</f>
        <v>0</v>
      </c>
      <c r="P391" s="147">
        <f>F4A!P390+F4B!P390</f>
        <v>0</v>
      </c>
      <c r="Q391" s="316">
        <f t="shared" si="64"/>
        <v>0</v>
      </c>
    </row>
    <row r="392" ht="15" spans="3:17">
      <c r="C392" s="55"/>
      <c r="D392" s="55"/>
      <c r="E392" s="147">
        <f>F4A!E391+F4B!E391</f>
        <v>0</v>
      </c>
      <c r="F392" s="147">
        <f>F4A!F391+F4B!F391</f>
        <v>0</v>
      </c>
      <c r="G392" s="147">
        <f>F4A!G391+F4B!G391</f>
        <v>0</v>
      </c>
      <c r="H392" s="147">
        <f>F4A!H391+F4B!H391</f>
        <v>0</v>
      </c>
      <c r="I392" s="147">
        <f>F4A!I391+F4B!I391</f>
        <v>0</v>
      </c>
      <c r="J392" s="147">
        <f>F4A!J391+F4B!J391</f>
        <v>0</v>
      </c>
      <c r="K392" s="147">
        <f>F4A!K391+F4B!K391</f>
        <v>0</v>
      </c>
      <c r="L392" s="147">
        <f>F4A!L391+F4B!L391</f>
        <v>0</v>
      </c>
      <c r="M392" s="147">
        <f>F4A!M391+F4B!M391</f>
        <v>0</v>
      </c>
      <c r="N392" s="147">
        <f>F4A!N391+F4B!N391</f>
        <v>0</v>
      </c>
      <c r="O392" s="147">
        <f>F4A!O391+F4B!O391</f>
        <v>0</v>
      </c>
      <c r="P392" s="147">
        <f>F4A!P391+F4B!P391</f>
        <v>0</v>
      </c>
      <c r="Q392" s="316">
        <f t="shared" si="64"/>
        <v>0</v>
      </c>
    </row>
    <row r="393" ht="15" spans="3:17">
      <c r="C393" s="55"/>
      <c r="D393" s="55"/>
      <c r="E393" s="147">
        <f>F4A!E392+F4B!E392</f>
        <v>0</v>
      </c>
      <c r="F393" s="147">
        <f>F4A!F392+F4B!F392</f>
        <v>0</v>
      </c>
      <c r="G393" s="147">
        <f>F4A!G392+F4B!G392</f>
        <v>0</v>
      </c>
      <c r="H393" s="147">
        <f>F4A!H392+F4B!H392</f>
        <v>0</v>
      </c>
      <c r="I393" s="147">
        <f>F4A!I392+F4B!I392</f>
        <v>0</v>
      </c>
      <c r="J393" s="147">
        <f>F4A!J392+F4B!J392</f>
        <v>0</v>
      </c>
      <c r="K393" s="147">
        <f>F4A!K392+F4B!K392</f>
        <v>0</v>
      </c>
      <c r="L393" s="147">
        <f>F4A!L392+F4B!L392</f>
        <v>0</v>
      </c>
      <c r="M393" s="147">
        <f>F4A!M392+F4B!M392</f>
        <v>0</v>
      </c>
      <c r="N393" s="147">
        <f>F4A!N392+F4B!N392</f>
        <v>0</v>
      </c>
      <c r="O393" s="147">
        <f>F4A!O392+F4B!O392</f>
        <v>0</v>
      </c>
      <c r="P393" s="147">
        <f>F4A!P392+F4B!P392</f>
        <v>0</v>
      </c>
      <c r="Q393" s="316">
        <f t="shared" si="64"/>
        <v>0</v>
      </c>
    </row>
    <row r="394" ht="15" spans="3:17">
      <c r="C394" s="55" t="s">
        <v>258</v>
      </c>
      <c r="D394" s="55" t="s">
        <v>258</v>
      </c>
      <c r="E394" s="147">
        <f>F4A!E393+F4B!E393</f>
        <v>0</v>
      </c>
      <c r="F394" s="147">
        <f>F4A!F393+F4B!F393</f>
        <v>0</v>
      </c>
      <c r="G394" s="147">
        <f>F4A!G393+F4B!G393</f>
        <v>0</v>
      </c>
      <c r="H394" s="147">
        <f>F4A!H393+F4B!H393</f>
        <v>0</v>
      </c>
      <c r="I394" s="147">
        <f>F4A!I393+F4B!I393</f>
        <v>0</v>
      </c>
      <c r="J394" s="147">
        <f>F4A!J393+F4B!J393</f>
        <v>0</v>
      </c>
      <c r="K394" s="147">
        <f>F4A!K393+F4B!K393</f>
        <v>0</v>
      </c>
      <c r="L394" s="147">
        <f>F4A!L393+F4B!L393</f>
        <v>0</v>
      </c>
      <c r="M394" s="147">
        <f>F4A!M393+F4B!M393</f>
        <v>0</v>
      </c>
      <c r="N394" s="147">
        <f>F4A!N393+F4B!N393</f>
        <v>0</v>
      </c>
      <c r="O394" s="147">
        <f>F4A!O393+F4B!O393</f>
        <v>0</v>
      </c>
      <c r="P394" s="147">
        <f>F4A!P393+F4B!P393</f>
        <v>0</v>
      </c>
      <c r="Q394" s="316">
        <f t="shared" si="64"/>
        <v>0</v>
      </c>
    </row>
    <row r="395" ht="15" spans="3:17">
      <c r="C395" s="537" t="s">
        <v>189</v>
      </c>
      <c r="D395" s="540"/>
      <c r="E395" s="316">
        <f>SUM(E382:E394)</f>
        <v>2684.96198653518</v>
      </c>
      <c r="F395" s="316">
        <f t="shared" ref="F395:P395" si="65">SUM(F382:F394)</f>
        <v>2161.92662287328</v>
      </c>
      <c r="G395" s="316">
        <f t="shared" si="65"/>
        <v>2141.26791426627</v>
      </c>
      <c r="H395" s="316">
        <f t="shared" si="65"/>
        <v>2205.88658982541</v>
      </c>
      <c r="I395" s="316">
        <f t="shared" si="65"/>
        <v>3031.48183287728</v>
      </c>
      <c r="J395" s="316">
        <f t="shared" si="65"/>
        <v>2524.93741968555</v>
      </c>
      <c r="K395" s="316">
        <f t="shared" si="65"/>
        <v>3102.9527514192</v>
      </c>
      <c r="L395" s="316">
        <f t="shared" si="65"/>
        <v>2056.53192877473</v>
      </c>
      <c r="M395" s="316">
        <f t="shared" si="65"/>
        <v>2302.87005624491</v>
      </c>
      <c r="N395" s="316">
        <f t="shared" si="65"/>
        <v>2884.25684620719</v>
      </c>
      <c r="O395" s="316">
        <f t="shared" si="65"/>
        <v>3051.25001689152</v>
      </c>
      <c r="P395" s="316">
        <f t="shared" si="65"/>
        <v>3617.91045075</v>
      </c>
      <c r="Q395" s="316">
        <f t="shared" si="64"/>
        <v>31766.2344163505</v>
      </c>
    </row>
    <row r="396" ht="15" spans="3:17">
      <c r="C396" s="44" t="s">
        <v>190</v>
      </c>
      <c r="D396" s="45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316">
        <f t="shared" ref="Q396:Q412" si="66">SUM(E396:P396)</f>
        <v>0</v>
      </c>
    </row>
    <row r="397" ht="15" spans="3:17">
      <c r="C397" s="55" t="s">
        <v>191</v>
      </c>
      <c r="D397" s="55" t="s">
        <v>192</v>
      </c>
      <c r="E397" s="147">
        <f>F4A!E396+F4B!E396</f>
        <v>362.88682449</v>
      </c>
      <c r="F397" s="147">
        <f>F4A!F396+F4B!F396</f>
        <v>374.0935878763</v>
      </c>
      <c r="G397" s="147">
        <f>F4A!G396+F4B!G396</f>
        <v>363.37377417</v>
      </c>
      <c r="H397" s="147">
        <f>F4A!H396+F4B!H396</f>
        <v>351.3242816</v>
      </c>
      <c r="I397" s="147">
        <f>F4A!I396+F4B!I396</f>
        <v>365.966719575</v>
      </c>
      <c r="J397" s="147">
        <f>F4A!J396+F4B!J396</f>
        <v>344.15582251</v>
      </c>
      <c r="K397" s="147">
        <f>F4A!K396+F4B!K396</f>
        <v>351.440946</v>
      </c>
      <c r="L397" s="147">
        <f>F4A!L396+F4B!L396</f>
        <v>356.46039621</v>
      </c>
      <c r="M397" s="147">
        <f>F4A!M396+F4B!M396</f>
        <v>375.2858891</v>
      </c>
      <c r="N397" s="147">
        <f>F4A!N396+F4B!N396</f>
        <v>364.71863051</v>
      </c>
      <c r="O397" s="147">
        <f>F4A!O396+F4B!O396</f>
        <v>359.56107405</v>
      </c>
      <c r="P397" s="147">
        <f>F4A!P396+F4B!P396</f>
        <v>374.996081645</v>
      </c>
      <c r="Q397" s="316">
        <f t="shared" si="66"/>
        <v>4344.2640277363</v>
      </c>
    </row>
    <row r="398" ht="15" spans="3:17">
      <c r="C398" s="55" t="s">
        <v>193</v>
      </c>
      <c r="D398" s="55" t="s">
        <v>194</v>
      </c>
      <c r="E398" s="147">
        <f>F4A!E397+F4B!E397</f>
        <v>0.01</v>
      </c>
      <c r="F398" s="147">
        <f>F4A!F397+F4B!F397</f>
        <v>0.022768</v>
      </c>
      <c r="G398" s="147">
        <f>F4A!G397+F4B!G397</f>
        <v>0.008504</v>
      </c>
      <c r="H398" s="147">
        <f>F4A!H397+F4B!H397</f>
        <v>0</v>
      </c>
      <c r="I398" s="147">
        <f>F4A!I397+F4B!I397</f>
        <v>0</v>
      </c>
      <c r="J398" s="147">
        <f>F4A!J397+F4B!J397</f>
        <v>0</v>
      </c>
      <c r="K398" s="147">
        <f>F4A!K397+F4B!K397</f>
        <v>0</v>
      </c>
      <c r="L398" s="147">
        <f>F4A!L397+F4B!L397</f>
        <v>0.064561</v>
      </c>
      <c r="M398" s="147">
        <f>F4A!M397+F4B!M397</f>
        <v>0.101625</v>
      </c>
      <c r="N398" s="147">
        <f>F4A!N397+F4B!N397</f>
        <v>0.040763</v>
      </c>
      <c r="O398" s="147">
        <f>F4A!O397+F4B!O397</f>
        <v>0.014582</v>
      </c>
      <c r="P398" s="147">
        <f>F4A!P397+F4B!P397</f>
        <v>0</v>
      </c>
      <c r="Q398" s="316">
        <f t="shared" si="66"/>
        <v>0.262803</v>
      </c>
    </row>
    <row r="399" ht="15" spans="3:17">
      <c r="C399" s="55" t="s">
        <v>239</v>
      </c>
      <c r="D399" s="55" t="s">
        <v>196</v>
      </c>
      <c r="E399" s="147">
        <f>F4A!E398+F4B!E398</f>
        <v>178.61266854</v>
      </c>
      <c r="F399" s="147">
        <f>F4A!F398+F4B!F398</f>
        <v>197.35804309</v>
      </c>
      <c r="G399" s="147">
        <f>F4A!G398+F4B!G398</f>
        <v>197.8616787</v>
      </c>
      <c r="H399" s="147">
        <f>F4A!H398+F4B!H398</f>
        <v>168.864294745</v>
      </c>
      <c r="I399" s="147">
        <f>F4A!I398+F4B!I398</f>
        <v>182.21122151</v>
      </c>
      <c r="J399" s="147">
        <f>F4A!J398+F4B!J398</f>
        <v>169.63353952</v>
      </c>
      <c r="K399" s="147">
        <f>F4A!K398+F4B!K398</f>
        <v>177.05802558</v>
      </c>
      <c r="L399" s="147">
        <f>F4A!L398+F4B!L398</f>
        <v>164.02570589</v>
      </c>
      <c r="M399" s="147">
        <f>F4A!M398+F4B!M398</f>
        <v>151.70707607</v>
      </c>
      <c r="N399" s="147">
        <f>F4A!N398+F4B!N398</f>
        <v>152.10558941</v>
      </c>
      <c r="O399" s="147">
        <f>F4A!O398+F4B!O398</f>
        <v>166.69980197</v>
      </c>
      <c r="P399" s="147">
        <f>F4A!P398+F4B!P398</f>
        <v>198.55744058</v>
      </c>
      <c r="Q399" s="316">
        <f t="shared" si="66"/>
        <v>2104.695085605</v>
      </c>
    </row>
    <row r="400" ht="15" spans="3:17">
      <c r="C400" s="55" t="s">
        <v>197</v>
      </c>
      <c r="D400" s="55" t="s">
        <v>198</v>
      </c>
      <c r="E400" s="147">
        <f>F4A!E399+F4B!E399</f>
        <v>0</v>
      </c>
      <c r="F400" s="147">
        <f>F4A!F399+F4B!F399</f>
        <v>0.047229</v>
      </c>
      <c r="G400" s="147">
        <f>F4A!G399+F4B!G399</f>
        <v>0.036666</v>
      </c>
      <c r="H400" s="147">
        <f>F4A!H399+F4B!H399</f>
        <v>0.027436</v>
      </c>
      <c r="I400" s="147">
        <f>F4A!I399+F4B!I399</f>
        <v>0.024931</v>
      </c>
      <c r="J400" s="147">
        <f>F4A!J399+F4B!J399</f>
        <v>0.029947</v>
      </c>
      <c r="K400" s="147">
        <f>F4A!K399+F4B!K399</f>
        <v>0.025457</v>
      </c>
      <c r="L400" s="147">
        <f>F4A!L399+F4B!L399</f>
        <v>0.025972</v>
      </c>
      <c r="M400" s="147">
        <f>F4A!M399+F4B!M399</f>
        <v>0.028311</v>
      </c>
      <c r="N400" s="147">
        <f>F4A!N399+F4B!N399</f>
        <v>0.028354</v>
      </c>
      <c r="O400" s="147">
        <f>F4A!O399+F4B!O399</f>
        <v>0.029559</v>
      </c>
      <c r="P400" s="147">
        <f>F4A!P399+F4B!P399</f>
        <v>0.033447</v>
      </c>
      <c r="Q400" s="316">
        <f t="shared" ref="Q400" si="67">SUM(E400:P400)</f>
        <v>0.337309</v>
      </c>
    </row>
    <row r="401" ht="15" spans="3:17">
      <c r="C401" s="55" t="s">
        <v>199</v>
      </c>
      <c r="D401" s="55" t="s">
        <v>200</v>
      </c>
      <c r="E401" s="147">
        <f>F4A!E400+F4B!E400</f>
        <v>0.381373</v>
      </c>
      <c r="F401" s="147">
        <f>F4A!F400+F4B!F400</f>
        <v>0.438194</v>
      </c>
      <c r="G401" s="147">
        <f>F4A!G400+F4B!G400</f>
        <v>0.444743</v>
      </c>
      <c r="H401" s="147">
        <f>F4A!H400+F4B!H400</f>
        <v>0.400546</v>
      </c>
      <c r="I401" s="147">
        <f>F4A!I400+F4B!I400</f>
        <v>0.396768</v>
      </c>
      <c r="J401" s="147">
        <f>F4A!J400+F4B!J400</f>
        <v>0.395706</v>
      </c>
      <c r="K401" s="147">
        <f>F4A!K400+F4B!K400</f>
        <v>0.401782</v>
      </c>
      <c r="L401" s="147">
        <f>F4A!L400+F4B!L400</f>
        <v>0.37498</v>
      </c>
      <c r="M401" s="147">
        <f>F4A!M400+F4B!M400</f>
        <v>0.351805</v>
      </c>
      <c r="N401" s="147">
        <f>F4A!N400+F4B!N400</f>
        <v>0.37012</v>
      </c>
      <c r="O401" s="147">
        <f>F4A!O400+F4B!O400</f>
        <v>0.388381</v>
      </c>
      <c r="P401" s="147">
        <f>F4A!P400+F4B!P400</f>
        <v>0.475727</v>
      </c>
      <c r="Q401" s="316">
        <f t="shared" si="66"/>
        <v>4.820125</v>
      </c>
    </row>
    <row r="402" ht="15" spans="3:17">
      <c r="C402" s="55" t="s">
        <v>201</v>
      </c>
      <c r="D402" s="55" t="s">
        <v>202</v>
      </c>
      <c r="E402" s="147">
        <f>F4A!E401+F4B!E401</f>
        <v>2.11</v>
      </c>
      <c r="F402" s="147">
        <f>F4A!F401+F4B!F401</f>
        <v>0.385051</v>
      </c>
      <c r="G402" s="147">
        <f>F4A!G401+F4B!G401</f>
        <v>0.628657</v>
      </c>
      <c r="H402" s="147">
        <f>F4A!H401+F4B!H401</f>
        <v>1.04366312</v>
      </c>
      <c r="I402" s="147">
        <f>F4A!I401+F4B!I401</f>
        <v>1.80848832</v>
      </c>
      <c r="J402" s="147">
        <f>F4A!J401+F4B!J401</f>
        <v>1.690687</v>
      </c>
      <c r="K402" s="147">
        <f>F4A!K401+F4B!K401</f>
        <v>3.307147</v>
      </c>
      <c r="L402" s="147">
        <f>F4A!L401+F4B!L401</f>
        <v>1.40532733</v>
      </c>
      <c r="M402" s="147">
        <f>F4A!M401+F4B!M401</f>
        <v>1.238364</v>
      </c>
      <c r="N402" s="147">
        <f>F4A!N401+F4B!N401</f>
        <v>1.5499465</v>
      </c>
      <c r="O402" s="147">
        <f>F4A!O401+F4B!O401</f>
        <v>1.804398</v>
      </c>
      <c r="P402" s="147">
        <f>F4A!P401+F4B!P401</f>
        <v>0.856985</v>
      </c>
      <c r="Q402" s="316">
        <f t="shared" si="66"/>
        <v>17.82871427</v>
      </c>
    </row>
    <row r="403" ht="15" spans="3:17">
      <c r="C403" s="55" t="s">
        <v>203</v>
      </c>
      <c r="D403" s="55" t="s">
        <v>204</v>
      </c>
      <c r="E403" s="147">
        <f>F4A!E402+F4B!E402</f>
        <v>11.15</v>
      </c>
      <c r="F403" s="147">
        <f>F4A!F402+F4B!F402</f>
        <v>10.677982</v>
      </c>
      <c r="G403" s="147">
        <f>F4A!G402+F4B!G402</f>
        <v>10.63566033</v>
      </c>
      <c r="H403" s="147">
        <f>F4A!H402+F4B!H402</f>
        <v>10.51083</v>
      </c>
      <c r="I403" s="147">
        <f>F4A!I402+F4B!I402</f>
        <v>10.583741</v>
      </c>
      <c r="J403" s="147">
        <f>F4A!J402+F4B!J402</f>
        <v>10.129611</v>
      </c>
      <c r="K403" s="147">
        <f>F4A!K402+F4B!K402</f>
        <v>10.826146</v>
      </c>
      <c r="L403" s="147">
        <f>F4A!L402+F4B!L402</f>
        <v>10.857352</v>
      </c>
      <c r="M403" s="147">
        <f>F4A!M402+F4B!M402</f>
        <v>11.001555</v>
      </c>
      <c r="N403" s="147">
        <f>F4A!N402+F4B!N402</f>
        <v>11.17321</v>
      </c>
      <c r="O403" s="147">
        <f>F4A!O402+F4B!O402</f>
        <v>10.4901783</v>
      </c>
      <c r="P403" s="147">
        <f>F4A!P402+F4B!P402</f>
        <v>11.4513413</v>
      </c>
      <c r="Q403" s="316">
        <f t="shared" si="66"/>
        <v>129.48760693</v>
      </c>
    </row>
    <row r="404" ht="15" spans="3:17">
      <c r="C404" s="55" t="s">
        <v>205</v>
      </c>
      <c r="D404" s="55" t="s">
        <v>206</v>
      </c>
      <c r="E404" s="147">
        <f>F4A!E403+F4B!E403</f>
        <v>19.4</v>
      </c>
      <c r="F404" s="147">
        <f>F4A!F403+F4B!F403</f>
        <v>22.259069</v>
      </c>
      <c r="G404" s="147">
        <f>F4A!G403+F4B!G403</f>
        <v>22.27492</v>
      </c>
      <c r="H404" s="147">
        <f>F4A!H403+F4B!H403</f>
        <v>17.129661</v>
      </c>
      <c r="I404" s="147">
        <f>F4A!I403+F4B!I403</f>
        <v>17.85232084</v>
      </c>
      <c r="J404" s="147">
        <f>F4A!J403+F4B!J403</f>
        <v>16.952274</v>
      </c>
      <c r="K404" s="147">
        <f>F4A!K403+F4B!K403</f>
        <v>17.114656</v>
      </c>
      <c r="L404" s="147">
        <f>F4A!L403+F4B!L403</f>
        <v>16.18281613</v>
      </c>
      <c r="M404" s="147">
        <f>F4A!M403+F4B!M403</f>
        <v>15.549929</v>
      </c>
      <c r="N404" s="147">
        <f>F4A!N403+F4B!N403</f>
        <v>15.931169</v>
      </c>
      <c r="O404" s="147">
        <f>F4A!O403+F4B!O403</f>
        <v>16.79796894</v>
      </c>
      <c r="P404" s="147">
        <f>F4A!P403+F4B!P403</f>
        <v>23.079544</v>
      </c>
      <c r="Q404" s="316">
        <f t="shared" si="66"/>
        <v>220.52432791</v>
      </c>
    </row>
    <row r="405" ht="15" spans="3:17">
      <c r="C405" s="55" t="s">
        <v>207</v>
      </c>
      <c r="D405" s="55" t="s">
        <v>186</v>
      </c>
      <c r="E405" s="147">
        <f>F4A!E404+F4B!E404</f>
        <v>13.72</v>
      </c>
      <c r="F405" s="147">
        <f>F4A!F404+F4B!F404</f>
        <v>14.987717</v>
      </c>
      <c r="G405" s="147">
        <f>F4A!G404+F4B!G404</f>
        <v>14.88942761</v>
      </c>
      <c r="H405" s="147">
        <f>F4A!H404+F4B!H404</f>
        <v>14.0200989</v>
      </c>
      <c r="I405" s="147">
        <f>F4A!I404+F4B!I404</f>
        <v>15.85269281</v>
      </c>
      <c r="J405" s="147">
        <f>F4A!J404+F4B!J404</f>
        <v>15.430845</v>
      </c>
      <c r="K405" s="147">
        <f>F4A!K404+F4B!K404</f>
        <v>16.049016</v>
      </c>
      <c r="L405" s="147">
        <f>F4A!L404+F4B!L404</f>
        <v>15.417937</v>
      </c>
      <c r="M405" s="147">
        <f>F4A!M404+F4B!M404</f>
        <v>15.960803</v>
      </c>
      <c r="N405" s="147">
        <f>F4A!N404+F4B!N404</f>
        <v>15.46011267</v>
      </c>
      <c r="O405" s="147">
        <f>F4A!O404+F4B!O404</f>
        <v>15.65232941</v>
      </c>
      <c r="P405" s="147">
        <f>F4A!P404+F4B!P404</f>
        <v>17.54949645</v>
      </c>
      <c r="Q405" s="316">
        <f t="shared" si="66"/>
        <v>184.99047585</v>
      </c>
    </row>
    <row r="406" ht="15" spans="3:17">
      <c r="C406" s="55" t="s">
        <v>208</v>
      </c>
      <c r="D406" s="55" t="s">
        <v>209</v>
      </c>
      <c r="E406" s="147">
        <f>F4A!E405+F4B!E405</f>
        <v>0</v>
      </c>
      <c r="F406" s="147">
        <f>F4A!F405+F4B!F405</f>
        <v>0</v>
      </c>
      <c r="G406" s="147">
        <f>F4A!G405+F4B!G405</f>
        <v>0</v>
      </c>
      <c r="H406" s="147">
        <f>F4A!H405+F4B!H405</f>
        <v>0</v>
      </c>
      <c r="I406" s="147">
        <f>F4A!I405+F4B!I405</f>
        <v>0</v>
      </c>
      <c r="J406" s="147">
        <f>F4A!J405+F4B!J405</f>
        <v>0</v>
      </c>
      <c r="K406" s="147">
        <f>F4A!K405+F4B!K405</f>
        <v>0</v>
      </c>
      <c r="L406" s="147">
        <f>F4A!L405+F4B!L405</f>
        <v>0</v>
      </c>
      <c r="M406" s="147">
        <f>F4A!M405+F4B!M405</f>
        <v>0</v>
      </c>
      <c r="N406" s="147">
        <f>F4A!N405+F4B!N405</f>
        <v>0</v>
      </c>
      <c r="O406" s="147">
        <f>F4A!O405+F4B!O405</f>
        <v>0</v>
      </c>
      <c r="P406" s="147">
        <f>F4A!P405+F4B!P405</f>
        <v>0</v>
      </c>
      <c r="Q406" s="316">
        <f t="shared" si="66"/>
        <v>0</v>
      </c>
    </row>
    <row r="407" ht="15" spans="3:17">
      <c r="C407" s="55" t="s">
        <v>210</v>
      </c>
      <c r="D407" s="55" t="s">
        <v>188</v>
      </c>
      <c r="E407" s="147">
        <f>F4A!E406+F4B!E406</f>
        <v>0.600592</v>
      </c>
      <c r="F407" s="147">
        <f>F4A!F406+F4B!F406</f>
        <v>0.743966</v>
      </c>
      <c r="G407" s="147">
        <f>F4A!G406+F4B!G406</f>
        <v>0.804146</v>
      </c>
      <c r="H407" s="147">
        <f>F4A!H406+F4B!H406</f>
        <v>0.755218</v>
      </c>
      <c r="I407" s="147">
        <f>F4A!I406+F4B!I406</f>
        <v>0.799295</v>
      </c>
      <c r="J407" s="147">
        <f>F4A!J406+F4B!J406</f>
        <v>0.927883</v>
      </c>
      <c r="K407" s="147">
        <f>F4A!K406+F4B!K406</f>
        <v>1.122684</v>
      </c>
      <c r="L407" s="147">
        <f>F4A!L406+F4B!L406</f>
        <v>1.110481</v>
      </c>
      <c r="M407" s="147">
        <f>F4A!M406+F4B!M406</f>
        <v>1.149632</v>
      </c>
      <c r="N407" s="147">
        <f>F4A!N406+F4B!N406</f>
        <v>1.224849</v>
      </c>
      <c r="O407" s="147">
        <f>F4A!O406+F4B!O406</f>
        <v>1.278844</v>
      </c>
      <c r="P407" s="147">
        <f>F4A!P406+F4B!P406</f>
        <v>1.504119</v>
      </c>
      <c r="Q407" s="316">
        <f t="shared" si="66"/>
        <v>12.021709</v>
      </c>
    </row>
    <row r="408" ht="15" spans="3:17">
      <c r="C408" s="55"/>
      <c r="D408" s="55"/>
      <c r="E408" s="147">
        <f>F4A!E407+F4B!E407</f>
        <v>0</v>
      </c>
      <c r="F408" s="147">
        <f>F4A!F407+F4B!F407</f>
        <v>0</v>
      </c>
      <c r="G408" s="147">
        <f>F4A!G407+F4B!G407</f>
        <v>0</v>
      </c>
      <c r="H408" s="147">
        <f>F4A!H407+F4B!H407</f>
        <v>0</v>
      </c>
      <c r="I408" s="147">
        <f>F4A!I407+F4B!I407</f>
        <v>0</v>
      </c>
      <c r="J408" s="147">
        <f>F4A!J407+F4B!J407</f>
        <v>0</v>
      </c>
      <c r="K408" s="147">
        <f>F4A!K407+F4B!K407</f>
        <v>0</v>
      </c>
      <c r="L408" s="147">
        <f>F4A!L407+F4B!L407</f>
        <v>0</v>
      </c>
      <c r="M408" s="147">
        <f>F4A!M407+F4B!M407</f>
        <v>0</v>
      </c>
      <c r="N408" s="147">
        <f>F4A!N407+F4B!N407</f>
        <v>0</v>
      </c>
      <c r="O408" s="147">
        <f>F4A!O407+F4B!O407</f>
        <v>0</v>
      </c>
      <c r="P408" s="147">
        <f>F4A!P407+F4B!P407</f>
        <v>0</v>
      </c>
      <c r="Q408" s="316">
        <f t="shared" si="66"/>
        <v>0</v>
      </c>
    </row>
    <row r="409" ht="15" spans="3:17">
      <c r="C409" s="55"/>
      <c r="D409" s="55"/>
      <c r="E409" s="147">
        <f>F4A!E408+F4B!E408</f>
        <v>0</v>
      </c>
      <c r="F409" s="147">
        <f>F4A!F408+F4B!F408</f>
        <v>0</v>
      </c>
      <c r="G409" s="147">
        <f>F4A!G408+F4B!G408</f>
        <v>0</v>
      </c>
      <c r="H409" s="147">
        <f>F4A!H408+F4B!H408</f>
        <v>0</v>
      </c>
      <c r="I409" s="147">
        <f>F4A!I408+F4B!I408</f>
        <v>0</v>
      </c>
      <c r="J409" s="147">
        <f>F4A!J408+F4B!J408</f>
        <v>0</v>
      </c>
      <c r="K409" s="147">
        <f>F4A!K408+F4B!K408</f>
        <v>0</v>
      </c>
      <c r="L409" s="147">
        <f>F4A!L408+F4B!L408</f>
        <v>0</v>
      </c>
      <c r="M409" s="147">
        <f>F4A!M408+F4B!M408</f>
        <v>0</v>
      </c>
      <c r="N409" s="147">
        <f>F4A!N408+F4B!N408</f>
        <v>0</v>
      </c>
      <c r="O409" s="147">
        <f>F4A!O408+F4B!O408</f>
        <v>0</v>
      </c>
      <c r="P409" s="147">
        <f>F4A!P408+F4B!P408</f>
        <v>0</v>
      </c>
      <c r="Q409" s="316">
        <f t="shared" si="66"/>
        <v>0</v>
      </c>
    </row>
    <row r="410" ht="15" spans="3:17">
      <c r="C410" s="55"/>
      <c r="D410" s="55"/>
      <c r="E410" s="147">
        <f>F4A!E409+F4B!E409</f>
        <v>0</v>
      </c>
      <c r="F410" s="147">
        <f>F4A!F409+F4B!F409</f>
        <v>0</v>
      </c>
      <c r="G410" s="147">
        <f>F4A!G409+F4B!G409</f>
        <v>0</v>
      </c>
      <c r="H410" s="147">
        <f>F4A!H409+F4B!H409</f>
        <v>0</v>
      </c>
      <c r="I410" s="147">
        <f>F4A!I409+F4B!I409</f>
        <v>0</v>
      </c>
      <c r="J410" s="147">
        <f>F4A!J409+F4B!J409</f>
        <v>0</v>
      </c>
      <c r="K410" s="147">
        <f>F4A!K409+F4B!K409</f>
        <v>0</v>
      </c>
      <c r="L410" s="147">
        <f>F4A!L409+F4B!L409</f>
        <v>0</v>
      </c>
      <c r="M410" s="147">
        <f>F4A!M409+F4B!M409</f>
        <v>0</v>
      </c>
      <c r="N410" s="147">
        <f>F4A!N409+F4B!N409</f>
        <v>0</v>
      </c>
      <c r="O410" s="147">
        <f>F4A!O409+F4B!O409</f>
        <v>0</v>
      </c>
      <c r="P410" s="147">
        <f>F4A!P409+F4B!P409</f>
        <v>0</v>
      </c>
      <c r="Q410" s="316">
        <f t="shared" si="66"/>
        <v>0</v>
      </c>
    </row>
    <row r="411" ht="15" spans="3:17">
      <c r="C411" s="55" t="s">
        <v>258</v>
      </c>
      <c r="D411" s="55" t="s">
        <v>258</v>
      </c>
      <c r="E411" s="147">
        <f>F4A!E410+F4B!E410</f>
        <v>0</v>
      </c>
      <c r="F411" s="147">
        <f>F4A!F410+F4B!F410</f>
        <v>0</v>
      </c>
      <c r="G411" s="147">
        <f>F4A!G410+F4B!G410</f>
        <v>0</v>
      </c>
      <c r="H411" s="147">
        <f>F4A!H410+F4B!H410</f>
        <v>0</v>
      </c>
      <c r="I411" s="147">
        <f>F4A!I410+F4B!I410</f>
        <v>0</v>
      </c>
      <c r="J411" s="147">
        <f>F4A!J410+F4B!J410</f>
        <v>0</v>
      </c>
      <c r="K411" s="147">
        <f>F4A!K410+F4B!K410</f>
        <v>0</v>
      </c>
      <c r="L411" s="147">
        <f>F4A!L410+F4B!L410</f>
        <v>0</v>
      </c>
      <c r="M411" s="147">
        <f>F4A!M410+F4B!M410</f>
        <v>0</v>
      </c>
      <c r="N411" s="147">
        <f>F4A!N410+F4B!N410</f>
        <v>0</v>
      </c>
      <c r="O411" s="147">
        <f>F4A!O410+F4B!O410</f>
        <v>0</v>
      </c>
      <c r="P411" s="147">
        <f>F4A!P410+F4B!P410</f>
        <v>0</v>
      </c>
      <c r="Q411" s="316">
        <f t="shared" si="66"/>
        <v>0</v>
      </c>
    </row>
    <row r="412" ht="15" spans="3:17">
      <c r="C412" s="537" t="s">
        <v>211</v>
      </c>
      <c r="D412" s="540"/>
      <c r="E412" s="316">
        <f>SUM(E397:E411)</f>
        <v>588.87145803</v>
      </c>
      <c r="F412" s="316">
        <f t="shared" ref="F412:P412" si="68">SUM(F397:F411)</f>
        <v>621.0136069663</v>
      </c>
      <c r="G412" s="316">
        <f t="shared" si="68"/>
        <v>610.95817681</v>
      </c>
      <c r="H412" s="316">
        <f t="shared" si="68"/>
        <v>564.076029365</v>
      </c>
      <c r="I412" s="316">
        <f t="shared" si="68"/>
        <v>595.496178055</v>
      </c>
      <c r="J412" s="316">
        <f t="shared" si="68"/>
        <v>559.34631503</v>
      </c>
      <c r="K412" s="316">
        <f t="shared" si="68"/>
        <v>577.34585958</v>
      </c>
      <c r="L412" s="316">
        <f t="shared" si="68"/>
        <v>565.92552856</v>
      </c>
      <c r="M412" s="316">
        <f t="shared" si="68"/>
        <v>572.37498917</v>
      </c>
      <c r="N412" s="316">
        <f t="shared" si="68"/>
        <v>562.60274409</v>
      </c>
      <c r="O412" s="316">
        <f t="shared" si="68"/>
        <v>572.71711667</v>
      </c>
      <c r="P412" s="316">
        <f t="shared" si="68"/>
        <v>628.504181975</v>
      </c>
      <c r="Q412" s="316">
        <f t="shared" si="66"/>
        <v>7019.2321843013</v>
      </c>
    </row>
    <row r="413" ht="15" spans="3:17">
      <c r="C413" s="44" t="s">
        <v>212</v>
      </c>
      <c r="D413" s="45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316">
        <f t="shared" ref="Q413:Q429" si="69">SUM(E413:P413)</f>
        <v>0</v>
      </c>
    </row>
    <row r="414" ht="15" spans="3:17">
      <c r="C414" s="55" t="s">
        <v>191</v>
      </c>
      <c r="D414" s="55" t="s">
        <v>192</v>
      </c>
      <c r="E414" s="147">
        <f>F4A!E413+F4B!E413</f>
        <v>456.7683175</v>
      </c>
      <c r="F414" s="147">
        <f>F4A!F413+F4B!F413</f>
        <v>487.244519</v>
      </c>
      <c r="G414" s="147">
        <f>F4A!G413+F4B!G413</f>
        <v>474.999169</v>
      </c>
      <c r="H414" s="147">
        <f>F4A!H413+F4B!H413</f>
        <v>474.617388</v>
      </c>
      <c r="I414" s="147">
        <f>F4A!I413+F4B!I413</f>
        <v>486.433578</v>
      </c>
      <c r="J414" s="147">
        <f>F4A!J413+F4B!J413</f>
        <v>474.035000388</v>
      </c>
      <c r="K414" s="147">
        <f>F4A!K413+F4B!K413</f>
        <v>485.197083</v>
      </c>
      <c r="L414" s="147">
        <f>F4A!L413+F4B!L413</f>
        <v>487.029785</v>
      </c>
      <c r="M414" s="147">
        <f>F4A!M413+F4B!M413</f>
        <v>496.832919</v>
      </c>
      <c r="N414" s="147">
        <f>F4A!N413+F4B!N413</f>
        <v>494.613108</v>
      </c>
      <c r="O414" s="147">
        <f>F4A!O413+F4B!O413</f>
        <v>481.570082</v>
      </c>
      <c r="P414" s="147">
        <f>F4A!P413+F4B!P413</f>
        <v>537.9870545</v>
      </c>
      <c r="Q414" s="316">
        <f t="shared" si="69"/>
        <v>5837.328003388</v>
      </c>
    </row>
    <row r="415" ht="15" spans="3:17">
      <c r="C415" s="55" t="s">
        <v>193</v>
      </c>
      <c r="D415" s="55" t="s">
        <v>194</v>
      </c>
      <c r="E415" s="147">
        <f>F4A!E414+F4B!E414</f>
        <v>0</v>
      </c>
      <c r="F415" s="147">
        <f>F4A!F414+F4B!F414</f>
        <v>0</v>
      </c>
      <c r="G415" s="147">
        <f>F4A!G414+F4B!G414</f>
        <v>0</v>
      </c>
      <c r="H415" s="147">
        <f>F4A!H414+F4B!H414</f>
        <v>0</v>
      </c>
      <c r="I415" s="147">
        <f>F4A!I414+F4B!I414</f>
        <v>0</v>
      </c>
      <c r="J415" s="147">
        <f>F4A!J414+F4B!J414</f>
        <v>0</v>
      </c>
      <c r="K415" s="147">
        <f>F4A!K414+F4B!K414</f>
        <v>0</v>
      </c>
      <c r="L415" s="147">
        <f>F4A!L414+F4B!L414</f>
        <v>0</v>
      </c>
      <c r="M415" s="147">
        <f>F4A!M414+F4B!M414</f>
        <v>0</v>
      </c>
      <c r="N415" s="147">
        <f>F4A!N414+F4B!N414</f>
        <v>0</v>
      </c>
      <c r="O415" s="147">
        <f>F4A!O414+F4B!O414</f>
        <v>0</v>
      </c>
      <c r="P415" s="147">
        <f>F4A!P414+F4B!P414</f>
        <v>0</v>
      </c>
      <c r="Q415" s="316">
        <f t="shared" si="69"/>
        <v>0</v>
      </c>
    </row>
    <row r="416" ht="15" spans="3:17">
      <c r="C416" s="55" t="s">
        <v>239</v>
      </c>
      <c r="D416" s="55" t="s">
        <v>196</v>
      </c>
      <c r="E416" s="147">
        <f>F4A!E415+F4B!E415</f>
        <v>119.360591</v>
      </c>
      <c r="F416" s="147">
        <f>F4A!F415+F4B!F415</f>
        <v>129.0616115</v>
      </c>
      <c r="G416" s="147">
        <f>F4A!G415+F4B!G415</f>
        <v>129.8093705</v>
      </c>
      <c r="H416" s="147">
        <f>F4A!H415+F4B!H415</f>
        <v>120.457118</v>
      </c>
      <c r="I416" s="147">
        <f>F4A!I415+F4B!I415</f>
        <v>121.0316435</v>
      </c>
      <c r="J416" s="147">
        <f>F4A!J415+F4B!J415</f>
        <v>113.460328095</v>
      </c>
      <c r="K416" s="147">
        <f>F4A!K415+F4B!K415</f>
        <v>111.380884</v>
      </c>
      <c r="L416" s="147">
        <f>F4A!L415+F4B!L415</f>
        <v>111.380884</v>
      </c>
      <c r="M416" s="147">
        <f>F4A!M415+F4B!M415</f>
        <v>104.2976095</v>
      </c>
      <c r="N416" s="147">
        <f>F4A!N415+F4B!N415</f>
        <v>105.318318</v>
      </c>
      <c r="O416" s="147">
        <f>F4A!O415+F4B!O415</f>
        <v>107.650029</v>
      </c>
      <c r="P416" s="147">
        <f>F4A!P415+F4B!P415</f>
        <v>126.476984</v>
      </c>
      <c r="Q416" s="316">
        <f t="shared" si="69"/>
        <v>1399.685371095</v>
      </c>
    </row>
    <row r="417" ht="15" spans="3:17">
      <c r="C417" s="55" t="s">
        <v>197</v>
      </c>
      <c r="D417" s="55" t="s">
        <v>198</v>
      </c>
      <c r="E417" s="147">
        <f>F4A!E416+F4B!E416</f>
        <v>0</v>
      </c>
      <c r="F417" s="147">
        <f>F4A!F416+F4B!F416</f>
        <v>0.4269</v>
      </c>
      <c r="G417" s="147">
        <f>F4A!G416+F4B!G416</f>
        <v>0.41395</v>
      </c>
      <c r="H417" s="147">
        <f>F4A!H416+F4B!H416</f>
        <v>0.34735</v>
      </c>
      <c r="I417" s="147">
        <f>F4A!I416+F4B!I416</f>
        <v>0.36855</v>
      </c>
      <c r="J417" s="147">
        <f>F4A!J416+F4B!J416</f>
        <v>0.33543</v>
      </c>
      <c r="K417" s="147">
        <f>F4A!K416+F4B!K416</f>
        <v>0.34777</v>
      </c>
      <c r="L417" s="147">
        <f>F4A!L416+F4B!L416</f>
        <v>0.2934</v>
      </c>
      <c r="M417" s="147">
        <f>F4A!M416+F4B!M416</f>
        <v>0.3048</v>
      </c>
      <c r="N417" s="147">
        <f>F4A!N416+F4B!N416</f>
        <v>0.2678</v>
      </c>
      <c r="O417" s="147">
        <f>F4A!O416+F4B!O416</f>
        <v>0.3016</v>
      </c>
      <c r="P417" s="147">
        <f>F4A!P416+F4B!P416</f>
        <v>0.4124</v>
      </c>
      <c r="Q417" s="316">
        <f t="shared" ref="Q417" si="70">SUM(E417:P417)</f>
        <v>3.81995</v>
      </c>
    </row>
    <row r="418" ht="15" spans="3:17">
      <c r="C418" s="55" t="s">
        <v>199</v>
      </c>
      <c r="D418" s="55" t="s">
        <v>200</v>
      </c>
      <c r="E418" s="147">
        <f>F4A!E417+F4B!E417</f>
        <v>0</v>
      </c>
      <c r="F418" s="147">
        <f>F4A!F417+F4B!F417</f>
        <v>0</v>
      </c>
      <c r="G418" s="147">
        <f>F4A!G417+F4B!G417</f>
        <v>0</v>
      </c>
      <c r="H418" s="147">
        <f>F4A!H417+F4B!H417</f>
        <v>0</v>
      </c>
      <c r="I418" s="147">
        <f>F4A!I417+F4B!I417</f>
        <v>0</v>
      </c>
      <c r="J418" s="147">
        <f>F4A!J417+F4B!J417</f>
        <v>0</v>
      </c>
      <c r="K418" s="147">
        <f>F4A!K417+F4B!K417</f>
        <v>0</v>
      </c>
      <c r="L418" s="147">
        <f>F4A!L417+F4B!L417</f>
        <v>0</v>
      </c>
      <c r="M418" s="147">
        <f>F4A!M417+F4B!M417</f>
        <v>0</v>
      </c>
      <c r="N418" s="147">
        <f>F4A!N417+F4B!N417</f>
        <v>0</v>
      </c>
      <c r="O418" s="147">
        <f>F4A!O417+F4B!O417</f>
        <v>0</v>
      </c>
      <c r="P418" s="147">
        <f>F4A!P417+F4B!P417</f>
        <v>0</v>
      </c>
      <c r="Q418" s="316">
        <f t="shared" si="69"/>
        <v>0</v>
      </c>
    </row>
    <row r="419" ht="15" spans="3:17">
      <c r="C419" s="55" t="s">
        <v>201</v>
      </c>
      <c r="D419" s="55" t="s">
        <v>202</v>
      </c>
      <c r="E419" s="147">
        <f>F4A!E418+F4B!E418</f>
        <v>1.30048</v>
      </c>
      <c r="F419" s="147">
        <f>F4A!F418+F4B!F418</f>
        <v>2.080615</v>
      </c>
      <c r="G419" s="147">
        <f>F4A!G418+F4B!G418</f>
        <v>1.95454</v>
      </c>
      <c r="H419" s="147">
        <f>F4A!H418+F4B!H418</f>
        <v>2.213195</v>
      </c>
      <c r="I419" s="147">
        <f>F4A!I418+F4B!I418</f>
        <v>3.7451</v>
      </c>
      <c r="J419" s="147">
        <f>F4A!J418+F4B!J418</f>
        <v>3.529655</v>
      </c>
      <c r="K419" s="147">
        <f>F4A!K418+F4B!K418</f>
        <v>4.685995</v>
      </c>
      <c r="L419" s="147">
        <f>F4A!L418+F4B!L418</f>
        <v>4.575075</v>
      </c>
      <c r="M419" s="147">
        <f>F4A!M418+F4B!M418</f>
        <v>3.758055</v>
      </c>
      <c r="N419" s="147">
        <f>F4A!N418+F4B!N418</f>
        <v>4.72535</v>
      </c>
      <c r="O419" s="147">
        <f>F4A!O418+F4B!O418</f>
        <v>4.8465</v>
      </c>
      <c r="P419" s="147">
        <f>F4A!P418+F4B!P418</f>
        <v>6.008485</v>
      </c>
      <c r="Q419" s="316">
        <f t="shared" si="69"/>
        <v>43.423045</v>
      </c>
    </row>
    <row r="420" ht="15" spans="3:17">
      <c r="C420" s="55" t="s">
        <v>203</v>
      </c>
      <c r="D420" s="55" t="s">
        <v>204</v>
      </c>
      <c r="E420" s="147">
        <f>F4A!E419+F4B!E419</f>
        <v>20.413735</v>
      </c>
      <c r="F420" s="147">
        <f>F4A!F419+F4B!F419</f>
        <v>21.165235</v>
      </c>
      <c r="G420" s="147">
        <f>F4A!G419+F4B!G419</f>
        <v>20.078425</v>
      </c>
      <c r="H420" s="147">
        <f>F4A!H419+F4B!H419</f>
        <v>20.20959</v>
      </c>
      <c r="I420" s="147">
        <f>F4A!I419+F4B!I419</f>
        <v>21.91816</v>
      </c>
      <c r="J420" s="147">
        <f>F4A!J419+F4B!J419</f>
        <v>20.591245</v>
      </c>
      <c r="K420" s="147">
        <f>F4A!K419+F4B!K419</f>
        <v>20.2793</v>
      </c>
      <c r="L420" s="147">
        <f>F4A!L419+F4B!L419</f>
        <v>21.491055</v>
      </c>
      <c r="M420" s="147">
        <f>F4A!M419+F4B!M419</f>
        <v>20.86777</v>
      </c>
      <c r="N420" s="147">
        <f>F4A!N419+F4B!N419</f>
        <v>22.03612</v>
      </c>
      <c r="O420" s="147">
        <f>F4A!O419+F4B!O419</f>
        <v>21.19337</v>
      </c>
      <c r="P420" s="147">
        <f>F4A!P419+F4B!P419</f>
        <v>23.43472</v>
      </c>
      <c r="Q420" s="316">
        <f t="shared" si="69"/>
        <v>253.678725</v>
      </c>
    </row>
    <row r="421" ht="15" spans="3:17">
      <c r="C421" s="55" t="s">
        <v>205</v>
      </c>
      <c r="D421" s="55" t="s">
        <v>206</v>
      </c>
      <c r="E421" s="147">
        <f>F4A!E421+F4B!E420</f>
        <v>12.783713</v>
      </c>
      <c r="F421" s="147">
        <f>F4A!F421+F4B!F420</f>
        <v>14.111778</v>
      </c>
      <c r="G421" s="147">
        <f>F4A!G421+F4B!G420</f>
        <v>14.555582</v>
      </c>
      <c r="H421" s="147">
        <f>F4A!H421+F4B!H420</f>
        <v>10.694777</v>
      </c>
      <c r="I421" s="147">
        <f>F4A!I421+F4B!I420</f>
        <v>11.019239</v>
      </c>
      <c r="J421" s="147">
        <f>F4A!J421+F4B!J420</f>
        <v>10.064751</v>
      </c>
      <c r="K421" s="147">
        <f>F4A!K421+F4B!K420</f>
        <v>10.712406</v>
      </c>
      <c r="L421" s="147">
        <f>F4A!L421+F4B!L420</f>
        <v>9.92955</v>
      </c>
      <c r="M421" s="147">
        <f>F4A!M421+F4B!M420</f>
        <v>9.617239</v>
      </c>
      <c r="N421" s="147">
        <f>F4A!N421+F4B!N420</f>
        <v>9.632757</v>
      </c>
      <c r="O421" s="147">
        <f>F4A!O421+F4B!O420</f>
        <v>10.822462</v>
      </c>
      <c r="P421" s="147">
        <f>F4A!P421+F4B!P420</f>
        <v>14.087562</v>
      </c>
      <c r="Q421" s="316">
        <f t="shared" si="69"/>
        <v>138.031816</v>
      </c>
    </row>
    <row r="422" ht="15" spans="3:17">
      <c r="C422" s="55" t="s">
        <v>231</v>
      </c>
      <c r="D422" s="55" t="s">
        <v>186</v>
      </c>
      <c r="E422" s="147">
        <f>F4A!E422+F4B!E421</f>
        <v>3.632685</v>
      </c>
      <c r="F422" s="147">
        <f>F4A!F422+F4B!F421</f>
        <v>3.6248</v>
      </c>
      <c r="G422" s="147">
        <f>F4A!G422+F4B!G421</f>
        <v>3.567235</v>
      </c>
      <c r="H422" s="147">
        <f>F4A!H422+F4B!H421</f>
        <v>3.836725</v>
      </c>
      <c r="I422" s="147">
        <f>F4A!I422+F4B!I421</f>
        <v>4.10413</v>
      </c>
      <c r="J422" s="147">
        <f>F4A!J422+F4B!J421</f>
        <v>4.09011</v>
      </c>
      <c r="K422" s="147">
        <f>F4A!K422+F4B!K421</f>
        <v>4.54934</v>
      </c>
      <c r="L422" s="147">
        <f>F4A!L422+F4B!L421</f>
        <v>2.57343</v>
      </c>
      <c r="M422" s="147">
        <f>F4A!M422+F4B!M421</f>
        <v>2.482033</v>
      </c>
      <c r="N422" s="147">
        <f>F4A!N422+F4B!N421</f>
        <v>2.454798</v>
      </c>
      <c r="O422" s="147">
        <f>F4A!O422+F4B!O421</f>
        <v>2.621288</v>
      </c>
      <c r="P422" s="147">
        <f>F4A!P422+F4B!P421</f>
        <v>2.675863</v>
      </c>
      <c r="Q422" s="316">
        <f t="shared" si="69"/>
        <v>40.212437</v>
      </c>
    </row>
    <row r="423" ht="15" spans="3:17">
      <c r="C423" s="55" t="s">
        <v>208</v>
      </c>
      <c r="D423" s="55" t="s">
        <v>209</v>
      </c>
      <c r="E423" s="147">
        <f>F4A!E420+F4B!E422</f>
        <v>0.88884</v>
      </c>
      <c r="F423" s="147">
        <f>F4A!F420+F4B!F422</f>
        <v>1.564635</v>
      </c>
      <c r="G423" s="147">
        <f>F4A!G420+F4B!G422</f>
        <v>1.47231</v>
      </c>
      <c r="H423" s="147">
        <f>F4A!H420+F4B!H422</f>
        <v>1.735515</v>
      </c>
      <c r="I423" s="147">
        <f>F4A!I420+F4B!I422</f>
        <v>1.8249</v>
      </c>
      <c r="J423" s="147">
        <f>F4A!J420+F4B!J422</f>
        <v>1.6791</v>
      </c>
      <c r="K423" s="147">
        <f>F4A!K420+F4B!K422</f>
        <v>0</v>
      </c>
      <c r="L423" s="147">
        <f>F4A!L420+F4B!L422</f>
        <v>0</v>
      </c>
      <c r="M423" s="147">
        <f>F4A!M420+F4B!M422</f>
        <v>0</v>
      </c>
      <c r="N423" s="147">
        <f>F4A!N420+F4B!N422</f>
        <v>0</v>
      </c>
      <c r="O423" s="147">
        <f>F4A!O420+F4B!O422</f>
        <v>0</v>
      </c>
      <c r="P423" s="147">
        <f>F4A!P420+F4B!P422</f>
        <v>0</v>
      </c>
      <c r="Q423" s="316">
        <f t="shared" si="69"/>
        <v>9.1653</v>
      </c>
    </row>
    <row r="424" ht="15" spans="3:17">
      <c r="C424" s="55" t="s">
        <v>210</v>
      </c>
      <c r="D424" s="55" t="s">
        <v>188</v>
      </c>
      <c r="E424" s="147">
        <f>F4A!E423+F4B!E423</f>
        <v>0</v>
      </c>
      <c r="F424" s="147">
        <f>F4A!F423+F4B!F423</f>
        <v>0</v>
      </c>
      <c r="G424" s="147">
        <f>F4A!G423+F4B!G423</f>
        <v>0</v>
      </c>
      <c r="H424" s="147">
        <f>F4A!H423+F4B!H423</f>
        <v>0</v>
      </c>
      <c r="I424" s="147">
        <f>F4A!I423+F4B!I423</f>
        <v>0</v>
      </c>
      <c r="J424" s="147">
        <f>F4A!J423+F4B!J423</f>
        <v>0</v>
      </c>
      <c r="K424" s="147">
        <f>F4A!K423+F4B!K423</f>
        <v>0</v>
      </c>
      <c r="L424" s="147">
        <f>F4A!L423+F4B!L423</f>
        <v>0</v>
      </c>
      <c r="M424" s="147">
        <f>F4A!M423+F4B!M423</f>
        <v>0</v>
      </c>
      <c r="N424" s="147">
        <f>F4A!N423+F4B!N423</f>
        <v>0</v>
      </c>
      <c r="O424" s="147">
        <f>F4A!O423+F4B!O423</f>
        <v>0</v>
      </c>
      <c r="P424" s="147">
        <f>F4A!P423+F4B!P423</f>
        <v>0</v>
      </c>
      <c r="Q424" s="316">
        <f t="shared" si="69"/>
        <v>0</v>
      </c>
    </row>
    <row r="425" ht="15" spans="3:17">
      <c r="C425" s="55"/>
      <c r="D425" s="55"/>
      <c r="E425" s="147">
        <f>F4A!E424+F4B!E424</f>
        <v>0</v>
      </c>
      <c r="F425" s="147">
        <f>F4A!F424+F4B!F424</f>
        <v>0</v>
      </c>
      <c r="G425" s="147">
        <f>F4A!G424+F4B!G424</f>
        <v>0</v>
      </c>
      <c r="H425" s="147">
        <f>F4A!H424+F4B!H424</f>
        <v>0</v>
      </c>
      <c r="I425" s="147">
        <f>F4A!I424+F4B!I424</f>
        <v>0</v>
      </c>
      <c r="J425" s="147">
        <f>F4A!J424+F4B!J424</f>
        <v>0</v>
      </c>
      <c r="K425" s="147">
        <f>F4A!K424+F4B!K424</f>
        <v>0</v>
      </c>
      <c r="L425" s="147">
        <f>F4A!L424+F4B!L424</f>
        <v>0</v>
      </c>
      <c r="M425" s="147">
        <f>F4A!M424+F4B!M424</f>
        <v>0</v>
      </c>
      <c r="N425" s="147">
        <f>F4A!N424+F4B!N424</f>
        <v>0</v>
      </c>
      <c r="O425" s="147">
        <f>F4A!O424+F4B!O424</f>
        <v>0</v>
      </c>
      <c r="P425" s="147">
        <f>F4A!P424+F4B!P424</f>
        <v>0</v>
      </c>
      <c r="Q425" s="316">
        <f t="shared" si="69"/>
        <v>0</v>
      </c>
    </row>
    <row r="426" ht="15" spans="3:17">
      <c r="C426" s="55"/>
      <c r="D426" s="55"/>
      <c r="E426" s="147">
        <f>F4A!E425+F4B!E425</f>
        <v>0</v>
      </c>
      <c r="F426" s="147">
        <f>F4A!F425+F4B!F425</f>
        <v>0</v>
      </c>
      <c r="G426" s="147">
        <f>F4A!G425+F4B!G425</f>
        <v>0</v>
      </c>
      <c r="H426" s="147">
        <f>F4A!H425+F4B!H425</f>
        <v>0</v>
      </c>
      <c r="I426" s="147">
        <f>F4A!I425+F4B!I425</f>
        <v>0</v>
      </c>
      <c r="J426" s="147">
        <f>F4A!J425+F4B!J425</f>
        <v>0</v>
      </c>
      <c r="K426" s="147">
        <f>F4A!K425+F4B!K425</f>
        <v>0</v>
      </c>
      <c r="L426" s="147">
        <f>F4A!L425+F4B!L425</f>
        <v>0</v>
      </c>
      <c r="M426" s="147">
        <f>F4A!M425+F4B!M425</f>
        <v>0</v>
      </c>
      <c r="N426" s="147">
        <f>F4A!N425+F4B!N425</f>
        <v>0</v>
      </c>
      <c r="O426" s="147">
        <f>F4A!O425+F4B!O425</f>
        <v>0</v>
      </c>
      <c r="P426" s="147">
        <f>F4A!P425+F4B!P425</f>
        <v>0</v>
      </c>
      <c r="Q426" s="316">
        <f t="shared" si="69"/>
        <v>0</v>
      </c>
    </row>
    <row r="427" ht="15" spans="3:17">
      <c r="C427" s="55"/>
      <c r="D427" s="55"/>
      <c r="E427" s="147">
        <f>F4A!E426+F4B!E426</f>
        <v>0</v>
      </c>
      <c r="F427" s="147">
        <f>F4A!F426+F4B!F426</f>
        <v>0</v>
      </c>
      <c r="G427" s="147">
        <f>F4A!G426+F4B!G426</f>
        <v>0</v>
      </c>
      <c r="H427" s="147">
        <f>F4A!H426+F4B!H426</f>
        <v>0</v>
      </c>
      <c r="I427" s="147">
        <f>F4A!I426+F4B!I426</f>
        <v>0</v>
      </c>
      <c r="J427" s="147">
        <f>F4A!J426+F4B!J426</f>
        <v>0</v>
      </c>
      <c r="K427" s="147">
        <f>F4A!K426+F4B!K426</f>
        <v>0</v>
      </c>
      <c r="L427" s="147">
        <f>F4A!L426+F4B!L426</f>
        <v>0</v>
      </c>
      <c r="M427" s="147">
        <f>F4A!M426+F4B!M426</f>
        <v>0</v>
      </c>
      <c r="N427" s="147">
        <f>F4A!N426+F4B!N426</f>
        <v>0</v>
      </c>
      <c r="O427" s="147">
        <f>F4A!O426+F4B!O426</f>
        <v>0</v>
      </c>
      <c r="P427" s="147">
        <f>F4A!P426+F4B!P426</f>
        <v>0</v>
      </c>
      <c r="Q427" s="316">
        <f t="shared" si="69"/>
        <v>0</v>
      </c>
    </row>
    <row r="428" ht="15" spans="3:17">
      <c r="C428" s="55" t="s">
        <v>258</v>
      </c>
      <c r="D428" s="55" t="s">
        <v>258</v>
      </c>
      <c r="E428" s="147">
        <f>F4A!E427+F4B!E427</f>
        <v>0</v>
      </c>
      <c r="F428" s="147">
        <f>F4A!F427+F4B!F427</f>
        <v>0</v>
      </c>
      <c r="G428" s="147">
        <f>F4A!G427+F4B!G427</f>
        <v>0</v>
      </c>
      <c r="H428" s="147">
        <f>F4A!H427+F4B!H427</f>
        <v>0</v>
      </c>
      <c r="I428" s="147">
        <f>F4A!I427+F4B!I427</f>
        <v>0</v>
      </c>
      <c r="J428" s="147">
        <f>F4A!J427+F4B!J427</f>
        <v>0</v>
      </c>
      <c r="K428" s="147">
        <f>F4A!K427+F4B!K427</f>
        <v>0</v>
      </c>
      <c r="L428" s="147">
        <f>F4A!L427+F4B!L427</f>
        <v>0</v>
      </c>
      <c r="M428" s="147">
        <f>F4A!M427+F4B!M427</f>
        <v>0</v>
      </c>
      <c r="N428" s="147">
        <f>F4A!N427+F4B!N427</f>
        <v>0</v>
      </c>
      <c r="O428" s="147">
        <f>F4A!O427+F4B!O427</f>
        <v>0</v>
      </c>
      <c r="P428" s="147">
        <f>F4A!P427+F4B!P427</f>
        <v>0</v>
      </c>
      <c r="Q428" s="316">
        <f t="shared" si="69"/>
        <v>0</v>
      </c>
    </row>
    <row r="429" ht="15" spans="3:17">
      <c r="C429" s="537" t="s">
        <v>211</v>
      </c>
      <c r="D429" s="540"/>
      <c r="E429" s="316">
        <f>SUM(E414:E428)</f>
        <v>615.1483615</v>
      </c>
      <c r="F429" s="316">
        <f t="shared" ref="F429:P429" si="71">SUM(F414:F428)</f>
        <v>659.2800935</v>
      </c>
      <c r="G429" s="316">
        <f t="shared" si="71"/>
        <v>646.8505815</v>
      </c>
      <c r="H429" s="316">
        <f t="shared" si="71"/>
        <v>634.111658</v>
      </c>
      <c r="I429" s="316">
        <f t="shared" si="71"/>
        <v>650.4453005</v>
      </c>
      <c r="J429" s="316">
        <f t="shared" si="71"/>
        <v>627.785619483</v>
      </c>
      <c r="K429" s="316">
        <f t="shared" si="71"/>
        <v>637.152778</v>
      </c>
      <c r="L429" s="316">
        <f t="shared" si="71"/>
        <v>637.273179</v>
      </c>
      <c r="M429" s="316">
        <f t="shared" si="71"/>
        <v>638.1604255</v>
      </c>
      <c r="N429" s="316">
        <f t="shared" si="71"/>
        <v>639.048251</v>
      </c>
      <c r="O429" s="316">
        <f t="shared" si="71"/>
        <v>629.005331</v>
      </c>
      <c r="P429" s="316">
        <f t="shared" si="71"/>
        <v>711.0830685</v>
      </c>
      <c r="Q429" s="316">
        <f t="shared" si="69"/>
        <v>7725.344647483</v>
      </c>
    </row>
    <row r="430" ht="15" spans="3:17">
      <c r="C430" s="44" t="s">
        <v>219</v>
      </c>
      <c r="D430" s="45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316"/>
    </row>
    <row r="431" ht="15" spans="3:17">
      <c r="C431" s="55" t="s">
        <v>191</v>
      </c>
      <c r="D431" s="55" t="s">
        <v>192</v>
      </c>
      <c r="E431" s="147">
        <f>F4A!E430+F4B!E430</f>
        <v>353.754349</v>
      </c>
      <c r="F431" s="147">
        <f>F4A!F430+F4B!F430</f>
        <v>342.816285</v>
      </c>
      <c r="G431" s="147">
        <f>F4A!G430+F4B!G430</f>
        <v>354.450655</v>
      </c>
      <c r="H431" s="147">
        <f>F4A!H430+F4B!H430</f>
        <v>343.523486</v>
      </c>
      <c r="I431" s="147">
        <f>F4A!I430+F4B!I430</f>
        <v>370.206155</v>
      </c>
      <c r="J431" s="147">
        <f>F4A!J430+F4B!J430</f>
        <v>368.659577</v>
      </c>
      <c r="K431" s="147">
        <f>F4A!K430+F4B!K430</f>
        <v>396.30107</v>
      </c>
      <c r="L431" s="147">
        <f>F4A!L430+F4B!L430</f>
        <v>390.546152</v>
      </c>
      <c r="M431" s="147">
        <f>F4A!M430+F4B!M430</f>
        <v>396.722489</v>
      </c>
      <c r="N431" s="147">
        <f>F4A!N430+F4B!N430</f>
        <v>390.381964</v>
      </c>
      <c r="O431" s="147">
        <f>F4A!O430+F4B!O430</f>
        <v>360.75827</v>
      </c>
      <c r="P431" s="147">
        <f>F4A!P430+F4B!P430</f>
        <v>391.369095</v>
      </c>
      <c r="Q431" s="316">
        <f t="shared" ref="Q431:Q450" si="72">SUM(E431:P431)</f>
        <v>4459.489547</v>
      </c>
    </row>
    <row r="432" ht="15" spans="3:17">
      <c r="C432" s="55" t="s">
        <v>193</v>
      </c>
      <c r="D432" s="55" t="s">
        <v>194</v>
      </c>
      <c r="E432" s="147">
        <f>F4A!E431+F4B!E431</f>
        <v>14.864935</v>
      </c>
      <c r="F432" s="147">
        <f>F4A!F431+F4B!F431</f>
        <v>16.884465</v>
      </c>
      <c r="G432" s="147">
        <f>F4A!G431+F4B!G431</f>
        <v>8.165</v>
      </c>
      <c r="H432" s="147">
        <f>F4A!H431+F4B!H431</f>
        <v>9.3055</v>
      </c>
      <c r="I432" s="147">
        <f>F4A!I431+F4B!I431</f>
        <v>14.862485</v>
      </c>
      <c r="J432" s="147">
        <f>F4A!J431+F4B!J431</f>
        <v>12.82638</v>
      </c>
      <c r="K432" s="147">
        <f>F4A!K431+F4B!K431</f>
        <v>14.813835</v>
      </c>
      <c r="L432" s="147">
        <f>F4A!L431+F4B!L431</f>
        <v>10.4765</v>
      </c>
      <c r="M432" s="147">
        <f>F4A!M431+F4B!M431</f>
        <v>12.8933</v>
      </c>
      <c r="N432" s="147">
        <f>F4A!N431+F4B!N431</f>
        <v>13.8759</v>
      </c>
      <c r="O432" s="147">
        <f>F4A!O431+F4B!O431</f>
        <v>12.5152</v>
      </c>
      <c r="P432" s="147">
        <f>F4A!P431+F4B!P431</f>
        <v>11.67</v>
      </c>
      <c r="Q432" s="316">
        <f t="shared" si="72"/>
        <v>153.1535</v>
      </c>
    </row>
    <row r="433" ht="15" spans="3:17">
      <c r="C433" s="55" t="s">
        <v>239</v>
      </c>
      <c r="D433" s="55" t="s">
        <v>196</v>
      </c>
      <c r="E433" s="147">
        <f>F4A!E432+F4B!E432</f>
        <v>4.175645</v>
      </c>
      <c r="F433" s="147">
        <f>F4A!F432+F4B!F432</f>
        <v>4.948725</v>
      </c>
      <c r="G433" s="147">
        <f>F4A!G432+F4B!G432</f>
        <v>5.0636</v>
      </c>
      <c r="H433" s="147">
        <f>F4A!H432+F4B!H432</f>
        <v>4.392</v>
      </c>
      <c r="I433" s="147">
        <f>F4A!I432+F4B!I432</f>
        <v>6.144615</v>
      </c>
      <c r="J433" s="147">
        <f>F4A!J432+F4B!J432</f>
        <v>6.96166</v>
      </c>
      <c r="K433" s="147">
        <f>F4A!K432+F4B!K432</f>
        <v>8.77804</v>
      </c>
      <c r="L433" s="147">
        <f>F4A!L432+F4B!L432</f>
        <v>9.160365</v>
      </c>
      <c r="M433" s="147">
        <f>F4A!M432+F4B!M432</f>
        <v>9.11136</v>
      </c>
      <c r="N433" s="147">
        <f>F4A!N432+F4B!N432</f>
        <v>9.17925</v>
      </c>
      <c r="O433" s="147">
        <f>F4A!O432+F4B!O432</f>
        <v>10.853265</v>
      </c>
      <c r="P433" s="147">
        <f>F4A!P432+F4B!P432</f>
        <v>15.47474</v>
      </c>
      <c r="Q433" s="316">
        <f t="shared" si="72"/>
        <v>94.243265</v>
      </c>
    </row>
    <row r="434" ht="15" spans="3:17">
      <c r="C434" s="55" t="s">
        <v>197</v>
      </c>
      <c r="D434" s="55" t="s">
        <v>198</v>
      </c>
      <c r="E434" s="147">
        <f>F4A!E433+F4B!E433</f>
        <v>0</v>
      </c>
      <c r="F434" s="147">
        <f>F4A!F433+F4B!F433</f>
        <v>0</v>
      </c>
      <c r="G434" s="147">
        <f>F4A!G433+F4B!G433</f>
        <v>0</v>
      </c>
      <c r="H434" s="147">
        <f>F4A!H433+F4B!H433</f>
        <v>0</v>
      </c>
      <c r="I434" s="147">
        <f>F4A!I433+F4B!I433</f>
        <v>0</v>
      </c>
      <c r="J434" s="147">
        <f>F4A!J433+F4B!J433</f>
        <v>0</v>
      </c>
      <c r="K434" s="147">
        <f>F4A!K433+F4B!K433</f>
        <v>0</v>
      </c>
      <c r="L434" s="147">
        <f>F4A!L433+F4B!L433</f>
        <v>0</v>
      </c>
      <c r="M434" s="147">
        <f>F4A!M433+F4B!M433</f>
        <v>0</v>
      </c>
      <c r="N434" s="147">
        <f>F4A!N433+F4B!N433</f>
        <v>0</v>
      </c>
      <c r="O434" s="147">
        <f>F4A!O433+F4B!O433</f>
        <v>0</v>
      </c>
      <c r="P434" s="147">
        <f>F4A!P433+F4B!P433</f>
        <v>0</v>
      </c>
      <c r="Q434" s="316">
        <f t="shared" si="72"/>
        <v>0</v>
      </c>
    </row>
    <row r="435" ht="15" spans="3:17">
      <c r="C435" s="55" t="s">
        <v>199</v>
      </c>
      <c r="D435" s="55" t="s">
        <v>200</v>
      </c>
      <c r="E435" s="147">
        <f>F4A!E434+F4B!E434</f>
        <v>6.46275</v>
      </c>
      <c r="F435" s="147">
        <f>F4A!F434+F4B!F434</f>
        <v>7.64446</v>
      </c>
      <c r="G435" s="147">
        <f>F4A!G434+F4B!G434</f>
        <v>7.34827</v>
      </c>
      <c r="H435" s="147">
        <f>F4A!H434+F4B!H434</f>
        <v>7.04593</v>
      </c>
      <c r="I435" s="147">
        <f>F4A!I434+F4B!I434</f>
        <v>7.2425</v>
      </c>
      <c r="J435" s="147">
        <f>F4A!J434+F4B!J434</f>
        <v>7.24163</v>
      </c>
      <c r="K435" s="147">
        <f>F4A!K434+F4B!K434</f>
        <v>6.92157</v>
      </c>
      <c r="L435" s="147">
        <f>F4A!L434+F4B!L434</f>
        <v>7.05844</v>
      </c>
      <c r="M435" s="147">
        <f>F4A!M434+F4B!M434</f>
        <v>6.27938</v>
      </c>
      <c r="N435" s="147">
        <f>F4A!N434+F4B!N434</f>
        <v>6.29914</v>
      </c>
      <c r="O435" s="147">
        <f>F4A!O434+F4B!O434</f>
        <v>7.02854</v>
      </c>
      <c r="P435" s="147">
        <f>F4A!P434+F4B!P434</f>
        <v>8.40917</v>
      </c>
      <c r="Q435" s="316">
        <f t="shared" si="72"/>
        <v>84.98178</v>
      </c>
    </row>
    <row r="436" ht="15" spans="3:17">
      <c r="C436" s="55" t="s">
        <v>201</v>
      </c>
      <c r="D436" s="55" t="s">
        <v>240</v>
      </c>
      <c r="E436" s="147">
        <f>F4A!E435+F4B!E435</f>
        <v>51.47840647</v>
      </c>
      <c r="F436" s="147">
        <f>F4A!F435+F4B!F435</f>
        <v>29.94577976</v>
      </c>
      <c r="G436" s="147">
        <f>F4A!G435+F4B!G435</f>
        <v>50.68736743</v>
      </c>
      <c r="H436" s="147">
        <f>F4A!H435+F4B!H435</f>
        <v>71.81653812</v>
      </c>
      <c r="I436" s="147">
        <f>F4A!I435+F4B!I435</f>
        <v>182.16534286</v>
      </c>
      <c r="J436" s="147">
        <f>F4A!J435+F4B!J435</f>
        <v>241.63227312</v>
      </c>
      <c r="K436" s="147">
        <f>F4A!K435+F4B!K435</f>
        <v>204.20994608</v>
      </c>
      <c r="L436" s="147">
        <f>F4A!L435+F4B!L435</f>
        <v>193.09336476</v>
      </c>
      <c r="M436" s="147">
        <f>F4A!M435+F4B!M435</f>
        <v>57.60779998</v>
      </c>
      <c r="N436" s="147">
        <f>F4A!N435+F4B!N435</f>
        <v>39.88847315</v>
      </c>
      <c r="O436" s="147">
        <f>F4A!O435+F4B!O435</f>
        <v>49.77171331</v>
      </c>
      <c r="P436" s="147">
        <f>F4A!P435+F4B!P435</f>
        <v>33.54475643</v>
      </c>
      <c r="Q436" s="316">
        <f t="shared" si="72"/>
        <v>1205.84176147</v>
      </c>
    </row>
    <row r="437" ht="15" spans="3:17">
      <c r="C437" s="55" t="s">
        <v>203</v>
      </c>
      <c r="D437" s="55" t="s">
        <v>220</v>
      </c>
      <c r="E437" s="147">
        <f>F4A!E436+F4B!E436</f>
        <v>21.2335</v>
      </c>
      <c r="F437" s="147">
        <f>F4A!F436+F4B!F436</f>
        <v>23.23506</v>
      </c>
      <c r="G437" s="147">
        <f>F4A!G436+F4B!G436</f>
        <v>21.48016</v>
      </c>
      <c r="H437" s="147">
        <f>F4A!H436+F4B!H436</f>
        <v>20.95078</v>
      </c>
      <c r="I437" s="147">
        <f>F4A!I436+F4B!I436</f>
        <v>23.5218</v>
      </c>
      <c r="J437" s="147">
        <f>F4A!J436+F4B!J436</f>
        <v>22.61348</v>
      </c>
      <c r="K437" s="147">
        <f>F4A!K436+F4B!K436</f>
        <v>22.62072</v>
      </c>
      <c r="L437" s="147">
        <f>F4A!L436+F4B!L436</f>
        <v>23.574</v>
      </c>
      <c r="M437" s="147">
        <f>F4A!M436+F4B!M436</f>
        <v>25</v>
      </c>
      <c r="N437" s="147">
        <f>F4A!N436+F4B!N436</f>
        <v>23.49334</v>
      </c>
      <c r="O437" s="147">
        <f>F4A!O436+F4B!O436</f>
        <v>20.83466</v>
      </c>
      <c r="P437" s="147">
        <f>F4A!P436+F4B!P436</f>
        <v>25.172</v>
      </c>
      <c r="Q437" s="316">
        <f t="shared" si="72"/>
        <v>273.7295</v>
      </c>
    </row>
    <row r="438" ht="15" spans="3:17">
      <c r="C438" s="55" t="s">
        <v>241</v>
      </c>
      <c r="D438" s="55" t="s">
        <v>229</v>
      </c>
      <c r="E438" s="147">
        <f>F4A!E437+F4B!E437</f>
        <v>35.659178</v>
      </c>
      <c r="F438" s="147">
        <f>F4A!F437+F4B!F437</f>
        <v>38.505745</v>
      </c>
      <c r="G438" s="147">
        <f>F4A!G437+F4B!G437</f>
        <v>36.94497</v>
      </c>
      <c r="H438" s="147">
        <f>F4A!H437+F4B!H437</f>
        <v>38.45358</v>
      </c>
      <c r="I438" s="147">
        <f>F4A!I437+F4B!I437</f>
        <v>40.649315</v>
      </c>
      <c r="J438" s="147">
        <f>F4A!J437+F4B!J437</f>
        <v>40.313665</v>
      </c>
      <c r="K438" s="147">
        <f>F4A!K437+F4B!K437</f>
        <v>44.821985</v>
      </c>
      <c r="L438" s="147">
        <f>F4A!L437+F4B!L437</f>
        <v>43.1288</v>
      </c>
      <c r="M438" s="147">
        <f>F4A!M437+F4B!M437</f>
        <v>42.76955</v>
      </c>
      <c r="N438" s="147">
        <f>F4A!N437+F4B!N437</f>
        <v>44.6322</v>
      </c>
      <c r="O438" s="147">
        <f>F4A!O437+F4B!O437</f>
        <v>41.9162</v>
      </c>
      <c r="P438" s="147">
        <f>F4A!P437+F4B!P437</f>
        <v>45.76611</v>
      </c>
      <c r="Q438" s="316">
        <f t="shared" si="72"/>
        <v>493.561298</v>
      </c>
    </row>
    <row r="439" ht="15" spans="3:17">
      <c r="C439" s="55" t="s">
        <v>259</v>
      </c>
      <c r="D439" s="55" t="s">
        <v>243</v>
      </c>
      <c r="E439" s="147">
        <f>F4A!E438+F4B!E438</f>
        <v>7.640682</v>
      </c>
      <c r="F439" s="147">
        <f>F4A!F438+F4B!F438</f>
        <v>8.254045</v>
      </c>
      <c r="G439" s="147">
        <f>F4A!G438+F4B!G438</f>
        <v>8.191949</v>
      </c>
      <c r="H439" s="147">
        <f>F4A!H438+F4B!H438</f>
        <v>8.098411</v>
      </c>
      <c r="I439" s="147">
        <f>F4A!I438+F4B!I438</f>
        <v>7.530217</v>
      </c>
      <c r="J439" s="147">
        <f>F4A!J438+F4B!J438</f>
        <v>7.587986</v>
      </c>
      <c r="K439" s="147">
        <f>F4A!K438+F4B!K438</f>
        <v>9.98315</v>
      </c>
      <c r="L439" s="147">
        <f>F4A!L438+F4B!L438</f>
        <v>7.273028</v>
      </c>
      <c r="M439" s="147">
        <f>F4A!M438+F4B!M438</f>
        <v>9.11264</v>
      </c>
      <c r="N439" s="147">
        <f>F4A!N438+F4B!N438</f>
        <v>9.38533</v>
      </c>
      <c r="O439" s="147">
        <f>F4A!O438+F4B!O438</f>
        <v>9.3696</v>
      </c>
      <c r="P439" s="147">
        <f>F4A!P438+F4B!P438</f>
        <v>10.62205</v>
      </c>
      <c r="Q439" s="316">
        <f t="shared" si="72"/>
        <v>103.049088</v>
      </c>
    </row>
    <row r="440" ht="15" spans="3:17">
      <c r="C440" s="55" t="s">
        <v>205</v>
      </c>
      <c r="D440" s="55" t="s">
        <v>206</v>
      </c>
      <c r="E440" s="147">
        <f>F4A!E439+F4B!E439</f>
        <v>0</v>
      </c>
      <c r="F440" s="147">
        <f>F4A!F439+F4B!F439</f>
        <v>0</v>
      </c>
      <c r="G440" s="147">
        <f>F4A!G439+F4B!G439</f>
        <v>0</v>
      </c>
      <c r="H440" s="147">
        <f>F4A!H439+F4B!H439</f>
        <v>0</v>
      </c>
      <c r="I440" s="147">
        <f>F4A!I439+F4B!I439</f>
        <v>0</v>
      </c>
      <c r="J440" s="147">
        <f>F4A!J439+F4B!J439</f>
        <v>0</v>
      </c>
      <c r="K440" s="147">
        <f>F4A!K439+F4B!K439</f>
        <v>0</v>
      </c>
      <c r="L440" s="147">
        <f>F4A!L439+F4B!L439</f>
        <v>0</v>
      </c>
      <c r="M440" s="147">
        <f>F4A!M439+F4B!M439</f>
        <v>0</v>
      </c>
      <c r="N440" s="147">
        <f>F4A!N439+F4B!N439</f>
        <v>0</v>
      </c>
      <c r="O440" s="147">
        <f>F4A!O439+F4B!O439</f>
        <v>0</v>
      </c>
      <c r="P440" s="147">
        <f>F4A!P439+F4B!P439</f>
        <v>0</v>
      </c>
      <c r="Q440" s="316">
        <f t="shared" si="72"/>
        <v>0</v>
      </c>
    </row>
    <row r="441" ht="15" spans="3:17">
      <c r="C441" s="55" t="s">
        <v>207</v>
      </c>
      <c r="D441" s="55" t="s">
        <v>186</v>
      </c>
      <c r="E441" s="147">
        <f>F4A!E440+F4B!E440</f>
        <v>0</v>
      </c>
      <c r="F441" s="147">
        <f>F4A!F440+F4B!F440</f>
        <v>0</v>
      </c>
      <c r="G441" s="147">
        <f>F4A!G440+F4B!G440</f>
        <v>0</v>
      </c>
      <c r="H441" s="147">
        <f>F4A!H440+F4B!H440</f>
        <v>0</v>
      </c>
      <c r="I441" s="147">
        <f>F4A!I440+F4B!I440</f>
        <v>0</v>
      </c>
      <c r="J441" s="147">
        <f>F4A!J440+F4B!J440</f>
        <v>0</v>
      </c>
      <c r="K441" s="147">
        <f>F4A!K440+F4B!K440</f>
        <v>0</v>
      </c>
      <c r="L441" s="147">
        <f>F4A!L440+F4B!L440</f>
        <v>0</v>
      </c>
      <c r="M441" s="147">
        <f>F4A!M440+F4B!M440</f>
        <v>0</v>
      </c>
      <c r="N441" s="147">
        <f>F4A!N440+F4B!N440</f>
        <v>0</v>
      </c>
      <c r="O441" s="147">
        <f>F4A!O440+F4B!O440</f>
        <v>0</v>
      </c>
      <c r="P441" s="147">
        <f>F4A!P440+F4B!P440</f>
        <v>0</v>
      </c>
      <c r="Q441" s="316">
        <f t="shared" si="72"/>
        <v>0</v>
      </c>
    </row>
    <row r="442" ht="15" spans="3:17">
      <c r="C442" s="55" t="s">
        <v>208</v>
      </c>
      <c r="D442" s="55" t="s">
        <v>209</v>
      </c>
      <c r="E442" s="147">
        <f>F4A!E441+F4B!E441</f>
        <v>0</v>
      </c>
      <c r="F442" s="147">
        <f>F4A!F441+F4B!F441</f>
        <v>0</v>
      </c>
      <c r="G442" s="147">
        <f>F4A!G441+F4B!G441</f>
        <v>0</v>
      </c>
      <c r="H442" s="147">
        <f>F4A!H441+F4B!H441</f>
        <v>0</v>
      </c>
      <c r="I442" s="147">
        <f>F4A!I441+F4B!I441</f>
        <v>0</v>
      </c>
      <c r="J442" s="147">
        <f>F4A!J441+F4B!J441</f>
        <v>0</v>
      </c>
      <c r="K442" s="147">
        <f>F4A!K441+F4B!K441</f>
        <v>0</v>
      </c>
      <c r="L442" s="147">
        <f>F4A!L441+F4B!L441</f>
        <v>0</v>
      </c>
      <c r="M442" s="147">
        <f>F4A!M441+F4B!M441</f>
        <v>0</v>
      </c>
      <c r="N442" s="147">
        <f>F4A!N441+F4B!N441</f>
        <v>0</v>
      </c>
      <c r="O442" s="147">
        <f>F4A!O441+F4B!O441</f>
        <v>0</v>
      </c>
      <c r="P442" s="147">
        <f>F4A!P441+F4B!P441</f>
        <v>0</v>
      </c>
      <c r="Q442" s="316">
        <f t="shared" si="72"/>
        <v>0</v>
      </c>
    </row>
    <row r="443" ht="15" spans="3:17">
      <c r="C443" s="55" t="s">
        <v>210</v>
      </c>
      <c r="D443" s="55" t="s">
        <v>188</v>
      </c>
      <c r="E443" s="147">
        <f>F4A!E442+F4B!E442</f>
        <v>0</v>
      </c>
      <c r="F443" s="147">
        <f>F4A!F442+F4B!F442</f>
        <v>0</v>
      </c>
      <c r="G443" s="147">
        <f>F4A!G442+F4B!G442</f>
        <v>0</v>
      </c>
      <c r="H443" s="147">
        <f>F4A!H442+F4B!H442</f>
        <v>0</v>
      </c>
      <c r="I443" s="147">
        <f>F4A!I442+F4B!I442</f>
        <v>0</v>
      </c>
      <c r="J443" s="147">
        <f>F4A!J442+F4B!J442</f>
        <v>0</v>
      </c>
      <c r="K443" s="147">
        <f>F4A!K442+F4B!K442</f>
        <v>0</v>
      </c>
      <c r="L443" s="147">
        <f>F4A!L442+F4B!L442</f>
        <v>0</v>
      </c>
      <c r="M443" s="147">
        <f>F4A!M442+F4B!M442</f>
        <v>0</v>
      </c>
      <c r="N443" s="147">
        <f>F4A!N442+F4B!N442</f>
        <v>0</v>
      </c>
      <c r="O443" s="147">
        <f>F4A!O442+F4B!O442</f>
        <v>0</v>
      </c>
      <c r="P443" s="147">
        <f>F4A!P442+F4B!P442</f>
        <v>0</v>
      </c>
      <c r="Q443" s="316">
        <f t="shared" si="72"/>
        <v>0</v>
      </c>
    </row>
    <row r="444" ht="15" spans="3:17">
      <c r="C444" s="55"/>
      <c r="D444" s="55"/>
      <c r="E444" s="147">
        <f>F4A!E443+F4B!E443</f>
        <v>0</v>
      </c>
      <c r="F444" s="147">
        <f>F4A!F443+F4B!F443</f>
        <v>0</v>
      </c>
      <c r="G444" s="147">
        <f>F4A!G443+F4B!G443</f>
        <v>0</v>
      </c>
      <c r="H444" s="147">
        <f>F4A!H443+F4B!H443</f>
        <v>0</v>
      </c>
      <c r="I444" s="147">
        <f>F4A!I443+F4B!I443</f>
        <v>0</v>
      </c>
      <c r="J444" s="147">
        <f>F4A!J443+F4B!J443</f>
        <v>0</v>
      </c>
      <c r="K444" s="147">
        <f>F4A!K443+F4B!K443</f>
        <v>0</v>
      </c>
      <c r="L444" s="147">
        <f>F4A!L443+F4B!L443</f>
        <v>0</v>
      </c>
      <c r="M444" s="147">
        <f>F4A!M443+F4B!M443</f>
        <v>0</v>
      </c>
      <c r="N444" s="147">
        <f>F4A!N443+F4B!N443</f>
        <v>0</v>
      </c>
      <c r="O444" s="147">
        <f>F4A!O443+F4B!O443</f>
        <v>0</v>
      </c>
      <c r="P444" s="147">
        <f>F4A!P443+F4B!P443</f>
        <v>0</v>
      </c>
      <c r="Q444" s="316">
        <f t="shared" si="72"/>
        <v>0</v>
      </c>
    </row>
    <row r="445" ht="15" spans="3:17">
      <c r="C445" s="55"/>
      <c r="D445" s="55"/>
      <c r="E445" s="147">
        <f>F4A!E444+F4B!E444</f>
        <v>0</v>
      </c>
      <c r="F445" s="147">
        <f>F4A!F444+F4B!F444</f>
        <v>0</v>
      </c>
      <c r="G445" s="147">
        <f>F4A!G444+F4B!G444</f>
        <v>0</v>
      </c>
      <c r="H445" s="147">
        <f>F4A!H444+F4B!H444</f>
        <v>0</v>
      </c>
      <c r="I445" s="147">
        <f>F4A!I444+F4B!I444</f>
        <v>0</v>
      </c>
      <c r="J445" s="147">
        <f>F4A!J444+F4B!J444</f>
        <v>0</v>
      </c>
      <c r="K445" s="147">
        <f>F4A!K444+F4B!K444</f>
        <v>0</v>
      </c>
      <c r="L445" s="147">
        <f>F4A!L444+F4B!L444</f>
        <v>0</v>
      </c>
      <c r="M445" s="147">
        <f>F4A!M444+F4B!M444</f>
        <v>0</v>
      </c>
      <c r="N445" s="147">
        <f>F4A!N444+F4B!N444</f>
        <v>0</v>
      </c>
      <c r="O445" s="147">
        <f>F4A!O444+F4B!O444</f>
        <v>0</v>
      </c>
      <c r="P445" s="147">
        <f>F4A!P444+F4B!P444</f>
        <v>0</v>
      </c>
      <c r="Q445" s="316">
        <f t="shared" si="72"/>
        <v>0</v>
      </c>
    </row>
    <row r="446" ht="15" spans="3:17">
      <c r="C446" s="55"/>
      <c r="D446" s="55"/>
      <c r="E446" s="147">
        <f>F4A!E445+F4B!E445</f>
        <v>0</v>
      </c>
      <c r="F446" s="147">
        <f>F4A!F445+F4B!F445</f>
        <v>0</v>
      </c>
      <c r="G446" s="147">
        <f>F4A!G445+F4B!G445</f>
        <v>0</v>
      </c>
      <c r="H446" s="147">
        <f>F4A!H445+F4B!H445</f>
        <v>0</v>
      </c>
      <c r="I446" s="147">
        <f>F4A!I445+F4B!I445</f>
        <v>0</v>
      </c>
      <c r="J446" s="147">
        <f>F4A!J445+F4B!J445</f>
        <v>0</v>
      </c>
      <c r="K446" s="147">
        <f>F4A!K445+F4B!K445</f>
        <v>0</v>
      </c>
      <c r="L446" s="147">
        <f>F4A!L445+F4B!L445</f>
        <v>0</v>
      </c>
      <c r="M446" s="147">
        <f>F4A!M445+F4B!M445</f>
        <v>0</v>
      </c>
      <c r="N446" s="147">
        <f>F4A!N445+F4B!N445</f>
        <v>0</v>
      </c>
      <c r="O446" s="147">
        <f>F4A!O445+F4B!O445</f>
        <v>0</v>
      </c>
      <c r="P446" s="147">
        <f>F4A!P445+F4B!P445</f>
        <v>0</v>
      </c>
      <c r="Q446" s="316">
        <f t="shared" si="72"/>
        <v>0</v>
      </c>
    </row>
    <row r="447" ht="15" spans="3:17">
      <c r="C447" s="55" t="s">
        <v>258</v>
      </c>
      <c r="D447" s="55" t="s">
        <v>258</v>
      </c>
      <c r="E447" s="147">
        <f>F4A!E446+F4B!E446</f>
        <v>0</v>
      </c>
      <c r="F447" s="147">
        <f>F4A!F446+F4B!F446</f>
        <v>0</v>
      </c>
      <c r="G447" s="147">
        <f>F4A!G446+F4B!G446</f>
        <v>0</v>
      </c>
      <c r="H447" s="147">
        <f>F4A!H446+F4B!H446</f>
        <v>0</v>
      </c>
      <c r="I447" s="147">
        <f>F4A!I446+F4B!I446</f>
        <v>0</v>
      </c>
      <c r="J447" s="147">
        <f>F4A!J446+F4B!J446</f>
        <v>0</v>
      </c>
      <c r="K447" s="147">
        <f>F4A!K446+F4B!K446</f>
        <v>0</v>
      </c>
      <c r="L447" s="147">
        <f>F4A!L446+F4B!L446</f>
        <v>0</v>
      </c>
      <c r="M447" s="147">
        <f>F4A!M446+F4B!M446</f>
        <v>0</v>
      </c>
      <c r="N447" s="147">
        <f>F4A!N446+F4B!N446</f>
        <v>0</v>
      </c>
      <c r="O447" s="147">
        <f>F4A!O446+F4B!O446</f>
        <v>0</v>
      </c>
      <c r="P447" s="147">
        <f>F4A!P446+F4B!P446</f>
        <v>0</v>
      </c>
      <c r="Q447" s="316">
        <f t="shared" si="72"/>
        <v>0</v>
      </c>
    </row>
    <row r="448" ht="15" spans="3:17">
      <c r="C448" s="537" t="s">
        <v>211</v>
      </c>
      <c r="D448" s="540"/>
      <c r="E448" s="316">
        <f>SUM(E431:E447)</f>
        <v>495.26944547</v>
      </c>
      <c r="F448" s="316">
        <f t="shared" ref="F448:P448" si="73">SUM(F431:F447)</f>
        <v>472.23456476</v>
      </c>
      <c r="G448" s="316">
        <f t="shared" si="73"/>
        <v>492.33197143</v>
      </c>
      <c r="H448" s="316">
        <f t="shared" si="73"/>
        <v>503.58622512</v>
      </c>
      <c r="I448" s="316">
        <f t="shared" si="73"/>
        <v>652.32242986</v>
      </c>
      <c r="J448" s="316">
        <f t="shared" si="73"/>
        <v>707.83665112</v>
      </c>
      <c r="K448" s="316">
        <f t="shared" si="73"/>
        <v>708.45031608</v>
      </c>
      <c r="L448" s="316">
        <f t="shared" si="73"/>
        <v>684.31064976</v>
      </c>
      <c r="M448" s="316">
        <f t="shared" si="73"/>
        <v>559.49651898</v>
      </c>
      <c r="N448" s="316">
        <f t="shared" si="73"/>
        <v>537.13559715</v>
      </c>
      <c r="O448" s="316">
        <f t="shared" si="73"/>
        <v>513.04744831</v>
      </c>
      <c r="P448" s="316">
        <f t="shared" si="73"/>
        <v>542.02792143</v>
      </c>
      <c r="Q448" s="316">
        <f t="shared" si="72"/>
        <v>6868.04973947</v>
      </c>
    </row>
    <row r="449" ht="15" spans="3:17">
      <c r="C449" s="537" t="s">
        <v>223</v>
      </c>
      <c r="D449" s="540"/>
      <c r="E449" s="316">
        <f>E448+E429+E412</f>
        <v>1699.289265</v>
      </c>
      <c r="F449" s="316">
        <f t="shared" ref="F449:P449" si="74">F448+F429+F412</f>
        <v>1752.5282652263</v>
      </c>
      <c r="G449" s="316">
        <f t="shared" si="74"/>
        <v>1750.14072974</v>
      </c>
      <c r="H449" s="316">
        <f t="shared" si="74"/>
        <v>1701.773912485</v>
      </c>
      <c r="I449" s="316">
        <f t="shared" si="74"/>
        <v>1898.263908415</v>
      </c>
      <c r="J449" s="316">
        <f t="shared" si="74"/>
        <v>1894.968585633</v>
      </c>
      <c r="K449" s="316">
        <f t="shared" si="74"/>
        <v>1922.94895366</v>
      </c>
      <c r="L449" s="316">
        <f t="shared" si="74"/>
        <v>1887.50935732</v>
      </c>
      <c r="M449" s="316">
        <f t="shared" si="74"/>
        <v>1770.03193365</v>
      </c>
      <c r="N449" s="316">
        <f t="shared" si="74"/>
        <v>1738.78659224</v>
      </c>
      <c r="O449" s="316">
        <f t="shared" si="74"/>
        <v>1714.76989598</v>
      </c>
      <c r="P449" s="316">
        <f t="shared" si="74"/>
        <v>1881.615171905</v>
      </c>
      <c r="Q449" s="316">
        <f t="shared" si="72"/>
        <v>21612.6265712543</v>
      </c>
    </row>
    <row r="450" ht="15" spans="3:17">
      <c r="C450" s="537" t="s">
        <v>224</v>
      </c>
      <c r="D450" s="540"/>
      <c r="E450" s="316">
        <f>E449+E395</f>
        <v>4384.25125153518</v>
      </c>
      <c r="F450" s="316">
        <f t="shared" ref="F450:P450" si="75">F449+F395</f>
        <v>3914.45488809958</v>
      </c>
      <c r="G450" s="316">
        <f t="shared" si="75"/>
        <v>3891.40864400627</v>
      </c>
      <c r="H450" s="316">
        <f t="shared" si="75"/>
        <v>3907.66050231041</v>
      </c>
      <c r="I450" s="316">
        <f t="shared" si="75"/>
        <v>4929.74574129228</v>
      </c>
      <c r="J450" s="316">
        <f t="shared" si="75"/>
        <v>4419.90600531855</v>
      </c>
      <c r="K450" s="316">
        <f t="shared" si="75"/>
        <v>5025.9017050792</v>
      </c>
      <c r="L450" s="316">
        <f t="shared" si="75"/>
        <v>3944.04128609473</v>
      </c>
      <c r="M450" s="316">
        <f t="shared" si="75"/>
        <v>4072.90198989491</v>
      </c>
      <c r="N450" s="316">
        <f t="shared" si="75"/>
        <v>4623.04343844719</v>
      </c>
      <c r="O450" s="316">
        <f t="shared" si="75"/>
        <v>4766.01991287152</v>
      </c>
      <c r="P450" s="316">
        <f t="shared" si="75"/>
        <v>5499.525622655</v>
      </c>
      <c r="Q450" s="316">
        <f t="shared" si="72"/>
        <v>53378.8609876048</v>
      </c>
    </row>
    <row r="452" ht="15" spans="3:17">
      <c r="C452" s="14"/>
      <c r="Q452" s="3" t="s">
        <v>236</v>
      </c>
    </row>
    <row r="453" ht="15" spans="3:17">
      <c r="C453" s="6" t="s">
        <v>159</v>
      </c>
      <c r="D453" s="6"/>
      <c r="E453" s="881" t="s">
        <v>263</v>
      </c>
      <c r="F453" s="881"/>
      <c r="G453" s="881"/>
      <c r="H453" s="881"/>
      <c r="I453" s="881"/>
      <c r="J453" s="881"/>
      <c r="K453" s="881"/>
      <c r="L453" s="881"/>
      <c r="M453" s="881"/>
      <c r="N453" s="881"/>
      <c r="O453" s="881"/>
      <c r="P453" s="881"/>
      <c r="Q453" s="881"/>
    </row>
    <row r="454" ht="15" spans="3:17">
      <c r="C454" s="6"/>
      <c r="D454" s="6"/>
      <c r="E454" s="135" t="s">
        <v>246</v>
      </c>
      <c r="F454" s="135" t="s">
        <v>247</v>
      </c>
      <c r="G454" s="135" t="s">
        <v>248</v>
      </c>
      <c r="H454" s="135" t="s">
        <v>249</v>
      </c>
      <c r="I454" s="135" t="s">
        <v>250</v>
      </c>
      <c r="J454" s="135" t="s">
        <v>251</v>
      </c>
      <c r="K454" s="135" t="s">
        <v>252</v>
      </c>
      <c r="L454" s="135" t="s">
        <v>253</v>
      </c>
      <c r="M454" s="135" t="s">
        <v>254</v>
      </c>
      <c r="N454" s="135" t="s">
        <v>255</v>
      </c>
      <c r="O454" s="135" t="s">
        <v>256</v>
      </c>
      <c r="P454" s="135" t="s">
        <v>257</v>
      </c>
      <c r="Q454" s="135" t="s">
        <v>97</v>
      </c>
    </row>
    <row r="455" ht="15" spans="3:17">
      <c r="C455" s="44" t="s">
        <v>170</v>
      </c>
      <c r="D455" s="45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316"/>
    </row>
    <row r="456" ht="15" spans="3:17">
      <c r="C456" s="47" t="s">
        <v>171</v>
      </c>
      <c r="D456" s="47" t="s">
        <v>172</v>
      </c>
      <c r="E456" s="147">
        <f>F4A!E455+F4B!E455</f>
        <v>1254.107621</v>
      </c>
      <c r="F456" s="147">
        <f>F4A!F455+F4B!F455</f>
        <v>1262.976422</v>
      </c>
      <c r="G456" s="147">
        <f>F4A!G455+F4B!G455</f>
        <v>1011.90309</v>
      </c>
      <c r="H456" s="147">
        <f>F4A!H455+F4B!H455</f>
        <v>922.8426735</v>
      </c>
      <c r="I456" s="147">
        <f>F4A!I455+F4B!I455</f>
        <v>994.735435</v>
      </c>
      <c r="J456" s="147">
        <f>F4A!J455+F4B!J455</f>
        <v>901.575534</v>
      </c>
      <c r="K456" s="147">
        <f>F4A!K455+F4B!K455</f>
        <v>929.017828828813</v>
      </c>
      <c r="L456" s="147">
        <f>F4A!L455+F4B!L455</f>
        <v>860.566663492101</v>
      </c>
      <c r="M456" s="147">
        <f>F4A!M455+F4B!M455</f>
        <v>763.361367959185</v>
      </c>
      <c r="N456" s="147">
        <f>F4A!N455+F4B!N455</f>
        <v>861.511299516917</v>
      </c>
      <c r="O456" s="147">
        <f>F4A!O455+F4B!O455</f>
        <v>816.008395741599</v>
      </c>
      <c r="P456" s="147">
        <f>F4A!P455+F4B!P455</f>
        <v>1118.99679642335</v>
      </c>
      <c r="Q456" s="316">
        <f t="shared" ref="Q456:Q481" si="76">SUM(E456:P456)</f>
        <v>11697.603127462</v>
      </c>
    </row>
    <row r="457" ht="15" spans="3:17">
      <c r="C457" s="55" t="s">
        <v>173</v>
      </c>
      <c r="D457" s="55" t="s">
        <v>174</v>
      </c>
      <c r="E457" s="147">
        <f>F4A!E456+F4B!E456</f>
        <v>364.437917</v>
      </c>
      <c r="F457" s="147">
        <f>F4A!F456+F4B!F456</f>
        <v>362.1581145</v>
      </c>
      <c r="G457" s="147">
        <f>F4A!G456+F4B!G456</f>
        <v>321.695783</v>
      </c>
      <c r="H457" s="147">
        <f>F4A!H456+F4B!H456</f>
        <v>306.244297</v>
      </c>
      <c r="I457" s="147">
        <f>F4A!I456+F4B!I456</f>
        <v>322.54559925</v>
      </c>
      <c r="J457" s="147">
        <f>F4A!J456+F4B!J456</f>
        <v>294.4840383</v>
      </c>
      <c r="K457" s="147">
        <f>F4A!K456+F4B!K456</f>
        <v>333.081832663234</v>
      </c>
      <c r="L457" s="147">
        <f>F4A!L456+F4B!L456</f>
        <v>315.187632670055</v>
      </c>
      <c r="M457" s="147">
        <f>F4A!M456+F4B!M456</f>
        <v>290.64361782959</v>
      </c>
      <c r="N457" s="147">
        <f>F4A!N456+F4B!N456</f>
        <v>318.172317343537</v>
      </c>
      <c r="O457" s="147">
        <f>F4A!O456+F4B!O456</f>
        <v>317.652496712642</v>
      </c>
      <c r="P457" s="147">
        <f>F4A!P456+F4B!P456</f>
        <v>392.702369709699</v>
      </c>
      <c r="Q457" s="316">
        <f t="shared" si="76"/>
        <v>3939.00601597876</v>
      </c>
    </row>
    <row r="458" ht="15" spans="3:17">
      <c r="C458" s="55" t="s">
        <v>175</v>
      </c>
      <c r="D458" s="55" t="s">
        <v>176</v>
      </c>
      <c r="E458" s="147">
        <f>F4A!E457+F4B!E457</f>
        <v>82.8292910000001</v>
      </c>
      <c r="F458" s="147">
        <f>F4A!F457+F4B!F457</f>
        <v>87.1684139999999</v>
      </c>
      <c r="G458" s="147">
        <f>F4A!G457+F4B!G457</f>
        <v>81.208712</v>
      </c>
      <c r="H458" s="147">
        <f>F4A!H457+F4B!H457</f>
        <v>80.3354020000001</v>
      </c>
      <c r="I458" s="147">
        <f>F4A!I457+F4B!I457</f>
        <v>79.8906180000001</v>
      </c>
      <c r="J458" s="147">
        <f>F4A!J457+F4B!J457</f>
        <v>74.830847</v>
      </c>
      <c r="K458" s="147">
        <f>F4A!K457+F4B!K457</f>
        <v>81.8170789825838</v>
      </c>
      <c r="L458" s="147">
        <f>F4A!L457+F4B!L457</f>
        <v>84.1371472058305</v>
      </c>
      <c r="M458" s="147">
        <f>F4A!M457+F4B!M457</f>
        <v>93.2427900987864</v>
      </c>
      <c r="N458" s="147">
        <f>F4A!N457+F4B!N457</f>
        <v>90.5871911282236</v>
      </c>
      <c r="O458" s="147">
        <f>F4A!O457+F4B!O457</f>
        <v>83.3735496019397</v>
      </c>
      <c r="P458" s="147">
        <f>F4A!P457+F4B!P457</f>
        <v>92.9364801192526</v>
      </c>
      <c r="Q458" s="316">
        <f t="shared" si="76"/>
        <v>1012.35752113662</v>
      </c>
    </row>
    <row r="459" ht="15" spans="3:17">
      <c r="C459" s="55" t="s">
        <v>177</v>
      </c>
      <c r="D459" s="55" t="s">
        <v>178</v>
      </c>
      <c r="E459" s="147">
        <f>F4A!E458+F4B!E458</f>
        <v>0.792586</v>
      </c>
      <c r="F459" s="147">
        <f>F4A!F458+F4B!F458</f>
        <v>0.851688000000001</v>
      </c>
      <c r="G459" s="147">
        <f>F4A!G458+F4B!G458</f>
        <v>0.770123</v>
      </c>
      <c r="H459" s="147">
        <f>F4A!H458+F4B!H458</f>
        <v>0.763276999999999</v>
      </c>
      <c r="I459" s="147">
        <f>F4A!I458+F4B!I458</f>
        <v>0.758537</v>
      </c>
      <c r="J459" s="147">
        <f>F4A!J458+F4B!J458</f>
        <v>0.72560425</v>
      </c>
      <c r="K459" s="147">
        <f>F4A!K458+F4B!K458</f>
        <v>0.80485762043819</v>
      </c>
      <c r="L459" s="147">
        <f>F4A!L458+F4B!L458</f>
        <v>0.757256642767653</v>
      </c>
      <c r="M459" s="147">
        <f>F4A!M458+F4B!M458</f>
        <v>0.800297404275563</v>
      </c>
      <c r="N459" s="147">
        <f>F4A!N458+F4B!N458</f>
        <v>0.83021086185022</v>
      </c>
      <c r="O459" s="147">
        <f>F4A!O458+F4B!O458</f>
        <v>0.746565492133344</v>
      </c>
      <c r="P459" s="147">
        <f>F4A!P458+F4B!P458</f>
        <v>0.862355150069043</v>
      </c>
      <c r="Q459" s="316">
        <f t="shared" si="76"/>
        <v>9.46335842153401</v>
      </c>
    </row>
    <row r="460" ht="15" spans="3:17">
      <c r="C460" s="55" t="s">
        <v>179</v>
      </c>
      <c r="D460" s="55" t="s">
        <v>180</v>
      </c>
      <c r="E460" s="147">
        <f>F4A!E459+F4B!E459</f>
        <v>1150.06094179262</v>
      </c>
      <c r="F460" s="147">
        <f>F4A!F459+F4B!F459</f>
        <v>535.134849879363</v>
      </c>
      <c r="G460" s="147">
        <f>F4A!G459+F4B!G459</f>
        <v>638.256395747589</v>
      </c>
      <c r="H460" s="147">
        <f>F4A!H459+F4B!H459</f>
        <v>1161.5783215538</v>
      </c>
      <c r="I460" s="147">
        <f>F4A!I459+F4B!I459</f>
        <v>1382.56638064665</v>
      </c>
      <c r="J460" s="147">
        <f>F4A!J459+F4B!J459</f>
        <v>1148.16</v>
      </c>
      <c r="K460" s="147">
        <f>F4A!K459+F4B!K459</f>
        <v>1989.28604403335</v>
      </c>
      <c r="L460" s="147">
        <f>F4A!L459+F4B!L459</f>
        <v>922.919240345036</v>
      </c>
      <c r="M460" s="147">
        <f>F4A!M459+F4B!M459</f>
        <v>1307.84063403001</v>
      </c>
      <c r="N460" s="147">
        <f>F4A!N459+F4B!N459</f>
        <v>1820.14773444619</v>
      </c>
      <c r="O460" s="147">
        <f>F4A!O459+F4B!O459</f>
        <v>2061.27626924046</v>
      </c>
      <c r="P460" s="147">
        <f>F4A!P459+F4B!P459</f>
        <v>2282.97677360365</v>
      </c>
      <c r="Q460" s="316">
        <f t="shared" si="76"/>
        <v>16400.2035853187</v>
      </c>
    </row>
    <row r="461" ht="15" spans="3:17">
      <c r="C461" s="55" t="s">
        <v>181</v>
      </c>
      <c r="D461" s="55" t="s">
        <v>182</v>
      </c>
      <c r="E461" s="147">
        <f>F4A!E460+F4B!E460</f>
        <v>43.9597113</v>
      </c>
      <c r="F461" s="147">
        <f>F4A!F460+F4B!F460</f>
        <v>41.998022</v>
      </c>
      <c r="G461" s="147">
        <f>F4A!G460+F4B!G460</f>
        <v>38.782708</v>
      </c>
      <c r="H461" s="147">
        <f>F4A!H460+F4B!H460</f>
        <v>39.402754</v>
      </c>
      <c r="I461" s="147">
        <f>F4A!I460+F4B!I460</f>
        <v>40.928262</v>
      </c>
      <c r="J461" s="147">
        <f>F4A!J460+F4B!J460</f>
        <v>38.565944</v>
      </c>
      <c r="K461" s="147">
        <f>F4A!K460+F4B!K460</f>
        <v>44.2910175935743</v>
      </c>
      <c r="L461" s="147">
        <f>F4A!L460+F4B!L460</f>
        <v>45.4752978553176</v>
      </c>
      <c r="M461" s="147">
        <f>F4A!M460+F4B!M460</f>
        <v>45.1605980807032</v>
      </c>
      <c r="N461" s="147">
        <f>F4A!N460+F4B!N460</f>
        <v>46.0569734563588</v>
      </c>
      <c r="O461" s="147">
        <f>F4A!O460+F4B!O460</f>
        <v>42.6147205232368</v>
      </c>
      <c r="P461" s="147">
        <f>F4A!P460+F4B!P460</f>
        <v>46.701612237169</v>
      </c>
      <c r="Q461" s="316">
        <f t="shared" si="76"/>
        <v>513.93762104636</v>
      </c>
    </row>
    <row r="462" ht="15" spans="3:17">
      <c r="C462" s="55" t="s">
        <v>183</v>
      </c>
      <c r="D462" s="55" t="s">
        <v>184</v>
      </c>
      <c r="E462" s="147">
        <f>F4A!E461+F4B!E461</f>
        <v>9.006769</v>
      </c>
      <c r="F462" s="147">
        <f>F4A!F461+F4B!F461</f>
        <v>7.2189</v>
      </c>
      <c r="G462" s="147">
        <f>F4A!G461+F4B!G461</f>
        <v>7.378798</v>
      </c>
      <c r="H462" s="147">
        <f>F4A!H461+F4B!H461</f>
        <v>8.67410399999999</v>
      </c>
      <c r="I462" s="147">
        <f>F4A!I461+F4B!I461</f>
        <v>9.427647</v>
      </c>
      <c r="J462" s="147">
        <f>F4A!J461+F4B!J461</f>
        <v>8.433721</v>
      </c>
      <c r="K462" s="147">
        <f>F4A!K461+F4B!K461</f>
        <v>7.43783444987914</v>
      </c>
      <c r="L462" s="147">
        <f>F4A!L461+F4B!L461</f>
        <v>8.59245657852811</v>
      </c>
      <c r="M462" s="147">
        <f>F4A!M461+F4B!M461</f>
        <v>7.64710287653709</v>
      </c>
      <c r="N462" s="147">
        <f>F4A!N461+F4B!N461</f>
        <v>7.83307058557011</v>
      </c>
      <c r="O462" s="147">
        <f>F4A!O461+F4B!O461</f>
        <v>8.6312455468385</v>
      </c>
      <c r="P462" s="147">
        <f>F4A!P461+F4B!P461</f>
        <v>11.0248373256931</v>
      </c>
      <c r="Q462" s="316">
        <f t="shared" si="76"/>
        <v>101.306486363046</v>
      </c>
    </row>
    <row r="463" ht="15" spans="3:17">
      <c r="C463" s="55" t="s">
        <v>185</v>
      </c>
      <c r="D463" s="55" t="s">
        <v>186</v>
      </c>
      <c r="E463" s="147">
        <f>F4A!E462+F4B!E462</f>
        <v>11.598436</v>
      </c>
      <c r="F463" s="147">
        <f>F4A!F462+F4B!F462</f>
        <v>11.699879</v>
      </c>
      <c r="G463" s="147">
        <f>F4A!G462+F4B!G462</f>
        <v>10.922165</v>
      </c>
      <c r="H463" s="147">
        <f>F4A!H462+F4B!H462</f>
        <v>10.803311</v>
      </c>
      <c r="I463" s="147">
        <f>F4A!I462+F4B!I462</f>
        <v>11.68794</v>
      </c>
      <c r="J463" s="147">
        <f>F4A!J462+F4B!J462</f>
        <v>10.603911</v>
      </c>
      <c r="K463" s="147">
        <f>F4A!K462+F4B!K462</f>
        <v>10.554639200444</v>
      </c>
      <c r="L463" s="147">
        <f>F4A!L462+F4B!L462</f>
        <v>10.1509566372594</v>
      </c>
      <c r="M463" s="147">
        <f>F4A!M462+F4B!M462</f>
        <v>10.0932144094951</v>
      </c>
      <c r="N463" s="147">
        <f>F4A!N462+F4B!N462</f>
        <v>11.1824342981702</v>
      </c>
      <c r="O463" s="147">
        <f>F4A!O462+F4B!O462</f>
        <v>10.8585463224018</v>
      </c>
      <c r="P463" s="147">
        <f>F4A!P462+F4B!P462</f>
        <v>13.4437115077853</v>
      </c>
      <c r="Q463" s="316">
        <f t="shared" si="76"/>
        <v>133.599144375556</v>
      </c>
    </row>
    <row r="464" ht="15" spans="3:17">
      <c r="C464" s="55" t="s">
        <v>187</v>
      </c>
      <c r="D464" s="55" t="s">
        <v>188</v>
      </c>
      <c r="E464" s="147">
        <f>F4A!E463+F4B!E463</f>
        <v>0.387727</v>
      </c>
      <c r="F464" s="147">
        <f>F4A!F463+F4B!F463</f>
        <v>0.387727</v>
      </c>
      <c r="G464" s="147">
        <f>F4A!G463+F4B!G463</f>
        <v>0.387727</v>
      </c>
      <c r="H464" s="147">
        <f>F4A!H463+F4B!H463</f>
        <v>0.387727</v>
      </c>
      <c r="I464" s="147">
        <f>F4A!I463+F4B!I463</f>
        <v>0.387727</v>
      </c>
      <c r="J464" s="147">
        <f>F4A!J463+F4B!J463</f>
        <v>0.387727</v>
      </c>
      <c r="K464" s="147">
        <f>F4A!K463+F4B!K463</f>
        <v>0.997192588372512</v>
      </c>
      <c r="L464" s="147">
        <f>F4A!L463+F4B!L463</f>
        <v>1.18826097507712</v>
      </c>
      <c r="M464" s="147">
        <f>F4A!M463+F4B!M463</f>
        <v>1.19606226342425</v>
      </c>
      <c r="N464" s="147">
        <f>F4A!N463+F4B!N463</f>
        <v>1.51583552842683</v>
      </c>
      <c r="O464" s="147">
        <f>F4A!O463+F4B!O463</f>
        <v>1.34001405080138</v>
      </c>
      <c r="P464" s="147">
        <f>F4A!P463+F4B!P463</f>
        <v>1.6770933531811</v>
      </c>
      <c r="Q464" s="316">
        <f t="shared" si="76"/>
        <v>10.2408207592832</v>
      </c>
    </row>
    <row r="465" ht="15" spans="3:17">
      <c r="C465" s="55"/>
      <c r="D465" s="55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316"/>
    </row>
    <row r="466" ht="15" spans="3:17">
      <c r="C466" s="55"/>
      <c r="D466" s="55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316"/>
    </row>
    <row r="467" ht="15" spans="3:17">
      <c r="C467" s="55"/>
      <c r="D467" s="55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316"/>
    </row>
    <row r="468" ht="15" spans="3:17">
      <c r="C468" s="55" t="s">
        <v>258</v>
      </c>
      <c r="D468" s="55" t="s">
        <v>258</v>
      </c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316"/>
    </row>
    <row r="469" ht="15" spans="3:17">
      <c r="C469" s="537" t="s">
        <v>189</v>
      </c>
      <c r="D469" s="540"/>
      <c r="E469" s="316">
        <f t="shared" ref="E469:P469" si="77">SUM(E456:E468)</f>
        <v>2917.18100009262</v>
      </c>
      <c r="F469" s="316">
        <f t="shared" si="77"/>
        <v>2309.59401637936</v>
      </c>
      <c r="G469" s="316">
        <f t="shared" si="77"/>
        <v>2111.30550174759</v>
      </c>
      <c r="H469" s="316">
        <f t="shared" si="77"/>
        <v>2531.0318670538</v>
      </c>
      <c r="I469" s="316">
        <f t="shared" si="77"/>
        <v>2842.92814589665</v>
      </c>
      <c r="J469" s="316">
        <f t="shared" si="77"/>
        <v>2477.76732655</v>
      </c>
      <c r="K469" s="316">
        <f t="shared" si="77"/>
        <v>3397.28832596069</v>
      </c>
      <c r="L469" s="316">
        <f t="shared" si="77"/>
        <v>2248.97491240197</v>
      </c>
      <c r="M469" s="316">
        <f t="shared" si="77"/>
        <v>2519.98568495201</v>
      </c>
      <c r="N469" s="316">
        <f t="shared" si="77"/>
        <v>3157.83706716524</v>
      </c>
      <c r="O469" s="316">
        <f t="shared" si="77"/>
        <v>3342.50180323205</v>
      </c>
      <c r="P469" s="316">
        <f t="shared" si="77"/>
        <v>3961.32202942985</v>
      </c>
      <c r="Q469" s="316">
        <f>SUM(E469:P469)</f>
        <v>33817.7176808618</v>
      </c>
    </row>
    <row r="470" ht="15" spans="3:17">
      <c r="C470" s="44" t="s">
        <v>190</v>
      </c>
      <c r="D470" s="45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316"/>
    </row>
    <row r="471" ht="15" spans="3:17">
      <c r="C471" s="55" t="s">
        <v>191</v>
      </c>
      <c r="D471" s="55" t="s">
        <v>192</v>
      </c>
      <c r="E471" s="147">
        <f>F4A!E470+F4B!E470</f>
        <v>371.02991539</v>
      </c>
      <c r="F471" s="147">
        <f>F4A!F470+F4B!F470</f>
        <v>377.94753075</v>
      </c>
      <c r="G471" s="147">
        <f>F4A!G470+F4B!G470</f>
        <v>365.07743747</v>
      </c>
      <c r="H471" s="147">
        <f>F4A!H470+F4B!H470</f>
        <v>368.05545036</v>
      </c>
      <c r="I471" s="147">
        <f>F4A!I470+F4B!I470</f>
        <v>369.36305401</v>
      </c>
      <c r="J471" s="147">
        <f>F4A!J470+F4B!J470</f>
        <v>350.88688923</v>
      </c>
      <c r="K471" s="147">
        <f>F4A!K470+F4B!K470</f>
        <v>366.331681014922</v>
      </c>
      <c r="L471" s="147">
        <f>F4A!L470+F4B!L470</f>
        <v>371.563248967857</v>
      </c>
      <c r="M471" s="147">
        <f>F4A!M470+F4B!M470</f>
        <v>391.185336520712</v>
      </c>
      <c r="N471" s="147">
        <f>F4A!N470+F4B!N470</f>
        <v>380.169319439924</v>
      </c>
      <c r="O471" s="147">
        <f>F4A!O470+F4B!O470</f>
        <v>374.795511988645</v>
      </c>
      <c r="P471" s="147">
        <f>F4A!P470+F4B!P470</f>
        <v>390.892458433973</v>
      </c>
      <c r="Q471" s="316">
        <f t="shared" si="76"/>
        <v>4477.29783357603</v>
      </c>
    </row>
    <row r="472" ht="15" spans="3:17">
      <c r="C472" s="55" t="s">
        <v>193</v>
      </c>
      <c r="D472" s="55" t="s">
        <v>194</v>
      </c>
      <c r="E472" s="147">
        <f>F4A!E471+F4B!E471</f>
        <v>0.036079</v>
      </c>
      <c r="F472" s="147">
        <f>F4A!F471+F4B!F471</f>
        <v>0.11303</v>
      </c>
      <c r="G472" s="147">
        <f>F4A!G471+F4B!G471</f>
        <v>0.065522</v>
      </c>
      <c r="H472" s="147">
        <f>F4A!H471+F4B!H471</f>
        <v>0.068976</v>
      </c>
      <c r="I472" s="147">
        <f>F4A!I471+F4B!I471</f>
        <v>0.007176</v>
      </c>
      <c r="J472" s="147">
        <f>F4A!J471+F4B!J471</f>
        <v>0.01305</v>
      </c>
      <c r="K472" s="147">
        <f>F4A!K471+F4B!K471</f>
        <v>0</v>
      </c>
      <c r="L472" s="147">
        <f>F4A!L471+F4B!L471</f>
        <v>0.06585222</v>
      </c>
      <c r="M472" s="147">
        <f>F4A!M471+F4B!M471</f>
        <v>0.1036575</v>
      </c>
      <c r="N472" s="147">
        <f>F4A!N471+F4B!N471</f>
        <v>0.04157826</v>
      </c>
      <c r="O472" s="147">
        <f>F4A!O471+F4B!O471</f>
        <v>0.01487364</v>
      </c>
      <c r="P472" s="147">
        <f>F4A!P471+F4B!P471</f>
        <v>0</v>
      </c>
      <c r="Q472" s="316">
        <f t="shared" si="76"/>
        <v>0.52979462</v>
      </c>
    </row>
    <row r="473" ht="15" spans="3:17">
      <c r="C473" s="55" t="s">
        <v>239</v>
      </c>
      <c r="D473" s="55" t="s">
        <v>196</v>
      </c>
      <c r="E473" s="147">
        <f>F4A!E472+F4B!E472</f>
        <v>216.4932099</v>
      </c>
      <c r="F473" s="147">
        <f>F4A!F472+F4B!F472</f>
        <v>218.44651928</v>
      </c>
      <c r="G473" s="147">
        <f>F4A!G472+F4B!G472</f>
        <v>201.98000415</v>
      </c>
      <c r="H473" s="147">
        <f>F4A!H472+F4B!H472</f>
        <v>191.11844945</v>
      </c>
      <c r="I473" s="147">
        <f>F4A!I472+F4B!I472</f>
        <v>199.10354226</v>
      </c>
      <c r="J473" s="147">
        <f>F4A!J472+F4B!J472</f>
        <v>181.37157064</v>
      </c>
      <c r="K473" s="147">
        <f>F4A!K472+F4B!K472</f>
        <v>195.216973651402</v>
      </c>
      <c r="L473" s="147">
        <f>F4A!L472+F4B!L472</f>
        <v>180.848068309747</v>
      </c>
      <c r="M473" s="147">
        <f>F4A!M472+F4B!M472</f>
        <v>167.266048375238</v>
      </c>
      <c r="N473" s="147">
        <f>F4A!N472+F4B!N472</f>
        <v>167.705432966474</v>
      </c>
      <c r="O473" s="147">
        <f>F4A!O472+F4B!O472</f>
        <v>183.796417825566</v>
      </c>
      <c r="P473" s="147">
        <f>F4A!P472+F4B!P472</f>
        <v>218.921353714532</v>
      </c>
      <c r="Q473" s="316">
        <f t="shared" si="76"/>
        <v>2322.26759052296</v>
      </c>
    </row>
    <row r="474" ht="15" spans="3:17">
      <c r="C474" s="55" t="s">
        <v>197</v>
      </c>
      <c r="D474" s="55" t="s">
        <v>198</v>
      </c>
      <c r="E474" s="147">
        <f>F4A!E473+F4B!E473</f>
        <v>0.032966</v>
      </c>
      <c r="F474" s="147">
        <f>F4A!F473+F4B!F473</f>
        <v>0.045518</v>
      </c>
      <c r="G474" s="147">
        <f>F4A!G473+F4B!G473</f>
        <v>0.04094</v>
      </c>
      <c r="H474" s="147">
        <f>F4A!H473+F4B!H473</f>
        <v>0.027225</v>
      </c>
      <c r="I474" s="147">
        <f>F4A!I473+F4B!I473</f>
        <v>0.034339</v>
      </c>
      <c r="J474" s="147">
        <f>F4A!J473+F4B!J473</f>
        <v>0.025258</v>
      </c>
      <c r="K474" s="147">
        <f>F4A!K473+F4B!K473</f>
        <v>0.0280027</v>
      </c>
      <c r="L474" s="147">
        <f>F4A!L473+F4B!L473</f>
        <v>0.0285692</v>
      </c>
      <c r="M474" s="147">
        <f>F4A!M473+F4B!M473</f>
        <v>0.0311421</v>
      </c>
      <c r="N474" s="147">
        <f>F4A!N473+F4B!N473</f>
        <v>0.0311894</v>
      </c>
      <c r="O474" s="147">
        <f>F4A!O473+F4B!O473</f>
        <v>0.0325149</v>
      </c>
      <c r="P474" s="147">
        <f>F4A!P473+F4B!P473</f>
        <v>0.0367917</v>
      </c>
      <c r="Q474" s="316">
        <f t="shared" si="76"/>
        <v>0.394456</v>
      </c>
    </row>
    <row r="475" ht="15" spans="3:17">
      <c r="C475" s="55" t="s">
        <v>199</v>
      </c>
      <c r="D475" s="55" t="s">
        <v>200</v>
      </c>
      <c r="E475" s="147">
        <f>F4A!E474+F4B!E474</f>
        <v>0.494677</v>
      </c>
      <c r="F475" s="147">
        <f>F4A!F474+F4B!F474</f>
        <v>0.53696</v>
      </c>
      <c r="G475" s="147">
        <f>F4A!G474+F4B!G474</f>
        <v>0.487474</v>
      </c>
      <c r="H475" s="147">
        <f>F4A!H474+F4B!H474</f>
        <v>0.448431</v>
      </c>
      <c r="I475" s="147">
        <f>F4A!I474+F4B!I474</f>
        <v>0.472652</v>
      </c>
      <c r="J475" s="147">
        <f>F4A!J474+F4B!J474</f>
        <v>0.406715</v>
      </c>
      <c r="K475" s="147">
        <f>F4A!K474+F4B!K474</f>
        <v>0.430288783270686</v>
      </c>
      <c r="L475" s="147">
        <f>F4A!L474+F4B!L474</f>
        <v>0.401585157998222</v>
      </c>
      <c r="M475" s="147">
        <f>F4A!M474+F4B!M474</f>
        <v>0.376765871538654</v>
      </c>
      <c r="N475" s="147">
        <f>F4A!N474+F4B!N474</f>
        <v>0.396380336760099</v>
      </c>
      <c r="O475" s="147">
        <f>F4A!O474+F4B!O474</f>
        <v>0.415936970634454</v>
      </c>
      <c r="P475" s="147">
        <f>F4A!P474+F4B!P474</f>
        <v>0.509480245503814</v>
      </c>
      <c r="Q475" s="316">
        <f t="shared" si="76"/>
        <v>5.37734636570593</v>
      </c>
    </row>
    <row r="476" ht="15" spans="3:17">
      <c r="C476" s="55" t="s">
        <v>201</v>
      </c>
      <c r="D476" s="55" t="s">
        <v>202</v>
      </c>
      <c r="E476" s="147">
        <f>F4A!E475+F4B!E475</f>
        <v>0.64108</v>
      </c>
      <c r="F476" s="147">
        <f>F4A!F475+F4B!F475</f>
        <v>0.460351</v>
      </c>
      <c r="G476" s="147">
        <f>F4A!G475+F4B!G475</f>
        <v>0.6441965</v>
      </c>
      <c r="H476" s="147">
        <f>F4A!H475+F4B!H475</f>
        <v>1.189546</v>
      </c>
      <c r="I476" s="147">
        <f>F4A!I475+F4B!I475</f>
        <v>4.05591966</v>
      </c>
      <c r="J476" s="147">
        <f>F4A!J475+F4B!J475</f>
        <v>5.056476</v>
      </c>
      <c r="K476" s="147">
        <f>F4A!K475+F4B!K475</f>
        <v>3.47250435</v>
      </c>
      <c r="L476" s="147">
        <f>F4A!L475+F4B!L475</f>
        <v>1.4755936965</v>
      </c>
      <c r="M476" s="147">
        <f>F4A!M475+F4B!M475</f>
        <v>1.3002822</v>
      </c>
      <c r="N476" s="147">
        <f>F4A!N475+F4B!N475</f>
        <v>1.627443825</v>
      </c>
      <c r="O476" s="147">
        <f>F4A!O475+F4B!O475</f>
        <v>1.8946179</v>
      </c>
      <c r="P476" s="147">
        <f>F4A!P475+F4B!P475</f>
        <v>0.89983425</v>
      </c>
      <c r="Q476" s="316">
        <f t="shared" si="76"/>
        <v>22.7178453815</v>
      </c>
    </row>
    <row r="477" ht="15" spans="3:17">
      <c r="C477" s="55" t="s">
        <v>203</v>
      </c>
      <c r="D477" s="55" t="s">
        <v>204</v>
      </c>
      <c r="E477" s="147">
        <f>F4A!E476+F4B!E476</f>
        <v>11.40967797</v>
      </c>
      <c r="F477" s="147">
        <f>F4A!F476+F4B!F476</f>
        <v>10.935429</v>
      </c>
      <c r="G477" s="147">
        <f>F4A!G476+F4B!G476</f>
        <v>10.861318</v>
      </c>
      <c r="H477" s="147">
        <f>F4A!H476+F4B!H476</f>
        <v>11.344954</v>
      </c>
      <c r="I477" s="147">
        <f>F4A!I476+F4B!I476</f>
        <v>11.065705</v>
      </c>
      <c r="J477" s="147">
        <f>F4A!J476+F4B!J476</f>
        <v>9.77078966</v>
      </c>
      <c r="K477" s="147">
        <f>F4A!K476+F4B!K476</f>
        <v>11.04266892</v>
      </c>
      <c r="L477" s="147">
        <f>F4A!L476+F4B!L476</f>
        <v>11.07449904</v>
      </c>
      <c r="M477" s="147">
        <f>F4A!M476+F4B!M476</f>
        <v>11.2215861</v>
      </c>
      <c r="N477" s="147">
        <f>F4A!N476+F4B!N476</f>
        <v>11.3966742</v>
      </c>
      <c r="O477" s="147">
        <f>F4A!O476+F4B!O476</f>
        <v>10.699981866</v>
      </c>
      <c r="P477" s="147">
        <f>F4A!P476+F4B!P476</f>
        <v>11.680368126</v>
      </c>
      <c r="Q477" s="316">
        <f t="shared" si="76"/>
        <v>132.503651882</v>
      </c>
    </row>
    <row r="478" ht="15" spans="3:17">
      <c r="C478" s="55" t="s">
        <v>205</v>
      </c>
      <c r="D478" s="55" t="s">
        <v>206</v>
      </c>
      <c r="E478" s="147">
        <f>F4A!E477+F4B!E477</f>
        <v>28.249295</v>
      </c>
      <c r="F478" s="147">
        <f>F4A!F477+F4B!F477</f>
        <v>28.392058</v>
      </c>
      <c r="G478" s="147">
        <f>F4A!G477+F4B!G477</f>
        <v>23.110011</v>
      </c>
      <c r="H478" s="147">
        <f>F4A!H477+F4B!H477</f>
        <v>20.074745</v>
      </c>
      <c r="I478" s="147">
        <f>F4A!I477+F4B!I477</f>
        <v>21.62070752</v>
      </c>
      <c r="J478" s="147">
        <f>F4A!J477+F4B!J477</f>
        <v>19.737246</v>
      </c>
      <c r="K478" s="147">
        <f>F4A!K477+F4B!K477</f>
        <v>20.8913440187174</v>
      </c>
      <c r="L478" s="147">
        <f>F4A!L477+F4B!L477</f>
        <v>19.7538752145225</v>
      </c>
      <c r="M478" s="147">
        <f>F4A!M477+F4B!M477</f>
        <v>18.9813289969504</v>
      </c>
      <c r="N478" s="147">
        <f>F4A!N477+F4B!N477</f>
        <v>19.4466971582325</v>
      </c>
      <c r="O478" s="147">
        <f>F4A!O477+F4B!O477</f>
        <v>20.5047736829341</v>
      </c>
      <c r="P478" s="147">
        <f>F4A!P477+F4B!P477</f>
        <v>28.1725027659992</v>
      </c>
      <c r="Q478" s="316">
        <f t="shared" si="76"/>
        <v>268.934584357356</v>
      </c>
    </row>
    <row r="479" ht="15" spans="3:17">
      <c r="C479" s="55" t="s">
        <v>207</v>
      </c>
      <c r="D479" s="55" t="s">
        <v>186</v>
      </c>
      <c r="E479" s="147">
        <f>F4A!E478+F4B!E478</f>
        <v>17.943229</v>
      </c>
      <c r="F479" s="147">
        <f>F4A!F478+F4B!F478</f>
        <v>18.381461</v>
      </c>
      <c r="G479" s="147">
        <f>F4A!G478+F4B!G478</f>
        <v>17.56183</v>
      </c>
      <c r="H479" s="147">
        <f>F4A!H478+F4B!H478</f>
        <v>17.7263795</v>
      </c>
      <c r="I479" s="147">
        <f>F4A!I478+F4B!I478</f>
        <v>19.3194503</v>
      </c>
      <c r="J479" s="147">
        <f>F4A!J478+F4B!J478</f>
        <v>18.643204</v>
      </c>
      <c r="K479" s="147">
        <f>F4A!K478+F4B!K478</f>
        <v>19.1451405518764</v>
      </c>
      <c r="L479" s="147">
        <f>F4A!L478+F4B!L478</f>
        <v>18.3923158207939</v>
      </c>
      <c r="M479" s="147">
        <f>F4A!M478+F4B!M478</f>
        <v>19.039909783616</v>
      </c>
      <c r="N479" s="147">
        <f>F4A!N478+F4B!N478</f>
        <v>18.4426278854102</v>
      </c>
      <c r="O479" s="147">
        <f>F4A!O478+F4B!O478</f>
        <v>18.6719264607075</v>
      </c>
      <c r="P479" s="147">
        <f>F4A!P478+F4B!P478</f>
        <v>20.9350888646323</v>
      </c>
      <c r="Q479" s="316">
        <f t="shared" si="76"/>
        <v>224.202563167036</v>
      </c>
    </row>
    <row r="480" ht="15" spans="3:17">
      <c r="C480" s="55" t="s">
        <v>208</v>
      </c>
      <c r="D480" s="55" t="s">
        <v>209</v>
      </c>
      <c r="E480" s="147">
        <f>F4A!E479+F4B!E479</f>
        <v>0</v>
      </c>
      <c r="F480" s="147">
        <f>F4A!F479+F4B!F479</f>
        <v>0</v>
      </c>
      <c r="G480" s="147">
        <f>F4A!G479+F4B!G479</f>
        <v>0</v>
      </c>
      <c r="H480" s="147">
        <f>F4A!H479+F4B!H479</f>
        <v>0</v>
      </c>
      <c r="I480" s="147">
        <f>F4A!I479+F4B!I479</f>
        <v>0</v>
      </c>
      <c r="J480" s="147">
        <f>F4A!J479+F4B!J479</f>
        <v>0</v>
      </c>
      <c r="K480" s="147">
        <f>F4A!K479+F4B!K479</f>
        <v>0</v>
      </c>
      <c r="L480" s="147">
        <f>F4A!L479+F4B!L479</f>
        <v>0</v>
      </c>
      <c r="M480" s="147">
        <f>F4A!M479+F4B!M479</f>
        <v>0</v>
      </c>
      <c r="N480" s="147">
        <f>F4A!N479+F4B!N479</f>
        <v>0</v>
      </c>
      <c r="O480" s="147">
        <f>F4A!O479+F4B!O479</f>
        <v>0</v>
      </c>
      <c r="P480" s="147">
        <f>F4A!P479+F4B!P479</f>
        <v>0</v>
      </c>
      <c r="Q480" s="316">
        <f t="shared" si="76"/>
        <v>0</v>
      </c>
    </row>
    <row r="481" ht="15" spans="3:17">
      <c r="C481" s="55" t="s">
        <v>210</v>
      </c>
      <c r="D481" s="55" t="s">
        <v>188</v>
      </c>
      <c r="E481" s="147">
        <f>F4A!E480+F4B!E480</f>
        <v>1.669103</v>
      </c>
      <c r="F481" s="147">
        <f>F4A!F480+F4B!F480</f>
        <v>1.712996</v>
      </c>
      <c r="G481" s="147">
        <f>F4A!G480+F4B!G480</f>
        <v>1.7582</v>
      </c>
      <c r="H481" s="147">
        <f>F4A!H480+F4B!H480</f>
        <v>1.922402</v>
      </c>
      <c r="I481" s="147">
        <f>F4A!I480+F4B!I480</f>
        <v>1.993346</v>
      </c>
      <c r="J481" s="147">
        <f>F4A!J480+F4B!J480</f>
        <v>1.940024</v>
      </c>
      <c r="K481" s="147">
        <f>F4A!K480+F4B!K480</f>
        <v>3.05261198992799</v>
      </c>
      <c r="L481" s="147">
        <f>F4A!L480+F4B!L480</f>
        <v>3.03011171926653</v>
      </c>
      <c r="M481" s="147">
        <f>F4A!M480+F4B!M480</f>
        <v>3.10229954985464</v>
      </c>
      <c r="N481" s="147">
        <f>F4A!N480+F4B!N480</f>
        <v>3.24098699215104</v>
      </c>
      <c r="O481" s="147">
        <f>F4A!O480+F4B!O480</f>
        <v>3.3405446512812</v>
      </c>
      <c r="P481" s="147">
        <f>F4A!P480+F4B!P480</f>
        <v>3.75591369768454</v>
      </c>
      <c r="Q481" s="316">
        <f t="shared" si="76"/>
        <v>30.5185396001659</v>
      </c>
    </row>
    <row r="482" ht="15" spans="3:17">
      <c r="C482" s="55"/>
      <c r="D482" s="55"/>
      <c r="E482" s="147"/>
      <c r="F482" s="147"/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  <c r="Q482" s="316"/>
    </row>
    <row r="483" ht="15" spans="3:17">
      <c r="C483" s="55"/>
      <c r="D483" s="55"/>
      <c r="E483" s="147"/>
      <c r="F483" s="147"/>
      <c r="G483" s="147"/>
      <c r="H483" s="147"/>
      <c r="I483" s="147"/>
      <c r="J483" s="147"/>
      <c r="K483" s="147"/>
      <c r="L483" s="147"/>
      <c r="M483" s="147"/>
      <c r="N483" s="147"/>
      <c r="O483" s="147"/>
      <c r="P483" s="147"/>
      <c r="Q483" s="316"/>
    </row>
    <row r="484" ht="15" spans="3:17">
      <c r="C484" s="55"/>
      <c r="D484" s="55"/>
      <c r="E484" s="147"/>
      <c r="F484" s="147"/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316"/>
    </row>
    <row r="485" ht="15" spans="3:17">
      <c r="C485" s="55" t="s">
        <v>258</v>
      </c>
      <c r="D485" s="55" t="s">
        <v>258</v>
      </c>
      <c r="E485" s="147"/>
      <c r="F485" s="147"/>
      <c r="G485" s="147"/>
      <c r="H485" s="147"/>
      <c r="I485" s="147"/>
      <c r="J485" s="147"/>
      <c r="K485" s="147"/>
      <c r="L485" s="147"/>
      <c r="M485" s="147"/>
      <c r="N485" s="147"/>
      <c r="O485" s="147"/>
      <c r="P485" s="147"/>
      <c r="Q485" s="316"/>
    </row>
    <row r="486" ht="15" spans="3:17">
      <c r="C486" s="537" t="s">
        <v>211</v>
      </c>
      <c r="D486" s="540"/>
      <c r="E486" s="316">
        <f>SUM(E471:E485)</f>
        <v>647.99923226</v>
      </c>
      <c r="F486" s="316">
        <f t="shared" ref="F486:P486" si="78">SUM(F471:F485)</f>
        <v>656.97185303</v>
      </c>
      <c r="G486" s="316">
        <f t="shared" si="78"/>
        <v>621.58693312</v>
      </c>
      <c r="H486" s="316">
        <f t="shared" si="78"/>
        <v>611.97655831</v>
      </c>
      <c r="I486" s="316">
        <f t="shared" si="78"/>
        <v>627.03589175</v>
      </c>
      <c r="J486" s="316">
        <f t="shared" si="78"/>
        <v>587.85122253</v>
      </c>
      <c r="K486" s="316">
        <f t="shared" si="78"/>
        <v>619.611215980116</v>
      </c>
      <c r="L486" s="316">
        <f t="shared" si="78"/>
        <v>606.633719346685</v>
      </c>
      <c r="M486" s="316">
        <f t="shared" si="78"/>
        <v>612.60835699791</v>
      </c>
      <c r="N486" s="316">
        <f t="shared" si="78"/>
        <v>602.498330463952</v>
      </c>
      <c r="O486" s="316">
        <f t="shared" si="78"/>
        <v>614.167099885768</v>
      </c>
      <c r="P486" s="316">
        <f t="shared" si="78"/>
        <v>675.803791798325</v>
      </c>
      <c r="Q486" s="316">
        <f>SUM(E486:P486)</f>
        <v>7484.74420547276</v>
      </c>
    </row>
    <row r="487" ht="15" spans="3:17">
      <c r="C487" s="44" t="s">
        <v>212</v>
      </c>
      <c r="D487" s="45"/>
      <c r="E487" s="147"/>
      <c r="F487" s="147"/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316"/>
    </row>
    <row r="488" ht="15" spans="3:17">
      <c r="C488" s="55" t="s">
        <v>191</v>
      </c>
      <c r="D488" s="55" t="s">
        <v>192</v>
      </c>
      <c r="E488" s="147">
        <f>F4A!E487+F4B!E487</f>
        <v>533.350611</v>
      </c>
      <c r="F488" s="147">
        <f>F4A!F487+F4B!F487</f>
        <v>553.6486715</v>
      </c>
      <c r="G488" s="147">
        <f>F4A!G487+F4B!G487</f>
        <v>537.0933435</v>
      </c>
      <c r="H488" s="147">
        <f>F4A!H487+F4B!H487</f>
        <v>557.26764</v>
      </c>
      <c r="I488" s="147">
        <f>F4A!I487+F4B!I487</f>
        <v>551.042643</v>
      </c>
      <c r="J488" s="147">
        <f>F4A!J487+F4B!J487</f>
        <v>531.631739</v>
      </c>
      <c r="K488" s="147">
        <f>F4A!K487+F4B!K487</f>
        <v>578.632106747905</v>
      </c>
      <c r="L488" s="147">
        <f>F4A!L487+F4B!L487</f>
        <v>580.674673187302</v>
      </c>
      <c r="M488" s="147">
        <f>F4A!M487+F4B!M487</f>
        <v>591.557659865538</v>
      </c>
      <c r="N488" s="147">
        <f>F4A!N487+F4B!N487</f>
        <v>589.088067000305</v>
      </c>
      <c r="O488" s="147">
        <f>F4A!O487+F4B!O487</f>
        <v>574.609416881727</v>
      </c>
      <c r="P488" s="147">
        <f>F4A!P487+F4B!P487</f>
        <v>637.282967137851</v>
      </c>
      <c r="Q488" s="316">
        <f t="shared" ref="Q488:Q499" si="79">SUM(E488:P488)</f>
        <v>6815.87953882063</v>
      </c>
    </row>
    <row r="489" ht="15" spans="3:17">
      <c r="C489" s="55" t="s">
        <v>193</v>
      </c>
      <c r="D489" s="55" t="s">
        <v>194</v>
      </c>
      <c r="E489" s="147">
        <f>F4A!E488+F4B!E488</f>
        <v>0</v>
      </c>
      <c r="F489" s="147">
        <f>F4A!F488+F4B!F488</f>
        <v>0</v>
      </c>
      <c r="G489" s="147">
        <f>F4A!G488+F4B!G488</f>
        <v>0</v>
      </c>
      <c r="H489" s="147">
        <f>F4A!H488+F4B!H488</f>
        <v>0.079</v>
      </c>
      <c r="I489" s="147">
        <f>F4A!I488+F4B!I488</f>
        <v>0.21518</v>
      </c>
      <c r="J489" s="147">
        <f>F4A!J488+F4B!J488</f>
        <v>0.24236</v>
      </c>
      <c r="K489" s="147">
        <f>F4A!K488+F4B!K488</f>
        <v>0</v>
      </c>
      <c r="L489" s="147">
        <f>F4A!L488+F4B!L488</f>
        <v>0</v>
      </c>
      <c r="M489" s="147">
        <f>F4A!M488+F4B!M488</f>
        <v>0</v>
      </c>
      <c r="N489" s="147">
        <f>F4A!N488+F4B!N488</f>
        <v>0</v>
      </c>
      <c r="O489" s="147">
        <f>F4A!O488+F4B!O488</f>
        <v>0</v>
      </c>
      <c r="P489" s="147">
        <f>F4A!P488+F4B!P488</f>
        <v>0</v>
      </c>
      <c r="Q489" s="316">
        <f t="shared" si="79"/>
        <v>0.53654</v>
      </c>
    </row>
    <row r="490" ht="15" spans="3:17">
      <c r="C490" s="55" t="s">
        <v>239</v>
      </c>
      <c r="D490" s="55" t="s">
        <v>196</v>
      </c>
      <c r="E490" s="147">
        <f>F4A!E489+F4B!E489</f>
        <v>134.914149</v>
      </c>
      <c r="F490" s="147">
        <f>F4A!F489+F4B!F489</f>
        <v>146.880512</v>
      </c>
      <c r="G490" s="147">
        <f>F4A!G489+F4B!G489</f>
        <v>132.588437</v>
      </c>
      <c r="H490" s="147">
        <f>F4A!H489+F4B!H489</f>
        <v>127.954837</v>
      </c>
      <c r="I490" s="147">
        <f>F4A!I489+F4B!I489</f>
        <v>129.314542</v>
      </c>
      <c r="J490" s="147">
        <f>F4A!J489+F4B!J489</f>
        <v>120.469427</v>
      </c>
      <c r="K490" s="147">
        <f>F4A!K489+F4B!K489</f>
        <v>128.393052685963</v>
      </c>
      <c r="L490" s="147">
        <f>F4A!L489+F4B!L489</f>
        <v>128.393052685963</v>
      </c>
      <c r="M490" s="147">
        <f>F4A!M489+F4B!M489</f>
        <v>120.421323209205</v>
      </c>
      <c r="N490" s="147">
        <f>F4A!N489+F4B!N489</f>
        <v>121.570059155642</v>
      </c>
      <c r="O490" s="147">
        <f>F4A!O489+F4B!O489</f>
        <v>124.194236619042</v>
      </c>
      <c r="P490" s="147">
        <f>F4A!P489+F4B!P489</f>
        <v>145.38265620254</v>
      </c>
      <c r="Q490" s="316">
        <f t="shared" si="79"/>
        <v>1560.47628455835</v>
      </c>
    </row>
    <row r="491" ht="15" spans="3:17">
      <c r="C491" s="55" t="s">
        <v>197</v>
      </c>
      <c r="D491" s="55" t="s">
        <v>198</v>
      </c>
      <c r="E491" s="147">
        <f>F4A!E490+F4B!E490</f>
        <v>0.46</v>
      </c>
      <c r="F491" s="147">
        <f>F4A!F490+F4B!F490</f>
        <v>0.5071</v>
      </c>
      <c r="G491" s="147">
        <f>F4A!G490+F4B!G490</f>
        <v>0.4328</v>
      </c>
      <c r="H491" s="147">
        <f>F4A!H490+F4B!H490</f>
        <v>0.3817</v>
      </c>
      <c r="I491" s="147">
        <f>F4A!I490+F4B!I490</f>
        <v>0.4027</v>
      </c>
      <c r="J491" s="147">
        <f>F4A!J490+F4B!J490</f>
        <v>0.3175</v>
      </c>
      <c r="K491" s="147">
        <f>F4A!K490+F4B!K490</f>
        <v>0.414838545201411</v>
      </c>
      <c r="L491" s="147">
        <f>F4A!L490+F4B!L490</f>
        <v>0.349983118618897</v>
      </c>
      <c r="M491" s="147">
        <f>F4A!M490+F4B!M490</f>
        <v>0.363581644700204</v>
      </c>
      <c r="N491" s="147">
        <f>F4A!N490+F4B!N490</f>
        <v>0.319446077594208</v>
      </c>
      <c r="O491" s="147">
        <f>F4A!O490+F4B!O490</f>
        <v>0.359764514572118</v>
      </c>
      <c r="P491" s="147">
        <f>F4A!P490+F4B!P490</f>
        <v>0.4919326452571</v>
      </c>
      <c r="Q491" s="316">
        <f t="shared" si="79"/>
        <v>4.80134654594394</v>
      </c>
    </row>
    <row r="492" ht="15" spans="3:17">
      <c r="C492" s="55" t="s">
        <v>199</v>
      </c>
      <c r="D492" s="55" t="s">
        <v>200</v>
      </c>
      <c r="E492" s="147">
        <f>F4A!E491+F4B!E491</f>
        <v>0</v>
      </c>
      <c r="F492" s="147">
        <f>F4A!F491+F4B!F491</f>
        <v>0</v>
      </c>
      <c r="G492" s="147">
        <f>F4A!G491+F4B!G491</f>
        <v>0</v>
      </c>
      <c r="H492" s="147">
        <f>F4A!H491+F4B!H491</f>
        <v>0</v>
      </c>
      <c r="I492" s="147">
        <f>F4A!I491+F4B!I491</f>
        <v>0</v>
      </c>
      <c r="J492" s="147">
        <f>F4A!J491+F4B!J491</f>
        <v>0</v>
      </c>
      <c r="K492" s="147">
        <f>F4A!K491+F4B!K491</f>
        <v>0</v>
      </c>
      <c r="L492" s="147">
        <f>F4A!L491+F4B!L491</f>
        <v>0</v>
      </c>
      <c r="M492" s="147">
        <f>F4A!M491+F4B!M491</f>
        <v>0</v>
      </c>
      <c r="N492" s="147">
        <f>F4A!N491+F4B!N491</f>
        <v>0</v>
      </c>
      <c r="O492" s="147">
        <f>F4A!O491+F4B!O491</f>
        <v>0</v>
      </c>
      <c r="P492" s="147">
        <f>F4A!P491+F4B!P491</f>
        <v>0</v>
      </c>
      <c r="Q492" s="316">
        <f t="shared" si="79"/>
        <v>0</v>
      </c>
    </row>
    <row r="493" ht="15" spans="3:17">
      <c r="C493" s="55" t="s">
        <v>201</v>
      </c>
      <c r="D493" s="55" t="s">
        <v>202</v>
      </c>
      <c r="E493" s="147">
        <f>F4A!E492+F4B!E492</f>
        <v>3.08936</v>
      </c>
      <c r="F493" s="147">
        <f>F4A!F492+F4B!F492</f>
        <v>2.462015</v>
      </c>
      <c r="G493" s="147">
        <f>F4A!G492+F4B!G492</f>
        <v>2.2556</v>
      </c>
      <c r="H493" s="147">
        <f>F4A!H492+F4B!H492</f>
        <v>3.01677</v>
      </c>
      <c r="I493" s="147">
        <f>F4A!I492+F4B!I492</f>
        <v>3.28349</v>
      </c>
      <c r="J493" s="147">
        <f>F4A!J492+F4B!J492</f>
        <v>4.18326</v>
      </c>
      <c r="K493" s="147">
        <f>F4A!K492+F4B!K492</f>
        <v>7.84505016909737</v>
      </c>
      <c r="L493" s="147">
        <f>F4A!L492+F4B!L492</f>
        <v>7.65935364898665</v>
      </c>
      <c r="M493" s="147">
        <f>F4A!M492+F4B!M492</f>
        <v>6.29154107360918</v>
      </c>
      <c r="N493" s="147">
        <f>F4A!N492+F4B!N492</f>
        <v>7.91093627213522</v>
      </c>
      <c r="O493" s="147">
        <f>F4A!O492+F4B!O492</f>
        <v>8.11375932849489</v>
      </c>
      <c r="P493" s="147">
        <f>F4A!P492+F4B!P492</f>
        <v>10.05909444318</v>
      </c>
      <c r="Q493" s="316">
        <f t="shared" si="79"/>
        <v>66.1702299355033</v>
      </c>
    </row>
    <row r="494" ht="15" spans="3:17">
      <c r="C494" s="55" t="s">
        <v>203</v>
      </c>
      <c r="D494" s="55" t="s">
        <v>204</v>
      </c>
      <c r="E494" s="147">
        <f>F4A!E493+F4B!E493</f>
        <v>22.47356</v>
      </c>
      <c r="F494" s="147">
        <f>F4A!F493+F4B!F493</f>
        <v>22.98672</v>
      </c>
      <c r="G494" s="147">
        <f>F4A!G493+F4B!G493</f>
        <v>23.20929</v>
      </c>
      <c r="H494" s="147">
        <f>F4A!H493+F4B!H493</f>
        <v>23.19256</v>
      </c>
      <c r="I494" s="147">
        <f>F4A!I493+F4B!I493</f>
        <v>19.73561</v>
      </c>
      <c r="J494" s="147">
        <f>F4A!J493+F4B!J493</f>
        <v>20.79859</v>
      </c>
      <c r="K494" s="147">
        <f>F4A!K493+F4B!K493</f>
        <v>21.262399314591</v>
      </c>
      <c r="L494" s="147">
        <f>F4A!L493+F4B!L493</f>
        <v>22.5328977381782</v>
      </c>
      <c r="M494" s="147">
        <f>F4A!M493+F4B!M493</f>
        <v>21.8793971461067</v>
      </c>
      <c r="N494" s="147">
        <f>F4A!N493+F4B!N493</f>
        <v>23.1043863833685</v>
      </c>
      <c r="O494" s="147">
        <f>F4A!O493+F4B!O493</f>
        <v>22.2207815734208</v>
      </c>
      <c r="P494" s="147">
        <f>F4A!P493+F4B!P493</f>
        <v>24.5707876734222</v>
      </c>
      <c r="Q494" s="316">
        <f t="shared" si="79"/>
        <v>267.966979829087</v>
      </c>
    </row>
    <row r="495" ht="15" spans="3:17">
      <c r="C495" s="55" t="s">
        <v>213</v>
      </c>
      <c r="D495" s="55" t="s">
        <v>229</v>
      </c>
      <c r="E495" s="147">
        <f>F4A!E494</f>
        <v>0</v>
      </c>
      <c r="F495" s="147">
        <f>F4A!F494</f>
        <v>0</v>
      </c>
      <c r="G495" s="147">
        <f>F4A!G494</f>
        <v>0</v>
      </c>
      <c r="H495" s="147">
        <f>F4A!H494</f>
        <v>0</v>
      </c>
      <c r="I495" s="147">
        <f>F4A!I494</f>
        <v>0</v>
      </c>
      <c r="J495" s="147">
        <f>F4A!J494</f>
        <v>0</v>
      </c>
      <c r="K495" s="147">
        <f>F4A!K494</f>
        <v>0</v>
      </c>
      <c r="L495" s="147">
        <f>F4A!L494</f>
        <v>0</v>
      </c>
      <c r="M495" s="147">
        <f>F4A!M494</f>
        <v>0</v>
      </c>
      <c r="N495" s="147">
        <f>F4A!N494</f>
        <v>0</v>
      </c>
      <c r="O495" s="147">
        <f>F4A!O494</f>
        <v>0</v>
      </c>
      <c r="P495" s="147">
        <f>F4A!P494</f>
        <v>0</v>
      </c>
      <c r="Q495" s="316">
        <f t="shared" si="79"/>
        <v>0</v>
      </c>
    </row>
    <row r="496" ht="15" spans="3:17">
      <c r="C496" s="55" t="s">
        <v>205</v>
      </c>
      <c r="D496" s="55" t="s">
        <v>206</v>
      </c>
      <c r="E496" s="147">
        <f>F4A!E495+F4B!E494</f>
        <v>17.908041</v>
      </c>
      <c r="F496" s="147">
        <f>F4A!F495+F4B!F494</f>
        <v>17.589554</v>
      </c>
      <c r="G496" s="147">
        <f>F4A!G495+F4B!G494</f>
        <v>14.258168</v>
      </c>
      <c r="H496" s="147">
        <f>F4A!H495+F4B!H494</f>
        <v>12.196655</v>
      </c>
      <c r="I496" s="147">
        <f>F4A!I495+F4B!I494</f>
        <v>12.577469</v>
      </c>
      <c r="J496" s="147">
        <f>F4A!J495+F4B!J494</f>
        <v>11.811752</v>
      </c>
      <c r="K496" s="147">
        <f>F4A!K495+F4B!K494</f>
        <v>12.534100621611</v>
      </c>
      <c r="L496" s="147">
        <f>F4A!L495+F4B!L494</f>
        <v>11.6181163062077</v>
      </c>
      <c r="M496" s="147">
        <f>F4A!M495+F4B!M494</f>
        <v>11.2526953634955</v>
      </c>
      <c r="N496" s="147">
        <f>F4A!N495+F4B!N494</f>
        <v>11.2708522717985</v>
      </c>
      <c r="O496" s="147">
        <f>F4A!O495+F4B!O494</f>
        <v>12.6628721579038</v>
      </c>
      <c r="P496" s="147">
        <f>F4A!P495+F4B!P494</f>
        <v>16.4832176470144</v>
      </c>
      <c r="Q496" s="316">
        <f t="shared" si="79"/>
        <v>162.163493368031</v>
      </c>
    </row>
    <row r="497" ht="15" spans="3:17">
      <c r="C497" s="55" t="s">
        <v>231</v>
      </c>
      <c r="D497" s="55" t="s">
        <v>186</v>
      </c>
      <c r="E497" s="147">
        <f>F4A!E496+F4B!E495</f>
        <v>2.21555</v>
      </c>
      <c r="F497" s="147">
        <f>F4A!F496+F4B!F495</f>
        <v>2.22663</v>
      </c>
      <c r="G497" s="147">
        <f>F4A!G496+F4B!G495</f>
        <v>4.0924</v>
      </c>
      <c r="H497" s="147">
        <f>F4A!H496+F4B!H495</f>
        <v>3.75989</v>
      </c>
      <c r="I497" s="147">
        <f>F4A!I496+F4B!I495</f>
        <v>2.43124</v>
      </c>
      <c r="J497" s="147">
        <f>F4A!J496+F4B!J495</f>
        <v>2.67176</v>
      </c>
      <c r="K497" s="147">
        <f>F4A!K496+F4B!K495</f>
        <v>4.72313031594753</v>
      </c>
      <c r="L497" s="147">
        <f>F4A!L496+F4B!L495</f>
        <v>2.67173815299996</v>
      </c>
      <c r="M497" s="147">
        <f>F4A!M496+F4B!M495</f>
        <v>2.57684967654258</v>
      </c>
      <c r="N497" s="147">
        <f>F4A!N496+F4B!N495</f>
        <v>2.54857426644906</v>
      </c>
      <c r="O497" s="147">
        <f>F4A!O496+F4B!O495</f>
        <v>2.72142438675269</v>
      </c>
      <c r="P497" s="147">
        <f>F4A!P496+F4B!P495</f>
        <v>2.77808421806731</v>
      </c>
      <c r="Q497" s="316">
        <f t="shared" si="79"/>
        <v>35.4172710167591</v>
      </c>
    </row>
    <row r="498" ht="15" spans="3:17">
      <c r="C498" s="55" t="s">
        <v>208</v>
      </c>
      <c r="D498" s="55" t="s">
        <v>209</v>
      </c>
      <c r="E498" s="147">
        <f>F4A!E497+F4B!E496</f>
        <v>0</v>
      </c>
      <c r="F498" s="147">
        <f>F4A!F497+F4B!F496</f>
        <v>0</v>
      </c>
      <c r="G498" s="147">
        <f>F4A!G497+F4B!G496</f>
        <v>0</v>
      </c>
      <c r="H498" s="147">
        <f>F4A!H497+F4B!H496</f>
        <v>0</v>
      </c>
      <c r="I498" s="147">
        <f>F4A!I497+F4B!I496</f>
        <v>0</v>
      </c>
      <c r="J498" s="147">
        <f>F4A!J497+F4B!J496</f>
        <v>0</v>
      </c>
      <c r="K498" s="147">
        <f>F4A!K497+F4B!K496</f>
        <v>0</v>
      </c>
      <c r="L498" s="147">
        <f>F4A!L497+F4B!L496</f>
        <v>0</v>
      </c>
      <c r="M498" s="147">
        <f>F4A!M497+F4B!M496</f>
        <v>0</v>
      </c>
      <c r="N498" s="147">
        <f>F4A!N497+F4B!N496</f>
        <v>0</v>
      </c>
      <c r="O498" s="147">
        <f>F4A!O497+F4B!O496</f>
        <v>0</v>
      </c>
      <c r="P498" s="147">
        <f>F4A!P497+F4B!P496</f>
        <v>0</v>
      </c>
      <c r="Q498" s="316">
        <f t="shared" si="79"/>
        <v>0</v>
      </c>
    </row>
    <row r="499" ht="15" spans="3:17">
      <c r="C499" s="55" t="s">
        <v>210</v>
      </c>
      <c r="D499" s="55" t="s">
        <v>188</v>
      </c>
      <c r="E499" s="147">
        <f>F4A!E498+F4B!E497</f>
        <v>0</v>
      </c>
      <c r="F499" s="147">
        <f>F4A!F498+F4B!F497</f>
        <v>0</v>
      </c>
      <c r="G499" s="147">
        <f>F4A!G498+F4B!G497</f>
        <v>0</v>
      </c>
      <c r="H499" s="147">
        <f>F4A!H498+F4B!H497</f>
        <v>0</v>
      </c>
      <c r="I499" s="147">
        <f>F4A!I498+F4B!I497</f>
        <v>0</v>
      </c>
      <c r="J499" s="147">
        <f>F4A!J498+F4B!J497</f>
        <v>0</v>
      </c>
      <c r="K499" s="147">
        <f>F4A!K498+F4B!K497</f>
        <v>0</v>
      </c>
      <c r="L499" s="147">
        <f>F4A!L498+F4B!L497</f>
        <v>0</v>
      </c>
      <c r="M499" s="147">
        <f>F4A!M498+F4B!M497</f>
        <v>0</v>
      </c>
      <c r="N499" s="147">
        <f>F4A!N498+F4B!N497</f>
        <v>0</v>
      </c>
      <c r="O499" s="147">
        <f>F4A!O498+F4B!O497</f>
        <v>0</v>
      </c>
      <c r="P499" s="147">
        <f>F4A!P498+F4B!P497</f>
        <v>0</v>
      </c>
      <c r="Q499" s="316">
        <f t="shared" si="79"/>
        <v>0</v>
      </c>
    </row>
    <row r="500" ht="15" spans="3:17">
      <c r="C500" s="55"/>
      <c r="D500" s="55"/>
      <c r="E500" s="147"/>
      <c r="F500" s="147"/>
      <c r="G500" s="147"/>
      <c r="H500" s="147"/>
      <c r="I500" s="147"/>
      <c r="J500" s="147"/>
      <c r="K500" s="147"/>
      <c r="L500" s="147"/>
      <c r="M500" s="147"/>
      <c r="N500" s="147"/>
      <c r="O500" s="147"/>
      <c r="P500" s="147"/>
      <c r="Q500" s="316"/>
    </row>
    <row r="501" ht="15" spans="3:17">
      <c r="C501" s="55"/>
      <c r="D501" s="55"/>
      <c r="E501" s="147"/>
      <c r="F501" s="147"/>
      <c r="G501" s="147"/>
      <c r="H501" s="147"/>
      <c r="I501" s="147"/>
      <c r="J501" s="147"/>
      <c r="K501" s="147"/>
      <c r="L501" s="147"/>
      <c r="M501" s="147"/>
      <c r="N501" s="147"/>
      <c r="O501" s="147"/>
      <c r="P501" s="147"/>
      <c r="Q501" s="316"/>
    </row>
    <row r="502" ht="15" spans="3:17">
      <c r="C502" s="55"/>
      <c r="D502" s="55"/>
      <c r="E502" s="147"/>
      <c r="F502" s="147"/>
      <c r="G502" s="147"/>
      <c r="H502" s="147"/>
      <c r="I502" s="147"/>
      <c r="J502" s="147"/>
      <c r="K502" s="147"/>
      <c r="L502" s="147"/>
      <c r="M502" s="147"/>
      <c r="N502" s="147"/>
      <c r="O502" s="147"/>
      <c r="P502" s="147"/>
      <c r="Q502" s="316"/>
    </row>
    <row r="503" ht="15" spans="3:17">
      <c r="C503" s="55" t="s">
        <v>258</v>
      </c>
      <c r="D503" s="55" t="s">
        <v>258</v>
      </c>
      <c r="E503" s="147"/>
      <c r="F503" s="147"/>
      <c r="G503" s="147"/>
      <c r="H503" s="147"/>
      <c r="I503" s="147"/>
      <c r="J503" s="147"/>
      <c r="K503" s="147"/>
      <c r="L503" s="147"/>
      <c r="M503" s="147"/>
      <c r="N503" s="147"/>
      <c r="O503" s="147"/>
      <c r="P503" s="147"/>
      <c r="Q503" s="316"/>
    </row>
    <row r="504" ht="15" spans="3:17">
      <c r="C504" s="537" t="s">
        <v>211</v>
      </c>
      <c r="D504" s="540"/>
      <c r="E504" s="316">
        <f t="shared" ref="E504:P504" si="80">SUM(E488:E503)</f>
        <v>714.411271</v>
      </c>
      <c r="F504" s="316">
        <f t="shared" si="80"/>
        <v>746.3012025</v>
      </c>
      <c r="G504" s="316">
        <f t="shared" si="80"/>
        <v>713.9300385</v>
      </c>
      <c r="H504" s="316">
        <f t="shared" si="80"/>
        <v>727.849052</v>
      </c>
      <c r="I504" s="316">
        <f t="shared" si="80"/>
        <v>719.002874</v>
      </c>
      <c r="J504" s="316">
        <f t="shared" si="80"/>
        <v>692.126388</v>
      </c>
      <c r="K504" s="316">
        <f t="shared" si="80"/>
        <v>753.804678400316</v>
      </c>
      <c r="L504" s="316">
        <f t="shared" si="80"/>
        <v>753.899814838256</v>
      </c>
      <c r="M504" s="316">
        <f t="shared" si="80"/>
        <v>754.343047979197</v>
      </c>
      <c r="N504" s="316">
        <f t="shared" si="80"/>
        <v>755.812321427292</v>
      </c>
      <c r="O504" s="316">
        <f t="shared" si="80"/>
        <v>744.882255461913</v>
      </c>
      <c r="P504" s="316">
        <f t="shared" si="80"/>
        <v>837.048739967332</v>
      </c>
      <c r="Q504" s="316">
        <f>SUM(E504:P504)</f>
        <v>8913.41168407431</v>
      </c>
    </row>
    <row r="505" ht="15" spans="3:17">
      <c r="C505" s="44" t="s">
        <v>219</v>
      </c>
      <c r="D505" s="45"/>
      <c r="E505" s="147"/>
      <c r="F505" s="147"/>
      <c r="G505" s="147"/>
      <c r="H505" s="147"/>
      <c r="I505" s="147"/>
      <c r="J505" s="147"/>
      <c r="K505" s="147"/>
      <c r="L505" s="147"/>
      <c r="M505" s="147"/>
      <c r="N505" s="147"/>
      <c r="O505" s="147"/>
      <c r="P505" s="147"/>
      <c r="Q505" s="316"/>
    </row>
    <row r="506" ht="15" spans="3:17">
      <c r="C506" s="55" t="s">
        <v>191</v>
      </c>
      <c r="D506" s="55" t="s">
        <v>192</v>
      </c>
      <c r="E506" s="147">
        <f>F4A!E505+F4B!E504</f>
        <v>363.394988</v>
      </c>
      <c r="F506" s="147">
        <f>F4A!F505+F4B!F504</f>
        <v>387.297409</v>
      </c>
      <c r="G506" s="147">
        <f>F4A!G505+F4B!G504</f>
        <v>379.030591</v>
      </c>
      <c r="H506" s="147">
        <f>F4A!H505+F4B!H504</f>
        <v>384.849637</v>
      </c>
      <c r="I506" s="147">
        <f>F4A!I505+F4B!I504</f>
        <v>406.636836</v>
      </c>
      <c r="J506" s="147">
        <f>F4A!J505+F4B!J504</f>
        <v>369.470139</v>
      </c>
      <c r="K506" s="147">
        <f>F4A!K505+F4B!K504</f>
        <v>413.502791512084</v>
      </c>
      <c r="L506" s="147">
        <f>F4A!L505+F4B!L504</f>
        <v>407.274543931303</v>
      </c>
      <c r="M506" s="147">
        <f>F4A!M505+F4B!M504</f>
        <v>413.657541826264</v>
      </c>
      <c r="N506" s="147">
        <f>F4A!N505+F4B!N504</f>
        <v>407.16165060954</v>
      </c>
      <c r="O506" s="147">
        <f>F4A!O505+F4B!O504</f>
        <v>376.120666739982</v>
      </c>
      <c r="P506" s="147">
        <f>F4A!P505+F4B!P504</f>
        <v>408.070215723041</v>
      </c>
      <c r="Q506" s="316">
        <f t="shared" ref="Q506:Q518" si="81">SUM(E506:P506)</f>
        <v>4716.46701034221</v>
      </c>
    </row>
    <row r="507" ht="15" spans="3:17">
      <c r="C507" s="55" t="s">
        <v>193</v>
      </c>
      <c r="D507" s="55" t="s">
        <v>194</v>
      </c>
      <c r="E507" s="147">
        <f>F4A!E506+F4B!E505</f>
        <v>12.44</v>
      </c>
      <c r="F507" s="147">
        <f>F4A!F506+F4B!F505</f>
        <v>13.28</v>
      </c>
      <c r="G507" s="147">
        <f>F4A!G506+F4B!G505</f>
        <v>15.55</v>
      </c>
      <c r="H507" s="147">
        <f>F4A!H506+F4B!H505</f>
        <v>14.07</v>
      </c>
      <c r="I507" s="147">
        <f>F4A!I506+F4B!I505</f>
        <v>13.15</v>
      </c>
      <c r="J507" s="147">
        <f>F4A!J506+F4B!J505</f>
        <v>5.2</v>
      </c>
      <c r="K507" s="147">
        <f>F4A!K506+F4B!K505</f>
        <v>14.813835</v>
      </c>
      <c r="L507" s="147">
        <f>F4A!L506+F4B!L505</f>
        <v>10.4765</v>
      </c>
      <c r="M507" s="147">
        <f>F4A!M506+F4B!M505</f>
        <v>12.8933</v>
      </c>
      <c r="N507" s="147">
        <f>F4A!N506+F4B!N505</f>
        <v>13.8759</v>
      </c>
      <c r="O507" s="147">
        <f>F4A!O506+F4B!O505</f>
        <v>12.5152</v>
      </c>
      <c r="P507" s="147">
        <f>F4A!P506+F4B!P505</f>
        <v>11.67</v>
      </c>
      <c r="Q507" s="316">
        <f t="shared" si="81"/>
        <v>149.934735</v>
      </c>
    </row>
    <row r="508" ht="15" spans="3:17">
      <c r="C508" s="55" t="s">
        <v>239</v>
      </c>
      <c r="D508" s="55" t="s">
        <v>196</v>
      </c>
      <c r="E508" s="147">
        <f>F4A!E507+F4B!E506</f>
        <v>17.11</v>
      </c>
      <c r="F508" s="147">
        <f>F4A!F507+F4B!F506</f>
        <v>19.17</v>
      </c>
      <c r="G508" s="147">
        <f>F4A!G507+F4B!G506</f>
        <v>18.42</v>
      </c>
      <c r="H508" s="147">
        <f>F4A!H507+F4B!H506</f>
        <v>18.36</v>
      </c>
      <c r="I508" s="147">
        <f>F4A!I507+F4B!I506</f>
        <v>18.46</v>
      </c>
      <c r="J508" s="147">
        <f>F4A!J507+F4B!J506</f>
        <v>17.83</v>
      </c>
      <c r="K508" s="147">
        <f>F4A!K507+F4B!K506</f>
        <v>13.0863786596344</v>
      </c>
      <c r="L508" s="147">
        <f>F4A!L507+F4B!L506</f>
        <v>13.6563521071289</v>
      </c>
      <c r="M508" s="147">
        <f>F4A!M507+F4B!M506</f>
        <v>13.5832950253413</v>
      </c>
      <c r="N508" s="147">
        <f>F4A!N507+F4B!N506</f>
        <v>13.684506029985</v>
      </c>
      <c r="O508" s="147">
        <f>F4A!O507+F4B!O506</f>
        <v>16.1801422052482</v>
      </c>
      <c r="P508" s="147">
        <f>F4A!P507+F4B!P506</f>
        <v>23.0698774782743</v>
      </c>
      <c r="Q508" s="316">
        <f t="shared" si="81"/>
        <v>202.610551505612</v>
      </c>
    </row>
    <row r="509" ht="15" spans="3:17">
      <c r="C509" s="55" t="s">
        <v>197</v>
      </c>
      <c r="D509" s="55" t="s">
        <v>198</v>
      </c>
      <c r="E509" s="147">
        <f>F4A!E508+F4B!E507</f>
        <v>0</v>
      </c>
      <c r="F509" s="147">
        <f>F4A!F508+F4B!F507</f>
        <v>0</v>
      </c>
      <c r="G509" s="147">
        <f>F4A!G508+F4B!G507</f>
        <v>0</v>
      </c>
      <c r="H509" s="147">
        <f>F4A!H508+F4B!H507</f>
        <v>0</v>
      </c>
      <c r="I509" s="147">
        <f>F4A!I508+F4B!I507</f>
        <v>0</v>
      </c>
      <c r="J509" s="147">
        <f>F4A!J508+F4B!J507</f>
        <v>0</v>
      </c>
      <c r="K509" s="147">
        <f>F4A!K508+F4B!K507</f>
        <v>0</v>
      </c>
      <c r="L509" s="147">
        <f>F4A!L508+F4B!L507</f>
        <v>0</v>
      </c>
      <c r="M509" s="147">
        <f>F4A!M508+F4B!M507</f>
        <v>0</v>
      </c>
      <c r="N509" s="147">
        <f>F4A!N508+F4B!N507</f>
        <v>0</v>
      </c>
      <c r="O509" s="147">
        <f>F4A!O508+F4B!O507</f>
        <v>0</v>
      </c>
      <c r="P509" s="147">
        <f>F4A!P508+F4B!P507</f>
        <v>0</v>
      </c>
      <c r="Q509" s="316">
        <f t="shared" si="81"/>
        <v>0</v>
      </c>
    </row>
    <row r="510" ht="15" spans="3:17">
      <c r="C510" s="55" t="s">
        <v>199</v>
      </c>
      <c r="D510" s="55" t="s">
        <v>200</v>
      </c>
      <c r="E510" s="147">
        <f>F4A!E509+F4B!E508</f>
        <v>9.23</v>
      </c>
      <c r="F510" s="147">
        <f>F4A!F509+F4B!F508</f>
        <v>10.89</v>
      </c>
      <c r="G510" s="147">
        <f>F4A!G509+F4B!G508</f>
        <v>10.08</v>
      </c>
      <c r="H510" s="147">
        <f>F4A!H509+F4B!H508</f>
        <v>9.59</v>
      </c>
      <c r="I510" s="147">
        <f>F4A!I509+F4B!I508</f>
        <v>9.64</v>
      </c>
      <c r="J510" s="147">
        <f>F4A!J509+F4B!J508</f>
        <v>8.87</v>
      </c>
      <c r="K510" s="147">
        <f>F4A!K509+F4B!K508</f>
        <v>8.51505367221564</v>
      </c>
      <c r="L510" s="147">
        <f>F4A!L509+F4B!L508</f>
        <v>8.68343388019102</v>
      </c>
      <c r="M510" s="147">
        <f>F4A!M509+F4B!M508</f>
        <v>7.72501870648385</v>
      </c>
      <c r="N510" s="147">
        <f>F4A!N509+F4B!N508</f>
        <v>7.74932785318944</v>
      </c>
      <c r="O510" s="147">
        <f>F4A!O509+F4B!O508</f>
        <v>8.64665030293915</v>
      </c>
      <c r="P510" s="147">
        <f>F4A!P509+F4B!P508</f>
        <v>10.3451289069945</v>
      </c>
      <c r="Q510" s="316">
        <f t="shared" si="81"/>
        <v>109.964613322014</v>
      </c>
    </row>
    <row r="511" ht="15" spans="3:17">
      <c r="C511" s="55" t="s">
        <v>201</v>
      </c>
      <c r="D511" s="55" t="s">
        <v>240</v>
      </c>
      <c r="E511" s="147">
        <f>F4A!E510+F4B!E509</f>
        <v>38.92</v>
      </c>
      <c r="F511" s="147">
        <f>F4A!F510+F4B!F509</f>
        <v>24.2</v>
      </c>
      <c r="G511" s="147">
        <f>F4A!G510+F4B!G509</f>
        <v>53</v>
      </c>
      <c r="H511" s="147">
        <f>F4A!H510+F4B!H509</f>
        <v>118.56</v>
      </c>
      <c r="I511" s="147">
        <f>F4A!I510+F4B!I509</f>
        <v>419.87</v>
      </c>
      <c r="J511" s="147">
        <f>F4A!J510+F4B!J509</f>
        <v>278.27</v>
      </c>
      <c r="K511" s="147">
        <f>F4A!K510+F4B!K509</f>
        <v>208.2941450016</v>
      </c>
      <c r="L511" s="147">
        <f>F4A!L510+F4B!L509</f>
        <v>196.9552320552</v>
      </c>
      <c r="M511" s="147">
        <f>F4A!M510+F4B!M509</f>
        <v>58.7599559796</v>
      </c>
      <c r="N511" s="147">
        <f>F4A!N510+F4B!N509</f>
        <v>40.686242613</v>
      </c>
      <c r="O511" s="147">
        <f>F4A!O510+F4B!O509</f>
        <v>50.7671475762</v>
      </c>
      <c r="P511" s="147">
        <f>F4A!P510+F4B!P509</f>
        <v>34.2156515586</v>
      </c>
      <c r="Q511" s="316">
        <f t="shared" si="81"/>
        <v>1522.4983747842</v>
      </c>
    </row>
    <row r="512" ht="15" spans="3:17">
      <c r="C512" s="55" t="s">
        <v>203</v>
      </c>
      <c r="D512" s="55" t="s">
        <v>220</v>
      </c>
      <c r="E512" s="147">
        <f>F4A!E511+F4B!E510</f>
        <v>24.526</v>
      </c>
      <c r="F512" s="147">
        <f>F4A!F511+F4B!F510</f>
        <v>25.21</v>
      </c>
      <c r="G512" s="147">
        <f>F4A!G511+F4B!G510</f>
        <v>24.09</v>
      </c>
      <c r="H512" s="147">
        <f>F4A!H511+F4B!H510</f>
        <v>24.89</v>
      </c>
      <c r="I512" s="147">
        <f>F4A!I511+F4B!I510</f>
        <v>23.95</v>
      </c>
      <c r="J512" s="147">
        <f>F4A!J511+F4B!J510</f>
        <v>20.49</v>
      </c>
      <c r="K512" s="147">
        <f>F4A!K511+F4B!K510</f>
        <v>23.8543820129772</v>
      </c>
      <c r="L512" s="147">
        <f>F4A!L511+F4B!L510</f>
        <v>24.8596508676083</v>
      </c>
      <c r="M512" s="147">
        <f>F4A!M511+F4B!M510</f>
        <v>26.3634203652417</v>
      </c>
      <c r="N512" s="147">
        <f>F4A!N511+F4B!N510</f>
        <v>24.7745919281419</v>
      </c>
      <c r="O512" s="147">
        <f>F4A!O511+F4B!O510</f>
        <v>21.9709159898755</v>
      </c>
      <c r="P512" s="147">
        <f>F4A!P511+F4B!P510</f>
        <v>26.5448006973546</v>
      </c>
      <c r="Q512" s="316">
        <f t="shared" si="81"/>
        <v>291.523761861199</v>
      </c>
    </row>
    <row r="513" ht="15" spans="3:17">
      <c r="C513" s="55" t="s">
        <v>241</v>
      </c>
      <c r="D513" s="55" t="s">
        <v>229</v>
      </c>
      <c r="E513" s="147">
        <f>F4A!E512+F4B!E511</f>
        <v>43.90424</v>
      </c>
      <c r="F513" s="147">
        <f>F4A!F512+F4B!F511</f>
        <v>46.55</v>
      </c>
      <c r="G513" s="147">
        <f>F4A!G512+F4B!G511</f>
        <v>44.128555</v>
      </c>
      <c r="H513" s="147">
        <f>F4A!H512+F4B!H511</f>
        <v>43.677035</v>
      </c>
      <c r="I513" s="147">
        <f>F4A!I512+F4B!I511</f>
        <v>44.33</v>
      </c>
      <c r="J513" s="147">
        <f>F4A!J512+F4B!J511</f>
        <v>43.01</v>
      </c>
      <c r="K513" s="147">
        <f>F4A!K512+F4B!K511</f>
        <v>113.801675728963</v>
      </c>
      <c r="L513" s="147">
        <f>F4A!L512+F4B!L511</f>
        <v>111.637658917645</v>
      </c>
      <c r="M513" s="147">
        <f>F4A!M512+F4B!M511</f>
        <v>111.178510602803</v>
      </c>
      <c r="N513" s="147">
        <f>F4A!N512+F4B!N511</f>
        <v>113.559116333187</v>
      </c>
      <c r="O513" s="147">
        <f>F4A!O512+F4B!O511</f>
        <v>110.087865607756</v>
      </c>
      <c r="P513" s="147">
        <f>F4A!P512+F4B!P511</f>
        <v>115.008337949562</v>
      </c>
      <c r="Q513" s="316">
        <f t="shared" si="81"/>
        <v>940.872995139916</v>
      </c>
    </row>
    <row r="514" ht="15" spans="3:17">
      <c r="C514" s="55" t="s">
        <v>259</v>
      </c>
      <c r="D514" s="55" t="s">
        <v>243</v>
      </c>
      <c r="E514" s="147">
        <f>F4A!E513+F4B!E512</f>
        <v>10.77</v>
      </c>
      <c r="F514" s="147">
        <f>F4A!F513+F4B!F512</f>
        <v>11.39</v>
      </c>
      <c r="G514" s="147">
        <f>F4A!G513+F4B!G512</f>
        <v>11.9</v>
      </c>
      <c r="H514" s="147">
        <f>F4A!H513+F4B!H512</f>
        <v>10.45</v>
      </c>
      <c r="I514" s="147">
        <f>F4A!I513+F4B!I512</f>
        <v>10.38</v>
      </c>
      <c r="J514" s="147">
        <f>F4A!J513+F4B!J512</f>
        <v>9.56</v>
      </c>
      <c r="K514" s="147">
        <f>F4A!K513+F4B!K512</f>
        <v>18.3779939002928</v>
      </c>
      <c r="L514" s="147">
        <f>F4A!L513+F4B!L512</f>
        <v>15.1987242724649</v>
      </c>
      <c r="M514" s="147">
        <f>F4A!M513+F4B!M512</f>
        <v>17.3567904254232</v>
      </c>
      <c r="N514" s="147">
        <f>F4A!N513+F4B!N512</f>
        <v>17.6766856311787</v>
      </c>
      <c r="O514" s="147">
        <f>F4A!O513+F4B!O512</f>
        <v>17.6582326201165</v>
      </c>
      <c r="P514" s="147">
        <f>F4A!P513+F4B!P512</f>
        <v>19.1274935040815</v>
      </c>
      <c r="Q514" s="316">
        <f t="shared" si="81"/>
        <v>169.845920353557</v>
      </c>
    </row>
    <row r="515" ht="15" spans="3:17">
      <c r="C515" s="55" t="s">
        <v>205</v>
      </c>
      <c r="D515" s="55" t="s">
        <v>206</v>
      </c>
      <c r="E515" s="147">
        <f>F4A!E514+F4B!E513</f>
        <v>0</v>
      </c>
      <c r="F515" s="147">
        <f>F4A!F514+F4B!F513</f>
        <v>0</v>
      </c>
      <c r="G515" s="147">
        <f>F4A!G514+F4B!G513</f>
        <v>0</v>
      </c>
      <c r="H515" s="147">
        <f>F4A!H514+F4B!H513</f>
        <v>0</v>
      </c>
      <c r="I515" s="147">
        <f>F4A!I514+F4B!I513</f>
        <v>0</v>
      </c>
      <c r="J515" s="147">
        <f>F4A!J514+F4B!J513</f>
        <v>0</v>
      </c>
      <c r="K515" s="147">
        <f>F4A!K514+F4B!K513</f>
        <v>0</v>
      </c>
      <c r="L515" s="147">
        <f>F4A!L514+F4B!L513</f>
        <v>0</v>
      </c>
      <c r="M515" s="147">
        <f>F4A!M514+F4B!M513</f>
        <v>0</v>
      </c>
      <c r="N515" s="147">
        <f>F4A!N514+F4B!N513</f>
        <v>0</v>
      </c>
      <c r="O515" s="147">
        <f>F4A!O514+F4B!O513</f>
        <v>0</v>
      </c>
      <c r="P515" s="147">
        <f>F4A!P514+F4B!P513</f>
        <v>0</v>
      </c>
      <c r="Q515" s="316">
        <f t="shared" si="81"/>
        <v>0</v>
      </c>
    </row>
    <row r="516" ht="15" spans="3:17">
      <c r="C516" s="55" t="s">
        <v>207</v>
      </c>
      <c r="D516" s="55" t="s">
        <v>186</v>
      </c>
      <c r="E516" s="147">
        <f>F4A!E515+F4B!E514</f>
        <v>0</v>
      </c>
      <c r="F516" s="147">
        <f>F4A!F515+F4B!F514</f>
        <v>0</v>
      </c>
      <c r="G516" s="147">
        <f>F4A!G515+F4B!G514</f>
        <v>0</v>
      </c>
      <c r="H516" s="147">
        <f>F4A!H515+F4B!H514</f>
        <v>0</v>
      </c>
      <c r="I516" s="147">
        <f>F4A!I515+F4B!I514</f>
        <v>0</v>
      </c>
      <c r="J516" s="147">
        <f>F4A!J515+F4B!J514</f>
        <v>0</v>
      </c>
      <c r="K516" s="147">
        <f>F4A!K515+F4B!K514</f>
        <v>0</v>
      </c>
      <c r="L516" s="147">
        <f>F4A!L515+F4B!L514</f>
        <v>0</v>
      </c>
      <c r="M516" s="147">
        <f>F4A!M515+F4B!M514</f>
        <v>0</v>
      </c>
      <c r="N516" s="147">
        <f>F4A!N515+F4B!N514</f>
        <v>0</v>
      </c>
      <c r="O516" s="147">
        <f>F4A!O515+F4B!O514</f>
        <v>0</v>
      </c>
      <c r="P516" s="147">
        <f>F4A!P515+F4B!P514</f>
        <v>0</v>
      </c>
      <c r="Q516" s="316">
        <f t="shared" si="81"/>
        <v>0</v>
      </c>
    </row>
    <row r="517" ht="15" spans="3:17">
      <c r="C517" s="55" t="s">
        <v>208</v>
      </c>
      <c r="D517" s="55" t="s">
        <v>209</v>
      </c>
      <c r="E517" s="147">
        <f>F4A!E516+F4B!E515</f>
        <v>0</v>
      </c>
      <c r="F517" s="147">
        <f>F4A!F516+F4B!F515</f>
        <v>0</v>
      </c>
      <c r="G517" s="147">
        <f>F4A!G516+F4B!G515</f>
        <v>0</v>
      </c>
      <c r="H517" s="147">
        <f>F4A!H516+F4B!H515</f>
        <v>0</v>
      </c>
      <c r="I517" s="147">
        <f>F4A!I516+F4B!I515</f>
        <v>0</v>
      </c>
      <c r="J517" s="147">
        <f>F4A!J516+F4B!J515</f>
        <v>0</v>
      </c>
      <c r="K517" s="147">
        <f>F4A!K516+F4B!K515</f>
        <v>0</v>
      </c>
      <c r="L517" s="147">
        <f>F4A!L516+F4B!L515</f>
        <v>0</v>
      </c>
      <c r="M517" s="147">
        <f>F4A!M516+F4B!M515</f>
        <v>0</v>
      </c>
      <c r="N517" s="147">
        <f>F4A!N516+F4B!N515</f>
        <v>0</v>
      </c>
      <c r="O517" s="147">
        <f>F4A!O516+F4B!O515</f>
        <v>0</v>
      </c>
      <c r="P517" s="147">
        <f>F4A!P516+F4B!P515</f>
        <v>0</v>
      </c>
      <c r="Q517" s="316">
        <f t="shared" si="81"/>
        <v>0</v>
      </c>
    </row>
    <row r="518" ht="15" spans="3:17">
      <c r="C518" s="55" t="s">
        <v>210</v>
      </c>
      <c r="D518" s="55" t="s">
        <v>188</v>
      </c>
      <c r="E518" s="147">
        <f>F4A!E517+F4B!E516</f>
        <v>0</v>
      </c>
      <c r="F518" s="147">
        <f>F4A!F517+F4B!F516</f>
        <v>0</v>
      </c>
      <c r="G518" s="147">
        <f>F4A!G517+F4B!G516</f>
        <v>0</v>
      </c>
      <c r="H518" s="147">
        <f>F4A!H517+F4B!H516</f>
        <v>0</v>
      </c>
      <c r="I518" s="147">
        <f>F4A!I517+F4B!I516</f>
        <v>0</v>
      </c>
      <c r="J518" s="147">
        <f>F4A!J517+F4B!J516</f>
        <v>0</v>
      </c>
      <c r="K518" s="147">
        <f>F4A!K517+F4B!K516</f>
        <v>0</v>
      </c>
      <c r="L518" s="147">
        <f>F4A!L517+F4B!L516</f>
        <v>0</v>
      </c>
      <c r="M518" s="147">
        <f>F4A!M517+F4B!M516</f>
        <v>0</v>
      </c>
      <c r="N518" s="147">
        <f>F4A!N517+F4B!N516</f>
        <v>0</v>
      </c>
      <c r="O518" s="147">
        <f>F4A!O517+F4B!O516</f>
        <v>0</v>
      </c>
      <c r="P518" s="147">
        <f>F4A!P517+F4B!P516</f>
        <v>0</v>
      </c>
      <c r="Q518" s="316">
        <f t="shared" si="81"/>
        <v>0</v>
      </c>
    </row>
    <row r="519" ht="15" spans="3:17">
      <c r="C519" s="55"/>
      <c r="D519" s="55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316"/>
    </row>
    <row r="520" ht="15" spans="3:17">
      <c r="C520" s="55"/>
      <c r="D520" s="55"/>
      <c r="E520" s="147"/>
      <c r="F520" s="147"/>
      <c r="G520" s="147"/>
      <c r="H520" s="147"/>
      <c r="I520" s="147"/>
      <c r="J520" s="147"/>
      <c r="K520" s="147"/>
      <c r="L520" s="147"/>
      <c r="M520" s="147"/>
      <c r="N520" s="147"/>
      <c r="O520" s="147"/>
      <c r="P520" s="147"/>
      <c r="Q520" s="316"/>
    </row>
    <row r="521" ht="15" spans="3:17">
      <c r="C521" s="55"/>
      <c r="D521" s="55"/>
      <c r="E521" s="147"/>
      <c r="F521" s="147"/>
      <c r="G521" s="147"/>
      <c r="H521" s="147"/>
      <c r="I521" s="147"/>
      <c r="J521" s="147"/>
      <c r="K521" s="147"/>
      <c r="L521" s="147"/>
      <c r="M521" s="147"/>
      <c r="N521" s="147"/>
      <c r="O521" s="147"/>
      <c r="P521" s="147"/>
      <c r="Q521" s="316"/>
    </row>
    <row r="522" ht="15" spans="3:17">
      <c r="C522" s="55" t="s">
        <v>258</v>
      </c>
      <c r="D522" s="55" t="s">
        <v>258</v>
      </c>
      <c r="E522" s="147"/>
      <c r="F522" s="147"/>
      <c r="G522" s="147"/>
      <c r="H522" s="147"/>
      <c r="I522" s="147"/>
      <c r="J522" s="147"/>
      <c r="K522" s="147"/>
      <c r="L522" s="147"/>
      <c r="M522" s="147"/>
      <c r="N522" s="147"/>
      <c r="O522" s="147"/>
      <c r="P522" s="147"/>
      <c r="Q522" s="316"/>
    </row>
    <row r="523" ht="15" spans="3:17">
      <c r="C523" s="537" t="s">
        <v>211</v>
      </c>
      <c r="D523" s="540"/>
      <c r="E523" s="316">
        <f t="shared" ref="E523:P523" si="82">SUM(E506:E522)</f>
        <v>520.295228</v>
      </c>
      <c r="F523" s="316">
        <f t="shared" si="82"/>
        <v>537.987409</v>
      </c>
      <c r="G523" s="316">
        <f t="shared" si="82"/>
        <v>556.199146</v>
      </c>
      <c r="H523" s="316">
        <f t="shared" si="82"/>
        <v>624.446672</v>
      </c>
      <c r="I523" s="316">
        <f t="shared" si="82"/>
        <v>946.416836</v>
      </c>
      <c r="J523" s="316">
        <f t="shared" si="82"/>
        <v>752.700139</v>
      </c>
      <c r="K523" s="316">
        <f t="shared" si="82"/>
        <v>814.246255487767</v>
      </c>
      <c r="L523" s="316">
        <f t="shared" si="82"/>
        <v>788.742096031541</v>
      </c>
      <c r="M523" s="316">
        <f t="shared" si="82"/>
        <v>661.517832931157</v>
      </c>
      <c r="N523" s="316">
        <f t="shared" si="82"/>
        <v>639.168020998222</v>
      </c>
      <c r="O523" s="316">
        <f t="shared" si="82"/>
        <v>613.946821042117</v>
      </c>
      <c r="P523" s="316">
        <f t="shared" si="82"/>
        <v>648.051505817908</v>
      </c>
      <c r="Q523" s="316">
        <f>SUM(E523:P523)</f>
        <v>8103.71796230871</v>
      </c>
    </row>
    <row r="524" ht="15" spans="3:17">
      <c r="C524" s="537" t="s">
        <v>223</v>
      </c>
      <c r="D524" s="540"/>
      <c r="E524" s="316">
        <f t="shared" ref="E524:P524" si="83">E523+E504+E486</f>
        <v>1882.70573126</v>
      </c>
      <c r="F524" s="316">
        <f t="shared" si="83"/>
        <v>1941.26046453</v>
      </c>
      <c r="G524" s="316">
        <f t="shared" si="83"/>
        <v>1891.71611762</v>
      </c>
      <c r="H524" s="316">
        <f t="shared" si="83"/>
        <v>1964.27228231</v>
      </c>
      <c r="I524" s="316">
        <f t="shared" si="83"/>
        <v>2292.45560175</v>
      </c>
      <c r="J524" s="316">
        <f t="shared" si="83"/>
        <v>2032.67774953</v>
      </c>
      <c r="K524" s="316">
        <f t="shared" si="83"/>
        <v>2187.6621498682</v>
      </c>
      <c r="L524" s="316">
        <f t="shared" si="83"/>
        <v>2149.27563021648</v>
      </c>
      <c r="M524" s="316">
        <f t="shared" si="83"/>
        <v>2028.46923790826</v>
      </c>
      <c r="N524" s="316">
        <f t="shared" si="83"/>
        <v>1997.47867288947</v>
      </c>
      <c r="O524" s="316">
        <f t="shared" si="83"/>
        <v>1972.9961763898</v>
      </c>
      <c r="P524" s="316">
        <f t="shared" si="83"/>
        <v>2160.90403758356</v>
      </c>
      <c r="Q524" s="316">
        <f>SUM(E524:P524)</f>
        <v>24501.8738518558</v>
      </c>
    </row>
    <row r="525" ht="15" spans="3:17">
      <c r="C525" s="537" t="s">
        <v>224</v>
      </c>
      <c r="D525" s="540"/>
      <c r="E525" s="316">
        <f t="shared" ref="E525:P525" si="84">E524+E469</f>
        <v>4799.88673135262</v>
      </c>
      <c r="F525" s="316">
        <f t="shared" si="84"/>
        <v>4250.85448090936</v>
      </c>
      <c r="G525" s="316">
        <f t="shared" si="84"/>
        <v>4003.02161936759</v>
      </c>
      <c r="H525" s="316">
        <f t="shared" si="84"/>
        <v>4495.3041493638</v>
      </c>
      <c r="I525" s="316">
        <f t="shared" si="84"/>
        <v>5135.38374764665</v>
      </c>
      <c r="J525" s="316">
        <f t="shared" si="84"/>
        <v>4510.44507608</v>
      </c>
      <c r="K525" s="316">
        <f t="shared" si="84"/>
        <v>5584.95047582889</v>
      </c>
      <c r="L525" s="316">
        <f t="shared" si="84"/>
        <v>4398.25054261845</v>
      </c>
      <c r="M525" s="316">
        <f t="shared" si="84"/>
        <v>4548.45492286027</v>
      </c>
      <c r="N525" s="316">
        <f t="shared" si="84"/>
        <v>5155.31574005471</v>
      </c>
      <c r="O525" s="316">
        <f t="shared" si="84"/>
        <v>5315.49797962185</v>
      </c>
      <c r="P525" s="316">
        <f t="shared" si="84"/>
        <v>6122.22606701341</v>
      </c>
      <c r="Q525" s="316">
        <f>SUM(E525:P525)</f>
        <v>58319.5915327176</v>
      </c>
    </row>
    <row r="527" ht="15" spans="3:17">
      <c r="C527" s="14"/>
      <c r="Q527" s="3" t="s">
        <v>236</v>
      </c>
    </row>
    <row r="528" ht="15" spans="3:17">
      <c r="C528" s="6" t="s">
        <v>159</v>
      </c>
      <c r="D528" s="6"/>
      <c r="E528" s="881" t="s">
        <v>264</v>
      </c>
      <c r="F528" s="881"/>
      <c r="G528" s="881"/>
      <c r="H528" s="881"/>
      <c r="I528" s="881"/>
      <c r="J528" s="881"/>
      <c r="K528" s="881"/>
      <c r="L528" s="881"/>
      <c r="M528" s="881"/>
      <c r="N528" s="881"/>
      <c r="O528" s="881"/>
      <c r="P528" s="881"/>
      <c r="Q528" s="881"/>
    </row>
    <row r="529" ht="15" spans="3:17">
      <c r="C529" s="6"/>
      <c r="D529" s="6"/>
      <c r="E529" s="135" t="s">
        <v>246</v>
      </c>
      <c r="F529" s="135" t="s">
        <v>247</v>
      </c>
      <c r="G529" s="135" t="s">
        <v>248</v>
      </c>
      <c r="H529" s="135" t="s">
        <v>249</v>
      </c>
      <c r="I529" s="135" t="s">
        <v>250</v>
      </c>
      <c r="J529" s="135" t="s">
        <v>251</v>
      </c>
      <c r="K529" s="135" t="s">
        <v>252</v>
      </c>
      <c r="L529" s="135" t="s">
        <v>253</v>
      </c>
      <c r="M529" s="135" t="s">
        <v>254</v>
      </c>
      <c r="N529" s="135" t="s">
        <v>255</v>
      </c>
      <c r="O529" s="135" t="s">
        <v>256</v>
      </c>
      <c r="P529" s="135" t="s">
        <v>257</v>
      </c>
      <c r="Q529" s="135" t="s">
        <v>97</v>
      </c>
    </row>
    <row r="530" ht="15" spans="3:17">
      <c r="C530" s="44" t="s">
        <v>170</v>
      </c>
      <c r="D530" s="45"/>
      <c r="E530" s="147"/>
      <c r="F530" s="147"/>
      <c r="G530" s="147"/>
      <c r="H530" s="147"/>
      <c r="I530" s="147"/>
      <c r="J530" s="147"/>
      <c r="K530" s="147"/>
      <c r="L530" s="147"/>
      <c r="M530" s="147"/>
      <c r="N530" s="147"/>
      <c r="O530" s="147"/>
      <c r="P530" s="147"/>
      <c r="Q530" s="316">
        <f>SUM(E530:P530)</f>
        <v>0</v>
      </c>
    </row>
    <row r="531" ht="15" spans="3:17">
      <c r="C531" s="47" t="s">
        <v>171</v>
      </c>
      <c r="D531" s="47" t="s">
        <v>172</v>
      </c>
      <c r="E531" s="147">
        <f>F4A!E530+F4B!E529</f>
        <v>1352.04880923099</v>
      </c>
      <c r="F531" s="147">
        <f>F4A!F530+F4B!F529</f>
        <v>1361.6102309388</v>
      </c>
      <c r="G531" s="147">
        <f>F4A!G530+F4B!G529</f>
        <v>1090.92899603045</v>
      </c>
      <c r="H531" s="147">
        <f>F4A!H530+F4B!H529</f>
        <v>994.913288875725</v>
      </c>
      <c r="I531" s="147">
        <f>F4A!I530+F4B!I529</f>
        <v>1072.42061037728</v>
      </c>
      <c r="J531" s="147">
        <f>F4A!J530+F4B!J529</f>
        <v>971.985264075273</v>
      </c>
      <c r="K531" s="147">
        <f>F4A!K530+F4B!K529</f>
        <v>1001.57070110202</v>
      </c>
      <c r="L531" s="147">
        <f>F4A!L530+F4B!L529</f>
        <v>927.773751753945</v>
      </c>
      <c r="M531" s="147">
        <f>F4A!M530+F4B!M529</f>
        <v>822.977080499025</v>
      </c>
      <c r="N531" s="147">
        <f>F4A!N530+F4B!N529</f>
        <v>928.792160374642</v>
      </c>
      <c r="O531" s="147">
        <f>F4A!O530+F4B!O529</f>
        <v>879.735647332392</v>
      </c>
      <c r="P531" s="147">
        <f>F4A!P530+F4B!P529</f>
        <v>1206.38632666238</v>
      </c>
      <c r="Q531" s="316">
        <f t="shared" ref="Q531:Q539" si="85">SUM(E531:P531)</f>
        <v>12611.1428672529</v>
      </c>
    </row>
    <row r="532" ht="15" spans="3:17">
      <c r="C532" s="55" t="s">
        <v>173</v>
      </c>
      <c r="D532" s="55" t="s">
        <v>174</v>
      </c>
      <c r="E532" s="147">
        <f>F4A!E531+F4B!E530</f>
        <v>407.372387017743</v>
      </c>
      <c r="F532" s="147">
        <f>F4A!F531+F4B!F530</f>
        <v>404.824000741147</v>
      </c>
      <c r="G532" s="147">
        <f>F4A!G531+F4B!G530</f>
        <v>359.594797635318</v>
      </c>
      <c r="H532" s="147">
        <f>F4A!H531+F4B!H530</f>
        <v>342.322970415454</v>
      </c>
      <c r="I532" s="147">
        <f>F4A!I531+F4B!I530</f>
        <v>360.54473082871</v>
      </c>
      <c r="J532" s="147">
        <f>F4A!J531+F4B!J530</f>
        <v>329.177234378978</v>
      </c>
      <c r="K532" s="147">
        <f>F4A!K531+F4B!K530</f>
        <v>372.322239028344</v>
      </c>
      <c r="L532" s="147">
        <f>F4A!L531+F4B!L530</f>
        <v>352.319921418252</v>
      </c>
      <c r="M532" s="147">
        <f>F4A!M531+F4B!M530</f>
        <v>324.884373561801</v>
      </c>
      <c r="N532" s="147">
        <f>F4A!N531+F4B!N530</f>
        <v>355.656232112652</v>
      </c>
      <c r="O532" s="147">
        <f>F4A!O531+F4B!O530</f>
        <v>355.075171357581</v>
      </c>
      <c r="P532" s="147">
        <f>F4A!P531+F4B!P530</f>
        <v>438.966677927105</v>
      </c>
      <c r="Q532" s="316">
        <f t="shared" si="85"/>
        <v>4403.06073642308</v>
      </c>
    </row>
    <row r="533" ht="15" spans="3:17">
      <c r="C533" s="55" t="s">
        <v>175</v>
      </c>
      <c r="D533" s="55" t="s">
        <v>176</v>
      </c>
      <c r="E533" s="147">
        <f>F4A!E532+F4B!E531</f>
        <v>85.7819430272581</v>
      </c>
      <c r="F533" s="147">
        <f>F4A!F532+F4B!F531</f>
        <v>90.2757446459904</v>
      </c>
      <c r="G533" s="147">
        <f>F4A!G532+F4B!G531</f>
        <v>84.1035945376015</v>
      </c>
      <c r="H533" s="147">
        <f>F4A!H532+F4B!H531</f>
        <v>83.1991532733979</v>
      </c>
      <c r="I533" s="147">
        <f>F4A!I532+F4B!I531</f>
        <v>82.7385138632714</v>
      </c>
      <c r="J533" s="147">
        <f>F4A!J532+F4B!J531</f>
        <v>77.4983749895368</v>
      </c>
      <c r="K533" s="147">
        <f>F4A!K532+F4B!K531</f>
        <v>84.7336482445645</v>
      </c>
      <c r="L533" s="147">
        <f>F4A!L532+F4B!L531</f>
        <v>87.1364209562843</v>
      </c>
      <c r="M533" s="147">
        <f>F4A!M532+F4B!M531</f>
        <v>96.5666566910089</v>
      </c>
      <c r="N533" s="147">
        <f>F4A!N532+F4B!N531</f>
        <v>93.8163924204133</v>
      </c>
      <c r="O533" s="147">
        <f>F4A!O532+F4B!O531</f>
        <v>86.3456030540436</v>
      </c>
      <c r="P533" s="147">
        <f>F4A!P532+F4B!P531</f>
        <v>96.2494275454274</v>
      </c>
      <c r="Q533" s="316">
        <f t="shared" si="85"/>
        <v>1048.4454732488</v>
      </c>
    </row>
    <row r="534" ht="15" spans="3:17">
      <c r="C534" s="55" t="s">
        <v>177</v>
      </c>
      <c r="D534" s="55" t="s">
        <v>178</v>
      </c>
      <c r="E534" s="147">
        <f>F4A!E533+F4B!E532</f>
        <v>0.806515268786343</v>
      </c>
      <c r="F534" s="147">
        <f>F4A!F533+F4B!F532</f>
        <v>0.866655954359658</v>
      </c>
      <c r="G534" s="147">
        <f>F4A!G533+F4B!G532</f>
        <v>0.783657493752785</v>
      </c>
      <c r="H534" s="147">
        <f>F4A!H533+F4B!H532</f>
        <v>0.776691179018344</v>
      </c>
      <c r="I534" s="147">
        <f>F4A!I533+F4B!I532</f>
        <v>0.771867876090905</v>
      </c>
      <c r="J534" s="147">
        <f>F4A!J533+F4B!J532</f>
        <v>0.738356350883391</v>
      </c>
      <c r="K534" s="147">
        <f>F4A!K533+F4B!K532</f>
        <v>0.819002556293504</v>
      </c>
      <c r="L534" s="147">
        <f>F4A!L533+F4B!L532</f>
        <v>0.770565017275094</v>
      </c>
      <c r="M534" s="147">
        <f>F4A!M533+F4B!M532</f>
        <v>0.814362196806805</v>
      </c>
      <c r="N534" s="147">
        <f>F4A!N533+F4B!N532</f>
        <v>0.844801367163275</v>
      </c>
      <c r="O534" s="147">
        <f>F4A!O533+F4B!O532</f>
        <v>0.759685975470842</v>
      </c>
      <c r="P534" s="147">
        <f>F4A!P533+F4B!P532</f>
        <v>0.877510573801735</v>
      </c>
      <c r="Q534" s="316">
        <f t="shared" si="85"/>
        <v>9.62967180970268</v>
      </c>
    </row>
    <row r="535" ht="15" spans="3:17">
      <c r="C535" s="55" t="s">
        <v>179</v>
      </c>
      <c r="D535" s="55" t="s">
        <v>180</v>
      </c>
      <c r="E535" s="147">
        <f>F4A!E534+F4B!E533</f>
        <v>1200.81612799791</v>
      </c>
      <c r="F535" s="147">
        <f>F4A!F534+F4B!F533</f>
        <v>558.751745265995</v>
      </c>
      <c r="G535" s="147">
        <f>F4A!G534+F4B!G533</f>
        <v>666.42431366887</v>
      </c>
      <c r="H535" s="147">
        <f>F4A!H534+F4B!H533</f>
        <v>1212.84179974009</v>
      </c>
      <c r="I535" s="147">
        <f>F4A!I534+F4B!I533</f>
        <v>1443.58263773431</v>
      </c>
      <c r="J535" s="147">
        <f>F4A!J534+F4B!J533</f>
        <v>1198.83129269048</v>
      </c>
      <c r="K535" s="147">
        <f>F4A!K534+F4B!K533</f>
        <v>2077.07842086438</v>
      </c>
      <c r="L535" s="147">
        <f>F4A!L534+F4B!L533</f>
        <v>963.6500713766</v>
      </c>
      <c r="M535" s="147">
        <f>F4A!M534+F4B!M533</f>
        <v>1365.55904919814</v>
      </c>
      <c r="N535" s="147">
        <f>F4A!N534+F4B!N533</f>
        <v>1900.47559693229</v>
      </c>
      <c r="O535" s="147">
        <f>F4A!O534+F4B!O533</f>
        <v>2152.24576230295</v>
      </c>
      <c r="P535" s="147">
        <f>F4A!P534+F4B!P533</f>
        <v>2383.73048763379</v>
      </c>
      <c r="Q535" s="316">
        <f t="shared" si="85"/>
        <v>17123.9873054058</v>
      </c>
    </row>
    <row r="536" ht="15" spans="3:17">
      <c r="C536" s="55" t="s">
        <v>181</v>
      </c>
      <c r="D536" s="55" t="s">
        <v>182</v>
      </c>
      <c r="E536" s="147">
        <f>F4A!E535+F4B!E534</f>
        <v>44.7286472319401</v>
      </c>
      <c r="F536" s="147">
        <f>F4A!F535+F4B!F534</f>
        <v>42.732644390166</v>
      </c>
      <c r="G536" s="147">
        <f>F4A!G535+F4B!G534</f>
        <v>39.4610886544048</v>
      </c>
      <c r="H536" s="147">
        <f>F4A!H535+F4B!H534</f>
        <v>40.0919803955336</v>
      </c>
      <c r="I536" s="147">
        <f>F4A!I535+F4B!I534</f>
        <v>41.6441723268192</v>
      </c>
      <c r="J536" s="147">
        <f>F4A!J535+F4B!J534</f>
        <v>39.2405330547009</v>
      </c>
      <c r="K536" s="147">
        <f>F4A!K535+F4B!K534</f>
        <v>45.0657486798972</v>
      </c>
      <c r="L536" s="147">
        <f>F4A!L535+F4B!L534</f>
        <v>46.270744174289</v>
      </c>
      <c r="M536" s="147">
        <f>F4A!M535+F4B!M534</f>
        <v>45.9505397237494</v>
      </c>
      <c r="N536" s="147">
        <f>F4A!N535+F4B!N534</f>
        <v>46.8625943478456</v>
      </c>
      <c r="O536" s="147">
        <f>F4A!O535+F4B!O534</f>
        <v>43.3601301010267</v>
      </c>
      <c r="P536" s="147">
        <f>F4A!P535+F4B!P534</f>
        <v>47.5185090426013</v>
      </c>
      <c r="Q536" s="316">
        <f t="shared" si="85"/>
        <v>522.927332122974</v>
      </c>
    </row>
    <row r="537" ht="15" spans="3:17">
      <c r="C537" s="55" t="s">
        <v>183</v>
      </c>
      <c r="D537" s="55" t="s">
        <v>184</v>
      </c>
      <c r="E537" s="147">
        <f>F4A!E536+F4B!E535</f>
        <v>9.65071087918659</v>
      </c>
      <c r="F537" s="147">
        <f>F4A!F536+F4B!F535</f>
        <v>7.73501760351133</v>
      </c>
      <c r="G537" s="147">
        <f>F4A!G536+F4B!G535</f>
        <v>7.90634756302957</v>
      </c>
      <c r="H537" s="147">
        <f>F4A!H536+F4B!H535</f>
        <v>9.29426188680934</v>
      </c>
      <c r="I537" s="147">
        <f>F4A!I536+F4B!I535</f>
        <v>10.1016796886909</v>
      </c>
      <c r="J537" s="147">
        <f>F4A!J536+F4B!J535</f>
        <v>9.03669262603764</v>
      </c>
      <c r="K537" s="147">
        <f>F4A!K536+F4B!K535</f>
        <v>7.96960484309496</v>
      </c>
      <c r="L537" s="147">
        <f>F4A!L536+F4B!L535</f>
        <v>9.20677705638277</v>
      </c>
      <c r="M537" s="147">
        <f>F4A!M536+F4B!M535</f>
        <v>8.19383498398323</v>
      </c>
      <c r="N537" s="147">
        <f>F4A!N536+F4B!N535</f>
        <v>8.39309851486121</v>
      </c>
      <c r="O537" s="147">
        <f>F4A!O536+F4B!O535</f>
        <v>9.24833925459899</v>
      </c>
      <c r="P537" s="147">
        <f>F4A!P536+F4B!P535</f>
        <v>11.8130616562197</v>
      </c>
      <c r="Q537" s="316">
        <f t="shared" si="85"/>
        <v>108.549426556406</v>
      </c>
    </row>
    <row r="538" ht="15" spans="3:17">
      <c r="C538" s="55" t="s">
        <v>185</v>
      </c>
      <c r="D538" s="55" t="s">
        <v>186</v>
      </c>
      <c r="E538" s="147">
        <f>F4A!E537+F4B!E536</f>
        <v>13.65847086817</v>
      </c>
      <c r="F538" s="147">
        <f>F4A!F537+F4B!F536</f>
        <v>13.7779314799524</v>
      </c>
      <c r="G538" s="147">
        <f>F4A!G537+F4B!G536</f>
        <v>12.862085238893</v>
      </c>
      <c r="H538" s="147">
        <f>F4A!H537+F4B!H536</f>
        <v>12.7221212043831</v>
      </c>
      <c r="I538" s="147">
        <f>F4A!I537+F4B!I536</f>
        <v>13.7638719564361</v>
      </c>
      <c r="J538" s="147">
        <f>F4A!J537+F4B!J536</f>
        <v>12.4873051402937</v>
      </c>
      <c r="K538" s="147">
        <f>F4A!K537+F4B!K536</f>
        <v>12.4292820207232</v>
      </c>
      <c r="L538" s="147">
        <f>F4A!L537+F4B!L536</f>
        <v>11.9539001218841</v>
      </c>
      <c r="M538" s="147">
        <f>F4A!M537+F4B!M536</f>
        <v>11.8859021145853</v>
      </c>
      <c r="N538" s="147">
        <f>F4A!N537+F4B!N536</f>
        <v>13.1685817895432</v>
      </c>
      <c r="O538" s="147">
        <f>F4A!O537+F4B!O536</f>
        <v>12.7871670469362</v>
      </c>
      <c r="P538" s="147">
        <f>F4A!P537+F4B!P536</f>
        <v>15.8314915898288</v>
      </c>
      <c r="Q538" s="316">
        <f t="shared" si="85"/>
        <v>157.328110571629</v>
      </c>
    </row>
    <row r="539" ht="15" spans="3:17">
      <c r="C539" s="55" t="s">
        <v>187</v>
      </c>
      <c r="D539" s="55" t="s">
        <v>188</v>
      </c>
      <c r="E539" s="147">
        <f>F4A!E538+F4B!E537</f>
        <v>1.94490185507106</v>
      </c>
      <c r="F539" s="147">
        <f>F4A!F538+F4B!F537</f>
        <v>1.65229023797867</v>
      </c>
      <c r="G539" s="147">
        <f>F4A!G538+F4B!G537</f>
        <v>1.65229023797867</v>
      </c>
      <c r="H539" s="147">
        <f>F4A!H538+F4B!H537</f>
        <v>1.65229023797867</v>
      </c>
      <c r="I539" s="147">
        <f>F4A!I538+F4B!I537</f>
        <v>1.65229023797867</v>
      </c>
      <c r="J539" s="147">
        <f>F4A!J538+F4B!J537</f>
        <v>1.65229023797867</v>
      </c>
      <c r="K539" s="147">
        <f>F4A!K538+F4B!K537</f>
        <v>4.56979398540986</v>
      </c>
      <c r="L539" s="147">
        <f>F4A!L538+F4B!L537</f>
        <v>5.48443583699476</v>
      </c>
      <c r="M539" s="147">
        <f>F4A!M538+F4B!M537</f>
        <v>5.52178050160219</v>
      </c>
      <c r="N539" s="147">
        <f>F4A!N538+F4B!N537</f>
        <v>7.05253091109558</v>
      </c>
      <c r="O539" s="147">
        <f>F4A!O538+F4B!O537</f>
        <v>6.21087581253467</v>
      </c>
      <c r="P539" s="147">
        <f>F4A!P538+F4B!P537</f>
        <v>7.82446999510441</v>
      </c>
      <c r="Q539" s="316">
        <f t="shared" si="85"/>
        <v>46.8702400877059</v>
      </c>
    </row>
    <row r="540" ht="15" spans="3:17">
      <c r="C540" s="55"/>
      <c r="D540" s="55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316"/>
    </row>
    <row r="541" ht="15" spans="3:17">
      <c r="C541" s="55"/>
      <c r="D541" s="55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316"/>
    </row>
    <row r="542" ht="15" spans="3:17">
      <c r="C542" s="55"/>
      <c r="D542" s="55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316"/>
    </row>
    <row r="543" ht="15" spans="3:17">
      <c r="C543" s="55" t="s">
        <v>258</v>
      </c>
      <c r="D543" s="55" t="s">
        <v>258</v>
      </c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316"/>
    </row>
    <row r="544" ht="15" spans="3:17">
      <c r="C544" s="537" t="s">
        <v>189</v>
      </c>
      <c r="D544" s="540"/>
      <c r="E544" s="316">
        <f t="shared" ref="E544:P544" si="86">SUM(E531:E543)</f>
        <v>3116.80851337705</v>
      </c>
      <c r="F544" s="316">
        <f t="shared" si="86"/>
        <v>2482.2262612579</v>
      </c>
      <c r="G544" s="316">
        <f t="shared" si="86"/>
        <v>2263.7171710603</v>
      </c>
      <c r="H544" s="316">
        <f t="shared" si="86"/>
        <v>2697.81455720839</v>
      </c>
      <c r="I544" s="316">
        <f t="shared" si="86"/>
        <v>3027.22037488959</v>
      </c>
      <c r="J544" s="316">
        <f t="shared" si="86"/>
        <v>2640.64734354416</v>
      </c>
      <c r="K544" s="316">
        <f t="shared" si="86"/>
        <v>3606.55844132473</v>
      </c>
      <c r="L544" s="316">
        <f t="shared" si="86"/>
        <v>2404.56658771191</v>
      </c>
      <c r="M544" s="316">
        <f t="shared" si="86"/>
        <v>2682.3535794707</v>
      </c>
      <c r="N544" s="316">
        <f t="shared" si="86"/>
        <v>3355.06198877051</v>
      </c>
      <c r="O544" s="316">
        <f t="shared" si="86"/>
        <v>3545.76838223753</v>
      </c>
      <c r="P544" s="316">
        <f t="shared" si="86"/>
        <v>4209.19796262626</v>
      </c>
      <c r="Q544" s="316">
        <f>SUM(E544:P544)</f>
        <v>36031.941163479</v>
      </c>
    </row>
    <row r="545" ht="15" spans="3:17">
      <c r="C545" s="44" t="s">
        <v>190</v>
      </c>
      <c r="D545" s="45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316">
        <f t="shared" ref="Q545:Q556" si="87">SUM(E545:P545)</f>
        <v>0</v>
      </c>
    </row>
    <row r="546" ht="15" spans="3:17">
      <c r="C546" s="55" t="s">
        <v>191</v>
      </c>
      <c r="D546" s="55" t="s">
        <v>192</v>
      </c>
      <c r="E546" s="147">
        <f>F4A!E545+F4B!E544</f>
        <v>383.159643796563</v>
      </c>
      <c r="F546" s="147">
        <f>F4A!F545+F4B!F544</f>
        <v>390.305974507046</v>
      </c>
      <c r="G546" s="147">
        <f>F4A!G545+F4B!G544</f>
        <v>377.016124556794</v>
      </c>
      <c r="H546" s="147">
        <f>F4A!H545+F4B!H544</f>
        <v>380.091431623491</v>
      </c>
      <c r="I546" s="147">
        <f>F4A!I545+F4B!I544</f>
        <v>381.442259172938</v>
      </c>
      <c r="J546" s="147">
        <f>F4A!J545+F4B!J544</f>
        <v>362.351081616771</v>
      </c>
      <c r="K546" s="147">
        <f>F4A!K545+F4B!K544</f>
        <v>378.299478259032</v>
      </c>
      <c r="L546" s="147">
        <f>F4A!L545+F4B!L544</f>
        <v>383.700806352581</v>
      </c>
      <c r="M546" s="147">
        <f>F4A!M545+F4B!M544</f>
        <v>403.961768072788</v>
      </c>
      <c r="N546" s="147">
        <f>F4A!N545+F4B!N544</f>
        <v>392.583767820985</v>
      </c>
      <c r="O546" s="147">
        <f>F4A!O545+F4B!O544</f>
        <v>387.039093310553</v>
      </c>
      <c r="P546" s="147">
        <f>F4A!P545+F4B!P544</f>
        <v>403.678292093048</v>
      </c>
      <c r="Q546" s="316">
        <f t="shared" si="87"/>
        <v>4623.62972118259</v>
      </c>
    </row>
    <row r="547" ht="15" spans="3:17">
      <c r="C547" s="55" t="s">
        <v>193</v>
      </c>
      <c r="D547" s="55" t="s">
        <v>194</v>
      </c>
      <c r="E547" s="147">
        <f>F4A!E546+F4B!E545</f>
        <v>0.03680058</v>
      </c>
      <c r="F547" s="147">
        <f>F4A!F546+F4B!F545</f>
        <v>0.1152906</v>
      </c>
      <c r="G547" s="147">
        <f>F4A!G546+F4B!G545</f>
        <v>0.06683244</v>
      </c>
      <c r="H547" s="147">
        <f>F4A!H546+F4B!H545</f>
        <v>0.07035552</v>
      </c>
      <c r="I547" s="147">
        <f>F4A!I546+F4B!I545</f>
        <v>0.00731952</v>
      </c>
      <c r="J547" s="147">
        <f>F4A!J546+F4B!J545</f>
        <v>0.013311</v>
      </c>
      <c r="K547" s="147">
        <f>F4A!K546+F4B!K545</f>
        <v>0</v>
      </c>
      <c r="L547" s="147">
        <f>F4A!L546+F4B!L545</f>
        <v>0.0671692644</v>
      </c>
      <c r="M547" s="147">
        <f>F4A!M546+F4B!M545</f>
        <v>0.10573065</v>
      </c>
      <c r="N547" s="147">
        <f>F4A!N546+F4B!N545</f>
        <v>0.0424098252</v>
      </c>
      <c r="O547" s="147">
        <f>F4A!O546+F4B!O545</f>
        <v>0.0151711128</v>
      </c>
      <c r="P547" s="147">
        <f>F4A!P546+F4B!P545</f>
        <v>0</v>
      </c>
      <c r="Q547" s="316">
        <f t="shared" si="87"/>
        <v>0.5403905124</v>
      </c>
    </row>
    <row r="548" ht="15" spans="3:17">
      <c r="C548" s="55" t="s">
        <v>239</v>
      </c>
      <c r="D548" s="55" t="s">
        <v>196</v>
      </c>
      <c r="E548" s="147">
        <f>F4A!E547+F4B!E546</f>
        <v>239.962201049343</v>
      </c>
      <c r="F548" s="147">
        <f>F4A!F547+F4B!F546</f>
        <v>242.12725933626</v>
      </c>
      <c r="G548" s="147">
        <f>F4A!G547+F4B!G546</f>
        <v>223.875688231409</v>
      </c>
      <c r="H548" s="147">
        <f>F4A!H547+F4B!H546</f>
        <v>211.836684450026</v>
      </c>
      <c r="I548" s="147">
        <f>F4A!I547+F4B!I546</f>
        <v>220.687402895912</v>
      </c>
      <c r="J548" s="147">
        <f>F4A!J547+F4B!J546</f>
        <v>201.033193228804</v>
      </c>
      <c r="K548" s="147">
        <f>F4A!K547+F4B!K546</f>
        <v>216.379510014287</v>
      </c>
      <c r="L548" s="147">
        <f>F4A!L547+F4B!L546</f>
        <v>200.452940520279</v>
      </c>
      <c r="M548" s="147">
        <f>F4A!M547+F4B!M546</f>
        <v>185.398558908559</v>
      </c>
      <c r="N548" s="147">
        <f>F4A!N547+F4B!N546</f>
        <v>185.88557507719</v>
      </c>
      <c r="O548" s="147">
        <f>F4A!O547+F4B!O546</f>
        <v>203.720906474525</v>
      </c>
      <c r="P548" s="147">
        <f>F4A!P547+F4B!P546</f>
        <v>242.653568295773</v>
      </c>
      <c r="Q548" s="316">
        <f t="shared" si="87"/>
        <v>2574.01348848237</v>
      </c>
    </row>
    <row r="549" ht="15" spans="3:17">
      <c r="C549" s="55" t="s">
        <v>197</v>
      </c>
      <c r="D549" s="55" t="s">
        <v>198</v>
      </c>
      <c r="E549" s="147">
        <f>F4A!E548+F4B!E547</f>
        <v>0.0385511103943269</v>
      </c>
      <c r="F549" s="147">
        <f>F4A!F548+F4B!F547</f>
        <v>0.0532296742986401</v>
      </c>
      <c r="G549" s="147">
        <f>F4A!G548+F4B!G547</f>
        <v>0.0478760680562926</v>
      </c>
      <c r="H549" s="147">
        <f>F4A!H548+F4B!H547</f>
        <v>0.0318374683154022</v>
      </c>
      <c r="I549" s="147">
        <f>F4A!I548+F4B!I547</f>
        <v>0.0401567244989016</v>
      </c>
      <c r="J549" s="147">
        <f>F4A!J548+F4B!J547</f>
        <v>0.0295372185384914</v>
      </c>
      <c r="K549" s="147">
        <f>F4A!K548+F4B!K547</f>
        <v>0.03274692650122</v>
      </c>
      <c r="L549" s="147">
        <f>F4A!L548+F4B!L547</f>
        <v>0.0334094031146516</v>
      </c>
      <c r="M549" s="147">
        <f>F4A!M548+F4B!M547</f>
        <v>0.0364182046657516</v>
      </c>
      <c r="N549" s="147">
        <f>F4A!N548+F4B!N547</f>
        <v>0.0364735182470672</v>
      </c>
      <c r="O549" s="147">
        <f>F4A!O548+F4B!O547</f>
        <v>0.0380235848862616</v>
      </c>
      <c r="P549" s="147">
        <f>F4A!P548+F4B!P547</f>
        <v>0.0430249617270811</v>
      </c>
      <c r="Q549" s="316">
        <f t="shared" ref="Q549" si="88">SUM(E549:P549)</f>
        <v>0.461284863244088</v>
      </c>
    </row>
    <row r="550" ht="15" spans="3:17">
      <c r="C550" s="55" t="s">
        <v>199</v>
      </c>
      <c r="D550" s="55" t="s">
        <v>200</v>
      </c>
      <c r="E550" s="147">
        <f>F4A!E549+F4B!E548</f>
        <v>0.550117565762414</v>
      </c>
      <c r="F550" s="147">
        <f>F4A!F549+F4B!F548</f>
        <v>0.597139402300462</v>
      </c>
      <c r="G550" s="147">
        <f>F4A!G549+F4B!G548</f>
        <v>0.542107294765002</v>
      </c>
      <c r="H550" s="147">
        <f>F4A!H549+F4B!H548</f>
        <v>0.498688578875519</v>
      </c>
      <c r="I550" s="147">
        <f>F4A!I549+F4B!I548</f>
        <v>0.525624129872091</v>
      </c>
      <c r="J550" s="147">
        <f>F4A!J549+F4B!J548</f>
        <v>0.452297288450969</v>
      </c>
      <c r="K550" s="147">
        <f>F4A!K549+F4B!K548</f>
        <v>0.478513086373008</v>
      </c>
      <c r="L550" s="147">
        <f>F4A!L549+F4B!L548</f>
        <v>0.446592523129833</v>
      </c>
      <c r="M550" s="147">
        <f>F4A!M549+F4B!M548</f>
        <v>0.418991633152944</v>
      </c>
      <c r="N550" s="147">
        <f>F4A!N549+F4B!N548</f>
        <v>0.440804375328854</v>
      </c>
      <c r="O550" s="147">
        <f>F4A!O549+F4B!O548</f>
        <v>0.46255280475142</v>
      </c>
      <c r="P550" s="147">
        <f>F4A!P549+F4B!P548</f>
        <v>0.56657987426259</v>
      </c>
      <c r="Q550" s="316">
        <f t="shared" si="87"/>
        <v>5.98000855702511</v>
      </c>
    </row>
    <row r="551" ht="15" spans="3:17">
      <c r="C551" s="55" t="s">
        <v>201</v>
      </c>
      <c r="D551" s="55" t="s">
        <v>202</v>
      </c>
      <c r="E551" s="147">
        <f>F4A!E550+F4B!E549</f>
        <v>0.705188</v>
      </c>
      <c r="F551" s="147">
        <f>F4A!F550+F4B!F549</f>
        <v>0.5063861</v>
      </c>
      <c r="G551" s="147">
        <f>F4A!G550+F4B!G549</f>
        <v>0.70861615</v>
      </c>
      <c r="H551" s="147">
        <f>F4A!H550+F4B!H549</f>
        <v>1.3085006</v>
      </c>
      <c r="I551" s="147">
        <f>F4A!I550+F4B!I549</f>
        <v>4.461511626</v>
      </c>
      <c r="J551" s="147">
        <f>F4A!J550+F4B!J549</f>
        <v>5.5621236</v>
      </c>
      <c r="K551" s="147">
        <f>F4A!K550+F4B!K549</f>
        <v>3.819754785</v>
      </c>
      <c r="L551" s="147">
        <f>F4A!L550+F4B!L549</f>
        <v>1.62315306615</v>
      </c>
      <c r="M551" s="147">
        <f>F4A!M550+F4B!M549</f>
        <v>1.43031042</v>
      </c>
      <c r="N551" s="147">
        <f>F4A!N550+F4B!N549</f>
        <v>1.7901882075</v>
      </c>
      <c r="O551" s="147">
        <f>F4A!O550+F4B!O549</f>
        <v>2.08407969</v>
      </c>
      <c r="P551" s="147">
        <f>F4A!P550+F4B!P549</f>
        <v>0.989817675</v>
      </c>
      <c r="Q551" s="316">
        <f t="shared" si="87"/>
        <v>24.98962991965</v>
      </c>
    </row>
    <row r="552" ht="15" spans="3:17">
      <c r="C552" s="55" t="s">
        <v>203</v>
      </c>
      <c r="D552" s="55" t="s">
        <v>204</v>
      </c>
      <c r="E552" s="147">
        <f>F4A!E551+F4B!E550</f>
        <v>11.8845933923302</v>
      </c>
      <c r="F552" s="147">
        <f>F4A!F551+F4B!F550</f>
        <v>11.3906043253292</v>
      </c>
      <c r="G552" s="147">
        <f>F4A!G551+F4B!G550</f>
        <v>11.3134085356483</v>
      </c>
      <c r="H552" s="147">
        <f>F4A!H551+F4B!H550</f>
        <v>11.8171753575522</v>
      </c>
      <c r="I552" s="147">
        <f>F4A!I551+F4B!I550</f>
        <v>11.5263029219812</v>
      </c>
      <c r="J552" s="147">
        <f>F4A!J551+F4B!J550</f>
        <v>10.1774881408931</v>
      </c>
      <c r="K552" s="147">
        <f>F4A!K551+F4B!K550</f>
        <v>11.5023079902335</v>
      </c>
      <c r="L552" s="147">
        <f>F4A!L551+F4B!L550</f>
        <v>11.535463004321</v>
      </c>
      <c r="M552" s="147">
        <f>F4A!M551+F4B!M550</f>
        <v>11.688672403041</v>
      </c>
      <c r="N552" s="147">
        <f>F4A!N551+F4B!N550</f>
        <v>11.8710483545628</v>
      </c>
      <c r="O552" s="147">
        <f>F4A!O551+F4B!O550</f>
        <v>11.1453569607378</v>
      </c>
      <c r="P552" s="147">
        <f>F4A!P551+F4B!P550</f>
        <v>12.1665507313388</v>
      </c>
      <c r="Q552" s="316">
        <f t="shared" si="87"/>
        <v>138.018972117969</v>
      </c>
    </row>
    <row r="553" ht="15" spans="3:17">
      <c r="C553" s="55" t="s">
        <v>205</v>
      </c>
      <c r="D553" s="55" t="s">
        <v>206</v>
      </c>
      <c r="E553" s="147">
        <f>F4A!E552+F4B!E551</f>
        <v>34.575106914225</v>
      </c>
      <c r="F553" s="147">
        <f>F4A!F552+F4B!F551</f>
        <v>34.7498385664094</v>
      </c>
      <c r="G553" s="147">
        <f>F4A!G552+F4B!G551</f>
        <v>28.284992638362</v>
      </c>
      <c r="H553" s="147">
        <f>F4A!H552+F4B!H551</f>
        <v>24.5700451869968</v>
      </c>
      <c r="I553" s="147">
        <f>F4A!I552+F4B!I551</f>
        <v>26.4621922092282</v>
      </c>
      <c r="J553" s="147">
        <f>F4A!J552+F4B!J551</f>
        <v>24.1569706657231</v>
      </c>
      <c r="K553" s="147">
        <f>F4A!K552+F4B!K551</f>
        <v>25.5695037001458</v>
      </c>
      <c r="L553" s="147">
        <f>F4A!L552+F4B!L551</f>
        <v>24.1773236292224</v>
      </c>
      <c r="M553" s="147">
        <f>F4A!M552+F4B!M551</f>
        <v>23.2317825787737</v>
      </c>
      <c r="N553" s="147">
        <f>F4A!N552+F4B!N551</f>
        <v>23.8013597640027</v>
      </c>
      <c r="O553" s="147">
        <f>F4A!O552+F4B!O551</f>
        <v>25.0963693904373</v>
      </c>
      <c r="P553" s="147">
        <f>F4A!P552+F4B!P551</f>
        <v>34.481118738564</v>
      </c>
      <c r="Q553" s="316">
        <f t="shared" si="87"/>
        <v>329.15660398209</v>
      </c>
    </row>
    <row r="554" ht="15" spans="3:17">
      <c r="C554" s="55" t="s">
        <v>207</v>
      </c>
      <c r="D554" s="55" t="s">
        <v>186</v>
      </c>
      <c r="E554" s="147">
        <f>F4A!E553+F4B!E552</f>
        <v>21.7466218993625</v>
      </c>
      <c r="F554" s="147">
        <f>F4A!F553+F4B!F552</f>
        <v>22.2777451218439</v>
      </c>
      <c r="G554" s="147">
        <f>F4A!G553+F4B!G552</f>
        <v>21.2843784622534</v>
      </c>
      <c r="H554" s="147">
        <f>F4A!H553+F4B!H552</f>
        <v>21.483807213914</v>
      </c>
      <c r="I554" s="147">
        <f>F4A!I553+F4B!I552</f>
        <v>23.4145582702882</v>
      </c>
      <c r="J554" s="147">
        <f>F4A!J553+F4B!J552</f>
        <v>22.5949692990421</v>
      </c>
      <c r="K554" s="147">
        <f>F4A!K553+F4B!K552</f>
        <v>23.203300408851</v>
      </c>
      <c r="L554" s="147">
        <f>F4A!L553+F4B!L552</f>
        <v>22.2909008188252</v>
      </c>
      <c r="M554" s="147">
        <f>F4A!M553+F4B!M552</f>
        <v>23.075764070239</v>
      </c>
      <c r="N554" s="147">
        <f>F4A!N553+F4B!N552</f>
        <v>22.3518774382613</v>
      </c>
      <c r="O554" s="147">
        <f>F4A!O553+F4B!O552</f>
        <v>22.6297800063583</v>
      </c>
      <c r="P554" s="147">
        <f>F4A!P553+F4B!P552</f>
        <v>25.3726607384163</v>
      </c>
      <c r="Q554" s="316">
        <f t="shared" si="87"/>
        <v>271.726363747655</v>
      </c>
    </row>
    <row r="555" ht="15" spans="3:17">
      <c r="C555" s="55" t="s">
        <v>208</v>
      </c>
      <c r="D555" s="55" t="s">
        <v>209</v>
      </c>
      <c r="E555" s="147">
        <f>F4A!E554+F4B!E553</f>
        <v>0</v>
      </c>
      <c r="F555" s="147">
        <f>F4A!F554+F4B!F553</f>
        <v>0</v>
      </c>
      <c r="G555" s="147">
        <f>F4A!G554+F4B!G553</f>
        <v>0</v>
      </c>
      <c r="H555" s="147">
        <f>F4A!H554+F4B!H553</f>
        <v>0</v>
      </c>
      <c r="I555" s="147">
        <f>F4A!I554+F4B!I553</f>
        <v>0</v>
      </c>
      <c r="J555" s="147">
        <f>F4A!J554+F4B!J553</f>
        <v>0</v>
      </c>
      <c r="K555" s="147">
        <f>F4A!K554+F4B!K553</f>
        <v>0</v>
      </c>
      <c r="L555" s="147">
        <f>F4A!L554+F4B!L553</f>
        <v>0</v>
      </c>
      <c r="M555" s="147">
        <f>F4A!M554+F4B!M553</f>
        <v>0</v>
      </c>
      <c r="N555" s="147">
        <f>F4A!N554+F4B!N553</f>
        <v>0</v>
      </c>
      <c r="O555" s="147">
        <f>F4A!O554+F4B!O553</f>
        <v>0</v>
      </c>
      <c r="P555" s="147">
        <f>F4A!P554+F4B!P553</f>
        <v>0</v>
      </c>
      <c r="Q555" s="316">
        <f t="shared" si="87"/>
        <v>0</v>
      </c>
    </row>
    <row r="556" ht="15" spans="3:17">
      <c r="C556" s="55" t="s">
        <v>210</v>
      </c>
      <c r="D556" s="55" t="s">
        <v>188</v>
      </c>
      <c r="E556" s="147">
        <f>F4A!E555+F4B!E554</f>
        <v>4.06494584337174</v>
      </c>
      <c r="F556" s="147">
        <f>F4A!F555+F4B!F554</f>
        <v>4.1679673230261</v>
      </c>
      <c r="G556" s="147">
        <f>F4A!G555+F4B!G554</f>
        <v>4.27406585733217</v>
      </c>
      <c r="H556" s="147">
        <f>F4A!H555+F4B!H554</f>
        <v>4.65946519212829</v>
      </c>
      <c r="I556" s="147">
        <f>F4A!I555+F4B!I554</f>
        <v>4.82597820906947</v>
      </c>
      <c r="J556" s="147">
        <f>F4A!J555+F4B!J554</f>
        <v>4.70082587639387</v>
      </c>
      <c r="K556" s="147">
        <f>F4A!K555+F4B!K554</f>
        <v>6.97113093863701</v>
      </c>
      <c r="L556" s="147">
        <f>F4A!L555+F4B!L554</f>
        <v>6.91832044092286</v>
      </c>
      <c r="M556" s="147">
        <f>F4A!M555+F4B!M554</f>
        <v>7.08775285885342</v>
      </c>
      <c r="N556" s="147">
        <f>F4A!N555+F4B!N554</f>
        <v>7.41326684775493</v>
      </c>
      <c r="O556" s="147">
        <f>F4A!O555+F4B!O554</f>
        <v>7.6469391270367</v>
      </c>
      <c r="P556" s="147">
        <f>F4A!P555+F4B!P554</f>
        <v>8.62185389164826</v>
      </c>
      <c r="Q556" s="316">
        <f t="shared" si="87"/>
        <v>71.3525124061748</v>
      </c>
    </row>
    <row r="557" ht="15" spans="3:17">
      <c r="C557" s="55"/>
      <c r="D557" s="55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316"/>
    </row>
    <row r="558" ht="15" spans="3:17">
      <c r="C558" s="55"/>
      <c r="D558" s="55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316"/>
    </row>
    <row r="559" ht="15" spans="3:17">
      <c r="C559" s="55"/>
      <c r="D559" s="55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316"/>
    </row>
    <row r="560" ht="15" spans="3:17">
      <c r="C560" s="55" t="s">
        <v>258</v>
      </c>
      <c r="D560" s="55" t="s">
        <v>258</v>
      </c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316"/>
    </row>
    <row r="561" ht="15" spans="3:17">
      <c r="C561" s="537" t="s">
        <v>211</v>
      </c>
      <c r="D561" s="540"/>
      <c r="E561" s="316">
        <f>SUM(E546:E560)</f>
        <v>696.723770151352</v>
      </c>
      <c r="F561" s="316">
        <f t="shared" ref="F561:P561" si="89">SUM(F546:F560)</f>
        <v>706.291434956514</v>
      </c>
      <c r="G561" s="316">
        <f t="shared" si="89"/>
        <v>667.41409023462</v>
      </c>
      <c r="H561" s="316">
        <f t="shared" si="89"/>
        <v>656.367991191299</v>
      </c>
      <c r="I561" s="316">
        <f t="shared" si="89"/>
        <v>673.393305679788</v>
      </c>
      <c r="J561" s="316">
        <f t="shared" si="89"/>
        <v>631.071797934616</v>
      </c>
      <c r="K561" s="316">
        <f t="shared" si="89"/>
        <v>666.25624610906</v>
      </c>
      <c r="L561" s="316">
        <f t="shared" si="89"/>
        <v>651.246079022946</v>
      </c>
      <c r="M561" s="316">
        <f t="shared" si="89"/>
        <v>656.435749800073</v>
      </c>
      <c r="N561" s="316">
        <f t="shared" si="89"/>
        <v>646.216771229033</v>
      </c>
      <c r="O561" s="316">
        <f t="shared" si="89"/>
        <v>659.878272462086</v>
      </c>
      <c r="P561" s="316">
        <f t="shared" si="89"/>
        <v>728.573466999778</v>
      </c>
      <c r="Q561" s="316">
        <f>SUM(E561:P561)</f>
        <v>8039.86897577117</v>
      </c>
    </row>
    <row r="562" ht="15" spans="3:17">
      <c r="C562" s="44" t="s">
        <v>212</v>
      </c>
      <c r="D562" s="45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316">
        <f t="shared" ref="Q562:Q573" si="90">SUM(E562:P562)</f>
        <v>0</v>
      </c>
    </row>
    <row r="563" ht="15" spans="3:17">
      <c r="C563" s="55" t="s">
        <v>191</v>
      </c>
      <c r="D563" s="55" t="s">
        <v>192</v>
      </c>
      <c r="E563" s="147">
        <f>F4A!E562+F4B!E561</f>
        <v>623.935056201096</v>
      </c>
      <c r="F563" s="147">
        <f>F4A!F562+F4B!F561</f>
        <v>646.524108193904</v>
      </c>
      <c r="G563" s="147">
        <f>F4A!G562+F4B!G561</f>
        <v>628.099047474905</v>
      </c>
      <c r="H563" s="147">
        <f>F4A!H562+F4B!H561</f>
        <v>650.551077003482</v>
      </c>
      <c r="I563" s="147">
        <f>F4A!I562+F4B!I561</f>
        <v>643.624121835666</v>
      </c>
      <c r="J563" s="147">
        <f>F4A!J562+F4B!J561</f>
        <v>622.020001088752</v>
      </c>
      <c r="K563" s="147">
        <f>F4A!K562+F4B!K561</f>
        <v>630.168382790344</v>
      </c>
      <c r="L563" s="147">
        <f>F4A!L562+F4B!L561</f>
        <v>632.449524833974</v>
      </c>
      <c r="M563" s="147">
        <f>F4A!M562+F4B!M561</f>
        <v>644.55988302985</v>
      </c>
      <c r="N563" s="147">
        <f>F4A!N562+F4B!N561</f>
        <v>641.806358183858</v>
      </c>
      <c r="O563" s="147">
        <f>F4A!O562+F4B!O561</f>
        <v>625.695968918626</v>
      </c>
      <c r="P563" s="147">
        <f>F4A!P562+F4B!P561</f>
        <v>695.481027691707</v>
      </c>
      <c r="Q563" s="316">
        <f t="shared" si="90"/>
        <v>7684.91455724616</v>
      </c>
    </row>
    <row r="564" ht="15" spans="3:17">
      <c r="C564" s="55" t="s">
        <v>193</v>
      </c>
      <c r="D564" s="55" t="s">
        <v>194</v>
      </c>
      <c r="E564" s="147">
        <f>F4A!E563+F4B!E562</f>
        <v>0</v>
      </c>
      <c r="F564" s="147">
        <f>F4A!F563+F4B!F562</f>
        <v>0</v>
      </c>
      <c r="G564" s="147">
        <f>F4A!G563+F4B!G562</f>
        <v>0</v>
      </c>
      <c r="H564" s="147">
        <f>F4A!H563+F4B!H562</f>
        <v>0.079</v>
      </c>
      <c r="I564" s="147">
        <f>F4A!I563+F4B!I562</f>
        <v>0.21518</v>
      </c>
      <c r="J564" s="147">
        <f>F4A!J563+F4B!J562</f>
        <v>0.24236</v>
      </c>
      <c r="K564" s="147">
        <f>F4A!K563+F4B!K562</f>
        <v>0</v>
      </c>
      <c r="L564" s="147">
        <f>F4A!L563+F4B!L562</f>
        <v>0</v>
      </c>
      <c r="M564" s="147">
        <f>F4A!M563+F4B!M562</f>
        <v>0</v>
      </c>
      <c r="N564" s="147">
        <f>F4A!N563+F4B!N562</f>
        <v>0</v>
      </c>
      <c r="O564" s="147">
        <f>F4A!O563+F4B!O562</f>
        <v>0</v>
      </c>
      <c r="P564" s="147">
        <f>F4A!P563+F4B!P562</f>
        <v>0</v>
      </c>
      <c r="Q564" s="316">
        <f t="shared" si="90"/>
        <v>0.53654</v>
      </c>
    </row>
    <row r="565" ht="15" spans="3:17">
      <c r="C565" s="55" t="s">
        <v>239</v>
      </c>
      <c r="D565" s="55" t="s">
        <v>196</v>
      </c>
      <c r="E565" s="147">
        <f>F4A!E564+F4B!E563</f>
        <v>154.833174475594</v>
      </c>
      <c r="F565" s="147">
        <f>F4A!F564+F4B!F563</f>
        <v>168.289102555029</v>
      </c>
      <c r="G565" s="147">
        <f>F4A!G564+F4B!G563</f>
        <v>152.217959359231</v>
      </c>
      <c r="H565" s="147">
        <f>F4A!H564+F4B!H563</f>
        <v>147.007571846428</v>
      </c>
      <c r="I565" s="147">
        <f>F4A!I564+F4B!I563</f>
        <v>148.536532040034</v>
      </c>
      <c r="J565" s="147">
        <f>F4A!J564+F4B!J563</f>
        <v>138.590382880566</v>
      </c>
      <c r="K565" s="147">
        <f>F4A!K564+F4B!K563</f>
        <v>144.080044981775</v>
      </c>
      <c r="L565" s="147">
        <f>F4A!L564+F4B!L563</f>
        <v>144.080044981775</v>
      </c>
      <c r="M565" s="147">
        <f>F4A!M564+F4B!M563</f>
        <v>135.115999807149</v>
      </c>
      <c r="N565" s="147">
        <f>F4A!N564+F4B!N563</f>
        <v>136.407729656687</v>
      </c>
      <c r="O565" s="147">
        <f>F4A!O564+F4B!O563</f>
        <v>139.358563023116</v>
      </c>
      <c r="P565" s="147">
        <f>F4A!P564+F4B!P563</f>
        <v>163.184503288547</v>
      </c>
      <c r="Q565" s="316">
        <f t="shared" si="90"/>
        <v>1771.70160889593</v>
      </c>
    </row>
    <row r="566" ht="15" spans="3:17">
      <c r="C566" s="55" t="s">
        <v>197</v>
      </c>
      <c r="D566" s="55" t="s">
        <v>198</v>
      </c>
      <c r="E566" s="147">
        <f>F4A!E565+F4B!E564</f>
        <v>0.506</v>
      </c>
      <c r="F566" s="147">
        <f>F4A!F565+F4B!F564</f>
        <v>0.55781</v>
      </c>
      <c r="G566" s="147">
        <f>F4A!G565+F4B!G564</f>
        <v>0.47608</v>
      </c>
      <c r="H566" s="147">
        <f>F4A!H565+F4B!H564</f>
        <v>0.41987</v>
      </c>
      <c r="I566" s="147">
        <f>F4A!I565+F4B!I564</f>
        <v>0.44297</v>
      </c>
      <c r="J566" s="147">
        <f>F4A!J565+F4B!J564</f>
        <v>0.34925</v>
      </c>
      <c r="K566" s="147">
        <f>F4A!K565+F4B!K564</f>
        <v>0.456322399721552</v>
      </c>
      <c r="L566" s="147">
        <f>F4A!L565+F4B!L564</f>
        <v>0.384981430480787</v>
      </c>
      <c r="M566" s="147">
        <f>F4A!M565+F4B!M564</f>
        <v>0.399939809170225</v>
      </c>
      <c r="N566" s="147">
        <f>F4A!N565+F4B!N564</f>
        <v>0.351390685353629</v>
      </c>
      <c r="O566" s="147">
        <f>F4A!O565+F4B!O564</f>
        <v>0.39574096602933</v>
      </c>
      <c r="P566" s="147">
        <f>F4A!P565+F4B!P564</f>
        <v>0.54112590978281</v>
      </c>
      <c r="Q566" s="316">
        <f t="shared" ref="Q566" si="91">SUM(E566:P566)</f>
        <v>5.28148120053833</v>
      </c>
    </row>
    <row r="567" ht="15" spans="3:17">
      <c r="C567" s="55" t="s">
        <v>199</v>
      </c>
      <c r="D567" s="55" t="s">
        <v>200</v>
      </c>
      <c r="E567" s="147">
        <f>F4A!E566+F4B!E565</f>
        <v>0</v>
      </c>
      <c r="F567" s="147">
        <f>F4A!F566+F4B!F565</f>
        <v>0</v>
      </c>
      <c r="G567" s="147">
        <f>F4A!G566+F4B!G565</f>
        <v>0</v>
      </c>
      <c r="H567" s="147">
        <f>F4A!H566+F4B!H565</f>
        <v>0</v>
      </c>
      <c r="I567" s="147">
        <f>F4A!I566+F4B!I565</f>
        <v>0</v>
      </c>
      <c r="J567" s="147">
        <f>F4A!J566+F4B!J565</f>
        <v>0</v>
      </c>
      <c r="K567" s="147">
        <f>F4A!K566+F4B!K565</f>
        <v>0</v>
      </c>
      <c r="L567" s="147">
        <f>F4A!L566+F4B!L565</f>
        <v>0</v>
      </c>
      <c r="M567" s="147">
        <f>F4A!M566+F4B!M565</f>
        <v>0</v>
      </c>
      <c r="N567" s="147">
        <f>F4A!N566+F4B!N565</f>
        <v>0</v>
      </c>
      <c r="O567" s="147">
        <f>F4A!O566+F4B!O565</f>
        <v>0</v>
      </c>
      <c r="P567" s="147">
        <f>F4A!P566+F4B!P565</f>
        <v>0</v>
      </c>
      <c r="Q567" s="316">
        <f t="shared" si="90"/>
        <v>0</v>
      </c>
    </row>
    <row r="568" ht="15" spans="3:17">
      <c r="C568" s="55" t="s">
        <v>201</v>
      </c>
      <c r="D568" s="55" t="s">
        <v>202</v>
      </c>
      <c r="E568" s="147">
        <f>F4A!E567+F4B!E566</f>
        <v>4.02668706869306</v>
      </c>
      <c r="F568" s="147">
        <f>F4A!F567+F4B!F566</f>
        <v>3.20900250000917</v>
      </c>
      <c r="G568" s="147">
        <f>F4A!G567+F4B!G566</f>
        <v>2.93996017043791</v>
      </c>
      <c r="H568" s="147">
        <f>F4A!H567+F4B!H566</f>
        <v>3.93207290449192</v>
      </c>
      <c r="I568" s="147">
        <f>F4A!I567+F4B!I566</f>
        <v>4.27971706864301</v>
      </c>
      <c r="J568" s="147">
        <f>F4A!J567+F4B!J566</f>
        <v>5.45248172662976</v>
      </c>
      <c r="K568" s="147">
        <f>F4A!K567+F4B!K566</f>
        <v>10.2252771024266</v>
      </c>
      <c r="L568" s="147">
        <f>F4A!L567+F4B!L566</f>
        <v>9.98323934178002</v>
      </c>
      <c r="M568" s="147">
        <f>F4A!M567+F4B!M566</f>
        <v>8.2004256814529</v>
      </c>
      <c r="N568" s="147">
        <f>F4A!N567+F4B!N566</f>
        <v>10.3111533742464</v>
      </c>
      <c r="O568" s="147">
        <f>F4A!O567+F4B!O566</f>
        <v>10.5755139467521</v>
      </c>
      <c r="P568" s="147">
        <f>F4A!P567+F4B!P566</f>
        <v>13.1110733346437</v>
      </c>
      <c r="Q568" s="316">
        <f t="shared" si="90"/>
        <v>86.2466042202066</v>
      </c>
    </row>
    <row r="569" ht="15" spans="3:17">
      <c r="C569" s="55" t="s">
        <v>203</v>
      </c>
      <c r="D569" s="55" t="s">
        <v>204</v>
      </c>
      <c r="E569" s="147">
        <f>F4A!E568+F4B!E567</f>
        <v>23.6585725187103</v>
      </c>
      <c r="F569" s="147">
        <f>F4A!F568+F4B!F567</f>
        <v>24.1987910276471</v>
      </c>
      <c r="G569" s="147">
        <f>F4A!G568+F4B!G567</f>
        <v>24.4330969625096</v>
      </c>
      <c r="H569" s="147">
        <f>F4A!H568+F4B!H567</f>
        <v>24.4154848032328</v>
      </c>
      <c r="I569" s="147">
        <f>F4A!I568+F4B!I567</f>
        <v>20.7762526447071</v>
      </c>
      <c r="J569" s="147">
        <f>F4A!J568+F4B!J567</f>
        <v>21.8952827145287</v>
      </c>
      <c r="K569" s="147">
        <f>F4A!K568+F4B!K567</f>
        <v>22.3835483166008</v>
      </c>
      <c r="L569" s="147">
        <f>F4A!L568+F4B!L567</f>
        <v>23.7210390875043</v>
      </c>
      <c r="M569" s="147">
        <f>F4A!M568+F4B!M567</f>
        <v>23.0330799413546</v>
      </c>
      <c r="N569" s="147">
        <f>F4A!N568+F4B!N567</f>
        <v>24.3226618635956</v>
      </c>
      <c r="O569" s="147">
        <f>F4A!O568+F4B!O567</f>
        <v>23.3924652915336</v>
      </c>
      <c r="P569" s="147">
        <f>F4A!P568+F4B!P567</f>
        <v>25.8663852995918</v>
      </c>
      <c r="Q569" s="316">
        <f t="shared" si="90"/>
        <v>282.096660471516</v>
      </c>
    </row>
    <row r="570" ht="15" spans="3:17">
      <c r="C570" s="55" t="s">
        <v>205</v>
      </c>
      <c r="D570" s="55" t="s">
        <v>206</v>
      </c>
      <c r="E570" s="147">
        <f>F4A!E569+F4B!E568</f>
        <v>0</v>
      </c>
      <c r="F570" s="147">
        <f>F4A!F569+F4B!F568</f>
        <v>0</v>
      </c>
      <c r="G570" s="147">
        <f>F4A!G569+F4B!G568</f>
        <v>0</v>
      </c>
      <c r="H570" s="147">
        <f>F4A!H569+F4B!H568</f>
        <v>0</v>
      </c>
      <c r="I570" s="147">
        <f>F4A!I569+F4B!I568</f>
        <v>0</v>
      </c>
      <c r="J570" s="147">
        <f>F4A!J569+F4B!J568</f>
        <v>0</v>
      </c>
      <c r="K570" s="147">
        <f>F4A!K569+F4B!K568</f>
        <v>0</v>
      </c>
      <c r="L570" s="147">
        <f>F4A!L569+F4B!L568</f>
        <v>0</v>
      </c>
      <c r="M570" s="147">
        <f>F4A!M569+F4B!M568</f>
        <v>0</v>
      </c>
      <c r="N570" s="147">
        <f>F4A!N569+F4B!N568</f>
        <v>0</v>
      </c>
      <c r="O570" s="147">
        <f>F4A!O569+F4B!O568</f>
        <v>0</v>
      </c>
      <c r="P570" s="147">
        <f>F4A!P569+F4B!P568</f>
        <v>0</v>
      </c>
      <c r="Q570" s="316">
        <f t="shared" si="90"/>
        <v>0</v>
      </c>
    </row>
    <row r="571" ht="15" spans="3:17">
      <c r="C571" s="55" t="s">
        <v>231</v>
      </c>
      <c r="D571" s="55" t="s">
        <v>186</v>
      </c>
      <c r="E571" s="147">
        <f>F4A!E570+F4B!E569</f>
        <v>20.8062084102657</v>
      </c>
      <c r="F571" s="147">
        <f>F4A!F570+F4B!F569</f>
        <v>20.4361787181313</v>
      </c>
      <c r="G571" s="147">
        <f>F4A!G570+F4B!G569</f>
        <v>16.565654219609</v>
      </c>
      <c r="H571" s="147">
        <f>F4A!H570+F4B!H569</f>
        <v>14.1705140075405</v>
      </c>
      <c r="I571" s="147">
        <f>F4A!I570+F4B!I569</f>
        <v>14.6129574579183</v>
      </c>
      <c r="J571" s="147">
        <f>F4A!J570+F4B!J569</f>
        <v>13.7233198093735</v>
      </c>
      <c r="K571" s="147">
        <f>F4A!K570+F4B!K569</f>
        <v>14.5625705105589</v>
      </c>
      <c r="L571" s="147">
        <f>F4A!L570+F4B!L569</f>
        <v>13.4983468711996</v>
      </c>
      <c r="M571" s="147">
        <f>F4A!M570+F4B!M569</f>
        <v>13.0737876303789</v>
      </c>
      <c r="N571" s="147">
        <f>F4A!N570+F4B!N569</f>
        <v>13.0948829818044</v>
      </c>
      <c r="O571" s="147">
        <f>F4A!O570+F4B!O569</f>
        <v>14.7121819293298</v>
      </c>
      <c r="P571" s="147">
        <f>F4A!P570+F4B!P569</f>
        <v>19.1507972109039</v>
      </c>
      <c r="Q571" s="316">
        <f t="shared" si="90"/>
        <v>188.407399757014</v>
      </c>
    </row>
    <row r="572" ht="15" spans="3:17">
      <c r="C572" s="55" t="s">
        <v>208</v>
      </c>
      <c r="D572" s="55" t="s">
        <v>209</v>
      </c>
      <c r="E572" s="147">
        <f>F4A!E571+F4B!E570</f>
        <v>2.259861</v>
      </c>
      <c r="F572" s="147">
        <f>F4A!F571+F4B!F570</f>
        <v>2.2711626</v>
      </c>
      <c r="G572" s="147">
        <f>F4A!G571+F4B!G570</f>
        <v>4.174248</v>
      </c>
      <c r="H572" s="147">
        <f>F4A!H571+F4B!H570</f>
        <v>3.8350878</v>
      </c>
      <c r="I572" s="147">
        <f>F4A!I571+F4B!I570</f>
        <v>2.4798648</v>
      </c>
      <c r="J572" s="147">
        <f>F4A!J571+F4B!J570</f>
        <v>2.7251952</v>
      </c>
      <c r="K572" s="147">
        <f>F4A!K571+F4B!K570</f>
        <v>4.81759292226648</v>
      </c>
      <c r="L572" s="147">
        <f>F4A!L571+F4B!L570</f>
        <v>2.72517291605996</v>
      </c>
      <c r="M572" s="147">
        <f>F4A!M571+F4B!M570</f>
        <v>2.62838667007343</v>
      </c>
      <c r="N572" s="147">
        <f>F4A!N571+F4B!N570</f>
        <v>2.59954575177804</v>
      </c>
      <c r="O572" s="147">
        <f>F4A!O571+F4B!O570</f>
        <v>2.77585287448774</v>
      </c>
      <c r="P572" s="147">
        <f>F4A!P571+F4B!P570</f>
        <v>2.83364590242865</v>
      </c>
      <c r="Q572" s="316">
        <f t="shared" si="90"/>
        <v>36.1256164370943</v>
      </c>
    </row>
    <row r="573" ht="15" spans="3:17">
      <c r="C573" s="55" t="s">
        <v>210</v>
      </c>
      <c r="D573" s="55" t="s">
        <v>188</v>
      </c>
      <c r="E573" s="147">
        <f>F4A!E572+F4B!E571</f>
        <v>0</v>
      </c>
      <c r="F573" s="147">
        <f>F4A!F572+F4B!F571</f>
        <v>0</v>
      </c>
      <c r="G573" s="147">
        <f>F4A!G572+F4B!G571</f>
        <v>0</v>
      </c>
      <c r="H573" s="147">
        <f>F4A!H572+F4B!H571</f>
        <v>0</v>
      </c>
      <c r="I573" s="147">
        <f>F4A!I572+F4B!I571</f>
        <v>0</v>
      </c>
      <c r="J573" s="147">
        <f>F4A!J572+F4B!J571</f>
        <v>0</v>
      </c>
      <c r="K573" s="147">
        <f>F4A!K572+F4B!K571</f>
        <v>0</v>
      </c>
      <c r="L573" s="147">
        <f>F4A!L572+F4B!L571</f>
        <v>0</v>
      </c>
      <c r="M573" s="147">
        <f>F4A!M572+F4B!M571</f>
        <v>0</v>
      </c>
      <c r="N573" s="147">
        <f>F4A!N572+F4B!N571</f>
        <v>0</v>
      </c>
      <c r="O573" s="147">
        <f>F4A!O572+F4B!O571</f>
        <v>0</v>
      </c>
      <c r="P573" s="147">
        <f>F4A!P572+F4B!P571</f>
        <v>0</v>
      </c>
      <c r="Q573" s="316">
        <f t="shared" si="90"/>
        <v>0</v>
      </c>
    </row>
    <row r="574" ht="15" spans="3:17">
      <c r="C574" s="55"/>
      <c r="D574" s="55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316"/>
    </row>
    <row r="575" ht="15" spans="3:17">
      <c r="C575" s="55"/>
      <c r="D575" s="55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316"/>
    </row>
    <row r="576" ht="15" spans="3:17">
      <c r="C576" s="55"/>
      <c r="D576" s="55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316"/>
    </row>
    <row r="577" ht="15" spans="3:17">
      <c r="C577" s="55" t="s">
        <v>258</v>
      </c>
      <c r="D577" s="55" t="s">
        <v>258</v>
      </c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316"/>
    </row>
    <row r="578" ht="15" spans="3:17">
      <c r="C578" s="537" t="s">
        <v>211</v>
      </c>
      <c r="D578" s="540"/>
      <c r="E578" s="316">
        <f t="shared" ref="E578:P578" si="92">SUM(E563:E577)</f>
        <v>830.025559674359</v>
      </c>
      <c r="F578" s="316">
        <f t="shared" si="92"/>
        <v>865.486155594721</v>
      </c>
      <c r="G578" s="316">
        <f t="shared" si="92"/>
        <v>828.906046186692</v>
      </c>
      <c r="H578" s="316">
        <f t="shared" si="92"/>
        <v>844.410678365175</v>
      </c>
      <c r="I578" s="316">
        <f t="shared" si="92"/>
        <v>834.967595846968</v>
      </c>
      <c r="J578" s="316">
        <f t="shared" si="92"/>
        <v>804.99827341985</v>
      </c>
      <c r="K578" s="316">
        <f t="shared" si="92"/>
        <v>826.693739023693</v>
      </c>
      <c r="L578" s="316">
        <f t="shared" si="92"/>
        <v>826.842349462774</v>
      </c>
      <c r="M578" s="316">
        <f t="shared" si="92"/>
        <v>827.011502569429</v>
      </c>
      <c r="N578" s="316">
        <f t="shared" si="92"/>
        <v>828.893722497323</v>
      </c>
      <c r="O578" s="316">
        <f t="shared" si="92"/>
        <v>816.906286949875</v>
      </c>
      <c r="P578" s="316">
        <f t="shared" si="92"/>
        <v>920.168558637605</v>
      </c>
      <c r="Q578" s="316">
        <f>SUM(E578:P578)</f>
        <v>10055.3104682285</v>
      </c>
    </row>
    <row r="579" ht="15" spans="3:17">
      <c r="C579" s="44" t="s">
        <v>219</v>
      </c>
      <c r="D579" s="45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316">
        <f t="shared" ref="Q579:Q592" si="93">SUM(E579:P579)</f>
        <v>0</v>
      </c>
    </row>
    <row r="580" ht="15" spans="3:17">
      <c r="C580" s="55" t="s">
        <v>191</v>
      </c>
      <c r="D580" s="55" t="s">
        <v>192</v>
      </c>
      <c r="E580" s="147">
        <f>F4A!E579+F4B!E578</f>
        <v>385.100766483558</v>
      </c>
      <c r="F580" s="147">
        <f>F4A!F579+F4B!F578</f>
        <v>410.618119073842</v>
      </c>
      <c r="G580" s="147">
        <f>F4A!G579+F4B!G578</f>
        <v>401.990690682173</v>
      </c>
      <c r="H580" s="147">
        <f>F4A!H579+F4B!H578</f>
        <v>407.950246634222</v>
      </c>
      <c r="I580" s="147">
        <f>F4A!I579+F4B!I578</f>
        <v>431.263274159475</v>
      </c>
      <c r="J580" s="147">
        <f>F4A!J579+F4B!J578</f>
        <v>391.802007877588</v>
      </c>
      <c r="K580" s="147">
        <f>F4A!K579+F4B!K578</f>
        <v>439.161260961195</v>
      </c>
      <c r="L580" s="147">
        <f>F4A!L579+F4B!L578</f>
        <v>432.090961827283</v>
      </c>
      <c r="M580" s="147">
        <f>F4A!M579+F4B!M578</f>
        <v>438.744840491775</v>
      </c>
      <c r="N580" s="147">
        <f>F4A!N579+F4B!N578</f>
        <v>432.090130864544</v>
      </c>
      <c r="O580" s="147">
        <f>F4A!O579+F4B!O578</f>
        <v>398.85509532451</v>
      </c>
      <c r="P580" s="147">
        <f>F4A!P579+F4B!P578</f>
        <v>432.807624153648</v>
      </c>
      <c r="Q580" s="316">
        <f t="shared" si="93"/>
        <v>5002.47501853381</v>
      </c>
    </row>
    <row r="581" ht="15" spans="3:17">
      <c r="C581" s="55" t="s">
        <v>193</v>
      </c>
      <c r="D581" s="55" t="s">
        <v>194</v>
      </c>
      <c r="E581" s="147">
        <f>F4A!E580+F4B!E579</f>
        <v>12.6888</v>
      </c>
      <c r="F581" s="147">
        <f>F4A!F580+F4B!F579</f>
        <v>13.5456</v>
      </c>
      <c r="G581" s="147">
        <f>F4A!G580+F4B!G579</f>
        <v>15.861</v>
      </c>
      <c r="H581" s="147">
        <f>F4A!H580+F4B!H579</f>
        <v>14.3514</v>
      </c>
      <c r="I581" s="147">
        <f>F4A!I580+F4B!I579</f>
        <v>13.413</v>
      </c>
      <c r="J581" s="147">
        <f>F4A!J580+F4B!J579</f>
        <v>5.304</v>
      </c>
      <c r="K581" s="147">
        <f>F4A!K580+F4B!K579</f>
        <v>15.1101117</v>
      </c>
      <c r="L581" s="147">
        <f>F4A!L580+F4B!L579</f>
        <v>10.68603</v>
      </c>
      <c r="M581" s="147">
        <f>F4A!M580+F4B!M579</f>
        <v>13.151166</v>
      </c>
      <c r="N581" s="147">
        <f>F4A!N580+F4B!N579</f>
        <v>14.153418</v>
      </c>
      <c r="O581" s="147">
        <f>F4A!O580+F4B!O579</f>
        <v>12.765504</v>
      </c>
      <c r="P581" s="147">
        <f>F4A!P580+F4B!P579</f>
        <v>11.9034</v>
      </c>
      <c r="Q581" s="316">
        <f t="shared" si="93"/>
        <v>152.9334297</v>
      </c>
    </row>
    <row r="582" ht="15" spans="3:17">
      <c r="C582" s="55" t="s">
        <v>239</v>
      </c>
      <c r="D582" s="55" t="s">
        <v>196</v>
      </c>
      <c r="E582" s="147">
        <f>F4A!E581+F4B!E580</f>
        <v>29.1890955201412</v>
      </c>
      <c r="F582" s="147">
        <f>F4A!F581+F4B!F580</f>
        <v>32.7033875582178</v>
      </c>
      <c r="G582" s="147">
        <f>F4A!G581+F4B!G580</f>
        <v>31.4239123016365</v>
      </c>
      <c r="H582" s="147">
        <f>F4A!H581+F4B!H580</f>
        <v>31.32155428111</v>
      </c>
      <c r="I582" s="147">
        <f>F4A!I581+F4B!I580</f>
        <v>31.4921509819875</v>
      </c>
      <c r="J582" s="147">
        <f>F4A!J581+F4B!J580</f>
        <v>30.4173917664592</v>
      </c>
      <c r="K582" s="147">
        <f>F4A!K581+F4B!K580</f>
        <v>22.3249302576742</v>
      </c>
      <c r="L582" s="147">
        <f>F4A!L581+F4B!L580</f>
        <v>23.2972861549776</v>
      </c>
      <c r="M582" s="147">
        <f>F4A!M581+F4B!M580</f>
        <v>23.1726531836905</v>
      </c>
      <c r="N582" s="147">
        <f>F4A!N581+F4B!N580</f>
        <v>23.3453158185376</v>
      </c>
      <c r="O582" s="147">
        <f>F4A!O581+F4B!O580</f>
        <v>27.6027887994423</v>
      </c>
      <c r="P582" s="147">
        <f>F4A!P581+F4B!P580</f>
        <v>39.3564498744186</v>
      </c>
      <c r="Q582" s="316">
        <f t="shared" si="93"/>
        <v>345.646916498293</v>
      </c>
    </row>
    <row r="583" ht="15" spans="3:17">
      <c r="C583" s="55" t="s">
        <v>197</v>
      </c>
      <c r="D583" s="55" t="s">
        <v>198</v>
      </c>
      <c r="E583" s="147">
        <f>F4A!E582+F4B!E581</f>
        <v>0</v>
      </c>
      <c r="F583" s="147">
        <f>F4A!F582+F4B!F581</f>
        <v>0</v>
      </c>
      <c r="G583" s="147">
        <f>F4A!G582+F4B!G581</f>
        <v>0</v>
      </c>
      <c r="H583" s="147">
        <f>F4A!H582+F4B!H581</f>
        <v>0</v>
      </c>
      <c r="I583" s="147">
        <f>F4A!I582+F4B!I581</f>
        <v>0</v>
      </c>
      <c r="J583" s="147">
        <f>F4A!J582+F4B!J581</f>
        <v>0</v>
      </c>
      <c r="K583" s="147">
        <f>F4A!K582+F4B!K581</f>
        <v>0</v>
      </c>
      <c r="L583" s="147">
        <f>F4A!L582+F4B!L581</f>
        <v>0</v>
      </c>
      <c r="M583" s="147">
        <f>F4A!M582+F4B!M581</f>
        <v>0</v>
      </c>
      <c r="N583" s="147">
        <f>F4A!N582+F4B!N581</f>
        <v>0</v>
      </c>
      <c r="O583" s="147">
        <f>F4A!O582+F4B!O581</f>
        <v>0</v>
      </c>
      <c r="P583" s="147">
        <f>F4A!P582+F4B!P581</f>
        <v>0</v>
      </c>
      <c r="Q583" s="316">
        <f t="shared" ref="Q583" si="94">SUM(E583:P583)</f>
        <v>0</v>
      </c>
    </row>
    <row r="584" ht="15" spans="3:17">
      <c r="C584" s="55" t="s">
        <v>199</v>
      </c>
      <c r="D584" s="55" t="s">
        <v>200</v>
      </c>
      <c r="E584" s="147">
        <f>F4A!E583+F4B!E582</f>
        <v>11.2196826647101</v>
      </c>
      <c r="F584" s="147">
        <f>F4A!F583+F4B!F582</f>
        <v>13.2375237506709</v>
      </c>
      <c r="G584" s="147">
        <f>F4A!G583+F4B!G582</f>
        <v>12.2529145460756</v>
      </c>
      <c r="H584" s="147">
        <f>F4A!H583+F4B!H582</f>
        <v>11.6572867556413</v>
      </c>
      <c r="I584" s="147">
        <f>F4A!I583+F4B!I582</f>
        <v>11.718065101604</v>
      </c>
      <c r="J584" s="147">
        <f>F4A!J583+F4B!J582</f>
        <v>10.7820785737788</v>
      </c>
      <c r="K584" s="147">
        <f>F4A!K583+F4B!K582</f>
        <v>10.3506175596136</v>
      </c>
      <c r="L584" s="147">
        <f>F4A!L583+F4B!L582</f>
        <v>10.5552949702855</v>
      </c>
      <c r="M584" s="147">
        <f>F4A!M583+F4B!M582</f>
        <v>9.39027719021645</v>
      </c>
      <c r="N584" s="147">
        <f>F4A!N583+F4B!N582</f>
        <v>9.41982658478704</v>
      </c>
      <c r="O584" s="147">
        <f>F4A!O583+F4B!O582</f>
        <v>10.5105820706063</v>
      </c>
      <c r="P584" s="147">
        <f>F4A!P583+F4B!P582</f>
        <v>12.5751964747559</v>
      </c>
      <c r="Q584" s="316">
        <f t="shared" si="93"/>
        <v>133.669346242745</v>
      </c>
    </row>
    <row r="585" ht="15" spans="3:17">
      <c r="C585" s="55" t="s">
        <v>201</v>
      </c>
      <c r="D585" s="55" t="s">
        <v>240</v>
      </c>
      <c r="E585" s="147">
        <f>F4A!E584+F4B!E583</f>
        <v>42.0336</v>
      </c>
      <c r="F585" s="147">
        <f>F4A!F584+F4B!F583</f>
        <v>26.136</v>
      </c>
      <c r="G585" s="147">
        <f>F4A!G584+F4B!G583</f>
        <v>57.24</v>
      </c>
      <c r="H585" s="147">
        <f>F4A!H584+F4B!H583</f>
        <v>128.0448</v>
      </c>
      <c r="I585" s="147">
        <f>F4A!I584+F4B!I583</f>
        <v>453.4596</v>
      </c>
      <c r="J585" s="147">
        <f>F4A!J584+F4B!J583</f>
        <v>300.5316</v>
      </c>
      <c r="K585" s="147">
        <f>F4A!K584+F4B!K583</f>
        <v>224.957676601728</v>
      </c>
      <c r="L585" s="147">
        <f>F4A!L584+F4B!L583</f>
        <v>212.711650619616</v>
      </c>
      <c r="M585" s="147">
        <f>F4A!M584+F4B!M583</f>
        <v>63.460752457968</v>
      </c>
      <c r="N585" s="147">
        <f>F4A!N584+F4B!N583</f>
        <v>43.94114202204</v>
      </c>
      <c r="O585" s="147">
        <f>F4A!O584+F4B!O583</f>
        <v>54.828519382296</v>
      </c>
      <c r="P585" s="147">
        <f>F4A!P584+F4B!P583</f>
        <v>36.952903683288</v>
      </c>
      <c r="Q585" s="316">
        <f t="shared" si="93"/>
        <v>1644.29824476694</v>
      </c>
    </row>
    <row r="586" ht="15" spans="3:17">
      <c r="C586" s="55" t="s">
        <v>203</v>
      </c>
      <c r="D586" s="55" t="s">
        <v>220</v>
      </c>
      <c r="E586" s="147">
        <f>F4A!E585+F4B!E584</f>
        <v>26.21429181895</v>
      </c>
      <c r="F586" s="147">
        <f>F4A!F585+F4B!F584</f>
        <v>26.9453762030388</v>
      </c>
      <c r="G586" s="147">
        <f>F4A!G585+F4B!G584</f>
        <v>25.7482789659343</v>
      </c>
      <c r="H586" s="147">
        <f>F4A!H585+F4B!H584</f>
        <v>26.6033484210089</v>
      </c>
      <c r="I586" s="147">
        <f>F4A!I585+F4B!I584</f>
        <v>25.5986418112962</v>
      </c>
      <c r="J586" s="147">
        <f>F4A!J585+F4B!J584</f>
        <v>21.9004664180985</v>
      </c>
      <c r="K586" s="147">
        <f>F4A!K585+F4B!K584</f>
        <v>25.4964417862226</v>
      </c>
      <c r="L586" s="147">
        <f>F4A!L585+F4B!L584</f>
        <v>26.5709101508887</v>
      </c>
      <c r="M586" s="147">
        <f>F4A!M585+F4B!M584</f>
        <v>28.1781943570127</v>
      </c>
      <c r="N586" s="147">
        <f>F4A!N585+F4B!N584</f>
        <v>26.4799960246153</v>
      </c>
      <c r="O586" s="147">
        <f>F4A!O585+F4B!O584</f>
        <v>23.4833239536912</v>
      </c>
      <c r="P586" s="147">
        <f>F4A!P585+F4B!P584</f>
        <v>28.372060334189</v>
      </c>
      <c r="Q586" s="316">
        <f t="shared" si="93"/>
        <v>311.591330244946</v>
      </c>
    </row>
    <row r="587" ht="15" spans="3:17">
      <c r="C587" s="55" t="s">
        <v>241</v>
      </c>
      <c r="D587" s="55" t="s">
        <v>229</v>
      </c>
      <c r="E587" s="147">
        <f>F4A!E586+F4B!E585</f>
        <v>114.504959478884</v>
      </c>
      <c r="F587" s="147">
        <f>F4A!F586+F4B!F585</f>
        <v>117.658872449268</v>
      </c>
      <c r="G587" s="147">
        <f>F4A!G586+F4B!G585</f>
        <v>114.772357121887</v>
      </c>
      <c r="H587" s="147">
        <f>F4A!H586+F4B!H585</f>
        <v>114.23411677341</v>
      </c>
      <c r="I587" s="147">
        <f>F4A!I586+F4B!I585</f>
        <v>115.012492280904</v>
      </c>
      <c r="J587" s="147">
        <f>F4A!J586+F4B!J585</f>
        <v>113.438968937552</v>
      </c>
      <c r="K587" s="147">
        <f>F4A!K586+F4B!K585</f>
        <v>130.45667443417</v>
      </c>
      <c r="L587" s="147">
        <f>F4A!L586+F4B!L585</f>
        <v>127.877029761432</v>
      </c>
      <c r="M587" s="147">
        <f>F4A!M586+F4B!M585</f>
        <v>127.329695980019</v>
      </c>
      <c r="N587" s="147">
        <f>F4A!N586+F4B!N585</f>
        <v>130.167528319472</v>
      </c>
      <c r="O587" s="147">
        <f>F4A!O586+F4B!O585</f>
        <v>126.029578283795</v>
      </c>
      <c r="P587" s="147">
        <f>F4A!P586+F4B!P585</f>
        <v>131.895091988454</v>
      </c>
      <c r="Q587" s="316">
        <f t="shared" si="93"/>
        <v>1463.37736580925</v>
      </c>
    </row>
    <row r="588" ht="15" spans="3:17">
      <c r="C588" s="55" t="s">
        <v>259</v>
      </c>
      <c r="D588" s="55" t="s">
        <v>243</v>
      </c>
      <c r="E588" s="147">
        <f>F4A!E587+F4B!E586</f>
        <v>20.8569852092472</v>
      </c>
      <c r="F588" s="147">
        <f>F4A!F587+F4B!F586</f>
        <v>21.6355055586499</v>
      </c>
      <c r="G588" s="147">
        <f>F4A!G587+F4B!G586</f>
        <v>22.2759013299327</v>
      </c>
      <c r="H588" s="147">
        <f>F4A!H587+F4B!H586</f>
        <v>20.4551682547168</v>
      </c>
      <c r="I588" s="147">
        <f>F4A!I587+F4B!I586</f>
        <v>20.3672707959133</v>
      </c>
      <c r="J588" s="147">
        <f>F4A!J587+F4B!J586</f>
        <v>19.3376148499291</v>
      </c>
      <c r="K588" s="147">
        <f>F4A!K587+F4B!K586</f>
        <v>22.0389890912227</v>
      </c>
      <c r="L588" s="147">
        <f>F4A!L587+F4B!L586</f>
        <v>18.0468502178328</v>
      </c>
      <c r="M588" s="147">
        <f>F4A!M587+F4B!M586</f>
        <v>20.7566863717604</v>
      </c>
      <c r="N588" s="147">
        <f>F4A!N587+F4B!N586</f>
        <v>21.1583717384652</v>
      </c>
      <c r="O588" s="147">
        <f>F4A!O587+F4B!O586</f>
        <v>21.1352006987561</v>
      </c>
      <c r="P588" s="147">
        <f>F4A!P587+F4B!P586</f>
        <v>22.9801192418982</v>
      </c>
      <c r="Q588" s="316">
        <f t="shared" ref="Q588" si="95">SUM(E588:P588)</f>
        <v>251.044663358325</v>
      </c>
    </row>
    <row r="589" ht="15" spans="3:17">
      <c r="C589" s="55" t="s">
        <v>205</v>
      </c>
      <c r="D589" s="55" t="s">
        <v>206</v>
      </c>
      <c r="E589" s="147">
        <f>F4A!E588+F4B!E587</f>
        <v>0</v>
      </c>
      <c r="F589" s="147">
        <f>F4A!F588+F4B!F587</f>
        <v>0</v>
      </c>
      <c r="G589" s="147">
        <f>F4A!G588+F4B!G587</f>
        <v>0</v>
      </c>
      <c r="H589" s="147">
        <f>F4A!H588+F4B!H587</f>
        <v>0</v>
      </c>
      <c r="I589" s="147">
        <f>F4A!I588+F4B!I587</f>
        <v>0</v>
      </c>
      <c r="J589" s="147">
        <f>F4A!J588+F4B!J587</f>
        <v>0</v>
      </c>
      <c r="K589" s="147">
        <f>F4A!K588+F4B!K587</f>
        <v>0</v>
      </c>
      <c r="L589" s="147">
        <f>F4A!L588+F4B!L587</f>
        <v>0</v>
      </c>
      <c r="M589" s="147">
        <f>F4A!M588+F4B!M587</f>
        <v>0</v>
      </c>
      <c r="N589" s="147">
        <f>F4A!N588+F4B!N587</f>
        <v>0</v>
      </c>
      <c r="O589" s="147">
        <f>F4A!O588+F4B!O587</f>
        <v>0</v>
      </c>
      <c r="P589" s="147">
        <f>F4A!P588+F4B!P587</f>
        <v>0</v>
      </c>
      <c r="Q589" s="316">
        <f t="shared" si="93"/>
        <v>0</v>
      </c>
    </row>
    <row r="590" ht="15" spans="3:17">
      <c r="C590" s="55" t="s">
        <v>207</v>
      </c>
      <c r="D590" s="55" t="s">
        <v>186</v>
      </c>
      <c r="E590" s="147">
        <f>F4A!E589+F4B!E588</f>
        <v>0</v>
      </c>
      <c r="F590" s="147">
        <f>F4A!F589+F4B!F588</f>
        <v>0</v>
      </c>
      <c r="G590" s="147">
        <f>F4A!G589+F4B!G588</f>
        <v>0</v>
      </c>
      <c r="H590" s="147">
        <f>F4A!H589+F4B!H588</f>
        <v>0</v>
      </c>
      <c r="I590" s="147">
        <f>F4A!I589+F4B!I588</f>
        <v>0</v>
      </c>
      <c r="J590" s="147">
        <f>F4A!J589+F4B!J588</f>
        <v>0</v>
      </c>
      <c r="K590" s="147">
        <f>F4A!K589+F4B!K588</f>
        <v>0</v>
      </c>
      <c r="L590" s="147">
        <f>F4A!L589+F4B!L588</f>
        <v>0</v>
      </c>
      <c r="M590" s="147">
        <f>F4A!M589+F4B!M588</f>
        <v>0</v>
      </c>
      <c r="N590" s="147">
        <f>F4A!N589+F4B!N588</f>
        <v>0</v>
      </c>
      <c r="O590" s="147">
        <f>F4A!O589+F4B!O588</f>
        <v>0</v>
      </c>
      <c r="P590" s="147">
        <f>F4A!P589+F4B!P588</f>
        <v>0</v>
      </c>
      <c r="Q590" s="316">
        <f t="shared" si="93"/>
        <v>0</v>
      </c>
    </row>
    <row r="591" ht="15" spans="3:17">
      <c r="C591" s="55" t="s">
        <v>208</v>
      </c>
      <c r="D591" s="55" t="s">
        <v>209</v>
      </c>
      <c r="E591" s="147">
        <f>F4A!E590+F4B!E589</f>
        <v>0</v>
      </c>
      <c r="F591" s="147">
        <f>F4A!F590+F4B!F589</f>
        <v>0</v>
      </c>
      <c r="G591" s="147">
        <f>F4A!G590+F4B!G589</f>
        <v>0</v>
      </c>
      <c r="H591" s="147">
        <f>F4A!H590+F4B!H589</f>
        <v>0</v>
      </c>
      <c r="I591" s="147">
        <f>F4A!I590+F4B!I589</f>
        <v>0</v>
      </c>
      <c r="J591" s="147">
        <f>F4A!J590+F4B!J589</f>
        <v>0</v>
      </c>
      <c r="K591" s="147">
        <f>F4A!K590+F4B!K589</f>
        <v>0</v>
      </c>
      <c r="L591" s="147">
        <f>F4A!L590+F4B!L589</f>
        <v>0</v>
      </c>
      <c r="M591" s="147">
        <f>F4A!M590+F4B!M589</f>
        <v>0</v>
      </c>
      <c r="N591" s="147">
        <f>F4A!N590+F4B!N589</f>
        <v>0</v>
      </c>
      <c r="O591" s="147">
        <f>F4A!O590+F4B!O589</f>
        <v>0</v>
      </c>
      <c r="P591" s="147">
        <f>F4A!P590+F4B!P589</f>
        <v>0</v>
      </c>
      <c r="Q591" s="316">
        <f t="shared" si="93"/>
        <v>0</v>
      </c>
    </row>
    <row r="592" ht="15" spans="3:17">
      <c r="C592" s="55" t="s">
        <v>210</v>
      </c>
      <c r="D592" s="55" t="s">
        <v>188</v>
      </c>
      <c r="E592" s="147">
        <f>F4A!E591+F4B!E590</f>
        <v>0</v>
      </c>
      <c r="F592" s="147">
        <f>F4A!F591+F4B!F590</f>
        <v>0</v>
      </c>
      <c r="G592" s="147">
        <f>F4A!G591+F4B!G590</f>
        <v>0</v>
      </c>
      <c r="H592" s="147">
        <f>F4A!H591+F4B!H590</f>
        <v>0</v>
      </c>
      <c r="I592" s="147">
        <f>F4A!I591+F4B!I590</f>
        <v>0</v>
      </c>
      <c r="J592" s="147">
        <f>F4A!J591+F4B!J590</f>
        <v>0</v>
      </c>
      <c r="K592" s="147">
        <f>F4A!K591+F4B!K590</f>
        <v>0</v>
      </c>
      <c r="L592" s="147">
        <f>F4A!L591+F4B!L590</f>
        <v>0</v>
      </c>
      <c r="M592" s="147">
        <f>F4A!M591+F4B!M590</f>
        <v>0</v>
      </c>
      <c r="N592" s="147">
        <f>F4A!N591+F4B!N590</f>
        <v>0</v>
      </c>
      <c r="O592" s="147">
        <f>F4A!O591+F4B!O590</f>
        <v>0</v>
      </c>
      <c r="P592" s="147">
        <f>F4A!P591+F4B!P590</f>
        <v>0</v>
      </c>
      <c r="Q592" s="316">
        <f t="shared" si="93"/>
        <v>0</v>
      </c>
    </row>
    <row r="593" ht="15" spans="3:17">
      <c r="C593" s="55"/>
      <c r="D593" s="55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316"/>
    </row>
    <row r="594" ht="15" spans="3:17">
      <c r="C594" s="55"/>
      <c r="D594" s="55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316"/>
    </row>
    <row r="595" ht="15" spans="3:17">
      <c r="C595" s="55"/>
      <c r="D595" s="55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316"/>
    </row>
    <row r="596" ht="15" spans="3:17">
      <c r="C596" s="55" t="s">
        <v>258</v>
      </c>
      <c r="D596" s="55" t="s">
        <v>258</v>
      </c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316"/>
    </row>
    <row r="597" ht="15" spans="3:17">
      <c r="C597" s="537" t="s">
        <v>211</v>
      </c>
      <c r="D597" s="540"/>
      <c r="E597" s="316">
        <f t="shared" ref="E597:P597" si="96">SUM(E580:E596)</f>
        <v>641.808181175491</v>
      </c>
      <c r="F597" s="316">
        <f t="shared" si="96"/>
        <v>662.480384593688</v>
      </c>
      <c r="G597" s="316">
        <f t="shared" si="96"/>
        <v>681.565054947639</v>
      </c>
      <c r="H597" s="316">
        <f t="shared" si="96"/>
        <v>754.617921120109</v>
      </c>
      <c r="I597" s="316">
        <f t="shared" si="96"/>
        <v>1102.32449513118</v>
      </c>
      <c r="J597" s="316">
        <f t="shared" si="96"/>
        <v>893.514128423405</v>
      </c>
      <c r="K597" s="316">
        <f t="shared" si="96"/>
        <v>889.896702391826</v>
      </c>
      <c r="L597" s="316">
        <f t="shared" si="96"/>
        <v>861.836013702315</v>
      </c>
      <c r="M597" s="316">
        <f t="shared" si="96"/>
        <v>724.184266032442</v>
      </c>
      <c r="N597" s="316">
        <f t="shared" si="96"/>
        <v>700.755729372461</v>
      </c>
      <c r="O597" s="316">
        <f t="shared" si="96"/>
        <v>675.210592513097</v>
      </c>
      <c r="P597" s="316">
        <f t="shared" si="96"/>
        <v>716.842845750651</v>
      </c>
      <c r="Q597" s="316">
        <f>SUM(E597:P597)</f>
        <v>9305.0363151543</v>
      </c>
    </row>
    <row r="598" ht="15" spans="3:17">
      <c r="C598" s="537" t="s">
        <v>223</v>
      </c>
      <c r="D598" s="540"/>
      <c r="E598" s="316">
        <f t="shared" ref="E598:P598" si="97">E597+E578+E561</f>
        <v>2168.5575110012</v>
      </c>
      <c r="F598" s="316">
        <f t="shared" si="97"/>
        <v>2234.25797514492</v>
      </c>
      <c r="G598" s="316">
        <f t="shared" si="97"/>
        <v>2177.88519136895</v>
      </c>
      <c r="H598" s="316">
        <f t="shared" si="97"/>
        <v>2255.39659067658</v>
      </c>
      <c r="I598" s="316">
        <f t="shared" si="97"/>
        <v>2610.68539665794</v>
      </c>
      <c r="J598" s="316">
        <f t="shared" si="97"/>
        <v>2329.58419977787</v>
      </c>
      <c r="K598" s="316">
        <f t="shared" si="97"/>
        <v>2382.84668752458</v>
      </c>
      <c r="L598" s="316">
        <f t="shared" si="97"/>
        <v>2339.92444218804</v>
      </c>
      <c r="M598" s="316">
        <f t="shared" si="97"/>
        <v>2207.63151840194</v>
      </c>
      <c r="N598" s="316">
        <f t="shared" si="97"/>
        <v>2175.86622309882</v>
      </c>
      <c r="O598" s="316">
        <f t="shared" si="97"/>
        <v>2151.99515192506</v>
      </c>
      <c r="P598" s="316">
        <f t="shared" si="97"/>
        <v>2365.58487138803</v>
      </c>
      <c r="Q598" s="316">
        <f>SUM(E598:P598)</f>
        <v>27400.2157591539</v>
      </c>
    </row>
    <row r="599" ht="15" spans="3:17">
      <c r="C599" s="537" t="s">
        <v>224</v>
      </c>
      <c r="D599" s="540"/>
      <c r="E599" s="316">
        <f t="shared" ref="E599:P599" si="98">E598+E544</f>
        <v>5285.36602437826</v>
      </c>
      <c r="F599" s="316">
        <f t="shared" si="98"/>
        <v>4716.48423640282</v>
      </c>
      <c r="G599" s="316">
        <f t="shared" si="98"/>
        <v>4441.60236242925</v>
      </c>
      <c r="H599" s="316">
        <f t="shared" si="98"/>
        <v>4953.21114788497</v>
      </c>
      <c r="I599" s="316">
        <f t="shared" si="98"/>
        <v>5637.90577154752</v>
      </c>
      <c r="J599" s="316">
        <f t="shared" si="98"/>
        <v>4970.23154332203</v>
      </c>
      <c r="K599" s="316">
        <f t="shared" si="98"/>
        <v>5989.40512884931</v>
      </c>
      <c r="L599" s="316">
        <f t="shared" si="98"/>
        <v>4744.49102989994</v>
      </c>
      <c r="M599" s="316">
        <f t="shared" si="98"/>
        <v>4889.98509787265</v>
      </c>
      <c r="N599" s="316">
        <f t="shared" si="98"/>
        <v>5530.92821186932</v>
      </c>
      <c r="O599" s="316">
        <f t="shared" si="98"/>
        <v>5697.76353416259</v>
      </c>
      <c r="P599" s="316">
        <f t="shared" si="98"/>
        <v>6574.78283401429</v>
      </c>
      <c r="Q599" s="316">
        <f>SUM(E599:P599)</f>
        <v>63432.156922633</v>
      </c>
    </row>
    <row r="600" hidden="1"/>
    <row r="601" ht="15" hidden="1" spans="3:17">
      <c r="C601" s="14"/>
      <c r="Q601" s="3" t="s">
        <v>236</v>
      </c>
    </row>
    <row r="602" ht="15" hidden="1" spans="3:17">
      <c r="C602" s="6" t="s">
        <v>159</v>
      </c>
      <c r="D602" s="6"/>
      <c r="E602" s="135" t="s">
        <v>265</v>
      </c>
      <c r="F602" s="135"/>
      <c r="G602" s="135"/>
      <c r="H602" s="135"/>
      <c r="I602" s="135"/>
      <c r="J602" s="135"/>
      <c r="K602" s="135"/>
      <c r="L602" s="135"/>
      <c r="M602" s="135"/>
      <c r="N602" s="135"/>
      <c r="O602" s="135"/>
      <c r="P602" s="135"/>
      <c r="Q602" s="135"/>
    </row>
    <row r="603" ht="15" hidden="1" spans="3:17">
      <c r="C603" s="6"/>
      <c r="D603" s="6"/>
      <c r="E603" s="135" t="s">
        <v>246</v>
      </c>
      <c r="F603" s="135" t="s">
        <v>247</v>
      </c>
      <c r="G603" s="135" t="s">
        <v>248</v>
      </c>
      <c r="H603" s="135" t="s">
        <v>249</v>
      </c>
      <c r="I603" s="135" t="s">
        <v>250</v>
      </c>
      <c r="J603" s="135" t="s">
        <v>251</v>
      </c>
      <c r="K603" s="135" t="s">
        <v>252</v>
      </c>
      <c r="L603" s="135" t="s">
        <v>253</v>
      </c>
      <c r="M603" s="135" t="s">
        <v>254</v>
      </c>
      <c r="N603" s="135" t="s">
        <v>255</v>
      </c>
      <c r="O603" s="135" t="s">
        <v>256</v>
      </c>
      <c r="P603" s="135" t="s">
        <v>257</v>
      </c>
      <c r="Q603" s="135" t="s">
        <v>97</v>
      </c>
    </row>
    <row r="604" ht="15" hidden="1" spans="3:17">
      <c r="C604" s="44" t="s">
        <v>170</v>
      </c>
      <c r="D604" s="45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316">
        <f>SUM(E604:P604)</f>
        <v>0</v>
      </c>
    </row>
    <row r="605" ht="15" hidden="1" spans="3:17">
      <c r="C605" s="47" t="s">
        <v>171</v>
      </c>
      <c r="D605" s="47" t="s">
        <v>172</v>
      </c>
      <c r="E605" s="147">
        <f>F4A!E604+F4B!E603</f>
        <v>1166.86840931156</v>
      </c>
      <c r="F605" s="147">
        <f>F4A!F604+F4B!F603</f>
        <v>1404.20211994651</v>
      </c>
      <c r="G605" s="147">
        <f>F4A!G604+F4B!G603</f>
        <v>1251.563579208</v>
      </c>
      <c r="H605" s="147">
        <f>F4A!H604+F4B!H603</f>
        <v>981.112886979744</v>
      </c>
      <c r="I605" s="147">
        <f>F4A!I604+F4B!I603</f>
        <v>1122.6691979947</v>
      </c>
      <c r="J605" s="147">
        <f>F4A!J604+F4B!J603</f>
        <v>1040.42312275645</v>
      </c>
      <c r="K605" s="147">
        <f>F4A!K604+F4B!K603</f>
        <v>1029.33696251829</v>
      </c>
      <c r="L605" s="147">
        <f>F4A!L604+F4B!L603</f>
        <v>953.49416120483</v>
      </c>
      <c r="M605" s="147">
        <f>F4A!M604+F4B!M603</f>
        <v>845.792241457301</v>
      </c>
      <c r="N605" s="147">
        <f>F4A!N604+F4B!N603</f>
        <v>954.54080287983</v>
      </c>
      <c r="O605" s="147">
        <f>F4A!O604+F4B!O603</f>
        <v>904.124309994117</v>
      </c>
      <c r="P605" s="147">
        <f>F4A!P604+F4B!P603</f>
        <v>1239.83063376747</v>
      </c>
      <c r="Q605" s="316">
        <f t="shared" ref="Q605:Q613" si="99">SUM(E605:P605)</f>
        <v>12893.9584280188</v>
      </c>
    </row>
    <row r="606" ht="15" hidden="1" spans="3:17">
      <c r="C606" s="55" t="s">
        <v>173</v>
      </c>
      <c r="D606" s="55" t="s">
        <v>174</v>
      </c>
      <c r="E606" s="147">
        <f>F4A!E605+F4B!E604</f>
        <v>450.745029911367</v>
      </c>
      <c r="F606" s="147">
        <f>F4A!F605+F4B!F604</f>
        <v>517.376057385505</v>
      </c>
      <c r="G606" s="147">
        <f>F4A!G605+F4B!G604</f>
        <v>475.65645520836</v>
      </c>
      <c r="H606" s="147">
        <f>F4A!H605+F4B!H604</f>
        <v>404.38063433756</v>
      </c>
      <c r="I606" s="147">
        <f>F4A!I605+F4B!I604</f>
        <v>458.067679075706</v>
      </c>
      <c r="J606" s="147">
        <f>F4A!J605+F4B!J604</f>
        <v>423.994031997678</v>
      </c>
      <c r="K606" s="147">
        <f>F4A!K605+F4B!K604</f>
        <v>434.271590062575</v>
      </c>
      <c r="L606" s="147">
        <f>F4A!L605+F4B!L604</f>
        <v>410.941159153747</v>
      </c>
      <c r="M606" s="147">
        <f>F4A!M605+F4B!M604</f>
        <v>378.940709696436</v>
      </c>
      <c r="N606" s="147">
        <f>F4A!N605+F4B!N604</f>
        <v>414.832586520483</v>
      </c>
      <c r="O606" s="147">
        <f>F4A!O605+F4B!O604</f>
        <v>414.154845167493</v>
      </c>
      <c r="P606" s="147">
        <f>F4A!P605+F4B!P604</f>
        <v>512.004756163324</v>
      </c>
      <c r="Q606" s="316">
        <f t="shared" si="99"/>
        <v>5295.36553468023</v>
      </c>
    </row>
    <row r="607" ht="15" hidden="1" spans="3:17">
      <c r="C607" s="55" t="s">
        <v>175</v>
      </c>
      <c r="D607" s="55" t="s">
        <v>176</v>
      </c>
      <c r="E607" s="147">
        <f>F4A!E606+F4B!E605</f>
        <v>91.1519610216825</v>
      </c>
      <c r="F607" s="147">
        <f>F4A!F606+F4B!F605</f>
        <v>98.7013948306258</v>
      </c>
      <c r="G607" s="147">
        <f>F4A!G606+F4B!G605</f>
        <v>93.2880212281159</v>
      </c>
      <c r="H607" s="147">
        <f>F4A!H606+F4B!H605</f>
        <v>87.6639622542371</v>
      </c>
      <c r="I607" s="147">
        <f>F4A!I606+F4B!I605</f>
        <v>93.7830699087481</v>
      </c>
      <c r="J607" s="147">
        <f>F4A!J606+F4B!J605</f>
        <v>86.9877741193187</v>
      </c>
      <c r="K607" s="147">
        <f>F4A!K606+F4B!K605</f>
        <v>88.9801252616055</v>
      </c>
      <c r="L607" s="147">
        <f>F4A!L606+F4B!L605</f>
        <v>91.5033143522831</v>
      </c>
      <c r="M607" s="147">
        <f>F4A!M606+F4B!M605</f>
        <v>101.406151941671</v>
      </c>
      <c r="N607" s="147">
        <f>F4A!N606+F4B!N605</f>
        <v>98.5180565466306</v>
      </c>
      <c r="O607" s="147">
        <f>F4A!O606+F4B!O605</f>
        <v>90.6728641420266</v>
      </c>
      <c r="P607" s="147">
        <f>F4A!P606+F4B!P605</f>
        <v>101.073024669386</v>
      </c>
      <c r="Q607" s="316">
        <f t="shared" si="99"/>
        <v>1123.72972027633</v>
      </c>
    </row>
    <row r="608" ht="15" hidden="1" spans="3:17">
      <c r="C608" s="55" t="s">
        <v>177</v>
      </c>
      <c r="D608" s="55" t="s">
        <v>178</v>
      </c>
      <c r="E608" s="147">
        <f>F4A!E607+F4B!E606</f>
        <v>0.858818602447451</v>
      </c>
      <c r="F608" s="147">
        <f>F4A!F607+F4B!F606</f>
        <v>0.896715858807343</v>
      </c>
      <c r="G608" s="147">
        <f>F4A!G607+F4B!G606</f>
        <v>0.791469428588545</v>
      </c>
      <c r="H608" s="147">
        <f>F4A!H607+F4B!H606</f>
        <v>0.766281167485082</v>
      </c>
      <c r="I608" s="147">
        <f>F4A!I607+F4B!I606</f>
        <v>0.81445451381422</v>
      </c>
      <c r="J608" s="147">
        <f>F4A!J607+F4B!J606</f>
        <v>0.763958572795362</v>
      </c>
      <c r="K608" s="147">
        <f>F4A!K607+F4B!K606</f>
        <v>0.793419598508846</v>
      </c>
      <c r="L608" s="147">
        <f>F4A!L607+F4B!L606</f>
        <v>0.746495089585859</v>
      </c>
      <c r="M608" s="147">
        <f>F4A!M607+F4B!M606</f>
        <v>0.788924188656237</v>
      </c>
      <c r="N608" s="147">
        <f>F4A!N607+F4B!N606</f>
        <v>0.818412539013129</v>
      </c>
      <c r="O608" s="147">
        <f>F4A!O607+F4B!O606</f>
        <v>0.735955873420827</v>
      </c>
      <c r="P608" s="147">
        <f>F4A!P607+F4B!P606</f>
        <v>0.850100017152488</v>
      </c>
      <c r="Q608" s="316">
        <f t="shared" si="99"/>
        <v>9.62500545027539</v>
      </c>
    </row>
    <row r="609" ht="15" hidden="1" spans="3:17">
      <c r="C609" s="55" t="s">
        <v>179</v>
      </c>
      <c r="D609" s="55" t="s">
        <v>180</v>
      </c>
      <c r="E609" s="147">
        <f>F4A!E608+F4B!E607</f>
        <v>1349.92598312597</v>
      </c>
      <c r="F609" s="147">
        <f>F4A!F608+F4B!F607</f>
        <v>638.467640280526</v>
      </c>
      <c r="G609" s="147">
        <f>F4A!G608+F4B!G607</f>
        <v>584.953451521322</v>
      </c>
      <c r="H609" s="147">
        <f>F4A!H608+F4B!H607</f>
        <v>840.091257584557</v>
      </c>
      <c r="I609" s="147">
        <f>F4A!I608+F4B!I607</f>
        <v>1034.94868759674</v>
      </c>
      <c r="J609" s="147">
        <f>F4A!J608+F4B!J607</f>
        <v>1123.40087274036</v>
      </c>
      <c r="K609" s="147">
        <f>F4A!K608+F4B!K607</f>
        <v>754.531726670841</v>
      </c>
      <c r="L609" s="147">
        <f>F4A!L608+F4B!L607</f>
        <v>639.201158383291</v>
      </c>
      <c r="M609" s="147">
        <f>F4A!M608+F4B!M607</f>
        <v>1121.03206243197</v>
      </c>
      <c r="N609" s="147">
        <f>F4A!N608+F4B!N607</f>
        <v>1505.47132666184</v>
      </c>
      <c r="O609" s="147">
        <f>F4A!O608+F4B!O607</f>
        <v>1601.99129571336</v>
      </c>
      <c r="P609" s="147">
        <f>F4A!P608+F4B!P607</f>
        <v>1858.78929833697</v>
      </c>
      <c r="Q609" s="316">
        <f t="shared" si="99"/>
        <v>13052.8047610477</v>
      </c>
    </row>
    <row r="610" ht="15" hidden="1" spans="3:17">
      <c r="C610" s="55" t="s">
        <v>181</v>
      </c>
      <c r="D610" s="55" t="s">
        <v>182</v>
      </c>
      <c r="E610" s="147">
        <f>F4A!E609+F4B!E608</f>
        <v>41.7778178602906</v>
      </c>
      <c r="F610" s="147">
        <f>F4A!F609+F4B!F608</f>
        <v>43.4940966583184</v>
      </c>
      <c r="G610" s="147">
        <f>F4A!G609+F4B!G608</f>
        <v>40.6732899031347</v>
      </c>
      <c r="H610" s="147">
        <f>F4A!H609+F4B!H608</f>
        <v>40.4539883019506</v>
      </c>
      <c r="I610" s="147">
        <f>F4A!I609+F4B!I608</f>
        <v>43.0889583106763</v>
      </c>
      <c r="J610" s="147">
        <f>F4A!J609+F4B!J608</f>
        <v>41.2593414017405</v>
      </c>
      <c r="K610" s="147">
        <f>F4A!K609+F4B!K608</f>
        <v>43.8270710907752</v>
      </c>
      <c r="L610" s="147">
        <f>F4A!L609+F4B!L608</f>
        <v>44.9989460677537</v>
      </c>
      <c r="M610" s="147">
        <f>F4A!M609+F4B!M608</f>
        <v>44.6875427597322</v>
      </c>
      <c r="N610" s="147">
        <f>F4A!N609+F4B!N608</f>
        <v>45.5745286419121</v>
      </c>
      <c r="O610" s="147">
        <f>F4A!O609+F4B!O608</f>
        <v>42.1683331600937</v>
      </c>
      <c r="P610" s="147">
        <f>F4A!P609+F4B!P608</f>
        <v>46.2124148592416</v>
      </c>
      <c r="Q610" s="316">
        <f t="shared" si="99"/>
        <v>518.21632901562</v>
      </c>
    </row>
    <row r="611" ht="15" hidden="1" spans="3:17">
      <c r="C611" s="55" t="s">
        <v>183</v>
      </c>
      <c r="D611" s="55" t="s">
        <v>184</v>
      </c>
      <c r="E611" s="147">
        <f>F4A!E610+F4B!E609</f>
        <v>10.1238531626828</v>
      </c>
      <c r="F611" s="147">
        <f>F4A!F610+F4B!F609</f>
        <v>8.2808752181303</v>
      </c>
      <c r="G611" s="147">
        <f>F4A!G610+F4B!G609</f>
        <v>9.81743612210026</v>
      </c>
      <c r="H611" s="147">
        <f>F4A!H610+F4B!H609</f>
        <v>9.96025985842943</v>
      </c>
      <c r="I611" s="147">
        <f>F4A!I610+F4B!I609</f>
        <v>11.5508146939489</v>
      </c>
      <c r="J611" s="147">
        <f>F4A!J610+F4B!J609</f>
        <v>10.7210441542037</v>
      </c>
      <c r="K611" s="147">
        <f>F4A!K610+F4B!K609</f>
        <v>8.88826386300881</v>
      </c>
      <c r="L611" s="147">
        <f>F4A!L610+F4B!L609</f>
        <v>10.268045331749</v>
      </c>
      <c r="M611" s="147">
        <f>F4A!M610+F4B!M609</f>
        <v>9.13834108734966</v>
      </c>
      <c r="N611" s="147">
        <f>F4A!N610+F4B!N609</f>
        <v>9.36057379218105</v>
      </c>
      <c r="O611" s="147">
        <f>F4A!O610+F4B!O609</f>
        <v>10.3143984184761</v>
      </c>
      <c r="P611" s="147">
        <f>F4A!P610+F4B!P609</f>
        <v>13.1747572304598</v>
      </c>
      <c r="Q611" s="316">
        <f t="shared" si="99"/>
        <v>121.59866293272</v>
      </c>
    </row>
    <row r="612" ht="15" hidden="1" spans="3:17">
      <c r="C612" s="55" t="s">
        <v>185</v>
      </c>
      <c r="D612" s="55" t="s">
        <v>186</v>
      </c>
      <c r="E612" s="147">
        <f>F4A!E611+F4B!E610</f>
        <v>21.6857649030413</v>
      </c>
      <c r="F612" s="147">
        <f>F4A!F611+F4B!F610</f>
        <v>24.5693714507797</v>
      </c>
      <c r="G612" s="147">
        <f>F4A!G611+F4B!G610</f>
        <v>23.1370593360814</v>
      </c>
      <c r="H612" s="147">
        <f>F4A!H611+F4B!H610</f>
        <v>20.0505910735249</v>
      </c>
      <c r="I612" s="147">
        <f>F4A!I611+F4B!I610</f>
        <v>23.0112172754386</v>
      </c>
      <c r="J612" s="147">
        <f>F4A!J611+F4B!J610</f>
        <v>21.5268309963949</v>
      </c>
      <c r="K612" s="147">
        <f>F4A!K611+F4B!K610</f>
        <v>22.4325085651373</v>
      </c>
      <c r="L612" s="147">
        <f>F4A!L611+F4B!L610</f>
        <v>21.5745339452324</v>
      </c>
      <c r="M612" s="147">
        <f>F4A!M611+F4B!M610</f>
        <v>21.4518103737019</v>
      </c>
      <c r="N612" s="147">
        <f>F4A!N611+F4B!N610</f>
        <v>23.7668051374257</v>
      </c>
      <c r="O612" s="147">
        <f>F4A!O611+F4B!O610</f>
        <v>23.0784235023374</v>
      </c>
      <c r="P612" s="147">
        <f>F4A!P611+F4B!P610</f>
        <v>28.5728548194185</v>
      </c>
      <c r="Q612" s="316">
        <f t="shared" si="99"/>
        <v>274.857771378514</v>
      </c>
    </row>
    <row r="613" ht="15" hidden="1" spans="3:17">
      <c r="C613" s="55" t="s">
        <v>187</v>
      </c>
      <c r="D613" s="55" t="s">
        <v>188</v>
      </c>
      <c r="E613" s="147">
        <f>F4A!E612+F4B!E611</f>
        <v>0.100852532</v>
      </c>
      <c r="F613" s="147">
        <f>F4A!F612+F4B!F611</f>
        <v>0.122125905</v>
      </c>
      <c r="G613" s="147">
        <f>F4A!G612+F4B!G611</f>
        <v>0.125373545</v>
      </c>
      <c r="H613" s="147">
        <f>F4A!H612+F4B!H611</f>
        <v>0.169277911</v>
      </c>
      <c r="I613" s="147">
        <f>F4A!I612+F4B!I611</f>
        <v>0.203324891</v>
      </c>
      <c r="J613" s="147">
        <f>F4A!J612+F4B!J611</f>
        <v>0.197690768</v>
      </c>
      <c r="K613" s="147">
        <f>F4A!K612+F4B!K611</f>
        <v>0.261637332</v>
      </c>
      <c r="L613" s="147">
        <f>F4A!L612+F4B!L611</f>
        <v>0.3159794</v>
      </c>
      <c r="M613" s="147">
        <f>F4A!M612+F4B!M611</f>
        <v>0.318198177</v>
      </c>
      <c r="N613" s="147">
        <f>F4A!N612+F4B!N611</f>
        <v>0.409145407</v>
      </c>
      <c r="O613" s="147">
        <f>F4A!O612+F4B!O611</f>
        <v>0.359139737</v>
      </c>
      <c r="P613" s="147">
        <f>F4A!P612+F4B!P611</f>
        <v>0.455009005</v>
      </c>
      <c r="Q613" s="316">
        <f t="shared" si="99"/>
        <v>3.03775461</v>
      </c>
    </row>
    <row r="614" ht="15" hidden="1" spans="3:17">
      <c r="C614" s="55"/>
      <c r="D614" s="55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316"/>
    </row>
    <row r="615" ht="15" hidden="1" spans="3:17">
      <c r="C615" s="55"/>
      <c r="D615" s="55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316"/>
    </row>
    <row r="616" ht="15" hidden="1" spans="3:17">
      <c r="C616" s="55"/>
      <c r="D616" s="55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316"/>
    </row>
    <row r="617" ht="15" hidden="1" spans="3:17">
      <c r="C617" s="55" t="s">
        <v>258</v>
      </c>
      <c r="D617" s="55" t="s">
        <v>258</v>
      </c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316"/>
    </row>
    <row r="618" ht="15" hidden="1" spans="3:17">
      <c r="C618" s="537" t="s">
        <v>189</v>
      </c>
      <c r="D618" s="540"/>
      <c r="E618" s="316">
        <f t="shared" ref="E618:P618" si="100">SUM(E605:E617)</f>
        <v>3133.23849043104</v>
      </c>
      <c r="F618" s="316">
        <f t="shared" si="100"/>
        <v>2736.1103975342</v>
      </c>
      <c r="G618" s="316">
        <f t="shared" si="100"/>
        <v>2480.0061355007</v>
      </c>
      <c r="H618" s="316">
        <f t="shared" si="100"/>
        <v>2384.64913946849</v>
      </c>
      <c r="I618" s="316">
        <f t="shared" si="100"/>
        <v>2788.13740426077</v>
      </c>
      <c r="J618" s="316">
        <f t="shared" si="100"/>
        <v>2749.27466750694</v>
      </c>
      <c r="K618" s="316">
        <f t="shared" si="100"/>
        <v>2383.32330496274</v>
      </c>
      <c r="L618" s="316">
        <f t="shared" si="100"/>
        <v>2173.04379292847</v>
      </c>
      <c r="M618" s="316">
        <f t="shared" si="100"/>
        <v>2523.55598211382</v>
      </c>
      <c r="N618" s="316">
        <f t="shared" si="100"/>
        <v>3053.29223812632</v>
      </c>
      <c r="O618" s="316">
        <f t="shared" si="100"/>
        <v>3087.59956570833</v>
      </c>
      <c r="P618" s="316">
        <f t="shared" si="100"/>
        <v>3800.96284886842</v>
      </c>
      <c r="Q618" s="316">
        <f>SUM(E618:P618)</f>
        <v>33293.1939674102</v>
      </c>
    </row>
    <row r="619" ht="15" hidden="1" spans="3:17">
      <c r="C619" s="44" t="s">
        <v>190</v>
      </c>
      <c r="D619" s="45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316">
        <f t="shared" ref="Q619:Q630" si="101">SUM(E619:P619)</f>
        <v>0</v>
      </c>
    </row>
    <row r="620" ht="15" hidden="1" spans="3:17">
      <c r="C620" s="55" t="s">
        <v>191</v>
      </c>
      <c r="D620" s="55" t="s">
        <v>192</v>
      </c>
      <c r="E620" s="147">
        <f>F4A!E619+F4B!E618</f>
        <v>441.587290768964</v>
      </c>
      <c r="F620" s="147">
        <f>F4A!F619+F4B!F618</f>
        <v>455.231290546719</v>
      </c>
      <c r="G620" s="147">
        <f>F4A!G619+F4B!G618</f>
        <v>442.236152578642</v>
      </c>
      <c r="H620" s="147">
        <f>F4A!H619+F4B!H618</f>
        <v>427.544436939386</v>
      </c>
      <c r="I620" s="147">
        <f>F4A!I619+F4B!I618</f>
        <v>445.264452892438</v>
      </c>
      <c r="J620" s="147">
        <f>F4A!J619+F4B!J618</f>
        <v>418.731794827434</v>
      </c>
      <c r="K620" s="147">
        <f>F4A!K619+F4B!K618</f>
        <v>427.627013637985</v>
      </c>
      <c r="L620" s="147">
        <f>F4A!L619+F4B!L618</f>
        <v>433.726300251689</v>
      </c>
      <c r="M620" s="147">
        <f>F4A!M619+F4B!M618</f>
        <v>456.617230184961</v>
      </c>
      <c r="N620" s="147">
        <f>F4A!N619+F4B!N618</f>
        <v>443.744078300231</v>
      </c>
      <c r="O620" s="147">
        <f>F4A!O619+F4B!O618</f>
        <v>437.5022318874</v>
      </c>
      <c r="P620" s="147">
        <f>F4A!P619+F4B!P618</f>
        <v>456.401171495223</v>
      </c>
      <c r="Q620" s="316">
        <f t="shared" si="101"/>
        <v>5286.21344431107</v>
      </c>
    </row>
    <row r="621" ht="15" hidden="1" spans="3:17">
      <c r="C621" s="55" t="s">
        <v>193</v>
      </c>
      <c r="D621" s="55" t="s">
        <v>194</v>
      </c>
      <c r="E621" s="147">
        <f>F4A!E620+F4B!E619</f>
        <v>0.01061208</v>
      </c>
      <c r="F621" s="147">
        <f>F4A!F620+F4B!F619</f>
        <v>0.024161583744</v>
      </c>
      <c r="G621" s="147">
        <f>F4A!G620+F4B!G619</f>
        <v>0.009024512832</v>
      </c>
      <c r="H621" s="147">
        <f>F4A!H620+F4B!H619</f>
        <v>0</v>
      </c>
      <c r="I621" s="147">
        <f>F4A!I620+F4B!I619</f>
        <v>0</v>
      </c>
      <c r="J621" s="147">
        <f>F4A!J620+F4B!J619</f>
        <v>0</v>
      </c>
      <c r="K621" s="147">
        <f>F4A!K620+F4B!K619</f>
        <v>0</v>
      </c>
      <c r="L621" s="147">
        <f>F4A!L620+F4B!L619</f>
        <v>0.068512649688</v>
      </c>
      <c r="M621" s="147">
        <f>F4A!M620+F4B!M619</f>
        <v>0.107845263</v>
      </c>
      <c r="N621" s="147">
        <f>F4A!N620+F4B!N619</f>
        <v>0.043258021704</v>
      </c>
      <c r="O621" s="147">
        <f>F4A!O620+F4B!O619</f>
        <v>0.015474535056</v>
      </c>
      <c r="P621" s="147">
        <f>F4A!P620+F4B!P619</f>
        <v>0</v>
      </c>
      <c r="Q621" s="316">
        <f t="shared" si="101"/>
        <v>0.278888646024</v>
      </c>
    </row>
    <row r="622" ht="15" hidden="1" spans="3:17">
      <c r="C622" s="55" t="s">
        <v>239</v>
      </c>
      <c r="D622" s="55" t="s">
        <v>196</v>
      </c>
      <c r="E622" s="147">
        <f>F4A!E621+F4B!E620</f>
        <v>279.793413668117</v>
      </c>
      <c r="F622" s="147">
        <f>F4A!F621+F4B!F620</f>
        <v>309.15769324976</v>
      </c>
      <c r="G622" s="147">
        <f>F4A!G621+F4B!G620</f>
        <v>309.946629038686</v>
      </c>
      <c r="H622" s="147">
        <f>F4A!H621+F4B!H620</f>
        <v>264.522767951265</v>
      </c>
      <c r="I622" s="147">
        <f>F4A!I621+F4B!I620</f>
        <v>285.430479773069</v>
      </c>
      <c r="J622" s="147">
        <f>F4A!J621+F4B!J620</f>
        <v>265.727775542848</v>
      </c>
      <c r="K622" s="147">
        <f>F4A!K621+F4B!K620</f>
        <v>277.35809446949</v>
      </c>
      <c r="L622" s="147">
        <f>F4A!L621+F4B!L620</f>
        <v>256.943208762417</v>
      </c>
      <c r="M622" s="147">
        <f>F4A!M621+F4B!M620</f>
        <v>237.646304924492</v>
      </c>
      <c r="N622" s="147">
        <f>F4A!N621+F4B!N620</f>
        <v>238.270568638271</v>
      </c>
      <c r="O622" s="147">
        <f>F4A!O621+F4B!O620</f>
        <v>261.132130392756</v>
      </c>
      <c r="P622" s="147">
        <f>F4A!P621+F4B!P620</f>
        <v>311.036527045902</v>
      </c>
      <c r="Q622" s="316">
        <f t="shared" si="101"/>
        <v>3296.96559345707</v>
      </c>
    </row>
    <row r="623" ht="15" hidden="1" spans="3:17">
      <c r="C623" s="55" t="s">
        <v>197</v>
      </c>
      <c r="D623" s="55" t="s">
        <v>198</v>
      </c>
      <c r="E623" s="147">
        <f>F4A!E622+F4B!E621</f>
        <v>0</v>
      </c>
      <c r="F623" s="147">
        <f>F4A!F622+F4B!F621</f>
        <v>0.050119792632</v>
      </c>
      <c r="G623" s="147">
        <f>F4A!G622+F4B!G621</f>
        <v>0.038910252528</v>
      </c>
      <c r="H623" s="147">
        <f>F4A!H622+F4B!H621</f>
        <v>0.029115302688</v>
      </c>
      <c r="I623" s="147">
        <f>F4A!I622+F4B!I621</f>
        <v>0.026456976648</v>
      </c>
      <c r="J623" s="147">
        <f>F4A!J622+F4B!J621</f>
        <v>0.031779995976</v>
      </c>
      <c r="K623" s="147">
        <f>F4A!K622+F4B!K621</f>
        <v>0.027015172056</v>
      </c>
      <c r="L623" s="147">
        <f>F4A!L622+F4B!L621</f>
        <v>0.027561694176</v>
      </c>
      <c r="M623" s="147">
        <f>F4A!M622+F4B!M621</f>
        <v>0.030043859688</v>
      </c>
      <c r="N623" s="147">
        <f>F4A!N622+F4B!N621</f>
        <v>0.030089491632</v>
      </c>
      <c r="O623" s="147">
        <f>F4A!O622+F4B!O621</f>
        <v>0.031368247272</v>
      </c>
      <c r="P623" s="147">
        <f>F4A!P622+F4B!P621</f>
        <v>0.035494223976</v>
      </c>
      <c r="Q623" s="316">
        <f t="shared" ref="Q623" si="102">SUM(E623:P623)</f>
        <v>0.357955009272</v>
      </c>
    </row>
    <row r="624" ht="15" hidden="1" spans="3:17">
      <c r="C624" s="55" t="s">
        <v>199</v>
      </c>
      <c r="D624" s="55" t="s">
        <v>200</v>
      </c>
      <c r="E624" s="147">
        <f>F4A!E623+F4B!E622</f>
        <v>0.452776127411213</v>
      </c>
      <c r="F624" s="147">
        <f>F4A!F623+F4B!F622</f>
        <v>0.520235523686336</v>
      </c>
      <c r="G624" s="147">
        <f>F4A!G623+F4B!G622</f>
        <v>0.528010669956303</v>
      </c>
      <c r="H624" s="147">
        <f>F4A!H623+F4B!H622</f>
        <v>0.475538820865797</v>
      </c>
      <c r="I624" s="147">
        <f>F4A!I623+F4B!I622</f>
        <v>0.471053479194101</v>
      </c>
      <c r="J624" s="147">
        <f>F4A!J623+F4B!J622</f>
        <v>0.469792644663837</v>
      </c>
      <c r="K624" s="147">
        <f>F4A!K623+F4B!K622</f>
        <v>0.477006232804975</v>
      </c>
      <c r="L624" s="147">
        <f>F4A!L623+F4B!L622</f>
        <v>0.445186188473375</v>
      </c>
      <c r="M624" s="147">
        <f>F4A!M623+F4B!M622</f>
        <v>0.417672214613781</v>
      </c>
      <c r="N624" s="147">
        <f>F4A!N623+F4B!N622</f>
        <v>0.439416267741655</v>
      </c>
      <c r="O624" s="147">
        <f>F4A!O623+F4B!O622</f>
        <v>0.461096210639175</v>
      </c>
      <c r="P624" s="147">
        <f>F4A!P623+F4B!P622</f>
        <v>0.564795695460754</v>
      </c>
      <c r="Q624" s="316">
        <f t="shared" si="101"/>
        <v>5.7225800755113</v>
      </c>
    </row>
    <row r="625" ht="15" hidden="1" spans="3:17">
      <c r="C625" s="55" t="s">
        <v>201</v>
      </c>
      <c r="D625" s="55" t="s">
        <v>202</v>
      </c>
      <c r="E625" s="147">
        <f>F4A!E624+F4B!E623</f>
        <v>2.195244</v>
      </c>
      <c r="F625" s="147">
        <f>F4A!F624+F4B!F623</f>
        <v>0.4006070604</v>
      </c>
      <c r="G625" s="147">
        <f>F4A!G624+F4B!G623</f>
        <v>0.6540547428</v>
      </c>
      <c r="H625" s="147">
        <f>F4A!H624+F4B!H623</f>
        <v>1.085827110048</v>
      </c>
      <c r="I625" s="147">
        <f>F4A!I624+F4B!I623</f>
        <v>1.881551248128</v>
      </c>
      <c r="J625" s="147">
        <f>F4A!J624+F4B!J623</f>
        <v>1.7589907548</v>
      </c>
      <c r="K625" s="147">
        <f>F4A!K624+F4B!K623</f>
        <v>3.4407557388</v>
      </c>
      <c r="L625" s="147">
        <f>F4A!L624+F4B!L623</f>
        <v>1.462102554132</v>
      </c>
      <c r="M625" s="147">
        <f>F4A!M624+F4B!M623</f>
        <v>1.2883939056</v>
      </c>
      <c r="N625" s="147">
        <f>F4A!N624+F4B!N623</f>
        <v>1.6125643386</v>
      </c>
      <c r="O625" s="147">
        <f>F4A!O624+F4B!O623</f>
        <v>1.8772956792</v>
      </c>
      <c r="P625" s="147">
        <f>F4A!P624+F4B!P623</f>
        <v>0.891607194</v>
      </c>
      <c r="Q625" s="316">
        <f t="shared" si="101"/>
        <v>18.548994326508</v>
      </c>
    </row>
    <row r="626" ht="15" hidden="1" spans="3:17">
      <c r="C626" s="55" t="s">
        <v>203</v>
      </c>
      <c r="D626" s="55" t="s">
        <v>204</v>
      </c>
      <c r="E626" s="147">
        <f>F4A!E625+F4B!E624</f>
        <v>15.1078632499737</v>
      </c>
      <c r="F626" s="147">
        <f>F4A!F625+F4B!F624</f>
        <v>14.4682952324377</v>
      </c>
      <c r="G626" s="147">
        <f>F4A!G625+F4B!G624</f>
        <v>14.4109508375614</v>
      </c>
      <c r="H626" s="147">
        <f>F4A!H625+F4B!H624</f>
        <v>14.2418100702889</v>
      </c>
      <c r="I626" s="147">
        <f>F4A!I625+F4B!I624</f>
        <v>14.3406019462906</v>
      </c>
      <c r="J626" s="147">
        <f>F4A!J625+F4B!J624</f>
        <v>13.7252715482896</v>
      </c>
      <c r="K626" s="147">
        <f>F4A!K625+F4B!K624</f>
        <v>14.6690523132063</v>
      </c>
      <c r="L626" s="147">
        <f>F4A!L625+F4B!L624</f>
        <v>14.7113353607918</v>
      </c>
      <c r="M626" s="147">
        <f>F4A!M625+F4B!M624</f>
        <v>14.906725423952</v>
      </c>
      <c r="N626" s="147">
        <f>F4A!N625+F4B!N624</f>
        <v>15.1393119949093</v>
      </c>
      <c r="O626" s="147">
        <f>F4A!O625+F4B!O624</f>
        <v>14.2138277331158</v>
      </c>
      <c r="P626" s="147">
        <f>F4A!P625+F4B!P624</f>
        <v>15.5161702591189</v>
      </c>
      <c r="Q626" s="316">
        <f t="shared" si="101"/>
        <v>175.451215969936</v>
      </c>
    </row>
    <row r="627" ht="15" hidden="1" spans="3:17">
      <c r="C627" s="55" t="s">
        <v>205</v>
      </c>
      <c r="D627" s="55" t="s">
        <v>206</v>
      </c>
      <c r="E627" s="147">
        <f>F4A!E626+F4B!E625</f>
        <v>31.3646704935132</v>
      </c>
      <c r="F627" s="147">
        <f>F4A!F626+F4B!F625</f>
        <v>35.9870291070812</v>
      </c>
      <c r="G627" s="147">
        <f>F4A!G626+F4B!G625</f>
        <v>36.0126559829571</v>
      </c>
      <c r="H627" s="147">
        <f>F4A!H626+F4B!H625</f>
        <v>27.6941326252878</v>
      </c>
      <c r="I627" s="147">
        <f>F4A!I626+F4B!I625</f>
        <v>28.8624825098494</v>
      </c>
      <c r="J627" s="147">
        <f>F4A!J626+F4B!J625</f>
        <v>27.4073447487501</v>
      </c>
      <c r="K627" s="147">
        <f>F4A!K626+F4B!K625</f>
        <v>27.6698735077231</v>
      </c>
      <c r="L627" s="147">
        <f>F4A!L626+F4B!L625</f>
        <v>26.163334823431</v>
      </c>
      <c r="M627" s="147">
        <f>F4A!M626+F4B!M625</f>
        <v>25.140123674357</v>
      </c>
      <c r="N627" s="147">
        <f>F4A!N626+F4B!N625</f>
        <v>25.7564879516223</v>
      </c>
      <c r="O627" s="147">
        <f>F4A!O626+F4B!O625</f>
        <v>27.1578742661531</v>
      </c>
      <c r="P627" s="147">
        <f>F4A!P626+F4B!P625</f>
        <v>37.3135202422959</v>
      </c>
      <c r="Q627" s="316">
        <f t="shared" si="101"/>
        <v>356.529529933021</v>
      </c>
    </row>
    <row r="628" ht="15" hidden="1" spans="3:17">
      <c r="C628" s="55" t="s">
        <v>207</v>
      </c>
      <c r="D628" s="55" t="s">
        <v>186</v>
      </c>
      <c r="E628" s="147">
        <f>F4A!E627+F4B!E626</f>
        <v>24.7644260246083</v>
      </c>
      <c r="F628" s="147">
        <f>F4A!F627+F4B!F626</f>
        <v>27.0526391344216</v>
      </c>
      <c r="G628" s="147">
        <f>F4A!G627+F4B!G626</f>
        <v>26.8752280318226</v>
      </c>
      <c r="H628" s="147">
        <f>F4A!H627+F4B!H626</f>
        <v>25.3061007337276</v>
      </c>
      <c r="I628" s="147">
        <f>F4A!I627+F4B!I626</f>
        <v>28.6139095032132</v>
      </c>
      <c r="J628" s="147">
        <f>F4A!J627+F4B!J626</f>
        <v>27.8524795553715</v>
      </c>
      <c r="K628" s="147">
        <f>F4A!K627+F4B!K626</f>
        <v>28.9682703717023</v>
      </c>
      <c r="L628" s="147">
        <f>F4A!L627+F4B!L626</f>
        <v>27.8291807790504</v>
      </c>
      <c r="M628" s="147">
        <f>F4A!M627+F4B!M626</f>
        <v>28.8090470252804</v>
      </c>
      <c r="N628" s="147">
        <f>F4A!N627+F4B!N626</f>
        <v>27.9053073285951</v>
      </c>
      <c r="O628" s="147">
        <f>F4A!O627+F4B!O626</f>
        <v>28.2522561069057</v>
      </c>
      <c r="P628" s="147">
        <f>F4A!P627+F4B!P626</f>
        <v>31.6766185572268</v>
      </c>
      <c r="Q628" s="316">
        <f t="shared" si="101"/>
        <v>333.905463151925</v>
      </c>
    </row>
    <row r="629" ht="15" hidden="1" spans="3:17">
      <c r="C629" s="55" t="s">
        <v>208</v>
      </c>
      <c r="D629" s="55" t="s">
        <v>209</v>
      </c>
      <c r="E629" s="147">
        <f>F4A!E628+F4B!E627</f>
        <v>0</v>
      </c>
      <c r="F629" s="147">
        <f>F4A!F628+F4B!F627</f>
        <v>0</v>
      </c>
      <c r="G629" s="147">
        <f>F4A!G628+F4B!G627</f>
        <v>0</v>
      </c>
      <c r="H629" s="147">
        <f>F4A!H628+F4B!H627</f>
        <v>0</v>
      </c>
      <c r="I629" s="147">
        <f>F4A!I628+F4B!I627</f>
        <v>0</v>
      </c>
      <c r="J629" s="147">
        <f>F4A!J628+F4B!J627</f>
        <v>0</v>
      </c>
      <c r="K629" s="147">
        <f>F4A!K628+F4B!K627</f>
        <v>0</v>
      </c>
      <c r="L629" s="147">
        <f>F4A!L628+F4B!L627</f>
        <v>0</v>
      </c>
      <c r="M629" s="147">
        <f>F4A!M628+F4B!M627</f>
        <v>0</v>
      </c>
      <c r="N629" s="147">
        <f>F4A!N628+F4B!N627</f>
        <v>0</v>
      </c>
      <c r="O629" s="147">
        <f>F4A!O628+F4B!O627</f>
        <v>0</v>
      </c>
      <c r="P629" s="147">
        <f>F4A!P628+F4B!P627</f>
        <v>0</v>
      </c>
      <c r="Q629" s="316">
        <f t="shared" si="101"/>
        <v>0</v>
      </c>
    </row>
    <row r="630" ht="15" hidden="1" spans="3:17">
      <c r="C630" s="55" t="s">
        <v>210</v>
      </c>
      <c r="D630" s="55" t="s">
        <v>188</v>
      </c>
      <c r="E630" s="147">
        <f>F4A!E629+F4B!E628</f>
        <v>0.799387952</v>
      </c>
      <c r="F630" s="147">
        <f>F4A!F629+F4B!F628</f>
        <v>0.990218746</v>
      </c>
      <c r="G630" s="147">
        <f>F4A!G629+F4B!G628</f>
        <v>1.070318326</v>
      </c>
      <c r="H630" s="147">
        <f>F4A!H629+F4B!H628</f>
        <v>1.005195158</v>
      </c>
      <c r="I630" s="147">
        <f>F4A!I629+F4B!I628</f>
        <v>1.063861645</v>
      </c>
      <c r="J630" s="147">
        <f>F4A!J629+F4B!J628</f>
        <v>1.235012273</v>
      </c>
      <c r="K630" s="147">
        <f>F4A!K629+F4B!K628</f>
        <v>1.494292404</v>
      </c>
      <c r="L630" s="147">
        <f>F4A!L629+F4B!L628</f>
        <v>1.478050211</v>
      </c>
      <c r="M630" s="147">
        <f>F4A!M629+F4B!M628</f>
        <v>1.530160192</v>
      </c>
      <c r="N630" s="147">
        <f>F4A!N629+F4B!N628</f>
        <v>1.630274019</v>
      </c>
      <c r="O630" s="147">
        <f>F4A!O629+F4B!O628</f>
        <v>1.702141364</v>
      </c>
      <c r="P630" s="147">
        <f>F4A!P629+F4B!P628</f>
        <v>2.001982389</v>
      </c>
      <c r="Q630" s="316">
        <f t="shared" si="101"/>
        <v>16.000894679</v>
      </c>
    </row>
    <row r="631" ht="15" hidden="1" spans="3:17">
      <c r="C631" s="55"/>
      <c r="D631" s="55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316"/>
    </row>
    <row r="632" ht="15" hidden="1" spans="3:17">
      <c r="C632" s="55"/>
      <c r="D632" s="55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316"/>
    </row>
    <row r="633" ht="15" hidden="1" spans="3:17">
      <c r="C633" s="55"/>
      <c r="D633" s="55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316"/>
    </row>
    <row r="634" ht="15" hidden="1" spans="3:17">
      <c r="C634" s="55" t="s">
        <v>258</v>
      </c>
      <c r="D634" s="55" t="s">
        <v>258</v>
      </c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316"/>
    </row>
    <row r="635" ht="15" hidden="1" spans="3:17">
      <c r="C635" s="537" t="s">
        <v>211</v>
      </c>
      <c r="D635" s="540"/>
      <c r="E635" s="316">
        <f t="shared" ref="E635:P635" si="103">SUM(E620:E634)</f>
        <v>796.075684364587</v>
      </c>
      <c r="F635" s="316">
        <f t="shared" si="103"/>
        <v>843.882289976882</v>
      </c>
      <c r="G635" s="316">
        <f t="shared" si="103"/>
        <v>831.781934973785</v>
      </c>
      <c r="H635" s="316">
        <f t="shared" si="103"/>
        <v>761.904924711557</v>
      </c>
      <c r="I635" s="316">
        <f t="shared" si="103"/>
        <v>805.95484997383</v>
      </c>
      <c r="J635" s="316">
        <f t="shared" si="103"/>
        <v>756.940241891133</v>
      </c>
      <c r="K635" s="316">
        <f t="shared" si="103"/>
        <v>781.731373847768</v>
      </c>
      <c r="L635" s="316">
        <f t="shared" si="103"/>
        <v>762.854773274849</v>
      </c>
      <c r="M635" s="316">
        <f t="shared" si="103"/>
        <v>766.493546667944</v>
      </c>
      <c r="N635" s="316">
        <f t="shared" si="103"/>
        <v>754.571356352306</v>
      </c>
      <c r="O635" s="316">
        <f t="shared" si="103"/>
        <v>772.345696422498</v>
      </c>
      <c r="P635" s="316">
        <f t="shared" si="103"/>
        <v>855.437887102203</v>
      </c>
      <c r="Q635" s="316">
        <f>SUM(E635:P635)</f>
        <v>9489.97455955934</v>
      </c>
    </row>
    <row r="636" ht="15" hidden="1" spans="3:17">
      <c r="C636" s="44" t="s">
        <v>212</v>
      </c>
      <c r="D636" s="45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316">
        <f t="shared" ref="Q636:Q647" si="104">SUM(E636:P636)</f>
        <v>0</v>
      </c>
    </row>
    <row r="637" ht="15" hidden="1" spans="3:17">
      <c r="C637" s="55" t="s">
        <v>191</v>
      </c>
      <c r="D637" s="55" t="s">
        <v>192</v>
      </c>
      <c r="E637" s="147">
        <f>F4A!E636+F4B!E635</f>
        <v>690.583100550679</v>
      </c>
      <c r="F637" s="147">
        <f>F4A!F636+F4B!F635</f>
        <v>736.648159343549</v>
      </c>
      <c r="G637" s="147">
        <f>F4A!G636+F4B!G635</f>
        <v>718.094581151208</v>
      </c>
      <c r="H637" s="147">
        <f>F4A!H636+F4B!H635</f>
        <v>717.572041976097</v>
      </c>
      <c r="I637" s="147">
        <f>F4A!I636+F4B!I635</f>
        <v>735.374392129313</v>
      </c>
      <c r="J637" s="147">
        <f>F4A!J636+F4B!J635</f>
        <v>716.682337407633</v>
      </c>
      <c r="K637" s="147">
        <f>F4A!K636+F4B!K635</f>
        <v>733.4768741528</v>
      </c>
      <c r="L637" s="147">
        <f>F4A!L636+F4B!L635</f>
        <v>736.232871251056</v>
      </c>
      <c r="M637" s="147">
        <f>F4A!M636+F4B!M635</f>
        <v>751.065078324265</v>
      </c>
      <c r="N637" s="147">
        <f>F4A!N636+F4B!N635</f>
        <v>747.717619765383</v>
      </c>
      <c r="O637" s="147">
        <f>F4A!O636+F4B!O635</f>
        <v>727.981075579009</v>
      </c>
      <c r="P637" s="147">
        <f>F4A!P636+F4B!P635</f>
        <v>813.251409292149</v>
      </c>
      <c r="Q637" s="316">
        <f t="shared" si="104"/>
        <v>8824.67954092314</v>
      </c>
    </row>
    <row r="638" ht="15" hidden="1" spans="3:17">
      <c r="C638" s="55" t="s">
        <v>193</v>
      </c>
      <c r="D638" s="55" t="s">
        <v>194</v>
      </c>
      <c r="E638" s="147">
        <f>F4A!E637+F4B!E636</f>
        <v>0</v>
      </c>
      <c r="F638" s="147">
        <f>F4A!F637+F4B!F636</f>
        <v>0</v>
      </c>
      <c r="G638" s="147">
        <f>F4A!G637+F4B!G636</f>
        <v>0</v>
      </c>
      <c r="H638" s="147">
        <f>F4A!H637+F4B!H636</f>
        <v>0</v>
      </c>
      <c r="I638" s="147">
        <f>F4A!I637+F4B!I636</f>
        <v>0</v>
      </c>
      <c r="J638" s="147">
        <f>F4A!J637+F4B!J636</f>
        <v>0</v>
      </c>
      <c r="K638" s="147">
        <f>F4A!K637+F4B!K636</f>
        <v>0</v>
      </c>
      <c r="L638" s="147">
        <f>F4A!L637+F4B!L636</f>
        <v>0</v>
      </c>
      <c r="M638" s="147">
        <f>F4A!M637+F4B!M636</f>
        <v>0</v>
      </c>
      <c r="N638" s="147">
        <f>F4A!N637+F4B!N636</f>
        <v>0</v>
      </c>
      <c r="O638" s="147">
        <f>F4A!O637+F4B!O636</f>
        <v>0</v>
      </c>
      <c r="P638" s="147">
        <f>F4A!P637+F4B!P636</f>
        <v>0</v>
      </c>
      <c r="Q638" s="316">
        <f t="shared" si="104"/>
        <v>0</v>
      </c>
    </row>
    <row r="639" ht="15" hidden="1" spans="3:17">
      <c r="C639" s="55" t="s">
        <v>239</v>
      </c>
      <c r="D639" s="55" t="s">
        <v>196</v>
      </c>
      <c r="E639" s="147">
        <f>F4A!E638+F4B!E637</f>
        <v>231.320118513961</v>
      </c>
      <c r="F639" s="147">
        <f>F4A!F638+F4B!F637</f>
        <v>250.12063879428</v>
      </c>
      <c r="G639" s="147">
        <f>F4A!G638+F4B!G637</f>
        <v>251.56979130811</v>
      </c>
      <c r="H639" s="147">
        <f>F4A!H638+F4B!H637</f>
        <v>233.445181346415</v>
      </c>
      <c r="I639" s="147">
        <f>F4A!I638+F4B!I637</f>
        <v>234.55860836312</v>
      </c>
      <c r="J639" s="147">
        <f>F4A!J638+F4B!J637</f>
        <v>219.885443944965</v>
      </c>
      <c r="K639" s="147">
        <f>F4A!K638+F4B!K637</f>
        <v>215.855493603159</v>
      </c>
      <c r="L639" s="147">
        <f>F4A!L638+F4B!L637</f>
        <v>215.855493603159</v>
      </c>
      <c r="M639" s="147">
        <f>F4A!M638+F4B!M637</f>
        <v>202.128149568754</v>
      </c>
      <c r="N639" s="147">
        <f>F4A!N638+F4B!N637</f>
        <v>204.106276597198</v>
      </c>
      <c r="O639" s="147">
        <f>F4A!O638+F4B!O637</f>
        <v>208.625118706989</v>
      </c>
      <c r="P639" s="147">
        <f>F4A!P638+F4B!P637</f>
        <v>245.111646005241</v>
      </c>
      <c r="Q639" s="316">
        <f t="shared" si="104"/>
        <v>2712.58196035535</v>
      </c>
    </row>
    <row r="640" ht="15" hidden="1" spans="3:17">
      <c r="C640" s="55" t="s">
        <v>197</v>
      </c>
      <c r="D640" s="55" t="s">
        <v>198</v>
      </c>
      <c r="E640" s="147">
        <f>F4A!E639+F4B!E638</f>
        <v>0</v>
      </c>
      <c r="F640" s="147">
        <f>F4A!F639+F4B!F638</f>
        <v>0.4530296952</v>
      </c>
      <c r="G640" s="147">
        <f>F4A!G639+F4B!G638</f>
        <v>0.4392870516</v>
      </c>
      <c r="H640" s="147">
        <f>F4A!H639+F4B!H638</f>
        <v>0.3686105988</v>
      </c>
      <c r="I640" s="147">
        <f>F4A!I639+F4B!I638</f>
        <v>0.3911082084</v>
      </c>
      <c r="J640" s="147">
        <f>F4A!J639+F4B!J638</f>
        <v>0.35596099944</v>
      </c>
      <c r="K640" s="147">
        <f>F4A!K639+F4B!K638</f>
        <v>0.36905630616</v>
      </c>
      <c r="L640" s="147">
        <f>F4A!L639+F4B!L638</f>
        <v>0.3113584272</v>
      </c>
      <c r="M640" s="147">
        <f>F4A!M639+F4B!M638</f>
        <v>0.3234561984</v>
      </c>
      <c r="N640" s="147">
        <f>F4A!N639+F4B!N638</f>
        <v>0.2841915024</v>
      </c>
      <c r="O640" s="147">
        <f>F4A!O639+F4B!O638</f>
        <v>0.3200603328</v>
      </c>
      <c r="P640" s="147">
        <f>F4A!P639+F4B!P638</f>
        <v>0.4376421792</v>
      </c>
      <c r="Q640" s="316">
        <f t="shared" ref="Q640" si="105">SUM(E640:P640)</f>
        <v>4.0537614996</v>
      </c>
    </row>
    <row r="641" ht="15" hidden="1" spans="3:17">
      <c r="C641" s="55" t="s">
        <v>199</v>
      </c>
      <c r="D641" s="55" t="s">
        <v>200</v>
      </c>
      <c r="E641" s="147">
        <f>F4A!E640+F4B!E639</f>
        <v>0</v>
      </c>
      <c r="F641" s="147">
        <f>F4A!F640+F4B!F639</f>
        <v>0</v>
      </c>
      <c r="G641" s="147">
        <f>F4A!G640+F4B!G639</f>
        <v>0</v>
      </c>
      <c r="H641" s="147">
        <f>F4A!H640+F4B!H639</f>
        <v>0</v>
      </c>
      <c r="I641" s="147">
        <f>F4A!I640+F4B!I639</f>
        <v>0</v>
      </c>
      <c r="J641" s="147">
        <f>F4A!J640+F4B!J639</f>
        <v>0</v>
      </c>
      <c r="K641" s="147">
        <f>F4A!K640+F4B!K639</f>
        <v>0</v>
      </c>
      <c r="L641" s="147">
        <f>F4A!L640+F4B!L639</f>
        <v>0</v>
      </c>
      <c r="M641" s="147">
        <f>F4A!M640+F4B!M639</f>
        <v>0</v>
      </c>
      <c r="N641" s="147">
        <f>F4A!N640+F4B!N639</f>
        <v>0</v>
      </c>
      <c r="O641" s="147">
        <f>F4A!O640+F4B!O639</f>
        <v>0</v>
      </c>
      <c r="P641" s="147">
        <f>F4A!P640+F4B!P639</f>
        <v>0</v>
      </c>
      <c r="Q641" s="316">
        <f t="shared" si="104"/>
        <v>0</v>
      </c>
    </row>
    <row r="642" ht="15" hidden="1" spans="3:17">
      <c r="C642" s="55" t="s">
        <v>201</v>
      </c>
      <c r="D642" s="55" t="s">
        <v>202</v>
      </c>
      <c r="E642" s="147">
        <f>F4A!E641+F4B!E640</f>
        <v>2.01142254913661</v>
      </c>
      <c r="F642" s="147">
        <f>F4A!F641+F4B!F640</f>
        <v>3.21803943703238</v>
      </c>
      <c r="G642" s="147">
        <f>F4A!G641+F4B!G640</f>
        <v>3.02304212997468</v>
      </c>
      <c r="H642" s="147">
        <f>F4A!H641+F4B!H640</f>
        <v>3.42309787819606</v>
      </c>
      <c r="I642" s="147">
        <f>F4A!I641+F4B!I640</f>
        <v>5.79246015991905</v>
      </c>
      <c r="J642" s="147">
        <f>F4A!J641+F4B!J640</f>
        <v>5.4592363263355</v>
      </c>
      <c r="K642" s="147">
        <f>F4A!K641+F4B!K640</f>
        <v>7.24772084779575</v>
      </c>
      <c r="L642" s="147">
        <f>F4A!L641+F4B!L640</f>
        <v>7.07616343118786</v>
      </c>
      <c r="M642" s="147">
        <f>F4A!M641+F4B!M640</f>
        <v>5.81249736089413</v>
      </c>
      <c r="N642" s="147">
        <f>F4A!N641+F4B!N640</f>
        <v>7.30859032246762</v>
      </c>
      <c r="O642" s="147">
        <f>F4A!O641+F4B!O640</f>
        <v>7.49597024513302</v>
      </c>
      <c r="P642" s="147">
        <f>F4A!P641+F4B!P640</f>
        <v>9.29318575845004</v>
      </c>
      <c r="Q642" s="316">
        <f t="shared" si="104"/>
        <v>67.1614264465227</v>
      </c>
    </row>
    <row r="643" ht="15" hidden="1" spans="3:17">
      <c r="C643" s="55" t="s">
        <v>203</v>
      </c>
      <c r="D643" s="55" t="s">
        <v>204</v>
      </c>
      <c r="E643" s="147">
        <f>F4A!E642+F4B!E641</f>
        <v>24.9810146351628</v>
      </c>
      <c r="F643" s="147">
        <f>F4A!F642+F4B!F641</f>
        <v>25.9006519527984</v>
      </c>
      <c r="G643" s="147">
        <f>F4A!G642+F4B!G641</f>
        <v>24.570683844775</v>
      </c>
      <c r="H643" s="147">
        <f>F4A!H642+F4B!H641</f>
        <v>24.7311951272336</v>
      </c>
      <c r="I643" s="147">
        <f>F4A!I642+F4B!I641</f>
        <v>26.822033093691</v>
      </c>
      <c r="J643" s="147">
        <f>F4A!J642+F4B!J641</f>
        <v>25.1982399448813</v>
      </c>
      <c r="K643" s="147">
        <f>F4A!K642+F4B!K641</f>
        <v>24.8165017372302</v>
      </c>
      <c r="L643" s="147">
        <f>F4A!L642+F4B!L641</f>
        <v>26.2993694921624</v>
      </c>
      <c r="M643" s="147">
        <f>F4A!M642+F4B!M641</f>
        <v>25.5366334369095</v>
      </c>
      <c r="N643" s="147">
        <f>F4A!N642+F4B!N641</f>
        <v>26.9663849473015</v>
      </c>
      <c r="O643" s="147">
        <f>F4A!O642+F4B!O641</f>
        <v>25.9350817544374</v>
      </c>
      <c r="P643" s="147">
        <f>F4A!P642+F4B!P641</f>
        <v>28.6779015839552</v>
      </c>
      <c r="Q643" s="316">
        <f t="shared" si="104"/>
        <v>310.435691550538</v>
      </c>
    </row>
    <row r="644" ht="15" hidden="1" spans="3:17">
      <c r="C644" s="55" t="s">
        <v>205</v>
      </c>
      <c r="D644" s="55" t="s">
        <v>206</v>
      </c>
      <c r="E644" s="147">
        <f>F4A!E643+F4B!E642</f>
        <v>1.028943405</v>
      </c>
      <c r="F644" s="147">
        <f>F4A!F643+F4B!F642</f>
        <v>1.811260591875</v>
      </c>
      <c r="G644" s="147">
        <f>F4A!G643+F4B!G642</f>
        <v>1.70438286375</v>
      </c>
      <c r="H644" s="147">
        <f>F4A!H643+F4B!H642</f>
        <v>2.009075551875</v>
      </c>
      <c r="I644" s="147">
        <f>F4A!I643+F4B!I642</f>
        <v>2.1125498625</v>
      </c>
      <c r="J644" s="147">
        <f>F4A!J643+F4B!J642</f>
        <v>1.9437681375</v>
      </c>
      <c r="K644" s="147">
        <f>F4A!K643+F4B!K642</f>
        <v>0</v>
      </c>
      <c r="L644" s="147">
        <f>F4A!L643+F4B!L642</f>
        <v>0</v>
      </c>
      <c r="M644" s="147">
        <f>F4A!M643+F4B!M642</f>
        <v>0</v>
      </c>
      <c r="N644" s="147">
        <f>F4A!N643+F4B!N642</f>
        <v>0</v>
      </c>
      <c r="O644" s="147">
        <f>F4A!O643+F4B!O642</f>
        <v>0</v>
      </c>
      <c r="P644" s="147">
        <f>F4A!P643+F4B!P642</f>
        <v>0</v>
      </c>
      <c r="Q644" s="316">
        <f t="shared" si="104"/>
        <v>10.6099804125</v>
      </c>
    </row>
    <row r="645" ht="15" hidden="1" spans="3:17">
      <c r="C645" s="55" t="s">
        <v>231</v>
      </c>
      <c r="D645" s="55" t="s">
        <v>186</v>
      </c>
      <c r="E645" s="147">
        <f>F4A!E644+F4B!E643</f>
        <v>20.3157064205419</v>
      </c>
      <c r="F645" s="147">
        <f>F4A!F644+F4B!F643</f>
        <v>22.426249628716</v>
      </c>
      <c r="G645" s="147">
        <f>F4A!G644+F4B!G643</f>
        <v>23.1315370340467</v>
      </c>
      <c r="H645" s="147">
        <f>F4A!H644+F4B!H643</f>
        <v>16.9959971539696</v>
      </c>
      <c r="I645" s="147">
        <f>F4A!I644+F4B!I643</f>
        <v>17.5116278425357</v>
      </c>
      <c r="J645" s="147">
        <f>F4A!J644+F4B!J643</f>
        <v>15.9947682267159</v>
      </c>
      <c r="K645" s="147">
        <f>F4A!K644+F4B!K643</f>
        <v>17.0240129259513</v>
      </c>
      <c r="L645" s="147">
        <f>F4A!L644+F4B!L643</f>
        <v>15.7799085983933</v>
      </c>
      <c r="M645" s="147">
        <f>F4A!M644+F4B!M643</f>
        <v>15.2835881171758</v>
      </c>
      <c r="N645" s="147">
        <f>F4A!N644+F4B!N643</f>
        <v>15.308249116076</v>
      </c>
      <c r="O645" s="147">
        <f>F4A!O644+F4B!O643</f>
        <v>17.1989124552053</v>
      </c>
      <c r="P645" s="147">
        <f>F4A!P644+F4B!P643</f>
        <v>22.3877658840731</v>
      </c>
      <c r="Q645" s="316">
        <f t="shared" si="104"/>
        <v>219.358323403401</v>
      </c>
    </row>
    <row r="646" ht="15" hidden="1" spans="3:17">
      <c r="C646" s="55" t="s">
        <v>208</v>
      </c>
      <c r="D646" s="55" t="s">
        <v>209</v>
      </c>
      <c r="E646" s="147">
        <f>F4A!E645+F4B!E644</f>
        <v>4.83490069063898</v>
      </c>
      <c r="F646" s="147">
        <f>F4A!F645+F4B!F644</f>
        <v>4.82440619636114</v>
      </c>
      <c r="G646" s="147">
        <f>F4A!G645+F4B!G644</f>
        <v>4.74779039888444</v>
      </c>
      <c r="H646" s="147">
        <f>F4A!H645+F4B!H644</f>
        <v>5.1064665260797</v>
      </c>
      <c r="I646" s="147">
        <f>F4A!I645+F4B!I644</f>
        <v>5.46236763481341</v>
      </c>
      <c r="J646" s="147">
        <f>F4A!J645+F4B!J644</f>
        <v>5.44370779844368</v>
      </c>
      <c r="K646" s="147">
        <f>F4A!K645+F4B!K644</f>
        <v>6.05491726036018</v>
      </c>
      <c r="L646" s="147">
        <f>F4A!L645+F4B!L644</f>
        <v>3.4250914913655</v>
      </c>
      <c r="M646" s="147">
        <f>F4A!M645+F4B!M644</f>
        <v>3.30344719288591</v>
      </c>
      <c r="N646" s="147">
        <f>F4A!N645+F4B!N644</f>
        <v>3.26719893015199</v>
      </c>
      <c r="O646" s="147">
        <f>F4A!O645+F4B!O644</f>
        <v>3.48878781440275</v>
      </c>
      <c r="P646" s="147">
        <f>F4A!P645+F4B!P644</f>
        <v>3.56142408900174</v>
      </c>
      <c r="Q646" s="316">
        <f t="shared" si="104"/>
        <v>53.5205060233894</v>
      </c>
    </row>
    <row r="647" ht="15" hidden="1" spans="3:17">
      <c r="C647" s="55" t="s">
        <v>210</v>
      </c>
      <c r="D647" s="55" t="s">
        <v>188</v>
      </c>
      <c r="E647" s="147">
        <f>F4A!E646+F4B!E645</f>
        <v>0</v>
      </c>
      <c r="F647" s="147">
        <f>F4A!F646+F4B!F645</f>
        <v>0</v>
      </c>
      <c r="G647" s="147">
        <f>F4A!G646+F4B!G645</f>
        <v>0</v>
      </c>
      <c r="H647" s="147">
        <f>F4A!H646+F4B!H645</f>
        <v>0</v>
      </c>
      <c r="I647" s="147">
        <f>F4A!I646+F4B!I645</f>
        <v>0</v>
      </c>
      <c r="J647" s="147">
        <f>F4A!J646+F4B!J645</f>
        <v>0</v>
      </c>
      <c r="K647" s="147">
        <f>F4A!K646+F4B!K645</f>
        <v>0</v>
      </c>
      <c r="L647" s="147">
        <f>F4A!L646+F4B!L645</f>
        <v>0</v>
      </c>
      <c r="M647" s="147">
        <f>F4A!M646+F4B!M645</f>
        <v>0</v>
      </c>
      <c r="N647" s="147">
        <f>F4A!N646+F4B!N645</f>
        <v>0</v>
      </c>
      <c r="O647" s="147">
        <f>F4A!O646+F4B!O645</f>
        <v>0</v>
      </c>
      <c r="P647" s="147">
        <f>F4A!P646+F4B!P645</f>
        <v>0</v>
      </c>
      <c r="Q647" s="316">
        <f t="shared" si="104"/>
        <v>0</v>
      </c>
    </row>
    <row r="648" ht="15" hidden="1" spans="3:17">
      <c r="C648" s="55"/>
      <c r="D648" s="55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316"/>
    </row>
    <row r="649" ht="15" hidden="1" spans="3:17">
      <c r="C649" s="55"/>
      <c r="D649" s="55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316"/>
    </row>
    <row r="650" ht="15" hidden="1" spans="3:17">
      <c r="C650" s="55"/>
      <c r="D650" s="55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316"/>
    </row>
    <row r="651" ht="15" hidden="1" spans="3:17">
      <c r="C651" s="55" t="s">
        <v>258</v>
      </c>
      <c r="D651" s="55" t="s">
        <v>258</v>
      </c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316"/>
    </row>
    <row r="652" ht="15" hidden="1" spans="3:17">
      <c r="C652" s="537" t="s">
        <v>211</v>
      </c>
      <c r="D652" s="540"/>
      <c r="E652" s="316">
        <f t="shared" ref="E652:P652" si="106">SUM(E637:E651)</f>
        <v>975.07520676512</v>
      </c>
      <c r="F652" s="316">
        <f t="shared" si="106"/>
        <v>1045.40243563981</v>
      </c>
      <c r="G652" s="316">
        <f t="shared" si="106"/>
        <v>1027.28109578235</v>
      </c>
      <c r="H652" s="316">
        <f t="shared" si="106"/>
        <v>1003.65166615867</v>
      </c>
      <c r="I652" s="316">
        <f t="shared" si="106"/>
        <v>1028.02514729429</v>
      </c>
      <c r="J652" s="316">
        <f t="shared" si="106"/>
        <v>990.963462785914</v>
      </c>
      <c r="K652" s="316">
        <f t="shared" si="106"/>
        <v>1004.84457683346</v>
      </c>
      <c r="L652" s="316">
        <f t="shared" si="106"/>
        <v>1004.98025629452</v>
      </c>
      <c r="M652" s="316">
        <f t="shared" si="106"/>
        <v>1003.45285019928</v>
      </c>
      <c r="N652" s="316">
        <f t="shared" si="106"/>
        <v>1004.95851118098</v>
      </c>
      <c r="O652" s="316">
        <f t="shared" si="106"/>
        <v>991.045006887977</v>
      </c>
      <c r="P652" s="316">
        <f t="shared" si="106"/>
        <v>1122.72097479207</v>
      </c>
      <c r="Q652" s="316">
        <f>SUM(E652:P652)</f>
        <v>12202.4011906144</v>
      </c>
    </row>
    <row r="653" ht="15" hidden="1" spans="3:17">
      <c r="C653" s="44" t="s">
        <v>219</v>
      </c>
      <c r="D653" s="45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316">
        <f t="shared" ref="Q653:Q666" si="107">SUM(E653:P653)</f>
        <v>0</v>
      </c>
    </row>
    <row r="654" ht="15" hidden="1" spans="3:17">
      <c r="C654" s="55" t="s">
        <v>191</v>
      </c>
      <c r="D654" s="55" t="s">
        <v>192</v>
      </c>
      <c r="E654" s="147">
        <f>F4A!E653+F4B!E652</f>
        <v>674.687053025917</v>
      </c>
      <c r="F654" s="147">
        <f>F4A!F653+F4B!F652</f>
        <v>652.745964493322</v>
      </c>
      <c r="G654" s="147">
        <f>F4A!G653+F4B!G652</f>
        <v>676.196402310947</v>
      </c>
      <c r="H654" s="147">
        <f>F4A!H653+F4B!H652</f>
        <v>653.124955927993</v>
      </c>
      <c r="I654" s="147">
        <f>F4A!I653+F4B!I652</f>
        <v>709.426917620609</v>
      </c>
      <c r="J654" s="147">
        <f>F4A!J653+F4B!J652</f>
        <v>702.691875685169</v>
      </c>
      <c r="K654" s="147">
        <f>F4A!K653+F4B!K652</f>
        <v>769.978394740074</v>
      </c>
      <c r="L654" s="147">
        <f>F4A!L653+F4B!L652</f>
        <v>752.780364874722</v>
      </c>
      <c r="M654" s="147">
        <f>F4A!M653+F4B!M652</f>
        <v>763.127044182503</v>
      </c>
      <c r="N654" s="147">
        <f>F4A!N653+F4B!N652</f>
        <v>754.033858119332</v>
      </c>
      <c r="O654" s="147">
        <f>F4A!O653+F4B!O652</f>
        <v>692.93935764161</v>
      </c>
      <c r="P654" s="147">
        <f>F4A!P653+F4B!P652</f>
        <v>752.683760300427</v>
      </c>
      <c r="Q654" s="316">
        <f t="shared" si="107"/>
        <v>8554.41594892262</v>
      </c>
    </row>
    <row r="655" ht="15" hidden="1" spans="3:17">
      <c r="C655" s="55" t="s">
        <v>193</v>
      </c>
      <c r="D655" s="55" t="s">
        <v>194</v>
      </c>
      <c r="E655" s="147">
        <f>F4A!E654+F4B!E653</f>
        <v>15.77478794148</v>
      </c>
      <c r="F655" s="147">
        <f>F4A!F654+F4B!F653</f>
        <v>17.91792933372</v>
      </c>
      <c r="G655" s="147">
        <f>F4A!G654+F4B!G653</f>
        <v>8.66476332</v>
      </c>
      <c r="H655" s="147">
        <f>F4A!H654+F4B!H653</f>
        <v>9.875071044</v>
      </c>
      <c r="I655" s="147">
        <f>F4A!I654+F4B!I653</f>
        <v>15.77218798188</v>
      </c>
      <c r="J655" s="147">
        <f>F4A!J654+F4B!J653</f>
        <v>13.61145706704</v>
      </c>
      <c r="K655" s="147">
        <f>F4A!K654+F4B!K653</f>
        <v>15.72056021268</v>
      </c>
      <c r="L655" s="147">
        <f>F4A!L654+F4B!L653</f>
        <v>11.117745612</v>
      </c>
      <c r="M655" s="147">
        <f>F4A!M654+F4B!M653</f>
        <v>13.6824731064</v>
      </c>
      <c r="N655" s="147">
        <f>F4A!N654+F4B!N653</f>
        <v>14.7252160872</v>
      </c>
      <c r="O655" s="147">
        <f>F4A!O654+F4B!O653</f>
        <v>13.2812303616</v>
      </c>
      <c r="P655" s="147">
        <f>F4A!P654+F4B!P653</f>
        <v>12.38429736</v>
      </c>
      <c r="Q655" s="316">
        <f t="shared" si="107"/>
        <v>162.527719428</v>
      </c>
    </row>
    <row r="656" ht="15" hidden="1" spans="3:17">
      <c r="C656" s="55" t="s">
        <v>239</v>
      </c>
      <c r="D656" s="55" t="s">
        <v>196</v>
      </c>
      <c r="E656" s="147">
        <f>F4A!E655+F4B!E654</f>
        <v>9.1419276266242</v>
      </c>
      <c r="F656" s="147">
        <f>F4A!F655+F4B!F654</f>
        <v>10.8344664822</v>
      </c>
      <c r="G656" s="147">
        <f>F4A!G655+F4B!G654</f>
        <v>11.085967492489</v>
      </c>
      <c r="H656" s="147">
        <f>F4A!H655+F4B!H654</f>
        <v>9.61560337052922</v>
      </c>
      <c r="I656" s="147">
        <f>F4A!I655+F4B!I654</f>
        <v>13.4526823097915</v>
      </c>
      <c r="J656" s="147">
        <f>F4A!J655+F4B!J654</f>
        <v>15.2414757195989</v>
      </c>
      <c r="K656" s="147">
        <f>F4A!K655+F4B!K654</f>
        <v>19.2181582446813</v>
      </c>
      <c r="L656" s="147">
        <f>F4A!L655+F4B!L654</f>
        <v>20.0551995831689</v>
      </c>
      <c r="M656" s="147">
        <f>F4A!M655+F4B!M654</f>
        <v>19.9479107299875</v>
      </c>
      <c r="N656" s="147">
        <f>F4A!N655+F4B!N654</f>
        <v>20.0965453640552</v>
      </c>
      <c r="O656" s="147">
        <f>F4A!O655+F4B!O654</f>
        <v>23.7615417839815</v>
      </c>
      <c r="P656" s="147">
        <f>F4A!P655+F4B!P654</f>
        <v>33.8795451052057</v>
      </c>
      <c r="Q656" s="316">
        <f t="shared" si="107"/>
        <v>206.331023812313</v>
      </c>
    </row>
    <row r="657" ht="15" hidden="1" spans="3:17">
      <c r="C657" s="55" t="s">
        <v>197</v>
      </c>
      <c r="D657" s="55" t="s">
        <v>198</v>
      </c>
      <c r="E657" s="147">
        <f>F4A!E656+F4B!E655</f>
        <v>0</v>
      </c>
      <c r="F657" s="147">
        <f>F4A!F656+F4B!F655</f>
        <v>0</v>
      </c>
      <c r="G657" s="147">
        <f>F4A!G656+F4B!G655</f>
        <v>0</v>
      </c>
      <c r="H657" s="147">
        <f>F4A!H656+F4B!H655</f>
        <v>0</v>
      </c>
      <c r="I657" s="147">
        <f>F4A!I656+F4B!I655</f>
        <v>0</v>
      </c>
      <c r="J657" s="147">
        <f>F4A!J656+F4B!J655</f>
        <v>0</v>
      </c>
      <c r="K657" s="147">
        <f>F4A!K656+F4B!K655</f>
        <v>0</v>
      </c>
      <c r="L657" s="147">
        <f>F4A!L656+F4B!L655</f>
        <v>0</v>
      </c>
      <c r="M657" s="147">
        <f>F4A!M656+F4B!M655</f>
        <v>0</v>
      </c>
      <c r="N657" s="147">
        <f>F4A!N656+F4B!N655</f>
        <v>0</v>
      </c>
      <c r="O657" s="147">
        <f>F4A!O656+F4B!O655</f>
        <v>0</v>
      </c>
      <c r="P657" s="147">
        <f>F4A!P656+F4B!P655</f>
        <v>0</v>
      </c>
      <c r="Q657" s="316">
        <f t="shared" ref="Q657" si="108">SUM(E657:P657)</f>
        <v>0</v>
      </c>
    </row>
    <row r="658" ht="15" hidden="1" spans="3:17">
      <c r="C658" s="55" t="s">
        <v>199</v>
      </c>
      <c r="D658" s="55" t="s">
        <v>200</v>
      </c>
      <c r="E658" s="147">
        <f>F4A!E657+F4B!E656</f>
        <v>7.53787800129833</v>
      </c>
      <c r="F658" s="147">
        <f>F4A!F657+F4B!F656</f>
        <v>8.91617451793819</v>
      </c>
      <c r="G658" s="147">
        <f>F4A!G657+F4B!G656</f>
        <v>8.57071104105845</v>
      </c>
      <c r="H658" s="147">
        <f>F4A!H657+F4B!H656</f>
        <v>8.21807446453723</v>
      </c>
      <c r="I658" s="147">
        <f>F4A!I657+F4B!I656</f>
        <v>8.44734539080162</v>
      </c>
      <c r="J658" s="147">
        <f>F4A!J657+F4B!J656</f>
        <v>8.44633065963283</v>
      </c>
      <c r="K658" s="147">
        <f>F4A!K657+F4B!K656</f>
        <v>8.07302622528281</v>
      </c>
      <c r="L658" s="147">
        <f>F4A!L657+F4B!L656</f>
        <v>8.2326655989299</v>
      </c>
      <c r="M658" s="147">
        <f>F4A!M657+F4B!M656</f>
        <v>7.32400299621565</v>
      </c>
      <c r="N658" s="147">
        <f>F4A!N657+F4B!N656</f>
        <v>7.34705022368162</v>
      </c>
      <c r="O658" s="147">
        <f>F4A!O657+F4B!O656</f>
        <v>8.19779150473798</v>
      </c>
      <c r="P658" s="147">
        <f>F4A!P657+F4B!P656</f>
        <v>9.80809988815565</v>
      </c>
      <c r="Q658" s="316">
        <f t="shared" si="107"/>
        <v>99.1191505122703</v>
      </c>
    </row>
    <row r="659" ht="15" hidden="1" spans="3:17">
      <c r="C659" s="55" t="s">
        <v>201</v>
      </c>
      <c r="D659" s="55" t="s">
        <v>240</v>
      </c>
      <c r="E659" s="147">
        <f>F4A!E658+F4B!E657</f>
        <v>53.558134091388</v>
      </c>
      <c r="F659" s="147">
        <f>F4A!F658+F4B!F657</f>
        <v>31.155589262304</v>
      </c>
      <c r="G659" s="147">
        <f>F4A!G658+F4B!G657</f>
        <v>52.735137074172</v>
      </c>
      <c r="H659" s="147">
        <f>F4A!H658+F4B!H657</f>
        <v>74.717926260048</v>
      </c>
      <c r="I659" s="147">
        <f>F4A!I658+F4B!I657</f>
        <v>189.524822711544</v>
      </c>
      <c r="J659" s="147">
        <f>F4A!J658+F4B!J657</f>
        <v>251.394216954048</v>
      </c>
      <c r="K659" s="147">
        <f>F4A!K658+F4B!K657</f>
        <v>212.460027901632</v>
      </c>
      <c r="L659" s="147">
        <f>F4A!L658+F4B!L657</f>
        <v>200.894336696304</v>
      </c>
      <c r="M659" s="147">
        <f>F4A!M658+F4B!M657</f>
        <v>59.935155099192</v>
      </c>
      <c r="N659" s="147">
        <f>F4A!N658+F4B!N657</f>
        <v>41.49996746526</v>
      </c>
      <c r="O659" s="147">
        <f>F4A!O658+F4B!O657</f>
        <v>51.782490527724</v>
      </c>
      <c r="P659" s="147">
        <f>F4A!P658+F4B!P657</f>
        <v>34.899964589772</v>
      </c>
      <c r="Q659" s="316">
        <f t="shared" si="107"/>
        <v>1254.55776863339</v>
      </c>
    </row>
    <row r="660" ht="15" hidden="1" spans="3:17">
      <c r="C660" s="55" t="s">
        <v>203</v>
      </c>
      <c r="D660" s="55" t="s">
        <v>220</v>
      </c>
      <c r="E660" s="147">
        <f>F4A!E659+F4B!E658</f>
        <v>25.8440081129043</v>
      </c>
      <c r="F660" s="147">
        <f>F4A!F659+F4B!F658</f>
        <v>28.2801742126272</v>
      </c>
      <c r="G660" s="147">
        <f>F4A!G659+F4B!G658</f>
        <v>26.1442263077911</v>
      </c>
      <c r="H660" s="147">
        <f>F4A!H659+F4B!H658</f>
        <v>25.4999000773153</v>
      </c>
      <c r="I660" s="147">
        <f>F4A!I659+F4B!I658</f>
        <v>28.6291751256323</v>
      </c>
      <c r="J660" s="147">
        <f>F4A!J659+F4B!J658</f>
        <v>27.5236282563402</v>
      </c>
      <c r="K660" s="147">
        <f>F4A!K659+F4B!K658</f>
        <v>27.5324403042238</v>
      </c>
      <c r="L660" s="147">
        <f>F4A!L659+F4B!L658</f>
        <v>28.6927095040199</v>
      </c>
      <c r="M660" s="147">
        <f>F4A!M659+F4B!M658</f>
        <v>30.4283421396665</v>
      </c>
      <c r="N660" s="147">
        <f>F4A!N659+F4B!N658</f>
        <v>28.5945355009405</v>
      </c>
      <c r="O660" s="147">
        <f>F4A!O659+F4B!O658</f>
        <v>25.3585665137449</v>
      </c>
      <c r="P660" s="147">
        <f>F4A!P659+F4B!P658</f>
        <v>30.6376891335874</v>
      </c>
      <c r="Q660" s="316">
        <f t="shared" si="107"/>
        <v>333.165395188793</v>
      </c>
    </row>
    <row r="661" ht="15" hidden="1" spans="3:17">
      <c r="C661" s="55" t="s">
        <v>241</v>
      </c>
      <c r="D661" s="55" t="s">
        <v>229</v>
      </c>
      <c r="E661" s="147">
        <f>F4A!E660+F4B!E659</f>
        <v>79.6926494276098</v>
      </c>
      <c r="F661" s="147">
        <f>F4A!F660+F4B!F659</f>
        <v>86.0542785712542</v>
      </c>
      <c r="G661" s="147">
        <f>F4A!G660+F4B!G659</f>
        <v>82.5661921405917</v>
      </c>
      <c r="H661" s="147">
        <f>F4A!H660+F4B!H659</f>
        <v>85.9376980079728</v>
      </c>
      <c r="I661" s="147">
        <f>F4A!I660+F4B!I659</f>
        <v>90.8448200843968</v>
      </c>
      <c r="J661" s="147">
        <f>F4A!J660+F4B!J659</f>
        <v>90.0946951718041</v>
      </c>
      <c r="K661" s="147">
        <f>F4A!K660+F4B!K659</f>
        <v>100.170080680339</v>
      </c>
      <c r="L661" s="147">
        <f>F4A!L660+F4B!L659</f>
        <v>96.3860787434162</v>
      </c>
      <c r="M661" s="147">
        <f>F4A!M660+F4B!M659</f>
        <v>95.5832115458923</v>
      </c>
      <c r="N661" s="147">
        <f>F4A!N660+F4B!N659</f>
        <v>99.745941080946</v>
      </c>
      <c r="O661" s="147">
        <f>F4A!O660+F4B!O659</f>
        <v>93.6761086286839</v>
      </c>
      <c r="P661" s="147">
        <f>F4A!P660+F4B!P659</f>
        <v>102.280051432914</v>
      </c>
      <c r="Q661" s="316">
        <f t="shared" si="107"/>
        <v>1103.03180551582</v>
      </c>
    </row>
    <row r="662" ht="15" hidden="1" spans="3:17">
      <c r="C662" s="55" t="s">
        <v>259</v>
      </c>
      <c r="D662" s="55" t="s">
        <v>243</v>
      </c>
      <c r="E662" s="147">
        <f>F4A!E661+F4B!E660</f>
        <v>24.9186806213099</v>
      </c>
      <c r="F662" s="147">
        <f>F4A!F661+F4B!F660</f>
        <v>26.0259814259931</v>
      </c>
      <c r="G662" s="147">
        <f>F4A!G661+F4B!G660</f>
        <v>25.9138798633497</v>
      </c>
      <c r="H662" s="147">
        <f>F4A!H661+F4B!H660</f>
        <v>25.7450162333811</v>
      </c>
      <c r="I662" s="147">
        <f>F4A!I661+F4B!I660</f>
        <v>24.7192587726015</v>
      </c>
      <c r="J662" s="147">
        <f>F4A!J661+F4B!J660</f>
        <v>24.8235488262658</v>
      </c>
      <c r="K662" s="147">
        <f>F4A!K661+F4B!K660</f>
        <v>29.1475250435275</v>
      </c>
      <c r="L662" s="147">
        <f>F4A!L661+F4B!L660</f>
        <v>24.2549569046119</v>
      </c>
      <c r="M662" s="147">
        <f>F4A!M661+F4B!M660</f>
        <v>27.5759981932206</v>
      </c>
      <c r="N662" s="147">
        <f>F4A!N661+F4B!N660</f>
        <v>28.0682839300992</v>
      </c>
      <c r="O662" s="147">
        <f>F4A!O661+F4B!O660</f>
        <v>28.0398866487867</v>
      </c>
      <c r="P662" s="147">
        <f>F4A!P661+F4B!P660</f>
        <v>30.3009276519536</v>
      </c>
      <c r="Q662" s="316">
        <f t="shared" ref="Q662" si="109">SUM(E662:P662)</f>
        <v>319.533944115101</v>
      </c>
    </row>
    <row r="663" ht="15" hidden="1" spans="3:17">
      <c r="C663" s="55" t="s">
        <v>205</v>
      </c>
      <c r="D663" s="55" t="s">
        <v>206</v>
      </c>
      <c r="E663" s="147">
        <f>F4A!E662+F4B!E661</f>
        <v>0</v>
      </c>
      <c r="F663" s="147">
        <f>F4A!F662+F4B!F661</f>
        <v>0</v>
      </c>
      <c r="G663" s="147">
        <f>F4A!G662+F4B!G661</f>
        <v>0</v>
      </c>
      <c r="H663" s="147">
        <f>F4A!H662+F4B!H661</f>
        <v>0</v>
      </c>
      <c r="I663" s="147">
        <f>F4A!I662+F4B!I661</f>
        <v>0</v>
      </c>
      <c r="J663" s="147">
        <f>F4A!J662+F4B!J661</f>
        <v>0</v>
      </c>
      <c r="K663" s="147">
        <f>F4A!K662+F4B!K661</f>
        <v>0</v>
      </c>
      <c r="L663" s="147">
        <f>F4A!L662+F4B!L661</f>
        <v>0</v>
      </c>
      <c r="M663" s="147">
        <f>F4A!M662+F4B!M661</f>
        <v>0</v>
      </c>
      <c r="N663" s="147">
        <f>F4A!N662+F4B!N661</f>
        <v>0</v>
      </c>
      <c r="O663" s="147">
        <f>F4A!O662+F4B!O661</f>
        <v>0</v>
      </c>
      <c r="P663" s="147">
        <f>F4A!P662+F4B!P661</f>
        <v>0</v>
      </c>
      <c r="Q663" s="316">
        <f t="shared" si="107"/>
        <v>0</v>
      </c>
    </row>
    <row r="664" ht="15" hidden="1" spans="3:17">
      <c r="C664" s="55" t="s">
        <v>207</v>
      </c>
      <c r="D664" s="55" t="s">
        <v>186</v>
      </c>
      <c r="E664" s="147">
        <f>F4A!E663+F4B!E662</f>
        <v>0</v>
      </c>
      <c r="F664" s="147">
        <f>F4A!F663+F4B!F662</f>
        <v>0</v>
      </c>
      <c r="G664" s="147">
        <f>F4A!G663+F4B!G662</f>
        <v>0</v>
      </c>
      <c r="H664" s="147">
        <f>F4A!H663+F4B!H662</f>
        <v>0</v>
      </c>
      <c r="I664" s="147">
        <f>F4A!I663+F4B!I662</f>
        <v>0</v>
      </c>
      <c r="J664" s="147">
        <f>F4A!J663+F4B!J662</f>
        <v>0</v>
      </c>
      <c r="K664" s="147">
        <f>F4A!K663+F4B!K662</f>
        <v>0</v>
      </c>
      <c r="L664" s="147">
        <f>F4A!L663+F4B!L662</f>
        <v>0</v>
      </c>
      <c r="M664" s="147">
        <f>F4A!M663+F4B!M662</f>
        <v>0</v>
      </c>
      <c r="N664" s="147">
        <f>F4A!N663+F4B!N662</f>
        <v>0</v>
      </c>
      <c r="O664" s="147">
        <f>F4A!O663+F4B!O662</f>
        <v>0</v>
      </c>
      <c r="P664" s="147">
        <f>F4A!P663+F4B!P662</f>
        <v>0</v>
      </c>
      <c r="Q664" s="316">
        <f t="shared" si="107"/>
        <v>0</v>
      </c>
    </row>
    <row r="665" ht="15" hidden="1" spans="3:17">
      <c r="C665" s="55" t="s">
        <v>208</v>
      </c>
      <c r="D665" s="55" t="s">
        <v>209</v>
      </c>
      <c r="E665" s="147">
        <f>F4A!E664+F4B!E663</f>
        <v>0</v>
      </c>
      <c r="F665" s="147">
        <f>F4A!F664+F4B!F663</f>
        <v>0</v>
      </c>
      <c r="G665" s="147">
        <f>F4A!G664+F4B!G663</f>
        <v>0</v>
      </c>
      <c r="H665" s="147">
        <f>F4A!H664+F4B!H663</f>
        <v>0</v>
      </c>
      <c r="I665" s="147">
        <f>F4A!I664+F4B!I663</f>
        <v>0</v>
      </c>
      <c r="J665" s="147">
        <f>F4A!J664+F4B!J663</f>
        <v>0</v>
      </c>
      <c r="K665" s="147">
        <f>F4A!K664+F4B!K663</f>
        <v>0</v>
      </c>
      <c r="L665" s="147">
        <f>F4A!L664+F4B!L663</f>
        <v>0</v>
      </c>
      <c r="M665" s="147">
        <f>F4A!M664+F4B!M663</f>
        <v>0</v>
      </c>
      <c r="N665" s="147">
        <f>F4A!N664+F4B!N663</f>
        <v>0</v>
      </c>
      <c r="O665" s="147">
        <f>F4A!O664+F4B!O663</f>
        <v>0</v>
      </c>
      <c r="P665" s="147">
        <f>F4A!P664+F4B!P663</f>
        <v>0</v>
      </c>
      <c r="Q665" s="316">
        <f t="shared" si="107"/>
        <v>0</v>
      </c>
    </row>
    <row r="666" ht="15" hidden="1" spans="3:17">
      <c r="C666" s="55" t="s">
        <v>210</v>
      </c>
      <c r="D666" s="55" t="s">
        <v>188</v>
      </c>
      <c r="E666" s="147">
        <f>F4A!E665+F4B!E664</f>
        <v>0</v>
      </c>
      <c r="F666" s="147">
        <f>F4A!F665+F4B!F664</f>
        <v>0</v>
      </c>
      <c r="G666" s="147">
        <f>F4A!G665+F4B!G664</f>
        <v>0</v>
      </c>
      <c r="H666" s="147">
        <f>F4A!H665+F4B!H664</f>
        <v>0</v>
      </c>
      <c r="I666" s="147">
        <f>F4A!I665+F4B!I664</f>
        <v>0</v>
      </c>
      <c r="J666" s="147">
        <f>F4A!J665+F4B!J664</f>
        <v>0</v>
      </c>
      <c r="K666" s="147">
        <f>F4A!K665+F4B!K664</f>
        <v>0</v>
      </c>
      <c r="L666" s="147">
        <f>F4A!L665+F4B!L664</f>
        <v>0</v>
      </c>
      <c r="M666" s="147">
        <f>F4A!M665+F4B!M664</f>
        <v>0</v>
      </c>
      <c r="N666" s="147">
        <f>F4A!N665+F4B!N664</f>
        <v>0</v>
      </c>
      <c r="O666" s="147">
        <f>F4A!O665+F4B!O664</f>
        <v>0</v>
      </c>
      <c r="P666" s="147">
        <f>F4A!P665+F4B!P664</f>
        <v>0</v>
      </c>
      <c r="Q666" s="316">
        <f t="shared" si="107"/>
        <v>0</v>
      </c>
    </row>
    <row r="667" ht="15" hidden="1" spans="3:17">
      <c r="C667" s="55"/>
      <c r="D667" s="55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316"/>
    </row>
    <row r="668" ht="15" hidden="1" spans="3:17">
      <c r="C668" s="55"/>
      <c r="D668" s="55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316"/>
    </row>
    <row r="669" ht="15" hidden="1" spans="3:17">
      <c r="C669" s="55"/>
      <c r="D669" s="55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316"/>
    </row>
    <row r="670" ht="15" hidden="1" spans="3:17">
      <c r="C670" s="55" t="s">
        <v>258</v>
      </c>
      <c r="D670" s="55" t="s">
        <v>258</v>
      </c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316"/>
    </row>
    <row r="671" ht="15" hidden="1" spans="3:17">
      <c r="C671" s="537" t="s">
        <v>211</v>
      </c>
      <c r="D671" s="540"/>
      <c r="E671" s="316">
        <f t="shared" ref="E671:P671" si="110">SUM(E654:E670)</f>
        <v>891.155118848531</v>
      </c>
      <c r="F671" s="316">
        <f t="shared" si="110"/>
        <v>861.930558299359</v>
      </c>
      <c r="G671" s="316">
        <f t="shared" si="110"/>
        <v>891.877279550399</v>
      </c>
      <c r="H671" s="316">
        <f t="shared" si="110"/>
        <v>892.734245385777</v>
      </c>
      <c r="I671" s="316">
        <f t="shared" si="110"/>
        <v>1080.81720999726</v>
      </c>
      <c r="J671" s="316">
        <f t="shared" si="110"/>
        <v>1133.8272283399</v>
      </c>
      <c r="K671" s="316">
        <f t="shared" si="110"/>
        <v>1182.30021335244</v>
      </c>
      <c r="L671" s="316">
        <f t="shared" si="110"/>
        <v>1142.41405751717</v>
      </c>
      <c r="M671" s="316">
        <f t="shared" si="110"/>
        <v>1017.60413799308</v>
      </c>
      <c r="N671" s="316">
        <f t="shared" si="110"/>
        <v>994.111397771514</v>
      </c>
      <c r="O671" s="316">
        <f t="shared" si="110"/>
        <v>937.036973610869</v>
      </c>
      <c r="P671" s="316">
        <f t="shared" si="110"/>
        <v>1006.87433546202</v>
      </c>
      <c r="Q671" s="316">
        <f>SUM(E671:P671)</f>
        <v>12032.6827561283</v>
      </c>
    </row>
    <row r="672" ht="15" hidden="1" spans="3:17">
      <c r="C672" s="537" t="s">
        <v>223</v>
      </c>
      <c r="D672" s="540"/>
      <c r="E672" s="316">
        <f t="shared" ref="E672:P672" si="111">E671+E652+E635</f>
        <v>2662.30600997824</v>
      </c>
      <c r="F672" s="316">
        <f t="shared" si="111"/>
        <v>2751.21528391605</v>
      </c>
      <c r="G672" s="316">
        <f t="shared" si="111"/>
        <v>2750.94031030653</v>
      </c>
      <c r="H672" s="316">
        <f t="shared" si="111"/>
        <v>2658.290836256</v>
      </c>
      <c r="I672" s="316">
        <f t="shared" si="111"/>
        <v>2914.79720726538</v>
      </c>
      <c r="J672" s="316">
        <f t="shared" si="111"/>
        <v>2881.73093301695</v>
      </c>
      <c r="K672" s="316">
        <f t="shared" si="111"/>
        <v>2968.87616403366</v>
      </c>
      <c r="L672" s="316">
        <f t="shared" si="111"/>
        <v>2910.24908708655</v>
      </c>
      <c r="M672" s="316">
        <f t="shared" si="111"/>
        <v>2787.55053486031</v>
      </c>
      <c r="N672" s="316">
        <f t="shared" si="111"/>
        <v>2753.6412653048</v>
      </c>
      <c r="O672" s="316">
        <f t="shared" si="111"/>
        <v>2700.42767692134</v>
      </c>
      <c r="P672" s="316">
        <f t="shared" si="111"/>
        <v>2985.03319735629</v>
      </c>
      <c r="Q672" s="316">
        <f>SUM(E672:P672)</f>
        <v>33725.0585063021</v>
      </c>
    </row>
    <row r="673" ht="15" hidden="1" spans="3:17">
      <c r="C673" s="537" t="s">
        <v>224</v>
      </c>
      <c r="D673" s="540"/>
      <c r="E673" s="316">
        <f t="shared" ref="E673:P673" si="112">E672+E618</f>
        <v>5795.54450040928</v>
      </c>
      <c r="F673" s="316">
        <f t="shared" si="112"/>
        <v>5487.32568145025</v>
      </c>
      <c r="G673" s="316">
        <f t="shared" si="112"/>
        <v>5230.94644580724</v>
      </c>
      <c r="H673" s="316">
        <f t="shared" si="112"/>
        <v>5042.93997572449</v>
      </c>
      <c r="I673" s="316">
        <f t="shared" si="112"/>
        <v>5702.93461152615</v>
      </c>
      <c r="J673" s="316">
        <f t="shared" si="112"/>
        <v>5631.00560052389</v>
      </c>
      <c r="K673" s="316">
        <f t="shared" si="112"/>
        <v>5352.19946899641</v>
      </c>
      <c r="L673" s="316">
        <f t="shared" si="112"/>
        <v>5083.29288001502</v>
      </c>
      <c r="M673" s="316">
        <f t="shared" si="112"/>
        <v>5311.10651697412</v>
      </c>
      <c r="N673" s="316">
        <f t="shared" si="112"/>
        <v>5806.93350343111</v>
      </c>
      <c r="O673" s="316">
        <f t="shared" si="112"/>
        <v>5788.02724262967</v>
      </c>
      <c r="P673" s="316">
        <f t="shared" si="112"/>
        <v>6785.99604622471</v>
      </c>
      <c r="Q673" s="316">
        <f>SUM(E673:P673)</f>
        <v>67018.2524737123</v>
      </c>
    </row>
    <row r="674" hidden="1"/>
    <row r="675" ht="15" hidden="1" spans="3:17">
      <c r="C675" s="14"/>
      <c r="Q675" s="3" t="s">
        <v>236</v>
      </c>
    </row>
    <row r="676" ht="15" hidden="1" spans="3:17">
      <c r="C676" s="6" t="s">
        <v>159</v>
      </c>
      <c r="D676" s="6"/>
      <c r="E676" s="135" t="s">
        <v>266</v>
      </c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</row>
    <row r="677" ht="15" hidden="1" spans="3:17">
      <c r="C677" s="6"/>
      <c r="D677" s="6"/>
      <c r="E677" s="135" t="s">
        <v>246</v>
      </c>
      <c r="F677" s="135" t="s">
        <v>247</v>
      </c>
      <c r="G677" s="135" t="s">
        <v>248</v>
      </c>
      <c r="H677" s="135" t="s">
        <v>249</v>
      </c>
      <c r="I677" s="135" t="s">
        <v>250</v>
      </c>
      <c r="J677" s="135" t="s">
        <v>251</v>
      </c>
      <c r="K677" s="135" t="s">
        <v>252</v>
      </c>
      <c r="L677" s="135" t="s">
        <v>253</v>
      </c>
      <c r="M677" s="135" t="s">
        <v>254</v>
      </c>
      <c r="N677" s="135" t="s">
        <v>255</v>
      </c>
      <c r="O677" s="135" t="s">
        <v>256</v>
      </c>
      <c r="P677" s="135" t="s">
        <v>257</v>
      </c>
      <c r="Q677" s="135" t="s">
        <v>97</v>
      </c>
    </row>
    <row r="678" ht="15" hidden="1" spans="3:17">
      <c r="C678" s="44" t="s">
        <v>170</v>
      </c>
      <c r="D678" s="45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316">
        <f>SUM(E678:P678)</f>
        <v>0</v>
      </c>
    </row>
    <row r="679" ht="15" hidden="1" spans="3:17">
      <c r="C679" s="47" t="s">
        <v>171</v>
      </c>
      <c r="D679" s="47" t="s">
        <v>172</v>
      </c>
      <c r="E679" s="147">
        <f>F4A!E678+F4B!E677</f>
        <v>1244.72753475048</v>
      </c>
      <c r="F679" s="147">
        <f>F4A!F678+F4B!F677</f>
        <v>1497.89730281895</v>
      </c>
      <c r="G679" s="147">
        <f>F4A!G678+F4B!G677</f>
        <v>1335.07397757917</v>
      </c>
      <c r="H679" s="147">
        <f>F4A!H678+F4B!H677</f>
        <v>1046.57750212188</v>
      </c>
      <c r="I679" s="147">
        <f>F4A!I678+F4B!I677</f>
        <v>1197.5791374665</v>
      </c>
      <c r="J679" s="147">
        <f>F4A!J678+F4B!J677</f>
        <v>1109.845204782</v>
      </c>
      <c r="K679" s="147">
        <f>F4A!K678+F4B!K677</f>
        <v>1098.01932210922</v>
      </c>
      <c r="L679" s="147">
        <f>F4A!L678+F4B!L677</f>
        <v>1017.1159208738</v>
      </c>
      <c r="M679" s="147">
        <f>F4A!M678+F4B!M677</f>
        <v>902.227606145721</v>
      </c>
      <c r="N679" s="147">
        <f>F4A!N678+F4B!N677</f>
        <v>1018.23239956282</v>
      </c>
      <c r="O679" s="147">
        <f>F4A!O678+F4B!O677</f>
        <v>964.451873498682</v>
      </c>
      <c r="P679" s="147">
        <f>F4A!P678+F4B!P677</f>
        <v>1322.55815305517</v>
      </c>
      <c r="Q679" s="316">
        <f t="shared" ref="Q679:Q687" si="113">SUM(E679:P679)</f>
        <v>13754.3059347644</v>
      </c>
    </row>
    <row r="680" ht="15" hidden="1" spans="3:17">
      <c r="C680" s="55" t="s">
        <v>173</v>
      </c>
      <c r="D680" s="55" t="s">
        <v>174</v>
      </c>
      <c r="E680" s="147">
        <f>F4A!E679+F4B!E678</f>
        <v>525.084457066474</v>
      </c>
      <c r="F680" s="147">
        <f>F4A!F679+F4B!F678</f>
        <v>602.704651551855</v>
      </c>
      <c r="G680" s="147">
        <f>F4A!G679+F4B!G678</f>
        <v>554.104415931901</v>
      </c>
      <c r="H680" s="147">
        <f>F4A!H679+F4B!H678</f>
        <v>471.07338237559</v>
      </c>
      <c r="I680" s="147">
        <f>F4A!I679+F4B!I678</f>
        <v>533.614799068251</v>
      </c>
      <c r="J680" s="147">
        <f>F4A!J679+F4B!J678</f>
        <v>493.921532833549</v>
      </c>
      <c r="K680" s="147">
        <f>F4A!K679+F4B!K678</f>
        <v>505.894124073294</v>
      </c>
      <c r="L680" s="147">
        <f>F4A!L679+F4B!L678</f>
        <v>478.715906158616</v>
      </c>
      <c r="M680" s="147">
        <f>F4A!M679+F4B!M678</f>
        <v>441.43776105632</v>
      </c>
      <c r="N680" s="147">
        <f>F4A!N679+F4B!N678</f>
        <v>483.249129800546</v>
      </c>
      <c r="O680" s="147">
        <f>F4A!O679+F4B!O678</f>
        <v>482.459611499176</v>
      </c>
      <c r="P680" s="147">
        <f>F4A!P679+F4B!P678</f>
        <v>596.447484863752</v>
      </c>
      <c r="Q680" s="316">
        <f t="shared" si="113"/>
        <v>6168.70725627932</v>
      </c>
    </row>
    <row r="681" ht="15" hidden="1" spans="3:17">
      <c r="C681" s="55" t="s">
        <v>175</v>
      </c>
      <c r="D681" s="55" t="s">
        <v>176</v>
      </c>
      <c r="E681" s="147">
        <f>F4A!E680+F4B!E679</f>
        <v>95.4570009087562</v>
      </c>
      <c r="F681" s="147">
        <f>F4A!F680+F4B!F679</f>
        <v>103.362988908175</v>
      </c>
      <c r="G681" s="147">
        <f>F4A!G680+F4B!G679</f>
        <v>97.6939456632214</v>
      </c>
      <c r="H681" s="147">
        <f>F4A!H680+F4B!H679</f>
        <v>91.804266532207</v>
      </c>
      <c r="I681" s="147">
        <f>F4A!I680+F4B!I679</f>
        <v>98.2123751279013</v>
      </c>
      <c r="J681" s="147">
        <f>F4A!J680+F4B!J679</f>
        <v>91.0961425304202</v>
      </c>
      <c r="K681" s="147">
        <f>F4A!K680+F4B!K679</f>
        <v>93.1825909476363</v>
      </c>
      <c r="L681" s="147">
        <f>F4A!L680+F4B!L679</f>
        <v>95.8249483980095</v>
      </c>
      <c r="M681" s="147">
        <f>F4A!M680+F4B!M679</f>
        <v>106.195489702597</v>
      </c>
      <c r="N681" s="147">
        <f>F4A!N680+F4B!N679</f>
        <v>103.170991692254</v>
      </c>
      <c r="O681" s="147">
        <f>F4A!O680+F4B!O679</f>
        <v>94.9552766368471</v>
      </c>
      <c r="P681" s="147">
        <f>F4A!P680+F4B!P679</f>
        <v>105.84662907495</v>
      </c>
      <c r="Q681" s="316">
        <f t="shared" si="113"/>
        <v>1176.80264612297</v>
      </c>
    </row>
    <row r="682" ht="15" hidden="1" spans="3:17">
      <c r="C682" s="55" t="s">
        <v>177</v>
      </c>
      <c r="D682" s="55" t="s">
        <v>178</v>
      </c>
      <c r="E682" s="147">
        <f>F4A!E681+F4B!E680</f>
        <v>0.870787728329867</v>
      </c>
      <c r="F682" s="147">
        <f>F4A!F681+F4B!F680</f>
        <v>0.909213148647406</v>
      </c>
      <c r="G682" s="147">
        <f>F4A!G681+F4B!G680</f>
        <v>0.802499926991658</v>
      </c>
      <c r="H682" s="147">
        <f>F4A!H681+F4B!H680</f>
        <v>0.77696062380894</v>
      </c>
      <c r="I682" s="147">
        <f>F4A!I681+F4B!I680</f>
        <v>0.825805349221795</v>
      </c>
      <c r="J682" s="147">
        <f>F4A!J681+F4B!J680</f>
        <v>0.774605659736284</v>
      </c>
      <c r="K682" s="147">
        <f>F4A!K681+F4B!K680</f>
        <v>0.80447727591018</v>
      </c>
      <c r="L682" s="147">
        <f>F4A!L681+F4B!L680</f>
        <v>0.756898792617437</v>
      </c>
      <c r="M682" s="147">
        <f>F4A!M681+F4B!M680</f>
        <v>0.799919214729031</v>
      </c>
      <c r="N682" s="147">
        <f>F4A!N681+F4B!N680</f>
        <v>0.829818536362605</v>
      </c>
      <c r="O682" s="147">
        <f>F4A!O681+F4B!O680</f>
        <v>0.746212694206701</v>
      </c>
      <c r="P682" s="147">
        <f>F4A!P681+F4B!P680</f>
        <v>0.861947634436215</v>
      </c>
      <c r="Q682" s="316">
        <f t="shared" si="113"/>
        <v>9.75914658499812</v>
      </c>
    </row>
    <row r="683" ht="15" hidden="1" spans="3:17">
      <c r="C683" s="55" t="s">
        <v>179</v>
      </c>
      <c r="D683" s="55" t="s">
        <v>180</v>
      </c>
      <c r="E683" s="147">
        <f>F4A!E682+F4B!E681</f>
        <v>1379.21799073767</v>
      </c>
      <c r="F683" s="147">
        <f>F4A!F682+F4B!F681</f>
        <v>652.321732440167</v>
      </c>
      <c r="G683" s="147">
        <f>F4A!G682+F4B!G681</f>
        <v>597.64634073794</v>
      </c>
      <c r="H683" s="147">
        <f>F4A!H682+F4B!H681</f>
        <v>858.32037519492</v>
      </c>
      <c r="I683" s="147">
        <f>F4A!I682+F4B!I681</f>
        <v>1057.4060113417</v>
      </c>
      <c r="J683" s="147">
        <f>F4A!J682+F4B!J681</f>
        <v>1147.7775180725</v>
      </c>
      <c r="K683" s="147">
        <f>F4A!K682+F4B!K681</f>
        <v>770.904290320391</v>
      </c>
      <c r="L683" s="147">
        <f>F4A!L682+F4B!L681</f>
        <v>653.071167132521</v>
      </c>
      <c r="M683" s="147">
        <f>F4A!M682+F4B!M681</f>
        <v>1145.35730701292</v>
      </c>
      <c r="N683" s="147">
        <f>F4A!N682+F4B!N681</f>
        <v>1538.1385085007</v>
      </c>
      <c r="O683" s="147">
        <f>F4A!O682+F4B!O681</f>
        <v>1636.75286176548</v>
      </c>
      <c r="P683" s="147">
        <f>F4A!P682+F4B!P681</f>
        <v>1899.12311734336</v>
      </c>
      <c r="Q683" s="316">
        <f t="shared" si="113"/>
        <v>13336.0372206003</v>
      </c>
    </row>
    <row r="684" ht="15" hidden="1" spans="3:17">
      <c r="C684" s="55" t="s">
        <v>181</v>
      </c>
      <c r="D684" s="55" t="s">
        <v>182</v>
      </c>
      <c r="E684" s="147">
        <f>F4A!E683+F4B!E682</f>
        <v>42.7449380194073</v>
      </c>
      <c r="F684" s="147">
        <f>F4A!F683+F4B!F682</f>
        <v>44.5009471793651</v>
      </c>
      <c r="G684" s="147">
        <f>F4A!G683+F4B!G682</f>
        <v>41.6148412003916</v>
      </c>
      <c r="H684" s="147">
        <f>F4A!H683+F4B!H682</f>
        <v>41.3904629578151</v>
      </c>
      <c r="I684" s="147">
        <f>F4A!I683+F4B!I682</f>
        <v>44.0864302312287</v>
      </c>
      <c r="J684" s="147">
        <f>F4A!J683+F4B!J682</f>
        <v>42.2144592816389</v>
      </c>
      <c r="K684" s="147">
        <f>F4A!K683+F4B!K682</f>
        <v>44.8416296804237</v>
      </c>
      <c r="L684" s="147">
        <f>F4A!L683+F4B!L682</f>
        <v>46.040632544215</v>
      </c>
      <c r="M684" s="147">
        <f>F4A!M683+F4B!M682</f>
        <v>45.7220205203671</v>
      </c>
      <c r="N684" s="147">
        <f>F4A!N683+F4B!N682</f>
        <v>46.6295393545163</v>
      </c>
      <c r="O684" s="147">
        <f>F4A!O683+F4B!O682</f>
        <v>43.1444934088614</v>
      </c>
      <c r="P684" s="147">
        <f>F4A!P683+F4B!P682</f>
        <v>47.2821920831572</v>
      </c>
      <c r="Q684" s="316">
        <f t="shared" si="113"/>
        <v>530.212586461387</v>
      </c>
    </row>
    <row r="685" ht="15" hidden="1" spans="3:17">
      <c r="C685" s="55" t="s">
        <v>183</v>
      </c>
      <c r="D685" s="55" t="s">
        <v>184</v>
      </c>
      <c r="E685" s="147">
        <f>F4A!E684+F4B!E683</f>
        <v>11.6096636312734</v>
      </c>
      <c r="F685" s="147">
        <f>F4A!F684+F4B!F683</f>
        <v>9.49620409444622</v>
      </c>
      <c r="G685" s="147">
        <f>F4A!G684+F4B!G683</f>
        <v>11.2582758034485</v>
      </c>
      <c r="H685" s="147">
        <f>F4A!H684+F4B!H683</f>
        <v>11.4220608278555</v>
      </c>
      <c r="I685" s="147">
        <f>F4A!I684+F4B!I683</f>
        <v>13.2460507979533</v>
      </c>
      <c r="J685" s="147">
        <f>F4A!J684+F4B!J683</f>
        <v>12.2945003652495</v>
      </c>
      <c r="K685" s="147">
        <f>F4A!K684+F4B!K683</f>
        <v>10.1927351234113</v>
      </c>
      <c r="L685" s="147">
        <f>F4A!L684+F4B!L683</f>
        <v>11.7750179241718</v>
      </c>
      <c r="M685" s="147">
        <f>F4A!M684+F4B!M683</f>
        <v>10.479514515584</v>
      </c>
      <c r="N685" s="147">
        <f>F4A!N684+F4B!N683</f>
        <v>10.7343628336602</v>
      </c>
      <c r="O685" s="147">
        <f>F4A!O684+F4B!O683</f>
        <v>11.8281739445649</v>
      </c>
      <c r="P685" s="147">
        <f>F4A!P684+F4B!P683</f>
        <v>15.1083285594388</v>
      </c>
      <c r="Q685" s="316">
        <f t="shared" si="113"/>
        <v>139.444888421057</v>
      </c>
    </row>
    <row r="686" ht="15" hidden="1" spans="3:17">
      <c r="C686" s="55" t="s">
        <v>185</v>
      </c>
      <c r="D686" s="55" t="s">
        <v>186</v>
      </c>
      <c r="E686" s="147">
        <f>F4A!E685+F4B!E684</f>
        <v>27.6012698309839</v>
      </c>
      <c r="F686" s="147">
        <f>F4A!F685+F4B!F684</f>
        <v>31.271474814132</v>
      </c>
      <c r="G686" s="147">
        <f>F4A!G685+F4B!G684</f>
        <v>29.4484525072531</v>
      </c>
      <c r="H686" s="147">
        <f>F4A!H685+F4B!H684</f>
        <v>25.5200486109422</v>
      </c>
      <c r="I686" s="147">
        <f>F4A!I685+F4B!I684</f>
        <v>29.2882828896528</v>
      </c>
      <c r="J686" s="147">
        <f>F4A!J685+F4B!J684</f>
        <v>27.398981479051</v>
      </c>
      <c r="K686" s="147">
        <f>F4A!K685+F4B!K684</f>
        <v>28.5517123634121</v>
      </c>
      <c r="L686" s="147">
        <f>F4A!L685+F4B!L684</f>
        <v>27.4596969746069</v>
      </c>
      <c r="M686" s="147">
        <f>F4A!M685+F4B!M684</f>
        <v>27.3034965164917</v>
      </c>
      <c r="N686" s="147">
        <f>F4A!N685+F4B!N684</f>
        <v>30.249982168095</v>
      </c>
      <c r="O686" s="147">
        <f>F4A!O685+F4B!O684</f>
        <v>29.3738218231998</v>
      </c>
      <c r="P686" s="147">
        <f>F4A!P685+F4B!P684</f>
        <v>36.3670398179819</v>
      </c>
      <c r="Q686" s="316">
        <f t="shared" si="113"/>
        <v>349.834259795802</v>
      </c>
    </row>
    <row r="687" ht="15" hidden="1" spans="3:17">
      <c r="C687" s="55" t="s">
        <v>187</v>
      </c>
      <c r="D687" s="55" t="s">
        <v>188</v>
      </c>
      <c r="E687" s="147">
        <f>F4A!E686+F4B!E685</f>
        <v>0.1109377852</v>
      </c>
      <c r="F687" s="147">
        <f>F4A!F686+F4B!F685</f>
        <v>0.1343384955</v>
      </c>
      <c r="G687" s="147">
        <f>F4A!G686+F4B!G685</f>
        <v>0.1379108995</v>
      </c>
      <c r="H687" s="147">
        <f>F4A!H686+F4B!H685</f>
        <v>0.1862057021</v>
      </c>
      <c r="I687" s="147">
        <f>F4A!I686+F4B!I685</f>
        <v>0.2236573801</v>
      </c>
      <c r="J687" s="147">
        <f>F4A!J686+F4B!J685</f>
        <v>0.2174598448</v>
      </c>
      <c r="K687" s="147">
        <f>F4A!K686+F4B!K685</f>
        <v>0.2878010652</v>
      </c>
      <c r="L687" s="147">
        <f>F4A!L686+F4B!L685</f>
        <v>0.34757734</v>
      </c>
      <c r="M687" s="147">
        <f>F4A!M686+F4B!M685</f>
        <v>0.3500179947</v>
      </c>
      <c r="N687" s="147">
        <f>F4A!N686+F4B!N685</f>
        <v>0.4500599477</v>
      </c>
      <c r="O687" s="147">
        <f>F4A!O686+F4B!O685</f>
        <v>0.3950537107</v>
      </c>
      <c r="P687" s="147">
        <f>F4A!P686+F4B!P685</f>
        <v>0.5005099055</v>
      </c>
      <c r="Q687" s="316">
        <f t="shared" si="113"/>
        <v>3.341530071</v>
      </c>
    </row>
    <row r="688" ht="15" hidden="1" spans="3:17">
      <c r="C688" s="55"/>
      <c r="D688" s="55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316"/>
    </row>
    <row r="689" ht="15" hidden="1" spans="3:17">
      <c r="C689" s="55"/>
      <c r="D689" s="55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316"/>
    </row>
    <row r="690" ht="15" hidden="1" spans="3:17">
      <c r="C690" s="55"/>
      <c r="D690" s="55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316"/>
    </row>
    <row r="691" ht="15" hidden="1" spans="3:17">
      <c r="C691" s="55" t="s">
        <v>258</v>
      </c>
      <c r="D691" s="55" t="s">
        <v>258</v>
      </c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316"/>
    </row>
    <row r="692" ht="15" hidden="1" spans="3:17">
      <c r="C692" s="537" t="s">
        <v>189</v>
      </c>
      <c r="D692" s="540"/>
      <c r="E692" s="316">
        <f t="shared" ref="E692:P692" si="114">SUM(E679:E691)</f>
        <v>3327.42458045857</v>
      </c>
      <c r="F692" s="316">
        <f t="shared" si="114"/>
        <v>2942.59885345124</v>
      </c>
      <c r="G692" s="316">
        <f t="shared" si="114"/>
        <v>2667.78066024982</v>
      </c>
      <c r="H692" s="316">
        <f t="shared" si="114"/>
        <v>2547.07126494712</v>
      </c>
      <c r="I692" s="316">
        <f t="shared" si="114"/>
        <v>2974.48254965251</v>
      </c>
      <c r="J692" s="316">
        <f t="shared" si="114"/>
        <v>2925.54040484894</v>
      </c>
      <c r="K692" s="316">
        <f t="shared" si="114"/>
        <v>2552.6786829589</v>
      </c>
      <c r="L692" s="316">
        <f t="shared" si="114"/>
        <v>2331.10776613856</v>
      </c>
      <c r="M692" s="316">
        <f t="shared" si="114"/>
        <v>2679.87313267943</v>
      </c>
      <c r="N692" s="316">
        <f t="shared" si="114"/>
        <v>3231.68479239665</v>
      </c>
      <c r="O692" s="316">
        <f t="shared" si="114"/>
        <v>3264.10737898172</v>
      </c>
      <c r="P692" s="316">
        <f t="shared" si="114"/>
        <v>4024.09540233775</v>
      </c>
      <c r="Q692" s="316">
        <f>SUM(E692:P692)</f>
        <v>35468.4454691012</v>
      </c>
    </row>
    <row r="693" ht="15" hidden="1" spans="3:17">
      <c r="C693" s="44" t="s">
        <v>190</v>
      </c>
      <c r="D693" s="45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316">
        <f t="shared" ref="Q693:Q709" si="115">SUM(E693:P693)</f>
        <v>0</v>
      </c>
    </row>
    <row r="694" ht="15" hidden="1" spans="3:17">
      <c r="C694" s="55" t="s">
        <v>191</v>
      </c>
      <c r="D694" s="55" t="s">
        <v>192</v>
      </c>
      <c r="E694" s="147">
        <f>F4A!E693+F4B!E692</f>
        <v>470.260446609344</v>
      </c>
      <c r="F694" s="147">
        <f>F4A!F693+F4B!F692</f>
        <v>484.792033808526</v>
      </c>
      <c r="G694" s="147">
        <f>F4A!G693+F4B!G692</f>
        <v>470.965166651277</v>
      </c>
      <c r="H694" s="147">
        <f>F4A!H693+F4B!H692</f>
        <v>455.312416150867</v>
      </c>
      <c r="I694" s="147">
        <f>F4A!I693+F4B!I692</f>
        <v>474.159143799044</v>
      </c>
      <c r="J694" s="147">
        <f>F4A!J693+F4B!J692</f>
        <v>445.905724206725</v>
      </c>
      <c r="K694" s="147">
        <f>F4A!K693+F4B!K692</f>
        <v>455.385876732686</v>
      </c>
      <c r="L694" s="147">
        <f>F4A!L693+F4B!L692</f>
        <v>461.879069666434</v>
      </c>
      <c r="M694" s="147">
        <f>F4A!M693+F4B!M692</f>
        <v>486.252134136544</v>
      </c>
      <c r="N694" s="147">
        <f>F4A!N693+F4B!N692</f>
        <v>472.539656129902</v>
      </c>
      <c r="O694" s="147">
        <f>F4A!O693+F4B!O692</f>
        <v>465.90086265529</v>
      </c>
      <c r="P694" s="147">
        <f>F4A!P693+F4B!P692</f>
        <v>486.055346996795</v>
      </c>
      <c r="Q694" s="316">
        <f t="shared" si="115"/>
        <v>5629.40787754343</v>
      </c>
    </row>
    <row r="695" ht="15" hidden="1" spans="3:17">
      <c r="C695" s="55" t="s">
        <v>193</v>
      </c>
      <c r="D695" s="55" t="s">
        <v>194</v>
      </c>
      <c r="E695" s="147">
        <f>F4A!E694+F4B!E693</f>
        <v>0.0108243216</v>
      </c>
      <c r="F695" s="147">
        <f>F4A!F694+F4B!F693</f>
        <v>0.02464481541888</v>
      </c>
      <c r="G695" s="147">
        <f>F4A!G694+F4B!G693</f>
        <v>0.00920500308864</v>
      </c>
      <c r="H695" s="147">
        <f>F4A!H694+F4B!H693</f>
        <v>0</v>
      </c>
      <c r="I695" s="147">
        <f>F4A!I694+F4B!I693</f>
        <v>0</v>
      </c>
      <c r="J695" s="147">
        <f>F4A!J694+F4B!J693</f>
        <v>0</v>
      </c>
      <c r="K695" s="147">
        <f>F4A!K694+F4B!K693</f>
        <v>0</v>
      </c>
      <c r="L695" s="147">
        <f>F4A!L694+F4B!L693</f>
        <v>0.06988290268176</v>
      </c>
      <c r="M695" s="147">
        <f>F4A!M694+F4B!M693</f>
        <v>0.11000216826</v>
      </c>
      <c r="N695" s="147">
        <f>F4A!N694+F4B!N693</f>
        <v>0.04412318213808</v>
      </c>
      <c r="O695" s="147">
        <f>F4A!O694+F4B!O693</f>
        <v>0.01578402575712</v>
      </c>
      <c r="P695" s="147">
        <f>F4A!P694+F4B!P693</f>
        <v>0</v>
      </c>
      <c r="Q695" s="316">
        <f t="shared" si="115"/>
        <v>0.28446641894448</v>
      </c>
    </row>
    <row r="696" ht="15" hidden="1" spans="3:17">
      <c r="C696" s="55" t="s">
        <v>239</v>
      </c>
      <c r="D696" s="55" t="s">
        <v>196</v>
      </c>
      <c r="E696" s="147">
        <f>F4A!E695+F4B!E694</f>
        <v>329.677578180817</v>
      </c>
      <c r="F696" s="147">
        <f>F4A!F695+F4B!F694</f>
        <v>364.277193842191</v>
      </c>
      <c r="G696" s="147">
        <f>F4A!G695+F4B!G694</f>
        <v>365.20678841993</v>
      </c>
      <c r="H696" s="147">
        <f>F4A!H695+F4B!H694</f>
        <v>311.684340129972</v>
      </c>
      <c r="I696" s="147">
        <f>F4A!I695+F4B!I694</f>
        <v>336.319672707496</v>
      </c>
      <c r="J696" s="147">
        <f>F4A!J695+F4B!J694</f>
        <v>313.104187649877</v>
      </c>
      <c r="K696" s="147">
        <f>F4A!K695+F4B!K694</f>
        <v>326.808067691006</v>
      </c>
      <c r="L696" s="147">
        <f>F4A!L695+F4B!L694</f>
        <v>302.753426838276</v>
      </c>
      <c r="M696" s="147">
        <f>F4A!M695+F4B!M694</f>
        <v>280.016092030168</v>
      </c>
      <c r="N696" s="147">
        <f>F4A!N695+F4B!N694</f>
        <v>280.751655268083</v>
      </c>
      <c r="O696" s="147">
        <f>F4A!O695+F4B!O694</f>
        <v>307.689188263731</v>
      </c>
      <c r="P696" s="147">
        <f>F4A!P695+F4B!P694</f>
        <v>366.491003551275</v>
      </c>
      <c r="Q696" s="316">
        <f t="shared" si="115"/>
        <v>3884.77919457282</v>
      </c>
    </row>
    <row r="697" ht="15" hidden="1" spans="3:17">
      <c r="C697" s="55" t="s">
        <v>197</v>
      </c>
      <c r="D697" s="55" t="s">
        <v>198</v>
      </c>
      <c r="E697" s="147">
        <f>F4A!E696+F4B!E695</f>
        <v>0</v>
      </c>
      <c r="F697" s="147">
        <f>F4A!F696+F4B!F695</f>
        <v>0.05112218848464</v>
      </c>
      <c r="G697" s="147">
        <f>F4A!G696+F4B!G695</f>
        <v>0.03968845757856</v>
      </c>
      <c r="H697" s="147">
        <f>F4A!H696+F4B!H695</f>
        <v>0.02969760874176</v>
      </c>
      <c r="I697" s="147">
        <f>F4A!I696+F4B!I695</f>
        <v>0.02698611618096</v>
      </c>
      <c r="J697" s="147">
        <f>F4A!J696+F4B!J695</f>
        <v>0.03241559589552</v>
      </c>
      <c r="K697" s="147">
        <f>F4A!K696+F4B!K695</f>
        <v>0.02755547549712</v>
      </c>
      <c r="L697" s="147">
        <f>F4A!L696+F4B!L695</f>
        <v>0.02811292805952</v>
      </c>
      <c r="M697" s="147">
        <f>F4A!M696+F4B!M695</f>
        <v>0.03064473688176</v>
      </c>
      <c r="N697" s="147">
        <f>F4A!N696+F4B!N695</f>
        <v>0.03069128146464</v>
      </c>
      <c r="O697" s="147">
        <f>F4A!O696+F4B!O695</f>
        <v>0.03199561221744</v>
      </c>
      <c r="P697" s="147">
        <f>F4A!P696+F4B!P695</f>
        <v>0.03620410845552</v>
      </c>
      <c r="Q697" s="316">
        <f t="shared" ref="Q697" si="116">SUM(E697:P697)</f>
        <v>0.36511410945744</v>
      </c>
    </row>
    <row r="698" ht="15" hidden="1" spans="3:17">
      <c r="C698" s="55" t="s">
        <v>199</v>
      </c>
      <c r="D698" s="55" t="s">
        <v>200</v>
      </c>
      <c r="E698" s="147">
        <f>F4A!E697+F4B!E696</f>
        <v>0.502833815908796</v>
      </c>
      <c r="F698" s="147">
        <f>F4A!F697+F4B!F696</f>
        <v>0.577751338265527</v>
      </c>
      <c r="G698" s="147">
        <f>F4A!G697+F4B!G696</f>
        <v>0.586386083411058</v>
      </c>
      <c r="H698" s="147">
        <f>F4A!H697+F4B!H696</f>
        <v>0.528113090404943</v>
      </c>
      <c r="I698" s="147">
        <f>F4A!I697+F4B!I696</f>
        <v>0.523131861643328</v>
      </c>
      <c r="J698" s="147">
        <f>F4A!J697+F4B!J696</f>
        <v>0.52173163270081</v>
      </c>
      <c r="K698" s="147">
        <f>F4A!K697+F4B!K696</f>
        <v>0.529742735388892</v>
      </c>
      <c r="L698" s="147">
        <f>F4A!L697+F4B!L696</f>
        <v>0.494404754110753</v>
      </c>
      <c r="M698" s="147">
        <f>F4A!M697+F4B!M696</f>
        <v>0.463848910661725</v>
      </c>
      <c r="N698" s="147">
        <f>F4A!N697+F4B!N696</f>
        <v>0.487996926746685</v>
      </c>
      <c r="O698" s="147">
        <f>F4A!O697+F4B!O696</f>
        <v>0.512073744749822</v>
      </c>
      <c r="P698" s="147">
        <f>F4A!P697+F4B!P696</f>
        <v>0.627237960581488</v>
      </c>
      <c r="Q698" s="316">
        <f t="shared" si="115"/>
        <v>6.35525285457383</v>
      </c>
    </row>
    <row r="699" ht="15" hidden="1" spans="3:17">
      <c r="C699" s="55" t="s">
        <v>201</v>
      </c>
      <c r="D699" s="55" t="s">
        <v>202</v>
      </c>
      <c r="E699" s="147">
        <f>F4A!E698+F4B!E697</f>
        <v>2.23914888</v>
      </c>
      <c r="F699" s="147">
        <f>F4A!F698+F4B!F697</f>
        <v>0.408619201608</v>
      </c>
      <c r="G699" s="147">
        <f>F4A!G698+F4B!G697</f>
        <v>0.667135837656</v>
      </c>
      <c r="H699" s="147">
        <f>F4A!H698+F4B!H697</f>
        <v>1.10754365224896</v>
      </c>
      <c r="I699" s="147">
        <f>F4A!I698+F4B!I697</f>
        <v>1.91918227309056</v>
      </c>
      <c r="J699" s="147">
        <f>F4A!J698+F4B!J697</f>
        <v>1.794170569896</v>
      </c>
      <c r="K699" s="147">
        <f>F4A!K698+F4B!K697</f>
        <v>3.509570853576</v>
      </c>
      <c r="L699" s="147">
        <f>F4A!L698+F4B!L697</f>
        <v>1.49134460521464</v>
      </c>
      <c r="M699" s="147">
        <f>F4A!M698+F4B!M697</f>
        <v>1.314161783712</v>
      </c>
      <c r="N699" s="147">
        <f>F4A!N698+F4B!N697</f>
        <v>1.644815625372</v>
      </c>
      <c r="O699" s="147">
        <f>F4A!O698+F4B!O697</f>
        <v>1.914841592784</v>
      </c>
      <c r="P699" s="147">
        <f>F4A!P698+F4B!P697</f>
        <v>0.90943933788</v>
      </c>
      <c r="Q699" s="316">
        <f t="shared" si="115"/>
        <v>18.9199742130382</v>
      </c>
    </row>
    <row r="700" ht="15" hidden="1" spans="3:17">
      <c r="C700" s="55" t="s">
        <v>203</v>
      </c>
      <c r="D700" s="55" t="s">
        <v>204</v>
      </c>
      <c r="E700" s="147">
        <f>F4A!E699+F4B!E698</f>
        <v>16.0360448647928</v>
      </c>
      <c r="F700" s="147">
        <f>F4A!F699+F4B!F698</f>
        <v>15.3571837145695</v>
      </c>
      <c r="G700" s="147">
        <f>F4A!G699+F4B!G698</f>
        <v>15.2963162527872</v>
      </c>
      <c r="H700" s="147">
        <f>F4A!H699+F4B!H698</f>
        <v>15.1167839862072</v>
      </c>
      <c r="I700" s="147">
        <f>F4A!I699+F4B!I698</f>
        <v>15.2216453375199</v>
      </c>
      <c r="J700" s="147">
        <f>F4A!J699+F4B!J698</f>
        <v>14.5685108931748</v>
      </c>
      <c r="K700" s="147">
        <f>F4A!K699+F4B!K698</f>
        <v>15.5702747057217</v>
      </c>
      <c r="L700" s="147">
        <f>F4A!L699+F4B!L698</f>
        <v>15.6151554963989</v>
      </c>
      <c r="M700" s="147">
        <f>F4A!M699+F4B!M698</f>
        <v>15.8225497365458</v>
      </c>
      <c r="N700" s="147">
        <f>F4A!N699+F4B!N698</f>
        <v>16.069425725897</v>
      </c>
      <c r="O700" s="147">
        <f>F4A!O699+F4B!O698</f>
        <v>15.087082498518</v>
      </c>
      <c r="P700" s="147">
        <f>F4A!P699+F4B!P698</f>
        <v>16.4694370268031</v>
      </c>
      <c r="Q700" s="316">
        <f t="shared" si="115"/>
        <v>186.230410238936</v>
      </c>
    </row>
    <row r="701" ht="15" hidden="1" spans="3:17">
      <c r="C701" s="55" t="s">
        <v>205</v>
      </c>
      <c r="D701" s="55" t="s">
        <v>206</v>
      </c>
      <c r="E701" s="147">
        <f>F4A!E700+F4B!E699</f>
        <v>37.4614040238201</v>
      </c>
      <c r="F701" s="147">
        <f>F4A!F700+F4B!F699</f>
        <v>42.9822668558293</v>
      </c>
      <c r="G701" s="147">
        <f>F4A!G700+F4B!G699</f>
        <v>43.012875140117</v>
      </c>
      <c r="H701" s="147">
        <f>F4A!H700+F4B!H699</f>
        <v>33.0773789439213</v>
      </c>
      <c r="I701" s="147">
        <f>F4A!I700+F4B!I699</f>
        <v>34.4728352448507</v>
      </c>
      <c r="J701" s="147">
        <f>F4A!J700+F4B!J699</f>
        <v>32.7348446101289</v>
      </c>
      <c r="K701" s="147">
        <f>F4A!K700+F4B!K699</f>
        <v>33.0484042858091</v>
      </c>
      <c r="L701" s="147">
        <f>F4A!L700+F4B!L699</f>
        <v>31.249021303563</v>
      </c>
      <c r="M701" s="147">
        <f>F4A!M700+F4B!M699</f>
        <v>30.0269161242637</v>
      </c>
      <c r="N701" s="147">
        <f>F4A!N700+F4B!N699</f>
        <v>30.763090643338</v>
      </c>
      <c r="O701" s="147">
        <f>F4A!O700+F4B!O699</f>
        <v>32.4368815072639</v>
      </c>
      <c r="P701" s="147">
        <f>F4A!P700+F4B!P699</f>
        <v>44.5666042510068</v>
      </c>
      <c r="Q701" s="316">
        <f t="shared" si="115"/>
        <v>425.832522933912</v>
      </c>
    </row>
    <row r="702" ht="15" hidden="1" spans="3:17">
      <c r="C702" s="55" t="s">
        <v>207</v>
      </c>
      <c r="D702" s="55" t="s">
        <v>186</v>
      </c>
      <c r="E702" s="147">
        <f>F4A!E701+F4B!E700</f>
        <v>30.7846533517835</v>
      </c>
      <c r="F702" s="147">
        <f>F4A!F701+F4B!F700</f>
        <v>33.629130639915</v>
      </c>
      <c r="G702" s="147">
        <f>F4A!G701+F4B!G700</f>
        <v>33.4085909315106</v>
      </c>
      <c r="H702" s="147">
        <f>F4A!H701+F4B!H700</f>
        <v>31.4580090812115</v>
      </c>
      <c r="I702" s="147">
        <f>F4A!I701+F4B!I700</f>
        <v>35.5699455428689</v>
      </c>
      <c r="J702" s="147">
        <f>F4A!J701+F4B!J700</f>
        <v>34.6234121173544</v>
      </c>
      <c r="K702" s="147">
        <f>F4A!K701+F4B!K700</f>
        <v>36.0104514721012</v>
      </c>
      <c r="L702" s="147">
        <f>F4A!L701+F4B!L700</f>
        <v>34.5944494128745</v>
      </c>
      <c r="M702" s="147">
        <f>F4A!M701+F4B!M700</f>
        <v>35.8125209599932</v>
      </c>
      <c r="N702" s="147">
        <f>F4A!N701+F4B!N700</f>
        <v>34.6890823123518</v>
      </c>
      <c r="O702" s="147">
        <f>F4A!O701+F4B!O700</f>
        <v>35.1203742736718</v>
      </c>
      <c r="P702" s="147">
        <f>F4A!P701+F4B!P700</f>
        <v>39.3771985941404</v>
      </c>
      <c r="Q702" s="316">
        <f t="shared" si="115"/>
        <v>415.077818689777</v>
      </c>
    </row>
    <row r="703" ht="15" hidden="1" spans="3:17">
      <c r="C703" s="55" t="s">
        <v>208</v>
      </c>
      <c r="D703" s="55" t="s">
        <v>209</v>
      </c>
      <c r="E703" s="147">
        <f>F4A!E702+F4B!E701</f>
        <v>0</v>
      </c>
      <c r="F703" s="147">
        <f>F4A!F702+F4B!F701</f>
        <v>0</v>
      </c>
      <c r="G703" s="147">
        <f>F4A!G702+F4B!G701</f>
        <v>0</v>
      </c>
      <c r="H703" s="147">
        <f>F4A!H702+F4B!H701</f>
        <v>0</v>
      </c>
      <c r="I703" s="147">
        <f>F4A!I702+F4B!I701</f>
        <v>0</v>
      </c>
      <c r="J703" s="147">
        <f>F4A!J702+F4B!J701</f>
        <v>0</v>
      </c>
      <c r="K703" s="147">
        <f>F4A!K702+F4B!K701</f>
        <v>0</v>
      </c>
      <c r="L703" s="147">
        <f>F4A!L702+F4B!L701</f>
        <v>0</v>
      </c>
      <c r="M703" s="147">
        <f>F4A!M702+F4B!M701</f>
        <v>0</v>
      </c>
      <c r="N703" s="147">
        <f>F4A!N702+F4B!N701</f>
        <v>0</v>
      </c>
      <c r="O703" s="147">
        <f>F4A!O702+F4B!O701</f>
        <v>0</v>
      </c>
      <c r="P703" s="147">
        <f>F4A!P702+F4B!P701</f>
        <v>0</v>
      </c>
      <c r="Q703" s="316">
        <f t="shared" si="115"/>
        <v>0</v>
      </c>
    </row>
    <row r="704" ht="15" hidden="1" spans="3:17">
      <c r="C704" s="55" t="s">
        <v>210</v>
      </c>
      <c r="D704" s="55" t="s">
        <v>188</v>
      </c>
      <c r="E704" s="147">
        <f>F4A!E703+F4B!E702</f>
        <v>0.8793267472</v>
      </c>
      <c r="F704" s="147">
        <f>F4A!F703+F4B!F702</f>
        <v>1.0892406206</v>
      </c>
      <c r="G704" s="147">
        <f>F4A!G703+F4B!G702</f>
        <v>1.1773501586</v>
      </c>
      <c r="H704" s="147">
        <f>F4A!H703+F4B!H702</f>
        <v>1.1057146738</v>
      </c>
      <c r="I704" s="147">
        <f>F4A!I703+F4B!I702</f>
        <v>1.1702478095</v>
      </c>
      <c r="J704" s="147">
        <f>F4A!J703+F4B!J702</f>
        <v>1.3585135003</v>
      </c>
      <c r="K704" s="147">
        <f>F4A!K703+F4B!K702</f>
        <v>1.6437216444</v>
      </c>
      <c r="L704" s="147">
        <f>F4A!L703+F4B!L702</f>
        <v>1.6258552321</v>
      </c>
      <c r="M704" s="147">
        <f>F4A!M703+F4B!M702</f>
        <v>1.6831762112</v>
      </c>
      <c r="N704" s="147">
        <f>F4A!N703+F4B!N702</f>
        <v>1.7933014209</v>
      </c>
      <c r="O704" s="147">
        <f>F4A!O703+F4B!O702</f>
        <v>1.8723555004</v>
      </c>
      <c r="P704" s="147">
        <f>F4A!P703+F4B!P702</f>
        <v>2.2021806279</v>
      </c>
      <c r="Q704" s="316">
        <f t="shared" si="115"/>
        <v>17.6009841469</v>
      </c>
    </row>
    <row r="705" ht="15" hidden="1" spans="3:17">
      <c r="C705" s="55"/>
      <c r="D705" s="55"/>
      <c r="E705" s="147">
        <f>F4A!E704+F4B!E703</f>
        <v>0</v>
      </c>
      <c r="F705" s="147">
        <f>F4A!F704+F4B!F703</f>
        <v>0</v>
      </c>
      <c r="G705" s="147">
        <f>F4A!G704+F4B!G703</f>
        <v>0</v>
      </c>
      <c r="H705" s="147">
        <f>F4A!H704+F4B!H703</f>
        <v>0</v>
      </c>
      <c r="I705" s="147">
        <f>F4A!I704+F4B!I703</f>
        <v>0</v>
      </c>
      <c r="J705" s="147">
        <f>F4A!J704+F4B!J703</f>
        <v>0</v>
      </c>
      <c r="K705" s="147">
        <f>F4A!K704+F4B!K703</f>
        <v>0</v>
      </c>
      <c r="L705" s="147">
        <f>F4A!L704+F4B!L703</f>
        <v>0</v>
      </c>
      <c r="M705" s="147">
        <f>F4A!M704+F4B!M703</f>
        <v>0</v>
      </c>
      <c r="N705" s="147">
        <f>F4A!N704+F4B!N703</f>
        <v>0</v>
      </c>
      <c r="O705" s="147">
        <f>F4A!O704+F4B!O703</f>
        <v>0</v>
      </c>
      <c r="P705" s="147">
        <f>F4A!P704+F4B!P703</f>
        <v>0</v>
      </c>
      <c r="Q705" s="316">
        <f t="shared" si="115"/>
        <v>0</v>
      </c>
    </row>
    <row r="706" ht="15" hidden="1" spans="3:17">
      <c r="C706" s="55"/>
      <c r="D706" s="55"/>
      <c r="E706" s="147">
        <f>F4A!E705+F4B!E704</f>
        <v>0</v>
      </c>
      <c r="F706" s="147">
        <f>F4A!F705+F4B!F704</f>
        <v>0</v>
      </c>
      <c r="G706" s="147">
        <f>F4A!G705+F4B!G704</f>
        <v>0</v>
      </c>
      <c r="H706" s="147">
        <f>F4A!H705+F4B!H704</f>
        <v>0</v>
      </c>
      <c r="I706" s="147">
        <f>F4A!I705+F4B!I704</f>
        <v>0</v>
      </c>
      <c r="J706" s="147">
        <f>F4A!J705+F4B!J704</f>
        <v>0</v>
      </c>
      <c r="K706" s="147">
        <f>F4A!K705+F4B!K704</f>
        <v>0</v>
      </c>
      <c r="L706" s="147">
        <f>F4A!L705+F4B!L704</f>
        <v>0</v>
      </c>
      <c r="M706" s="147">
        <f>F4A!M705+F4B!M704</f>
        <v>0</v>
      </c>
      <c r="N706" s="147">
        <f>F4A!N705+F4B!N704</f>
        <v>0</v>
      </c>
      <c r="O706" s="147">
        <f>F4A!O705+F4B!O704</f>
        <v>0</v>
      </c>
      <c r="P706" s="147">
        <f>F4A!P705+F4B!P704</f>
        <v>0</v>
      </c>
      <c r="Q706" s="316">
        <f t="shared" si="115"/>
        <v>0</v>
      </c>
    </row>
    <row r="707" ht="15" hidden="1" spans="3:17">
      <c r="C707" s="55"/>
      <c r="D707" s="55"/>
      <c r="E707" s="147">
        <f>F4A!E706+F4B!E705</f>
        <v>0</v>
      </c>
      <c r="F707" s="147">
        <f>F4A!F706+F4B!F705</f>
        <v>0</v>
      </c>
      <c r="G707" s="147">
        <f>F4A!G706+F4B!G705</f>
        <v>0</v>
      </c>
      <c r="H707" s="147">
        <f>F4A!H706+F4B!H705</f>
        <v>0</v>
      </c>
      <c r="I707" s="147">
        <f>F4A!I706+F4B!I705</f>
        <v>0</v>
      </c>
      <c r="J707" s="147">
        <f>F4A!J706+F4B!J705</f>
        <v>0</v>
      </c>
      <c r="K707" s="147">
        <f>F4A!K706+F4B!K705</f>
        <v>0</v>
      </c>
      <c r="L707" s="147">
        <f>F4A!L706+F4B!L705</f>
        <v>0</v>
      </c>
      <c r="M707" s="147">
        <f>F4A!M706+F4B!M705</f>
        <v>0</v>
      </c>
      <c r="N707" s="147">
        <f>F4A!N706+F4B!N705</f>
        <v>0</v>
      </c>
      <c r="O707" s="147">
        <f>F4A!O706+F4B!O705</f>
        <v>0</v>
      </c>
      <c r="P707" s="147">
        <f>F4A!P706+F4B!P705</f>
        <v>0</v>
      </c>
      <c r="Q707" s="316">
        <f t="shared" si="115"/>
        <v>0</v>
      </c>
    </row>
    <row r="708" ht="15" hidden="1" spans="3:17">
      <c r="C708" s="55" t="s">
        <v>258</v>
      </c>
      <c r="D708" s="55" t="s">
        <v>258</v>
      </c>
      <c r="E708" s="147">
        <f>F4A!E707+F4B!E706</f>
        <v>0</v>
      </c>
      <c r="F708" s="147">
        <f>F4A!F707+F4B!F706</f>
        <v>0</v>
      </c>
      <c r="G708" s="147">
        <f>F4A!G707+F4B!G706</f>
        <v>0</v>
      </c>
      <c r="H708" s="147">
        <f>F4A!H707+F4B!H706</f>
        <v>0</v>
      </c>
      <c r="I708" s="147">
        <f>F4A!I707+F4B!I706</f>
        <v>0</v>
      </c>
      <c r="J708" s="147">
        <f>F4A!J707+F4B!J706</f>
        <v>0</v>
      </c>
      <c r="K708" s="147">
        <f>F4A!K707+F4B!K706</f>
        <v>0</v>
      </c>
      <c r="L708" s="147">
        <f>F4A!L707+F4B!L706</f>
        <v>0</v>
      </c>
      <c r="M708" s="147">
        <f>F4A!M707+F4B!M706</f>
        <v>0</v>
      </c>
      <c r="N708" s="147">
        <f>F4A!N707+F4B!N706</f>
        <v>0</v>
      </c>
      <c r="O708" s="147">
        <f>F4A!O707+F4B!O706</f>
        <v>0</v>
      </c>
      <c r="P708" s="147">
        <f>F4A!P707+F4B!P706</f>
        <v>0</v>
      </c>
      <c r="Q708" s="316">
        <f t="shared" si="115"/>
        <v>0</v>
      </c>
    </row>
    <row r="709" ht="15" hidden="1" spans="3:17">
      <c r="C709" s="537" t="s">
        <v>211</v>
      </c>
      <c r="D709" s="540"/>
      <c r="E709" s="316">
        <f t="shared" ref="E709:P709" si="117">SUM(E694:E708)</f>
        <v>887.852260795266</v>
      </c>
      <c r="F709" s="316">
        <f t="shared" si="117"/>
        <v>943.189187025408</v>
      </c>
      <c r="G709" s="316">
        <f t="shared" si="117"/>
        <v>930.369502935956</v>
      </c>
      <c r="H709" s="316">
        <f t="shared" si="117"/>
        <v>849.419997317375</v>
      </c>
      <c r="I709" s="316">
        <f t="shared" si="117"/>
        <v>899.382790692194</v>
      </c>
      <c r="J709" s="316">
        <f t="shared" si="117"/>
        <v>844.643510776052</v>
      </c>
      <c r="K709" s="316">
        <f t="shared" si="117"/>
        <v>872.533665596186</v>
      </c>
      <c r="L709" s="316">
        <f t="shared" si="117"/>
        <v>849.800723139713</v>
      </c>
      <c r="M709" s="316">
        <f t="shared" si="117"/>
        <v>851.53204679823</v>
      </c>
      <c r="N709" s="316">
        <f t="shared" si="117"/>
        <v>838.813838516193</v>
      </c>
      <c r="O709" s="316">
        <f t="shared" si="117"/>
        <v>860.581439674383</v>
      </c>
      <c r="P709" s="316">
        <f t="shared" si="117"/>
        <v>956.734652454837</v>
      </c>
      <c r="Q709" s="316">
        <f t="shared" si="115"/>
        <v>10584.8536157218</v>
      </c>
    </row>
    <row r="710" ht="15" hidden="1" spans="3:17">
      <c r="C710" s="44" t="s">
        <v>212</v>
      </c>
      <c r="D710" s="45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316">
        <f t="shared" ref="Q710:Q726" si="118">SUM(E710:P710)</f>
        <v>0</v>
      </c>
    </row>
    <row r="711" ht="15" hidden="1" spans="3:17">
      <c r="C711" s="55" t="s">
        <v>191</v>
      </c>
      <c r="D711" s="55" t="s">
        <v>192</v>
      </c>
      <c r="E711" s="147">
        <f>F4A!E710+F4B!E709</f>
        <v>786.885553584298</v>
      </c>
      <c r="F711" s="147">
        <f>F4A!F710+F4B!F709</f>
        <v>839.376072856808</v>
      </c>
      <c r="G711" s="147">
        <f>F4A!G710+F4B!G709</f>
        <v>818.240858528784</v>
      </c>
      <c r="H711" s="147">
        <f>F4A!H710+F4B!H709</f>
        <v>817.637684099481</v>
      </c>
      <c r="I711" s="147">
        <f>F4A!I710+F4B!I709</f>
        <v>837.931455965055</v>
      </c>
      <c r="J711" s="147">
        <f>F4A!J710+F4B!J709</f>
        <v>816.625216226542</v>
      </c>
      <c r="K711" s="147">
        <f>F4A!K710+F4B!K709</f>
        <v>835.773315644608</v>
      </c>
      <c r="L711" s="147">
        <f>F4A!L710+F4B!L709</f>
        <v>838.915748034035</v>
      </c>
      <c r="M711" s="147">
        <f>F4A!M710+F4B!M709</f>
        <v>855.814763935738</v>
      </c>
      <c r="N711" s="147">
        <f>F4A!N710+F4B!N709</f>
        <v>851.999270381472</v>
      </c>
      <c r="O711" s="147">
        <f>F4A!O710+F4B!O709</f>
        <v>829.51285243775</v>
      </c>
      <c r="P711" s="147">
        <f>F4A!P710+F4B!P709</f>
        <v>926.677889639326</v>
      </c>
      <c r="Q711" s="316">
        <f t="shared" si="118"/>
        <v>10055.3906813339</v>
      </c>
    </row>
    <row r="712" ht="15" hidden="1" spans="3:17">
      <c r="C712" s="55" t="s">
        <v>193</v>
      </c>
      <c r="D712" s="55" t="s">
        <v>194</v>
      </c>
      <c r="E712" s="147">
        <f>F4A!E711+F4B!E710</f>
        <v>0</v>
      </c>
      <c r="F712" s="147">
        <f>F4A!F711+F4B!F710</f>
        <v>0</v>
      </c>
      <c r="G712" s="147">
        <f>F4A!G711+F4B!G710</f>
        <v>0</v>
      </c>
      <c r="H712" s="147">
        <f>F4A!H711+F4B!H710</f>
        <v>0</v>
      </c>
      <c r="I712" s="147">
        <f>F4A!I711+F4B!I710</f>
        <v>0</v>
      </c>
      <c r="J712" s="147">
        <f>F4A!J711+F4B!J710</f>
        <v>0</v>
      </c>
      <c r="K712" s="147">
        <f>F4A!K711+F4B!K710</f>
        <v>0</v>
      </c>
      <c r="L712" s="147">
        <f>F4A!L711+F4B!L710</f>
        <v>0</v>
      </c>
      <c r="M712" s="147">
        <f>F4A!M711+F4B!M710</f>
        <v>0</v>
      </c>
      <c r="N712" s="147">
        <f>F4A!N711+F4B!N710</f>
        <v>0</v>
      </c>
      <c r="O712" s="147">
        <f>F4A!O711+F4B!O710</f>
        <v>0</v>
      </c>
      <c r="P712" s="147">
        <f>F4A!P711+F4B!P710</f>
        <v>0</v>
      </c>
      <c r="Q712" s="316">
        <f t="shared" si="118"/>
        <v>0</v>
      </c>
    </row>
    <row r="713" ht="15" hidden="1" spans="3:17">
      <c r="C713" s="55" t="s">
        <v>239</v>
      </c>
      <c r="D713" s="55" t="s">
        <v>196</v>
      </c>
      <c r="E713" s="147">
        <f>F4A!E712+F4B!E711</f>
        <v>297.363522552856</v>
      </c>
      <c r="F713" s="147">
        <f>F4A!F712+F4B!F711</f>
        <v>321.531714114822</v>
      </c>
      <c r="G713" s="147">
        <f>F4A!G712+F4B!G711</f>
        <v>323.394609132329</v>
      </c>
      <c r="H713" s="147">
        <f>F4A!H712+F4B!H711</f>
        <v>300.09530469772</v>
      </c>
      <c r="I713" s="147">
        <f>F4A!I712+F4B!I711</f>
        <v>301.526622396847</v>
      </c>
      <c r="J713" s="147">
        <f>F4A!J712+F4B!J711</f>
        <v>282.664173741666</v>
      </c>
      <c r="K713" s="147">
        <f>F4A!K712+F4B!K711</f>
        <v>277.483646267226</v>
      </c>
      <c r="L713" s="147">
        <f>F4A!L712+F4B!L711</f>
        <v>277.483646267226</v>
      </c>
      <c r="M713" s="147">
        <f>F4A!M712+F4B!M711</f>
        <v>259.837055890266</v>
      </c>
      <c r="N713" s="147">
        <f>F4A!N712+F4B!N711</f>
        <v>262.379951099788</v>
      </c>
      <c r="O713" s="147">
        <f>F4A!O712+F4B!O711</f>
        <v>268.188952133766</v>
      </c>
      <c r="P713" s="147">
        <f>F4A!P712+F4B!P711</f>
        <v>315.092621182658</v>
      </c>
      <c r="Q713" s="316">
        <f t="shared" si="118"/>
        <v>3487.04181947717</v>
      </c>
    </row>
    <row r="714" ht="15" hidden="1" spans="3:17">
      <c r="C714" s="55" t="s">
        <v>197</v>
      </c>
      <c r="D714" s="55" t="s">
        <v>198</v>
      </c>
      <c r="E714" s="147">
        <f>F4A!E713+F4B!E712</f>
        <v>0</v>
      </c>
      <c r="F714" s="147">
        <f>F4A!F713+F4B!F712</f>
        <v>0.462090289104</v>
      </c>
      <c r="G714" s="147">
        <f>F4A!G713+F4B!G712</f>
        <v>0.448072792632</v>
      </c>
      <c r="H714" s="147">
        <f>F4A!H713+F4B!H712</f>
        <v>0.375982810776</v>
      </c>
      <c r="I714" s="147">
        <f>F4A!I713+F4B!I712</f>
        <v>0.398930372568</v>
      </c>
      <c r="J714" s="147">
        <f>F4A!J713+F4B!J712</f>
        <v>0.3630802194288</v>
      </c>
      <c r="K714" s="147">
        <f>F4A!K713+F4B!K712</f>
        <v>0.3764374322832</v>
      </c>
      <c r="L714" s="147">
        <f>F4A!L713+F4B!L712</f>
        <v>0.317585595744</v>
      </c>
      <c r="M714" s="147">
        <f>F4A!M713+F4B!M712</f>
        <v>0.329925322368</v>
      </c>
      <c r="N714" s="147">
        <f>F4A!N713+F4B!N712</f>
        <v>0.289875332448</v>
      </c>
      <c r="O714" s="147">
        <f>F4A!O713+F4B!O712</f>
        <v>0.326461539456</v>
      </c>
      <c r="P714" s="147">
        <f>F4A!P713+F4B!P712</f>
        <v>0.446395022784</v>
      </c>
      <c r="Q714" s="316">
        <f t="shared" ref="Q714" si="119">SUM(E714:P714)</f>
        <v>4.134836729592</v>
      </c>
    </row>
    <row r="715" ht="15" hidden="1" spans="3:17">
      <c r="C715" s="55" t="s">
        <v>199</v>
      </c>
      <c r="D715" s="55" t="s">
        <v>200</v>
      </c>
      <c r="E715" s="147">
        <f>F4A!E714+F4B!E713</f>
        <v>0</v>
      </c>
      <c r="F715" s="147">
        <f>F4A!F714+F4B!F713</f>
        <v>0</v>
      </c>
      <c r="G715" s="147">
        <f>F4A!G714+F4B!G713</f>
        <v>0</v>
      </c>
      <c r="H715" s="147">
        <f>F4A!H714+F4B!H713</f>
        <v>0</v>
      </c>
      <c r="I715" s="147">
        <f>F4A!I714+F4B!I713</f>
        <v>0</v>
      </c>
      <c r="J715" s="147">
        <f>F4A!J714+F4B!J713</f>
        <v>0</v>
      </c>
      <c r="K715" s="147">
        <f>F4A!K714+F4B!K713</f>
        <v>0</v>
      </c>
      <c r="L715" s="147">
        <f>F4A!L714+F4B!L713</f>
        <v>0</v>
      </c>
      <c r="M715" s="147">
        <f>F4A!M714+F4B!M713</f>
        <v>0</v>
      </c>
      <c r="N715" s="147">
        <f>F4A!N714+F4B!N713</f>
        <v>0</v>
      </c>
      <c r="O715" s="147">
        <f>F4A!O714+F4B!O713</f>
        <v>0</v>
      </c>
      <c r="P715" s="147">
        <f>F4A!P714+F4B!P713</f>
        <v>0</v>
      </c>
      <c r="Q715" s="316">
        <f t="shared" si="118"/>
        <v>0</v>
      </c>
    </row>
    <row r="716" ht="15" hidden="1" spans="3:17">
      <c r="C716" s="55" t="s">
        <v>201</v>
      </c>
      <c r="D716" s="55" t="s">
        <v>202</v>
      </c>
      <c r="E716" s="147">
        <f>F4A!E715+F4B!E714</f>
        <v>2.70077658610091</v>
      </c>
      <c r="F716" s="147">
        <f>F4A!F715+F4B!F714</f>
        <v>4.32092479445308</v>
      </c>
      <c r="G716" s="147">
        <f>F4A!G715+F4B!G714</f>
        <v>4.05909807809245</v>
      </c>
      <c r="H716" s="147">
        <f>F4A!H715+F4B!H714</f>
        <v>4.59626079330371</v>
      </c>
      <c r="I716" s="147">
        <f>F4A!I715+F4B!I714</f>
        <v>7.77765009274001</v>
      </c>
      <c r="J716" s="147">
        <f>F4A!J715+F4B!J714</f>
        <v>7.33022390272362</v>
      </c>
      <c r="K716" s="147">
        <f>F4A!K715+F4B!K714</f>
        <v>9.7316572177857</v>
      </c>
      <c r="L716" s="147">
        <f>F4A!L715+F4B!L714</f>
        <v>9.50130370298323</v>
      </c>
      <c r="M716" s="147">
        <f>F4A!M715+F4B!M714</f>
        <v>7.80455443626927</v>
      </c>
      <c r="N716" s="147">
        <f>F4A!N715+F4B!N714</f>
        <v>9.81338785766174</v>
      </c>
      <c r="O716" s="147">
        <f>F4A!O715+F4B!O714</f>
        <v>10.0649865622986</v>
      </c>
      <c r="P716" s="147">
        <f>F4A!P715+F4B!P714</f>
        <v>12.4781431517121</v>
      </c>
      <c r="Q716" s="316">
        <f t="shared" si="118"/>
        <v>90.1789671761244</v>
      </c>
    </row>
    <row r="717" ht="15" hidden="1" spans="3:17">
      <c r="C717" s="55" t="s">
        <v>203</v>
      </c>
      <c r="D717" s="55" t="s">
        <v>204</v>
      </c>
      <c r="E717" s="147">
        <f>F4A!E716+F4B!E715</f>
        <v>26.5324982974759</v>
      </c>
      <c r="F717" s="147">
        <f>F4A!F716+F4B!F715</f>
        <v>27.509251080372</v>
      </c>
      <c r="G717" s="147">
        <f>F4A!G716+F4B!G715</f>
        <v>26.0966832933071</v>
      </c>
      <c r="H717" s="147">
        <f>F4A!H716+F4B!H715</f>
        <v>26.2671633715087</v>
      </c>
      <c r="I717" s="147">
        <f>F4A!I716+F4B!I715</f>
        <v>28.4878559893035</v>
      </c>
      <c r="J717" s="147">
        <f>F4A!J716+F4B!J715</f>
        <v>26.7632147133001</v>
      </c>
      <c r="K717" s="147">
        <f>F4A!K716+F4B!K715</f>
        <v>26.3577680774245</v>
      </c>
      <c r="L717" s="147">
        <f>F4A!L716+F4B!L715</f>
        <v>27.9327315750136</v>
      </c>
      <c r="M717" s="147">
        <f>F4A!M716+F4B!M715</f>
        <v>27.1226246444915</v>
      </c>
      <c r="N717" s="147">
        <f>F4A!N716+F4B!N715</f>
        <v>28.6411730329102</v>
      </c>
      <c r="O717" s="147">
        <f>F4A!O716+F4B!O715</f>
        <v>27.545819196868</v>
      </c>
      <c r="P717" s="147">
        <f>F4A!P716+F4B!P715</f>
        <v>30.4589859965275</v>
      </c>
      <c r="Q717" s="316">
        <f t="shared" si="118"/>
        <v>329.715769268503</v>
      </c>
    </row>
    <row r="718" ht="15" hidden="1" spans="3:17">
      <c r="C718" s="55" t="s">
        <v>205</v>
      </c>
      <c r="D718" s="55" t="s">
        <v>206</v>
      </c>
      <c r="E718" s="147">
        <f>F4A!E717+F4B!E716</f>
        <v>1.08039057525</v>
      </c>
      <c r="F718" s="147">
        <f>F4A!F717+F4B!F716</f>
        <v>1.90182362146875</v>
      </c>
      <c r="G718" s="147">
        <f>F4A!G717+F4B!G716</f>
        <v>1.7896020069375</v>
      </c>
      <c r="H718" s="147">
        <f>F4A!H717+F4B!H716</f>
        <v>2.10952932946875</v>
      </c>
      <c r="I718" s="147">
        <f>F4A!I717+F4B!I716</f>
        <v>2.218177355625</v>
      </c>
      <c r="J718" s="147">
        <f>F4A!J717+F4B!J716</f>
        <v>2.040956544375</v>
      </c>
      <c r="K718" s="147">
        <f>F4A!K717+F4B!K716</f>
        <v>0</v>
      </c>
      <c r="L718" s="147">
        <f>F4A!L717+F4B!L716</f>
        <v>0</v>
      </c>
      <c r="M718" s="147">
        <f>F4A!M717+F4B!M716</f>
        <v>0</v>
      </c>
      <c r="N718" s="147">
        <f>F4A!N717+F4B!N716</f>
        <v>0</v>
      </c>
      <c r="O718" s="147">
        <f>F4A!O717+F4B!O716</f>
        <v>0</v>
      </c>
      <c r="P718" s="147">
        <f>F4A!P717+F4B!P716</f>
        <v>0</v>
      </c>
      <c r="Q718" s="316">
        <f t="shared" si="118"/>
        <v>11.140479433125</v>
      </c>
    </row>
    <row r="719" ht="15" hidden="1" spans="3:17">
      <c r="C719" s="55" t="s">
        <v>231</v>
      </c>
      <c r="D719" s="55" t="s">
        <v>186</v>
      </c>
      <c r="E719" s="147">
        <f>F4A!E718+F4B!E717</f>
        <v>23.7916309222181</v>
      </c>
      <c r="F719" s="147">
        <f>F4A!F718+F4B!F717</f>
        <v>26.2632784256247</v>
      </c>
      <c r="G719" s="147">
        <f>F4A!G718+F4B!G717</f>
        <v>27.0892372820073</v>
      </c>
      <c r="H719" s="147">
        <f>F4A!H718+F4B!H717</f>
        <v>19.9039345751448</v>
      </c>
      <c r="I719" s="147">
        <f>F4A!I718+F4B!I717</f>
        <v>20.5077873174806</v>
      </c>
      <c r="J719" s="147">
        <f>F4A!J718+F4B!J717</f>
        <v>18.731399955242</v>
      </c>
      <c r="K719" s="147">
        <f>F4A!K718+F4B!K717</f>
        <v>19.9367437176472</v>
      </c>
      <c r="L719" s="147">
        <f>F4A!L718+F4B!L717</f>
        <v>18.4797788266767</v>
      </c>
      <c r="M719" s="147">
        <f>F4A!M718+F4B!M717</f>
        <v>17.8985401798963</v>
      </c>
      <c r="N719" s="147">
        <f>F4A!N718+F4B!N717</f>
        <v>17.9274205629783</v>
      </c>
      <c r="O719" s="147">
        <f>F4A!O718+F4B!O717</f>
        <v>20.1415677568583</v>
      </c>
      <c r="P719" s="147">
        <f>F4A!P718+F4B!P717</f>
        <v>26.2182102881898</v>
      </c>
      <c r="Q719" s="316">
        <f t="shared" si="118"/>
        <v>256.889529809964</v>
      </c>
    </row>
    <row r="720" ht="15" hidden="1" spans="3:17">
      <c r="C720" s="55" t="s">
        <v>208</v>
      </c>
      <c r="D720" s="55" t="s">
        <v>209</v>
      </c>
      <c r="E720" s="147">
        <f>F4A!E719+F4B!E718</f>
        <v>5.09358603465952</v>
      </c>
      <c r="F720" s="147">
        <f>F4A!F719+F4B!F718</f>
        <v>5.08253004552661</v>
      </c>
      <c r="G720" s="147">
        <f>F4A!G719+F4B!G718</f>
        <v>5.0018150151606</v>
      </c>
      <c r="H720" s="147">
        <f>F4A!H719+F4B!H718</f>
        <v>5.37968166213946</v>
      </c>
      <c r="I720" s="147">
        <f>F4A!I719+F4B!I718</f>
        <v>5.75462481674772</v>
      </c>
      <c r="J720" s="147">
        <f>F4A!J719+F4B!J718</f>
        <v>5.73496660905674</v>
      </c>
      <c r="K720" s="147">
        <f>F4A!K719+F4B!K718</f>
        <v>6.37887807253257</v>
      </c>
      <c r="L720" s="147">
        <f>F4A!L719+F4B!L718</f>
        <v>3.60834674880257</v>
      </c>
      <c r="M720" s="147">
        <f>F4A!M719+F4B!M718</f>
        <v>3.48019402352918</v>
      </c>
      <c r="N720" s="147">
        <f>F4A!N719+F4B!N718</f>
        <v>3.44200634261163</v>
      </c>
      <c r="O720" s="147">
        <f>F4A!O719+F4B!O718</f>
        <v>3.67545106432861</v>
      </c>
      <c r="P720" s="147">
        <f>F4A!P719+F4B!P718</f>
        <v>3.7519736523982</v>
      </c>
      <c r="Q720" s="316">
        <f t="shared" si="118"/>
        <v>56.3840540874934</v>
      </c>
    </row>
    <row r="721" ht="15" hidden="1" spans="3:17">
      <c r="C721" s="55" t="s">
        <v>210</v>
      </c>
      <c r="D721" s="55" t="s">
        <v>188</v>
      </c>
      <c r="E721" s="147">
        <f>F4A!E720+F4B!E719</f>
        <v>0</v>
      </c>
      <c r="F721" s="147">
        <f>F4A!F720+F4B!F719</f>
        <v>0</v>
      </c>
      <c r="G721" s="147">
        <f>F4A!G720+F4B!G719</f>
        <v>0</v>
      </c>
      <c r="H721" s="147">
        <f>F4A!H720+F4B!H719</f>
        <v>0</v>
      </c>
      <c r="I721" s="147">
        <f>F4A!I720+F4B!I719</f>
        <v>0</v>
      </c>
      <c r="J721" s="147">
        <f>F4A!J720+F4B!J719</f>
        <v>0</v>
      </c>
      <c r="K721" s="147">
        <f>F4A!K720+F4B!K719</f>
        <v>0</v>
      </c>
      <c r="L721" s="147">
        <f>F4A!L720+F4B!L719</f>
        <v>0</v>
      </c>
      <c r="M721" s="147">
        <f>F4A!M720+F4B!M719</f>
        <v>0</v>
      </c>
      <c r="N721" s="147">
        <f>F4A!N720+F4B!N719</f>
        <v>0</v>
      </c>
      <c r="O721" s="147">
        <f>F4A!O720+F4B!O719</f>
        <v>0</v>
      </c>
      <c r="P721" s="147">
        <f>F4A!P720+F4B!P719</f>
        <v>0</v>
      </c>
      <c r="Q721" s="316">
        <f t="shared" si="118"/>
        <v>0</v>
      </c>
    </row>
    <row r="722" ht="15" hidden="1" spans="3:17">
      <c r="C722" s="55"/>
      <c r="D722" s="55"/>
      <c r="E722" s="147">
        <f>F4A!E721+F4B!E720</f>
        <v>0</v>
      </c>
      <c r="F722" s="147">
        <f>F4A!F721+F4B!F720</f>
        <v>0</v>
      </c>
      <c r="G722" s="147">
        <f>F4A!G721+F4B!G720</f>
        <v>0</v>
      </c>
      <c r="H722" s="147">
        <f>F4A!H721+F4B!H720</f>
        <v>0</v>
      </c>
      <c r="I722" s="147">
        <f>F4A!I721+F4B!I720</f>
        <v>0</v>
      </c>
      <c r="J722" s="147">
        <f>F4A!J721+F4B!J720</f>
        <v>0</v>
      </c>
      <c r="K722" s="147">
        <f>F4A!K721+F4B!K720</f>
        <v>0</v>
      </c>
      <c r="L722" s="147">
        <f>F4A!L721+F4B!L720</f>
        <v>0</v>
      </c>
      <c r="M722" s="147">
        <f>F4A!M721+F4B!M720</f>
        <v>0</v>
      </c>
      <c r="N722" s="147">
        <f>F4A!N721+F4B!N720</f>
        <v>0</v>
      </c>
      <c r="O722" s="147">
        <f>F4A!O721+F4B!O720</f>
        <v>0</v>
      </c>
      <c r="P722" s="147">
        <f>F4A!P721+F4B!P720</f>
        <v>0</v>
      </c>
      <c r="Q722" s="316">
        <f t="shared" si="118"/>
        <v>0</v>
      </c>
    </row>
    <row r="723" ht="15" hidden="1" spans="3:17">
      <c r="C723" s="55"/>
      <c r="D723" s="55"/>
      <c r="E723" s="147">
        <f>F4A!E722+F4B!E721</f>
        <v>0</v>
      </c>
      <c r="F723" s="147">
        <f>F4A!F722+F4B!F721</f>
        <v>0</v>
      </c>
      <c r="G723" s="147">
        <f>F4A!G722+F4B!G721</f>
        <v>0</v>
      </c>
      <c r="H723" s="147">
        <f>F4A!H722+F4B!H721</f>
        <v>0</v>
      </c>
      <c r="I723" s="147">
        <f>F4A!I722+F4B!I721</f>
        <v>0</v>
      </c>
      <c r="J723" s="147">
        <f>F4A!J722+F4B!J721</f>
        <v>0</v>
      </c>
      <c r="K723" s="147">
        <f>F4A!K722+F4B!K721</f>
        <v>0</v>
      </c>
      <c r="L723" s="147">
        <f>F4A!L722+F4B!L721</f>
        <v>0</v>
      </c>
      <c r="M723" s="147">
        <f>F4A!M722+F4B!M721</f>
        <v>0</v>
      </c>
      <c r="N723" s="147">
        <f>F4A!N722+F4B!N721</f>
        <v>0</v>
      </c>
      <c r="O723" s="147">
        <f>F4A!O722+F4B!O721</f>
        <v>0</v>
      </c>
      <c r="P723" s="147">
        <f>F4A!P722+F4B!P721</f>
        <v>0</v>
      </c>
      <c r="Q723" s="316">
        <f t="shared" si="118"/>
        <v>0</v>
      </c>
    </row>
    <row r="724" ht="15" hidden="1" spans="3:17">
      <c r="C724" s="55"/>
      <c r="D724" s="55"/>
      <c r="E724" s="147">
        <f>F4A!E723+F4B!E722</f>
        <v>0</v>
      </c>
      <c r="F724" s="147">
        <f>F4A!F723+F4B!F722</f>
        <v>0</v>
      </c>
      <c r="G724" s="147">
        <f>F4A!G723+F4B!G722</f>
        <v>0</v>
      </c>
      <c r="H724" s="147">
        <f>F4A!H723+F4B!H722</f>
        <v>0</v>
      </c>
      <c r="I724" s="147">
        <f>F4A!I723+F4B!I722</f>
        <v>0</v>
      </c>
      <c r="J724" s="147">
        <f>F4A!J723+F4B!J722</f>
        <v>0</v>
      </c>
      <c r="K724" s="147">
        <f>F4A!K723+F4B!K722</f>
        <v>0</v>
      </c>
      <c r="L724" s="147">
        <f>F4A!L723+F4B!L722</f>
        <v>0</v>
      </c>
      <c r="M724" s="147">
        <f>F4A!M723+F4B!M722</f>
        <v>0</v>
      </c>
      <c r="N724" s="147">
        <f>F4A!N723+F4B!N722</f>
        <v>0</v>
      </c>
      <c r="O724" s="147">
        <f>F4A!O723+F4B!O722</f>
        <v>0</v>
      </c>
      <c r="P724" s="147">
        <f>F4A!P723+F4B!P722</f>
        <v>0</v>
      </c>
      <c r="Q724" s="316">
        <f t="shared" si="118"/>
        <v>0</v>
      </c>
    </row>
    <row r="725" ht="15" hidden="1" spans="3:17">
      <c r="C725" s="55" t="s">
        <v>258</v>
      </c>
      <c r="D725" s="55" t="s">
        <v>258</v>
      </c>
      <c r="E725" s="147">
        <f>F4A!E724+F4B!E723</f>
        <v>0</v>
      </c>
      <c r="F725" s="147">
        <f>F4A!F724+F4B!F723</f>
        <v>0</v>
      </c>
      <c r="G725" s="147">
        <f>F4A!G724+F4B!G723</f>
        <v>0</v>
      </c>
      <c r="H725" s="147">
        <f>F4A!H724+F4B!H723</f>
        <v>0</v>
      </c>
      <c r="I725" s="147">
        <f>F4A!I724+F4B!I723</f>
        <v>0</v>
      </c>
      <c r="J725" s="147">
        <f>F4A!J724+F4B!J723</f>
        <v>0</v>
      </c>
      <c r="K725" s="147">
        <f>F4A!K724+F4B!K723</f>
        <v>0</v>
      </c>
      <c r="L725" s="147">
        <f>F4A!L724+F4B!L723</f>
        <v>0</v>
      </c>
      <c r="M725" s="147">
        <f>F4A!M724+F4B!M723</f>
        <v>0</v>
      </c>
      <c r="N725" s="147">
        <f>F4A!N724+F4B!N723</f>
        <v>0</v>
      </c>
      <c r="O725" s="147">
        <f>F4A!O724+F4B!O723</f>
        <v>0</v>
      </c>
      <c r="P725" s="147">
        <f>F4A!P724+F4B!P723</f>
        <v>0</v>
      </c>
      <c r="Q725" s="316">
        <f t="shared" si="118"/>
        <v>0</v>
      </c>
    </row>
    <row r="726" ht="15" hidden="1" spans="3:17">
      <c r="C726" s="537" t="s">
        <v>211</v>
      </c>
      <c r="D726" s="540"/>
      <c r="E726" s="316">
        <f t="shared" ref="E726:P726" si="120">SUM(E711:E725)</f>
        <v>1143.44795855286</v>
      </c>
      <c r="F726" s="316">
        <f t="shared" si="120"/>
        <v>1226.44768522818</v>
      </c>
      <c r="G726" s="316">
        <f t="shared" si="120"/>
        <v>1206.11997612925</v>
      </c>
      <c r="H726" s="316">
        <f t="shared" si="120"/>
        <v>1176.36554133954</v>
      </c>
      <c r="I726" s="316">
        <f t="shared" si="120"/>
        <v>1204.60310430637</v>
      </c>
      <c r="J726" s="316">
        <f t="shared" si="120"/>
        <v>1160.25323191233</v>
      </c>
      <c r="K726" s="316">
        <f t="shared" si="120"/>
        <v>1176.03844642951</v>
      </c>
      <c r="L726" s="316">
        <f t="shared" si="120"/>
        <v>1176.23914075048</v>
      </c>
      <c r="M726" s="316">
        <f t="shared" si="120"/>
        <v>1172.28765843256</v>
      </c>
      <c r="N726" s="316">
        <f t="shared" si="120"/>
        <v>1174.49308460987</v>
      </c>
      <c r="O726" s="316">
        <f t="shared" si="120"/>
        <v>1159.45609069133</v>
      </c>
      <c r="P726" s="316">
        <f t="shared" si="120"/>
        <v>1315.1242189336</v>
      </c>
      <c r="Q726" s="316">
        <f t="shared" si="118"/>
        <v>14290.8761373159</v>
      </c>
    </row>
    <row r="727" ht="15" hidden="1" spans="3:17">
      <c r="C727" s="44" t="s">
        <v>219</v>
      </c>
      <c r="D727" s="45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316">
        <f t="shared" ref="Q727:Q747" si="121">SUM(E727:P727)</f>
        <v>0</v>
      </c>
    </row>
    <row r="728" ht="15" hidden="1" spans="3:17">
      <c r="C728" s="55" t="s">
        <v>191</v>
      </c>
      <c r="D728" s="55" t="s">
        <v>192</v>
      </c>
      <c r="E728" s="147">
        <f>F4A!E727+F4B!E726</f>
        <v>804.453113278249</v>
      </c>
      <c r="F728" s="147">
        <f>F4A!F727+F4B!F726</f>
        <v>777.991190606526</v>
      </c>
      <c r="G728" s="147">
        <f>F4A!G727+F4B!G726</f>
        <v>806.303278040578</v>
      </c>
      <c r="H728" s="147">
        <f>F4A!H727+F4B!H726</f>
        <v>778.172928558411</v>
      </c>
      <c r="I728" s="147">
        <f>F4A!I727+F4B!I726</f>
        <v>846.811382313121</v>
      </c>
      <c r="J728" s="147">
        <f>F4A!J727+F4B!J726</f>
        <v>837.726497571662</v>
      </c>
      <c r="K728" s="147">
        <f>F4A!K727+F4B!K726</f>
        <v>922.012689859786</v>
      </c>
      <c r="L728" s="147">
        <f>F4A!L727+F4B!L726</f>
        <v>899.773630801563</v>
      </c>
      <c r="M728" s="147">
        <f>F4A!M727+F4B!M726</f>
        <v>911.711177629966</v>
      </c>
      <c r="N728" s="147">
        <f>F4A!N727+F4B!N726</f>
        <v>901.704617836336</v>
      </c>
      <c r="O728" s="147">
        <f>F4A!O727+F4B!O726</f>
        <v>827.579335232621</v>
      </c>
      <c r="P728" s="147">
        <f>F4A!P727+F4B!P726</f>
        <v>899.194325655028</v>
      </c>
      <c r="Q728" s="316">
        <f t="shared" si="121"/>
        <v>10213.4341673838</v>
      </c>
    </row>
    <row r="729" ht="15" hidden="1" spans="3:17">
      <c r="C729" s="55" t="s">
        <v>193</v>
      </c>
      <c r="D729" s="55" t="s">
        <v>194</v>
      </c>
      <c r="E729" s="147">
        <f>F4A!E728+F4B!E727</f>
        <v>16.0902837003096</v>
      </c>
      <c r="F729" s="147">
        <f>F4A!F728+F4B!F727</f>
        <v>18.2762879203944</v>
      </c>
      <c r="G729" s="147">
        <f>F4A!G728+F4B!G727</f>
        <v>8.8380585864</v>
      </c>
      <c r="H729" s="147">
        <f>F4A!H728+F4B!H727</f>
        <v>10.07257246488</v>
      </c>
      <c r="I729" s="147">
        <f>F4A!I728+F4B!I727</f>
        <v>16.0876317415176</v>
      </c>
      <c r="J729" s="147">
        <f>F4A!J728+F4B!J727</f>
        <v>13.8836862083808</v>
      </c>
      <c r="K729" s="147">
        <f>F4A!K728+F4B!K727</f>
        <v>16.0349714169336</v>
      </c>
      <c r="L729" s="147">
        <f>F4A!L728+F4B!L727</f>
        <v>11.34010052424</v>
      </c>
      <c r="M729" s="147">
        <f>F4A!M728+F4B!M727</f>
        <v>13.956122568528</v>
      </c>
      <c r="N729" s="147">
        <f>F4A!N728+F4B!N727</f>
        <v>15.019720408944</v>
      </c>
      <c r="O729" s="147">
        <f>F4A!O728+F4B!O727</f>
        <v>13.546854968832</v>
      </c>
      <c r="P729" s="147">
        <f>F4A!P728+F4B!P727</f>
        <v>12.6319833072</v>
      </c>
      <c r="Q729" s="316">
        <f t="shared" si="121"/>
        <v>165.77827381656</v>
      </c>
    </row>
    <row r="730" ht="15" hidden="1" spans="3:17">
      <c r="C730" s="55" t="s">
        <v>239</v>
      </c>
      <c r="D730" s="55" t="s">
        <v>196</v>
      </c>
      <c r="E730" s="147">
        <f>F4A!E729+F4B!E728</f>
        <v>12.6415594281515</v>
      </c>
      <c r="F730" s="147">
        <f>F4A!F729+F4B!F728</f>
        <v>14.9820210245553</v>
      </c>
      <c r="G730" s="147">
        <f>F4A!G729+F4B!G728</f>
        <v>15.329799425092</v>
      </c>
      <c r="H730" s="147">
        <f>F4A!H729+F4B!H728</f>
        <v>13.2965635269381</v>
      </c>
      <c r="I730" s="147">
        <f>F4A!I729+F4B!I728</f>
        <v>18.6025190564838</v>
      </c>
      <c r="J730" s="147">
        <f>F4A!J729+F4B!J728</f>
        <v>21.076082523439</v>
      </c>
      <c r="K730" s="147">
        <f>F4A!K729+F4B!K728</f>
        <v>26.5750834476329</v>
      </c>
      <c r="L730" s="147">
        <f>F4A!L729+F4B!L728</f>
        <v>27.7325535410839</v>
      </c>
      <c r="M730" s="147">
        <f>F4A!M729+F4B!M728</f>
        <v>27.5841933189442</v>
      </c>
      <c r="N730" s="147">
        <f>F4A!N729+F4B!N728</f>
        <v>27.7897269477793</v>
      </c>
      <c r="O730" s="147">
        <f>F4A!O729+F4B!O728</f>
        <v>32.8577248513648</v>
      </c>
      <c r="P730" s="147">
        <f>F4A!P729+F4B!P728</f>
        <v>46.8490126304304</v>
      </c>
      <c r="Q730" s="316">
        <f t="shared" si="121"/>
        <v>285.316839721895</v>
      </c>
    </row>
    <row r="731" ht="15" hidden="1" spans="3:17">
      <c r="C731" s="55" t="s">
        <v>197</v>
      </c>
      <c r="D731" s="55" t="s">
        <v>198</v>
      </c>
      <c r="E731" s="147">
        <f>F4A!E730+F4B!E729</f>
        <v>0</v>
      </c>
      <c r="F731" s="147">
        <f>F4A!F730+F4B!F729</f>
        <v>0</v>
      </c>
      <c r="G731" s="147">
        <f>F4A!G730+F4B!G729</f>
        <v>0</v>
      </c>
      <c r="H731" s="147">
        <f>F4A!H730+F4B!H729</f>
        <v>0</v>
      </c>
      <c r="I731" s="147">
        <f>F4A!I730+F4B!I729</f>
        <v>0</v>
      </c>
      <c r="J731" s="147">
        <f>F4A!J730+F4B!J729</f>
        <v>0</v>
      </c>
      <c r="K731" s="147">
        <f>F4A!K730+F4B!K729</f>
        <v>0</v>
      </c>
      <c r="L731" s="147">
        <f>F4A!L730+F4B!L729</f>
        <v>0</v>
      </c>
      <c r="M731" s="147">
        <f>F4A!M730+F4B!M729</f>
        <v>0</v>
      </c>
      <c r="N731" s="147">
        <f>F4A!N730+F4B!N729</f>
        <v>0</v>
      </c>
      <c r="O731" s="147">
        <f>F4A!O730+F4B!O729</f>
        <v>0</v>
      </c>
      <c r="P731" s="147">
        <f>F4A!P730+F4B!P729</f>
        <v>0</v>
      </c>
      <c r="Q731" s="316">
        <f t="shared" ref="Q731" si="122">SUM(E731:P731)</f>
        <v>0</v>
      </c>
    </row>
    <row r="732" ht="15" hidden="1" spans="3:17">
      <c r="C732" s="55" t="s">
        <v>199</v>
      </c>
      <c r="D732" s="55" t="s">
        <v>200</v>
      </c>
      <c r="E732" s="147">
        <f>F4A!E731+F4B!E730</f>
        <v>8.73596543991082</v>
      </c>
      <c r="F732" s="147">
        <f>F4A!F731+F4B!F730</f>
        <v>10.3333315332917</v>
      </c>
      <c r="G732" s="147">
        <f>F4A!G731+F4B!G730</f>
        <v>9.93295930728149</v>
      </c>
      <c r="H732" s="147">
        <f>F4A!H731+F4B!H730</f>
        <v>9.5242738728917</v>
      </c>
      <c r="I732" s="147">
        <f>F4A!I731+F4B!I730</f>
        <v>9.78998564056386</v>
      </c>
      <c r="J732" s="147">
        <f>F4A!J731+F4B!J730</f>
        <v>9.78880962571991</v>
      </c>
      <c r="K732" s="147">
        <f>F4A!K731+F4B!K730</f>
        <v>9.35617133726719</v>
      </c>
      <c r="L732" s="147">
        <f>F4A!L731+F4B!L730</f>
        <v>9.54118415530295</v>
      </c>
      <c r="M732" s="147">
        <f>F4A!M731+F4B!M730</f>
        <v>8.48809665607786</v>
      </c>
      <c r="N732" s="147">
        <f>F4A!N731+F4B!N730</f>
        <v>8.51480706218867</v>
      </c>
      <c r="O732" s="147">
        <f>F4A!O731+F4B!O730</f>
        <v>9.50076709342475</v>
      </c>
      <c r="P732" s="147">
        <f>F4A!P731+F4B!P730</f>
        <v>11.3670215462976</v>
      </c>
      <c r="Q732" s="316">
        <f t="shared" si="121"/>
        <v>114.873373270218</v>
      </c>
    </row>
    <row r="733" ht="15" hidden="1" spans="3:17">
      <c r="C733" s="55" t="s">
        <v>201</v>
      </c>
      <c r="D733" s="55" t="s">
        <v>240</v>
      </c>
      <c r="E733" s="147">
        <f>F4A!E732+F4B!E731</f>
        <v>54.6292967732157</v>
      </c>
      <c r="F733" s="147">
        <f>F4A!F732+F4B!F731</f>
        <v>31.7787010475501</v>
      </c>
      <c r="G733" s="147">
        <f>F4A!G732+F4B!G731</f>
        <v>53.7898398156554</v>
      </c>
      <c r="H733" s="147">
        <f>F4A!H732+F4B!H731</f>
        <v>76.212284785249</v>
      </c>
      <c r="I733" s="147">
        <f>F4A!I732+F4B!I731</f>
        <v>193.315319165775</v>
      </c>
      <c r="J733" s="147">
        <f>F4A!J732+F4B!J731</f>
        <v>256.422101293129</v>
      </c>
      <c r="K733" s="147">
        <f>F4A!K732+F4B!K731</f>
        <v>216.709228459665</v>
      </c>
      <c r="L733" s="147">
        <f>F4A!L732+F4B!L731</f>
        <v>204.91222343023</v>
      </c>
      <c r="M733" s="147">
        <f>F4A!M732+F4B!M731</f>
        <v>61.1338582011758</v>
      </c>
      <c r="N733" s="147">
        <f>F4A!N732+F4B!N731</f>
        <v>42.3299668145652</v>
      </c>
      <c r="O733" s="147">
        <f>F4A!O732+F4B!O731</f>
        <v>52.8181403382785</v>
      </c>
      <c r="P733" s="147">
        <f>F4A!P732+F4B!P731</f>
        <v>35.5979638815674</v>
      </c>
      <c r="Q733" s="316">
        <f t="shared" si="121"/>
        <v>1279.64892400606</v>
      </c>
    </row>
    <row r="734" ht="15" hidden="1" spans="3:17">
      <c r="C734" s="55" t="s">
        <v>203</v>
      </c>
      <c r="D734" s="55" t="s">
        <v>220</v>
      </c>
      <c r="E734" s="147">
        <f>F4A!E733+F4B!E732</f>
        <v>27.6251024637576</v>
      </c>
      <c r="F734" s="147">
        <f>F4A!F733+F4B!F732</f>
        <v>30.2291620906377</v>
      </c>
      <c r="G734" s="147">
        <f>F4A!G733+F4B!G732</f>
        <v>27.9460108290158</v>
      </c>
      <c r="H734" s="147">
        <f>F4A!H733+F4B!H732</f>
        <v>27.257279496816</v>
      </c>
      <c r="I734" s="147">
        <f>F4A!I733+F4B!I732</f>
        <v>30.6022151379666</v>
      </c>
      <c r="J734" s="147">
        <f>F4A!J733+F4B!J732</f>
        <v>29.420477173435</v>
      </c>
      <c r="K734" s="147">
        <f>F4A!K733+F4B!K732</f>
        <v>29.4298965221923</v>
      </c>
      <c r="L734" s="147">
        <f>F4A!L733+F4B!L732</f>
        <v>30.6701281221005</v>
      </c>
      <c r="M734" s="147">
        <f>F4A!M733+F4B!M732</f>
        <v>32.5253755430777</v>
      </c>
      <c r="N734" s="147">
        <f>F4A!N733+F4B!N732</f>
        <v>30.5651882504483</v>
      </c>
      <c r="O734" s="147">
        <f>F4A!O733+F4B!O732</f>
        <v>27.1062056324935</v>
      </c>
      <c r="P734" s="147">
        <f>F4A!P733+F4B!P732</f>
        <v>32.749150126814</v>
      </c>
      <c r="Q734" s="316">
        <f t="shared" si="121"/>
        <v>356.126191388755</v>
      </c>
    </row>
    <row r="735" ht="15" hidden="1" spans="3:17">
      <c r="C735" s="55" t="s">
        <v>241</v>
      </c>
      <c r="D735" s="55" t="s">
        <v>229</v>
      </c>
      <c r="E735" s="147">
        <f>F4A!E734+F4B!E733</f>
        <v>103.493957649907</v>
      </c>
      <c r="F735" s="147">
        <f>F4A!F734+F4B!F733</f>
        <v>111.75557502498</v>
      </c>
      <c r="G735" s="147">
        <f>F4A!G734+F4B!G733</f>
        <v>107.225723502575</v>
      </c>
      <c r="H735" s="147">
        <f>F4A!H734+F4B!H733</f>
        <v>111.604176069547</v>
      </c>
      <c r="I735" s="147">
        <f>F4A!I734+F4B!I733</f>
        <v>117.976877793082</v>
      </c>
      <c r="J735" s="147">
        <f>F4A!J734+F4B!J733</f>
        <v>117.002717735741</v>
      </c>
      <c r="K735" s="147">
        <f>F4A!K734+F4B!K733</f>
        <v>130.087256003904</v>
      </c>
      <c r="L735" s="147">
        <f>F4A!L734+F4B!L733</f>
        <v>125.173109730441</v>
      </c>
      <c r="M735" s="147">
        <f>F4A!M734+F4B!M733</f>
        <v>124.130455177783</v>
      </c>
      <c r="N735" s="147">
        <f>F4A!N734+F4B!N733</f>
        <v>129.536441266879</v>
      </c>
      <c r="O735" s="147">
        <f>F4A!O734+F4B!O733</f>
        <v>121.653769687149</v>
      </c>
      <c r="P735" s="147">
        <f>F4A!P734+F4B!P733</f>
        <v>132.827398605234</v>
      </c>
      <c r="Q735" s="316">
        <f t="shared" si="121"/>
        <v>1432.46745824722</v>
      </c>
    </row>
    <row r="736" ht="15" hidden="1" spans="3:17">
      <c r="C736" s="55" t="s">
        <v>259</v>
      </c>
      <c r="D736" s="55" t="s">
        <v>243</v>
      </c>
      <c r="E736" s="147">
        <f>F4A!E735+F4B!E734</f>
        <v>28.9501537982083</v>
      </c>
      <c r="F736" s="147">
        <f>F4A!F735+F4B!F734</f>
        <v>30.3141883144723</v>
      </c>
      <c r="G736" s="147">
        <f>F4A!G735+F4B!G734</f>
        <v>30.1760953950723</v>
      </c>
      <c r="H736" s="147">
        <f>F4A!H735+F4B!H734</f>
        <v>29.9680798144417</v>
      </c>
      <c r="I736" s="147">
        <f>F4A!I735+F4B!I734</f>
        <v>28.7044949096886</v>
      </c>
      <c r="J736" s="147">
        <f>F4A!J735+F4B!J734</f>
        <v>28.8329651792843</v>
      </c>
      <c r="K736" s="147">
        <f>F4A!K735+F4B!K734</f>
        <v>34.1594787904949</v>
      </c>
      <c r="L736" s="147">
        <f>F4A!L735+F4B!L734</f>
        <v>28.1325421293555</v>
      </c>
      <c r="M736" s="147">
        <f>F4A!M735+F4B!M734</f>
        <v>32.2235848960915</v>
      </c>
      <c r="N736" s="147">
        <f>F4A!N735+F4B!N734</f>
        <v>32.8300097574542</v>
      </c>
      <c r="O736" s="147">
        <f>F4A!O735+F4B!O734</f>
        <v>32.7950284120831</v>
      </c>
      <c r="P736" s="147">
        <f>F4A!P735+F4B!P734</f>
        <v>35.5803040643394</v>
      </c>
      <c r="Q736" s="316">
        <f t="shared" ref="Q736" si="123">SUM(E736:P736)</f>
        <v>372.666925460986</v>
      </c>
    </row>
    <row r="737" ht="15" hidden="1" spans="3:17">
      <c r="C737" s="55" t="s">
        <v>205</v>
      </c>
      <c r="D737" s="55" t="s">
        <v>206</v>
      </c>
      <c r="E737" s="147">
        <f>F4A!E736+F4B!E735</f>
        <v>0</v>
      </c>
      <c r="F737" s="147">
        <f>F4A!F736+F4B!F735</f>
        <v>0</v>
      </c>
      <c r="G737" s="147">
        <f>F4A!G736+F4B!G735</f>
        <v>0</v>
      </c>
      <c r="H737" s="147">
        <f>F4A!H736+F4B!H735</f>
        <v>0</v>
      </c>
      <c r="I737" s="147">
        <f>F4A!I736+F4B!I735</f>
        <v>0</v>
      </c>
      <c r="J737" s="147">
        <f>F4A!J736+F4B!J735</f>
        <v>0</v>
      </c>
      <c r="K737" s="147">
        <f>F4A!K736+F4B!K735</f>
        <v>0</v>
      </c>
      <c r="L737" s="147">
        <f>F4A!L736+F4B!L735</f>
        <v>0</v>
      </c>
      <c r="M737" s="147">
        <f>F4A!M736+F4B!M735</f>
        <v>0</v>
      </c>
      <c r="N737" s="147">
        <f>F4A!N736+F4B!N735</f>
        <v>0</v>
      </c>
      <c r="O737" s="147">
        <f>F4A!O736+F4B!O735</f>
        <v>0</v>
      </c>
      <c r="P737" s="147">
        <f>F4A!P736+F4B!P735</f>
        <v>0</v>
      </c>
      <c r="Q737" s="316">
        <f t="shared" si="121"/>
        <v>0</v>
      </c>
    </row>
    <row r="738" ht="15" hidden="1" spans="3:17">
      <c r="C738" s="55" t="s">
        <v>207</v>
      </c>
      <c r="D738" s="55" t="s">
        <v>186</v>
      </c>
      <c r="E738" s="147">
        <f>F4A!E737+F4B!E736</f>
        <v>0</v>
      </c>
      <c r="F738" s="147">
        <f>F4A!F737+F4B!F736</f>
        <v>0</v>
      </c>
      <c r="G738" s="147">
        <f>F4A!G737+F4B!G736</f>
        <v>0</v>
      </c>
      <c r="H738" s="147">
        <f>F4A!H737+F4B!H736</f>
        <v>0</v>
      </c>
      <c r="I738" s="147">
        <f>F4A!I737+F4B!I736</f>
        <v>0</v>
      </c>
      <c r="J738" s="147">
        <f>F4A!J737+F4B!J736</f>
        <v>0</v>
      </c>
      <c r="K738" s="147">
        <f>F4A!K737+F4B!K736</f>
        <v>0</v>
      </c>
      <c r="L738" s="147">
        <f>F4A!L737+F4B!L736</f>
        <v>0</v>
      </c>
      <c r="M738" s="147">
        <f>F4A!M737+F4B!M736</f>
        <v>0</v>
      </c>
      <c r="N738" s="147">
        <f>F4A!N737+F4B!N736</f>
        <v>0</v>
      </c>
      <c r="O738" s="147">
        <f>F4A!O737+F4B!O736</f>
        <v>0</v>
      </c>
      <c r="P738" s="147">
        <f>F4A!P737+F4B!P736</f>
        <v>0</v>
      </c>
      <c r="Q738" s="316">
        <f t="shared" si="121"/>
        <v>0</v>
      </c>
    </row>
    <row r="739" ht="15" hidden="1" spans="3:17">
      <c r="C739" s="55" t="s">
        <v>208</v>
      </c>
      <c r="D739" s="55" t="s">
        <v>209</v>
      </c>
      <c r="E739" s="147">
        <f>F4A!E738+F4B!E737</f>
        <v>0</v>
      </c>
      <c r="F739" s="147">
        <f>F4A!F738+F4B!F737</f>
        <v>0</v>
      </c>
      <c r="G739" s="147">
        <f>F4A!G738+F4B!G737</f>
        <v>0</v>
      </c>
      <c r="H739" s="147">
        <f>F4A!H738+F4B!H737</f>
        <v>0</v>
      </c>
      <c r="I739" s="147">
        <f>F4A!I738+F4B!I737</f>
        <v>0</v>
      </c>
      <c r="J739" s="147">
        <f>F4A!J738+F4B!J737</f>
        <v>0</v>
      </c>
      <c r="K739" s="147">
        <f>F4A!K738+F4B!K737</f>
        <v>0</v>
      </c>
      <c r="L739" s="147">
        <f>F4A!L738+F4B!L737</f>
        <v>0</v>
      </c>
      <c r="M739" s="147">
        <f>F4A!M738+F4B!M737</f>
        <v>0</v>
      </c>
      <c r="N739" s="147">
        <f>F4A!N738+F4B!N737</f>
        <v>0</v>
      </c>
      <c r="O739" s="147">
        <f>F4A!O738+F4B!O737</f>
        <v>0</v>
      </c>
      <c r="P739" s="147">
        <f>F4A!P738+F4B!P737</f>
        <v>0</v>
      </c>
      <c r="Q739" s="316">
        <f t="shared" si="121"/>
        <v>0</v>
      </c>
    </row>
    <row r="740" ht="15" hidden="1" spans="3:17">
      <c r="C740" s="55" t="s">
        <v>210</v>
      </c>
      <c r="D740" s="55" t="s">
        <v>188</v>
      </c>
      <c r="E740" s="147">
        <f>F4A!E739+F4B!E738</f>
        <v>0</v>
      </c>
      <c r="F740" s="147">
        <f>F4A!F739+F4B!F738</f>
        <v>0</v>
      </c>
      <c r="G740" s="147">
        <f>F4A!G739+F4B!G738</f>
        <v>0</v>
      </c>
      <c r="H740" s="147">
        <f>F4A!H739+F4B!H738</f>
        <v>0</v>
      </c>
      <c r="I740" s="147">
        <f>F4A!I739+F4B!I738</f>
        <v>0</v>
      </c>
      <c r="J740" s="147">
        <f>F4A!J739+F4B!J738</f>
        <v>0</v>
      </c>
      <c r="K740" s="147">
        <f>F4A!K739+F4B!K738</f>
        <v>0</v>
      </c>
      <c r="L740" s="147">
        <f>F4A!L739+F4B!L738</f>
        <v>0</v>
      </c>
      <c r="M740" s="147">
        <f>F4A!M739+F4B!M738</f>
        <v>0</v>
      </c>
      <c r="N740" s="147">
        <f>F4A!N739+F4B!N738</f>
        <v>0</v>
      </c>
      <c r="O740" s="147">
        <f>F4A!O739+F4B!O738</f>
        <v>0</v>
      </c>
      <c r="P740" s="147">
        <f>F4A!P739+F4B!P738</f>
        <v>0</v>
      </c>
      <c r="Q740" s="316">
        <f t="shared" si="121"/>
        <v>0</v>
      </c>
    </row>
    <row r="741" ht="15" hidden="1" spans="3:17">
      <c r="C741" s="55"/>
      <c r="D741" s="55"/>
      <c r="E741" s="147">
        <f>F4A!E740+F4B!E739</f>
        <v>0</v>
      </c>
      <c r="F741" s="147">
        <f>F4A!F740+F4B!F739</f>
        <v>0</v>
      </c>
      <c r="G741" s="147">
        <f>F4A!G740+F4B!G739</f>
        <v>0</v>
      </c>
      <c r="H741" s="147">
        <f>F4A!H740+F4B!H739</f>
        <v>0</v>
      </c>
      <c r="I741" s="147">
        <f>F4A!I740+F4B!I739</f>
        <v>0</v>
      </c>
      <c r="J741" s="147">
        <f>F4A!J740+F4B!J739</f>
        <v>0</v>
      </c>
      <c r="K741" s="147">
        <f>F4A!K740+F4B!K739</f>
        <v>0</v>
      </c>
      <c r="L741" s="147">
        <f>F4A!L740+F4B!L739</f>
        <v>0</v>
      </c>
      <c r="M741" s="147">
        <f>F4A!M740+F4B!M739</f>
        <v>0</v>
      </c>
      <c r="N741" s="147">
        <f>F4A!N740+F4B!N739</f>
        <v>0</v>
      </c>
      <c r="O741" s="147">
        <f>F4A!O740+F4B!O739</f>
        <v>0</v>
      </c>
      <c r="P741" s="147">
        <f>F4A!P740+F4B!P739</f>
        <v>0</v>
      </c>
      <c r="Q741" s="316">
        <f t="shared" si="121"/>
        <v>0</v>
      </c>
    </row>
    <row r="742" ht="15" hidden="1" spans="3:17">
      <c r="C742" s="55"/>
      <c r="D742" s="55"/>
      <c r="E742" s="147">
        <f>F4A!E741+F4B!E740</f>
        <v>0</v>
      </c>
      <c r="F742" s="147">
        <f>F4A!F741+F4B!F740</f>
        <v>0</v>
      </c>
      <c r="G742" s="147">
        <f>F4A!G741+F4B!G740</f>
        <v>0</v>
      </c>
      <c r="H742" s="147">
        <f>F4A!H741+F4B!H740</f>
        <v>0</v>
      </c>
      <c r="I742" s="147">
        <f>F4A!I741+F4B!I740</f>
        <v>0</v>
      </c>
      <c r="J742" s="147">
        <f>F4A!J741+F4B!J740</f>
        <v>0</v>
      </c>
      <c r="K742" s="147">
        <f>F4A!K741+F4B!K740</f>
        <v>0</v>
      </c>
      <c r="L742" s="147">
        <f>F4A!L741+F4B!L740</f>
        <v>0</v>
      </c>
      <c r="M742" s="147">
        <f>F4A!M741+F4B!M740</f>
        <v>0</v>
      </c>
      <c r="N742" s="147">
        <f>F4A!N741+F4B!N740</f>
        <v>0</v>
      </c>
      <c r="O742" s="147">
        <f>F4A!O741+F4B!O740</f>
        <v>0</v>
      </c>
      <c r="P742" s="147">
        <f>F4A!P741+F4B!P740</f>
        <v>0</v>
      </c>
      <c r="Q742" s="316">
        <f t="shared" si="121"/>
        <v>0</v>
      </c>
    </row>
    <row r="743" ht="15" hidden="1" spans="3:17">
      <c r="C743" s="55"/>
      <c r="D743" s="55"/>
      <c r="E743" s="147">
        <f>F4A!E742+F4B!E741</f>
        <v>0</v>
      </c>
      <c r="F743" s="147">
        <f>F4A!F742+F4B!F741</f>
        <v>0</v>
      </c>
      <c r="G743" s="147">
        <f>F4A!G742+F4B!G741</f>
        <v>0</v>
      </c>
      <c r="H743" s="147">
        <f>F4A!H742+F4B!H741</f>
        <v>0</v>
      </c>
      <c r="I743" s="147">
        <f>F4A!I742+F4B!I741</f>
        <v>0</v>
      </c>
      <c r="J743" s="147">
        <f>F4A!J742+F4B!J741</f>
        <v>0</v>
      </c>
      <c r="K743" s="147">
        <f>F4A!K742+F4B!K741</f>
        <v>0</v>
      </c>
      <c r="L743" s="147">
        <f>F4A!L742+F4B!L741</f>
        <v>0</v>
      </c>
      <c r="M743" s="147">
        <f>F4A!M742+F4B!M741</f>
        <v>0</v>
      </c>
      <c r="N743" s="147">
        <f>F4A!N742+F4B!N741</f>
        <v>0</v>
      </c>
      <c r="O743" s="147">
        <f>F4A!O742+F4B!O741</f>
        <v>0</v>
      </c>
      <c r="P743" s="147">
        <f>F4A!P742+F4B!P741</f>
        <v>0</v>
      </c>
      <c r="Q743" s="316">
        <f t="shared" si="121"/>
        <v>0</v>
      </c>
    </row>
    <row r="744" ht="15" hidden="1" spans="3:17">
      <c r="C744" s="55" t="s">
        <v>258</v>
      </c>
      <c r="D744" s="55" t="s">
        <v>258</v>
      </c>
      <c r="E744" s="147">
        <f>F4A!E743+F4B!E742</f>
        <v>0</v>
      </c>
      <c r="F744" s="147">
        <f>F4A!F743+F4B!F742</f>
        <v>0</v>
      </c>
      <c r="G744" s="147">
        <f>F4A!G743+F4B!G742</f>
        <v>0</v>
      </c>
      <c r="H744" s="147">
        <f>F4A!H743+F4B!H742</f>
        <v>0</v>
      </c>
      <c r="I744" s="147">
        <f>F4A!I743+F4B!I742</f>
        <v>0</v>
      </c>
      <c r="J744" s="147">
        <f>F4A!J743+F4B!J742</f>
        <v>0</v>
      </c>
      <c r="K744" s="147">
        <f>F4A!K743+F4B!K742</f>
        <v>0</v>
      </c>
      <c r="L744" s="147">
        <f>F4A!L743+F4B!L742</f>
        <v>0</v>
      </c>
      <c r="M744" s="147">
        <f>F4A!M743+F4B!M742</f>
        <v>0</v>
      </c>
      <c r="N744" s="147">
        <f>F4A!N743+F4B!N742</f>
        <v>0</v>
      </c>
      <c r="O744" s="147">
        <f>F4A!O743+F4B!O742</f>
        <v>0</v>
      </c>
      <c r="P744" s="147">
        <f>F4A!P743+F4B!P742</f>
        <v>0</v>
      </c>
      <c r="Q744" s="316">
        <f t="shared" si="121"/>
        <v>0</v>
      </c>
    </row>
    <row r="745" ht="15" hidden="1" spans="3:17">
      <c r="C745" s="537" t="s">
        <v>211</v>
      </c>
      <c r="D745" s="540"/>
      <c r="E745" s="316">
        <f>SUM(E728:E744)</f>
        <v>1056.61943253171</v>
      </c>
      <c r="F745" s="316">
        <f t="shared" ref="F745:P745" si="124">SUM(F728:F744)</f>
        <v>1025.66045756241</v>
      </c>
      <c r="G745" s="316">
        <f t="shared" si="124"/>
        <v>1059.54176490167</v>
      </c>
      <c r="H745" s="316">
        <f t="shared" si="124"/>
        <v>1056.10815858917</v>
      </c>
      <c r="I745" s="316">
        <f t="shared" si="124"/>
        <v>1261.8904257582</v>
      </c>
      <c r="J745" s="316">
        <f t="shared" si="124"/>
        <v>1314.15333731079</v>
      </c>
      <c r="K745" s="316">
        <f t="shared" si="124"/>
        <v>1384.36477583788</v>
      </c>
      <c r="L745" s="316">
        <f t="shared" si="124"/>
        <v>1337.27547243432</v>
      </c>
      <c r="M745" s="316">
        <f t="shared" si="124"/>
        <v>1211.75286399164</v>
      </c>
      <c r="N745" s="316">
        <f t="shared" si="124"/>
        <v>1188.29047834459</v>
      </c>
      <c r="O745" s="316">
        <f t="shared" si="124"/>
        <v>1117.85782621625</v>
      </c>
      <c r="P745" s="316">
        <f t="shared" si="124"/>
        <v>1206.79715981691</v>
      </c>
      <c r="Q745" s="316">
        <f t="shared" si="121"/>
        <v>14220.3121532955</v>
      </c>
    </row>
    <row r="746" ht="15" hidden="1" spans="3:17">
      <c r="C746" s="537" t="s">
        <v>223</v>
      </c>
      <c r="D746" s="540"/>
      <c r="E746" s="316">
        <f t="shared" ref="E746:P746" si="125">E745+E726+E709</f>
        <v>3087.91965187983</v>
      </c>
      <c r="F746" s="316">
        <f t="shared" si="125"/>
        <v>3195.29732981599</v>
      </c>
      <c r="G746" s="316">
        <f t="shared" si="125"/>
        <v>3196.03124396688</v>
      </c>
      <c r="H746" s="316">
        <f t="shared" si="125"/>
        <v>3081.89369724609</v>
      </c>
      <c r="I746" s="316">
        <f t="shared" si="125"/>
        <v>3365.87632075676</v>
      </c>
      <c r="J746" s="316">
        <f t="shared" si="125"/>
        <v>3319.05007999918</v>
      </c>
      <c r="K746" s="316">
        <f t="shared" si="125"/>
        <v>3432.93688786357</v>
      </c>
      <c r="L746" s="316">
        <f t="shared" si="125"/>
        <v>3363.31533632451</v>
      </c>
      <c r="M746" s="316">
        <f t="shared" si="125"/>
        <v>3235.57256922243</v>
      </c>
      <c r="N746" s="316">
        <f t="shared" si="125"/>
        <v>3201.59740147066</v>
      </c>
      <c r="O746" s="316">
        <f t="shared" si="125"/>
        <v>3137.89535658196</v>
      </c>
      <c r="P746" s="316">
        <f t="shared" si="125"/>
        <v>3478.65603120534</v>
      </c>
      <c r="Q746" s="316">
        <f t="shared" si="121"/>
        <v>39096.0419063332</v>
      </c>
    </row>
    <row r="747" ht="15" hidden="1" spans="3:17">
      <c r="C747" s="537" t="s">
        <v>224</v>
      </c>
      <c r="D747" s="540"/>
      <c r="E747" s="316">
        <f t="shared" ref="E747:P747" si="126">E746+E692</f>
        <v>6415.34423233841</v>
      </c>
      <c r="F747" s="316">
        <f t="shared" si="126"/>
        <v>6137.89618326723</v>
      </c>
      <c r="G747" s="316">
        <f t="shared" si="126"/>
        <v>5863.81190421669</v>
      </c>
      <c r="H747" s="316">
        <f t="shared" si="126"/>
        <v>5628.96496219321</v>
      </c>
      <c r="I747" s="316">
        <f t="shared" si="126"/>
        <v>6340.35887040927</v>
      </c>
      <c r="J747" s="316">
        <f t="shared" si="126"/>
        <v>6244.59048484812</v>
      </c>
      <c r="K747" s="316">
        <f t="shared" si="126"/>
        <v>5985.61557082247</v>
      </c>
      <c r="L747" s="316">
        <f t="shared" si="126"/>
        <v>5694.42310246307</v>
      </c>
      <c r="M747" s="316">
        <f t="shared" si="126"/>
        <v>5915.44570190186</v>
      </c>
      <c r="N747" s="316">
        <f t="shared" si="126"/>
        <v>6433.28219386731</v>
      </c>
      <c r="O747" s="316">
        <f t="shared" si="126"/>
        <v>6402.00273556367</v>
      </c>
      <c r="P747" s="316">
        <f t="shared" si="126"/>
        <v>7502.75143354309</v>
      </c>
      <c r="Q747" s="316">
        <f t="shared" si="121"/>
        <v>74564.4873754344</v>
      </c>
    </row>
    <row r="748" hidden="1"/>
    <row r="749" ht="15" hidden="1" spans="3:17">
      <c r="C749" s="14"/>
      <c r="Q749" s="3" t="s">
        <v>236</v>
      </c>
    </row>
    <row r="750" ht="15" hidden="1" spans="3:17">
      <c r="C750" s="6" t="s">
        <v>159</v>
      </c>
      <c r="D750" s="6"/>
      <c r="E750" s="135" t="s">
        <v>267</v>
      </c>
      <c r="F750" s="135"/>
      <c r="G750" s="135"/>
      <c r="H750" s="135"/>
      <c r="I750" s="135"/>
      <c r="J750" s="135"/>
      <c r="K750" s="135"/>
      <c r="L750" s="135"/>
      <c r="M750" s="135"/>
      <c r="N750" s="135"/>
      <c r="O750" s="135"/>
      <c r="P750" s="135"/>
      <c r="Q750" s="135"/>
    </row>
    <row r="751" ht="15" hidden="1" spans="3:17">
      <c r="C751" s="6"/>
      <c r="D751" s="6"/>
      <c r="E751" s="135" t="s">
        <v>246</v>
      </c>
      <c r="F751" s="135" t="s">
        <v>247</v>
      </c>
      <c r="G751" s="135" t="s">
        <v>248</v>
      </c>
      <c r="H751" s="135" t="s">
        <v>249</v>
      </c>
      <c r="I751" s="135" t="s">
        <v>250</v>
      </c>
      <c r="J751" s="135" t="s">
        <v>251</v>
      </c>
      <c r="K751" s="135" t="s">
        <v>252</v>
      </c>
      <c r="L751" s="135" t="s">
        <v>253</v>
      </c>
      <c r="M751" s="135" t="s">
        <v>254</v>
      </c>
      <c r="N751" s="135" t="s">
        <v>255</v>
      </c>
      <c r="O751" s="135" t="s">
        <v>256</v>
      </c>
      <c r="P751" s="135" t="s">
        <v>257</v>
      </c>
      <c r="Q751" s="135" t="s">
        <v>97</v>
      </c>
    </row>
    <row r="752" ht="15" hidden="1" spans="3:17">
      <c r="C752" s="44" t="s">
        <v>170</v>
      </c>
      <c r="D752" s="45"/>
      <c r="E752" s="147"/>
      <c r="F752" s="147"/>
      <c r="G752" s="147"/>
      <c r="H752" s="147"/>
      <c r="I752" s="147"/>
      <c r="J752" s="147"/>
      <c r="K752" s="147"/>
      <c r="L752" s="147"/>
      <c r="M752" s="147"/>
      <c r="N752" s="147"/>
      <c r="O752" s="147"/>
      <c r="P752" s="147"/>
      <c r="Q752" s="316">
        <f>SUM(E752:P752)</f>
        <v>0</v>
      </c>
    </row>
    <row r="753" ht="15" hidden="1" spans="3:17">
      <c r="C753" s="47" t="s">
        <v>171</v>
      </c>
      <c r="D753" s="47" t="s">
        <v>172</v>
      </c>
      <c r="E753" s="147">
        <f>F4A!E752+F4B!E751</f>
        <v>1327.94169857284</v>
      </c>
      <c r="F753" s="147">
        <f>F4A!F752+F4B!F751</f>
        <v>1598.03670527125</v>
      </c>
      <c r="G753" s="147">
        <f>F4A!G752+F4B!G751</f>
        <v>1424.32810073754</v>
      </c>
      <c r="H753" s="147">
        <f>F4A!H752+F4B!H751</f>
        <v>1116.54467910075</v>
      </c>
      <c r="I753" s="147">
        <f>F4A!I752+F4B!I751</f>
        <v>1277.64127456331</v>
      </c>
      <c r="J753" s="147">
        <f>F4A!J752+F4B!J751</f>
        <v>1184.04203751029</v>
      </c>
      <c r="K753" s="147">
        <f>F4A!K752+F4B!K751</f>
        <v>1171.42555536044</v>
      </c>
      <c r="L753" s="147">
        <f>F4A!L752+F4B!L751</f>
        <v>1085.11349343724</v>
      </c>
      <c r="M753" s="147">
        <f>F4A!M752+F4B!M751</f>
        <v>962.544513843845</v>
      </c>
      <c r="N753" s="147">
        <f>F4A!N752+F4B!N751</f>
        <v>1086.30461242941</v>
      </c>
      <c r="O753" s="147">
        <f>F4A!O752+F4B!O751</f>
        <v>1028.9286798354</v>
      </c>
      <c r="P753" s="147">
        <f>F4A!P752+F4B!P751</f>
        <v>1410.97555183552</v>
      </c>
      <c r="Q753" s="316">
        <f t="shared" ref="Q753:Q766" si="127">SUM(E753:P753)</f>
        <v>14673.8269024978</v>
      </c>
    </row>
    <row r="754" ht="15" hidden="1" spans="3:17">
      <c r="C754" s="55" t="s">
        <v>173</v>
      </c>
      <c r="D754" s="55" t="s">
        <v>174</v>
      </c>
      <c r="E754" s="147">
        <f>F4A!E753+F4B!E752</f>
        <v>603.452940712734</v>
      </c>
      <c r="F754" s="147">
        <f>F4A!F753+F4B!F752</f>
        <v>692.657894297882</v>
      </c>
      <c r="G754" s="147">
        <f>F4A!G753+F4B!G752</f>
        <v>636.804107903135</v>
      </c>
      <c r="H754" s="147">
        <f>F4A!H753+F4B!H752</f>
        <v>541.380751344647</v>
      </c>
      <c r="I754" s="147">
        <f>F4A!I753+F4B!I752</f>
        <v>613.256430221863</v>
      </c>
      <c r="J754" s="147">
        <f>F4A!J753+F4B!J752</f>
        <v>567.638972090185</v>
      </c>
      <c r="K754" s="147">
        <f>F4A!K753+F4B!K752</f>
        <v>581.398464100175</v>
      </c>
      <c r="L754" s="147">
        <f>F4A!L753+F4B!L752</f>
        <v>550.163916394133</v>
      </c>
      <c r="M754" s="147">
        <f>F4A!M753+F4B!M752</f>
        <v>507.322034514835</v>
      </c>
      <c r="N754" s="147">
        <f>F4A!N753+F4B!N752</f>
        <v>555.373720456729</v>
      </c>
      <c r="O754" s="147">
        <f>F4A!O753+F4B!O752</f>
        <v>554.466367107574</v>
      </c>
      <c r="P754" s="147">
        <f>F4A!P753+F4B!P752</f>
        <v>685.466849909404</v>
      </c>
      <c r="Q754" s="316">
        <f t="shared" si="127"/>
        <v>7089.3824490533</v>
      </c>
    </row>
    <row r="755" ht="15" hidden="1" spans="3:17">
      <c r="C755" s="55" t="s">
        <v>175</v>
      </c>
      <c r="D755" s="55" t="s">
        <v>176</v>
      </c>
      <c r="E755" s="147">
        <f>F4A!E754+F4B!E753</f>
        <v>99.9921102495184</v>
      </c>
      <c r="F755" s="147">
        <f>F4A!F754+F4B!F753</f>
        <v>108.273707368046</v>
      </c>
      <c r="G755" s="147">
        <f>F4A!G754+F4B!G753</f>
        <v>102.335331012597</v>
      </c>
      <c r="H755" s="147">
        <f>F4A!H754+F4B!H753</f>
        <v>96.1658364821157</v>
      </c>
      <c r="I755" s="147">
        <f>F4A!I754+F4B!I753</f>
        <v>102.878390774535</v>
      </c>
      <c r="J755" s="147">
        <f>F4A!J754+F4B!J753</f>
        <v>95.4240699004829</v>
      </c>
      <c r="K755" s="147">
        <f>F4A!K754+F4B!K753</f>
        <v>97.6096443285296</v>
      </c>
      <c r="L755" s="147">
        <f>F4A!L754+F4B!L753</f>
        <v>100.37753872057</v>
      </c>
      <c r="M755" s="147">
        <f>F4A!M754+F4B!M753</f>
        <v>111.240778709292</v>
      </c>
      <c r="N755" s="147">
        <f>F4A!N754+F4B!N753</f>
        <v>108.07258847054</v>
      </c>
      <c r="O755" s="147">
        <f>F4A!O754+F4B!O753</f>
        <v>99.4665493348239</v>
      </c>
      <c r="P755" s="147">
        <f>F4A!P754+F4B!P753</f>
        <v>110.87534390609</v>
      </c>
      <c r="Q755" s="316">
        <f t="shared" si="127"/>
        <v>1232.71188925714</v>
      </c>
    </row>
    <row r="756" ht="15" hidden="1" spans="3:17">
      <c r="C756" s="55" t="s">
        <v>177</v>
      </c>
      <c r="D756" s="55" t="s">
        <v>178</v>
      </c>
      <c r="E756" s="147">
        <f>F4A!E755+F4B!E754</f>
        <v>0.8750092499173</v>
      </c>
      <c r="F756" s="147">
        <f>F4A!F755+F4B!F754</f>
        <v>0.913620954143189</v>
      </c>
      <c r="G756" s="147">
        <f>F4A!G755+F4B!G754</f>
        <v>0.80639039381324</v>
      </c>
      <c r="H756" s="147">
        <f>F4A!H755+F4B!H754</f>
        <v>0.780727277769815</v>
      </c>
      <c r="I756" s="147">
        <f>F4A!I755+F4B!I754</f>
        <v>0.829808799196272</v>
      </c>
      <c r="J756" s="147">
        <f>F4A!J755+F4B!J754</f>
        <v>0.778360896986349</v>
      </c>
      <c r="K756" s="147">
        <f>F4A!K755+F4B!K754</f>
        <v>0.808377328789161</v>
      </c>
      <c r="L756" s="147">
        <f>F4A!L755+F4B!L754</f>
        <v>0.760568188141263</v>
      </c>
      <c r="M756" s="147">
        <f>F4A!M755+F4B!M754</f>
        <v>0.803797170427439</v>
      </c>
      <c r="N756" s="147">
        <f>F4A!N755+F4B!N754</f>
        <v>0.833841442004173</v>
      </c>
      <c r="O756" s="147">
        <f>F4A!O755+F4B!O754</f>
        <v>0.749830284228843</v>
      </c>
      <c r="P756" s="147">
        <f>F4A!P755+F4B!P754</f>
        <v>0.866126299830349</v>
      </c>
      <c r="Q756" s="316">
        <f t="shared" si="127"/>
        <v>9.80645828524739</v>
      </c>
    </row>
    <row r="757" ht="15" hidden="1" spans="3:17">
      <c r="C757" s="55" t="s">
        <v>179</v>
      </c>
      <c r="D757" s="55" t="s">
        <v>180</v>
      </c>
      <c r="E757" s="147">
        <f>F4A!E756+F4B!E755</f>
        <v>1405.67846267724</v>
      </c>
      <c r="F757" s="147">
        <f>F4A!F756+F4B!F755</f>
        <v>664.836607545276</v>
      </c>
      <c r="G757" s="147">
        <f>F4A!G756+F4B!G755</f>
        <v>609.112261524271</v>
      </c>
      <c r="H757" s="147">
        <f>F4A!H756+F4B!H755</f>
        <v>874.787360367333</v>
      </c>
      <c r="I757" s="147">
        <f>F4A!I756+F4B!I755</f>
        <v>1077.69247967357</v>
      </c>
      <c r="J757" s="147">
        <f>F4A!J756+F4B!J755</f>
        <v>1169.7977752137</v>
      </c>
      <c r="K757" s="147">
        <f>F4A!K756+F4B!K755</f>
        <v>785.69418682631</v>
      </c>
      <c r="L757" s="147">
        <f>F4A!L756+F4B!L755</f>
        <v>665.600420237178</v>
      </c>
      <c r="M757" s="147">
        <f>F4A!M756+F4B!M755</f>
        <v>1167.33113209824</v>
      </c>
      <c r="N757" s="147">
        <f>F4A!N756+F4B!N755</f>
        <v>1567.64789071343</v>
      </c>
      <c r="O757" s="147">
        <f>F4A!O756+F4B!O755</f>
        <v>1668.15417284292</v>
      </c>
      <c r="P757" s="147">
        <f>F4A!P756+F4B!P755</f>
        <v>1935.55803502404</v>
      </c>
      <c r="Q757" s="316">
        <f t="shared" si="127"/>
        <v>13591.8907847435</v>
      </c>
    </row>
    <row r="758" ht="15" hidden="1" spans="3:17">
      <c r="C758" s="55" t="s">
        <v>181</v>
      </c>
      <c r="D758" s="55" t="s">
        <v>182</v>
      </c>
      <c r="E758" s="147">
        <f>F4A!E757+F4B!E756</f>
        <v>43.8503726439887</v>
      </c>
      <c r="F758" s="147">
        <f>F4A!F757+F4B!F756</f>
        <v>45.6517942765443</v>
      </c>
      <c r="G758" s="147">
        <f>F4A!G757+F4B!G756</f>
        <v>42.6910501853827</v>
      </c>
      <c r="H758" s="147">
        <f>F4A!H757+F4B!H756</f>
        <v>42.460869256223</v>
      </c>
      <c r="I758" s="147">
        <f>F4A!I757+F4B!I756</f>
        <v>45.2265574301422</v>
      </c>
      <c r="J758" s="147">
        <f>F4A!J757+F4B!J756</f>
        <v>43.306175099</v>
      </c>
      <c r="K758" s="147">
        <f>F4A!K757+F4B!K756</f>
        <v>46.00128722979</v>
      </c>
      <c r="L758" s="147">
        <f>F4A!L757+F4B!L756</f>
        <v>47.2312977249412</v>
      </c>
      <c r="M758" s="147">
        <f>F4A!M757+F4B!M756</f>
        <v>46.9044460175357</v>
      </c>
      <c r="N758" s="147">
        <f>F4A!N757+F4B!N756</f>
        <v>47.8354343614844</v>
      </c>
      <c r="O758" s="147">
        <f>F4A!O757+F4B!O756</f>
        <v>44.2602610081156</v>
      </c>
      <c r="P758" s="147">
        <f>F4A!P757+F4B!P756</f>
        <v>48.5049654611676</v>
      </c>
      <c r="Q758" s="316">
        <f t="shared" si="127"/>
        <v>543.924510694315</v>
      </c>
    </row>
    <row r="759" ht="15" hidden="1" spans="3:17">
      <c r="C759" s="55" t="s">
        <v>183</v>
      </c>
      <c r="D759" s="55" t="s">
        <v>184</v>
      </c>
      <c r="E759" s="147">
        <f>F4A!E758+F4B!E757</f>
        <v>12.727133320712</v>
      </c>
      <c r="F759" s="147">
        <f>F4A!F758+F4B!F757</f>
        <v>10.4102461009417</v>
      </c>
      <c r="G759" s="147">
        <f>F4A!G758+F4B!G757</f>
        <v>12.3419232169536</v>
      </c>
      <c r="H759" s="147">
        <f>F4A!H758+F4B!H757</f>
        <v>12.5214731081278</v>
      </c>
      <c r="I759" s="147">
        <f>F4A!I758+F4B!I757</f>
        <v>14.5210283288789</v>
      </c>
      <c r="J759" s="147">
        <f>F4A!J758+F4B!J757</f>
        <v>13.4778879242094</v>
      </c>
      <c r="K759" s="147">
        <f>F4A!K758+F4B!K757</f>
        <v>11.173820615174</v>
      </c>
      <c r="L759" s="147">
        <f>F4A!L758+F4B!L757</f>
        <v>12.9084035278179</v>
      </c>
      <c r="M759" s="147">
        <f>F4A!M758+F4B!M757</f>
        <v>11.4882035011676</v>
      </c>
      <c r="N759" s="147">
        <f>F4A!N758+F4B!N757</f>
        <v>11.7675818383641</v>
      </c>
      <c r="O759" s="147">
        <f>F4A!O758+F4B!O757</f>
        <v>12.9666759963258</v>
      </c>
      <c r="P759" s="147">
        <f>F4A!P758+F4B!P757</f>
        <v>16.5625566714208</v>
      </c>
      <c r="Q759" s="316">
        <f t="shared" si="127"/>
        <v>152.866934150094</v>
      </c>
    </row>
    <row r="760" ht="15" hidden="1" spans="3:17">
      <c r="C760" s="55" t="s">
        <v>185</v>
      </c>
      <c r="D760" s="55" t="s">
        <v>186</v>
      </c>
      <c r="E760" s="147">
        <f>F4A!E759+F4B!E758</f>
        <v>35.72250084892</v>
      </c>
      <c r="F760" s="147">
        <f>F4A!F759+F4B!F758</f>
        <v>40.4726047908423</v>
      </c>
      <c r="G760" s="147">
        <f>F4A!G759+F4B!G758</f>
        <v>38.113187405198</v>
      </c>
      <c r="H760" s="147">
        <f>F4A!H759+F4B!H758</f>
        <v>33.028913660541</v>
      </c>
      <c r="I760" s="147">
        <f>F4A!I759+F4B!I758</f>
        <v>37.905890446191</v>
      </c>
      <c r="J760" s="147">
        <f>F4A!J759+F4B!J758</f>
        <v>35.4606923934432</v>
      </c>
      <c r="K760" s="147">
        <f>F4A!K759+F4B!K758</f>
        <v>36.9525958546723</v>
      </c>
      <c r="L760" s="147">
        <f>F4A!L759+F4B!L758</f>
        <v>35.5392724498978</v>
      </c>
      <c r="M760" s="147">
        <f>F4A!M759+F4B!M758</f>
        <v>35.3371125119025</v>
      </c>
      <c r="N760" s="147">
        <f>F4A!N759+F4B!N758</f>
        <v>39.1505543149523</v>
      </c>
      <c r="O760" s="147">
        <f>F4A!O759+F4B!O758</f>
        <v>38.0165978391826</v>
      </c>
      <c r="P760" s="147">
        <f>F4A!P759+F4B!P758</f>
        <v>47.0674580816652</v>
      </c>
      <c r="Q760" s="316">
        <f t="shared" si="127"/>
        <v>452.767380597408</v>
      </c>
    </row>
    <row r="761" ht="15" hidden="1" spans="3:17">
      <c r="C761" s="55" t="s">
        <v>187</v>
      </c>
      <c r="D761" s="55" t="s">
        <v>188</v>
      </c>
      <c r="E761" s="147">
        <f>F4A!E760+F4B!E759</f>
        <v>0.12203156372</v>
      </c>
      <c r="F761" s="147">
        <f>F4A!F760+F4B!F759</f>
        <v>0.14777234505</v>
      </c>
      <c r="G761" s="147">
        <f>F4A!G760+F4B!G759</f>
        <v>0.15170198945</v>
      </c>
      <c r="H761" s="147">
        <f>F4A!H760+F4B!H759</f>
        <v>0.20482627231</v>
      </c>
      <c r="I761" s="147">
        <f>F4A!I760+F4B!I759</f>
        <v>0.24602311811</v>
      </c>
      <c r="J761" s="147">
        <f>F4A!J760+F4B!J759</f>
        <v>0.23920582928</v>
      </c>
      <c r="K761" s="147">
        <f>F4A!K760+F4B!K759</f>
        <v>0.31658117172</v>
      </c>
      <c r="L761" s="147">
        <f>F4A!L760+F4B!L759</f>
        <v>0.382335074</v>
      </c>
      <c r="M761" s="147">
        <f>F4A!M760+F4B!M759</f>
        <v>0.38501979417</v>
      </c>
      <c r="N761" s="147">
        <f>F4A!N760+F4B!N759</f>
        <v>0.49506594247</v>
      </c>
      <c r="O761" s="147">
        <f>F4A!O760+F4B!O759</f>
        <v>0.43455908177</v>
      </c>
      <c r="P761" s="147">
        <f>F4A!P760+F4B!P759</f>
        <v>0.55056089605</v>
      </c>
      <c r="Q761" s="316">
        <f t="shared" si="127"/>
        <v>3.6756830781</v>
      </c>
    </row>
    <row r="762" ht="15" hidden="1" spans="3:17">
      <c r="C762" s="55"/>
      <c r="D762" s="55"/>
      <c r="E762" s="147">
        <f>F4A!E761+F4B!E760</f>
        <v>0</v>
      </c>
      <c r="F762" s="147">
        <f>F4A!F761+F4B!F760</f>
        <v>0</v>
      </c>
      <c r="G762" s="147">
        <f>F4A!G761+F4B!G760</f>
        <v>0</v>
      </c>
      <c r="H762" s="147">
        <f>F4A!H761+F4B!H760</f>
        <v>0</v>
      </c>
      <c r="I762" s="147">
        <f>F4A!I761+F4B!I760</f>
        <v>0</v>
      </c>
      <c r="J762" s="147">
        <f>F4A!J761+F4B!J760</f>
        <v>0</v>
      </c>
      <c r="K762" s="147">
        <f>F4A!K761+F4B!K760</f>
        <v>0</v>
      </c>
      <c r="L762" s="147">
        <f>F4A!L761+F4B!L760</f>
        <v>0</v>
      </c>
      <c r="M762" s="147">
        <f>F4A!M761+F4B!M760</f>
        <v>0</v>
      </c>
      <c r="N762" s="147">
        <f>F4A!N761+F4B!N760</f>
        <v>0</v>
      </c>
      <c r="O762" s="147">
        <f>F4A!O761+F4B!O760</f>
        <v>0</v>
      </c>
      <c r="P762" s="147">
        <f>F4A!P761+F4B!P760</f>
        <v>0</v>
      </c>
      <c r="Q762" s="316">
        <f t="shared" si="127"/>
        <v>0</v>
      </c>
    </row>
    <row r="763" ht="15" hidden="1" spans="3:17">
      <c r="C763" s="55"/>
      <c r="D763" s="55"/>
      <c r="E763" s="147">
        <f>F4A!E762+F4B!E761</f>
        <v>0</v>
      </c>
      <c r="F763" s="147">
        <f>F4A!F762+F4B!F761</f>
        <v>0</v>
      </c>
      <c r="G763" s="147">
        <f>F4A!G762+F4B!G761</f>
        <v>0</v>
      </c>
      <c r="H763" s="147">
        <f>F4A!H762+F4B!H761</f>
        <v>0</v>
      </c>
      <c r="I763" s="147">
        <f>F4A!I762+F4B!I761</f>
        <v>0</v>
      </c>
      <c r="J763" s="147">
        <f>F4A!J762+F4B!J761</f>
        <v>0</v>
      </c>
      <c r="K763" s="147">
        <f>F4A!K762+F4B!K761</f>
        <v>0</v>
      </c>
      <c r="L763" s="147">
        <f>F4A!L762+F4B!L761</f>
        <v>0</v>
      </c>
      <c r="M763" s="147">
        <f>F4A!M762+F4B!M761</f>
        <v>0</v>
      </c>
      <c r="N763" s="147">
        <f>F4A!N762+F4B!N761</f>
        <v>0</v>
      </c>
      <c r="O763" s="147">
        <f>F4A!O762+F4B!O761</f>
        <v>0</v>
      </c>
      <c r="P763" s="147">
        <f>F4A!P762+F4B!P761</f>
        <v>0</v>
      </c>
      <c r="Q763" s="316">
        <f t="shared" si="127"/>
        <v>0</v>
      </c>
    </row>
    <row r="764" ht="15" hidden="1" spans="3:17">
      <c r="C764" s="55"/>
      <c r="D764" s="55"/>
      <c r="E764" s="147">
        <f>F4A!E763+F4B!E762</f>
        <v>0</v>
      </c>
      <c r="F764" s="147">
        <f>F4A!F763+F4B!F762</f>
        <v>0</v>
      </c>
      <c r="G764" s="147">
        <f>F4A!G763+F4B!G762</f>
        <v>0</v>
      </c>
      <c r="H764" s="147">
        <f>F4A!H763+F4B!H762</f>
        <v>0</v>
      </c>
      <c r="I764" s="147">
        <f>F4A!I763+F4B!I762</f>
        <v>0</v>
      </c>
      <c r="J764" s="147">
        <f>F4A!J763+F4B!J762</f>
        <v>0</v>
      </c>
      <c r="K764" s="147">
        <f>F4A!K763+F4B!K762</f>
        <v>0</v>
      </c>
      <c r="L764" s="147">
        <f>F4A!L763+F4B!L762</f>
        <v>0</v>
      </c>
      <c r="M764" s="147">
        <f>F4A!M763+F4B!M762</f>
        <v>0</v>
      </c>
      <c r="N764" s="147">
        <f>F4A!N763+F4B!N762</f>
        <v>0</v>
      </c>
      <c r="O764" s="147">
        <f>F4A!O763+F4B!O762</f>
        <v>0</v>
      </c>
      <c r="P764" s="147">
        <f>F4A!P763+F4B!P762</f>
        <v>0</v>
      </c>
      <c r="Q764" s="316">
        <f t="shared" si="127"/>
        <v>0</v>
      </c>
    </row>
    <row r="765" ht="15" hidden="1" spans="3:17">
      <c r="C765" s="55" t="s">
        <v>258</v>
      </c>
      <c r="D765" s="55" t="s">
        <v>258</v>
      </c>
      <c r="E765" s="147">
        <f>F4A!E764+F4B!E763</f>
        <v>0</v>
      </c>
      <c r="F765" s="147">
        <f>F4A!F764+F4B!F763</f>
        <v>0</v>
      </c>
      <c r="G765" s="147">
        <f>F4A!G764+F4B!G763</f>
        <v>0</v>
      </c>
      <c r="H765" s="147">
        <f>F4A!H764+F4B!H763</f>
        <v>0</v>
      </c>
      <c r="I765" s="147">
        <f>F4A!I764+F4B!I763</f>
        <v>0</v>
      </c>
      <c r="J765" s="147">
        <f>F4A!J764+F4B!J763</f>
        <v>0</v>
      </c>
      <c r="K765" s="147">
        <f>F4A!K764+F4B!K763</f>
        <v>0</v>
      </c>
      <c r="L765" s="147">
        <f>F4A!L764+F4B!L763</f>
        <v>0</v>
      </c>
      <c r="M765" s="147">
        <f>F4A!M764+F4B!M763</f>
        <v>0</v>
      </c>
      <c r="N765" s="147">
        <f>F4A!N764+F4B!N763</f>
        <v>0</v>
      </c>
      <c r="O765" s="147">
        <f>F4A!O764+F4B!O763</f>
        <v>0</v>
      </c>
      <c r="P765" s="147">
        <f>F4A!P764+F4B!P763</f>
        <v>0</v>
      </c>
      <c r="Q765" s="316">
        <f t="shared" si="127"/>
        <v>0</v>
      </c>
    </row>
    <row r="766" ht="15" hidden="1" spans="3:17">
      <c r="C766" s="537" t="s">
        <v>189</v>
      </c>
      <c r="D766" s="540"/>
      <c r="E766" s="316">
        <f>SUM(E753:E765)</f>
        <v>3530.36225983959</v>
      </c>
      <c r="F766" s="316">
        <f t="shared" ref="F766:P766" si="128">SUM(F753:F765)</f>
        <v>3161.40095294998</v>
      </c>
      <c r="G766" s="316">
        <f t="shared" si="128"/>
        <v>2866.68405436834</v>
      </c>
      <c r="H766" s="316">
        <f t="shared" si="128"/>
        <v>2717.87543686982</v>
      </c>
      <c r="I766" s="316">
        <f t="shared" si="128"/>
        <v>3170.1978833558</v>
      </c>
      <c r="J766" s="316">
        <f t="shared" si="128"/>
        <v>3110.16517685758</v>
      </c>
      <c r="K766" s="316">
        <f t="shared" si="128"/>
        <v>2731.3805128156</v>
      </c>
      <c r="L766" s="316">
        <f t="shared" si="128"/>
        <v>2498.07724575392</v>
      </c>
      <c r="M766" s="316">
        <f t="shared" si="128"/>
        <v>2843.35703816142</v>
      </c>
      <c r="N766" s="316">
        <f t="shared" si="128"/>
        <v>3417.48128996938</v>
      </c>
      <c r="O766" s="316">
        <f t="shared" si="128"/>
        <v>3447.44369333034</v>
      </c>
      <c r="P766" s="316">
        <f t="shared" si="128"/>
        <v>4256.42744808519</v>
      </c>
      <c r="Q766" s="316">
        <f t="shared" si="127"/>
        <v>37750.8529923569</v>
      </c>
    </row>
    <row r="767" ht="15" hidden="1" spans="3:17">
      <c r="C767" s="44" t="s">
        <v>190</v>
      </c>
      <c r="D767" s="45"/>
      <c r="E767" s="147"/>
      <c r="F767" s="147"/>
      <c r="G767" s="147"/>
      <c r="H767" s="147"/>
      <c r="I767" s="147"/>
      <c r="J767" s="147"/>
      <c r="K767" s="147"/>
      <c r="L767" s="147"/>
      <c r="M767" s="147"/>
      <c r="N767" s="147"/>
      <c r="O767" s="147"/>
      <c r="P767" s="147"/>
      <c r="Q767" s="316">
        <f t="shared" ref="Q767:Q783" si="129">SUM(E767:P767)</f>
        <v>0</v>
      </c>
    </row>
    <row r="768" ht="15" hidden="1" spans="3:17">
      <c r="C768" s="55" t="s">
        <v>191</v>
      </c>
      <c r="D768" s="55" t="s">
        <v>192</v>
      </c>
      <c r="E768" s="147">
        <f>F4A!E767+F4B!E766</f>
        <v>498.754101685561</v>
      </c>
      <c r="F768" s="147">
        <f>F4A!F767+F4B!F766</f>
        <v>514.1688105811</v>
      </c>
      <c r="G768" s="147">
        <f>F4A!G767+F4B!G766</f>
        <v>499.523377487292</v>
      </c>
      <c r="H768" s="147">
        <f>F4A!H767+F4B!H766</f>
        <v>482.910947142268</v>
      </c>
      <c r="I768" s="147">
        <f>F4A!I767+F4B!I766</f>
        <v>502.861590208619</v>
      </c>
      <c r="J768" s="147">
        <f>F4A!J767+F4B!J766</f>
        <v>472.899537670895</v>
      </c>
      <c r="K768" s="147">
        <f>F4A!K767+F4B!K766</f>
        <v>482.965806029267</v>
      </c>
      <c r="L768" s="147">
        <f>F4A!L767+F4B!L766</f>
        <v>489.849033646691</v>
      </c>
      <c r="M768" s="147">
        <f>F4A!M767+F4B!M766</f>
        <v>515.692172784915</v>
      </c>
      <c r="N768" s="147">
        <f>F4A!N767+F4B!N766</f>
        <v>501.143351508528</v>
      </c>
      <c r="O768" s="147">
        <f>F4A!O767+F4B!O766</f>
        <v>494.115598667639</v>
      </c>
      <c r="P768" s="147">
        <f>F4A!P767+F4B!P766</f>
        <v>515.536485498071</v>
      </c>
      <c r="Q768" s="316">
        <f t="shared" si="129"/>
        <v>5970.42081291085</v>
      </c>
    </row>
    <row r="769" ht="15" hidden="1" spans="3:17">
      <c r="C769" s="55" t="s">
        <v>193</v>
      </c>
      <c r="D769" s="55" t="s">
        <v>194</v>
      </c>
      <c r="E769" s="147">
        <f>F4A!E768+F4B!E767</f>
        <v>0.011040808032</v>
      </c>
      <c r="F769" s="147">
        <f>F4A!F768+F4B!F767</f>
        <v>0.0251377117272576</v>
      </c>
      <c r="G769" s="147">
        <f>F4A!G768+F4B!G767</f>
        <v>0.0093891031504128</v>
      </c>
      <c r="H769" s="147">
        <f>F4A!H768+F4B!H767</f>
        <v>0</v>
      </c>
      <c r="I769" s="147">
        <f>F4A!I768+F4B!I767</f>
        <v>0</v>
      </c>
      <c r="J769" s="147">
        <f>F4A!J768+F4B!J767</f>
        <v>0</v>
      </c>
      <c r="K769" s="147">
        <f>F4A!K768+F4B!K767</f>
        <v>0</v>
      </c>
      <c r="L769" s="147">
        <f>F4A!L768+F4B!L767</f>
        <v>0.0712805607353952</v>
      </c>
      <c r="M769" s="147">
        <f>F4A!M768+F4B!M767</f>
        <v>0.1122022116252</v>
      </c>
      <c r="N769" s="147">
        <f>F4A!N768+F4B!N767</f>
        <v>0.0450056457808416</v>
      </c>
      <c r="O769" s="147">
        <f>F4A!O768+F4B!O767</f>
        <v>0.0160997062722624</v>
      </c>
      <c r="P769" s="147">
        <f>F4A!P768+F4B!P767</f>
        <v>0</v>
      </c>
      <c r="Q769" s="316">
        <f t="shared" si="129"/>
        <v>0.29015574732337</v>
      </c>
    </row>
    <row r="770" ht="15" hidden="1" spans="3:17">
      <c r="C770" s="55" t="s">
        <v>239</v>
      </c>
      <c r="D770" s="55" t="s">
        <v>196</v>
      </c>
      <c r="E770" s="147">
        <f>F4A!E769+F4B!E768</f>
        <v>380.76730456002</v>
      </c>
      <c r="F770" s="147">
        <f>F4A!F769+F4B!F768</f>
        <v>420.728779850185</v>
      </c>
      <c r="G770" s="147">
        <f>F4A!G769+F4B!G768</f>
        <v>421.802432549445</v>
      </c>
      <c r="H770" s="147">
        <f>F4A!H769+F4B!H768</f>
        <v>359.985676671546</v>
      </c>
      <c r="I770" s="147">
        <f>F4A!I769+F4B!I768</f>
        <v>388.438716257206</v>
      </c>
      <c r="J770" s="147">
        <f>F4A!J769+F4B!J768</f>
        <v>361.625556204828</v>
      </c>
      <c r="K770" s="147">
        <f>F4A!K769+F4B!K768</f>
        <v>377.453109580061</v>
      </c>
      <c r="L770" s="147">
        <f>F4A!L769+F4B!L768</f>
        <v>349.670750797294</v>
      </c>
      <c r="M770" s="147">
        <f>F4A!M769+F4B!M768</f>
        <v>323.409839346975</v>
      </c>
      <c r="N770" s="147">
        <f>F4A!N769+F4B!N768</f>
        <v>324.259391909754</v>
      </c>
      <c r="O770" s="147">
        <f>F4A!O769+F4B!O768</f>
        <v>355.371401063812</v>
      </c>
      <c r="P770" s="147">
        <f>F4A!P769+F4B!P768</f>
        <v>423.28566091073</v>
      </c>
      <c r="Q770" s="316">
        <f t="shared" si="129"/>
        <v>4486.79861970186</v>
      </c>
    </row>
    <row r="771" ht="15" hidden="1" spans="3:17">
      <c r="C771" s="55" t="s">
        <v>197</v>
      </c>
      <c r="D771" s="55" t="s">
        <v>198</v>
      </c>
      <c r="E771" s="147">
        <f>F4A!E770+F4B!E769</f>
        <v>0</v>
      </c>
      <c r="F771" s="147">
        <f>F4A!F770+F4B!F769</f>
        <v>0.0521446322543328</v>
      </c>
      <c r="G771" s="147">
        <f>F4A!G770+F4B!G769</f>
        <v>0.0404822267301312</v>
      </c>
      <c r="H771" s="147">
        <f>F4A!H770+F4B!H769</f>
        <v>0.0302915609165952</v>
      </c>
      <c r="I771" s="147">
        <f>F4A!I770+F4B!I769</f>
        <v>0.0275258385045792</v>
      </c>
      <c r="J771" s="147">
        <f>F4A!J770+F4B!J769</f>
        <v>0.0330639078134304</v>
      </c>
      <c r="K771" s="147">
        <f>F4A!K770+F4B!K769</f>
        <v>0.0281065850070624</v>
      </c>
      <c r="L771" s="147">
        <f>F4A!L770+F4B!L769</f>
        <v>0.0286751866207104</v>
      </c>
      <c r="M771" s="147">
        <f>F4A!M770+F4B!M769</f>
        <v>0.0312576316193952</v>
      </c>
      <c r="N771" s="147">
        <f>F4A!N770+F4B!N769</f>
        <v>0.0313051070939328</v>
      </c>
      <c r="O771" s="147">
        <f>F4A!O770+F4B!O769</f>
        <v>0.0326355244617888</v>
      </c>
      <c r="P771" s="147">
        <f>F4A!P770+F4B!P769</f>
        <v>0.0369281906246304</v>
      </c>
      <c r="Q771" s="316">
        <f t="shared" ref="Q771" si="130">SUM(E771:P771)</f>
        <v>0.372416391646589</v>
      </c>
    </row>
    <row r="772" ht="15" hidden="1" spans="3:17">
      <c r="C772" s="55" t="s">
        <v>199</v>
      </c>
      <c r="D772" s="55" t="s">
        <v>200</v>
      </c>
      <c r="E772" s="147">
        <f>F4A!E771+F4B!E770</f>
        <v>0.542489028085223</v>
      </c>
      <c r="F772" s="147">
        <f>F4A!F771+F4B!F770</f>
        <v>0.623314805119335</v>
      </c>
      <c r="G772" s="147">
        <f>F4A!G771+F4B!G770</f>
        <v>0.632630516102887</v>
      </c>
      <c r="H772" s="147">
        <f>F4A!H771+F4B!H770</f>
        <v>0.569761913516226</v>
      </c>
      <c r="I772" s="147">
        <f>F4A!I771+F4B!I770</f>
        <v>0.56438784784271</v>
      </c>
      <c r="J772" s="147">
        <f>F4A!J771+F4B!J770</f>
        <v>0.562877192007539</v>
      </c>
      <c r="K772" s="147">
        <f>F4A!K771+F4B!K770</f>
        <v>0.57152007793456</v>
      </c>
      <c r="L772" s="147">
        <f>F4A!L771+F4B!L770</f>
        <v>0.533395221348645</v>
      </c>
      <c r="M772" s="147">
        <f>F4A!M771+F4B!M770</f>
        <v>0.500429638504881</v>
      </c>
      <c r="N772" s="147">
        <f>F4A!N771+F4B!N770</f>
        <v>0.526482050577526</v>
      </c>
      <c r="O772" s="147">
        <f>F4A!O771+F4B!O770</f>
        <v>0.552457649641603</v>
      </c>
      <c r="P772" s="147">
        <f>F4A!P771+F4B!P770</f>
        <v>0.676704113463457</v>
      </c>
      <c r="Q772" s="316">
        <f t="shared" si="129"/>
        <v>6.85645005414459</v>
      </c>
    </row>
    <row r="773" ht="15" hidden="1" spans="3:17">
      <c r="C773" s="55" t="s">
        <v>201</v>
      </c>
      <c r="D773" s="55" t="s">
        <v>202</v>
      </c>
      <c r="E773" s="147">
        <f>F4A!E772+F4B!E771</f>
        <v>2.2839318576</v>
      </c>
      <c r="F773" s="147">
        <f>F4A!F772+F4B!F771</f>
        <v>0.41679158564016</v>
      </c>
      <c r="G773" s="147">
        <f>F4A!G772+F4B!G771</f>
        <v>0.68047855440912</v>
      </c>
      <c r="H773" s="147">
        <f>F4A!H772+F4B!H771</f>
        <v>1.12969452529394</v>
      </c>
      <c r="I773" s="147">
        <f>F4A!I772+F4B!I771</f>
        <v>1.95756591855237</v>
      </c>
      <c r="J773" s="147">
        <f>F4A!J772+F4B!J771</f>
        <v>1.83005398129392</v>
      </c>
      <c r="K773" s="147">
        <f>F4A!K772+F4B!K771</f>
        <v>3.57976227064752</v>
      </c>
      <c r="L773" s="147">
        <f>F4A!L772+F4B!L771</f>
        <v>1.52117149731893</v>
      </c>
      <c r="M773" s="147">
        <f>F4A!M772+F4B!M771</f>
        <v>1.34044501938624</v>
      </c>
      <c r="N773" s="147">
        <f>F4A!N772+F4B!N771</f>
        <v>1.67771193787944</v>
      </c>
      <c r="O773" s="147">
        <f>F4A!O772+F4B!O771</f>
        <v>1.95313842463968</v>
      </c>
      <c r="P773" s="147">
        <f>F4A!P772+F4B!P771</f>
        <v>0.9276281246376</v>
      </c>
      <c r="Q773" s="316">
        <f t="shared" si="129"/>
        <v>19.2983736972989</v>
      </c>
    </row>
    <row r="774" ht="15" hidden="1" spans="3:17">
      <c r="C774" s="55" t="s">
        <v>203</v>
      </c>
      <c r="D774" s="55" t="s">
        <v>204</v>
      </c>
      <c r="E774" s="147">
        <f>F4A!E773+F4B!E772</f>
        <v>17.0352462842651</v>
      </c>
      <c r="F774" s="147">
        <f>F4A!F773+F4B!F772</f>
        <v>16.3140854877982</v>
      </c>
      <c r="G774" s="147">
        <f>F4A!G773+F4B!G772</f>
        <v>16.2494253916895</v>
      </c>
      <c r="H774" s="147">
        <f>F4A!H773+F4B!H772</f>
        <v>16.0587065203625</v>
      </c>
      <c r="I774" s="147">
        <f>F4A!I773+F4B!I772</f>
        <v>16.1701017528138</v>
      </c>
      <c r="J774" s="147">
        <f>F4A!J773+F4B!J772</f>
        <v>15.4762706859911</v>
      </c>
      <c r="K774" s="147">
        <f>F4A!K773+F4B!K772</f>
        <v>16.5404541183329</v>
      </c>
      <c r="L774" s="147">
        <f>F4A!L773+F4B!L772</f>
        <v>16.5881314183819</v>
      </c>
      <c r="M774" s="147">
        <f>F4A!M773+F4B!M772</f>
        <v>16.8084483349675</v>
      </c>
      <c r="N774" s="147">
        <f>F4A!N773+F4B!N772</f>
        <v>17.0707070973824</v>
      </c>
      <c r="O774" s="147">
        <f>F4A!O773+F4B!O772</f>
        <v>16.027154341377</v>
      </c>
      <c r="P774" s="147">
        <f>F4A!P773+F4B!P772</f>
        <v>17.4956429892983</v>
      </c>
      <c r="Q774" s="316">
        <f t="shared" si="129"/>
        <v>197.83437442266</v>
      </c>
    </row>
    <row r="775" ht="15" hidden="1" spans="3:17">
      <c r="C775" s="55" t="s">
        <v>205</v>
      </c>
      <c r="D775" s="55" t="s">
        <v>206</v>
      </c>
      <c r="E775" s="147">
        <f>F4A!E774+F4B!E773</f>
        <v>44.3070786583582</v>
      </c>
      <c r="F775" s="147">
        <f>F4A!F774+F4B!F773</f>
        <v>50.8368206724135</v>
      </c>
      <c r="G775" s="147">
        <f>F4A!G774+F4B!G773</f>
        <v>50.8730222963214</v>
      </c>
      <c r="H775" s="147">
        <f>F4A!H774+F4B!H773</f>
        <v>39.121919449382</v>
      </c>
      <c r="I775" s="147">
        <f>F4A!I774+F4B!I773</f>
        <v>40.772380602687</v>
      </c>
      <c r="J775" s="147">
        <f>F4A!J774+F4B!J773</f>
        <v>38.7167905956722</v>
      </c>
      <c r="K775" s="147">
        <f>F4A!K774+F4B!K773</f>
        <v>39.0876499795228</v>
      </c>
      <c r="L775" s="147">
        <f>F4A!L774+F4B!L773</f>
        <v>36.959448824003</v>
      </c>
      <c r="M775" s="147">
        <f>F4A!M774+F4B!M773</f>
        <v>35.5140168729322</v>
      </c>
      <c r="N775" s="147">
        <f>F4A!N774+F4B!N773</f>
        <v>36.38471948467</v>
      </c>
      <c r="O775" s="147">
        <f>F4A!O774+F4B!O773</f>
        <v>38.3643778930535</v>
      </c>
      <c r="P775" s="147">
        <f>F4A!P774+F4B!P773</f>
        <v>52.7106789385071</v>
      </c>
      <c r="Q775" s="316">
        <f t="shared" si="129"/>
        <v>503.648904267523</v>
      </c>
    </row>
    <row r="776" ht="15" hidden="1" spans="3:17">
      <c r="C776" s="55" t="s">
        <v>207</v>
      </c>
      <c r="D776" s="55" t="s">
        <v>186</v>
      </c>
      <c r="E776" s="147">
        <f>F4A!E775+F4B!E774</f>
        <v>37.5396732338666</v>
      </c>
      <c r="F776" s="147">
        <f>F4A!F775+F4B!F774</f>
        <v>41.0083089432702</v>
      </c>
      <c r="G776" s="147">
        <f>F4A!G775+F4B!G774</f>
        <v>40.739376612151</v>
      </c>
      <c r="H776" s="147">
        <f>F4A!H775+F4B!H774</f>
        <v>38.3607821729222</v>
      </c>
      <c r="I776" s="147">
        <f>F4A!I775+F4B!I774</f>
        <v>43.3749932918562</v>
      </c>
      <c r="J776" s="147">
        <f>F4A!J775+F4B!J774</f>
        <v>42.2207637771461</v>
      </c>
      <c r="K776" s="147">
        <f>F4A!K775+F4B!K774</f>
        <v>43.9121586271937</v>
      </c>
      <c r="L776" s="147">
        <f>F4A!L775+F4B!L774</f>
        <v>42.185445839675</v>
      </c>
      <c r="M776" s="147">
        <f>F4A!M775+F4B!M774</f>
        <v>43.6707965867433</v>
      </c>
      <c r="N776" s="147">
        <f>F4A!N775+F4B!N774</f>
        <v>42.3008438622858</v>
      </c>
      <c r="O776" s="147">
        <f>F4A!O775+F4B!O774</f>
        <v>42.8267734256735</v>
      </c>
      <c r="P776" s="147">
        <f>F4A!P775+F4B!P774</f>
        <v>48.0176648798762</v>
      </c>
      <c r="Q776" s="316">
        <f t="shared" si="129"/>
        <v>506.15758125266</v>
      </c>
    </row>
    <row r="777" ht="15" hidden="1" spans="3:17">
      <c r="C777" s="55" t="s">
        <v>208</v>
      </c>
      <c r="D777" s="55" t="s">
        <v>209</v>
      </c>
      <c r="E777" s="147">
        <f>F4A!E776+F4B!E775</f>
        <v>0</v>
      </c>
      <c r="F777" s="147">
        <f>F4A!F776+F4B!F775</f>
        <v>0</v>
      </c>
      <c r="G777" s="147">
        <f>F4A!G776+F4B!G775</f>
        <v>0</v>
      </c>
      <c r="H777" s="147">
        <f>F4A!H776+F4B!H775</f>
        <v>0</v>
      </c>
      <c r="I777" s="147">
        <f>F4A!I776+F4B!I775</f>
        <v>0</v>
      </c>
      <c r="J777" s="147">
        <f>F4A!J776+F4B!J775</f>
        <v>0</v>
      </c>
      <c r="K777" s="147">
        <f>F4A!K776+F4B!K775</f>
        <v>0</v>
      </c>
      <c r="L777" s="147">
        <f>F4A!L776+F4B!L775</f>
        <v>0</v>
      </c>
      <c r="M777" s="147">
        <f>F4A!M776+F4B!M775</f>
        <v>0</v>
      </c>
      <c r="N777" s="147">
        <f>F4A!N776+F4B!N775</f>
        <v>0</v>
      </c>
      <c r="O777" s="147">
        <f>F4A!O776+F4B!O775</f>
        <v>0</v>
      </c>
      <c r="P777" s="147">
        <f>F4A!P776+F4B!P775</f>
        <v>0</v>
      </c>
      <c r="Q777" s="316">
        <f t="shared" si="129"/>
        <v>0</v>
      </c>
    </row>
    <row r="778" ht="15" hidden="1" spans="3:17">
      <c r="C778" s="55" t="s">
        <v>210</v>
      </c>
      <c r="D778" s="55" t="s">
        <v>188</v>
      </c>
      <c r="E778" s="147">
        <f>F4A!E777+F4B!E776</f>
        <v>0.96725942192</v>
      </c>
      <c r="F778" s="147">
        <f>F4A!F777+F4B!F776</f>
        <v>1.19816468266</v>
      </c>
      <c r="G778" s="147">
        <f>F4A!G777+F4B!G776</f>
        <v>1.29508517446</v>
      </c>
      <c r="H778" s="147">
        <f>F4A!H777+F4B!H776</f>
        <v>1.21628614118</v>
      </c>
      <c r="I778" s="147">
        <f>F4A!I777+F4B!I776</f>
        <v>1.28727259045</v>
      </c>
      <c r="J778" s="147">
        <f>F4A!J777+F4B!J776</f>
        <v>1.49436485033</v>
      </c>
      <c r="K778" s="147">
        <f>F4A!K777+F4B!K776</f>
        <v>1.80809380884</v>
      </c>
      <c r="L778" s="147">
        <f>F4A!L777+F4B!L776</f>
        <v>1.78844075531</v>
      </c>
      <c r="M778" s="147">
        <f>F4A!M777+F4B!M776</f>
        <v>1.85149383232</v>
      </c>
      <c r="N778" s="147">
        <f>F4A!N777+F4B!N776</f>
        <v>1.97263156299</v>
      </c>
      <c r="O778" s="147">
        <f>F4A!O777+F4B!O776</f>
        <v>2.05959105044</v>
      </c>
      <c r="P778" s="147">
        <f>F4A!P777+F4B!P776</f>
        <v>2.42239869069</v>
      </c>
      <c r="Q778" s="316">
        <f t="shared" si="129"/>
        <v>19.36108256159</v>
      </c>
    </row>
    <row r="779" ht="15" hidden="1" spans="3:17">
      <c r="C779" s="55"/>
      <c r="D779" s="55"/>
      <c r="E779" s="147">
        <f>F4A!E778+F4B!E777</f>
        <v>0</v>
      </c>
      <c r="F779" s="147">
        <f>F4A!F778+F4B!F777</f>
        <v>0</v>
      </c>
      <c r="G779" s="147">
        <f>F4A!G778+F4B!G777</f>
        <v>0</v>
      </c>
      <c r="H779" s="147">
        <f>F4A!H778+F4B!H777</f>
        <v>0</v>
      </c>
      <c r="I779" s="147">
        <f>F4A!I778+F4B!I777</f>
        <v>0</v>
      </c>
      <c r="J779" s="147">
        <f>F4A!J778+F4B!J777</f>
        <v>0</v>
      </c>
      <c r="K779" s="147">
        <f>F4A!K778+F4B!K777</f>
        <v>0</v>
      </c>
      <c r="L779" s="147">
        <f>F4A!L778+F4B!L777</f>
        <v>0</v>
      </c>
      <c r="M779" s="147">
        <f>F4A!M778+F4B!M777</f>
        <v>0</v>
      </c>
      <c r="N779" s="147">
        <f>F4A!N778+F4B!N777</f>
        <v>0</v>
      </c>
      <c r="O779" s="147">
        <f>F4A!O778+F4B!O777</f>
        <v>0</v>
      </c>
      <c r="P779" s="147">
        <f>F4A!P778+F4B!P777</f>
        <v>0</v>
      </c>
      <c r="Q779" s="316">
        <f t="shared" si="129"/>
        <v>0</v>
      </c>
    </row>
    <row r="780" ht="15" hidden="1" spans="3:17">
      <c r="C780" s="55"/>
      <c r="D780" s="55"/>
      <c r="E780" s="147">
        <f>F4A!E779+F4B!E778</f>
        <v>0</v>
      </c>
      <c r="F780" s="147">
        <f>F4A!F779+F4B!F778</f>
        <v>0</v>
      </c>
      <c r="G780" s="147">
        <f>F4A!G779+F4B!G778</f>
        <v>0</v>
      </c>
      <c r="H780" s="147">
        <f>F4A!H779+F4B!H778</f>
        <v>0</v>
      </c>
      <c r="I780" s="147">
        <f>F4A!I779+F4B!I778</f>
        <v>0</v>
      </c>
      <c r="J780" s="147">
        <f>F4A!J779+F4B!J778</f>
        <v>0</v>
      </c>
      <c r="K780" s="147">
        <f>F4A!K779+F4B!K778</f>
        <v>0</v>
      </c>
      <c r="L780" s="147">
        <f>F4A!L779+F4B!L778</f>
        <v>0</v>
      </c>
      <c r="M780" s="147">
        <f>F4A!M779+F4B!M778</f>
        <v>0</v>
      </c>
      <c r="N780" s="147">
        <f>F4A!N779+F4B!N778</f>
        <v>0</v>
      </c>
      <c r="O780" s="147">
        <f>F4A!O779+F4B!O778</f>
        <v>0</v>
      </c>
      <c r="P780" s="147">
        <f>F4A!P779+F4B!P778</f>
        <v>0</v>
      </c>
      <c r="Q780" s="316">
        <f t="shared" si="129"/>
        <v>0</v>
      </c>
    </row>
    <row r="781" ht="15" hidden="1" spans="3:17">
      <c r="C781" s="55"/>
      <c r="D781" s="55"/>
      <c r="E781" s="147">
        <f>F4A!E780+F4B!E779</f>
        <v>0</v>
      </c>
      <c r="F781" s="147">
        <f>F4A!F780+F4B!F779</f>
        <v>0</v>
      </c>
      <c r="G781" s="147">
        <f>F4A!G780+F4B!G779</f>
        <v>0</v>
      </c>
      <c r="H781" s="147">
        <f>F4A!H780+F4B!H779</f>
        <v>0</v>
      </c>
      <c r="I781" s="147">
        <f>F4A!I780+F4B!I779</f>
        <v>0</v>
      </c>
      <c r="J781" s="147">
        <f>F4A!J780+F4B!J779</f>
        <v>0</v>
      </c>
      <c r="K781" s="147">
        <f>F4A!K780+F4B!K779</f>
        <v>0</v>
      </c>
      <c r="L781" s="147">
        <f>F4A!L780+F4B!L779</f>
        <v>0</v>
      </c>
      <c r="M781" s="147">
        <f>F4A!M780+F4B!M779</f>
        <v>0</v>
      </c>
      <c r="N781" s="147">
        <f>F4A!N780+F4B!N779</f>
        <v>0</v>
      </c>
      <c r="O781" s="147">
        <f>F4A!O780+F4B!O779</f>
        <v>0</v>
      </c>
      <c r="P781" s="147">
        <f>F4A!P780+F4B!P779</f>
        <v>0</v>
      </c>
      <c r="Q781" s="316">
        <f t="shared" si="129"/>
        <v>0</v>
      </c>
    </row>
    <row r="782" ht="15" hidden="1" spans="3:17">
      <c r="C782" s="55" t="s">
        <v>258</v>
      </c>
      <c r="D782" s="55" t="s">
        <v>258</v>
      </c>
      <c r="E782" s="147">
        <f>F4A!E781+F4B!E780</f>
        <v>0</v>
      </c>
      <c r="F782" s="147">
        <f>F4A!F781+F4B!F780</f>
        <v>0</v>
      </c>
      <c r="G782" s="147">
        <f>F4A!G781+F4B!G780</f>
        <v>0</v>
      </c>
      <c r="H782" s="147">
        <f>F4A!H781+F4B!H780</f>
        <v>0</v>
      </c>
      <c r="I782" s="147">
        <f>F4A!I781+F4B!I780</f>
        <v>0</v>
      </c>
      <c r="J782" s="147">
        <f>F4A!J781+F4B!J780</f>
        <v>0</v>
      </c>
      <c r="K782" s="147">
        <f>F4A!K781+F4B!K780</f>
        <v>0</v>
      </c>
      <c r="L782" s="147">
        <f>F4A!L781+F4B!L780</f>
        <v>0</v>
      </c>
      <c r="M782" s="147">
        <f>F4A!M781+F4B!M780</f>
        <v>0</v>
      </c>
      <c r="N782" s="147">
        <f>F4A!N781+F4B!N780</f>
        <v>0</v>
      </c>
      <c r="O782" s="147">
        <f>F4A!O781+F4B!O780</f>
        <v>0</v>
      </c>
      <c r="P782" s="147">
        <f>F4A!P781+F4B!P780</f>
        <v>0</v>
      </c>
      <c r="Q782" s="316">
        <f t="shared" si="129"/>
        <v>0</v>
      </c>
    </row>
    <row r="783" ht="15" hidden="1" spans="3:17">
      <c r="C783" s="537" t="s">
        <v>211</v>
      </c>
      <c r="D783" s="540"/>
      <c r="E783" s="316">
        <f t="shared" ref="E783:P783" si="131">SUM(E768:E782)</f>
        <v>982.208125537708</v>
      </c>
      <c r="F783" s="316">
        <f t="shared" si="131"/>
        <v>1045.37235895217</v>
      </c>
      <c r="G783" s="316">
        <f t="shared" si="131"/>
        <v>1031.84569991175</v>
      </c>
      <c r="H783" s="316">
        <f t="shared" si="131"/>
        <v>939.384066097388</v>
      </c>
      <c r="I783" s="316">
        <f t="shared" si="131"/>
        <v>995.454534308532</v>
      </c>
      <c r="J783" s="316">
        <f t="shared" si="131"/>
        <v>934.859278865977</v>
      </c>
      <c r="K783" s="316">
        <f t="shared" si="131"/>
        <v>965.946661076807</v>
      </c>
      <c r="L783" s="316">
        <f t="shared" si="131"/>
        <v>939.195773747379</v>
      </c>
      <c r="M783" s="316">
        <f t="shared" si="131"/>
        <v>938.931102259989</v>
      </c>
      <c r="N783" s="316">
        <f t="shared" si="131"/>
        <v>925.412150166942</v>
      </c>
      <c r="O783" s="316">
        <f t="shared" si="131"/>
        <v>951.31922774701</v>
      </c>
      <c r="P783" s="316">
        <f t="shared" si="131"/>
        <v>1061.1097923359</v>
      </c>
      <c r="Q783" s="316">
        <f t="shared" si="129"/>
        <v>11711.0387710075</v>
      </c>
    </row>
    <row r="784" ht="15" hidden="1" spans="3:17">
      <c r="C784" s="44" t="s">
        <v>212</v>
      </c>
      <c r="D784" s="45"/>
      <c r="E784" s="147"/>
      <c r="F784" s="147"/>
      <c r="G784" s="147"/>
      <c r="H784" s="147"/>
      <c r="I784" s="147"/>
      <c r="J784" s="147"/>
      <c r="K784" s="147"/>
      <c r="L784" s="147"/>
      <c r="M784" s="147"/>
      <c r="N784" s="147"/>
      <c r="O784" s="147"/>
      <c r="P784" s="147"/>
      <c r="Q784" s="316">
        <f t="shared" ref="Q784:Q800" si="132">SUM(E784:P784)</f>
        <v>0</v>
      </c>
    </row>
    <row r="785" ht="15" hidden="1" spans="3:17">
      <c r="C785" s="55" t="s">
        <v>191</v>
      </c>
      <c r="D785" s="55" t="s">
        <v>192</v>
      </c>
      <c r="E785" s="147">
        <f>F4A!E784+F4B!E783</f>
        <v>887.86866337746</v>
      </c>
      <c r="F785" s="147">
        <f>F4A!F784+F4B!F783</f>
        <v>947.093088383833</v>
      </c>
      <c r="G785" s="147">
        <f>F4A!G784+F4B!G783</f>
        <v>923.237455276368</v>
      </c>
      <c r="H785" s="147">
        <f>F4A!H784+F4B!H783</f>
        <v>922.567927987548</v>
      </c>
      <c r="I785" s="147">
        <f>F4A!I784+F4B!I783</f>
        <v>945.453432541909</v>
      </c>
      <c r="J785" s="147">
        <f>F4A!J784+F4B!J783</f>
        <v>921.42366746261</v>
      </c>
      <c r="K785" s="147">
        <f>F4A!K784+F4B!K783</f>
        <v>943.012655915</v>
      </c>
      <c r="L785" s="147">
        <f>F4A!L784+F4B!L783</f>
        <v>946.555363383057</v>
      </c>
      <c r="M785" s="147">
        <f>F4A!M784+F4B!M783</f>
        <v>965.625289688232</v>
      </c>
      <c r="N785" s="147">
        <f>F4A!N784+F4B!N783</f>
        <v>961.321892644932</v>
      </c>
      <c r="O785" s="147">
        <f>F4A!O784+F4B!O783</f>
        <v>935.946309213497</v>
      </c>
      <c r="P785" s="147">
        <f>F4A!P784+F4B!P783</f>
        <v>1045.57556068403</v>
      </c>
      <c r="Q785" s="316">
        <f t="shared" si="132"/>
        <v>11345.6813065585</v>
      </c>
    </row>
    <row r="786" ht="15" hidden="1" spans="3:17">
      <c r="C786" s="55" t="s">
        <v>193</v>
      </c>
      <c r="D786" s="55" t="s">
        <v>194</v>
      </c>
      <c r="E786" s="147">
        <f>F4A!E785+F4B!E784</f>
        <v>0</v>
      </c>
      <c r="F786" s="147">
        <f>F4A!F785+F4B!F784</f>
        <v>0</v>
      </c>
      <c r="G786" s="147">
        <f>F4A!G785+F4B!G784</f>
        <v>0</v>
      </c>
      <c r="H786" s="147">
        <f>F4A!H785+F4B!H784</f>
        <v>0</v>
      </c>
      <c r="I786" s="147">
        <f>F4A!I785+F4B!I784</f>
        <v>0</v>
      </c>
      <c r="J786" s="147">
        <f>F4A!J785+F4B!J784</f>
        <v>0</v>
      </c>
      <c r="K786" s="147">
        <f>F4A!K785+F4B!K784</f>
        <v>0</v>
      </c>
      <c r="L786" s="147">
        <f>F4A!L785+F4B!L784</f>
        <v>0</v>
      </c>
      <c r="M786" s="147">
        <f>F4A!M785+F4B!M784</f>
        <v>0</v>
      </c>
      <c r="N786" s="147">
        <f>F4A!N785+F4B!N784</f>
        <v>0</v>
      </c>
      <c r="O786" s="147">
        <f>F4A!O785+F4B!O784</f>
        <v>0</v>
      </c>
      <c r="P786" s="147">
        <f>F4A!P785+F4B!P784</f>
        <v>0</v>
      </c>
      <c r="Q786" s="316">
        <f t="shared" si="132"/>
        <v>0</v>
      </c>
    </row>
    <row r="787" ht="15" hidden="1" spans="3:17">
      <c r="C787" s="55" t="s">
        <v>239</v>
      </c>
      <c r="D787" s="55" t="s">
        <v>196</v>
      </c>
      <c r="E787" s="147">
        <f>F4A!E786+F4B!E785</f>
        <v>368.216740787983</v>
      </c>
      <c r="F787" s="147">
        <f>F4A!F786+F4B!F785</f>
        <v>398.143520815634</v>
      </c>
      <c r="G787" s="147">
        <f>F4A!G786+F4B!G785</f>
        <v>400.450290408245</v>
      </c>
      <c r="H787" s="147">
        <f>F4A!H786+F4B!H785</f>
        <v>371.59942844681</v>
      </c>
      <c r="I787" s="147">
        <f>F4A!I786+F4B!I785</f>
        <v>373.371788195847</v>
      </c>
      <c r="J787" s="147">
        <f>F4A!J786+F4B!J785</f>
        <v>350.014957783479</v>
      </c>
      <c r="K787" s="147">
        <f>F4A!K786+F4B!K785</f>
        <v>343.600058854973</v>
      </c>
      <c r="L787" s="147">
        <f>F4A!L786+F4B!L785</f>
        <v>343.600058854973</v>
      </c>
      <c r="M787" s="147">
        <f>F4A!M786+F4B!M785</f>
        <v>321.748790956202</v>
      </c>
      <c r="N787" s="147">
        <f>F4A!N786+F4B!N785</f>
        <v>324.897585328078</v>
      </c>
      <c r="O787" s="147">
        <f>F4A!O786+F4B!O785</f>
        <v>332.09070508131</v>
      </c>
      <c r="P787" s="147">
        <f>F4A!P786+F4B!P785</f>
        <v>390.170176295239</v>
      </c>
      <c r="Q787" s="316">
        <f t="shared" si="132"/>
        <v>4317.90410180877</v>
      </c>
    </row>
    <row r="788" ht="15" hidden="1" spans="3:17">
      <c r="C788" s="55" t="s">
        <v>197</v>
      </c>
      <c r="D788" s="55" t="s">
        <v>198</v>
      </c>
      <c r="E788" s="147">
        <f>F4A!E787+F4B!E786</f>
        <v>0</v>
      </c>
      <c r="F788" s="147">
        <f>F4A!F787+F4B!F786</f>
        <v>0.47133209488608</v>
      </c>
      <c r="G788" s="147">
        <f>F4A!G787+F4B!G786</f>
        <v>0.45703424848464</v>
      </c>
      <c r="H788" s="147">
        <f>F4A!H787+F4B!H786</f>
        <v>0.38350246699152</v>
      </c>
      <c r="I788" s="147">
        <f>F4A!I787+F4B!I786</f>
        <v>0.40690898001936</v>
      </c>
      <c r="J788" s="147">
        <f>F4A!J787+F4B!J786</f>
        <v>0.370341823817376</v>
      </c>
      <c r="K788" s="147">
        <f>F4A!K787+F4B!K786</f>
        <v>0.383966180928864</v>
      </c>
      <c r="L788" s="147">
        <f>F4A!L787+F4B!L786</f>
        <v>0.32393730765888</v>
      </c>
      <c r="M788" s="147">
        <f>F4A!M787+F4B!M786</f>
        <v>0.33652382881536</v>
      </c>
      <c r="N788" s="147">
        <f>F4A!N787+F4B!N786</f>
        <v>0.29567283909696</v>
      </c>
      <c r="O788" s="147">
        <f>F4A!O787+F4B!O786</f>
        <v>0.33299077024512</v>
      </c>
      <c r="P788" s="147">
        <f>F4A!P787+F4B!P786</f>
        <v>0.45532292323968</v>
      </c>
      <c r="Q788" s="316">
        <f t="shared" ref="Q788" si="133">SUM(E788:P788)</f>
        <v>4.21753346418384</v>
      </c>
    </row>
    <row r="789" ht="15" hidden="1" spans="3:17">
      <c r="C789" s="55" t="s">
        <v>199</v>
      </c>
      <c r="D789" s="55" t="s">
        <v>200</v>
      </c>
      <c r="E789" s="147">
        <f>F4A!E788+F4B!E787</f>
        <v>0</v>
      </c>
      <c r="F789" s="147">
        <f>F4A!F788+F4B!F787</f>
        <v>0</v>
      </c>
      <c r="G789" s="147">
        <f>F4A!G788+F4B!G787</f>
        <v>0</v>
      </c>
      <c r="H789" s="147">
        <f>F4A!H788+F4B!H787</f>
        <v>0</v>
      </c>
      <c r="I789" s="147">
        <f>F4A!I788+F4B!I787</f>
        <v>0</v>
      </c>
      <c r="J789" s="147">
        <f>F4A!J788+F4B!J787</f>
        <v>0</v>
      </c>
      <c r="K789" s="147">
        <f>F4A!K788+F4B!K787</f>
        <v>0</v>
      </c>
      <c r="L789" s="147">
        <f>F4A!L788+F4B!L787</f>
        <v>0</v>
      </c>
      <c r="M789" s="147">
        <f>F4A!M788+F4B!M787</f>
        <v>0</v>
      </c>
      <c r="N789" s="147">
        <f>F4A!N788+F4B!N787</f>
        <v>0</v>
      </c>
      <c r="O789" s="147">
        <f>F4A!O788+F4B!O787</f>
        <v>0</v>
      </c>
      <c r="P789" s="147">
        <f>F4A!P788+F4B!P787</f>
        <v>0</v>
      </c>
      <c r="Q789" s="316">
        <f t="shared" si="132"/>
        <v>0</v>
      </c>
    </row>
    <row r="790" ht="15" hidden="1" spans="3:17">
      <c r="C790" s="55" t="s">
        <v>201</v>
      </c>
      <c r="D790" s="55" t="s">
        <v>202</v>
      </c>
      <c r="E790" s="147">
        <f>F4A!E789+F4B!E788</f>
        <v>3.76876957457497</v>
      </c>
      <c r="F790" s="147">
        <f>F4A!F789+F4B!F788</f>
        <v>6.02958792784533</v>
      </c>
      <c r="G790" s="147">
        <f>F4A!G789+F4B!G788</f>
        <v>5.6642246588104</v>
      </c>
      <c r="H790" s="147">
        <f>F4A!H789+F4B!H788</f>
        <v>6.41380257951021</v>
      </c>
      <c r="I790" s="147">
        <f>F4A!I789+F4B!I788</f>
        <v>10.8532379842371</v>
      </c>
      <c r="J790" s="147">
        <f>F4A!J789+F4B!J788</f>
        <v>10.228881930323</v>
      </c>
      <c r="K790" s="147">
        <f>F4A!K789+F4B!K788</f>
        <v>13.5799361640398</v>
      </c>
      <c r="L790" s="147">
        <f>F4A!L789+F4B!L788</f>
        <v>13.2584918348599</v>
      </c>
      <c r="M790" s="147">
        <f>F4A!M789+F4B!M788</f>
        <v>10.8907813604049</v>
      </c>
      <c r="N790" s="147">
        <f>F4A!N789+F4B!N788</f>
        <v>13.6939863044551</v>
      </c>
      <c r="O790" s="147">
        <f>F4A!O789+F4B!O788</f>
        <v>14.045077004781</v>
      </c>
      <c r="P790" s="147">
        <f>F4A!P789+F4B!P788</f>
        <v>17.4124903553227</v>
      </c>
      <c r="Q790" s="316">
        <f t="shared" si="132"/>
        <v>125.839267679164</v>
      </c>
    </row>
    <row r="791" ht="15" hidden="1" spans="3:17">
      <c r="C791" s="55" t="s">
        <v>203</v>
      </c>
      <c r="D791" s="55" t="s">
        <v>204</v>
      </c>
      <c r="E791" s="147">
        <f>F4A!E790+F4B!E789</f>
        <v>28.089325316795</v>
      </c>
      <c r="F791" s="147">
        <f>F4A!F790+F4B!F789</f>
        <v>29.1233902723541</v>
      </c>
      <c r="G791" s="147">
        <f>F4A!G790+F4B!G789</f>
        <v>27.6279383304363</v>
      </c>
      <c r="H791" s="147">
        <f>F4A!H790+F4B!H789</f>
        <v>27.8084215372173</v>
      </c>
      <c r="I791" s="147">
        <f>F4A!I790+F4B!I789</f>
        <v>30.1594160297252</v>
      </c>
      <c r="J791" s="147">
        <f>F4A!J790+F4B!J789</f>
        <v>28.3335793025053</v>
      </c>
      <c r="K791" s="147">
        <f>F4A!K790+F4B!K789</f>
        <v>27.904342585856</v>
      </c>
      <c r="L791" s="147">
        <f>F4A!L790+F4B!L789</f>
        <v>29.5717190066459</v>
      </c>
      <c r="M791" s="147">
        <f>F4A!M790+F4B!M789</f>
        <v>28.7140780541167</v>
      </c>
      <c r="N791" s="147">
        <f>F4A!N790+F4B!N789</f>
        <v>30.3217291397156</v>
      </c>
      <c r="O791" s="147">
        <f>F4A!O790+F4B!O789</f>
        <v>29.1621040681288</v>
      </c>
      <c r="P791" s="147">
        <f>F4A!P790+F4B!P789</f>
        <v>32.2462045180856</v>
      </c>
      <c r="Q791" s="316">
        <f t="shared" si="132"/>
        <v>349.062248161582</v>
      </c>
    </row>
    <row r="792" ht="15" hidden="1" spans="3:17">
      <c r="C792" s="55" t="s">
        <v>205</v>
      </c>
      <c r="D792" s="55" t="s">
        <v>206</v>
      </c>
      <c r="E792" s="147">
        <f>F4A!E791+F4B!E790</f>
        <v>1.1344101040125</v>
      </c>
      <c r="F792" s="147">
        <f>F4A!F791+F4B!F790</f>
        <v>1.99691480254219</v>
      </c>
      <c r="G792" s="147">
        <f>F4A!G791+F4B!G790</f>
        <v>1.87908210728438</v>
      </c>
      <c r="H792" s="147">
        <f>F4A!H791+F4B!H790</f>
        <v>2.21500579594219</v>
      </c>
      <c r="I792" s="147">
        <f>F4A!I791+F4B!I790</f>
        <v>2.32908622340625</v>
      </c>
      <c r="J792" s="147">
        <f>F4A!J791+F4B!J790</f>
        <v>2.14300437159375</v>
      </c>
      <c r="K792" s="147">
        <f>F4A!K791+F4B!K790</f>
        <v>0</v>
      </c>
      <c r="L792" s="147">
        <f>F4A!L791+F4B!L790</f>
        <v>0</v>
      </c>
      <c r="M792" s="147">
        <f>F4A!M791+F4B!M790</f>
        <v>0</v>
      </c>
      <c r="N792" s="147">
        <f>F4A!N791+F4B!N790</f>
        <v>0</v>
      </c>
      <c r="O792" s="147">
        <f>F4A!O791+F4B!O790</f>
        <v>0</v>
      </c>
      <c r="P792" s="147">
        <f>F4A!P791+F4B!P790</f>
        <v>0</v>
      </c>
      <c r="Q792" s="316">
        <f t="shared" si="132"/>
        <v>11.6975034047813</v>
      </c>
    </row>
    <row r="793" ht="15" hidden="1" spans="3:17">
      <c r="C793" s="55" t="s">
        <v>231</v>
      </c>
      <c r="D793" s="55" t="s">
        <v>186</v>
      </c>
      <c r="E793" s="147">
        <f>F4A!E792+F4B!E791</f>
        <v>27.5193524913721</v>
      </c>
      <c r="F793" s="147">
        <f>F4A!F792+F4B!F791</f>
        <v>30.3782627990781</v>
      </c>
      <c r="G793" s="147">
        <f>F4A!G792+F4B!G791</f>
        <v>31.333634584496</v>
      </c>
      <c r="H793" s="147">
        <f>F4A!H792+F4B!H791</f>
        <v>23.022523900499</v>
      </c>
      <c r="I793" s="147">
        <f>F4A!I792+F4B!I791</f>
        <v>23.7209895300117</v>
      </c>
      <c r="J793" s="147">
        <f>F4A!J792+F4B!J791</f>
        <v>21.6662741495284</v>
      </c>
      <c r="K793" s="147">
        <f>F4A!K792+F4B!K791</f>
        <v>23.0604736467949</v>
      </c>
      <c r="L793" s="147">
        <f>F4A!L792+F4B!L791</f>
        <v>21.3752285060455</v>
      </c>
      <c r="M793" s="147">
        <f>F4A!M792+F4B!M791</f>
        <v>20.702920194999</v>
      </c>
      <c r="N793" s="147">
        <f>F4A!N792+F4B!N791</f>
        <v>20.7363256157841</v>
      </c>
      <c r="O793" s="147">
        <f>F4A!O792+F4B!O791</f>
        <v>23.2973899369049</v>
      </c>
      <c r="P793" s="147">
        <f>F4A!P792+F4B!P791</f>
        <v>30.32613329336</v>
      </c>
      <c r="Q793" s="316">
        <f t="shared" si="132"/>
        <v>297.139508648874</v>
      </c>
    </row>
    <row r="794" ht="15" hidden="1" spans="3:17">
      <c r="C794" s="55" t="s">
        <v>208</v>
      </c>
      <c r="D794" s="55" t="s">
        <v>209</v>
      </c>
      <c r="E794" s="147">
        <f>F4A!E793+F4B!E792</f>
        <v>5.44709140124146</v>
      </c>
      <c r="F794" s="147">
        <f>F4A!F793+F4B!F792</f>
        <v>5.43526810368091</v>
      </c>
      <c r="G794" s="147">
        <f>F4A!G793+F4B!G792</f>
        <v>5.34895128388715</v>
      </c>
      <c r="H794" s="147">
        <f>F4A!H793+F4B!H792</f>
        <v>5.7530426547934</v>
      </c>
      <c r="I794" s="147">
        <f>F4A!I793+F4B!I792</f>
        <v>6.15400763693443</v>
      </c>
      <c r="J794" s="147">
        <f>F4A!J793+F4B!J792</f>
        <v>6.13298510912224</v>
      </c>
      <c r="K794" s="147">
        <f>F4A!K793+F4B!K792</f>
        <v>6.82158535499881</v>
      </c>
      <c r="L794" s="147">
        <f>F4A!L793+F4B!L792</f>
        <v>3.85877344848145</v>
      </c>
      <c r="M794" s="147">
        <f>F4A!M793+F4B!M792</f>
        <v>3.72172666000426</v>
      </c>
      <c r="N794" s="147">
        <f>F4A!N793+F4B!N792</f>
        <v>3.680888675342</v>
      </c>
      <c r="O794" s="147">
        <f>F4A!O793+F4B!O792</f>
        <v>3.93053494177927</v>
      </c>
      <c r="P794" s="147">
        <f>F4A!P793+F4B!P792</f>
        <v>4.01236835514232</v>
      </c>
      <c r="Q794" s="316">
        <f t="shared" si="132"/>
        <v>60.2972236254077</v>
      </c>
    </row>
    <row r="795" ht="15" hidden="1" spans="3:17">
      <c r="C795" s="55" t="s">
        <v>210</v>
      </c>
      <c r="D795" s="55" t="s">
        <v>188</v>
      </c>
      <c r="E795" s="147">
        <f>F4A!E794+F4B!E793</f>
        <v>0</v>
      </c>
      <c r="F795" s="147">
        <f>F4A!F794+F4B!F793</f>
        <v>0</v>
      </c>
      <c r="G795" s="147">
        <f>F4A!G794+F4B!G793</f>
        <v>0</v>
      </c>
      <c r="H795" s="147">
        <f>F4A!H794+F4B!H793</f>
        <v>0</v>
      </c>
      <c r="I795" s="147">
        <f>F4A!I794+F4B!I793</f>
        <v>0</v>
      </c>
      <c r="J795" s="147">
        <f>F4A!J794+F4B!J793</f>
        <v>0</v>
      </c>
      <c r="K795" s="147">
        <f>F4A!K794+F4B!K793</f>
        <v>0</v>
      </c>
      <c r="L795" s="147">
        <f>F4A!L794+F4B!L793</f>
        <v>0</v>
      </c>
      <c r="M795" s="147">
        <f>F4A!M794+F4B!M793</f>
        <v>0</v>
      </c>
      <c r="N795" s="147">
        <f>F4A!N794+F4B!N793</f>
        <v>0</v>
      </c>
      <c r="O795" s="147">
        <f>F4A!O794+F4B!O793</f>
        <v>0</v>
      </c>
      <c r="P795" s="147">
        <f>F4A!P794+F4B!P793</f>
        <v>0</v>
      </c>
      <c r="Q795" s="316">
        <f t="shared" si="132"/>
        <v>0</v>
      </c>
    </row>
    <row r="796" ht="15" hidden="1" spans="3:17">
      <c r="C796" s="55"/>
      <c r="D796" s="55"/>
      <c r="E796" s="147">
        <f>F4A!E795+F4B!E794</f>
        <v>0</v>
      </c>
      <c r="F796" s="147">
        <f>F4A!F795+F4B!F794</f>
        <v>0</v>
      </c>
      <c r="G796" s="147">
        <f>F4A!G795+F4B!G794</f>
        <v>0</v>
      </c>
      <c r="H796" s="147">
        <f>F4A!H795+F4B!H794</f>
        <v>0</v>
      </c>
      <c r="I796" s="147">
        <f>F4A!I795+F4B!I794</f>
        <v>0</v>
      </c>
      <c r="J796" s="147">
        <f>F4A!J795+F4B!J794</f>
        <v>0</v>
      </c>
      <c r="K796" s="147">
        <f>F4A!K795+F4B!K794</f>
        <v>0</v>
      </c>
      <c r="L796" s="147">
        <f>F4A!L795+F4B!L794</f>
        <v>0</v>
      </c>
      <c r="M796" s="147">
        <f>F4A!M795+F4B!M794</f>
        <v>0</v>
      </c>
      <c r="N796" s="147">
        <f>F4A!N795+F4B!N794</f>
        <v>0</v>
      </c>
      <c r="O796" s="147">
        <f>F4A!O795+F4B!O794</f>
        <v>0</v>
      </c>
      <c r="P796" s="147">
        <f>F4A!P795+F4B!P794</f>
        <v>0</v>
      </c>
      <c r="Q796" s="316">
        <f t="shared" si="132"/>
        <v>0</v>
      </c>
    </row>
    <row r="797" ht="15" hidden="1" spans="3:17">
      <c r="C797" s="55"/>
      <c r="D797" s="55"/>
      <c r="E797" s="147">
        <f>F4A!E796+F4B!E795</f>
        <v>0</v>
      </c>
      <c r="F797" s="147">
        <f>F4A!F796+F4B!F795</f>
        <v>0</v>
      </c>
      <c r="G797" s="147">
        <f>F4A!G796+F4B!G795</f>
        <v>0</v>
      </c>
      <c r="H797" s="147">
        <f>F4A!H796+F4B!H795</f>
        <v>0</v>
      </c>
      <c r="I797" s="147">
        <f>F4A!I796+F4B!I795</f>
        <v>0</v>
      </c>
      <c r="J797" s="147">
        <f>F4A!J796+F4B!J795</f>
        <v>0</v>
      </c>
      <c r="K797" s="147">
        <f>F4A!K796+F4B!K795</f>
        <v>0</v>
      </c>
      <c r="L797" s="147">
        <f>F4A!L796+F4B!L795</f>
        <v>0</v>
      </c>
      <c r="M797" s="147">
        <f>F4A!M796+F4B!M795</f>
        <v>0</v>
      </c>
      <c r="N797" s="147">
        <f>F4A!N796+F4B!N795</f>
        <v>0</v>
      </c>
      <c r="O797" s="147">
        <f>F4A!O796+F4B!O795</f>
        <v>0</v>
      </c>
      <c r="P797" s="147">
        <f>F4A!P796+F4B!P795</f>
        <v>0</v>
      </c>
      <c r="Q797" s="316">
        <f t="shared" si="132"/>
        <v>0</v>
      </c>
    </row>
    <row r="798" ht="15" hidden="1" spans="3:17">
      <c r="C798" s="55"/>
      <c r="D798" s="55"/>
      <c r="E798" s="147">
        <f>F4A!E797+F4B!E796</f>
        <v>0</v>
      </c>
      <c r="F798" s="147">
        <f>F4A!F797+F4B!F796</f>
        <v>0</v>
      </c>
      <c r="G798" s="147">
        <f>F4A!G797+F4B!G796</f>
        <v>0</v>
      </c>
      <c r="H798" s="147">
        <f>F4A!H797+F4B!H796</f>
        <v>0</v>
      </c>
      <c r="I798" s="147">
        <f>F4A!I797+F4B!I796</f>
        <v>0</v>
      </c>
      <c r="J798" s="147">
        <f>F4A!J797+F4B!J796</f>
        <v>0</v>
      </c>
      <c r="K798" s="147">
        <f>F4A!K797+F4B!K796</f>
        <v>0</v>
      </c>
      <c r="L798" s="147">
        <f>F4A!L797+F4B!L796</f>
        <v>0</v>
      </c>
      <c r="M798" s="147">
        <f>F4A!M797+F4B!M796</f>
        <v>0</v>
      </c>
      <c r="N798" s="147">
        <f>F4A!N797+F4B!N796</f>
        <v>0</v>
      </c>
      <c r="O798" s="147">
        <f>F4A!O797+F4B!O796</f>
        <v>0</v>
      </c>
      <c r="P798" s="147">
        <f>F4A!P797+F4B!P796</f>
        <v>0</v>
      </c>
      <c r="Q798" s="316">
        <f t="shared" si="132"/>
        <v>0</v>
      </c>
    </row>
    <row r="799" ht="15" hidden="1" spans="3:17">
      <c r="C799" s="55" t="s">
        <v>258</v>
      </c>
      <c r="D799" s="55" t="s">
        <v>258</v>
      </c>
      <c r="E799" s="147">
        <f>F4A!E798+F4B!E797</f>
        <v>0</v>
      </c>
      <c r="F799" s="147">
        <f>F4A!F798+F4B!F797</f>
        <v>0</v>
      </c>
      <c r="G799" s="147">
        <f>F4A!G798+F4B!G797</f>
        <v>0</v>
      </c>
      <c r="H799" s="147">
        <f>F4A!H798+F4B!H797</f>
        <v>0</v>
      </c>
      <c r="I799" s="147">
        <f>F4A!I798+F4B!I797</f>
        <v>0</v>
      </c>
      <c r="J799" s="147">
        <f>F4A!J798+F4B!J797</f>
        <v>0</v>
      </c>
      <c r="K799" s="147">
        <f>F4A!K798+F4B!K797</f>
        <v>0</v>
      </c>
      <c r="L799" s="147">
        <f>F4A!L798+F4B!L797</f>
        <v>0</v>
      </c>
      <c r="M799" s="147">
        <f>F4A!M798+F4B!M797</f>
        <v>0</v>
      </c>
      <c r="N799" s="147">
        <f>F4A!N798+F4B!N797</f>
        <v>0</v>
      </c>
      <c r="O799" s="147">
        <f>F4A!O798+F4B!O797</f>
        <v>0</v>
      </c>
      <c r="P799" s="147">
        <f>F4A!P798+F4B!P797</f>
        <v>0</v>
      </c>
      <c r="Q799" s="316">
        <f t="shared" si="132"/>
        <v>0</v>
      </c>
    </row>
    <row r="800" ht="15" hidden="1" spans="3:17">
      <c r="C800" s="537" t="s">
        <v>211</v>
      </c>
      <c r="D800" s="540"/>
      <c r="E800" s="316">
        <f>SUM(E785:E799)</f>
        <v>1322.04435305344</v>
      </c>
      <c r="F800" s="316">
        <f t="shared" ref="F800:P800" si="134">SUM(F785:F799)</f>
        <v>1418.67136519985</v>
      </c>
      <c r="G800" s="316">
        <f t="shared" si="134"/>
        <v>1395.99861089801</v>
      </c>
      <c r="H800" s="316">
        <f t="shared" si="134"/>
        <v>1359.76365536931</v>
      </c>
      <c r="I800" s="316">
        <f t="shared" si="134"/>
        <v>1392.44886712209</v>
      </c>
      <c r="J800" s="316">
        <f t="shared" si="134"/>
        <v>1340.31369193298</v>
      </c>
      <c r="K800" s="316">
        <f t="shared" si="134"/>
        <v>1358.36301870259</v>
      </c>
      <c r="L800" s="316">
        <f t="shared" si="134"/>
        <v>1358.54357234172</v>
      </c>
      <c r="M800" s="316">
        <f t="shared" si="134"/>
        <v>1351.74011074277</v>
      </c>
      <c r="N800" s="316">
        <f t="shared" si="134"/>
        <v>1354.9480805474</v>
      </c>
      <c r="O800" s="316">
        <f t="shared" si="134"/>
        <v>1338.80511101665</v>
      </c>
      <c r="P800" s="316">
        <f t="shared" si="134"/>
        <v>1520.19825642442</v>
      </c>
      <c r="Q800" s="316">
        <f t="shared" si="132"/>
        <v>16511.8386933512</v>
      </c>
    </row>
    <row r="801" ht="15" hidden="1" spans="3:17">
      <c r="C801" s="44" t="s">
        <v>219</v>
      </c>
      <c r="D801" s="45"/>
      <c r="E801" s="147"/>
      <c r="F801" s="147"/>
      <c r="G801" s="147"/>
      <c r="H801" s="147"/>
      <c r="I801" s="147"/>
      <c r="J801" s="147"/>
      <c r="K801" s="147"/>
      <c r="L801" s="147"/>
      <c r="M801" s="147"/>
      <c r="N801" s="147"/>
      <c r="O801" s="147"/>
      <c r="P801" s="147"/>
      <c r="Q801" s="316">
        <f t="shared" ref="Q801:Q821" si="135">SUM(E801:P801)</f>
        <v>0</v>
      </c>
    </row>
    <row r="802" ht="15" hidden="1" spans="3:17">
      <c r="C802" s="55" t="s">
        <v>191</v>
      </c>
      <c r="D802" s="55" t="s">
        <v>192</v>
      </c>
      <c r="E802" s="147">
        <f>F4A!E801+F4B!E800</f>
        <v>960.579794641434</v>
      </c>
      <c r="F802" s="147">
        <f>F4A!F801+F4B!F800</f>
        <v>928.677086441938</v>
      </c>
      <c r="G802" s="147">
        <f>F4A!G801+F4B!G800</f>
        <v>962.840275197716</v>
      </c>
      <c r="H802" s="147">
        <f>F4A!H801+F4B!H800</f>
        <v>928.620071917168</v>
      </c>
      <c r="I802" s="147">
        <f>F4A!I801+F4B!I800</f>
        <v>1012.10902241806</v>
      </c>
      <c r="J802" s="147">
        <f>F4A!J801+F4B!J800</f>
        <v>1000.19137101761</v>
      </c>
      <c r="K802" s="147">
        <f>F4A!K801+F4B!K800</f>
        <v>1104.95200911674</v>
      </c>
      <c r="L802" s="147">
        <f>F4A!L801+F4B!L800</f>
        <v>1076.63871997858</v>
      </c>
      <c r="M802" s="147">
        <f>F4A!M801+F4B!M800</f>
        <v>1090.48819099582</v>
      </c>
      <c r="N802" s="147">
        <f>F4A!N801+F4B!N800</f>
        <v>1079.38713505637</v>
      </c>
      <c r="O802" s="147">
        <f>F4A!O801+F4B!O800</f>
        <v>989.577231190915</v>
      </c>
      <c r="P802" s="147">
        <f>F4A!P801+F4B!P800</f>
        <v>1075.47620359991</v>
      </c>
      <c r="Q802" s="316">
        <f t="shared" si="135"/>
        <v>12209.5371115723</v>
      </c>
    </row>
    <row r="803" ht="15" hidden="1" spans="3:17">
      <c r="C803" s="55" t="s">
        <v>193</v>
      </c>
      <c r="D803" s="55" t="s">
        <v>194</v>
      </c>
      <c r="E803" s="147">
        <f>F4A!E802+F4B!E801</f>
        <v>16.4120893743158</v>
      </c>
      <c r="F803" s="147">
        <f>F4A!F802+F4B!F801</f>
        <v>18.6418136788023</v>
      </c>
      <c r="G803" s="147">
        <f>F4A!G802+F4B!G801</f>
        <v>9.014819758128</v>
      </c>
      <c r="H803" s="147">
        <f>F4A!H802+F4B!H801</f>
        <v>10.2740239141776</v>
      </c>
      <c r="I803" s="147">
        <f>F4A!I802+F4B!I801</f>
        <v>16.409384376348</v>
      </c>
      <c r="J803" s="147">
        <f>F4A!J802+F4B!J801</f>
        <v>14.1613599325484</v>
      </c>
      <c r="K803" s="147">
        <f>F4A!K802+F4B!K801</f>
        <v>16.3556708452723</v>
      </c>
      <c r="L803" s="147">
        <f>F4A!L802+F4B!L801</f>
        <v>11.5669025347248</v>
      </c>
      <c r="M803" s="147">
        <f>F4A!M802+F4B!M801</f>
        <v>14.2352450198986</v>
      </c>
      <c r="N803" s="147">
        <f>F4A!N802+F4B!N801</f>
        <v>15.3201148171229</v>
      </c>
      <c r="O803" s="147">
        <f>F4A!O802+F4B!O801</f>
        <v>13.8177920682086</v>
      </c>
      <c r="P803" s="147">
        <f>F4A!P802+F4B!P801</f>
        <v>12.884622973344</v>
      </c>
      <c r="Q803" s="316">
        <f t="shared" si="135"/>
        <v>169.093839292891</v>
      </c>
    </row>
    <row r="804" ht="15" hidden="1" spans="3:17">
      <c r="C804" s="55" t="s">
        <v>239</v>
      </c>
      <c r="D804" s="55" t="s">
        <v>196</v>
      </c>
      <c r="E804" s="147">
        <f>F4A!E803+F4B!E802</f>
        <v>18.1910658802386</v>
      </c>
      <c r="F804" s="147">
        <f>F4A!F803+F4B!F802</f>
        <v>21.5589645427674</v>
      </c>
      <c r="G804" s="147">
        <f>F4A!G803+F4B!G802</f>
        <v>22.0594138608949</v>
      </c>
      <c r="H804" s="147">
        <f>F4A!H803+F4B!H802</f>
        <v>19.1336096210305</v>
      </c>
      <c r="I804" s="147">
        <f>F4A!I803+F4B!I802</f>
        <v>26.7688216487998</v>
      </c>
      <c r="J804" s="147">
        <f>F4A!J803+F4B!J802</f>
        <v>30.328252448621</v>
      </c>
      <c r="K804" s="147">
        <f>F4A!K803+F4B!K802</f>
        <v>38.2412546898431</v>
      </c>
      <c r="L804" s="147">
        <f>F4A!L803+F4B!L802</f>
        <v>39.9068415064097</v>
      </c>
      <c r="M804" s="147">
        <f>F4A!M803+F4B!M802</f>
        <v>39.6933527679127</v>
      </c>
      <c r="N804" s="147">
        <f>F4A!N803+F4B!N802</f>
        <v>39.989113413899</v>
      </c>
      <c r="O804" s="147">
        <f>F4A!O803+F4B!O802</f>
        <v>47.2819070181225</v>
      </c>
      <c r="P804" s="147">
        <f>F4A!P803+F4B!P802</f>
        <v>67.4152172465724</v>
      </c>
      <c r="Q804" s="316">
        <f t="shared" si="135"/>
        <v>410.567814645112</v>
      </c>
    </row>
    <row r="805" ht="15" hidden="1" spans="3:17">
      <c r="C805" s="55" t="s">
        <v>197</v>
      </c>
      <c r="D805" s="55" t="s">
        <v>198</v>
      </c>
      <c r="E805" s="147">
        <f>F4A!E804+F4B!E803</f>
        <v>0</v>
      </c>
      <c r="F805" s="147">
        <f>F4A!F804+F4B!F803</f>
        <v>0</v>
      </c>
      <c r="G805" s="147">
        <f>F4A!G804+F4B!G803</f>
        <v>0</v>
      </c>
      <c r="H805" s="147">
        <f>F4A!H804+F4B!H803</f>
        <v>0</v>
      </c>
      <c r="I805" s="147">
        <f>F4A!I804+F4B!I803</f>
        <v>0</v>
      </c>
      <c r="J805" s="147">
        <f>F4A!J804+F4B!J803</f>
        <v>0</v>
      </c>
      <c r="K805" s="147">
        <f>F4A!K804+F4B!K803</f>
        <v>0</v>
      </c>
      <c r="L805" s="147">
        <f>F4A!L804+F4B!L803</f>
        <v>0</v>
      </c>
      <c r="M805" s="147">
        <f>F4A!M804+F4B!M803</f>
        <v>0</v>
      </c>
      <c r="N805" s="147">
        <f>F4A!N804+F4B!N803</f>
        <v>0</v>
      </c>
      <c r="O805" s="147">
        <f>F4A!O804+F4B!O803</f>
        <v>0</v>
      </c>
      <c r="P805" s="147">
        <f>F4A!P804+F4B!P803</f>
        <v>0</v>
      </c>
      <c r="Q805" s="316">
        <f t="shared" ref="Q805" si="136">SUM(E805:P805)</f>
        <v>0</v>
      </c>
    </row>
    <row r="806" ht="15" hidden="1" spans="3:17">
      <c r="C806" s="55" t="s">
        <v>199</v>
      </c>
      <c r="D806" s="55" t="s">
        <v>200</v>
      </c>
      <c r="E806" s="147">
        <f>F4A!E805+F4B!E804</f>
        <v>9.9171245299444</v>
      </c>
      <c r="F806" s="147">
        <f>F4A!F805+F4B!F804</f>
        <v>11.7304648615804</v>
      </c>
      <c r="G806" s="147">
        <f>F4A!G805+F4B!G804</f>
        <v>11.2759597183327</v>
      </c>
      <c r="H806" s="147">
        <f>F4A!H805+F4B!H804</f>
        <v>10.8120173671071</v>
      </c>
      <c r="I806" s="147">
        <f>F4A!I805+F4B!I804</f>
        <v>11.1136550861665</v>
      </c>
      <c r="J806" s="147">
        <f>F4A!J805+F4B!J804</f>
        <v>11.1123200665013</v>
      </c>
      <c r="K806" s="147">
        <f>F4A!K805+F4B!K804</f>
        <v>10.6211862802564</v>
      </c>
      <c r="L806" s="147">
        <f>F4A!L805+F4B!L804</f>
        <v>10.8312140291889</v>
      </c>
      <c r="M806" s="147">
        <f>F4A!M805+F4B!M804</f>
        <v>9.63574228166683</v>
      </c>
      <c r="N806" s="147">
        <f>F4A!N805+F4B!N804</f>
        <v>9.66606410762508</v>
      </c>
      <c r="O806" s="147">
        <f>F4A!O805+F4B!O804</f>
        <v>10.7853323188574</v>
      </c>
      <c r="P806" s="147">
        <f>F4A!P805+F4B!P804</f>
        <v>12.9039164571541</v>
      </c>
      <c r="Q806" s="316">
        <f t="shared" si="135"/>
        <v>130.404997104381</v>
      </c>
    </row>
    <row r="807" ht="15" hidden="1" spans="3:17">
      <c r="C807" s="55" t="s">
        <v>201</v>
      </c>
      <c r="D807" s="55" t="s">
        <v>240</v>
      </c>
      <c r="E807" s="147">
        <f>F4A!E806+F4B!E805</f>
        <v>55.7218827086801</v>
      </c>
      <c r="F807" s="147">
        <f>F4A!F806+F4B!F805</f>
        <v>32.4142750685011</v>
      </c>
      <c r="G807" s="147">
        <f>F4A!G806+F4B!G805</f>
        <v>54.8656366119685</v>
      </c>
      <c r="H807" s="147">
        <f>F4A!H806+F4B!H805</f>
        <v>77.7365304809539</v>
      </c>
      <c r="I807" s="147">
        <f>F4A!I806+F4B!I805</f>
        <v>197.18162554909</v>
      </c>
      <c r="J807" s="147">
        <f>F4A!J806+F4B!J805</f>
        <v>261.550543318992</v>
      </c>
      <c r="K807" s="147">
        <f>F4A!K806+F4B!K805</f>
        <v>221.043413028858</v>
      </c>
      <c r="L807" s="147">
        <f>F4A!L806+F4B!L805</f>
        <v>209.010467898835</v>
      </c>
      <c r="M807" s="147">
        <f>F4A!M806+F4B!M805</f>
        <v>62.3565353651994</v>
      </c>
      <c r="N807" s="147">
        <f>F4A!N806+F4B!N805</f>
        <v>43.1765661508565</v>
      </c>
      <c r="O807" s="147">
        <f>F4A!O806+F4B!O805</f>
        <v>53.8745031450441</v>
      </c>
      <c r="P807" s="147">
        <f>F4A!P806+F4B!P805</f>
        <v>36.3099231591988</v>
      </c>
      <c r="Q807" s="316">
        <f t="shared" si="135"/>
        <v>1305.24190248618</v>
      </c>
    </row>
    <row r="808" ht="15" hidden="1" spans="3:17">
      <c r="C808" s="55" t="s">
        <v>203</v>
      </c>
      <c r="D808" s="55" t="s">
        <v>220</v>
      </c>
      <c r="E808" s="147">
        <f>F4A!E807+F4B!E806</f>
        <v>29.4103586483421</v>
      </c>
      <c r="F808" s="147">
        <f>F4A!F807+F4B!F806</f>
        <v>32.1827041145241</v>
      </c>
      <c r="G808" s="147">
        <f>F4A!G807+F4B!G806</f>
        <v>29.7520055301186</v>
      </c>
      <c r="H808" s="147">
        <f>F4A!H807+F4B!H806</f>
        <v>29.0187653360263</v>
      </c>
      <c r="I808" s="147">
        <f>F4A!I807+F4B!I806</f>
        <v>32.5798654981314</v>
      </c>
      <c r="J808" s="147">
        <f>F4A!J807+F4B!J806</f>
        <v>31.3217584047431</v>
      </c>
      <c r="K808" s="147">
        <f>F4A!K807+F4B!K806</f>
        <v>31.3317864734371</v>
      </c>
      <c r="L808" s="147">
        <f>F4A!L807+F4B!L806</f>
        <v>32.6521673193782</v>
      </c>
      <c r="M808" s="147">
        <f>F4A!M807+F4B!M806</f>
        <v>34.6273090262346</v>
      </c>
      <c r="N808" s="147">
        <f>F4A!N807+F4B!N806</f>
        <v>32.540445769536</v>
      </c>
      <c r="O808" s="147">
        <f>F4A!O807+F4B!O806</f>
        <v>28.8579284110612</v>
      </c>
      <c r="P808" s="147">
        <f>F4A!P807+F4B!P806</f>
        <v>34.8655449123351</v>
      </c>
      <c r="Q808" s="316">
        <f t="shared" si="135"/>
        <v>379.140639443868</v>
      </c>
    </row>
    <row r="809" ht="15" hidden="1" spans="3:17">
      <c r="C809" s="55" t="s">
        <v>241</v>
      </c>
      <c r="D809" s="55" t="s">
        <v>229</v>
      </c>
      <c r="E809" s="147">
        <f>F4A!E808+F4B!E807</f>
        <v>134.509454596009</v>
      </c>
      <c r="F809" s="147">
        <f>F4A!F808+F4B!F807</f>
        <v>145.246947609477</v>
      </c>
      <c r="G809" s="147">
        <f>F4A!G808+F4B!G807</f>
        <v>139.359571461965</v>
      </c>
      <c r="H809" s="147">
        <f>F4A!H808+F4B!H807</f>
        <v>145.050176789381</v>
      </c>
      <c r="I809" s="147">
        <f>F4A!I808+F4B!I807</f>
        <v>153.332676102387</v>
      </c>
      <c r="J809" s="147">
        <f>F4A!J808+F4B!J807</f>
        <v>152.066575733075</v>
      </c>
      <c r="K809" s="147">
        <f>F4A!K808+F4B!K807</f>
        <v>169.072342504937</v>
      </c>
      <c r="L809" s="147">
        <f>F4A!L808+F4B!L807</f>
        <v>162.685504567165</v>
      </c>
      <c r="M809" s="147">
        <f>F4A!M808+F4B!M807</f>
        <v>161.330382989107</v>
      </c>
      <c r="N809" s="147">
        <f>F4A!N808+F4B!N807</f>
        <v>168.356457331125</v>
      </c>
      <c r="O809" s="147">
        <f>F4A!O808+F4B!O807</f>
        <v>158.111474155047</v>
      </c>
      <c r="P809" s="147">
        <f>F4A!P808+F4B!P807</f>
        <v>172.633662365435</v>
      </c>
      <c r="Q809" s="316">
        <f t="shared" si="135"/>
        <v>1861.75522620511</v>
      </c>
    </row>
    <row r="810" ht="15" hidden="1" spans="3:17">
      <c r="C810" s="55" t="s">
        <v>259</v>
      </c>
      <c r="D810" s="55" t="s">
        <v>243</v>
      </c>
      <c r="E810" s="147">
        <f>F4A!E809+F4B!E808</f>
        <v>33.5080493893219</v>
      </c>
      <c r="F810" s="147">
        <f>F4A!F809+F4B!F808</f>
        <v>35.1576973512773</v>
      </c>
      <c r="G810" s="147">
        <f>F4A!G809+F4B!G808</f>
        <v>34.9906893318083</v>
      </c>
      <c r="H810" s="147">
        <f>F4A!H809+F4B!H808</f>
        <v>34.7391176343545</v>
      </c>
      <c r="I810" s="147">
        <f>F4A!I809+F4B!I808</f>
        <v>33.2109522998049</v>
      </c>
      <c r="J810" s="147">
        <f>F4A!J809+F4B!J808</f>
        <v>33.3663227951139</v>
      </c>
      <c r="K810" s="147">
        <f>F4A!K809+F4B!K808</f>
        <v>39.8081482902106</v>
      </c>
      <c r="L810" s="147">
        <f>F4A!L809+F4B!L808</f>
        <v>32.5192390570966</v>
      </c>
      <c r="M810" s="147">
        <f>F4A!M809+F4B!M808</f>
        <v>37.4669000451064</v>
      </c>
      <c r="N810" s="147">
        <f>F4A!N809+F4B!N808</f>
        <v>38.2003034338756</v>
      </c>
      <c r="O810" s="147">
        <f>F4A!O809+F4B!O808</f>
        <v>38.1579973892633</v>
      </c>
      <c r="P810" s="147">
        <f>F4A!P809+F4B!P808</f>
        <v>41.5264783539629</v>
      </c>
      <c r="Q810" s="316">
        <f t="shared" ref="Q810" si="137">SUM(E810:P810)</f>
        <v>432.651895371196</v>
      </c>
    </row>
    <row r="811" ht="15" hidden="1" spans="3:17">
      <c r="C811" s="55" t="s">
        <v>205</v>
      </c>
      <c r="D811" s="55" t="s">
        <v>206</v>
      </c>
      <c r="E811" s="147">
        <f>F4A!E810+F4B!E809</f>
        <v>0</v>
      </c>
      <c r="F811" s="147">
        <f>F4A!F810+F4B!F809</f>
        <v>0</v>
      </c>
      <c r="G811" s="147">
        <f>F4A!G810+F4B!G809</f>
        <v>0</v>
      </c>
      <c r="H811" s="147">
        <f>F4A!H810+F4B!H809</f>
        <v>0</v>
      </c>
      <c r="I811" s="147">
        <f>F4A!I810+F4B!I809</f>
        <v>0</v>
      </c>
      <c r="J811" s="147">
        <f>F4A!J810+F4B!J809</f>
        <v>0</v>
      </c>
      <c r="K811" s="147">
        <f>F4A!K810+F4B!K809</f>
        <v>0</v>
      </c>
      <c r="L811" s="147">
        <f>F4A!L810+F4B!L809</f>
        <v>0</v>
      </c>
      <c r="M811" s="147">
        <f>F4A!M810+F4B!M809</f>
        <v>0</v>
      </c>
      <c r="N811" s="147">
        <f>F4A!N810+F4B!N809</f>
        <v>0</v>
      </c>
      <c r="O811" s="147">
        <f>F4A!O810+F4B!O809</f>
        <v>0</v>
      </c>
      <c r="P811" s="147">
        <f>F4A!P810+F4B!P809</f>
        <v>0</v>
      </c>
      <c r="Q811" s="316">
        <f t="shared" si="135"/>
        <v>0</v>
      </c>
    </row>
    <row r="812" ht="15" hidden="1" spans="3:17">
      <c r="C812" s="55" t="s">
        <v>207</v>
      </c>
      <c r="D812" s="55" t="s">
        <v>186</v>
      </c>
      <c r="E812" s="147">
        <f>F4A!E811+F4B!E810</f>
        <v>0</v>
      </c>
      <c r="F812" s="147">
        <f>F4A!F811+F4B!F810</f>
        <v>0</v>
      </c>
      <c r="G812" s="147">
        <f>F4A!G811+F4B!G810</f>
        <v>0</v>
      </c>
      <c r="H812" s="147">
        <f>F4A!H811+F4B!H810</f>
        <v>0</v>
      </c>
      <c r="I812" s="147">
        <f>F4A!I811+F4B!I810</f>
        <v>0</v>
      </c>
      <c r="J812" s="147">
        <f>F4A!J811+F4B!J810</f>
        <v>0</v>
      </c>
      <c r="K812" s="147">
        <f>F4A!K811+F4B!K810</f>
        <v>0</v>
      </c>
      <c r="L812" s="147">
        <f>F4A!L811+F4B!L810</f>
        <v>0</v>
      </c>
      <c r="M812" s="147">
        <f>F4A!M811+F4B!M810</f>
        <v>0</v>
      </c>
      <c r="N812" s="147">
        <f>F4A!N811+F4B!N810</f>
        <v>0</v>
      </c>
      <c r="O812" s="147">
        <f>F4A!O811+F4B!O810</f>
        <v>0</v>
      </c>
      <c r="P812" s="147">
        <f>F4A!P811+F4B!P810</f>
        <v>0</v>
      </c>
      <c r="Q812" s="316">
        <f t="shared" si="135"/>
        <v>0</v>
      </c>
    </row>
    <row r="813" ht="15" hidden="1" spans="3:17">
      <c r="C813" s="55" t="s">
        <v>208</v>
      </c>
      <c r="D813" s="55" t="s">
        <v>209</v>
      </c>
      <c r="E813" s="147">
        <f>F4A!E812+F4B!E811</f>
        <v>0</v>
      </c>
      <c r="F813" s="147">
        <f>F4A!F812+F4B!F811</f>
        <v>0</v>
      </c>
      <c r="G813" s="147">
        <f>F4A!G812+F4B!G811</f>
        <v>0</v>
      </c>
      <c r="H813" s="147">
        <f>F4A!H812+F4B!H811</f>
        <v>0</v>
      </c>
      <c r="I813" s="147">
        <f>F4A!I812+F4B!I811</f>
        <v>0</v>
      </c>
      <c r="J813" s="147">
        <f>F4A!J812+F4B!J811</f>
        <v>0</v>
      </c>
      <c r="K813" s="147">
        <f>F4A!K812+F4B!K811</f>
        <v>0</v>
      </c>
      <c r="L813" s="147">
        <f>F4A!L812+F4B!L811</f>
        <v>0</v>
      </c>
      <c r="M813" s="147">
        <f>F4A!M812+F4B!M811</f>
        <v>0</v>
      </c>
      <c r="N813" s="147">
        <f>F4A!N812+F4B!N811</f>
        <v>0</v>
      </c>
      <c r="O813" s="147">
        <f>F4A!O812+F4B!O811</f>
        <v>0</v>
      </c>
      <c r="P813" s="147">
        <f>F4A!P812+F4B!P811</f>
        <v>0</v>
      </c>
      <c r="Q813" s="316">
        <f t="shared" si="135"/>
        <v>0</v>
      </c>
    </row>
    <row r="814" ht="15" hidden="1" spans="3:17">
      <c r="C814" s="55" t="s">
        <v>210</v>
      </c>
      <c r="D814" s="55" t="s">
        <v>188</v>
      </c>
      <c r="E814" s="147">
        <f>F4A!E813+F4B!E812</f>
        <v>0</v>
      </c>
      <c r="F814" s="147">
        <f>F4A!F813+F4B!F812</f>
        <v>0</v>
      </c>
      <c r="G814" s="147">
        <f>F4A!G813+F4B!G812</f>
        <v>0</v>
      </c>
      <c r="H814" s="147">
        <f>F4A!H813+F4B!H812</f>
        <v>0</v>
      </c>
      <c r="I814" s="147">
        <f>F4A!I813+F4B!I812</f>
        <v>0</v>
      </c>
      <c r="J814" s="147">
        <f>F4A!J813+F4B!J812</f>
        <v>0</v>
      </c>
      <c r="K814" s="147">
        <f>F4A!K813+F4B!K812</f>
        <v>0</v>
      </c>
      <c r="L814" s="147">
        <f>F4A!L813+F4B!L812</f>
        <v>0</v>
      </c>
      <c r="M814" s="147">
        <f>F4A!M813+F4B!M812</f>
        <v>0</v>
      </c>
      <c r="N814" s="147">
        <f>F4A!N813+F4B!N812</f>
        <v>0</v>
      </c>
      <c r="O814" s="147">
        <f>F4A!O813+F4B!O812</f>
        <v>0</v>
      </c>
      <c r="P814" s="147">
        <f>F4A!P813+F4B!P812</f>
        <v>0</v>
      </c>
      <c r="Q814" s="316">
        <f t="shared" si="135"/>
        <v>0</v>
      </c>
    </row>
    <row r="815" ht="15" hidden="1" spans="3:17">
      <c r="C815" s="55"/>
      <c r="D815" s="55"/>
      <c r="E815" s="147">
        <f>F4A!E814+F4B!E813</f>
        <v>0</v>
      </c>
      <c r="F815" s="147">
        <f>F4A!F814+F4B!F813</f>
        <v>0</v>
      </c>
      <c r="G815" s="147">
        <f>F4A!G814+F4B!G813</f>
        <v>0</v>
      </c>
      <c r="H815" s="147">
        <f>F4A!H814+F4B!H813</f>
        <v>0</v>
      </c>
      <c r="I815" s="147">
        <f>F4A!I814+F4B!I813</f>
        <v>0</v>
      </c>
      <c r="J815" s="147">
        <f>F4A!J814+F4B!J813</f>
        <v>0</v>
      </c>
      <c r="K815" s="147">
        <f>F4A!K814+F4B!K813</f>
        <v>0</v>
      </c>
      <c r="L815" s="147">
        <f>F4A!L814+F4B!L813</f>
        <v>0</v>
      </c>
      <c r="M815" s="147">
        <f>F4A!M814+F4B!M813</f>
        <v>0</v>
      </c>
      <c r="N815" s="147">
        <f>F4A!N814+F4B!N813</f>
        <v>0</v>
      </c>
      <c r="O815" s="147">
        <f>F4A!O814+F4B!O813</f>
        <v>0</v>
      </c>
      <c r="P815" s="147">
        <f>F4A!P814+F4B!P813</f>
        <v>0</v>
      </c>
      <c r="Q815" s="316">
        <f t="shared" si="135"/>
        <v>0</v>
      </c>
    </row>
    <row r="816" ht="15" hidden="1" spans="3:17">
      <c r="C816" s="55"/>
      <c r="D816" s="55"/>
      <c r="E816" s="147">
        <f>F4A!E815+F4B!E814</f>
        <v>0</v>
      </c>
      <c r="F816" s="147">
        <f>F4A!F815+F4B!F814</f>
        <v>0</v>
      </c>
      <c r="G816" s="147">
        <f>F4A!G815+F4B!G814</f>
        <v>0</v>
      </c>
      <c r="H816" s="147">
        <f>F4A!H815+F4B!H814</f>
        <v>0</v>
      </c>
      <c r="I816" s="147">
        <f>F4A!I815+F4B!I814</f>
        <v>0</v>
      </c>
      <c r="J816" s="147">
        <f>F4A!J815+F4B!J814</f>
        <v>0</v>
      </c>
      <c r="K816" s="147">
        <f>F4A!K815+F4B!K814</f>
        <v>0</v>
      </c>
      <c r="L816" s="147">
        <f>F4A!L815+F4B!L814</f>
        <v>0</v>
      </c>
      <c r="M816" s="147">
        <f>F4A!M815+F4B!M814</f>
        <v>0</v>
      </c>
      <c r="N816" s="147">
        <f>F4A!N815+F4B!N814</f>
        <v>0</v>
      </c>
      <c r="O816" s="147">
        <f>F4A!O815+F4B!O814</f>
        <v>0</v>
      </c>
      <c r="P816" s="147">
        <f>F4A!P815+F4B!P814</f>
        <v>0</v>
      </c>
      <c r="Q816" s="316">
        <f t="shared" si="135"/>
        <v>0</v>
      </c>
    </row>
    <row r="817" ht="15" hidden="1" spans="3:17">
      <c r="C817" s="55"/>
      <c r="D817" s="55"/>
      <c r="E817" s="147">
        <f>F4A!E816+F4B!E815</f>
        <v>0</v>
      </c>
      <c r="F817" s="147">
        <f>F4A!F816+F4B!F815</f>
        <v>0</v>
      </c>
      <c r="G817" s="147">
        <f>F4A!G816+F4B!G815</f>
        <v>0</v>
      </c>
      <c r="H817" s="147">
        <f>F4A!H816+F4B!H815</f>
        <v>0</v>
      </c>
      <c r="I817" s="147">
        <f>F4A!I816+F4B!I815</f>
        <v>0</v>
      </c>
      <c r="J817" s="147">
        <f>F4A!J816+F4B!J815</f>
        <v>0</v>
      </c>
      <c r="K817" s="147">
        <f>F4A!K816+F4B!K815</f>
        <v>0</v>
      </c>
      <c r="L817" s="147">
        <f>F4A!L816+F4B!L815</f>
        <v>0</v>
      </c>
      <c r="M817" s="147">
        <f>F4A!M816+F4B!M815</f>
        <v>0</v>
      </c>
      <c r="N817" s="147">
        <f>F4A!N816+F4B!N815</f>
        <v>0</v>
      </c>
      <c r="O817" s="147">
        <f>F4A!O816+F4B!O815</f>
        <v>0</v>
      </c>
      <c r="P817" s="147">
        <f>F4A!P816+F4B!P815</f>
        <v>0</v>
      </c>
      <c r="Q817" s="316">
        <f t="shared" si="135"/>
        <v>0</v>
      </c>
    </row>
    <row r="818" ht="15" hidden="1" spans="3:17">
      <c r="C818" s="55" t="s">
        <v>258</v>
      </c>
      <c r="D818" s="55" t="s">
        <v>258</v>
      </c>
      <c r="E818" s="147">
        <f>F4A!E817+F4B!E816</f>
        <v>0</v>
      </c>
      <c r="F818" s="147">
        <f>F4A!F817+F4B!F816</f>
        <v>0</v>
      </c>
      <c r="G818" s="147">
        <f>F4A!G817+F4B!G816</f>
        <v>0</v>
      </c>
      <c r="H818" s="147">
        <f>F4A!H817+F4B!H816</f>
        <v>0</v>
      </c>
      <c r="I818" s="147">
        <f>F4A!I817+F4B!I816</f>
        <v>0</v>
      </c>
      <c r="J818" s="147">
        <f>F4A!J817+F4B!J816</f>
        <v>0</v>
      </c>
      <c r="K818" s="147">
        <f>F4A!K817+F4B!K816</f>
        <v>0</v>
      </c>
      <c r="L818" s="147">
        <f>F4A!L817+F4B!L816</f>
        <v>0</v>
      </c>
      <c r="M818" s="147">
        <f>F4A!M817+F4B!M816</f>
        <v>0</v>
      </c>
      <c r="N818" s="147">
        <f>F4A!N817+F4B!N816</f>
        <v>0</v>
      </c>
      <c r="O818" s="147">
        <f>F4A!O817+F4B!O816</f>
        <v>0</v>
      </c>
      <c r="P818" s="147">
        <f>F4A!P817+F4B!P816</f>
        <v>0</v>
      </c>
      <c r="Q818" s="316">
        <f t="shared" si="135"/>
        <v>0</v>
      </c>
    </row>
    <row r="819" ht="15" hidden="1" spans="3:17">
      <c r="C819" s="537" t="s">
        <v>211</v>
      </c>
      <c r="D819" s="540"/>
      <c r="E819" s="316">
        <f t="shared" ref="E819:P819" si="138">SUM(E802:E818)</f>
        <v>1258.24981976829</v>
      </c>
      <c r="F819" s="316">
        <f t="shared" si="138"/>
        <v>1225.60995366887</v>
      </c>
      <c r="G819" s="316">
        <f t="shared" si="138"/>
        <v>1264.15837147093</v>
      </c>
      <c r="H819" s="316">
        <f t="shared" si="138"/>
        <v>1255.3843130602</v>
      </c>
      <c r="I819" s="316">
        <f t="shared" si="138"/>
        <v>1482.70600297879</v>
      </c>
      <c r="J819" s="316">
        <f t="shared" si="138"/>
        <v>1534.0985037172</v>
      </c>
      <c r="K819" s="316">
        <f t="shared" si="138"/>
        <v>1631.42581122955</v>
      </c>
      <c r="L819" s="316">
        <f t="shared" si="138"/>
        <v>1575.81105689138</v>
      </c>
      <c r="M819" s="316">
        <f t="shared" si="138"/>
        <v>1449.83365849095</v>
      </c>
      <c r="N819" s="316">
        <f t="shared" si="138"/>
        <v>1426.63620008041</v>
      </c>
      <c r="O819" s="316">
        <f t="shared" si="138"/>
        <v>1340.46416569652</v>
      </c>
      <c r="P819" s="316">
        <f t="shared" si="138"/>
        <v>1454.01556906791</v>
      </c>
      <c r="Q819" s="316">
        <f t="shared" si="135"/>
        <v>16898.393426121</v>
      </c>
    </row>
    <row r="820" ht="15" hidden="1" spans="3:17">
      <c r="C820" s="537" t="s">
        <v>223</v>
      </c>
      <c r="D820" s="540"/>
      <c r="E820" s="316">
        <f t="shared" ref="E820:P820" si="139">E819+E800+E783</f>
        <v>3562.50229835943</v>
      </c>
      <c r="F820" s="316">
        <f t="shared" si="139"/>
        <v>3689.65367782089</v>
      </c>
      <c r="G820" s="316">
        <f t="shared" si="139"/>
        <v>3692.00268228069</v>
      </c>
      <c r="H820" s="316">
        <f t="shared" si="139"/>
        <v>3554.5320345269</v>
      </c>
      <c r="I820" s="316">
        <f t="shared" si="139"/>
        <v>3870.60940440941</v>
      </c>
      <c r="J820" s="316">
        <f t="shared" si="139"/>
        <v>3809.27147451616</v>
      </c>
      <c r="K820" s="316">
        <f t="shared" si="139"/>
        <v>3955.73549100895</v>
      </c>
      <c r="L820" s="316">
        <f t="shared" si="139"/>
        <v>3873.55040298048</v>
      </c>
      <c r="M820" s="316">
        <f t="shared" si="139"/>
        <v>3740.50487149371</v>
      </c>
      <c r="N820" s="316">
        <f t="shared" si="139"/>
        <v>3706.99643079476</v>
      </c>
      <c r="O820" s="316">
        <f t="shared" si="139"/>
        <v>3630.58850446018</v>
      </c>
      <c r="P820" s="316">
        <f t="shared" si="139"/>
        <v>4035.32361782823</v>
      </c>
      <c r="Q820" s="316">
        <f t="shared" si="135"/>
        <v>45121.2708904798</v>
      </c>
    </row>
    <row r="821" ht="15" hidden="1" spans="3:17">
      <c r="C821" s="537" t="s">
        <v>224</v>
      </c>
      <c r="D821" s="540"/>
      <c r="E821" s="316">
        <f t="shared" ref="E821:P821" si="140">E820+E766</f>
        <v>7092.86455819902</v>
      </c>
      <c r="F821" s="316">
        <f t="shared" si="140"/>
        <v>6851.05463077086</v>
      </c>
      <c r="G821" s="316">
        <f t="shared" si="140"/>
        <v>6558.68673664904</v>
      </c>
      <c r="H821" s="316">
        <f t="shared" si="140"/>
        <v>6272.40747139672</v>
      </c>
      <c r="I821" s="316">
        <f t="shared" si="140"/>
        <v>7040.8072877652</v>
      </c>
      <c r="J821" s="316">
        <f t="shared" si="140"/>
        <v>6919.43665137374</v>
      </c>
      <c r="K821" s="316">
        <f t="shared" si="140"/>
        <v>6687.11600382455</v>
      </c>
      <c r="L821" s="316">
        <f t="shared" si="140"/>
        <v>6371.6276487344</v>
      </c>
      <c r="M821" s="316">
        <f t="shared" si="140"/>
        <v>6583.86190965512</v>
      </c>
      <c r="N821" s="316">
        <f t="shared" si="140"/>
        <v>7124.47772076414</v>
      </c>
      <c r="O821" s="316">
        <f t="shared" si="140"/>
        <v>7078.03219779052</v>
      </c>
      <c r="P821" s="316">
        <f t="shared" si="140"/>
        <v>8291.75106591342</v>
      </c>
      <c r="Q821" s="316">
        <f t="shared" si="135"/>
        <v>82872.1238828367</v>
      </c>
    </row>
    <row r="822" hidden="1"/>
    <row r="823" ht="15" hidden="1" spans="4:5">
      <c r="D823" s="11"/>
      <c r="E823" s="11" t="s">
        <v>225</v>
      </c>
    </row>
    <row r="824" spans="4:6">
      <c r="D824" s="13"/>
      <c r="E824" s="13">
        <v>1</v>
      </c>
      <c r="F824" s="12" t="s">
        <v>226</v>
      </c>
    </row>
    <row r="825" spans="5:6">
      <c r="E825" s="13">
        <f>E824+1</f>
        <v>2</v>
      </c>
      <c r="F825" s="12" t="s">
        <v>233</v>
      </c>
    </row>
    <row r="826" spans="5:5">
      <c r="E826" s="13"/>
    </row>
  </sheetData>
  <mergeCells count="137">
    <mergeCell ref="H5:J5"/>
    <mergeCell ref="K5:N5"/>
    <mergeCell ref="O5:S5"/>
    <mergeCell ref="C8:D8"/>
    <mergeCell ref="C22:D22"/>
    <mergeCell ref="C23:D23"/>
    <mergeCell ref="C39:D39"/>
    <mergeCell ref="C40:D40"/>
    <mergeCell ref="C57:D57"/>
    <mergeCell ref="C58:D58"/>
    <mergeCell ref="C76:D76"/>
    <mergeCell ref="C77:D77"/>
    <mergeCell ref="C78:D78"/>
    <mergeCell ref="E83:Q83"/>
    <mergeCell ref="C85:D85"/>
    <mergeCell ref="C99:D99"/>
    <mergeCell ref="C100:D100"/>
    <mergeCell ref="C116:D116"/>
    <mergeCell ref="C117:D117"/>
    <mergeCell ref="C133:D133"/>
    <mergeCell ref="C134:D134"/>
    <mergeCell ref="C152:D152"/>
    <mergeCell ref="C153:D153"/>
    <mergeCell ref="C154:D154"/>
    <mergeCell ref="E157:Q157"/>
    <mergeCell ref="C159:D159"/>
    <mergeCell ref="C173:D173"/>
    <mergeCell ref="C174:D174"/>
    <mergeCell ref="C190:D190"/>
    <mergeCell ref="C191:D191"/>
    <mergeCell ref="C207:D207"/>
    <mergeCell ref="C208:D208"/>
    <mergeCell ref="C225:D225"/>
    <mergeCell ref="C226:D226"/>
    <mergeCell ref="C227:D227"/>
    <mergeCell ref="E230:Q230"/>
    <mergeCell ref="C232:D232"/>
    <mergeCell ref="C246:D246"/>
    <mergeCell ref="C247:D247"/>
    <mergeCell ref="C263:D263"/>
    <mergeCell ref="C264:D264"/>
    <mergeCell ref="C280:D280"/>
    <mergeCell ref="C281:D281"/>
    <mergeCell ref="C299:D299"/>
    <mergeCell ref="C300:D300"/>
    <mergeCell ref="C301:D301"/>
    <mergeCell ref="E303:Q303"/>
    <mergeCell ref="C305:D305"/>
    <mergeCell ref="C319:D319"/>
    <mergeCell ref="C320:D320"/>
    <mergeCell ref="C336:D336"/>
    <mergeCell ref="C337:D337"/>
    <mergeCell ref="C354:D354"/>
    <mergeCell ref="C355:D355"/>
    <mergeCell ref="C373:D373"/>
    <mergeCell ref="C374:D374"/>
    <mergeCell ref="C375:D375"/>
    <mergeCell ref="E378:Q378"/>
    <mergeCell ref="C381:D381"/>
    <mergeCell ref="C395:D395"/>
    <mergeCell ref="C396:D396"/>
    <mergeCell ref="C412:D412"/>
    <mergeCell ref="C413:D413"/>
    <mergeCell ref="C429:D429"/>
    <mergeCell ref="C430:D430"/>
    <mergeCell ref="C448:D448"/>
    <mergeCell ref="C449:D449"/>
    <mergeCell ref="C450:D450"/>
    <mergeCell ref="E453:Q453"/>
    <mergeCell ref="C455:D455"/>
    <mergeCell ref="C469:D469"/>
    <mergeCell ref="C470:D470"/>
    <mergeCell ref="C486:D486"/>
    <mergeCell ref="C487:D487"/>
    <mergeCell ref="C504:D504"/>
    <mergeCell ref="C505:D505"/>
    <mergeCell ref="C523:D523"/>
    <mergeCell ref="C524:D524"/>
    <mergeCell ref="C525:D525"/>
    <mergeCell ref="E528:Q528"/>
    <mergeCell ref="C530:D530"/>
    <mergeCell ref="C544:D544"/>
    <mergeCell ref="C545:D545"/>
    <mergeCell ref="C561:D561"/>
    <mergeCell ref="C562:D562"/>
    <mergeCell ref="C578:D578"/>
    <mergeCell ref="C579:D579"/>
    <mergeCell ref="C597:D597"/>
    <mergeCell ref="C598:D598"/>
    <mergeCell ref="C599:D599"/>
    <mergeCell ref="E602:Q602"/>
    <mergeCell ref="C604:D604"/>
    <mergeCell ref="C618:D618"/>
    <mergeCell ref="C619:D619"/>
    <mergeCell ref="C635:D635"/>
    <mergeCell ref="C636:D636"/>
    <mergeCell ref="C652:D652"/>
    <mergeCell ref="C653:D653"/>
    <mergeCell ref="C671:D671"/>
    <mergeCell ref="C672:D672"/>
    <mergeCell ref="C673:D673"/>
    <mergeCell ref="E676:Q676"/>
    <mergeCell ref="C678:D678"/>
    <mergeCell ref="C692:D692"/>
    <mergeCell ref="C693:D693"/>
    <mergeCell ref="C709:D709"/>
    <mergeCell ref="C710:D710"/>
    <mergeCell ref="C726:D726"/>
    <mergeCell ref="C727:D727"/>
    <mergeCell ref="C745:D745"/>
    <mergeCell ref="C746:D746"/>
    <mergeCell ref="C747:D747"/>
    <mergeCell ref="E750:Q750"/>
    <mergeCell ref="C752:D752"/>
    <mergeCell ref="C766:D766"/>
    <mergeCell ref="C767:D767"/>
    <mergeCell ref="C783:D783"/>
    <mergeCell ref="C784:D784"/>
    <mergeCell ref="C800:D800"/>
    <mergeCell ref="C801:D801"/>
    <mergeCell ref="C819:D819"/>
    <mergeCell ref="C820:D820"/>
    <mergeCell ref="C821:D821"/>
    <mergeCell ref="E5:E6"/>
    <mergeCell ref="F5:F6"/>
    <mergeCell ref="G5:G6"/>
    <mergeCell ref="C83:D84"/>
    <mergeCell ref="C5:D7"/>
    <mergeCell ref="C157:D158"/>
    <mergeCell ref="C230:D231"/>
    <mergeCell ref="C303:D304"/>
    <mergeCell ref="C378:D380"/>
    <mergeCell ref="C453:D454"/>
    <mergeCell ref="C528:D529"/>
    <mergeCell ref="C602:D603"/>
    <mergeCell ref="C676:D677"/>
    <mergeCell ref="C750:D751"/>
  </mergeCells>
  <printOptions horizontalCentered="1"/>
  <pageMargins left="0.751388888888889" right="0.751388888888889" top="1" bottom="1" header="0.5" footer="0.5"/>
  <pageSetup paperSize="9" scale="54" orientation="landscape"/>
  <headerFooter alignWithMargins="0"/>
  <rowBreaks count="3" manualBreakCount="3">
    <brk id="412" max="16" man="1"/>
    <brk id="450" max="16" man="1"/>
    <brk id="504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</sheetPr>
  <dimension ref="B1:S825"/>
  <sheetViews>
    <sheetView showGridLines="0" tabSelected="1" view="pageBreakPreview" zoomScale="70" zoomScaleNormal="90" topLeftCell="C1" workbookViewId="0">
      <pane xSplit="2" ySplit="6" topLeftCell="E574" activePane="bottomRight" state="frozen"/>
      <selection/>
      <selection pane="topRight"/>
      <selection pane="bottomLeft"/>
      <selection pane="bottomRight" activeCell="C466" sqref="C466"/>
    </sheetView>
  </sheetViews>
  <sheetFormatPr defaultColWidth="9.14285714285714" defaultRowHeight="14.25"/>
  <cols>
    <col min="1" max="1" width="3.14285714285714" style="368" customWidth="1"/>
    <col min="2" max="2" width="8.42857142857143" style="368" customWidth="1"/>
    <col min="3" max="3" width="21.5714285714286" style="368" customWidth="1"/>
    <col min="4" max="4" width="45.8571428571429" style="368" customWidth="1"/>
    <col min="5" max="5" width="13.5714285714286" style="368" customWidth="1"/>
    <col min="6" max="6" width="12.5714285714286" style="368" customWidth="1"/>
    <col min="7" max="7" width="13.4285714285714" style="368" customWidth="1"/>
    <col min="8" max="8" width="13.5714285714286" style="368" customWidth="1"/>
    <col min="9" max="9" width="12.5714285714286" style="368" customWidth="1"/>
    <col min="10" max="10" width="14.5714285714286" style="368" customWidth="1"/>
    <col min="11" max="11" width="12.5714285714286" style="368" customWidth="1"/>
    <col min="12" max="12" width="11.8571428571429" style="368" customWidth="1"/>
    <col min="13" max="13" width="13.8571428571429" style="368" customWidth="1"/>
    <col min="14" max="14" width="12.1428571428571" style="368" customWidth="1"/>
    <col min="15" max="16" width="11.8571428571429" style="368" customWidth="1"/>
    <col min="17" max="17" width="11.4285714285714" style="368" customWidth="1"/>
    <col min="18" max="18" width="12.4285714285714" style="368" customWidth="1"/>
    <col min="19" max="19" width="12.5714285714286" style="368" customWidth="1"/>
    <col min="20" max="16384" width="9.14285714285714" style="368"/>
  </cols>
  <sheetData>
    <row r="1" ht="15" spans="5:10">
      <c r="E1" s="860"/>
      <c r="J1" s="276" t="s">
        <v>0</v>
      </c>
    </row>
    <row r="2" ht="15" spans="6:10">
      <c r="F2" s="860"/>
      <c r="J2" s="370" t="s">
        <v>268</v>
      </c>
    </row>
    <row r="3" ht="15" spans="2:19">
      <c r="B3" s="369"/>
      <c r="C3" s="369" t="s">
        <v>235</v>
      </c>
      <c r="D3" s="770"/>
      <c r="E3" s="770"/>
      <c r="F3" s="770"/>
      <c r="G3" s="770"/>
      <c r="Q3" s="370" t="s">
        <v>236</v>
      </c>
      <c r="S3" s="370" t="s">
        <v>236</v>
      </c>
    </row>
    <row r="4" ht="15" hidden="1" customHeight="1" spans="3:19">
      <c r="C4" s="703" t="s">
        <v>159</v>
      </c>
      <c r="D4" s="846"/>
      <c r="E4" s="372" t="s">
        <v>160</v>
      </c>
      <c r="F4" s="372" t="s">
        <v>161</v>
      </c>
      <c r="G4" s="372" t="s">
        <v>162</v>
      </c>
      <c r="H4" s="374" t="s">
        <v>163</v>
      </c>
      <c r="I4" s="375"/>
      <c r="J4" s="376"/>
      <c r="K4" s="374" t="s">
        <v>164</v>
      </c>
      <c r="L4" s="375"/>
      <c r="M4" s="375"/>
      <c r="N4" s="375"/>
      <c r="O4" s="403" t="s">
        <v>114</v>
      </c>
      <c r="P4" s="403"/>
      <c r="Q4" s="403"/>
      <c r="R4" s="403"/>
      <c r="S4" s="403"/>
    </row>
    <row r="5" ht="45" hidden="1" spans="3:19">
      <c r="C5" s="705"/>
      <c r="D5" s="847"/>
      <c r="E5" s="380"/>
      <c r="F5" s="380"/>
      <c r="G5" s="380"/>
      <c r="H5" s="379" t="s">
        <v>116</v>
      </c>
      <c r="I5" s="379" t="s">
        <v>237</v>
      </c>
      <c r="J5" s="379" t="s">
        <v>118</v>
      </c>
      <c r="K5" s="379" t="s">
        <v>116</v>
      </c>
      <c r="L5" s="379" t="s">
        <v>119</v>
      </c>
      <c r="M5" s="379" t="s">
        <v>120</v>
      </c>
      <c r="N5" s="379" t="s">
        <v>238</v>
      </c>
      <c r="O5" s="379" t="s">
        <v>165</v>
      </c>
      <c r="P5" s="379" t="s">
        <v>166</v>
      </c>
      <c r="Q5" s="379" t="s">
        <v>167</v>
      </c>
      <c r="R5" s="379" t="s">
        <v>168</v>
      </c>
      <c r="S5" s="379" t="s">
        <v>169</v>
      </c>
    </row>
    <row r="6" ht="15" hidden="1" spans="3:19">
      <c r="C6" s="707"/>
      <c r="D6" s="848"/>
      <c r="E6" s="379" t="s">
        <v>128</v>
      </c>
      <c r="F6" s="379" t="s">
        <v>128</v>
      </c>
      <c r="G6" s="379" t="s">
        <v>128</v>
      </c>
      <c r="H6" s="379" t="s">
        <v>127</v>
      </c>
      <c r="I6" s="379" t="s">
        <v>128</v>
      </c>
      <c r="J6" s="379" t="s">
        <v>129</v>
      </c>
      <c r="K6" s="379" t="s">
        <v>127</v>
      </c>
      <c r="L6" s="379" t="s">
        <v>130</v>
      </c>
      <c r="M6" s="379" t="s">
        <v>131</v>
      </c>
      <c r="N6" s="379" t="s">
        <v>131</v>
      </c>
      <c r="O6" s="379" t="s">
        <v>132</v>
      </c>
      <c r="P6" s="379" t="s">
        <v>132</v>
      </c>
      <c r="Q6" s="379" t="s">
        <v>132</v>
      </c>
      <c r="R6" s="379" t="s">
        <v>132</v>
      </c>
      <c r="S6" s="379" t="s">
        <v>132</v>
      </c>
    </row>
    <row r="7" ht="15" hidden="1" spans="3:19">
      <c r="C7" s="285" t="s">
        <v>170</v>
      </c>
      <c r="D7" s="286"/>
      <c r="E7" s="849"/>
      <c r="F7" s="286"/>
      <c r="G7" s="286"/>
      <c r="H7" s="296"/>
      <c r="I7" s="296"/>
      <c r="J7" s="288"/>
      <c r="K7" s="296"/>
      <c r="L7" s="296"/>
      <c r="M7" s="296"/>
      <c r="N7" s="296"/>
      <c r="O7" s="296"/>
      <c r="P7" s="296"/>
      <c r="Q7" s="296"/>
      <c r="R7" s="296"/>
      <c r="S7" s="296"/>
    </row>
    <row r="8" hidden="1" spans="3:19">
      <c r="C8" s="296" t="s">
        <v>171</v>
      </c>
      <c r="D8" s="296" t="s">
        <v>172</v>
      </c>
      <c r="E8" s="787">
        <f>Q85</f>
        <v>8709.647634</v>
      </c>
      <c r="F8" s="787">
        <f>Q159</f>
        <v>8911.84365781</v>
      </c>
      <c r="G8" s="787">
        <f>Q232</f>
        <v>9335.21218323</v>
      </c>
      <c r="H8" s="787">
        <v>10722.4</v>
      </c>
      <c r="I8" s="787">
        <f>Q305</f>
        <v>9952.10895307</v>
      </c>
      <c r="J8" s="397">
        <f>I8-H8</f>
        <v>-770.29104693</v>
      </c>
      <c r="K8" s="787">
        <v>11346.06</v>
      </c>
      <c r="L8" s="787">
        <f>E381+F381+G381+H381+I381+J381</f>
        <v>5850.138082</v>
      </c>
      <c r="M8" s="862">
        <f>K381+L381+M381+N381+O381+P381</f>
        <v>4977.07262345</v>
      </c>
      <c r="N8" s="787">
        <f>L8+M8</f>
        <v>10827.21070545</v>
      </c>
      <c r="O8" s="787">
        <f>Q455</f>
        <v>11697.603127462</v>
      </c>
      <c r="P8" s="787">
        <f>Q530</f>
        <v>12611.1428672529</v>
      </c>
      <c r="Q8" s="787">
        <f>Q604</f>
        <v>12893.9584280188</v>
      </c>
      <c r="R8" s="787">
        <f>Q678</f>
        <v>13754.3059347644</v>
      </c>
      <c r="S8" s="787">
        <f>Q752</f>
        <v>14673.8269024978</v>
      </c>
    </row>
    <row r="9" hidden="1" spans="3:19">
      <c r="C9" s="296" t="s">
        <v>173</v>
      </c>
      <c r="D9" s="296" t="s">
        <v>174</v>
      </c>
      <c r="E9" s="787">
        <f t="shared" ref="E9:E16" si="0">Q86</f>
        <v>2582.086421</v>
      </c>
      <c r="F9" s="787">
        <f t="shared" ref="F9:F16" si="1">Q160</f>
        <v>2160.57243333</v>
      </c>
      <c r="G9" s="787">
        <f t="shared" ref="G9:G16" si="2">Q233</f>
        <v>2468.33932908</v>
      </c>
      <c r="H9" s="787">
        <v>3110.72</v>
      </c>
      <c r="I9" s="787">
        <f t="shared" ref="I9:I16" si="3">Q306</f>
        <v>3076.96768843</v>
      </c>
      <c r="J9" s="397">
        <f t="shared" ref="J9:J16" si="4">I9-H9</f>
        <v>-33.7523115699996</v>
      </c>
      <c r="K9" s="787">
        <v>2974.84</v>
      </c>
      <c r="L9" s="787">
        <f t="shared" ref="L9:L16" si="5">E382+F382+G382+H382+I382+J382</f>
        <v>1816.85510457</v>
      </c>
      <c r="M9" s="862">
        <f t="shared" ref="M9:M16" si="6">K382+L382+M382+N382+O382+P382</f>
        <v>1707.00462</v>
      </c>
      <c r="N9" s="787">
        <f t="shared" ref="N9:N16" si="7">L9+M9</f>
        <v>3523.85972457</v>
      </c>
      <c r="O9" s="787">
        <f t="shared" ref="O9:O16" si="8">Q456</f>
        <v>3939.00601597876</v>
      </c>
      <c r="P9" s="787">
        <f t="shared" ref="P9:P21" si="9">Q531</f>
        <v>4403.06073642308</v>
      </c>
      <c r="Q9" s="787">
        <f t="shared" ref="Q9:Q16" si="10">Q605</f>
        <v>5295.36553468023</v>
      </c>
      <c r="R9" s="787">
        <f t="shared" ref="R9:R16" si="11">Q679</f>
        <v>6168.70725627932</v>
      </c>
      <c r="S9" s="787">
        <f t="shared" ref="S9:S16" si="12">Q753</f>
        <v>7089.3824490533</v>
      </c>
    </row>
    <row r="10" hidden="1" spans="3:19">
      <c r="C10" s="296" t="s">
        <v>175</v>
      </c>
      <c r="D10" s="296" t="s">
        <v>176</v>
      </c>
      <c r="E10" s="787">
        <f t="shared" si="0"/>
        <v>846.820004</v>
      </c>
      <c r="F10" s="787">
        <f t="shared" si="1"/>
        <v>880.0070935</v>
      </c>
      <c r="G10" s="787">
        <f t="shared" si="2"/>
        <v>892.181106</v>
      </c>
      <c r="H10" s="787">
        <v>905.51</v>
      </c>
      <c r="I10" s="787">
        <f t="shared" si="3"/>
        <v>933.0692865</v>
      </c>
      <c r="J10" s="397">
        <f t="shared" si="4"/>
        <v>27.5592865</v>
      </c>
      <c r="K10" s="787">
        <v>847.17</v>
      </c>
      <c r="L10" s="787">
        <f t="shared" si="5"/>
        <v>482.635182</v>
      </c>
      <c r="M10" s="862">
        <f t="shared" si="6"/>
        <v>500.640591</v>
      </c>
      <c r="N10" s="787">
        <f t="shared" si="7"/>
        <v>983.275773</v>
      </c>
      <c r="O10" s="787">
        <f t="shared" si="8"/>
        <v>1012.35752113662</v>
      </c>
      <c r="P10" s="787">
        <f t="shared" si="9"/>
        <v>1048.4454732488</v>
      </c>
      <c r="Q10" s="787">
        <f t="shared" si="10"/>
        <v>1123.72972027633</v>
      </c>
      <c r="R10" s="787">
        <f t="shared" si="11"/>
        <v>1176.80264612297</v>
      </c>
      <c r="S10" s="787">
        <f t="shared" si="12"/>
        <v>1232.71188925714</v>
      </c>
    </row>
    <row r="11" hidden="1" spans="3:19">
      <c r="C11" s="296" t="s">
        <v>177</v>
      </c>
      <c r="D11" s="296" t="s">
        <v>178</v>
      </c>
      <c r="E11" s="787">
        <f t="shared" si="0"/>
        <v>9.077129</v>
      </c>
      <c r="F11" s="787">
        <f t="shared" si="1"/>
        <v>9.579231</v>
      </c>
      <c r="G11" s="787">
        <f t="shared" si="2"/>
        <v>8.981455</v>
      </c>
      <c r="H11" s="787">
        <v>9.17</v>
      </c>
      <c r="I11" s="787">
        <f t="shared" si="3"/>
        <v>9.52599</v>
      </c>
      <c r="J11" s="397">
        <f t="shared" si="4"/>
        <v>0.355990000000002</v>
      </c>
      <c r="K11" s="787">
        <v>9.5</v>
      </c>
      <c r="L11" s="787">
        <f t="shared" si="5"/>
        <v>4.83358</v>
      </c>
      <c r="M11" s="862">
        <f t="shared" si="6"/>
        <v>4.677071</v>
      </c>
      <c r="N11" s="787">
        <f t="shared" si="7"/>
        <v>9.510651</v>
      </c>
      <c r="O11" s="787">
        <f t="shared" si="8"/>
        <v>9.46335842153401</v>
      </c>
      <c r="P11" s="787">
        <f t="shared" si="9"/>
        <v>9.62967180970268</v>
      </c>
      <c r="Q11" s="787">
        <f t="shared" si="10"/>
        <v>9.62500545027539</v>
      </c>
      <c r="R11" s="787">
        <f t="shared" si="11"/>
        <v>9.75914658499812</v>
      </c>
      <c r="S11" s="787">
        <f t="shared" si="12"/>
        <v>9.80645828524739</v>
      </c>
    </row>
    <row r="12" hidden="1" spans="3:19">
      <c r="C12" s="296" t="s">
        <v>179</v>
      </c>
      <c r="D12" s="296" t="s">
        <v>180</v>
      </c>
      <c r="E12" s="787">
        <f t="shared" si="0"/>
        <v>0</v>
      </c>
      <c r="F12" s="787">
        <f t="shared" si="1"/>
        <v>0</v>
      </c>
      <c r="G12" s="787">
        <f t="shared" si="2"/>
        <v>0</v>
      </c>
      <c r="H12" s="787"/>
      <c r="I12" s="787">
        <f t="shared" si="3"/>
        <v>0</v>
      </c>
      <c r="J12" s="397">
        <f t="shared" si="4"/>
        <v>0</v>
      </c>
      <c r="K12" s="787"/>
      <c r="L12" s="787">
        <f t="shared" si="5"/>
        <v>0</v>
      </c>
      <c r="M12" s="862">
        <f t="shared" si="6"/>
        <v>0</v>
      </c>
      <c r="N12" s="787">
        <f t="shared" si="7"/>
        <v>0</v>
      </c>
      <c r="O12" s="787">
        <f t="shared" si="8"/>
        <v>0</v>
      </c>
      <c r="P12" s="787">
        <f t="shared" si="9"/>
        <v>0</v>
      </c>
      <c r="Q12" s="787">
        <f t="shared" si="10"/>
        <v>0</v>
      </c>
      <c r="R12" s="787">
        <f t="shared" si="11"/>
        <v>0</v>
      </c>
      <c r="S12" s="787">
        <f t="shared" si="12"/>
        <v>0</v>
      </c>
    </row>
    <row r="13" hidden="1" spans="3:19">
      <c r="C13" s="296" t="s">
        <v>181</v>
      </c>
      <c r="D13" s="296" t="s">
        <v>182</v>
      </c>
      <c r="E13" s="787">
        <f t="shared" si="0"/>
        <v>484.0302154</v>
      </c>
      <c r="F13" s="787">
        <f t="shared" si="1"/>
        <v>478.21771542</v>
      </c>
      <c r="G13" s="787">
        <f t="shared" si="2"/>
        <v>462.1855846</v>
      </c>
      <c r="H13" s="787">
        <v>484.03</v>
      </c>
      <c r="I13" s="787">
        <f t="shared" si="3"/>
        <v>466.66695525</v>
      </c>
      <c r="J13" s="397">
        <f t="shared" si="4"/>
        <v>-17.36304475</v>
      </c>
      <c r="K13" s="787">
        <v>454.29</v>
      </c>
      <c r="L13" s="787">
        <f t="shared" si="5"/>
        <v>244.402128</v>
      </c>
      <c r="M13" s="862">
        <f t="shared" si="6"/>
        <v>260.70032525</v>
      </c>
      <c r="N13" s="787">
        <f t="shared" si="7"/>
        <v>505.10245325</v>
      </c>
      <c r="O13" s="787">
        <f t="shared" si="8"/>
        <v>513.93762104636</v>
      </c>
      <c r="P13" s="787">
        <f t="shared" si="9"/>
        <v>522.927332122974</v>
      </c>
      <c r="Q13" s="787">
        <f t="shared" si="10"/>
        <v>518.21632901562</v>
      </c>
      <c r="R13" s="787">
        <f t="shared" si="11"/>
        <v>530.212586461387</v>
      </c>
      <c r="S13" s="787">
        <f t="shared" si="12"/>
        <v>543.924510694315</v>
      </c>
    </row>
    <row r="14" hidden="1" customHeight="1" spans="3:19">
      <c r="C14" s="296" t="s">
        <v>183</v>
      </c>
      <c r="D14" s="296" t="s">
        <v>184</v>
      </c>
      <c r="E14" s="787">
        <f t="shared" si="0"/>
        <v>76.52737232</v>
      </c>
      <c r="F14" s="787">
        <f t="shared" si="1"/>
        <v>47.7098197</v>
      </c>
      <c r="G14" s="787">
        <f t="shared" si="2"/>
        <v>61.3140215</v>
      </c>
      <c r="H14" s="787">
        <v>93.61</v>
      </c>
      <c r="I14" s="787">
        <f t="shared" si="3"/>
        <v>88.07401945</v>
      </c>
      <c r="J14" s="397">
        <f t="shared" si="4"/>
        <v>-5.53598055</v>
      </c>
      <c r="K14" s="787">
        <v>103.75</v>
      </c>
      <c r="L14" s="787">
        <f t="shared" si="5"/>
        <v>47.005129</v>
      </c>
      <c r="M14" s="862">
        <f t="shared" si="6"/>
        <v>47.541701</v>
      </c>
      <c r="N14" s="787">
        <f t="shared" si="7"/>
        <v>94.54683</v>
      </c>
      <c r="O14" s="787">
        <f t="shared" si="8"/>
        <v>101.306486363046</v>
      </c>
      <c r="P14" s="787">
        <f t="shared" si="9"/>
        <v>108.549426556406</v>
      </c>
      <c r="Q14" s="787">
        <f t="shared" si="10"/>
        <v>121.59866293272</v>
      </c>
      <c r="R14" s="787">
        <f t="shared" si="11"/>
        <v>139.444888421057</v>
      </c>
      <c r="S14" s="787">
        <f t="shared" si="12"/>
        <v>152.866934150094</v>
      </c>
    </row>
    <row r="15" hidden="1" spans="3:19">
      <c r="C15" s="296" t="s">
        <v>185</v>
      </c>
      <c r="D15" s="296" t="s">
        <v>186</v>
      </c>
      <c r="E15" s="787">
        <f t="shared" si="0"/>
        <v>42.86933842</v>
      </c>
      <c r="F15" s="787">
        <f t="shared" si="1"/>
        <v>53.42929032</v>
      </c>
      <c r="G15" s="787">
        <f t="shared" si="2"/>
        <v>82.287986</v>
      </c>
      <c r="H15" s="787">
        <v>70.84</v>
      </c>
      <c r="I15" s="787">
        <f t="shared" si="3"/>
        <v>96.3381664</v>
      </c>
      <c r="J15" s="397">
        <f t="shared" si="4"/>
        <v>25.4981664</v>
      </c>
      <c r="K15" s="787">
        <v>100.49</v>
      </c>
      <c r="L15" s="787">
        <f t="shared" si="5"/>
        <v>55.293871</v>
      </c>
      <c r="M15" s="862">
        <f t="shared" si="6"/>
        <v>58.139891</v>
      </c>
      <c r="N15" s="787">
        <f t="shared" si="7"/>
        <v>113.433762</v>
      </c>
      <c r="O15" s="787">
        <f t="shared" si="8"/>
        <v>133.599144375556</v>
      </c>
      <c r="P15" s="787">
        <f t="shared" si="9"/>
        <v>157.328110571629</v>
      </c>
      <c r="Q15" s="787">
        <f t="shared" si="10"/>
        <v>274.857771378514</v>
      </c>
      <c r="R15" s="787">
        <f t="shared" si="11"/>
        <v>349.834259795802</v>
      </c>
      <c r="S15" s="787">
        <f t="shared" si="12"/>
        <v>452.767380597408</v>
      </c>
    </row>
    <row r="16" hidden="1" spans="3:19">
      <c r="C16" s="296" t="s">
        <v>187</v>
      </c>
      <c r="D16" s="296" t="s">
        <v>188</v>
      </c>
      <c r="E16" s="787">
        <f t="shared" si="0"/>
        <v>0.000108</v>
      </c>
      <c r="F16" s="787">
        <f t="shared" si="1"/>
        <v>0.0195023</v>
      </c>
      <c r="G16" s="787">
        <f t="shared" si="2"/>
        <v>0.130377</v>
      </c>
      <c r="H16" s="787">
        <v>1.74</v>
      </c>
      <c r="I16" s="787">
        <f t="shared" si="3"/>
        <v>0.532207</v>
      </c>
      <c r="J16" s="397">
        <f t="shared" si="4"/>
        <v>-1.207793</v>
      </c>
      <c r="K16" s="787">
        <v>1.64</v>
      </c>
      <c r="L16" s="787">
        <f t="shared" si="5"/>
        <v>0.690192</v>
      </c>
      <c r="M16" s="862">
        <f t="shared" si="6"/>
        <v>1.592118</v>
      </c>
      <c r="N16" s="787">
        <f t="shared" si="7"/>
        <v>2.28231</v>
      </c>
      <c r="O16" s="787">
        <f t="shared" si="8"/>
        <v>10.2408207592832</v>
      </c>
      <c r="P16" s="787">
        <f t="shared" si="9"/>
        <v>46.8702400877059</v>
      </c>
      <c r="Q16" s="787">
        <f t="shared" si="10"/>
        <v>3.03775461</v>
      </c>
      <c r="R16" s="787">
        <f t="shared" si="11"/>
        <v>3.341530071</v>
      </c>
      <c r="S16" s="787">
        <f t="shared" si="12"/>
        <v>3.6756830781</v>
      </c>
    </row>
    <row r="17" ht="15" hidden="1" spans="3:19">
      <c r="C17" s="296"/>
      <c r="D17" s="296"/>
      <c r="E17" s="787"/>
      <c r="F17" s="787"/>
      <c r="G17" s="787"/>
      <c r="H17" s="787"/>
      <c r="I17" s="787"/>
      <c r="J17" s="787"/>
      <c r="K17" s="787"/>
      <c r="L17" s="787"/>
      <c r="M17" s="861"/>
      <c r="N17" s="787"/>
      <c r="O17" s="787"/>
      <c r="P17" s="787"/>
      <c r="Q17" s="787"/>
      <c r="R17" s="787"/>
      <c r="S17" s="787"/>
    </row>
    <row r="18" ht="15" hidden="1" spans="3:19">
      <c r="C18" s="296"/>
      <c r="D18" s="296"/>
      <c r="E18" s="787"/>
      <c r="F18" s="787"/>
      <c r="G18" s="787"/>
      <c r="H18" s="787"/>
      <c r="I18" s="787"/>
      <c r="J18" s="787"/>
      <c r="K18" s="787"/>
      <c r="L18" s="787"/>
      <c r="M18" s="861"/>
      <c r="N18" s="787"/>
      <c r="O18" s="787"/>
      <c r="P18" s="787"/>
      <c r="Q18" s="787"/>
      <c r="R18" s="787"/>
      <c r="S18" s="787"/>
    </row>
    <row r="19" ht="15" hidden="1" spans="3:19">
      <c r="C19" s="296"/>
      <c r="D19" s="296"/>
      <c r="E19" s="787"/>
      <c r="F19" s="787"/>
      <c r="G19" s="787"/>
      <c r="H19" s="787"/>
      <c r="I19" s="787"/>
      <c r="J19" s="787"/>
      <c r="K19" s="787"/>
      <c r="L19" s="787"/>
      <c r="M19" s="861"/>
      <c r="N19" s="787"/>
      <c r="O19" s="787"/>
      <c r="P19" s="787"/>
      <c r="Q19" s="787"/>
      <c r="R19" s="787"/>
      <c r="S19" s="787"/>
    </row>
    <row r="20" ht="15" hidden="1" spans="3:19">
      <c r="C20" s="296"/>
      <c r="D20" s="296"/>
      <c r="E20" s="787"/>
      <c r="F20" s="787"/>
      <c r="G20" s="787"/>
      <c r="H20" s="787"/>
      <c r="I20" s="787"/>
      <c r="J20" s="787"/>
      <c r="K20" s="787"/>
      <c r="L20" s="787"/>
      <c r="M20" s="861"/>
      <c r="N20" s="787"/>
      <c r="O20" s="787"/>
      <c r="P20" s="787"/>
      <c r="Q20" s="787"/>
      <c r="R20" s="787"/>
      <c r="S20" s="787"/>
    </row>
    <row r="21" ht="15" hidden="1" spans="3:19">
      <c r="C21" s="285" t="s">
        <v>189</v>
      </c>
      <c r="D21" s="286"/>
      <c r="E21" s="861">
        <f>Q98</f>
        <v>12751.05822214</v>
      </c>
      <c r="F21" s="861">
        <f>Q172</f>
        <v>12541.37874338</v>
      </c>
      <c r="G21" s="861">
        <f>Q245</f>
        <v>13310.63204241</v>
      </c>
      <c r="H21" s="861">
        <f>SUM(H8:H20)</f>
        <v>15398.02</v>
      </c>
      <c r="I21" s="861">
        <f>Q318</f>
        <v>14623.2832661</v>
      </c>
      <c r="J21" s="861">
        <f>I21-H21</f>
        <v>-774.736733899999</v>
      </c>
      <c r="K21" s="861">
        <f>SUM(K8:K20)</f>
        <v>15837.74</v>
      </c>
      <c r="L21" s="861">
        <f>SUM(E394:J394)</f>
        <v>8501.85326857</v>
      </c>
      <c r="M21" s="861">
        <f>SUM(K394:P394)</f>
        <v>7557.3689407</v>
      </c>
      <c r="N21" s="861">
        <f>L21+M21</f>
        <v>16059.22220927</v>
      </c>
      <c r="O21" s="861">
        <f>Q468</f>
        <v>17417.5140955431</v>
      </c>
      <c r="P21" s="861">
        <f t="shared" si="9"/>
        <v>18907.9538580732</v>
      </c>
      <c r="Q21" s="861">
        <f>Q617</f>
        <v>20240.3892063625</v>
      </c>
      <c r="R21" s="861">
        <f>Q691</f>
        <v>22132.4082485009</v>
      </c>
      <c r="S21" s="861">
        <f>Q765</f>
        <v>24158.9622076134</v>
      </c>
    </row>
    <row r="22" ht="15" hidden="1" spans="3:19">
      <c r="C22" s="285" t="s">
        <v>190</v>
      </c>
      <c r="D22" s="286"/>
      <c r="E22" s="861"/>
      <c r="F22" s="861"/>
      <c r="G22" s="861"/>
      <c r="H22" s="787"/>
      <c r="I22" s="787"/>
      <c r="J22" s="787"/>
      <c r="K22" s="787"/>
      <c r="L22" s="787"/>
      <c r="M22" s="787"/>
      <c r="N22" s="787"/>
      <c r="O22" s="787"/>
      <c r="P22" s="787"/>
      <c r="Q22" s="787"/>
      <c r="R22" s="787"/>
      <c r="S22" s="787"/>
    </row>
    <row r="23" hidden="1" spans="3:19">
      <c r="C23" s="296" t="s">
        <v>191</v>
      </c>
      <c r="D23" s="296" t="s">
        <v>192</v>
      </c>
      <c r="E23" s="787">
        <f>Q100</f>
        <v>3661.12433634736</v>
      </c>
      <c r="F23" s="787">
        <f>Q174</f>
        <v>3460.2168271</v>
      </c>
      <c r="G23" s="787">
        <f>Q247</f>
        <v>3860.71856804</v>
      </c>
      <c r="H23" s="787">
        <v>4440.71</v>
      </c>
      <c r="I23" s="787">
        <f>Q320</f>
        <v>4197.4817069</v>
      </c>
      <c r="J23" s="397">
        <f t="shared" ref="J23:J33" si="13">I23-H23</f>
        <v>-243.2282931</v>
      </c>
      <c r="K23" s="787">
        <v>4401.71</v>
      </c>
      <c r="L23" s="787">
        <f>E396+F396+G396+H396+I396+J396</f>
        <v>2161.8010102213</v>
      </c>
      <c r="M23" s="862">
        <f>K396+L396+M396+N396+O396+P396</f>
        <v>2182.463017515</v>
      </c>
      <c r="N23" s="384">
        <f t="shared" ref="N23:N33" si="14">L23+M23</f>
        <v>4344.2640277363</v>
      </c>
      <c r="O23" s="787">
        <f>Q470</f>
        <v>4477.29783357603</v>
      </c>
      <c r="P23" s="787">
        <f>Q545</f>
        <v>4623.62972118259</v>
      </c>
      <c r="Q23" s="787">
        <f>Q619</f>
        <v>5286.21344431107</v>
      </c>
      <c r="R23" s="787">
        <f>Q693</f>
        <v>5629.40787754343</v>
      </c>
      <c r="S23" s="787">
        <f>Q767</f>
        <v>5970.42081291085</v>
      </c>
    </row>
    <row r="24" hidden="1" spans="3:19">
      <c r="C24" s="296" t="s">
        <v>193</v>
      </c>
      <c r="D24" s="296" t="s">
        <v>194</v>
      </c>
      <c r="E24" s="787">
        <f>Q101</f>
        <v>0</v>
      </c>
      <c r="F24" s="787">
        <f>Q175</f>
        <v>0</v>
      </c>
      <c r="G24" s="787">
        <f>Q248</f>
        <v>0</v>
      </c>
      <c r="H24" s="787">
        <f>[12]Sales_NP!N16</f>
        <v>0</v>
      </c>
      <c r="I24" s="787">
        <f>Q321</f>
        <v>0.413403</v>
      </c>
      <c r="J24" s="397">
        <f t="shared" si="13"/>
        <v>0.413403</v>
      </c>
      <c r="K24" s="787">
        <v>0.41</v>
      </c>
      <c r="L24" s="787">
        <f t="shared" ref="L24:L33" si="15">E397+F397+G397+H397+I397+J397</f>
        <v>0.041272</v>
      </c>
      <c r="M24" s="862">
        <f t="shared" ref="M24:M33" si="16">K397+L397+M397+N397+O397+P397</f>
        <v>0.221531</v>
      </c>
      <c r="N24" s="384">
        <f t="shared" si="14"/>
        <v>0.262803</v>
      </c>
      <c r="O24" s="787">
        <f>Q471</f>
        <v>0.52979462</v>
      </c>
      <c r="P24" s="787">
        <f>Q546</f>
        <v>0.5403905124</v>
      </c>
      <c r="Q24" s="787">
        <f>Q620</f>
        <v>0.278888646024</v>
      </c>
      <c r="R24" s="787">
        <f>Q694</f>
        <v>0.28446641894448</v>
      </c>
      <c r="S24" s="787">
        <f>Q768</f>
        <v>0.29015574732337</v>
      </c>
    </row>
    <row r="25" hidden="1" spans="3:19">
      <c r="C25" s="296" t="s">
        <v>239</v>
      </c>
      <c r="D25" s="296" t="s">
        <v>196</v>
      </c>
      <c r="E25" s="787">
        <f>Q102</f>
        <v>1664.12308595</v>
      </c>
      <c r="F25" s="787">
        <f>Q176</f>
        <v>1181.77761811</v>
      </c>
      <c r="G25" s="787">
        <f>Q249</f>
        <v>1451.62618627</v>
      </c>
      <c r="H25" s="787">
        <v>2024.94</v>
      </c>
      <c r="I25" s="787">
        <f>Q322</f>
        <v>1890.23215567</v>
      </c>
      <c r="J25" s="397">
        <f t="shared" si="13"/>
        <v>-134.70784433</v>
      </c>
      <c r="K25" s="787">
        <v>1884.74</v>
      </c>
      <c r="L25" s="787">
        <f t="shared" si="15"/>
        <v>1094.541446105</v>
      </c>
      <c r="M25" s="862">
        <f t="shared" si="16"/>
        <v>1010.1536395</v>
      </c>
      <c r="N25" s="384">
        <f t="shared" si="14"/>
        <v>2104.695085605</v>
      </c>
      <c r="O25" s="787">
        <f>Q472</f>
        <v>2322.26759052296</v>
      </c>
      <c r="P25" s="787">
        <f>Q547</f>
        <v>2574.01348848237</v>
      </c>
      <c r="Q25" s="787">
        <f>Q621</f>
        <v>3296.96559345707</v>
      </c>
      <c r="R25" s="787">
        <f>Q695</f>
        <v>3884.77919457282</v>
      </c>
      <c r="S25" s="787">
        <f>Q769</f>
        <v>4486.79861970186</v>
      </c>
    </row>
    <row r="26" hidden="1" spans="3:19">
      <c r="C26" s="296" t="s">
        <v>197</v>
      </c>
      <c r="D26" s="296" t="s">
        <v>198</v>
      </c>
      <c r="E26" s="787">
        <f>Q103</f>
        <v>0</v>
      </c>
      <c r="F26" s="787">
        <f>Q177</f>
        <v>0</v>
      </c>
      <c r="G26" s="787">
        <f>Q250</f>
        <v>0</v>
      </c>
      <c r="H26" s="787"/>
      <c r="I26" s="787">
        <f>Q323</f>
        <v>0.243296</v>
      </c>
      <c r="J26" s="397">
        <f t="shared" si="13"/>
        <v>0.243296</v>
      </c>
      <c r="K26" s="787">
        <v>1</v>
      </c>
      <c r="L26" s="787">
        <f t="shared" si="15"/>
        <v>0.166209</v>
      </c>
      <c r="M26" s="862">
        <f t="shared" si="16"/>
        <v>0.1711</v>
      </c>
      <c r="N26" s="384">
        <f t="shared" si="14"/>
        <v>0.337309</v>
      </c>
      <c r="O26" s="787">
        <f>Q473</f>
        <v>0.394456</v>
      </c>
      <c r="P26" s="787">
        <f>Q548</f>
        <v>0.461284863244088</v>
      </c>
      <c r="Q26" s="787">
        <f>Q622</f>
        <v>0.357955009272</v>
      </c>
      <c r="R26" s="787">
        <f>Q696</f>
        <v>0.36511410945744</v>
      </c>
      <c r="S26" s="787">
        <f>Q770</f>
        <v>0.372416391646589</v>
      </c>
    </row>
    <row r="27" hidden="1" spans="3:19">
      <c r="C27" s="296" t="s">
        <v>199</v>
      </c>
      <c r="D27" s="296" t="s">
        <v>200</v>
      </c>
      <c r="E27" s="787">
        <f t="shared" ref="E27:E33" si="17">Q104</f>
        <v>4.335629</v>
      </c>
      <c r="F27" s="787">
        <f t="shared" ref="F27:F33" si="18">Q178</f>
        <v>2.345433</v>
      </c>
      <c r="G27" s="787">
        <f t="shared" ref="G27:G33" si="19">Q251</f>
        <v>3.3875608</v>
      </c>
      <c r="H27" s="787">
        <v>3.84</v>
      </c>
      <c r="I27" s="787">
        <f t="shared" ref="I27:I33" si="20">Q324</f>
        <v>4.348109</v>
      </c>
      <c r="J27" s="397">
        <f t="shared" si="13"/>
        <v>0.508109</v>
      </c>
      <c r="K27" s="787">
        <v>4.05</v>
      </c>
      <c r="L27" s="787">
        <f t="shared" si="15"/>
        <v>2.45733</v>
      </c>
      <c r="M27" s="862">
        <f t="shared" si="16"/>
        <v>2.362795</v>
      </c>
      <c r="N27" s="384">
        <f t="shared" si="14"/>
        <v>4.820125</v>
      </c>
      <c r="O27" s="787">
        <f t="shared" ref="O27:O33" si="21">Q474</f>
        <v>5.37734636570593</v>
      </c>
      <c r="P27" s="787">
        <f t="shared" ref="P27:P33" si="22">Q549</f>
        <v>5.98000855702511</v>
      </c>
      <c r="Q27" s="787">
        <f t="shared" ref="Q27:Q33" si="23">Q623</f>
        <v>5.7225800755113</v>
      </c>
      <c r="R27" s="787">
        <f t="shared" ref="R27:R33" si="24">Q697</f>
        <v>6.35525285457383</v>
      </c>
      <c r="S27" s="787">
        <f t="shared" ref="S27:S33" si="25">Q771</f>
        <v>6.85645005414459</v>
      </c>
    </row>
    <row r="28" hidden="1" spans="3:19">
      <c r="C28" s="296" t="s">
        <v>201</v>
      </c>
      <c r="D28" s="296" t="s">
        <v>202</v>
      </c>
      <c r="E28" s="787">
        <f t="shared" si="17"/>
        <v>41.89</v>
      </c>
      <c r="F28" s="787">
        <f t="shared" si="18"/>
        <v>42.12</v>
      </c>
      <c r="G28" s="787">
        <f t="shared" si="19"/>
        <v>41.676726</v>
      </c>
      <c r="H28" s="787">
        <v>57.51</v>
      </c>
      <c r="I28" s="787">
        <f t="shared" si="20"/>
        <v>47.07831532</v>
      </c>
      <c r="J28" s="397">
        <f t="shared" si="13"/>
        <v>-10.43168468</v>
      </c>
      <c r="K28" s="787">
        <v>38.83</v>
      </c>
      <c r="L28" s="787">
        <f t="shared" si="15"/>
        <v>7.66654644</v>
      </c>
      <c r="M28" s="862">
        <f t="shared" si="16"/>
        <v>10.16216783</v>
      </c>
      <c r="N28" s="384">
        <f t="shared" si="14"/>
        <v>17.82871427</v>
      </c>
      <c r="O28" s="787">
        <f t="shared" si="21"/>
        <v>22.7178453815</v>
      </c>
      <c r="P28" s="787">
        <f t="shared" si="22"/>
        <v>24.98962991965</v>
      </c>
      <c r="Q28" s="787">
        <f t="shared" si="23"/>
        <v>18.548994326508</v>
      </c>
      <c r="R28" s="787">
        <f t="shared" si="24"/>
        <v>18.9199742130382</v>
      </c>
      <c r="S28" s="787">
        <f t="shared" si="25"/>
        <v>19.2983736972989</v>
      </c>
    </row>
    <row r="29" hidden="1" spans="3:19">
      <c r="C29" s="296" t="s">
        <v>203</v>
      </c>
      <c r="D29" s="296" t="s">
        <v>204</v>
      </c>
      <c r="E29" s="787">
        <f t="shared" si="17"/>
        <v>95.48</v>
      </c>
      <c r="F29" s="787">
        <f t="shared" si="18"/>
        <v>112.56</v>
      </c>
      <c r="G29" s="787">
        <f t="shared" si="19"/>
        <v>130.22228</v>
      </c>
      <c r="H29" s="787">
        <v>154.57</v>
      </c>
      <c r="I29" s="787">
        <f t="shared" si="20"/>
        <v>137.65589982</v>
      </c>
      <c r="J29" s="397">
        <f t="shared" si="13"/>
        <v>-16.91410018</v>
      </c>
      <c r="K29" s="787">
        <v>155.21</v>
      </c>
      <c r="L29" s="787">
        <f t="shared" si="15"/>
        <v>63.68782433</v>
      </c>
      <c r="M29" s="862">
        <f t="shared" si="16"/>
        <v>65.7997826</v>
      </c>
      <c r="N29" s="384">
        <f t="shared" si="14"/>
        <v>129.48760693</v>
      </c>
      <c r="O29" s="787">
        <f t="shared" si="21"/>
        <v>132.503651882</v>
      </c>
      <c r="P29" s="787">
        <f t="shared" si="22"/>
        <v>138.018972117969</v>
      </c>
      <c r="Q29" s="787">
        <f t="shared" si="23"/>
        <v>175.451215969936</v>
      </c>
      <c r="R29" s="787">
        <f t="shared" si="24"/>
        <v>186.230410238936</v>
      </c>
      <c r="S29" s="787">
        <f t="shared" si="25"/>
        <v>197.83437442266</v>
      </c>
    </row>
    <row r="30" hidden="1" spans="3:19">
      <c r="C30" s="296" t="s">
        <v>205</v>
      </c>
      <c r="D30" s="296" t="s">
        <v>206</v>
      </c>
      <c r="E30" s="787">
        <f t="shared" si="17"/>
        <v>118.49</v>
      </c>
      <c r="F30" s="787">
        <f t="shared" si="18"/>
        <v>127.59</v>
      </c>
      <c r="G30" s="787">
        <f t="shared" si="19"/>
        <v>146.68270205</v>
      </c>
      <c r="H30" s="787">
        <v>154.67</v>
      </c>
      <c r="I30" s="787">
        <f t="shared" si="20"/>
        <v>183.9896945</v>
      </c>
      <c r="J30" s="397">
        <f t="shared" si="13"/>
        <v>29.3196945</v>
      </c>
      <c r="K30" s="787">
        <v>202.26</v>
      </c>
      <c r="L30" s="787">
        <f t="shared" si="15"/>
        <v>115.86824484</v>
      </c>
      <c r="M30" s="862">
        <f t="shared" si="16"/>
        <v>104.65608307</v>
      </c>
      <c r="N30" s="384">
        <f t="shared" si="14"/>
        <v>220.52432791</v>
      </c>
      <c r="O30" s="787">
        <f t="shared" si="21"/>
        <v>268.934584357356</v>
      </c>
      <c r="P30" s="787">
        <f t="shared" si="22"/>
        <v>329.15660398209</v>
      </c>
      <c r="Q30" s="787">
        <f t="shared" si="23"/>
        <v>356.529529933021</v>
      </c>
      <c r="R30" s="787">
        <f t="shared" si="24"/>
        <v>425.832522933912</v>
      </c>
      <c r="S30" s="787">
        <f t="shared" si="25"/>
        <v>503.648904267523</v>
      </c>
    </row>
    <row r="31" hidden="1" spans="3:19">
      <c r="C31" s="296" t="s">
        <v>207</v>
      </c>
      <c r="D31" s="296" t="s">
        <v>186</v>
      </c>
      <c r="E31" s="787">
        <f t="shared" si="17"/>
        <v>91.83</v>
      </c>
      <c r="F31" s="787">
        <f t="shared" si="18"/>
        <v>85.4</v>
      </c>
      <c r="G31" s="787">
        <f t="shared" si="19"/>
        <v>112.48471693</v>
      </c>
      <c r="H31" s="787">
        <v>124.57</v>
      </c>
      <c r="I31" s="787">
        <f t="shared" si="20"/>
        <v>153.938916</v>
      </c>
      <c r="J31" s="397">
        <f t="shared" si="13"/>
        <v>29.368916</v>
      </c>
      <c r="K31" s="787">
        <v>170.56</v>
      </c>
      <c r="L31" s="787">
        <f t="shared" si="15"/>
        <v>88.90078132</v>
      </c>
      <c r="M31" s="862">
        <f t="shared" si="16"/>
        <v>96.08969453</v>
      </c>
      <c r="N31" s="384">
        <f t="shared" si="14"/>
        <v>184.99047585</v>
      </c>
      <c r="O31" s="787">
        <f t="shared" si="21"/>
        <v>224.202563167036</v>
      </c>
      <c r="P31" s="787">
        <f t="shared" si="22"/>
        <v>271.726363747655</v>
      </c>
      <c r="Q31" s="787">
        <f t="shared" si="23"/>
        <v>333.905463151925</v>
      </c>
      <c r="R31" s="787">
        <f t="shared" si="24"/>
        <v>415.077818689777</v>
      </c>
      <c r="S31" s="787">
        <f t="shared" si="25"/>
        <v>506.15758125266</v>
      </c>
    </row>
    <row r="32" hidden="1" spans="3:19">
      <c r="C32" s="296" t="s">
        <v>208</v>
      </c>
      <c r="D32" s="296" t="s">
        <v>209</v>
      </c>
      <c r="E32" s="787">
        <f t="shared" si="17"/>
        <v>0</v>
      </c>
      <c r="F32" s="787">
        <f t="shared" si="18"/>
        <v>0</v>
      </c>
      <c r="G32" s="787">
        <f t="shared" si="19"/>
        <v>0</v>
      </c>
      <c r="H32" s="787">
        <v>0</v>
      </c>
      <c r="I32" s="787">
        <f t="shared" si="20"/>
        <v>0</v>
      </c>
      <c r="J32" s="397">
        <f t="shared" si="13"/>
        <v>0</v>
      </c>
      <c r="K32" s="787">
        <v>0</v>
      </c>
      <c r="L32" s="787">
        <f t="shared" si="15"/>
        <v>0</v>
      </c>
      <c r="M32" s="862">
        <f t="shared" si="16"/>
        <v>0</v>
      </c>
      <c r="N32" s="384">
        <f t="shared" si="14"/>
        <v>0</v>
      </c>
      <c r="O32" s="787">
        <f t="shared" si="21"/>
        <v>0</v>
      </c>
      <c r="P32" s="787">
        <f t="shared" si="22"/>
        <v>0</v>
      </c>
      <c r="Q32" s="787">
        <f t="shared" si="23"/>
        <v>0</v>
      </c>
      <c r="R32" s="787">
        <f t="shared" si="24"/>
        <v>0</v>
      </c>
      <c r="S32" s="787">
        <f t="shared" si="25"/>
        <v>0</v>
      </c>
    </row>
    <row r="33" hidden="1" spans="3:19">
      <c r="C33" s="296" t="s">
        <v>210</v>
      </c>
      <c r="D33" s="296" t="s">
        <v>188</v>
      </c>
      <c r="E33" s="787">
        <f t="shared" si="17"/>
        <v>2.43</v>
      </c>
      <c r="F33" s="787">
        <f t="shared" si="18"/>
        <v>1.6</v>
      </c>
      <c r="G33" s="787">
        <f t="shared" si="19"/>
        <v>3.428271</v>
      </c>
      <c r="H33" s="787">
        <v>14.02</v>
      </c>
      <c r="I33" s="787">
        <f t="shared" si="20"/>
        <v>5.539859</v>
      </c>
      <c r="J33" s="397">
        <f t="shared" si="13"/>
        <v>-8.480141</v>
      </c>
      <c r="K33" s="787">
        <v>6.55</v>
      </c>
      <c r="L33" s="787">
        <f t="shared" si="15"/>
        <v>4.6311</v>
      </c>
      <c r="M33" s="862">
        <f t="shared" si="16"/>
        <v>7.390609</v>
      </c>
      <c r="N33" s="384">
        <f t="shared" si="14"/>
        <v>12.021709</v>
      </c>
      <c r="O33" s="787">
        <f t="shared" si="21"/>
        <v>30.5185396001659</v>
      </c>
      <c r="P33" s="787">
        <f t="shared" si="22"/>
        <v>71.3525124061748</v>
      </c>
      <c r="Q33" s="787">
        <f t="shared" si="23"/>
        <v>16.000894679</v>
      </c>
      <c r="R33" s="787">
        <f t="shared" si="24"/>
        <v>17.6009841469</v>
      </c>
      <c r="S33" s="787">
        <f t="shared" si="25"/>
        <v>19.36108256159</v>
      </c>
    </row>
    <row r="34" ht="15" hidden="1" spans="3:19">
      <c r="C34" s="296"/>
      <c r="D34" s="296"/>
      <c r="E34" s="787"/>
      <c r="F34" s="787"/>
      <c r="G34" s="787"/>
      <c r="H34" s="787"/>
      <c r="I34" s="787"/>
      <c r="J34" s="787"/>
      <c r="K34" s="787"/>
      <c r="L34" s="787"/>
      <c r="M34" s="861"/>
      <c r="N34" s="787"/>
      <c r="O34" s="787"/>
      <c r="P34" s="787"/>
      <c r="Q34" s="787"/>
      <c r="R34" s="787"/>
      <c r="S34" s="787"/>
    </row>
    <row r="35" ht="15" hidden="1" spans="3:19">
      <c r="C35" s="296"/>
      <c r="D35" s="296"/>
      <c r="E35" s="787"/>
      <c r="F35" s="787"/>
      <c r="G35" s="787"/>
      <c r="H35" s="787"/>
      <c r="I35" s="787"/>
      <c r="J35" s="787"/>
      <c r="K35" s="787"/>
      <c r="L35" s="787"/>
      <c r="M35" s="861"/>
      <c r="N35" s="787"/>
      <c r="O35" s="787"/>
      <c r="P35" s="787"/>
      <c r="Q35" s="787"/>
      <c r="R35" s="787"/>
      <c r="S35" s="787"/>
    </row>
    <row r="36" ht="15" hidden="1" spans="3:19">
      <c r="C36" s="296"/>
      <c r="D36" s="296"/>
      <c r="E36" s="787"/>
      <c r="F36" s="787"/>
      <c r="G36" s="787"/>
      <c r="H36" s="787"/>
      <c r="I36" s="787"/>
      <c r="J36" s="787"/>
      <c r="K36" s="787"/>
      <c r="L36" s="787"/>
      <c r="M36" s="861"/>
      <c r="N36" s="787"/>
      <c r="O36" s="787"/>
      <c r="P36" s="787"/>
      <c r="Q36" s="787"/>
      <c r="R36" s="787"/>
      <c r="S36" s="787"/>
    </row>
    <row r="37" ht="15" hidden="1" spans="3:19">
      <c r="C37" s="296"/>
      <c r="D37" s="296"/>
      <c r="E37" s="787"/>
      <c r="F37" s="787"/>
      <c r="G37" s="787"/>
      <c r="H37" s="787"/>
      <c r="I37" s="787"/>
      <c r="J37" s="787"/>
      <c r="K37" s="787"/>
      <c r="L37" s="787"/>
      <c r="M37" s="861"/>
      <c r="N37" s="787"/>
      <c r="O37" s="787"/>
      <c r="P37" s="787"/>
      <c r="Q37" s="787"/>
      <c r="R37" s="787"/>
      <c r="S37" s="787"/>
    </row>
    <row r="38" ht="15" hidden="1" spans="3:19">
      <c r="C38" s="285" t="s">
        <v>211</v>
      </c>
      <c r="D38" s="286"/>
      <c r="E38" s="861">
        <f>Q115</f>
        <v>5679.70305129736</v>
      </c>
      <c r="F38" s="861">
        <f>Q189</f>
        <v>5013.60987821</v>
      </c>
      <c r="G38" s="861">
        <f>Q262</f>
        <v>5750.22701109</v>
      </c>
      <c r="H38" s="861">
        <f>SUM(H23:H37)</f>
        <v>6974.83</v>
      </c>
      <c r="I38" s="861">
        <f>Q335</f>
        <v>6620.92135521</v>
      </c>
      <c r="J38" s="861">
        <f>I38-H38</f>
        <v>-353.908644789999</v>
      </c>
      <c r="K38" s="861">
        <f>SUM(K23:K37)</f>
        <v>6865.32</v>
      </c>
      <c r="L38" s="861">
        <f>SUM(E411:J411)</f>
        <v>3539.7617642563</v>
      </c>
      <c r="M38" s="861">
        <f>SUM(K411:P411)</f>
        <v>3479.470420045</v>
      </c>
      <c r="N38" s="861">
        <f>L38+M38</f>
        <v>7019.2321843013</v>
      </c>
      <c r="O38" s="861">
        <f>Q485</f>
        <v>7484.74420547276</v>
      </c>
      <c r="P38" s="861">
        <f>Q560</f>
        <v>8039.86897577117</v>
      </c>
      <c r="Q38" s="861">
        <f>Q634</f>
        <v>9489.97455955934</v>
      </c>
      <c r="R38" s="861">
        <f>Q708</f>
        <v>10584.8536157218</v>
      </c>
      <c r="S38" s="861">
        <f>Q782</f>
        <v>11711.0387710075</v>
      </c>
    </row>
    <row r="39" ht="15" hidden="1" spans="3:19">
      <c r="C39" s="285" t="s">
        <v>212</v>
      </c>
      <c r="D39" s="286"/>
      <c r="E39" s="861"/>
      <c r="F39" s="861"/>
      <c r="G39" s="861"/>
      <c r="H39" s="787"/>
      <c r="I39" s="787"/>
      <c r="J39" s="787"/>
      <c r="K39" s="787"/>
      <c r="L39" s="787"/>
      <c r="M39" s="787"/>
      <c r="N39" s="787"/>
      <c r="O39" s="787"/>
      <c r="P39" s="787"/>
      <c r="Q39" s="787"/>
      <c r="R39" s="787"/>
      <c r="S39" s="787"/>
    </row>
    <row r="40" hidden="1" spans="3:19">
      <c r="C40" s="296" t="s">
        <v>191</v>
      </c>
      <c r="D40" s="296" t="s">
        <v>192</v>
      </c>
      <c r="E40" s="787">
        <f t="shared" ref="E40:E46" si="26">Q117</f>
        <v>4218.92397782</v>
      </c>
      <c r="F40" s="787">
        <f t="shared" ref="F40:F46" si="27">Q191</f>
        <v>3575.85890144</v>
      </c>
      <c r="G40" s="787">
        <f t="shared" ref="G40:G46" si="28">Q264</f>
        <v>4590.39422317</v>
      </c>
      <c r="H40" s="787">
        <v>5721.31</v>
      </c>
      <c r="I40" s="787">
        <f>Q337</f>
        <v>5498.74110573</v>
      </c>
      <c r="J40" s="397">
        <f t="shared" ref="J40:J51" si="29">I40-H40</f>
        <v>-222.568894270001</v>
      </c>
      <c r="K40" s="787">
        <v>6733.34</v>
      </c>
      <c r="L40" s="787">
        <f>E413+F413+G413+H413+I413+J413</f>
        <v>2854.097971888</v>
      </c>
      <c r="M40" s="862">
        <f>K413+L413+M413+N413+O413+P413</f>
        <v>2983.2300315</v>
      </c>
      <c r="N40" s="787">
        <f t="shared" ref="N40:N51" si="30">L40+M40</f>
        <v>5837.328003388</v>
      </c>
      <c r="O40" s="787">
        <f t="shared" ref="O40:O51" si="31">Q487</f>
        <v>6815.87953882063</v>
      </c>
      <c r="P40" s="787">
        <f t="shared" ref="P40:P46" si="32">Q562</f>
        <v>7684.91455724616</v>
      </c>
      <c r="Q40" s="787">
        <f t="shared" ref="Q40:Q46" si="33">Q636</f>
        <v>8824.67954092314</v>
      </c>
      <c r="R40" s="787">
        <f t="shared" ref="R40:R46" si="34">Q710</f>
        <v>10055.3906813339</v>
      </c>
      <c r="S40" s="787">
        <f t="shared" ref="S40:S46" si="35">Q784</f>
        <v>11345.6813065585</v>
      </c>
    </row>
    <row r="41" hidden="1" spans="3:19">
      <c r="C41" s="296" t="s">
        <v>193</v>
      </c>
      <c r="D41" s="296" t="s">
        <v>194</v>
      </c>
      <c r="E41" s="787">
        <f t="shared" si="26"/>
        <v>44.0475</v>
      </c>
      <c r="F41" s="787">
        <f t="shared" si="27"/>
        <v>25.4862</v>
      </c>
      <c r="G41" s="787">
        <f t="shared" si="28"/>
        <v>37.0829</v>
      </c>
      <c r="H41" s="787">
        <v>44.05</v>
      </c>
      <c r="I41" s="787">
        <f>Q338</f>
        <v>43.282</v>
      </c>
      <c r="J41" s="397">
        <f t="shared" si="29"/>
        <v>-0.767999999999994</v>
      </c>
      <c r="K41" s="787">
        <v>37.08</v>
      </c>
      <c r="L41" s="787">
        <f t="shared" ref="L41:L51" si="36">E414+F414+G414+H414+I414+J414</f>
        <v>0</v>
      </c>
      <c r="M41" s="862">
        <f t="shared" ref="M41:M51" si="37">K414+L414+M414+N414+O414+P414</f>
        <v>0</v>
      </c>
      <c r="N41" s="787">
        <f t="shared" si="30"/>
        <v>0</v>
      </c>
      <c r="O41" s="787">
        <f t="shared" si="31"/>
        <v>0.53654</v>
      </c>
      <c r="P41" s="787">
        <f t="shared" si="32"/>
        <v>0.53654</v>
      </c>
      <c r="Q41" s="787">
        <f t="shared" si="33"/>
        <v>0</v>
      </c>
      <c r="R41" s="787">
        <f t="shared" si="34"/>
        <v>0</v>
      </c>
      <c r="S41" s="787">
        <f t="shared" si="35"/>
        <v>0</v>
      </c>
    </row>
    <row r="42" hidden="1" spans="3:19">
      <c r="C42" s="296" t="s">
        <v>239</v>
      </c>
      <c r="D42" s="296" t="s">
        <v>196</v>
      </c>
      <c r="E42" s="787">
        <f t="shared" si="26"/>
        <v>867.96008174</v>
      </c>
      <c r="F42" s="787">
        <f t="shared" si="27"/>
        <v>626.180324</v>
      </c>
      <c r="G42" s="787">
        <f t="shared" si="28"/>
        <v>772.70093215</v>
      </c>
      <c r="H42" s="787">
        <v>1183.43</v>
      </c>
      <c r="I42" s="787">
        <f>Q339</f>
        <v>1197.782522</v>
      </c>
      <c r="J42" s="397">
        <f t="shared" si="29"/>
        <v>14.3525219999999</v>
      </c>
      <c r="K42" s="787">
        <v>1302.04</v>
      </c>
      <c r="L42" s="787">
        <f t="shared" si="36"/>
        <v>733.180662595</v>
      </c>
      <c r="M42" s="862">
        <f t="shared" si="37"/>
        <v>666.5047085</v>
      </c>
      <c r="N42" s="787">
        <f t="shared" si="30"/>
        <v>1399.685371095</v>
      </c>
      <c r="O42" s="787">
        <f t="shared" si="31"/>
        <v>1560.47628455835</v>
      </c>
      <c r="P42" s="787">
        <f t="shared" si="32"/>
        <v>1771.70160889593</v>
      </c>
      <c r="Q42" s="787">
        <f t="shared" si="33"/>
        <v>2712.58196035535</v>
      </c>
      <c r="R42" s="787">
        <f t="shared" si="34"/>
        <v>3487.04181947717</v>
      </c>
      <c r="S42" s="787">
        <f t="shared" si="35"/>
        <v>4317.90410180877</v>
      </c>
    </row>
    <row r="43" hidden="1" spans="3:19">
      <c r="C43" s="296" t="s">
        <v>197</v>
      </c>
      <c r="D43" s="296" t="s">
        <v>198</v>
      </c>
      <c r="E43" s="787">
        <f t="shared" si="26"/>
        <v>0</v>
      </c>
      <c r="F43" s="787">
        <f t="shared" si="27"/>
        <v>0</v>
      </c>
      <c r="G43" s="787">
        <f t="shared" si="28"/>
        <v>0</v>
      </c>
      <c r="H43" s="787"/>
      <c r="I43" s="787">
        <f>Q340</f>
        <v>1.8433</v>
      </c>
      <c r="J43" s="397">
        <f t="shared" si="29"/>
        <v>1.8433</v>
      </c>
      <c r="K43" s="787">
        <f>[13]Sales_NP!N31</f>
        <v>0</v>
      </c>
      <c r="L43" s="787">
        <f t="shared" si="36"/>
        <v>1.89218</v>
      </c>
      <c r="M43" s="862">
        <f t="shared" si="37"/>
        <v>1.92777</v>
      </c>
      <c r="N43" s="787">
        <f t="shared" si="30"/>
        <v>3.81995</v>
      </c>
      <c r="O43" s="787">
        <f t="shared" si="31"/>
        <v>4.80134654594394</v>
      </c>
      <c r="P43" s="787">
        <f t="shared" si="32"/>
        <v>5.28148120053833</v>
      </c>
      <c r="Q43" s="787">
        <f t="shared" si="33"/>
        <v>4.0537614996</v>
      </c>
      <c r="R43" s="787">
        <f t="shared" si="34"/>
        <v>4.134836729592</v>
      </c>
      <c r="S43" s="787">
        <f t="shared" si="35"/>
        <v>4.21753346418384</v>
      </c>
    </row>
    <row r="44" hidden="1" spans="3:19">
      <c r="C44" s="296" t="s">
        <v>199</v>
      </c>
      <c r="D44" s="296" t="s">
        <v>200</v>
      </c>
      <c r="E44" s="787">
        <f t="shared" si="26"/>
        <v>0</v>
      </c>
      <c r="F44" s="787">
        <f t="shared" si="27"/>
        <v>0</v>
      </c>
      <c r="G44" s="787">
        <f t="shared" si="28"/>
        <v>0</v>
      </c>
      <c r="H44" s="787">
        <f>[12]Sales_NP!N30</f>
        <v>0</v>
      </c>
      <c r="I44" s="787">
        <f t="shared" ref="I44:I56" si="38">Q341</f>
        <v>0</v>
      </c>
      <c r="J44" s="397">
        <f t="shared" si="29"/>
        <v>0</v>
      </c>
      <c r="K44" s="787">
        <v>0</v>
      </c>
      <c r="L44" s="787">
        <f t="shared" si="36"/>
        <v>0</v>
      </c>
      <c r="M44" s="862">
        <f t="shared" si="37"/>
        <v>0</v>
      </c>
      <c r="N44" s="787">
        <f t="shared" si="30"/>
        <v>0</v>
      </c>
      <c r="O44" s="787">
        <f t="shared" si="31"/>
        <v>0</v>
      </c>
      <c r="P44" s="787">
        <f t="shared" si="32"/>
        <v>0</v>
      </c>
      <c r="Q44" s="787">
        <f t="shared" si="33"/>
        <v>0</v>
      </c>
      <c r="R44" s="787">
        <f t="shared" si="34"/>
        <v>0</v>
      </c>
      <c r="S44" s="787">
        <f t="shared" si="35"/>
        <v>0</v>
      </c>
    </row>
    <row r="45" hidden="1" spans="3:19">
      <c r="C45" s="296" t="s">
        <v>201</v>
      </c>
      <c r="D45" s="296" t="s">
        <v>202</v>
      </c>
      <c r="E45" s="787">
        <f t="shared" si="26"/>
        <v>17.59</v>
      </c>
      <c r="F45" s="787">
        <f t="shared" si="27"/>
        <v>14.51</v>
      </c>
      <c r="G45" s="787">
        <f t="shared" si="28"/>
        <v>15.38839</v>
      </c>
      <c r="H45" s="787">
        <v>20.26</v>
      </c>
      <c r="I45" s="787">
        <f t="shared" si="38"/>
        <v>17.04318</v>
      </c>
      <c r="J45" s="397">
        <f t="shared" si="29"/>
        <v>-3.21682</v>
      </c>
      <c r="K45" s="787">
        <v>15.48</v>
      </c>
      <c r="L45" s="787">
        <f t="shared" si="36"/>
        <v>14.823585</v>
      </c>
      <c r="M45" s="862">
        <f t="shared" si="37"/>
        <v>28.59946</v>
      </c>
      <c r="N45" s="787">
        <f t="shared" si="30"/>
        <v>43.423045</v>
      </c>
      <c r="O45" s="787">
        <f t="shared" si="31"/>
        <v>66.1702299355033</v>
      </c>
      <c r="P45" s="787">
        <f t="shared" si="32"/>
        <v>86.2466042202066</v>
      </c>
      <c r="Q45" s="787">
        <f t="shared" si="33"/>
        <v>67.1614264465227</v>
      </c>
      <c r="R45" s="787">
        <f t="shared" si="34"/>
        <v>90.1789671761244</v>
      </c>
      <c r="S45" s="787">
        <f t="shared" si="35"/>
        <v>125.839267679164</v>
      </c>
    </row>
    <row r="46" hidden="1" spans="3:19">
      <c r="C46" s="296" t="s">
        <v>203</v>
      </c>
      <c r="D46" s="296" t="s">
        <v>204</v>
      </c>
      <c r="E46" s="787">
        <f t="shared" si="26"/>
        <v>158.72</v>
      </c>
      <c r="F46" s="787">
        <f t="shared" si="27"/>
        <v>191.4</v>
      </c>
      <c r="G46" s="787">
        <f t="shared" si="28"/>
        <v>229.68429</v>
      </c>
      <c r="H46" s="787">
        <v>233.67</v>
      </c>
      <c r="I46" s="787">
        <f t="shared" si="38"/>
        <v>247.927045</v>
      </c>
      <c r="J46" s="397">
        <f t="shared" si="29"/>
        <v>14.257045</v>
      </c>
      <c r="K46" s="787">
        <v>277.08</v>
      </c>
      <c r="L46" s="787">
        <f t="shared" si="36"/>
        <v>124.37639</v>
      </c>
      <c r="M46" s="862">
        <f t="shared" si="37"/>
        <v>129.302335</v>
      </c>
      <c r="N46" s="787">
        <f t="shared" si="30"/>
        <v>253.678725</v>
      </c>
      <c r="O46" s="787">
        <f t="shared" si="31"/>
        <v>267.966979829087</v>
      </c>
      <c r="P46" s="787">
        <f t="shared" si="32"/>
        <v>282.096660471516</v>
      </c>
      <c r="Q46" s="787">
        <f t="shared" si="33"/>
        <v>310.435691550538</v>
      </c>
      <c r="R46" s="787">
        <f t="shared" si="34"/>
        <v>329.715769268503</v>
      </c>
      <c r="S46" s="787">
        <f t="shared" si="35"/>
        <v>349.062248161582</v>
      </c>
    </row>
    <row r="47" hidden="1" spans="3:19">
      <c r="C47" s="296" t="s">
        <v>269</v>
      </c>
      <c r="D47" s="296" t="s">
        <v>229</v>
      </c>
      <c r="E47" s="787">
        <v>0</v>
      </c>
      <c r="F47" s="787">
        <v>0</v>
      </c>
      <c r="G47" s="787">
        <v>0</v>
      </c>
      <c r="H47" s="787">
        <v>0</v>
      </c>
      <c r="I47" s="787">
        <f t="shared" si="38"/>
        <v>2.9508</v>
      </c>
      <c r="J47" s="397">
        <f t="shared" si="29"/>
        <v>2.9508</v>
      </c>
      <c r="K47" s="787"/>
      <c r="L47" s="787">
        <f t="shared" si="36"/>
        <v>9.1653</v>
      </c>
      <c r="M47" s="862">
        <f t="shared" si="37"/>
        <v>0</v>
      </c>
      <c r="N47" s="787">
        <f t="shared" si="30"/>
        <v>9.1653</v>
      </c>
      <c r="O47" s="787">
        <f t="shared" si="31"/>
        <v>0</v>
      </c>
      <c r="P47" s="787">
        <v>0</v>
      </c>
      <c r="Q47" s="787">
        <v>0</v>
      </c>
      <c r="R47" s="787">
        <v>0</v>
      </c>
      <c r="S47" s="787">
        <v>0</v>
      </c>
    </row>
    <row r="48" hidden="1" spans="3:19">
      <c r="C48" s="296" t="s">
        <v>205</v>
      </c>
      <c r="D48" s="296" t="s">
        <v>206</v>
      </c>
      <c r="E48" s="787">
        <f t="shared" ref="E48:E51" si="39">Q124</f>
        <v>76.6</v>
      </c>
      <c r="F48" s="787">
        <f t="shared" ref="F48:F51" si="40">Q198</f>
        <v>85.16</v>
      </c>
      <c r="G48" s="787">
        <f t="shared" ref="G48:G51" si="41">Q271</f>
        <v>99.584716</v>
      </c>
      <c r="H48" s="787">
        <v>121.07</v>
      </c>
      <c r="I48" s="787">
        <f t="shared" si="38"/>
        <v>124.072753</v>
      </c>
      <c r="J48" s="397">
        <f t="shared" si="29"/>
        <v>3.00275300000001</v>
      </c>
      <c r="K48" s="787">
        <v>145.97</v>
      </c>
      <c r="L48" s="787">
        <f t="shared" si="36"/>
        <v>73.22984</v>
      </c>
      <c r="M48" s="862">
        <f t="shared" si="37"/>
        <v>64.801976</v>
      </c>
      <c r="N48" s="787">
        <f t="shared" si="30"/>
        <v>138.031816</v>
      </c>
      <c r="O48" s="787">
        <f t="shared" si="31"/>
        <v>162.163493368031</v>
      </c>
      <c r="P48" s="787">
        <f t="shared" ref="P48:P51" si="42">Q569</f>
        <v>0</v>
      </c>
      <c r="Q48" s="787">
        <f t="shared" ref="Q48:Q51" si="43">Q643</f>
        <v>10.6099804125</v>
      </c>
      <c r="R48" s="787">
        <f t="shared" ref="R48:R51" si="44">Q717</f>
        <v>11.140479433125</v>
      </c>
      <c r="S48" s="787">
        <f t="shared" ref="S48:S51" si="45">Q791</f>
        <v>11.6975034047813</v>
      </c>
    </row>
    <row r="49" hidden="1" spans="3:19">
      <c r="C49" s="296" t="s">
        <v>218</v>
      </c>
      <c r="D49" s="296" t="s">
        <v>186</v>
      </c>
      <c r="E49" s="787">
        <f t="shared" si="39"/>
        <v>44.13</v>
      </c>
      <c r="F49" s="787">
        <f t="shared" si="40"/>
        <v>18.45</v>
      </c>
      <c r="G49" s="787">
        <f t="shared" si="41"/>
        <v>41.242005</v>
      </c>
      <c r="H49" s="787">
        <v>26.65</v>
      </c>
      <c r="I49" s="787">
        <f t="shared" si="38"/>
        <v>40.313566</v>
      </c>
      <c r="J49" s="397">
        <f t="shared" si="29"/>
        <v>13.663566</v>
      </c>
      <c r="K49" s="787">
        <v>43.08</v>
      </c>
      <c r="L49" s="787">
        <f t="shared" si="36"/>
        <v>22.855685</v>
      </c>
      <c r="M49" s="862">
        <f t="shared" si="37"/>
        <v>17.356752</v>
      </c>
      <c r="N49" s="787">
        <f t="shared" si="30"/>
        <v>40.212437</v>
      </c>
      <c r="O49" s="787">
        <f t="shared" si="31"/>
        <v>35.4172710167591</v>
      </c>
      <c r="P49" s="787">
        <f t="shared" si="42"/>
        <v>188.407399757014</v>
      </c>
      <c r="Q49" s="787">
        <f t="shared" si="43"/>
        <v>219.358323403401</v>
      </c>
      <c r="R49" s="787">
        <f t="shared" si="44"/>
        <v>256.889529809964</v>
      </c>
      <c r="S49" s="787">
        <f t="shared" si="45"/>
        <v>297.139508648874</v>
      </c>
    </row>
    <row r="50" hidden="1" spans="3:19">
      <c r="C50" s="296" t="s">
        <v>208</v>
      </c>
      <c r="D50" s="296" t="s">
        <v>209</v>
      </c>
      <c r="E50" s="787">
        <f t="shared" si="39"/>
        <v>0</v>
      </c>
      <c r="F50" s="787">
        <f t="shared" si="40"/>
        <v>0</v>
      </c>
      <c r="G50" s="787">
        <f t="shared" si="41"/>
        <v>0</v>
      </c>
      <c r="H50" s="787">
        <f>[12]Sales_NP!N35</f>
        <v>0</v>
      </c>
      <c r="I50" s="787">
        <f t="shared" si="38"/>
        <v>0</v>
      </c>
      <c r="J50" s="397">
        <f t="shared" si="29"/>
        <v>0</v>
      </c>
      <c r="K50" s="787">
        <f>[13]Sales_NP!N37</f>
        <v>0</v>
      </c>
      <c r="L50" s="787">
        <f t="shared" si="36"/>
        <v>0</v>
      </c>
      <c r="M50" s="862">
        <f t="shared" si="37"/>
        <v>0</v>
      </c>
      <c r="N50" s="787">
        <f t="shared" si="30"/>
        <v>0</v>
      </c>
      <c r="O50" s="787">
        <f t="shared" si="31"/>
        <v>0</v>
      </c>
      <c r="P50" s="787">
        <f t="shared" si="42"/>
        <v>36.1256164370943</v>
      </c>
      <c r="Q50" s="787">
        <f t="shared" si="43"/>
        <v>53.5205060233894</v>
      </c>
      <c r="R50" s="787">
        <f t="shared" si="44"/>
        <v>56.3840540874934</v>
      </c>
      <c r="S50" s="787">
        <f t="shared" si="45"/>
        <v>60.2972236254077</v>
      </c>
    </row>
    <row r="51" hidden="1" spans="3:19">
      <c r="C51" s="296" t="s">
        <v>210</v>
      </c>
      <c r="D51" s="296" t="s">
        <v>188</v>
      </c>
      <c r="E51" s="787">
        <f t="shared" si="39"/>
        <v>0</v>
      </c>
      <c r="F51" s="787">
        <f t="shared" si="40"/>
        <v>0</v>
      </c>
      <c r="G51" s="787">
        <f t="shared" si="41"/>
        <v>0</v>
      </c>
      <c r="H51" s="787">
        <f>[12]Sales_NP!N36</f>
        <v>0</v>
      </c>
      <c r="I51" s="787">
        <f t="shared" si="38"/>
        <v>0</v>
      </c>
      <c r="J51" s="397">
        <f t="shared" si="29"/>
        <v>0</v>
      </c>
      <c r="K51" s="787">
        <f>[13]Sales_NP!N38</f>
        <v>0</v>
      </c>
      <c r="L51" s="787">
        <f t="shared" si="36"/>
        <v>0</v>
      </c>
      <c r="M51" s="862">
        <f t="shared" si="37"/>
        <v>0</v>
      </c>
      <c r="N51" s="787">
        <f t="shared" si="30"/>
        <v>0</v>
      </c>
      <c r="O51" s="787">
        <f t="shared" si="31"/>
        <v>0</v>
      </c>
      <c r="P51" s="787">
        <f t="shared" si="42"/>
        <v>0</v>
      </c>
      <c r="Q51" s="787">
        <f t="shared" si="43"/>
        <v>0</v>
      </c>
      <c r="R51" s="787">
        <f t="shared" si="44"/>
        <v>0</v>
      </c>
      <c r="S51" s="787">
        <f t="shared" si="45"/>
        <v>0</v>
      </c>
    </row>
    <row r="52" ht="15" hidden="1" spans="3:19">
      <c r="C52" s="296"/>
      <c r="D52" s="296"/>
      <c r="E52" s="787"/>
      <c r="F52" s="787"/>
      <c r="G52" s="787"/>
      <c r="H52" s="787"/>
      <c r="I52" s="787"/>
      <c r="J52" s="787"/>
      <c r="K52" s="787"/>
      <c r="L52" s="787"/>
      <c r="M52" s="861"/>
      <c r="N52" s="787"/>
      <c r="O52" s="787"/>
      <c r="P52" s="787"/>
      <c r="Q52" s="787"/>
      <c r="R52" s="787"/>
      <c r="S52" s="787"/>
    </row>
    <row r="53" ht="15" hidden="1" spans="3:19">
      <c r="C53" s="296"/>
      <c r="D53" s="296"/>
      <c r="E53" s="787"/>
      <c r="F53" s="787"/>
      <c r="G53" s="787"/>
      <c r="H53" s="787"/>
      <c r="I53" s="787"/>
      <c r="J53" s="787"/>
      <c r="K53" s="787"/>
      <c r="L53" s="787"/>
      <c r="M53" s="861"/>
      <c r="N53" s="787"/>
      <c r="O53" s="787"/>
      <c r="P53" s="787"/>
      <c r="Q53" s="787"/>
      <c r="R53" s="787"/>
      <c r="S53" s="787"/>
    </row>
    <row r="54" ht="15" hidden="1" spans="3:19">
      <c r="C54" s="296"/>
      <c r="D54" s="296"/>
      <c r="E54" s="787"/>
      <c r="F54" s="787"/>
      <c r="G54" s="787"/>
      <c r="H54" s="787"/>
      <c r="I54" s="787"/>
      <c r="J54" s="787"/>
      <c r="K54" s="787"/>
      <c r="L54" s="787"/>
      <c r="M54" s="861"/>
      <c r="N54" s="787"/>
      <c r="O54" s="787"/>
      <c r="P54" s="787"/>
      <c r="Q54" s="787"/>
      <c r="R54" s="787"/>
      <c r="S54" s="787"/>
    </row>
    <row r="55" ht="15" hidden="1" spans="3:19">
      <c r="C55" s="296"/>
      <c r="D55" s="296"/>
      <c r="E55" s="787"/>
      <c r="F55" s="787"/>
      <c r="G55" s="787"/>
      <c r="H55" s="787"/>
      <c r="I55" s="787"/>
      <c r="J55" s="787"/>
      <c r="K55" s="787"/>
      <c r="L55" s="787"/>
      <c r="M55" s="861"/>
      <c r="N55" s="787"/>
      <c r="O55" s="787"/>
      <c r="P55" s="787"/>
      <c r="Q55" s="787"/>
      <c r="R55" s="787"/>
      <c r="S55" s="787"/>
    </row>
    <row r="56" ht="15" hidden="1" spans="3:19">
      <c r="C56" s="285" t="s">
        <v>211</v>
      </c>
      <c r="D56" s="286"/>
      <c r="E56" s="861">
        <f>Q132</f>
        <v>5427.97155956</v>
      </c>
      <c r="F56" s="861">
        <f>Q206</f>
        <v>4537.04542544</v>
      </c>
      <c r="G56" s="861">
        <f>Q279</f>
        <v>5786.07745632</v>
      </c>
      <c r="H56" s="861">
        <f>SUM(H40:H55)</f>
        <v>7350.44</v>
      </c>
      <c r="I56" s="861">
        <f t="shared" si="38"/>
        <v>7173.95627173</v>
      </c>
      <c r="J56" s="861">
        <f>I56-H56</f>
        <v>-176.483728270001</v>
      </c>
      <c r="K56" s="861">
        <f>SUM(K40:K55)</f>
        <v>8554.07</v>
      </c>
      <c r="L56" s="861">
        <f>SUM(E428:J428)</f>
        <v>3833.621614483</v>
      </c>
      <c r="M56" s="861">
        <f>SUM(K428:P428)</f>
        <v>3891.723033</v>
      </c>
      <c r="N56" s="861">
        <f>L56+M56</f>
        <v>7725.344647483</v>
      </c>
      <c r="O56" s="861">
        <f>Q503</f>
        <v>8913.41168407431</v>
      </c>
      <c r="P56" s="861">
        <f>Q577</f>
        <v>10055.3104682285</v>
      </c>
      <c r="Q56" s="861">
        <f>Q651</f>
        <v>12202.4011906144</v>
      </c>
      <c r="R56" s="861">
        <f>Q725</f>
        <v>14290.8761373159</v>
      </c>
      <c r="S56" s="861">
        <f>Q799</f>
        <v>16511.8386933512</v>
      </c>
    </row>
    <row r="57" ht="15" hidden="1" spans="3:19">
      <c r="C57" s="285" t="s">
        <v>219</v>
      </c>
      <c r="D57" s="286"/>
      <c r="E57" s="861"/>
      <c r="F57" s="861"/>
      <c r="G57" s="861"/>
      <c r="H57" s="787"/>
      <c r="I57" s="787"/>
      <c r="J57" s="787"/>
      <c r="K57" s="787"/>
      <c r="L57" s="787"/>
      <c r="M57" s="787"/>
      <c r="N57" s="787"/>
      <c r="O57" s="787"/>
      <c r="P57" s="787"/>
      <c r="Q57" s="787"/>
      <c r="R57" s="787"/>
      <c r="S57" s="787"/>
    </row>
    <row r="58" hidden="1" spans="3:19">
      <c r="C58" s="296" t="s">
        <v>191</v>
      </c>
      <c r="D58" s="296" t="s">
        <v>192</v>
      </c>
      <c r="E58" s="787">
        <f t="shared" ref="E58:E70" si="46">Q134</f>
        <v>2503.92938901</v>
      </c>
      <c r="F58" s="787">
        <f t="shared" ref="F58:F70" si="47">Q208</f>
        <v>2237.72151054</v>
      </c>
      <c r="G58" s="787">
        <f>Q281</f>
        <v>3160.693707</v>
      </c>
      <c r="H58" s="787">
        <v>3534.58</v>
      </c>
      <c r="I58" s="787">
        <f t="shared" ref="I58:I70" si="48">Q355</f>
        <v>4311.075245</v>
      </c>
      <c r="J58" s="397">
        <f t="shared" ref="J58:J70" si="49">I58-H58</f>
        <v>776.495245</v>
      </c>
      <c r="K58" s="787">
        <v>5214.14</v>
      </c>
      <c r="L58" s="787">
        <f>E430+F430+G430+H430+I430+J430</f>
        <v>2133.410507</v>
      </c>
      <c r="M58" s="862">
        <f>K430+L430+M430+N430+O430+P430</f>
        <v>2326.07904</v>
      </c>
      <c r="N58" s="787">
        <f t="shared" ref="N58:N70" si="50">L58+M58</f>
        <v>4459.489547</v>
      </c>
      <c r="O58" s="787">
        <f t="shared" ref="O58:O70" si="51">Q505</f>
        <v>4716.46701034221</v>
      </c>
      <c r="P58" s="787">
        <f t="shared" ref="P58:P70" si="52">Q579</f>
        <v>5002.47501853381</v>
      </c>
      <c r="Q58" s="787">
        <f t="shared" ref="Q58:Q70" si="53">Q653</f>
        <v>8554.41594892262</v>
      </c>
      <c r="R58" s="787">
        <f t="shared" ref="R58:R70" si="54">Q727</f>
        <v>10213.4341673838</v>
      </c>
      <c r="S58" s="787">
        <f t="shared" ref="S58:S70" si="55">Q801</f>
        <v>12209.5371115723</v>
      </c>
    </row>
    <row r="59" hidden="1" spans="3:19">
      <c r="C59" s="296" t="s">
        <v>193</v>
      </c>
      <c r="D59" s="296" t="s">
        <v>194</v>
      </c>
      <c r="E59" s="787">
        <f t="shared" si="46"/>
        <v>193.954</v>
      </c>
      <c r="F59" s="787">
        <f t="shared" si="47"/>
        <v>104.53</v>
      </c>
      <c r="G59" s="787">
        <f>Q282</f>
        <v>211.2313</v>
      </c>
      <c r="H59" s="787">
        <v>193.95</v>
      </c>
      <c r="I59" s="787">
        <f t="shared" si="48"/>
        <v>209.4758</v>
      </c>
      <c r="J59" s="397">
        <f t="shared" si="49"/>
        <v>15.5258</v>
      </c>
      <c r="K59" s="787">
        <v>211.23</v>
      </c>
      <c r="L59" s="787">
        <f t="shared" ref="L59:L70" si="56">E431+F431+G431+H431+I431+J431</f>
        <v>76.908765</v>
      </c>
      <c r="M59" s="862">
        <f t="shared" ref="M59:M70" si="57">K431+L431+M431+N431+O431+P431</f>
        <v>76.244735</v>
      </c>
      <c r="N59" s="787">
        <f t="shared" si="50"/>
        <v>153.1535</v>
      </c>
      <c r="O59" s="787">
        <f t="shared" si="51"/>
        <v>149.934735</v>
      </c>
      <c r="P59" s="787">
        <f t="shared" si="52"/>
        <v>152.9334297</v>
      </c>
      <c r="Q59" s="787">
        <f t="shared" si="53"/>
        <v>162.527719428</v>
      </c>
      <c r="R59" s="787">
        <f t="shared" si="54"/>
        <v>165.77827381656</v>
      </c>
      <c r="S59" s="787">
        <f t="shared" si="55"/>
        <v>169.093839292891</v>
      </c>
    </row>
    <row r="60" hidden="1" spans="3:19">
      <c r="C60" s="296" t="s">
        <v>239</v>
      </c>
      <c r="D60" s="296" t="s">
        <v>196</v>
      </c>
      <c r="E60" s="787">
        <f t="shared" si="46"/>
        <v>50.823967</v>
      </c>
      <c r="F60" s="787">
        <f t="shared" si="47"/>
        <v>37.02036</v>
      </c>
      <c r="G60" s="787">
        <f>Q283</f>
        <v>40.808457</v>
      </c>
      <c r="H60" s="787">
        <v>53.02</v>
      </c>
      <c r="I60" s="787">
        <f t="shared" si="48"/>
        <v>46.242353</v>
      </c>
      <c r="J60" s="397">
        <f t="shared" si="49"/>
        <v>-6.77764700000001</v>
      </c>
      <c r="K60" s="787">
        <v>40.39</v>
      </c>
      <c r="L60" s="787">
        <f t="shared" si="56"/>
        <v>31.686245</v>
      </c>
      <c r="M60" s="862">
        <f t="shared" si="57"/>
        <v>62.55702</v>
      </c>
      <c r="N60" s="787">
        <f t="shared" si="50"/>
        <v>94.243265</v>
      </c>
      <c r="O60" s="787">
        <f t="shared" si="51"/>
        <v>202.610551505612</v>
      </c>
      <c r="P60" s="787">
        <f t="shared" si="52"/>
        <v>345.646916498293</v>
      </c>
      <c r="Q60" s="787">
        <f t="shared" si="53"/>
        <v>206.331023812313</v>
      </c>
      <c r="R60" s="787">
        <f t="shared" si="54"/>
        <v>285.316839721895</v>
      </c>
      <c r="S60" s="787">
        <f t="shared" si="55"/>
        <v>410.567814645112</v>
      </c>
    </row>
    <row r="61" hidden="1" spans="3:19">
      <c r="C61" s="296" t="s">
        <v>197</v>
      </c>
      <c r="D61" s="296" t="s">
        <v>198</v>
      </c>
      <c r="E61" s="787">
        <f t="shared" si="46"/>
        <v>0</v>
      </c>
      <c r="F61" s="787">
        <f t="shared" si="47"/>
        <v>0</v>
      </c>
      <c r="G61" s="787">
        <f>Q284</f>
        <v>0</v>
      </c>
      <c r="H61" s="787"/>
      <c r="I61" s="787">
        <f t="shared" si="48"/>
        <v>0</v>
      </c>
      <c r="J61" s="397">
        <f t="shared" si="49"/>
        <v>0</v>
      </c>
      <c r="K61" s="787">
        <f>[13]Sales_NP!N43</f>
        <v>0</v>
      </c>
      <c r="L61" s="787">
        <f t="shared" si="56"/>
        <v>0</v>
      </c>
      <c r="M61" s="862">
        <f t="shared" si="57"/>
        <v>0</v>
      </c>
      <c r="N61" s="787">
        <f t="shared" si="50"/>
        <v>0</v>
      </c>
      <c r="O61" s="787">
        <f t="shared" si="51"/>
        <v>0</v>
      </c>
      <c r="P61" s="787">
        <f t="shared" si="52"/>
        <v>0</v>
      </c>
      <c r="Q61" s="787">
        <f t="shared" si="53"/>
        <v>0</v>
      </c>
      <c r="R61" s="787">
        <f t="shared" si="54"/>
        <v>0</v>
      </c>
      <c r="S61" s="787">
        <f t="shared" si="55"/>
        <v>0</v>
      </c>
    </row>
    <row r="62" hidden="1" spans="3:19">
      <c r="C62" s="296" t="s">
        <v>199</v>
      </c>
      <c r="D62" s="296" t="s">
        <v>200</v>
      </c>
      <c r="E62" s="787">
        <f t="shared" si="46"/>
        <v>86.414</v>
      </c>
      <c r="F62" s="787">
        <f t="shared" si="47"/>
        <v>50.366</v>
      </c>
      <c r="G62" s="787">
        <f t="shared" ref="G62" si="58">Q284</f>
        <v>0</v>
      </c>
      <c r="H62" s="787">
        <v>109.79</v>
      </c>
      <c r="I62" s="787">
        <f t="shared" si="48"/>
        <v>60.93195</v>
      </c>
      <c r="J62" s="397">
        <f t="shared" si="49"/>
        <v>-48.85805</v>
      </c>
      <c r="K62" s="787">
        <v>55.76</v>
      </c>
      <c r="L62" s="787">
        <f t="shared" si="56"/>
        <v>42.98554</v>
      </c>
      <c r="M62" s="862">
        <f t="shared" si="57"/>
        <v>41.99624</v>
      </c>
      <c r="N62" s="787">
        <f t="shared" si="50"/>
        <v>84.98178</v>
      </c>
      <c r="O62" s="787">
        <f t="shared" si="51"/>
        <v>109.964613322014</v>
      </c>
      <c r="P62" s="787">
        <f t="shared" si="52"/>
        <v>133.669346242745</v>
      </c>
      <c r="Q62" s="787">
        <f t="shared" si="53"/>
        <v>99.1191505122703</v>
      </c>
      <c r="R62" s="787">
        <f t="shared" si="54"/>
        <v>114.873373270218</v>
      </c>
      <c r="S62" s="787">
        <f t="shared" si="55"/>
        <v>130.404997104381</v>
      </c>
    </row>
    <row r="63" hidden="1" spans="3:19">
      <c r="C63" s="296" t="s">
        <v>201</v>
      </c>
      <c r="D63" s="296" t="s">
        <v>240</v>
      </c>
      <c r="E63" s="787">
        <f t="shared" si="46"/>
        <v>1861.57</v>
      </c>
      <c r="F63" s="787">
        <f t="shared" si="47"/>
        <v>1560.78</v>
      </c>
      <c r="G63" s="787">
        <f t="shared" ref="G63:G70" si="59">Q286</f>
        <v>1877.73325733</v>
      </c>
      <c r="H63" s="787">
        <v>3161.75</v>
      </c>
      <c r="I63" s="787">
        <f t="shared" si="48"/>
        <v>1642.35012187</v>
      </c>
      <c r="J63" s="397">
        <f t="shared" si="49"/>
        <v>-1519.39987813</v>
      </c>
      <c r="K63" s="787">
        <v>3790.35</v>
      </c>
      <c r="L63" s="787">
        <f t="shared" si="56"/>
        <v>627.72570776</v>
      </c>
      <c r="M63" s="862">
        <f t="shared" si="57"/>
        <v>578.11605371</v>
      </c>
      <c r="N63" s="787">
        <f t="shared" si="50"/>
        <v>1205.84176147</v>
      </c>
      <c r="O63" s="787">
        <f t="shared" si="51"/>
        <v>1522.4983747842</v>
      </c>
      <c r="P63" s="787">
        <f t="shared" si="52"/>
        <v>1644.29824476694</v>
      </c>
      <c r="Q63" s="787">
        <f t="shared" si="53"/>
        <v>1254.55776863339</v>
      </c>
      <c r="R63" s="787">
        <f t="shared" si="54"/>
        <v>1279.64892400606</v>
      </c>
      <c r="S63" s="787">
        <f t="shared" si="55"/>
        <v>1305.24190248618</v>
      </c>
    </row>
    <row r="64" hidden="1" spans="3:19">
      <c r="C64" s="296" t="s">
        <v>203</v>
      </c>
      <c r="D64" s="296" t="s">
        <v>220</v>
      </c>
      <c r="E64" s="787">
        <f t="shared" si="46"/>
        <v>204.79</v>
      </c>
      <c r="F64" s="787">
        <f t="shared" si="47"/>
        <v>208.01</v>
      </c>
      <c r="G64" s="787">
        <f t="shared" si="59"/>
        <v>238.748</v>
      </c>
      <c r="H64" s="787">
        <v>234.54</v>
      </c>
      <c r="I64" s="787">
        <f t="shared" si="48"/>
        <v>260.3885</v>
      </c>
      <c r="J64" s="397">
        <f t="shared" si="49"/>
        <v>25.8485</v>
      </c>
      <c r="K64" s="787">
        <v>282.28</v>
      </c>
      <c r="L64" s="787">
        <f t="shared" si="56"/>
        <v>133.03478</v>
      </c>
      <c r="M64" s="862">
        <f t="shared" si="57"/>
        <v>140.69472</v>
      </c>
      <c r="N64" s="787">
        <f t="shared" si="50"/>
        <v>273.7295</v>
      </c>
      <c r="O64" s="787">
        <f t="shared" si="51"/>
        <v>291.523761861199</v>
      </c>
      <c r="P64" s="787">
        <f t="shared" si="52"/>
        <v>311.591330244946</v>
      </c>
      <c r="Q64" s="787">
        <f t="shared" si="53"/>
        <v>333.165395188793</v>
      </c>
      <c r="R64" s="787">
        <f t="shared" si="54"/>
        <v>356.126191388755</v>
      </c>
      <c r="S64" s="787">
        <f t="shared" si="55"/>
        <v>379.140639443868</v>
      </c>
    </row>
    <row r="65" hidden="1" spans="3:19">
      <c r="C65" s="296" t="s">
        <v>241</v>
      </c>
      <c r="D65" s="296" t="s">
        <v>229</v>
      </c>
      <c r="E65" s="787">
        <f t="shared" si="46"/>
        <v>250</v>
      </c>
      <c r="F65" s="787">
        <f t="shared" si="47"/>
        <v>192.31</v>
      </c>
      <c r="G65" s="787">
        <f t="shared" si="59"/>
        <v>298.610028</v>
      </c>
      <c r="H65" s="787">
        <v>862.64</v>
      </c>
      <c r="I65" s="787">
        <f t="shared" si="48"/>
        <v>386.274181</v>
      </c>
      <c r="J65" s="397">
        <f t="shared" si="49"/>
        <v>-476.365819</v>
      </c>
      <c r="K65" s="787">
        <v>566.31</v>
      </c>
      <c r="L65" s="787">
        <f t="shared" si="56"/>
        <v>230.526453</v>
      </c>
      <c r="M65" s="862">
        <f t="shared" si="57"/>
        <v>263.034845</v>
      </c>
      <c r="N65" s="787">
        <f t="shared" si="50"/>
        <v>493.561298</v>
      </c>
      <c r="O65" s="787">
        <f t="shared" si="51"/>
        <v>940.872995139916</v>
      </c>
      <c r="P65" s="787">
        <f t="shared" si="52"/>
        <v>1463.37736580925</v>
      </c>
      <c r="Q65" s="787">
        <f t="shared" si="53"/>
        <v>1103.03180551582</v>
      </c>
      <c r="R65" s="787">
        <f t="shared" si="54"/>
        <v>1432.46745824722</v>
      </c>
      <c r="S65" s="787">
        <f t="shared" si="55"/>
        <v>1861.75522620511</v>
      </c>
    </row>
    <row r="66" ht="13.5" hidden="1" customHeight="1" spans="3:19">
      <c r="C66" s="296" t="s">
        <v>242</v>
      </c>
      <c r="D66" s="296" t="s">
        <v>243</v>
      </c>
      <c r="E66" s="787">
        <f t="shared" si="46"/>
        <v>81.01</v>
      </c>
      <c r="F66" s="787">
        <f t="shared" si="47"/>
        <v>47.06</v>
      </c>
      <c r="G66" s="787">
        <f t="shared" si="59"/>
        <v>65.583331</v>
      </c>
      <c r="H66" s="787">
        <v>276.72</v>
      </c>
      <c r="I66" s="787">
        <f t="shared" si="48"/>
        <v>88.577285</v>
      </c>
      <c r="J66" s="397">
        <f t="shared" si="49"/>
        <v>-188.142715</v>
      </c>
      <c r="K66" s="787">
        <v>110</v>
      </c>
      <c r="L66" s="787">
        <f t="shared" si="56"/>
        <v>47.30329</v>
      </c>
      <c r="M66" s="862">
        <f t="shared" si="57"/>
        <v>55.745798</v>
      </c>
      <c r="N66" s="787">
        <f t="shared" si="50"/>
        <v>103.049088</v>
      </c>
      <c r="O66" s="787">
        <f t="shared" si="51"/>
        <v>169.845920353557</v>
      </c>
      <c r="P66" s="787">
        <f t="shared" si="52"/>
        <v>251.044663358325</v>
      </c>
      <c r="Q66" s="787">
        <f t="shared" si="53"/>
        <v>319.533944115101</v>
      </c>
      <c r="R66" s="787">
        <f t="shared" si="54"/>
        <v>372.666925460986</v>
      </c>
      <c r="S66" s="787">
        <f t="shared" si="55"/>
        <v>432.651895371196</v>
      </c>
    </row>
    <row r="67" hidden="1" spans="3:19">
      <c r="C67" s="296" t="s">
        <v>205</v>
      </c>
      <c r="D67" s="296" t="s">
        <v>206</v>
      </c>
      <c r="E67" s="787">
        <f t="shared" si="46"/>
        <v>0</v>
      </c>
      <c r="F67" s="787">
        <f t="shared" si="47"/>
        <v>0</v>
      </c>
      <c r="G67" s="787">
        <f t="shared" si="59"/>
        <v>0</v>
      </c>
      <c r="H67" s="787">
        <v>0</v>
      </c>
      <c r="I67" s="787">
        <f t="shared" si="48"/>
        <v>0</v>
      </c>
      <c r="J67" s="397">
        <f t="shared" si="49"/>
        <v>0</v>
      </c>
      <c r="K67" s="787">
        <v>0</v>
      </c>
      <c r="L67" s="787">
        <f t="shared" si="56"/>
        <v>0</v>
      </c>
      <c r="M67" s="862">
        <f t="shared" si="57"/>
        <v>0</v>
      </c>
      <c r="N67" s="787">
        <f t="shared" si="50"/>
        <v>0</v>
      </c>
      <c r="O67" s="787">
        <f t="shared" si="51"/>
        <v>0</v>
      </c>
      <c r="P67" s="787">
        <f t="shared" si="52"/>
        <v>0</v>
      </c>
      <c r="Q67" s="787">
        <f t="shared" si="53"/>
        <v>0</v>
      </c>
      <c r="R67" s="787">
        <f t="shared" si="54"/>
        <v>0</v>
      </c>
      <c r="S67" s="787">
        <f t="shared" si="55"/>
        <v>0</v>
      </c>
    </row>
    <row r="68" hidden="1" spans="3:19">
      <c r="C68" s="296" t="s">
        <v>207</v>
      </c>
      <c r="D68" s="296" t="s">
        <v>186</v>
      </c>
      <c r="E68" s="787">
        <f t="shared" si="46"/>
        <v>0</v>
      </c>
      <c r="F68" s="787">
        <f t="shared" si="47"/>
        <v>0</v>
      </c>
      <c r="G68" s="787">
        <f t="shared" si="59"/>
        <v>0</v>
      </c>
      <c r="H68" s="787">
        <f>[12]Sales_NP!N47</f>
        <v>0</v>
      </c>
      <c r="I68" s="787">
        <f t="shared" si="48"/>
        <v>0</v>
      </c>
      <c r="J68" s="397">
        <f t="shared" si="49"/>
        <v>0</v>
      </c>
      <c r="K68" s="787">
        <f>[13]Sales_NP!N50</f>
        <v>0</v>
      </c>
      <c r="L68" s="787">
        <f t="shared" si="56"/>
        <v>0</v>
      </c>
      <c r="M68" s="862">
        <f t="shared" si="57"/>
        <v>0</v>
      </c>
      <c r="N68" s="787">
        <f t="shared" si="50"/>
        <v>0</v>
      </c>
      <c r="O68" s="787">
        <f t="shared" si="51"/>
        <v>0</v>
      </c>
      <c r="P68" s="787">
        <f t="shared" si="52"/>
        <v>0</v>
      </c>
      <c r="Q68" s="787">
        <f t="shared" si="53"/>
        <v>0</v>
      </c>
      <c r="R68" s="787">
        <f t="shared" si="54"/>
        <v>0</v>
      </c>
      <c r="S68" s="787">
        <f t="shared" si="55"/>
        <v>0</v>
      </c>
    </row>
    <row r="69" hidden="1" spans="3:19">
      <c r="C69" s="296" t="s">
        <v>208</v>
      </c>
      <c r="D69" s="296" t="s">
        <v>209</v>
      </c>
      <c r="E69" s="787">
        <f t="shared" si="46"/>
        <v>0</v>
      </c>
      <c r="F69" s="787">
        <f t="shared" si="47"/>
        <v>0</v>
      </c>
      <c r="G69" s="787">
        <f t="shared" si="59"/>
        <v>0</v>
      </c>
      <c r="H69" s="787"/>
      <c r="I69" s="787">
        <f t="shared" si="48"/>
        <v>0</v>
      </c>
      <c r="J69" s="397">
        <f t="shared" si="49"/>
        <v>0</v>
      </c>
      <c r="K69" s="787">
        <v>0</v>
      </c>
      <c r="L69" s="787">
        <f t="shared" si="56"/>
        <v>0</v>
      </c>
      <c r="M69" s="862">
        <f t="shared" si="57"/>
        <v>0</v>
      </c>
      <c r="N69" s="787">
        <f t="shared" si="50"/>
        <v>0</v>
      </c>
      <c r="O69" s="787">
        <f t="shared" si="51"/>
        <v>0</v>
      </c>
      <c r="P69" s="787">
        <f t="shared" si="52"/>
        <v>0</v>
      </c>
      <c r="Q69" s="787">
        <f t="shared" si="53"/>
        <v>0</v>
      </c>
      <c r="R69" s="787">
        <f t="shared" si="54"/>
        <v>0</v>
      </c>
      <c r="S69" s="787">
        <f t="shared" si="55"/>
        <v>0</v>
      </c>
    </row>
    <row r="70" hidden="1" spans="3:19">
      <c r="C70" s="296" t="s">
        <v>210</v>
      </c>
      <c r="D70" s="296" t="s">
        <v>188</v>
      </c>
      <c r="E70" s="787">
        <f t="shared" si="46"/>
        <v>0</v>
      </c>
      <c r="F70" s="787">
        <f t="shared" si="47"/>
        <v>0</v>
      </c>
      <c r="G70" s="787">
        <f t="shared" si="59"/>
        <v>0</v>
      </c>
      <c r="H70" s="787"/>
      <c r="I70" s="787">
        <f t="shared" si="48"/>
        <v>0</v>
      </c>
      <c r="J70" s="397">
        <f t="shared" si="49"/>
        <v>0</v>
      </c>
      <c r="K70" s="787">
        <f>[13]Sales_NP!$N$51</f>
        <v>0</v>
      </c>
      <c r="L70" s="787">
        <f t="shared" si="56"/>
        <v>0</v>
      </c>
      <c r="M70" s="862">
        <f t="shared" si="57"/>
        <v>0</v>
      </c>
      <c r="N70" s="787">
        <f t="shared" si="50"/>
        <v>0</v>
      </c>
      <c r="O70" s="787">
        <f t="shared" si="51"/>
        <v>0</v>
      </c>
      <c r="P70" s="787">
        <f t="shared" si="52"/>
        <v>0</v>
      </c>
      <c r="Q70" s="787">
        <f t="shared" si="53"/>
        <v>0</v>
      </c>
      <c r="R70" s="787">
        <f t="shared" si="54"/>
        <v>0</v>
      </c>
      <c r="S70" s="787">
        <f t="shared" si="55"/>
        <v>0</v>
      </c>
    </row>
    <row r="71" ht="15" hidden="1" spans="3:19">
      <c r="C71" s="296"/>
      <c r="D71" s="296"/>
      <c r="E71" s="787"/>
      <c r="F71" s="787"/>
      <c r="G71" s="787"/>
      <c r="H71" s="787"/>
      <c r="I71" s="787"/>
      <c r="J71" s="787"/>
      <c r="K71" s="787"/>
      <c r="L71" s="787"/>
      <c r="M71" s="861"/>
      <c r="N71" s="787"/>
      <c r="O71" s="787"/>
      <c r="P71" s="787"/>
      <c r="Q71" s="787"/>
      <c r="R71" s="787"/>
      <c r="S71" s="787"/>
    </row>
    <row r="72" ht="15" hidden="1" spans="3:19">
      <c r="C72" s="296"/>
      <c r="D72" s="296"/>
      <c r="E72" s="787"/>
      <c r="F72" s="787"/>
      <c r="G72" s="787"/>
      <c r="H72" s="787"/>
      <c r="I72" s="787"/>
      <c r="J72" s="787"/>
      <c r="K72" s="787"/>
      <c r="L72" s="787"/>
      <c r="M72" s="861"/>
      <c r="N72" s="787"/>
      <c r="O72" s="787"/>
      <c r="P72" s="787"/>
      <c r="Q72" s="787"/>
      <c r="R72" s="787"/>
      <c r="S72" s="787"/>
    </row>
    <row r="73" ht="15" hidden="1" spans="3:19">
      <c r="C73" s="296"/>
      <c r="D73" s="296"/>
      <c r="E73" s="787"/>
      <c r="F73" s="787"/>
      <c r="G73" s="787"/>
      <c r="H73" s="787"/>
      <c r="I73" s="787"/>
      <c r="J73" s="787"/>
      <c r="K73" s="787"/>
      <c r="L73" s="787"/>
      <c r="M73" s="861"/>
      <c r="N73" s="787"/>
      <c r="O73" s="787"/>
      <c r="P73" s="787"/>
      <c r="Q73" s="787"/>
      <c r="R73" s="787"/>
      <c r="S73" s="787"/>
    </row>
    <row r="74" ht="15" hidden="1" spans="3:19">
      <c r="C74" s="296"/>
      <c r="D74" s="296"/>
      <c r="E74" s="787"/>
      <c r="F74" s="787"/>
      <c r="G74" s="787"/>
      <c r="H74" s="787"/>
      <c r="I74" s="787"/>
      <c r="J74" s="787"/>
      <c r="K74" s="787"/>
      <c r="L74" s="787"/>
      <c r="M74" s="861"/>
      <c r="N74" s="787"/>
      <c r="O74" s="787"/>
      <c r="P74" s="787"/>
      <c r="Q74" s="787"/>
      <c r="R74" s="787"/>
      <c r="S74" s="787"/>
    </row>
    <row r="75" ht="15" hidden="1" spans="3:19">
      <c r="C75" s="285" t="s">
        <v>211</v>
      </c>
      <c r="D75" s="286"/>
      <c r="E75" s="861">
        <f t="shared" ref="E75:E77" si="60">Q151</f>
        <v>5232.49135601</v>
      </c>
      <c r="F75" s="861">
        <f t="shared" ref="F75:F77" si="61">Q224</f>
        <v>4437.79787054</v>
      </c>
      <c r="G75" s="861">
        <f t="shared" ref="G75:G77" si="62">Q298</f>
        <v>5940.81574433</v>
      </c>
      <c r="H75" s="861">
        <f>SUM(H58:H74)</f>
        <v>8426.99</v>
      </c>
      <c r="I75" s="861">
        <f t="shared" ref="I75:I77" si="63">Q372</f>
        <v>7005.31543587</v>
      </c>
      <c r="J75" s="861">
        <f t="shared" ref="J75:J77" si="64">I75-H75</f>
        <v>-1421.67456413</v>
      </c>
      <c r="K75" s="861">
        <f>SUM(K58:K74)</f>
        <v>10270.46</v>
      </c>
      <c r="L75" s="861">
        <f t="shared" ref="L75:L77" si="65">SUM(E447:J447)</f>
        <v>3323.58128776</v>
      </c>
      <c r="M75" s="861">
        <f t="shared" ref="M75:M77" si="66">SUM(K447:P447)</f>
        <v>3544.46845171</v>
      </c>
      <c r="N75" s="861">
        <f t="shared" ref="N75:N77" si="67">L75+M75</f>
        <v>6868.04973947</v>
      </c>
      <c r="O75" s="861">
        <f t="shared" ref="O75:O77" si="68">Q522</f>
        <v>8103.71796230871</v>
      </c>
      <c r="P75" s="861">
        <f t="shared" ref="P75:P77" si="69">Q596</f>
        <v>9305.0363151543</v>
      </c>
      <c r="Q75" s="861">
        <f t="shared" ref="Q75:Q77" si="70">Q670</f>
        <v>12032.6827561283</v>
      </c>
      <c r="R75" s="861">
        <f t="shared" ref="R75:R77" si="71">Q744</f>
        <v>14220.3121532955</v>
      </c>
      <c r="S75" s="861">
        <f t="shared" ref="S75:S77" si="72">Q818</f>
        <v>16898.393426121</v>
      </c>
    </row>
    <row r="76" ht="15" hidden="1" spans="3:19">
      <c r="C76" s="285" t="s">
        <v>223</v>
      </c>
      <c r="D76" s="286"/>
      <c r="E76" s="861">
        <f t="shared" si="60"/>
        <v>16340.1659668674</v>
      </c>
      <c r="F76" s="861">
        <f t="shared" si="61"/>
        <v>13988.45317419</v>
      </c>
      <c r="G76" s="861">
        <f t="shared" si="62"/>
        <v>17477.12021174</v>
      </c>
      <c r="H76" s="861">
        <f>SUM(H38,H56,H75)</f>
        <v>22752.26</v>
      </c>
      <c r="I76" s="861">
        <f t="shared" si="63"/>
        <v>20800.19306281</v>
      </c>
      <c r="J76" s="861">
        <f t="shared" si="64"/>
        <v>-1952.06693719</v>
      </c>
      <c r="K76" s="861">
        <f>SUM(K38,K56,K75)</f>
        <v>25689.85</v>
      </c>
      <c r="L76" s="861">
        <f t="shared" si="65"/>
        <v>10696.9646664993</v>
      </c>
      <c r="M76" s="861">
        <f t="shared" si="66"/>
        <v>10915.661904755</v>
      </c>
      <c r="N76" s="861">
        <f t="shared" si="67"/>
        <v>21612.6265712543</v>
      </c>
      <c r="O76" s="861">
        <f t="shared" si="68"/>
        <v>24501.8738518558</v>
      </c>
      <c r="P76" s="861">
        <f t="shared" si="69"/>
        <v>27400.2157591539</v>
      </c>
      <c r="Q76" s="861">
        <f t="shared" si="70"/>
        <v>33725.0585063021</v>
      </c>
      <c r="R76" s="861">
        <f t="shared" si="71"/>
        <v>39096.0419063332</v>
      </c>
      <c r="S76" s="861">
        <f t="shared" si="72"/>
        <v>45121.2708904798</v>
      </c>
    </row>
    <row r="77" ht="15" hidden="1" spans="3:19">
      <c r="C77" s="285" t="s">
        <v>224</v>
      </c>
      <c r="D77" s="286"/>
      <c r="E77" s="861">
        <f t="shared" si="60"/>
        <v>29091.2241890074</v>
      </c>
      <c r="F77" s="861">
        <f t="shared" si="61"/>
        <v>26529.83191757</v>
      </c>
      <c r="G77" s="861">
        <f t="shared" si="62"/>
        <v>30787.75225415</v>
      </c>
      <c r="H77" s="861">
        <f>SUM(H21,H76)</f>
        <v>38150.28</v>
      </c>
      <c r="I77" s="852">
        <f t="shared" si="63"/>
        <v>35423.47632891</v>
      </c>
      <c r="J77" s="861">
        <f t="shared" si="64"/>
        <v>-2726.80367108999</v>
      </c>
      <c r="K77" s="861">
        <f>SUM(K21,K76)</f>
        <v>41527.59</v>
      </c>
      <c r="L77" s="861">
        <f t="shared" si="65"/>
        <v>19198.8179350693</v>
      </c>
      <c r="M77" s="861">
        <f t="shared" si="66"/>
        <v>18473.030845455</v>
      </c>
      <c r="N77" s="861">
        <f t="shared" si="67"/>
        <v>37671.8487805243</v>
      </c>
      <c r="O77" s="861">
        <f t="shared" si="68"/>
        <v>41919.3879473989</v>
      </c>
      <c r="P77" s="861">
        <f t="shared" si="69"/>
        <v>46308.1696172271</v>
      </c>
      <c r="Q77" s="861">
        <f t="shared" si="70"/>
        <v>53965.4477126646</v>
      </c>
      <c r="R77" s="861">
        <f t="shared" si="71"/>
        <v>61228.4501548341</v>
      </c>
      <c r="S77" s="861">
        <f t="shared" si="72"/>
        <v>69280.2330980932</v>
      </c>
    </row>
    <row r="78" hidden="1" spans="5:19">
      <c r="E78" s="863"/>
      <c r="F78" s="863"/>
      <c r="G78" s="863"/>
      <c r="H78" s="863"/>
      <c r="I78" s="863"/>
      <c r="J78" s="863"/>
      <c r="K78" s="863"/>
      <c r="L78" s="863"/>
      <c r="M78" s="863"/>
      <c r="N78" s="863"/>
      <c r="O78" s="863"/>
      <c r="P78" s="863"/>
      <c r="Q78" s="863"/>
      <c r="R78" s="863"/>
      <c r="S78" s="863"/>
    </row>
    <row r="79" hidden="1" spans="5:19">
      <c r="E79" s="863"/>
      <c r="F79" s="863"/>
      <c r="G79" s="863"/>
      <c r="H79" s="863"/>
      <c r="I79" s="863">
        <f>I77-G77</f>
        <v>4635.72407476001</v>
      </c>
      <c r="J79" s="863"/>
      <c r="K79" s="863"/>
      <c r="L79" s="863"/>
      <c r="M79" s="863"/>
      <c r="N79" s="863"/>
      <c r="O79" s="863"/>
      <c r="P79" s="867"/>
      <c r="Q79" s="863"/>
      <c r="R79" s="863"/>
      <c r="S79" s="863"/>
    </row>
    <row r="80" ht="15" hidden="1" spans="3:19">
      <c r="C80" s="369" t="s">
        <v>244</v>
      </c>
      <c r="E80" s="863"/>
      <c r="F80" s="863"/>
      <c r="G80" s="863"/>
      <c r="H80" s="863"/>
      <c r="I80" s="863"/>
      <c r="J80" s="863"/>
      <c r="K80" s="863"/>
      <c r="L80" s="868"/>
      <c r="M80" s="863"/>
      <c r="N80" s="869">
        <f>N77-I77</f>
        <v>2248.3724516143</v>
      </c>
      <c r="O80" s="727"/>
      <c r="P80" s="863"/>
      <c r="Q80" s="863"/>
      <c r="R80" s="863"/>
      <c r="S80" s="863"/>
    </row>
    <row r="81" ht="15" hidden="1" spans="3:19">
      <c r="C81" s="369"/>
      <c r="E81" s="863"/>
      <c r="F81" s="863"/>
      <c r="G81" s="863"/>
      <c r="H81" s="863"/>
      <c r="I81" s="863"/>
      <c r="J81" s="863"/>
      <c r="K81" s="863"/>
      <c r="L81" s="863"/>
      <c r="M81" s="863"/>
      <c r="N81" s="863"/>
      <c r="O81" s="863"/>
      <c r="P81" s="863"/>
      <c r="Q81" s="870" t="s">
        <v>236</v>
      </c>
      <c r="R81" s="863"/>
      <c r="S81" s="863"/>
    </row>
    <row r="82" ht="15" hidden="1" spans="3:19">
      <c r="C82" s="401" t="s">
        <v>159</v>
      </c>
      <c r="D82" s="401"/>
      <c r="E82" s="864" t="s">
        <v>245</v>
      </c>
      <c r="F82" s="864"/>
      <c r="G82" s="864"/>
      <c r="H82" s="864"/>
      <c r="I82" s="864"/>
      <c r="J82" s="864"/>
      <c r="K82" s="864"/>
      <c r="L82" s="864"/>
      <c r="M82" s="864"/>
      <c r="N82" s="864"/>
      <c r="O82" s="864"/>
      <c r="P82" s="864"/>
      <c r="Q82" s="864"/>
      <c r="R82" s="863"/>
      <c r="S82" s="863"/>
    </row>
    <row r="83" ht="15" hidden="1" spans="3:19">
      <c r="C83" s="401"/>
      <c r="D83" s="401"/>
      <c r="E83" s="864" t="s">
        <v>246</v>
      </c>
      <c r="F83" s="864" t="s">
        <v>247</v>
      </c>
      <c r="G83" s="864" t="s">
        <v>248</v>
      </c>
      <c r="H83" s="864" t="s">
        <v>249</v>
      </c>
      <c r="I83" s="864" t="s">
        <v>250</v>
      </c>
      <c r="J83" s="864" t="s">
        <v>251</v>
      </c>
      <c r="K83" s="864" t="s">
        <v>252</v>
      </c>
      <c r="L83" s="864" t="s">
        <v>253</v>
      </c>
      <c r="M83" s="864" t="s">
        <v>254</v>
      </c>
      <c r="N83" s="864" t="s">
        <v>255</v>
      </c>
      <c r="O83" s="864" t="s">
        <v>256</v>
      </c>
      <c r="P83" s="864" t="s">
        <v>257</v>
      </c>
      <c r="Q83" s="864" t="s">
        <v>97</v>
      </c>
      <c r="R83" s="863"/>
      <c r="S83" s="863"/>
    </row>
    <row r="84" ht="15" hidden="1" spans="3:19">
      <c r="C84" s="285" t="s">
        <v>170</v>
      </c>
      <c r="D84" s="286"/>
      <c r="E84" s="787"/>
      <c r="F84" s="787"/>
      <c r="G84" s="787"/>
      <c r="H84" s="787"/>
      <c r="I84" s="787"/>
      <c r="J84" s="787"/>
      <c r="K84" s="787"/>
      <c r="L84" s="787"/>
      <c r="M84" s="787"/>
      <c r="N84" s="787"/>
      <c r="O84" s="787"/>
      <c r="P84" s="787"/>
      <c r="Q84" s="866"/>
      <c r="R84" s="863"/>
      <c r="S84" s="863"/>
    </row>
    <row r="85" ht="15" hidden="1" spans="3:19">
      <c r="C85" s="296" t="s">
        <v>171</v>
      </c>
      <c r="D85" s="296" t="s">
        <v>172</v>
      </c>
      <c r="E85" s="787">
        <f>[17]Sales_SP!CG10</f>
        <v>884.884793</v>
      </c>
      <c r="F85" s="787">
        <f>[17]Sales_SP!CH10</f>
        <v>1043.906337</v>
      </c>
      <c r="G85" s="787">
        <f>[17]Sales_SP!CI10</f>
        <v>792.471829</v>
      </c>
      <c r="H85" s="787">
        <f>[17]Sales_SP!CJ10</f>
        <v>709.51629</v>
      </c>
      <c r="I85" s="787">
        <f>[17]Sales_SP!CK10</f>
        <v>712.021638</v>
      </c>
      <c r="J85" s="787">
        <f>[17]Sales_SP!CL10</f>
        <v>683.041211</v>
      </c>
      <c r="K85" s="787">
        <f>[17]Sales_SP!CM10</f>
        <v>670.673864</v>
      </c>
      <c r="L85" s="787">
        <f>[17]Sales_SP!CN10</f>
        <v>623.023792</v>
      </c>
      <c r="M85" s="787">
        <f>[17]Sales_SP!CO10</f>
        <v>587.786236</v>
      </c>
      <c r="N85" s="787">
        <f>[17]Sales_SP!CP10</f>
        <v>604.0984</v>
      </c>
      <c r="O85" s="787">
        <f>[17]Sales_SP!CQ10</f>
        <v>620.276841</v>
      </c>
      <c r="P85" s="787">
        <f>[17]Sales_SP!CR10</f>
        <v>777.946403</v>
      </c>
      <c r="Q85" s="866">
        <f t="shared" ref="Q85:Q98" si="73">SUM(E85:P85)</f>
        <v>8709.647634</v>
      </c>
      <c r="R85" s="863"/>
      <c r="S85" s="863"/>
    </row>
    <row r="86" ht="15" hidden="1" spans="3:19">
      <c r="C86" s="296" t="s">
        <v>173</v>
      </c>
      <c r="D86" s="296" t="s">
        <v>174</v>
      </c>
      <c r="E86" s="787">
        <f>[17]Sales_SP!CG23</f>
        <v>256.562792</v>
      </c>
      <c r="F86" s="787">
        <f>[17]Sales_SP!CH23</f>
        <v>285.334947</v>
      </c>
      <c r="G86" s="787">
        <f>[17]Sales_SP!CI23</f>
        <v>241.302582</v>
      </c>
      <c r="H86" s="787">
        <f>[17]Sales_SP!CJ23</f>
        <v>229.495392</v>
      </c>
      <c r="I86" s="787">
        <f>[17]Sales_SP!CK23</f>
        <v>218.639599</v>
      </c>
      <c r="J86" s="787">
        <f>[17]Sales_SP!CL23</f>
        <v>213.824873</v>
      </c>
      <c r="K86" s="787">
        <f>[17]Sales_SP!CM23</f>
        <v>209.363924</v>
      </c>
      <c r="L86" s="787">
        <f>[17]Sales_SP!CN23</f>
        <v>206.508438</v>
      </c>
      <c r="M86" s="787">
        <f>[17]Sales_SP!CO23</f>
        <v>194.340244</v>
      </c>
      <c r="N86" s="787">
        <f>[17]Sales_SP!CP23</f>
        <v>196.372163</v>
      </c>
      <c r="O86" s="787">
        <f>[17]Sales_SP!CQ23</f>
        <v>205.114459</v>
      </c>
      <c r="P86" s="787">
        <f>[17]Sales_SP!CR23</f>
        <v>125.227008</v>
      </c>
      <c r="Q86" s="866">
        <f t="shared" si="73"/>
        <v>2582.086421</v>
      </c>
      <c r="R86" s="863"/>
      <c r="S86" s="863"/>
    </row>
    <row r="87" ht="15" hidden="1" spans="3:19">
      <c r="C87" s="296" t="s">
        <v>175</v>
      </c>
      <c r="D87" s="296" t="s">
        <v>176</v>
      </c>
      <c r="E87" s="787">
        <f>[17]Sales_SP!CG36</f>
        <v>76.251569</v>
      </c>
      <c r="F87" s="787">
        <f>[17]Sales_SP!CH36</f>
        <v>79.648053</v>
      </c>
      <c r="G87" s="787">
        <f>[17]Sales_SP!CI36</f>
        <v>71.291729</v>
      </c>
      <c r="H87" s="787">
        <f>[17]Sales_SP!CJ36</f>
        <v>75.360349</v>
      </c>
      <c r="I87" s="787">
        <f>[17]Sales_SP!CK36</f>
        <v>68.289691</v>
      </c>
      <c r="J87" s="787">
        <f>[17]Sales_SP!CL36</f>
        <v>65.419105</v>
      </c>
      <c r="K87" s="787">
        <f>[17]Sales_SP!CM36</f>
        <v>63.78829</v>
      </c>
      <c r="L87" s="787">
        <f>[17]Sales_SP!CN36</f>
        <v>74.435213</v>
      </c>
      <c r="M87" s="787">
        <f>[17]Sales_SP!CO36</f>
        <v>81.513021</v>
      </c>
      <c r="N87" s="787">
        <f>[17]Sales_SP!CP36</f>
        <v>76.33141</v>
      </c>
      <c r="O87" s="787">
        <f>[17]Sales_SP!CQ36</f>
        <v>74.669941</v>
      </c>
      <c r="P87" s="787">
        <f>[17]Sales_SP!CR36</f>
        <v>39.821633</v>
      </c>
      <c r="Q87" s="866">
        <f t="shared" si="73"/>
        <v>846.820004</v>
      </c>
      <c r="R87" s="863"/>
      <c r="S87" s="863"/>
    </row>
    <row r="88" ht="15" hidden="1" spans="3:19">
      <c r="C88" s="296" t="s">
        <v>177</v>
      </c>
      <c r="D88" s="296" t="s">
        <v>178</v>
      </c>
      <c r="E88" s="787">
        <f>[17]Sales_SP!CG43</f>
        <v>0.850626</v>
      </c>
      <c r="F88" s="787">
        <f>[17]Sales_SP!CH43</f>
        <v>0.84115</v>
      </c>
      <c r="G88" s="787">
        <f>[17]Sales_SP!CI43</f>
        <v>0.808885</v>
      </c>
      <c r="H88" s="787">
        <f>[17]Sales_SP!CJ43</f>
        <v>0.811432</v>
      </c>
      <c r="I88" s="787">
        <f>[17]Sales_SP!CK43</f>
        <v>0.772806</v>
      </c>
      <c r="J88" s="787">
        <f>[17]Sales_SP!CL43</f>
        <v>0.781606</v>
      </c>
      <c r="K88" s="787">
        <f>[17]Sales_SP!CM43</f>
        <v>0.766743</v>
      </c>
      <c r="L88" s="787">
        <f>[17]Sales_SP!CN43</f>
        <v>0.78723</v>
      </c>
      <c r="M88" s="787">
        <f>[17]Sales_SP!CO43</f>
        <v>0.822177</v>
      </c>
      <c r="N88" s="787">
        <f>[17]Sales_SP!CP43</f>
        <v>0.653015</v>
      </c>
      <c r="O88" s="787">
        <f>[17]Sales_SP!CQ43</f>
        <v>0.764459</v>
      </c>
      <c r="P88" s="787">
        <f>[17]Sales_SP!CR43</f>
        <v>0.417</v>
      </c>
      <c r="Q88" s="866">
        <f t="shared" si="73"/>
        <v>9.077129</v>
      </c>
      <c r="R88" s="863"/>
      <c r="S88" s="863"/>
    </row>
    <row r="89" ht="15" hidden="1" spans="3:19">
      <c r="C89" s="296" t="s">
        <v>179</v>
      </c>
      <c r="D89" s="296" t="s">
        <v>180</v>
      </c>
      <c r="E89" s="865">
        <v>0</v>
      </c>
      <c r="F89" s="865">
        <v>0</v>
      </c>
      <c r="G89" s="865">
        <v>0</v>
      </c>
      <c r="H89" s="865">
        <v>0</v>
      </c>
      <c r="I89" s="865">
        <v>0</v>
      </c>
      <c r="J89" s="865">
        <v>0</v>
      </c>
      <c r="K89" s="865">
        <v>0</v>
      </c>
      <c r="L89" s="865">
        <v>0</v>
      </c>
      <c r="M89" s="865">
        <v>0</v>
      </c>
      <c r="N89" s="865">
        <v>0</v>
      </c>
      <c r="O89" s="865">
        <v>0</v>
      </c>
      <c r="P89" s="865">
        <v>0</v>
      </c>
      <c r="Q89" s="866">
        <f t="shared" si="73"/>
        <v>0</v>
      </c>
      <c r="R89" s="863"/>
      <c r="S89" s="863"/>
    </row>
    <row r="90" ht="15" hidden="1" spans="3:19">
      <c r="C90" s="296" t="s">
        <v>181</v>
      </c>
      <c r="D90" s="296" t="s">
        <v>182</v>
      </c>
      <c r="E90" s="787">
        <f>[17]Sales_SP!CG54</f>
        <v>39.596774</v>
      </c>
      <c r="F90" s="787">
        <f>[17]Sales_SP!CH54</f>
        <v>40.309135</v>
      </c>
      <c r="G90" s="787">
        <f>[17]Sales_SP!CI54</f>
        <v>38.952576</v>
      </c>
      <c r="H90" s="787">
        <f>[17]Sales_SP!CJ54</f>
        <v>39.0937444</v>
      </c>
      <c r="I90" s="787">
        <f>[17]Sales_SP!CK54</f>
        <v>40.184036</v>
      </c>
      <c r="J90" s="787">
        <f>[17]Sales_SP!CL54</f>
        <v>39.51</v>
      </c>
      <c r="K90" s="787">
        <f>[17]Sales_SP!CM54</f>
        <v>42.541449</v>
      </c>
      <c r="L90" s="787">
        <f>[17]Sales_SP!CN54</f>
        <v>41.050427</v>
      </c>
      <c r="M90" s="787">
        <f>[17]Sales_SP!CO54</f>
        <v>41.551359</v>
      </c>
      <c r="N90" s="787">
        <f>[17]Sales_SP!CP54</f>
        <v>43.003093</v>
      </c>
      <c r="O90" s="787">
        <f>[17]Sales_SP!CQ54</f>
        <v>41.037552</v>
      </c>
      <c r="P90" s="787">
        <f>[17]Sales_SP!CR54</f>
        <v>37.20007</v>
      </c>
      <c r="Q90" s="866">
        <f t="shared" si="73"/>
        <v>484.0302154</v>
      </c>
      <c r="R90" s="863"/>
      <c r="S90" s="863"/>
    </row>
    <row r="91" ht="15" hidden="1" spans="3:19">
      <c r="C91" s="296" t="s">
        <v>183</v>
      </c>
      <c r="D91" s="296" t="s">
        <v>184</v>
      </c>
      <c r="E91" s="787">
        <f>[17]Sales_SP!CG64</f>
        <v>6.699668</v>
      </c>
      <c r="F91" s="787">
        <f>[17]Sales_SP!CH64</f>
        <v>7.455792</v>
      </c>
      <c r="G91" s="787">
        <f>[17]Sales_SP!CI64</f>
        <v>6.460264</v>
      </c>
      <c r="H91" s="787">
        <f>[17]Sales_SP!CJ64</f>
        <v>7.08003</v>
      </c>
      <c r="I91" s="787">
        <f>[17]Sales_SP!CK64</f>
        <v>6.986888</v>
      </c>
      <c r="J91" s="787">
        <f>[17]Sales_SP!CL64</f>
        <v>6.41</v>
      </c>
      <c r="K91" s="787">
        <f>[17]Sales_SP!CM64</f>
        <v>5.88161</v>
      </c>
      <c r="L91" s="787">
        <f>[17]Sales_SP!CN64</f>
        <v>6.689935</v>
      </c>
      <c r="M91" s="787">
        <f>[17]Sales_SP!CO64</f>
        <v>6.17857472</v>
      </c>
      <c r="N91" s="787">
        <f>[17]Sales_SP!CP64</f>
        <v>5.9845786</v>
      </c>
      <c r="O91" s="787">
        <f>[17]Sales_SP!CQ64</f>
        <v>6.680032</v>
      </c>
      <c r="P91" s="787">
        <f>[17]Sales_SP!CR64</f>
        <v>4.02</v>
      </c>
      <c r="Q91" s="866">
        <f t="shared" si="73"/>
        <v>76.52737232</v>
      </c>
      <c r="R91" s="863"/>
      <c r="S91" s="863"/>
    </row>
    <row r="92" ht="15" hidden="1" spans="3:19">
      <c r="C92" s="296" t="s">
        <v>185</v>
      </c>
      <c r="D92" s="296" t="s">
        <v>186</v>
      </c>
      <c r="E92" s="787">
        <f>[17]Sales_SP!CG69</f>
        <v>3.306331</v>
      </c>
      <c r="F92" s="787">
        <f>[17]Sales_SP!CH69</f>
        <v>3.702237</v>
      </c>
      <c r="G92" s="787">
        <f>[17]Sales_SP!CI69</f>
        <v>3.389874</v>
      </c>
      <c r="H92" s="787">
        <f>[17]Sales_SP!CJ69</f>
        <v>3.622246</v>
      </c>
      <c r="I92" s="787">
        <f>[17]Sales_SP!CK69</f>
        <v>3.36</v>
      </c>
      <c r="J92" s="787">
        <f>[17]Sales_SP!CL69</f>
        <v>3.57</v>
      </c>
      <c r="K92" s="787">
        <f>[17]Sales_SP!CM69</f>
        <v>3.481424</v>
      </c>
      <c r="L92" s="787">
        <f>[17]Sales_SP!CN69</f>
        <v>3.64040799</v>
      </c>
      <c r="M92" s="787">
        <f>[17]Sales_SP!CO69</f>
        <v>3.87637443</v>
      </c>
      <c r="N92" s="787">
        <f>[17]Sales_SP!CP69</f>
        <v>4.161525</v>
      </c>
      <c r="O92" s="787">
        <f>[17]Sales_SP!CQ69</f>
        <v>4.474799</v>
      </c>
      <c r="P92" s="787">
        <f>[17]Sales_SP!CR69</f>
        <v>2.28412</v>
      </c>
      <c r="Q92" s="866">
        <f t="shared" si="73"/>
        <v>42.86933842</v>
      </c>
      <c r="R92" s="863"/>
      <c r="S92" s="863"/>
    </row>
    <row r="93" ht="15" hidden="1" spans="3:19">
      <c r="C93" s="296" t="s">
        <v>187</v>
      </c>
      <c r="D93" s="296" t="s">
        <v>188</v>
      </c>
      <c r="E93" s="787">
        <f>[17]Sales_SP!CG70</f>
        <v>0</v>
      </c>
      <c r="F93" s="787">
        <f>[17]Sales_SP!CH70</f>
        <v>0</v>
      </c>
      <c r="G93" s="787">
        <f>[17]Sales_SP!CI70</f>
        <v>0</v>
      </c>
      <c r="H93" s="787">
        <f>[17]Sales_SP!CJ70</f>
        <v>0</v>
      </c>
      <c r="I93" s="787">
        <f>[17]Sales_SP!CK70</f>
        <v>0</v>
      </c>
      <c r="J93" s="787">
        <f>[17]Sales_SP!CL70</f>
        <v>0</v>
      </c>
      <c r="K93" s="787">
        <f>[17]Sales_SP!CM70</f>
        <v>0</v>
      </c>
      <c r="L93" s="787">
        <f>[17]Sales_SP!CN70</f>
        <v>0</v>
      </c>
      <c r="M93" s="787">
        <f>[17]Sales_SP!CO70</f>
        <v>2.5e-5</v>
      </c>
      <c r="N93" s="787">
        <f>[17]Sales_SP!CP70</f>
        <v>8.3e-5</v>
      </c>
      <c r="O93" s="787">
        <f>[17]Sales_SP!CQ70</f>
        <v>0</v>
      </c>
      <c r="P93" s="787">
        <f>[17]Sales_SP!CR70</f>
        <v>0</v>
      </c>
      <c r="Q93" s="866">
        <f t="shared" si="73"/>
        <v>0.000108</v>
      </c>
      <c r="R93" s="863"/>
      <c r="S93" s="863"/>
    </row>
    <row r="94" ht="15" hidden="1" spans="3:19">
      <c r="C94" s="296"/>
      <c r="D94" s="296"/>
      <c r="E94" s="787"/>
      <c r="F94" s="787"/>
      <c r="G94" s="787"/>
      <c r="H94" s="787"/>
      <c r="I94" s="787"/>
      <c r="J94" s="787"/>
      <c r="K94" s="787"/>
      <c r="L94" s="787"/>
      <c r="M94" s="787"/>
      <c r="N94" s="787"/>
      <c r="O94" s="787"/>
      <c r="P94" s="787"/>
      <c r="Q94" s="866">
        <f t="shared" si="73"/>
        <v>0</v>
      </c>
      <c r="R94" s="863"/>
      <c r="S94" s="863"/>
    </row>
    <row r="95" ht="15" hidden="1" spans="3:19">
      <c r="C95" s="296"/>
      <c r="D95" s="296"/>
      <c r="E95" s="787"/>
      <c r="F95" s="787"/>
      <c r="G95" s="787"/>
      <c r="H95" s="787"/>
      <c r="I95" s="787"/>
      <c r="J95" s="787"/>
      <c r="K95" s="787"/>
      <c r="L95" s="787"/>
      <c r="M95" s="787"/>
      <c r="N95" s="787"/>
      <c r="O95" s="787"/>
      <c r="P95" s="787"/>
      <c r="Q95" s="866">
        <f t="shared" si="73"/>
        <v>0</v>
      </c>
      <c r="R95" s="863"/>
      <c r="S95" s="863"/>
    </row>
    <row r="96" ht="15" hidden="1" spans="3:19">
      <c r="C96" s="296"/>
      <c r="D96" s="296"/>
      <c r="E96" s="787"/>
      <c r="F96" s="787"/>
      <c r="G96" s="787"/>
      <c r="H96" s="787"/>
      <c r="I96" s="787"/>
      <c r="J96" s="787"/>
      <c r="K96" s="787"/>
      <c r="L96" s="787"/>
      <c r="M96" s="787"/>
      <c r="N96" s="787"/>
      <c r="O96" s="787"/>
      <c r="P96" s="787"/>
      <c r="Q96" s="866">
        <f t="shared" si="73"/>
        <v>0</v>
      </c>
      <c r="R96" s="863"/>
      <c r="S96" s="863"/>
    </row>
    <row r="97" ht="15" hidden="1" spans="3:19">
      <c r="C97" s="296" t="s">
        <v>258</v>
      </c>
      <c r="D97" s="296" t="s">
        <v>258</v>
      </c>
      <c r="E97" s="787"/>
      <c r="F97" s="787"/>
      <c r="G97" s="787"/>
      <c r="H97" s="787"/>
      <c r="I97" s="787"/>
      <c r="J97" s="787"/>
      <c r="K97" s="787"/>
      <c r="L97" s="787"/>
      <c r="M97" s="787"/>
      <c r="N97" s="787"/>
      <c r="O97" s="787"/>
      <c r="P97" s="787"/>
      <c r="Q97" s="866">
        <f t="shared" si="73"/>
        <v>0</v>
      </c>
      <c r="R97" s="863"/>
      <c r="S97" s="863"/>
    </row>
    <row r="98" ht="15" hidden="1" spans="3:19">
      <c r="C98" s="285" t="s">
        <v>189</v>
      </c>
      <c r="D98" s="286"/>
      <c r="E98" s="866">
        <f>SUM(E85:E97)</f>
        <v>1268.152553</v>
      </c>
      <c r="F98" s="866">
        <f t="shared" ref="F98:P98" si="74">SUM(F85:F97)</f>
        <v>1461.197651</v>
      </c>
      <c r="G98" s="866">
        <f t="shared" si="74"/>
        <v>1154.677739</v>
      </c>
      <c r="H98" s="866">
        <f t="shared" si="74"/>
        <v>1064.9794834</v>
      </c>
      <c r="I98" s="866">
        <f t="shared" si="74"/>
        <v>1050.254658</v>
      </c>
      <c r="J98" s="866">
        <f t="shared" si="74"/>
        <v>1012.556795</v>
      </c>
      <c r="K98" s="866">
        <f t="shared" si="74"/>
        <v>996.497304</v>
      </c>
      <c r="L98" s="866">
        <f t="shared" si="74"/>
        <v>956.13544299</v>
      </c>
      <c r="M98" s="866">
        <f t="shared" si="74"/>
        <v>916.06801115</v>
      </c>
      <c r="N98" s="866">
        <f t="shared" si="74"/>
        <v>930.6042676</v>
      </c>
      <c r="O98" s="866">
        <f t="shared" si="74"/>
        <v>953.018083</v>
      </c>
      <c r="P98" s="866">
        <f t="shared" si="74"/>
        <v>986.916234</v>
      </c>
      <c r="Q98" s="866">
        <f t="shared" si="73"/>
        <v>12751.05822214</v>
      </c>
      <c r="R98" s="863"/>
      <c r="S98" s="863"/>
    </row>
    <row r="99" ht="15" hidden="1" spans="3:19">
      <c r="C99" s="285" t="s">
        <v>190</v>
      </c>
      <c r="D99" s="286"/>
      <c r="E99" s="787"/>
      <c r="F99" s="787"/>
      <c r="G99" s="787"/>
      <c r="H99" s="787"/>
      <c r="I99" s="787"/>
      <c r="J99" s="787"/>
      <c r="K99" s="787"/>
      <c r="L99" s="787"/>
      <c r="M99" s="787"/>
      <c r="N99" s="787"/>
      <c r="O99" s="787"/>
      <c r="P99" s="787"/>
      <c r="Q99" s="866"/>
      <c r="R99" s="863"/>
      <c r="S99" s="863"/>
    </row>
    <row r="100" ht="15" hidden="1" spans="3:19">
      <c r="C100" s="296" t="s">
        <v>191</v>
      </c>
      <c r="D100" s="296" t="s">
        <v>192</v>
      </c>
      <c r="E100" s="787">
        <f>[17]Sales_SP!CG89</f>
        <v>306.4062041324</v>
      </c>
      <c r="F100" s="787">
        <f>[17]Sales_SP!CH89</f>
        <v>303.426912033253</v>
      </c>
      <c r="G100" s="787">
        <f>[17]Sales_SP!CI89</f>
        <v>313.617830779067</v>
      </c>
      <c r="H100" s="787">
        <f>[17]Sales_SP!CJ89</f>
        <v>302.286195540025</v>
      </c>
      <c r="I100" s="787">
        <f>[17]Sales_SP!CK89</f>
        <v>300.537060824971</v>
      </c>
      <c r="J100" s="787">
        <f>[17]Sales_SP!CL89</f>
        <v>298.376113303519</v>
      </c>
      <c r="K100" s="787">
        <f>[17]Sales_SP!CM89</f>
        <v>270.034982081941</v>
      </c>
      <c r="L100" s="787">
        <f>[17]Sales_SP!CN89</f>
        <v>302.381370717692</v>
      </c>
      <c r="M100" s="787">
        <f>[17]Sales_SP!CO89</f>
        <v>311.846913116749</v>
      </c>
      <c r="N100" s="787">
        <f>[17]Sales_SP!CP89</f>
        <v>316.216871389554</v>
      </c>
      <c r="O100" s="787">
        <f>[17]Sales_SP!CQ89</f>
        <v>328.230280838616</v>
      </c>
      <c r="P100" s="787">
        <f>[17]Sales_SP!CR89</f>
        <v>307.763601589577</v>
      </c>
      <c r="Q100" s="866">
        <f t="shared" ref="Q100:Q115" si="75">SUM(E100:P100)</f>
        <v>3661.12433634736</v>
      </c>
      <c r="R100" s="863"/>
      <c r="S100" s="863"/>
    </row>
    <row r="101" ht="15" hidden="1" spans="3:19">
      <c r="C101" s="296" t="s">
        <v>193</v>
      </c>
      <c r="D101" s="296" t="s">
        <v>194</v>
      </c>
      <c r="E101" s="787">
        <f>[17]Sales_SP!CG104</f>
        <v>0</v>
      </c>
      <c r="F101" s="787">
        <f>[17]Sales_SP!CH104</f>
        <v>0</v>
      </c>
      <c r="G101" s="787">
        <f>[17]Sales_SP!CI104</f>
        <v>0</v>
      </c>
      <c r="H101" s="787">
        <f>[17]Sales_SP!CJ104</f>
        <v>0</v>
      </c>
      <c r="I101" s="787">
        <f>[17]Sales_SP!CK104</f>
        <v>0</v>
      </c>
      <c r="J101" s="787">
        <f>[17]Sales_SP!CL104</f>
        <v>0</v>
      </c>
      <c r="K101" s="787">
        <f>[17]Sales_SP!CM104</f>
        <v>0</v>
      </c>
      <c r="L101" s="787">
        <f>[17]Sales_SP!CN104</f>
        <v>0</v>
      </c>
      <c r="M101" s="787">
        <f>[17]Sales_SP!CO104</f>
        <v>0</v>
      </c>
      <c r="N101" s="787">
        <f>[17]Sales_SP!CP104</f>
        <v>0</v>
      </c>
      <c r="O101" s="787">
        <f>[17]Sales_SP!CQ104</f>
        <v>0</v>
      </c>
      <c r="P101" s="787">
        <f>[17]Sales_SP!CR104</f>
        <v>0</v>
      </c>
      <c r="Q101" s="866">
        <f t="shared" si="75"/>
        <v>0</v>
      </c>
      <c r="R101" s="863"/>
      <c r="S101" s="863"/>
    </row>
    <row r="102" ht="15" hidden="1" spans="3:19">
      <c r="C102" s="296" t="s">
        <v>239</v>
      </c>
      <c r="D102" s="296" t="s">
        <v>196</v>
      </c>
      <c r="E102" s="787">
        <f>[17]Sales_SP!CG110</f>
        <v>153.17</v>
      </c>
      <c r="F102" s="787">
        <f>[17]Sales_SP!CH110</f>
        <v>160.67</v>
      </c>
      <c r="G102" s="787">
        <f>[17]Sales_SP!CI110</f>
        <v>171.93</v>
      </c>
      <c r="H102" s="787">
        <f>[17]Sales_SP!CJ110</f>
        <v>143.08</v>
      </c>
      <c r="I102" s="787">
        <f>[17]Sales_SP!CK110</f>
        <v>138.64</v>
      </c>
      <c r="J102" s="787">
        <f>[17]Sales_SP!CL110</f>
        <v>136.23</v>
      </c>
      <c r="K102" s="787">
        <f>[17]Sales_SP!CM110</f>
        <v>128.39563286</v>
      </c>
      <c r="L102" s="787">
        <f>[17]Sales_SP!CN110</f>
        <v>136.43721588</v>
      </c>
      <c r="M102" s="787">
        <f>[17]Sales_SP!CO110</f>
        <v>122.81</v>
      </c>
      <c r="N102" s="787">
        <f>[17]Sales_SP!CP110</f>
        <v>117.4</v>
      </c>
      <c r="O102" s="787">
        <f>[17]Sales_SP!CQ110</f>
        <v>128.05227648</v>
      </c>
      <c r="P102" s="787">
        <f>[17]Sales_SP!CR110</f>
        <v>127.30796073</v>
      </c>
      <c r="Q102" s="866">
        <f t="shared" si="75"/>
        <v>1664.12308595</v>
      </c>
      <c r="R102" s="863"/>
      <c r="S102" s="863"/>
    </row>
    <row r="103" ht="15" hidden="1" spans="3:19">
      <c r="C103" s="296" t="s">
        <v>197</v>
      </c>
      <c r="D103" s="296" t="s">
        <v>198</v>
      </c>
      <c r="E103" s="787">
        <f>[17]Sales_SP!CG115</f>
        <v>0</v>
      </c>
      <c r="F103" s="787">
        <f>[17]Sales_SP!CH115</f>
        <v>0</v>
      </c>
      <c r="G103" s="787">
        <f>[17]Sales_SP!CI115</f>
        <v>0</v>
      </c>
      <c r="H103" s="787">
        <f>[17]Sales_SP!CJ115</f>
        <v>0</v>
      </c>
      <c r="I103" s="787">
        <f>[17]Sales_SP!CK115</f>
        <v>0</v>
      </c>
      <c r="J103" s="787">
        <f>[17]Sales_SP!CL115</f>
        <v>0</v>
      </c>
      <c r="K103" s="787">
        <f>[17]Sales_SP!CM115</f>
        <v>0</v>
      </c>
      <c r="L103" s="787">
        <f>[17]Sales_SP!CN115</f>
        <v>0</v>
      </c>
      <c r="M103" s="787">
        <f>[17]Sales_SP!CO115</f>
        <v>0</v>
      </c>
      <c r="N103" s="787">
        <f>[17]Sales_SP!CP115</f>
        <v>0</v>
      </c>
      <c r="O103" s="787">
        <f>[17]Sales_SP!CQ115</f>
        <v>0</v>
      </c>
      <c r="P103" s="787">
        <f>[17]Sales_SP!CR115</f>
        <v>0</v>
      </c>
      <c r="Q103" s="866">
        <f t="shared" si="75"/>
        <v>0</v>
      </c>
      <c r="R103" s="863"/>
      <c r="S103" s="863"/>
    </row>
    <row r="104" ht="15" hidden="1" spans="3:19">
      <c r="C104" s="296" t="s">
        <v>199</v>
      </c>
      <c r="D104" s="296" t="s">
        <v>200</v>
      </c>
      <c r="E104" s="787">
        <f>[17]Sales_SP!CG120</f>
        <v>0.41</v>
      </c>
      <c r="F104" s="787">
        <f>[17]Sales_SP!CH120</f>
        <v>0.45</v>
      </c>
      <c r="G104" s="787">
        <f>[17]Sales_SP!CI120</f>
        <v>0.47</v>
      </c>
      <c r="H104" s="787">
        <f>[17]Sales_SP!CJ120</f>
        <v>0.39</v>
      </c>
      <c r="I104" s="787">
        <f>[17]Sales_SP!CK120</f>
        <v>0.36</v>
      </c>
      <c r="J104" s="787">
        <f>[17]Sales_SP!CL120</f>
        <v>0.36</v>
      </c>
      <c r="K104" s="787">
        <f>[17]Sales_SP!CM120</f>
        <v>0.332443</v>
      </c>
      <c r="L104" s="787">
        <f>[17]Sales_SP!CN120</f>
        <v>0.332566</v>
      </c>
      <c r="M104" s="787">
        <f>[17]Sales_SP!CO120</f>
        <v>0.302489</v>
      </c>
      <c r="N104" s="787">
        <f>[17]Sales_SP!CP120</f>
        <v>0.304442</v>
      </c>
      <c r="O104" s="787">
        <f>[17]Sales_SP!CQ120</f>
        <v>0.317742</v>
      </c>
      <c r="P104" s="787">
        <f>[17]Sales_SP!CR120</f>
        <v>0.305947</v>
      </c>
      <c r="Q104" s="866">
        <f t="shared" si="75"/>
        <v>4.335629</v>
      </c>
      <c r="R104" s="863"/>
      <c r="S104" s="863"/>
    </row>
    <row r="105" ht="15" hidden="1" spans="3:19">
      <c r="C105" s="296" t="s">
        <v>201</v>
      </c>
      <c r="D105" s="296" t="s">
        <v>202</v>
      </c>
      <c r="E105" s="787">
        <f>[17]Sales_SP!CG126</f>
        <v>3.71</v>
      </c>
      <c r="F105" s="787">
        <f>[17]Sales_SP!CH126</f>
        <v>0.84</v>
      </c>
      <c r="G105" s="787">
        <f>[17]Sales_SP!CI126</f>
        <v>0.76</v>
      </c>
      <c r="H105" s="787">
        <f>[17]Sales_SP!CJ126</f>
        <v>0.74</v>
      </c>
      <c r="I105" s="787">
        <f>[17]Sales_SP!CK126</f>
        <v>1.63</v>
      </c>
      <c r="J105" s="787">
        <f>[17]Sales_SP!CL126</f>
        <v>5.26</v>
      </c>
      <c r="K105" s="787">
        <f>[17]Sales_SP!CM126</f>
        <v>4.03</v>
      </c>
      <c r="L105" s="787">
        <f>[17]Sales_SP!CN126</f>
        <v>4.24</v>
      </c>
      <c r="M105" s="787">
        <f>[17]Sales_SP!CO126</f>
        <v>2.29</v>
      </c>
      <c r="N105" s="787">
        <f>[17]Sales_SP!CP126</f>
        <v>5.98</v>
      </c>
      <c r="O105" s="787">
        <f>[17]Sales_SP!CQ126</f>
        <v>5.99</v>
      </c>
      <c r="P105" s="787">
        <f>[17]Sales_SP!CR126</f>
        <v>6.42</v>
      </c>
      <c r="Q105" s="866">
        <f t="shared" si="75"/>
        <v>41.89</v>
      </c>
      <c r="R105" s="863"/>
      <c r="S105" s="863"/>
    </row>
    <row r="106" ht="15" hidden="1" spans="3:19">
      <c r="C106" s="296" t="s">
        <v>203</v>
      </c>
      <c r="D106" s="296" t="s">
        <v>204</v>
      </c>
      <c r="E106" s="787">
        <f>[17]Sales_SP!CG127</f>
        <v>8.63</v>
      </c>
      <c r="F106" s="787">
        <f>[17]Sales_SP!CH127</f>
        <v>7.57</v>
      </c>
      <c r="G106" s="787">
        <f>[17]Sales_SP!CI127</f>
        <v>7.77</v>
      </c>
      <c r="H106" s="787">
        <f>[17]Sales_SP!CJ127</f>
        <v>8.25</v>
      </c>
      <c r="I106" s="787">
        <f>[17]Sales_SP!CK127</f>
        <v>7.21</v>
      </c>
      <c r="J106" s="787">
        <f>[17]Sales_SP!CL127</f>
        <v>7.25</v>
      </c>
      <c r="K106" s="787">
        <f>[17]Sales_SP!CM127</f>
        <v>7.04</v>
      </c>
      <c r="L106" s="787">
        <f>[17]Sales_SP!CN127</f>
        <v>8.16</v>
      </c>
      <c r="M106" s="787">
        <f>[17]Sales_SP!CO127</f>
        <v>8.35</v>
      </c>
      <c r="N106" s="787">
        <f>[17]Sales_SP!CP127</f>
        <v>8.5</v>
      </c>
      <c r="O106" s="787">
        <f>[17]Sales_SP!CQ127</f>
        <v>8.5</v>
      </c>
      <c r="P106" s="787">
        <f>[17]Sales_SP!CR127</f>
        <v>8.25</v>
      </c>
      <c r="Q106" s="866">
        <f t="shared" si="75"/>
        <v>95.48</v>
      </c>
      <c r="R106" s="863"/>
      <c r="S106" s="863"/>
    </row>
    <row r="107" ht="15" hidden="1" spans="3:19">
      <c r="C107" s="296" t="s">
        <v>205</v>
      </c>
      <c r="D107" s="296" t="s">
        <v>206</v>
      </c>
      <c r="E107" s="787">
        <f>[17]Sales_SP!CG131</f>
        <v>11.59</v>
      </c>
      <c r="F107" s="787">
        <f>[17]Sales_SP!CH131</f>
        <v>12.5</v>
      </c>
      <c r="G107" s="787">
        <f>[17]Sales_SP!CI131</f>
        <v>13.82</v>
      </c>
      <c r="H107" s="787">
        <f>[17]Sales_SP!CJ131</f>
        <v>9.76</v>
      </c>
      <c r="I107" s="787">
        <f>[17]Sales_SP!CK131</f>
        <v>9.09</v>
      </c>
      <c r="J107" s="787">
        <f>[17]Sales_SP!CL131</f>
        <v>8.85</v>
      </c>
      <c r="K107" s="787">
        <f>[17]Sales_SP!CM131</f>
        <v>8.74</v>
      </c>
      <c r="L107" s="787">
        <f>[17]Sales_SP!CN131</f>
        <v>9.1</v>
      </c>
      <c r="M107" s="787">
        <f>[17]Sales_SP!CO131</f>
        <v>8.32</v>
      </c>
      <c r="N107" s="787">
        <f>[17]Sales_SP!CP131</f>
        <v>8.49</v>
      </c>
      <c r="O107" s="787">
        <f>[17]Sales_SP!CQ131</f>
        <v>8.76</v>
      </c>
      <c r="P107" s="787">
        <f>[17]Sales_SP!CR131</f>
        <v>9.47</v>
      </c>
      <c r="Q107" s="866">
        <f t="shared" si="75"/>
        <v>118.49</v>
      </c>
      <c r="R107" s="863"/>
      <c r="S107" s="863"/>
    </row>
    <row r="108" ht="15" hidden="1" spans="3:19">
      <c r="C108" s="296" t="s">
        <v>207</v>
      </c>
      <c r="D108" s="296" t="s">
        <v>186</v>
      </c>
      <c r="E108" s="787">
        <f>[17]Sales_SP!CG132</f>
        <v>7.52</v>
      </c>
      <c r="F108" s="787">
        <f>[17]Sales_SP!CH132</f>
        <v>7.25</v>
      </c>
      <c r="G108" s="787">
        <f>[17]Sales_SP!CI132</f>
        <v>7.44</v>
      </c>
      <c r="H108" s="787">
        <f>[17]Sales_SP!CJ132</f>
        <v>7.2</v>
      </c>
      <c r="I108" s="787">
        <f>[17]Sales_SP!CK132</f>
        <v>6.97</v>
      </c>
      <c r="J108" s="787">
        <f>[17]Sales_SP!CL132</f>
        <v>8</v>
      </c>
      <c r="K108" s="787">
        <f>[17]Sales_SP!CM132</f>
        <v>7.91</v>
      </c>
      <c r="L108" s="787">
        <f>[17]Sales_SP!CN132</f>
        <v>8.53</v>
      </c>
      <c r="M108" s="787">
        <f>[17]Sales_SP!CO132</f>
        <v>7.71</v>
      </c>
      <c r="N108" s="787">
        <f>[17]Sales_SP!CP132</f>
        <v>7.85</v>
      </c>
      <c r="O108" s="787">
        <f>[17]Sales_SP!CQ132</f>
        <v>8.03</v>
      </c>
      <c r="P108" s="787">
        <f>[17]Sales_SP!CR132</f>
        <v>7.42</v>
      </c>
      <c r="Q108" s="866">
        <f t="shared" si="75"/>
        <v>91.83</v>
      </c>
      <c r="R108" s="863"/>
      <c r="S108" s="863"/>
    </row>
    <row r="109" ht="15" hidden="1" spans="3:19">
      <c r="C109" s="296" t="s">
        <v>208</v>
      </c>
      <c r="D109" s="296" t="s">
        <v>209</v>
      </c>
      <c r="E109" s="787">
        <f>[17]Sales_SP!CG133</f>
        <v>0</v>
      </c>
      <c r="F109" s="787">
        <f>[17]Sales_SP!CH133</f>
        <v>0</v>
      </c>
      <c r="G109" s="787">
        <f>[17]Sales_SP!CI133</f>
        <v>0</v>
      </c>
      <c r="H109" s="787">
        <f>[17]Sales_SP!CJ133</f>
        <v>0</v>
      </c>
      <c r="I109" s="787">
        <f>[17]Sales_SP!CK133</f>
        <v>0</v>
      </c>
      <c r="J109" s="787">
        <f>[17]Sales_SP!CL133</f>
        <v>0</v>
      </c>
      <c r="K109" s="787">
        <f>[17]Sales_SP!CM133</f>
        <v>0</v>
      </c>
      <c r="L109" s="787">
        <f>[17]Sales_SP!CN133</f>
        <v>0</v>
      </c>
      <c r="M109" s="787">
        <f>[17]Sales_SP!CO133</f>
        <v>0</v>
      </c>
      <c r="N109" s="787">
        <f>[17]Sales_SP!CP133</f>
        <v>0</v>
      </c>
      <c r="O109" s="787">
        <f>[17]Sales_SP!CQ133</f>
        <v>0</v>
      </c>
      <c r="P109" s="787">
        <f>[17]Sales_SP!CR133</f>
        <v>0</v>
      </c>
      <c r="Q109" s="866">
        <f t="shared" si="75"/>
        <v>0</v>
      </c>
      <c r="R109" s="863"/>
      <c r="S109" s="863"/>
    </row>
    <row r="110" ht="15" hidden="1" spans="3:19">
      <c r="C110" s="296" t="s">
        <v>210</v>
      </c>
      <c r="D110" s="296" t="s">
        <v>188</v>
      </c>
      <c r="E110" s="787">
        <f>[17]Sales_SP!CG134</f>
        <v>0</v>
      </c>
      <c r="F110" s="787">
        <f>[17]Sales_SP!CH134</f>
        <v>0</v>
      </c>
      <c r="G110" s="787">
        <f>[17]Sales_SP!CI134</f>
        <v>0</v>
      </c>
      <c r="H110" s="787">
        <f>[17]Sales_SP!CJ134</f>
        <v>0</v>
      </c>
      <c r="I110" s="787">
        <f>[17]Sales_SP!CK134</f>
        <v>0</v>
      </c>
      <c r="J110" s="787">
        <f>[17]Sales_SP!CL134</f>
        <v>0.19</v>
      </c>
      <c r="K110" s="787">
        <f>[17]Sales_SP!CM134</f>
        <v>0.36</v>
      </c>
      <c r="L110" s="787">
        <f>[17]Sales_SP!CN134</f>
        <v>0.33</v>
      </c>
      <c r="M110" s="787">
        <f>[17]Sales_SP!CO134</f>
        <v>0.37</v>
      </c>
      <c r="N110" s="787">
        <f>[17]Sales_SP!CP134</f>
        <v>0.39</v>
      </c>
      <c r="O110" s="787">
        <f>[17]Sales_SP!CQ134</f>
        <v>0.4</v>
      </c>
      <c r="P110" s="787">
        <f>[17]Sales_SP!CR134</f>
        <v>0.39</v>
      </c>
      <c r="Q110" s="866">
        <f t="shared" si="75"/>
        <v>2.43</v>
      </c>
      <c r="R110" s="863"/>
      <c r="S110" s="863"/>
    </row>
    <row r="111" ht="15" hidden="1" spans="3:19">
      <c r="C111" s="296"/>
      <c r="D111" s="296"/>
      <c r="E111" s="787"/>
      <c r="F111" s="787"/>
      <c r="G111" s="787"/>
      <c r="H111" s="787"/>
      <c r="I111" s="787"/>
      <c r="J111" s="787"/>
      <c r="K111" s="787"/>
      <c r="L111" s="787"/>
      <c r="M111" s="787"/>
      <c r="N111" s="787"/>
      <c r="O111" s="787"/>
      <c r="P111" s="787"/>
      <c r="Q111" s="866">
        <f t="shared" si="75"/>
        <v>0</v>
      </c>
      <c r="R111" s="863"/>
      <c r="S111" s="863"/>
    </row>
    <row r="112" ht="15" hidden="1" spans="3:19">
      <c r="C112" s="296"/>
      <c r="D112" s="296"/>
      <c r="E112" s="787"/>
      <c r="F112" s="787"/>
      <c r="G112" s="787"/>
      <c r="H112" s="787"/>
      <c r="I112" s="787"/>
      <c r="J112" s="787"/>
      <c r="K112" s="787"/>
      <c r="L112" s="787"/>
      <c r="M112" s="787"/>
      <c r="N112" s="787"/>
      <c r="O112" s="787"/>
      <c r="P112" s="787"/>
      <c r="Q112" s="866">
        <f t="shared" si="75"/>
        <v>0</v>
      </c>
      <c r="R112" s="863"/>
      <c r="S112" s="863"/>
    </row>
    <row r="113" ht="15" hidden="1" spans="3:19">
      <c r="C113" s="296"/>
      <c r="D113" s="296"/>
      <c r="E113" s="787"/>
      <c r="F113" s="787"/>
      <c r="G113" s="787"/>
      <c r="H113" s="787"/>
      <c r="I113" s="787"/>
      <c r="J113" s="787"/>
      <c r="K113" s="787"/>
      <c r="L113" s="787"/>
      <c r="M113" s="787"/>
      <c r="N113" s="787"/>
      <c r="O113" s="787"/>
      <c r="P113" s="787"/>
      <c r="Q113" s="866">
        <f t="shared" si="75"/>
        <v>0</v>
      </c>
      <c r="R113" s="863"/>
      <c r="S113" s="863"/>
    </row>
    <row r="114" ht="15" hidden="1" spans="3:19">
      <c r="C114" s="296" t="s">
        <v>258</v>
      </c>
      <c r="D114" s="296" t="s">
        <v>258</v>
      </c>
      <c r="E114" s="787"/>
      <c r="F114" s="787"/>
      <c r="G114" s="787"/>
      <c r="H114" s="787"/>
      <c r="I114" s="787"/>
      <c r="J114" s="787"/>
      <c r="K114" s="787"/>
      <c r="L114" s="787"/>
      <c r="M114" s="787"/>
      <c r="N114" s="787"/>
      <c r="O114" s="787"/>
      <c r="P114" s="787"/>
      <c r="Q114" s="866">
        <f t="shared" si="75"/>
        <v>0</v>
      </c>
      <c r="R114" s="863"/>
      <c r="S114" s="863"/>
    </row>
    <row r="115" ht="15" hidden="1" spans="3:19">
      <c r="C115" s="285" t="s">
        <v>211</v>
      </c>
      <c r="D115" s="286"/>
      <c r="E115" s="866">
        <f t="shared" ref="E115:P115" si="76">SUM(E100:E114)</f>
        <v>491.4362041324</v>
      </c>
      <c r="F115" s="866">
        <f t="shared" si="76"/>
        <v>492.706912033253</v>
      </c>
      <c r="G115" s="866">
        <f t="shared" si="76"/>
        <v>515.807830779067</v>
      </c>
      <c r="H115" s="866">
        <f t="shared" si="76"/>
        <v>471.706195540025</v>
      </c>
      <c r="I115" s="866">
        <f t="shared" si="76"/>
        <v>464.437060824971</v>
      </c>
      <c r="J115" s="866">
        <f t="shared" si="76"/>
        <v>464.516113303519</v>
      </c>
      <c r="K115" s="866">
        <f t="shared" si="76"/>
        <v>426.843057941941</v>
      </c>
      <c r="L115" s="866">
        <f t="shared" si="76"/>
        <v>469.511152597692</v>
      </c>
      <c r="M115" s="866">
        <f t="shared" si="76"/>
        <v>461.999402116749</v>
      </c>
      <c r="N115" s="866">
        <f t="shared" si="76"/>
        <v>465.131313389554</v>
      </c>
      <c r="O115" s="866">
        <f t="shared" si="76"/>
        <v>488.280299318616</v>
      </c>
      <c r="P115" s="866">
        <f t="shared" si="76"/>
        <v>467.327509319577</v>
      </c>
      <c r="Q115" s="866">
        <f t="shared" si="75"/>
        <v>5679.70305129736</v>
      </c>
      <c r="R115" s="863"/>
      <c r="S115" s="863"/>
    </row>
    <row r="116" ht="15" hidden="1" spans="3:19">
      <c r="C116" s="285" t="s">
        <v>212</v>
      </c>
      <c r="D116" s="286"/>
      <c r="E116" s="787"/>
      <c r="F116" s="787"/>
      <c r="G116" s="787"/>
      <c r="H116" s="787"/>
      <c r="I116" s="787"/>
      <c r="J116" s="787"/>
      <c r="K116" s="787"/>
      <c r="L116" s="787"/>
      <c r="M116" s="787"/>
      <c r="N116" s="787"/>
      <c r="O116" s="787"/>
      <c r="P116" s="787"/>
      <c r="Q116" s="866"/>
      <c r="R116" s="863"/>
      <c r="S116" s="863"/>
    </row>
    <row r="117" ht="15" hidden="1" spans="3:19">
      <c r="C117" s="296" t="s">
        <v>191</v>
      </c>
      <c r="D117" s="296" t="s">
        <v>192</v>
      </c>
      <c r="E117" s="787">
        <f>[17]Sales_SP!CG152</f>
        <v>392.07</v>
      </c>
      <c r="F117" s="787">
        <f>[17]Sales_SP!CH152</f>
        <v>360.78</v>
      </c>
      <c r="G117" s="787">
        <f>[17]Sales_SP!CI152</f>
        <v>401.21</v>
      </c>
      <c r="H117" s="787">
        <f>[17]Sales_SP!CJ152</f>
        <v>381.48</v>
      </c>
      <c r="I117" s="787">
        <f>[17]Sales_SP!CK152</f>
        <v>367.95</v>
      </c>
      <c r="J117" s="787">
        <f>[17]Sales_SP!CL152</f>
        <v>359.49</v>
      </c>
      <c r="K117" s="787">
        <f>[17]Sales_SP!CM152</f>
        <v>315.49885033</v>
      </c>
      <c r="L117" s="787">
        <f>[17]Sales_SP!CN152</f>
        <v>329.63431352</v>
      </c>
      <c r="M117" s="787">
        <f>[17]Sales_SP!CO152</f>
        <v>322.74</v>
      </c>
      <c r="N117" s="787">
        <f>[17]Sales_SP!CP152</f>
        <v>327.06</v>
      </c>
      <c r="O117" s="787">
        <f>[17]Sales_SP!CQ152</f>
        <v>339.78558844</v>
      </c>
      <c r="P117" s="787">
        <f>[17]Sales_SP!CR152</f>
        <v>321.22522553</v>
      </c>
      <c r="Q117" s="866">
        <f t="shared" ref="Q117:Q132" si="77">SUM(E117:P117)</f>
        <v>4218.92397782</v>
      </c>
      <c r="R117" s="863"/>
      <c r="S117" s="863"/>
    </row>
    <row r="118" ht="15" hidden="1" spans="3:19">
      <c r="C118" s="296" t="s">
        <v>193</v>
      </c>
      <c r="D118" s="296" t="s">
        <v>194</v>
      </c>
      <c r="E118" s="787">
        <f>[17]Sales_SP!CG168</f>
        <v>4.55</v>
      </c>
      <c r="F118" s="787">
        <f>[17]Sales_SP!CH168</f>
        <v>4.88</v>
      </c>
      <c r="G118" s="787">
        <f>[17]Sales_SP!CI168</f>
        <v>4.47</v>
      </c>
      <c r="H118" s="787">
        <f>[17]Sales_SP!CJ168</f>
        <v>4.65</v>
      </c>
      <c r="I118" s="787">
        <f>[17]Sales_SP!CK168</f>
        <v>4.91</v>
      </c>
      <c r="J118" s="787">
        <f>[17]Sales_SP!CL168</f>
        <v>4.04</v>
      </c>
      <c r="K118" s="787">
        <f>[17]Sales_SP!CM168</f>
        <v>3.85</v>
      </c>
      <c r="L118" s="787">
        <f>[17]Sales_SP!CN168</f>
        <v>2.92</v>
      </c>
      <c r="M118" s="787">
        <f>[17]Sales_SP!CO168</f>
        <v>2.46</v>
      </c>
      <c r="N118" s="787">
        <f>[17]Sales_SP!CP168</f>
        <v>2.58</v>
      </c>
      <c r="O118" s="787">
        <f>[17]Sales_SP!CQ168</f>
        <v>2.3955</v>
      </c>
      <c r="P118" s="787">
        <f>[17]Sales_SP!CR168</f>
        <v>2.342</v>
      </c>
      <c r="Q118" s="866">
        <f t="shared" si="77"/>
        <v>44.0475</v>
      </c>
      <c r="R118" s="863"/>
      <c r="S118" s="863"/>
    </row>
    <row r="119" ht="15" hidden="1" spans="3:19">
      <c r="C119" s="296" t="s">
        <v>239</v>
      </c>
      <c r="D119" s="296" t="s">
        <v>196</v>
      </c>
      <c r="E119" s="787">
        <f>[17]Sales_SP!CG174</f>
        <v>71.36</v>
      </c>
      <c r="F119" s="787">
        <f>[17]Sales_SP!CH174</f>
        <v>74.91</v>
      </c>
      <c r="G119" s="787">
        <f>[17]Sales_SP!CI174</f>
        <v>83.57</v>
      </c>
      <c r="H119" s="787">
        <f>[17]Sales_SP!CJ174</f>
        <v>73.96</v>
      </c>
      <c r="I119" s="787">
        <f>[17]Sales_SP!CK174</f>
        <v>73.49</v>
      </c>
      <c r="J119" s="787">
        <f>[17]Sales_SP!CL174</f>
        <v>75.21</v>
      </c>
      <c r="K119" s="787">
        <f>[17]Sales_SP!CM174</f>
        <v>71.14057271</v>
      </c>
      <c r="L119" s="787">
        <f>[17]Sales_SP!CN174</f>
        <v>74.09192839</v>
      </c>
      <c r="M119" s="787">
        <f>[17]Sales_SP!CO174</f>
        <v>66.06916142</v>
      </c>
      <c r="N119" s="787">
        <f>[17]Sales_SP!CP174</f>
        <v>64.17145726</v>
      </c>
      <c r="O119" s="787">
        <f>[17]Sales_SP!CQ174</f>
        <v>70.43499459</v>
      </c>
      <c r="P119" s="787">
        <f>[17]Sales_SP!CR174</f>
        <v>69.55196737</v>
      </c>
      <c r="Q119" s="866">
        <f t="shared" si="77"/>
        <v>867.96008174</v>
      </c>
      <c r="R119" s="863"/>
      <c r="S119" s="863"/>
    </row>
    <row r="120" ht="15" hidden="1" spans="3:19">
      <c r="C120" s="296" t="s">
        <v>197</v>
      </c>
      <c r="D120" s="296" t="s">
        <v>198</v>
      </c>
      <c r="E120" s="787">
        <f>[17]Sales_SP!CG180</f>
        <v>0</v>
      </c>
      <c r="F120" s="787">
        <f>[17]Sales_SP!CH180</f>
        <v>0</v>
      </c>
      <c r="G120" s="787">
        <f>[17]Sales_SP!CI180</f>
        <v>0</v>
      </c>
      <c r="H120" s="787">
        <f>[17]Sales_SP!CJ180</f>
        <v>0</v>
      </c>
      <c r="I120" s="787">
        <f>[17]Sales_SP!CK180</f>
        <v>0</v>
      </c>
      <c r="J120" s="787">
        <f>[17]Sales_SP!CL180</f>
        <v>0</v>
      </c>
      <c r="K120" s="787">
        <f>[17]Sales_SP!CM180</f>
        <v>0</v>
      </c>
      <c r="L120" s="787">
        <f>[17]Sales_SP!CN180</f>
        <v>0</v>
      </c>
      <c r="M120" s="787">
        <f>[17]Sales_SP!CO180</f>
        <v>0</v>
      </c>
      <c r="N120" s="787">
        <f>[17]Sales_SP!CP180</f>
        <v>0</v>
      </c>
      <c r="O120" s="787">
        <f>[17]Sales_SP!CQ180</f>
        <v>0</v>
      </c>
      <c r="P120" s="787">
        <f>[17]Sales_SP!CR180</f>
        <v>0</v>
      </c>
      <c r="Q120" s="866">
        <f t="shared" si="77"/>
        <v>0</v>
      </c>
      <c r="R120" s="863"/>
      <c r="S120" s="863"/>
    </row>
    <row r="121" ht="15" hidden="1" spans="3:19">
      <c r="C121" s="296" t="s">
        <v>199</v>
      </c>
      <c r="D121" s="296" t="s">
        <v>200</v>
      </c>
      <c r="E121" s="787">
        <f>[17]Sales_SP!CG185</f>
        <v>0</v>
      </c>
      <c r="F121" s="787">
        <f>[17]Sales_SP!CH185</f>
        <v>0</v>
      </c>
      <c r="G121" s="787">
        <f>[17]Sales_SP!CI185</f>
        <v>0</v>
      </c>
      <c r="H121" s="787">
        <f>[17]Sales_SP!CJ185</f>
        <v>0</v>
      </c>
      <c r="I121" s="787">
        <f>[17]Sales_SP!CK185</f>
        <v>0</v>
      </c>
      <c r="J121" s="787">
        <f>[17]Sales_SP!CL185</f>
        <v>0</v>
      </c>
      <c r="K121" s="787">
        <f>[17]Sales_SP!CM185</f>
        <v>0</v>
      </c>
      <c r="L121" s="787">
        <f>[17]Sales_SP!CN185</f>
        <v>0</v>
      </c>
      <c r="M121" s="787">
        <f>[17]Sales_SP!CO185</f>
        <v>0</v>
      </c>
      <c r="N121" s="787">
        <f>[17]Sales_SP!CP185</f>
        <v>0</v>
      </c>
      <c r="O121" s="787">
        <f>[17]Sales_SP!CQ185</f>
        <v>0</v>
      </c>
      <c r="P121" s="787">
        <f>[17]Sales_SP!CR185</f>
        <v>0</v>
      </c>
      <c r="Q121" s="866">
        <f t="shared" si="77"/>
        <v>0</v>
      </c>
      <c r="R121" s="863"/>
      <c r="S121" s="863"/>
    </row>
    <row r="122" ht="15" hidden="1" spans="3:19">
      <c r="C122" s="296" t="s">
        <v>201</v>
      </c>
      <c r="D122" s="296" t="s">
        <v>202</v>
      </c>
      <c r="E122" s="787">
        <f>[17]Sales_SP!CG191</f>
        <v>0.94</v>
      </c>
      <c r="F122" s="787">
        <f>[17]Sales_SP!CH191</f>
        <v>0.59</v>
      </c>
      <c r="G122" s="787">
        <f>[17]Sales_SP!CI191</f>
        <v>0.19</v>
      </c>
      <c r="H122" s="787">
        <f>[17]Sales_SP!CJ191</f>
        <v>0.22</v>
      </c>
      <c r="I122" s="787">
        <f>[17]Sales_SP!CK191</f>
        <v>0.93</v>
      </c>
      <c r="J122" s="787">
        <f>[17]Sales_SP!CL191</f>
        <v>2.2</v>
      </c>
      <c r="K122" s="787">
        <f>[17]Sales_SP!CM191</f>
        <v>1.64</v>
      </c>
      <c r="L122" s="787">
        <f>[17]Sales_SP!CN191</f>
        <v>1.47</v>
      </c>
      <c r="M122" s="787">
        <f>[17]Sales_SP!CO191</f>
        <v>1.63</v>
      </c>
      <c r="N122" s="787">
        <f>[17]Sales_SP!CP191</f>
        <v>2.47</v>
      </c>
      <c r="O122" s="787">
        <f>[17]Sales_SP!CQ191</f>
        <v>2.97</v>
      </c>
      <c r="P122" s="787">
        <f>[17]Sales_SP!CR191</f>
        <v>2.34</v>
      </c>
      <c r="Q122" s="866">
        <f t="shared" si="77"/>
        <v>17.59</v>
      </c>
      <c r="R122" s="863"/>
      <c r="S122" s="863"/>
    </row>
    <row r="123" ht="15" hidden="1" spans="3:19">
      <c r="C123" s="296" t="s">
        <v>203</v>
      </c>
      <c r="D123" s="296" t="s">
        <v>204</v>
      </c>
      <c r="E123" s="787">
        <f>[17]Sales_SP!CG192</f>
        <v>14.27</v>
      </c>
      <c r="F123" s="787">
        <f>[17]Sales_SP!CH192</f>
        <v>13.8</v>
      </c>
      <c r="G123" s="787">
        <f>[17]Sales_SP!CI192</f>
        <v>13.72</v>
      </c>
      <c r="H123" s="787">
        <f>[17]Sales_SP!CJ192</f>
        <v>11.95</v>
      </c>
      <c r="I123" s="787">
        <f>[17]Sales_SP!CK192</f>
        <v>12.4</v>
      </c>
      <c r="J123" s="787">
        <f>[17]Sales_SP!CL192</f>
        <v>12.75</v>
      </c>
      <c r="K123" s="787">
        <f>[17]Sales_SP!CM192</f>
        <v>12.18</v>
      </c>
      <c r="L123" s="787">
        <f>[17]Sales_SP!CN192</f>
        <v>13.12</v>
      </c>
      <c r="M123" s="787">
        <f>[17]Sales_SP!CO192</f>
        <v>13.06</v>
      </c>
      <c r="N123" s="787">
        <f>[17]Sales_SP!CP192</f>
        <v>13.79</v>
      </c>
      <c r="O123" s="787">
        <f>[17]Sales_SP!CQ192</f>
        <v>13.73</v>
      </c>
      <c r="P123" s="787">
        <f>[17]Sales_SP!CR192</f>
        <v>13.95</v>
      </c>
      <c r="Q123" s="866">
        <f t="shared" si="77"/>
        <v>158.72</v>
      </c>
      <c r="R123" s="863"/>
      <c r="S123" s="863"/>
    </row>
    <row r="124" ht="15" hidden="1" spans="3:19">
      <c r="C124" s="296" t="s">
        <v>205</v>
      </c>
      <c r="D124" s="296" t="s">
        <v>206</v>
      </c>
      <c r="E124" s="787">
        <f>[17]Sales_SP!CG196</f>
        <v>7.54</v>
      </c>
      <c r="F124" s="787">
        <f>[17]Sales_SP!CH196</f>
        <v>8.99</v>
      </c>
      <c r="G124" s="787">
        <f>[17]Sales_SP!CI196</f>
        <v>9.43</v>
      </c>
      <c r="H124" s="787">
        <f>[17]Sales_SP!CJ196</f>
        <v>5.96</v>
      </c>
      <c r="I124" s="787">
        <f>[17]Sales_SP!CK196</f>
        <v>5.81</v>
      </c>
      <c r="J124" s="787">
        <f>[17]Sales_SP!CL196</f>
        <v>5.8</v>
      </c>
      <c r="K124" s="787">
        <f>[17]Sales_SP!CM196</f>
        <v>5.29</v>
      </c>
      <c r="L124" s="787">
        <f>[17]Sales_SP!CN196</f>
        <v>5.58</v>
      </c>
      <c r="M124" s="787">
        <f>[17]Sales_SP!CO196</f>
        <v>5.26</v>
      </c>
      <c r="N124" s="787">
        <f>[17]Sales_SP!CP196</f>
        <v>5.38</v>
      </c>
      <c r="O124" s="787">
        <f>[17]Sales_SP!CQ196</f>
        <v>5.58</v>
      </c>
      <c r="P124" s="787">
        <f>[17]Sales_SP!CR196</f>
        <v>5.98</v>
      </c>
      <c r="Q124" s="866">
        <f t="shared" si="77"/>
        <v>76.6</v>
      </c>
      <c r="R124" s="863"/>
      <c r="S124" s="863"/>
    </row>
    <row r="125" ht="15" hidden="1" spans="3:19">
      <c r="C125" s="296" t="s">
        <v>231</v>
      </c>
      <c r="D125" s="296" t="s">
        <v>186</v>
      </c>
      <c r="E125" s="787">
        <f>[17]Sales_SP!CG197</f>
        <v>2.36</v>
      </c>
      <c r="F125" s="787">
        <f>[17]Sales_SP!CH197</f>
        <v>2.99</v>
      </c>
      <c r="G125" s="787">
        <f>[17]Sales_SP!CI197</f>
        <v>4.03</v>
      </c>
      <c r="H125" s="787">
        <f>[17]Sales_SP!CJ197</f>
        <v>4.12</v>
      </c>
      <c r="I125" s="787">
        <f>[17]Sales_SP!CK197</f>
        <v>4.58</v>
      </c>
      <c r="J125" s="787">
        <f>[17]Sales_SP!CL197</f>
        <v>4.27</v>
      </c>
      <c r="K125" s="787">
        <f>[17]Sales_SP!CM197</f>
        <v>3.27</v>
      </c>
      <c r="L125" s="787">
        <f>[17]Sales_SP!CN197</f>
        <v>3.72</v>
      </c>
      <c r="M125" s="787">
        <f>[17]Sales_SP!CO197</f>
        <v>4.74</v>
      </c>
      <c r="N125" s="787">
        <f>[17]Sales_SP!CP197</f>
        <v>4.9</v>
      </c>
      <c r="O125" s="787">
        <f>[17]Sales_SP!CQ197</f>
        <v>2.85</v>
      </c>
      <c r="P125" s="787">
        <f>[17]Sales_SP!CR197</f>
        <v>2.3</v>
      </c>
      <c r="Q125" s="866">
        <f t="shared" si="77"/>
        <v>44.13</v>
      </c>
      <c r="R125" s="863"/>
      <c r="S125" s="863"/>
    </row>
    <row r="126" ht="15" hidden="1" spans="3:19">
      <c r="C126" s="296" t="s">
        <v>208</v>
      </c>
      <c r="D126" s="296" t="s">
        <v>209</v>
      </c>
      <c r="E126" s="787">
        <v>0</v>
      </c>
      <c r="F126" s="787">
        <v>0</v>
      </c>
      <c r="G126" s="787">
        <v>0</v>
      </c>
      <c r="H126" s="787">
        <v>0</v>
      </c>
      <c r="I126" s="787">
        <v>0</v>
      </c>
      <c r="J126" s="787">
        <v>0</v>
      </c>
      <c r="K126" s="787">
        <v>0</v>
      </c>
      <c r="L126" s="787">
        <v>0</v>
      </c>
      <c r="M126" s="787">
        <v>0</v>
      </c>
      <c r="N126" s="787">
        <v>0</v>
      </c>
      <c r="O126" s="787">
        <v>0</v>
      </c>
      <c r="P126" s="787">
        <v>0</v>
      </c>
      <c r="Q126" s="866">
        <f t="shared" si="77"/>
        <v>0</v>
      </c>
      <c r="R126" s="863"/>
      <c r="S126" s="863"/>
    </row>
    <row r="127" ht="15" hidden="1" spans="3:19">
      <c r="C127" s="296" t="s">
        <v>210</v>
      </c>
      <c r="D127" s="296" t="s">
        <v>188</v>
      </c>
      <c r="E127" s="787">
        <v>0</v>
      </c>
      <c r="F127" s="787">
        <v>0</v>
      </c>
      <c r="G127" s="787">
        <v>0</v>
      </c>
      <c r="H127" s="787">
        <v>0</v>
      </c>
      <c r="I127" s="787">
        <v>0</v>
      </c>
      <c r="J127" s="787">
        <v>0</v>
      </c>
      <c r="K127" s="787">
        <v>0</v>
      </c>
      <c r="L127" s="787">
        <v>0</v>
      </c>
      <c r="M127" s="787">
        <v>0</v>
      </c>
      <c r="N127" s="787">
        <v>0</v>
      </c>
      <c r="O127" s="787">
        <v>0</v>
      </c>
      <c r="P127" s="787">
        <v>0</v>
      </c>
      <c r="Q127" s="866">
        <f t="shared" si="77"/>
        <v>0</v>
      </c>
      <c r="R127" s="863"/>
      <c r="S127" s="863"/>
    </row>
    <row r="128" ht="15" hidden="1" spans="3:19">
      <c r="C128" s="296"/>
      <c r="D128" s="296"/>
      <c r="E128" s="787"/>
      <c r="F128" s="787"/>
      <c r="G128" s="787"/>
      <c r="H128" s="787"/>
      <c r="I128" s="787"/>
      <c r="J128" s="787"/>
      <c r="K128" s="787"/>
      <c r="L128" s="787"/>
      <c r="M128" s="787"/>
      <c r="N128" s="787"/>
      <c r="O128" s="787"/>
      <c r="P128" s="787"/>
      <c r="Q128" s="866">
        <f t="shared" si="77"/>
        <v>0</v>
      </c>
      <c r="R128" s="863"/>
      <c r="S128" s="863"/>
    </row>
    <row r="129" ht="15" hidden="1" spans="3:19">
      <c r="C129" s="296"/>
      <c r="D129" s="296"/>
      <c r="E129" s="787"/>
      <c r="F129" s="787"/>
      <c r="G129" s="787"/>
      <c r="H129" s="787"/>
      <c r="I129" s="787"/>
      <c r="J129" s="787"/>
      <c r="K129" s="787"/>
      <c r="L129" s="787"/>
      <c r="M129" s="787"/>
      <c r="N129" s="787"/>
      <c r="O129" s="787"/>
      <c r="P129" s="787"/>
      <c r="Q129" s="866">
        <f t="shared" si="77"/>
        <v>0</v>
      </c>
      <c r="R129" s="863"/>
      <c r="S129" s="863"/>
    </row>
    <row r="130" ht="15" hidden="1" spans="3:19">
      <c r="C130" s="296"/>
      <c r="D130" s="296"/>
      <c r="E130" s="787"/>
      <c r="F130" s="787"/>
      <c r="G130" s="787"/>
      <c r="H130" s="787"/>
      <c r="I130" s="787"/>
      <c r="J130" s="787"/>
      <c r="K130" s="787"/>
      <c r="L130" s="787"/>
      <c r="M130" s="787"/>
      <c r="N130" s="787"/>
      <c r="O130" s="787"/>
      <c r="P130" s="787"/>
      <c r="Q130" s="866">
        <f t="shared" si="77"/>
        <v>0</v>
      </c>
      <c r="R130" s="863"/>
      <c r="S130" s="863"/>
    </row>
    <row r="131" ht="15" hidden="1" spans="3:19">
      <c r="C131" s="296" t="s">
        <v>258</v>
      </c>
      <c r="D131" s="296" t="s">
        <v>258</v>
      </c>
      <c r="E131" s="787"/>
      <c r="F131" s="787"/>
      <c r="G131" s="787"/>
      <c r="H131" s="787"/>
      <c r="I131" s="787"/>
      <c r="J131" s="787"/>
      <c r="K131" s="787"/>
      <c r="L131" s="787"/>
      <c r="M131" s="787"/>
      <c r="N131" s="787"/>
      <c r="O131" s="787"/>
      <c r="P131" s="787"/>
      <c r="Q131" s="866">
        <f t="shared" si="77"/>
        <v>0</v>
      </c>
      <c r="R131" s="863"/>
      <c r="S131" s="863"/>
    </row>
    <row r="132" ht="15" hidden="1" spans="3:19">
      <c r="C132" s="285" t="s">
        <v>211</v>
      </c>
      <c r="D132" s="286"/>
      <c r="E132" s="866">
        <f t="shared" ref="E132:P132" si="78">SUM(E117:E131)</f>
        <v>493.09</v>
      </c>
      <c r="F132" s="866">
        <f t="shared" si="78"/>
        <v>466.94</v>
      </c>
      <c r="G132" s="866">
        <f t="shared" si="78"/>
        <v>516.62</v>
      </c>
      <c r="H132" s="866">
        <f t="shared" si="78"/>
        <v>482.34</v>
      </c>
      <c r="I132" s="866">
        <f t="shared" si="78"/>
        <v>470.07</v>
      </c>
      <c r="J132" s="866">
        <f t="shared" si="78"/>
        <v>463.76</v>
      </c>
      <c r="K132" s="866">
        <f t="shared" si="78"/>
        <v>412.86942304</v>
      </c>
      <c r="L132" s="866">
        <f t="shared" si="78"/>
        <v>430.53624191</v>
      </c>
      <c r="M132" s="866">
        <f t="shared" si="78"/>
        <v>415.95916142</v>
      </c>
      <c r="N132" s="866">
        <f t="shared" si="78"/>
        <v>420.35145726</v>
      </c>
      <c r="O132" s="866">
        <f t="shared" si="78"/>
        <v>437.74608303</v>
      </c>
      <c r="P132" s="866">
        <f t="shared" si="78"/>
        <v>417.6891929</v>
      </c>
      <c r="Q132" s="866">
        <f t="shared" si="77"/>
        <v>5427.97155956</v>
      </c>
      <c r="R132" s="863"/>
      <c r="S132" s="863"/>
    </row>
    <row r="133" ht="15" hidden="1" spans="3:19">
      <c r="C133" s="285" t="s">
        <v>219</v>
      </c>
      <c r="D133" s="286"/>
      <c r="E133" s="787"/>
      <c r="F133" s="787"/>
      <c r="G133" s="787"/>
      <c r="H133" s="787"/>
      <c r="I133" s="787"/>
      <c r="J133" s="787"/>
      <c r="K133" s="787"/>
      <c r="L133" s="787"/>
      <c r="M133" s="787"/>
      <c r="N133" s="787"/>
      <c r="O133" s="787"/>
      <c r="P133" s="787"/>
      <c r="Q133" s="866"/>
      <c r="R133" s="863"/>
      <c r="S133" s="863"/>
    </row>
    <row r="134" ht="15" hidden="1" spans="3:19">
      <c r="C134" s="296" t="s">
        <v>191</v>
      </c>
      <c r="D134" s="296" t="s">
        <v>192</v>
      </c>
      <c r="E134" s="787">
        <f>[17]Sales_SP!CG212</f>
        <v>232.58</v>
      </c>
      <c r="F134" s="787">
        <f>[17]Sales_SP!CH212</f>
        <v>211.74</v>
      </c>
      <c r="G134" s="787">
        <f>[17]Sales_SP!CI212</f>
        <v>225.03</v>
      </c>
      <c r="H134" s="787">
        <f>[17]Sales_SP!CJ212</f>
        <v>213.29</v>
      </c>
      <c r="I134" s="787">
        <f>[17]Sales_SP!CK212</f>
        <v>211.73</v>
      </c>
      <c r="J134" s="787">
        <f>[17]Sales_SP!CL212</f>
        <v>195.46</v>
      </c>
      <c r="K134" s="787">
        <f>[17]Sales_SP!CM212</f>
        <v>189.71196556</v>
      </c>
      <c r="L134" s="787">
        <f>[17]Sales_SP!CN212</f>
        <v>208.85335118</v>
      </c>
      <c r="M134" s="787">
        <f>[17]Sales_SP!CO212</f>
        <v>209.16</v>
      </c>
      <c r="N134" s="787">
        <f>[17]Sales_SP!CP212</f>
        <v>201.8</v>
      </c>
      <c r="O134" s="787">
        <f>[17]Sales_SP!CQ212</f>
        <v>209.46616522</v>
      </c>
      <c r="P134" s="787">
        <f>[17]Sales_SP!CR212</f>
        <v>195.10790705</v>
      </c>
      <c r="Q134" s="866">
        <f t="shared" ref="Q134:Q153" si="79">SUM(E134:P134)</f>
        <v>2503.92938901</v>
      </c>
      <c r="R134" s="863"/>
      <c r="S134" s="863"/>
    </row>
    <row r="135" ht="15" hidden="1" spans="3:19">
      <c r="C135" s="296" t="s">
        <v>193</v>
      </c>
      <c r="D135" s="296" t="s">
        <v>194</v>
      </c>
      <c r="E135" s="787">
        <f>[17]Sales_SP!CG222</f>
        <v>26.34</v>
      </c>
      <c r="F135" s="787">
        <f>[17]Sales_SP!CH222</f>
        <v>20.22</v>
      </c>
      <c r="G135" s="787">
        <f>[17]Sales_SP!CI222</f>
        <v>23.21</v>
      </c>
      <c r="H135" s="787">
        <f>[17]Sales_SP!CJ222</f>
        <v>21.26</v>
      </c>
      <c r="I135" s="787">
        <f>[17]Sales_SP!CK222</f>
        <v>17.96</v>
      </c>
      <c r="J135" s="787">
        <f>[17]Sales_SP!CL222</f>
        <v>13.3</v>
      </c>
      <c r="K135" s="787">
        <f>[17]Sales_SP!CM222</f>
        <v>13.13</v>
      </c>
      <c r="L135" s="787">
        <f>[17]Sales_SP!CN222</f>
        <v>10.95</v>
      </c>
      <c r="M135" s="787">
        <f>[17]Sales_SP!CO222</f>
        <v>6.61</v>
      </c>
      <c r="N135" s="787">
        <f>[17]Sales_SP!CP222</f>
        <v>9.99</v>
      </c>
      <c r="O135" s="787">
        <f>[17]Sales_SP!CQ222</f>
        <v>14.964</v>
      </c>
      <c r="P135" s="787">
        <f>[17]Sales_SP!CR222</f>
        <v>16.02</v>
      </c>
      <c r="Q135" s="866">
        <f t="shared" si="79"/>
        <v>193.954</v>
      </c>
      <c r="R135" s="863"/>
      <c r="S135" s="863"/>
    </row>
    <row r="136" ht="15" hidden="1" spans="3:19">
      <c r="C136" s="296" t="s">
        <v>239</v>
      </c>
      <c r="D136" s="296" t="s">
        <v>196</v>
      </c>
      <c r="E136" s="787">
        <f>[17]Sales_SP!CG228</f>
        <v>4.83</v>
      </c>
      <c r="F136" s="787">
        <f>[17]Sales_SP!CH228</f>
        <v>5.09</v>
      </c>
      <c r="G136" s="787">
        <f>[17]Sales_SP!CI228</f>
        <v>5.51</v>
      </c>
      <c r="H136" s="787">
        <f>[17]Sales_SP!CJ228</f>
        <v>4.76</v>
      </c>
      <c r="I136" s="787">
        <f>[17]Sales_SP!CK228</f>
        <v>4.06</v>
      </c>
      <c r="J136" s="787">
        <f>[17]Sales_SP!CL228</f>
        <v>4.23</v>
      </c>
      <c r="K136" s="787">
        <f>[17]Sales_SP!CM228</f>
        <v>3.826916</v>
      </c>
      <c r="L136" s="787">
        <f>[17]Sales_SP!CN228</f>
        <v>4.24071</v>
      </c>
      <c r="M136" s="787">
        <f>[17]Sales_SP!CO228</f>
        <v>3.455934</v>
      </c>
      <c r="N136" s="787">
        <f>[17]Sales_SP!CP228</f>
        <v>3.31506</v>
      </c>
      <c r="O136" s="787">
        <f>[17]Sales_SP!CQ228</f>
        <v>3.781275</v>
      </c>
      <c r="P136" s="787">
        <f>[17]Sales_SP!CR228</f>
        <v>3.724072</v>
      </c>
      <c r="Q136" s="866">
        <f t="shared" si="79"/>
        <v>50.823967</v>
      </c>
      <c r="R136" s="863"/>
      <c r="S136" s="863"/>
    </row>
    <row r="137" ht="15" hidden="1" spans="3:19">
      <c r="C137" s="296" t="s">
        <v>197</v>
      </c>
      <c r="D137" s="296" t="s">
        <v>198</v>
      </c>
      <c r="E137" s="787">
        <f>[17]Sales_SP!CG233</f>
        <v>0</v>
      </c>
      <c r="F137" s="787">
        <f>[17]Sales_SP!CH233</f>
        <v>0</v>
      </c>
      <c r="G137" s="787">
        <f>[17]Sales_SP!CI233</f>
        <v>0</v>
      </c>
      <c r="H137" s="787">
        <f>[17]Sales_SP!CJ233</f>
        <v>0</v>
      </c>
      <c r="I137" s="787">
        <f>[17]Sales_SP!CK233</f>
        <v>0</v>
      </c>
      <c r="J137" s="787">
        <f>[17]Sales_SP!CL233</f>
        <v>0</v>
      </c>
      <c r="K137" s="787">
        <f>[17]Sales_SP!CM233</f>
        <v>0</v>
      </c>
      <c r="L137" s="787">
        <f>[17]Sales_SP!CN233</f>
        <v>0</v>
      </c>
      <c r="M137" s="787">
        <f>[17]Sales_SP!CO233</f>
        <v>0</v>
      </c>
      <c r="N137" s="787">
        <f>[17]Sales_SP!CP233</f>
        <v>0</v>
      </c>
      <c r="O137" s="787">
        <f>[17]Sales_SP!CQ233</f>
        <v>0</v>
      </c>
      <c r="P137" s="787">
        <f>[17]Sales_SP!CR233</f>
        <v>0</v>
      </c>
      <c r="Q137" s="866">
        <f t="shared" si="79"/>
        <v>0</v>
      </c>
      <c r="R137" s="863"/>
      <c r="S137" s="863"/>
    </row>
    <row r="138" ht="15" hidden="1" spans="3:19">
      <c r="C138" s="296" t="s">
        <v>199</v>
      </c>
      <c r="D138" s="296" t="s">
        <v>200</v>
      </c>
      <c r="E138" s="787">
        <f>[17]Sales_SP!CG238</f>
        <v>7.01</v>
      </c>
      <c r="F138" s="787">
        <f>[17]Sales_SP!CH238</f>
        <v>7.37</v>
      </c>
      <c r="G138" s="787">
        <f>[17]Sales_SP!CI238</f>
        <v>8.5</v>
      </c>
      <c r="H138" s="787">
        <f>[17]Sales_SP!CJ238</f>
        <v>7.68</v>
      </c>
      <c r="I138" s="787">
        <f>[17]Sales_SP!CK238</f>
        <v>7.11</v>
      </c>
      <c r="J138" s="787">
        <f>[17]Sales_SP!CL238</f>
        <v>7.46</v>
      </c>
      <c r="K138" s="787">
        <f>[17]Sales_SP!CM238</f>
        <v>7.354</v>
      </c>
      <c r="L138" s="787">
        <f>[17]Sales_SP!CN238</f>
        <v>7.307</v>
      </c>
      <c r="M138" s="787">
        <f>[17]Sales_SP!CO238</f>
        <v>6.691</v>
      </c>
      <c r="N138" s="787">
        <f>[17]Sales_SP!CP238</f>
        <v>6.449</v>
      </c>
      <c r="O138" s="787">
        <f>[17]Sales_SP!CQ238</f>
        <v>7.028</v>
      </c>
      <c r="P138" s="787">
        <f>[17]Sales_SP!CR238</f>
        <v>6.455</v>
      </c>
      <c r="Q138" s="866">
        <f t="shared" si="79"/>
        <v>86.414</v>
      </c>
      <c r="R138" s="863"/>
      <c r="S138" s="863"/>
    </row>
    <row r="139" ht="15" hidden="1" spans="3:19">
      <c r="C139" s="296" t="s">
        <v>201</v>
      </c>
      <c r="D139" s="296" t="s">
        <v>240</v>
      </c>
      <c r="E139" s="787">
        <f>[17]Sales_SP!CG244</f>
        <v>50.56</v>
      </c>
      <c r="F139" s="787">
        <f>[17]Sales_SP!CH244</f>
        <v>24.21</v>
      </c>
      <c r="G139" s="787">
        <f>[17]Sales_SP!CI244</f>
        <v>34.28</v>
      </c>
      <c r="H139" s="787">
        <f>[17]Sales_SP!CJ244</f>
        <v>24.28</v>
      </c>
      <c r="I139" s="787">
        <f>[17]Sales_SP!CK244</f>
        <v>130.01</v>
      </c>
      <c r="J139" s="787">
        <f>[17]Sales_SP!CL244</f>
        <v>301.46</v>
      </c>
      <c r="K139" s="787">
        <f>[17]Sales_SP!CM244</f>
        <v>226.43</v>
      </c>
      <c r="L139" s="787">
        <f>[17]Sales_SP!CN244</f>
        <v>224.67</v>
      </c>
      <c r="M139" s="787">
        <f>[17]Sales_SP!CO244</f>
        <v>192.1</v>
      </c>
      <c r="N139" s="787">
        <f>[17]Sales_SP!CP244</f>
        <v>207.44</v>
      </c>
      <c r="O139" s="787">
        <f>[17]Sales_SP!CQ244</f>
        <v>231.59</v>
      </c>
      <c r="P139" s="787">
        <f>[17]Sales_SP!CR244</f>
        <v>214.54</v>
      </c>
      <c r="Q139" s="866">
        <f t="shared" si="79"/>
        <v>1861.57</v>
      </c>
      <c r="R139" s="863"/>
      <c r="S139" s="863"/>
    </row>
    <row r="140" ht="15" hidden="1" spans="3:19">
      <c r="C140" s="296" t="s">
        <v>203</v>
      </c>
      <c r="D140" s="296" t="s">
        <v>220</v>
      </c>
      <c r="E140" s="787">
        <f>[17]Sales_SP!CG246</f>
        <v>15.33</v>
      </c>
      <c r="F140" s="787">
        <f>[17]Sales_SP!CH246</f>
        <v>16.25</v>
      </c>
      <c r="G140" s="787">
        <f>[17]Sales_SP!CI246</f>
        <v>16.82</v>
      </c>
      <c r="H140" s="787">
        <f>[17]Sales_SP!CJ246</f>
        <v>15.02</v>
      </c>
      <c r="I140" s="787">
        <f>[17]Sales_SP!CK246</f>
        <v>17.5</v>
      </c>
      <c r="J140" s="787">
        <f>[17]Sales_SP!CL246</f>
        <v>16.47</v>
      </c>
      <c r="K140" s="787">
        <f>[17]Sales_SP!CM246</f>
        <v>18.22</v>
      </c>
      <c r="L140" s="787">
        <f>[17]Sales_SP!CN246</f>
        <v>17.79</v>
      </c>
      <c r="M140" s="787">
        <f>[17]Sales_SP!CO246</f>
        <v>17.12</v>
      </c>
      <c r="N140" s="787">
        <f>[17]Sales_SP!CP246</f>
        <v>18.2</v>
      </c>
      <c r="O140" s="787">
        <f>[17]Sales_SP!CQ246</f>
        <v>17.93</v>
      </c>
      <c r="P140" s="787">
        <f>[17]Sales_SP!CR246</f>
        <v>18.14</v>
      </c>
      <c r="Q140" s="866">
        <f t="shared" si="79"/>
        <v>204.79</v>
      </c>
      <c r="R140" s="863"/>
      <c r="S140" s="863"/>
    </row>
    <row r="141" ht="15" hidden="1" spans="3:19">
      <c r="C141" s="296" t="s">
        <v>241</v>
      </c>
      <c r="D141" s="296" t="s">
        <v>229</v>
      </c>
      <c r="E141" s="787">
        <f>[17]Sales_SP!CG249</f>
        <v>18.49</v>
      </c>
      <c r="F141" s="787">
        <f>[17]Sales_SP!CH249</f>
        <v>18.61</v>
      </c>
      <c r="G141" s="787">
        <f>[17]Sales_SP!CI249</f>
        <v>18.85</v>
      </c>
      <c r="H141" s="787">
        <f>[17]Sales_SP!CJ249</f>
        <v>20.85</v>
      </c>
      <c r="I141" s="787">
        <f>[17]Sales_SP!CK249</f>
        <v>18.32</v>
      </c>
      <c r="J141" s="787">
        <f>[17]Sales_SP!CL249</f>
        <v>20.49</v>
      </c>
      <c r="K141" s="787">
        <f>[17]Sales_SP!CM249</f>
        <v>18.43</v>
      </c>
      <c r="L141" s="787">
        <f>[17]Sales_SP!CN249</f>
        <v>19.86</v>
      </c>
      <c r="M141" s="787">
        <f>[17]Sales_SP!CO249</f>
        <v>25.18</v>
      </c>
      <c r="N141" s="787">
        <f>[17]Sales_SP!CP249</f>
        <v>23.59</v>
      </c>
      <c r="O141" s="787">
        <f>[17]Sales_SP!CQ249</f>
        <v>24.66</v>
      </c>
      <c r="P141" s="787">
        <f>[17]Sales_SP!CR249</f>
        <v>22.67</v>
      </c>
      <c r="Q141" s="866">
        <f t="shared" si="79"/>
        <v>250</v>
      </c>
      <c r="R141" s="863"/>
      <c r="S141" s="863"/>
    </row>
    <row r="142" ht="15" hidden="1" spans="3:19">
      <c r="C142" s="296" t="s">
        <v>259</v>
      </c>
      <c r="D142" s="296" t="s">
        <v>243</v>
      </c>
      <c r="E142" s="787">
        <f>[17]Sales_SP!CG251</f>
        <v>6.79</v>
      </c>
      <c r="F142" s="787">
        <f>[17]Sales_SP!CH251</f>
        <v>7.17</v>
      </c>
      <c r="G142" s="787">
        <f>[17]Sales_SP!CI251</f>
        <v>6.92</v>
      </c>
      <c r="H142" s="787">
        <f>[17]Sales_SP!CJ251</f>
        <v>6.32</v>
      </c>
      <c r="I142" s="787">
        <f>[17]Sales_SP!CK251</f>
        <v>6.4</v>
      </c>
      <c r="J142" s="787">
        <f>[17]Sales_SP!CL251</f>
        <v>6.52</v>
      </c>
      <c r="K142" s="787">
        <f>[17]Sales_SP!CM251</f>
        <v>6.65</v>
      </c>
      <c r="L142" s="787">
        <f>[17]Sales_SP!CN251</f>
        <v>6.95</v>
      </c>
      <c r="M142" s="787">
        <f>[17]Sales_SP!CO251</f>
        <v>6.53</v>
      </c>
      <c r="N142" s="787">
        <f>[17]Sales_SP!CP251</f>
        <v>6.69</v>
      </c>
      <c r="O142" s="787">
        <f>[17]Sales_SP!CQ251</f>
        <v>7.19</v>
      </c>
      <c r="P142" s="787">
        <f>[17]Sales_SP!CR251</f>
        <v>6.88</v>
      </c>
      <c r="Q142" s="866">
        <f t="shared" si="79"/>
        <v>81.01</v>
      </c>
      <c r="R142" s="863"/>
      <c r="S142" s="863"/>
    </row>
    <row r="143" ht="15" hidden="1" spans="3:19">
      <c r="C143" s="296" t="s">
        <v>205</v>
      </c>
      <c r="D143" s="296" t="s">
        <v>206</v>
      </c>
      <c r="E143" s="787">
        <f>[17]Sales_SP!CG253</f>
        <v>0</v>
      </c>
      <c r="F143" s="787">
        <f>[17]Sales_SP!CH253</f>
        <v>0</v>
      </c>
      <c r="G143" s="787">
        <f>[17]Sales_SP!CI253</f>
        <v>0</v>
      </c>
      <c r="H143" s="787">
        <f>[17]Sales_SP!CJ253</f>
        <v>0</v>
      </c>
      <c r="I143" s="787">
        <f>[17]Sales_SP!CK253</f>
        <v>0</v>
      </c>
      <c r="J143" s="787">
        <f>[17]Sales_SP!CL253</f>
        <v>0</v>
      </c>
      <c r="K143" s="787">
        <f>[17]Sales_SP!CM253</f>
        <v>0</v>
      </c>
      <c r="L143" s="787">
        <f>[17]Sales_SP!CN253</f>
        <v>0</v>
      </c>
      <c r="M143" s="787">
        <f>[17]Sales_SP!CO253</f>
        <v>0</v>
      </c>
      <c r="N143" s="787">
        <f>[17]Sales_SP!CP253</f>
        <v>0</v>
      </c>
      <c r="O143" s="787">
        <f>[17]Sales_SP!CQ253</f>
        <v>0</v>
      </c>
      <c r="P143" s="787">
        <f>[17]Sales_SP!CR253</f>
        <v>0</v>
      </c>
      <c r="Q143" s="866">
        <f t="shared" si="79"/>
        <v>0</v>
      </c>
      <c r="R143" s="863"/>
      <c r="S143" s="863"/>
    </row>
    <row r="144" ht="15" hidden="1" spans="3:19">
      <c r="C144" s="296" t="s">
        <v>207</v>
      </c>
      <c r="D144" s="296" t="s">
        <v>186</v>
      </c>
      <c r="E144" s="787">
        <f>[17]Sales_SP!CG254</f>
        <v>0</v>
      </c>
      <c r="F144" s="787">
        <f>[17]Sales_SP!CH254</f>
        <v>0</v>
      </c>
      <c r="G144" s="787">
        <f>[17]Sales_SP!CI254</f>
        <v>0</v>
      </c>
      <c r="H144" s="787">
        <f>[17]Sales_SP!CJ254</f>
        <v>0</v>
      </c>
      <c r="I144" s="787">
        <f>[17]Sales_SP!CK254</f>
        <v>0</v>
      </c>
      <c r="J144" s="787">
        <f>[17]Sales_SP!CL254</f>
        <v>0</v>
      </c>
      <c r="K144" s="787">
        <f>[17]Sales_SP!CM254</f>
        <v>0</v>
      </c>
      <c r="L144" s="787">
        <f>[17]Sales_SP!CN254</f>
        <v>0</v>
      </c>
      <c r="M144" s="787">
        <f>[17]Sales_SP!CO254</f>
        <v>0</v>
      </c>
      <c r="N144" s="787">
        <f>[17]Sales_SP!CP254</f>
        <v>0</v>
      </c>
      <c r="O144" s="787">
        <f>[17]Sales_SP!CQ254</f>
        <v>0</v>
      </c>
      <c r="P144" s="787">
        <f>[17]Sales_SP!CR254</f>
        <v>0</v>
      </c>
      <c r="Q144" s="866">
        <f t="shared" si="79"/>
        <v>0</v>
      </c>
      <c r="R144" s="863"/>
      <c r="S144" s="863"/>
    </row>
    <row r="145" ht="15" hidden="1" spans="3:19">
      <c r="C145" s="296" t="s">
        <v>208</v>
      </c>
      <c r="D145" s="296" t="s">
        <v>209</v>
      </c>
      <c r="E145" s="787">
        <v>0</v>
      </c>
      <c r="F145" s="787">
        <v>0</v>
      </c>
      <c r="G145" s="787">
        <v>0</v>
      </c>
      <c r="H145" s="787">
        <v>0</v>
      </c>
      <c r="I145" s="787">
        <v>0</v>
      </c>
      <c r="J145" s="787">
        <v>0</v>
      </c>
      <c r="K145" s="787">
        <v>0</v>
      </c>
      <c r="L145" s="787">
        <v>0</v>
      </c>
      <c r="M145" s="787">
        <v>0</v>
      </c>
      <c r="N145" s="787">
        <v>0</v>
      </c>
      <c r="O145" s="787">
        <v>0</v>
      </c>
      <c r="P145" s="787">
        <v>0</v>
      </c>
      <c r="Q145" s="866">
        <f t="shared" si="79"/>
        <v>0</v>
      </c>
      <c r="R145" s="863"/>
      <c r="S145" s="863"/>
    </row>
    <row r="146" ht="15" hidden="1" spans="3:19">
      <c r="C146" s="296" t="s">
        <v>210</v>
      </c>
      <c r="D146" s="296" t="s">
        <v>188</v>
      </c>
      <c r="E146" s="787">
        <v>0</v>
      </c>
      <c r="F146" s="787">
        <v>0</v>
      </c>
      <c r="G146" s="787">
        <v>0</v>
      </c>
      <c r="H146" s="787">
        <v>0</v>
      </c>
      <c r="I146" s="787">
        <v>0</v>
      </c>
      <c r="J146" s="787">
        <v>0</v>
      </c>
      <c r="K146" s="787">
        <v>0</v>
      </c>
      <c r="L146" s="787">
        <v>0</v>
      </c>
      <c r="M146" s="787">
        <v>0</v>
      </c>
      <c r="N146" s="787">
        <v>0</v>
      </c>
      <c r="O146" s="787">
        <v>0</v>
      </c>
      <c r="P146" s="787">
        <v>0</v>
      </c>
      <c r="Q146" s="866">
        <f t="shared" si="79"/>
        <v>0</v>
      </c>
      <c r="R146" s="863"/>
      <c r="S146" s="863"/>
    </row>
    <row r="147" ht="15" hidden="1" spans="3:19">
      <c r="C147" s="296"/>
      <c r="D147" s="296"/>
      <c r="E147" s="787"/>
      <c r="F147" s="787"/>
      <c r="G147" s="787"/>
      <c r="H147" s="787"/>
      <c r="I147" s="787"/>
      <c r="J147" s="787"/>
      <c r="K147" s="787"/>
      <c r="L147" s="787"/>
      <c r="M147" s="787"/>
      <c r="N147" s="787"/>
      <c r="O147" s="787"/>
      <c r="P147" s="787"/>
      <c r="Q147" s="866">
        <f t="shared" si="79"/>
        <v>0</v>
      </c>
      <c r="R147" s="863"/>
      <c r="S147" s="863"/>
    </row>
    <row r="148" ht="15" hidden="1" spans="3:19">
      <c r="C148" s="296"/>
      <c r="D148" s="296"/>
      <c r="E148" s="787"/>
      <c r="F148" s="787"/>
      <c r="G148" s="787"/>
      <c r="H148" s="787"/>
      <c r="I148" s="787"/>
      <c r="J148" s="787"/>
      <c r="K148" s="787"/>
      <c r="L148" s="787"/>
      <c r="M148" s="787"/>
      <c r="N148" s="787"/>
      <c r="O148" s="787"/>
      <c r="P148" s="787"/>
      <c r="Q148" s="866">
        <f t="shared" si="79"/>
        <v>0</v>
      </c>
      <c r="R148" s="863"/>
      <c r="S148" s="863"/>
    </row>
    <row r="149" ht="15" hidden="1" spans="3:19">
      <c r="C149" s="296"/>
      <c r="D149" s="296"/>
      <c r="E149" s="787"/>
      <c r="F149" s="787"/>
      <c r="G149" s="787"/>
      <c r="H149" s="787"/>
      <c r="I149" s="787"/>
      <c r="J149" s="787"/>
      <c r="K149" s="787"/>
      <c r="L149" s="787"/>
      <c r="M149" s="787"/>
      <c r="N149" s="787"/>
      <c r="O149" s="787"/>
      <c r="P149" s="787"/>
      <c r="Q149" s="866">
        <f t="shared" si="79"/>
        <v>0</v>
      </c>
      <c r="R149" s="863"/>
      <c r="S149" s="863"/>
    </row>
    <row r="150" ht="15" hidden="1" spans="3:19">
      <c r="C150" s="296" t="s">
        <v>258</v>
      </c>
      <c r="D150" s="296" t="s">
        <v>258</v>
      </c>
      <c r="E150" s="787"/>
      <c r="F150" s="787"/>
      <c r="G150" s="787"/>
      <c r="H150" s="787"/>
      <c r="I150" s="787"/>
      <c r="J150" s="787"/>
      <c r="K150" s="787"/>
      <c r="L150" s="787"/>
      <c r="M150" s="787"/>
      <c r="N150" s="787"/>
      <c r="O150" s="787"/>
      <c r="P150" s="787"/>
      <c r="Q150" s="866">
        <f t="shared" si="79"/>
        <v>0</v>
      </c>
      <c r="R150" s="863"/>
      <c r="S150" s="863"/>
    </row>
    <row r="151" ht="15" hidden="1" spans="3:19">
      <c r="C151" s="285" t="s">
        <v>211</v>
      </c>
      <c r="D151" s="286"/>
      <c r="E151" s="866">
        <f>SUM(E134:E150)</f>
        <v>361.93</v>
      </c>
      <c r="F151" s="866">
        <f t="shared" ref="F151:P151" si="80">SUM(F134:F150)</f>
        <v>310.66</v>
      </c>
      <c r="G151" s="866">
        <f t="shared" si="80"/>
        <v>339.12</v>
      </c>
      <c r="H151" s="866">
        <f t="shared" si="80"/>
        <v>313.46</v>
      </c>
      <c r="I151" s="866">
        <f t="shared" si="80"/>
        <v>413.09</v>
      </c>
      <c r="J151" s="866">
        <f t="shared" si="80"/>
        <v>565.39</v>
      </c>
      <c r="K151" s="866">
        <f t="shared" si="80"/>
        <v>483.75288156</v>
      </c>
      <c r="L151" s="866">
        <f t="shared" si="80"/>
        <v>500.62106118</v>
      </c>
      <c r="M151" s="866">
        <f t="shared" si="80"/>
        <v>466.846934</v>
      </c>
      <c r="N151" s="866">
        <f t="shared" si="80"/>
        <v>477.47406</v>
      </c>
      <c r="O151" s="866">
        <f t="shared" si="80"/>
        <v>516.60944022</v>
      </c>
      <c r="P151" s="866">
        <f t="shared" si="80"/>
        <v>483.53697905</v>
      </c>
      <c r="Q151" s="866">
        <f t="shared" si="79"/>
        <v>5232.49135601</v>
      </c>
      <c r="R151" s="863"/>
      <c r="S151" s="863"/>
    </row>
    <row r="152" ht="15" hidden="1" spans="3:19">
      <c r="C152" s="285" t="s">
        <v>223</v>
      </c>
      <c r="D152" s="286"/>
      <c r="E152" s="866">
        <f t="shared" ref="E152:P152" si="81">E115+E132+E151</f>
        <v>1346.4562041324</v>
      </c>
      <c r="F152" s="866">
        <f t="shared" si="81"/>
        <v>1270.30691203325</v>
      </c>
      <c r="G152" s="866">
        <f t="shared" si="81"/>
        <v>1371.54783077907</v>
      </c>
      <c r="H152" s="866">
        <f t="shared" si="81"/>
        <v>1267.50619554002</v>
      </c>
      <c r="I152" s="866">
        <f t="shared" si="81"/>
        <v>1347.59706082497</v>
      </c>
      <c r="J152" s="866">
        <f t="shared" si="81"/>
        <v>1493.66611330352</v>
      </c>
      <c r="K152" s="866">
        <f t="shared" si="81"/>
        <v>1323.46536254194</v>
      </c>
      <c r="L152" s="866">
        <f t="shared" si="81"/>
        <v>1400.66845568769</v>
      </c>
      <c r="M152" s="866">
        <f t="shared" si="81"/>
        <v>1344.80549753675</v>
      </c>
      <c r="N152" s="866">
        <f t="shared" si="81"/>
        <v>1362.95683064955</v>
      </c>
      <c r="O152" s="866">
        <f t="shared" si="81"/>
        <v>1442.63582256862</v>
      </c>
      <c r="P152" s="866">
        <f t="shared" si="81"/>
        <v>1368.55368126958</v>
      </c>
      <c r="Q152" s="866">
        <f t="shared" si="79"/>
        <v>16340.1659668674</v>
      </c>
      <c r="R152" s="863"/>
      <c r="S152" s="863"/>
    </row>
    <row r="153" ht="15" hidden="1" spans="3:19">
      <c r="C153" s="285" t="s">
        <v>224</v>
      </c>
      <c r="D153" s="286"/>
      <c r="E153" s="866">
        <f t="shared" ref="E153:P153" si="82">E152+E98</f>
        <v>2614.6087571324</v>
      </c>
      <c r="F153" s="866">
        <f t="shared" si="82"/>
        <v>2731.50456303325</v>
      </c>
      <c r="G153" s="866">
        <f t="shared" si="82"/>
        <v>2526.22556977907</v>
      </c>
      <c r="H153" s="866">
        <f t="shared" si="82"/>
        <v>2332.48567894003</v>
      </c>
      <c r="I153" s="866">
        <f t="shared" si="82"/>
        <v>2397.85171882497</v>
      </c>
      <c r="J153" s="866">
        <f t="shared" si="82"/>
        <v>2506.22290830352</v>
      </c>
      <c r="K153" s="866">
        <f t="shared" si="82"/>
        <v>2319.96266654194</v>
      </c>
      <c r="L153" s="866">
        <f t="shared" si="82"/>
        <v>2356.80389867769</v>
      </c>
      <c r="M153" s="866">
        <f t="shared" si="82"/>
        <v>2260.87350868675</v>
      </c>
      <c r="N153" s="866">
        <f t="shared" si="82"/>
        <v>2293.56109824955</v>
      </c>
      <c r="O153" s="866">
        <f t="shared" si="82"/>
        <v>2395.65390556862</v>
      </c>
      <c r="P153" s="866">
        <f t="shared" si="82"/>
        <v>2355.46991526958</v>
      </c>
      <c r="Q153" s="866">
        <f t="shared" si="79"/>
        <v>29091.2241890074</v>
      </c>
      <c r="R153" s="863"/>
      <c r="S153" s="863"/>
    </row>
    <row r="154" ht="15" hidden="1" spans="3:19">
      <c r="C154" s="370"/>
      <c r="D154" s="370"/>
      <c r="E154" s="863"/>
      <c r="F154" s="863"/>
      <c r="G154" s="863"/>
      <c r="H154" s="863"/>
      <c r="I154" s="863"/>
      <c r="J154" s="863"/>
      <c r="K154" s="863"/>
      <c r="L154" s="863"/>
      <c r="M154" s="863"/>
      <c r="N154" s="863"/>
      <c r="O154" s="863"/>
      <c r="P154" s="863"/>
      <c r="Q154" s="863"/>
      <c r="R154" s="863"/>
      <c r="S154" s="863"/>
    </row>
    <row r="155" ht="15" hidden="1" spans="3:19">
      <c r="C155" s="369"/>
      <c r="E155" s="863"/>
      <c r="F155" s="863"/>
      <c r="G155" s="863"/>
      <c r="H155" s="863"/>
      <c r="I155" s="863"/>
      <c r="J155" s="863"/>
      <c r="K155" s="863"/>
      <c r="L155" s="863"/>
      <c r="M155" s="863"/>
      <c r="N155" s="863"/>
      <c r="O155" s="863"/>
      <c r="P155" s="863"/>
      <c r="Q155" s="870" t="s">
        <v>236</v>
      </c>
      <c r="R155" s="863"/>
      <c r="S155" s="863"/>
    </row>
    <row r="156" ht="15" hidden="1" spans="3:19">
      <c r="C156" s="401" t="s">
        <v>159</v>
      </c>
      <c r="D156" s="401"/>
      <c r="E156" s="864" t="s">
        <v>260</v>
      </c>
      <c r="F156" s="864"/>
      <c r="G156" s="864"/>
      <c r="H156" s="864"/>
      <c r="I156" s="864"/>
      <c r="J156" s="864"/>
      <c r="K156" s="864"/>
      <c r="L156" s="864"/>
      <c r="M156" s="864"/>
      <c r="N156" s="864"/>
      <c r="O156" s="864"/>
      <c r="P156" s="864"/>
      <c r="Q156" s="864"/>
      <c r="R156" s="863"/>
      <c r="S156" s="863"/>
    </row>
    <row r="157" ht="15" hidden="1" spans="3:19">
      <c r="C157" s="401"/>
      <c r="D157" s="401"/>
      <c r="E157" s="864" t="s">
        <v>246</v>
      </c>
      <c r="F157" s="864" t="s">
        <v>247</v>
      </c>
      <c r="G157" s="864" t="s">
        <v>248</v>
      </c>
      <c r="H157" s="864" t="s">
        <v>249</v>
      </c>
      <c r="I157" s="864" t="s">
        <v>250</v>
      </c>
      <c r="J157" s="864" t="s">
        <v>251</v>
      </c>
      <c r="K157" s="864" t="s">
        <v>252</v>
      </c>
      <c r="L157" s="864" t="s">
        <v>253</v>
      </c>
      <c r="M157" s="864" t="s">
        <v>254</v>
      </c>
      <c r="N157" s="864" t="s">
        <v>255</v>
      </c>
      <c r="O157" s="864" t="s">
        <v>256</v>
      </c>
      <c r="P157" s="864" t="s">
        <v>257</v>
      </c>
      <c r="Q157" s="864" t="s">
        <v>97</v>
      </c>
      <c r="R157" s="863"/>
      <c r="S157" s="863"/>
    </row>
    <row r="158" ht="15" hidden="1" spans="3:19">
      <c r="C158" s="285" t="s">
        <v>170</v>
      </c>
      <c r="D158" s="286"/>
      <c r="E158" s="787"/>
      <c r="F158" s="787"/>
      <c r="G158" s="787"/>
      <c r="H158" s="787"/>
      <c r="I158" s="787"/>
      <c r="J158" s="787"/>
      <c r="K158" s="787"/>
      <c r="L158" s="787"/>
      <c r="M158" s="787"/>
      <c r="N158" s="787"/>
      <c r="O158" s="787"/>
      <c r="P158" s="787"/>
      <c r="Q158" s="866"/>
      <c r="R158" s="863"/>
      <c r="S158" s="863"/>
    </row>
    <row r="159" ht="15" hidden="1" spans="3:19">
      <c r="C159" s="296" t="s">
        <v>171</v>
      </c>
      <c r="D159" s="296" t="s">
        <v>172</v>
      </c>
      <c r="E159" s="787">
        <f>[17]Sales_SP!CT10</f>
        <v>889.482661</v>
      </c>
      <c r="F159" s="787">
        <f>[17]Sales_SP!CU10</f>
        <v>1007.1437855</v>
      </c>
      <c r="G159" s="787">
        <f>[17]Sales_SP!CV10</f>
        <v>774.11618395</v>
      </c>
      <c r="H159" s="787">
        <f>[17]Sales_SP!CW10</f>
        <v>787.64137773</v>
      </c>
      <c r="I159" s="787">
        <f>[17]Sales_SP!CX10</f>
        <v>711.48126579</v>
      </c>
      <c r="J159" s="787">
        <f>[17]Sales_SP!CY10</f>
        <v>733.62959309</v>
      </c>
      <c r="K159" s="787">
        <f>[17]Sales_SP!CZ10</f>
        <v>716.03611939</v>
      </c>
      <c r="L159" s="787">
        <f>[17]Sales_SP!DA10</f>
        <v>619.75025767</v>
      </c>
      <c r="M159" s="787">
        <f>[17]Sales_SP!DB10</f>
        <v>597.95278521</v>
      </c>
      <c r="N159" s="787">
        <f>[17]Sales_SP!DC10</f>
        <v>616.09748825</v>
      </c>
      <c r="O159" s="787">
        <f>[17]Sales_SP!DD10</f>
        <v>615.98324113</v>
      </c>
      <c r="P159" s="787">
        <f>[17]Sales_SP!DE10</f>
        <v>842.5288991</v>
      </c>
      <c r="Q159" s="866">
        <f t="shared" ref="Q159:Q172" si="83">SUM(E159:P159)</f>
        <v>8911.84365781</v>
      </c>
      <c r="R159" s="863"/>
      <c r="S159" s="863"/>
    </row>
    <row r="160" ht="15" hidden="1" spans="3:19">
      <c r="C160" s="296" t="s">
        <v>173</v>
      </c>
      <c r="D160" s="296" t="s">
        <v>174</v>
      </c>
      <c r="E160" s="787">
        <f>[17]Sales_SP!CT23</f>
        <v>157.241375</v>
      </c>
      <c r="F160" s="787">
        <f>[17]Sales_SP!CU23</f>
        <v>245.755592</v>
      </c>
      <c r="G160" s="787">
        <f>[17]Sales_SP!CV23</f>
        <v>166.2556645</v>
      </c>
      <c r="H160" s="787">
        <f>[17]Sales_SP!CW23</f>
        <v>165.3770375</v>
      </c>
      <c r="I160" s="787">
        <f>[17]Sales_SP!CX23</f>
        <v>155.674095</v>
      </c>
      <c r="J160" s="787">
        <f>[17]Sales_SP!CY23</f>
        <v>171.68024801</v>
      </c>
      <c r="K160" s="787">
        <f>[17]Sales_SP!CZ23</f>
        <v>177.68252325</v>
      </c>
      <c r="L160" s="787">
        <f>[17]Sales_SP!DA23</f>
        <v>167.36727319</v>
      </c>
      <c r="M160" s="787">
        <f>[17]Sales_SP!DB23</f>
        <v>169.94316952</v>
      </c>
      <c r="N160" s="787">
        <f>[17]Sales_SP!DC23</f>
        <v>173.3462431</v>
      </c>
      <c r="O160" s="787">
        <f>[17]Sales_SP!DD23</f>
        <v>180.2769248</v>
      </c>
      <c r="P160" s="787">
        <f>[17]Sales_SP!DE23</f>
        <v>229.97228746</v>
      </c>
      <c r="Q160" s="866">
        <f t="shared" si="83"/>
        <v>2160.57243333</v>
      </c>
      <c r="R160" s="863"/>
      <c r="S160" s="863"/>
    </row>
    <row r="161" ht="15" hidden="1" spans="3:19">
      <c r="C161" s="296" t="s">
        <v>175</v>
      </c>
      <c r="D161" s="296" t="s">
        <v>176</v>
      </c>
      <c r="E161" s="787">
        <f>[17]Sales_SP!CT36</f>
        <v>81.518555</v>
      </c>
      <c r="F161" s="787">
        <f>[17]Sales_SP!CU36</f>
        <v>63.440446</v>
      </c>
      <c r="G161" s="787">
        <f>[17]Sales_SP!CV36</f>
        <v>63.1360545</v>
      </c>
      <c r="H161" s="787">
        <f>[17]Sales_SP!CW36</f>
        <v>66.772574</v>
      </c>
      <c r="I161" s="787">
        <f>[17]Sales_SP!CX36</f>
        <v>64.056426</v>
      </c>
      <c r="J161" s="787">
        <f>[17]Sales_SP!CY36</f>
        <v>70.532176</v>
      </c>
      <c r="K161" s="787">
        <f>[17]Sales_SP!CZ36</f>
        <v>69.908382</v>
      </c>
      <c r="L161" s="787">
        <f>[17]Sales_SP!DA36</f>
        <v>77.5692</v>
      </c>
      <c r="M161" s="787">
        <f>[17]Sales_SP!DB36</f>
        <v>87.046812</v>
      </c>
      <c r="N161" s="787">
        <f>[17]Sales_SP!DC36</f>
        <v>78.657146</v>
      </c>
      <c r="O161" s="787">
        <f>[17]Sales_SP!DD36</f>
        <v>76.932426</v>
      </c>
      <c r="P161" s="787">
        <f>[17]Sales_SP!DE36</f>
        <v>80.436896</v>
      </c>
      <c r="Q161" s="866">
        <f t="shared" si="83"/>
        <v>880.0070935</v>
      </c>
      <c r="R161" s="863"/>
      <c r="S161" s="863"/>
    </row>
    <row r="162" ht="15" hidden="1" spans="3:19">
      <c r="C162" s="296" t="s">
        <v>177</v>
      </c>
      <c r="D162" s="296" t="s">
        <v>178</v>
      </c>
      <c r="E162" s="787">
        <f>[17]Sales_SP!CT43</f>
        <v>1.115069</v>
      </c>
      <c r="F162" s="787">
        <f>[17]Sales_SP!CU43</f>
        <v>0.815745</v>
      </c>
      <c r="G162" s="787">
        <f>[17]Sales_SP!CV43</f>
        <v>0.760655</v>
      </c>
      <c r="H162" s="787">
        <f>[17]Sales_SP!CW43</f>
        <v>0.807323</v>
      </c>
      <c r="I162" s="787">
        <f>[17]Sales_SP!CX43</f>
        <v>0.67538</v>
      </c>
      <c r="J162" s="787">
        <f>[17]Sales_SP!CY43</f>
        <v>0.80567</v>
      </c>
      <c r="K162" s="787">
        <f>[17]Sales_SP!CZ43</f>
        <v>0.767763</v>
      </c>
      <c r="L162" s="787">
        <f>[17]Sales_SP!DA43</f>
        <v>0.727058</v>
      </c>
      <c r="M162" s="787">
        <f>[17]Sales_SP!DB43</f>
        <v>0.813521</v>
      </c>
      <c r="N162" s="787">
        <f>[17]Sales_SP!DC43</f>
        <v>0.735393</v>
      </c>
      <c r="O162" s="787">
        <f>[17]Sales_SP!DD43</f>
        <v>0.738009</v>
      </c>
      <c r="P162" s="787">
        <f>[17]Sales_SP!DE43</f>
        <v>0.817645</v>
      </c>
      <c r="Q162" s="866">
        <f t="shared" si="83"/>
        <v>9.579231</v>
      </c>
      <c r="R162" s="863"/>
      <c r="S162" s="863"/>
    </row>
    <row r="163" ht="15" hidden="1" spans="3:19">
      <c r="C163" s="296" t="s">
        <v>179</v>
      </c>
      <c r="D163" s="296" t="s">
        <v>180</v>
      </c>
      <c r="E163" s="787">
        <v>0</v>
      </c>
      <c r="F163" s="787">
        <v>0</v>
      </c>
      <c r="G163" s="787">
        <v>0</v>
      </c>
      <c r="H163" s="787">
        <v>0</v>
      </c>
      <c r="I163" s="787">
        <v>0</v>
      </c>
      <c r="J163" s="787">
        <v>0</v>
      </c>
      <c r="K163" s="787">
        <v>0</v>
      </c>
      <c r="L163" s="787">
        <v>0</v>
      </c>
      <c r="M163" s="787">
        <v>0</v>
      </c>
      <c r="N163" s="787">
        <v>0</v>
      </c>
      <c r="O163" s="787">
        <v>0</v>
      </c>
      <c r="P163" s="787">
        <v>0</v>
      </c>
      <c r="Q163" s="866">
        <f t="shared" si="83"/>
        <v>0</v>
      </c>
      <c r="R163" s="863"/>
      <c r="S163" s="863"/>
    </row>
    <row r="164" ht="15" hidden="1" spans="3:19">
      <c r="C164" s="296" t="s">
        <v>181</v>
      </c>
      <c r="D164" s="296" t="s">
        <v>182</v>
      </c>
      <c r="E164" s="787">
        <f>[17]Sales_SP!CT54</f>
        <v>45.4151409</v>
      </c>
      <c r="F164" s="787">
        <f>[17]Sales_SP!CU54</f>
        <v>41.22368106</v>
      </c>
      <c r="G164" s="787">
        <f>[17]Sales_SP!CV54</f>
        <v>40.33599186</v>
      </c>
      <c r="H164" s="787">
        <f>[17]Sales_SP!CW54</f>
        <v>44.05345225</v>
      </c>
      <c r="I164" s="787">
        <f>[17]Sales_SP!CX54</f>
        <v>36.911133</v>
      </c>
      <c r="J164" s="787">
        <f>[17]Sales_SP!CY54</f>
        <v>36.38</v>
      </c>
      <c r="K164" s="787">
        <f>[17]Sales_SP!CZ54</f>
        <v>38.78735625</v>
      </c>
      <c r="L164" s="787">
        <f>[17]Sales_SP!DA54</f>
        <v>39.129566</v>
      </c>
      <c r="M164" s="787">
        <f>[17]Sales_SP!DB54</f>
        <v>39.831662</v>
      </c>
      <c r="N164" s="787">
        <f>[17]Sales_SP!DC54</f>
        <v>38.81545775</v>
      </c>
      <c r="O164" s="787">
        <f>[17]Sales_SP!DD54</f>
        <v>36.45786175</v>
      </c>
      <c r="P164" s="787">
        <f>[17]Sales_SP!DE54</f>
        <v>40.8764126</v>
      </c>
      <c r="Q164" s="866">
        <f t="shared" si="83"/>
        <v>478.21771542</v>
      </c>
      <c r="R164" s="863"/>
      <c r="S164" s="863"/>
    </row>
    <row r="165" ht="15" hidden="1" spans="3:19">
      <c r="C165" s="296" t="s">
        <v>183</v>
      </c>
      <c r="D165" s="296" t="s">
        <v>184</v>
      </c>
      <c r="E165" s="787">
        <f>[17]Sales_SP!CT64</f>
        <v>2.141105</v>
      </c>
      <c r="F165" s="787">
        <f>[17]Sales_SP!CU64</f>
        <v>6.077554</v>
      </c>
      <c r="G165" s="787">
        <f>[17]Sales_SP!CV64</f>
        <v>3.59016925</v>
      </c>
      <c r="H165" s="787">
        <f>[17]Sales_SP!CW64</f>
        <v>3.49083375</v>
      </c>
      <c r="I165" s="787">
        <f>[17]Sales_SP!CX64</f>
        <v>3.271898</v>
      </c>
      <c r="J165" s="787">
        <f>[17]Sales_SP!CY64</f>
        <v>3.65</v>
      </c>
      <c r="K165" s="787">
        <f>[17]Sales_SP!CZ64</f>
        <v>3.649295</v>
      </c>
      <c r="L165" s="787">
        <f>[17]Sales_SP!DA64</f>
        <v>3.419242</v>
      </c>
      <c r="M165" s="787">
        <f>[17]Sales_SP!DB64</f>
        <v>3.638594</v>
      </c>
      <c r="N165" s="787">
        <f>[17]Sales_SP!DC64</f>
        <v>3.606449</v>
      </c>
      <c r="O165" s="787">
        <f>[17]Sales_SP!DD64</f>
        <v>4.993773</v>
      </c>
      <c r="P165" s="787">
        <f>[17]Sales_SP!DE64</f>
        <v>6.1809067</v>
      </c>
      <c r="Q165" s="866">
        <f t="shared" si="83"/>
        <v>47.7098197</v>
      </c>
      <c r="R165" s="863"/>
      <c r="S165" s="863"/>
    </row>
    <row r="166" ht="15" hidden="1" spans="3:19">
      <c r="C166" s="296" t="s">
        <v>185</v>
      </c>
      <c r="D166" s="296" t="s">
        <v>186</v>
      </c>
      <c r="E166" s="787">
        <f>[17]Sales_SP!CT69</f>
        <v>3.94086732</v>
      </c>
      <c r="F166" s="787">
        <f>[17]Sales_SP!CU69</f>
        <v>4.516936</v>
      </c>
      <c r="G166" s="787">
        <f>[17]Sales_SP!CV69</f>
        <v>3.017399</v>
      </c>
      <c r="H166" s="787">
        <f>[17]Sales_SP!CW69</f>
        <v>3.306336</v>
      </c>
      <c r="I166" s="787">
        <f>[17]Sales_SP!CX69</f>
        <v>3.423059</v>
      </c>
      <c r="J166" s="787">
        <f>[17]Sales_SP!CY69</f>
        <v>3.922136</v>
      </c>
      <c r="K166" s="787">
        <f>[17]Sales_SP!CZ69</f>
        <v>4.317746</v>
      </c>
      <c r="L166" s="787">
        <f>[17]Sales_SP!DA69</f>
        <v>4.214107</v>
      </c>
      <c r="M166" s="787">
        <f>[17]Sales_SP!DB69</f>
        <v>5.094679</v>
      </c>
      <c r="N166" s="787">
        <f>[17]Sales_SP!DC69</f>
        <v>5.290805</v>
      </c>
      <c r="O166" s="787">
        <f>[17]Sales_SP!DD69</f>
        <v>5.583481</v>
      </c>
      <c r="P166" s="787">
        <f>[17]Sales_SP!DE69</f>
        <v>6.801739</v>
      </c>
      <c r="Q166" s="866">
        <f t="shared" si="83"/>
        <v>53.42929032</v>
      </c>
      <c r="R166" s="863"/>
      <c r="S166" s="863"/>
    </row>
    <row r="167" ht="15" hidden="1" spans="3:19">
      <c r="C167" s="296" t="s">
        <v>187</v>
      </c>
      <c r="D167" s="296" t="s">
        <v>188</v>
      </c>
      <c r="E167" s="787">
        <f>[17]Sales_SP!CT70</f>
        <v>5.2e-5</v>
      </c>
      <c r="F167" s="787">
        <f>[17]Sales_SP!CU70</f>
        <v>0.000643</v>
      </c>
      <c r="G167" s="787">
        <f>[17]Sales_SP!CV70</f>
        <v>0.0004393</v>
      </c>
      <c r="H167" s="787">
        <f>[17]Sales_SP!CW70</f>
        <v>0.000616</v>
      </c>
      <c r="I167" s="787">
        <f>[17]Sales_SP!CX70</f>
        <v>0.00096</v>
      </c>
      <c r="J167" s="787">
        <f>[17]Sales_SP!CY70</f>
        <v>0.00159</v>
      </c>
      <c r="K167" s="787">
        <f>[17]Sales_SP!CZ70</f>
        <v>0.000971</v>
      </c>
      <c r="L167" s="787">
        <f>[17]Sales_SP!DA70</f>
        <v>0.006312</v>
      </c>
      <c r="M167" s="787">
        <f>[17]Sales_SP!DB70</f>
        <v>0.002167</v>
      </c>
      <c r="N167" s="787">
        <f>[17]Sales_SP!DC70</f>
        <v>0.001029</v>
      </c>
      <c r="O167" s="787">
        <f>[17]Sales_SP!DD70</f>
        <v>0.003907</v>
      </c>
      <c r="P167" s="787">
        <f>[17]Sales_SP!DE70</f>
        <v>0.000816</v>
      </c>
      <c r="Q167" s="866">
        <f t="shared" si="83"/>
        <v>0.0195023</v>
      </c>
      <c r="R167" s="863"/>
      <c r="S167" s="863"/>
    </row>
    <row r="168" ht="15" hidden="1" spans="3:19">
      <c r="C168" s="296"/>
      <c r="D168" s="296"/>
      <c r="E168" s="787"/>
      <c r="F168" s="787"/>
      <c r="G168" s="787"/>
      <c r="H168" s="787"/>
      <c r="I168" s="787"/>
      <c r="J168" s="787"/>
      <c r="K168" s="787"/>
      <c r="L168" s="787"/>
      <c r="M168" s="787"/>
      <c r="N168" s="787"/>
      <c r="O168" s="787"/>
      <c r="P168" s="787"/>
      <c r="Q168" s="866">
        <f t="shared" si="83"/>
        <v>0</v>
      </c>
      <c r="R168" s="863"/>
      <c r="S168" s="863"/>
    </row>
    <row r="169" ht="15" hidden="1" spans="3:19">
      <c r="C169" s="296"/>
      <c r="D169" s="296"/>
      <c r="E169" s="787"/>
      <c r="F169" s="787"/>
      <c r="G169" s="787"/>
      <c r="H169" s="787"/>
      <c r="I169" s="787"/>
      <c r="J169" s="787"/>
      <c r="K169" s="787"/>
      <c r="L169" s="787"/>
      <c r="M169" s="787"/>
      <c r="N169" s="787"/>
      <c r="O169" s="787"/>
      <c r="P169" s="787"/>
      <c r="Q169" s="866">
        <f t="shared" si="83"/>
        <v>0</v>
      </c>
      <c r="R169" s="863"/>
      <c r="S169" s="863"/>
    </row>
    <row r="170" ht="15" hidden="1" spans="3:19">
      <c r="C170" s="296"/>
      <c r="D170" s="296"/>
      <c r="E170" s="787"/>
      <c r="F170" s="787"/>
      <c r="G170" s="787"/>
      <c r="H170" s="787"/>
      <c r="I170" s="787"/>
      <c r="J170" s="787"/>
      <c r="K170" s="787"/>
      <c r="L170" s="787"/>
      <c r="M170" s="787"/>
      <c r="N170" s="787"/>
      <c r="O170" s="787"/>
      <c r="P170" s="787"/>
      <c r="Q170" s="866">
        <f t="shared" si="83"/>
        <v>0</v>
      </c>
      <c r="R170" s="863"/>
      <c r="S170" s="863"/>
    </row>
    <row r="171" ht="15" hidden="1" spans="3:19">
      <c r="C171" s="296" t="s">
        <v>258</v>
      </c>
      <c r="D171" s="296" t="s">
        <v>258</v>
      </c>
      <c r="E171" s="787"/>
      <c r="F171" s="787"/>
      <c r="G171" s="787"/>
      <c r="H171" s="787"/>
      <c r="I171" s="787"/>
      <c r="J171" s="787"/>
      <c r="K171" s="787"/>
      <c r="L171" s="787"/>
      <c r="M171" s="787"/>
      <c r="N171" s="787"/>
      <c r="O171" s="787"/>
      <c r="P171" s="787"/>
      <c r="Q171" s="866">
        <f t="shared" si="83"/>
        <v>0</v>
      </c>
      <c r="R171" s="863"/>
      <c r="S171" s="863"/>
    </row>
    <row r="172" ht="15" hidden="1" spans="3:19">
      <c r="C172" s="285" t="s">
        <v>189</v>
      </c>
      <c r="D172" s="286"/>
      <c r="E172" s="866">
        <f t="shared" ref="E172:P172" si="84">SUM(E159:E171)</f>
        <v>1180.85482522</v>
      </c>
      <c r="F172" s="866">
        <f t="shared" si="84"/>
        <v>1368.97438256</v>
      </c>
      <c r="G172" s="866">
        <f t="shared" si="84"/>
        <v>1051.21255736</v>
      </c>
      <c r="H172" s="866">
        <f t="shared" si="84"/>
        <v>1071.44955023</v>
      </c>
      <c r="I172" s="866">
        <f t="shared" si="84"/>
        <v>975.49421679</v>
      </c>
      <c r="J172" s="866">
        <f t="shared" si="84"/>
        <v>1020.6014131</v>
      </c>
      <c r="K172" s="866">
        <f t="shared" si="84"/>
        <v>1011.15015589</v>
      </c>
      <c r="L172" s="866">
        <f t="shared" si="84"/>
        <v>912.18301586</v>
      </c>
      <c r="M172" s="866">
        <f t="shared" si="84"/>
        <v>904.32338973</v>
      </c>
      <c r="N172" s="866">
        <f t="shared" si="84"/>
        <v>916.5500111</v>
      </c>
      <c r="O172" s="866">
        <f t="shared" si="84"/>
        <v>920.96962368</v>
      </c>
      <c r="P172" s="866">
        <f t="shared" si="84"/>
        <v>1207.61560186</v>
      </c>
      <c r="Q172" s="866">
        <f t="shared" si="83"/>
        <v>12541.37874338</v>
      </c>
      <c r="R172" s="863"/>
      <c r="S172" s="863"/>
    </row>
    <row r="173" ht="15" hidden="1" spans="3:19">
      <c r="C173" s="285" t="s">
        <v>190</v>
      </c>
      <c r="D173" s="286"/>
      <c r="E173" s="787"/>
      <c r="F173" s="787"/>
      <c r="G173" s="787"/>
      <c r="H173" s="787"/>
      <c r="I173" s="787"/>
      <c r="J173" s="787"/>
      <c r="K173" s="787"/>
      <c r="L173" s="787"/>
      <c r="M173" s="787"/>
      <c r="N173" s="787"/>
      <c r="O173" s="787"/>
      <c r="P173" s="787"/>
      <c r="Q173" s="866"/>
      <c r="R173" s="863"/>
      <c r="S173" s="863"/>
    </row>
    <row r="174" ht="15" hidden="1" spans="3:19">
      <c r="C174" s="296" t="s">
        <v>191</v>
      </c>
      <c r="D174" s="296" t="s">
        <v>192</v>
      </c>
      <c r="E174" s="787">
        <f>[17]Sales_SP!CT89</f>
        <v>179.85</v>
      </c>
      <c r="F174" s="787">
        <f>[17]Sales_SP!CU89</f>
        <v>226.56</v>
      </c>
      <c r="G174" s="787">
        <f>[17]Sales_SP!CV89</f>
        <v>284.68</v>
      </c>
      <c r="H174" s="787">
        <f>[17]Sales_SP!CW89</f>
        <v>284.77</v>
      </c>
      <c r="I174" s="787">
        <f>[17]Sales_SP!CX89</f>
        <v>286.1</v>
      </c>
      <c r="J174" s="787">
        <f>[17]Sales_SP!CY89</f>
        <v>302.35</v>
      </c>
      <c r="K174" s="787">
        <f>[17]Sales_SP!CZ89</f>
        <v>296.49</v>
      </c>
      <c r="L174" s="787">
        <f>[17]Sales_SP!DA89</f>
        <v>312.36</v>
      </c>
      <c r="M174" s="787">
        <f>[17]Sales_SP!DB89</f>
        <v>321.46</v>
      </c>
      <c r="N174" s="787">
        <f>[17]Sales_SP!DC89</f>
        <v>328.87</v>
      </c>
      <c r="O174" s="787">
        <f>[17]Sales_SP!DD89</f>
        <v>328.01</v>
      </c>
      <c r="P174" s="787">
        <f>[17]Sales_SP!DE89</f>
        <v>308.7168271</v>
      </c>
      <c r="Q174" s="866">
        <f t="shared" ref="Q174:Q189" si="85">SUM(E174:P174)</f>
        <v>3460.2168271</v>
      </c>
      <c r="R174" s="863"/>
      <c r="S174" s="863"/>
    </row>
    <row r="175" ht="15" hidden="1" spans="3:19">
      <c r="C175" s="296" t="s">
        <v>193</v>
      </c>
      <c r="D175" s="296" t="s">
        <v>194</v>
      </c>
      <c r="E175" s="787">
        <f>[17]Sales_SP!$CT$104</f>
        <v>0</v>
      </c>
      <c r="F175" s="787">
        <f>[17]Sales_SP!$CT$104</f>
        <v>0</v>
      </c>
      <c r="G175" s="787">
        <f>[17]Sales_SP!$CT$104</f>
        <v>0</v>
      </c>
      <c r="H175" s="787">
        <f>[17]Sales_SP!$CT$104</f>
        <v>0</v>
      </c>
      <c r="I175" s="787">
        <f>[17]Sales_SP!$CT$104</f>
        <v>0</v>
      </c>
      <c r="J175" s="787">
        <f>[17]Sales_SP!$CT$104</f>
        <v>0</v>
      </c>
      <c r="K175" s="787">
        <f>[17]Sales_SP!$CT$104</f>
        <v>0</v>
      </c>
      <c r="L175" s="787">
        <f>[17]Sales_SP!$CT$104</f>
        <v>0</v>
      </c>
      <c r="M175" s="787">
        <f>[17]Sales_SP!$CT$104</f>
        <v>0</v>
      </c>
      <c r="N175" s="787">
        <f>[17]Sales_SP!$CT$104</f>
        <v>0</v>
      </c>
      <c r="O175" s="787">
        <f>[17]Sales_SP!$CT$104</f>
        <v>0</v>
      </c>
      <c r="P175" s="787">
        <f>[17]Sales_SP!$CT$104</f>
        <v>0</v>
      </c>
      <c r="Q175" s="866">
        <f t="shared" si="85"/>
        <v>0</v>
      </c>
      <c r="R175" s="863"/>
      <c r="S175" s="863"/>
    </row>
    <row r="176" ht="15" hidden="1" spans="3:19">
      <c r="C176" s="296" t="s">
        <v>239</v>
      </c>
      <c r="D176" s="296" t="s">
        <v>196</v>
      </c>
      <c r="E176" s="787">
        <f>[17]Sales_SP!CT110</f>
        <v>82.26</v>
      </c>
      <c r="F176" s="787">
        <f>[17]Sales_SP!CU110</f>
        <v>85.21</v>
      </c>
      <c r="G176" s="787">
        <f>[17]Sales_SP!CV110</f>
        <v>106.06</v>
      </c>
      <c r="H176" s="787">
        <f>[17]Sales_SP!CW110</f>
        <v>96.06</v>
      </c>
      <c r="I176" s="787">
        <f>[17]Sales_SP!CX110</f>
        <v>97.93</v>
      </c>
      <c r="J176" s="787">
        <f>[17]Sales_SP!CY110</f>
        <v>100.08</v>
      </c>
      <c r="K176" s="787">
        <f>[17]Sales_SP!CZ110</f>
        <v>101.43</v>
      </c>
      <c r="L176" s="787">
        <f>[17]Sales_SP!DA110</f>
        <v>102.75</v>
      </c>
      <c r="M176" s="787">
        <f>[17]Sales_SP!DB110</f>
        <v>96.2</v>
      </c>
      <c r="N176" s="787">
        <f>[17]Sales_SP!DC110</f>
        <v>98.12473311</v>
      </c>
      <c r="O176" s="787">
        <f>[17]Sales_SP!DD110</f>
        <v>105.462729</v>
      </c>
      <c r="P176" s="787">
        <f>[17]Sales_SP!DE110</f>
        <v>110.210156</v>
      </c>
      <c r="Q176" s="866">
        <f t="shared" si="85"/>
        <v>1181.77761811</v>
      </c>
      <c r="R176" s="863"/>
      <c r="S176" s="863"/>
    </row>
    <row r="177" ht="15" hidden="1" spans="3:19">
      <c r="C177" s="296" t="s">
        <v>197</v>
      </c>
      <c r="D177" s="296" t="s">
        <v>198</v>
      </c>
      <c r="E177" s="787">
        <f>[17]Sales_SP!CT115</f>
        <v>0</v>
      </c>
      <c r="F177" s="787">
        <f>[17]Sales_SP!CU115</f>
        <v>0</v>
      </c>
      <c r="G177" s="787">
        <f>[17]Sales_SP!CV115</f>
        <v>0</v>
      </c>
      <c r="H177" s="787">
        <f>[17]Sales_SP!CW115</f>
        <v>0</v>
      </c>
      <c r="I177" s="787">
        <f>[17]Sales_SP!CX115</f>
        <v>0</v>
      </c>
      <c r="J177" s="787">
        <f>[17]Sales_SP!CY115</f>
        <v>0</v>
      </c>
      <c r="K177" s="787">
        <f>[17]Sales_SP!CZ115</f>
        <v>0</v>
      </c>
      <c r="L177" s="787">
        <f>[17]Sales_SP!DA115</f>
        <v>0</v>
      </c>
      <c r="M177" s="787">
        <f>[17]Sales_SP!DB115</f>
        <v>0</v>
      </c>
      <c r="N177" s="787">
        <f>[17]Sales_SP!DC115</f>
        <v>0</v>
      </c>
      <c r="O177" s="787">
        <f>[17]Sales_SP!DD115</f>
        <v>0</v>
      </c>
      <c r="P177" s="787">
        <f>[17]Sales_SP!DE115</f>
        <v>0</v>
      </c>
      <c r="Q177" s="866">
        <f t="shared" si="85"/>
        <v>0</v>
      </c>
      <c r="R177" s="863"/>
      <c r="S177" s="863"/>
    </row>
    <row r="178" ht="15" hidden="1" spans="3:19">
      <c r="C178" s="296" t="s">
        <v>199</v>
      </c>
      <c r="D178" s="296" t="s">
        <v>200</v>
      </c>
      <c r="E178" s="787">
        <f>[17]Sales_SP!CT120</f>
        <v>0.16</v>
      </c>
      <c r="F178" s="787">
        <f>[17]Sales_SP!CU120</f>
        <v>0.13</v>
      </c>
      <c r="G178" s="787">
        <f>[17]Sales_SP!CV120</f>
        <v>0.18</v>
      </c>
      <c r="H178" s="787">
        <f>[17]Sales_SP!CW120</f>
        <v>0.19</v>
      </c>
      <c r="I178" s="787">
        <f>[17]Sales_SP!CX120</f>
        <v>0.19</v>
      </c>
      <c r="J178" s="787">
        <f>[17]Sales_SP!CY120</f>
        <v>0.18</v>
      </c>
      <c r="K178" s="787">
        <f>[17]Sales_SP!CZ120</f>
        <v>0.2</v>
      </c>
      <c r="L178" s="787">
        <f>[17]Sales_SP!DA120</f>
        <v>0.22</v>
      </c>
      <c r="M178" s="787">
        <f>[17]Sales_SP!DB120</f>
        <v>0.22</v>
      </c>
      <c r="N178" s="787">
        <f>[17]Sales_SP!DC120</f>
        <v>0.215848</v>
      </c>
      <c r="O178" s="787">
        <f>[17]Sales_SP!DD120</f>
        <v>0.218184</v>
      </c>
      <c r="P178" s="787">
        <f>[17]Sales_SP!DE120</f>
        <v>0.241401</v>
      </c>
      <c r="Q178" s="866">
        <f t="shared" si="85"/>
        <v>2.345433</v>
      </c>
      <c r="R178" s="863"/>
      <c r="S178" s="863"/>
    </row>
    <row r="179" ht="15" hidden="1" spans="3:19">
      <c r="C179" s="296" t="s">
        <v>201</v>
      </c>
      <c r="D179" s="296" t="s">
        <v>202</v>
      </c>
      <c r="E179" s="787">
        <f>[17]Sales_SP!CT126</f>
        <v>3.91</v>
      </c>
      <c r="F179" s="787">
        <f>[17]Sales_SP!CU126</f>
        <v>1.12</v>
      </c>
      <c r="G179" s="787">
        <f>[17]Sales_SP!CV126</f>
        <v>1.39</v>
      </c>
      <c r="H179" s="787">
        <f>[17]Sales_SP!CW126</f>
        <v>1.09</v>
      </c>
      <c r="I179" s="787">
        <f>[17]Sales_SP!CX126</f>
        <v>1.49</v>
      </c>
      <c r="J179" s="787">
        <f>[17]Sales_SP!CY126</f>
        <v>3.87</v>
      </c>
      <c r="K179" s="787">
        <f>[17]Sales_SP!CZ126</f>
        <v>3.19</v>
      </c>
      <c r="L179" s="787">
        <f>[17]Sales_SP!DA126</f>
        <v>4.29</v>
      </c>
      <c r="M179" s="787">
        <f>[17]Sales_SP!DB126</f>
        <v>2.37</v>
      </c>
      <c r="N179" s="787">
        <f>[17]Sales_SP!DC126</f>
        <v>5.82</v>
      </c>
      <c r="O179" s="787">
        <f>[17]Sales_SP!DD126</f>
        <v>6.69</v>
      </c>
      <c r="P179" s="787">
        <f>[17]Sales_SP!DE126</f>
        <v>6.89</v>
      </c>
      <c r="Q179" s="866">
        <f t="shared" si="85"/>
        <v>42.12</v>
      </c>
      <c r="R179" s="863"/>
      <c r="S179" s="863"/>
    </row>
    <row r="180" ht="15" hidden="1" spans="3:19">
      <c r="C180" s="296" t="s">
        <v>203</v>
      </c>
      <c r="D180" s="296" t="s">
        <v>204</v>
      </c>
      <c r="E180" s="787">
        <f>[17]Sales_SP!CT127</f>
        <v>9.29</v>
      </c>
      <c r="F180" s="787">
        <f>[17]Sales_SP!CU127</f>
        <v>9.21</v>
      </c>
      <c r="G180" s="787">
        <f>[17]Sales_SP!CV127</f>
        <v>8.94</v>
      </c>
      <c r="H180" s="787">
        <f>[17]Sales_SP!CW127</f>
        <v>8.9</v>
      </c>
      <c r="I180" s="787">
        <f>[17]Sales_SP!CX127</f>
        <v>8.82</v>
      </c>
      <c r="J180" s="787">
        <f>[17]Sales_SP!CY127</f>
        <v>9.34</v>
      </c>
      <c r="K180" s="787">
        <f>[17]Sales_SP!CZ127</f>
        <v>8.56</v>
      </c>
      <c r="L180" s="787">
        <f>[17]Sales_SP!DA127</f>
        <v>8.18</v>
      </c>
      <c r="M180" s="787">
        <f>[17]Sales_SP!DB127</f>
        <v>10.08</v>
      </c>
      <c r="N180" s="787">
        <f>[17]Sales_SP!DC127</f>
        <v>10.47</v>
      </c>
      <c r="O180" s="787">
        <f>[17]Sales_SP!DD127</f>
        <v>10.72</v>
      </c>
      <c r="P180" s="787">
        <f>[17]Sales_SP!DE127</f>
        <v>10.05</v>
      </c>
      <c r="Q180" s="866">
        <f t="shared" si="85"/>
        <v>112.56</v>
      </c>
      <c r="R180" s="863"/>
      <c r="S180" s="863"/>
    </row>
    <row r="181" ht="15" hidden="1" spans="3:19">
      <c r="C181" s="296" t="s">
        <v>205</v>
      </c>
      <c r="D181" s="296" t="s">
        <v>206</v>
      </c>
      <c r="E181" s="787">
        <f>[17]Sales_SP!CT131</f>
        <v>11.64</v>
      </c>
      <c r="F181" s="787">
        <f>[17]Sales_SP!CU131</f>
        <v>13.6</v>
      </c>
      <c r="G181" s="787">
        <f>[17]Sales_SP!CV131</f>
        <v>13.89</v>
      </c>
      <c r="H181" s="787">
        <f>[17]Sales_SP!CW131</f>
        <v>10.1</v>
      </c>
      <c r="I181" s="787">
        <f>[17]Sales_SP!CX131</f>
        <v>10.44</v>
      </c>
      <c r="J181" s="787">
        <f>[17]Sales_SP!CY131</f>
        <v>10.38</v>
      </c>
      <c r="K181" s="787">
        <f>[17]Sales_SP!CZ131</f>
        <v>10.01</v>
      </c>
      <c r="L181" s="787">
        <f>[17]Sales_SP!DA131</f>
        <v>9.76</v>
      </c>
      <c r="M181" s="787">
        <f>[17]Sales_SP!DB131</f>
        <v>9.04</v>
      </c>
      <c r="N181" s="787">
        <f>[17]Sales_SP!DC131</f>
        <v>9.14</v>
      </c>
      <c r="O181" s="787">
        <f>[17]Sales_SP!DD131</f>
        <v>9.49</v>
      </c>
      <c r="P181" s="787">
        <f>[17]Sales_SP!DE131</f>
        <v>10.1</v>
      </c>
      <c r="Q181" s="866">
        <f t="shared" si="85"/>
        <v>127.59</v>
      </c>
      <c r="R181" s="863"/>
      <c r="S181" s="863"/>
    </row>
    <row r="182" ht="15" hidden="1" spans="3:19">
      <c r="C182" s="296" t="s">
        <v>207</v>
      </c>
      <c r="D182" s="296" t="s">
        <v>186</v>
      </c>
      <c r="E182" s="787">
        <f>[17]Sales_SP!CT132</f>
        <v>4.92</v>
      </c>
      <c r="F182" s="787">
        <f>[17]Sales_SP!CU132</f>
        <v>5.26</v>
      </c>
      <c r="G182" s="787">
        <f>[17]Sales_SP!CV132</f>
        <v>5.93</v>
      </c>
      <c r="H182" s="787">
        <f>[17]Sales_SP!CW132</f>
        <v>5.85</v>
      </c>
      <c r="I182" s="787">
        <f>[17]Sales_SP!CX132</f>
        <v>6.77</v>
      </c>
      <c r="J182" s="787">
        <f>[17]Sales_SP!CY132</f>
        <v>7.14</v>
      </c>
      <c r="K182" s="787">
        <f>[17]Sales_SP!CZ132</f>
        <v>7.73</v>
      </c>
      <c r="L182" s="787">
        <f>[17]Sales_SP!DA132</f>
        <v>8.32</v>
      </c>
      <c r="M182" s="787">
        <f>[17]Sales_SP!DB132</f>
        <v>8.04</v>
      </c>
      <c r="N182" s="787">
        <f>[17]Sales_SP!DC132</f>
        <v>8.59</v>
      </c>
      <c r="O182" s="787">
        <f>[17]Sales_SP!DD132</f>
        <v>8.93</v>
      </c>
      <c r="P182" s="787">
        <f>[17]Sales_SP!DE132</f>
        <v>7.92</v>
      </c>
      <c r="Q182" s="866">
        <f t="shared" si="85"/>
        <v>85.4</v>
      </c>
      <c r="R182" s="863"/>
      <c r="S182" s="863"/>
    </row>
    <row r="183" ht="15" hidden="1" spans="3:19">
      <c r="C183" s="296" t="s">
        <v>208</v>
      </c>
      <c r="D183" s="296" t="s">
        <v>209</v>
      </c>
      <c r="E183" s="787">
        <f>[17]Sales_SP!CT133</f>
        <v>0</v>
      </c>
      <c r="F183" s="787">
        <f>[17]Sales_SP!CU133</f>
        <v>0</v>
      </c>
      <c r="G183" s="787">
        <f>[17]Sales_SP!CV133</f>
        <v>0</v>
      </c>
      <c r="H183" s="787">
        <f>[17]Sales_SP!CW133</f>
        <v>0</v>
      </c>
      <c r="I183" s="787">
        <f>[17]Sales_SP!CX133</f>
        <v>0</v>
      </c>
      <c r="J183" s="787">
        <f>[17]Sales_SP!CY133</f>
        <v>0</v>
      </c>
      <c r="K183" s="787">
        <f>[17]Sales_SP!CZ133</f>
        <v>0</v>
      </c>
      <c r="L183" s="787">
        <f>[17]Sales_SP!DA133</f>
        <v>0</v>
      </c>
      <c r="M183" s="787">
        <f>[17]Sales_SP!DB133</f>
        <v>0</v>
      </c>
      <c r="N183" s="787">
        <f>[17]Sales_SP!DC133</f>
        <v>0</v>
      </c>
      <c r="O183" s="787">
        <f>[17]Sales_SP!DD133</f>
        <v>0</v>
      </c>
      <c r="P183" s="787">
        <f>[17]Sales_SP!DE133</f>
        <v>0</v>
      </c>
      <c r="Q183" s="866">
        <f t="shared" si="85"/>
        <v>0</v>
      </c>
      <c r="R183" s="863"/>
      <c r="S183" s="863"/>
    </row>
    <row r="184" ht="15" hidden="1" spans="3:19">
      <c r="C184" s="296" t="s">
        <v>210</v>
      </c>
      <c r="D184" s="296" t="s">
        <v>188</v>
      </c>
      <c r="E184" s="787">
        <f>[17]Sales_SP!CT134</f>
        <v>0.03</v>
      </c>
      <c r="F184" s="787">
        <f>[17]Sales_SP!CU134</f>
        <v>0</v>
      </c>
      <c r="G184" s="787">
        <f>[17]Sales_SP!CV134</f>
        <v>0</v>
      </c>
      <c r="H184" s="787">
        <f>[17]Sales_SP!CW134</f>
        <v>0</v>
      </c>
      <c r="I184" s="787">
        <f>[17]Sales_SP!CX134</f>
        <v>0</v>
      </c>
      <c r="J184" s="787">
        <f>[17]Sales_SP!CY134</f>
        <v>0</v>
      </c>
      <c r="K184" s="787">
        <f>[17]Sales_SP!CZ134</f>
        <v>0.11</v>
      </c>
      <c r="L184" s="787">
        <f>[17]Sales_SP!DA134</f>
        <v>0.17</v>
      </c>
      <c r="M184" s="787">
        <f>[17]Sales_SP!DB134</f>
        <v>0.3</v>
      </c>
      <c r="N184" s="787">
        <f>[17]Sales_SP!DC134</f>
        <v>0.32</v>
      </c>
      <c r="O184" s="787">
        <f>[17]Sales_SP!DD134</f>
        <v>0.33</v>
      </c>
      <c r="P184" s="787">
        <f>[17]Sales_SP!DE134</f>
        <v>0.34</v>
      </c>
      <c r="Q184" s="866">
        <f t="shared" si="85"/>
        <v>1.6</v>
      </c>
      <c r="R184" s="863"/>
      <c r="S184" s="863"/>
    </row>
    <row r="185" ht="15" hidden="1" spans="3:19">
      <c r="C185" s="296"/>
      <c r="D185" s="296"/>
      <c r="E185" s="787"/>
      <c r="F185" s="787"/>
      <c r="G185" s="787"/>
      <c r="H185" s="787"/>
      <c r="I185" s="787"/>
      <c r="J185" s="787"/>
      <c r="K185" s="787"/>
      <c r="L185" s="787"/>
      <c r="M185" s="787"/>
      <c r="N185" s="787"/>
      <c r="O185" s="787"/>
      <c r="P185" s="787"/>
      <c r="Q185" s="866">
        <f t="shared" si="85"/>
        <v>0</v>
      </c>
      <c r="R185" s="863"/>
      <c r="S185" s="863"/>
    </row>
    <row r="186" ht="15" hidden="1" spans="3:19">
      <c r="C186" s="296"/>
      <c r="D186" s="296"/>
      <c r="E186" s="787"/>
      <c r="F186" s="787"/>
      <c r="G186" s="787"/>
      <c r="H186" s="787"/>
      <c r="I186" s="787"/>
      <c r="J186" s="787"/>
      <c r="K186" s="787"/>
      <c r="L186" s="787"/>
      <c r="M186" s="787"/>
      <c r="N186" s="787"/>
      <c r="O186" s="787"/>
      <c r="P186" s="787"/>
      <c r="Q186" s="866">
        <f t="shared" si="85"/>
        <v>0</v>
      </c>
      <c r="R186" s="863"/>
      <c r="S186" s="863"/>
    </row>
    <row r="187" ht="15" hidden="1" spans="3:19">
      <c r="C187" s="296"/>
      <c r="D187" s="296"/>
      <c r="E187" s="787"/>
      <c r="F187" s="787"/>
      <c r="G187" s="787"/>
      <c r="H187" s="787"/>
      <c r="I187" s="787"/>
      <c r="J187" s="787"/>
      <c r="K187" s="787"/>
      <c r="L187" s="787"/>
      <c r="M187" s="787"/>
      <c r="N187" s="787"/>
      <c r="O187" s="787"/>
      <c r="P187" s="787"/>
      <c r="Q187" s="866">
        <f t="shared" si="85"/>
        <v>0</v>
      </c>
      <c r="R187" s="863"/>
      <c r="S187" s="863"/>
    </row>
    <row r="188" ht="15" hidden="1" spans="3:19">
      <c r="C188" s="296" t="s">
        <v>258</v>
      </c>
      <c r="D188" s="296" t="s">
        <v>258</v>
      </c>
      <c r="E188" s="787"/>
      <c r="F188" s="787"/>
      <c r="G188" s="787"/>
      <c r="H188" s="787"/>
      <c r="I188" s="787"/>
      <c r="J188" s="787"/>
      <c r="K188" s="787"/>
      <c r="L188" s="787"/>
      <c r="M188" s="787"/>
      <c r="N188" s="787"/>
      <c r="O188" s="787"/>
      <c r="P188" s="787"/>
      <c r="Q188" s="866">
        <f t="shared" si="85"/>
        <v>0</v>
      </c>
      <c r="R188" s="863"/>
      <c r="S188" s="863"/>
    </row>
    <row r="189" ht="15" hidden="1" spans="3:19">
      <c r="C189" s="285" t="s">
        <v>211</v>
      </c>
      <c r="D189" s="286"/>
      <c r="E189" s="866">
        <f>SUM(E174:E188)</f>
        <v>292.06</v>
      </c>
      <c r="F189" s="866">
        <f t="shared" ref="F189:P189" si="86">SUM(F174:F188)</f>
        <v>341.09</v>
      </c>
      <c r="G189" s="866">
        <f t="shared" si="86"/>
        <v>421.07</v>
      </c>
      <c r="H189" s="866">
        <f t="shared" si="86"/>
        <v>406.96</v>
      </c>
      <c r="I189" s="866">
        <f t="shared" si="86"/>
        <v>411.74</v>
      </c>
      <c r="J189" s="866">
        <f t="shared" si="86"/>
        <v>433.34</v>
      </c>
      <c r="K189" s="866">
        <f t="shared" si="86"/>
        <v>427.72</v>
      </c>
      <c r="L189" s="866">
        <f t="shared" si="86"/>
        <v>446.05</v>
      </c>
      <c r="M189" s="866">
        <f t="shared" si="86"/>
        <v>447.71</v>
      </c>
      <c r="N189" s="866">
        <f t="shared" si="86"/>
        <v>461.55058111</v>
      </c>
      <c r="O189" s="866">
        <f t="shared" si="86"/>
        <v>469.850913</v>
      </c>
      <c r="P189" s="866">
        <f t="shared" si="86"/>
        <v>454.4683841</v>
      </c>
      <c r="Q189" s="866">
        <f t="shared" si="85"/>
        <v>5013.60987821</v>
      </c>
      <c r="R189" s="863"/>
      <c r="S189" s="863"/>
    </row>
    <row r="190" ht="15" hidden="1" spans="3:19">
      <c r="C190" s="285" t="s">
        <v>212</v>
      </c>
      <c r="D190" s="286"/>
      <c r="E190" s="787"/>
      <c r="F190" s="787"/>
      <c r="G190" s="787"/>
      <c r="H190" s="787"/>
      <c r="I190" s="787"/>
      <c r="J190" s="787"/>
      <c r="K190" s="787"/>
      <c r="L190" s="787"/>
      <c r="M190" s="787"/>
      <c r="N190" s="787"/>
      <c r="O190" s="787"/>
      <c r="P190" s="787"/>
      <c r="Q190" s="866"/>
      <c r="R190" s="863"/>
      <c r="S190" s="863"/>
    </row>
    <row r="191" ht="15" hidden="1" spans="3:19">
      <c r="C191" s="296" t="s">
        <v>191</v>
      </c>
      <c r="D191" s="296" t="s">
        <v>192</v>
      </c>
      <c r="E191" s="787">
        <f>[17]Sales_SP!CT152</f>
        <v>174.4</v>
      </c>
      <c r="F191" s="787">
        <f>[17]Sales_SP!CU152</f>
        <v>221.27</v>
      </c>
      <c r="G191" s="787">
        <f>[17]Sales_SP!CV152</f>
        <v>284.78</v>
      </c>
      <c r="H191" s="787">
        <f>[17]Sales_SP!CW152</f>
        <v>280.18</v>
      </c>
      <c r="I191" s="787">
        <f>[17]Sales_SP!CX152</f>
        <v>287.25</v>
      </c>
      <c r="J191" s="787">
        <f>[17]Sales_SP!CY152</f>
        <v>307.8</v>
      </c>
      <c r="K191" s="787">
        <f>[17]Sales_SP!CZ152</f>
        <v>311.07</v>
      </c>
      <c r="L191" s="787">
        <f>[17]Sales_SP!DA152</f>
        <v>319.32</v>
      </c>
      <c r="M191" s="787">
        <f>[17]Sales_SP!DB152</f>
        <v>312.07</v>
      </c>
      <c r="N191" s="787">
        <f>[17]Sales_SP!DC152</f>
        <v>339.89907744</v>
      </c>
      <c r="O191" s="787">
        <f>[17]Sales_SP!DD152</f>
        <v>367.04454</v>
      </c>
      <c r="P191" s="787">
        <f>[17]Sales_SP!DE152</f>
        <v>370.775284</v>
      </c>
      <c r="Q191" s="866">
        <f t="shared" ref="Q191:Q206" si="87">SUM(E191:P191)</f>
        <v>3575.85890144</v>
      </c>
      <c r="R191" s="863"/>
      <c r="S191" s="863"/>
    </row>
    <row r="192" ht="15" hidden="1" spans="3:19">
      <c r="C192" s="296" t="s">
        <v>193</v>
      </c>
      <c r="D192" s="296" t="s">
        <v>194</v>
      </c>
      <c r="E192" s="787">
        <f>[17]Sales_SP!CT168</f>
        <v>0.26</v>
      </c>
      <c r="F192" s="787">
        <f>[17]Sales_SP!CU168</f>
        <v>1.42</v>
      </c>
      <c r="G192" s="787">
        <f>[17]Sales_SP!CV168</f>
        <v>2.36</v>
      </c>
      <c r="H192" s="787">
        <f>[17]Sales_SP!CW168</f>
        <v>2.55</v>
      </c>
      <c r="I192" s="787">
        <f>[17]Sales_SP!CX168</f>
        <v>2.36</v>
      </c>
      <c r="J192" s="787">
        <f>[17]Sales_SP!CY168</f>
        <v>1.72</v>
      </c>
      <c r="K192" s="787">
        <f>[17]Sales_SP!CZ168</f>
        <v>2.3</v>
      </c>
      <c r="L192" s="787">
        <f>[17]Sales_SP!DA168</f>
        <v>2.58</v>
      </c>
      <c r="M192" s="787">
        <f>[17]Sales_SP!DB168</f>
        <v>2.38</v>
      </c>
      <c r="N192" s="787">
        <f>[17]Sales_SP!DC168</f>
        <v>2.6814</v>
      </c>
      <c r="O192" s="787">
        <f>[17]Sales_SP!DD168</f>
        <v>2.5048</v>
      </c>
      <c r="P192" s="787">
        <f>[17]Sales_SP!DE168</f>
        <v>2.37</v>
      </c>
      <c r="Q192" s="866">
        <f t="shared" si="87"/>
        <v>25.4862</v>
      </c>
      <c r="R192" s="863"/>
      <c r="S192" s="863"/>
    </row>
    <row r="193" ht="15" hidden="1" spans="3:19">
      <c r="C193" s="296" t="s">
        <v>239</v>
      </c>
      <c r="D193" s="296" t="s">
        <v>196</v>
      </c>
      <c r="E193" s="787">
        <f>[17]Sales_SP!CT174</f>
        <v>45.01</v>
      </c>
      <c r="F193" s="787">
        <f>[17]Sales_SP!CU174</f>
        <v>45.26</v>
      </c>
      <c r="G193" s="787">
        <f>[17]Sales_SP!CV174</f>
        <v>54.52</v>
      </c>
      <c r="H193" s="787">
        <f>[17]Sales_SP!CW174</f>
        <v>51.01</v>
      </c>
      <c r="I193" s="787">
        <f>[17]Sales_SP!CX174</f>
        <v>50.42</v>
      </c>
      <c r="J193" s="787">
        <f>[17]Sales_SP!CY174</f>
        <v>53.13</v>
      </c>
      <c r="K193" s="787">
        <f>[17]Sales_SP!CZ174</f>
        <v>53.19</v>
      </c>
      <c r="L193" s="787">
        <f>[17]Sales_SP!DA174</f>
        <v>53.73</v>
      </c>
      <c r="M193" s="787">
        <f>[17]Sales_SP!DB174</f>
        <v>51.79</v>
      </c>
      <c r="N193" s="787">
        <f>[17]Sales_SP!DC174</f>
        <v>54.133897</v>
      </c>
      <c r="O193" s="787">
        <f>[17]Sales_SP!DD174</f>
        <v>56.294178</v>
      </c>
      <c r="P193" s="787">
        <f>[17]Sales_SP!DE174</f>
        <v>57.692249</v>
      </c>
      <c r="Q193" s="866">
        <f t="shared" si="87"/>
        <v>626.180324</v>
      </c>
      <c r="R193" s="863"/>
      <c r="S193" s="863"/>
    </row>
    <row r="194" ht="15" hidden="1" spans="3:19">
      <c r="C194" s="296" t="s">
        <v>197</v>
      </c>
      <c r="D194" s="296" t="s">
        <v>198</v>
      </c>
      <c r="E194" s="787">
        <f>[17]Sales_SP!CT180</f>
        <v>0</v>
      </c>
      <c r="F194" s="787">
        <f>[17]Sales_SP!CU180</f>
        <v>0</v>
      </c>
      <c r="G194" s="787">
        <f>[17]Sales_SP!CV180</f>
        <v>0</v>
      </c>
      <c r="H194" s="787">
        <f>[17]Sales_SP!CW180</f>
        <v>0</v>
      </c>
      <c r="I194" s="787">
        <f>[17]Sales_SP!CX180</f>
        <v>0</v>
      </c>
      <c r="J194" s="787">
        <f>[17]Sales_SP!CY180</f>
        <v>0</v>
      </c>
      <c r="K194" s="787">
        <f>[17]Sales_SP!CZ180</f>
        <v>0</v>
      </c>
      <c r="L194" s="787">
        <f>[17]Sales_SP!DA180</f>
        <v>0</v>
      </c>
      <c r="M194" s="787">
        <f>[17]Sales_SP!DB180</f>
        <v>0</v>
      </c>
      <c r="N194" s="787">
        <f>[17]Sales_SP!DC180</f>
        <v>0</v>
      </c>
      <c r="O194" s="787">
        <f>[17]Sales_SP!DD180</f>
        <v>0</v>
      </c>
      <c r="P194" s="787">
        <f>[17]Sales_SP!DE180</f>
        <v>0</v>
      </c>
      <c r="Q194" s="866">
        <f t="shared" si="87"/>
        <v>0</v>
      </c>
      <c r="R194" s="863"/>
      <c r="S194" s="863"/>
    </row>
    <row r="195" ht="15" hidden="1" spans="3:19">
      <c r="C195" s="296" t="s">
        <v>199</v>
      </c>
      <c r="D195" s="296" t="s">
        <v>200</v>
      </c>
      <c r="E195" s="787">
        <f>[17]Sales_SP!CT185</f>
        <v>0</v>
      </c>
      <c r="F195" s="787">
        <f>[17]Sales_SP!CU185</f>
        <v>0</v>
      </c>
      <c r="G195" s="787">
        <f>[17]Sales_SP!CV185</f>
        <v>0</v>
      </c>
      <c r="H195" s="787">
        <f>[17]Sales_SP!CW185</f>
        <v>0</v>
      </c>
      <c r="I195" s="787">
        <f>[17]Sales_SP!CX185</f>
        <v>0</v>
      </c>
      <c r="J195" s="787">
        <f>[17]Sales_SP!CY185</f>
        <v>0</v>
      </c>
      <c r="K195" s="787">
        <f>[17]Sales_SP!CZ185</f>
        <v>0</v>
      </c>
      <c r="L195" s="787">
        <f>[17]Sales_SP!DA185</f>
        <v>0</v>
      </c>
      <c r="M195" s="787">
        <f>[17]Sales_SP!DB185</f>
        <v>0</v>
      </c>
      <c r="N195" s="787">
        <f>[17]Sales_SP!DC185</f>
        <v>0</v>
      </c>
      <c r="O195" s="787">
        <f>[17]Sales_SP!DD185</f>
        <v>0</v>
      </c>
      <c r="P195" s="787">
        <f>[17]Sales_SP!DE185</f>
        <v>0</v>
      </c>
      <c r="Q195" s="866">
        <f t="shared" si="87"/>
        <v>0</v>
      </c>
      <c r="R195" s="863"/>
      <c r="S195" s="863"/>
    </row>
    <row r="196" ht="15" hidden="1" spans="3:19">
      <c r="C196" s="296" t="s">
        <v>201</v>
      </c>
      <c r="D196" s="296" t="s">
        <v>202</v>
      </c>
      <c r="E196" s="787">
        <f>[17]Sales_SP!CT191</f>
        <v>1.96</v>
      </c>
      <c r="F196" s="787">
        <f>[17]Sales_SP!CU191</f>
        <v>0.23</v>
      </c>
      <c r="G196" s="787">
        <f>[17]Sales_SP!CV191</f>
        <v>0.07</v>
      </c>
      <c r="H196" s="787">
        <f>[17]Sales_SP!CW191</f>
        <v>0.08</v>
      </c>
      <c r="I196" s="787">
        <f>[17]Sales_SP!CX191</f>
        <v>0.41</v>
      </c>
      <c r="J196" s="787">
        <f>[17]Sales_SP!CY191</f>
        <v>0.84</v>
      </c>
      <c r="K196" s="787">
        <f>[17]Sales_SP!CZ191</f>
        <v>0.69</v>
      </c>
      <c r="L196" s="787">
        <f>[17]Sales_SP!DA191</f>
        <v>1.36</v>
      </c>
      <c r="M196" s="787">
        <f>[17]Sales_SP!DB191</f>
        <v>0.82</v>
      </c>
      <c r="N196" s="787">
        <f>[17]Sales_SP!DC191</f>
        <v>1.39</v>
      </c>
      <c r="O196" s="787">
        <f>[17]Sales_SP!DD191</f>
        <v>2.93</v>
      </c>
      <c r="P196" s="787">
        <f>[17]Sales_SP!DE191</f>
        <v>3.73</v>
      </c>
      <c r="Q196" s="866">
        <f t="shared" si="87"/>
        <v>14.51</v>
      </c>
      <c r="R196" s="863"/>
      <c r="S196" s="863"/>
    </row>
    <row r="197" ht="15" hidden="1" spans="3:19">
      <c r="C197" s="296" t="s">
        <v>203</v>
      </c>
      <c r="D197" s="296" t="s">
        <v>204</v>
      </c>
      <c r="E197" s="787">
        <f>[17]Sales_SP!CT192</f>
        <v>16.08</v>
      </c>
      <c r="F197" s="787">
        <f>[17]Sales_SP!CU192</f>
        <v>15.72</v>
      </c>
      <c r="G197" s="787">
        <f>[17]Sales_SP!CV192</f>
        <v>15.83</v>
      </c>
      <c r="H197" s="787">
        <f>[17]Sales_SP!CW192</f>
        <v>15.79</v>
      </c>
      <c r="I197" s="787">
        <f>[17]Sales_SP!CX192</f>
        <v>16.24</v>
      </c>
      <c r="J197" s="787">
        <f>[17]Sales_SP!CY192</f>
        <v>17.09</v>
      </c>
      <c r="K197" s="787">
        <f>[17]Sales_SP!CZ192</f>
        <v>16.09</v>
      </c>
      <c r="L197" s="787">
        <f>[17]Sales_SP!DA192</f>
        <v>9.85</v>
      </c>
      <c r="M197" s="787">
        <f>[17]Sales_SP!DB192</f>
        <v>15.23</v>
      </c>
      <c r="N197" s="787">
        <f>[17]Sales_SP!DC192</f>
        <v>18.59</v>
      </c>
      <c r="O197" s="787">
        <f>[17]Sales_SP!DD192</f>
        <v>18.31</v>
      </c>
      <c r="P197" s="787">
        <f>[17]Sales_SP!DE192</f>
        <v>16.58</v>
      </c>
      <c r="Q197" s="866">
        <f t="shared" si="87"/>
        <v>191.4</v>
      </c>
      <c r="R197" s="863"/>
      <c r="S197" s="863"/>
    </row>
    <row r="198" ht="15" hidden="1" spans="3:19">
      <c r="C198" s="296" t="s">
        <v>205</v>
      </c>
      <c r="D198" s="296" t="s">
        <v>206</v>
      </c>
      <c r="E198" s="787">
        <f>[17]Sales_SP!CT196</f>
        <v>7.42</v>
      </c>
      <c r="F198" s="787">
        <f>[17]Sales_SP!CU196</f>
        <v>8.82</v>
      </c>
      <c r="G198" s="787">
        <f>[17]Sales_SP!CV196</f>
        <v>9.12</v>
      </c>
      <c r="H198" s="787">
        <f>[17]Sales_SP!CW196</f>
        <v>6.89</v>
      </c>
      <c r="I198" s="787">
        <f>[17]Sales_SP!CX196</f>
        <v>6.47</v>
      </c>
      <c r="J198" s="787">
        <f>[17]Sales_SP!CY196</f>
        <v>6.75</v>
      </c>
      <c r="K198" s="787">
        <f>[17]Sales_SP!CZ196</f>
        <v>6.51</v>
      </c>
      <c r="L198" s="787">
        <f>[17]Sales_SP!DA196</f>
        <v>6.49</v>
      </c>
      <c r="M198" s="787">
        <f>[17]Sales_SP!DB196</f>
        <v>6.26</v>
      </c>
      <c r="N198" s="787">
        <f>[17]Sales_SP!DC196</f>
        <v>6.47</v>
      </c>
      <c r="O198" s="787">
        <f>[17]Sales_SP!DD196</f>
        <v>6.63</v>
      </c>
      <c r="P198" s="787">
        <f>[17]Sales_SP!DE196</f>
        <v>7.33</v>
      </c>
      <c r="Q198" s="866">
        <f t="shared" si="87"/>
        <v>85.16</v>
      </c>
      <c r="R198" s="863"/>
      <c r="S198" s="863"/>
    </row>
    <row r="199" ht="15" hidden="1" spans="3:19">
      <c r="C199" s="296" t="s">
        <v>218</v>
      </c>
      <c r="D199" s="296" t="s">
        <v>186</v>
      </c>
      <c r="E199" s="787">
        <f>[17]Sales_SP!CT197</f>
        <v>2.09</v>
      </c>
      <c r="F199" s="787">
        <f>[17]Sales_SP!CU197</f>
        <v>2.1</v>
      </c>
      <c r="G199" s="787">
        <f>[17]Sales_SP!CV197</f>
        <v>1.6</v>
      </c>
      <c r="H199" s="787">
        <f>[17]Sales_SP!CW197</f>
        <v>1.56</v>
      </c>
      <c r="I199" s="787">
        <f>[17]Sales_SP!CX197</f>
        <v>1.77</v>
      </c>
      <c r="J199" s="787">
        <f>[17]Sales_SP!CY197</f>
        <v>1.95</v>
      </c>
      <c r="K199" s="787">
        <f>[17]Sales_SP!CZ197</f>
        <v>1.79</v>
      </c>
      <c r="L199" s="787">
        <f>[17]Sales_SP!DA197</f>
        <v>1.09</v>
      </c>
      <c r="M199" s="787">
        <f>[17]Sales_SP!DB197</f>
        <v>1.23</v>
      </c>
      <c r="N199" s="787">
        <f>[17]Sales_SP!DC197</f>
        <v>1.15</v>
      </c>
      <c r="O199" s="787">
        <f>[17]Sales_SP!DD197</f>
        <v>0.98</v>
      </c>
      <c r="P199" s="787">
        <f>[17]Sales_SP!DE197</f>
        <v>1.14</v>
      </c>
      <c r="Q199" s="866">
        <f t="shared" si="87"/>
        <v>18.45</v>
      </c>
      <c r="R199" s="863"/>
      <c r="S199" s="863"/>
    </row>
    <row r="200" ht="15" hidden="1" spans="3:19">
      <c r="C200" s="296" t="s">
        <v>208</v>
      </c>
      <c r="D200" s="296" t="s">
        <v>209</v>
      </c>
      <c r="E200" s="787">
        <f>[17]Sales_SP!CT198</f>
        <v>0</v>
      </c>
      <c r="F200" s="787">
        <f>[17]Sales_SP!CU198</f>
        <v>0</v>
      </c>
      <c r="G200" s="787">
        <f>[17]Sales_SP!CV198</f>
        <v>0</v>
      </c>
      <c r="H200" s="787">
        <f>[17]Sales_SP!CW198</f>
        <v>0</v>
      </c>
      <c r="I200" s="787">
        <f>[17]Sales_SP!CX198</f>
        <v>0</v>
      </c>
      <c r="J200" s="787">
        <f>[17]Sales_SP!CY198</f>
        <v>0</v>
      </c>
      <c r="K200" s="787">
        <f>[17]Sales_SP!CZ198</f>
        <v>0</v>
      </c>
      <c r="L200" s="787">
        <f>[17]Sales_SP!DA198</f>
        <v>0</v>
      </c>
      <c r="M200" s="787">
        <f>[17]Sales_SP!DB198</f>
        <v>0</v>
      </c>
      <c r="N200" s="787">
        <f>[17]Sales_SP!DC198</f>
        <v>0</v>
      </c>
      <c r="O200" s="787">
        <f>[17]Sales_SP!DD198</f>
        <v>0</v>
      </c>
      <c r="P200" s="787">
        <f>[17]Sales_SP!DE198</f>
        <v>0</v>
      </c>
      <c r="Q200" s="866">
        <f t="shared" si="87"/>
        <v>0</v>
      </c>
      <c r="R200" s="863"/>
      <c r="S200" s="863"/>
    </row>
    <row r="201" ht="15" hidden="1" spans="3:19">
      <c r="C201" s="296" t="s">
        <v>210</v>
      </c>
      <c r="D201" s="296" t="s">
        <v>188</v>
      </c>
      <c r="E201" s="787">
        <f>[17]Sales_SP!CT198</f>
        <v>0</v>
      </c>
      <c r="F201" s="787">
        <f>[17]Sales_SP!CU198</f>
        <v>0</v>
      </c>
      <c r="G201" s="787">
        <f>[17]Sales_SP!CV198</f>
        <v>0</v>
      </c>
      <c r="H201" s="787">
        <f>[17]Sales_SP!CW198</f>
        <v>0</v>
      </c>
      <c r="I201" s="787">
        <f>[17]Sales_SP!CX198</f>
        <v>0</v>
      </c>
      <c r="J201" s="787">
        <f>[17]Sales_SP!CY198</f>
        <v>0</v>
      </c>
      <c r="K201" s="787">
        <f>[17]Sales_SP!CZ198</f>
        <v>0</v>
      </c>
      <c r="L201" s="787">
        <f>[17]Sales_SP!DA198</f>
        <v>0</v>
      </c>
      <c r="M201" s="787">
        <f>[17]Sales_SP!DB198</f>
        <v>0</v>
      </c>
      <c r="N201" s="787">
        <f>[17]Sales_SP!DC198</f>
        <v>0</v>
      </c>
      <c r="O201" s="787">
        <f>[17]Sales_SP!DD198</f>
        <v>0</v>
      </c>
      <c r="P201" s="787">
        <f>[17]Sales_SP!DE198</f>
        <v>0</v>
      </c>
      <c r="Q201" s="866">
        <f t="shared" si="87"/>
        <v>0</v>
      </c>
      <c r="R201" s="863"/>
      <c r="S201" s="863"/>
    </row>
    <row r="202" ht="15" hidden="1" spans="3:19">
      <c r="C202" s="296"/>
      <c r="D202" s="296"/>
      <c r="E202" s="787"/>
      <c r="F202" s="787"/>
      <c r="G202" s="787"/>
      <c r="H202" s="787"/>
      <c r="I202" s="787"/>
      <c r="J202" s="787"/>
      <c r="K202" s="787"/>
      <c r="L202" s="787"/>
      <c r="M202" s="787"/>
      <c r="N202" s="787"/>
      <c r="O202" s="787"/>
      <c r="P202" s="787"/>
      <c r="Q202" s="866">
        <f t="shared" si="87"/>
        <v>0</v>
      </c>
      <c r="R202" s="863"/>
      <c r="S202" s="863"/>
    </row>
    <row r="203" ht="15" hidden="1" spans="3:19">
      <c r="C203" s="296"/>
      <c r="D203" s="296"/>
      <c r="E203" s="787"/>
      <c r="F203" s="787"/>
      <c r="G203" s="787"/>
      <c r="H203" s="787"/>
      <c r="I203" s="787"/>
      <c r="J203" s="787"/>
      <c r="K203" s="787"/>
      <c r="L203" s="787"/>
      <c r="M203" s="787"/>
      <c r="N203" s="787"/>
      <c r="O203" s="787"/>
      <c r="P203" s="787"/>
      <c r="Q203" s="866">
        <f t="shared" si="87"/>
        <v>0</v>
      </c>
      <c r="R203" s="863"/>
      <c r="S203" s="863"/>
    </row>
    <row r="204" ht="15" hidden="1" spans="3:19">
      <c r="C204" s="296"/>
      <c r="D204" s="296"/>
      <c r="E204" s="787"/>
      <c r="F204" s="787"/>
      <c r="G204" s="787"/>
      <c r="H204" s="787"/>
      <c r="I204" s="787"/>
      <c r="J204" s="787"/>
      <c r="K204" s="787"/>
      <c r="L204" s="787"/>
      <c r="M204" s="787"/>
      <c r="N204" s="787"/>
      <c r="O204" s="787"/>
      <c r="P204" s="787"/>
      <c r="Q204" s="866">
        <f t="shared" si="87"/>
        <v>0</v>
      </c>
      <c r="R204" s="863"/>
      <c r="S204" s="863"/>
    </row>
    <row r="205" ht="15" hidden="1" spans="3:19">
      <c r="C205" s="296" t="s">
        <v>258</v>
      </c>
      <c r="D205" s="296" t="s">
        <v>258</v>
      </c>
      <c r="E205" s="787"/>
      <c r="F205" s="787"/>
      <c r="G205" s="787"/>
      <c r="H205" s="787"/>
      <c r="I205" s="787"/>
      <c r="J205" s="787"/>
      <c r="K205" s="787"/>
      <c r="L205" s="787"/>
      <c r="M205" s="787"/>
      <c r="N205" s="787"/>
      <c r="O205" s="787"/>
      <c r="P205" s="787"/>
      <c r="Q205" s="866">
        <f t="shared" si="87"/>
        <v>0</v>
      </c>
      <c r="R205" s="863"/>
      <c r="S205" s="863"/>
    </row>
    <row r="206" ht="15" hidden="1" spans="3:19">
      <c r="C206" s="285" t="s">
        <v>211</v>
      </c>
      <c r="D206" s="286"/>
      <c r="E206" s="866">
        <f>SUM(E191:E205)</f>
        <v>247.22</v>
      </c>
      <c r="F206" s="866">
        <f t="shared" ref="F206:P206" si="88">SUM(F191:F205)</f>
        <v>294.82</v>
      </c>
      <c r="G206" s="866">
        <f t="shared" si="88"/>
        <v>368.28</v>
      </c>
      <c r="H206" s="866">
        <f t="shared" si="88"/>
        <v>358.06</v>
      </c>
      <c r="I206" s="866">
        <f t="shared" si="88"/>
        <v>364.92</v>
      </c>
      <c r="J206" s="866">
        <f t="shared" si="88"/>
        <v>389.28</v>
      </c>
      <c r="K206" s="866">
        <f t="shared" si="88"/>
        <v>391.64</v>
      </c>
      <c r="L206" s="866">
        <f t="shared" si="88"/>
        <v>394.42</v>
      </c>
      <c r="M206" s="866">
        <f t="shared" si="88"/>
        <v>389.78</v>
      </c>
      <c r="N206" s="866">
        <f t="shared" si="88"/>
        <v>424.31437444</v>
      </c>
      <c r="O206" s="866">
        <f t="shared" si="88"/>
        <v>454.693518</v>
      </c>
      <c r="P206" s="866">
        <f t="shared" si="88"/>
        <v>459.617533</v>
      </c>
      <c r="Q206" s="866">
        <f t="shared" si="87"/>
        <v>4537.04542544</v>
      </c>
      <c r="R206" s="863"/>
      <c r="S206" s="863"/>
    </row>
    <row r="207" ht="15" hidden="1" spans="3:19">
      <c r="C207" s="285" t="s">
        <v>219</v>
      </c>
      <c r="D207" s="286"/>
      <c r="E207" s="787"/>
      <c r="F207" s="787"/>
      <c r="G207" s="787"/>
      <c r="H207" s="787"/>
      <c r="I207" s="787"/>
      <c r="J207" s="787"/>
      <c r="K207" s="787"/>
      <c r="L207" s="787"/>
      <c r="M207" s="787"/>
      <c r="N207" s="787"/>
      <c r="O207" s="787"/>
      <c r="P207" s="787"/>
      <c r="Q207" s="866"/>
      <c r="R207" s="863"/>
      <c r="S207" s="863"/>
    </row>
    <row r="208" ht="15" hidden="1" spans="3:19">
      <c r="C208" s="296" t="s">
        <v>191</v>
      </c>
      <c r="D208" s="296" t="s">
        <v>192</v>
      </c>
      <c r="E208" s="787">
        <f>[17]Sales_SP!CT212</f>
        <v>130.49</v>
      </c>
      <c r="F208" s="787">
        <f>[17]Sales_SP!CU212</f>
        <v>165.04</v>
      </c>
      <c r="G208" s="787">
        <f>[17]Sales_SP!CV212</f>
        <v>166.32</v>
      </c>
      <c r="H208" s="787">
        <f>[17]Sales_SP!CW212</f>
        <v>166.16</v>
      </c>
      <c r="I208" s="787">
        <f>[17]Sales_SP!CX212</f>
        <v>165.1</v>
      </c>
      <c r="J208" s="787">
        <f>[17]Sales_SP!CY212</f>
        <v>177.75</v>
      </c>
      <c r="K208" s="787">
        <f>[17]Sales_SP!CZ212</f>
        <v>196.87</v>
      </c>
      <c r="L208" s="787">
        <f>[17]Sales_SP!DA212</f>
        <v>187.39</v>
      </c>
      <c r="M208" s="787">
        <f>[17]Sales_SP!DB212</f>
        <v>200.39</v>
      </c>
      <c r="N208" s="787">
        <f>[17]Sales_SP!DC212</f>
        <v>213.25353935</v>
      </c>
      <c r="O208" s="787">
        <f>[17]Sales_SP!DD212</f>
        <v>223.17034719</v>
      </c>
      <c r="P208" s="787">
        <f>[17]Sales_SP!DE212</f>
        <v>245.787624</v>
      </c>
      <c r="Q208" s="866">
        <f t="shared" ref="Q208:Q226" si="89">SUM(E208:P208)</f>
        <v>2237.72151054</v>
      </c>
      <c r="R208" s="863"/>
      <c r="S208" s="863"/>
    </row>
    <row r="209" ht="15" hidden="1" spans="3:19">
      <c r="C209" s="296" t="s">
        <v>193</v>
      </c>
      <c r="D209" s="296" t="s">
        <v>194</v>
      </c>
      <c r="E209" s="787">
        <f>[17]Sales_SP!CT222</f>
        <v>1.38</v>
      </c>
      <c r="F209" s="787">
        <f>[17]Sales_SP!CU222</f>
        <v>5.99</v>
      </c>
      <c r="G209" s="787">
        <f>[17]Sales_SP!CV222</f>
        <v>9.52</v>
      </c>
      <c r="H209" s="787">
        <f>[17]Sales_SP!CW222</f>
        <v>4.83</v>
      </c>
      <c r="I209" s="787">
        <f>[17]Sales_SP!CX222</f>
        <v>2.41</v>
      </c>
      <c r="J209" s="787">
        <f>[17]Sales_SP!CY222</f>
        <v>3.92</v>
      </c>
      <c r="K209" s="787">
        <f>[17]Sales_SP!CZ222</f>
        <v>11.11</v>
      </c>
      <c r="L209" s="787">
        <f>[17]Sales_SP!DA222</f>
        <v>13.99</v>
      </c>
      <c r="M209" s="787">
        <f>[17]Sales_SP!DB222</f>
        <v>14.54</v>
      </c>
      <c r="N209" s="787">
        <f>[17]Sales_SP!DC222</f>
        <v>14.26</v>
      </c>
      <c r="O209" s="787">
        <f>[17]Sales_SP!DD222</f>
        <v>11.71</v>
      </c>
      <c r="P209" s="787">
        <f>[17]Sales_SP!DE222</f>
        <v>10.87</v>
      </c>
      <c r="Q209" s="866">
        <f t="shared" si="89"/>
        <v>104.53</v>
      </c>
      <c r="R209" s="863"/>
      <c r="S209" s="863"/>
    </row>
    <row r="210" ht="15" hidden="1" spans="3:19">
      <c r="C210" s="296" t="s">
        <v>239</v>
      </c>
      <c r="D210" s="296" t="s">
        <v>196</v>
      </c>
      <c r="E210" s="787">
        <f>[17]Sales_SP!CT228</f>
        <v>1.88</v>
      </c>
      <c r="F210" s="787">
        <f>[17]Sales_SP!CU228</f>
        <v>2.51</v>
      </c>
      <c r="G210" s="787">
        <f>[17]Sales_SP!CV228</f>
        <v>3.66</v>
      </c>
      <c r="H210" s="787">
        <f>[17]Sales_SP!CW228</f>
        <v>3.29</v>
      </c>
      <c r="I210" s="787">
        <f>[17]Sales_SP!CX228</f>
        <v>3.34</v>
      </c>
      <c r="J210" s="787">
        <f>[17]Sales_SP!CY228</f>
        <v>3.46</v>
      </c>
      <c r="K210" s="787">
        <f>[17]Sales_SP!CZ228</f>
        <v>3.39</v>
      </c>
      <c r="L210" s="787">
        <f>[17]Sales_SP!DA228</f>
        <v>3.19</v>
      </c>
      <c r="M210" s="787">
        <f>[17]Sales_SP!DB228</f>
        <v>2.97</v>
      </c>
      <c r="N210" s="787">
        <f>[17]Sales_SP!DC228</f>
        <v>2.95766</v>
      </c>
      <c r="O210" s="787">
        <f>[17]Sales_SP!DD228</f>
        <v>3.088329</v>
      </c>
      <c r="P210" s="787">
        <f>[17]Sales_SP!DE228</f>
        <v>3.284371</v>
      </c>
      <c r="Q210" s="866">
        <f t="shared" si="89"/>
        <v>37.02036</v>
      </c>
      <c r="R210" s="863"/>
      <c r="S210" s="863"/>
    </row>
    <row r="211" ht="15" hidden="1" spans="3:19">
      <c r="C211" s="296" t="s">
        <v>197</v>
      </c>
      <c r="D211" s="296" t="s">
        <v>198</v>
      </c>
      <c r="E211" s="787">
        <f>[17]Sales_SP!CT233</f>
        <v>0</v>
      </c>
      <c r="F211" s="787">
        <f>[17]Sales_SP!CU233</f>
        <v>0</v>
      </c>
      <c r="G211" s="787">
        <f>[17]Sales_SP!CV233</f>
        <v>0</v>
      </c>
      <c r="H211" s="787">
        <f>[17]Sales_SP!CW233</f>
        <v>0</v>
      </c>
      <c r="I211" s="787">
        <f>[17]Sales_SP!CX233</f>
        <v>0</v>
      </c>
      <c r="J211" s="787">
        <f>[17]Sales_SP!CY233</f>
        <v>0</v>
      </c>
      <c r="K211" s="787">
        <f>[17]Sales_SP!CZ233</f>
        <v>0</v>
      </c>
      <c r="L211" s="787">
        <f>[17]Sales_SP!DA233</f>
        <v>0</v>
      </c>
      <c r="M211" s="787">
        <f>[17]Sales_SP!DB233</f>
        <v>0</v>
      </c>
      <c r="N211" s="787">
        <f>[17]Sales_SP!DC233</f>
        <v>0</v>
      </c>
      <c r="O211" s="787">
        <f>[17]Sales_SP!DD233</f>
        <v>0</v>
      </c>
      <c r="P211" s="787">
        <f>[17]Sales_SP!DE233</f>
        <v>0</v>
      </c>
      <c r="Q211" s="866">
        <f t="shared" si="89"/>
        <v>0</v>
      </c>
      <c r="R211" s="863"/>
      <c r="S211" s="863"/>
    </row>
    <row r="212" ht="15" hidden="1" spans="3:19">
      <c r="C212" s="296" t="s">
        <v>199</v>
      </c>
      <c r="D212" s="296" t="s">
        <v>200</v>
      </c>
      <c r="E212" s="787">
        <f>[17]Sales_SP!CT238</f>
        <v>3.49</v>
      </c>
      <c r="F212" s="787">
        <f>[17]Sales_SP!CU238</f>
        <v>4.01</v>
      </c>
      <c r="G212" s="787">
        <f>[17]Sales_SP!CV238</f>
        <v>6.41</v>
      </c>
      <c r="H212" s="787">
        <f>[17]Sales_SP!CW238</f>
        <v>5.7</v>
      </c>
      <c r="I212" s="787">
        <f>[17]Sales_SP!CX238</f>
        <v>4.09</v>
      </c>
      <c r="J212" s="787">
        <f>[17]Sales_SP!CY238</f>
        <v>4.11</v>
      </c>
      <c r="K212" s="787">
        <f>[17]Sales_SP!CZ238</f>
        <v>4.05</v>
      </c>
      <c r="L212" s="787">
        <f>[17]Sales_SP!DA238</f>
        <v>3.99</v>
      </c>
      <c r="M212" s="787">
        <f>[17]Sales_SP!DB238</f>
        <v>3.47</v>
      </c>
      <c r="N212" s="787">
        <f>[17]Sales_SP!DC238</f>
        <v>3.525</v>
      </c>
      <c r="O212" s="787">
        <f>[17]Sales_SP!DD238</f>
        <v>3.846</v>
      </c>
      <c r="P212" s="787">
        <f>[17]Sales_SP!DE238</f>
        <v>3.675</v>
      </c>
      <c r="Q212" s="866">
        <f t="shared" si="89"/>
        <v>50.366</v>
      </c>
      <c r="R212" s="863"/>
      <c r="S212" s="863"/>
    </row>
    <row r="213" ht="15" hidden="1" spans="3:19">
      <c r="C213" s="296" t="s">
        <v>201</v>
      </c>
      <c r="D213" s="296" t="s">
        <v>240</v>
      </c>
      <c r="E213" s="787">
        <f>[17]Sales_SP!CT244</f>
        <v>185.9</v>
      </c>
      <c r="F213" s="787">
        <f>[17]Sales_SP!CU244</f>
        <v>56.15</v>
      </c>
      <c r="G213" s="787">
        <f>[17]Sales_SP!CV244</f>
        <v>122.98</v>
      </c>
      <c r="H213" s="787">
        <f>[17]Sales_SP!CW244</f>
        <v>86.59</v>
      </c>
      <c r="I213" s="787">
        <f>[17]Sales_SP!CX244</f>
        <v>144.21</v>
      </c>
      <c r="J213" s="787">
        <f>[17]Sales_SP!CY244</f>
        <v>189.87</v>
      </c>
      <c r="K213" s="787">
        <f>[17]Sales_SP!CZ244</f>
        <v>54</v>
      </c>
      <c r="L213" s="787">
        <f>[17]Sales_SP!DA244</f>
        <v>47.46</v>
      </c>
      <c r="M213" s="787">
        <f>[17]Sales_SP!DB244</f>
        <v>95.07</v>
      </c>
      <c r="N213" s="787">
        <f>[17]Sales_SP!DC244</f>
        <v>163.05</v>
      </c>
      <c r="O213" s="787">
        <f>[17]Sales_SP!DD244</f>
        <v>211.66</v>
      </c>
      <c r="P213" s="787">
        <f>[17]Sales_SP!DE244</f>
        <v>203.84</v>
      </c>
      <c r="Q213" s="866">
        <f t="shared" si="89"/>
        <v>1560.78</v>
      </c>
      <c r="R213" s="863"/>
      <c r="S213" s="863"/>
    </row>
    <row r="214" ht="15" hidden="1" spans="3:19">
      <c r="C214" s="296" t="s">
        <v>203</v>
      </c>
      <c r="D214" s="296" t="s">
        <v>220</v>
      </c>
      <c r="E214" s="787">
        <f>[17]Sales_SP!CT246</f>
        <v>20.34</v>
      </c>
      <c r="F214" s="787">
        <f>[17]Sales_SP!CU246</f>
        <v>19.3</v>
      </c>
      <c r="G214" s="787">
        <f>[17]Sales_SP!CV246</f>
        <v>20.1</v>
      </c>
      <c r="H214" s="787">
        <f>[17]Sales_SP!CW246</f>
        <v>18.29</v>
      </c>
      <c r="I214" s="787">
        <f>[17]Sales_SP!CX246</f>
        <v>20.23</v>
      </c>
      <c r="J214" s="787">
        <f>[17]Sales_SP!CY246</f>
        <v>19.57</v>
      </c>
      <c r="K214" s="787">
        <f>[17]Sales_SP!CZ246</f>
        <v>18.35</v>
      </c>
      <c r="L214" s="787">
        <f>[17]Sales_SP!DA246</f>
        <v>0.74</v>
      </c>
      <c r="M214" s="787">
        <f>[17]Sales_SP!DB246</f>
        <v>14.76</v>
      </c>
      <c r="N214" s="787">
        <f>[17]Sales_SP!DC246</f>
        <v>18.29</v>
      </c>
      <c r="O214" s="787">
        <f>[17]Sales_SP!DD246</f>
        <v>20.54</v>
      </c>
      <c r="P214" s="787">
        <f>[17]Sales_SP!DE246</f>
        <v>17.5</v>
      </c>
      <c r="Q214" s="866">
        <f t="shared" si="89"/>
        <v>208.01</v>
      </c>
      <c r="R214" s="863"/>
      <c r="S214" s="863"/>
    </row>
    <row r="215" ht="15" hidden="1" spans="3:19">
      <c r="C215" s="296" t="s">
        <v>241</v>
      </c>
      <c r="D215" s="296" t="s">
        <v>229</v>
      </c>
      <c r="E215" s="787">
        <f>[17]Sales_SP!CT249</f>
        <v>13.32</v>
      </c>
      <c r="F215" s="787">
        <f>[17]Sales_SP!CU249</f>
        <v>12.71</v>
      </c>
      <c r="G215" s="787">
        <f>[17]Sales_SP!CV249</f>
        <v>15.97</v>
      </c>
      <c r="H215" s="787">
        <f>[17]Sales_SP!CW249</f>
        <v>13.3</v>
      </c>
      <c r="I215" s="787">
        <f>[17]Sales_SP!CX249</f>
        <v>13.76</v>
      </c>
      <c r="J215" s="787">
        <f>[17]Sales_SP!CY249</f>
        <v>14.21</v>
      </c>
      <c r="K215" s="787">
        <f>[17]Sales_SP!CZ249</f>
        <v>13.86</v>
      </c>
      <c r="L215" s="787">
        <f>[17]Sales_SP!DA249</f>
        <v>15.4</v>
      </c>
      <c r="M215" s="787">
        <f>[17]Sales_SP!DB249</f>
        <v>16.67</v>
      </c>
      <c r="N215" s="787">
        <f>[17]Sales_SP!DC249</f>
        <v>19.74</v>
      </c>
      <c r="O215" s="787">
        <f>[17]Sales_SP!DD249</f>
        <v>22.96</v>
      </c>
      <c r="P215" s="787">
        <f>[17]Sales_SP!DE249</f>
        <v>20.41</v>
      </c>
      <c r="Q215" s="866">
        <f t="shared" si="89"/>
        <v>192.31</v>
      </c>
      <c r="R215" s="863"/>
      <c r="S215" s="863"/>
    </row>
    <row r="216" ht="15" hidden="1" spans="3:19">
      <c r="C216" s="296" t="s">
        <v>259</v>
      </c>
      <c r="D216" s="296" t="s">
        <v>243</v>
      </c>
      <c r="E216" s="787">
        <f>[17]Sales_SP!CT251</f>
        <v>1.76</v>
      </c>
      <c r="F216" s="787">
        <f>[17]Sales_SP!CU251</f>
        <v>1.69</v>
      </c>
      <c r="G216" s="787">
        <f>[17]Sales_SP!CV251</f>
        <v>2</v>
      </c>
      <c r="H216" s="787">
        <f>[17]Sales_SP!CW251</f>
        <v>1.77</v>
      </c>
      <c r="I216" s="787">
        <f>[17]Sales_SP!CX251</f>
        <v>1.74</v>
      </c>
      <c r="J216" s="787">
        <f>[17]Sales_SP!CY251</f>
        <v>3.57</v>
      </c>
      <c r="K216" s="787">
        <f>[17]Sales_SP!CZ251</f>
        <v>5.66</v>
      </c>
      <c r="L216" s="787">
        <f>[17]Sales_SP!DA251</f>
        <v>5.88</v>
      </c>
      <c r="M216" s="787">
        <f>[17]Sales_SP!DB251</f>
        <v>5.78</v>
      </c>
      <c r="N216" s="787">
        <f>[17]Sales_SP!DC251</f>
        <v>5.82</v>
      </c>
      <c r="O216" s="787">
        <f>[17]Sales_SP!DD251</f>
        <v>5.89</v>
      </c>
      <c r="P216" s="787">
        <f>[17]Sales_SP!DE251</f>
        <v>5.5</v>
      </c>
      <c r="Q216" s="866">
        <f t="shared" si="89"/>
        <v>47.06</v>
      </c>
      <c r="R216" s="863"/>
      <c r="S216" s="863"/>
    </row>
    <row r="217" ht="15" hidden="1" spans="3:19">
      <c r="C217" s="296" t="s">
        <v>205</v>
      </c>
      <c r="D217" s="296" t="s">
        <v>206</v>
      </c>
      <c r="E217" s="787">
        <f>[17]Sales_SP!CT253</f>
        <v>0</v>
      </c>
      <c r="F217" s="787">
        <f>[17]Sales_SP!CU253</f>
        <v>0</v>
      </c>
      <c r="G217" s="787">
        <f>[17]Sales_SP!CV253</f>
        <v>0</v>
      </c>
      <c r="H217" s="787">
        <f>[17]Sales_SP!CW253</f>
        <v>0</v>
      </c>
      <c r="I217" s="787">
        <f>[17]Sales_SP!CX253</f>
        <v>0</v>
      </c>
      <c r="J217" s="787">
        <f>[17]Sales_SP!CY253</f>
        <v>0</v>
      </c>
      <c r="K217" s="787">
        <f>[17]Sales_SP!CZ253</f>
        <v>0</v>
      </c>
      <c r="L217" s="787">
        <f>[17]Sales_SP!DA253</f>
        <v>0</v>
      </c>
      <c r="M217" s="787">
        <f>[17]Sales_SP!DB253</f>
        <v>0</v>
      </c>
      <c r="N217" s="787">
        <f>[17]Sales_SP!DC253</f>
        <v>0</v>
      </c>
      <c r="O217" s="787">
        <f>[17]Sales_SP!DD253</f>
        <v>0</v>
      </c>
      <c r="P217" s="787">
        <f>[17]Sales_SP!DE253</f>
        <v>0</v>
      </c>
      <c r="Q217" s="866">
        <f t="shared" si="89"/>
        <v>0</v>
      </c>
      <c r="R217" s="863"/>
      <c r="S217" s="863"/>
    </row>
    <row r="218" ht="15" hidden="1" spans="3:19">
      <c r="C218" s="296" t="s">
        <v>207</v>
      </c>
      <c r="D218" s="296" t="s">
        <v>186</v>
      </c>
      <c r="E218" s="787">
        <f>[17]Sales_SP!CT254</f>
        <v>0</v>
      </c>
      <c r="F218" s="787">
        <f>[17]Sales_SP!CU254</f>
        <v>0</v>
      </c>
      <c r="G218" s="787">
        <f>[17]Sales_SP!CV254</f>
        <v>0</v>
      </c>
      <c r="H218" s="787">
        <f>[17]Sales_SP!CW254</f>
        <v>0</v>
      </c>
      <c r="I218" s="787">
        <f>[17]Sales_SP!CX254</f>
        <v>0</v>
      </c>
      <c r="J218" s="787">
        <f>[17]Sales_SP!CY254</f>
        <v>0</v>
      </c>
      <c r="K218" s="787">
        <f>[17]Sales_SP!CZ254</f>
        <v>0</v>
      </c>
      <c r="L218" s="787">
        <f>[17]Sales_SP!DA254</f>
        <v>0</v>
      </c>
      <c r="M218" s="787">
        <f>[17]Sales_SP!DB254</f>
        <v>0</v>
      </c>
      <c r="N218" s="787">
        <f>[17]Sales_SP!DC254</f>
        <v>0</v>
      </c>
      <c r="O218" s="787">
        <f>[17]Sales_SP!DD254</f>
        <v>0</v>
      </c>
      <c r="P218" s="787">
        <f>[17]Sales_SP!DE254</f>
        <v>0</v>
      </c>
      <c r="Q218" s="866">
        <f t="shared" si="89"/>
        <v>0</v>
      </c>
      <c r="R218" s="863"/>
      <c r="S218" s="863"/>
    </row>
    <row r="219" ht="15" hidden="1" spans="3:19">
      <c r="C219" s="296" t="s">
        <v>208</v>
      </c>
      <c r="D219" s="296" t="s">
        <v>209</v>
      </c>
      <c r="E219" s="787">
        <v>0</v>
      </c>
      <c r="F219" s="787">
        <v>0</v>
      </c>
      <c r="G219" s="787">
        <v>0</v>
      </c>
      <c r="H219" s="787">
        <v>0</v>
      </c>
      <c r="I219" s="787">
        <v>0</v>
      </c>
      <c r="J219" s="787">
        <v>0</v>
      </c>
      <c r="K219" s="787">
        <v>0</v>
      </c>
      <c r="L219" s="787">
        <v>0</v>
      </c>
      <c r="M219" s="787">
        <v>0</v>
      </c>
      <c r="N219" s="787">
        <v>0</v>
      </c>
      <c r="O219" s="787">
        <v>0</v>
      </c>
      <c r="P219" s="787">
        <v>0</v>
      </c>
      <c r="Q219" s="866">
        <f t="shared" si="89"/>
        <v>0</v>
      </c>
      <c r="R219" s="863"/>
      <c r="S219" s="863"/>
    </row>
    <row r="220" ht="15" hidden="1" spans="3:19">
      <c r="C220" s="296" t="s">
        <v>210</v>
      </c>
      <c r="D220" s="296" t="s">
        <v>188</v>
      </c>
      <c r="E220" s="787">
        <f t="shared" ref="E220:P220" si="90">0</f>
        <v>0</v>
      </c>
      <c r="F220" s="787">
        <f t="shared" si="90"/>
        <v>0</v>
      </c>
      <c r="G220" s="787">
        <f t="shared" si="90"/>
        <v>0</v>
      </c>
      <c r="H220" s="787">
        <f t="shared" si="90"/>
        <v>0</v>
      </c>
      <c r="I220" s="787">
        <f t="shared" si="90"/>
        <v>0</v>
      </c>
      <c r="J220" s="787">
        <f t="shared" si="90"/>
        <v>0</v>
      </c>
      <c r="K220" s="787">
        <f t="shared" si="90"/>
        <v>0</v>
      </c>
      <c r="L220" s="787">
        <f t="shared" si="90"/>
        <v>0</v>
      </c>
      <c r="M220" s="787">
        <f t="shared" si="90"/>
        <v>0</v>
      </c>
      <c r="N220" s="787">
        <f t="shared" si="90"/>
        <v>0</v>
      </c>
      <c r="O220" s="787">
        <f t="shared" si="90"/>
        <v>0</v>
      </c>
      <c r="P220" s="787">
        <f t="shared" si="90"/>
        <v>0</v>
      </c>
      <c r="Q220" s="866">
        <f t="shared" si="89"/>
        <v>0</v>
      </c>
      <c r="R220" s="863"/>
      <c r="S220" s="863"/>
    </row>
    <row r="221" ht="15" hidden="1" spans="3:19">
      <c r="C221" s="296"/>
      <c r="D221" s="296"/>
      <c r="E221" s="787"/>
      <c r="F221" s="787"/>
      <c r="G221" s="787"/>
      <c r="H221" s="787"/>
      <c r="I221" s="787"/>
      <c r="J221" s="787"/>
      <c r="K221" s="787"/>
      <c r="L221" s="787"/>
      <c r="M221" s="787"/>
      <c r="N221" s="787"/>
      <c r="O221" s="787"/>
      <c r="P221" s="787"/>
      <c r="Q221" s="866">
        <f t="shared" si="89"/>
        <v>0</v>
      </c>
      <c r="R221" s="863"/>
      <c r="S221" s="863"/>
    </row>
    <row r="222" ht="15" hidden="1" spans="3:19">
      <c r="C222" s="296"/>
      <c r="D222" s="296"/>
      <c r="E222" s="787"/>
      <c r="F222" s="787"/>
      <c r="G222" s="787"/>
      <c r="H222" s="787"/>
      <c r="I222" s="787"/>
      <c r="J222" s="787"/>
      <c r="K222" s="787"/>
      <c r="L222" s="787"/>
      <c r="M222" s="787"/>
      <c r="N222" s="787"/>
      <c r="O222" s="787"/>
      <c r="P222" s="787"/>
      <c r="Q222" s="866">
        <f t="shared" si="89"/>
        <v>0</v>
      </c>
      <c r="R222" s="863"/>
      <c r="S222" s="863"/>
    </row>
    <row r="223" ht="15" hidden="1" spans="3:19">
      <c r="C223" s="296" t="s">
        <v>258</v>
      </c>
      <c r="D223" s="296" t="s">
        <v>258</v>
      </c>
      <c r="E223" s="787"/>
      <c r="F223" s="787"/>
      <c r="G223" s="787"/>
      <c r="H223" s="787"/>
      <c r="I223" s="787"/>
      <c r="J223" s="787"/>
      <c r="K223" s="787"/>
      <c r="L223" s="787"/>
      <c r="M223" s="787"/>
      <c r="N223" s="787"/>
      <c r="O223" s="787"/>
      <c r="P223" s="787"/>
      <c r="Q223" s="866">
        <f t="shared" si="89"/>
        <v>0</v>
      </c>
      <c r="R223" s="863"/>
      <c r="S223" s="863"/>
    </row>
    <row r="224" ht="15" hidden="1" spans="3:19">
      <c r="C224" s="285" t="s">
        <v>211</v>
      </c>
      <c r="D224" s="286"/>
      <c r="E224" s="866">
        <f>SUM(E208:E223)</f>
        <v>358.56</v>
      </c>
      <c r="F224" s="866">
        <f t="shared" ref="F224:P224" si="91">SUM(F208:F223)</f>
        <v>267.4</v>
      </c>
      <c r="G224" s="866">
        <f t="shared" si="91"/>
        <v>346.96</v>
      </c>
      <c r="H224" s="866">
        <f t="shared" si="91"/>
        <v>299.93</v>
      </c>
      <c r="I224" s="866">
        <f t="shared" si="91"/>
        <v>354.88</v>
      </c>
      <c r="J224" s="866">
        <f t="shared" si="91"/>
        <v>416.46</v>
      </c>
      <c r="K224" s="866">
        <f t="shared" si="91"/>
        <v>307.29</v>
      </c>
      <c r="L224" s="866">
        <f t="shared" si="91"/>
        <v>278.04</v>
      </c>
      <c r="M224" s="866">
        <f t="shared" si="91"/>
        <v>353.65</v>
      </c>
      <c r="N224" s="866">
        <f t="shared" si="91"/>
        <v>440.89619935</v>
      </c>
      <c r="O224" s="866">
        <f t="shared" si="91"/>
        <v>502.86467619</v>
      </c>
      <c r="P224" s="866">
        <f t="shared" si="91"/>
        <v>510.866995</v>
      </c>
      <c r="Q224" s="866">
        <f t="shared" si="89"/>
        <v>4437.79787054</v>
      </c>
      <c r="R224" s="863"/>
      <c r="S224" s="863"/>
    </row>
    <row r="225" ht="15" hidden="1" spans="3:19">
      <c r="C225" s="285" t="s">
        <v>223</v>
      </c>
      <c r="D225" s="286"/>
      <c r="E225" s="866">
        <f>E224+E206+E189</f>
        <v>897.84</v>
      </c>
      <c r="F225" s="866">
        <f t="shared" ref="F225:P225" si="92">F224+F206+F189</f>
        <v>903.31</v>
      </c>
      <c r="G225" s="866">
        <f t="shared" si="92"/>
        <v>1136.31</v>
      </c>
      <c r="H225" s="866">
        <f t="shared" si="92"/>
        <v>1064.95</v>
      </c>
      <c r="I225" s="866">
        <f t="shared" si="92"/>
        <v>1131.54</v>
      </c>
      <c r="J225" s="866">
        <f t="shared" si="92"/>
        <v>1239.08</v>
      </c>
      <c r="K225" s="866">
        <f t="shared" si="92"/>
        <v>1126.65</v>
      </c>
      <c r="L225" s="866">
        <f t="shared" si="92"/>
        <v>1118.51</v>
      </c>
      <c r="M225" s="866">
        <f t="shared" si="92"/>
        <v>1191.14</v>
      </c>
      <c r="N225" s="866">
        <f t="shared" si="92"/>
        <v>1326.7611549</v>
      </c>
      <c r="O225" s="866">
        <f t="shared" si="92"/>
        <v>1427.40910719</v>
      </c>
      <c r="P225" s="866">
        <f t="shared" si="92"/>
        <v>1424.9529121</v>
      </c>
      <c r="Q225" s="866">
        <f t="shared" si="89"/>
        <v>13988.45317419</v>
      </c>
      <c r="R225" s="863"/>
      <c r="S225" s="863"/>
    </row>
    <row r="226" ht="15" hidden="1" spans="3:19">
      <c r="C226" s="285" t="s">
        <v>224</v>
      </c>
      <c r="D226" s="286"/>
      <c r="E226" s="866">
        <f>E225+E172</f>
        <v>2078.69482522</v>
      </c>
      <c r="F226" s="866">
        <f t="shared" ref="F226:P226" si="93">F225+F172</f>
        <v>2272.28438256</v>
      </c>
      <c r="G226" s="866">
        <f t="shared" si="93"/>
        <v>2187.52255736</v>
      </c>
      <c r="H226" s="866">
        <f t="shared" si="93"/>
        <v>2136.39955023</v>
      </c>
      <c r="I226" s="866">
        <f t="shared" si="93"/>
        <v>2107.03421679</v>
      </c>
      <c r="J226" s="866">
        <f t="shared" si="93"/>
        <v>2259.6814131</v>
      </c>
      <c r="K226" s="866">
        <f t="shared" si="93"/>
        <v>2137.80015589</v>
      </c>
      <c r="L226" s="866">
        <f t="shared" si="93"/>
        <v>2030.69301586</v>
      </c>
      <c r="M226" s="866">
        <f t="shared" si="93"/>
        <v>2095.46338973</v>
      </c>
      <c r="N226" s="866">
        <f t="shared" si="93"/>
        <v>2243.311166</v>
      </c>
      <c r="O226" s="866">
        <f t="shared" si="93"/>
        <v>2348.37873087</v>
      </c>
      <c r="P226" s="866">
        <f t="shared" si="93"/>
        <v>2632.56851396</v>
      </c>
      <c r="Q226" s="866">
        <f t="shared" si="89"/>
        <v>26529.83191757</v>
      </c>
      <c r="R226" s="863"/>
      <c r="S226" s="863"/>
    </row>
    <row r="227" ht="15" hidden="1" spans="3:19">
      <c r="C227" s="370"/>
      <c r="D227" s="370"/>
      <c r="E227" s="863"/>
      <c r="F227" s="863"/>
      <c r="G227" s="863"/>
      <c r="H227" s="863"/>
      <c r="I227" s="863"/>
      <c r="J227" s="863"/>
      <c r="K227" s="863"/>
      <c r="L227" s="863"/>
      <c r="M227" s="863"/>
      <c r="N227" s="863"/>
      <c r="O227" s="863"/>
      <c r="P227" s="863"/>
      <c r="Q227" s="863"/>
      <c r="R227" s="863"/>
      <c r="S227" s="863"/>
    </row>
    <row r="228" ht="15" hidden="1" spans="3:19">
      <c r="C228" s="369"/>
      <c r="E228" s="863"/>
      <c r="F228" s="863"/>
      <c r="G228" s="863"/>
      <c r="H228" s="863"/>
      <c r="I228" s="863"/>
      <c r="J228" s="863"/>
      <c r="K228" s="863"/>
      <c r="L228" s="863"/>
      <c r="M228" s="863"/>
      <c r="N228" s="863"/>
      <c r="O228" s="863"/>
      <c r="P228" s="863"/>
      <c r="Q228" s="870" t="s">
        <v>236</v>
      </c>
      <c r="R228" s="863"/>
      <c r="S228" s="863"/>
    </row>
    <row r="229" ht="15" hidden="1" spans="3:19">
      <c r="C229" s="401" t="s">
        <v>159</v>
      </c>
      <c r="D229" s="401"/>
      <c r="E229" s="864" t="s">
        <v>261</v>
      </c>
      <c r="F229" s="864"/>
      <c r="G229" s="864"/>
      <c r="H229" s="864"/>
      <c r="I229" s="864"/>
      <c r="J229" s="864"/>
      <c r="K229" s="864"/>
      <c r="L229" s="864"/>
      <c r="M229" s="864"/>
      <c r="N229" s="864"/>
      <c r="O229" s="864"/>
      <c r="P229" s="864"/>
      <c r="Q229" s="864"/>
      <c r="R229" s="863"/>
      <c r="S229" s="863"/>
    </row>
    <row r="230" ht="15" hidden="1" spans="3:19">
      <c r="C230" s="401"/>
      <c r="D230" s="401"/>
      <c r="E230" s="864" t="s">
        <v>246</v>
      </c>
      <c r="F230" s="864" t="s">
        <v>247</v>
      </c>
      <c r="G230" s="864" t="s">
        <v>248</v>
      </c>
      <c r="H230" s="864" t="s">
        <v>249</v>
      </c>
      <c r="I230" s="864" t="s">
        <v>250</v>
      </c>
      <c r="J230" s="864" t="s">
        <v>251</v>
      </c>
      <c r="K230" s="864" t="s">
        <v>252</v>
      </c>
      <c r="L230" s="864" t="s">
        <v>253</v>
      </c>
      <c r="M230" s="864" t="s">
        <v>254</v>
      </c>
      <c r="N230" s="864" t="s">
        <v>255</v>
      </c>
      <c r="O230" s="864" t="s">
        <v>256</v>
      </c>
      <c r="P230" s="864" t="s">
        <v>257</v>
      </c>
      <c r="Q230" s="864" t="s">
        <v>97</v>
      </c>
      <c r="R230" s="863"/>
      <c r="S230" s="863"/>
    </row>
    <row r="231" ht="15" hidden="1" spans="3:19">
      <c r="C231" s="285" t="s">
        <v>170</v>
      </c>
      <c r="D231" s="286"/>
      <c r="E231" s="787"/>
      <c r="F231" s="787"/>
      <c r="G231" s="787"/>
      <c r="H231" s="787"/>
      <c r="I231" s="787"/>
      <c r="J231" s="787"/>
      <c r="K231" s="787"/>
      <c r="L231" s="787"/>
      <c r="M231" s="787"/>
      <c r="N231" s="787"/>
      <c r="O231" s="787"/>
      <c r="P231" s="787"/>
      <c r="Q231" s="866"/>
      <c r="R231" s="863"/>
      <c r="S231" s="863"/>
    </row>
    <row r="232" ht="15" hidden="1" spans="3:19">
      <c r="C232" s="296" t="s">
        <v>171</v>
      </c>
      <c r="D232" s="296" t="s">
        <v>172</v>
      </c>
      <c r="E232" s="787">
        <f>[17]Sales_SP!DG10</f>
        <v>958.6312096</v>
      </c>
      <c r="F232" s="787">
        <f>[17]Sales_SP!DH10</f>
        <v>947.77734622</v>
      </c>
      <c r="G232" s="787">
        <f>[17]Sales_SP!DI10</f>
        <v>817.066939</v>
      </c>
      <c r="H232" s="787">
        <f>[17]Sales_SP!DJ10</f>
        <v>781.51773</v>
      </c>
      <c r="I232" s="787">
        <f>[17]Sales_SP!DK10</f>
        <v>783.46889321</v>
      </c>
      <c r="J232" s="787">
        <f>[17]Sales_SP!DL10</f>
        <v>744.23774119</v>
      </c>
      <c r="K232" s="787">
        <f>[17]Sales_SP!DM10</f>
        <v>770.82084596</v>
      </c>
      <c r="L232" s="787">
        <f>[17]Sales_SP!DN10</f>
        <v>678.15063825</v>
      </c>
      <c r="M232" s="787">
        <f>[17]Sales_SP!DO10</f>
        <v>642.3749949</v>
      </c>
      <c r="N232" s="787">
        <f>[17]Sales_SP!DP10</f>
        <v>634.498739</v>
      </c>
      <c r="O232" s="787">
        <f>[17]Sales_SP!DQ10</f>
        <v>652.04275759</v>
      </c>
      <c r="P232" s="787">
        <f>[17]Sales_SP!DR10</f>
        <v>924.62434831</v>
      </c>
      <c r="Q232" s="866">
        <f t="shared" ref="Q232:Q245" si="94">SUM(E232:P232)</f>
        <v>9335.21218323</v>
      </c>
      <c r="R232" s="863"/>
      <c r="S232" s="863"/>
    </row>
    <row r="233" ht="15" hidden="1" spans="3:19">
      <c r="C233" s="296" t="s">
        <v>173</v>
      </c>
      <c r="D233" s="296" t="s">
        <v>174</v>
      </c>
      <c r="E233" s="787">
        <f>[17]Sales_SP!DG23</f>
        <v>216.622602</v>
      </c>
      <c r="F233" s="787">
        <f>[17]Sales_SP!DH23</f>
        <v>164.782805</v>
      </c>
      <c r="G233" s="787">
        <f>[17]Sales_SP!DI23</f>
        <v>187.96645104</v>
      </c>
      <c r="H233" s="787">
        <f>[17]Sales_SP!DJ23</f>
        <v>203.2554</v>
      </c>
      <c r="I233" s="787">
        <f>[17]Sales_SP!DK23</f>
        <v>208.33792147</v>
      </c>
      <c r="J233" s="787">
        <f>[17]Sales_SP!DL23</f>
        <v>202.38050946</v>
      </c>
      <c r="K233" s="787">
        <f>[17]Sales_SP!DM23</f>
        <v>219.36207261</v>
      </c>
      <c r="L233" s="787">
        <f>[17]Sales_SP!DN23</f>
        <v>206.03346725</v>
      </c>
      <c r="M233" s="787">
        <f>[17]Sales_SP!DO23</f>
        <v>200.8110605</v>
      </c>
      <c r="N233" s="787">
        <f>[17]Sales_SP!DP23</f>
        <v>188.034485</v>
      </c>
      <c r="O233" s="787">
        <f>[17]Sales_SP!DQ23</f>
        <v>203.62566825</v>
      </c>
      <c r="P233" s="787">
        <f>[17]Sales_SP!DR23</f>
        <v>267.1268865</v>
      </c>
      <c r="Q233" s="866">
        <f t="shared" si="94"/>
        <v>2468.33932908</v>
      </c>
      <c r="R233" s="863"/>
      <c r="S233" s="863"/>
    </row>
    <row r="234" ht="15" hidden="1" spans="3:19">
      <c r="C234" s="296" t="s">
        <v>175</v>
      </c>
      <c r="D234" s="296" t="s">
        <v>176</v>
      </c>
      <c r="E234" s="787">
        <f>[17]Sales_SP!DG36</f>
        <v>72.129595</v>
      </c>
      <c r="F234" s="787">
        <f>[17]Sales_SP!DH36</f>
        <v>62.519583</v>
      </c>
      <c r="G234" s="787">
        <f>[17]Sales_SP!DI36</f>
        <v>70.313388</v>
      </c>
      <c r="H234" s="787">
        <f>[17]Sales_SP!DJ36</f>
        <v>75.565589</v>
      </c>
      <c r="I234" s="787">
        <f>[17]Sales_SP!DK36</f>
        <v>74.327884</v>
      </c>
      <c r="J234" s="787">
        <f>[17]Sales_SP!DL36</f>
        <v>69.495636</v>
      </c>
      <c r="K234" s="787">
        <f>[17]Sales_SP!DM36</f>
        <v>71.286587</v>
      </c>
      <c r="L234" s="787">
        <f>[17]Sales_SP!DN36</f>
        <v>75.917098</v>
      </c>
      <c r="M234" s="787">
        <f>[17]Sales_SP!DO36</f>
        <v>85.897062</v>
      </c>
      <c r="N234" s="787">
        <f>[17]Sales_SP!DP36</f>
        <v>79.088023</v>
      </c>
      <c r="O234" s="787">
        <f>[17]Sales_SP!DQ36</f>
        <v>76.008109</v>
      </c>
      <c r="P234" s="787">
        <f>[17]Sales_SP!DR36</f>
        <v>79.632552</v>
      </c>
      <c r="Q234" s="866">
        <f t="shared" si="94"/>
        <v>892.181106</v>
      </c>
      <c r="R234" s="863"/>
      <c r="S234" s="863"/>
    </row>
    <row r="235" ht="15" hidden="1" spans="3:19">
      <c r="C235" s="296" t="s">
        <v>177</v>
      </c>
      <c r="D235" s="296" t="s">
        <v>178</v>
      </c>
      <c r="E235" s="787">
        <f>[17]Sales_SP!DG43</f>
        <v>0.811382</v>
      </c>
      <c r="F235" s="787">
        <f>[17]Sales_SP!DH43</f>
        <v>0.687753</v>
      </c>
      <c r="G235" s="787">
        <f>[17]Sales_SP!DI43</f>
        <v>0.782228</v>
      </c>
      <c r="H235" s="787">
        <f>[17]Sales_SP!DJ43</f>
        <v>0.806994</v>
      </c>
      <c r="I235" s="787">
        <f>[17]Sales_SP!DK43</f>
        <v>0.767551</v>
      </c>
      <c r="J235" s="787">
        <f>[17]Sales_SP!DL43</f>
        <v>0.730633</v>
      </c>
      <c r="K235" s="787">
        <f>[17]Sales_SP!DM43</f>
        <v>0.782965</v>
      </c>
      <c r="L235" s="787">
        <f>[17]Sales_SP!DN43</f>
        <v>0.753787</v>
      </c>
      <c r="M235" s="787">
        <f>[17]Sales_SP!DO43</f>
        <v>0.764057</v>
      </c>
      <c r="N235" s="787">
        <f>[17]Sales_SP!DP43</f>
        <v>0.648226</v>
      </c>
      <c r="O235" s="787">
        <f>[17]Sales_SP!DQ43</f>
        <v>0.627256</v>
      </c>
      <c r="P235" s="787">
        <f>[17]Sales_SP!DR43</f>
        <v>0.818623</v>
      </c>
      <c r="Q235" s="866">
        <f t="shared" si="94"/>
        <v>8.981455</v>
      </c>
      <c r="R235" s="863"/>
      <c r="S235" s="863"/>
    </row>
    <row r="236" ht="15" hidden="1" spans="3:19">
      <c r="C236" s="296" t="s">
        <v>179</v>
      </c>
      <c r="D236" s="296" t="s">
        <v>180</v>
      </c>
      <c r="E236" s="787">
        <v>0</v>
      </c>
      <c r="F236" s="787">
        <v>0</v>
      </c>
      <c r="G236" s="787">
        <v>0</v>
      </c>
      <c r="H236" s="787">
        <v>0</v>
      </c>
      <c r="I236" s="787">
        <v>0</v>
      </c>
      <c r="J236" s="787">
        <v>0</v>
      </c>
      <c r="K236" s="787">
        <v>0</v>
      </c>
      <c r="L236" s="787">
        <v>0</v>
      </c>
      <c r="M236" s="787">
        <v>0</v>
      </c>
      <c r="N236" s="787">
        <v>0</v>
      </c>
      <c r="O236" s="787">
        <v>0</v>
      </c>
      <c r="P236" s="787">
        <v>0</v>
      </c>
      <c r="Q236" s="866">
        <f t="shared" si="94"/>
        <v>0</v>
      </c>
      <c r="R236" s="863"/>
      <c r="S236" s="863"/>
    </row>
    <row r="237" ht="15" hidden="1" spans="3:19">
      <c r="C237" s="296" t="s">
        <v>181</v>
      </c>
      <c r="D237" s="296" t="s">
        <v>182</v>
      </c>
      <c r="E237" s="787">
        <f>[17]Sales_SP!DG54</f>
        <v>39.974317</v>
      </c>
      <c r="F237" s="787">
        <f>[17]Sales_SP!DH54</f>
        <v>37.89918</v>
      </c>
      <c r="G237" s="787">
        <f>[17]Sales_SP!DI54</f>
        <v>36.7185941</v>
      </c>
      <c r="H237" s="787">
        <f>[17]Sales_SP!DJ54</f>
        <v>37.23527875</v>
      </c>
      <c r="I237" s="787">
        <f>[17]Sales_SP!DK54</f>
        <v>37.20049</v>
      </c>
      <c r="J237" s="787">
        <f>[17]Sales_SP!DL54</f>
        <v>36.156446</v>
      </c>
      <c r="K237" s="787">
        <f>[17]Sales_SP!DM54</f>
        <v>39.504069</v>
      </c>
      <c r="L237" s="787">
        <f>[17]Sales_SP!DN54</f>
        <v>37.812615</v>
      </c>
      <c r="M237" s="787">
        <f>[17]Sales_SP!DO54</f>
        <v>39.7390975</v>
      </c>
      <c r="N237" s="787">
        <f>[17]Sales_SP!DP54</f>
        <v>38.91495325</v>
      </c>
      <c r="O237" s="787">
        <f>[17]Sales_SP!DQ54</f>
        <v>38.393703</v>
      </c>
      <c r="P237" s="787">
        <f>[17]Sales_SP!DR54</f>
        <v>42.636841</v>
      </c>
      <c r="Q237" s="866">
        <f t="shared" si="94"/>
        <v>462.1855846</v>
      </c>
      <c r="R237" s="863"/>
      <c r="S237" s="863"/>
    </row>
    <row r="238" ht="15" hidden="1" spans="3:19">
      <c r="C238" s="296" t="s">
        <v>183</v>
      </c>
      <c r="D238" s="296" t="s">
        <v>184</v>
      </c>
      <c r="E238" s="787">
        <f>[17]Sales_SP!DG64</f>
        <v>4.9724112</v>
      </c>
      <c r="F238" s="787">
        <f>[17]Sales_SP!DH64</f>
        <v>3.9698763</v>
      </c>
      <c r="G238" s="787">
        <f>[17]Sales_SP!DI64</f>
        <v>3.8782</v>
      </c>
      <c r="H238" s="787">
        <f>[17]Sales_SP!DJ64</f>
        <v>4.268814</v>
      </c>
      <c r="I238" s="787">
        <f>[17]Sales_SP!DK64</f>
        <v>4.424712</v>
      </c>
      <c r="J238" s="787">
        <f>[17]Sales_SP!DL64</f>
        <v>4.478792</v>
      </c>
      <c r="K238" s="787">
        <f>[17]Sales_SP!DM64</f>
        <v>5.1390957</v>
      </c>
      <c r="L238" s="787">
        <f>[17]Sales_SP!DN64</f>
        <v>6.1701034</v>
      </c>
      <c r="M238" s="787">
        <f>[17]Sales_SP!DO64</f>
        <v>5.851374</v>
      </c>
      <c r="N238" s="787">
        <f>[17]Sales_SP!DP64</f>
        <v>4.0501452</v>
      </c>
      <c r="O238" s="787">
        <f>[17]Sales_SP!DQ64</f>
        <v>5.9031316</v>
      </c>
      <c r="P238" s="787">
        <f>[17]Sales_SP!DR64</f>
        <v>8.2073661</v>
      </c>
      <c r="Q238" s="866">
        <f t="shared" si="94"/>
        <v>61.3140215</v>
      </c>
      <c r="R238" s="863"/>
      <c r="S238" s="863"/>
    </row>
    <row r="239" ht="15" hidden="1" spans="3:19">
      <c r="C239" s="296" t="s">
        <v>185</v>
      </c>
      <c r="D239" s="296" t="s">
        <v>186</v>
      </c>
      <c r="E239" s="787">
        <f>[17]Sales_SP!DG69</f>
        <v>6.329285</v>
      </c>
      <c r="F239" s="787">
        <f>[17]Sales_SP!DH69</f>
        <v>5.696465</v>
      </c>
      <c r="G239" s="787">
        <f>[17]Sales_SP!DI69</f>
        <v>5.892033</v>
      </c>
      <c r="H239" s="787">
        <f>[17]Sales_SP!DJ69</f>
        <v>6.324905</v>
      </c>
      <c r="I239" s="787">
        <f>[17]Sales_SP!DK69</f>
        <v>6.69901</v>
      </c>
      <c r="J239" s="787">
        <f>[17]Sales_SP!DL69</f>
        <v>6.614965</v>
      </c>
      <c r="K239" s="787">
        <f>[17]Sales_SP!DM69</f>
        <v>7.313747</v>
      </c>
      <c r="L239" s="787">
        <f>[17]Sales_SP!DN69</f>
        <v>6.741851</v>
      </c>
      <c r="M239" s="787">
        <f>[17]Sales_SP!DO69</f>
        <v>7.121061</v>
      </c>
      <c r="N239" s="787">
        <f>[17]Sales_SP!DP69</f>
        <v>7.045018</v>
      </c>
      <c r="O239" s="787">
        <f>[17]Sales_SP!DQ69</f>
        <v>7.455261</v>
      </c>
      <c r="P239" s="787">
        <f>[17]Sales_SP!DR69</f>
        <v>9.054385</v>
      </c>
      <c r="Q239" s="866">
        <f t="shared" si="94"/>
        <v>82.287986</v>
      </c>
      <c r="R239" s="863"/>
      <c r="S239" s="863"/>
    </row>
    <row r="240" ht="15" hidden="1" spans="3:19">
      <c r="C240" s="296" t="s">
        <v>187</v>
      </c>
      <c r="D240" s="296" t="s">
        <v>188</v>
      </c>
      <c r="E240" s="787">
        <f>[17]Sales_SP!DG70</f>
        <v>0.002711</v>
      </c>
      <c r="F240" s="787">
        <f>[17]Sales_SP!DH70</f>
        <v>0.001399</v>
      </c>
      <c r="G240" s="787">
        <f>[17]Sales_SP!DI70</f>
        <v>0.002161</v>
      </c>
      <c r="H240" s="787">
        <f>[17]Sales_SP!DJ70</f>
        <v>0.004707</v>
      </c>
      <c r="I240" s="787">
        <f>[17]Sales_SP!DK70</f>
        <v>0.0063</v>
      </c>
      <c r="J240" s="787">
        <f>[17]Sales_SP!DL70</f>
        <v>0.009721</v>
      </c>
      <c r="K240" s="787">
        <f>[17]Sales_SP!DM70</f>
        <v>0.012039</v>
      </c>
      <c r="L240" s="787">
        <f>[17]Sales_SP!DN70</f>
        <v>0.012754</v>
      </c>
      <c r="M240" s="787">
        <f>[17]Sales_SP!DO70</f>
        <v>0.01836</v>
      </c>
      <c r="N240" s="787">
        <f>[17]Sales_SP!DP70</f>
        <v>0.017074</v>
      </c>
      <c r="O240" s="787">
        <f>[17]Sales_SP!DQ70</f>
        <v>0.020971</v>
      </c>
      <c r="P240" s="787">
        <f>[17]Sales_SP!DR70</f>
        <v>0.02218</v>
      </c>
      <c r="Q240" s="866">
        <f t="shared" si="94"/>
        <v>0.130377</v>
      </c>
      <c r="R240" s="863"/>
      <c r="S240" s="863"/>
    </row>
    <row r="241" ht="15" hidden="1" spans="3:19">
      <c r="C241" s="296"/>
      <c r="D241" s="296"/>
      <c r="E241" s="787"/>
      <c r="F241" s="787"/>
      <c r="G241" s="787"/>
      <c r="H241" s="787"/>
      <c r="I241" s="787"/>
      <c r="J241" s="787"/>
      <c r="K241" s="787"/>
      <c r="L241" s="787"/>
      <c r="M241" s="787"/>
      <c r="N241" s="787"/>
      <c r="O241" s="787"/>
      <c r="P241" s="787"/>
      <c r="Q241" s="866">
        <f t="shared" si="94"/>
        <v>0</v>
      </c>
      <c r="R241" s="863"/>
      <c r="S241" s="863"/>
    </row>
    <row r="242" ht="15" hidden="1" spans="3:19">
      <c r="C242" s="296"/>
      <c r="D242" s="296"/>
      <c r="E242" s="787"/>
      <c r="F242" s="787"/>
      <c r="G242" s="787"/>
      <c r="H242" s="787"/>
      <c r="I242" s="787"/>
      <c r="J242" s="787"/>
      <c r="K242" s="787"/>
      <c r="L242" s="787"/>
      <c r="M242" s="787"/>
      <c r="N242" s="787"/>
      <c r="O242" s="787"/>
      <c r="P242" s="787"/>
      <c r="Q242" s="866">
        <f t="shared" si="94"/>
        <v>0</v>
      </c>
      <c r="R242" s="863"/>
      <c r="S242" s="863"/>
    </row>
    <row r="243" ht="15" hidden="1" spans="3:19">
      <c r="C243" s="296"/>
      <c r="D243" s="296"/>
      <c r="E243" s="787"/>
      <c r="F243" s="787"/>
      <c r="G243" s="787"/>
      <c r="H243" s="787"/>
      <c r="I243" s="787"/>
      <c r="J243" s="787"/>
      <c r="K243" s="787"/>
      <c r="L243" s="787"/>
      <c r="M243" s="787"/>
      <c r="N243" s="787"/>
      <c r="O243" s="787"/>
      <c r="P243" s="787"/>
      <c r="Q243" s="866">
        <f t="shared" si="94"/>
        <v>0</v>
      </c>
      <c r="R243" s="863"/>
      <c r="S243" s="863"/>
    </row>
    <row r="244" ht="15" hidden="1" spans="3:19">
      <c r="C244" s="296" t="s">
        <v>258</v>
      </c>
      <c r="D244" s="296" t="s">
        <v>258</v>
      </c>
      <c r="E244" s="787"/>
      <c r="F244" s="787"/>
      <c r="G244" s="787"/>
      <c r="H244" s="787"/>
      <c r="I244" s="787"/>
      <c r="J244" s="787"/>
      <c r="K244" s="787"/>
      <c r="L244" s="787"/>
      <c r="M244" s="787"/>
      <c r="N244" s="787"/>
      <c r="O244" s="787"/>
      <c r="P244" s="787"/>
      <c r="Q244" s="866">
        <f t="shared" si="94"/>
        <v>0</v>
      </c>
      <c r="R244" s="863"/>
      <c r="S244" s="863"/>
    </row>
    <row r="245" ht="15" hidden="1" spans="3:19">
      <c r="C245" s="285" t="s">
        <v>189</v>
      </c>
      <c r="D245" s="286"/>
      <c r="E245" s="866">
        <f t="shared" ref="E245:P245" si="95">SUM(E232:E244)</f>
        <v>1299.4735128</v>
      </c>
      <c r="F245" s="866">
        <f t="shared" si="95"/>
        <v>1223.33440752</v>
      </c>
      <c r="G245" s="866">
        <f t="shared" si="95"/>
        <v>1122.61999414</v>
      </c>
      <c r="H245" s="866">
        <f t="shared" si="95"/>
        <v>1108.97941775</v>
      </c>
      <c r="I245" s="866">
        <f t="shared" si="95"/>
        <v>1115.23276168</v>
      </c>
      <c r="J245" s="866">
        <f t="shared" si="95"/>
        <v>1064.10444365</v>
      </c>
      <c r="K245" s="866">
        <f t="shared" si="95"/>
        <v>1114.22142127</v>
      </c>
      <c r="L245" s="866">
        <f t="shared" si="95"/>
        <v>1011.5923139</v>
      </c>
      <c r="M245" s="866">
        <f t="shared" si="95"/>
        <v>982.5770669</v>
      </c>
      <c r="N245" s="866">
        <f t="shared" si="95"/>
        <v>952.29666345</v>
      </c>
      <c r="O245" s="866">
        <f t="shared" si="95"/>
        <v>984.07685744</v>
      </c>
      <c r="P245" s="866">
        <f t="shared" si="95"/>
        <v>1332.12318191</v>
      </c>
      <c r="Q245" s="866">
        <f t="shared" si="94"/>
        <v>13310.63204241</v>
      </c>
      <c r="R245" s="863"/>
      <c r="S245" s="863"/>
    </row>
    <row r="246" ht="15" hidden="1" spans="3:19">
      <c r="C246" s="285" t="s">
        <v>190</v>
      </c>
      <c r="D246" s="286"/>
      <c r="E246" s="787"/>
      <c r="F246" s="787"/>
      <c r="G246" s="787"/>
      <c r="H246" s="787"/>
      <c r="I246" s="787"/>
      <c r="J246" s="787"/>
      <c r="K246" s="787"/>
      <c r="L246" s="787"/>
      <c r="M246" s="787"/>
      <c r="N246" s="787"/>
      <c r="O246" s="787"/>
      <c r="P246" s="787"/>
      <c r="Q246" s="866"/>
      <c r="R246" s="863"/>
      <c r="S246" s="863"/>
    </row>
    <row r="247" ht="15" hidden="1" spans="3:19">
      <c r="C247" s="296" t="s">
        <v>191</v>
      </c>
      <c r="D247" s="296" t="s">
        <v>192</v>
      </c>
      <c r="E247" s="787">
        <f>[17]Sales_SP!DG89</f>
        <v>332.544070280001</v>
      </c>
      <c r="F247" s="787">
        <f>[17]Sales_SP!DH89</f>
        <v>296.7444354</v>
      </c>
      <c r="G247" s="787">
        <f>[17]Sales_SP!DI89</f>
        <v>301.99576105</v>
      </c>
      <c r="H247" s="787">
        <f>[17]Sales_SP!DJ89</f>
        <v>321.228852779999</v>
      </c>
      <c r="I247" s="787">
        <f>[17]Sales_SP!DK89</f>
        <v>326.266262549999</v>
      </c>
      <c r="J247" s="787">
        <f>[17]Sales_SP!DL89</f>
        <v>320.032160720001</v>
      </c>
      <c r="K247" s="787">
        <f>[17]Sales_SP!DM89</f>
        <v>309.161398929999</v>
      </c>
      <c r="L247" s="787">
        <f>[17]Sales_SP!DN89</f>
        <v>330.646328459999</v>
      </c>
      <c r="M247" s="787">
        <f>[17]Sales_SP!DO89</f>
        <v>334.94531104</v>
      </c>
      <c r="N247" s="787">
        <f>[17]Sales_SP!DP89</f>
        <v>337.16304669</v>
      </c>
      <c r="O247" s="787">
        <f>[17]Sales_SP!DQ89</f>
        <v>334.920558119999</v>
      </c>
      <c r="P247" s="787">
        <f>[17]Sales_SP!DR89</f>
        <v>315.07038202</v>
      </c>
      <c r="Q247" s="866">
        <f t="shared" ref="Q247:Q279" si="96">SUM(E247:P247)</f>
        <v>3860.71856804</v>
      </c>
      <c r="R247" s="863"/>
      <c r="S247" s="863"/>
    </row>
    <row r="248" ht="15" hidden="1" spans="3:19">
      <c r="C248" s="296" t="s">
        <v>193</v>
      </c>
      <c r="D248" s="296" t="s">
        <v>194</v>
      </c>
      <c r="E248" s="787">
        <f>[17]Sales_SP!DG104</f>
        <v>0</v>
      </c>
      <c r="F248" s="787">
        <f>[17]Sales_SP!DH104</f>
        <v>0</v>
      </c>
      <c r="G248" s="787">
        <f>[17]Sales_SP!DI104</f>
        <v>0</v>
      </c>
      <c r="H248" s="787">
        <f>[17]Sales_SP!DJ104</f>
        <v>0</v>
      </c>
      <c r="I248" s="787">
        <f>[17]Sales_SP!DK104</f>
        <v>0</v>
      </c>
      <c r="J248" s="787">
        <f>[17]Sales_SP!DL104</f>
        <v>0</v>
      </c>
      <c r="K248" s="787">
        <f>[17]Sales_SP!DM104</f>
        <v>0</v>
      </c>
      <c r="L248" s="787">
        <f>[17]Sales_SP!DN104</f>
        <v>0</v>
      </c>
      <c r="M248" s="787">
        <f>[17]Sales_SP!DO104</f>
        <v>0</v>
      </c>
      <c r="N248" s="787">
        <f>[17]Sales_SP!DP104</f>
        <v>0</v>
      </c>
      <c r="O248" s="787">
        <f>[17]Sales_SP!DQ104</f>
        <v>0</v>
      </c>
      <c r="P248" s="787">
        <f>[17]Sales_SP!DR104</f>
        <v>0</v>
      </c>
      <c r="Q248" s="866">
        <f t="shared" si="96"/>
        <v>0</v>
      </c>
      <c r="R248" s="863"/>
      <c r="S248" s="863"/>
    </row>
    <row r="249" ht="15" hidden="1" spans="3:19">
      <c r="C249" s="296" t="s">
        <v>239</v>
      </c>
      <c r="D249" s="296" t="s">
        <v>196</v>
      </c>
      <c r="E249" s="787">
        <f>[17]Sales_SP!DG110</f>
        <v>135.33931926</v>
      </c>
      <c r="F249" s="787">
        <f>SUM('[14]FY21-22 Actual Sales '!H93:H96)</f>
        <v>116.92400986</v>
      </c>
      <c r="G249" s="787">
        <f>SUM('[14]FY21-22 Actual Sales '!I93:I96)</f>
        <v>105.71268346</v>
      </c>
      <c r="H249" s="787">
        <f>SUM('[14]FY21-22 Actual Sales '!J93:J96)</f>
        <v>118.80580985</v>
      </c>
      <c r="I249" s="787">
        <f>SUM('[14]FY21-22 Actual Sales '!K93:K96)</f>
        <v>124.65938299</v>
      </c>
      <c r="J249" s="787">
        <f>SUM('[14]FY21-22 Actual Sales '!L93:L96)</f>
        <v>122.62340804</v>
      </c>
      <c r="K249" s="787">
        <f>SUM('[14]FY21-22 Actual Sales '!M93:M96)</f>
        <v>131.27630043</v>
      </c>
      <c r="L249" s="787">
        <f>SUM('[14]FY21-22 Actual Sales '!N93:N96)</f>
        <v>125.499898209999</v>
      </c>
      <c r="M249" s="787">
        <f>SUM('[14]FY21-22 Actual Sales '!O93:O96)</f>
        <v>122.17824065</v>
      </c>
      <c r="N249" s="787">
        <f>SUM('[14]FY21-22 Actual Sales '!P93:P96)</f>
        <v>113.94841667</v>
      </c>
      <c r="O249" s="787">
        <f>SUM('[14]FY21-22 Actual Sales '!Q93:Q96)</f>
        <v>109.91896391</v>
      </c>
      <c r="P249" s="787">
        <f>SUM('[14]FY21-22 Actual Sales '!R93:R96)</f>
        <v>124.73975294</v>
      </c>
      <c r="Q249" s="866">
        <f t="shared" si="96"/>
        <v>1451.62618627</v>
      </c>
      <c r="R249" s="863"/>
      <c r="S249" s="863"/>
    </row>
    <row r="250" ht="15" hidden="1" spans="3:19">
      <c r="C250" s="296" t="s">
        <v>197</v>
      </c>
      <c r="D250" s="296" t="s">
        <v>198</v>
      </c>
      <c r="E250" s="787">
        <f>[17]Sales_SP!DG115</f>
        <v>0</v>
      </c>
      <c r="F250" s="787">
        <f>[17]Sales_SP!DH115</f>
        <v>0</v>
      </c>
      <c r="G250" s="787">
        <f>[17]Sales_SP!DI115</f>
        <v>0</v>
      </c>
      <c r="H250" s="787">
        <f>[17]Sales_SP!DJ115</f>
        <v>0</v>
      </c>
      <c r="I250" s="787">
        <f>[17]Sales_SP!DK115</f>
        <v>0</v>
      </c>
      <c r="J250" s="787">
        <f>[17]Sales_SP!DL115</f>
        <v>0</v>
      </c>
      <c r="K250" s="787">
        <f>[17]Sales_SP!DM115</f>
        <v>0</v>
      </c>
      <c r="L250" s="787">
        <f>[17]Sales_SP!DN115</f>
        <v>0</v>
      </c>
      <c r="M250" s="787">
        <f>[17]Sales_SP!DO115</f>
        <v>0</v>
      </c>
      <c r="N250" s="787">
        <f>[17]Sales_SP!DP115</f>
        <v>0</v>
      </c>
      <c r="O250" s="787">
        <f>[17]Sales_SP!DQ115</f>
        <v>0</v>
      </c>
      <c r="P250" s="787">
        <f>[17]Sales_SP!DR115</f>
        <v>0</v>
      </c>
      <c r="Q250" s="866">
        <f t="shared" si="96"/>
        <v>0</v>
      </c>
      <c r="R250" s="863"/>
      <c r="S250" s="863"/>
    </row>
    <row r="251" ht="15" hidden="1" spans="3:19">
      <c r="C251" s="296" t="s">
        <v>199</v>
      </c>
      <c r="D251" s="296" t="s">
        <v>200</v>
      </c>
      <c r="E251" s="787">
        <f>[17]Sales_SP!DG120</f>
        <v>0.292469</v>
      </c>
      <c r="F251" s="787">
        <f>[17]Sales_SP!DH120</f>
        <v>0.270392</v>
      </c>
      <c r="G251" s="787">
        <f>[17]Sales_SP!DI120</f>
        <v>0.234387</v>
      </c>
      <c r="H251" s="787">
        <f>[17]Sales_SP!DJ120</f>
        <v>0.262396</v>
      </c>
      <c r="I251" s="787">
        <f>[17]Sales_SP!DK120</f>
        <v>0.285778</v>
      </c>
      <c r="J251" s="787">
        <f>[17]Sales_SP!DL120</f>
        <v>0.295408</v>
      </c>
      <c r="K251" s="787">
        <f>[17]Sales_SP!DM120</f>
        <v>0.300113</v>
      </c>
      <c r="L251" s="787">
        <f>[17]Sales_SP!DN120</f>
        <v>0.305227</v>
      </c>
      <c r="M251" s="787">
        <f>[17]Sales_SP!DO120</f>
        <v>0.305084</v>
      </c>
      <c r="N251" s="787">
        <f>[17]Sales_SP!DP120</f>
        <v>0.2911648</v>
      </c>
      <c r="O251" s="787">
        <f>[17]Sales_SP!DQ120</f>
        <v>0.269018</v>
      </c>
      <c r="P251" s="787">
        <f>[17]Sales_SP!DR120</f>
        <v>0.276124</v>
      </c>
      <c r="Q251" s="866">
        <f t="shared" si="96"/>
        <v>3.3875608</v>
      </c>
      <c r="R251" s="863"/>
      <c r="S251" s="863"/>
    </row>
    <row r="252" ht="15" hidden="1" spans="3:19">
      <c r="C252" s="296" t="s">
        <v>201</v>
      </c>
      <c r="D252" s="296" t="s">
        <v>202</v>
      </c>
      <c r="E252" s="787">
        <f>[17]Sales_SP!DG126</f>
        <v>5.098911</v>
      </c>
      <c r="F252" s="787">
        <f>[17]Sales_SP!DH126</f>
        <v>1.125737</v>
      </c>
      <c r="G252" s="787">
        <f>[17]Sales_SP!DI126</f>
        <v>0.655789</v>
      </c>
      <c r="H252" s="787">
        <f>[17]Sales_SP!DJ126</f>
        <v>0.850232</v>
      </c>
      <c r="I252" s="787">
        <f>[17]Sales_SP!DK126</f>
        <v>2.978438</v>
      </c>
      <c r="J252" s="787">
        <f>[17]Sales_SP!DL126</f>
        <v>4.169779</v>
      </c>
      <c r="K252" s="787">
        <f>[17]Sales_SP!DM126</f>
        <v>5.090822</v>
      </c>
      <c r="L252" s="787">
        <f>[17]Sales_SP!DN126</f>
        <v>3.925507</v>
      </c>
      <c r="M252" s="787">
        <f>[17]Sales_SP!DO126</f>
        <v>1.892511</v>
      </c>
      <c r="N252" s="787">
        <f>[17]Sales_SP!DP126</f>
        <v>4.936936</v>
      </c>
      <c r="O252" s="787">
        <f>[17]Sales_SP!DQ126</f>
        <v>5.117686</v>
      </c>
      <c r="P252" s="787">
        <f>[17]Sales_SP!DR126</f>
        <v>5.834378</v>
      </c>
      <c r="Q252" s="866">
        <f t="shared" si="96"/>
        <v>41.676726</v>
      </c>
      <c r="R252" s="863"/>
      <c r="S252" s="863"/>
    </row>
    <row r="253" ht="15" hidden="1" spans="3:19">
      <c r="C253" s="296" t="s">
        <v>203</v>
      </c>
      <c r="D253" s="296" t="s">
        <v>204</v>
      </c>
      <c r="E253" s="787">
        <f>[17]Sales_SP!DG127</f>
        <v>11.473512</v>
      </c>
      <c r="F253" s="787">
        <f>[17]Sales_SP!DH127</f>
        <v>10.681545</v>
      </c>
      <c r="G253" s="787">
        <f>[17]Sales_SP!DI127</f>
        <v>10.455111</v>
      </c>
      <c r="H253" s="787">
        <f>[17]Sales_SP!DJ127</f>
        <v>10.456347</v>
      </c>
      <c r="I253" s="787">
        <f>[17]Sales_SP!DK127</f>
        <v>10.8146315</v>
      </c>
      <c r="J253" s="787">
        <f>[17]Sales_SP!DL127</f>
        <v>10.613011</v>
      </c>
      <c r="K253" s="787">
        <f>[17]Sales_SP!DM127</f>
        <v>10.948582</v>
      </c>
      <c r="L253" s="787">
        <f>[17]Sales_SP!DN127</f>
        <v>11.269684</v>
      </c>
      <c r="M253" s="787">
        <f>[17]Sales_SP!DO127</f>
        <v>10.916776</v>
      </c>
      <c r="N253" s="787">
        <f>[17]Sales_SP!DP127</f>
        <v>11.1741985</v>
      </c>
      <c r="O253" s="787">
        <f>[17]Sales_SP!DQ127</f>
        <v>10.960835</v>
      </c>
      <c r="P253" s="787">
        <f>[17]Sales_SP!DR127</f>
        <v>10.458047</v>
      </c>
      <c r="Q253" s="866">
        <f t="shared" si="96"/>
        <v>130.22228</v>
      </c>
      <c r="R253" s="863"/>
      <c r="S253" s="863"/>
    </row>
    <row r="254" ht="15" hidden="1" spans="3:19">
      <c r="C254" s="296" t="s">
        <v>205</v>
      </c>
      <c r="D254" s="296" t="s">
        <v>206</v>
      </c>
      <c r="E254" s="787">
        <f>[17]Sales_SP!DG131</f>
        <v>14.581323</v>
      </c>
      <c r="F254" s="787">
        <f>[17]Sales_SP!DH131</f>
        <v>14.678289</v>
      </c>
      <c r="G254" s="787">
        <f>[17]Sales_SP!DI131</f>
        <v>14.124176</v>
      </c>
      <c r="H254" s="787">
        <f>[17]Sales_SP!DJ131</f>
        <v>12.035335</v>
      </c>
      <c r="I254" s="787">
        <f>[17]Sales_SP!DK131</f>
        <v>12.083102</v>
      </c>
      <c r="J254" s="787">
        <f>[17]Sales_SP!DL131</f>
        <v>11.7113118</v>
      </c>
      <c r="K254" s="787">
        <f>[17]Sales_SP!DM131</f>
        <v>11.8348675</v>
      </c>
      <c r="L254" s="787">
        <f>[17]Sales_SP!DN131</f>
        <v>11.489955</v>
      </c>
      <c r="M254" s="787">
        <f>[17]Sales_SP!DO131</f>
        <v>10.88195575</v>
      </c>
      <c r="N254" s="787">
        <f>[17]Sales_SP!DP131</f>
        <v>11.005298</v>
      </c>
      <c r="O254" s="787">
        <f>[17]Sales_SP!DQ131</f>
        <v>10.857859</v>
      </c>
      <c r="P254" s="787">
        <f>[17]Sales_SP!DR131</f>
        <v>11.39923</v>
      </c>
      <c r="Q254" s="866">
        <f t="shared" si="96"/>
        <v>146.68270205</v>
      </c>
      <c r="R254" s="863"/>
      <c r="S254" s="863"/>
    </row>
    <row r="255" ht="15" hidden="1" spans="3:19">
      <c r="C255" s="296" t="s">
        <v>207</v>
      </c>
      <c r="D255" s="296" t="s">
        <v>186</v>
      </c>
      <c r="E255" s="787">
        <f>[17]Sales_SP!DG132</f>
        <v>8.710615</v>
      </c>
      <c r="F255" s="787">
        <f>[17]Sales_SP!DH132</f>
        <v>7.95727</v>
      </c>
      <c r="G255" s="787">
        <f>[17]Sales_SP!DI132</f>
        <v>8.22206250000001</v>
      </c>
      <c r="H255" s="787">
        <f>[17]Sales_SP!DJ132</f>
        <v>8.76820200000001</v>
      </c>
      <c r="I255" s="787">
        <f>[17]Sales_SP!DK132</f>
        <v>9.743914</v>
      </c>
      <c r="J255" s="787">
        <f>[17]Sales_SP!DL132</f>
        <v>9.652652</v>
      </c>
      <c r="K255" s="787">
        <f>[17]Sales_SP!DM132</f>
        <v>10.108731</v>
      </c>
      <c r="L255" s="787">
        <f>[17]Sales_SP!DN132</f>
        <v>9.71765939</v>
      </c>
      <c r="M255" s="787">
        <f>[17]Sales_SP!DO132</f>
        <v>9.73335603999999</v>
      </c>
      <c r="N255" s="787">
        <f>[17]Sales_SP!DP132</f>
        <v>10.3633035</v>
      </c>
      <c r="O255" s="787">
        <f>[17]Sales_SP!DQ132</f>
        <v>9.914018</v>
      </c>
      <c r="P255" s="787">
        <f>[17]Sales_SP!DR132</f>
        <v>9.59293350000001</v>
      </c>
      <c r="Q255" s="866">
        <f t="shared" si="96"/>
        <v>112.48471693</v>
      </c>
      <c r="R255" s="863"/>
      <c r="S255" s="863"/>
    </row>
    <row r="256" ht="15" hidden="1" spans="3:19">
      <c r="C256" s="296" t="s">
        <v>208</v>
      </c>
      <c r="D256" s="296" t="s">
        <v>209</v>
      </c>
      <c r="E256" s="787">
        <f>[17]Sales_SP!DG133</f>
        <v>0</v>
      </c>
      <c r="F256" s="787">
        <f>[17]Sales_SP!DH133</f>
        <v>0</v>
      </c>
      <c r="G256" s="787">
        <f>[17]Sales_SP!DI133</f>
        <v>0</v>
      </c>
      <c r="H256" s="787">
        <f>[17]Sales_SP!DJ133</f>
        <v>0</v>
      </c>
      <c r="I256" s="787">
        <f>[17]Sales_SP!DK133</f>
        <v>0</v>
      </c>
      <c r="J256" s="787">
        <f>[17]Sales_SP!DL133</f>
        <v>0</v>
      </c>
      <c r="K256" s="787">
        <f>[17]Sales_SP!DM133</f>
        <v>0</v>
      </c>
      <c r="L256" s="787">
        <f>[17]Sales_SP!DN133</f>
        <v>0</v>
      </c>
      <c r="M256" s="787">
        <f>[17]Sales_SP!DO133</f>
        <v>0</v>
      </c>
      <c r="N256" s="787">
        <f>[17]Sales_SP!DP133</f>
        <v>0</v>
      </c>
      <c r="O256" s="787">
        <f>[17]Sales_SP!DQ133</f>
        <v>0</v>
      </c>
      <c r="P256" s="787">
        <f>[17]Sales_SP!DR133</f>
        <v>0</v>
      </c>
      <c r="Q256" s="866">
        <f t="shared" si="96"/>
        <v>0</v>
      </c>
      <c r="R256" s="863"/>
      <c r="S256" s="863"/>
    </row>
    <row r="257" ht="15" hidden="1" spans="3:19">
      <c r="C257" s="296" t="s">
        <v>210</v>
      </c>
      <c r="D257" s="296" t="s">
        <v>188</v>
      </c>
      <c r="E257" s="787">
        <f>[17]Sales_SP!DG134</f>
        <v>0.368187</v>
      </c>
      <c r="F257" s="787">
        <f>[17]Sales_SP!DH134</f>
        <v>0.131025</v>
      </c>
      <c r="G257" s="787">
        <f>[17]Sales_SP!DI134</f>
        <v>0.026748</v>
      </c>
      <c r="H257" s="787">
        <f>[17]Sales_SP!DJ134</f>
        <v>0.186214</v>
      </c>
      <c r="I257" s="787">
        <f>[17]Sales_SP!DK134</f>
        <v>0.254198</v>
      </c>
      <c r="J257" s="787">
        <f>[17]Sales_SP!DL134</f>
        <v>0.288007</v>
      </c>
      <c r="K257" s="787">
        <f>[17]Sales_SP!DM134</f>
        <v>0.35733</v>
      </c>
      <c r="L257" s="787">
        <f>[17]Sales_SP!DN134</f>
        <v>0.383213</v>
      </c>
      <c r="M257" s="787">
        <f>[17]Sales_SP!DO134</f>
        <v>0.385307</v>
      </c>
      <c r="N257" s="787">
        <f>[17]Sales_SP!DP134</f>
        <v>0.361173</v>
      </c>
      <c r="O257" s="787">
        <f>[17]Sales_SP!DQ134</f>
        <v>0.336359</v>
      </c>
      <c r="P257" s="787">
        <f>[17]Sales_SP!DR134</f>
        <v>0.35051</v>
      </c>
      <c r="Q257" s="866">
        <f t="shared" si="96"/>
        <v>3.428271</v>
      </c>
      <c r="R257" s="863"/>
      <c r="S257" s="863"/>
    </row>
    <row r="258" ht="15" hidden="1" spans="3:19">
      <c r="C258" s="296"/>
      <c r="D258" s="296"/>
      <c r="E258" s="787"/>
      <c r="F258" s="787"/>
      <c r="G258" s="787"/>
      <c r="H258" s="787"/>
      <c r="I258" s="787"/>
      <c r="J258" s="787"/>
      <c r="K258" s="787"/>
      <c r="L258" s="787"/>
      <c r="M258" s="787"/>
      <c r="N258" s="787"/>
      <c r="O258" s="787"/>
      <c r="P258" s="787"/>
      <c r="Q258" s="866">
        <f t="shared" si="96"/>
        <v>0</v>
      </c>
      <c r="R258" s="863"/>
      <c r="S258" s="863"/>
    </row>
    <row r="259" ht="15" hidden="1" spans="3:19">
      <c r="C259" s="296"/>
      <c r="D259" s="296"/>
      <c r="E259" s="787"/>
      <c r="F259" s="787"/>
      <c r="G259" s="787"/>
      <c r="H259" s="787"/>
      <c r="I259" s="787"/>
      <c r="J259" s="787"/>
      <c r="K259" s="787"/>
      <c r="L259" s="787"/>
      <c r="M259" s="787"/>
      <c r="N259" s="787"/>
      <c r="O259" s="787"/>
      <c r="P259" s="787"/>
      <c r="Q259" s="866">
        <f t="shared" si="96"/>
        <v>0</v>
      </c>
      <c r="R259" s="863"/>
      <c r="S259" s="863"/>
    </row>
    <row r="260" ht="15" hidden="1" spans="3:19">
      <c r="C260" s="296"/>
      <c r="D260" s="296"/>
      <c r="E260" s="787"/>
      <c r="F260" s="787"/>
      <c r="G260" s="787"/>
      <c r="H260" s="787"/>
      <c r="I260" s="787"/>
      <c r="J260" s="787"/>
      <c r="K260" s="787"/>
      <c r="L260" s="787"/>
      <c r="M260" s="787"/>
      <c r="N260" s="787"/>
      <c r="O260" s="787"/>
      <c r="P260" s="787"/>
      <c r="Q260" s="866">
        <f t="shared" si="96"/>
        <v>0</v>
      </c>
      <c r="R260" s="863"/>
      <c r="S260" s="863"/>
    </row>
    <row r="261" ht="15" hidden="1" spans="3:19">
      <c r="C261" s="296" t="s">
        <v>258</v>
      </c>
      <c r="D261" s="296" t="s">
        <v>258</v>
      </c>
      <c r="E261" s="787"/>
      <c r="F261" s="787"/>
      <c r="G261" s="787"/>
      <c r="H261" s="787"/>
      <c r="I261" s="787"/>
      <c r="J261" s="787"/>
      <c r="K261" s="787"/>
      <c r="L261" s="787"/>
      <c r="M261" s="787"/>
      <c r="N261" s="787"/>
      <c r="O261" s="787"/>
      <c r="P261" s="787"/>
      <c r="Q261" s="866">
        <f t="shared" si="96"/>
        <v>0</v>
      </c>
      <c r="R261" s="863"/>
      <c r="S261" s="863"/>
    </row>
    <row r="262" ht="15" hidden="1" spans="3:19">
      <c r="C262" s="285" t="s">
        <v>211</v>
      </c>
      <c r="D262" s="286"/>
      <c r="E262" s="866">
        <f>SUM(E247:E261)</f>
        <v>508.408406540001</v>
      </c>
      <c r="F262" s="866">
        <f t="shared" ref="F262:P262" si="97">SUM(F247:F261)</f>
        <v>448.51270326</v>
      </c>
      <c r="G262" s="866">
        <f t="shared" si="97"/>
        <v>441.42671801</v>
      </c>
      <c r="H262" s="866">
        <f t="shared" si="97"/>
        <v>472.593388629999</v>
      </c>
      <c r="I262" s="866">
        <f t="shared" si="97"/>
        <v>487.085707039999</v>
      </c>
      <c r="J262" s="866">
        <f t="shared" si="97"/>
        <v>479.385737560001</v>
      </c>
      <c r="K262" s="866">
        <f t="shared" si="97"/>
        <v>479.078144859999</v>
      </c>
      <c r="L262" s="866">
        <f t="shared" si="97"/>
        <v>493.237472059998</v>
      </c>
      <c r="M262" s="866">
        <f t="shared" si="97"/>
        <v>491.23854148</v>
      </c>
      <c r="N262" s="866">
        <f t="shared" si="97"/>
        <v>489.24353716</v>
      </c>
      <c r="O262" s="866">
        <f t="shared" si="97"/>
        <v>482.295297029999</v>
      </c>
      <c r="P262" s="866">
        <f t="shared" si="97"/>
        <v>477.72135746</v>
      </c>
      <c r="Q262" s="866">
        <f t="shared" si="96"/>
        <v>5750.22701109</v>
      </c>
      <c r="R262" s="863"/>
      <c r="S262" s="863"/>
    </row>
    <row r="263" ht="15" hidden="1" spans="3:19">
      <c r="C263" s="285" t="s">
        <v>212</v>
      </c>
      <c r="D263" s="286"/>
      <c r="E263" s="787"/>
      <c r="F263" s="787"/>
      <c r="G263" s="787"/>
      <c r="H263" s="787"/>
      <c r="I263" s="787"/>
      <c r="J263" s="787"/>
      <c r="K263" s="787"/>
      <c r="L263" s="787"/>
      <c r="M263" s="787"/>
      <c r="N263" s="787"/>
      <c r="O263" s="787"/>
      <c r="P263" s="787"/>
      <c r="Q263" s="866"/>
      <c r="R263" s="863"/>
      <c r="S263" s="863"/>
    </row>
    <row r="264" ht="15" hidden="1" spans="3:19">
      <c r="C264" s="296" t="s">
        <v>191</v>
      </c>
      <c r="D264" s="296" t="s">
        <v>192</v>
      </c>
      <c r="E264" s="787">
        <f>[17]Sales_SP!DG152</f>
        <v>405.53433667</v>
      </c>
      <c r="F264" s="787">
        <f>[17]Sales_SP!DH152</f>
        <v>340.25796541</v>
      </c>
      <c r="G264" s="787">
        <f>[17]Sales_SP!DI152</f>
        <v>340.75413179</v>
      </c>
      <c r="H264" s="787">
        <f>[17]Sales_SP!DJ152</f>
        <v>358.81999154</v>
      </c>
      <c r="I264" s="787">
        <f>[17]Sales_SP!DK152</f>
        <v>375.50052967</v>
      </c>
      <c r="J264" s="787">
        <f>[17]Sales_SP!DL152</f>
        <v>417.45251747</v>
      </c>
      <c r="K264" s="787">
        <f>[17]Sales_SP!DM152</f>
        <v>419.33088867</v>
      </c>
      <c r="L264" s="787">
        <f>[17]Sales_SP!DN152</f>
        <v>374.86296477</v>
      </c>
      <c r="M264" s="787">
        <f>[17]Sales_SP!DO152</f>
        <v>381.64778267</v>
      </c>
      <c r="N264" s="787">
        <f>[17]Sales_SP!DP152</f>
        <v>384.62622567</v>
      </c>
      <c r="O264" s="787">
        <f>[17]Sales_SP!DQ152</f>
        <v>400.06796117</v>
      </c>
      <c r="P264" s="787">
        <f>[17]Sales_SP!DR152</f>
        <v>391.53892767</v>
      </c>
      <c r="Q264" s="866">
        <f t="shared" si="96"/>
        <v>4590.39422317</v>
      </c>
      <c r="R264" s="863"/>
      <c r="S264" s="863"/>
    </row>
    <row r="265" ht="15" hidden="1" spans="3:19">
      <c r="C265" s="296" t="s">
        <v>193</v>
      </c>
      <c r="D265" s="296" t="s">
        <v>194</v>
      </c>
      <c r="E265" s="787">
        <f>[17]Sales_SP!DG168</f>
        <v>2.7233</v>
      </c>
      <c r="F265" s="787">
        <f>[17]Sales_SP!DH168</f>
        <v>2.0101</v>
      </c>
      <c r="G265" s="787">
        <f>[17]Sales_SP!DI168</f>
        <v>2.51</v>
      </c>
      <c r="H265" s="787">
        <f>[17]Sales_SP!DJ168</f>
        <v>2.4058</v>
      </c>
      <c r="I265" s="787">
        <f>[17]Sales_SP!DK168</f>
        <v>2.3152</v>
      </c>
      <c r="J265" s="787">
        <f>[17]Sales_SP!DL168</f>
        <v>2.4022</v>
      </c>
      <c r="K265" s="787">
        <f>[17]Sales_SP!DM168</f>
        <v>2.213</v>
      </c>
      <c r="L265" s="787">
        <f>[17]Sales_SP!DN168</f>
        <v>2.3597</v>
      </c>
      <c r="M265" s="787">
        <f>[17]Sales_SP!DO168</f>
        <v>3.812</v>
      </c>
      <c r="N265" s="787">
        <f>[17]Sales_SP!DP168</f>
        <v>5.0228</v>
      </c>
      <c r="O265" s="787">
        <f>[17]Sales_SP!DQ168</f>
        <v>4.4858</v>
      </c>
      <c r="P265" s="787">
        <f>[17]Sales_SP!DR168</f>
        <v>4.823</v>
      </c>
      <c r="Q265" s="866">
        <f t="shared" si="96"/>
        <v>37.0829</v>
      </c>
      <c r="R265" s="863"/>
      <c r="S265" s="863"/>
    </row>
    <row r="266" ht="15" hidden="1" spans="3:19">
      <c r="C266" s="296" t="s">
        <v>239</v>
      </c>
      <c r="D266" s="296" t="s">
        <v>196</v>
      </c>
      <c r="E266" s="787">
        <f>[17]Sales_SP!DG174</f>
        <v>67.697895</v>
      </c>
      <c r="F266" s="787">
        <f>[17]Sales_SP!DH174</f>
        <v>60.464027</v>
      </c>
      <c r="G266" s="787">
        <f>[17]Sales_SP!DI174</f>
        <v>58.28261515</v>
      </c>
      <c r="H266" s="787">
        <f>[17]Sales_SP!DJ174</f>
        <v>62.643967</v>
      </c>
      <c r="I266" s="787">
        <f>[17]Sales_SP!DK174</f>
        <v>63.271288</v>
      </c>
      <c r="J266" s="787">
        <f>[17]Sales_SP!DL174</f>
        <v>66.10577</v>
      </c>
      <c r="K266" s="787">
        <f>[17]Sales_SP!DM174</f>
        <v>69.941145</v>
      </c>
      <c r="L266" s="787">
        <f>[17]Sales_SP!DN174</f>
        <v>68.049809</v>
      </c>
      <c r="M266" s="787">
        <f>[17]Sales_SP!DO174</f>
        <v>66.49284</v>
      </c>
      <c r="N266" s="787">
        <f>[17]Sales_SP!DP174</f>
        <v>64.091723</v>
      </c>
      <c r="O266" s="787">
        <f>[17]Sales_SP!DQ174</f>
        <v>62.346976</v>
      </c>
      <c r="P266" s="787">
        <f>[17]Sales_SP!DR174</f>
        <v>63.312877</v>
      </c>
      <c r="Q266" s="866">
        <f t="shared" si="96"/>
        <v>772.70093215</v>
      </c>
      <c r="R266" s="863"/>
      <c r="S266" s="863"/>
    </row>
    <row r="267" ht="15" hidden="1" spans="3:19">
      <c r="C267" s="296" t="s">
        <v>197</v>
      </c>
      <c r="D267" s="296" t="s">
        <v>198</v>
      </c>
      <c r="E267" s="787">
        <f>[17]Sales_SP!DG180</f>
        <v>0</v>
      </c>
      <c r="F267" s="787">
        <f>[17]Sales_SP!DH180</f>
        <v>0</v>
      </c>
      <c r="G267" s="787">
        <f>[17]Sales_SP!DI180</f>
        <v>0</v>
      </c>
      <c r="H267" s="787">
        <f>[17]Sales_SP!DJ180</f>
        <v>0</v>
      </c>
      <c r="I267" s="787">
        <f>[17]Sales_SP!DK180</f>
        <v>0</v>
      </c>
      <c r="J267" s="787">
        <f>[17]Sales_SP!DL180</f>
        <v>0</v>
      </c>
      <c r="K267" s="787">
        <f>[17]Sales_SP!DM180</f>
        <v>0</v>
      </c>
      <c r="L267" s="787">
        <f>[17]Sales_SP!DN180</f>
        <v>0</v>
      </c>
      <c r="M267" s="787">
        <f>[17]Sales_SP!DO180</f>
        <v>0</v>
      </c>
      <c r="N267" s="787">
        <f>[17]Sales_SP!DP180</f>
        <v>0</v>
      </c>
      <c r="O267" s="787">
        <f>[17]Sales_SP!DQ180</f>
        <v>0</v>
      </c>
      <c r="P267" s="787">
        <f>[17]Sales_SP!DR180</f>
        <v>0</v>
      </c>
      <c r="Q267" s="866">
        <f t="shared" si="96"/>
        <v>0</v>
      </c>
      <c r="R267" s="863"/>
      <c r="S267" s="863"/>
    </row>
    <row r="268" ht="15" hidden="1" spans="3:19">
      <c r="C268" s="296" t="s">
        <v>199</v>
      </c>
      <c r="D268" s="296" t="s">
        <v>200</v>
      </c>
      <c r="E268" s="787">
        <f>[17]Sales_SP!DG185</f>
        <v>0</v>
      </c>
      <c r="F268" s="787">
        <f>[17]Sales_SP!DH185</f>
        <v>0</v>
      </c>
      <c r="G268" s="787">
        <f>[17]Sales_SP!DI185</f>
        <v>0</v>
      </c>
      <c r="H268" s="787">
        <f>[17]Sales_SP!DJ185</f>
        <v>0</v>
      </c>
      <c r="I268" s="787">
        <f>[17]Sales_SP!DK185</f>
        <v>0</v>
      </c>
      <c r="J268" s="787">
        <f>[17]Sales_SP!DL185</f>
        <v>0</v>
      </c>
      <c r="K268" s="787">
        <f>[17]Sales_SP!DM185</f>
        <v>0</v>
      </c>
      <c r="L268" s="787">
        <f>[17]Sales_SP!DN185</f>
        <v>0</v>
      </c>
      <c r="M268" s="787">
        <f>[17]Sales_SP!DO185</f>
        <v>0</v>
      </c>
      <c r="N268" s="787">
        <f>[17]Sales_SP!DP185</f>
        <v>0</v>
      </c>
      <c r="O268" s="787">
        <f>[17]Sales_SP!DQ185</f>
        <v>0</v>
      </c>
      <c r="P268" s="787">
        <f>[17]Sales_SP!DR185</f>
        <v>0</v>
      </c>
      <c r="Q268" s="866">
        <f t="shared" si="96"/>
        <v>0</v>
      </c>
      <c r="R268" s="863"/>
      <c r="S268" s="863"/>
    </row>
    <row r="269" ht="15" hidden="1" spans="3:19">
      <c r="C269" s="296" t="s">
        <v>201</v>
      </c>
      <c r="D269" s="296" t="s">
        <v>202</v>
      </c>
      <c r="E269" s="787">
        <f>[17]Sales_SP!DG191</f>
        <v>2.00429</v>
      </c>
      <c r="F269" s="787">
        <f>[17]Sales_SP!DH191</f>
        <v>0.41722</v>
      </c>
      <c r="G269" s="787">
        <f>[17]Sales_SP!DI191</f>
        <v>0.06461</v>
      </c>
      <c r="H269" s="787">
        <f>[17]Sales_SP!DJ191</f>
        <v>0.22211</v>
      </c>
      <c r="I269" s="787">
        <f>[17]Sales_SP!DK191</f>
        <v>0.96775</v>
      </c>
      <c r="J269" s="787">
        <f>[17]Sales_SP!DL191</f>
        <v>1.50842</v>
      </c>
      <c r="K269" s="787">
        <f>[17]Sales_SP!DM191</f>
        <v>1.69882</v>
      </c>
      <c r="L269" s="787">
        <f>[17]Sales_SP!DN191</f>
        <v>1.70025</v>
      </c>
      <c r="M269" s="787">
        <f>[17]Sales_SP!DO191</f>
        <v>1.41856</v>
      </c>
      <c r="N269" s="787">
        <f>[17]Sales_SP!DP191</f>
        <v>1.8518</v>
      </c>
      <c r="O269" s="787">
        <f>[17]Sales_SP!DQ191</f>
        <v>1.69385</v>
      </c>
      <c r="P269" s="787">
        <f>[17]Sales_SP!DR191</f>
        <v>1.84071</v>
      </c>
      <c r="Q269" s="866">
        <f t="shared" si="96"/>
        <v>15.38839</v>
      </c>
      <c r="R269" s="863"/>
      <c r="S269" s="863"/>
    </row>
    <row r="270" ht="15" hidden="1" spans="3:19">
      <c r="C270" s="296" t="s">
        <v>203</v>
      </c>
      <c r="D270" s="296" t="s">
        <v>204</v>
      </c>
      <c r="E270" s="787">
        <f>[17]Sales_SP!DG192</f>
        <v>19.86252</v>
      </c>
      <c r="F270" s="787">
        <f>[17]Sales_SP!DH192</f>
        <v>18.37851</v>
      </c>
      <c r="G270" s="787">
        <f>[17]Sales_SP!DI192</f>
        <v>17.73945</v>
      </c>
      <c r="H270" s="787">
        <f>[17]Sales_SP!DJ192</f>
        <v>18.48545</v>
      </c>
      <c r="I270" s="787">
        <f>[17]Sales_SP!DK192</f>
        <v>18.04961</v>
      </c>
      <c r="J270" s="787">
        <f>[17]Sales_SP!DL192</f>
        <v>19.54697</v>
      </c>
      <c r="K270" s="787">
        <f>[17]Sales_SP!DM192</f>
        <v>19.29402</v>
      </c>
      <c r="L270" s="787">
        <f>[17]Sales_SP!DN192</f>
        <v>20.541525</v>
      </c>
      <c r="M270" s="787">
        <f>[17]Sales_SP!DO192</f>
        <v>19.324575</v>
      </c>
      <c r="N270" s="787">
        <f>[17]Sales_SP!DP192</f>
        <v>19.159135</v>
      </c>
      <c r="O270" s="787">
        <f>[17]Sales_SP!DQ192</f>
        <v>19.925975</v>
      </c>
      <c r="P270" s="787">
        <f>[17]Sales_SP!DR192</f>
        <v>19.37655</v>
      </c>
      <c r="Q270" s="866">
        <f t="shared" si="96"/>
        <v>229.68429</v>
      </c>
      <c r="R270" s="863"/>
      <c r="S270" s="863"/>
    </row>
    <row r="271" ht="15" hidden="1" spans="3:19">
      <c r="C271" s="296" t="s">
        <v>205</v>
      </c>
      <c r="D271" s="296" t="s">
        <v>206</v>
      </c>
      <c r="E271" s="787">
        <f>[17]Sales_SP!DG196</f>
        <v>9.878352</v>
      </c>
      <c r="F271" s="787">
        <f>[17]Sales_SP!DH196</f>
        <v>9.848847</v>
      </c>
      <c r="G271" s="787">
        <f>[17]Sales_SP!DI196</f>
        <v>9.124203</v>
      </c>
      <c r="H271" s="787">
        <f>[17]Sales_SP!DJ196</f>
        <v>8.125513</v>
      </c>
      <c r="I271" s="787">
        <f>[17]Sales_SP!DK196</f>
        <v>8.1839</v>
      </c>
      <c r="J271" s="787">
        <f>[17]Sales_SP!DL196</f>
        <v>8.074923</v>
      </c>
      <c r="K271" s="787">
        <f>[17]Sales_SP!DM196</f>
        <v>7.995032</v>
      </c>
      <c r="L271" s="787">
        <f>[17]Sales_SP!DN196</f>
        <v>7.964878</v>
      </c>
      <c r="M271" s="787">
        <f>[17]Sales_SP!DO196</f>
        <v>7.558957</v>
      </c>
      <c r="N271" s="787">
        <f>[17]Sales_SP!DP196</f>
        <v>7.39315</v>
      </c>
      <c r="O271" s="787">
        <f>[17]Sales_SP!DQ196</f>
        <v>7.478686</v>
      </c>
      <c r="P271" s="787">
        <f>[17]Sales_SP!DR196</f>
        <v>7.958275</v>
      </c>
      <c r="Q271" s="866">
        <f t="shared" si="96"/>
        <v>99.584716</v>
      </c>
      <c r="R271" s="863"/>
      <c r="S271" s="863"/>
    </row>
    <row r="272" ht="15" hidden="1" spans="3:19">
      <c r="C272" s="296" t="s">
        <v>218</v>
      </c>
      <c r="D272" s="296" t="s">
        <v>186</v>
      </c>
      <c r="E272" s="787">
        <f>[17]Sales_SP!DG197</f>
        <v>2.072329</v>
      </c>
      <c r="F272" s="787">
        <f>[17]Sales_SP!DH197</f>
        <v>2.074251</v>
      </c>
      <c r="G272" s="787">
        <f>[17]Sales_SP!DI197</f>
        <v>2.907319</v>
      </c>
      <c r="H272" s="787">
        <f>[17]Sales_SP!DJ197</f>
        <v>3.338448</v>
      </c>
      <c r="I272" s="787">
        <f>[17]Sales_SP!DK197</f>
        <v>3.765689</v>
      </c>
      <c r="J272" s="787">
        <f>[17]Sales_SP!DL197</f>
        <v>4.298725</v>
      </c>
      <c r="K272" s="787">
        <f>[17]Sales_SP!DM197</f>
        <v>4.023692</v>
      </c>
      <c r="L272" s="787">
        <f>[17]Sales_SP!DN197</f>
        <v>3.825091</v>
      </c>
      <c r="M272" s="787">
        <f>[17]Sales_SP!DO197</f>
        <v>4.259647</v>
      </c>
      <c r="N272" s="787">
        <f>[17]Sales_SP!DP197</f>
        <v>3.945143</v>
      </c>
      <c r="O272" s="787">
        <f>[17]Sales_SP!DQ197</f>
        <v>3.627512</v>
      </c>
      <c r="P272" s="787">
        <f>[17]Sales_SP!DR197</f>
        <v>3.104159</v>
      </c>
      <c r="Q272" s="866">
        <f t="shared" si="96"/>
        <v>41.242005</v>
      </c>
      <c r="R272" s="863"/>
      <c r="S272" s="863"/>
    </row>
    <row r="273" ht="15" hidden="1" spans="3:19">
      <c r="C273" s="296" t="s">
        <v>208</v>
      </c>
      <c r="D273" s="296" t="s">
        <v>209</v>
      </c>
      <c r="E273" s="787">
        <v>0</v>
      </c>
      <c r="F273" s="787">
        <v>0</v>
      </c>
      <c r="G273" s="787">
        <v>0</v>
      </c>
      <c r="H273" s="787">
        <v>0</v>
      </c>
      <c r="I273" s="787">
        <v>0</v>
      </c>
      <c r="J273" s="787">
        <v>0</v>
      </c>
      <c r="K273" s="787">
        <v>0</v>
      </c>
      <c r="L273" s="787">
        <v>0</v>
      </c>
      <c r="M273" s="787">
        <v>0</v>
      </c>
      <c r="N273" s="787">
        <v>0</v>
      </c>
      <c r="O273" s="787">
        <v>0</v>
      </c>
      <c r="P273" s="787">
        <v>0</v>
      </c>
      <c r="Q273" s="866">
        <f t="shared" si="96"/>
        <v>0</v>
      </c>
      <c r="R273" s="863"/>
      <c r="S273" s="863"/>
    </row>
    <row r="274" ht="15" hidden="1" spans="3:19">
      <c r="C274" s="296" t="s">
        <v>210</v>
      </c>
      <c r="D274" s="296" t="s">
        <v>188</v>
      </c>
      <c r="E274" s="787">
        <v>0</v>
      </c>
      <c r="F274" s="787">
        <v>0</v>
      </c>
      <c r="G274" s="787">
        <v>0</v>
      </c>
      <c r="H274" s="787">
        <v>0</v>
      </c>
      <c r="I274" s="787">
        <v>0</v>
      </c>
      <c r="J274" s="787">
        <v>0</v>
      </c>
      <c r="K274" s="787">
        <v>0</v>
      </c>
      <c r="L274" s="787">
        <v>0</v>
      </c>
      <c r="M274" s="787">
        <v>0</v>
      </c>
      <c r="N274" s="787">
        <v>0</v>
      </c>
      <c r="O274" s="787">
        <v>0</v>
      </c>
      <c r="P274" s="787">
        <v>0</v>
      </c>
      <c r="Q274" s="866">
        <f t="shared" si="96"/>
        <v>0</v>
      </c>
      <c r="R274" s="863"/>
      <c r="S274" s="863"/>
    </row>
    <row r="275" ht="15" hidden="1" spans="3:19">
      <c r="C275" s="296"/>
      <c r="D275" s="296"/>
      <c r="E275" s="787"/>
      <c r="F275" s="787"/>
      <c r="G275" s="787"/>
      <c r="H275" s="787"/>
      <c r="I275" s="787"/>
      <c r="J275" s="787"/>
      <c r="K275" s="787"/>
      <c r="L275" s="787"/>
      <c r="M275" s="787"/>
      <c r="N275" s="787"/>
      <c r="O275" s="787"/>
      <c r="P275" s="787"/>
      <c r="Q275" s="866">
        <f t="shared" si="96"/>
        <v>0</v>
      </c>
      <c r="R275" s="863"/>
      <c r="S275" s="863"/>
    </row>
    <row r="276" ht="15" hidden="1" spans="3:19">
      <c r="C276" s="296"/>
      <c r="D276" s="296"/>
      <c r="E276" s="787"/>
      <c r="F276" s="787"/>
      <c r="G276" s="787"/>
      <c r="H276" s="787"/>
      <c r="I276" s="787"/>
      <c r="J276" s="787"/>
      <c r="K276" s="787"/>
      <c r="L276" s="787"/>
      <c r="M276" s="787"/>
      <c r="N276" s="787"/>
      <c r="O276" s="787"/>
      <c r="P276" s="787"/>
      <c r="Q276" s="866">
        <f t="shared" si="96"/>
        <v>0</v>
      </c>
      <c r="R276" s="863"/>
      <c r="S276" s="863"/>
    </row>
    <row r="277" ht="15" hidden="1" spans="3:19">
      <c r="C277" s="296"/>
      <c r="D277" s="296"/>
      <c r="E277" s="787"/>
      <c r="F277" s="787"/>
      <c r="G277" s="787"/>
      <c r="H277" s="787"/>
      <c r="I277" s="787"/>
      <c r="J277" s="787"/>
      <c r="K277" s="787"/>
      <c r="L277" s="787"/>
      <c r="M277" s="787"/>
      <c r="N277" s="787"/>
      <c r="O277" s="787"/>
      <c r="P277" s="787"/>
      <c r="Q277" s="866">
        <f t="shared" si="96"/>
        <v>0</v>
      </c>
      <c r="R277" s="863"/>
      <c r="S277" s="863"/>
    </row>
    <row r="278" ht="15" hidden="1" spans="3:19">
      <c r="C278" s="296" t="s">
        <v>258</v>
      </c>
      <c r="D278" s="296" t="s">
        <v>258</v>
      </c>
      <c r="E278" s="787"/>
      <c r="F278" s="787"/>
      <c r="G278" s="787"/>
      <c r="H278" s="787"/>
      <c r="I278" s="787"/>
      <c r="J278" s="787"/>
      <c r="K278" s="787"/>
      <c r="L278" s="787"/>
      <c r="M278" s="787"/>
      <c r="N278" s="787"/>
      <c r="O278" s="787"/>
      <c r="P278" s="787"/>
      <c r="Q278" s="866">
        <f t="shared" si="96"/>
        <v>0</v>
      </c>
      <c r="R278" s="863"/>
      <c r="S278" s="863"/>
    </row>
    <row r="279" ht="15" hidden="1" spans="3:19">
      <c r="C279" s="285" t="s">
        <v>211</v>
      </c>
      <c r="D279" s="286"/>
      <c r="E279" s="866">
        <f t="shared" ref="E279:P279" si="98">SUM(E264:E278)</f>
        <v>509.77302267</v>
      </c>
      <c r="F279" s="866">
        <f t="shared" si="98"/>
        <v>433.45092041</v>
      </c>
      <c r="G279" s="866">
        <f t="shared" si="98"/>
        <v>431.38232894</v>
      </c>
      <c r="H279" s="866">
        <f t="shared" si="98"/>
        <v>454.04127954</v>
      </c>
      <c r="I279" s="866">
        <f t="shared" si="98"/>
        <v>472.05396667</v>
      </c>
      <c r="J279" s="866">
        <f t="shared" si="98"/>
        <v>519.38952547</v>
      </c>
      <c r="K279" s="866">
        <f t="shared" si="98"/>
        <v>524.49659767</v>
      </c>
      <c r="L279" s="866">
        <f t="shared" si="98"/>
        <v>479.30421777</v>
      </c>
      <c r="M279" s="866">
        <f t="shared" si="98"/>
        <v>484.51436167</v>
      </c>
      <c r="N279" s="866">
        <f t="shared" si="98"/>
        <v>486.08997667</v>
      </c>
      <c r="O279" s="866">
        <f t="shared" si="98"/>
        <v>499.62676017</v>
      </c>
      <c r="P279" s="866">
        <f t="shared" si="98"/>
        <v>491.95449867</v>
      </c>
      <c r="Q279" s="866">
        <f t="shared" si="96"/>
        <v>5786.07745632</v>
      </c>
      <c r="R279" s="863"/>
      <c r="S279" s="863"/>
    </row>
    <row r="280" ht="15" hidden="1" spans="3:19">
      <c r="C280" s="285" t="s">
        <v>219</v>
      </c>
      <c r="D280" s="286"/>
      <c r="E280" s="787"/>
      <c r="F280" s="787"/>
      <c r="G280" s="787"/>
      <c r="H280" s="787"/>
      <c r="I280" s="787"/>
      <c r="J280" s="787"/>
      <c r="K280" s="787"/>
      <c r="L280" s="787"/>
      <c r="M280" s="787"/>
      <c r="N280" s="787"/>
      <c r="O280" s="787"/>
      <c r="P280" s="787"/>
      <c r="Q280" s="866"/>
      <c r="R280" s="863"/>
      <c r="S280" s="863"/>
    </row>
    <row r="281" ht="15" hidden="1" spans="3:19">
      <c r="C281" s="296" t="s">
        <v>191</v>
      </c>
      <c r="D281" s="296" t="s">
        <v>192</v>
      </c>
      <c r="E281" s="787">
        <f>[17]Sales_SP!DG212</f>
        <v>246.88802</v>
      </c>
      <c r="F281" s="787">
        <f>[17]Sales_SP!DH212</f>
        <v>219.117628</v>
      </c>
      <c r="G281" s="787">
        <f>[17]Sales_SP!DI212</f>
        <v>214.363429</v>
      </c>
      <c r="H281" s="787">
        <f>[17]Sales_SP!DJ212</f>
        <v>234.271289</v>
      </c>
      <c r="I281" s="787">
        <f>[17]Sales_SP!DK212</f>
        <v>235.319246</v>
      </c>
      <c r="J281" s="787">
        <f>[17]Sales_SP!DL212</f>
        <v>266.180269</v>
      </c>
      <c r="K281" s="787">
        <f>[17]Sales_SP!DM212</f>
        <v>277.71949</v>
      </c>
      <c r="L281" s="787">
        <f>[17]Sales_SP!DN212</f>
        <v>269.053504</v>
      </c>
      <c r="M281" s="787">
        <f>[17]Sales_SP!DO212</f>
        <v>279.214718</v>
      </c>
      <c r="N281" s="787">
        <f>[17]Sales_SP!DP212</f>
        <v>285.376775</v>
      </c>
      <c r="O281" s="787">
        <f>[17]Sales_SP!DQ212</f>
        <v>311.642486</v>
      </c>
      <c r="P281" s="787">
        <f>[17]Sales_SP!DR212</f>
        <v>321.546853</v>
      </c>
      <c r="Q281" s="866">
        <f t="shared" ref="Q281:Q300" si="99">SUM(E281:P281)</f>
        <v>3160.693707</v>
      </c>
      <c r="R281" s="863"/>
      <c r="S281" s="863"/>
    </row>
    <row r="282" ht="15" hidden="1" spans="3:19">
      <c r="C282" s="296" t="s">
        <v>193</v>
      </c>
      <c r="D282" s="296" t="s">
        <v>194</v>
      </c>
      <c r="E282" s="787">
        <f>[17]Sales_SP!DG222</f>
        <v>12.909</v>
      </c>
      <c r="F282" s="787">
        <f>[17]Sales_SP!DH222</f>
        <v>8.193</v>
      </c>
      <c r="G282" s="787">
        <f>[17]Sales_SP!DI222</f>
        <v>14.817</v>
      </c>
      <c r="H282" s="787">
        <f>[17]Sales_SP!DJ222</f>
        <v>15.5985</v>
      </c>
      <c r="I282" s="787">
        <f>[17]Sales_SP!DK222</f>
        <v>12.1635</v>
      </c>
      <c r="J282" s="787">
        <f>[17]Sales_SP!DL222</f>
        <v>14.256</v>
      </c>
      <c r="K282" s="787">
        <f>[17]Sales_SP!DM222</f>
        <v>15.2805</v>
      </c>
      <c r="L282" s="787">
        <f>[17]Sales_SP!DN222</f>
        <v>18.7237</v>
      </c>
      <c r="M282" s="787">
        <f>[17]Sales_SP!DO222</f>
        <v>17.944</v>
      </c>
      <c r="N282" s="787">
        <f>[17]Sales_SP!DP222</f>
        <v>25.1596</v>
      </c>
      <c r="O282" s="787">
        <f>[17]Sales_SP!DQ222</f>
        <v>29.5004</v>
      </c>
      <c r="P282" s="787">
        <f>[17]Sales_SP!DR222</f>
        <v>26.6861</v>
      </c>
      <c r="Q282" s="866">
        <f t="shared" si="99"/>
        <v>211.2313</v>
      </c>
      <c r="R282" s="863"/>
      <c r="S282" s="863"/>
    </row>
    <row r="283" ht="15" hidden="1" spans="3:19">
      <c r="C283" s="296" t="s">
        <v>239</v>
      </c>
      <c r="D283" s="296" t="s">
        <v>196</v>
      </c>
      <c r="E283" s="787">
        <f>[17]Sales_SP!DG228</f>
        <v>3.909173</v>
      </c>
      <c r="F283" s="787">
        <f>[17]Sales_SP!DH228</f>
        <v>3.285101</v>
      </c>
      <c r="G283" s="787">
        <f>[17]Sales_SP!DI228</f>
        <v>3.560676</v>
      </c>
      <c r="H283" s="787">
        <f>[17]Sales_SP!DJ228</f>
        <v>3.938138</v>
      </c>
      <c r="I283" s="787">
        <f>[17]Sales_SP!DK228</f>
        <v>3.593856</v>
      </c>
      <c r="J283" s="787">
        <f>[17]Sales_SP!DL228</f>
        <v>3.650065</v>
      </c>
      <c r="K283" s="787">
        <f>[17]Sales_SP!DM228</f>
        <v>3.6716</v>
      </c>
      <c r="L283" s="787">
        <f>[17]Sales_SP!DN228</f>
        <v>3.307266</v>
      </c>
      <c r="M283" s="787">
        <f>[17]Sales_SP!DO228</f>
        <v>3.122177</v>
      </c>
      <c r="N283" s="787">
        <f>[17]Sales_SP!DP228</f>
        <v>2.854174</v>
      </c>
      <c r="O283" s="787">
        <f>[17]Sales_SP!DQ228</f>
        <v>2.76787</v>
      </c>
      <c r="P283" s="787">
        <f>[17]Sales_SP!DR228</f>
        <v>3.148361</v>
      </c>
      <c r="Q283" s="866">
        <f t="shared" si="99"/>
        <v>40.808457</v>
      </c>
      <c r="R283" s="863"/>
      <c r="S283" s="863"/>
    </row>
    <row r="284" ht="15" hidden="1" spans="3:19">
      <c r="C284" s="296" t="s">
        <v>197</v>
      </c>
      <c r="D284" s="296" t="s">
        <v>198</v>
      </c>
      <c r="E284" s="787">
        <f>[17]Sales_SP!DG233</f>
        <v>0</v>
      </c>
      <c r="F284" s="787">
        <f>[17]Sales_SP!DH233</f>
        <v>0</v>
      </c>
      <c r="G284" s="787">
        <f>[17]Sales_SP!DI233</f>
        <v>0</v>
      </c>
      <c r="H284" s="787">
        <f>[17]Sales_SP!DJ233</f>
        <v>0</v>
      </c>
      <c r="I284" s="787">
        <f>[17]Sales_SP!DK233</f>
        <v>0</v>
      </c>
      <c r="J284" s="787">
        <f>[17]Sales_SP!DL233</f>
        <v>0</v>
      </c>
      <c r="K284" s="787">
        <f>[17]Sales_SP!DM233</f>
        <v>0</v>
      </c>
      <c r="L284" s="787">
        <f>[17]Sales_SP!DN233</f>
        <v>0</v>
      </c>
      <c r="M284" s="787">
        <f>[17]Sales_SP!DO233</f>
        <v>0</v>
      </c>
      <c r="N284" s="787">
        <f>[17]Sales_SP!DP233</f>
        <v>0</v>
      </c>
      <c r="O284" s="787">
        <f>[17]Sales_SP!DQ233</f>
        <v>0</v>
      </c>
      <c r="P284" s="787">
        <f>[17]Sales_SP!DR233</f>
        <v>0</v>
      </c>
      <c r="Q284" s="866">
        <f t="shared" si="99"/>
        <v>0</v>
      </c>
      <c r="R284" s="863"/>
      <c r="S284" s="863"/>
    </row>
    <row r="285" ht="15" hidden="1" spans="3:19">
      <c r="C285" s="296" t="s">
        <v>199</v>
      </c>
      <c r="D285" s="296" t="s">
        <v>200</v>
      </c>
      <c r="E285" s="787">
        <f>[17]Sales_SP!DG238</f>
        <v>4.783</v>
      </c>
      <c r="F285" s="787">
        <f>[17]Sales_SP!DH238</f>
        <v>4.198</v>
      </c>
      <c r="G285" s="787">
        <f>[17]Sales_SP!DI238</f>
        <v>4.096</v>
      </c>
      <c r="H285" s="787">
        <f>[17]Sales_SP!DJ238</f>
        <v>4.265</v>
      </c>
      <c r="I285" s="787">
        <f>[17]Sales_SP!DK238</f>
        <v>3.896</v>
      </c>
      <c r="J285" s="787">
        <f>[17]Sales_SP!DL238</f>
        <v>4.037</v>
      </c>
      <c r="K285" s="787">
        <f>[17]Sales_SP!DM238</f>
        <v>4.089</v>
      </c>
      <c r="L285" s="787">
        <f>[17]Sales_SP!DN238</f>
        <v>4.066</v>
      </c>
      <c r="M285" s="787">
        <f>[17]Sales_SP!DO238</f>
        <v>3.77</v>
      </c>
      <c r="N285" s="787">
        <f>[17]Sales_SP!DP238</f>
        <v>3.490574</v>
      </c>
      <c r="O285" s="787">
        <f>[17]Sales_SP!DQ238</f>
        <v>3.33</v>
      </c>
      <c r="P285" s="787">
        <f>[17]Sales_SP!DR238</f>
        <v>3.38709</v>
      </c>
      <c r="Q285" s="866">
        <f t="shared" si="99"/>
        <v>47.407664</v>
      </c>
      <c r="R285" s="863"/>
      <c r="S285" s="863"/>
    </row>
    <row r="286" ht="15" hidden="1" spans="3:19">
      <c r="C286" s="296" t="s">
        <v>201</v>
      </c>
      <c r="D286" s="296" t="s">
        <v>240</v>
      </c>
      <c r="E286" s="787">
        <f>[17]Sales_SP!DG244</f>
        <v>265.57071494</v>
      </c>
      <c r="F286" s="787">
        <f>[17]Sales_SP!DH244</f>
        <v>46.37728272</v>
      </c>
      <c r="G286" s="787">
        <f>[17]Sales_SP!DI244</f>
        <v>44.59254952</v>
      </c>
      <c r="H286" s="787">
        <f>[17]Sales_SP!DJ244</f>
        <v>132.90736653</v>
      </c>
      <c r="I286" s="787">
        <f>[17]Sales_SP!DK244</f>
        <v>115.38506575</v>
      </c>
      <c r="J286" s="787">
        <f>[17]Sales_SP!DL244</f>
        <v>227.75544887</v>
      </c>
      <c r="K286" s="787">
        <f>[17]Sales_SP!DM244</f>
        <v>246.0922826</v>
      </c>
      <c r="L286" s="787">
        <f>[17]Sales_SP!DN244</f>
        <v>173.78894969</v>
      </c>
      <c r="M286" s="787">
        <f>[17]Sales_SP!DO244</f>
        <v>118.1355829</v>
      </c>
      <c r="N286" s="787">
        <f>[17]Sales_SP!DP244</f>
        <v>175.08176514</v>
      </c>
      <c r="O286" s="787">
        <f>[17]Sales_SP!DQ244</f>
        <v>164.23623184</v>
      </c>
      <c r="P286" s="787">
        <f>[17]Sales_SP!DR244</f>
        <v>167.81001683</v>
      </c>
      <c r="Q286" s="866">
        <f t="shared" si="99"/>
        <v>1877.73325733</v>
      </c>
      <c r="R286" s="863"/>
      <c r="S286" s="863"/>
    </row>
    <row r="287" ht="15" hidden="1" spans="3:19">
      <c r="C287" s="296" t="s">
        <v>203</v>
      </c>
      <c r="D287" s="296" t="s">
        <v>220</v>
      </c>
      <c r="E287" s="787">
        <f>[17]Sales_SP!DG246</f>
        <v>21.048</v>
      </c>
      <c r="F287" s="787">
        <f>[17]Sales_SP!DH246</f>
        <v>20.058</v>
      </c>
      <c r="G287" s="787">
        <f>[17]Sales_SP!DI246</f>
        <v>14.568</v>
      </c>
      <c r="H287" s="787">
        <f>[17]Sales_SP!DJ246</f>
        <v>19.296</v>
      </c>
      <c r="I287" s="787">
        <f>[17]Sales_SP!DK246</f>
        <v>20.226</v>
      </c>
      <c r="J287" s="787">
        <f>[17]Sales_SP!DL246</f>
        <v>19.962</v>
      </c>
      <c r="K287" s="787">
        <f>[17]Sales_SP!DM246</f>
        <v>21.72</v>
      </c>
      <c r="L287" s="787">
        <f>[17]Sales_SP!DN246</f>
        <v>19.58</v>
      </c>
      <c r="M287" s="787">
        <f>[17]Sales_SP!DO246</f>
        <v>20.538</v>
      </c>
      <c r="N287" s="787">
        <f>[17]Sales_SP!DP246</f>
        <v>19.658</v>
      </c>
      <c r="O287" s="787">
        <f>[17]Sales_SP!DQ246</f>
        <v>21.082</v>
      </c>
      <c r="P287" s="787">
        <f>[17]Sales_SP!DR246</f>
        <v>21.012</v>
      </c>
      <c r="Q287" s="866">
        <f t="shared" si="99"/>
        <v>238.748</v>
      </c>
      <c r="R287" s="863"/>
      <c r="S287" s="863"/>
    </row>
    <row r="288" ht="15" hidden="1" spans="3:19">
      <c r="C288" s="296" t="s">
        <v>241</v>
      </c>
      <c r="D288" s="296" t="s">
        <v>229</v>
      </c>
      <c r="E288" s="787">
        <f>[17]Sales_SP!DG249</f>
        <v>23.554072</v>
      </c>
      <c r="F288" s="787">
        <f>[17]Sales_SP!DH249</f>
        <v>21.396363</v>
      </c>
      <c r="G288" s="787">
        <f>[17]Sales_SP!DI249</f>
        <v>21.488154</v>
      </c>
      <c r="H288" s="787">
        <f>[17]Sales_SP!DJ249</f>
        <v>21.570796</v>
      </c>
      <c r="I288" s="787">
        <f>[17]Sales_SP!DK249</f>
        <v>24.503117</v>
      </c>
      <c r="J288" s="787">
        <f>[17]Sales_SP!DL249</f>
        <v>25.06973</v>
      </c>
      <c r="K288" s="787">
        <f>[17]Sales_SP!DM249</f>
        <v>25.336347</v>
      </c>
      <c r="L288" s="787">
        <f>[17]Sales_SP!DN249</f>
        <v>26.244343</v>
      </c>
      <c r="M288" s="787">
        <f>[17]Sales_SP!DO249</f>
        <v>26.003648</v>
      </c>
      <c r="N288" s="787">
        <f>[17]Sales_SP!DP249</f>
        <v>28.885992</v>
      </c>
      <c r="O288" s="787">
        <f>[17]Sales_SP!DQ249</f>
        <v>27.529892</v>
      </c>
      <c r="P288" s="787">
        <f>[17]Sales_SP!DR249</f>
        <v>27.027574</v>
      </c>
      <c r="Q288" s="866">
        <f t="shared" si="99"/>
        <v>298.610028</v>
      </c>
      <c r="R288" s="863"/>
      <c r="S288" s="863"/>
    </row>
    <row r="289" ht="15" hidden="1" spans="3:19">
      <c r="C289" s="296" t="s">
        <v>259</v>
      </c>
      <c r="D289" s="296" t="s">
        <v>243</v>
      </c>
      <c r="E289" s="787">
        <f>[17]Sales_SP!DG251</f>
        <v>6.285889</v>
      </c>
      <c r="F289" s="787">
        <f>[17]Sales_SP!DH251</f>
        <v>3.958795</v>
      </c>
      <c r="G289" s="787">
        <f>[17]Sales_SP!DI251</f>
        <v>3.15885</v>
      </c>
      <c r="H289" s="787">
        <f>[17]Sales_SP!DJ251</f>
        <v>5.271632</v>
      </c>
      <c r="I289" s="787">
        <f>[17]Sales_SP!DK251</f>
        <v>5.673988</v>
      </c>
      <c r="J289" s="787">
        <f>[17]Sales_SP!DL251</f>
        <v>5.871838</v>
      </c>
      <c r="K289" s="787">
        <f>[17]Sales_SP!DM251</f>
        <v>6.053575</v>
      </c>
      <c r="L289" s="787">
        <f>[17]Sales_SP!DN251</f>
        <v>6.110538</v>
      </c>
      <c r="M289" s="787">
        <f>[17]Sales_SP!DO251</f>
        <v>6.256292</v>
      </c>
      <c r="N289" s="787">
        <f>[17]Sales_SP!DP251</f>
        <v>5.786496</v>
      </c>
      <c r="O289" s="787">
        <f>[17]Sales_SP!DQ251</f>
        <v>5.533106</v>
      </c>
      <c r="P289" s="787">
        <f>[17]Sales_SP!DR251</f>
        <v>5.622332</v>
      </c>
      <c r="Q289" s="866">
        <f t="shared" si="99"/>
        <v>65.583331</v>
      </c>
      <c r="R289" s="863"/>
      <c r="S289" s="863"/>
    </row>
    <row r="290" ht="15" hidden="1" spans="3:19">
      <c r="C290" s="296" t="s">
        <v>205</v>
      </c>
      <c r="D290" s="296" t="s">
        <v>206</v>
      </c>
      <c r="E290" s="787">
        <f>'[14]FY21-22 Actual Sales '!G162</f>
        <v>0</v>
      </c>
      <c r="F290" s="787">
        <f>'[14]FY21-22 Actual Sales '!H162</f>
        <v>0</v>
      </c>
      <c r="G290" s="787">
        <f>'[14]FY21-22 Actual Sales '!I162</f>
        <v>0</v>
      </c>
      <c r="H290" s="787">
        <f>'[14]FY21-22 Actual Sales '!J162</f>
        <v>0</v>
      </c>
      <c r="I290" s="787">
        <f>'[14]FY21-22 Actual Sales '!K162</f>
        <v>0</v>
      </c>
      <c r="J290" s="787">
        <f>'[14]FY21-22 Actual Sales '!L162</f>
        <v>0</v>
      </c>
      <c r="K290" s="787">
        <f>'[14]FY21-22 Actual Sales '!M162</f>
        <v>0</v>
      </c>
      <c r="L290" s="787">
        <f>'[14]FY21-22 Actual Sales '!N162</f>
        <v>0</v>
      </c>
      <c r="M290" s="787">
        <f>'[14]FY21-22 Actual Sales '!O162</f>
        <v>0</v>
      </c>
      <c r="N290" s="787">
        <f>'[14]FY21-22 Actual Sales '!P162</f>
        <v>0</v>
      </c>
      <c r="O290" s="787">
        <f>'[14]FY21-22 Actual Sales '!Q162</f>
        <v>0</v>
      </c>
      <c r="P290" s="787">
        <f>'[14]FY21-22 Actual Sales '!R162</f>
        <v>0</v>
      </c>
      <c r="Q290" s="866">
        <f t="shared" si="99"/>
        <v>0</v>
      </c>
      <c r="R290" s="863"/>
      <c r="S290" s="863"/>
    </row>
    <row r="291" ht="15" hidden="1" spans="3:19">
      <c r="C291" s="296" t="s">
        <v>207</v>
      </c>
      <c r="D291" s="296" t="s">
        <v>186</v>
      </c>
      <c r="E291" s="787">
        <f>'[14]FY21-22 Actual Sales '!G163</f>
        <v>0</v>
      </c>
      <c r="F291" s="787">
        <f>'[14]FY21-22 Actual Sales '!H163</f>
        <v>0</v>
      </c>
      <c r="G291" s="787">
        <f>'[14]FY21-22 Actual Sales '!I163</f>
        <v>0</v>
      </c>
      <c r="H291" s="787">
        <f>'[14]FY21-22 Actual Sales '!J163</f>
        <v>0</v>
      </c>
      <c r="I291" s="787">
        <f>'[14]FY21-22 Actual Sales '!K163</f>
        <v>0</v>
      </c>
      <c r="J291" s="787">
        <f>'[14]FY21-22 Actual Sales '!L163</f>
        <v>0</v>
      </c>
      <c r="K291" s="787">
        <f>'[14]FY21-22 Actual Sales '!M163</f>
        <v>0</v>
      </c>
      <c r="L291" s="787">
        <f>'[14]FY21-22 Actual Sales '!N163</f>
        <v>0</v>
      </c>
      <c r="M291" s="787">
        <f>'[14]FY21-22 Actual Sales '!O163</f>
        <v>0</v>
      </c>
      <c r="N291" s="787">
        <f>'[14]FY21-22 Actual Sales '!P163</f>
        <v>0</v>
      </c>
      <c r="O291" s="787">
        <f>'[14]FY21-22 Actual Sales '!Q163</f>
        <v>0</v>
      </c>
      <c r="P291" s="787">
        <f>'[14]FY21-22 Actual Sales '!R163</f>
        <v>0</v>
      </c>
      <c r="Q291" s="866">
        <f t="shared" si="99"/>
        <v>0</v>
      </c>
      <c r="R291" s="863"/>
      <c r="S291" s="863"/>
    </row>
    <row r="292" ht="15" hidden="1" spans="3:19">
      <c r="C292" s="296" t="s">
        <v>208</v>
      </c>
      <c r="D292" s="296" t="s">
        <v>209</v>
      </c>
      <c r="E292" s="787">
        <v>0</v>
      </c>
      <c r="F292" s="787">
        <v>0</v>
      </c>
      <c r="G292" s="787">
        <v>0</v>
      </c>
      <c r="H292" s="787">
        <v>0</v>
      </c>
      <c r="I292" s="787">
        <v>0</v>
      </c>
      <c r="J292" s="787">
        <v>0</v>
      </c>
      <c r="K292" s="787">
        <v>0</v>
      </c>
      <c r="L292" s="787">
        <v>0</v>
      </c>
      <c r="M292" s="787">
        <v>0</v>
      </c>
      <c r="N292" s="787">
        <v>0</v>
      </c>
      <c r="O292" s="787">
        <v>0</v>
      </c>
      <c r="P292" s="787">
        <v>0</v>
      </c>
      <c r="Q292" s="866">
        <f t="shared" si="99"/>
        <v>0</v>
      </c>
      <c r="R292" s="863"/>
      <c r="S292" s="863"/>
    </row>
    <row r="293" ht="15" hidden="1" spans="3:19">
      <c r="C293" s="296" t="s">
        <v>210</v>
      </c>
      <c r="D293" s="296" t="s">
        <v>188</v>
      </c>
      <c r="E293" s="787">
        <v>0</v>
      </c>
      <c r="F293" s="787">
        <v>0</v>
      </c>
      <c r="G293" s="787">
        <v>0</v>
      </c>
      <c r="H293" s="787">
        <v>0</v>
      </c>
      <c r="I293" s="787">
        <v>0</v>
      </c>
      <c r="J293" s="787">
        <v>0</v>
      </c>
      <c r="K293" s="787">
        <v>0</v>
      </c>
      <c r="L293" s="787">
        <v>0</v>
      </c>
      <c r="M293" s="787">
        <v>0</v>
      </c>
      <c r="N293" s="787">
        <v>0</v>
      </c>
      <c r="O293" s="787">
        <v>0</v>
      </c>
      <c r="P293" s="787">
        <v>0</v>
      </c>
      <c r="Q293" s="866">
        <f t="shared" si="99"/>
        <v>0</v>
      </c>
      <c r="R293" s="863"/>
      <c r="S293" s="863"/>
    </row>
    <row r="294" ht="15" hidden="1" spans="3:19">
      <c r="C294" s="296"/>
      <c r="D294" s="296"/>
      <c r="E294" s="787"/>
      <c r="F294" s="787"/>
      <c r="G294" s="787"/>
      <c r="H294" s="787"/>
      <c r="I294" s="787"/>
      <c r="J294" s="787"/>
      <c r="K294" s="787"/>
      <c r="L294" s="787"/>
      <c r="M294" s="787"/>
      <c r="N294" s="787"/>
      <c r="O294" s="787"/>
      <c r="P294" s="787"/>
      <c r="Q294" s="866">
        <f t="shared" si="99"/>
        <v>0</v>
      </c>
      <c r="R294" s="863"/>
      <c r="S294" s="863"/>
    </row>
    <row r="295" ht="15" hidden="1" spans="3:19">
      <c r="C295" s="296"/>
      <c r="D295" s="296"/>
      <c r="E295" s="787"/>
      <c r="F295" s="787"/>
      <c r="G295" s="787"/>
      <c r="H295" s="787"/>
      <c r="I295" s="787"/>
      <c r="J295" s="787"/>
      <c r="K295" s="787"/>
      <c r="L295" s="787"/>
      <c r="M295" s="787"/>
      <c r="N295" s="787"/>
      <c r="O295" s="787"/>
      <c r="P295" s="787"/>
      <c r="Q295" s="866">
        <f t="shared" si="99"/>
        <v>0</v>
      </c>
      <c r="R295" s="863"/>
      <c r="S295" s="863"/>
    </row>
    <row r="296" ht="15" hidden="1" spans="3:19">
      <c r="C296" s="296"/>
      <c r="D296" s="296"/>
      <c r="E296" s="787"/>
      <c r="F296" s="787"/>
      <c r="G296" s="787"/>
      <c r="H296" s="787"/>
      <c r="I296" s="787"/>
      <c r="J296" s="787"/>
      <c r="K296" s="787"/>
      <c r="L296" s="787"/>
      <c r="M296" s="787"/>
      <c r="N296" s="787"/>
      <c r="O296" s="787"/>
      <c r="P296" s="787"/>
      <c r="Q296" s="866">
        <f t="shared" si="99"/>
        <v>0</v>
      </c>
      <c r="R296" s="863"/>
      <c r="S296" s="863"/>
    </row>
    <row r="297" ht="15" hidden="1" spans="3:19">
      <c r="C297" s="296" t="s">
        <v>258</v>
      </c>
      <c r="D297" s="296" t="s">
        <v>258</v>
      </c>
      <c r="E297" s="787"/>
      <c r="F297" s="787"/>
      <c r="G297" s="787"/>
      <c r="H297" s="787"/>
      <c r="I297" s="787"/>
      <c r="J297" s="787"/>
      <c r="K297" s="787"/>
      <c r="L297" s="787"/>
      <c r="M297" s="787"/>
      <c r="N297" s="787"/>
      <c r="O297" s="787"/>
      <c r="P297" s="787"/>
      <c r="Q297" s="866">
        <f t="shared" si="99"/>
        <v>0</v>
      </c>
      <c r="R297" s="863"/>
      <c r="S297" s="863"/>
    </row>
    <row r="298" ht="15" hidden="1" spans="3:19">
      <c r="C298" s="285" t="s">
        <v>211</v>
      </c>
      <c r="D298" s="286"/>
      <c r="E298" s="866">
        <f t="shared" ref="E298:P298" si="100">SUM(E281:E297)</f>
        <v>584.94786894</v>
      </c>
      <c r="F298" s="866">
        <f t="shared" si="100"/>
        <v>326.58416972</v>
      </c>
      <c r="G298" s="866">
        <f t="shared" si="100"/>
        <v>320.64465852</v>
      </c>
      <c r="H298" s="866">
        <f t="shared" si="100"/>
        <v>437.11872153</v>
      </c>
      <c r="I298" s="866">
        <f t="shared" si="100"/>
        <v>420.76077275</v>
      </c>
      <c r="J298" s="866">
        <f t="shared" si="100"/>
        <v>566.78235087</v>
      </c>
      <c r="K298" s="866">
        <f t="shared" si="100"/>
        <v>599.9627946</v>
      </c>
      <c r="L298" s="866">
        <f t="shared" si="100"/>
        <v>520.87430069</v>
      </c>
      <c r="M298" s="866">
        <f t="shared" si="100"/>
        <v>474.9844179</v>
      </c>
      <c r="N298" s="866">
        <f t="shared" si="100"/>
        <v>546.29337614</v>
      </c>
      <c r="O298" s="866">
        <f t="shared" si="100"/>
        <v>565.62198584</v>
      </c>
      <c r="P298" s="866">
        <f t="shared" si="100"/>
        <v>576.24032683</v>
      </c>
      <c r="Q298" s="866">
        <f t="shared" si="99"/>
        <v>5940.81574433</v>
      </c>
      <c r="R298" s="863"/>
      <c r="S298" s="863"/>
    </row>
    <row r="299" ht="15" hidden="1" spans="3:19">
      <c r="C299" s="285" t="s">
        <v>223</v>
      </c>
      <c r="D299" s="286"/>
      <c r="E299" s="866">
        <f t="shared" ref="E299:P299" si="101">E298+E279+E262</f>
        <v>1603.12929815</v>
      </c>
      <c r="F299" s="866">
        <f t="shared" si="101"/>
        <v>1208.54779339</v>
      </c>
      <c r="G299" s="866">
        <f t="shared" si="101"/>
        <v>1193.45370547</v>
      </c>
      <c r="H299" s="866">
        <f t="shared" si="101"/>
        <v>1363.7533897</v>
      </c>
      <c r="I299" s="866">
        <f t="shared" si="101"/>
        <v>1379.90044646</v>
      </c>
      <c r="J299" s="866">
        <f t="shared" si="101"/>
        <v>1565.5576139</v>
      </c>
      <c r="K299" s="866">
        <f t="shared" si="101"/>
        <v>1603.53753713</v>
      </c>
      <c r="L299" s="866">
        <f t="shared" si="101"/>
        <v>1493.41599052</v>
      </c>
      <c r="M299" s="866">
        <f t="shared" si="101"/>
        <v>1450.73732105</v>
      </c>
      <c r="N299" s="866">
        <f t="shared" si="101"/>
        <v>1521.62688997</v>
      </c>
      <c r="O299" s="866">
        <f t="shared" si="101"/>
        <v>1547.54404304</v>
      </c>
      <c r="P299" s="866">
        <f t="shared" si="101"/>
        <v>1545.91618296</v>
      </c>
      <c r="Q299" s="866">
        <f t="shared" si="99"/>
        <v>17477.12021174</v>
      </c>
      <c r="R299" s="863"/>
      <c r="S299" s="863"/>
    </row>
    <row r="300" ht="15" hidden="1" spans="3:19">
      <c r="C300" s="285" t="s">
        <v>224</v>
      </c>
      <c r="D300" s="286"/>
      <c r="E300" s="866">
        <f t="shared" ref="E300:P300" si="102">E299+E245</f>
        <v>2902.60281095</v>
      </c>
      <c r="F300" s="866">
        <f t="shared" si="102"/>
        <v>2431.88220091</v>
      </c>
      <c r="G300" s="866">
        <f t="shared" si="102"/>
        <v>2316.07369961</v>
      </c>
      <c r="H300" s="866">
        <f t="shared" si="102"/>
        <v>2472.73280745</v>
      </c>
      <c r="I300" s="866">
        <f t="shared" si="102"/>
        <v>2495.13320814</v>
      </c>
      <c r="J300" s="866">
        <f t="shared" si="102"/>
        <v>2629.66205755</v>
      </c>
      <c r="K300" s="866">
        <f t="shared" si="102"/>
        <v>2717.7589584</v>
      </c>
      <c r="L300" s="866">
        <f t="shared" si="102"/>
        <v>2505.00830442</v>
      </c>
      <c r="M300" s="866">
        <f t="shared" si="102"/>
        <v>2433.31438795</v>
      </c>
      <c r="N300" s="866">
        <f t="shared" si="102"/>
        <v>2473.92355342</v>
      </c>
      <c r="O300" s="866">
        <f t="shared" si="102"/>
        <v>2531.62090048</v>
      </c>
      <c r="P300" s="866">
        <f t="shared" si="102"/>
        <v>2878.03936487</v>
      </c>
      <c r="Q300" s="866">
        <f t="shared" si="99"/>
        <v>30787.75225415</v>
      </c>
      <c r="R300" s="863"/>
      <c r="S300" s="863"/>
    </row>
    <row r="301" ht="15" hidden="1" spans="3:19">
      <c r="C301" s="369"/>
      <c r="E301" s="863"/>
      <c r="F301" s="863"/>
      <c r="G301" s="863"/>
      <c r="H301" s="863"/>
      <c r="I301" s="863"/>
      <c r="J301" s="863"/>
      <c r="K301" s="863"/>
      <c r="L301" s="863"/>
      <c r="M301" s="863"/>
      <c r="N301" s="863"/>
      <c r="O301" s="863"/>
      <c r="P301" s="863"/>
      <c r="Q301" s="870" t="s">
        <v>236</v>
      </c>
      <c r="R301" s="863"/>
      <c r="S301" s="863"/>
    </row>
    <row r="302" ht="15" hidden="1" spans="3:19">
      <c r="C302" s="401" t="s">
        <v>159</v>
      </c>
      <c r="D302" s="401"/>
      <c r="E302" s="864" t="s">
        <v>262</v>
      </c>
      <c r="F302" s="864"/>
      <c r="G302" s="864"/>
      <c r="H302" s="864"/>
      <c r="I302" s="864"/>
      <c r="J302" s="864"/>
      <c r="K302" s="864"/>
      <c r="L302" s="864"/>
      <c r="M302" s="864"/>
      <c r="N302" s="864"/>
      <c r="O302" s="864"/>
      <c r="P302" s="864"/>
      <c r="Q302" s="864"/>
      <c r="R302" s="863"/>
      <c r="S302" s="863"/>
    </row>
    <row r="303" ht="15" hidden="1" spans="3:19">
      <c r="C303" s="401"/>
      <c r="D303" s="401"/>
      <c r="E303" s="864" t="s">
        <v>246</v>
      </c>
      <c r="F303" s="864" t="s">
        <v>247</v>
      </c>
      <c r="G303" s="864" t="s">
        <v>248</v>
      </c>
      <c r="H303" s="864" t="s">
        <v>249</v>
      </c>
      <c r="I303" s="864" t="s">
        <v>250</v>
      </c>
      <c r="J303" s="864" t="s">
        <v>251</v>
      </c>
      <c r="K303" s="864" t="s">
        <v>252</v>
      </c>
      <c r="L303" s="864" t="s">
        <v>253</v>
      </c>
      <c r="M303" s="864" t="s">
        <v>254</v>
      </c>
      <c r="N303" s="864" t="s">
        <v>255</v>
      </c>
      <c r="O303" s="864" t="s">
        <v>256</v>
      </c>
      <c r="P303" s="864" t="s">
        <v>257</v>
      </c>
      <c r="Q303" s="864" t="s">
        <v>97</v>
      </c>
      <c r="R303" s="863"/>
      <c r="S303" s="863"/>
    </row>
    <row r="304" ht="15" hidden="1" spans="3:19">
      <c r="C304" s="285" t="s">
        <v>170</v>
      </c>
      <c r="D304" s="286"/>
      <c r="E304" s="787"/>
      <c r="F304" s="787"/>
      <c r="G304" s="787"/>
      <c r="H304" s="787"/>
      <c r="I304" s="787"/>
      <c r="J304" s="787"/>
      <c r="K304" s="787"/>
      <c r="L304" s="787"/>
      <c r="M304" s="787"/>
      <c r="N304" s="787"/>
      <c r="O304" s="787"/>
      <c r="P304" s="787"/>
      <c r="Q304" s="866"/>
      <c r="R304" s="863"/>
      <c r="S304" s="863"/>
    </row>
    <row r="305" ht="15" hidden="1" spans="3:19">
      <c r="C305" s="296" t="s">
        <v>171</v>
      </c>
      <c r="D305" s="296" t="s">
        <v>172</v>
      </c>
      <c r="E305" s="787">
        <f>[17]Sales_SP!DV10</f>
        <v>1054.49917709</v>
      </c>
      <c r="F305" s="787">
        <f>[17]Sales_SP!DW10</f>
        <v>1071.68560656</v>
      </c>
      <c r="G305" s="787">
        <f>[17]Sales_SP!DX10</f>
        <v>919.87931851</v>
      </c>
      <c r="H305" s="787">
        <f>[17]Sales_SP!DY10</f>
        <v>782.42434202</v>
      </c>
      <c r="I305" s="787">
        <f>[17]Sales_SP!DZ10</f>
        <v>835.5457414</v>
      </c>
      <c r="J305" s="787">
        <f>[17]Sales_SP!EA10</f>
        <v>808.12435736</v>
      </c>
      <c r="K305" s="787">
        <f>[17]Sales_SP!EB10</f>
        <v>747.661322</v>
      </c>
      <c r="L305" s="787">
        <f>[17]Sales_SP!EC10</f>
        <v>713.3555715</v>
      </c>
      <c r="M305" s="787">
        <f>[17]Sales_SP!ED10</f>
        <v>720.93670168</v>
      </c>
      <c r="N305" s="787">
        <f>[17]Sales_SP!EE10</f>
        <v>682.8638952</v>
      </c>
      <c r="O305" s="787">
        <f>[17]Sales_SP!EF10</f>
        <v>721.0716355</v>
      </c>
      <c r="P305" s="787">
        <f>[17]Sales_SP!EG10</f>
        <v>894.06128425</v>
      </c>
      <c r="Q305" s="866">
        <f t="shared" ref="Q305:Q318" si="103">SUM(E305:P305)</f>
        <v>9952.10895307</v>
      </c>
      <c r="R305" s="863"/>
      <c r="S305" s="863"/>
    </row>
    <row r="306" ht="15" hidden="1" spans="3:19">
      <c r="C306" s="296" t="s">
        <v>173</v>
      </c>
      <c r="D306" s="296" t="s">
        <v>174</v>
      </c>
      <c r="E306" s="787">
        <f>[17]Sales_SP!DV23</f>
        <v>287.3821605</v>
      </c>
      <c r="F306" s="787">
        <f>[17]Sales_SP!DW23</f>
        <v>294.66361475</v>
      </c>
      <c r="G306" s="787">
        <f>[17]Sales_SP!DX23</f>
        <v>268.698341</v>
      </c>
      <c r="H306" s="787">
        <f>[17]Sales_SP!DY23</f>
        <v>231.91902975</v>
      </c>
      <c r="I306" s="787">
        <f>[17]Sales_SP!DZ23</f>
        <v>252.08797125</v>
      </c>
      <c r="J306" s="787">
        <f>[17]Sales_SP!EA23</f>
        <v>251.81102075</v>
      </c>
      <c r="K306" s="787">
        <f>[17]Sales_SP!EB23</f>
        <v>239.37629918</v>
      </c>
      <c r="L306" s="787">
        <f>[17]Sales_SP!EC23</f>
        <v>240.630599</v>
      </c>
      <c r="M306" s="787">
        <f>[17]Sales_SP!ED23</f>
        <v>244.72922025</v>
      </c>
      <c r="N306" s="787">
        <f>[17]Sales_SP!EE23</f>
        <v>231.475063</v>
      </c>
      <c r="O306" s="787">
        <f>[17]Sales_SP!EF23</f>
        <v>247.637579</v>
      </c>
      <c r="P306" s="787">
        <f>[17]Sales_SP!EG23</f>
        <v>286.55679</v>
      </c>
      <c r="Q306" s="866">
        <f t="shared" si="103"/>
        <v>3076.96768843</v>
      </c>
      <c r="R306" s="863"/>
      <c r="S306" s="863"/>
    </row>
    <row r="307" ht="15" hidden="1" spans="3:19">
      <c r="C307" s="296" t="s">
        <v>175</v>
      </c>
      <c r="D307" s="296" t="s">
        <v>176</v>
      </c>
      <c r="E307" s="787">
        <f>[17]Sales_SP!DV36</f>
        <v>80.540946</v>
      </c>
      <c r="F307" s="787">
        <f>[17]Sales_SP!DW36</f>
        <v>80.615591</v>
      </c>
      <c r="G307" s="787">
        <f>[17]Sales_SP!DX36</f>
        <v>77.60986</v>
      </c>
      <c r="H307" s="787">
        <f>[17]Sales_SP!DY36</f>
        <v>71.092956</v>
      </c>
      <c r="I307" s="787">
        <f>[17]Sales_SP!DZ36</f>
        <v>73.4384755</v>
      </c>
      <c r="J307" s="787">
        <f>[17]Sales_SP!EA36</f>
        <v>73.916187</v>
      </c>
      <c r="K307" s="787">
        <f>[17]Sales_SP!EB36</f>
        <v>69.627046</v>
      </c>
      <c r="L307" s="787">
        <f>[17]Sales_SP!EC36</f>
        <v>83.492833</v>
      </c>
      <c r="M307" s="787">
        <f>[17]Sales_SP!ED36</f>
        <v>84.7954</v>
      </c>
      <c r="N307" s="787">
        <f>[17]Sales_SP!EE36</f>
        <v>78.695625</v>
      </c>
      <c r="O307" s="787">
        <f>[17]Sales_SP!EF36</f>
        <v>78.388408</v>
      </c>
      <c r="P307" s="787">
        <f>[17]Sales_SP!EG36</f>
        <v>80.8559589999999</v>
      </c>
      <c r="Q307" s="866">
        <f t="shared" si="103"/>
        <v>933.0692865</v>
      </c>
      <c r="R307" s="863"/>
      <c r="S307" s="863"/>
    </row>
    <row r="308" ht="15" hidden="1" spans="3:19">
      <c r="C308" s="296" t="s">
        <v>177</v>
      </c>
      <c r="D308" s="296" t="s">
        <v>178</v>
      </c>
      <c r="E308" s="787">
        <f>[17]Sales_SP!DV43</f>
        <v>0.879329</v>
      </c>
      <c r="F308" s="787">
        <f>[17]Sales_SP!DW43</f>
        <v>0.879206</v>
      </c>
      <c r="G308" s="787">
        <f>[17]Sales_SP!DX43</f>
        <v>0.813468</v>
      </c>
      <c r="H308" s="787">
        <f>[17]Sales_SP!DY43</f>
        <v>0.740623</v>
      </c>
      <c r="I308" s="787">
        <f>[17]Sales_SP!DZ43</f>
        <v>0.756743</v>
      </c>
      <c r="J308" s="787">
        <f>[17]Sales_SP!EA43</f>
        <v>0.790529</v>
      </c>
      <c r="K308" s="787">
        <f>[17]Sales_SP!EB43</f>
        <v>0.736981</v>
      </c>
      <c r="L308" s="787">
        <f>[17]Sales_SP!EC43</f>
        <v>0.80415</v>
      </c>
      <c r="M308" s="787">
        <f>[17]Sales_SP!ED43</f>
        <v>0.844049</v>
      </c>
      <c r="N308" s="787">
        <f>[17]Sales_SP!EE43</f>
        <v>0.746537</v>
      </c>
      <c r="O308" s="787">
        <f>[17]Sales_SP!EF43</f>
        <v>0.71819</v>
      </c>
      <c r="P308" s="787">
        <f>[17]Sales_SP!EG43</f>
        <v>0.816185</v>
      </c>
      <c r="Q308" s="866">
        <f t="shared" si="103"/>
        <v>9.52599</v>
      </c>
      <c r="R308" s="863"/>
      <c r="S308" s="863"/>
    </row>
    <row r="309" ht="15" hidden="1" spans="3:19">
      <c r="C309" s="296" t="s">
        <v>179</v>
      </c>
      <c r="D309" s="296" t="s">
        <v>180</v>
      </c>
      <c r="E309" s="787">
        <v>0</v>
      </c>
      <c r="F309" s="787">
        <v>0</v>
      </c>
      <c r="G309" s="787">
        <v>0</v>
      </c>
      <c r="H309" s="787">
        <v>0</v>
      </c>
      <c r="I309" s="787">
        <v>0</v>
      </c>
      <c r="J309" s="787">
        <v>0</v>
      </c>
      <c r="K309" s="787">
        <v>0</v>
      </c>
      <c r="L309" s="787">
        <v>0</v>
      </c>
      <c r="M309" s="787">
        <v>0</v>
      </c>
      <c r="N309" s="787">
        <v>0</v>
      </c>
      <c r="O309" s="787">
        <v>0</v>
      </c>
      <c r="P309" s="787">
        <v>0</v>
      </c>
      <c r="Q309" s="866">
        <f t="shared" si="103"/>
        <v>0</v>
      </c>
      <c r="R309" s="863"/>
      <c r="S309" s="863"/>
    </row>
    <row r="310" ht="15" hidden="1" spans="3:19">
      <c r="C310" s="296" t="s">
        <v>181</v>
      </c>
      <c r="D310" s="296" t="s">
        <v>182</v>
      </c>
      <c r="E310" s="787">
        <f>[17]Sales_SP!DV54</f>
        <v>40.484487</v>
      </c>
      <c r="F310" s="787">
        <f>[17]Sales_SP!DW54</f>
        <v>39.110261</v>
      </c>
      <c r="G310" s="787">
        <f>[17]Sales_SP!DX54</f>
        <v>36.011614</v>
      </c>
      <c r="H310" s="787">
        <f>[17]Sales_SP!DY54</f>
        <v>33.568339</v>
      </c>
      <c r="I310" s="787">
        <f>[17]Sales_SP!DZ54</f>
        <v>36.34499075</v>
      </c>
      <c r="J310" s="787">
        <f>[17]Sales_SP!EA54</f>
        <v>37.490599</v>
      </c>
      <c r="K310" s="787">
        <f>[17]Sales_SP!EB54</f>
        <v>39.630035</v>
      </c>
      <c r="L310" s="787">
        <f>[17]Sales_SP!EC54</f>
        <v>39.282273</v>
      </c>
      <c r="M310" s="787">
        <f>[17]Sales_SP!ED54</f>
        <v>41.373676</v>
      </c>
      <c r="N310" s="787">
        <f>[17]Sales_SP!EE54</f>
        <v>41.1030005</v>
      </c>
      <c r="O310" s="787">
        <f>[17]Sales_SP!EF54</f>
        <v>39.504416</v>
      </c>
      <c r="P310" s="787">
        <f>[17]Sales_SP!EG54</f>
        <v>42.763264</v>
      </c>
      <c r="Q310" s="866">
        <f t="shared" si="103"/>
        <v>466.66695525</v>
      </c>
      <c r="R310" s="863"/>
      <c r="S310" s="863"/>
    </row>
    <row r="311" ht="15" hidden="1" spans="3:19">
      <c r="C311" s="296" t="s">
        <v>183</v>
      </c>
      <c r="D311" s="296" t="s">
        <v>184</v>
      </c>
      <c r="E311" s="787">
        <f>[17]Sales_SP!DV64</f>
        <v>9.374641</v>
      </c>
      <c r="F311" s="787">
        <f>[17]Sales_SP!DW64</f>
        <v>7.187622</v>
      </c>
      <c r="G311" s="787">
        <f>[17]Sales_SP!DX64</f>
        <v>6.765159</v>
      </c>
      <c r="H311" s="787">
        <f>[17]Sales_SP!DY64</f>
        <v>6.72374275</v>
      </c>
      <c r="I311" s="787">
        <f>[17]Sales_SP!DZ64</f>
        <v>7.564866</v>
      </c>
      <c r="J311" s="787">
        <f>[17]Sales_SP!EA64</f>
        <v>6.704741</v>
      </c>
      <c r="K311" s="787">
        <f>[17]Sales_SP!EB64</f>
        <v>7.054721</v>
      </c>
      <c r="L311" s="787">
        <f>[17]Sales_SP!EC64</f>
        <v>7.1476982</v>
      </c>
      <c r="M311" s="787">
        <f>[17]Sales_SP!ED64</f>
        <v>7.117874</v>
      </c>
      <c r="N311" s="787">
        <f>[17]Sales_SP!EE64</f>
        <v>6.315293</v>
      </c>
      <c r="O311" s="787">
        <f>[17]Sales_SP!EF64</f>
        <v>7.218932</v>
      </c>
      <c r="P311" s="787">
        <f>[17]Sales_SP!EG64</f>
        <v>8.8987295</v>
      </c>
      <c r="Q311" s="866">
        <f t="shared" si="103"/>
        <v>88.07401945</v>
      </c>
      <c r="R311" s="863"/>
      <c r="S311" s="863"/>
    </row>
    <row r="312" ht="15" hidden="1" spans="3:19">
      <c r="C312" s="296" t="s">
        <v>185</v>
      </c>
      <c r="D312" s="296" t="s">
        <v>186</v>
      </c>
      <c r="E312" s="787">
        <f>[17]Sales_SP!DV69</f>
        <v>9.1814284</v>
      </c>
      <c r="F312" s="787">
        <f>[17]Sales_SP!DW69</f>
        <v>8.863599</v>
      </c>
      <c r="G312" s="787">
        <f>[17]Sales_SP!DX69</f>
        <v>8.21191</v>
      </c>
      <c r="H312" s="787">
        <f>[17]Sales_SP!DY69</f>
        <v>7.270117</v>
      </c>
      <c r="I312" s="787">
        <f>[17]Sales_SP!DZ69</f>
        <v>7.527117</v>
      </c>
      <c r="J312" s="787">
        <f>[17]Sales_SP!EA69</f>
        <v>7.597726</v>
      </c>
      <c r="K312" s="787">
        <f>[17]Sales_SP!EB69</f>
        <v>7.181891</v>
      </c>
      <c r="L312" s="787">
        <f>[17]Sales_SP!EC69</f>
        <v>7.709997</v>
      </c>
      <c r="M312" s="787">
        <f>[17]Sales_SP!ED69</f>
        <v>8.04304</v>
      </c>
      <c r="N312" s="787">
        <f>[17]Sales_SP!EE69</f>
        <v>7.992419</v>
      </c>
      <c r="O312" s="787">
        <f>[17]Sales_SP!EF69</f>
        <v>8.073885</v>
      </c>
      <c r="P312" s="787">
        <f>[17]Sales_SP!EG69</f>
        <v>8.685037</v>
      </c>
      <c r="Q312" s="866">
        <f t="shared" si="103"/>
        <v>96.3381664</v>
      </c>
      <c r="R312" s="863"/>
      <c r="S312" s="863"/>
    </row>
    <row r="313" ht="15" hidden="1" spans="3:19">
      <c r="C313" s="296" t="s">
        <v>187</v>
      </c>
      <c r="D313" s="296" t="s">
        <v>188</v>
      </c>
      <c r="E313" s="787">
        <f>[17]Sales_SP!DV70</f>
        <v>0.025866</v>
      </c>
      <c r="F313" s="787">
        <f>[17]Sales_SP!DW70</f>
        <v>0.027789</v>
      </c>
      <c r="G313" s="787">
        <f>[17]Sales_SP!DX70</f>
        <v>0.030726</v>
      </c>
      <c r="H313" s="787">
        <f>[17]Sales_SP!DY70</f>
        <v>0.030687</v>
      </c>
      <c r="I313" s="787">
        <f>[17]Sales_SP!DZ70</f>
        <v>0.033495</v>
      </c>
      <c r="J313" s="787">
        <f>[17]Sales_SP!EA70</f>
        <v>0.043436</v>
      </c>
      <c r="K313" s="787">
        <f>[17]Sales_SP!EB70</f>
        <v>0.043189</v>
      </c>
      <c r="L313" s="787">
        <f>[17]Sales_SP!EC70</f>
        <v>0.053362</v>
      </c>
      <c r="M313" s="787">
        <f>[17]Sales_SP!ED70</f>
        <v>0.056037</v>
      </c>
      <c r="N313" s="787">
        <f>[17]Sales_SP!EE70</f>
        <v>0.05953</v>
      </c>
      <c r="O313" s="787">
        <f>[17]Sales_SP!EF70</f>
        <v>0.059889</v>
      </c>
      <c r="P313" s="787">
        <f>[17]Sales_SP!EG70</f>
        <v>0.068201</v>
      </c>
      <c r="Q313" s="866">
        <f t="shared" si="103"/>
        <v>0.532207</v>
      </c>
      <c r="R313" s="863"/>
      <c r="S313" s="863"/>
    </row>
    <row r="314" ht="15" hidden="1" spans="3:19">
      <c r="C314" s="296"/>
      <c r="D314" s="296"/>
      <c r="E314" s="787"/>
      <c r="F314" s="787"/>
      <c r="G314" s="787"/>
      <c r="H314" s="787"/>
      <c r="I314" s="787"/>
      <c r="J314" s="787"/>
      <c r="K314" s="787"/>
      <c r="L314" s="787"/>
      <c r="M314" s="787"/>
      <c r="N314" s="787"/>
      <c r="O314" s="787"/>
      <c r="P314" s="787"/>
      <c r="Q314" s="866">
        <f t="shared" si="103"/>
        <v>0</v>
      </c>
      <c r="R314" s="863"/>
      <c r="S314" s="863"/>
    </row>
    <row r="315" ht="15" hidden="1" spans="3:19">
      <c r="C315" s="296"/>
      <c r="D315" s="296"/>
      <c r="E315" s="787"/>
      <c r="F315" s="787"/>
      <c r="G315" s="787"/>
      <c r="H315" s="787"/>
      <c r="I315" s="787"/>
      <c r="J315" s="787"/>
      <c r="K315" s="787"/>
      <c r="L315" s="787"/>
      <c r="M315" s="787"/>
      <c r="N315" s="787"/>
      <c r="O315" s="787"/>
      <c r="P315" s="787"/>
      <c r="Q315" s="866">
        <f t="shared" si="103"/>
        <v>0</v>
      </c>
      <c r="R315" s="863"/>
      <c r="S315" s="863"/>
    </row>
    <row r="316" ht="15" hidden="1" spans="3:19">
      <c r="C316" s="296"/>
      <c r="D316" s="296"/>
      <c r="E316" s="787"/>
      <c r="F316" s="787"/>
      <c r="G316" s="787"/>
      <c r="H316" s="787"/>
      <c r="I316" s="787"/>
      <c r="J316" s="787"/>
      <c r="K316" s="787"/>
      <c r="L316" s="787"/>
      <c r="M316" s="787"/>
      <c r="N316" s="787"/>
      <c r="O316" s="787"/>
      <c r="P316" s="787"/>
      <c r="Q316" s="866">
        <f t="shared" si="103"/>
        <v>0</v>
      </c>
      <c r="R316" s="863"/>
      <c r="S316" s="863"/>
    </row>
    <row r="317" ht="15" hidden="1" spans="3:19">
      <c r="C317" s="296" t="s">
        <v>258</v>
      </c>
      <c r="D317" s="296" t="s">
        <v>258</v>
      </c>
      <c r="E317" s="787"/>
      <c r="F317" s="787"/>
      <c r="G317" s="787"/>
      <c r="H317" s="787"/>
      <c r="I317" s="787"/>
      <c r="J317" s="787"/>
      <c r="K317" s="787"/>
      <c r="L317" s="787"/>
      <c r="M317" s="787"/>
      <c r="N317" s="787"/>
      <c r="O317" s="787"/>
      <c r="P317" s="787"/>
      <c r="Q317" s="866">
        <f t="shared" si="103"/>
        <v>0</v>
      </c>
      <c r="R317" s="863"/>
      <c r="S317" s="863"/>
    </row>
    <row r="318" ht="15" hidden="1" spans="3:19">
      <c r="C318" s="285" t="s">
        <v>189</v>
      </c>
      <c r="D318" s="286"/>
      <c r="E318" s="866">
        <f t="shared" ref="E318:P318" si="104">SUM(E305:E317)</f>
        <v>1482.36803499</v>
      </c>
      <c r="F318" s="866">
        <f t="shared" si="104"/>
        <v>1503.03328931</v>
      </c>
      <c r="G318" s="866">
        <f t="shared" si="104"/>
        <v>1318.02039651</v>
      </c>
      <c r="H318" s="866">
        <f t="shared" si="104"/>
        <v>1133.76983652</v>
      </c>
      <c r="I318" s="866">
        <f t="shared" si="104"/>
        <v>1213.2993999</v>
      </c>
      <c r="J318" s="866">
        <f t="shared" si="104"/>
        <v>1186.47859611</v>
      </c>
      <c r="K318" s="866">
        <f t="shared" si="104"/>
        <v>1111.31148418</v>
      </c>
      <c r="L318" s="866">
        <f t="shared" si="104"/>
        <v>1092.4764837</v>
      </c>
      <c r="M318" s="866">
        <f t="shared" si="104"/>
        <v>1107.89599793</v>
      </c>
      <c r="N318" s="866">
        <f t="shared" si="104"/>
        <v>1049.2513627</v>
      </c>
      <c r="O318" s="866">
        <f t="shared" si="104"/>
        <v>1102.6729345</v>
      </c>
      <c r="P318" s="866">
        <f t="shared" si="104"/>
        <v>1322.70544975</v>
      </c>
      <c r="Q318" s="866">
        <f t="shared" si="103"/>
        <v>14623.2832661</v>
      </c>
      <c r="R318" s="863"/>
      <c r="S318" s="863"/>
    </row>
    <row r="319" ht="15" hidden="1" spans="3:19">
      <c r="C319" s="285" t="s">
        <v>190</v>
      </c>
      <c r="D319" s="286"/>
      <c r="E319" s="787"/>
      <c r="F319" s="787"/>
      <c r="G319" s="787"/>
      <c r="H319" s="787"/>
      <c r="I319" s="787"/>
      <c r="J319" s="787"/>
      <c r="K319" s="787"/>
      <c r="L319" s="787"/>
      <c r="M319" s="787"/>
      <c r="N319" s="787"/>
      <c r="O319" s="787"/>
      <c r="P319" s="787"/>
      <c r="Q319" s="866"/>
      <c r="R319" s="863"/>
      <c r="S319" s="863"/>
    </row>
    <row r="320" ht="15" hidden="1" spans="3:19">
      <c r="C320" s="296" t="s">
        <v>191</v>
      </c>
      <c r="D320" s="296" t="s">
        <v>192</v>
      </c>
      <c r="E320" s="787">
        <f>[17]Sales_SP!DV89</f>
        <v>357.57</v>
      </c>
      <c r="F320" s="787">
        <f>[17]Sales_SP!DW89</f>
        <v>327.5</v>
      </c>
      <c r="G320" s="787">
        <f>[17]Sales_SP!DX89</f>
        <v>348.82</v>
      </c>
      <c r="H320" s="787">
        <f>[17]Sales_SP!DY89</f>
        <v>312.31955297</v>
      </c>
      <c r="I320" s="787">
        <f>[17]Sales_SP!DZ89</f>
        <v>327.19917946</v>
      </c>
      <c r="J320" s="787">
        <f>[17]Sales_SP!EA89</f>
        <v>333.60409199</v>
      </c>
      <c r="K320" s="787">
        <f>[17]Sales_SP!EB89</f>
        <v>317.66043277</v>
      </c>
      <c r="L320" s="787">
        <f>[17]Sales_SP!EC89</f>
        <v>339.20359666</v>
      </c>
      <c r="M320" s="787">
        <f>[17]Sales_SP!ED89</f>
        <v>342.10168914</v>
      </c>
      <c r="N320" s="787">
        <f>[17]Sales_SP!EE89</f>
        <v>353.62049077</v>
      </c>
      <c r="O320" s="787">
        <f>[17]Sales_SP!EF89</f>
        <v>353.18132207</v>
      </c>
      <c r="P320" s="787">
        <f>[17]Sales_SP!EG89</f>
        <v>484.70135107</v>
      </c>
      <c r="Q320" s="866">
        <f t="shared" ref="Q320:Q335" si="105">SUM(E320:P320)</f>
        <v>4197.4817069</v>
      </c>
      <c r="R320" s="863"/>
      <c r="S320" s="863"/>
    </row>
    <row r="321" ht="15" hidden="1" spans="3:19">
      <c r="C321" s="296" t="s">
        <v>193</v>
      </c>
      <c r="D321" s="296" t="s">
        <v>194</v>
      </c>
      <c r="E321" s="787">
        <f>[17]Sales_SP!DV104</f>
        <v>0</v>
      </c>
      <c r="F321" s="787">
        <f>[17]Sales_SP!DW104</f>
        <v>0</v>
      </c>
      <c r="G321" s="787">
        <f>[17]Sales_SP!DX104</f>
        <v>0</v>
      </c>
      <c r="H321" s="787">
        <f>[17]Sales_SP!DY104</f>
        <v>0</v>
      </c>
      <c r="I321" s="787">
        <f>[17]Sales_SP!DZ104</f>
        <v>0.4101</v>
      </c>
      <c r="J321" s="787">
        <f>[17]Sales_SP!EA104</f>
        <v>0.0015</v>
      </c>
      <c r="K321" s="787">
        <f>[17]Sales_SP!EB104</f>
        <v>0</v>
      </c>
      <c r="L321" s="787">
        <f>[17]Sales_SP!EC104</f>
        <v>0</v>
      </c>
      <c r="M321" s="787">
        <f>[17]Sales_SP!ED104</f>
        <v>0</v>
      </c>
      <c r="N321" s="787">
        <f>[17]Sales_SP!EE104</f>
        <v>0</v>
      </c>
      <c r="O321" s="787">
        <f>[17]Sales_SP!EF104</f>
        <v>0</v>
      </c>
      <c r="P321" s="787">
        <f>[17]Sales_SP!EG104</f>
        <v>0.001803</v>
      </c>
      <c r="Q321" s="866">
        <f t="shared" si="105"/>
        <v>0.413403</v>
      </c>
      <c r="R321" s="863"/>
      <c r="S321" s="863"/>
    </row>
    <row r="322" ht="15" hidden="1" spans="3:19">
      <c r="C322" s="296" t="s">
        <v>239</v>
      </c>
      <c r="D322" s="296" t="s">
        <v>196</v>
      </c>
      <c r="E322" s="787">
        <f>[17]Sales_SP!DV110</f>
        <v>171.84</v>
      </c>
      <c r="F322" s="787">
        <f>[17]Sales_SP!DW110</f>
        <v>174.25</v>
      </c>
      <c r="G322" s="787">
        <f>[17]Sales_SP!DX110</f>
        <v>179.79</v>
      </c>
      <c r="H322" s="787">
        <f>[17]Sales_SP!DY110</f>
        <v>144.86727249</v>
      </c>
      <c r="I322" s="787">
        <f>[17]Sales_SP!DZ110</f>
        <v>147.16457658</v>
      </c>
      <c r="J322" s="787">
        <f>[17]Sales_SP!EA110</f>
        <v>156.13046103</v>
      </c>
      <c r="K322" s="787">
        <f>[17]Sales_SP!EB110</f>
        <v>146.79458573</v>
      </c>
      <c r="L322" s="787">
        <f>[17]Sales_SP!EC110</f>
        <v>138.89520262</v>
      </c>
      <c r="M322" s="787">
        <f>[17]Sales_SP!ED110</f>
        <v>135.99557205</v>
      </c>
      <c r="N322" s="787">
        <f>[17]Sales_SP!EE110</f>
        <v>138.72055816</v>
      </c>
      <c r="O322" s="787">
        <f>[17]Sales_SP!EF110</f>
        <v>140.38698099</v>
      </c>
      <c r="P322" s="787">
        <f>[17]Sales_SP!EG110</f>
        <v>215.39694602</v>
      </c>
      <c r="Q322" s="866">
        <f t="shared" si="105"/>
        <v>1890.23215567</v>
      </c>
      <c r="R322" s="863"/>
      <c r="S322" s="863"/>
    </row>
    <row r="323" ht="15" hidden="1" spans="3:19">
      <c r="C323" s="296" t="s">
        <v>197</v>
      </c>
      <c r="D323" s="296" t="s">
        <v>198</v>
      </c>
      <c r="E323" s="787">
        <f>[17]Sales_SP!DV115</f>
        <v>0.032178</v>
      </c>
      <c r="F323" s="787">
        <f>[17]Sales_SP!DW115</f>
        <v>0.074464</v>
      </c>
      <c r="G323" s="787">
        <f>[17]Sales_SP!DX115</f>
        <v>0.00743</v>
      </c>
      <c r="H323" s="787">
        <f>[17]Sales_SP!DY115</f>
        <v>0</v>
      </c>
      <c r="I323" s="787">
        <f>[17]Sales_SP!DZ115</f>
        <v>0</v>
      </c>
      <c r="J323" s="787">
        <f>[17]Sales_SP!EA115</f>
        <v>0</v>
      </c>
      <c r="K323" s="787">
        <f>[17]Sales_SP!EB115</f>
        <v>0</v>
      </c>
      <c r="L323" s="787">
        <f>[17]Sales_SP!EC115</f>
        <v>0</v>
      </c>
      <c r="M323" s="787">
        <f>[17]Sales_SP!ED115</f>
        <v>0.032196</v>
      </c>
      <c r="N323" s="787">
        <f>[17]Sales_SP!EE115</f>
        <v>0.028971</v>
      </c>
      <c r="O323" s="787">
        <f>[17]Sales_SP!EF115</f>
        <v>0.033588</v>
      </c>
      <c r="P323" s="787">
        <f>[17]Sales_SP!EG115</f>
        <v>0.034469</v>
      </c>
      <c r="Q323" s="866">
        <f t="shared" si="105"/>
        <v>0.243296</v>
      </c>
      <c r="R323" s="863"/>
      <c r="S323" s="863"/>
    </row>
    <row r="324" ht="15" hidden="1" spans="3:19">
      <c r="C324" s="296" t="s">
        <v>199</v>
      </c>
      <c r="D324" s="296" t="s">
        <v>200</v>
      </c>
      <c r="E324" s="787">
        <f>[17]Sales_SP!DV120</f>
        <v>0.37</v>
      </c>
      <c r="F324" s="787">
        <f>[17]Sales_SP!DW120</f>
        <v>0.36</v>
      </c>
      <c r="G324" s="787">
        <f>[17]Sales_SP!DX120</f>
        <v>0.38</v>
      </c>
      <c r="H324" s="787">
        <f>[17]Sales_SP!DY120</f>
        <v>0.322311</v>
      </c>
      <c r="I324" s="787">
        <f>[17]Sales_SP!DZ120</f>
        <v>0.347776</v>
      </c>
      <c r="J324" s="787">
        <f>[17]Sales_SP!EA120</f>
        <v>0.361763</v>
      </c>
      <c r="K324" s="787">
        <f>[17]Sales_SP!EB120</f>
        <v>0.353814</v>
      </c>
      <c r="L324" s="787">
        <f>[17]Sales_SP!EC120</f>
        <v>0.346308</v>
      </c>
      <c r="M324" s="787">
        <f>[17]Sales_SP!ED120</f>
        <v>0.334942</v>
      </c>
      <c r="N324" s="787">
        <f>[17]Sales_SP!EE120</f>
        <v>0.343065</v>
      </c>
      <c r="O324" s="787">
        <f>[17]Sales_SP!EF120</f>
        <v>0.335306</v>
      </c>
      <c r="P324" s="787">
        <f>[17]Sales_SP!EG120</f>
        <v>0.492824</v>
      </c>
      <c r="Q324" s="866">
        <f t="shared" si="105"/>
        <v>4.348109</v>
      </c>
      <c r="R324" s="863"/>
      <c r="S324" s="863"/>
    </row>
    <row r="325" ht="15" hidden="1" spans="3:19">
      <c r="C325" s="296" t="s">
        <v>201</v>
      </c>
      <c r="D325" s="296" t="s">
        <v>202</v>
      </c>
      <c r="E325" s="787">
        <f>[17]Sales_SP!DV126</f>
        <v>4.08</v>
      </c>
      <c r="F325" s="787">
        <f>[17]Sales_SP!DW126</f>
        <v>0.78</v>
      </c>
      <c r="G325" s="787">
        <f>[17]Sales_SP!DX126</f>
        <v>0.69</v>
      </c>
      <c r="H325" s="787">
        <f>[17]Sales_SP!DY126</f>
        <v>1.062505</v>
      </c>
      <c r="I325" s="787">
        <f>[17]Sales_SP!DZ126</f>
        <v>2.095463</v>
      </c>
      <c r="J325" s="787">
        <f>[17]Sales_SP!EA126</f>
        <v>4.22927425</v>
      </c>
      <c r="K325" s="787">
        <f>[17]Sales_SP!EB126</f>
        <v>3.46676966</v>
      </c>
      <c r="L325" s="787">
        <f>[17]Sales_SP!EC126</f>
        <v>4.40827641</v>
      </c>
      <c r="M325" s="787">
        <f>[17]Sales_SP!ED126</f>
        <v>6.371162</v>
      </c>
      <c r="N325" s="787">
        <f>[17]Sales_SP!EE126</f>
        <v>5.678977</v>
      </c>
      <c r="O325" s="787">
        <f>[17]Sales_SP!EF126</f>
        <v>5.911532</v>
      </c>
      <c r="P325" s="787">
        <f>[17]Sales_SP!EG126</f>
        <v>8.304356</v>
      </c>
      <c r="Q325" s="866">
        <f t="shared" si="105"/>
        <v>47.07831532</v>
      </c>
      <c r="R325" s="863"/>
      <c r="S325" s="863"/>
    </row>
    <row r="326" ht="15" hidden="1" spans="3:19">
      <c r="C326" s="296" t="s">
        <v>203</v>
      </c>
      <c r="D326" s="296" t="s">
        <v>204</v>
      </c>
      <c r="E326" s="787">
        <f>[17]Sales_SP!DV127</f>
        <v>11.07</v>
      </c>
      <c r="F326" s="787">
        <f>[17]Sales_SP!DW127</f>
        <v>11.09</v>
      </c>
      <c r="G326" s="787">
        <f>[17]Sales_SP!DX127</f>
        <v>11.15</v>
      </c>
      <c r="H326" s="787">
        <f>[17]Sales_SP!DY127</f>
        <v>10.38198541</v>
      </c>
      <c r="I326" s="787">
        <f>[17]Sales_SP!DZ127</f>
        <v>10.94462091</v>
      </c>
      <c r="J326" s="787">
        <f>[17]Sales_SP!EA127</f>
        <v>11.4960205</v>
      </c>
      <c r="K326" s="787">
        <f>[17]Sales_SP!EB127</f>
        <v>10.825784</v>
      </c>
      <c r="L326" s="787">
        <f>[17]Sales_SP!EC127</f>
        <v>11.524172</v>
      </c>
      <c r="M326" s="787">
        <f>[17]Sales_SP!ED127</f>
        <v>11.066141</v>
      </c>
      <c r="N326" s="787">
        <f>[17]Sales_SP!EE127</f>
        <v>11.445718</v>
      </c>
      <c r="O326" s="787">
        <f>[17]Sales_SP!EF127</f>
        <v>11.37224</v>
      </c>
      <c r="P326" s="787">
        <f>[17]Sales_SP!EG127</f>
        <v>15.289218</v>
      </c>
      <c r="Q326" s="866">
        <f t="shared" si="105"/>
        <v>137.65589982</v>
      </c>
      <c r="R326" s="863"/>
      <c r="S326" s="863"/>
    </row>
    <row r="327" ht="15" hidden="1" spans="3:19">
      <c r="C327" s="296" t="s">
        <v>205</v>
      </c>
      <c r="D327" s="296" t="s">
        <v>206</v>
      </c>
      <c r="E327" s="787">
        <f>[17]Sales_SP!DV131</f>
        <v>18.59</v>
      </c>
      <c r="F327" s="787">
        <f>[17]Sales_SP!DW131</f>
        <v>19.69</v>
      </c>
      <c r="G327" s="787">
        <f>[17]Sales_SP!DX131</f>
        <v>18.81</v>
      </c>
      <c r="H327" s="787">
        <f>[17]Sales_SP!DY131</f>
        <v>13.691047</v>
      </c>
      <c r="I327" s="787">
        <f>[17]Sales_SP!DZ131</f>
        <v>13.597374</v>
      </c>
      <c r="J327" s="787">
        <f>[17]Sales_SP!EA131</f>
        <v>14.135622</v>
      </c>
      <c r="K327" s="787">
        <f>[17]Sales_SP!EB131</f>
        <v>13.1151365</v>
      </c>
      <c r="L327" s="787">
        <f>[17]Sales_SP!EC131</f>
        <v>12.810408</v>
      </c>
      <c r="M327" s="787">
        <f>[17]Sales_SP!ED131</f>
        <v>12.637645</v>
      </c>
      <c r="N327" s="787">
        <f>[17]Sales_SP!EE131</f>
        <v>12.884047</v>
      </c>
      <c r="O327" s="787">
        <f>[17]Sales_SP!EF131</f>
        <v>13.51772</v>
      </c>
      <c r="P327" s="787">
        <f>[17]Sales_SP!EG131</f>
        <v>20.510695</v>
      </c>
      <c r="Q327" s="866">
        <f t="shared" si="105"/>
        <v>183.9896945</v>
      </c>
      <c r="R327" s="863"/>
      <c r="S327" s="863"/>
    </row>
    <row r="328" ht="15" hidden="1" spans="3:19">
      <c r="C328" s="296" t="s">
        <v>207</v>
      </c>
      <c r="D328" s="296" t="s">
        <v>186</v>
      </c>
      <c r="E328" s="787">
        <f>[17]Sales_SP!DV132</f>
        <v>11.76</v>
      </c>
      <c r="F328" s="787">
        <f>[17]Sales_SP!DW132</f>
        <v>11.23</v>
      </c>
      <c r="G328" s="787">
        <f>[17]Sales_SP!DX132</f>
        <v>11.95</v>
      </c>
      <c r="H328" s="787">
        <f>[17]Sales_SP!DY132</f>
        <v>10.432735</v>
      </c>
      <c r="I328" s="787">
        <f>[17]Sales_SP!DZ132</f>
        <v>11.5848855</v>
      </c>
      <c r="J328" s="787">
        <f>[17]Sales_SP!EA132</f>
        <v>12.576347</v>
      </c>
      <c r="K328" s="787">
        <f>[17]Sales_SP!EB132</f>
        <v>12.446289</v>
      </c>
      <c r="L328" s="787">
        <f>[17]Sales_SP!EC132</f>
        <v>14.1603415</v>
      </c>
      <c r="M328" s="787">
        <f>[17]Sales_SP!ED132</f>
        <v>13.573868</v>
      </c>
      <c r="N328" s="787">
        <f>[17]Sales_SP!EE132</f>
        <v>13.565659</v>
      </c>
      <c r="O328" s="787">
        <f>[17]Sales_SP!EF132</f>
        <v>13.264512</v>
      </c>
      <c r="P328" s="787">
        <f>[17]Sales_SP!EG132</f>
        <v>17.394279</v>
      </c>
      <c r="Q328" s="866">
        <f t="shared" si="105"/>
        <v>153.938916</v>
      </c>
      <c r="R328" s="863"/>
      <c r="S328" s="863"/>
    </row>
    <row r="329" ht="15" hidden="1" spans="3:19">
      <c r="C329" s="296" t="s">
        <v>208</v>
      </c>
      <c r="D329" s="296" t="s">
        <v>209</v>
      </c>
      <c r="E329" s="787">
        <f>[17]Sales_SP!DV133</f>
        <v>0</v>
      </c>
      <c r="F329" s="787">
        <f>[17]Sales_SP!DW133</f>
        <v>0</v>
      </c>
      <c r="G329" s="787">
        <f>[17]Sales_SP!DX133</f>
        <v>0</v>
      </c>
      <c r="H329" s="787">
        <f>[17]Sales_SP!DY133</f>
        <v>0</v>
      </c>
      <c r="I329" s="787">
        <f>[17]Sales_SP!DZ133</f>
        <v>0</v>
      </c>
      <c r="J329" s="787">
        <f>[17]Sales_SP!EA133</f>
        <v>0</v>
      </c>
      <c r="K329" s="787">
        <f>[17]Sales_SP!EB133</f>
        <v>0</v>
      </c>
      <c r="L329" s="787">
        <f>[17]Sales_SP!EC133</f>
        <v>0</v>
      </c>
      <c r="M329" s="787">
        <f>[17]Sales_SP!ED133</f>
        <v>0</v>
      </c>
      <c r="N329" s="787">
        <f>[17]Sales_SP!EE133</f>
        <v>0</v>
      </c>
      <c r="O329" s="787">
        <f>[17]Sales_SP!EF133</f>
        <v>0</v>
      </c>
      <c r="P329" s="787">
        <f>[17]Sales_SP!EG133</f>
        <v>0</v>
      </c>
      <c r="Q329" s="866">
        <f t="shared" si="105"/>
        <v>0</v>
      </c>
      <c r="R329" s="863"/>
      <c r="S329" s="863"/>
    </row>
    <row r="330" ht="15" hidden="1" spans="3:19">
      <c r="C330" s="296" t="s">
        <v>210</v>
      </c>
      <c r="D330" s="296" t="s">
        <v>188</v>
      </c>
      <c r="E330" s="787">
        <f>[17]Sales_SP!DV134</f>
        <v>0.45</v>
      </c>
      <c r="F330" s="787">
        <f>[17]Sales_SP!DW134</f>
        <v>0.44</v>
      </c>
      <c r="G330" s="787">
        <f>[17]Sales_SP!DX134</f>
        <v>0.47</v>
      </c>
      <c r="H330" s="787">
        <f>[17]Sales_SP!DY134</f>
        <v>0.416371</v>
      </c>
      <c r="I330" s="787">
        <f>[17]Sales_SP!DZ134</f>
        <v>0.40566</v>
      </c>
      <c r="J330" s="787">
        <f>[17]Sales_SP!EA134</f>
        <v>0.43609</v>
      </c>
      <c r="K330" s="787">
        <f>[17]Sales_SP!EB134</f>
        <v>0.426135</v>
      </c>
      <c r="L330" s="787">
        <f>[17]Sales_SP!EC134</f>
        <v>0.436821</v>
      </c>
      <c r="M330" s="787">
        <f>[17]Sales_SP!ED134</f>
        <v>0.432815</v>
      </c>
      <c r="N330" s="787">
        <f>[17]Sales_SP!EE134</f>
        <v>0.441702</v>
      </c>
      <c r="O330" s="787">
        <f>[17]Sales_SP!EF134</f>
        <v>0.478036</v>
      </c>
      <c r="P330" s="787">
        <f>[17]Sales_SP!EG134</f>
        <v>0.706229</v>
      </c>
      <c r="Q330" s="866">
        <f t="shared" si="105"/>
        <v>5.539859</v>
      </c>
      <c r="R330" s="863"/>
      <c r="S330" s="863"/>
    </row>
    <row r="331" ht="15" hidden="1" spans="3:19">
      <c r="C331" s="296"/>
      <c r="D331" s="296"/>
      <c r="E331" s="787"/>
      <c r="F331" s="787"/>
      <c r="G331" s="787"/>
      <c r="H331" s="787"/>
      <c r="I331" s="787"/>
      <c r="J331" s="787"/>
      <c r="K331" s="787"/>
      <c r="L331" s="787"/>
      <c r="M331" s="787"/>
      <c r="N331" s="787"/>
      <c r="O331" s="787"/>
      <c r="P331" s="787"/>
      <c r="Q331" s="866">
        <f t="shared" si="105"/>
        <v>0</v>
      </c>
      <c r="R331" s="863"/>
      <c r="S331" s="863"/>
    </row>
    <row r="332" ht="15" hidden="1" spans="3:19">
      <c r="C332" s="296"/>
      <c r="D332" s="296"/>
      <c r="E332" s="787"/>
      <c r="F332" s="787"/>
      <c r="G332" s="787"/>
      <c r="H332" s="787"/>
      <c r="I332" s="787"/>
      <c r="J332" s="787"/>
      <c r="K332" s="787"/>
      <c r="L332" s="787"/>
      <c r="M332" s="787"/>
      <c r="N332" s="787"/>
      <c r="O332" s="787"/>
      <c r="P332" s="787"/>
      <c r="Q332" s="866">
        <f t="shared" si="105"/>
        <v>0</v>
      </c>
      <c r="R332" s="863"/>
      <c r="S332" s="863"/>
    </row>
    <row r="333" ht="15" hidden="1" spans="3:19">
      <c r="C333" s="296"/>
      <c r="D333" s="296"/>
      <c r="E333" s="787"/>
      <c r="F333" s="787"/>
      <c r="G333" s="787"/>
      <c r="H333" s="787"/>
      <c r="I333" s="787"/>
      <c r="J333" s="787"/>
      <c r="K333" s="787"/>
      <c r="L333" s="787"/>
      <c r="M333" s="787"/>
      <c r="N333" s="787"/>
      <c r="O333" s="787"/>
      <c r="P333" s="787"/>
      <c r="Q333" s="866">
        <f t="shared" si="105"/>
        <v>0</v>
      </c>
      <c r="R333" s="863"/>
      <c r="S333" s="863"/>
    </row>
    <row r="334" ht="15" hidden="1" spans="3:19">
      <c r="C334" s="296" t="s">
        <v>258</v>
      </c>
      <c r="D334" s="296" t="s">
        <v>258</v>
      </c>
      <c r="E334" s="787"/>
      <c r="F334" s="787"/>
      <c r="G334" s="787"/>
      <c r="H334" s="787"/>
      <c r="I334" s="787"/>
      <c r="J334" s="787"/>
      <c r="K334" s="787"/>
      <c r="L334" s="787"/>
      <c r="M334" s="787"/>
      <c r="N334" s="787"/>
      <c r="O334" s="787"/>
      <c r="P334" s="787"/>
      <c r="Q334" s="866">
        <f t="shared" si="105"/>
        <v>0</v>
      </c>
      <c r="R334" s="863"/>
      <c r="S334" s="863"/>
    </row>
    <row r="335" ht="15" hidden="1" spans="3:19">
      <c r="C335" s="285" t="s">
        <v>211</v>
      </c>
      <c r="D335" s="286"/>
      <c r="E335" s="866">
        <f t="shared" ref="E335:P335" si="106">SUM(E320:E334)</f>
        <v>575.762178</v>
      </c>
      <c r="F335" s="866">
        <f t="shared" si="106"/>
        <v>545.414464</v>
      </c>
      <c r="G335" s="866">
        <f t="shared" si="106"/>
        <v>572.06743</v>
      </c>
      <c r="H335" s="866">
        <f t="shared" si="106"/>
        <v>493.49377987</v>
      </c>
      <c r="I335" s="866">
        <f t="shared" si="106"/>
        <v>513.74963545</v>
      </c>
      <c r="J335" s="866">
        <f t="shared" si="106"/>
        <v>532.97116977</v>
      </c>
      <c r="K335" s="866">
        <f t="shared" si="106"/>
        <v>505.08894666</v>
      </c>
      <c r="L335" s="866">
        <f t="shared" si="106"/>
        <v>521.78512619</v>
      </c>
      <c r="M335" s="866">
        <f t="shared" si="106"/>
        <v>522.54603019</v>
      </c>
      <c r="N335" s="866">
        <f t="shared" si="106"/>
        <v>536.72918793</v>
      </c>
      <c r="O335" s="866">
        <f t="shared" si="106"/>
        <v>538.48123706</v>
      </c>
      <c r="P335" s="866">
        <f t="shared" si="106"/>
        <v>762.83217009</v>
      </c>
      <c r="Q335" s="866">
        <f t="shared" si="105"/>
        <v>6620.92135521</v>
      </c>
      <c r="R335" s="863"/>
      <c r="S335" s="863"/>
    </row>
    <row r="336" ht="15" hidden="1" spans="3:19">
      <c r="C336" s="285" t="s">
        <v>212</v>
      </c>
      <c r="D336" s="286"/>
      <c r="E336" s="787"/>
      <c r="F336" s="787"/>
      <c r="G336" s="787"/>
      <c r="H336" s="787"/>
      <c r="I336" s="787"/>
      <c r="J336" s="787"/>
      <c r="K336" s="787"/>
      <c r="L336" s="787"/>
      <c r="M336" s="787"/>
      <c r="N336" s="787"/>
      <c r="O336" s="787"/>
      <c r="P336" s="787"/>
      <c r="Q336" s="866"/>
      <c r="R336" s="863"/>
      <c r="S336" s="863"/>
    </row>
    <row r="337" ht="15" hidden="1" spans="3:19">
      <c r="C337" s="296" t="s">
        <v>191</v>
      </c>
      <c r="D337" s="296" t="s">
        <v>192</v>
      </c>
      <c r="E337" s="787">
        <f>[17]Sales_SP!DV152</f>
        <v>462.3</v>
      </c>
      <c r="F337" s="787">
        <f>[17]Sales_SP!DW152</f>
        <v>443.32</v>
      </c>
      <c r="G337" s="787">
        <f>[17]Sales_SP!DX152</f>
        <v>456.09</v>
      </c>
      <c r="H337" s="787">
        <f>[17]Sales_SP!DY152</f>
        <v>435.480396</v>
      </c>
      <c r="I337" s="787">
        <f>[17]Sales_SP!DZ152</f>
        <v>436.032314</v>
      </c>
      <c r="J337" s="787">
        <f>[17]Sales_SP!EA152</f>
        <v>443.44037523</v>
      </c>
      <c r="K337" s="787">
        <f>[17]Sales_SP!EB152</f>
        <v>422.064112</v>
      </c>
      <c r="L337" s="787">
        <f>[17]Sales_SP!EC152</f>
        <v>438.8500435</v>
      </c>
      <c r="M337" s="787">
        <f>[17]Sales_SP!ED152</f>
        <v>440.6811815</v>
      </c>
      <c r="N337" s="787">
        <f>[17]Sales_SP!EE152</f>
        <v>443.1017745</v>
      </c>
      <c r="O337" s="787">
        <f>[17]Sales_SP!EF152</f>
        <v>447.9502955</v>
      </c>
      <c r="P337" s="787">
        <f>[17]Sales_SP!EG152</f>
        <v>629.4306135</v>
      </c>
      <c r="Q337" s="866">
        <f t="shared" ref="Q337:Q353" si="107">SUM(E337:P337)</f>
        <v>5498.74110573</v>
      </c>
      <c r="R337" s="863"/>
      <c r="S337" s="863"/>
    </row>
    <row r="338" ht="15" hidden="1" spans="3:19">
      <c r="C338" s="296" t="s">
        <v>193</v>
      </c>
      <c r="D338" s="296" t="s">
        <v>194</v>
      </c>
      <c r="E338" s="787">
        <f>[17]Sales_SP!DV168</f>
        <v>6.85</v>
      </c>
      <c r="F338" s="787">
        <f>[17]Sales_SP!DW168</f>
        <v>6.48</v>
      </c>
      <c r="G338" s="787">
        <f>[17]Sales_SP!DX168</f>
        <v>6.48</v>
      </c>
      <c r="H338" s="787">
        <f>[17]Sales_SP!DY168</f>
        <v>4.8932</v>
      </c>
      <c r="I338" s="787">
        <f>[17]Sales_SP!DZ168</f>
        <v>2.7269</v>
      </c>
      <c r="J338" s="787">
        <f>[17]Sales_SP!EA168</f>
        <v>2.4399</v>
      </c>
      <c r="K338" s="787">
        <f>[17]Sales_SP!EB168</f>
        <v>1.3661</v>
      </c>
      <c r="L338" s="787">
        <f>[17]Sales_SP!EC168</f>
        <v>1.5926</v>
      </c>
      <c r="M338" s="787">
        <f>[17]Sales_SP!ED168</f>
        <v>3.4797</v>
      </c>
      <c r="N338" s="787">
        <f>[17]Sales_SP!EE168</f>
        <v>4.5297</v>
      </c>
      <c r="O338" s="787">
        <f>[17]Sales_SP!EF168</f>
        <v>2.4428</v>
      </c>
      <c r="P338" s="787">
        <f>[17]Sales_SP!EG168</f>
        <v>0.0011</v>
      </c>
      <c r="Q338" s="866">
        <f t="shared" si="107"/>
        <v>43.282</v>
      </c>
      <c r="R338" s="863"/>
      <c r="S338" s="863"/>
    </row>
    <row r="339" ht="15" hidden="1" spans="3:19">
      <c r="C339" s="296" t="s">
        <v>239</v>
      </c>
      <c r="D339" s="296" t="s">
        <v>196</v>
      </c>
      <c r="E339" s="787">
        <f>[17]Sales_SP!DV174</f>
        <v>88.62</v>
      </c>
      <c r="F339" s="787">
        <f>[17]Sales_SP!DW174</f>
        <v>95.12</v>
      </c>
      <c r="G339" s="787">
        <f>[17]Sales_SP!DX174</f>
        <v>102.2</v>
      </c>
      <c r="H339" s="787">
        <f>[17]Sales_SP!DY174</f>
        <v>91.70565</v>
      </c>
      <c r="I339" s="787">
        <f>[17]Sales_SP!DZ174</f>
        <v>95.851009</v>
      </c>
      <c r="J339" s="787">
        <f>[17]Sales_SP!EA174</f>
        <v>100.436035</v>
      </c>
      <c r="K339" s="787">
        <f>[17]Sales_SP!EB174</f>
        <v>97.008417</v>
      </c>
      <c r="L339" s="787">
        <f>[17]Sales_SP!EC174</f>
        <v>95.453312</v>
      </c>
      <c r="M339" s="787">
        <f>[17]Sales_SP!ED174</f>
        <v>92.87741</v>
      </c>
      <c r="N339" s="787">
        <f>[17]Sales_SP!EE174</f>
        <v>95.297907</v>
      </c>
      <c r="O339" s="787">
        <f>[17]Sales_SP!EF174</f>
        <v>97.874269</v>
      </c>
      <c r="P339" s="787">
        <f>[17]Sales_SP!EG174</f>
        <v>145.338513</v>
      </c>
      <c r="Q339" s="866">
        <f t="shared" si="107"/>
        <v>1197.782522</v>
      </c>
      <c r="R339" s="863"/>
      <c r="S339" s="863"/>
    </row>
    <row r="340" ht="15" hidden="1" spans="3:19">
      <c r="C340" s="296" t="s">
        <v>197</v>
      </c>
      <c r="D340" s="296" t="s">
        <v>198</v>
      </c>
      <c r="E340" s="787">
        <f>[17]Sales_SP!DV180</f>
        <v>0</v>
      </c>
      <c r="F340" s="787">
        <f>[17]Sales_SP!DW180</f>
        <v>0</v>
      </c>
      <c r="G340" s="787">
        <f>[17]Sales_SP!DX180</f>
        <v>0</v>
      </c>
      <c r="H340" s="787">
        <f>[17]Sales_SP!DY180</f>
        <v>0</v>
      </c>
      <c r="I340" s="787">
        <f>[17]Sales_SP!DZ180</f>
        <v>0</v>
      </c>
      <c r="J340" s="787">
        <f>[17]Sales_SP!EA180</f>
        <v>0.2272</v>
      </c>
      <c r="K340" s="787">
        <f>[17]Sales_SP!EB180</f>
        <v>0.2887</v>
      </c>
      <c r="L340" s="787">
        <f>[17]Sales_SP!EC180</f>
        <v>0.2863</v>
      </c>
      <c r="M340" s="787">
        <f>[17]Sales_SP!ED180</f>
        <v>0.2918</v>
      </c>
      <c r="N340" s="787">
        <f>[17]Sales_SP!EE180</f>
        <v>0.251</v>
      </c>
      <c r="O340" s="787">
        <f>[17]Sales_SP!EF180</f>
        <v>0.2549</v>
      </c>
      <c r="P340" s="787">
        <f>[17]Sales_SP!EG180</f>
        <v>0.2434</v>
      </c>
      <c r="Q340" s="866">
        <f t="shared" si="107"/>
        <v>1.8433</v>
      </c>
      <c r="R340" s="863"/>
      <c r="S340" s="863"/>
    </row>
    <row r="341" ht="15" hidden="1" spans="3:19">
      <c r="C341" s="296" t="s">
        <v>199</v>
      </c>
      <c r="D341" s="296" t="s">
        <v>200</v>
      </c>
      <c r="E341" s="787">
        <f>[17]Sales_SP!DV185</f>
        <v>0</v>
      </c>
      <c r="F341" s="787">
        <f>[17]Sales_SP!DW185</f>
        <v>0</v>
      </c>
      <c r="G341" s="787">
        <f>[17]Sales_SP!DX185</f>
        <v>0</v>
      </c>
      <c r="H341" s="787">
        <f>[17]Sales_SP!DY185</f>
        <v>0</v>
      </c>
      <c r="I341" s="787">
        <f>[17]Sales_SP!DZ185</f>
        <v>0</v>
      </c>
      <c r="J341" s="787">
        <f>[17]Sales_SP!EA185</f>
        <v>0</v>
      </c>
      <c r="K341" s="787">
        <f>[17]Sales_SP!EB185</f>
        <v>0</v>
      </c>
      <c r="L341" s="787">
        <f>[17]Sales_SP!EC185</f>
        <v>0</v>
      </c>
      <c r="M341" s="787">
        <f>[17]Sales_SP!ED185</f>
        <v>0</v>
      </c>
      <c r="N341" s="787">
        <f>[17]Sales_SP!EE185</f>
        <v>0</v>
      </c>
      <c r="O341" s="787">
        <f>[17]Sales_SP!EF185</f>
        <v>0</v>
      </c>
      <c r="P341" s="787">
        <f>[17]Sales_SP!EG185</f>
        <v>0</v>
      </c>
      <c r="Q341" s="866">
        <f t="shared" si="107"/>
        <v>0</v>
      </c>
      <c r="R341" s="863"/>
      <c r="S341" s="863"/>
    </row>
    <row r="342" ht="15" hidden="1" spans="3:19">
      <c r="C342" s="296" t="s">
        <v>201</v>
      </c>
      <c r="D342" s="296" t="s">
        <v>202</v>
      </c>
      <c r="E342" s="787">
        <f>[17]Sales_SP!DV191</f>
        <v>0.84</v>
      </c>
      <c r="F342" s="787">
        <f>[17]Sales_SP!DW191</f>
        <v>0.39</v>
      </c>
      <c r="G342" s="787">
        <f>[17]Sales_SP!DX191</f>
        <v>0.07</v>
      </c>
      <c r="H342" s="787">
        <f>[17]Sales_SP!DY191</f>
        <v>0.53411</v>
      </c>
      <c r="I342" s="787">
        <f>[17]Sales_SP!DZ191</f>
        <v>1.15526</v>
      </c>
      <c r="J342" s="787">
        <f>[17]Sales_SP!EA191</f>
        <v>1.76723</v>
      </c>
      <c r="K342" s="787">
        <f>[17]Sales_SP!EB191</f>
        <v>1.29062</v>
      </c>
      <c r="L342" s="787">
        <f>[17]Sales_SP!EC191</f>
        <v>1.64535</v>
      </c>
      <c r="M342" s="787">
        <f>[17]Sales_SP!ED191</f>
        <v>1.27887</v>
      </c>
      <c r="N342" s="787">
        <f>[17]Sales_SP!EE191</f>
        <v>2.62074</v>
      </c>
      <c r="O342" s="787">
        <f>[17]Sales_SP!EF191</f>
        <v>2.2689</v>
      </c>
      <c r="P342" s="787">
        <f>[17]Sales_SP!EG191</f>
        <v>3.1821</v>
      </c>
      <c r="Q342" s="866">
        <f t="shared" si="107"/>
        <v>17.04318</v>
      </c>
      <c r="R342" s="863"/>
      <c r="S342" s="863"/>
    </row>
    <row r="343" ht="15" hidden="1" spans="3:19">
      <c r="C343" s="296" t="s">
        <v>203</v>
      </c>
      <c r="D343" s="296" t="s">
        <v>204</v>
      </c>
      <c r="E343" s="787">
        <f>[17]Sales_SP!DV192</f>
        <v>19.47</v>
      </c>
      <c r="F343" s="787">
        <f>[17]Sales_SP!DW192</f>
        <v>20.99</v>
      </c>
      <c r="G343" s="787">
        <f>[17]Sales_SP!DX192</f>
        <v>21.1</v>
      </c>
      <c r="H343" s="787">
        <f>[17]Sales_SP!DY192</f>
        <v>20.4317</v>
      </c>
      <c r="I343" s="787">
        <f>[17]Sales_SP!DZ192</f>
        <v>20.10299</v>
      </c>
      <c r="J343" s="787">
        <f>[17]Sales_SP!EA192</f>
        <v>20.61542</v>
      </c>
      <c r="K343" s="787">
        <f>[17]Sales_SP!EB192</f>
        <v>19.67954</v>
      </c>
      <c r="L343" s="787">
        <f>[17]Sales_SP!EC192</f>
        <v>20.0456</v>
      </c>
      <c r="M343" s="787">
        <f>[17]Sales_SP!ED192</f>
        <v>19.76087</v>
      </c>
      <c r="N343" s="787">
        <f>[17]Sales_SP!EE192</f>
        <v>18.31444</v>
      </c>
      <c r="O343" s="787">
        <f>[17]Sales_SP!EF192</f>
        <v>20.85805</v>
      </c>
      <c r="P343" s="787">
        <f>[17]Sales_SP!EG192</f>
        <v>26.558435</v>
      </c>
      <c r="Q343" s="866">
        <f t="shared" si="107"/>
        <v>247.927045</v>
      </c>
      <c r="R343" s="863"/>
      <c r="S343" s="863"/>
    </row>
    <row r="344" ht="15" hidden="1" spans="3:19">
      <c r="C344" s="296" t="s">
        <v>269</v>
      </c>
      <c r="D344" s="296" t="s">
        <v>229</v>
      </c>
      <c r="E344" s="787">
        <f>[17]Sales_SP!DV194</f>
        <v>0</v>
      </c>
      <c r="F344" s="787">
        <f>[17]Sales_SP!DW194</f>
        <v>0</v>
      </c>
      <c r="G344" s="787">
        <f>[17]Sales_SP!DX194</f>
        <v>0</v>
      </c>
      <c r="H344" s="787">
        <f>[17]Sales_SP!DY194</f>
        <v>0</v>
      </c>
      <c r="I344" s="787">
        <f>[17]Sales_SP!DZ194</f>
        <v>0</v>
      </c>
      <c r="J344" s="787">
        <f>[17]Sales_SP!EA194</f>
        <v>0</v>
      </c>
      <c r="K344" s="787">
        <f>[17]Sales_SP!EB194</f>
        <v>0</v>
      </c>
      <c r="L344" s="787">
        <f>[17]Sales_SP!EC194</f>
        <v>0.2742</v>
      </c>
      <c r="M344" s="787">
        <f>[17]Sales_SP!ED194</f>
        <v>0.30885</v>
      </c>
      <c r="N344" s="787">
        <f>[17]Sales_SP!EE194</f>
        <v>0.4818</v>
      </c>
      <c r="O344" s="787">
        <f>[17]Sales_SP!EF194</f>
        <v>0.45825</v>
      </c>
      <c r="P344" s="787">
        <f>[17]Sales_SP!EG194</f>
        <v>1.4277</v>
      </c>
      <c r="Q344" s="866">
        <f t="shared" si="107"/>
        <v>2.9508</v>
      </c>
      <c r="R344" s="863"/>
      <c r="S344" s="863"/>
    </row>
    <row r="345" ht="15" hidden="1" spans="3:19">
      <c r="C345" s="296" t="s">
        <v>205</v>
      </c>
      <c r="D345" s="296" t="s">
        <v>206</v>
      </c>
      <c r="E345" s="787">
        <f>[17]Sales_SP!DV196</f>
        <v>12.56</v>
      </c>
      <c r="F345" s="787">
        <f>[17]Sales_SP!DW196</f>
        <v>13.27</v>
      </c>
      <c r="G345" s="787">
        <f>[17]Sales_SP!DX196</f>
        <v>12.7</v>
      </c>
      <c r="H345" s="787">
        <f>[17]Sales_SP!DY196</f>
        <v>9.095474</v>
      </c>
      <c r="I345" s="787">
        <f>[17]Sales_SP!DZ196</f>
        <v>9.241715</v>
      </c>
      <c r="J345" s="787">
        <f>[17]Sales_SP!EA196</f>
        <v>9.654017</v>
      </c>
      <c r="K345" s="787">
        <f>[17]Sales_SP!EB196</f>
        <v>8.91257</v>
      </c>
      <c r="L345" s="787">
        <f>[17]Sales_SP!EC196</f>
        <v>8.87118</v>
      </c>
      <c r="M345" s="787">
        <f>[17]Sales_SP!ED196</f>
        <v>8.849315</v>
      </c>
      <c r="N345" s="787">
        <f>[17]Sales_SP!EE196</f>
        <v>8.862205</v>
      </c>
      <c r="O345" s="787">
        <f>[17]Sales_SP!EF196</f>
        <v>9.168395</v>
      </c>
      <c r="P345" s="787">
        <f>[17]Sales_SP!EG196</f>
        <v>12.887882</v>
      </c>
      <c r="Q345" s="866">
        <f t="shared" si="107"/>
        <v>124.072753</v>
      </c>
      <c r="R345" s="863"/>
      <c r="S345" s="863"/>
    </row>
    <row r="346" ht="15" hidden="1" spans="3:19">
      <c r="C346" s="296" t="s">
        <v>218</v>
      </c>
      <c r="D346" s="296" t="s">
        <v>186</v>
      </c>
      <c r="E346" s="787">
        <f>[17]Sales_SP!DV197</f>
        <v>3.15</v>
      </c>
      <c r="F346" s="787">
        <f>[17]Sales_SP!DW197</f>
        <v>2.06</v>
      </c>
      <c r="G346" s="787">
        <f>[17]Sales_SP!DX197</f>
        <v>2.31</v>
      </c>
      <c r="H346" s="787">
        <f>[17]Sales_SP!DY197</f>
        <v>2.8021</v>
      </c>
      <c r="I346" s="787">
        <f>[17]Sales_SP!DZ197</f>
        <v>3.0558</v>
      </c>
      <c r="J346" s="787">
        <f>[17]Sales_SP!EA197</f>
        <v>3.727714</v>
      </c>
      <c r="K346" s="787">
        <f>[17]Sales_SP!EB197</f>
        <v>3.933598</v>
      </c>
      <c r="L346" s="787">
        <f>[17]Sales_SP!EC197</f>
        <v>3.694535</v>
      </c>
      <c r="M346" s="787">
        <f>[17]Sales_SP!ED197</f>
        <v>3.718147</v>
      </c>
      <c r="N346" s="787">
        <f>[17]Sales_SP!EE197</f>
        <v>3.890713</v>
      </c>
      <c r="O346" s="787">
        <f>[17]Sales_SP!EF197</f>
        <v>3.335858</v>
      </c>
      <c r="P346" s="787">
        <f>[17]Sales_SP!EG197</f>
        <v>4.635101</v>
      </c>
      <c r="Q346" s="866">
        <f t="shared" si="107"/>
        <v>40.313566</v>
      </c>
      <c r="R346" s="863"/>
      <c r="S346" s="863"/>
    </row>
    <row r="347" ht="15" hidden="1" spans="3:19">
      <c r="C347" s="296" t="s">
        <v>208</v>
      </c>
      <c r="D347" s="296" t="s">
        <v>209</v>
      </c>
      <c r="E347" s="787">
        <f>[17]Sales_SP!DV198</f>
        <v>0</v>
      </c>
      <c r="F347" s="787">
        <f>[17]Sales_SP!DW198</f>
        <v>0</v>
      </c>
      <c r="G347" s="787">
        <f>[17]Sales_SP!DX198</f>
        <v>0</v>
      </c>
      <c r="H347" s="787">
        <f>[17]Sales_SP!DY198</f>
        <v>0</v>
      </c>
      <c r="I347" s="787">
        <f>[17]Sales_SP!DZ198</f>
        <v>0</v>
      </c>
      <c r="J347" s="787">
        <f>[17]Sales_SP!EA198</f>
        <v>0</v>
      </c>
      <c r="K347" s="787">
        <f>[17]Sales_SP!EB198</f>
        <v>0</v>
      </c>
      <c r="L347" s="787">
        <f>[17]Sales_SP!EC198</f>
        <v>0</v>
      </c>
      <c r="M347" s="787">
        <f>[17]Sales_SP!ED198</f>
        <v>0</v>
      </c>
      <c r="N347" s="787">
        <f>[17]Sales_SP!EE198</f>
        <v>0</v>
      </c>
      <c r="O347" s="787">
        <f>[17]Sales_SP!EF198</f>
        <v>0</v>
      </c>
      <c r="P347" s="787">
        <f>[17]Sales_SP!EG198</f>
        <v>0</v>
      </c>
      <c r="Q347" s="866">
        <f t="shared" si="107"/>
        <v>0</v>
      </c>
      <c r="R347" s="863"/>
      <c r="S347" s="863"/>
    </row>
    <row r="348" ht="15" hidden="1" spans="3:19">
      <c r="C348" s="296" t="s">
        <v>210</v>
      </c>
      <c r="D348" s="296" t="s">
        <v>188</v>
      </c>
      <c r="E348" s="787">
        <v>0</v>
      </c>
      <c r="F348" s="787">
        <v>0</v>
      </c>
      <c r="G348" s="787">
        <v>0</v>
      </c>
      <c r="H348" s="787">
        <v>0</v>
      </c>
      <c r="I348" s="787">
        <v>0</v>
      </c>
      <c r="J348" s="787">
        <v>0</v>
      </c>
      <c r="K348" s="787">
        <v>0</v>
      </c>
      <c r="L348" s="787">
        <v>0</v>
      </c>
      <c r="M348" s="787">
        <v>0</v>
      </c>
      <c r="N348" s="787">
        <v>0</v>
      </c>
      <c r="O348" s="787">
        <v>0</v>
      </c>
      <c r="P348" s="787">
        <v>0</v>
      </c>
      <c r="Q348" s="866">
        <f t="shared" si="107"/>
        <v>0</v>
      </c>
      <c r="R348" s="863"/>
      <c r="S348" s="863"/>
    </row>
    <row r="349" ht="15" hidden="1" spans="3:19">
      <c r="C349" s="296"/>
      <c r="D349" s="296"/>
      <c r="E349" s="787"/>
      <c r="F349" s="787"/>
      <c r="G349" s="787"/>
      <c r="H349" s="787"/>
      <c r="I349" s="787"/>
      <c r="J349" s="787"/>
      <c r="K349" s="787"/>
      <c r="L349" s="787"/>
      <c r="M349" s="787"/>
      <c r="N349" s="787"/>
      <c r="O349" s="787"/>
      <c r="P349" s="787"/>
      <c r="Q349" s="866">
        <f t="shared" si="107"/>
        <v>0</v>
      </c>
      <c r="R349" s="863"/>
      <c r="S349" s="863"/>
    </row>
    <row r="350" ht="15" hidden="1" spans="3:19">
      <c r="C350" s="296"/>
      <c r="D350" s="296"/>
      <c r="E350" s="787"/>
      <c r="F350" s="787"/>
      <c r="G350" s="787"/>
      <c r="H350" s="787"/>
      <c r="I350" s="787"/>
      <c r="J350" s="787"/>
      <c r="K350" s="787"/>
      <c r="L350" s="787"/>
      <c r="M350" s="787"/>
      <c r="N350" s="787"/>
      <c r="O350" s="787"/>
      <c r="P350" s="787"/>
      <c r="Q350" s="866">
        <f t="shared" si="107"/>
        <v>0</v>
      </c>
      <c r="R350" s="863"/>
      <c r="S350" s="863"/>
    </row>
    <row r="351" ht="15" hidden="1" spans="3:19">
      <c r="C351" s="296"/>
      <c r="D351" s="296"/>
      <c r="E351" s="787"/>
      <c r="F351" s="787"/>
      <c r="G351" s="787"/>
      <c r="H351" s="787"/>
      <c r="I351" s="787"/>
      <c r="J351" s="787"/>
      <c r="K351" s="787"/>
      <c r="L351" s="787"/>
      <c r="M351" s="787"/>
      <c r="N351" s="787"/>
      <c r="O351" s="787"/>
      <c r="P351" s="787"/>
      <c r="Q351" s="866">
        <f t="shared" si="107"/>
        <v>0</v>
      </c>
      <c r="R351" s="863"/>
      <c r="S351" s="863"/>
    </row>
    <row r="352" ht="15" hidden="1" spans="3:19">
      <c r="C352" s="296" t="s">
        <v>258</v>
      </c>
      <c r="D352" s="296" t="s">
        <v>258</v>
      </c>
      <c r="E352" s="787"/>
      <c r="F352" s="787"/>
      <c r="G352" s="787"/>
      <c r="H352" s="787"/>
      <c r="I352" s="787"/>
      <c r="J352" s="787"/>
      <c r="K352" s="787"/>
      <c r="L352" s="787"/>
      <c r="M352" s="787"/>
      <c r="N352" s="787"/>
      <c r="O352" s="787"/>
      <c r="P352" s="787"/>
      <c r="Q352" s="866">
        <f t="shared" si="107"/>
        <v>0</v>
      </c>
      <c r="R352" s="863"/>
      <c r="S352" s="863"/>
    </row>
    <row r="353" ht="15" hidden="1" spans="3:19">
      <c r="C353" s="285" t="s">
        <v>211</v>
      </c>
      <c r="D353" s="286"/>
      <c r="E353" s="866">
        <f>SUM(E337:E352)</f>
        <v>593.79</v>
      </c>
      <c r="F353" s="866">
        <f t="shared" ref="F353:P353" si="108">SUM(F337:F352)</f>
        <v>581.63</v>
      </c>
      <c r="G353" s="866">
        <f t="shared" si="108"/>
        <v>600.95</v>
      </c>
      <c r="H353" s="866">
        <f t="shared" si="108"/>
        <v>564.94263</v>
      </c>
      <c r="I353" s="866">
        <f t="shared" si="108"/>
        <v>568.165988</v>
      </c>
      <c r="J353" s="866">
        <f t="shared" si="108"/>
        <v>582.30789123</v>
      </c>
      <c r="K353" s="866">
        <f t="shared" si="108"/>
        <v>554.543657</v>
      </c>
      <c r="L353" s="866">
        <f t="shared" si="108"/>
        <v>570.7131205</v>
      </c>
      <c r="M353" s="866">
        <f t="shared" si="108"/>
        <v>571.2461435</v>
      </c>
      <c r="N353" s="866">
        <f t="shared" si="108"/>
        <v>577.3502795</v>
      </c>
      <c r="O353" s="866">
        <f t="shared" si="108"/>
        <v>584.6117175</v>
      </c>
      <c r="P353" s="866">
        <f t="shared" si="108"/>
        <v>823.7048445</v>
      </c>
      <c r="Q353" s="866">
        <f t="shared" si="107"/>
        <v>7173.95627173</v>
      </c>
      <c r="R353" s="863"/>
      <c r="S353" s="863"/>
    </row>
    <row r="354" ht="15" hidden="1" spans="3:19">
      <c r="C354" s="285" t="s">
        <v>219</v>
      </c>
      <c r="D354" s="286"/>
      <c r="E354" s="787"/>
      <c r="F354" s="787"/>
      <c r="G354" s="787"/>
      <c r="H354" s="787"/>
      <c r="I354" s="787"/>
      <c r="J354" s="787"/>
      <c r="K354" s="787"/>
      <c r="L354" s="787"/>
      <c r="M354" s="787"/>
      <c r="N354" s="787"/>
      <c r="O354" s="787"/>
      <c r="P354" s="787"/>
      <c r="Q354" s="866"/>
      <c r="R354" s="863"/>
      <c r="S354" s="863"/>
    </row>
    <row r="355" ht="15" hidden="1" spans="3:19">
      <c r="C355" s="296" t="s">
        <v>191</v>
      </c>
      <c r="D355" s="296" t="s">
        <v>192</v>
      </c>
      <c r="E355" s="787">
        <f>[17]Sales_SP!DV212</f>
        <v>355.61</v>
      </c>
      <c r="F355" s="787">
        <f>[17]Sales_SP!DW212</f>
        <v>344.54</v>
      </c>
      <c r="G355" s="787">
        <f>[17]Sales_SP!DX212</f>
        <v>351.58</v>
      </c>
      <c r="H355" s="787">
        <f>[17]Sales_SP!DY212</f>
        <v>334.120885</v>
      </c>
      <c r="I355" s="787">
        <f>[17]Sales_SP!DZ212</f>
        <v>318.724166</v>
      </c>
      <c r="J355" s="787">
        <f>[17]Sales_SP!EA212</f>
        <v>332.409625</v>
      </c>
      <c r="K355" s="787">
        <f>[17]Sales_SP!EB212</f>
        <v>321.745552</v>
      </c>
      <c r="L355" s="787">
        <f>[17]Sales_SP!EC212</f>
        <v>344.509495</v>
      </c>
      <c r="M355" s="787">
        <f>[17]Sales_SP!ED212</f>
        <v>371.668269</v>
      </c>
      <c r="N355" s="787">
        <f>[17]Sales_SP!EE212</f>
        <v>377.86533</v>
      </c>
      <c r="O355" s="787">
        <f>[17]Sales_SP!EF212</f>
        <v>369.931735</v>
      </c>
      <c r="P355" s="787">
        <f>[17]Sales_SP!EG212</f>
        <v>488.370188</v>
      </c>
      <c r="Q355" s="866">
        <f t="shared" ref="Q355:Q374" si="109">SUM(E355:P355)</f>
        <v>4311.075245</v>
      </c>
      <c r="R355" s="863"/>
      <c r="S355" s="863"/>
    </row>
    <row r="356" ht="15" hidden="1" spans="3:19">
      <c r="C356" s="296" t="s">
        <v>193</v>
      </c>
      <c r="D356" s="296" t="s">
        <v>194</v>
      </c>
      <c r="E356" s="787">
        <f>[17]Sales_SP!DV222</f>
        <v>23.48</v>
      </c>
      <c r="F356" s="787">
        <f>[17]Sales_SP!DW222</f>
        <v>21.87</v>
      </c>
      <c r="G356" s="787">
        <f>[17]Sales_SP!DX222</f>
        <v>4.11</v>
      </c>
      <c r="H356" s="787">
        <f>[17]Sales_SP!DY222</f>
        <v>9.1813</v>
      </c>
      <c r="I356" s="787">
        <f>[17]Sales_SP!DZ222</f>
        <v>13.3907</v>
      </c>
      <c r="J356" s="787">
        <f>[17]Sales_SP!EA222</f>
        <v>21.5588</v>
      </c>
      <c r="K356" s="787">
        <f>[17]Sales_SP!EB222</f>
        <v>16.9256</v>
      </c>
      <c r="L356" s="787">
        <f>[17]Sales_SP!EC222</f>
        <v>11.7192</v>
      </c>
      <c r="M356" s="787">
        <f>[17]Sales_SP!ED222</f>
        <v>15.059</v>
      </c>
      <c r="N356" s="787">
        <f>[17]Sales_SP!EE222</f>
        <v>21.8133</v>
      </c>
      <c r="O356" s="787">
        <f>[17]Sales_SP!EF222</f>
        <v>22.0713</v>
      </c>
      <c r="P356" s="787">
        <f>[17]Sales_SP!EG222</f>
        <v>28.2966</v>
      </c>
      <c r="Q356" s="866">
        <f t="shared" si="109"/>
        <v>209.4758</v>
      </c>
      <c r="R356" s="863"/>
      <c r="S356" s="863"/>
    </row>
    <row r="357" ht="15" hidden="1" spans="3:19">
      <c r="C357" s="296" t="s">
        <v>239</v>
      </c>
      <c r="D357" s="296" t="s">
        <v>196</v>
      </c>
      <c r="E357" s="787">
        <f>[17]Sales_SP!DV228</f>
        <v>4.44</v>
      </c>
      <c r="F357" s="787">
        <f>[17]Sales_SP!DW228</f>
        <v>4.5</v>
      </c>
      <c r="G357" s="787">
        <f>[17]Sales_SP!DX228</f>
        <v>4.76</v>
      </c>
      <c r="H357" s="787">
        <f>[17]Sales_SP!DY228</f>
        <v>3.749087</v>
      </c>
      <c r="I357" s="787">
        <f>[17]Sales_SP!DZ228</f>
        <v>3.763473</v>
      </c>
      <c r="J357" s="787">
        <f>[17]Sales_SP!EA228</f>
        <v>3.895418</v>
      </c>
      <c r="K357" s="787">
        <f>[17]Sales_SP!EB228</f>
        <v>3.525431</v>
      </c>
      <c r="L357" s="787">
        <f>[17]Sales_SP!EC228</f>
        <v>3.251987</v>
      </c>
      <c r="M357" s="787">
        <f>[17]Sales_SP!ED228</f>
        <v>3.171337</v>
      </c>
      <c r="N357" s="787">
        <f>[17]Sales_SP!EE228</f>
        <v>3.256324</v>
      </c>
      <c r="O357" s="787">
        <f>[17]Sales_SP!EF228</f>
        <v>3.282163</v>
      </c>
      <c r="P357" s="787">
        <f>[17]Sales_SP!EG228</f>
        <v>4.647133</v>
      </c>
      <c r="Q357" s="866">
        <f t="shared" si="109"/>
        <v>46.242353</v>
      </c>
      <c r="R357" s="863"/>
      <c r="S357" s="863"/>
    </row>
    <row r="358" ht="15" hidden="1" spans="3:19">
      <c r="C358" s="296" t="s">
        <v>197</v>
      </c>
      <c r="D358" s="296" t="s">
        <v>198</v>
      </c>
      <c r="E358" s="787">
        <f>[17]Sales_SP!DV233</f>
        <v>0</v>
      </c>
      <c r="F358" s="787">
        <f>[17]Sales_SP!DW233</f>
        <v>0</v>
      </c>
      <c r="G358" s="787">
        <f>[17]Sales_SP!DX233</f>
        <v>0</v>
      </c>
      <c r="H358" s="787">
        <f>[17]Sales_SP!DY233</f>
        <v>0</v>
      </c>
      <c r="I358" s="787">
        <f>[17]Sales_SP!DZ233</f>
        <v>0</v>
      </c>
      <c r="J358" s="787">
        <f>[17]Sales_SP!EA233</f>
        <v>0</v>
      </c>
      <c r="K358" s="787">
        <f>[17]Sales_SP!EB233</f>
        <v>0</v>
      </c>
      <c r="L358" s="787">
        <f>[17]Sales_SP!EC233</f>
        <v>0</v>
      </c>
      <c r="M358" s="787">
        <f>[17]Sales_SP!ED233</f>
        <v>0</v>
      </c>
      <c r="N358" s="787">
        <f>[17]Sales_SP!EE233</f>
        <v>0</v>
      </c>
      <c r="O358" s="787">
        <f>[17]Sales_SP!EF233</f>
        <v>0</v>
      </c>
      <c r="P358" s="787">
        <f>[17]Sales_SP!EG233</f>
        <v>0</v>
      </c>
      <c r="Q358" s="866">
        <f t="shared" si="109"/>
        <v>0</v>
      </c>
      <c r="R358" s="863"/>
      <c r="S358" s="863"/>
    </row>
    <row r="359" ht="15" hidden="1" spans="3:19">
      <c r="C359" s="296" t="s">
        <v>199</v>
      </c>
      <c r="D359" s="296" t="s">
        <v>200</v>
      </c>
      <c r="E359" s="787">
        <f>[17]Sales_SP!DV238</f>
        <v>3.57</v>
      </c>
      <c r="F359" s="787">
        <f>[17]Sales_SP!DW238</f>
        <v>5.83</v>
      </c>
      <c r="G359" s="787">
        <f>[17]Sales_SP!DX238</f>
        <v>5.74</v>
      </c>
      <c r="H359" s="787">
        <f>[17]Sales_SP!DY238</f>
        <v>5.25716</v>
      </c>
      <c r="I359" s="787">
        <f>[17]Sales_SP!DZ238</f>
        <v>5.4137</v>
      </c>
      <c r="J359" s="787">
        <f>[17]Sales_SP!EA238</f>
        <v>5.14825</v>
      </c>
      <c r="K359" s="787">
        <f>[17]Sales_SP!EB238</f>
        <v>5.00233</v>
      </c>
      <c r="L359" s="787">
        <f>[17]Sales_SP!EC238</f>
        <v>4.48875</v>
      </c>
      <c r="M359" s="787">
        <f>[17]Sales_SP!ED238</f>
        <v>4.48381</v>
      </c>
      <c r="N359" s="787">
        <f>[17]Sales_SP!EE238</f>
        <v>4.56061</v>
      </c>
      <c r="O359" s="787">
        <f>[17]Sales_SP!EF238</f>
        <v>4.524071</v>
      </c>
      <c r="P359" s="787">
        <f>[17]Sales_SP!EG238</f>
        <v>6.913269</v>
      </c>
      <c r="Q359" s="866">
        <f t="shared" si="109"/>
        <v>60.93195</v>
      </c>
      <c r="R359" s="863"/>
      <c r="S359" s="863"/>
    </row>
    <row r="360" ht="15" hidden="1" spans="3:19">
      <c r="C360" s="296" t="s">
        <v>201</v>
      </c>
      <c r="D360" s="296" t="s">
        <v>240</v>
      </c>
      <c r="E360" s="787">
        <f>[17]Sales_SP!DV244</f>
        <v>58.74</v>
      </c>
      <c r="F360" s="787">
        <f>[17]Sales_SP!DW244</f>
        <v>42.43</v>
      </c>
      <c r="G360" s="787">
        <f>[17]Sales_SP!DX244</f>
        <v>27.15</v>
      </c>
      <c r="H360" s="787">
        <f>[17]Sales_SP!DY244</f>
        <v>32.4930164</v>
      </c>
      <c r="I360" s="787">
        <f>[17]Sales_SP!DZ244</f>
        <v>257.61023215</v>
      </c>
      <c r="J360" s="787">
        <f>[17]Sales_SP!EA244</f>
        <v>145.6663161</v>
      </c>
      <c r="K360" s="787">
        <f>[17]Sales_SP!EB244</f>
        <v>165.33804903</v>
      </c>
      <c r="L360" s="787">
        <f>[17]Sales_SP!EC244</f>
        <v>143.7146327</v>
      </c>
      <c r="M360" s="787">
        <f>[17]Sales_SP!ED244</f>
        <v>135.38569923</v>
      </c>
      <c r="N360" s="787">
        <f>[17]Sales_SP!EE244</f>
        <v>199.60889899</v>
      </c>
      <c r="O360" s="787">
        <f>[17]Sales_SP!EF244</f>
        <v>202.17613159</v>
      </c>
      <c r="P360" s="787">
        <f>[17]Sales_SP!EG244</f>
        <v>232.03714568</v>
      </c>
      <c r="Q360" s="866">
        <f t="shared" si="109"/>
        <v>1642.35012187</v>
      </c>
      <c r="R360" s="863"/>
      <c r="S360" s="863"/>
    </row>
    <row r="361" ht="15" hidden="1" spans="3:19">
      <c r="C361" s="296" t="s">
        <v>203</v>
      </c>
      <c r="D361" s="296" t="s">
        <v>220</v>
      </c>
      <c r="E361" s="787">
        <f>[17]Sales_SP!DV246</f>
        <v>20.48</v>
      </c>
      <c r="F361" s="787">
        <f>[17]Sales_SP!DW246</f>
        <v>19.62</v>
      </c>
      <c r="G361" s="787">
        <f>[17]Sales_SP!DX246</f>
        <v>22.14</v>
      </c>
      <c r="H361" s="787">
        <f>[17]Sales_SP!DY246</f>
        <v>20.938</v>
      </c>
      <c r="I361" s="787">
        <f>[17]Sales_SP!DZ246</f>
        <v>21.114</v>
      </c>
      <c r="J361" s="787">
        <f>[17]Sales_SP!EA246</f>
        <v>22.678</v>
      </c>
      <c r="K361" s="787">
        <f>[17]Sales_SP!EB246</f>
        <v>20.778</v>
      </c>
      <c r="L361" s="787">
        <f>[17]Sales_SP!EC246</f>
        <v>22.356</v>
      </c>
      <c r="M361" s="787">
        <f>[17]Sales_SP!ED246</f>
        <v>20.248</v>
      </c>
      <c r="N361" s="787">
        <f>[17]Sales_SP!EE246</f>
        <v>18.81</v>
      </c>
      <c r="O361" s="787">
        <f>[17]Sales_SP!EF246</f>
        <v>20.632</v>
      </c>
      <c r="P361" s="787">
        <f>[17]Sales_SP!EG246</f>
        <v>30.5945</v>
      </c>
      <c r="Q361" s="866">
        <f t="shared" si="109"/>
        <v>260.3885</v>
      </c>
      <c r="R361" s="863"/>
      <c r="S361" s="863"/>
    </row>
    <row r="362" ht="15" hidden="1" spans="3:19">
      <c r="C362" s="296" t="s">
        <v>241</v>
      </c>
      <c r="D362" s="296" t="s">
        <v>229</v>
      </c>
      <c r="E362" s="787">
        <f>[17]Sales_SP!DV249</f>
        <v>29.55</v>
      </c>
      <c r="F362" s="787">
        <f>[17]Sales_SP!DW249</f>
        <v>30.79</v>
      </c>
      <c r="G362" s="787">
        <f>[17]Sales_SP!DX249</f>
        <v>31.11</v>
      </c>
      <c r="H362" s="787">
        <f>[17]Sales_SP!DY249</f>
        <v>27.46177</v>
      </c>
      <c r="I362" s="787">
        <f>[17]Sales_SP!DZ249</f>
        <v>28.1507</v>
      </c>
      <c r="J362" s="787">
        <f>[17]Sales_SP!EA249</f>
        <v>32.712257</v>
      </c>
      <c r="K362" s="787">
        <f>[17]Sales_SP!EB249</f>
        <v>29.063232</v>
      </c>
      <c r="L362" s="787">
        <f>[17]Sales_SP!EC249</f>
        <v>30.706796</v>
      </c>
      <c r="M362" s="787">
        <f>[17]Sales_SP!ED249</f>
        <v>31.742884</v>
      </c>
      <c r="N362" s="787">
        <f>[17]Sales_SP!EE249</f>
        <v>33.435977</v>
      </c>
      <c r="O362" s="787">
        <f>[17]Sales_SP!EF249</f>
        <v>33.870729</v>
      </c>
      <c r="P362" s="787">
        <f>[17]Sales_SP!EG249</f>
        <v>47.679836</v>
      </c>
      <c r="Q362" s="866">
        <f t="shared" si="109"/>
        <v>386.274181</v>
      </c>
      <c r="R362" s="863"/>
      <c r="S362" s="863"/>
    </row>
    <row r="363" ht="15" hidden="1" spans="3:19">
      <c r="C363" s="296" t="s">
        <v>259</v>
      </c>
      <c r="D363" s="296" t="s">
        <v>243</v>
      </c>
      <c r="E363" s="787">
        <f>[17]Sales_SP!DV251</f>
        <v>7.07</v>
      </c>
      <c r="F363" s="787">
        <f>[17]Sales_SP!DW251</f>
        <v>6.94</v>
      </c>
      <c r="G363" s="787">
        <f>[17]Sales_SP!DX251</f>
        <v>7.36</v>
      </c>
      <c r="H363" s="787">
        <f>[17]Sales_SP!DY251</f>
        <v>6.929584</v>
      </c>
      <c r="I363" s="787">
        <f>[17]Sales_SP!DZ251</f>
        <v>7.084346</v>
      </c>
      <c r="J363" s="787">
        <f>[17]Sales_SP!EA251</f>
        <v>7.562948</v>
      </c>
      <c r="K363" s="787">
        <f>[17]Sales_SP!EB251</f>
        <v>7.142887</v>
      </c>
      <c r="L363" s="787">
        <f>[17]Sales_SP!EC251</f>
        <v>7.093945</v>
      </c>
      <c r="M363" s="787">
        <f>[17]Sales_SP!ED251</f>
        <v>7.170892</v>
      </c>
      <c r="N363" s="787">
        <f>[17]Sales_SP!EE251</f>
        <v>7.373449</v>
      </c>
      <c r="O363" s="787">
        <f>[17]Sales_SP!EF251</f>
        <v>7.508761</v>
      </c>
      <c r="P363" s="787">
        <f>[17]Sales_SP!EG251</f>
        <v>9.340473</v>
      </c>
      <c r="Q363" s="866">
        <f t="shared" si="109"/>
        <v>88.577285</v>
      </c>
      <c r="R363" s="863"/>
      <c r="S363" s="863"/>
    </row>
    <row r="364" ht="15" hidden="1" spans="3:19">
      <c r="C364" s="296" t="s">
        <v>205</v>
      </c>
      <c r="D364" s="296" t="s">
        <v>206</v>
      </c>
      <c r="E364" s="787">
        <f>[17]Sales_SP!DV253</f>
        <v>0</v>
      </c>
      <c r="F364" s="787">
        <f>[17]Sales_SP!DW253</f>
        <v>0</v>
      </c>
      <c r="G364" s="787">
        <f>[17]Sales_SP!DX253</f>
        <v>0</v>
      </c>
      <c r="H364" s="787">
        <f>[17]Sales_SP!DY253</f>
        <v>0</v>
      </c>
      <c r="I364" s="787">
        <f>[17]Sales_SP!DZ253</f>
        <v>0</v>
      </c>
      <c r="J364" s="787">
        <f>[17]Sales_SP!EA253</f>
        <v>0</v>
      </c>
      <c r="K364" s="787">
        <f>[17]Sales_SP!EB253</f>
        <v>0</v>
      </c>
      <c r="L364" s="787">
        <f>[17]Sales_SP!EC253</f>
        <v>0</v>
      </c>
      <c r="M364" s="787">
        <f>[17]Sales_SP!ED253</f>
        <v>0</v>
      </c>
      <c r="N364" s="787">
        <f>[17]Sales_SP!EE253</f>
        <v>0</v>
      </c>
      <c r="O364" s="787">
        <f>[17]Sales_SP!EF253</f>
        <v>0</v>
      </c>
      <c r="P364" s="787">
        <f>[17]Sales_SP!EG253</f>
        <v>0</v>
      </c>
      <c r="Q364" s="866">
        <f t="shared" si="109"/>
        <v>0</v>
      </c>
      <c r="R364" s="863"/>
      <c r="S364" s="863"/>
    </row>
    <row r="365" ht="15" hidden="1" spans="3:19">
      <c r="C365" s="296" t="s">
        <v>207</v>
      </c>
      <c r="D365" s="296" t="s">
        <v>186</v>
      </c>
      <c r="E365" s="787">
        <f>[17]Sales_SP!DV254</f>
        <v>0</v>
      </c>
      <c r="F365" s="787">
        <f>[17]Sales_SP!DW254</f>
        <v>0</v>
      </c>
      <c r="G365" s="787">
        <f>[17]Sales_SP!DX254</f>
        <v>0</v>
      </c>
      <c r="H365" s="787">
        <f>[17]Sales_SP!DY254</f>
        <v>0</v>
      </c>
      <c r="I365" s="787">
        <f>[17]Sales_SP!DZ254</f>
        <v>0</v>
      </c>
      <c r="J365" s="787">
        <f>[17]Sales_SP!EA254</f>
        <v>0</v>
      </c>
      <c r="K365" s="787">
        <f>[17]Sales_SP!EB254</f>
        <v>0</v>
      </c>
      <c r="L365" s="787">
        <f>[17]Sales_SP!EC254</f>
        <v>0</v>
      </c>
      <c r="M365" s="787">
        <f>[17]Sales_SP!ED254</f>
        <v>0</v>
      </c>
      <c r="N365" s="787">
        <f>[17]Sales_SP!EE254</f>
        <v>0</v>
      </c>
      <c r="O365" s="787">
        <f>[17]Sales_SP!EF254</f>
        <v>0</v>
      </c>
      <c r="P365" s="787">
        <f>[17]Sales_SP!EG254</f>
        <v>0</v>
      </c>
      <c r="Q365" s="866">
        <f t="shared" si="109"/>
        <v>0</v>
      </c>
      <c r="R365" s="863"/>
      <c r="S365" s="863"/>
    </row>
    <row r="366" ht="15" hidden="1" spans="3:19">
      <c r="C366" s="296" t="s">
        <v>208</v>
      </c>
      <c r="D366" s="296" t="s">
        <v>209</v>
      </c>
      <c r="E366" s="787">
        <v>0</v>
      </c>
      <c r="F366" s="787">
        <v>0</v>
      </c>
      <c r="G366" s="787">
        <v>0</v>
      </c>
      <c r="H366" s="787">
        <v>0</v>
      </c>
      <c r="I366" s="787">
        <v>0</v>
      </c>
      <c r="J366" s="787">
        <v>0</v>
      </c>
      <c r="K366" s="787">
        <v>0</v>
      </c>
      <c r="L366" s="787">
        <v>0</v>
      </c>
      <c r="M366" s="787">
        <v>0</v>
      </c>
      <c r="N366" s="787">
        <v>0</v>
      </c>
      <c r="O366" s="787">
        <v>0</v>
      </c>
      <c r="P366" s="787">
        <v>0</v>
      </c>
      <c r="Q366" s="866">
        <f t="shared" si="109"/>
        <v>0</v>
      </c>
      <c r="R366" s="863"/>
      <c r="S366" s="863"/>
    </row>
    <row r="367" ht="15" hidden="1" spans="3:19">
      <c r="C367" s="296" t="s">
        <v>210</v>
      </c>
      <c r="D367" s="296" t="s">
        <v>188</v>
      </c>
      <c r="E367" s="787">
        <v>0</v>
      </c>
      <c r="F367" s="787">
        <v>0</v>
      </c>
      <c r="G367" s="787">
        <v>0</v>
      </c>
      <c r="H367" s="787">
        <v>0</v>
      </c>
      <c r="I367" s="787">
        <v>0</v>
      </c>
      <c r="J367" s="787">
        <v>0</v>
      </c>
      <c r="K367" s="787">
        <v>0</v>
      </c>
      <c r="L367" s="787">
        <v>0</v>
      </c>
      <c r="M367" s="787">
        <v>0</v>
      </c>
      <c r="N367" s="787">
        <v>0</v>
      </c>
      <c r="O367" s="787">
        <v>0</v>
      </c>
      <c r="P367" s="787">
        <v>0</v>
      </c>
      <c r="Q367" s="866">
        <f t="shared" si="109"/>
        <v>0</v>
      </c>
      <c r="R367" s="863"/>
      <c r="S367" s="863"/>
    </row>
    <row r="368" ht="15" hidden="1" spans="3:19">
      <c r="C368" s="296"/>
      <c r="D368" s="296"/>
      <c r="E368" s="787"/>
      <c r="F368" s="787"/>
      <c r="G368" s="787"/>
      <c r="H368" s="787"/>
      <c r="I368" s="787"/>
      <c r="J368" s="787"/>
      <c r="K368" s="787"/>
      <c r="L368" s="787"/>
      <c r="M368" s="787"/>
      <c r="N368" s="787"/>
      <c r="O368" s="787"/>
      <c r="P368" s="787"/>
      <c r="Q368" s="866">
        <f t="shared" si="109"/>
        <v>0</v>
      </c>
      <c r="R368" s="863"/>
      <c r="S368" s="863"/>
    </row>
    <row r="369" ht="15" hidden="1" spans="3:19">
      <c r="C369" s="296"/>
      <c r="D369" s="296"/>
      <c r="E369" s="787"/>
      <c r="F369" s="787"/>
      <c r="G369" s="787"/>
      <c r="H369" s="787"/>
      <c r="I369" s="787"/>
      <c r="J369" s="787"/>
      <c r="K369" s="787"/>
      <c r="L369" s="787"/>
      <c r="M369" s="787"/>
      <c r="N369" s="787"/>
      <c r="O369" s="787"/>
      <c r="P369" s="787"/>
      <c r="Q369" s="866">
        <f t="shared" si="109"/>
        <v>0</v>
      </c>
      <c r="R369" s="863"/>
      <c r="S369" s="863"/>
    </row>
    <row r="370" ht="15" hidden="1" spans="3:19">
      <c r="C370" s="296"/>
      <c r="D370" s="296"/>
      <c r="E370" s="787"/>
      <c r="F370" s="787"/>
      <c r="G370" s="787"/>
      <c r="H370" s="787"/>
      <c r="I370" s="787"/>
      <c r="J370" s="787"/>
      <c r="K370" s="787"/>
      <c r="L370" s="787"/>
      <c r="M370" s="787"/>
      <c r="N370" s="787"/>
      <c r="O370" s="787"/>
      <c r="P370" s="787"/>
      <c r="Q370" s="866">
        <f t="shared" si="109"/>
        <v>0</v>
      </c>
      <c r="R370" s="863"/>
      <c r="S370" s="863"/>
    </row>
    <row r="371" ht="15" hidden="1" spans="3:19">
      <c r="C371" s="296" t="s">
        <v>258</v>
      </c>
      <c r="D371" s="296" t="s">
        <v>258</v>
      </c>
      <c r="E371" s="787"/>
      <c r="F371" s="787"/>
      <c r="G371" s="787"/>
      <c r="H371" s="787"/>
      <c r="I371" s="787"/>
      <c r="J371" s="787"/>
      <c r="K371" s="787"/>
      <c r="L371" s="787"/>
      <c r="M371" s="787"/>
      <c r="N371" s="787"/>
      <c r="O371" s="787"/>
      <c r="P371" s="787"/>
      <c r="Q371" s="866">
        <f t="shared" si="109"/>
        <v>0</v>
      </c>
      <c r="R371" s="863"/>
      <c r="S371" s="863"/>
    </row>
    <row r="372" ht="15" hidden="1" spans="3:19">
      <c r="C372" s="285" t="s">
        <v>211</v>
      </c>
      <c r="D372" s="286"/>
      <c r="E372" s="866">
        <f t="shared" ref="E372:P372" si="110">SUM(E355:E371)</f>
        <v>502.94</v>
      </c>
      <c r="F372" s="866">
        <f t="shared" si="110"/>
        <v>476.52</v>
      </c>
      <c r="G372" s="866">
        <f t="shared" si="110"/>
        <v>453.95</v>
      </c>
      <c r="H372" s="866">
        <f t="shared" si="110"/>
        <v>440.1308024</v>
      </c>
      <c r="I372" s="866">
        <f t="shared" si="110"/>
        <v>655.25131715</v>
      </c>
      <c r="J372" s="866">
        <f t="shared" si="110"/>
        <v>571.6316141</v>
      </c>
      <c r="K372" s="866">
        <f t="shared" si="110"/>
        <v>569.52108103</v>
      </c>
      <c r="L372" s="866">
        <f t="shared" si="110"/>
        <v>567.8408057</v>
      </c>
      <c r="M372" s="866">
        <f t="shared" si="110"/>
        <v>588.92989123</v>
      </c>
      <c r="N372" s="866">
        <f t="shared" si="110"/>
        <v>666.72388899</v>
      </c>
      <c r="O372" s="866">
        <f t="shared" si="110"/>
        <v>663.99689059</v>
      </c>
      <c r="P372" s="866">
        <f t="shared" si="110"/>
        <v>847.87914468</v>
      </c>
      <c r="Q372" s="866">
        <f t="shared" si="109"/>
        <v>7005.31543587</v>
      </c>
      <c r="R372" s="863"/>
      <c r="S372" s="863"/>
    </row>
    <row r="373" ht="15" hidden="1" spans="3:19">
      <c r="C373" s="285" t="s">
        <v>223</v>
      </c>
      <c r="D373" s="286"/>
      <c r="E373" s="866">
        <f t="shared" ref="E373:P373" si="111">E372+E353+E335</f>
        <v>1672.492178</v>
      </c>
      <c r="F373" s="866">
        <f t="shared" si="111"/>
        <v>1603.564464</v>
      </c>
      <c r="G373" s="866">
        <f t="shared" si="111"/>
        <v>1626.96743</v>
      </c>
      <c r="H373" s="866">
        <f t="shared" si="111"/>
        <v>1498.56721227</v>
      </c>
      <c r="I373" s="866">
        <f t="shared" si="111"/>
        <v>1737.1669406</v>
      </c>
      <c r="J373" s="866">
        <f t="shared" si="111"/>
        <v>1686.9106751</v>
      </c>
      <c r="K373" s="866">
        <f t="shared" si="111"/>
        <v>1629.15368469</v>
      </c>
      <c r="L373" s="866">
        <f t="shared" si="111"/>
        <v>1660.33905239</v>
      </c>
      <c r="M373" s="866">
        <f t="shared" si="111"/>
        <v>1682.72206492</v>
      </c>
      <c r="N373" s="866">
        <f t="shared" si="111"/>
        <v>1780.80335642</v>
      </c>
      <c r="O373" s="866">
        <f t="shared" si="111"/>
        <v>1787.08984515</v>
      </c>
      <c r="P373" s="866">
        <f t="shared" si="111"/>
        <v>2434.41615927</v>
      </c>
      <c r="Q373" s="866">
        <f t="shared" si="109"/>
        <v>20800.19306281</v>
      </c>
      <c r="R373" s="863"/>
      <c r="S373" s="863"/>
    </row>
    <row r="374" ht="15" hidden="1" spans="3:19">
      <c r="C374" s="285" t="s">
        <v>224</v>
      </c>
      <c r="D374" s="286"/>
      <c r="E374" s="866">
        <f t="shared" ref="E374:P374" si="112">E373+E318</f>
        <v>3154.86021299</v>
      </c>
      <c r="F374" s="866">
        <f t="shared" si="112"/>
        <v>3106.59775331</v>
      </c>
      <c r="G374" s="866">
        <f t="shared" si="112"/>
        <v>2944.98782651</v>
      </c>
      <c r="H374" s="866">
        <f t="shared" si="112"/>
        <v>2632.33704879</v>
      </c>
      <c r="I374" s="866">
        <f t="shared" si="112"/>
        <v>2950.4663405</v>
      </c>
      <c r="J374" s="866">
        <f t="shared" si="112"/>
        <v>2873.38927121</v>
      </c>
      <c r="K374" s="866">
        <f t="shared" si="112"/>
        <v>2740.46516887</v>
      </c>
      <c r="L374" s="866">
        <f t="shared" si="112"/>
        <v>2752.81553609</v>
      </c>
      <c r="M374" s="866">
        <f t="shared" si="112"/>
        <v>2790.61806285</v>
      </c>
      <c r="N374" s="866">
        <f t="shared" si="112"/>
        <v>2830.05471912</v>
      </c>
      <c r="O374" s="866">
        <f t="shared" si="112"/>
        <v>2889.76277965</v>
      </c>
      <c r="P374" s="866">
        <f t="shared" si="112"/>
        <v>3757.12160902</v>
      </c>
      <c r="Q374" s="866">
        <f t="shared" si="109"/>
        <v>35423.47632891</v>
      </c>
      <c r="R374" s="863"/>
      <c r="S374" s="863"/>
    </row>
    <row r="375" ht="15" hidden="1" spans="3:19">
      <c r="C375" s="370"/>
      <c r="D375" s="370">
        <f>[15]Sales_NP!$FF$11</f>
        <v>159.085776787338</v>
      </c>
      <c r="E375" s="863"/>
      <c r="F375" s="863"/>
      <c r="G375" s="863"/>
      <c r="H375" s="863"/>
      <c r="I375" s="863"/>
      <c r="J375" s="863"/>
      <c r="K375" s="863"/>
      <c r="L375" s="863"/>
      <c r="M375" s="863"/>
      <c r="N375" s="863"/>
      <c r="O375" s="863"/>
      <c r="P375" s="863"/>
      <c r="Q375" s="863"/>
      <c r="R375" s="863"/>
      <c r="S375" s="863"/>
    </row>
    <row r="376" ht="15" hidden="1" spans="3:19">
      <c r="C376" s="369"/>
      <c r="E376" s="863"/>
      <c r="F376" s="863"/>
      <c r="G376" s="863"/>
      <c r="H376" s="863"/>
      <c r="I376" s="863"/>
      <c r="J376" s="863"/>
      <c r="K376" s="863"/>
      <c r="L376" s="863"/>
      <c r="M376" s="863"/>
      <c r="N376" s="863"/>
      <c r="O376" s="863"/>
      <c r="P376" s="863"/>
      <c r="Q376" s="870" t="s">
        <v>236</v>
      </c>
      <c r="R376" s="863"/>
      <c r="S376" s="863"/>
    </row>
    <row r="377" ht="15" spans="3:19">
      <c r="C377" s="703" t="s">
        <v>159</v>
      </c>
      <c r="D377" s="846"/>
      <c r="E377" s="864" t="s">
        <v>272</v>
      </c>
      <c r="F377" s="864"/>
      <c r="G377" s="864"/>
      <c r="H377" s="864"/>
      <c r="I377" s="864"/>
      <c r="J377" s="864"/>
      <c r="K377" s="864"/>
      <c r="L377" s="864"/>
      <c r="M377" s="864"/>
      <c r="N377" s="864"/>
      <c r="O377" s="864"/>
      <c r="P377" s="864"/>
      <c r="Q377" s="864"/>
      <c r="R377" s="863"/>
      <c r="S377" s="863"/>
    </row>
    <row r="378" ht="15" spans="3:19">
      <c r="C378" s="705"/>
      <c r="D378" s="847"/>
      <c r="E378" s="864" t="s">
        <v>246</v>
      </c>
      <c r="F378" s="864" t="s">
        <v>247</v>
      </c>
      <c r="G378" s="864" t="s">
        <v>248</v>
      </c>
      <c r="H378" s="864" t="s">
        <v>249</v>
      </c>
      <c r="I378" s="864" t="s">
        <v>250</v>
      </c>
      <c r="J378" s="864" t="s">
        <v>251</v>
      </c>
      <c r="K378" s="864" t="s">
        <v>252</v>
      </c>
      <c r="L378" s="864" t="s">
        <v>253</v>
      </c>
      <c r="M378" s="864" t="s">
        <v>254</v>
      </c>
      <c r="N378" s="864" t="s">
        <v>255</v>
      </c>
      <c r="O378" s="864" t="s">
        <v>256</v>
      </c>
      <c r="P378" s="864" t="s">
        <v>257</v>
      </c>
      <c r="Q378" s="864" t="s">
        <v>97</v>
      </c>
      <c r="R378" s="863"/>
      <c r="S378" s="863"/>
    </row>
    <row r="379" ht="15" spans="3:19">
      <c r="C379" s="707"/>
      <c r="D379" s="848"/>
      <c r="E379" s="864" t="s">
        <v>130</v>
      </c>
      <c r="F379" s="864" t="s">
        <v>130</v>
      </c>
      <c r="G379" s="864" t="s">
        <v>130</v>
      </c>
      <c r="H379" s="864" t="s">
        <v>130</v>
      </c>
      <c r="I379" s="864" t="s">
        <v>130</v>
      </c>
      <c r="J379" s="864" t="s">
        <v>130</v>
      </c>
      <c r="K379" s="864" t="s">
        <v>130</v>
      </c>
      <c r="L379" s="864" t="s">
        <v>130</v>
      </c>
      <c r="M379" s="864" t="s">
        <v>130</v>
      </c>
      <c r="N379" s="864" t="s">
        <v>130</v>
      </c>
      <c r="O379" s="864" t="s">
        <v>130</v>
      </c>
      <c r="P379" s="864" t="s">
        <v>130</v>
      </c>
      <c r="Q379" s="864" t="s">
        <v>130</v>
      </c>
      <c r="R379" s="863"/>
      <c r="S379" s="863"/>
    </row>
    <row r="380" ht="15" spans="3:19">
      <c r="C380" s="285" t="s">
        <v>170</v>
      </c>
      <c r="D380" s="286"/>
      <c r="E380" s="397"/>
      <c r="F380" s="397"/>
      <c r="G380" s="397"/>
      <c r="H380" s="397"/>
      <c r="I380" s="397"/>
      <c r="J380" s="397"/>
      <c r="K380" s="397"/>
      <c r="L380" s="397"/>
      <c r="M380" s="397"/>
      <c r="N380" s="397"/>
      <c r="O380" s="397"/>
      <c r="P380" s="397"/>
      <c r="Q380" s="864"/>
      <c r="R380" s="863"/>
      <c r="S380" s="863"/>
    </row>
    <row r="381" ht="15" spans="3:19">
      <c r="C381" s="296" t="s">
        <v>171</v>
      </c>
      <c r="D381" s="296" t="s">
        <v>172</v>
      </c>
      <c r="E381" s="397">
        <f>[17]Sales_SP!FE10</f>
        <v>979.833323</v>
      </c>
      <c r="F381" s="397">
        <f>[17]Sales_SP!FF10</f>
        <v>1179.125271</v>
      </c>
      <c r="G381" s="397">
        <f>[17]Sales_SP!FG10</f>
        <v>1050.9528675</v>
      </c>
      <c r="H381" s="397">
        <f>[17]Sales_SP!FH10</f>
        <v>823.852195</v>
      </c>
      <c r="I381" s="397">
        <f>[17]Sales_SP!FI10</f>
        <v>942.718718</v>
      </c>
      <c r="J381" s="397">
        <f>[17]Sales_SP!FJ10</f>
        <v>873.6557075</v>
      </c>
      <c r="K381" s="397">
        <f>[17]Sales_SP!FK10</f>
        <v>864.3465265</v>
      </c>
      <c r="L381" s="397">
        <f>[17]Sales_SP!FL10</f>
        <v>800.6604215</v>
      </c>
      <c r="M381" s="397">
        <f>[17]Sales_SP!FM10</f>
        <v>710.2218347</v>
      </c>
      <c r="N381" s="397">
        <f>[17]Sales_SP!FN10</f>
        <v>801.539299</v>
      </c>
      <c r="O381" s="397">
        <f>[17]Sales_SP!FO10</f>
        <v>759.2039685</v>
      </c>
      <c r="P381" s="397">
        <f>[17]Sales_SP!FP10</f>
        <v>1041.10057325</v>
      </c>
      <c r="Q381" s="864">
        <f>SUM(E381:P381)</f>
        <v>10827.21070545</v>
      </c>
      <c r="R381" s="863"/>
      <c r="S381" s="863"/>
    </row>
    <row r="382" ht="15" spans="3:19">
      <c r="C382" s="296" t="s">
        <v>173</v>
      </c>
      <c r="D382" s="296" t="s">
        <v>174</v>
      </c>
      <c r="E382" s="397">
        <f>[17]Sales_SP!FE23</f>
        <v>299.95327925</v>
      </c>
      <c r="F382" s="397">
        <f>[17]Sales_SP!FF23</f>
        <v>344.29363547</v>
      </c>
      <c r="G382" s="397">
        <f>[17]Sales_SP!FG23</f>
        <v>316.5308635</v>
      </c>
      <c r="H382" s="397">
        <f>[17]Sales_SP!FH23</f>
        <v>269.099578</v>
      </c>
      <c r="I382" s="397">
        <f>[17]Sales_SP!FI23</f>
        <v>304.82621735</v>
      </c>
      <c r="J382" s="397">
        <f>[17]Sales_SP!FJ23</f>
        <v>282.151531</v>
      </c>
      <c r="K382" s="397">
        <f>[17]Sales_SP!FK23</f>
        <v>288.990846</v>
      </c>
      <c r="L382" s="397">
        <f>[17]Sales_SP!FL23</f>
        <v>273.465352</v>
      </c>
      <c r="M382" s="397">
        <f>[17]Sales_SP!FM23</f>
        <v>252.170298</v>
      </c>
      <c r="N382" s="397">
        <f>[17]Sales_SP!FN23</f>
        <v>276.0549455</v>
      </c>
      <c r="O382" s="397">
        <f>[17]Sales_SP!FO23</f>
        <v>275.603935</v>
      </c>
      <c r="P382" s="397">
        <f>[17]Sales_SP!FP23</f>
        <v>340.7192435</v>
      </c>
      <c r="Q382" s="864">
        <f t="shared" ref="Q382:Q394" si="113">SUM(E382:P382)</f>
        <v>3523.85972457</v>
      </c>
      <c r="R382" s="863"/>
      <c r="S382" s="863"/>
    </row>
    <row r="383" ht="15" spans="3:19">
      <c r="C383" s="296" t="s">
        <v>175</v>
      </c>
      <c r="D383" s="296" t="s">
        <v>176</v>
      </c>
      <c r="E383" s="397">
        <f>[17]Sales_SP!FE36</f>
        <v>79.7589609999999</v>
      </c>
      <c r="F383" s="397">
        <f>[17]Sales_SP!FF36</f>
        <v>86.364798</v>
      </c>
      <c r="G383" s="397">
        <f>[17]Sales_SP!FG36</f>
        <v>81.628037</v>
      </c>
      <c r="H383" s="397">
        <f>[17]Sales_SP!FH36</f>
        <v>76.706924</v>
      </c>
      <c r="I383" s="397">
        <f>[17]Sales_SP!FI36</f>
        <v>82.06121</v>
      </c>
      <c r="J383" s="397">
        <f>[17]Sales_SP!FJ36</f>
        <v>76.1152520000001</v>
      </c>
      <c r="K383" s="397">
        <f>[17]Sales_SP!FK36</f>
        <v>77.8585809999999</v>
      </c>
      <c r="L383" s="397">
        <f>[17]Sales_SP!FL36</f>
        <v>80.066399</v>
      </c>
      <c r="M383" s="397">
        <f>[17]Sales_SP!FM36</f>
        <v>88.7314900000001</v>
      </c>
      <c r="N383" s="397">
        <f>[17]Sales_SP!FN36</f>
        <v>86.204375</v>
      </c>
      <c r="O383" s="397">
        <f>[17]Sales_SP!FO36</f>
        <v>79.339746</v>
      </c>
      <c r="P383" s="397">
        <f>[17]Sales_SP!FP36</f>
        <v>88.44</v>
      </c>
      <c r="Q383" s="864">
        <f t="shared" si="113"/>
        <v>983.275773</v>
      </c>
      <c r="R383" s="863"/>
      <c r="S383" s="863"/>
    </row>
    <row r="384" ht="15" spans="3:19">
      <c r="C384" s="296" t="s">
        <v>177</v>
      </c>
      <c r="D384" s="296" t="s">
        <v>178</v>
      </c>
      <c r="E384" s="397">
        <f>[17]Sales_SP!FE43</f>
        <v>0.848615</v>
      </c>
      <c r="F384" s="397">
        <f>[17]Sales_SP!FF43</f>
        <v>0.886062</v>
      </c>
      <c r="G384" s="397">
        <f>[17]Sales_SP!FG43</f>
        <v>0.782066</v>
      </c>
      <c r="H384" s="397">
        <f>[17]Sales_SP!FH43</f>
        <v>0.757177</v>
      </c>
      <c r="I384" s="397">
        <f>[17]Sales_SP!FI43</f>
        <v>0.804778</v>
      </c>
      <c r="J384" s="397">
        <f>[17]Sales_SP!FJ43</f>
        <v>0.754882</v>
      </c>
      <c r="K384" s="397">
        <f>[17]Sales_SP!FK43</f>
        <v>0.783993</v>
      </c>
      <c r="L384" s="397">
        <f>[17]Sales_SP!FL43</f>
        <v>0.737626</v>
      </c>
      <c r="M384" s="397">
        <f>[17]Sales_SP!FM43</f>
        <v>0.779551</v>
      </c>
      <c r="N384" s="397">
        <f>[17]Sales_SP!FN43</f>
        <v>0.808689</v>
      </c>
      <c r="O384" s="397">
        <f>[17]Sales_SP!FO43</f>
        <v>0.727212</v>
      </c>
      <c r="P384" s="397">
        <f>[17]Sales_SP!FP43</f>
        <v>0.84</v>
      </c>
      <c r="Q384" s="864">
        <f t="shared" si="113"/>
        <v>9.510651</v>
      </c>
      <c r="R384" s="863"/>
      <c r="S384" s="863"/>
    </row>
    <row r="385" ht="15" spans="3:19">
      <c r="C385" s="296" t="s">
        <v>179</v>
      </c>
      <c r="D385" s="296" t="s">
        <v>180</v>
      </c>
      <c r="E385" s="397">
        <v>0</v>
      </c>
      <c r="F385" s="397">
        <v>0</v>
      </c>
      <c r="G385" s="397">
        <v>0</v>
      </c>
      <c r="H385" s="397">
        <v>0</v>
      </c>
      <c r="I385" s="397">
        <v>0</v>
      </c>
      <c r="J385" s="397">
        <v>0</v>
      </c>
      <c r="K385" s="397">
        <v>0</v>
      </c>
      <c r="L385" s="397">
        <v>0</v>
      </c>
      <c r="M385" s="397">
        <v>0</v>
      </c>
      <c r="N385" s="397">
        <v>0</v>
      </c>
      <c r="O385" s="397">
        <v>0</v>
      </c>
      <c r="P385" s="397">
        <v>0</v>
      </c>
      <c r="Q385" s="864">
        <f t="shared" si="113"/>
        <v>0</v>
      </c>
      <c r="R385" s="863"/>
      <c r="S385" s="863"/>
    </row>
    <row r="386" ht="15" spans="3:19">
      <c r="C386" s="296" t="s">
        <v>181</v>
      </c>
      <c r="D386" s="296" t="s">
        <v>182</v>
      </c>
      <c r="E386" s="397">
        <f>[17]Sales_SP!FE54</f>
        <v>40.720597</v>
      </c>
      <c r="F386" s="397">
        <f>[17]Sales_SP!FF54</f>
        <v>42.393444</v>
      </c>
      <c r="G386" s="397">
        <f>[17]Sales_SP!FG54</f>
        <v>39.64402</v>
      </c>
      <c r="H386" s="397">
        <f>[17]Sales_SP!FH54</f>
        <v>39.430268</v>
      </c>
      <c r="I386" s="397">
        <f>[17]Sales_SP!FI54</f>
        <v>41.998558</v>
      </c>
      <c r="J386" s="397">
        <f>[17]Sales_SP!FJ54</f>
        <v>40.215241</v>
      </c>
      <c r="K386" s="397">
        <f>[17]Sales_SP!FK54</f>
        <v>42.71799225</v>
      </c>
      <c r="L386" s="397">
        <f>[17]Sales_SP!FL54</f>
        <v>43.860212</v>
      </c>
      <c r="M386" s="397">
        <f>[17]Sales_SP!FM54</f>
        <v>43.556689</v>
      </c>
      <c r="N386" s="397">
        <f>[17]Sales_SP!FN54</f>
        <v>44.421229</v>
      </c>
      <c r="O386" s="397">
        <f>[17]Sales_SP!FO54</f>
        <v>41.10123</v>
      </c>
      <c r="P386" s="397">
        <f>[17]Sales_SP!FP54</f>
        <v>45.042973</v>
      </c>
      <c r="Q386" s="864">
        <f t="shared" si="113"/>
        <v>505.10245325</v>
      </c>
      <c r="R386" s="863"/>
      <c r="S386" s="863"/>
    </row>
    <row r="387" ht="15" spans="3:19">
      <c r="C387" s="296" t="s">
        <v>183</v>
      </c>
      <c r="D387" s="296" t="s">
        <v>184</v>
      </c>
      <c r="E387" s="397">
        <f>[17]Sales_SP!FE64</f>
        <v>7.871618</v>
      </c>
      <c r="F387" s="397">
        <f>[17]Sales_SP!FF64</f>
        <v>6.438644</v>
      </c>
      <c r="G387" s="397">
        <f>[17]Sales_SP!FG64</f>
        <v>7.633369</v>
      </c>
      <c r="H387" s="397">
        <f>[17]Sales_SP!FH64</f>
        <v>7.744419</v>
      </c>
      <c r="I387" s="397">
        <f>[17]Sales_SP!FI64</f>
        <v>8.981126</v>
      </c>
      <c r="J387" s="397">
        <f>[17]Sales_SP!FJ64</f>
        <v>8.335953</v>
      </c>
      <c r="K387" s="397">
        <f>[17]Sales_SP!FK64</f>
        <v>6.910908</v>
      </c>
      <c r="L387" s="397">
        <f>[17]Sales_SP!FL64</f>
        <v>7.983732</v>
      </c>
      <c r="M387" s="397">
        <f>[17]Sales_SP!FM64</f>
        <v>7.105351</v>
      </c>
      <c r="N387" s="397">
        <f>[17]Sales_SP!FN64</f>
        <v>7.278144</v>
      </c>
      <c r="O387" s="397">
        <f>[17]Sales_SP!FO64</f>
        <v>8.019773</v>
      </c>
      <c r="P387" s="397">
        <f>[17]Sales_SP!FP64</f>
        <v>10.243793</v>
      </c>
      <c r="Q387" s="864">
        <f t="shared" si="113"/>
        <v>94.54683</v>
      </c>
      <c r="R387" s="863"/>
      <c r="S387" s="863"/>
    </row>
    <row r="388" ht="15" spans="3:19">
      <c r="C388" s="296" t="s">
        <v>185</v>
      </c>
      <c r="D388" s="296" t="s">
        <v>186</v>
      </c>
      <c r="E388" s="397">
        <f>[17]Sales_SP!FE69</f>
        <v>8.949712</v>
      </c>
      <c r="F388" s="397">
        <f>[17]Sales_SP!FF69</f>
        <v>10.139776</v>
      </c>
      <c r="G388" s="397">
        <f>[17]Sales_SP!FG69</f>
        <v>9.548661</v>
      </c>
      <c r="H388" s="397">
        <f>[17]Sales_SP!FH69</f>
        <v>8.274876</v>
      </c>
      <c r="I388" s="397">
        <f>[17]Sales_SP!FI69</f>
        <v>9.496726</v>
      </c>
      <c r="J388" s="397">
        <f>[17]Sales_SP!FJ69</f>
        <v>8.88412</v>
      </c>
      <c r="K388" s="397">
        <f>[17]Sales_SP!FK69</f>
        <v>9.257893</v>
      </c>
      <c r="L388" s="397">
        <f>[17]Sales_SP!FL69</f>
        <v>8.903807</v>
      </c>
      <c r="M388" s="397">
        <f>[17]Sales_SP!FM69</f>
        <v>8.853159</v>
      </c>
      <c r="N388" s="397">
        <f>[17]Sales_SP!FN69</f>
        <v>9.808557</v>
      </c>
      <c r="O388" s="397">
        <f>[17]Sales_SP!FO69</f>
        <v>9.524462</v>
      </c>
      <c r="P388" s="397">
        <f>[17]Sales_SP!FP69</f>
        <v>11.792013</v>
      </c>
      <c r="Q388" s="864">
        <f t="shared" si="113"/>
        <v>113.433762</v>
      </c>
      <c r="R388" s="863"/>
      <c r="S388" s="863"/>
    </row>
    <row r="389" ht="15" spans="3:19">
      <c r="C389" s="296" t="s">
        <v>187</v>
      </c>
      <c r="D389" s="296" t="s">
        <v>188</v>
      </c>
      <c r="E389" s="397">
        <f>[17]Sales_SP!FE$70</f>
        <v>0.075772</v>
      </c>
      <c r="F389" s="397">
        <f>[17]Sales_SP!FF$70</f>
        <v>0.091755</v>
      </c>
      <c r="G389" s="397">
        <f>[17]Sales_SP!FG$70</f>
        <v>0.094195</v>
      </c>
      <c r="H389" s="397">
        <f>[17]Sales_SP!FH$70</f>
        <v>0.127181</v>
      </c>
      <c r="I389" s="397">
        <f>[17]Sales_SP!FI$70</f>
        <v>0.152761</v>
      </c>
      <c r="J389" s="397">
        <f>[17]Sales_SP!FJ$70</f>
        <v>0.148528</v>
      </c>
      <c r="K389" s="397">
        <f>[17]Sales_SP!FK$70</f>
        <v>0.196572</v>
      </c>
      <c r="L389" s="397">
        <f>[17]Sales_SP!FL$70</f>
        <v>0.2374</v>
      </c>
      <c r="M389" s="397">
        <f>[17]Sales_SP!FM$70</f>
        <v>0.239067</v>
      </c>
      <c r="N389" s="397">
        <f>[17]Sales_SP!FN$70</f>
        <v>0.307397</v>
      </c>
      <c r="O389" s="397">
        <f>[17]Sales_SP!FO$70</f>
        <v>0.269827</v>
      </c>
      <c r="P389" s="397">
        <f>[17]Sales_SP!FP$70</f>
        <v>0.341855</v>
      </c>
      <c r="Q389" s="864">
        <f t="shared" si="113"/>
        <v>2.28231</v>
      </c>
      <c r="R389" s="863"/>
      <c r="S389" s="863"/>
    </row>
    <row r="390" ht="7" customHeight="1" spans="3:19">
      <c r="C390" s="296"/>
      <c r="D390" s="296"/>
      <c r="E390" s="397"/>
      <c r="F390" s="397"/>
      <c r="G390" s="397"/>
      <c r="H390" s="397"/>
      <c r="I390" s="397"/>
      <c r="J390" s="397"/>
      <c r="K390" s="397"/>
      <c r="L390" s="397"/>
      <c r="M390" s="397"/>
      <c r="N390" s="397"/>
      <c r="O390" s="397"/>
      <c r="P390" s="397"/>
      <c r="Q390" s="864">
        <f t="shared" si="113"/>
        <v>0</v>
      </c>
      <c r="R390" s="863"/>
      <c r="S390" s="863"/>
    </row>
    <row r="391" ht="8" customHeight="1" spans="3:19">
      <c r="C391" s="296"/>
      <c r="D391" s="296"/>
      <c r="E391" s="397"/>
      <c r="F391" s="397"/>
      <c r="G391" s="397"/>
      <c r="H391" s="397"/>
      <c r="I391" s="397"/>
      <c r="J391" s="397"/>
      <c r="K391" s="397"/>
      <c r="L391" s="397"/>
      <c r="M391" s="397"/>
      <c r="N391" s="397"/>
      <c r="O391" s="397"/>
      <c r="P391" s="397"/>
      <c r="Q391" s="864">
        <f t="shared" si="113"/>
        <v>0</v>
      </c>
      <c r="R391" s="863"/>
      <c r="S391" s="863"/>
    </row>
    <row r="392" ht="15" spans="3:19">
      <c r="C392" s="296"/>
      <c r="D392" s="296"/>
      <c r="E392" s="397"/>
      <c r="F392" s="397"/>
      <c r="G392" s="397"/>
      <c r="H392" s="397"/>
      <c r="I392" s="397"/>
      <c r="J392" s="397"/>
      <c r="K392" s="397"/>
      <c r="L392" s="397"/>
      <c r="M392" s="397"/>
      <c r="N392" s="397"/>
      <c r="O392" s="397"/>
      <c r="P392" s="397"/>
      <c r="Q392" s="864">
        <f t="shared" si="113"/>
        <v>0</v>
      </c>
      <c r="R392" s="863"/>
      <c r="S392" s="863"/>
    </row>
    <row r="393" ht="2" customHeight="1" spans="3:19">
      <c r="C393" s="296" t="s">
        <v>258</v>
      </c>
      <c r="D393" s="296" t="s">
        <v>258</v>
      </c>
      <c r="E393" s="397"/>
      <c r="F393" s="397"/>
      <c r="G393" s="397"/>
      <c r="H393" s="397"/>
      <c r="I393" s="397"/>
      <c r="J393" s="397"/>
      <c r="K393" s="397"/>
      <c r="L393" s="397"/>
      <c r="M393" s="397"/>
      <c r="N393" s="397"/>
      <c r="O393" s="397"/>
      <c r="P393" s="397"/>
      <c r="Q393" s="864">
        <f t="shared" si="113"/>
        <v>0</v>
      </c>
      <c r="R393" s="863"/>
      <c r="S393" s="863"/>
    </row>
    <row r="394" ht="15" spans="3:19">
      <c r="C394" s="285" t="s">
        <v>189</v>
      </c>
      <c r="D394" s="286"/>
      <c r="E394" s="864">
        <f>SUM(E381:E393)</f>
        <v>1418.01187725</v>
      </c>
      <c r="F394" s="864">
        <f t="shared" ref="F394:P394" si="114">SUM(F381:F393)</f>
        <v>1669.73338547</v>
      </c>
      <c r="G394" s="864">
        <f t="shared" si="114"/>
        <v>1506.814079</v>
      </c>
      <c r="H394" s="864">
        <f t="shared" si="114"/>
        <v>1225.992618</v>
      </c>
      <c r="I394" s="864">
        <f t="shared" si="114"/>
        <v>1391.04009435</v>
      </c>
      <c r="J394" s="864">
        <f t="shared" si="114"/>
        <v>1290.2612145</v>
      </c>
      <c r="K394" s="864">
        <f t="shared" si="114"/>
        <v>1291.06331175</v>
      </c>
      <c r="L394" s="864">
        <f t="shared" si="114"/>
        <v>1215.9149495</v>
      </c>
      <c r="M394" s="864">
        <f t="shared" si="114"/>
        <v>1111.6574397</v>
      </c>
      <c r="N394" s="864">
        <f t="shared" si="114"/>
        <v>1226.4226355</v>
      </c>
      <c r="O394" s="864">
        <f t="shared" si="114"/>
        <v>1173.7901535</v>
      </c>
      <c r="P394" s="864">
        <f t="shared" si="114"/>
        <v>1538.52045075</v>
      </c>
      <c r="Q394" s="864">
        <f t="shared" si="113"/>
        <v>16059.22220927</v>
      </c>
      <c r="R394" s="863"/>
      <c r="S394" s="863"/>
    </row>
    <row r="395" ht="15" spans="3:19">
      <c r="C395" s="285" t="s">
        <v>190</v>
      </c>
      <c r="D395" s="286"/>
      <c r="E395" s="397"/>
      <c r="F395" s="397"/>
      <c r="G395" s="397"/>
      <c r="H395" s="397"/>
      <c r="I395" s="397"/>
      <c r="J395" s="397"/>
      <c r="K395" s="397"/>
      <c r="L395" s="397"/>
      <c r="M395" s="397"/>
      <c r="N395" s="397"/>
      <c r="O395" s="397"/>
      <c r="P395" s="397"/>
      <c r="Q395" s="864"/>
      <c r="R395" s="863"/>
      <c r="S395" s="863"/>
    </row>
    <row r="396" ht="15" spans="3:19">
      <c r="C396" s="296" t="s">
        <v>191</v>
      </c>
      <c r="D396" s="296" t="s">
        <v>192</v>
      </c>
      <c r="E396" s="397">
        <f>[17]Sales_SP!FE89</f>
        <v>362.88682449</v>
      </c>
      <c r="F396" s="397">
        <f>[17]Sales_SP!FF89</f>
        <v>374.0935878763</v>
      </c>
      <c r="G396" s="397">
        <f>[17]Sales_SP!FG89</f>
        <v>363.37377417</v>
      </c>
      <c r="H396" s="397">
        <f>[17]Sales_SP!FH89</f>
        <v>351.3242816</v>
      </c>
      <c r="I396" s="397">
        <f>[17]Sales_SP!FI89</f>
        <v>365.966719575</v>
      </c>
      <c r="J396" s="397">
        <f>[17]Sales_SP!FJ89</f>
        <v>344.15582251</v>
      </c>
      <c r="K396" s="397">
        <f>[17]Sales_SP!FK89</f>
        <v>351.440946</v>
      </c>
      <c r="L396" s="397">
        <f>[17]Sales_SP!FL89</f>
        <v>356.46039621</v>
      </c>
      <c r="M396" s="397">
        <f>[17]Sales_SP!FM89</f>
        <v>375.2858891</v>
      </c>
      <c r="N396" s="397">
        <f>[17]Sales_SP!FN89</f>
        <v>364.71863051</v>
      </c>
      <c r="O396" s="397">
        <f>[17]Sales_SP!FO89</f>
        <v>359.56107405</v>
      </c>
      <c r="P396" s="397">
        <f>[17]Sales_SP!FP89</f>
        <v>374.996081645</v>
      </c>
      <c r="Q396" s="864">
        <f>SUM(E396:P396)</f>
        <v>4344.2640277363</v>
      </c>
      <c r="R396" s="863"/>
      <c r="S396" s="863"/>
    </row>
    <row r="397" ht="15" spans="3:19">
      <c r="C397" s="296" t="s">
        <v>193</v>
      </c>
      <c r="D397" s="296" t="s">
        <v>194</v>
      </c>
      <c r="E397" s="397">
        <f>[17]Sales_SP!FE104</f>
        <v>0.01</v>
      </c>
      <c r="F397" s="397">
        <f>[17]Sales_SP!FF104</f>
        <v>0.022768</v>
      </c>
      <c r="G397" s="397">
        <f>[17]Sales_SP!FG104</f>
        <v>0.008504</v>
      </c>
      <c r="H397" s="397">
        <f>[17]Sales_SP!FH104</f>
        <v>0</v>
      </c>
      <c r="I397" s="397">
        <f>[17]Sales_SP!FI104</f>
        <v>0</v>
      </c>
      <c r="J397" s="397">
        <f>[17]Sales_SP!FJ104</f>
        <v>0</v>
      </c>
      <c r="K397" s="397">
        <f>[17]Sales_SP!FK104</f>
        <v>0</v>
      </c>
      <c r="L397" s="397">
        <f>[17]Sales_SP!FL104</f>
        <v>0.064561</v>
      </c>
      <c r="M397" s="397">
        <f>[17]Sales_SP!FM104</f>
        <v>0.101625</v>
      </c>
      <c r="N397" s="397">
        <f>[17]Sales_SP!FN104</f>
        <v>0.040763</v>
      </c>
      <c r="O397" s="397">
        <f>[17]Sales_SP!FO104</f>
        <v>0.014582</v>
      </c>
      <c r="P397" s="397">
        <f>[17]Sales_SP!FP104</f>
        <v>0</v>
      </c>
      <c r="Q397" s="864">
        <f t="shared" ref="Q397:Q411" si="115">SUM(E397:P397)</f>
        <v>0.262803</v>
      </c>
      <c r="R397" s="863"/>
      <c r="S397" s="863"/>
    </row>
    <row r="398" ht="15" spans="3:19">
      <c r="C398" s="296" t="s">
        <v>239</v>
      </c>
      <c r="D398" s="296" t="s">
        <v>196</v>
      </c>
      <c r="E398" s="397">
        <f>[17]Sales_SP!FE110</f>
        <v>178.61266854</v>
      </c>
      <c r="F398" s="397">
        <f>[17]Sales_SP!FF110</f>
        <v>197.35804309</v>
      </c>
      <c r="G398" s="397">
        <f>[17]Sales_SP!FG110</f>
        <v>197.8616787</v>
      </c>
      <c r="H398" s="397">
        <f>[17]Sales_SP!FH110</f>
        <v>168.864294745</v>
      </c>
      <c r="I398" s="397">
        <f>[17]Sales_SP!FI110</f>
        <v>182.21122151</v>
      </c>
      <c r="J398" s="397">
        <f>[17]Sales_SP!FJ110</f>
        <v>169.63353952</v>
      </c>
      <c r="K398" s="397">
        <f>[17]Sales_SP!FK110</f>
        <v>177.05802558</v>
      </c>
      <c r="L398" s="397">
        <f>[17]Sales_SP!FL110</f>
        <v>164.02570589</v>
      </c>
      <c r="M398" s="397">
        <f>[17]Sales_SP!FM110</f>
        <v>151.70707607</v>
      </c>
      <c r="N398" s="397">
        <f>[17]Sales_SP!FN110</f>
        <v>152.10558941</v>
      </c>
      <c r="O398" s="397">
        <f>[17]Sales_SP!FO110</f>
        <v>166.69980197</v>
      </c>
      <c r="P398" s="397">
        <f>[17]Sales_SP!FP110</f>
        <v>198.55744058</v>
      </c>
      <c r="Q398" s="864">
        <f t="shared" si="115"/>
        <v>2104.695085605</v>
      </c>
      <c r="R398" s="863"/>
      <c r="S398" s="863"/>
    </row>
    <row r="399" ht="15" spans="3:19">
      <c r="C399" s="296" t="s">
        <v>197</v>
      </c>
      <c r="D399" s="296" t="s">
        <v>198</v>
      </c>
      <c r="E399" s="397">
        <f>[17]Sales_SP!FE115</f>
        <v>0</v>
      </c>
      <c r="F399" s="397">
        <f>[17]Sales_SP!FF115</f>
        <v>0.047229</v>
      </c>
      <c r="G399" s="397">
        <f>[17]Sales_SP!FG115</f>
        <v>0.036666</v>
      </c>
      <c r="H399" s="397">
        <f>[17]Sales_SP!FH115</f>
        <v>0.027436</v>
      </c>
      <c r="I399" s="397">
        <f>[17]Sales_SP!FI115</f>
        <v>0.024931</v>
      </c>
      <c r="J399" s="397">
        <f>[17]Sales_SP!FJ115</f>
        <v>0.029947</v>
      </c>
      <c r="K399" s="397">
        <f>[17]Sales_SP!FK115</f>
        <v>0.025457</v>
      </c>
      <c r="L399" s="397">
        <f>[17]Sales_SP!FL115</f>
        <v>0.025972</v>
      </c>
      <c r="M399" s="397">
        <f>[17]Sales_SP!FM115</f>
        <v>0.028311</v>
      </c>
      <c r="N399" s="397">
        <f>[17]Sales_SP!FN115</f>
        <v>0.028354</v>
      </c>
      <c r="O399" s="397">
        <f>[17]Sales_SP!FO115</f>
        <v>0.029559</v>
      </c>
      <c r="P399" s="397">
        <f>[17]Sales_SP!FP115</f>
        <v>0.033447</v>
      </c>
      <c r="Q399" s="864">
        <f t="shared" si="115"/>
        <v>0.337309</v>
      </c>
      <c r="R399" s="863"/>
      <c r="S399" s="863"/>
    </row>
    <row r="400" ht="15" spans="3:19">
      <c r="C400" s="296" t="s">
        <v>199</v>
      </c>
      <c r="D400" s="296" t="s">
        <v>200</v>
      </c>
      <c r="E400" s="397">
        <f>[17]Sales_SP!FE120</f>
        <v>0.381373</v>
      </c>
      <c r="F400" s="397">
        <f>[17]Sales_SP!FF120</f>
        <v>0.438194</v>
      </c>
      <c r="G400" s="397">
        <f>[17]Sales_SP!FG120</f>
        <v>0.444743</v>
      </c>
      <c r="H400" s="397">
        <f>[17]Sales_SP!FH120</f>
        <v>0.400546</v>
      </c>
      <c r="I400" s="397">
        <f>[17]Sales_SP!FI120</f>
        <v>0.396768</v>
      </c>
      <c r="J400" s="397">
        <f>[17]Sales_SP!FJ120</f>
        <v>0.395706</v>
      </c>
      <c r="K400" s="397">
        <f>[17]Sales_SP!FK120</f>
        <v>0.401782</v>
      </c>
      <c r="L400" s="397">
        <f>[17]Sales_SP!FL120</f>
        <v>0.37498</v>
      </c>
      <c r="M400" s="397">
        <f>[17]Sales_SP!FM120</f>
        <v>0.351805</v>
      </c>
      <c r="N400" s="397">
        <f>[17]Sales_SP!FN120</f>
        <v>0.37012</v>
      </c>
      <c r="O400" s="397">
        <f>[17]Sales_SP!FO120</f>
        <v>0.388381</v>
      </c>
      <c r="P400" s="397">
        <f>[17]Sales_SP!FP120</f>
        <v>0.475727</v>
      </c>
      <c r="Q400" s="864">
        <f t="shared" si="115"/>
        <v>4.820125</v>
      </c>
      <c r="R400" s="863"/>
      <c r="S400" s="863"/>
    </row>
    <row r="401" ht="15" spans="3:19">
      <c r="C401" s="296" t="s">
        <v>201</v>
      </c>
      <c r="D401" s="296" t="s">
        <v>202</v>
      </c>
      <c r="E401" s="397">
        <f>[17]Sales_SP!FE126</f>
        <v>2.11</v>
      </c>
      <c r="F401" s="397">
        <f>[17]Sales_SP!FF126</f>
        <v>0.385051</v>
      </c>
      <c r="G401" s="397">
        <f>[17]Sales_SP!FG126</f>
        <v>0.628657</v>
      </c>
      <c r="H401" s="397">
        <f>[17]Sales_SP!FH126</f>
        <v>1.04366312</v>
      </c>
      <c r="I401" s="397">
        <f>[17]Sales_SP!FI126</f>
        <v>1.80848832</v>
      </c>
      <c r="J401" s="397">
        <f>[17]Sales_SP!FJ126</f>
        <v>1.690687</v>
      </c>
      <c r="K401" s="397">
        <f>[17]Sales_SP!FK126</f>
        <v>3.307147</v>
      </c>
      <c r="L401" s="397">
        <f>[17]Sales_SP!FL126</f>
        <v>1.40532733</v>
      </c>
      <c r="M401" s="397">
        <f>[17]Sales_SP!FM126</f>
        <v>1.238364</v>
      </c>
      <c r="N401" s="397">
        <f>[17]Sales_SP!FN126</f>
        <v>1.5499465</v>
      </c>
      <c r="O401" s="397">
        <f>[17]Sales_SP!FO126</f>
        <v>1.804398</v>
      </c>
      <c r="P401" s="397">
        <f>[17]Sales_SP!FP126</f>
        <v>0.856985</v>
      </c>
      <c r="Q401" s="864">
        <f t="shared" si="115"/>
        <v>17.82871427</v>
      </c>
      <c r="R401" s="863"/>
      <c r="S401" s="863"/>
    </row>
    <row r="402" ht="15" spans="3:19">
      <c r="C402" s="296" t="s">
        <v>203</v>
      </c>
      <c r="D402" s="296" t="s">
        <v>204</v>
      </c>
      <c r="E402" s="397">
        <f>[17]Sales_SP!FE127</f>
        <v>11.15</v>
      </c>
      <c r="F402" s="397">
        <f>[17]Sales_SP!FF127</f>
        <v>10.677982</v>
      </c>
      <c r="G402" s="397">
        <f>[17]Sales_SP!FG127</f>
        <v>10.63566033</v>
      </c>
      <c r="H402" s="397">
        <f>[17]Sales_SP!FH127</f>
        <v>10.51083</v>
      </c>
      <c r="I402" s="397">
        <f>[17]Sales_SP!FI127</f>
        <v>10.583741</v>
      </c>
      <c r="J402" s="397">
        <f>[17]Sales_SP!FJ127</f>
        <v>10.129611</v>
      </c>
      <c r="K402" s="397">
        <f>[17]Sales_SP!FK127</f>
        <v>10.826146</v>
      </c>
      <c r="L402" s="397">
        <f>[17]Sales_SP!FL127</f>
        <v>10.857352</v>
      </c>
      <c r="M402" s="397">
        <f>[17]Sales_SP!FM127</f>
        <v>11.001555</v>
      </c>
      <c r="N402" s="397">
        <f>[17]Sales_SP!FN127</f>
        <v>11.17321</v>
      </c>
      <c r="O402" s="397">
        <f>[17]Sales_SP!FO127</f>
        <v>10.4901783</v>
      </c>
      <c r="P402" s="397">
        <f>[17]Sales_SP!FP127</f>
        <v>11.4513413</v>
      </c>
      <c r="Q402" s="864">
        <f t="shared" si="115"/>
        <v>129.48760693</v>
      </c>
      <c r="R402" s="863"/>
      <c r="S402" s="863"/>
    </row>
    <row r="403" ht="15" spans="3:19">
      <c r="C403" s="296" t="s">
        <v>205</v>
      </c>
      <c r="D403" s="296" t="s">
        <v>206</v>
      </c>
      <c r="E403" s="397">
        <f>[17]Sales_SP!FE131</f>
        <v>19.4</v>
      </c>
      <c r="F403" s="397">
        <f>[17]Sales_SP!FF131</f>
        <v>22.259069</v>
      </c>
      <c r="G403" s="397">
        <f>[17]Sales_SP!FG131</f>
        <v>22.27492</v>
      </c>
      <c r="H403" s="397">
        <f>[17]Sales_SP!FH131</f>
        <v>17.129661</v>
      </c>
      <c r="I403" s="397">
        <f>[17]Sales_SP!FI131</f>
        <v>17.85232084</v>
      </c>
      <c r="J403" s="397">
        <f>[17]Sales_SP!FJ131</f>
        <v>16.952274</v>
      </c>
      <c r="K403" s="397">
        <f>[17]Sales_SP!FK131</f>
        <v>17.114656</v>
      </c>
      <c r="L403" s="397">
        <f>[17]Sales_SP!FL131</f>
        <v>16.18281613</v>
      </c>
      <c r="M403" s="397">
        <f>[17]Sales_SP!FM131</f>
        <v>15.549929</v>
      </c>
      <c r="N403" s="397">
        <f>[17]Sales_SP!FN131</f>
        <v>15.931169</v>
      </c>
      <c r="O403" s="397">
        <f>[17]Sales_SP!FO131</f>
        <v>16.79796894</v>
      </c>
      <c r="P403" s="397">
        <f>[17]Sales_SP!FP131</f>
        <v>23.079544</v>
      </c>
      <c r="Q403" s="864">
        <f t="shared" si="115"/>
        <v>220.52432791</v>
      </c>
      <c r="R403" s="863"/>
      <c r="S403" s="863"/>
    </row>
    <row r="404" ht="15" spans="3:19">
      <c r="C404" s="296" t="s">
        <v>207</v>
      </c>
      <c r="D404" s="296" t="s">
        <v>186</v>
      </c>
      <c r="E404" s="397">
        <f>[17]Sales_SP!FE132</f>
        <v>13.72</v>
      </c>
      <c r="F404" s="397">
        <f>[17]Sales_SP!FF132</f>
        <v>14.987717</v>
      </c>
      <c r="G404" s="397">
        <f>[17]Sales_SP!FG132</f>
        <v>14.88942761</v>
      </c>
      <c r="H404" s="397">
        <f>[17]Sales_SP!FH132</f>
        <v>14.0200989</v>
      </c>
      <c r="I404" s="397">
        <f>[17]Sales_SP!FI132</f>
        <v>15.85269281</v>
      </c>
      <c r="J404" s="397">
        <f>[17]Sales_SP!FJ132</f>
        <v>15.430845</v>
      </c>
      <c r="K404" s="397">
        <f>[17]Sales_SP!FK132</f>
        <v>16.049016</v>
      </c>
      <c r="L404" s="397">
        <f>[17]Sales_SP!FL132</f>
        <v>15.417937</v>
      </c>
      <c r="M404" s="397">
        <f>[17]Sales_SP!FM132</f>
        <v>15.960803</v>
      </c>
      <c r="N404" s="397">
        <f>[17]Sales_SP!FN132</f>
        <v>15.46011267</v>
      </c>
      <c r="O404" s="397">
        <f>[17]Sales_SP!FO132</f>
        <v>15.65232941</v>
      </c>
      <c r="P404" s="397">
        <f>[17]Sales_SP!FP132</f>
        <v>17.54949645</v>
      </c>
      <c r="Q404" s="864">
        <f t="shared" si="115"/>
        <v>184.99047585</v>
      </c>
      <c r="R404" s="863"/>
      <c r="S404" s="863"/>
    </row>
    <row r="405" ht="15" spans="3:19">
      <c r="C405" s="296" t="s">
        <v>208</v>
      </c>
      <c r="D405" s="296" t="s">
        <v>209</v>
      </c>
      <c r="E405" s="397">
        <f>[17]Sales_SP!FE133</f>
        <v>0</v>
      </c>
      <c r="F405" s="397">
        <f>[17]Sales_SP!FF133</f>
        <v>0</v>
      </c>
      <c r="G405" s="397">
        <f>[17]Sales_SP!FG133</f>
        <v>0</v>
      </c>
      <c r="H405" s="397">
        <f>[17]Sales_SP!FH133</f>
        <v>0</v>
      </c>
      <c r="I405" s="397">
        <f>[17]Sales_SP!FI133</f>
        <v>0</v>
      </c>
      <c r="J405" s="397">
        <f>[17]Sales_SP!FJ133</f>
        <v>0</v>
      </c>
      <c r="K405" s="397">
        <f>[17]Sales_SP!FK133</f>
        <v>0</v>
      </c>
      <c r="L405" s="397">
        <f>[17]Sales_SP!FL133</f>
        <v>0</v>
      </c>
      <c r="M405" s="397">
        <f>[17]Sales_SP!FM133</f>
        <v>0</v>
      </c>
      <c r="N405" s="397">
        <f>[17]Sales_SP!FN133</f>
        <v>0</v>
      </c>
      <c r="O405" s="397">
        <f>[17]Sales_SP!FO133</f>
        <v>0</v>
      </c>
      <c r="P405" s="397">
        <f>[17]Sales_SP!FP133</f>
        <v>0</v>
      </c>
      <c r="Q405" s="864">
        <f t="shared" si="115"/>
        <v>0</v>
      </c>
      <c r="R405" s="863"/>
      <c r="S405" s="863"/>
    </row>
    <row r="406" ht="15" spans="3:19">
      <c r="C406" s="296" t="s">
        <v>210</v>
      </c>
      <c r="D406" s="296" t="s">
        <v>188</v>
      </c>
      <c r="E406" s="771">
        <f>[17]Sales_SP!FE134</f>
        <v>0.600592</v>
      </c>
      <c r="F406" s="771">
        <f>[17]Sales_SP!FF134</f>
        <v>0.743966</v>
      </c>
      <c r="G406" s="771">
        <f>[17]Sales_SP!FG134</f>
        <v>0.804146</v>
      </c>
      <c r="H406" s="771">
        <f>[17]Sales_SP!FH134</f>
        <v>0.755218</v>
      </c>
      <c r="I406" s="771">
        <f>[17]Sales_SP!FI134</f>
        <v>0.799295</v>
      </c>
      <c r="J406" s="771">
        <f>[17]Sales_SP!FJ134</f>
        <v>0.927883</v>
      </c>
      <c r="K406" s="771">
        <f>[17]Sales_SP!FK134</f>
        <v>1.122684</v>
      </c>
      <c r="L406" s="771">
        <f>[17]Sales_SP!FL134</f>
        <v>1.110481</v>
      </c>
      <c r="M406" s="771">
        <f>[17]Sales_SP!FM134</f>
        <v>1.149632</v>
      </c>
      <c r="N406" s="771">
        <f>[17]Sales_SP!FN134</f>
        <v>1.224849</v>
      </c>
      <c r="O406" s="771">
        <f>[17]Sales_SP!FO134</f>
        <v>1.278844</v>
      </c>
      <c r="P406" s="771">
        <f>[17]Sales_SP!FP134</f>
        <v>1.504119</v>
      </c>
      <c r="Q406" s="864">
        <f t="shared" si="115"/>
        <v>12.021709</v>
      </c>
      <c r="R406" s="863"/>
      <c r="S406" s="863"/>
    </row>
    <row r="407" ht="15" spans="3:19">
      <c r="C407" s="296"/>
      <c r="D407" s="296"/>
      <c r="E407" s="397"/>
      <c r="F407" s="397"/>
      <c r="G407" s="397"/>
      <c r="H407" s="397"/>
      <c r="I407" s="397"/>
      <c r="J407" s="397"/>
      <c r="K407" s="397"/>
      <c r="L407" s="397"/>
      <c r="M407" s="397"/>
      <c r="N407" s="397"/>
      <c r="O407" s="397"/>
      <c r="P407" s="397"/>
      <c r="Q407" s="864">
        <f t="shared" si="115"/>
        <v>0</v>
      </c>
      <c r="R407" s="863"/>
      <c r="S407" s="863"/>
    </row>
    <row r="408" ht="15" spans="3:19">
      <c r="C408" s="296"/>
      <c r="D408" s="296"/>
      <c r="E408" s="397"/>
      <c r="F408" s="397"/>
      <c r="G408" s="397"/>
      <c r="H408" s="397"/>
      <c r="I408" s="397"/>
      <c r="J408" s="397"/>
      <c r="K408" s="397"/>
      <c r="L408" s="397"/>
      <c r="M408" s="397"/>
      <c r="N408" s="397"/>
      <c r="O408" s="397"/>
      <c r="P408" s="397"/>
      <c r="Q408" s="864">
        <f t="shared" si="115"/>
        <v>0</v>
      </c>
      <c r="R408" s="863"/>
      <c r="S408" s="863"/>
    </row>
    <row r="409" ht="15" spans="3:19">
      <c r="C409" s="296"/>
      <c r="D409" s="296"/>
      <c r="E409" s="397"/>
      <c r="F409" s="397"/>
      <c r="G409" s="397"/>
      <c r="H409" s="397"/>
      <c r="I409" s="397"/>
      <c r="J409" s="397"/>
      <c r="K409" s="397"/>
      <c r="L409" s="397"/>
      <c r="M409" s="397"/>
      <c r="N409" s="397"/>
      <c r="O409" s="397"/>
      <c r="P409" s="397"/>
      <c r="Q409" s="864">
        <f t="shared" si="115"/>
        <v>0</v>
      </c>
      <c r="R409" s="863"/>
      <c r="S409" s="863"/>
    </row>
    <row r="410" ht="15" spans="3:19">
      <c r="C410" s="296" t="s">
        <v>258</v>
      </c>
      <c r="D410" s="296" t="s">
        <v>258</v>
      </c>
      <c r="E410" s="397"/>
      <c r="F410" s="397"/>
      <c r="G410" s="397"/>
      <c r="H410" s="397"/>
      <c r="I410" s="397"/>
      <c r="J410" s="397"/>
      <c r="K410" s="397"/>
      <c r="L410" s="397"/>
      <c r="M410" s="397"/>
      <c r="N410" s="397"/>
      <c r="O410" s="397"/>
      <c r="P410" s="397"/>
      <c r="Q410" s="864">
        <f t="shared" si="115"/>
        <v>0</v>
      </c>
      <c r="R410" s="863"/>
      <c r="S410" s="863"/>
    </row>
    <row r="411" ht="15" spans="3:19">
      <c r="C411" s="285" t="s">
        <v>211</v>
      </c>
      <c r="D411" s="286"/>
      <c r="E411" s="864">
        <f>SUM(E396:E410)</f>
        <v>588.87145803</v>
      </c>
      <c r="F411" s="864">
        <f t="shared" ref="F411:P411" si="116">SUM(F396:F410)</f>
        <v>621.0136069663</v>
      </c>
      <c r="G411" s="864">
        <f t="shared" si="116"/>
        <v>610.95817681</v>
      </c>
      <c r="H411" s="864">
        <f t="shared" si="116"/>
        <v>564.076029365</v>
      </c>
      <c r="I411" s="864">
        <f t="shared" si="116"/>
        <v>595.496178055</v>
      </c>
      <c r="J411" s="864">
        <f t="shared" si="116"/>
        <v>559.34631503</v>
      </c>
      <c r="K411" s="864">
        <f t="shared" si="116"/>
        <v>577.34585958</v>
      </c>
      <c r="L411" s="864">
        <f t="shared" si="116"/>
        <v>565.92552856</v>
      </c>
      <c r="M411" s="864">
        <f t="shared" si="116"/>
        <v>572.37498917</v>
      </c>
      <c r="N411" s="864">
        <f t="shared" si="116"/>
        <v>562.60274409</v>
      </c>
      <c r="O411" s="864">
        <f t="shared" si="116"/>
        <v>572.71711667</v>
      </c>
      <c r="P411" s="864">
        <f t="shared" si="116"/>
        <v>628.504181975</v>
      </c>
      <c r="Q411" s="864">
        <f t="shared" si="115"/>
        <v>7019.2321843013</v>
      </c>
      <c r="R411" s="863"/>
      <c r="S411" s="863"/>
    </row>
    <row r="412" ht="15" spans="3:19">
      <c r="C412" s="285" t="s">
        <v>212</v>
      </c>
      <c r="D412" s="286"/>
      <c r="E412" s="397"/>
      <c r="F412" s="397"/>
      <c r="G412" s="397"/>
      <c r="H412" s="397"/>
      <c r="I412" s="397"/>
      <c r="J412" s="397"/>
      <c r="K412" s="397"/>
      <c r="L412" s="397"/>
      <c r="M412" s="397"/>
      <c r="N412" s="397"/>
      <c r="O412" s="397"/>
      <c r="P412" s="397"/>
      <c r="Q412" s="864"/>
      <c r="R412" s="863"/>
      <c r="S412" s="863"/>
    </row>
    <row r="413" ht="15" spans="3:19">
      <c r="C413" s="296" t="s">
        <v>191</v>
      </c>
      <c r="D413" s="296" t="s">
        <v>192</v>
      </c>
      <c r="E413" s="397">
        <f>[17]Sales_SP!FE152</f>
        <v>456.7683175</v>
      </c>
      <c r="F413" s="397">
        <f>[17]Sales_SP!FF152</f>
        <v>487.244519</v>
      </c>
      <c r="G413" s="397">
        <f>[17]Sales_SP!FG152</f>
        <v>474.999169</v>
      </c>
      <c r="H413" s="397">
        <f>[17]Sales_SP!FH152</f>
        <v>474.617388</v>
      </c>
      <c r="I413" s="397">
        <f>[17]Sales_SP!FI152</f>
        <v>486.433578</v>
      </c>
      <c r="J413" s="397">
        <f>[17]Sales_SP!FJ152</f>
        <v>474.035000388</v>
      </c>
      <c r="K413" s="397">
        <f>[17]Sales_SP!FK152</f>
        <v>485.197083</v>
      </c>
      <c r="L413" s="397">
        <f>[17]Sales_SP!FL152</f>
        <v>487.029785</v>
      </c>
      <c r="M413" s="397">
        <f>[17]Sales_SP!FM152</f>
        <v>496.832919</v>
      </c>
      <c r="N413" s="397">
        <f>[17]Sales_SP!FN152</f>
        <v>494.613108</v>
      </c>
      <c r="O413" s="397">
        <f>[17]Sales_SP!FO152</f>
        <v>481.570082</v>
      </c>
      <c r="P413" s="397">
        <f>[17]Sales_SP!FP152</f>
        <v>537.9870545</v>
      </c>
      <c r="Q413" s="864">
        <f t="shared" ref="Q413:Q449" si="117">SUM(E413:P413)</f>
        <v>5837.328003388</v>
      </c>
      <c r="R413" s="863"/>
      <c r="S413" s="863"/>
    </row>
    <row r="414" ht="15" spans="3:19">
      <c r="C414" s="296" t="s">
        <v>193</v>
      </c>
      <c r="D414" s="296" t="s">
        <v>194</v>
      </c>
      <c r="E414" s="397">
        <f>[17]Sales_SP!FE168</f>
        <v>0</v>
      </c>
      <c r="F414" s="397">
        <f>[17]Sales_SP!FF168</f>
        <v>0</v>
      </c>
      <c r="G414" s="397">
        <f>[17]Sales_SP!FG168</f>
        <v>0</v>
      </c>
      <c r="H414" s="397">
        <f>[17]Sales_SP!FH168</f>
        <v>0</v>
      </c>
      <c r="I414" s="397">
        <f>[17]Sales_SP!FI168</f>
        <v>0</v>
      </c>
      <c r="J414" s="397">
        <f>[17]Sales_SP!FJ168</f>
        <v>0</v>
      </c>
      <c r="K414" s="397">
        <f>[17]Sales_SP!FK168</f>
        <v>0</v>
      </c>
      <c r="L414" s="397">
        <f>[17]Sales_SP!FL168</f>
        <v>0</v>
      </c>
      <c r="M414" s="397">
        <f>[17]Sales_SP!FM168</f>
        <v>0</v>
      </c>
      <c r="N414" s="397">
        <f>[17]Sales_SP!FN168</f>
        <v>0</v>
      </c>
      <c r="O414" s="397">
        <f>[17]Sales_SP!FO168</f>
        <v>0</v>
      </c>
      <c r="P414" s="397">
        <f>[17]Sales_SP!FP168</f>
        <v>0</v>
      </c>
      <c r="Q414" s="864">
        <f t="shared" si="117"/>
        <v>0</v>
      </c>
      <c r="R414" s="863"/>
      <c r="S414" s="863"/>
    </row>
    <row r="415" ht="15" spans="3:19">
      <c r="C415" s="296" t="s">
        <v>239</v>
      </c>
      <c r="D415" s="296" t="s">
        <v>196</v>
      </c>
      <c r="E415" s="397">
        <f>[17]Sales_SP!FE174</f>
        <v>119.360591</v>
      </c>
      <c r="F415" s="397">
        <f>[17]Sales_SP!FF174</f>
        <v>129.0616115</v>
      </c>
      <c r="G415" s="397">
        <f>[17]Sales_SP!FG174</f>
        <v>129.8093705</v>
      </c>
      <c r="H415" s="397">
        <f>[17]Sales_SP!FH174</f>
        <v>120.457118</v>
      </c>
      <c r="I415" s="397">
        <f>[17]Sales_SP!FI174</f>
        <v>121.0316435</v>
      </c>
      <c r="J415" s="397">
        <f>[17]Sales_SP!FJ174</f>
        <v>113.460328095</v>
      </c>
      <c r="K415" s="397">
        <f>[17]Sales_SP!FK174</f>
        <v>111.380884</v>
      </c>
      <c r="L415" s="397">
        <f>[17]Sales_SP!FL174</f>
        <v>111.380884</v>
      </c>
      <c r="M415" s="397">
        <f>[17]Sales_SP!FM174</f>
        <v>104.2976095</v>
      </c>
      <c r="N415" s="397">
        <f>[17]Sales_SP!FN174</f>
        <v>105.318318</v>
      </c>
      <c r="O415" s="397">
        <f>[17]Sales_SP!FO174</f>
        <v>107.650029</v>
      </c>
      <c r="P415" s="397">
        <f>[17]Sales_SP!FP174</f>
        <v>126.476984</v>
      </c>
      <c r="Q415" s="864">
        <f t="shared" si="117"/>
        <v>1399.685371095</v>
      </c>
      <c r="R415" s="863"/>
      <c r="S415" s="863"/>
    </row>
    <row r="416" ht="15" spans="3:19">
      <c r="C416" s="296" t="s">
        <v>197</v>
      </c>
      <c r="D416" s="296" t="s">
        <v>198</v>
      </c>
      <c r="E416" s="397">
        <f>[17]Sales_SP!FE180</f>
        <v>0</v>
      </c>
      <c r="F416" s="397">
        <f>[17]Sales_SP!FF180</f>
        <v>0.4269</v>
      </c>
      <c r="G416" s="397">
        <f>[17]Sales_SP!FG180</f>
        <v>0.41395</v>
      </c>
      <c r="H416" s="397">
        <f>[17]Sales_SP!FH180</f>
        <v>0.34735</v>
      </c>
      <c r="I416" s="397">
        <f>[17]Sales_SP!FI180</f>
        <v>0.36855</v>
      </c>
      <c r="J416" s="397">
        <f>[17]Sales_SP!FJ180</f>
        <v>0.33543</v>
      </c>
      <c r="K416" s="397">
        <f>[17]Sales_SP!FK180</f>
        <v>0.34777</v>
      </c>
      <c r="L416" s="397">
        <f>[17]Sales_SP!FL180</f>
        <v>0.2934</v>
      </c>
      <c r="M416" s="397">
        <f>[17]Sales_SP!FM180</f>
        <v>0.3048</v>
      </c>
      <c r="N416" s="397">
        <f>[17]Sales_SP!FN180</f>
        <v>0.2678</v>
      </c>
      <c r="O416" s="397">
        <f>[17]Sales_SP!FO180</f>
        <v>0.3016</v>
      </c>
      <c r="P416" s="397">
        <f>[17]Sales_SP!FP180</f>
        <v>0.4124</v>
      </c>
      <c r="Q416" s="864">
        <f t="shared" si="117"/>
        <v>3.81995</v>
      </c>
      <c r="R416" s="863"/>
      <c r="S416" s="863"/>
    </row>
    <row r="417" ht="15" spans="3:19">
      <c r="C417" s="296" t="s">
        <v>199</v>
      </c>
      <c r="D417" s="296" t="s">
        <v>200</v>
      </c>
      <c r="E417" s="397">
        <f>[17]Sales_SP!FE185</f>
        <v>0</v>
      </c>
      <c r="F417" s="397">
        <f>[17]Sales_SP!FF185</f>
        <v>0</v>
      </c>
      <c r="G417" s="397">
        <f>[17]Sales_SP!FG185</f>
        <v>0</v>
      </c>
      <c r="H417" s="397">
        <f>[17]Sales_SP!FH185</f>
        <v>0</v>
      </c>
      <c r="I417" s="397">
        <f>[17]Sales_SP!FI185</f>
        <v>0</v>
      </c>
      <c r="J417" s="397">
        <f>[17]Sales_SP!FJ185</f>
        <v>0</v>
      </c>
      <c r="K417" s="397">
        <f>[17]Sales_SP!FK185</f>
        <v>0</v>
      </c>
      <c r="L417" s="397">
        <f>[17]Sales_SP!FL185</f>
        <v>0</v>
      </c>
      <c r="M417" s="397">
        <f>[17]Sales_SP!FM185</f>
        <v>0</v>
      </c>
      <c r="N417" s="397">
        <f>[17]Sales_SP!FN185</f>
        <v>0</v>
      </c>
      <c r="O417" s="397">
        <f>[17]Sales_SP!FO185</f>
        <v>0</v>
      </c>
      <c r="P417" s="397">
        <f>[17]Sales_SP!FP185</f>
        <v>0</v>
      </c>
      <c r="Q417" s="864">
        <f t="shared" si="117"/>
        <v>0</v>
      </c>
      <c r="R417" s="863"/>
      <c r="S417" s="863"/>
    </row>
    <row r="418" ht="15" spans="3:19">
      <c r="C418" s="296" t="s">
        <v>201</v>
      </c>
      <c r="D418" s="296" t="s">
        <v>202</v>
      </c>
      <c r="E418" s="397">
        <f>[17]Sales_SP!FE191</f>
        <v>1.30048</v>
      </c>
      <c r="F418" s="397">
        <f>[17]Sales_SP!FF191</f>
        <v>2.080615</v>
      </c>
      <c r="G418" s="397">
        <f>[17]Sales_SP!FG191</f>
        <v>1.95454</v>
      </c>
      <c r="H418" s="397">
        <f>[17]Sales_SP!FH191</f>
        <v>2.213195</v>
      </c>
      <c r="I418" s="397">
        <f>[17]Sales_SP!FI191</f>
        <v>3.7451</v>
      </c>
      <c r="J418" s="397">
        <f>[17]Sales_SP!FJ191</f>
        <v>3.529655</v>
      </c>
      <c r="K418" s="397">
        <f>[17]Sales_SP!FK191</f>
        <v>4.685995</v>
      </c>
      <c r="L418" s="397">
        <f>[17]Sales_SP!FL191</f>
        <v>4.575075</v>
      </c>
      <c r="M418" s="397">
        <f>[17]Sales_SP!FM191</f>
        <v>3.758055</v>
      </c>
      <c r="N418" s="397">
        <f>[17]Sales_SP!FN191</f>
        <v>4.72535</v>
      </c>
      <c r="O418" s="397">
        <f>[17]Sales_SP!FO191</f>
        <v>4.8465</v>
      </c>
      <c r="P418" s="397">
        <f>[17]Sales_SP!FP191</f>
        <v>6.008485</v>
      </c>
      <c r="Q418" s="864">
        <f t="shared" si="117"/>
        <v>43.423045</v>
      </c>
      <c r="R418" s="863"/>
      <c r="S418" s="863"/>
    </row>
    <row r="419" ht="15" spans="3:19">
      <c r="C419" s="296" t="s">
        <v>203</v>
      </c>
      <c r="D419" s="296" t="s">
        <v>204</v>
      </c>
      <c r="E419" s="397">
        <f>[17]Sales_SP!FE192</f>
        <v>20.413735</v>
      </c>
      <c r="F419" s="397">
        <f>[17]Sales_SP!FF192</f>
        <v>21.165235</v>
      </c>
      <c r="G419" s="397">
        <f>[17]Sales_SP!FG192</f>
        <v>20.078425</v>
      </c>
      <c r="H419" s="397">
        <f>[17]Sales_SP!FH192</f>
        <v>20.20959</v>
      </c>
      <c r="I419" s="397">
        <f>[17]Sales_SP!FI192</f>
        <v>21.91816</v>
      </c>
      <c r="J419" s="397">
        <f>[17]Sales_SP!FJ192</f>
        <v>20.591245</v>
      </c>
      <c r="K419" s="397">
        <f>[17]Sales_SP!FK192</f>
        <v>20.2793</v>
      </c>
      <c r="L419" s="397">
        <f>[17]Sales_SP!FL192</f>
        <v>21.491055</v>
      </c>
      <c r="M419" s="397">
        <f>[17]Sales_SP!FM192</f>
        <v>20.86777</v>
      </c>
      <c r="N419" s="397">
        <f>[17]Sales_SP!FN192</f>
        <v>22.03612</v>
      </c>
      <c r="O419" s="397">
        <f>[17]Sales_SP!FO192</f>
        <v>21.19337</v>
      </c>
      <c r="P419" s="397">
        <f>[17]Sales_SP!FP192</f>
        <v>23.43472</v>
      </c>
      <c r="Q419" s="864">
        <f t="shared" si="117"/>
        <v>253.678725</v>
      </c>
      <c r="R419" s="863"/>
      <c r="S419" s="863"/>
    </row>
    <row r="420" ht="15" spans="3:19">
      <c r="C420" s="296" t="s">
        <v>221</v>
      </c>
      <c r="D420" s="296" t="s">
        <v>270</v>
      </c>
      <c r="E420" s="397">
        <f>[17]Sales_SP!FE194</f>
        <v>0.88884</v>
      </c>
      <c r="F420" s="397">
        <f>[17]Sales_SP!FF194</f>
        <v>1.564635</v>
      </c>
      <c r="G420" s="397">
        <f>[17]Sales_SP!FG194</f>
        <v>1.47231</v>
      </c>
      <c r="H420" s="397">
        <f>[17]Sales_SP!FH194</f>
        <v>1.735515</v>
      </c>
      <c r="I420" s="397">
        <f>[17]Sales_SP!FI194</f>
        <v>1.8249</v>
      </c>
      <c r="J420" s="397">
        <f>[17]Sales_SP!FJ194</f>
        <v>1.6791</v>
      </c>
      <c r="K420" s="397">
        <f>[17]Sales_SP!FK194</f>
        <v>0</v>
      </c>
      <c r="L420" s="397">
        <f>[17]Sales_SP!FL194</f>
        <v>0</v>
      </c>
      <c r="M420" s="397">
        <f>[17]Sales_SP!FM194</f>
        <v>0</v>
      </c>
      <c r="N420" s="397">
        <f>[17]Sales_SP!FN194</f>
        <v>0</v>
      </c>
      <c r="O420" s="397">
        <f>[17]Sales_SP!FO194</f>
        <v>0</v>
      </c>
      <c r="P420" s="397">
        <f>[17]Sales_SP!FP194</f>
        <v>0</v>
      </c>
      <c r="Q420" s="864">
        <f t="shared" si="117"/>
        <v>9.1653</v>
      </c>
      <c r="R420" s="863"/>
      <c r="S420" s="863"/>
    </row>
    <row r="421" ht="15" spans="3:19">
      <c r="C421" s="296" t="s">
        <v>205</v>
      </c>
      <c r="D421" s="296" t="s">
        <v>206</v>
      </c>
      <c r="E421" s="397">
        <f>[17]Sales_SP!FE196</f>
        <v>12.783713</v>
      </c>
      <c r="F421" s="397">
        <f>[17]Sales_SP!FF196</f>
        <v>14.111778</v>
      </c>
      <c r="G421" s="397">
        <f>[17]Sales_SP!FG196</f>
        <v>14.555582</v>
      </c>
      <c r="H421" s="397">
        <f>[17]Sales_SP!FH196</f>
        <v>10.694777</v>
      </c>
      <c r="I421" s="397">
        <f>[17]Sales_SP!FI196</f>
        <v>11.019239</v>
      </c>
      <c r="J421" s="397">
        <f>[17]Sales_SP!FJ196</f>
        <v>10.064751</v>
      </c>
      <c r="K421" s="397">
        <f>[17]Sales_SP!FK196</f>
        <v>10.712406</v>
      </c>
      <c r="L421" s="397">
        <f>[17]Sales_SP!FL196</f>
        <v>9.92955</v>
      </c>
      <c r="M421" s="397">
        <f>[17]Sales_SP!FM196</f>
        <v>9.617239</v>
      </c>
      <c r="N421" s="397">
        <f>[17]Sales_SP!FN196</f>
        <v>9.632757</v>
      </c>
      <c r="O421" s="397">
        <f>[17]Sales_SP!FO196</f>
        <v>10.822462</v>
      </c>
      <c r="P421" s="397">
        <f>[17]Sales_SP!FP196</f>
        <v>14.087562</v>
      </c>
      <c r="Q421" s="864">
        <f t="shared" si="117"/>
        <v>138.031816</v>
      </c>
      <c r="R421" s="863"/>
      <c r="S421" s="863"/>
    </row>
    <row r="422" ht="15" spans="3:19">
      <c r="C422" s="296" t="s">
        <v>218</v>
      </c>
      <c r="D422" s="296" t="s">
        <v>186</v>
      </c>
      <c r="E422" s="397">
        <f>[17]Sales_SP!FE197</f>
        <v>3.632685</v>
      </c>
      <c r="F422" s="397">
        <f>[17]Sales_SP!FF197</f>
        <v>3.6248</v>
      </c>
      <c r="G422" s="397">
        <f>[17]Sales_SP!FG197</f>
        <v>3.567235</v>
      </c>
      <c r="H422" s="397">
        <f>[17]Sales_SP!FH197</f>
        <v>3.836725</v>
      </c>
      <c r="I422" s="397">
        <f>[17]Sales_SP!FI197</f>
        <v>4.10413</v>
      </c>
      <c r="J422" s="397">
        <f>[17]Sales_SP!FJ197</f>
        <v>4.09011</v>
      </c>
      <c r="K422" s="397">
        <f>[17]Sales_SP!FK197</f>
        <v>4.54934</v>
      </c>
      <c r="L422" s="397">
        <f>[17]Sales_SP!FL197</f>
        <v>2.57343</v>
      </c>
      <c r="M422" s="397">
        <f>[17]Sales_SP!FM197</f>
        <v>2.482033</v>
      </c>
      <c r="N422" s="397">
        <f>[17]Sales_SP!FN197</f>
        <v>2.454798</v>
      </c>
      <c r="O422" s="397">
        <f>[17]Sales_SP!FO197</f>
        <v>2.621288</v>
      </c>
      <c r="P422" s="397">
        <f>[17]Sales_SP!FP197</f>
        <v>2.675863</v>
      </c>
      <c r="Q422" s="864">
        <f t="shared" si="117"/>
        <v>40.212437</v>
      </c>
      <c r="R422" s="863"/>
      <c r="S422" s="863"/>
    </row>
    <row r="423" ht="15" spans="3:19">
      <c r="C423" s="296" t="s">
        <v>210</v>
      </c>
      <c r="D423" s="296" t="s">
        <v>188</v>
      </c>
      <c r="E423" s="397">
        <v>0</v>
      </c>
      <c r="F423" s="397">
        <v>0</v>
      </c>
      <c r="G423" s="397">
        <v>0</v>
      </c>
      <c r="H423" s="397">
        <v>0</v>
      </c>
      <c r="I423" s="397">
        <v>0</v>
      </c>
      <c r="J423" s="397">
        <v>0</v>
      </c>
      <c r="K423" s="397">
        <v>0</v>
      </c>
      <c r="L423" s="397">
        <v>0</v>
      </c>
      <c r="M423" s="397">
        <v>0</v>
      </c>
      <c r="N423" s="397">
        <v>0</v>
      </c>
      <c r="O423" s="397">
        <v>0</v>
      </c>
      <c r="P423" s="397">
        <v>0</v>
      </c>
      <c r="Q423" s="864">
        <f t="shared" si="117"/>
        <v>0</v>
      </c>
      <c r="R423" s="863"/>
      <c r="S423" s="863"/>
    </row>
    <row r="424" ht="15" spans="3:19">
      <c r="C424" s="296"/>
      <c r="D424" s="296"/>
      <c r="E424" s="397"/>
      <c r="F424" s="397"/>
      <c r="G424" s="397"/>
      <c r="H424" s="397"/>
      <c r="I424" s="397"/>
      <c r="J424" s="397"/>
      <c r="K424" s="397"/>
      <c r="L424" s="397"/>
      <c r="M424" s="397"/>
      <c r="N424" s="397"/>
      <c r="O424" s="397"/>
      <c r="P424" s="397"/>
      <c r="Q424" s="864">
        <f t="shared" si="117"/>
        <v>0</v>
      </c>
      <c r="R424" s="863"/>
      <c r="S424" s="863"/>
    </row>
    <row r="425" ht="15" spans="3:19">
      <c r="C425" s="296"/>
      <c r="D425" s="296"/>
      <c r="E425" s="397"/>
      <c r="F425" s="397"/>
      <c r="G425" s="397"/>
      <c r="H425" s="397"/>
      <c r="I425" s="397"/>
      <c r="J425" s="397"/>
      <c r="K425" s="397"/>
      <c r="L425" s="397"/>
      <c r="M425" s="397"/>
      <c r="N425" s="397"/>
      <c r="O425" s="397"/>
      <c r="P425" s="397"/>
      <c r="Q425" s="864">
        <f t="shared" si="117"/>
        <v>0</v>
      </c>
      <c r="R425" s="863"/>
      <c r="S425" s="863"/>
    </row>
    <row r="426" ht="15" spans="3:19">
      <c r="C426" s="296"/>
      <c r="D426" s="296"/>
      <c r="E426" s="397"/>
      <c r="F426" s="397"/>
      <c r="G426" s="397"/>
      <c r="H426" s="397"/>
      <c r="I426" s="397"/>
      <c r="J426" s="397"/>
      <c r="K426" s="397"/>
      <c r="L426" s="397"/>
      <c r="M426" s="397"/>
      <c r="N426" s="397"/>
      <c r="O426" s="397"/>
      <c r="P426" s="397"/>
      <c r="Q426" s="864">
        <f t="shared" si="117"/>
        <v>0</v>
      </c>
      <c r="R426" s="863"/>
      <c r="S426" s="863"/>
    </row>
    <row r="427" ht="15" spans="3:19">
      <c r="C427" s="296" t="s">
        <v>258</v>
      </c>
      <c r="D427" s="296" t="s">
        <v>258</v>
      </c>
      <c r="E427" s="397"/>
      <c r="F427" s="397"/>
      <c r="G427" s="397"/>
      <c r="H427" s="397"/>
      <c r="I427" s="397"/>
      <c r="J427" s="397"/>
      <c r="K427" s="397"/>
      <c r="L427" s="397"/>
      <c r="M427" s="397"/>
      <c r="N427" s="397"/>
      <c r="O427" s="397"/>
      <c r="P427" s="397"/>
      <c r="Q427" s="864">
        <f t="shared" si="117"/>
        <v>0</v>
      </c>
      <c r="R427" s="863"/>
      <c r="S427" s="863"/>
    </row>
    <row r="428" ht="15" spans="3:19">
      <c r="C428" s="285" t="s">
        <v>211</v>
      </c>
      <c r="D428" s="286"/>
      <c r="E428" s="864">
        <f t="shared" ref="E428:P428" si="118">SUM(E413:E427)</f>
        <v>615.1483615</v>
      </c>
      <c r="F428" s="864">
        <f t="shared" si="118"/>
        <v>659.2800935</v>
      </c>
      <c r="G428" s="864">
        <f t="shared" si="118"/>
        <v>646.8505815</v>
      </c>
      <c r="H428" s="864">
        <f t="shared" si="118"/>
        <v>634.111658</v>
      </c>
      <c r="I428" s="864">
        <f t="shared" si="118"/>
        <v>650.4453005</v>
      </c>
      <c r="J428" s="864">
        <f t="shared" si="118"/>
        <v>627.785619483</v>
      </c>
      <c r="K428" s="864">
        <f t="shared" si="118"/>
        <v>637.152778</v>
      </c>
      <c r="L428" s="864">
        <f t="shared" si="118"/>
        <v>637.273179</v>
      </c>
      <c r="M428" s="864">
        <f t="shared" si="118"/>
        <v>638.1604255</v>
      </c>
      <c r="N428" s="864">
        <f t="shared" si="118"/>
        <v>639.048251</v>
      </c>
      <c r="O428" s="864">
        <f t="shared" si="118"/>
        <v>629.005331</v>
      </c>
      <c r="P428" s="864">
        <f t="shared" si="118"/>
        <v>711.0830685</v>
      </c>
      <c r="Q428" s="864">
        <f t="shared" si="117"/>
        <v>7725.344647483</v>
      </c>
      <c r="R428" s="863"/>
      <c r="S428" s="863"/>
    </row>
    <row r="429" ht="15" spans="3:19">
      <c r="C429" s="285" t="s">
        <v>219</v>
      </c>
      <c r="D429" s="286"/>
      <c r="E429" s="397"/>
      <c r="F429" s="397"/>
      <c r="G429" s="397"/>
      <c r="H429" s="397"/>
      <c r="I429" s="397"/>
      <c r="J429" s="397"/>
      <c r="K429" s="397"/>
      <c r="L429" s="397"/>
      <c r="M429" s="397"/>
      <c r="N429" s="397"/>
      <c r="O429" s="397"/>
      <c r="P429" s="397"/>
      <c r="Q429" s="864"/>
      <c r="R429" s="863"/>
      <c r="S429" s="863"/>
    </row>
    <row r="430" ht="15" spans="3:19">
      <c r="C430" s="296" t="s">
        <v>191</v>
      </c>
      <c r="D430" s="296" t="s">
        <v>192</v>
      </c>
      <c r="E430" s="397">
        <f>[17]Sales_SP!FE212</f>
        <v>353.754349</v>
      </c>
      <c r="F430" s="397">
        <f>[17]Sales_SP!FF212</f>
        <v>342.816285</v>
      </c>
      <c r="G430" s="397">
        <f>[17]Sales_SP!FG212</f>
        <v>354.450655</v>
      </c>
      <c r="H430" s="397">
        <f>[17]Sales_SP!FH212</f>
        <v>343.523486</v>
      </c>
      <c r="I430" s="397">
        <f>[17]Sales_SP!FI212</f>
        <v>370.206155</v>
      </c>
      <c r="J430" s="397">
        <f>[17]Sales_SP!FJ212</f>
        <v>368.659577</v>
      </c>
      <c r="K430" s="397">
        <f>[17]Sales_SP!FK212</f>
        <v>396.30107</v>
      </c>
      <c r="L430" s="397">
        <f>[17]Sales_SP!FL212</f>
        <v>390.546152</v>
      </c>
      <c r="M430" s="397">
        <f>[17]Sales_SP!FM212</f>
        <v>396.722489</v>
      </c>
      <c r="N430" s="397">
        <f>[17]Sales_SP!FN212</f>
        <v>390.381964</v>
      </c>
      <c r="O430" s="397">
        <f>[17]Sales_SP!FO212</f>
        <v>360.75827</v>
      </c>
      <c r="P430" s="397">
        <f>[17]Sales_SP!FP212</f>
        <v>391.369095</v>
      </c>
      <c r="Q430" s="864">
        <f t="shared" si="117"/>
        <v>4459.489547</v>
      </c>
      <c r="R430" s="863"/>
      <c r="S430" s="863"/>
    </row>
    <row r="431" ht="15" spans="3:19">
      <c r="C431" s="296" t="s">
        <v>193</v>
      </c>
      <c r="D431" s="296" t="s">
        <v>194</v>
      </c>
      <c r="E431" s="397">
        <f>[17]Sales_SP!FE222</f>
        <v>14.864935</v>
      </c>
      <c r="F431" s="397">
        <f>[17]Sales_SP!FF222</f>
        <v>16.884465</v>
      </c>
      <c r="G431" s="397">
        <f>[17]Sales_SP!FG222</f>
        <v>8.165</v>
      </c>
      <c r="H431" s="397">
        <f>[17]Sales_SP!FH222</f>
        <v>9.3055</v>
      </c>
      <c r="I431" s="397">
        <f>[17]Sales_SP!FI222</f>
        <v>14.862485</v>
      </c>
      <c r="J431" s="397">
        <f>[17]Sales_SP!FJ222</f>
        <v>12.82638</v>
      </c>
      <c r="K431" s="397">
        <f>[17]Sales_SP!FK222</f>
        <v>14.813835</v>
      </c>
      <c r="L431" s="397">
        <f>[17]Sales_SP!FL222</f>
        <v>10.4765</v>
      </c>
      <c r="M431" s="397">
        <f>[17]Sales_SP!FM222</f>
        <v>12.8933</v>
      </c>
      <c r="N431" s="397">
        <f>[17]Sales_SP!FN222</f>
        <v>13.8759</v>
      </c>
      <c r="O431" s="397">
        <f>[17]Sales_SP!FO222</f>
        <v>12.5152</v>
      </c>
      <c r="P431" s="397">
        <f>[17]Sales_SP!FP222</f>
        <v>11.67</v>
      </c>
      <c r="Q431" s="864">
        <f t="shared" si="117"/>
        <v>153.1535</v>
      </c>
      <c r="R431" s="863"/>
      <c r="S431" s="863"/>
    </row>
    <row r="432" ht="15" spans="3:19">
      <c r="C432" s="296" t="s">
        <v>239</v>
      </c>
      <c r="D432" s="296" t="s">
        <v>196</v>
      </c>
      <c r="E432" s="397">
        <f>[17]Sales_SP!FE228</f>
        <v>4.175645</v>
      </c>
      <c r="F432" s="397">
        <f>[17]Sales_SP!FF228</f>
        <v>4.948725</v>
      </c>
      <c r="G432" s="397">
        <f>[17]Sales_SP!FG228</f>
        <v>5.0636</v>
      </c>
      <c r="H432" s="397">
        <f>[17]Sales_SP!FH228</f>
        <v>4.392</v>
      </c>
      <c r="I432" s="397">
        <f>[17]Sales_SP!FI228</f>
        <v>6.144615</v>
      </c>
      <c r="J432" s="397">
        <f>[17]Sales_SP!FJ228</f>
        <v>6.96166</v>
      </c>
      <c r="K432" s="397">
        <f>[17]Sales_SP!FK228</f>
        <v>8.77804</v>
      </c>
      <c r="L432" s="397">
        <f>[17]Sales_SP!FL228</f>
        <v>9.160365</v>
      </c>
      <c r="M432" s="397">
        <f>[17]Sales_SP!FM228</f>
        <v>9.11136</v>
      </c>
      <c r="N432" s="397">
        <f>[17]Sales_SP!FN228</f>
        <v>9.17925</v>
      </c>
      <c r="O432" s="397">
        <f>[17]Sales_SP!FO228</f>
        <v>10.853265</v>
      </c>
      <c r="P432" s="397">
        <f>[17]Sales_SP!FP228</f>
        <v>15.47474</v>
      </c>
      <c r="Q432" s="864">
        <f t="shared" si="117"/>
        <v>94.243265</v>
      </c>
      <c r="R432" s="863"/>
      <c r="S432" s="863"/>
    </row>
    <row r="433" ht="15" spans="3:19">
      <c r="C433" s="296" t="s">
        <v>197</v>
      </c>
      <c r="D433" s="296" t="s">
        <v>198</v>
      </c>
      <c r="E433" s="397">
        <f>[17]Sales_SP!FE233</f>
        <v>0</v>
      </c>
      <c r="F433" s="397">
        <f>[17]Sales_SP!FF233</f>
        <v>0</v>
      </c>
      <c r="G433" s="397">
        <f>[17]Sales_SP!FG233</f>
        <v>0</v>
      </c>
      <c r="H433" s="397">
        <f>[17]Sales_SP!FH233</f>
        <v>0</v>
      </c>
      <c r="I433" s="397">
        <f>[17]Sales_SP!FI233</f>
        <v>0</v>
      </c>
      <c r="J433" s="397">
        <f>[17]Sales_SP!FJ233</f>
        <v>0</v>
      </c>
      <c r="K433" s="397">
        <f>[17]Sales_SP!FK233</f>
        <v>0</v>
      </c>
      <c r="L433" s="397">
        <f>[17]Sales_SP!FL233</f>
        <v>0</v>
      </c>
      <c r="M433" s="397">
        <f>[17]Sales_SP!FM233</f>
        <v>0</v>
      </c>
      <c r="N433" s="397">
        <f>[17]Sales_SP!FN233</f>
        <v>0</v>
      </c>
      <c r="O433" s="397">
        <f>[17]Sales_SP!FO233</f>
        <v>0</v>
      </c>
      <c r="P433" s="397">
        <f>[17]Sales_SP!FP233</f>
        <v>0</v>
      </c>
      <c r="Q433" s="864">
        <f t="shared" si="117"/>
        <v>0</v>
      </c>
      <c r="R433" s="863"/>
      <c r="S433" s="863"/>
    </row>
    <row r="434" ht="15" spans="3:19">
      <c r="C434" s="296" t="s">
        <v>199</v>
      </c>
      <c r="D434" s="296" t="s">
        <v>200</v>
      </c>
      <c r="E434" s="397">
        <f>[17]Sales_SP!FE238</f>
        <v>6.46275</v>
      </c>
      <c r="F434" s="397">
        <f>[17]Sales_SP!FF238</f>
        <v>7.64446</v>
      </c>
      <c r="G434" s="397">
        <f>[17]Sales_SP!FG238</f>
        <v>7.34827</v>
      </c>
      <c r="H434" s="397">
        <f>[17]Sales_SP!FH238</f>
        <v>7.04593</v>
      </c>
      <c r="I434" s="397">
        <f>[17]Sales_SP!FI238</f>
        <v>7.2425</v>
      </c>
      <c r="J434" s="397">
        <f>[17]Sales_SP!FJ238</f>
        <v>7.24163</v>
      </c>
      <c r="K434" s="397">
        <f>[17]Sales_SP!FK238</f>
        <v>6.92157</v>
      </c>
      <c r="L434" s="397">
        <f>[17]Sales_SP!FL238</f>
        <v>7.05844</v>
      </c>
      <c r="M434" s="397">
        <f>[17]Sales_SP!FM238</f>
        <v>6.27938</v>
      </c>
      <c r="N434" s="397">
        <f>[17]Sales_SP!FN238</f>
        <v>6.29914</v>
      </c>
      <c r="O434" s="397">
        <f>[17]Sales_SP!FO238</f>
        <v>7.02854</v>
      </c>
      <c r="P434" s="397">
        <f>[17]Sales_SP!FP238</f>
        <v>8.40917</v>
      </c>
      <c r="Q434" s="864">
        <f t="shared" si="117"/>
        <v>84.98178</v>
      </c>
      <c r="R434" s="863"/>
      <c r="S434" s="863"/>
    </row>
    <row r="435" ht="15" spans="3:19">
      <c r="C435" s="296" t="s">
        <v>201</v>
      </c>
      <c r="D435" s="296" t="s">
        <v>240</v>
      </c>
      <c r="E435" s="397">
        <f>[17]Sales_SP!FE244</f>
        <v>51.47840647</v>
      </c>
      <c r="F435" s="397">
        <f>[17]Sales_SP!FF244</f>
        <v>29.94577976</v>
      </c>
      <c r="G435" s="397">
        <f>[17]Sales_SP!FG244</f>
        <v>50.68736743</v>
      </c>
      <c r="H435" s="397">
        <f>[17]Sales_SP!FH244</f>
        <v>71.81653812</v>
      </c>
      <c r="I435" s="397">
        <f>[17]Sales_SP!FI244</f>
        <v>182.16534286</v>
      </c>
      <c r="J435" s="397">
        <f>[17]Sales_SP!FJ244</f>
        <v>241.63227312</v>
      </c>
      <c r="K435" s="397">
        <f>[17]Sales_SP!FK244</f>
        <v>204.20994608</v>
      </c>
      <c r="L435" s="397">
        <f>[17]Sales_SP!FL244</f>
        <v>193.09336476</v>
      </c>
      <c r="M435" s="397">
        <f>[17]Sales_SP!FM244</f>
        <v>57.60779998</v>
      </c>
      <c r="N435" s="397">
        <f>[17]Sales_SP!FN244</f>
        <v>39.88847315</v>
      </c>
      <c r="O435" s="397">
        <f>[17]Sales_SP!FO244</f>
        <v>49.77171331</v>
      </c>
      <c r="P435" s="397">
        <f>[17]Sales_SP!FP244</f>
        <v>33.54475643</v>
      </c>
      <c r="Q435" s="864">
        <f t="shared" si="117"/>
        <v>1205.84176147</v>
      </c>
      <c r="R435" s="863"/>
      <c r="S435" s="863"/>
    </row>
    <row r="436" ht="15" spans="3:19">
      <c r="C436" s="296" t="s">
        <v>203</v>
      </c>
      <c r="D436" s="296" t="s">
        <v>220</v>
      </c>
      <c r="E436" s="397">
        <f>[17]Sales_SP!FE246</f>
        <v>21.2335</v>
      </c>
      <c r="F436" s="397">
        <f>[17]Sales_SP!FF246</f>
        <v>23.23506</v>
      </c>
      <c r="G436" s="397">
        <f>[17]Sales_SP!FG246</f>
        <v>21.48016</v>
      </c>
      <c r="H436" s="397">
        <f>[17]Sales_SP!FH246</f>
        <v>20.95078</v>
      </c>
      <c r="I436" s="397">
        <f>[17]Sales_SP!FI246</f>
        <v>23.5218</v>
      </c>
      <c r="J436" s="397">
        <f>[17]Sales_SP!FJ246</f>
        <v>22.61348</v>
      </c>
      <c r="K436" s="397">
        <f>[17]Sales_SP!FK246</f>
        <v>22.62072</v>
      </c>
      <c r="L436" s="397">
        <f>[17]Sales_SP!FL246</f>
        <v>23.574</v>
      </c>
      <c r="M436" s="397">
        <f>[17]Sales_SP!FM246</f>
        <v>25</v>
      </c>
      <c r="N436" s="397">
        <f>[17]Sales_SP!FN246</f>
        <v>23.49334</v>
      </c>
      <c r="O436" s="397">
        <f>[17]Sales_SP!FO246</f>
        <v>20.83466</v>
      </c>
      <c r="P436" s="397">
        <f>[17]Sales_SP!FP246</f>
        <v>25.172</v>
      </c>
      <c r="Q436" s="864">
        <f t="shared" si="117"/>
        <v>273.7295</v>
      </c>
      <c r="R436" s="863"/>
      <c r="S436" s="863"/>
    </row>
    <row r="437" ht="15" spans="3:19">
      <c r="C437" s="296" t="s">
        <v>241</v>
      </c>
      <c r="D437" s="296" t="s">
        <v>229</v>
      </c>
      <c r="E437" s="397">
        <f>[17]Sales_SP!FE249</f>
        <v>35.659178</v>
      </c>
      <c r="F437" s="397">
        <f>[17]Sales_SP!FF249</f>
        <v>38.505745</v>
      </c>
      <c r="G437" s="397">
        <f>[17]Sales_SP!FG249</f>
        <v>36.94497</v>
      </c>
      <c r="H437" s="397">
        <f>[17]Sales_SP!FH249</f>
        <v>38.45358</v>
      </c>
      <c r="I437" s="397">
        <f>[17]Sales_SP!FI249</f>
        <v>40.649315</v>
      </c>
      <c r="J437" s="397">
        <f>[17]Sales_SP!FJ249</f>
        <v>40.313665</v>
      </c>
      <c r="K437" s="397">
        <f>[17]Sales_SP!FK249</f>
        <v>44.821985</v>
      </c>
      <c r="L437" s="397">
        <f>[17]Sales_SP!FL249</f>
        <v>43.1288</v>
      </c>
      <c r="M437" s="397">
        <f>[17]Sales_SP!FM249</f>
        <v>42.76955</v>
      </c>
      <c r="N437" s="397">
        <f>[17]Sales_SP!FN249</f>
        <v>44.6322</v>
      </c>
      <c r="O437" s="397">
        <f>[17]Sales_SP!FO249</f>
        <v>41.9162</v>
      </c>
      <c r="P437" s="397">
        <f>[17]Sales_SP!FP249</f>
        <v>45.76611</v>
      </c>
      <c r="Q437" s="864">
        <f t="shared" si="117"/>
        <v>493.561298</v>
      </c>
      <c r="R437" s="863"/>
      <c r="S437" s="863"/>
    </row>
    <row r="438" ht="15" spans="3:19">
      <c r="C438" s="296" t="s">
        <v>259</v>
      </c>
      <c r="D438" s="296" t="s">
        <v>243</v>
      </c>
      <c r="E438" s="397">
        <f>[17]Sales_SP!FE251</f>
        <v>7.640682</v>
      </c>
      <c r="F438" s="397">
        <f>[17]Sales_SP!FF251</f>
        <v>8.254045</v>
      </c>
      <c r="G438" s="397">
        <f>[17]Sales_SP!FG251</f>
        <v>8.191949</v>
      </c>
      <c r="H438" s="397">
        <f>[17]Sales_SP!FH251</f>
        <v>8.098411</v>
      </c>
      <c r="I438" s="397">
        <f>[17]Sales_SP!FI251</f>
        <v>7.530217</v>
      </c>
      <c r="J438" s="397">
        <f>[17]Sales_SP!FJ251</f>
        <v>7.587986</v>
      </c>
      <c r="K438" s="397">
        <f>[17]Sales_SP!FK251</f>
        <v>9.98315</v>
      </c>
      <c r="L438" s="397">
        <f>[17]Sales_SP!FL251</f>
        <v>7.273028</v>
      </c>
      <c r="M438" s="397">
        <f>[17]Sales_SP!FM251</f>
        <v>9.11264</v>
      </c>
      <c r="N438" s="397">
        <f>[17]Sales_SP!FN251</f>
        <v>9.38533</v>
      </c>
      <c r="O438" s="397">
        <f>[17]Sales_SP!FO251</f>
        <v>9.3696</v>
      </c>
      <c r="P438" s="397">
        <f>[17]Sales_SP!FP251</f>
        <v>10.62205</v>
      </c>
      <c r="Q438" s="864">
        <f t="shared" si="117"/>
        <v>103.049088</v>
      </c>
      <c r="R438" s="863"/>
      <c r="S438" s="863"/>
    </row>
    <row r="439" ht="15" spans="3:19">
      <c r="C439" s="296" t="s">
        <v>205</v>
      </c>
      <c r="D439" s="296" t="s">
        <v>206</v>
      </c>
      <c r="E439" s="397">
        <f>[17]Sales_SP!FE253</f>
        <v>0</v>
      </c>
      <c r="F439" s="397">
        <f>[17]Sales_SP!FF253</f>
        <v>0</v>
      </c>
      <c r="G439" s="397">
        <f>[17]Sales_SP!FG253</f>
        <v>0</v>
      </c>
      <c r="H439" s="397">
        <f>[17]Sales_SP!FH253</f>
        <v>0</v>
      </c>
      <c r="I439" s="397">
        <f>[17]Sales_SP!FI253</f>
        <v>0</v>
      </c>
      <c r="J439" s="397">
        <f>[17]Sales_SP!FJ253</f>
        <v>0</v>
      </c>
      <c r="K439" s="397">
        <f>[17]Sales_SP!FK253</f>
        <v>0</v>
      </c>
      <c r="L439" s="397">
        <f>[17]Sales_SP!FL253</f>
        <v>0</v>
      </c>
      <c r="M439" s="397">
        <f>[17]Sales_SP!FM253</f>
        <v>0</v>
      </c>
      <c r="N439" s="397">
        <f>[17]Sales_SP!FN253</f>
        <v>0</v>
      </c>
      <c r="O439" s="397">
        <f>[17]Sales_SP!FO253</f>
        <v>0</v>
      </c>
      <c r="P439" s="397">
        <f>[17]Sales_SP!FP253</f>
        <v>0</v>
      </c>
      <c r="Q439" s="864">
        <f t="shared" si="117"/>
        <v>0</v>
      </c>
      <c r="R439" s="863"/>
      <c r="S439" s="863"/>
    </row>
    <row r="440" ht="15" spans="3:19">
      <c r="C440" s="296" t="s">
        <v>207</v>
      </c>
      <c r="D440" s="296" t="s">
        <v>186</v>
      </c>
      <c r="E440" s="397">
        <f>[17]Sales_SP!FE254</f>
        <v>0</v>
      </c>
      <c r="F440" s="397">
        <f>[17]Sales_SP!FF254</f>
        <v>0</v>
      </c>
      <c r="G440" s="397">
        <f>[17]Sales_SP!FG254</f>
        <v>0</v>
      </c>
      <c r="H440" s="397">
        <f>[17]Sales_SP!FH254</f>
        <v>0</v>
      </c>
      <c r="I440" s="397">
        <f>[17]Sales_SP!FI254</f>
        <v>0</v>
      </c>
      <c r="J440" s="397">
        <f>[17]Sales_SP!FJ254</f>
        <v>0</v>
      </c>
      <c r="K440" s="397">
        <f>[17]Sales_SP!FK254</f>
        <v>0</v>
      </c>
      <c r="L440" s="397">
        <f>[17]Sales_SP!FL254</f>
        <v>0</v>
      </c>
      <c r="M440" s="397">
        <f>[17]Sales_SP!FM254</f>
        <v>0</v>
      </c>
      <c r="N440" s="397">
        <f>[17]Sales_SP!FN254</f>
        <v>0</v>
      </c>
      <c r="O440" s="397">
        <f>[17]Sales_SP!FO254</f>
        <v>0</v>
      </c>
      <c r="P440" s="397">
        <f>[17]Sales_SP!FP254</f>
        <v>0</v>
      </c>
      <c r="Q440" s="864">
        <f t="shared" si="117"/>
        <v>0</v>
      </c>
      <c r="R440" s="863"/>
      <c r="S440" s="863"/>
    </row>
    <row r="441" ht="15" spans="3:19">
      <c r="C441" s="296" t="s">
        <v>208</v>
      </c>
      <c r="D441" s="296" t="s">
        <v>209</v>
      </c>
      <c r="E441" s="397">
        <v>0</v>
      </c>
      <c r="F441" s="397">
        <v>0</v>
      </c>
      <c r="G441" s="397">
        <v>0</v>
      </c>
      <c r="H441" s="397">
        <v>0</v>
      </c>
      <c r="I441" s="397">
        <v>0</v>
      </c>
      <c r="J441" s="397">
        <v>0</v>
      </c>
      <c r="K441" s="397">
        <v>0</v>
      </c>
      <c r="L441" s="397">
        <v>0</v>
      </c>
      <c r="M441" s="397">
        <v>0</v>
      </c>
      <c r="N441" s="397">
        <v>0</v>
      </c>
      <c r="O441" s="397">
        <v>0</v>
      </c>
      <c r="P441" s="397">
        <v>0</v>
      </c>
      <c r="Q441" s="864">
        <f t="shared" si="117"/>
        <v>0</v>
      </c>
      <c r="R441" s="863"/>
      <c r="S441" s="863"/>
    </row>
    <row r="442" ht="15" spans="3:19">
      <c r="C442" s="296" t="s">
        <v>210</v>
      </c>
      <c r="D442" s="296" t="s">
        <v>188</v>
      </c>
      <c r="E442" s="397">
        <v>0</v>
      </c>
      <c r="F442" s="397">
        <v>0</v>
      </c>
      <c r="G442" s="397">
        <v>0</v>
      </c>
      <c r="H442" s="397">
        <v>0</v>
      </c>
      <c r="I442" s="397">
        <v>0</v>
      </c>
      <c r="J442" s="397">
        <v>0</v>
      </c>
      <c r="K442" s="397">
        <v>0</v>
      </c>
      <c r="L442" s="397">
        <v>0</v>
      </c>
      <c r="M442" s="397">
        <v>0</v>
      </c>
      <c r="N442" s="397">
        <v>0</v>
      </c>
      <c r="O442" s="397">
        <v>0</v>
      </c>
      <c r="P442" s="397">
        <v>0</v>
      </c>
      <c r="Q442" s="864">
        <f t="shared" si="117"/>
        <v>0</v>
      </c>
      <c r="R442" s="863"/>
      <c r="S442" s="863"/>
    </row>
    <row r="443" ht="15" spans="3:19">
      <c r="C443" s="296"/>
      <c r="D443" s="296"/>
      <c r="E443" s="397"/>
      <c r="F443" s="397"/>
      <c r="G443" s="397"/>
      <c r="H443" s="397"/>
      <c r="I443" s="397"/>
      <c r="J443" s="397"/>
      <c r="K443" s="397"/>
      <c r="L443" s="397"/>
      <c r="M443" s="397"/>
      <c r="N443" s="397"/>
      <c r="O443" s="397"/>
      <c r="P443" s="397"/>
      <c r="Q443" s="864">
        <f t="shared" si="117"/>
        <v>0</v>
      </c>
      <c r="R443" s="863"/>
      <c r="S443" s="863"/>
    </row>
    <row r="444" ht="15" spans="3:19">
      <c r="C444" s="296"/>
      <c r="D444" s="296"/>
      <c r="E444" s="397"/>
      <c r="F444" s="397"/>
      <c r="G444" s="397"/>
      <c r="H444" s="397"/>
      <c r="I444" s="397"/>
      <c r="J444" s="397"/>
      <c r="K444" s="397"/>
      <c r="L444" s="397"/>
      <c r="M444" s="397"/>
      <c r="N444" s="397"/>
      <c r="O444" s="397"/>
      <c r="P444" s="397"/>
      <c r="Q444" s="864">
        <f t="shared" si="117"/>
        <v>0</v>
      </c>
      <c r="R444" s="863"/>
      <c r="S444" s="863"/>
    </row>
    <row r="445" ht="15" spans="3:19">
      <c r="C445" s="296"/>
      <c r="D445" s="296"/>
      <c r="E445" s="397"/>
      <c r="F445" s="397"/>
      <c r="G445" s="397"/>
      <c r="H445" s="397"/>
      <c r="I445" s="397"/>
      <c r="J445" s="397"/>
      <c r="K445" s="397"/>
      <c r="L445" s="397"/>
      <c r="M445" s="397"/>
      <c r="N445" s="397"/>
      <c r="O445" s="397"/>
      <c r="P445" s="397"/>
      <c r="Q445" s="864">
        <f t="shared" si="117"/>
        <v>0</v>
      </c>
      <c r="R445" s="863"/>
      <c r="S445" s="863"/>
    </row>
    <row r="446" ht="15" spans="3:19">
      <c r="C446" s="296" t="s">
        <v>258</v>
      </c>
      <c r="D446" s="296" t="s">
        <v>258</v>
      </c>
      <c r="E446" s="397"/>
      <c r="F446" s="397"/>
      <c r="G446" s="397"/>
      <c r="H446" s="397"/>
      <c r="I446" s="397"/>
      <c r="J446" s="397"/>
      <c r="K446" s="397"/>
      <c r="L446" s="397"/>
      <c r="M446" s="397"/>
      <c r="N446" s="397"/>
      <c r="O446" s="397"/>
      <c r="P446" s="397"/>
      <c r="Q446" s="864">
        <f t="shared" si="117"/>
        <v>0</v>
      </c>
      <c r="R446" s="863"/>
      <c r="S446" s="863"/>
    </row>
    <row r="447" ht="15" spans="3:19">
      <c r="C447" s="285" t="s">
        <v>211</v>
      </c>
      <c r="D447" s="286"/>
      <c r="E447" s="864">
        <f>SUM(E430:E446)</f>
        <v>495.26944547</v>
      </c>
      <c r="F447" s="864">
        <f t="shared" ref="F447:P447" si="119">SUM(F430:F446)</f>
        <v>472.23456476</v>
      </c>
      <c r="G447" s="864">
        <f t="shared" si="119"/>
        <v>492.33197143</v>
      </c>
      <c r="H447" s="864">
        <f t="shared" si="119"/>
        <v>503.58622512</v>
      </c>
      <c r="I447" s="864">
        <f t="shared" si="119"/>
        <v>652.32242986</v>
      </c>
      <c r="J447" s="864">
        <f t="shared" si="119"/>
        <v>707.83665112</v>
      </c>
      <c r="K447" s="864">
        <f t="shared" si="119"/>
        <v>708.45031608</v>
      </c>
      <c r="L447" s="864">
        <f t="shared" si="119"/>
        <v>684.31064976</v>
      </c>
      <c r="M447" s="864">
        <f t="shared" si="119"/>
        <v>559.49651898</v>
      </c>
      <c r="N447" s="864">
        <f t="shared" si="119"/>
        <v>537.13559715</v>
      </c>
      <c r="O447" s="864">
        <f t="shared" si="119"/>
        <v>513.04744831</v>
      </c>
      <c r="P447" s="864">
        <f t="shared" si="119"/>
        <v>542.02792143</v>
      </c>
      <c r="Q447" s="864">
        <f t="shared" si="117"/>
        <v>6868.04973947</v>
      </c>
      <c r="R447" s="863"/>
      <c r="S447" s="863"/>
    </row>
    <row r="448" ht="15" spans="3:19">
      <c r="C448" s="285" t="s">
        <v>223</v>
      </c>
      <c r="D448" s="286"/>
      <c r="E448" s="864">
        <f t="shared" ref="E448:P448" si="120">E447+E428+E411</f>
        <v>1699.289265</v>
      </c>
      <c r="F448" s="864">
        <f t="shared" si="120"/>
        <v>1752.5282652263</v>
      </c>
      <c r="G448" s="864">
        <f t="shared" si="120"/>
        <v>1750.14072974</v>
      </c>
      <c r="H448" s="864">
        <f t="shared" si="120"/>
        <v>1701.773912485</v>
      </c>
      <c r="I448" s="864">
        <f t="shared" si="120"/>
        <v>1898.263908415</v>
      </c>
      <c r="J448" s="864">
        <f t="shared" si="120"/>
        <v>1894.968585633</v>
      </c>
      <c r="K448" s="864">
        <f t="shared" si="120"/>
        <v>1922.94895366</v>
      </c>
      <c r="L448" s="864">
        <f t="shared" si="120"/>
        <v>1887.50935732</v>
      </c>
      <c r="M448" s="864">
        <f t="shared" si="120"/>
        <v>1770.03193365</v>
      </c>
      <c r="N448" s="864">
        <f t="shared" si="120"/>
        <v>1738.78659224</v>
      </c>
      <c r="O448" s="864">
        <f t="shared" si="120"/>
        <v>1714.76989598</v>
      </c>
      <c r="P448" s="864">
        <f t="shared" si="120"/>
        <v>1881.615171905</v>
      </c>
      <c r="Q448" s="864">
        <f t="shared" si="117"/>
        <v>21612.6265712543</v>
      </c>
      <c r="R448" s="863"/>
      <c r="S448" s="863"/>
    </row>
    <row r="449" ht="15" spans="3:19">
      <c r="C449" s="285" t="s">
        <v>224</v>
      </c>
      <c r="D449" s="286"/>
      <c r="E449" s="864">
        <f t="shared" ref="E449:P449" si="121">E448+E394</f>
        <v>3117.30114225</v>
      </c>
      <c r="F449" s="864">
        <f t="shared" si="121"/>
        <v>3422.2616506963</v>
      </c>
      <c r="G449" s="864">
        <f t="shared" si="121"/>
        <v>3256.95480874</v>
      </c>
      <c r="H449" s="864">
        <f t="shared" si="121"/>
        <v>2927.766530485</v>
      </c>
      <c r="I449" s="864">
        <f t="shared" si="121"/>
        <v>3289.304002765</v>
      </c>
      <c r="J449" s="864">
        <f t="shared" si="121"/>
        <v>3185.229800133</v>
      </c>
      <c r="K449" s="864">
        <f t="shared" si="121"/>
        <v>3214.01226541</v>
      </c>
      <c r="L449" s="864">
        <f t="shared" si="121"/>
        <v>3103.42430682</v>
      </c>
      <c r="M449" s="864">
        <f t="shared" si="121"/>
        <v>2881.68937335</v>
      </c>
      <c r="N449" s="864">
        <f t="shared" si="121"/>
        <v>2965.20922774</v>
      </c>
      <c r="O449" s="864">
        <f t="shared" si="121"/>
        <v>2888.56004948</v>
      </c>
      <c r="P449" s="864">
        <f t="shared" si="121"/>
        <v>3420.135622655</v>
      </c>
      <c r="Q449" s="864">
        <f t="shared" si="117"/>
        <v>37671.8487805243</v>
      </c>
      <c r="R449" s="863"/>
      <c r="S449" s="863"/>
    </row>
    <row r="450" spans="5:19">
      <c r="E450" s="863"/>
      <c r="F450" s="863"/>
      <c r="G450" s="863"/>
      <c r="H450" s="863"/>
      <c r="I450" s="863"/>
      <c r="J450" s="863"/>
      <c r="K450" s="863"/>
      <c r="L450" s="863"/>
      <c r="M450" s="863"/>
      <c r="N450" s="863"/>
      <c r="O450" s="863"/>
      <c r="P450" s="863"/>
      <c r="Q450" s="863"/>
      <c r="R450" s="863"/>
      <c r="S450" s="863"/>
    </row>
    <row r="451" ht="15" spans="3:19">
      <c r="C451" s="369"/>
      <c r="E451" s="863"/>
      <c r="F451" s="863"/>
      <c r="G451" s="863"/>
      <c r="H451" s="863"/>
      <c r="I451" s="863"/>
      <c r="J451" s="863"/>
      <c r="K451" s="863"/>
      <c r="L451" s="863"/>
      <c r="M451" s="863"/>
      <c r="N451" s="863"/>
      <c r="O451" s="863"/>
      <c r="P451" s="863"/>
      <c r="Q451" s="870" t="s">
        <v>236</v>
      </c>
      <c r="R451" s="863"/>
      <c r="S451" s="863"/>
    </row>
    <row r="452" ht="15" spans="3:19">
      <c r="C452" s="401" t="s">
        <v>159</v>
      </c>
      <c r="D452" s="401"/>
      <c r="E452" s="864" t="s">
        <v>273</v>
      </c>
      <c r="F452" s="864"/>
      <c r="G452" s="864"/>
      <c r="H452" s="864"/>
      <c r="I452" s="864"/>
      <c r="J452" s="864"/>
      <c r="K452" s="864"/>
      <c r="L452" s="864"/>
      <c r="M452" s="864"/>
      <c r="N452" s="864"/>
      <c r="O452" s="864"/>
      <c r="P452" s="864"/>
      <c r="Q452" s="864"/>
      <c r="R452" s="863"/>
      <c r="S452" s="863"/>
    </row>
    <row r="453" ht="15" spans="3:19">
      <c r="C453" s="401"/>
      <c r="D453" s="401"/>
      <c r="E453" s="864" t="s">
        <v>246</v>
      </c>
      <c r="F453" s="864" t="s">
        <v>247</v>
      </c>
      <c r="G453" s="864" t="s">
        <v>248</v>
      </c>
      <c r="H453" s="864" t="s">
        <v>249</v>
      </c>
      <c r="I453" s="864" t="s">
        <v>250</v>
      </c>
      <c r="J453" s="864" t="s">
        <v>251</v>
      </c>
      <c r="K453" s="864" t="s">
        <v>252</v>
      </c>
      <c r="L453" s="864" t="s">
        <v>253</v>
      </c>
      <c r="M453" s="864" t="s">
        <v>254</v>
      </c>
      <c r="N453" s="864" t="s">
        <v>255</v>
      </c>
      <c r="O453" s="864" t="s">
        <v>256</v>
      </c>
      <c r="P453" s="864" t="s">
        <v>257</v>
      </c>
      <c r="Q453" s="864" t="s">
        <v>97</v>
      </c>
      <c r="R453" s="863"/>
      <c r="S453" s="863"/>
    </row>
    <row r="454" ht="15" spans="3:19">
      <c r="C454" s="285" t="s">
        <v>170</v>
      </c>
      <c r="D454" s="286"/>
      <c r="E454" s="787"/>
      <c r="F454" s="787"/>
      <c r="G454" s="787"/>
      <c r="H454" s="787"/>
      <c r="I454" s="787"/>
      <c r="J454" s="787"/>
      <c r="K454" s="787"/>
      <c r="L454" s="787"/>
      <c r="M454" s="787"/>
      <c r="N454" s="787"/>
      <c r="O454" s="787"/>
      <c r="P454" s="787"/>
      <c r="Q454" s="866"/>
      <c r="R454" s="863"/>
      <c r="S454" s="863"/>
    </row>
    <row r="455" ht="15" spans="3:19">
      <c r="C455" s="296" t="s">
        <v>171</v>
      </c>
      <c r="D455" s="296" t="s">
        <v>172</v>
      </c>
      <c r="E455" s="787">
        <f>[18]Sales_SP!FZ10</f>
        <v>1254.107621</v>
      </c>
      <c r="F455" s="787">
        <f>[18]Sales_SP!GA10</f>
        <v>1262.976422</v>
      </c>
      <c r="G455" s="787">
        <f>[18]Sales_SP!GB10</f>
        <v>1011.90309</v>
      </c>
      <c r="H455" s="787">
        <f>[18]Sales_SP!GC10</f>
        <v>922.8426735</v>
      </c>
      <c r="I455" s="787">
        <f>[18]Sales_SP!GD10</f>
        <v>994.735435</v>
      </c>
      <c r="J455" s="787">
        <f>[18]Sales_SP!GE10</f>
        <v>901.575534</v>
      </c>
      <c r="K455" s="787">
        <f>[18]Sales_SP!GF10</f>
        <v>929.017828828813</v>
      </c>
      <c r="L455" s="787">
        <f>[18]Sales_SP!GG10</f>
        <v>860.566663492101</v>
      </c>
      <c r="M455" s="787">
        <f>[18]Sales_SP!GH10</f>
        <v>763.361367959185</v>
      </c>
      <c r="N455" s="787">
        <f>[18]Sales_SP!GI10</f>
        <v>861.511299516917</v>
      </c>
      <c r="O455" s="787">
        <f>[18]Sales_SP!GJ10</f>
        <v>816.008395741599</v>
      </c>
      <c r="P455" s="787">
        <f>[18]Sales_SP!GK10</f>
        <v>1118.99679642335</v>
      </c>
      <c r="Q455" s="866">
        <f>SUM(E455:P455)</f>
        <v>11697.603127462</v>
      </c>
      <c r="R455" s="863"/>
      <c r="S455" s="863"/>
    </row>
    <row r="456" ht="15" spans="3:19">
      <c r="C456" s="296" t="s">
        <v>173</v>
      </c>
      <c r="D456" s="296" t="s">
        <v>174</v>
      </c>
      <c r="E456" s="787">
        <f>[18]Sales_SP!FZ23</f>
        <v>364.437917</v>
      </c>
      <c r="F456" s="787">
        <f>[18]Sales_SP!GA23</f>
        <v>362.1581145</v>
      </c>
      <c r="G456" s="787">
        <f>[18]Sales_SP!GB23</f>
        <v>321.695783</v>
      </c>
      <c r="H456" s="787">
        <f>[18]Sales_SP!GC23</f>
        <v>306.244297</v>
      </c>
      <c r="I456" s="787">
        <f>[18]Sales_SP!GD23</f>
        <v>322.54559925</v>
      </c>
      <c r="J456" s="787">
        <f>[18]Sales_SP!GE23</f>
        <v>294.4840383</v>
      </c>
      <c r="K456" s="787">
        <f>[18]Sales_SP!GF23</f>
        <v>333.081832663234</v>
      </c>
      <c r="L456" s="787">
        <f>[18]Sales_SP!GG23</f>
        <v>315.187632670055</v>
      </c>
      <c r="M456" s="787">
        <f>[18]Sales_SP!GH23</f>
        <v>290.64361782959</v>
      </c>
      <c r="N456" s="787">
        <f>[18]Sales_SP!GI23</f>
        <v>318.172317343537</v>
      </c>
      <c r="O456" s="787">
        <f>[18]Sales_SP!GJ23</f>
        <v>317.652496712642</v>
      </c>
      <c r="P456" s="787">
        <f>[18]Sales_SP!GK23</f>
        <v>392.702369709699</v>
      </c>
      <c r="Q456" s="866">
        <f t="shared" ref="Q456:Q520" si="122">SUM(E456:P456)</f>
        <v>3939.00601597876</v>
      </c>
      <c r="R456" s="863"/>
      <c r="S456" s="863"/>
    </row>
    <row r="457" ht="15" spans="3:19">
      <c r="C457" s="296" t="s">
        <v>175</v>
      </c>
      <c r="D457" s="296" t="s">
        <v>176</v>
      </c>
      <c r="E457" s="787">
        <f>[18]Sales_SP!FZ36</f>
        <v>82.8292910000001</v>
      </c>
      <c r="F457" s="787">
        <f>[18]Sales_SP!GA36</f>
        <v>87.1684139999999</v>
      </c>
      <c r="G457" s="787">
        <f>[18]Sales_SP!GB36</f>
        <v>81.208712</v>
      </c>
      <c r="H457" s="787">
        <f>[18]Sales_SP!GC36</f>
        <v>80.3354020000001</v>
      </c>
      <c r="I457" s="787">
        <f>[18]Sales_SP!GD36</f>
        <v>79.8906180000001</v>
      </c>
      <c r="J457" s="787">
        <f>[18]Sales_SP!GE36</f>
        <v>74.830847</v>
      </c>
      <c r="K457" s="787">
        <f>[18]Sales_SP!GF36</f>
        <v>81.8170789825838</v>
      </c>
      <c r="L457" s="787">
        <f>[18]Sales_SP!GG36</f>
        <v>84.1371472058305</v>
      </c>
      <c r="M457" s="787">
        <f>[18]Sales_SP!GH36</f>
        <v>93.2427900987864</v>
      </c>
      <c r="N457" s="787">
        <f>[18]Sales_SP!GI36</f>
        <v>90.5871911282236</v>
      </c>
      <c r="O457" s="787">
        <f>[18]Sales_SP!GJ36</f>
        <v>83.3735496019397</v>
      </c>
      <c r="P457" s="787">
        <f>[18]Sales_SP!GK36</f>
        <v>92.9364801192526</v>
      </c>
      <c r="Q457" s="866">
        <f t="shared" si="122"/>
        <v>1012.35752113662</v>
      </c>
      <c r="R457" s="863"/>
      <c r="S457" s="863"/>
    </row>
    <row r="458" ht="15" spans="3:19">
      <c r="C458" s="296" t="s">
        <v>177</v>
      </c>
      <c r="D458" s="296" t="s">
        <v>178</v>
      </c>
      <c r="E458" s="787">
        <f>[18]Sales_SP!FZ43</f>
        <v>0.792586</v>
      </c>
      <c r="F458" s="787">
        <f>[18]Sales_SP!GA43</f>
        <v>0.851688000000001</v>
      </c>
      <c r="G458" s="787">
        <f>[18]Sales_SP!GB43</f>
        <v>0.770123</v>
      </c>
      <c r="H458" s="787">
        <f>[18]Sales_SP!GC43</f>
        <v>0.763276999999999</v>
      </c>
      <c r="I458" s="787">
        <f>[18]Sales_SP!GD43</f>
        <v>0.758537</v>
      </c>
      <c r="J458" s="787">
        <f>[18]Sales_SP!GE43</f>
        <v>0.72560425</v>
      </c>
      <c r="K458" s="787">
        <f>[18]Sales_SP!GF43</f>
        <v>0.80485762043819</v>
      </c>
      <c r="L458" s="787">
        <f>[18]Sales_SP!GG43</f>
        <v>0.757256642767653</v>
      </c>
      <c r="M458" s="787">
        <f>[18]Sales_SP!GH43</f>
        <v>0.800297404275563</v>
      </c>
      <c r="N458" s="787">
        <f>[18]Sales_SP!GI43</f>
        <v>0.83021086185022</v>
      </c>
      <c r="O458" s="787">
        <f>[18]Sales_SP!GJ43</f>
        <v>0.746565492133344</v>
      </c>
      <c r="P458" s="787">
        <f>[18]Sales_SP!GK43</f>
        <v>0.862355150069043</v>
      </c>
      <c r="Q458" s="866">
        <f t="shared" si="122"/>
        <v>9.46335842153401</v>
      </c>
      <c r="R458" s="863"/>
      <c r="S458" s="863"/>
    </row>
    <row r="459" ht="15" spans="3:19">
      <c r="C459" s="296" t="s">
        <v>179</v>
      </c>
      <c r="D459" s="296" t="s">
        <v>180</v>
      </c>
      <c r="E459" s="787">
        <v>0</v>
      </c>
      <c r="F459" s="787">
        <v>0</v>
      </c>
      <c r="G459" s="787">
        <v>0</v>
      </c>
      <c r="H459" s="787">
        <v>0</v>
      </c>
      <c r="I459" s="787">
        <v>0</v>
      </c>
      <c r="J459" s="787">
        <v>0</v>
      </c>
      <c r="K459" s="787">
        <v>0</v>
      </c>
      <c r="L459" s="787">
        <v>0</v>
      </c>
      <c r="M459" s="787">
        <v>0</v>
      </c>
      <c r="N459" s="787">
        <v>0</v>
      </c>
      <c r="O459" s="787">
        <v>0</v>
      </c>
      <c r="P459" s="787">
        <v>0</v>
      </c>
      <c r="Q459" s="866">
        <f t="shared" si="122"/>
        <v>0</v>
      </c>
      <c r="R459" s="863"/>
      <c r="S459" s="863"/>
    </row>
    <row r="460" ht="15" spans="3:19">
      <c r="C460" s="296" t="s">
        <v>181</v>
      </c>
      <c r="D460" s="296" t="s">
        <v>182</v>
      </c>
      <c r="E460" s="787">
        <f>[18]Sales_SP!FZ54</f>
        <v>43.9597113</v>
      </c>
      <c r="F460" s="787">
        <f>[18]Sales_SP!GA54</f>
        <v>41.998022</v>
      </c>
      <c r="G460" s="787">
        <f>[18]Sales_SP!GB54</f>
        <v>38.782708</v>
      </c>
      <c r="H460" s="787">
        <f>[18]Sales_SP!GC54</f>
        <v>39.402754</v>
      </c>
      <c r="I460" s="787">
        <f>[18]Sales_SP!GD54</f>
        <v>40.928262</v>
      </c>
      <c r="J460" s="787">
        <f>[18]Sales_SP!GE54</f>
        <v>38.565944</v>
      </c>
      <c r="K460" s="787">
        <f>[18]Sales_SP!GF54</f>
        <v>44.2910175935743</v>
      </c>
      <c r="L460" s="787">
        <f>[18]Sales_SP!GG54</f>
        <v>45.4752978553176</v>
      </c>
      <c r="M460" s="787">
        <f>[18]Sales_SP!GH54</f>
        <v>45.1605980807032</v>
      </c>
      <c r="N460" s="787">
        <f>[18]Sales_SP!GI54</f>
        <v>46.0569734563588</v>
      </c>
      <c r="O460" s="787">
        <f>[18]Sales_SP!GJ54</f>
        <v>42.6147205232368</v>
      </c>
      <c r="P460" s="787">
        <f>[18]Sales_SP!GK54</f>
        <v>46.701612237169</v>
      </c>
      <c r="Q460" s="866">
        <f t="shared" si="122"/>
        <v>513.93762104636</v>
      </c>
      <c r="R460" s="863"/>
      <c r="S460" s="863"/>
    </row>
    <row r="461" ht="15" spans="3:19">
      <c r="C461" s="296" t="s">
        <v>183</v>
      </c>
      <c r="D461" s="296" t="s">
        <v>184</v>
      </c>
      <c r="E461" s="787">
        <f>[18]Sales_SP!FZ64</f>
        <v>9.006769</v>
      </c>
      <c r="F461" s="787">
        <f>[18]Sales_SP!GA64</f>
        <v>7.2189</v>
      </c>
      <c r="G461" s="787">
        <f>[18]Sales_SP!GB64</f>
        <v>7.378798</v>
      </c>
      <c r="H461" s="787">
        <f>[18]Sales_SP!GC64</f>
        <v>8.67410399999999</v>
      </c>
      <c r="I461" s="787">
        <f>[18]Sales_SP!GD64</f>
        <v>9.427647</v>
      </c>
      <c r="J461" s="787">
        <f>[18]Sales_SP!GE64</f>
        <v>8.433721</v>
      </c>
      <c r="K461" s="787">
        <f>[18]Sales_SP!GF64</f>
        <v>7.43783444987914</v>
      </c>
      <c r="L461" s="787">
        <f>[18]Sales_SP!GG64</f>
        <v>8.59245657852811</v>
      </c>
      <c r="M461" s="787">
        <f>[18]Sales_SP!GH64</f>
        <v>7.64710287653709</v>
      </c>
      <c r="N461" s="787">
        <f>[18]Sales_SP!GI64</f>
        <v>7.83307058557011</v>
      </c>
      <c r="O461" s="787">
        <f>[18]Sales_SP!GJ64</f>
        <v>8.6312455468385</v>
      </c>
      <c r="P461" s="787">
        <f>[18]Sales_SP!GK64</f>
        <v>11.0248373256931</v>
      </c>
      <c r="Q461" s="866">
        <f t="shared" si="122"/>
        <v>101.306486363046</v>
      </c>
      <c r="R461" s="863"/>
      <c r="S461" s="863"/>
    </row>
    <row r="462" ht="15" spans="3:19">
      <c r="C462" s="296" t="s">
        <v>185</v>
      </c>
      <c r="D462" s="296" t="s">
        <v>186</v>
      </c>
      <c r="E462" s="787">
        <f>[18]Sales_SP!FZ69</f>
        <v>11.598436</v>
      </c>
      <c r="F462" s="787">
        <f>[18]Sales_SP!GA69</f>
        <v>11.699879</v>
      </c>
      <c r="G462" s="787">
        <f>[18]Sales_SP!GB69</f>
        <v>10.922165</v>
      </c>
      <c r="H462" s="787">
        <f>[18]Sales_SP!GC69</f>
        <v>10.803311</v>
      </c>
      <c r="I462" s="787">
        <f>[18]Sales_SP!GD69</f>
        <v>11.68794</v>
      </c>
      <c r="J462" s="787">
        <f>[18]Sales_SP!GE69</f>
        <v>10.603911</v>
      </c>
      <c r="K462" s="787">
        <f>[18]Sales_SP!GF69</f>
        <v>10.554639200444</v>
      </c>
      <c r="L462" s="787">
        <f>[18]Sales_SP!GG69</f>
        <v>10.1509566372594</v>
      </c>
      <c r="M462" s="787">
        <f>[18]Sales_SP!GH69</f>
        <v>10.0932144094951</v>
      </c>
      <c r="N462" s="787">
        <f>[18]Sales_SP!GI69</f>
        <v>11.1824342981702</v>
      </c>
      <c r="O462" s="787">
        <f>[18]Sales_SP!GJ69</f>
        <v>10.8585463224018</v>
      </c>
      <c r="P462" s="787">
        <f>[18]Sales_SP!GK69</f>
        <v>13.4437115077853</v>
      </c>
      <c r="Q462" s="866">
        <f t="shared" si="122"/>
        <v>133.599144375556</v>
      </c>
      <c r="R462" s="863"/>
      <c r="S462" s="863"/>
    </row>
    <row r="463" ht="15" spans="3:19">
      <c r="C463" s="296" t="s">
        <v>187</v>
      </c>
      <c r="D463" s="296" t="s">
        <v>188</v>
      </c>
      <c r="E463" s="787">
        <f>[18]Sales_SP!FZ70</f>
        <v>0.387727</v>
      </c>
      <c r="F463" s="787">
        <f>[18]Sales_SP!GA70</f>
        <v>0.387727</v>
      </c>
      <c r="G463" s="787">
        <f>[18]Sales_SP!GB70</f>
        <v>0.387727</v>
      </c>
      <c r="H463" s="787">
        <f>[18]Sales_SP!GC70</f>
        <v>0.387727</v>
      </c>
      <c r="I463" s="787">
        <f>[18]Sales_SP!GD70</f>
        <v>0.387727</v>
      </c>
      <c r="J463" s="787">
        <f>[18]Sales_SP!GE70</f>
        <v>0.387727</v>
      </c>
      <c r="K463" s="787">
        <f>[18]Sales_SP!GF70</f>
        <v>0.997192588372512</v>
      </c>
      <c r="L463" s="787">
        <f>[18]Sales_SP!GG70</f>
        <v>1.18826097507712</v>
      </c>
      <c r="M463" s="787">
        <f>[18]Sales_SP!GH70</f>
        <v>1.19606226342425</v>
      </c>
      <c r="N463" s="787">
        <f>[18]Sales_SP!GI70</f>
        <v>1.51583552842683</v>
      </c>
      <c r="O463" s="787">
        <f>[18]Sales_SP!GJ70</f>
        <v>1.34001405080138</v>
      </c>
      <c r="P463" s="787">
        <f>[18]Sales_SP!GK70</f>
        <v>1.6770933531811</v>
      </c>
      <c r="Q463" s="866">
        <f t="shared" si="122"/>
        <v>10.2408207592832</v>
      </c>
      <c r="R463" s="863"/>
      <c r="S463" s="863"/>
    </row>
    <row r="464" ht="8" customHeight="1" spans="3:19">
      <c r="C464" s="296"/>
      <c r="D464" s="296"/>
      <c r="E464" s="787"/>
      <c r="F464" s="787"/>
      <c r="G464" s="787"/>
      <c r="H464" s="787"/>
      <c r="I464" s="787"/>
      <c r="J464" s="787"/>
      <c r="K464" s="787"/>
      <c r="L464" s="787"/>
      <c r="M464" s="787"/>
      <c r="N464" s="787"/>
      <c r="O464" s="787"/>
      <c r="P464" s="787"/>
      <c r="Q464" s="866">
        <f t="shared" si="122"/>
        <v>0</v>
      </c>
      <c r="R464" s="863"/>
      <c r="S464" s="863"/>
    </row>
    <row r="465" ht="15" spans="3:19">
      <c r="C465" s="296"/>
      <c r="D465" s="296"/>
      <c r="E465" s="787"/>
      <c r="F465" s="787"/>
      <c r="G465" s="787"/>
      <c r="H465" s="787"/>
      <c r="I465" s="787"/>
      <c r="J465" s="787"/>
      <c r="K465" s="787"/>
      <c r="L465" s="787"/>
      <c r="M465" s="787"/>
      <c r="N465" s="787"/>
      <c r="O465" s="787"/>
      <c r="P465" s="787"/>
      <c r="Q465" s="866">
        <f t="shared" si="122"/>
        <v>0</v>
      </c>
      <c r="R465" s="863"/>
      <c r="S465" s="863"/>
    </row>
    <row r="466" ht="15" spans="3:19">
      <c r="C466" s="296"/>
      <c r="D466" s="296"/>
      <c r="E466" s="787"/>
      <c r="F466" s="787"/>
      <c r="G466" s="787"/>
      <c r="H466" s="787"/>
      <c r="I466" s="787"/>
      <c r="J466" s="787"/>
      <c r="K466" s="787"/>
      <c r="L466" s="787"/>
      <c r="M466" s="787"/>
      <c r="N466" s="787"/>
      <c r="O466" s="787"/>
      <c r="P466" s="787"/>
      <c r="Q466" s="866">
        <f t="shared" si="122"/>
        <v>0</v>
      </c>
      <c r="R466" s="863"/>
      <c r="S466" s="863"/>
    </row>
    <row r="467" ht="15" spans="3:19">
      <c r="C467" s="296" t="s">
        <v>258</v>
      </c>
      <c r="D467" s="296" t="s">
        <v>258</v>
      </c>
      <c r="E467" s="787"/>
      <c r="F467" s="787"/>
      <c r="G467" s="787"/>
      <c r="H467" s="787"/>
      <c r="I467" s="787"/>
      <c r="J467" s="787"/>
      <c r="K467" s="787"/>
      <c r="L467" s="787"/>
      <c r="M467" s="787"/>
      <c r="N467" s="787"/>
      <c r="O467" s="787"/>
      <c r="P467" s="787"/>
      <c r="Q467" s="866">
        <f t="shared" si="122"/>
        <v>0</v>
      </c>
      <c r="R467" s="863"/>
      <c r="S467" s="863"/>
    </row>
    <row r="468" ht="15" spans="3:19">
      <c r="C468" s="285" t="s">
        <v>189</v>
      </c>
      <c r="D468" s="286"/>
      <c r="E468" s="866">
        <f t="shared" ref="E468:P468" si="123">SUM(E455:E467)</f>
        <v>1767.1200583</v>
      </c>
      <c r="F468" s="866">
        <f t="shared" si="123"/>
        <v>1774.4591665</v>
      </c>
      <c r="G468" s="866">
        <f t="shared" si="123"/>
        <v>1473.049106</v>
      </c>
      <c r="H468" s="866">
        <f t="shared" si="123"/>
        <v>1369.4535455</v>
      </c>
      <c r="I468" s="866">
        <f t="shared" si="123"/>
        <v>1460.36176525</v>
      </c>
      <c r="J468" s="866">
        <f t="shared" si="123"/>
        <v>1329.60732655</v>
      </c>
      <c r="K468" s="866">
        <f t="shared" si="123"/>
        <v>1408.00228192734</v>
      </c>
      <c r="L468" s="866">
        <f t="shared" si="123"/>
        <v>1326.05567205694</v>
      </c>
      <c r="M468" s="866">
        <f t="shared" si="123"/>
        <v>1212.145050922</v>
      </c>
      <c r="N468" s="866">
        <f t="shared" si="123"/>
        <v>1337.68933271905</v>
      </c>
      <c r="O468" s="866">
        <f t="shared" si="123"/>
        <v>1281.22553399159</v>
      </c>
      <c r="P468" s="866">
        <f t="shared" si="123"/>
        <v>1678.3452558262</v>
      </c>
      <c r="Q468" s="866">
        <f t="shared" si="122"/>
        <v>17417.5140955431</v>
      </c>
      <c r="R468" s="863"/>
      <c r="S468" s="863"/>
    </row>
    <row r="469" ht="15" spans="3:19">
      <c r="C469" s="285" t="s">
        <v>190</v>
      </c>
      <c r="D469" s="286"/>
      <c r="E469" s="787"/>
      <c r="F469" s="787"/>
      <c r="G469" s="787"/>
      <c r="H469" s="787"/>
      <c r="I469" s="787"/>
      <c r="J469" s="787"/>
      <c r="K469" s="787"/>
      <c r="L469" s="787"/>
      <c r="M469" s="787"/>
      <c r="N469" s="787"/>
      <c r="O469" s="787"/>
      <c r="P469" s="787"/>
      <c r="Q469" s="866"/>
      <c r="R469" s="863"/>
      <c r="S469" s="863"/>
    </row>
    <row r="470" ht="15" spans="3:19">
      <c r="C470" s="296" t="s">
        <v>191</v>
      </c>
      <c r="D470" s="296" t="s">
        <v>192</v>
      </c>
      <c r="E470" s="787">
        <f>[18]Sales_SP!FZ89</f>
        <v>371.02991539</v>
      </c>
      <c r="F470" s="787">
        <f>[18]Sales_SP!GA89</f>
        <v>377.94753075</v>
      </c>
      <c r="G470" s="787">
        <f>[18]Sales_SP!GB89</f>
        <v>365.07743747</v>
      </c>
      <c r="H470" s="787">
        <f>[18]Sales_SP!GC89</f>
        <v>368.05545036</v>
      </c>
      <c r="I470" s="787">
        <f>[18]Sales_SP!GD89</f>
        <v>369.36305401</v>
      </c>
      <c r="J470" s="787">
        <f>[18]Sales_SP!GE89</f>
        <v>350.88688923</v>
      </c>
      <c r="K470" s="787">
        <f>[18]Sales_SP!GF89</f>
        <v>366.331681014922</v>
      </c>
      <c r="L470" s="787">
        <f>[18]Sales_SP!GG89</f>
        <v>371.563248967857</v>
      </c>
      <c r="M470" s="787">
        <f>[18]Sales_SP!GH89</f>
        <v>391.185336520712</v>
      </c>
      <c r="N470" s="787">
        <f>[18]Sales_SP!GI89</f>
        <v>380.169319439924</v>
      </c>
      <c r="O470" s="787">
        <f>[18]Sales_SP!GJ89</f>
        <v>374.795511988645</v>
      </c>
      <c r="P470" s="787">
        <f>[18]Sales_SP!GK89</f>
        <v>390.892458433973</v>
      </c>
      <c r="Q470" s="866">
        <f t="shared" si="122"/>
        <v>4477.29783357603</v>
      </c>
      <c r="R470" s="863"/>
      <c r="S470" s="863"/>
    </row>
    <row r="471" ht="15" spans="3:19">
      <c r="C471" s="296" t="s">
        <v>193</v>
      </c>
      <c r="D471" s="296" t="s">
        <v>194</v>
      </c>
      <c r="E471" s="787">
        <f>[18]Sales_SP!FZ104</f>
        <v>0.036079</v>
      </c>
      <c r="F471" s="787">
        <f>[18]Sales_SP!GA104</f>
        <v>0.11303</v>
      </c>
      <c r="G471" s="787">
        <f>[18]Sales_SP!GB104</f>
        <v>0.065522</v>
      </c>
      <c r="H471" s="787">
        <f>[18]Sales_SP!GC104</f>
        <v>0.068976</v>
      </c>
      <c r="I471" s="787">
        <f>[18]Sales_SP!GD104</f>
        <v>0.007176</v>
      </c>
      <c r="J471" s="787">
        <f>[18]Sales_SP!GE104</f>
        <v>0.01305</v>
      </c>
      <c r="K471" s="787">
        <f>[18]Sales_SP!GF104</f>
        <v>0</v>
      </c>
      <c r="L471" s="787">
        <f>[18]Sales_SP!GG104</f>
        <v>0.06585222</v>
      </c>
      <c r="M471" s="787">
        <f>[18]Sales_SP!GH104</f>
        <v>0.1036575</v>
      </c>
      <c r="N471" s="787">
        <f>[18]Sales_SP!GI104</f>
        <v>0.04157826</v>
      </c>
      <c r="O471" s="787">
        <f>[18]Sales_SP!GJ104</f>
        <v>0.01487364</v>
      </c>
      <c r="P471" s="787">
        <f>[18]Sales_SP!GK104</f>
        <v>0</v>
      </c>
      <c r="Q471" s="866">
        <f t="shared" si="122"/>
        <v>0.52979462</v>
      </c>
      <c r="R471" s="863"/>
      <c r="S471" s="863"/>
    </row>
    <row r="472" ht="15" spans="3:19">
      <c r="C472" s="296" t="s">
        <v>239</v>
      </c>
      <c r="D472" s="296" t="s">
        <v>196</v>
      </c>
      <c r="E472" s="787">
        <f>[18]Sales_SP!FZ110</f>
        <v>216.4932099</v>
      </c>
      <c r="F472" s="787">
        <f>[18]Sales_SP!GA110</f>
        <v>218.44651928</v>
      </c>
      <c r="G472" s="787">
        <f>[18]Sales_SP!GB110</f>
        <v>201.98000415</v>
      </c>
      <c r="H472" s="787">
        <f>[18]Sales_SP!GC110</f>
        <v>191.11844945</v>
      </c>
      <c r="I472" s="787">
        <f>[18]Sales_SP!GD110</f>
        <v>199.10354226</v>
      </c>
      <c r="J472" s="787">
        <f>[18]Sales_SP!GE110</f>
        <v>181.37157064</v>
      </c>
      <c r="K472" s="787">
        <f>[18]Sales_SP!GF110</f>
        <v>195.216973651402</v>
      </c>
      <c r="L472" s="787">
        <f>[18]Sales_SP!GG110</f>
        <v>180.848068309747</v>
      </c>
      <c r="M472" s="787">
        <f>[18]Sales_SP!GH110</f>
        <v>167.266048375238</v>
      </c>
      <c r="N472" s="787">
        <f>[18]Sales_SP!GI110</f>
        <v>167.705432966474</v>
      </c>
      <c r="O472" s="787">
        <f>[18]Sales_SP!GJ110</f>
        <v>183.796417825566</v>
      </c>
      <c r="P472" s="787">
        <f>[18]Sales_SP!GK110</f>
        <v>218.921353714532</v>
      </c>
      <c r="Q472" s="866">
        <f t="shared" si="122"/>
        <v>2322.26759052296</v>
      </c>
      <c r="R472" s="863"/>
      <c r="S472" s="863"/>
    </row>
    <row r="473" ht="15" spans="3:19">
      <c r="C473" s="296" t="s">
        <v>197</v>
      </c>
      <c r="D473" s="296" t="s">
        <v>198</v>
      </c>
      <c r="E473" s="787">
        <f>[18]Sales_SP!FZ115</f>
        <v>0.032966</v>
      </c>
      <c r="F473" s="787">
        <f>[18]Sales_SP!GA115</f>
        <v>0.045518</v>
      </c>
      <c r="G473" s="787">
        <f>[18]Sales_SP!GB115</f>
        <v>0.04094</v>
      </c>
      <c r="H473" s="787">
        <f>[18]Sales_SP!GC115</f>
        <v>0.027225</v>
      </c>
      <c r="I473" s="787">
        <f>[18]Sales_SP!GD115</f>
        <v>0.034339</v>
      </c>
      <c r="J473" s="787">
        <f>[18]Sales_SP!GE115</f>
        <v>0.025258</v>
      </c>
      <c r="K473" s="787">
        <f>[18]Sales_SP!GF115</f>
        <v>0.0280027</v>
      </c>
      <c r="L473" s="787">
        <f>[18]Sales_SP!GG115</f>
        <v>0.0285692</v>
      </c>
      <c r="M473" s="787">
        <f>[18]Sales_SP!GH115</f>
        <v>0.0311421</v>
      </c>
      <c r="N473" s="787">
        <f>[18]Sales_SP!GI115</f>
        <v>0.0311894</v>
      </c>
      <c r="O473" s="787">
        <f>[18]Sales_SP!GJ115</f>
        <v>0.0325149</v>
      </c>
      <c r="P473" s="787">
        <f>[18]Sales_SP!GK115</f>
        <v>0.0367917</v>
      </c>
      <c r="Q473" s="866">
        <f t="shared" si="122"/>
        <v>0.394456</v>
      </c>
      <c r="R473" s="863"/>
      <c r="S473" s="863"/>
    </row>
    <row r="474" ht="15" spans="3:19">
      <c r="C474" s="296" t="s">
        <v>199</v>
      </c>
      <c r="D474" s="296" t="s">
        <v>200</v>
      </c>
      <c r="E474" s="787">
        <f>[18]Sales_SP!FZ120</f>
        <v>0.494677</v>
      </c>
      <c r="F474" s="787">
        <f>[18]Sales_SP!GA120</f>
        <v>0.53696</v>
      </c>
      <c r="G474" s="787">
        <f>[18]Sales_SP!GB120</f>
        <v>0.487474</v>
      </c>
      <c r="H474" s="787">
        <f>[18]Sales_SP!GC120</f>
        <v>0.448431</v>
      </c>
      <c r="I474" s="787">
        <f>[18]Sales_SP!GD120</f>
        <v>0.472652</v>
      </c>
      <c r="J474" s="787">
        <f>[18]Sales_SP!GE120</f>
        <v>0.406715</v>
      </c>
      <c r="K474" s="787">
        <f>[18]Sales_SP!GF120</f>
        <v>0.430288783270686</v>
      </c>
      <c r="L474" s="787">
        <f>[18]Sales_SP!GG120</f>
        <v>0.401585157998222</v>
      </c>
      <c r="M474" s="787">
        <f>[18]Sales_SP!GH120</f>
        <v>0.376765871538654</v>
      </c>
      <c r="N474" s="787">
        <f>[18]Sales_SP!GI120</f>
        <v>0.396380336760099</v>
      </c>
      <c r="O474" s="787">
        <f>[18]Sales_SP!GJ120</f>
        <v>0.415936970634454</v>
      </c>
      <c r="P474" s="787">
        <f>[18]Sales_SP!GK120</f>
        <v>0.509480245503814</v>
      </c>
      <c r="Q474" s="866">
        <f t="shared" si="122"/>
        <v>5.37734636570593</v>
      </c>
      <c r="R474" s="863"/>
      <c r="S474" s="863"/>
    </row>
    <row r="475" ht="15" spans="3:19">
      <c r="C475" s="296" t="s">
        <v>201</v>
      </c>
      <c r="D475" s="296" t="s">
        <v>202</v>
      </c>
      <c r="E475" s="787">
        <f>[18]Sales_SP!FZ126</f>
        <v>0.64108</v>
      </c>
      <c r="F475" s="787">
        <f>[18]Sales_SP!GA126</f>
        <v>0.460351</v>
      </c>
      <c r="G475" s="787">
        <f>[18]Sales_SP!GB126</f>
        <v>0.6441965</v>
      </c>
      <c r="H475" s="787">
        <f>[18]Sales_SP!GC126</f>
        <v>1.189546</v>
      </c>
      <c r="I475" s="787">
        <f>[18]Sales_SP!GD126</f>
        <v>4.05591966</v>
      </c>
      <c r="J475" s="787">
        <f>[18]Sales_SP!GE126</f>
        <v>5.056476</v>
      </c>
      <c r="K475" s="787">
        <f>[18]Sales_SP!GF126</f>
        <v>3.47250435</v>
      </c>
      <c r="L475" s="787">
        <f>[18]Sales_SP!GG126</f>
        <v>1.4755936965</v>
      </c>
      <c r="M475" s="787">
        <f>[18]Sales_SP!GH126</f>
        <v>1.3002822</v>
      </c>
      <c r="N475" s="787">
        <f>[18]Sales_SP!GI126</f>
        <v>1.627443825</v>
      </c>
      <c r="O475" s="787">
        <f>[18]Sales_SP!GJ126</f>
        <v>1.8946179</v>
      </c>
      <c r="P475" s="787">
        <f>[18]Sales_SP!GK126</f>
        <v>0.89983425</v>
      </c>
      <c r="Q475" s="866">
        <f t="shared" si="122"/>
        <v>22.7178453815</v>
      </c>
      <c r="R475" s="863"/>
      <c r="S475" s="863"/>
    </row>
    <row r="476" ht="15" spans="3:19">
      <c r="C476" s="296" t="s">
        <v>203</v>
      </c>
      <c r="D476" s="296" t="s">
        <v>204</v>
      </c>
      <c r="E476" s="787">
        <f>[18]Sales_SP!FZ127</f>
        <v>11.40967797</v>
      </c>
      <c r="F476" s="787">
        <f>[18]Sales_SP!GA127</f>
        <v>10.935429</v>
      </c>
      <c r="G476" s="787">
        <f>[18]Sales_SP!GB127</f>
        <v>10.861318</v>
      </c>
      <c r="H476" s="787">
        <f>[18]Sales_SP!GC127</f>
        <v>11.344954</v>
      </c>
      <c r="I476" s="787">
        <f>[18]Sales_SP!GD127</f>
        <v>11.065705</v>
      </c>
      <c r="J476" s="787">
        <f>[18]Sales_SP!GE127</f>
        <v>9.77078966</v>
      </c>
      <c r="K476" s="787">
        <f>[18]Sales_SP!GF127</f>
        <v>11.04266892</v>
      </c>
      <c r="L476" s="787">
        <f>[18]Sales_SP!GG127</f>
        <v>11.07449904</v>
      </c>
      <c r="M476" s="787">
        <f>[18]Sales_SP!GH127</f>
        <v>11.2215861</v>
      </c>
      <c r="N476" s="787">
        <f>[18]Sales_SP!GI127</f>
        <v>11.3966742</v>
      </c>
      <c r="O476" s="787">
        <f>[18]Sales_SP!GJ127</f>
        <v>10.699981866</v>
      </c>
      <c r="P476" s="787">
        <f>[18]Sales_SP!GK127</f>
        <v>11.680368126</v>
      </c>
      <c r="Q476" s="866">
        <f t="shared" si="122"/>
        <v>132.503651882</v>
      </c>
      <c r="R476" s="863"/>
      <c r="S476" s="863"/>
    </row>
    <row r="477" ht="15" spans="3:19">
      <c r="C477" s="296" t="s">
        <v>205</v>
      </c>
      <c r="D477" s="296" t="s">
        <v>206</v>
      </c>
      <c r="E477" s="787">
        <f>[18]Sales_SP!FZ131</f>
        <v>28.249295</v>
      </c>
      <c r="F477" s="787">
        <f>[18]Sales_SP!GA131</f>
        <v>28.392058</v>
      </c>
      <c r="G477" s="787">
        <f>[18]Sales_SP!GB131</f>
        <v>23.110011</v>
      </c>
      <c r="H477" s="787">
        <f>[18]Sales_SP!GC131</f>
        <v>20.074745</v>
      </c>
      <c r="I477" s="787">
        <f>[18]Sales_SP!GD131</f>
        <v>21.62070752</v>
      </c>
      <c r="J477" s="787">
        <f>[18]Sales_SP!GE131</f>
        <v>19.737246</v>
      </c>
      <c r="K477" s="787">
        <f>[18]Sales_SP!GF131</f>
        <v>20.8913440187174</v>
      </c>
      <c r="L477" s="787">
        <f>[18]Sales_SP!GG131</f>
        <v>19.7538752145225</v>
      </c>
      <c r="M477" s="787">
        <f>[18]Sales_SP!GH131</f>
        <v>18.9813289969504</v>
      </c>
      <c r="N477" s="787">
        <f>[18]Sales_SP!GI131</f>
        <v>19.4466971582325</v>
      </c>
      <c r="O477" s="787">
        <f>[18]Sales_SP!GJ131</f>
        <v>20.5047736829341</v>
      </c>
      <c r="P477" s="787">
        <f>[18]Sales_SP!GK131</f>
        <v>28.1725027659992</v>
      </c>
      <c r="Q477" s="866">
        <f t="shared" si="122"/>
        <v>268.934584357356</v>
      </c>
      <c r="R477" s="863"/>
      <c r="S477" s="863"/>
    </row>
    <row r="478" ht="15" spans="3:19">
      <c r="C478" s="296" t="s">
        <v>207</v>
      </c>
      <c r="D478" s="296" t="s">
        <v>186</v>
      </c>
      <c r="E478" s="787">
        <f>[18]Sales_SP!FZ132</f>
        <v>17.943229</v>
      </c>
      <c r="F478" s="787">
        <f>[18]Sales_SP!GA132</f>
        <v>18.381461</v>
      </c>
      <c r="G478" s="787">
        <f>[18]Sales_SP!GB132</f>
        <v>17.56183</v>
      </c>
      <c r="H478" s="787">
        <f>[18]Sales_SP!GC132</f>
        <v>17.7263795</v>
      </c>
      <c r="I478" s="787">
        <f>[18]Sales_SP!GD132</f>
        <v>19.3194503</v>
      </c>
      <c r="J478" s="787">
        <f>[18]Sales_SP!GE132</f>
        <v>18.643204</v>
      </c>
      <c r="K478" s="787">
        <f>[18]Sales_SP!GF132</f>
        <v>19.1451405518764</v>
      </c>
      <c r="L478" s="787">
        <f>[18]Sales_SP!GG132</f>
        <v>18.3923158207939</v>
      </c>
      <c r="M478" s="787">
        <f>[18]Sales_SP!GH132</f>
        <v>19.039909783616</v>
      </c>
      <c r="N478" s="787">
        <f>[18]Sales_SP!GI132</f>
        <v>18.4426278854102</v>
      </c>
      <c r="O478" s="787">
        <f>[18]Sales_SP!GJ132</f>
        <v>18.6719264607075</v>
      </c>
      <c r="P478" s="787">
        <f>[18]Sales_SP!GK132</f>
        <v>20.9350888646323</v>
      </c>
      <c r="Q478" s="866">
        <f t="shared" si="122"/>
        <v>224.202563167036</v>
      </c>
      <c r="R478" s="863"/>
      <c r="S478" s="863"/>
    </row>
    <row r="479" ht="15" spans="3:19">
      <c r="C479" s="296" t="s">
        <v>208</v>
      </c>
      <c r="D479" s="296" t="s">
        <v>209</v>
      </c>
      <c r="E479" s="787">
        <f>[18]Sales_SP!FZ133</f>
        <v>0</v>
      </c>
      <c r="F479" s="787">
        <f>[18]Sales_SP!GA133</f>
        <v>0</v>
      </c>
      <c r="G479" s="787">
        <f>[18]Sales_SP!GB133</f>
        <v>0</v>
      </c>
      <c r="H479" s="787">
        <f>[18]Sales_SP!GC133</f>
        <v>0</v>
      </c>
      <c r="I479" s="787">
        <f>[18]Sales_SP!GD133</f>
        <v>0</v>
      </c>
      <c r="J479" s="787">
        <f>[18]Sales_SP!GE133</f>
        <v>0</v>
      </c>
      <c r="K479" s="787">
        <f>[18]Sales_SP!GF133</f>
        <v>0</v>
      </c>
      <c r="L479" s="787">
        <f>[18]Sales_SP!GG133</f>
        <v>0</v>
      </c>
      <c r="M479" s="787">
        <f>[18]Sales_SP!GH133</f>
        <v>0</v>
      </c>
      <c r="N479" s="787">
        <f>[18]Sales_SP!GI133</f>
        <v>0</v>
      </c>
      <c r="O479" s="787">
        <f>[18]Sales_SP!GJ133</f>
        <v>0</v>
      </c>
      <c r="P479" s="787">
        <f>[18]Sales_SP!GK133</f>
        <v>0</v>
      </c>
      <c r="Q479" s="866">
        <f t="shared" si="122"/>
        <v>0</v>
      </c>
      <c r="R479" s="863"/>
      <c r="S479" s="863"/>
    </row>
    <row r="480" ht="15" spans="3:19">
      <c r="C480" s="296" t="s">
        <v>210</v>
      </c>
      <c r="D480" s="296" t="s">
        <v>188</v>
      </c>
      <c r="E480" s="787">
        <f>[18]Sales_SP!FZ134</f>
        <v>1.669103</v>
      </c>
      <c r="F480" s="787">
        <f>[18]Sales_SP!GA134</f>
        <v>1.712996</v>
      </c>
      <c r="G480" s="787">
        <f>[18]Sales_SP!GB134</f>
        <v>1.7582</v>
      </c>
      <c r="H480" s="787">
        <f>[18]Sales_SP!GC134</f>
        <v>1.922402</v>
      </c>
      <c r="I480" s="787">
        <f>[18]Sales_SP!GD134</f>
        <v>1.993346</v>
      </c>
      <c r="J480" s="787">
        <f>[18]Sales_SP!GE134</f>
        <v>1.940024</v>
      </c>
      <c r="K480" s="787">
        <f>[18]Sales_SP!GF134</f>
        <v>3.05261198992799</v>
      </c>
      <c r="L480" s="787">
        <f>[18]Sales_SP!GG134</f>
        <v>3.03011171926653</v>
      </c>
      <c r="M480" s="787">
        <f>[18]Sales_SP!GH134</f>
        <v>3.10229954985464</v>
      </c>
      <c r="N480" s="787">
        <f>[18]Sales_SP!GI134</f>
        <v>3.24098699215104</v>
      </c>
      <c r="O480" s="787">
        <f>[18]Sales_SP!GJ134</f>
        <v>3.3405446512812</v>
      </c>
      <c r="P480" s="787">
        <f>[18]Sales_SP!GK134</f>
        <v>3.75591369768454</v>
      </c>
      <c r="Q480" s="866">
        <f t="shared" si="122"/>
        <v>30.5185396001659</v>
      </c>
      <c r="R480" s="863"/>
      <c r="S480" s="863"/>
    </row>
    <row r="481" ht="15" spans="3:19">
      <c r="C481" s="296"/>
      <c r="D481" s="296"/>
      <c r="E481" s="787"/>
      <c r="F481" s="787"/>
      <c r="G481" s="787"/>
      <c r="H481" s="787"/>
      <c r="I481" s="787"/>
      <c r="J481" s="787"/>
      <c r="K481" s="787"/>
      <c r="L481" s="787"/>
      <c r="M481" s="787"/>
      <c r="N481" s="787"/>
      <c r="O481" s="787"/>
      <c r="P481" s="787"/>
      <c r="Q481" s="866">
        <f t="shared" si="122"/>
        <v>0</v>
      </c>
      <c r="R481" s="863"/>
      <c r="S481" s="863"/>
    </row>
    <row r="482" ht="15" spans="3:19">
      <c r="C482" s="296"/>
      <c r="D482" s="296"/>
      <c r="E482" s="787"/>
      <c r="F482" s="787"/>
      <c r="G482" s="787"/>
      <c r="H482" s="787"/>
      <c r="I482" s="787"/>
      <c r="J482" s="787"/>
      <c r="K482" s="787"/>
      <c r="L482" s="787"/>
      <c r="M482" s="787"/>
      <c r="N482" s="787"/>
      <c r="O482" s="787"/>
      <c r="P482" s="787"/>
      <c r="Q482" s="866">
        <f t="shared" si="122"/>
        <v>0</v>
      </c>
      <c r="R482" s="863"/>
      <c r="S482" s="863"/>
    </row>
    <row r="483" ht="15" spans="3:19">
      <c r="C483" s="296"/>
      <c r="D483" s="296"/>
      <c r="E483" s="787"/>
      <c r="F483" s="787"/>
      <c r="G483" s="787"/>
      <c r="H483" s="787"/>
      <c r="I483" s="787"/>
      <c r="J483" s="787"/>
      <c r="K483" s="787"/>
      <c r="L483" s="787"/>
      <c r="M483" s="787"/>
      <c r="N483" s="787"/>
      <c r="O483" s="787"/>
      <c r="P483" s="787"/>
      <c r="Q483" s="866">
        <f t="shared" si="122"/>
        <v>0</v>
      </c>
      <c r="R483" s="863"/>
      <c r="S483" s="863"/>
    </row>
    <row r="484" ht="15" spans="3:19">
      <c r="C484" s="296" t="s">
        <v>258</v>
      </c>
      <c r="D484" s="296" t="s">
        <v>258</v>
      </c>
      <c r="E484" s="787"/>
      <c r="F484" s="787"/>
      <c r="G484" s="787"/>
      <c r="H484" s="787"/>
      <c r="I484" s="787"/>
      <c r="J484" s="787"/>
      <c r="K484" s="787"/>
      <c r="L484" s="787"/>
      <c r="M484" s="787"/>
      <c r="N484" s="787"/>
      <c r="O484" s="787"/>
      <c r="P484" s="787"/>
      <c r="Q484" s="866">
        <f t="shared" si="122"/>
        <v>0</v>
      </c>
      <c r="R484" s="863"/>
      <c r="S484" s="863"/>
    </row>
    <row r="485" ht="15" spans="3:19">
      <c r="C485" s="285" t="s">
        <v>211</v>
      </c>
      <c r="D485" s="286"/>
      <c r="E485" s="866">
        <f t="shared" ref="E485:P485" si="124">SUM(E470:E484)</f>
        <v>647.99923226</v>
      </c>
      <c r="F485" s="866">
        <f t="shared" si="124"/>
        <v>656.97185303</v>
      </c>
      <c r="G485" s="866">
        <f t="shared" si="124"/>
        <v>621.58693312</v>
      </c>
      <c r="H485" s="866">
        <f t="shared" si="124"/>
        <v>611.97655831</v>
      </c>
      <c r="I485" s="866">
        <f t="shared" si="124"/>
        <v>627.03589175</v>
      </c>
      <c r="J485" s="866">
        <f t="shared" si="124"/>
        <v>587.85122253</v>
      </c>
      <c r="K485" s="866">
        <f t="shared" si="124"/>
        <v>619.611215980116</v>
      </c>
      <c r="L485" s="866">
        <f t="shared" si="124"/>
        <v>606.633719346685</v>
      </c>
      <c r="M485" s="866">
        <f t="shared" si="124"/>
        <v>612.60835699791</v>
      </c>
      <c r="N485" s="866">
        <f t="shared" si="124"/>
        <v>602.498330463952</v>
      </c>
      <c r="O485" s="866">
        <f t="shared" si="124"/>
        <v>614.167099885768</v>
      </c>
      <c r="P485" s="866">
        <f t="shared" si="124"/>
        <v>675.803791798325</v>
      </c>
      <c r="Q485" s="866">
        <f t="shared" si="122"/>
        <v>7484.74420547276</v>
      </c>
      <c r="R485" s="863"/>
      <c r="S485" s="863"/>
    </row>
    <row r="486" ht="15" spans="3:19">
      <c r="C486" s="285" t="s">
        <v>212</v>
      </c>
      <c r="D486" s="286"/>
      <c r="E486" s="787"/>
      <c r="F486" s="787"/>
      <c r="G486" s="787"/>
      <c r="H486" s="787"/>
      <c r="I486" s="787"/>
      <c r="J486" s="787"/>
      <c r="K486" s="787"/>
      <c r="L486" s="787"/>
      <c r="M486" s="787"/>
      <c r="N486" s="787"/>
      <c r="O486" s="787"/>
      <c r="P486" s="787"/>
      <c r="Q486" s="866"/>
      <c r="R486" s="863"/>
      <c r="S486" s="863"/>
    </row>
    <row r="487" ht="15" spans="3:19">
      <c r="C487" s="296" t="s">
        <v>191</v>
      </c>
      <c r="D487" s="296" t="s">
        <v>192</v>
      </c>
      <c r="E487" s="787">
        <f>[18]Sales_SP!FZ152</f>
        <v>533.350611</v>
      </c>
      <c r="F487" s="787">
        <f>[18]Sales_SP!GA152</f>
        <v>553.6486715</v>
      </c>
      <c r="G487" s="787">
        <f>[18]Sales_SP!GB152</f>
        <v>537.0933435</v>
      </c>
      <c r="H487" s="787">
        <f>[18]Sales_SP!GC152</f>
        <v>557.26764</v>
      </c>
      <c r="I487" s="787">
        <f>[18]Sales_SP!GD152</f>
        <v>551.042643</v>
      </c>
      <c r="J487" s="787">
        <f>[18]Sales_SP!GE152</f>
        <v>531.631739</v>
      </c>
      <c r="K487" s="787">
        <f>[18]Sales_SP!GF152</f>
        <v>578.632106747905</v>
      </c>
      <c r="L487" s="787">
        <f>[18]Sales_SP!GG152</f>
        <v>580.674673187302</v>
      </c>
      <c r="M487" s="787">
        <f>[18]Sales_SP!GH152</f>
        <v>591.557659865538</v>
      </c>
      <c r="N487" s="787">
        <f>[18]Sales_SP!GI152</f>
        <v>589.088067000305</v>
      </c>
      <c r="O487" s="787">
        <f>[18]Sales_SP!GJ152</f>
        <v>574.609416881727</v>
      </c>
      <c r="P487" s="787">
        <f>[18]Sales_SP!GK152</f>
        <v>637.282967137851</v>
      </c>
      <c r="Q487" s="866">
        <f t="shared" si="122"/>
        <v>6815.87953882063</v>
      </c>
      <c r="R487" s="863"/>
      <c r="S487" s="863"/>
    </row>
    <row r="488" ht="15" spans="3:19">
      <c r="C488" s="296" t="s">
        <v>193</v>
      </c>
      <c r="D488" s="296" t="s">
        <v>194</v>
      </c>
      <c r="E488" s="787">
        <f>[18]Sales_SP!FZ168</f>
        <v>0</v>
      </c>
      <c r="F488" s="787">
        <f>[18]Sales_SP!GA168</f>
        <v>0</v>
      </c>
      <c r="G488" s="787">
        <f>[18]Sales_SP!GB168</f>
        <v>0</v>
      </c>
      <c r="H488" s="787">
        <f>[18]Sales_SP!GC168</f>
        <v>0.079</v>
      </c>
      <c r="I488" s="787">
        <f>[18]Sales_SP!GD168</f>
        <v>0.21518</v>
      </c>
      <c r="J488" s="787">
        <f>[18]Sales_SP!GE168</f>
        <v>0.24236</v>
      </c>
      <c r="K488" s="787">
        <f>[18]Sales_SP!GF168</f>
        <v>0</v>
      </c>
      <c r="L488" s="787">
        <f>[18]Sales_SP!GG168</f>
        <v>0</v>
      </c>
      <c r="M488" s="787">
        <f>[18]Sales_SP!GH168</f>
        <v>0</v>
      </c>
      <c r="N488" s="787">
        <f>[18]Sales_SP!GI168</f>
        <v>0</v>
      </c>
      <c r="O488" s="787">
        <f>[18]Sales_SP!GJ168</f>
        <v>0</v>
      </c>
      <c r="P488" s="787">
        <f>[18]Sales_SP!GK168</f>
        <v>0</v>
      </c>
      <c r="Q488" s="866">
        <f t="shared" si="122"/>
        <v>0.53654</v>
      </c>
      <c r="R488" s="863"/>
      <c r="S488" s="863"/>
    </row>
    <row r="489" ht="15" spans="3:19">
      <c r="C489" s="296" t="s">
        <v>239</v>
      </c>
      <c r="D489" s="296" t="s">
        <v>196</v>
      </c>
      <c r="E489" s="787">
        <f>[18]Sales_SP!FZ174</f>
        <v>134.914149</v>
      </c>
      <c r="F489" s="787">
        <f>[18]Sales_SP!GA174</f>
        <v>146.880512</v>
      </c>
      <c r="G489" s="787">
        <f>[18]Sales_SP!GB174</f>
        <v>132.588437</v>
      </c>
      <c r="H489" s="787">
        <f>[18]Sales_SP!GC174</f>
        <v>127.954837</v>
      </c>
      <c r="I489" s="787">
        <f>[18]Sales_SP!GD174</f>
        <v>129.314542</v>
      </c>
      <c r="J489" s="787">
        <f>[18]Sales_SP!GE174</f>
        <v>120.469427</v>
      </c>
      <c r="K489" s="787">
        <f>[18]Sales_SP!GF174</f>
        <v>128.393052685963</v>
      </c>
      <c r="L489" s="787">
        <f>[18]Sales_SP!GG174</f>
        <v>128.393052685963</v>
      </c>
      <c r="M489" s="787">
        <f>[18]Sales_SP!GH174</f>
        <v>120.421323209205</v>
      </c>
      <c r="N489" s="787">
        <f>[18]Sales_SP!GI174</f>
        <v>121.570059155642</v>
      </c>
      <c r="O489" s="787">
        <f>[18]Sales_SP!GJ174</f>
        <v>124.194236619042</v>
      </c>
      <c r="P489" s="787">
        <f>[18]Sales_SP!GK174</f>
        <v>145.38265620254</v>
      </c>
      <c r="Q489" s="866">
        <f t="shared" si="122"/>
        <v>1560.47628455835</v>
      </c>
      <c r="R489" s="863"/>
      <c r="S489" s="863"/>
    </row>
    <row r="490" ht="15" spans="3:19">
      <c r="C490" s="296" t="s">
        <v>197</v>
      </c>
      <c r="D490" s="296" t="s">
        <v>198</v>
      </c>
      <c r="E490" s="787">
        <f>[18]Sales_SP!FZ180</f>
        <v>0.46</v>
      </c>
      <c r="F490" s="787">
        <f>[18]Sales_SP!GA180</f>
        <v>0.5071</v>
      </c>
      <c r="G490" s="787">
        <f>[18]Sales_SP!GB180</f>
        <v>0.4328</v>
      </c>
      <c r="H490" s="787">
        <f>[18]Sales_SP!GC180</f>
        <v>0.3817</v>
      </c>
      <c r="I490" s="787">
        <f>[18]Sales_SP!GD180</f>
        <v>0.4027</v>
      </c>
      <c r="J490" s="787">
        <f>[18]Sales_SP!GE180</f>
        <v>0.3175</v>
      </c>
      <c r="K490" s="787">
        <f>[18]Sales_SP!GF180</f>
        <v>0.414838545201411</v>
      </c>
      <c r="L490" s="787">
        <f>[18]Sales_SP!GG180</f>
        <v>0.349983118618897</v>
      </c>
      <c r="M490" s="787">
        <f>[18]Sales_SP!GH180</f>
        <v>0.363581644700204</v>
      </c>
      <c r="N490" s="787">
        <f>[18]Sales_SP!GI180</f>
        <v>0.319446077594208</v>
      </c>
      <c r="O490" s="787">
        <f>[18]Sales_SP!GJ180</f>
        <v>0.359764514572118</v>
      </c>
      <c r="P490" s="787">
        <f>[18]Sales_SP!GK180</f>
        <v>0.4919326452571</v>
      </c>
      <c r="Q490" s="866">
        <f t="shared" si="122"/>
        <v>4.80134654594394</v>
      </c>
      <c r="R490" s="863"/>
      <c r="S490" s="863"/>
    </row>
    <row r="491" ht="15" spans="3:19">
      <c r="C491" s="296" t="s">
        <v>199</v>
      </c>
      <c r="D491" s="296" t="s">
        <v>200</v>
      </c>
      <c r="E491" s="787">
        <f>[18]Sales_SP!FZ185</f>
        <v>0</v>
      </c>
      <c r="F491" s="787">
        <f>[18]Sales_SP!GA185</f>
        <v>0</v>
      </c>
      <c r="G491" s="787">
        <f>[18]Sales_SP!GB185</f>
        <v>0</v>
      </c>
      <c r="H491" s="787">
        <f>[18]Sales_SP!GC185</f>
        <v>0</v>
      </c>
      <c r="I491" s="787">
        <f>[18]Sales_SP!GD185</f>
        <v>0</v>
      </c>
      <c r="J491" s="787">
        <f>[18]Sales_SP!GE185</f>
        <v>0</v>
      </c>
      <c r="K491" s="787">
        <f>[18]Sales_SP!GF185</f>
        <v>0</v>
      </c>
      <c r="L491" s="787">
        <f>[18]Sales_SP!GG185</f>
        <v>0</v>
      </c>
      <c r="M491" s="787">
        <f>[18]Sales_SP!GH185</f>
        <v>0</v>
      </c>
      <c r="N491" s="787">
        <f>[18]Sales_SP!GI185</f>
        <v>0</v>
      </c>
      <c r="O491" s="787">
        <f>[18]Sales_SP!GJ185</f>
        <v>0</v>
      </c>
      <c r="P491" s="787">
        <f>[18]Sales_SP!GK185</f>
        <v>0</v>
      </c>
      <c r="Q491" s="866">
        <f t="shared" si="122"/>
        <v>0</v>
      </c>
      <c r="R491" s="863"/>
      <c r="S491" s="863"/>
    </row>
    <row r="492" ht="15" spans="3:19">
      <c r="C492" s="296" t="s">
        <v>201</v>
      </c>
      <c r="D492" s="296" t="s">
        <v>202</v>
      </c>
      <c r="E492" s="787">
        <f>[18]Sales_SP!FZ191</f>
        <v>3.08936</v>
      </c>
      <c r="F492" s="787">
        <f>[18]Sales_SP!GA191</f>
        <v>2.462015</v>
      </c>
      <c r="G492" s="787">
        <f>[18]Sales_SP!GB191</f>
        <v>2.2556</v>
      </c>
      <c r="H492" s="787">
        <f>[18]Sales_SP!GC191</f>
        <v>3.01677</v>
      </c>
      <c r="I492" s="787">
        <f>[18]Sales_SP!GD191</f>
        <v>3.28349</v>
      </c>
      <c r="J492" s="787">
        <f>[18]Sales_SP!GE191</f>
        <v>4.18326</v>
      </c>
      <c r="K492" s="787">
        <f>[18]Sales_SP!GF191</f>
        <v>7.84505016909737</v>
      </c>
      <c r="L492" s="787">
        <f>[18]Sales_SP!GG191</f>
        <v>7.65935364898665</v>
      </c>
      <c r="M492" s="787">
        <f>[18]Sales_SP!GH191</f>
        <v>6.29154107360918</v>
      </c>
      <c r="N492" s="787">
        <f>[18]Sales_SP!GI191</f>
        <v>7.91093627213522</v>
      </c>
      <c r="O492" s="787">
        <f>[18]Sales_SP!GJ191</f>
        <v>8.11375932849489</v>
      </c>
      <c r="P492" s="787">
        <f>[18]Sales_SP!GK191</f>
        <v>10.05909444318</v>
      </c>
      <c r="Q492" s="866">
        <f t="shared" si="122"/>
        <v>66.1702299355033</v>
      </c>
      <c r="R492" s="863"/>
      <c r="S492" s="863"/>
    </row>
    <row r="493" ht="15" spans="3:19">
      <c r="C493" s="296" t="s">
        <v>203</v>
      </c>
      <c r="D493" s="296" t="s">
        <v>204</v>
      </c>
      <c r="E493" s="787">
        <f>[18]Sales_SP!FZ192</f>
        <v>22.47356</v>
      </c>
      <c r="F493" s="787">
        <f>[18]Sales_SP!GA192</f>
        <v>22.98672</v>
      </c>
      <c r="G493" s="787">
        <f>[18]Sales_SP!GB192</f>
        <v>23.20929</v>
      </c>
      <c r="H493" s="787">
        <f>[18]Sales_SP!GC192</f>
        <v>23.19256</v>
      </c>
      <c r="I493" s="787">
        <f>[18]Sales_SP!GD192</f>
        <v>19.73561</v>
      </c>
      <c r="J493" s="787">
        <f>[18]Sales_SP!GE192</f>
        <v>20.79859</v>
      </c>
      <c r="K493" s="787">
        <f>[18]Sales_SP!GF192</f>
        <v>21.262399314591</v>
      </c>
      <c r="L493" s="787">
        <f>[18]Sales_SP!GG192</f>
        <v>22.5328977381782</v>
      </c>
      <c r="M493" s="787">
        <f>[18]Sales_SP!GH192</f>
        <v>21.8793971461067</v>
      </c>
      <c r="N493" s="787">
        <f>[18]Sales_SP!GI192</f>
        <v>23.1043863833685</v>
      </c>
      <c r="O493" s="787">
        <f>[18]Sales_SP!GJ192</f>
        <v>22.2207815734208</v>
      </c>
      <c r="P493" s="787">
        <f>[18]Sales_SP!GK192</f>
        <v>24.5707876734222</v>
      </c>
      <c r="Q493" s="866">
        <f t="shared" si="122"/>
        <v>267.966979829087</v>
      </c>
      <c r="R493" s="863"/>
      <c r="S493" s="863"/>
    </row>
    <row r="494" ht="15" spans="3:19">
      <c r="C494" s="296" t="s">
        <v>213</v>
      </c>
      <c r="D494" s="296" t="s">
        <v>229</v>
      </c>
      <c r="E494" s="787">
        <f>[18]Sales_SP!FZ194</f>
        <v>0</v>
      </c>
      <c r="F494" s="787">
        <f>[18]Sales_SP!GA194</f>
        <v>0</v>
      </c>
      <c r="G494" s="787">
        <f>[18]Sales_SP!GB194</f>
        <v>0</v>
      </c>
      <c r="H494" s="787">
        <f>[18]Sales_SP!GC194</f>
        <v>0</v>
      </c>
      <c r="I494" s="787">
        <f>[18]Sales_SP!GD194</f>
        <v>0</v>
      </c>
      <c r="J494" s="787">
        <f>[18]Sales_SP!GE194</f>
        <v>0</v>
      </c>
      <c r="K494" s="787">
        <f>[18]Sales_SP!GF194</f>
        <v>0</v>
      </c>
      <c r="L494" s="787">
        <f>[18]Sales_SP!GG194</f>
        <v>0</v>
      </c>
      <c r="M494" s="787">
        <f>[18]Sales_SP!GH194</f>
        <v>0</v>
      </c>
      <c r="N494" s="787">
        <f>[18]Sales_SP!GI194</f>
        <v>0</v>
      </c>
      <c r="O494" s="787">
        <f>[18]Sales_SP!GJ194</f>
        <v>0</v>
      </c>
      <c r="P494" s="787">
        <f>[18]Sales_SP!GK194</f>
        <v>0</v>
      </c>
      <c r="Q494" s="866">
        <f t="shared" si="122"/>
        <v>0</v>
      </c>
      <c r="R494" s="863"/>
      <c r="S494" s="863"/>
    </row>
    <row r="495" ht="15" spans="3:19">
      <c r="C495" s="296" t="s">
        <v>205</v>
      </c>
      <c r="D495" s="296" t="s">
        <v>206</v>
      </c>
      <c r="E495" s="787">
        <f>[18]Sales_SP!FZ196</f>
        <v>17.908041</v>
      </c>
      <c r="F495" s="787">
        <f>[18]Sales_SP!GA196</f>
        <v>17.589554</v>
      </c>
      <c r="G495" s="787">
        <f>[18]Sales_SP!GB196</f>
        <v>14.258168</v>
      </c>
      <c r="H495" s="787">
        <f>[18]Sales_SP!GC196</f>
        <v>12.196655</v>
      </c>
      <c r="I495" s="787">
        <f>[18]Sales_SP!GD196</f>
        <v>12.577469</v>
      </c>
      <c r="J495" s="787">
        <f>[18]Sales_SP!GE196</f>
        <v>11.811752</v>
      </c>
      <c r="K495" s="787">
        <f>[18]Sales_SP!GF196</f>
        <v>12.534100621611</v>
      </c>
      <c r="L495" s="787">
        <f>[18]Sales_SP!GG196</f>
        <v>11.6181163062077</v>
      </c>
      <c r="M495" s="787">
        <f>[18]Sales_SP!GH196</f>
        <v>11.2526953634955</v>
      </c>
      <c r="N495" s="787">
        <f>[18]Sales_SP!GI196</f>
        <v>11.2708522717985</v>
      </c>
      <c r="O495" s="787">
        <f>[18]Sales_SP!GJ196</f>
        <v>12.6628721579038</v>
      </c>
      <c r="P495" s="787">
        <f>[18]Sales_SP!GK196</f>
        <v>16.4832176470144</v>
      </c>
      <c r="Q495" s="866">
        <f t="shared" si="122"/>
        <v>162.163493368031</v>
      </c>
      <c r="R495" s="863"/>
      <c r="S495" s="863"/>
    </row>
    <row r="496" ht="15" spans="3:19">
      <c r="C496" s="296" t="s">
        <v>218</v>
      </c>
      <c r="D496" s="296" t="s">
        <v>186</v>
      </c>
      <c r="E496" s="787">
        <f>[18]Sales_SP!FZ197</f>
        <v>2.21555</v>
      </c>
      <c r="F496" s="787">
        <f>[18]Sales_SP!GA197</f>
        <v>2.22663</v>
      </c>
      <c r="G496" s="787">
        <f>[18]Sales_SP!GB197</f>
        <v>4.0924</v>
      </c>
      <c r="H496" s="787">
        <f>[18]Sales_SP!GC197</f>
        <v>3.75989</v>
      </c>
      <c r="I496" s="787">
        <f>[18]Sales_SP!GD197</f>
        <v>2.43124</v>
      </c>
      <c r="J496" s="787">
        <f>[18]Sales_SP!GE197</f>
        <v>2.67176</v>
      </c>
      <c r="K496" s="787">
        <f>[18]Sales_SP!GF197</f>
        <v>4.72313031594753</v>
      </c>
      <c r="L496" s="787">
        <f>[18]Sales_SP!GG197</f>
        <v>2.67173815299996</v>
      </c>
      <c r="M496" s="787">
        <f>[18]Sales_SP!GH197</f>
        <v>2.57684967654258</v>
      </c>
      <c r="N496" s="787">
        <f>[18]Sales_SP!GI197</f>
        <v>2.54857426644906</v>
      </c>
      <c r="O496" s="787">
        <f>[18]Sales_SP!GJ197</f>
        <v>2.72142438675269</v>
      </c>
      <c r="P496" s="787">
        <f>[18]Sales_SP!GK197</f>
        <v>2.77808421806731</v>
      </c>
      <c r="Q496" s="866">
        <f t="shared" si="122"/>
        <v>35.4172710167591</v>
      </c>
      <c r="R496" s="863"/>
      <c r="S496" s="863"/>
    </row>
    <row r="497" ht="15" spans="3:19">
      <c r="C497" s="296" t="s">
        <v>208</v>
      </c>
      <c r="D497" s="296" t="s">
        <v>209</v>
      </c>
      <c r="E497" s="787">
        <v>0</v>
      </c>
      <c r="F497" s="787">
        <v>0</v>
      </c>
      <c r="G497" s="787">
        <v>0</v>
      </c>
      <c r="H497" s="787">
        <v>0</v>
      </c>
      <c r="I497" s="787">
        <v>0</v>
      </c>
      <c r="J497" s="787">
        <v>0</v>
      </c>
      <c r="K497" s="787">
        <v>0</v>
      </c>
      <c r="L497" s="787">
        <v>0</v>
      </c>
      <c r="M497" s="787">
        <v>0</v>
      </c>
      <c r="N497" s="787">
        <v>0</v>
      </c>
      <c r="O497" s="787">
        <v>0</v>
      </c>
      <c r="P497" s="787">
        <v>0</v>
      </c>
      <c r="Q497" s="866">
        <f t="shared" si="122"/>
        <v>0</v>
      </c>
      <c r="R497" s="863"/>
      <c r="S497" s="863"/>
    </row>
    <row r="498" ht="15" spans="3:19">
      <c r="C498" s="296" t="s">
        <v>210</v>
      </c>
      <c r="D498" s="296" t="s">
        <v>188</v>
      </c>
      <c r="E498" s="787">
        <f t="shared" ref="E498:P498" si="125">0</f>
        <v>0</v>
      </c>
      <c r="F498" s="787">
        <f t="shared" si="125"/>
        <v>0</v>
      </c>
      <c r="G498" s="787">
        <f t="shared" si="125"/>
        <v>0</v>
      </c>
      <c r="H498" s="787">
        <f t="shared" si="125"/>
        <v>0</v>
      </c>
      <c r="I498" s="787">
        <f t="shared" si="125"/>
        <v>0</v>
      </c>
      <c r="J498" s="787">
        <f t="shared" si="125"/>
        <v>0</v>
      </c>
      <c r="K498" s="787">
        <f t="shared" si="125"/>
        <v>0</v>
      </c>
      <c r="L498" s="787">
        <f t="shared" si="125"/>
        <v>0</v>
      </c>
      <c r="M498" s="787">
        <f t="shared" si="125"/>
        <v>0</v>
      </c>
      <c r="N498" s="787">
        <f t="shared" si="125"/>
        <v>0</v>
      </c>
      <c r="O498" s="787">
        <f t="shared" si="125"/>
        <v>0</v>
      </c>
      <c r="P498" s="787">
        <f t="shared" si="125"/>
        <v>0</v>
      </c>
      <c r="Q498" s="866">
        <f t="shared" si="122"/>
        <v>0</v>
      </c>
      <c r="R498" s="863"/>
      <c r="S498" s="863"/>
    </row>
    <row r="499" ht="15" spans="3:19">
      <c r="C499" s="296"/>
      <c r="D499" s="296"/>
      <c r="E499" s="787"/>
      <c r="F499" s="787"/>
      <c r="G499" s="787"/>
      <c r="H499" s="787"/>
      <c r="I499" s="787"/>
      <c r="J499" s="787"/>
      <c r="K499" s="787"/>
      <c r="L499" s="787"/>
      <c r="M499" s="787"/>
      <c r="N499" s="787"/>
      <c r="O499" s="787"/>
      <c r="P499" s="787"/>
      <c r="Q499" s="866">
        <f t="shared" si="122"/>
        <v>0</v>
      </c>
      <c r="R499" s="863"/>
      <c r="S499" s="863"/>
    </row>
    <row r="500" ht="4" customHeight="1" spans="3:19">
      <c r="C500" s="296"/>
      <c r="D500" s="296"/>
      <c r="E500" s="787"/>
      <c r="F500" s="787"/>
      <c r="G500" s="787"/>
      <c r="H500" s="787"/>
      <c r="I500" s="787"/>
      <c r="J500" s="787"/>
      <c r="K500" s="787"/>
      <c r="L500" s="787"/>
      <c r="M500" s="787"/>
      <c r="N500" s="787"/>
      <c r="O500" s="787"/>
      <c r="P500" s="787"/>
      <c r="Q500" s="866">
        <f t="shared" si="122"/>
        <v>0</v>
      </c>
      <c r="R500" s="863"/>
      <c r="S500" s="863"/>
    </row>
    <row r="501" ht="15" spans="3:19">
      <c r="C501" s="296"/>
      <c r="D501" s="296"/>
      <c r="E501" s="787"/>
      <c r="F501" s="787"/>
      <c r="G501" s="787"/>
      <c r="H501" s="787"/>
      <c r="I501" s="787"/>
      <c r="J501" s="787"/>
      <c r="K501" s="787"/>
      <c r="L501" s="787"/>
      <c r="M501" s="787"/>
      <c r="N501" s="787"/>
      <c r="O501" s="787"/>
      <c r="P501" s="787"/>
      <c r="Q501" s="866">
        <f t="shared" si="122"/>
        <v>0</v>
      </c>
      <c r="R501" s="863"/>
      <c r="S501" s="863"/>
    </row>
    <row r="502" ht="15" spans="3:19">
      <c r="C502" s="296" t="s">
        <v>258</v>
      </c>
      <c r="D502" s="296" t="s">
        <v>258</v>
      </c>
      <c r="E502" s="787"/>
      <c r="F502" s="787"/>
      <c r="G502" s="787"/>
      <c r="H502" s="787"/>
      <c r="I502" s="787"/>
      <c r="J502" s="787"/>
      <c r="K502" s="787"/>
      <c r="L502" s="787"/>
      <c r="M502" s="787"/>
      <c r="N502" s="787"/>
      <c r="O502" s="787"/>
      <c r="P502" s="787"/>
      <c r="Q502" s="866">
        <f t="shared" si="122"/>
        <v>0</v>
      </c>
      <c r="R502" s="863"/>
      <c r="S502" s="863"/>
    </row>
    <row r="503" ht="15" spans="3:19">
      <c r="C503" s="285" t="s">
        <v>211</v>
      </c>
      <c r="D503" s="286"/>
      <c r="E503" s="866">
        <f t="shared" ref="E503:P503" si="126">SUM(E487:E502)</f>
        <v>714.411271</v>
      </c>
      <c r="F503" s="866">
        <f t="shared" si="126"/>
        <v>746.3012025</v>
      </c>
      <c r="G503" s="866">
        <f t="shared" si="126"/>
        <v>713.9300385</v>
      </c>
      <c r="H503" s="866">
        <f t="shared" si="126"/>
        <v>727.849052</v>
      </c>
      <c r="I503" s="866">
        <f t="shared" si="126"/>
        <v>719.002874</v>
      </c>
      <c r="J503" s="866">
        <f t="shared" si="126"/>
        <v>692.126388</v>
      </c>
      <c r="K503" s="866">
        <f t="shared" si="126"/>
        <v>753.804678400316</v>
      </c>
      <c r="L503" s="866">
        <f t="shared" si="126"/>
        <v>753.899814838256</v>
      </c>
      <c r="M503" s="866">
        <f t="shared" si="126"/>
        <v>754.343047979197</v>
      </c>
      <c r="N503" s="866">
        <f t="shared" si="126"/>
        <v>755.812321427292</v>
      </c>
      <c r="O503" s="866">
        <f t="shared" si="126"/>
        <v>744.882255461913</v>
      </c>
      <c r="P503" s="866">
        <f t="shared" si="126"/>
        <v>837.048739967332</v>
      </c>
      <c r="Q503" s="866">
        <f t="shared" si="122"/>
        <v>8913.41168407431</v>
      </c>
      <c r="R503" s="863"/>
      <c r="S503" s="863"/>
    </row>
    <row r="504" ht="15" spans="3:19">
      <c r="C504" s="285" t="s">
        <v>219</v>
      </c>
      <c r="D504" s="286"/>
      <c r="E504" s="787"/>
      <c r="F504" s="787"/>
      <c r="G504" s="787"/>
      <c r="H504" s="787"/>
      <c r="I504" s="787"/>
      <c r="J504" s="787"/>
      <c r="K504" s="787"/>
      <c r="L504" s="787"/>
      <c r="M504" s="787"/>
      <c r="N504" s="787"/>
      <c r="O504" s="787"/>
      <c r="P504" s="787"/>
      <c r="Q504" s="866"/>
      <c r="R504" s="863"/>
      <c r="S504" s="863"/>
    </row>
    <row r="505" ht="15" spans="3:19">
      <c r="C505" s="296" t="s">
        <v>191</v>
      </c>
      <c r="D505" s="296" t="s">
        <v>192</v>
      </c>
      <c r="E505" s="787">
        <f>[18]Sales_SP!FZ212</f>
        <v>363.394988</v>
      </c>
      <c r="F505" s="787">
        <f>[18]Sales_SP!GA212</f>
        <v>387.297409</v>
      </c>
      <c r="G505" s="787">
        <f>[18]Sales_SP!GB212</f>
        <v>379.030591</v>
      </c>
      <c r="H505" s="787">
        <f>[18]Sales_SP!GC212</f>
        <v>384.849637</v>
      </c>
      <c r="I505" s="787">
        <f>[18]Sales_SP!GD212</f>
        <v>406.636836</v>
      </c>
      <c r="J505" s="787">
        <f>[18]Sales_SP!GE212</f>
        <v>369.470139</v>
      </c>
      <c r="K505" s="787">
        <f>[18]Sales_SP!GF212</f>
        <v>413.502791512084</v>
      </c>
      <c r="L505" s="787">
        <f>[18]Sales_SP!GG212</f>
        <v>407.274543931303</v>
      </c>
      <c r="M505" s="787">
        <f>[18]Sales_SP!GH212</f>
        <v>413.657541826264</v>
      </c>
      <c r="N505" s="787">
        <f>[18]Sales_SP!GI212</f>
        <v>407.16165060954</v>
      </c>
      <c r="O505" s="787">
        <f>[18]Sales_SP!GJ212</f>
        <v>376.120666739982</v>
      </c>
      <c r="P505" s="787">
        <f>[18]Sales_SP!GK212</f>
        <v>408.070215723041</v>
      </c>
      <c r="Q505" s="866">
        <f t="shared" si="122"/>
        <v>4716.46701034221</v>
      </c>
      <c r="R505" s="863"/>
      <c r="S505" s="863"/>
    </row>
    <row r="506" ht="15" spans="3:19">
      <c r="C506" s="296" t="s">
        <v>193</v>
      </c>
      <c r="D506" s="296" t="s">
        <v>194</v>
      </c>
      <c r="E506" s="787">
        <f>[18]Sales_SP!FZ222</f>
        <v>12.44</v>
      </c>
      <c r="F506" s="787">
        <f>[18]Sales_SP!GA222</f>
        <v>13.28</v>
      </c>
      <c r="G506" s="787">
        <f>[18]Sales_SP!GB222</f>
        <v>15.55</v>
      </c>
      <c r="H506" s="787">
        <f>[18]Sales_SP!GC222</f>
        <v>14.07</v>
      </c>
      <c r="I506" s="787">
        <f>[18]Sales_SP!GD222</f>
        <v>13.15</v>
      </c>
      <c r="J506" s="787">
        <f>[18]Sales_SP!GE222</f>
        <v>5.2</v>
      </c>
      <c r="K506" s="787">
        <f>[18]Sales_SP!GF222</f>
        <v>14.813835</v>
      </c>
      <c r="L506" s="787">
        <f>[18]Sales_SP!GG222</f>
        <v>10.4765</v>
      </c>
      <c r="M506" s="787">
        <f>[18]Sales_SP!GH222</f>
        <v>12.8933</v>
      </c>
      <c r="N506" s="787">
        <f>[18]Sales_SP!GI222</f>
        <v>13.8759</v>
      </c>
      <c r="O506" s="787">
        <f>[18]Sales_SP!GJ222</f>
        <v>12.5152</v>
      </c>
      <c r="P506" s="787">
        <f>[18]Sales_SP!GK222</f>
        <v>11.67</v>
      </c>
      <c r="Q506" s="866">
        <f t="shared" si="122"/>
        <v>149.934735</v>
      </c>
      <c r="R506" s="863"/>
      <c r="S506" s="863"/>
    </row>
    <row r="507" ht="15" spans="3:19">
      <c r="C507" s="296" t="s">
        <v>239</v>
      </c>
      <c r="D507" s="296" t="s">
        <v>196</v>
      </c>
      <c r="E507" s="787">
        <f>[18]Sales_SP!FZ228</f>
        <v>17.11</v>
      </c>
      <c r="F507" s="787">
        <f>[18]Sales_SP!GA228</f>
        <v>19.17</v>
      </c>
      <c r="G507" s="787">
        <f>[18]Sales_SP!GB228</f>
        <v>18.42</v>
      </c>
      <c r="H507" s="787">
        <f>[18]Sales_SP!GC228</f>
        <v>18.36</v>
      </c>
      <c r="I507" s="787">
        <f>[18]Sales_SP!GD228</f>
        <v>18.46</v>
      </c>
      <c r="J507" s="787">
        <f>[18]Sales_SP!GE228</f>
        <v>17.83</v>
      </c>
      <c r="K507" s="787">
        <f>[18]Sales_SP!GF228</f>
        <v>13.0863786596344</v>
      </c>
      <c r="L507" s="787">
        <f>[18]Sales_SP!GG228</f>
        <v>13.6563521071289</v>
      </c>
      <c r="M507" s="787">
        <f>[18]Sales_SP!GH228</f>
        <v>13.5832950253413</v>
      </c>
      <c r="N507" s="787">
        <f>[18]Sales_SP!GI228</f>
        <v>13.684506029985</v>
      </c>
      <c r="O507" s="787">
        <f>[18]Sales_SP!GJ228</f>
        <v>16.1801422052482</v>
      </c>
      <c r="P507" s="787">
        <f>[18]Sales_SP!GK228</f>
        <v>23.0698774782743</v>
      </c>
      <c r="Q507" s="866">
        <f t="shared" si="122"/>
        <v>202.610551505612</v>
      </c>
      <c r="R507" s="863"/>
      <c r="S507" s="863"/>
    </row>
    <row r="508" ht="15" spans="3:19">
      <c r="C508" s="296" t="s">
        <v>197</v>
      </c>
      <c r="D508" s="296" t="s">
        <v>198</v>
      </c>
      <c r="E508" s="787">
        <f>[18]Sales_SP!FZ233</f>
        <v>0</v>
      </c>
      <c r="F508" s="787">
        <f>[18]Sales_SP!GA233</f>
        <v>0</v>
      </c>
      <c r="G508" s="787">
        <f>[18]Sales_SP!GB233</f>
        <v>0</v>
      </c>
      <c r="H508" s="787">
        <f>[18]Sales_SP!GC233</f>
        <v>0</v>
      </c>
      <c r="I508" s="787">
        <f>[18]Sales_SP!GD233</f>
        <v>0</v>
      </c>
      <c r="J508" s="787">
        <f>[18]Sales_SP!GE233</f>
        <v>0</v>
      </c>
      <c r="K508" s="787">
        <f>[18]Sales_SP!GF233</f>
        <v>0</v>
      </c>
      <c r="L508" s="787">
        <f>[18]Sales_SP!GG233</f>
        <v>0</v>
      </c>
      <c r="M508" s="787">
        <f>[18]Sales_SP!GH233</f>
        <v>0</v>
      </c>
      <c r="N508" s="787">
        <f>[18]Sales_SP!GI233</f>
        <v>0</v>
      </c>
      <c r="O508" s="787">
        <f>[18]Sales_SP!GJ233</f>
        <v>0</v>
      </c>
      <c r="P508" s="787">
        <f>[18]Sales_SP!GK233</f>
        <v>0</v>
      </c>
      <c r="Q508" s="866">
        <f t="shared" si="122"/>
        <v>0</v>
      </c>
      <c r="R508" s="863"/>
      <c r="S508" s="863"/>
    </row>
    <row r="509" ht="15" spans="3:19">
      <c r="C509" s="296" t="s">
        <v>199</v>
      </c>
      <c r="D509" s="296" t="s">
        <v>200</v>
      </c>
      <c r="E509" s="787">
        <f>[18]Sales_SP!FZ238</f>
        <v>9.23</v>
      </c>
      <c r="F509" s="787">
        <f>[18]Sales_SP!GA238</f>
        <v>10.89</v>
      </c>
      <c r="G509" s="787">
        <f>[18]Sales_SP!GB238</f>
        <v>10.08</v>
      </c>
      <c r="H509" s="787">
        <f>[18]Sales_SP!GC238</f>
        <v>9.59</v>
      </c>
      <c r="I509" s="787">
        <f>[18]Sales_SP!GD238</f>
        <v>9.64</v>
      </c>
      <c r="J509" s="787">
        <f>[18]Sales_SP!GE238</f>
        <v>8.87</v>
      </c>
      <c r="K509" s="787">
        <f>[18]Sales_SP!GF238</f>
        <v>8.51505367221564</v>
      </c>
      <c r="L509" s="787">
        <f>[18]Sales_SP!GG238</f>
        <v>8.68343388019102</v>
      </c>
      <c r="M509" s="787">
        <f>[18]Sales_SP!GH238</f>
        <v>7.72501870648385</v>
      </c>
      <c r="N509" s="787">
        <f>[18]Sales_SP!GI238</f>
        <v>7.74932785318944</v>
      </c>
      <c r="O509" s="787">
        <f>[18]Sales_SP!GJ238</f>
        <v>8.64665030293915</v>
      </c>
      <c r="P509" s="787">
        <f>[18]Sales_SP!GK238</f>
        <v>10.3451289069945</v>
      </c>
      <c r="Q509" s="866">
        <f t="shared" si="122"/>
        <v>109.964613322014</v>
      </c>
      <c r="R509" s="863"/>
      <c r="S509" s="863"/>
    </row>
    <row r="510" ht="15" spans="3:19">
      <c r="C510" s="296" t="s">
        <v>201</v>
      </c>
      <c r="D510" s="296" t="s">
        <v>240</v>
      </c>
      <c r="E510" s="787">
        <f>[18]Sales_SP!FZ244+[18]Sales_SP!FZ245</f>
        <v>38.92</v>
      </c>
      <c r="F510" s="787">
        <f>[18]Sales_SP!GA244+[18]Sales_SP!GA245</f>
        <v>24.2</v>
      </c>
      <c r="G510" s="787">
        <f>[18]Sales_SP!GB244+[18]Sales_SP!GB245</f>
        <v>53</v>
      </c>
      <c r="H510" s="787">
        <f>[18]Sales_SP!GC244+[18]Sales_SP!GC245</f>
        <v>118.56</v>
      </c>
      <c r="I510" s="787">
        <f>[18]Sales_SP!GD244+[18]Sales_SP!GD245</f>
        <v>419.87</v>
      </c>
      <c r="J510" s="787">
        <f>[18]Sales_SP!GE244+[18]Sales_SP!GE245</f>
        <v>278.27</v>
      </c>
      <c r="K510" s="787">
        <f>[18]Sales_SP!GF244+[18]Sales_SP!GF245</f>
        <v>208.2941450016</v>
      </c>
      <c r="L510" s="787">
        <f>[18]Sales_SP!GG244+[18]Sales_SP!GG245</f>
        <v>196.9552320552</v>
      </c>
      <c r="M510" s="787">
        <f>[18]Sales_SP!GH244+[18]Sales_SP!GH245</f>
        <v>58.7599559796</v>
      </c>
      <c r="N510" s="787">
        <f>[18]Sales_SP!GI244+[18]Sales_SP!GI245</f>
        <v>40.686242613</v>
      </c>
      <c r="O510" s="787">
        <f>[18]Sales_SP!GJ244+[18]Sales_SP!GJ245</f>
        <v>50.7671475762</v>
      </c>
      <c r="P510" s="787">
        <f>[18]Sales_SP!GK244+[18]Sales_SP!GK245</f>
        <v>34.2156515586</v>
      </c>
      <c r="Q510" s="866">
        <f t="shared" si="122"/>
        <v>1522.4983747842</v>
      </c>
      <c r="R510" s="863"/>
      <c r="S510" s="863"/>
    </row>
    <row r="511" ht="15" spans="3:19">
      <c r="C511" s="296" t="s">
        <v>203</v>
      </c>
      <c r="D511" s="296" t="s">
        <v>220</v>
      </c>
      <c r="E511" s="787">
        <f>[18]Sales_SP!FZ246</f>
        <v>24.526</v>
      </c>
      <c r="F511" s="787">
        <f>[18]Sales_SP!GA246</f>
        <v>25.21</v>
      </c>
      <c r="G511" s="787">
        <f>[18]Sales_SP!GB246</f>
        <v>24.09</v>
      </c>
      <c r="H511" s="787">
        <f>[18]Sales_SP!GC246</f>
        <v>24.89</v>
      </c>
      <c r="I511" s="787">
        <f>[18]Sales_SP!GD246</f>
        <v>23.95</v>
      </c>
      <c r="J511" s="787">
        <f>[18]Sales_SP!GE246</f>
        <v>20.49</v>
      </c>
      <c r="K511" s="787">
        <f>[18]Sales_SP!GF246</f>
        <v>23.8543820129772</v>
      </c>
      <c r="L511" s="787">
        <f>[18]Sales_SP!GG246</f>
        <v>24.8596508676083</v>
      </c>
      <c r="M511" s="787">
        <f>[18]Sales_SP!GH246</f>
        <v>26.3634203652417</v>
      </c>
      <c r="N511" s="787">
        <f>[18]Sales_SP!GI246</f>
        <v>24.7745919281419</v>
      </c>
      <c r="O511" s="787">
        <f>[18]Sales_SP!GJ246</f>
        <v>21.9709159898755</v>
      </c>
      <c r="P511" s="787">
        <f>[18]Sales_SP!GK246</f>
        <v>26.5448006973546</v>
      </c>
      <c r="Q511" s="866">
        <f t="shared" si="122"/>
        <v>291.523761861199</v>
      </c>
      <c r="R511" s="863"/>
      <c r="S511" s="863"/>
    </row>
    <row r="512" ht="15" spans="3:19">
      <c r="C512" s="296" t="s">
        <v>241</v>
      </c>
      <c r="D512" s="296" t="s">
        <v>229</v>
      </c>
      <c r="E512" s="787">
        <f>[18]Sales_SP!FZ249</f>
        <v>43.90424</v>
      </c>
      <c r="F512" s="787">
        <f>[18]Sales_SP!GA249</f>
        <v>46.55</v>
      </c>
      <c r="G512" s="787">
        <f>[18]Sales_SP!GB249</f>
        <v>44.128555</v>
      </c>
      <c r="H512" s="787">
        <f>[18]Sales_SP!GC249</f>
        <v>43.677035</v>
      </c>
      <c r="I512" s="787">
        <f>[18]Sales_SP!GD249</f>
        <v>44.33</v>
      </c>
      <c r="J512" s="787">
        <f>[18]Sales_SP!GE249</f>
        <v>43.01</v>
      </c>
      <c r="K512" s="787">
        <f>[18]Sales_SP!GF249+[18]Sales_SP!GF250</f>
        <v>113.801675728963</v>
      </c>
      <c r="L512" s="787">
        <f>[18]Sales_SP!GG249+[18]Sales_SP!GG250</f>
        <v>111.637658917645</v>
      </c>
      <c r="M512" s="787">
        <f>[18]Sales_SP!GH249+[18]Sales_SP!GH250</f>
        <v>111.178510602803</v>
      </c>
      <c r="N512" s="787">
        <f>[18]Sales_SP!GI249+[18]Sales_SP!GI250</f>
        <v>113.559116333187</v>
      </c>
      <c r="O512" s="787">
        <f>[18]Sales_SP!GJ249+[18]Sales_SP!GJ250</f>
        <v>110.087865607756</v>
      </c>
      <c r="P512" s="787">
        <f>[18]Sales_SP!GK249+[18]Sales_SP!GK250</f>
        <v>115.008337949562</v>
      </c>
      <c r="Q512" s="866">
        <f t="shared" si="122"/>
        <v>940.872995139916</v>
      </c>
      <c r="R512" s="863"/>
      <c r="S512" s="863"/>
    </row>
    <row r="513" ht="15" spans="3:19">
      <c r="C513" s="296" t="s">
        <v>259</v>
      </c>
      <c r="D513" s="296" t="s">
        <v>243</v>
      </c>
      <c r="E513" s="787">
        <f>[18]Sales_SP!FZ251</f>
        <v>10.77</v>
      </c>
      <c r="F513" s="787">
        <f>[18]Sales_SP!GA251</f>
        <v>11.39</v>
      </c>
      <c r="G513" s="787">
        <f>[18]Sales_SP!GB251</f>
        <v>11.9</v>
      </c>
      <c r="H513" s="787">
        <f>[18]Sales_SP!GC251</f>
        <v>10.45</v>
      </c>
      <c r="I513" s="787">
        <f>[18]Sales_SP!GD251</f>
        <v>10.38</v>
      </c>
      <c r="J513" s="787">
        <f>[18]Sales_SP!GE251</f>
        <v>9.56</v>
      </c>
      <c r="K513" s="787">
        <f>[18]Sales_SP!GF251+[18]Sales_SP!GF252</f>
        <v>18.3779939002928</v>
      </c>
      <c r="L513" s="787">
        <f>[18]Sales_SP!GG251+[18]Sales_SP!GG252</f>
        <v>15.1987242724649</v>
      </c>
      <c r="M513" s="787">
        <f>[18]Sales_SP!GH251+[18]Sales_SP!GH252</f>
        <v>17.3567904254232</v>
      </c>
      <c r="N513" s="787">
        <f>[18]Sales_SP!GI251+[18]Sales_SP!GI252</f>
        <v>17.6766856311787</v>
      </c>
      <c r="O513" s="787">
        <f>[18]Sales_SP!GJ251+[18]Sales_SP!GJ252</f>
        <v>17.6582326201165</v>
      </c>
      <c r="P513" s="787">
        <f>[18]Sales_SP!GK251+[18]Sales_SP!GK252</f>
        <v>19.1274935040815</v>
      </c>
      <c r="Q513" s="866">
        <f t="shared" si="122"/>
        <v>169.845920353557</v>
      </c>
      <c r="R513" s="863"/>
      <c r="S513" s="863"/>
    </row>
    <row r="514" ht="15" spans="3:19">
      <c r="C514" s="296" t="s">
        <v>205</v>
      </c>
      <c r="D514" s="296" t="s">
        <v>206</v>
      </c>
      <c r="E514" s="787">
        <f>[18]Sales_SP!FZ253</f>
        <v>0</v>
      </c>
      <c r="F514" s="787">
        <f>[18]Sales_SP!GA253</f>
        <v>0</v>
      </c>
      <c r="G514" s="787">
        <f>[18]Sales_SP!GB253</f>
        <v>0</v>
      </c>
      <c r="H514" s="787">
        <f>[18]Sales_SP!GC253</f>
        <v>0</v>
      </c>
      <c r="I514" s="787">
        <f>[18]Sales_SP!GD253</f>
        <v>0</v>
      </c>
      <c r="J514" s="787">
        <f>[18]Sales_SP!GE253</f>
        <v>0</v>
      </c>
      <c r="K514" s="787">
        <f>[18]Sales_SP!GF253</f>
        <v>0</v>
      </c>
      <c r="L514" s="787">
        <f>[18]Sales_SP!GG253</f>
        <v>0</v>
      </c>
      <c r="M514" s="787">
        <f>[18]Sales_SP!GH253</f>
        <v>0</v>
      </c>
      <c r="N514" s="787">
        <f>[18]Sales_SP!GI253</f>
        <v>0</v>
      </c>
      <c r="O514" s="787">
        <f>[18]Sales_SP!GJ253</f>
        <v>0</v>
      </c>
      <c r="P514" s="787">
        <f>[18]Sales_SP!GK253</f>
        <v>0</v>
      </c>
      <c r="Q514" s="866">
        <f t="shared" si="122"/>
        <v>0</v>
      </c>
      <c r="R514" s="863"/>
      <c r="S514" s="863"/>
    </row>
    <row r="515" ht="15" spans="3:19">
      <c r="C515" s="296" t="s">
        <v>207</v>
      </c>
      <c r="D515" s="296" t="s">
        <v>186</v>
      </c>
      <c r="E515" s="787">
        <f>[18]Sales_SP!FZ254</f>
        <v>0</v>
      </c>
      <c r="F515" s="787">
        <f>[18]Sales_SP!GA254</f>
        <v>0</v>
      </c>
      <c r="G515" s="787">
        <f>[18]Sales_SP!GB254</f>
        <v>0</v>
      </c>
      <c r="H515" s="787">
        <f>[18]Sales_SP!GC254</f>
        <v>0</v>
      </c>
      <c r="I515" s="787">
        <f>[18]Sales_SP!GD254</f>
        <v>0</v>
      </c>
      <c r="J515" s="787">
        <f>[18]Sales_SP!GE254</f>
        <v>0</v>
      </c>
      <c r="K515" s="787">
        <f>[18]Sales_SP!GF254</f>
        <v>0</v>
      </c>
      <c r="L515" s="787">
        <f>[18]Sales_SP!GG254</f>
        <v>0</v>
      </c>
      <c r="M515" s="787">
        <f>[18]Sales_SP!GH254</f>
        <v>0</v>
      </c>
      <c r="N515" s="787">
        <f>[18]Sales_SP!GI254</f>
        <v>0</v>
      </c>
      <c r="O515" s="787">
        <f>[18]Sales_SP!GJ254</f>
        <v>0</v>
      </c>
      <c r="P515" s="787">
        <f>[18]Sales_SP!GK254</f>
        <v>0</v>
      </c>
      <c r="Q515" s="866">
        <f t="shared" si="122"/>
        <v>0</v>
      </c>
      <c r="R515" s="863"/>
      <c r="S515" s="863"/>
    </row>
    <row r="516" ht="15" spans="3:19">
      <c r="C516" s="296" t="s">
        <v>208</v>
      </c>
      <c r="D516" s="296" t="s">
        <v>209</v>
      </c>
      <c r="E516" s="787">
        <v>0</v>
      </c>
      <c r="F516" s="787">
        <v>0</v>
      </c>
      <c r="G516" s="787">
        <v>0</v>
      </c>
      <c r="H516" s="787">
        <v>0</v>
      </c>
      <c r="I516" s="787">
        <v>0</v>
      </c>
      <c r="J516" s="787">
        <v>0</v>
      </c>
      <c r="K516" s="787">
        <v>0</v>
      </c>
      <c r="L516" s="787">
        <v>0</v>
      </c>
      <c r="M516" s="787">
        <v>0</v>
      </c>
      <c r="N516" s="787">
        <v>0</v>
      </c>
      <c r="O516" s="787">
        <v>0</v>
      </c>
      <c r="P516" s="787">
        <v>0</v>
      </c>
      <c r="Q516" s="866">
        <f t="shared" si="122"/>
        <v>0</v>
      </c>
      <c r="R516" s="863"/>
      <c r="S516" s="863"/>
    </row>
    <row r="517" ht="15" spans="3:19">
      <c r="C517" s="296" t="s">
        <v>210</v>
      </c>
      <c r="D517" s="296" t="s">
        <v>188</v>
      </c>
      <c r="E517" s="787">
        <v>0</v>
      </c>
      <c r="F517" s="787">
        <v>0</v>
      </c>
      <c r="G517" s="787">
        <v>0</v>
      </c>
      <c r="H517" s="787">
        <v>0</v>
      </c>
      <c r="I517" s="787">
        <v>0</v>
      </c>
      <c r="J517" s="787">
        <v>0</v>
      </c>
      <c r="K517" s="787">
        <v>0</v>
      </c>
      <c r="L517" s="787">
        <v>0</v>
      </c>
      <c r="M517" s="787">
        <v>0</v>
      </c>
      <c r="N517" s="787">
        <v>0</v>
      </c>
      <c r="O517" s="787">
        <v>0</v>
      </c>
      <c r="P517" s="787">
        <v>0</v>
      </c>
      <c r="Q517" s="866">
        <f t="shared" si="122"/>
        <v>0</v>
      </c>
      <c r="R517" s="863"/>
      <c r="S517" s="863"/>
    </row>
    <row r="518" ht="15" spans="3:19">
      <c r="C518" s="296"/>
      <c r="D518" s="296"/>
      <c r="E518" s="787"/>
      <c r="F518" s="787"/>
      <c r="G518" s="787"/>
      <c r="H518" s="787"/>
      <c r="I518" s="787"/>
      <c r="J518" s="787"/>
      <c r="K518" s="787"/>
      <c r="L518" s="787"/>
      <c r="M518" s="787"/>
      <c r="N518" s="787"/>
      <c r="O518" s="787"/>
      <c r="P518" s="787"/>
      <c r="Q518" s="866">
        <f t="shared" si="122"/>
        <v>0</v>
      </c>
      <c r="R518" s="863"/>
      <c r="S518" s="863"/>
    </row>
    <row r="519" ht="15" spans="3:19">
      <c r="C519" s="296"/>
      <c r="D519" s="296"/>
      <c r="E519" s="787"/>
      <c r="F519" s="787"/>
      <c r="G519" s="787"/>
      <c r="H519" s="787"/>
      <c r="I519" s="787"/>
      <c r="J519" s="787"/>
      <c r="K519" s="787"/>
      <c r="L519" s="787"/>
      <c r="M519" s="787"/>
      <c r="N519" s="787"/>
      <c r="O519" s="787"/>
      <c r="P519" s="787"/>
      <c r="Q519" s="866">
        <f t="shared" si="122"/>
        <v>0</v>
      </c>
      <c r="R519" s="863"/>
      <c r="S519" s="863"/>
    </row>
    <row r="520" ht="15" spans="3:19">
      <c r="C520" s="296"/>
      <c r="D520" s="296"/>
      <c r="E520" s="787"/>
      <c r="F520" s="787"/>
      <c r="G520" s="787"/>
      <c r="H520" s="787"/>
      <c r="I520" s="787"/>
      <c r="J520" s="787"/>
      <c r="K520" s="787"/>
      <c r="L520" s="787"/>
      <c r="M520" s="787"/>
      <c r="N520" s="787"/>
      <c r="O520" s="787"/>
      <c r="P520" s="787"/>
      <c r="Q520" s="866">
        <f t="shared" si="122"/>
        <v>0</v>
      </c>
      <c r="R520" s="863"/>
      <c r="S520" s="863"/>
    </row>
    <row r="521" ht="15" spans="3:19">
      <c r="C521" s="296" t="s">
        <v>258</v>
      </c>
      <c r="D521" s="296" t="s">
        <v>258</v>
      </c>
      <c r="E521" s="787"/>
      <c r="F521" s="787"/>
      <c r="G521" s="787"/>
      <c r="H521" s="787"/>
      <c r="I521" s="787"/>
      <c r="J521" s="787"/>
      <c r="K521" s="787"/>
      <c r="L521" s="787"/>
      <c r="M521" s="787"/>
      <c r="N521" s="787"/>
      <c r="O521" s="787"/>
      <c r="P521" s="787"/>
      <c r="Q521" s="866">
        <f t="shared" ref="Q521:Q524" si="127">SUM(E521:P521)</f>
        <v>0</v>
      </c>
      <c r="R521" s="863"/>
      <c r="S521" s="863"/>
    </row>
    <row r="522" ht="15" spans="3:19">
      <c r="C522" s="285" t="s">
        <v>211</v>
      </c>
      <c r="D522" s="286"/>
      <c r="E522" s="866">
        <f t="shared" ref="E522:P522" si="128">SUM(E505:E521)</f>
        <v>520.295228</v>
      </c>
      <c r="F522" s="866">
        <f t="shared" si="128"/>
        <v>537.987409</v>
      </c>
      <c r="G522" s="866">
        <f t="shared" si="128"/>
        <v>556.199146</v>
      </c>
      <c r="H522" s="866">
        <f t="shared" si="128"/>
        <v>624.446672</v>
      </c>
      <c r="I522" s="866">
        <f t="shared" si="128"/>
        <v>946.416836</v>
      </c>
      <c r="J522" s="866">
        <f t="shared" si="128"/>
        <v>752.700139</v>
      </c>
      <c r="K522" s="866">
        <f t="shared" si="128"/>
        <v>814.246255487767</v>
      </c>
      <c r="L522" s="866">
        <f t="shared" si="128"/>
        <v>788.742096031541</v>
      </c>
      <c r="M522" s="866">
        <f t="shared" si="128"/>
        <v>661.517832931157</v>
      </c>
      <c r="N522" s="866">
        <f t="shared" si="128"/>
        <v>639.168020998222</v>
      </c>
      <c r="O522" s="866">
        <f t="shared" si="128"/>
        <v>613.946821042117</v>
      </c>
      <c r="P522" s="866">
        <f t="shared" si="128"/>
        <v>648.051505817908</v>
      </c>
      <c r="Q522" s="866">
        <f t="shared" si="127"/>
        <v>8103.71796230871</v>
      </c>
      <c r="R522" s="863"/>
      <c r="S522" s="863"/>
    </row>
    <row r="523" ht="15" spans="3:19">
      <c r="C523" s="285" t="s">
        <v>223</v>
      </c>
      <c r="D523" s="286"/>
      <c r="E523" s="866">
        <f t="shared" ref="E523:P523" si="129">E522+E503+E485</f>
        <v>1882.70573126</v>
      </c>
      <c r="F523" s="866">
        <f t="shared" si="129"/>
        <v>1941.26046453</v>
      </c>
      <c r="G523" s="866">
        <f t="shared" si="129"/>
        <v>1891.71611762</v>
      </c>
      <c r="H523" s="866">
        <f t="shared" si="129"/>
        <v>1964.27228231</v>
      </c>
      <c r="I523" s="866">
        <f t="shared" si="129"/>
        <v>2292.45560175</v>
      </c>
      <c r="J523" s="866">
        <f t="shared" si="129"/>
        <v>2032.67774953</v>
      </c>
      <c r="K523" s="866">
        <f t="shared" si="129"/>
        <v>2187.6621498682</v>
      </c>
      <c r="L523" s="866">
        <f t="shared" si="129"/>
        <v>2149.27563021648</v>
      </c>
      <c r="M523" s="866">
        <f t="shared" si="129"/>
        <v>2028.46923790826</v>
      </c>
      <c r="N523" s="866">
        <f t="shared" si="129"/>
        <v>1997.47867288947</v>
      </c>
      <c r="O523" s="866">
        <f t="shared" si="129"/>
        <v>1972.9961763898</v>
      </c>
      <c r="P523" s="866">
        <f t="shared" si="129"/>
        <v>2160.90403758356</v>
      </c>
      <c r="Q523" s="866">
        <f t="shared" si="127"/>
        <v>24501.8738518558</v>
      </c>
      <c r="R523" s="863"/>
      <c r="S523" s="863"/>
    </row>
    <row r="524" ht="15" spans="3:19">
      <c r="C524" s="285" t="s">
        <v>224</v>
      </c>
      <c r="D524" s="286"/>
      <c r="E524" s="866">
        <f t="shared" ref="E524:P524" si="130">E523+E468</f>
        <v>3649.82578956</v>
      </c>
      <c r="F524" s="866">
        <f t="shared" si="130"/>
        <v>3715.71963103</v>
      </c>
      <c r="G524" s="866">
        <f t="shared" si="130"/>
        <v>3364.76522362</v>
      </c>
      <c r="H524" s="866">
        <f t="shared" si="130"/>
        <v>3333.72582781</v>
      </c>
      <c r="I524" s="866">
        <f t="shared" si="130"/>
        <v>3752.817367</v>
      </c>
      <c r="J524" s="866">
        <f t="shared" si="130"/>
        <v>3362.28507608</v>
      </c>
      <c r="K524" s="866">
        <f t="shared" si="130"/>
        <v>3595.66443179554</v>
      </c>
      <c r="L524" s="866">
        <f t="shared" si="130"/>
        <v>3475.33130227342</v>
      </c>
      <c r="M524" s="866">
        <f t="shared" si="130"/>
        <v>3240.61428883026</v>
      </c>
      <c r="N524" s="866">
        <f t="shared" si="130"/>
        <v>3335.16800560852</v>
      </c>
      <c r="O524" s="866">
        <f t="shared" si="130"/>
        <v>3254.22171038139</v>
      </c>
      <c r="P524" s="866">
        <f t="shared" si="130"/>
        <v>3839.24929340976</v>
      </c>
      <c r="Q524" s="866">
        <f t="shared" si="127"/>
        <v>41919.3879473989</v>
      </c>
      <c r="R524" s="863"/>
      <c r="S524" s="863"/>
    </row>
    <row r="525" spans="5:19">
      <c r="E525" s="863"/>
      <c r="F525" s="863"/>
      <c r="G525" s="863"/>
      <c r="H525" s="863"/>
      <c r="I525" s="863"/>
      <c r="J525" s="863"/>
      <c r="K525" s="863"/>
      <c r="L525" s="863"/>
      <c r="M525" s="863"/>
      <c r="N525" s="863"/>
      <c r="O525" s="863"/>
      <c r="P525" s="863"/>
      <c r="Q525" s="863"/>
      <c r="R525" s="863"/>
      <c r="S525" s="863"/>
    </row>
    <row r="526" ht="15" spans="3:19">
      <c r="C526" s="369"/>
      <c r="E526" s="863"/>
      <c r="F526" s="863"/>
      <c r="G526" s="863"/>
      <c r="H526" s="863"/>
      <c r="I526" s="863"/>
      <c r="J526" s="863"/>
      <c r="K526" s="863"/>
      <c r="L526" s="863"/>
      <c r="M526" s="863"/>
      <c r="N526" s="863"/>
      <c r="O526" s="863"/>
      <c r="P526" s="863"/>
      <c r="Q526" s="870" t="s">
        <v>236</v>
      </c>
      <c r="R526" s="863"/>
      <c r="S526" s="863"/>
    </row>
    <row r="527" ht="15" spans="3:19">
      <c r="C527" s="401" t="s">
        <v>159</v>
      </c>
      <c r="D527" s="401"/>
      <c r="E527" s="864" t="s">
        <v>264</v>
      </c>
      <c r="F527" s="864"/>
      <c r="G527" s="864"/>
      <c r="H527" s="864"/>
      <c r="I527" s="864"/>
      <c r="J527" s="864"/>
      <c r="K527" s="864"/>
      <c r="L527" s="864"/>
      <c r="M527" s="864"/>
      <c r="N527" s="864"/>
      <c r="O527" s="864"/>
      <c r="P527" s="864"/>
      <c r="Q527" s="864"/>
      <c r="R527" s="863"/>
      <c r="S527" s="863"/>
    </row>
    <row r="528" ht="15" spans="3:19">
      <c r="C528" s="401"/>
      <c r="D528" s="401"/>
      <c r="E528" s="864" t="s">
        <v>246</v>
      </c>
      <c r="F528" s="864" t="s">
        <v>247</v>
      </c>
      <c r="G528" s="864" t="s">
        <v>248</v>
      </c>
      <c r="H528" s="864" t="s">
        <v>249</v>
      </c>
      <c r="I528" s="864" t="s">
        <v>250</v>
      </c>
      <c r="J528" s="864" t="s">
        <v>251</v>
      </c>
      <c r="K528" s="864" t="s">
        <v>252</v>
      </c>
      <c r="L528" s="864" t="s">
        <v>253</v>
      </c>
      <c r="M528" s="864" t="s">
        <v>254</v>
      </c>
      <c r="N528" s="864" t="s">
        <v>255</v>
      </c>
      <c r="O528" s="864" t="s">
        <v>256</v>
      </c>
      <c r="P528" s="864" t="s">
        <v>257</v>
      </c>
      <c r="Q528" s="864" t="s">
        <v>97</v>
      </c>
      <c r="R528" s="863"/>
      <c r="S528" s="863"/>
    </row>
    <row r="529" ht="15" spans="3:19">
      <c r="C529" s="285" t="s">
        <v>170</v>
      </c>
      <c r="D529" s="286"/>
      <c r="E529" s="787"/>
      <c r="F529" s="787"/>
      <c r="G529" s="787"/>
      <c r="H529" s="787"/>
      <c r="I529" s="787"/>
      <c r="J529" s="787"/>
      <c r="K529" s="787"/>
      <c r="L529" s="787"/>
      <c r="M529" s="787"/>
      <c r="N529" s="787"/>
      <c r="O529" s="787"/>
      <c r="P529" s="787"/>
      <c r="Q529" s="866"/>
      <c r="R529" s="863"/>
      <c r="S529" s="863"/>
    </row>
    <row r="530" ht="15" spans="3:19">
      <c r="C530" s="296" t="s">
        <v>171</v>
      </c>
      <c r="D530" s="296" t="s">
        <v>172</v>
      </c>
      <c r="E530" s="787">
        <f>[18]Sales_SP!GU10</f>
        <v>1352.04880923099</v>
      </c>
      <c r="F530" s="787">
        <f>[18]Sales_SP!GV10</f>
        <v>1361.6102309388</v>
      </c>
      <c r="G530" s="787">
        <f>[18]Sales_SP!GW10</f>
        <v>1090.92899603045</v>
      </c>
      <c r="H530" s="787">
        <f>[18]Sales_SP!GX10</f>
        <v>994.913288875725</v>
      </c>
      <c r="I530" s="787">
        <f>[18]Sales_SP!GY10</f>
        <v>1072.42061037728</v>
      </c>
      <c r="J530" s="787">
        <f>[18]Sales_SP!GZ10</f>
        <v>971.985264075273</v>
      </c>
      <c r="K530" s="787">
        <f>[18]Sales_SP!HA10</f>
        <v>1001.57070110202</v>
      </c>
      <c r="L530" s="787">
        <f>[18]Sales_SP!HB10</f>
        <v>927.773751753945</v>
      </c>
      <c r="M530" s="787">
        <f>[18]Sales_SP!HC10</f>
        <v>822.977080499025</v>
      </c>
      <c r="N530" s="787">
        <f>[18]Sales_SP!HD10</f>
        <v>928.792160374642</v>
      </c>
      <c r="O530" s="787">
        <f>[18]Sales_SP!HE10</f>
        <v>879.735647332392</v>
      </c>
      <c r="P530" s="787">
        <f>[18]Sales_SP!HF10</f>
        <v>1206.38632666238</v>
      </c>
      <c r="Q530" s="866">
        <f t="shared" ref="Q530:Q543" si="131">SUM(E530:P530)</f>
        <v>12611.1428672529</v>
      </c>
      <c r="R530" s="863"/>
      <c r="S530" s="863"/>
    </row>
    <row r="531" ht="15" spans="3:19">
      <c r="C531" s="296" t="s">
        <v>173</v>
      </c>
      <c r="D531" s="296" t="s">
        <v>174</v>
      </c>
      <c r="E531" s="787">
        <f>[18]Sales_SP!GU23</f>
        <v>407.372387017743</v>
      </c>
      <c r="F531" s="787">
        <f>[18]Sales_SP!GV23</f>
        <v>404.824000741147</v>
      </c>
      <c r="G531" s="787">
        <f>[18]Sales_SP!GW23</f>
        <v>359.594797635318</v>
      </c>
      <c r="H531" s="787">
        <f>[18]Sales_SP!GX23</f>
        <v>342.322970415454</v>
      </c>
      <c r="I531" s="787">
        <f>[18]Sales_SP!GY23</f>
        <v>360.54473082871</v>
      </c>
      <c r="J531" s="787">
        <f>[18]Sales_SP!GZ23</f>
        <v>329.177234378978</v>
      </c>
      <c r="K531" s="787">
        <f>[18]Sales_SP!HA23</f>
        <v>372.322239028344</v>
      </c>
      <c r="L531" s="787">
        <f>[18]Sales_SP!HB23</f>
        <v>352.319921418252</v>
      </c>
      <c r="M531" s="787">
        <f>[18]Sales_SP!HC23</f>
        <v>324.884373561801</v>
      </c>
      <c r="N531" s="787">
        <f>[18]Sales_SP!HD23</f>
        <v>355.656232112652</v>
      </c>
      <c r="O531" s="787">
        <f>[18]Sales_SP!HE23</f>
        <v>355.075171357581</v>
      </c>
      <c r="P531" s="787">
        <f>[18]Sales_SP!HF23</f>
        <v>438.966677927105</v>
      </c>
      <c r="Q531" s="866">
        <f t="shared" si="131"/>
        <v>4403.06073642308</v>
      </c>
      <c r="R531" s="863"/>
      <c r="S531" s="863"/>
    </row>
    <row r="532" ht="15" spans="3:19">
      <c r="C532" s="296" t="s">
        <v>175</v>
      </c>
      <c r="D532" s="296" t="s">
        <v>176</v>
      </c>
      <c r="E532" s="787">
        <f>[18]Sales_SP!GU36</f>
        <v>85.7819430272581</v>
      </c>
      <c r="F532" s="787">
        <f>[18]Sales_SP!GV36</f>
        <v>90.2757446459904</v>
      </c>
      <c r="G532" s="787">
        <f>[18]Sales_SP!GW36</f>
        <v>84.1035945376015</v>
      </c>
      <c r="H532" s="787">
        <f>[18]Sales_SP!GX36</f>
        <v>83.1991532733979</v>
      </c>
      <c r="I532" s="787">
        <f>[18]Sales_SP!GY36</f>
        <v>82.7385138632714</v>
      </c>
      <c r="J532" s="787">
        <f>[18]Sales_SP!GZ36</f>
        <v>77.4983749895368</v>
      </c>
      <c r="K532" s="787">
        <f>[18]Sales_SP!HA36</f>
        <v>84.7336482445645</v>
      </c>
      <c r="L532" s="787">
        <f>[18]Sales_SP!HB36</f>
        <v>87.1364209562843</v>
      </c>
      <c r="M532" s="787">
        <f>[18]Sales_SP!HC36</f>
        <v>96.5666566910089</v>
      </c>
      <c r="N532" s="787">
        <f>[18]Sales_SP!HD36</f>
        <v>93.8163924204133</v>
      </c>
      <c r="O532" s="787">
        <f>[18]Sales_SP!HE36</f>
        <v>86.3456030540436</v>
      </c>
      <c r="P532" s="787">
        <f>[18]Sales_SP!HF36</f>
        <v>96.2494275454274</v>
      </c>
      <c r="Q532" s="866">
        <f t="shared" si="131"/>
        <v>1048.4454732488</v>
      </c>
      <c r="R532" s="863"/>
      <c r="S532" s="863"/>
    </row>
    <row r="533" ht="15" spans="3:19">
      <c r="C533" s="296" t="s">
        <v>177</v>
      </c>
      <c r="D533" s="296" t="s">
        <v>178</v>
      </c>
      <c r="E533" s="787">
        <f>[18]Sales_SP!GU43</f>
        <v>0.806515268786343</v>
      </c>
      <c r="F533" s="787">
        <f>[18]Sales_SP!GV43</f>
        <v>0.866655954359658</v>
      </c>
      <c r="G533" s="787">
        <f>[18]Sales_SP!GW43</f>
        <v>0.783657493752785</v>
      </c>
      <c r="H533" s="787">
        <f>[18]Sales_SP!GX43</f>
        <v>0.776691179018344</v>
      </c>
      <c r="I533" s="787">
        <f>[18]Sales_SP!GY43</f>
        <v>0.771867876090905</v>
      </c>
      <c r="J533" s="787">
        <f>[18]Sales_SP!GZ43</f>
        <v>0.738356350883391</v>
      </c>
      <c r="K533" s="787">
        <f>[18]Sales_SP!HA43</f>
        <v>0.819002556293504</v>
      </c>
      <c r="L533" s="787">
        <f>[18]Sales_SP!HB43</f>
        <v>0.770565017275094</v>
      </c>
      <c r="M533" s="787">
        <f>[18]Sales_SP!HC43</f>
        <v>0.814362196806805</v>
      </c>
      <c r="N533" s="787">
        <f>[18]Sales_SP!HD43</f>
        <v>0.844801367163275</v>
      </c>
      <c r="O533" s="787">
        <f>[18]Sales_SP!HE43</f>
        <v>0.759685975470842</v>
      </c>
      <c r="P533" s="787">
        <f>[18]Sales_SP!HF43</f>
        <v>0.877510573801735</v>
      </c>
      <c r="Q533" s="866">
        <f t="shared" si="131"/>
        <v>9.62967180970268</v>
      </c>
      <c r="R533" s="863"/>
      <c r="S533" s="863"/>
    </row>
    <row r="534" ht="15" spans="3:19">
      <c r="C534" s="296" t="s">
        <v>179</v>
      </c>
      <c r="D534" s="296" t="s">
        <v>180</v>
      </c>
      <c r="E534" s="787">
        <v>0</v>
      </c>
      <c r="F534" s="787">
        <v>0</v>
      </c>
      <c r="G534" s="787">
        <v>0</v>
      </c>
      <c r="H534" s="787">
        <v>0</v>
      </c>
      <c r="I534" s="787">
        <v>0</v>
      </c>
      <c r="J534" s="787">
        <v>0</v>
      </c>
      <c r="K534" s="787">
        <v>0</v>
      </c>
      <c r="L534" s="787">
        <v>0</v>
      </c>
      <c r="M534" s="787">
        <v>0</v>
      </c>
      <c r="N534" s="787">
        <v>0</v>
      </c>
      <c r="O534" s="787">
        <v>0</v>
      </c>
      <c r="P534" s="787">
        <v>0</v>
      </c>
      <c r="Q534" s="866">
        <f t="shared" si="131"/>
        <v>0</v>
      </c>
      <c r="R534" s="863"/>
      <c r="S534" s="863"/>
    </row>
    <row r="535" ht="15" spans="3:19">
      <c r="C535" s="296" t="s">
        <v>181</v>
      </c>
      <c r="D535" s="296" t="s">
        <v>182</v>
      </c>
      <c r="E535" s="787">
        <f>[18]Sales_SP!GU54</f>
        <v>44.7286472319401</v>
      </c>
      <c r="F535" s="787">
        <f>[18]Sales_SP!GV54</f>
        <v>42.732644390166</v>
      </c>
      <c r="G535" s="787">
        <f>[18]Sales_SP!GW54</f>
        <v>39.4610886544048</v>
      </c>
      <c r="H535" s="787">
        <f>[18]Sales_SP!GX54</f>
        <v>40.0919803955336</v>
      </c>
      <c r="I535" s="787">
        <f>[18]Sales_SP!GY54</f>
        <v>41.6441723268192</v>
      </c>
      <c r="J535" s="787">
        <f>[18]Sales_SP!GZ54</f>
        <v>39.2405330547009</v>
      </c>
      <c r="K535" s="787">
        <f>[18]Sales_SP!HA54</f>
        <v>45.0657486798972</v>
      </c>
      <c r="L535" s="787">
        <f>[18]Sales_SP!HB54</f>
        <v>46.270744174289</v>
      </c>
      <c r="M535" s="787">
        <f>[18]Sales_SP!HC54</f>
        <v>45.9505397237494</v>
      </c>
      <c r="N535" s="787">
        <f>[18]Sales_SP!HD54</f>
        <v>46.8625943478456</v>
      </c>
      <c r="O535" s="787">
        <f>[18]Sales_SP!HE54</f>
        <v>43.3601301010267</v>
      </c>
      <c r="P535" s="787">
        <f>[18]Sales_SP!HF54</f>
        <v>47.5185090426013</v>
      </c>
      <c r="Q535" s="866">
        <f t="shared" si="131"/>
        <v>522.927332122974</v>
      </c>
      <c r="R535" s="863"/>
      <c r="S535" s="863"/>
    </row>
    <row r="536" ht="15" spans="3:19">
      <c r="C536" s="296" t="s">
        <v>183</v>
      </c>
      <c r="D536" s="296" t="s">
        <v>184</v>
      </c>
      <c r="E536" s="787">
        <f>[18]Sales_SP!GU64</f>
        <v>9.65071087918659</v>
      </c>
      <c r="F536" s="787">
        <f>[18]Sales_SP!GV64</f>
        <v>7.73501760351133</v>
      </c>
      <c r="G536" s="787">
        <f>[18]Sales_SP!GW64</f>
        <v>7.90634756302957</v>
      </c>
      <c r="H536" s="787">
        <f>[18]Sales_SP!GX64</f>
        <v>9.29426188680934</v>
      </c>
      <c r="I536" s="787">
        <f>[18]Sales_SP!GY64</f>
        <v>10.1016796886909</v>
      </c>
      <c r="J536" s="787">
        <f>[18]Sales_SP!GZ64</f>
        <v>9.03669262603764</v>
      </c>
      <c r="K536" s="787">
        <f>[18]Sales_SP!HA64</f>
        <v>7.96960484309496</v>
      </c>
      <c r="L536" s="787">
        <f>[18]Sales_SP!HB64</f>
        <v>9.20677705638277</v>
      </c>
      <c r="M536" s="787">
        <f>[18]Sales_SP!HC64</f>
        <v>8.19383498398323</v>
      </c>
      <c r="N536" s="787">
        <f>[18]Sales_SP!HD64</f>
        <v>8.39309851486121</v>
      </c>
      <c r="O536" s="787">
        <f>[18]Sales_SP!HE64</f>
        <v>9.24833925459899</v>
      </c>
      <c r="P536" s="787">
        <f>[18]Sales_SP!HF64</f>
        <v>11.8130616562197</v>
      </c>
      <c r="Q536" s="866">
        <f t="shared" si="131"/>
        <v>108.549426556406</v>
      </c>
      <c r="R536" s="863"/>
      <c r="S536" s="863"/>
    </row>
    <row r="537" ht="15" spans="3:19">
      <c r="C537" s="296" t="s">
        <v>185</v>
      </c>
      <c r="D537" s="296" t="s">
        <v>186</v>
      </c>
      <c r="E537" s="787">
        <f>[18]Sales_SP!GU69</f>
        <v>13.65847086817</v>
      </c>
      <c r="F537" s="787">
        <f>[18]Sales_SP!GV69</f>
        <v>13.7779314799524</v>
      </c>
      <c r="G537" s="787">
        <f>[18]Sales_SP!GW69</f>
        <v>12.862085238893</v>
      </c>
      <c r="H537" s="787">
        <f>[18]Sales_SP!GX69</f>
        <v>12.7221212043831</v>
      </c>
      <c r="I537" s="787">
        <f>[18]Sales_SP!GY69</f>
        <v>13.7638719564361</v>
      </c>
      <c r="J537" s="787">
        <f>[18]Sales_SP!GZ69</f>
        <v>12.4873051402937</v>
      </c>
      <c r="K537" s="787">
        <f>[18]Sales_SP!HA69</f>
        <v>12.4292820207232</v>
      </c>
      <c r="L537" s="787">
        <f>[18]Sales_SP!HB69</f>
        <v>11.9539001218841</v>
      </c>
      <c r="M537" s="787">
        <f>[18]Sales_SP!HC69</f>
        <v>11.8859021145853</v>
      </c>
      <c r="N537" s="787">
        <f>[18]Sales_SP!HD69</f>
        <v>13.1685817895432</v>
      </c>
      <c r="O537" s="787">
        <f>[18]Sales_SP!HE69</f>
        <v>12.7871670469362</v>
      </c>
      <c r="P537" s="787">
        <f>[18]Sales_SP!HF69</f>
        <v>15.8314915898288</v>
      </c>
      <c r="Q537" s="866">
        <f t="shared" si="131"/>
        <v>157.328110571629</v>
      </c>
      <c r="R537" s="863"/>
      <c r="S537" s="863"/>
    </row>
    <row r="538" ht="15" spans="3:19">
      <c r="C538" s="296" t="s">
        <v>187</v>
      </c>
      <c r="D538" s="296" t="s">
        <v>188</v>
      </c>
      <c r="E538" s="787">
        <f>[18]Sales_SP!GU70</f>
        <v>1.94490185507106</v>
      </c>
      <c r="F538" s="787">
        <f>[18]Sales_SP!GV70</f>
        <v>1.65229023797867</v>
      </c>
      <c r="G538" s="787">
        <f>[18]Sales_SP!GW70</f>
        <v>1.65229023797867</v>
      </c>
      <c r="H538" s="787">
        <f>[18]Sales_SP!GX70</f>
        <v>1.65229023797867</v>
      </c>
      <c r="I538" s="787">
        <f>[18]Sales_SP!GY70</f>
        <v>1.65229023797867</v>
      </c>
      <c r="J538" s="787">
        <f>[18]Sales_SP!GZ70</f>
        <v>1.65229023797867</v>
      </c>
      <c r="K538" s="787">
        <f>[18]Sales_SP!HA70</f>
        <v>4.56979398540986</v>
      </c>
      <c r="L538" s="787">
        <f>[18]Sales_SP!HB70</f>
        <v>5.48443583699476</v>
      </c>
      <c r="M538" s="787">
        <f>[18]Sales_SP!HC70</f>
        <v>5.52178050160219</v>
      </c>
      <c r="N538" s="787">
        <f>[18]Sales_SP!HD70</f>
        <v>7.05253091109558</v>
      </c>
      <c r="O538" s="787">
        <f>[18]Sales_SP!HE70</f>
        <v>6.21087581253467</v>
      </c>
      <c r="P538" s="787">
        <f>[18]Sales_SP!HF70</f>
        <v>7.82446999510441</v>
      </c>
      <c r="Q538" s="866">
        <f t="shared" si="131"/>
        <v>46.8702400877059</v>
      </c>
      <c r="R538" s="863"/>
      <c r="S538" s="863"/>
    </row>
    <row r="539" ht="15" spans="3:19">
      <c r="C539" s="296"/>
      <c r="D539" s="296"/>
      <c r="E539" s="787"/>
      <c r="F539" s="787"/>
      <c r="G539" s="787"/>
      <c r="H539" s="787"/>
      <c r="I539" s="787"/>
      <c r="J539" s="787"/>
      <c r="K539" s="787"/>
      <c r="L539" s="787"/>
      <c r="M539" s="787"/>
      <c r="N539" s="787"/>
      <c r="O539" s="787"/>
      <c r="P539" s="787"/>
      <c r="Q539" s="866">
        <f t="shared" si="131"/>
        <v>0</v>
      </c>
      <c r="R539" s="863"/>
      <c r="S539" s="863"/>
    </row>
    <row r="540" ht="15" spans="3:19">
      <c r="C540" s="296"/>
      <c r="D540" s="296"/>
      <c r="E540" s="787"/>
      <c r="F540" s="787"/>
      <c r="G540" s="787"/>
      <c r="H540" s="787"/>
      <c r="I540" s="787"/>
      <c r="J540" s="787"/>
      <c r="K540" s="787"/>
      <c r="L540" s="787"/>
      <c r="M540" s="787"/>
      <c r="N540" s="787"/>
      <c r="O540" s="787"/>
      <c r="P540" s="787"/>
      <c r="Q540" s="866">
        <f t="shared" si="131"/>
        <v>0</v>
      </c>
      <c r="R540" s="863"/>
      <c r="S540" s="863"/>
    </row>
    <row r="541" ht="15" spans="3:19">
      <c r="C541" s="296"/>
      <c r="D541" s="296"/>
      <c r="E541" s="787"/>
      <c r="F541" s="787"/>
      <c r="G541" s="787"/>
      <c r="H541" s="787"/>
      <c r="I541" s="787"/>
      <c r="J541" s="787"/>
      <c r="K541" s="787"/>
      <c r="L541" s="787"/>
      <c r="M541" s="787"/>
      <c r="N541" s="787"/>
      <c r="O541" s="787"/>
      <c r="P541" s="787"/>
      <c r="Q541" s="866">
        <f t="shared" si="131"/>
        <v>0</v>
      </c>
      <c r="R541" s="863"/>
      <c r="S541" s="863"/>
    </row>
    <row r="542" ht="15" spans="3:19">
      <c r="C542" s="296" t="s">
        <v>258</v>
      </c>
      <c r="D542" s="296" t="s">
        <v>258</v>
      </c>
      <c r="E542" s="787"/>
      <c r="F542" s="787"/>
      <c r="G542" s="787"/>
      <c r="H542" s="787"/>
      <c r="I542" s="787"/>
      <c r="J542" s="787"/>
      <c r="K542" s="787"/>
      <c r="L542" s="787"/>
      <c r="M542" s="787"/>
      <c r="N542" s="787"/>
      <c r="O542" s="787"/>
      <c r="P542" s="787"/>
      <c r="Q542" s="866">
        <f t="shared" si="131"/>
        <v>0</v>
      </c>
      <c r="R542" s="863"/>
      <c r="S542" s="863"/>
    </row>
    <row r="543" ht="15" spans="3:19">
      <c r="C543" s="285" t="s">
        <v>189</v>
      </c>
      <c r="D543" s="286"/>
      <c r="E543" s="866">
        <f t="shared" ref="E543:P543" si="132">SUM(E530:E542)</f>
        <v>1915.99238537915</v>
      </c>
      <c r="F543" s="866">
        <f t="shared" si="132"/>
        <v>1923.47451599191</v>
      </c>
      <c r="G543" s="866">
        <f t="shared" si="132"/>
        <v>1597.29285739143</v>
      </c>
      <c r="H543" s="866">
        <f t="shared" si="132"/>
        <v>1484.9727574683</v>
      </c>
      <c r="I543" s="866">
        <f t="shared" si="132"/>
        <v>1583.63773715528</v>
      </c>
      <c r="J543" s="866">
        <f t="shared" si="132"/>
        <v>1441.81605085368</v>
      </c>
      <c r="K543" s="866">
        <f t="shared" si="132"/>
        <v>1529.48002046035</v>
      </c>
      <c r="L543" s="866">
        <f t="shared" si="132"/>
        <v>1440.91651633531</v>
      </c>
      <c r="M543" s="866">
        <f t="shared" si="132"/>
        <v>1316.79453027256</v>
      </c>
      <c r="N543" s="866">
        <f t="shared" si="132"/>
        <v>1454.58639183822</v>
      </c>
      <c r="O543" s="866">
        <f t="shared" si="132"/>
        <v>1393.52261993458</v>
      </c>
      <c r="P543" s="866">
        <f t="shared" si="132"/>
        <v>1825.46747499247</v>
      </c>
      <c r="Q543" s="866">
        <f t="shared" si="131"/>
        <v>18907.9538580732</v>
      </c>
      <c r="R543" s="863"/>
      <c r="S543" s="863"/>
    </row>
    <row r="544" ht="15" spans="3:19">
      <c r="C544" s="285" t="s">
        <v>190</v>
      </c>
      <c r="D544" s="286"/>
      <c r="E544" s="787"/>
      <c r="F544" s="787"/>
      <c r="G544" s="787"/>
      <c r="H544" s="787"/>
      <c r="I544" s="787"/>
      <c r="J544" s="787"/>
      <c r="K544" s="787"/>
      <c r="L544" s="787"/>
      <c r="M544" s="787"/>
      <c r="N544" s="787"/>
      <c r="O544" s="787"/>
      <c r="P544" s="787"/>
      <c r="Q544" s="866"/>
      <c r="R544" s="863"/>
      <c r="S544" s="863"/>
    </row>
    <row r="545" ht="15" spans="3:19">
      <c r="C545" s="296" t="s">
        <v>191</v>
      </c>
      <c r="D545" s="296" t="s">
        <v>192</v>
      </c>
      <c r="E545" s="787">
        <f>[18]Sales_SP!GU89</f>
        <v>383.159643796563</v>
      </c>
      <c r="F545" s="787">
        <f>[18]Sales_SP!GV89</f>
        <v>390.305974507046</v>
      </c>
      <c r="G545" s="787">
        <f>[18]Sales_SP!GW89</f>
        <v>377.016124556794</v>
      </c>
      <c r="H545" s="787">
        <f>[18]Sales_SP!GX89</f>
        <v>380.091431623491</v>
      </c>
      <c r="I545" s="787">
        <f>[18]Sales_SP!GY89</f>
        <v>381.442259172938</v>
      </c>
      <c r="J545" s="787">
        <f>[18]Sales_SP!GZ89</f>
        <v>362.351081616771</v>
      </c>
      <c r="K545" s="787">
        <f>[18]Sales_SP!HA89</f>
        <v>378.299478259032</v>
      </c>
      <c r="L545" s="787">
        <f>[18]Sales_SP!HB89</f>
        <v>383.700806352581</v>
      </c>
      <c r="M545" s="787">
        <f>[18]Sales_SP!HC89</f>
        <v>403.961768072788</v>
      </c>
      <c r="N545" s="787">
        <f>[18]Sales_SP!HD89</f>
        <v>392.583767820985</v>
      </c>
      <c r="O545" s="787">
        <f>[18]Sales_SP!HE89</f>
        <v>387.039093310553</v>
      </c>
      <c r="P545" s="787">
        <f>[18]Sales_SP!HF89</f>
        <v>403.678292093048</v>
      </c>
      <c r="Q545" s="866">
        <f t="shared" ref="Q545:Q560" si="133">SUM(E545:P545)</f>
        <v>4623.62972118259</v>
      </c>
      <c r="R545" s="863"/>
      <c r="S545" s="863"/>
    </row>
    <row r="546" ht="15" spans="3:19">
      <c r="C546" s="296" t="s">
        <v>193</v>
      </c>
      <c r="D546" s="296" t="s">
        <v>194</v>
      </c>
      <c r="E546" s="787">
        <f>[18]Sales_SP!GU104</f>
        <v>0.03680058</v>
      </c>
      <c r="F546" s="787">
        <f>[18]Sales_SP!GV104</f>
        <v>0.1152906</v>
      </c>
      <c r="G546" s="787">
        <f>[18]Sales_SP!GW104</f>
        <v>0.06683244</v>
      </c>
      <c r="H546" s="787">
        <f>[18]Sales_SP!GX104</f>
        <v>0.07035552</v>
      </c>
      <c r="I546" s="787">
        <f>[18]Sales_SP!GY104</f>
        <v>0.00731952</v>
      </c>
      <c r="J546" s="787">
        <f>[18]Sales_SP!GZ104</f>
        <v>0.013311</v>
      </c>
      <c r="K546" s="787">
        <f>[18]Sales_SP!HA104</f>
        <v>0</v>
      </c>
      <c r="L546" s="787">
        <f>[18]Sales_SP!HB104</f>
        <v>0.0671692644</v>
      </c>
      <c r="M546" s="787">
        <f>[18]Sales_SP!HC104</f>
        <v>0.10573065</v>
      </c>
      <c r="N546" s="787">
        <f>[18]Sales_SP!HD104</f>
        <v>0.0424098252</v>
      </c>
      <c r="O546" s="787">
        <f>[18]Sales_SP!HE104</f>
        <v>0.0151711128</v>
      </c>
      <c r="P546" s="787">
        <f>[18]Sales_SP!HF104</f>
        <v>0</v>
      </c>
      <c r="Q546" s="866">
        <f t="shared" si="133"/>
        <v>0.5403905124</v>
      </c>
      <c r="R546" s="863"/>
      <c r="S546" s="863"/>
    </row>
    <row r="547" ht="15" spans="3:19">
      <c r="C547" s="296" t="s">
        <v>239</v>
      </c>
      <c r="D547" s="296" t="s">
        <v>196</v>
      </c>
      <c r="E547" s="787">
        <f>[18]Sales_SP!GU110</f>
        <v>239.962201049343</v>
      </c>
      <c r="F547" s="787">
        <f>[18]Sales_SP!GV110</f>
        <v>242.12725933626</v>
      </c>
      <c r="G547" s="787">
        <f>[18]Sales_SP!GW110</f>
        <v>223.875688231409</v>
      </c>
      <c r="H547" s="787">
        <f>[18]Sales_SP!GX110</f>
        <v>211.836684450026</v>
      </c>
      <c r="I547" s="787">
        <f>[18]Sales_SP!GY110</f>
        <v>220.687402895912</v>
      </c>
      <c r="J547" s="787">
        <f>[18]Sales_SP!GZ110</f>
        <v>201.033193228804</v>
      </c>
      <c r="K547" s="787">
        <f>[18]Sales_SP!HA110</f>
        <v>216.379510014287</v>
      </c>
      <c r="L547" s="787">
        <f>[18]Sales_SP!HB110</f>
        <v>200.452940520279</v>
      </c>
      <c r="M547" s="787">
        <f>[18]Sales_SP!HC110</f>
        <v>185.398558908559</v>
      </c>
      <c r="N547" s="787">
        <f>[18]Sales_SP!HD110</f>
        <v>185.88557507719</v>
      </c>
      <c r="O547" s="787">
        <f>[18]Sales_SP!HE110</f>
        <v>203.720906474525</v>
      </c>
      <c r="P547" s="787">
        <f>[18]Sales_SP!HF110</f>
        <v>242.653568295773</v>
      </c>
      <c r="Q547" s="866">
        <f t="shared" si="133"/>
        <v>2574.01348848237</v>
      </c>
      <c r="R547" s="863"/>
      <c r="S547" s="863"/>
    </row>
    <row r="548" ht="15" spans="3:19">
      <c r="C548" s="296" t="s">
        <v>197</v>
      </c>
      <c r="D548" s="296" t="s">
        <v>198</v>
      </c>
      <c r="E548" s="787">
        <f>[18]Sales_SP!GU115</f>
        <v>0.0385511103943269</v>
      </c>
      <c r="F548" s="787">
        <f>[18]Sales_SP!GV115</f>
        <v>0.0532296742986401</v>
      </c>
      <c r="G548" s="787">
        <f>[18]Sales_SP!GW115</f>
        <v>0.0478760680562926</v>
      </c>
      <c r="H548" s="787">
        <f>[18]Sales_SP!GX115</f>
        <v>0.0318374683154022</v>
      </c>
      <c r="I548" s="787">
        <f>[18]Sales_SP!GY115</f>
        <v>0.0401567244989016</v>
      </c>
      <c r="J548" s="787">
        <f>[18]Sales_SP!GZ115</f>
        <v>0.0295372185384914</v>
      </c>
      <c r="K548" s="787">
        <f>[18]Sales_SP!HA115</f>
        <v>0.03274692650122</v>
      </c>
      <c r="L548" s="787">
        <f>[18]Sales_SP!HB115</f>
        <v>0.0334094031146516</v>
      </c>
      <c r="M548" s="787">
        <f>[18]Sales_SP!HC115</f>
        <v>0.0364182046657516</v>
      </c>
      <c r="N548" s="787">
        <f>[18]Sales_SP!HD115</f>
        <v>0.0364735182470672</v>
      </c>
      <c r="O548" s="787">
        <f>[18]Sales_SP!HE115</f>
        <v>0.0380235848862616</v>
      </c>
      <c r="P548" s="787">
        <f>[18]Sales_SP!HF115</f>
        <v>0.0430249617270811</v>
      </c>
      <c r="Q548" s="866">
        <f t="shared" si="133"/>
        <v>0.461284863244088</v>
      </c>
      <c r="R548" s="863"/>
      <c r="S548" s="863"/>
    </row>
    <row r="549" ht="15" spans="3:19">
      <c r="C549" s="296" t="s">
        <v>199</v>
      </c>
      <c r="D549" s="296" t="s">
        <v>200</v>
      </c>
      <c r="E549" s="787">
        <f>[18]Sales_SP!GU120</f>
        <v>0.550117565762414</v>
      </c>
      <c r="F549" s="787">
        <f>[18]Sales_SP!GV120</f>
        <v>0.597139402300462</v>
      </c>
      <c r="G549" s="787">
        <f>[18]Sales_SP!GW120</f>
        <v>0.542107294765002</v>
      </c>
      <c r="H549" s="787">
        <f>[18]Sales_SP!GX120</f>
        <v>0.498688578875519</v>
      </c>
      <c r="I549" s="787">
        <f>[18]Sales_SP!GY120</f>
        <v>0.525624129872091</v>
      </c>
      <c r="J549" s="787">
        <f>[18]Sales_SP!GZ120</f>
        <v>0.452297288450969</v>
      </c>
      <c r="K549" s="787">
        <f>[18]Sales_SP!HA120</f>
        <v>0.478513086373008</v>
      </c>
      <c r="L549" s="787">
        <f>[18]Sales_SP!HB120</f>
        <v>0.446592523129833</v>
      </c>
      <c r="M549" s="787">
        <f>[18]Sales_SP!HC120</f>
        <v>0.418991633152944</v>
      </c>
      <c r="N549" s="787">
        <f>[18]Sales_SP!HD120</f>
        <v>0.440804375328854</v>
      </c>
      <c r="O549" s="787">
        <f>[18]Sales_SP!HE120</f>
        <v>0.46255280475142</v>
      </c>
      <c r="P549" s="787">
        <f>[18]Sales_SP!HF120</f>
        <v>0.56657987426259</v>
      </c>
      <c r="Q549" s="866">
        <f t="shared" si="133"/>
        <v>5.98000855702511</v>
      </c>
      <c r="R549" s="863"/>
      <c r="S549" s="863"/>
    </row>
    <row r="550" ht="15" spans="3:19">
      <c r="C550" s="296" t="s">
        <v>201</v>
      </c>
      <c r="D550" s="296" t="s">
        <v>202</v>
      </c>
      <c r="E550" s="787">
        <f>[18]Sales_SP!GU126</f>
        <v>0.705188</v>
      </c>
      <c r="F550" s="787">
        <f>[18]Sales_SP!GV126</f>
        <v>0.5063861</v>
      </c>
      <c r="G550" s="787">
        <f>[18]Sales_SP!GW126</f>
        <v>0.70861615</v>
      </c>
      <c r="H550" s="787">
        <f>[18]Sales_SP!GX126</f>
        <v>1.3085006</v>
      </c>
      <c r="I550" s="787">
        <f>[18]Sales_SP!GY126</f>
        <v>4.461511626</v>
      </c>
      <c r="J550" s="787">
        <f>[18]Sales_SP!GZ126</f>
        <v>5.5621236</v>
      </c>
      <c r="K550" s="787">
        <f>[18]Sales_SP!HA126</f>
        <v>3.819754785</v>
      </c>
      <c r="L550" s="787">
        <f>[18]Sales_SP!HB126</f>
        <v>1.62315306615</v>
      </c>
      <c r="M550" s="787">
        <f>[18]Sales_SP!HC126</f>
        <v>1.43031042</v>
      </c>
      <c r="N550" s="787">
        <f>[18]Sales_SP!HD126</f>
        <v>1.7901882075</v>
      </c>
      <c r="O550" s="787">
        <f>[18]Sales_SP!HE126</f>
        <v>2.08407969</v>
      </c>
      <c r="P550" s="787">
        <f>[18]Sales_SP!HF126</f>
        <v>0.989817675</v>
      </c>
      <c r="Q550" s="866">
        <f t="shared" si="133"/>
        <v>24.98962991965</v>
      </c>
      <c r="R550" s="863"/>
      <c r="S550" s="863"/>
    </row>
    <row r="551" ht="15" spans="3:19">
      <c r="C551" s="296" t="s">
        <v>203</v>
      </c>
      <c r="D551" s="296" t="s">
        <v>204</v>
      </c>
      <c r="E551" s="787">
        <f>[18]Sales_SP!GU127+[18]Sales_SP!GU128</f>
        <v>11.8845933923302</v>
      </c>
      <c r="F551" s="787">
        <f>[18]Sales_SP!GV127+[18]Sales_SP!GV128</f>
        <v>11.3906043253292</v>
      </c>
      <c r="G551" s="787">
        <f>[18]Sales_SP!GW127+[18]Sales_SP!GW128</f>
        <v>11.3134085356483</v>
      </c>
      <c r="H551" s="787">
        <f>[18]Sales_SP!GX127+[18]Sales_SP!GX128</f>
        <v>11.8171753575522</v>
      </c>
      <c r="I551" s="787">
        <f>[18]Sales_SP!GY127+[18]Sales_SP!GY128</f>
        <v>11.5263029219812</v>
      </c>
      <c r="J551" s="787">
        <f>[18]Sales_SP!GZ127+[18]Sales_SP!GZ128</f>
        <v>10.1774881408931</v>
      </c>
      <c r="K551" s="787">
        <f>[18]Sales_SP!HA127+[18]Sales_SP!HA128</f>
        <v>11.5023079902335</v>
      </c>
      <c r="L551" s="787">
        <f>[18]Sales_SP!HB127+[18]Sales_SP!HB128</f>
        <v>11.535463004321</v>
      </c>
      <c r="M551" s="787">
        <f>[18]Sales_SP!HC127+[18]Sales_SP!HC128</f>
        <v>11.688672403041</v>
      </c>
      <c r="N551" s="787">
        <f>[18]Sales_SP!HD127+[18]Sales_SP!HD128</f>
        <v>11.8710483545628</v>
      </c>
      <c r="O551" s="787">
        <f>[18]Sales_SP!HE127+[18]Sales_SP!HE128</f>
        <v>11.1453569607378</v>
      </c>
      <c r="P551" s="787">
        <f>[18]Sales_SP!HF127+[18]Sales_SP!HF128</f>
        <v>12.1665507313388</v>
      </c>
      <c r="Q551" s="866">
        <f t="shared" si="133"/>
        <v>138.018972117969</v>
      </c>
      <c r="R551" s="863"/>
      <c r="S551" s="863"/>
    </row>
    <row r="552" ht="15" spans="3:19">
      <c r="C552" s="296" t="s">
        <v>205</v>
      </c>
      <c r="D552" s="296" t="s">
        <v>206</v>
      </c>
      <c r="E552" s="787">
        <f>[18]Sales_SP!GU131</f>
        <v>34.575106914225</v>
      </c>
      <c r="F552" s="787">
        <f>[18]Sales_SP!GV131</f>
        <v>34.7498385664094</v>
      </c>
      <c r="G552" s="787">
        <f>[18]Sales_SP!GW131</f>
        <v>28.284992638362</v>
      </c>
      <c r="H552" s="787">
        <f>[18]Sales_SP!GX131</f>
        <v>24.5700451869968</v>
      </c>
      <c r="I552" s="787">
        <f>[18]Sales_SP!GY131</f>
        <v>26.4621922092282</v>
      </c>
      <c r="J552" s="787">
        <f>[18]Sales_SP!GZ131</f>
        <v>24.1569706657231</v>
      </c>
      <c r="K552" s="787">
        <f>[18]Sales_SP!HA131</f>
        <v>25.5695037001458</v>
      </c>
      <c r="L552" s="787">
        <f>[18]Sales_SP!HB131</f>
        <v>24.1773236292224</v>
      </c>
      <c r="M552" s="787">
        <f>[18]Sales_SP!HC131</f>
        <v>23.2317825787737</v>
      </c>
      <c r="N552" s="787">
        <f>[18]Sales_SP!HD131</f>
        <v>23.8013597640027</v>
      </c>
      <c r="O552" s="787">
        <f>[18]Sales_SP!HE131</f>
        <v>25.0963693904373</v>
      </c>
      <c r="P552" s="787">
        <f>[18]Sales_SP!HF131</f>
        <v>34.481118738564</v>
      </c>
      <c r="Q552" s="866">
        <f t="shared" si="133"/>
        <v>329.15660398209</v>
      </c>
      <c r="R552" s="863"/>
      <c r="S552" s="863"/>
    </row>
    <row r="553" ht="15" spans="3:19">
      <c r="C553" s="296" t="s">
        <v>207</v>
      </c>
      <c r="D553" s="296" t="s">
        <v>186</v>
      </c>
      <c r="E553" s="787">
        <f>[18]Sales_SP!GU132</f>
        <v>21.7466218993625</v>
      </c>
      <c r="F553" s="787">
        <f>[18]Sales_SP!GV132</f>
        <v>22.2777451218439</v>
      </c>
      <c r="G553" s="787">
        <f>[18]Sales_SP!GW132</f>
        <v>21.2843784622534</v>
      </c>
      <c r="H553" s="787">
        <f>[18]Sales_SP!GX132</f>
        <v>21.483807213914</v>
      </c>
      <c r="I553" s="787">
        <f>[18]Sales_SP!GY132</f>
        <v>23.4145582702882</v>
      </c>
      <c r="J553" s="787">
        <f>[18]Sales_SP!GZ132</f>
        <v>22.5949692990421</v>
      </c>
      <c r="K553" s="787">
        <f>[18]Sales_SP!HA132</f>
        <v>23.203300408851</v>
      </c>
      <c r="L553" s="787">
        <f>[18]Sales_SP!HB132</f>
        <v>22.2909008188252</v>
      </c>
      <c r="M553" s="787">
        <f>[18]Sales_SP!HC132</f>
        <v>23.075764070239</v>
      </c>
      <c r="N553" s="787">
        <f>[18]Sales_SP!HD132</f>
        <v>22.3518774382613</v>
      </c>
      <c r="O553" s="787">
        <f>[18]Sales_SP!HE132</f>
        <v>22.6297800063583</v>
      </c>
      <c r="P553" s="787">
        <f>[18]Sales_SP!HF132</f>
        <v>25.3726607384163</v>
      </c>
      <c r="Q553" s="866">
        <f t="shared" si="133"/>
        <v>271.726363747655</v>
      </c>
      <c r="R553" s="863"/>
      <c r="S553" s="863"/>
    </row>
    <row r="554" ht="15" spans="3:19">
      <c r="C554" s="296" t="s">
        <v>208</v>
      </c>
      <c r="D554" s="296" t="s">
        <v>209</v>
      </c>
      <c r="E554" s="787">
        <f>[18]Sales_SP!GU133</f>
        <v>0</v>
      </c>
      <c r="F554" s="787">
        <f>[18]Sales_SP!GV133</f>
        <v>0</v>
      </c>
      <c r="G554" s="787">
        <f>[18]Sales_SP!GW133</f>
        <v>0</v>
      </c>
      <c r="H554" s="787">
        <f>[18]Sales_SP!GX133</f>
        <v>0</v>
      </c>
      <c r="I554" s="787">
        <f>[18]Sales_SP!GY133</f>
        <v>0</v>
      </c>
      <c r="J554" s="787">
        <f>[18]Sales_SP!GZ133</f>
        <v>0</v>
      </c>
      <c r="K554" s="787">
        <f>[18]Sales_SP!HA133</f>
        <v>0</v>
      </c>
      <c r="L554" s="787">
        <f>[18]Sales_SP!HB133</f>
        <v>0</v>
      </c>
      <c r="M554" s="787">
        <f>[18]Sales_SP!HC133</f>
        <v>0</v>
      </c>
      <c r="N554" s="787">
        <f>[18]Sales_SP!HD133</f>
        <v>0</v>
      </c>
      <c r="O554" s="787">
        <f>[18]Sales_SP!HE133</f>
        <v>0</v>
      </c>
      <c r="P554" s="787">
        <f>[18]Sales_SP!HF133</f>
        <v>0</v>
      </c>
      <c r="Q554" s="866">
        <f t="shared" si="133"/>
        <v>0</v>
      </c>
      <c r="R554" s="863"/>
      <c r="S554" s="863"/>
    </row>
    <row r="555" ht="15" spans="3:19">
      <c r="C555" s="296" t="s">
        <v>210</v>
      </c>
      <c r="D555" s="296" t="s">
        <v>188</v>
      </c>
      <c r="E555" s="787">
        <f>[18]Sales_SP!GU134</f>
        <v>4.06494584337174</v>
      </c>
      <c r="F555" s="787">
        <f>[18]Sales_SP!GV134</f>
        <v>4.1679673230261</v>
      </c>
      <c r="G555" s="787">
        <f>[18]Sales_SP!GW134</f>
        <v>4.27406585733217</v>
      </c>
      <c r="H555" s="787">
        <f>[18]Sales_SP!GX134</f>
        <v>4.65946519212829</v>
      </c>
      <c r="I555" s="787">
        <f>[18]Sales_SP!GY134</f>
        <v>4.82597820906947</v>
      </c>
      <c r="J555" s="787">
        <f>[18]Sales_SP!GZ134</f>
        <v>4.70082587639387</v>
      </c>
      <c r="K555" s="787">
        <f>[18]Sales_SP!HA134</f>
        <v>6.97113093863701</v>
      </c>
      <c r="L555" s="787">
        <f>[18]Sales_SP!HB134</f>
        <v>6.91832044092286</v>
      </c>
      <c r="M555" s="787">
        <f>[18]Sales_SP!HC134</f>
        <v>7.08775285885342</v>
      </c>
      <c r="N555" s="787">
        <f>[18]Sales_SP!HD134</f>
        <v>7.41326684775493</v>
      </c>
      <c r="O555" s="787">
        <f>[18]Sales_SP!HE134</f>
        <v>7.6469391270367</v>
      </c>
      <c r="P555" s="787">
        <f>[18]Sales_SP!HF134</f>
        <v>8.62185389164826</v>
      </c>
      <c r="Q555" s="866">
        <f t="shared" si="133"/>
        <v>71.3525124061748</v>
      </c>
      <c r="R555" s="863"/>
      <c r="S555" s="863"/>
    </row>
    <row r="556" ht="15" spans="3:19">
      <c r="C556" s="296"/>
      <c r="D556" s="296"/>
      <c r="E556" s="787"/>
      <c r="F556" s="787"/>
      <c r="G556" s="787"/>
      <c r="H556" s="787"/>
      <c r="I556" s="787"/>
      <c r="J556" s="787"/>
      <c r="K556" s="787"/>
      <c r="L556" s="787"/>
      <c r="M556" s="787"/>
      <c r="N556" s="787"/>
      <c r="O556" s="787"/>
      <c r="P556" s="787"/>
      <c r="Q556" s="866">
        <f t="shared" si="133"/>
        <v>0</v>
      </c>
      <c r="R556" s="863"/>
      <c r="S556" s="863"/>
    </row>
    <row r="557" ht="15" spans="3:19">
      <c r="C557" s="296"/>
      <c r="D557" s="296"/>
      <c r="E557" s="787"/>
      <c r="F557" s="787"/>
      <c r="G557" s="787"/>
      <c r="H557" s="787"/>
      <c r="I557" s="787"/>
      <c r="J557" s="787"/>
      <c r="K557" s="787"/>
      <c r="L557" s="787"/>
      <c r="M557" s="787"/>
      <c r="N557" s="787"/>
      <c r="O557" s="787"/>
      <c r="P557" s="787"/>
      <c r="Q557" s="866">
        <f t="shared" si="133"/>
        <v>0</v>
      </c>
      <c r="R557" s="863"/>
      <c r="S557" s="863"/>
    </row>
    <row r="558" ht="15" spans="3:19">
      <c r="C558" s="296"/>
      <c r="D558" s="296"/>
      <c r="E558" s="787"/>
      <c r="F558" s="787"/>
      <c r="G558" s="787"/>
      <c r="H558" s="787"/>
      <c r="I558" s="787"/>
      <c r="J558" s="787"/>
      <c r="K558" s="787"/>
      <c r="L558" s="787"/>
      <c r="M558" s="787"/>
      <c r="N558" s="787"/>
      <c r="O558" s="787"/>
      <c r="P558" s="787"/>
      <c r="Q558" s="866">
        <f t="shared" si="133"/>
        <v>0</v>
      </c>
      <c r="R558" s="863"/>
      <c r="S558" s="863"/>
    </row>
    <row r="559" ht="15" spans="3:19">
      <c r="C559" s="296" t="s">
        <v>258</v>
      </c>
      <c r="D559" s="296" t="s">
        <v>258</v>
      </c>
      <c r="E559" s="787"/>
      <c r="F559" s="787"/>
      <c r="G559" s="787"/>
      <c r="H559" s="787"/>
      <c r="I559" s="787"/>
      <c r="J559" s="787"/>
      <c r="K559" s="787"/>
      <c r="L559" s="787"/>
      <c r="M559" s="787"/>
      <c r="N559" s="787"/>
      <c r="O559" s="787"/>
      <c r="P559" s="787"/>
      <c r="Q559" s="866">
        <f t="shared" si="133"/>
        <v>0</v>
      </c>
      <c r="R559" s="863"/>
      <c r="S559" s="863"/>
    </row>
    <row r="560" ht="15" spans="3:19">
      <c r="C560" s="285" t="s">
        <v>211</v>
      </c>
      <c r="D560" s="286"/>
      <c r="E560" s="866">
        <f>SUM(E545:E559)</f>
        <v>696.723770151352</v>
      </c>
      <c r="F560" s="866">
        <f t="shared" ref="F560:P560" si="134">SUM(F545:F559)</f>
        <v>706.291434956514</v>
      </c>
      <c r="G560" s="866">
        <f t="shared" si="134"/>
        <v>667.41409023462</v>
      </c>
      <c r="H560" s="866">
        <f t="shared" si="134"/>
        <v>656.367991191299</v>
      </c>
      <c r="I560" s="866">
        <f t="shared" si="134"/>
        <v>673.393305679788</v>
      </c>
      <c r="J560" s="866">
        <f t="shared" si="134"/>
        <v>631.071797934616</v>
      </c>
      <c r="K560" s="866">
        <f t="shared" si="134"/>
        <v>666.25624610906</v>
      </c>
      <c r="L560" s="866">
        <f t="shared" si="134"/>
        <v>651.246079022946</v>
      </c>
      <c r="M560" s="866">
        <f t="shared" si="134"/>
        <v>656.435749800073</v>
      </c>
      <c r="N560" s="866">
        <f t="shared" si="134"/>
        <v>646.216771229033</v>
      </c>
      <c r="O560" s="866">
        <f t="shared" si="134"/>
        <v>659.878272462086</v>
      </c>
      <c r="P560" s="866">
        <f t="shared" si="134"/>
        <v>728.573466999778</v>
      </c>
      <c r="Q560" s="722">
        <f t="shared" si="133"/>
        <v>8039.86897577117</v>
      </c>
      <c r="R560" s="863"/>
      <c r="S560" s="863"/>
    </row>
    <row r="561" ht="15" spans="3:19">
      <c r="C561" s="285" t="s">
        <v>212</v>
      </c>
      <c r="D561" s="286"/>
      <c r="E561" s="787"/>
      <c r="F561" s="787"/>
      <c r="G561" s="787"/>
      <c r="H561" s="787"/>
      <c r="I561" s="787"/>
      <c r="J561" s="787"/>
      <c r="K561" s="787"/>
      <c r="L561" s="787"/>
      <c r="M561" s="787"/>
      <c r="N561" s="787"/>
      <c r="O561" s="787"/>
      <c r="P561" s="787"/>
      <c r="Q561" s="866"/>
      <c r="R561" s="863"/>
      <c r="S561" s="863"/>
    </row>
    <row r="562" ht="15" spans="3:19">
      <c r="C562" s="296" t="s">
        <v>191</v>
      </c>
      <c r="D562" s="296" t="s">
        <v>192</v>
      </c>
      <c r="E562" s="787">
        <f>[18]Sales_SP!GU152</f>
        <v>623.935056201096</v>
      </c>
      <c r="F562" s="787">
        <f>[18]Sales_SP!GV152</f>
        <v>646.524108193904</v>
      </c>
      <c r="G562" s="787">
        <f>[18]Sales_SP!GW152</f>
        <v>628.099047474905</v>
      </c>
      <c r="H562" s="787">
        <f>[18]Sales_SP!GX152</f>
        <v>650.551077003482</v>
      </c>
      <c r="I562" s="787">
        <f>[18]Sales_SP!GY152</f>
        <v>643.624121835666</v>
      </c>
      <c r="J562" s="787">
        <f>[18]Sales_SP!GZ152</f>
        <v>622.020001088752</v>
      </c>
      <c r="K562" s="787">
        <f>[18]Sales_SP!HA152</f>
        <v>630.168382790344</v>
      </c>
      <c r="L562" s="787">
        <f>[18]Sales_SP!HB152</f>
        <v>632.449524833974</v>
      </c>
      <c r="M562" s="787">
        <f>[18]Sales_SP!HC152</f>
        <v>644.55988302985</v>
      </c>
      <c r="N562" s="787">
        <f>[18]Sales_SP!HD152</f>
        <v>641.806358183858</v>
      </c>
      <c r="O562" s="787">
        <f>[18]Sales_SP!HE152</f>
        <v>625.695968918626</v>
      </c>
      <c r="P562" s="787">
        <f>[18]Sales_SP!HF152</f>
        <v>695.481027691707</v>
      </c>
      <c r="Q562" s="866">
        <f t="shared" ref="Q562:Q577" si="135">SUM(E562:P562)</f>
        <v>7684.91455724616</v>
      </c>
      <c r="R562" s="863"/>
      <c r="S562" s="863"/>
    </row>
    <row r="563" ht="15" spans="3:19">
      <c r="C563" s="296" t="s">
        <v>193</v>
      </c>
      <c r="D563" s="296" t="s">
        <v>194</v>
      </c>
      <c r="E563" s="787">
        <f>[18]Sales_SP!GU168</f>
        <v>0</v>
      </c>
      <c r="F563" s="787">
        <f>[18]Sales_SP!GV168</f>
        <v>0</v>
      </c>
      <c r="G563" s="787">
        <f>[18]Sales_SP!GW168</f>
        <v>0</v>
      </c>
      <c r="H563" s="787">
        <f>[18]Sales_SP!GX168</f>
        <v>0.079</v>
      </c>
      <c r="I563" s="787">
        <f>[18]Sales_SP!GY168</f>
        <v>0.21518</v>
      </c>
      <c r="J563" s="787">
        <f>[18]Sales_SP!GZ168</f>
        <v>0.24236</v>
      </c>
      <c r="K563" s="787">
        <f>[18]Sales_SP!HA168</f>
        <v>0</v>
      </c>
      <c r="L563" s="787">
        <f>[18]Sales_SP!HB168</f>
        <v>0</v>
      </c>
      <c r="M563" s="787">
        <f>[18]Sales_SP!HC168</f>
        <v>0</v>
      </c>
      <c r="N563" s="787">
        <f>[18]Sales_SP!HD168</f>
        <v>0</v>
      </c>
      <c r="O563" s="787">
        <f>[18]Sales_SP!HE168</f>
        <v>0</v>
      </c>
      <c r="P563" s="787">
        <f>[18]Sales_SP!HF168</f>
        <v>0</v>
      </c>
      <c r="Q563" s="866">
        <f t="shared" si="135"/>
        <v>0.53654</v>
      </c>
      <c r="R563" s="863"/>
      <c r="S563" s="863"/>
    </row>
    <row r="564" ht="15" spans="3:19">
      <c r="C564" s="296" t="s">
        <v>239</v>
      </c>
      <c r="D564" s="296" t="s">
        <v>196</v>
      </c>
      <c r="E564" s="787">
        <f>[18]Sales_SP!GU174</f>
        <v>154.833174475594</v>
      </c>
      <c r="F564" s="787">
        <f>[18]Sales_SP!GV174</f>
        <v>168.289102555029</v>
      </c>
      <c r="G564" s="787">
        <f>[18]Sales_SP!GW174</f>
        <v>152.217959359231</v>
      </c>
      <c r="H564" s="787">
        <f>[18]Sales_SP!GX174</f>
        <v>147.007571846428</v>
      </c>
      <c r="I564" s="787">
        <f>[18]Sales_SP!GY174</f>
        <v>148.536532040034</v>
      </c>
      <c r="J564" s="787">
        <f>[18]Sales_SP!GZ174</f>
        <v>138.590382880566</v>
      </c>
      <c r="K564" s="787">
        <f>[18]Sales_SP!HA174</f>
        <v>144.080044981775</v>
      </c>
      <c r="L564" s="787">
        <f>[18]Sales_SP!HB174</f>
        <v>144.080044981775</v>
      </c>
      <c r="M564" s="787">
        <f>[18]Sales_SP!HC174</f>
        <v>135.115999807149</v>
      </c>
      <c r="N564" s="787">
        <f>[18]Sales_SP!HD174</f>
        <v>136.407729656687</v>
      </c>
      <c r="O564" s="787">
        <f>[18]Sales_SP!HE174</f>
        <v>139.358563023116</v>
      </c>
      <c r="P564" s="787">
        <f>[18]Sales_SP!HF174</f>
        <v>163.184503288547</v>
      </c>
      <c r="Q564" s="866">
        <f t="shared" si="135"/>
        <v>1771.70160889593</v>
      </c>
      <c r="R564" s="863"/>
      <c r="S564" s="863"/>
    </row>
    <row r="565" ht="15" spans="3:19">
      <c r="C565" s="296" t="s">
        <v>197</v>
      </c>
      <c r="D565" s="296" t="s">
        <v>198</v>
      </c>
      <c r="E565" s="787">
        <f>[18]Sales_SP!GU180</f>
        <v>0.506</v>
      </c>
      <c r="F565" s="787">
        <f>[18]Sales_SP!GV180</f>
        <v>0.55781</v>
      </c>
      <c r="G565" s="787">
        <f>[18]Sales_SP!GW180</f>
        <v>0.47608</v>
      </c>
      <c r="H565" s="787">
        <f>[18]Sales_SP!GX180</f>
        <v>0.41987</v>
      </c>
      <c r="I565" s="787">
        <f>[18]Sales_SP!GY180</f>
        <v>0.44297</v>
      </c>
      <c r="J565" s="787">
        <f>[18]Sales_SP!GZ180</f>
        <v>0.34925</v>
      </c>
      <c r="K565" s="787">
        <f>[18]Sales_SP!HA180</f>
        <v>0.456322399721552</v>
      </c>
      <c r="L565" s="787">
        <f>[18]Sales_SP!HB180</f>
        <v>0.384981430480787</v>
      </c>
      <c r="M565" s="787">
        <f>[18]Sales_SP!HC180</f>
        <v>0.399939809170225</v>
      </c>
      <c r="N565" s="787">
        <f>[18]Sales_SP!HD180</f>
        <v>0.351390685353629</v>
      </c>
      <c r="O565" s="787">
        <f>[18]Sales_SP!HE180</f>
        <v>0.39574096602933</v>
      </c>
      <c r="P565" s="787">
        <f>[18]Sales_SP!HF180</f>
        <v>0.54112590978281</v>
      </c>
      <c r="Q565" s="866">
        <f t="shared" si="135"/>
        <v>5.28148120053833</v>
      </c>
      <c r="R565" s="863"/>
      <c r="S565" s="863"/>
    </row>
    <row r="566" ht="15" spans="3:19">
      <c r="C566" s="296" t="s">
        <v>199</v>
      </c>
      <c r="D566" s="296" t="s">
        <v>200</v>
      </c>
      <c r="E566" s="787">
        <f>[18]Sales_SP!GU185</f>
        <v>0</v>
      </c>
      <c r="F566" s="787">
        <f>[18]Sales_SP!GV185</f>
        <v>0</v>
      </c>
      <c r="G566" s="787">
        <f>[18]Sales_SP!GW185</f>
        <v>0</v>
      </c>
      <c r="H566" s="787">
        <f>[18]Sales_SP!GX185</f>
        <v>0</v>
      </c>
      <c r="I566" s="787">
        <f>[18]Sales_SP!GY185</f>
        <v>0</v>
      </c>
      <c r="J566" s="787">
        <f>[18]Sales_SP!GZ185</f>
        <v>0</v>
      </c>
      <c r="K566" s="787">
        <f>[18]Sales_SP!HA185</f>
        <v>0</v>
      </c>
      <c r="L566" s="787">
        <f>[18]Sales_SP!HB185</f>
        <v>0</v>
      </c>
      <c r="M566" s="787">
        <f>[18]Sales_SP!HC185</f>
        <v>0</v>
      </c>
      <c r="N566" s="787">
        <f>[18]Sales_SP!HD185</f>
        <v>0</v>
      </c>
      <c r="O566" s="787">
        <f>[18]Sales_SP!HE185</f>
        <v>0</v>
      </c>
      <c r="P566" s="787">
        <f>[18]Sales_SP!HF185</f>
        <v>0</v>
      </c>
      <c r="Q566" s="866">
        <f t="shared" si="135"/>
        <v>0</v>
      </c>
      <c r="R566" s="863"/>
      <c r="S566" s="863"/>
    </row>
    <row r="567" ht="15" spans="3:19">
      <c r="C567" s="296" t="s">
        <v>201</v>
      </c>
      <c r="D567" s="296" t="s">
        <v>202</v>
      </c>
      <c r="E567" s="787">
        <f>[18]Sales_SP!GU191</f>
        <v>4.02668706869306</v>
      </c>
      <c r="F567" s="787">
        <f>[18]Sales_SP!GV191</f>
        <v>3.20900250000917</v>
      </c>
      <c r="G567" s="787">
        <f>[18]Sales_SP!GW191</f>
        <v>2.93996017043791</v>
      </c>
      <c r="H567" s="787">
        <f>[18]Sales_SP!GX191</f>
        <v>3.93207290449192</v>
      </c>
      <c r="I567" s="787">
        <f>[18]Sales_SP!GY191</f>
        <v>4.27971706864301</v>
      </c>
      <c r="J567" s="787">
        <f>[18]Sales_SP!GZ191</f>
        <v>5.45248172662976</v>
      </c>
      <c r="K567" s="787">
        <f>[18]Sales_SP!HA191</f>
        <v>10.2252771024266</v>
      </c>
      <c r="L567" s="787">
        <f>[18]Sales_SP!HB191</f>
        <v>9.98323934178002</v>
      </c>
      <c r="M567" s="787">
        <f>[18]Sales_SP!HC191</f>
        <v>8.2004256814529</v>
      </c>
      <c r="N567" s="787">
        <f>[18]Sales_SP!HD191</f>
        <v>10.3111533742464</v>
      </c>
      <c r="O567" s="787">
        <f>[18]Sales_SP!HE191</f>
        <v>10.5755139467521</v>
      </c>
      <c r="P567" s="787">
        <f>[18]Sales_SP!HF191</f>
        <v>13.1110733346437</v>
      </c>
      <c r="Q567" s="866">
        <f t="shared" si="135"/>
        <v>86.2466042202066</v>
      </c>
      <c r="R567" s="863"/>
      <c r="S567" s="863"/>
    </row>
    <row r="568" ht="15" spans="3:19">
      <c r="C568" s="296" t="s">
        <v>203</v>
      </c>
      <c r="D568" s="296" t="s">
        <v>204</v>
      </c>
      <c r="E568" s="787">
        <f>[18]Sales_SP!GU192+[18]Sales_SP!GU193</f>
        <v>23.6585725187103</v>
      </c>
      <c r="F568" s="787">
        <f>[18]Sales_SP!GV192+[18]Sales_SP!GV193</f>
        <v>24.1987910276471</v>
      </c>
      <c r="G568" s="787">
        <f>[18]Sales_SP!GW192+[18]Sales_SP!GW193</f>
        <v>24.4330969625096</v>
      </c>
      <c r="H568" s="787">
        <f>[18]Sales_SP!GX192+[18]Sales_SP!GX193</f>
        <v>24.4154848032328</v>
      </c>
      <c r="I568" s="787">
        <f>[18]Sales_SP!GY192+[18]Sales_SP!GY193</f>
        <v>20.7762526447071</v>
      </c>
      <c r="J568" s="787">
        <f>[18]Sales_SP!GZ192+[18]Sales_SP!GZ193</f>
        <v>21.8952827145287</v>
      </c>
      <c r="K568" s="787">
        <f>[18]Sales_SP!HA192+[18]Sales_SP!HA193</f>
        <v>22.3835483166008</v>
      </c>
      <c r="L568" s="787">
        <f>[18]Sales_SP!HB192+[18]Sales_SP!HB193</f>
        <v>23.7210390875043</v>
      </c>
      <c r="M568" s="787">
        <f>[18]Sales_SP!HC192+[18]Sales_SP!HC193</f>
        <v>23.0330799413546</v>
      </c>
      <c r="N568" s="787">
        <f>[18]Sales_SP!HD192+[18]Sales_SP!HD193</f>
        <v>24.3226618635956</v>
      </c>
      <c r="O568" s="787">
        <f>[18]Sales_SP!HE192+[18]Sales_SP!HE193</f>
        <v>23.3924652915336</v>
      </c>
      <c r="P568" s="787">
        <f>[18]Sales_SP!HF192+[18]Sales_SP!HF193</f>
        <v>25.8663852995918</v>
      </c>
      <c r="Q568" s="866">
        <f t="shared" si="135"/>
        <v>282.096660471516</v>
      </c>
      <c r="R568" s="863"/>
      <c r="S568" s="863"/>
    </row>
    <row r="569" ht="15" spans="3:19">
      <c r="C569" s="296" t="s">
        <v>213</v>
      </c>
      <c r="D569" s="296" t="s">
        <v>229</v>
      </c>
      <c r="E569" s="787">
        <f>[18]Sales_SP!GU194</f>
        <v>0</v>
      </c>
      <c r="F569" s="787">
        <f>[18]Sales_SP!GV194</f>
        <v>0</v>
      </c>
      <c r="G569" s="787">
        <f>[18]Sales_SP!GW194</f>
        <v>0</v>
      </c>
      <c r="H569" s="787">
        <f>[18]Sales_SP!GX194</f>
        <v>0</v>
      </c>
      <c r="I569" s="787">
        <f>[18]Sales_SP!GY194</f>
        <v>0</v>
      </c>
      <c r="J569" s="787">
        <f>[18]Sales_SP!GZ194</f>
        <v>0</v>
      </c>
      <c r="K569" s="787">
        <f>[18]Sales_SP!HA194</f>
        <v>0</v>
      </c>
      <c r="L569" s="787">
        <f>[18]Sales_SP!HB194</f>
        <v>0</v>
      </c>
      <c r="M569" s="787">
        <f>[18]Sales_SP!HC194</f>
        <v>0</v>
      </c>
      <c r="N569" s="787">
        <f>[18]Sales_SP!HD194</f>
        <v>0</v>
      </c>
      <c r="O569" s="787">
        <f>[18]Sales_SP!HE194</f>
        <v>0</v>
      </c>
      <c r="P569" s="787">
        <f>[18]Sales_SP!HF194</f>
        <v>0</v>
      </c>
      <c r="Q569" s="866">
        <f t="shared" si="135"/>
        <v>0</v>
      </c>
      <c r="R569" s="863"/>
      <c r="S569" s="863"/>
    </row>
    <row r="570" ht="15" spans="3:19">
      <c r="C570" s="296" t="s">
        <v>205</v>
      </c>
      <c r="D570" s="296" t="s">
        <v>206</v>
      </c>
      <c r="E570" s="787">
        <f>[18]Sales_SP!GU196</f>
        <v>20.8062084102657</v>
      </c>
      <c r="F570" s="787">
        <f>[18]Sales_SP!GV196</f>
        <v>20.4361787181313</v>
      </c>
      <c r="G570" s="787">
        <f>[18]Sales_SP!GW196</f>
        <v>16.565654219609</v>
      </c>
      <c r="H570" s="787">
        <f>[18]Sales_SP!GX196</f>
        <v>14.1705140075405</v>
      </c>
      <c r="I570" s="787">
        <f>[18]Sales_SP!GY196</f>
        <v>14.6129574579183</v>
      </c>
      <c r="J570" s="787">
        <f>[18]Sales_SP!GZ196</f>
        <v>13.7233198093735</v>
      </c>
      <c r="K570" s="787">
        <f>[18]Sales_SP!HA196</f>
        <v>14.5625705105589</v>
      </c>
      <c r="L570" s="787">
        <f>[18]Sales_SP!HB196</f>
        <v>13.4983468711996</v>
      </c>
      <c r="M570" s="787">
        <f>[18]Sales_SP!HC196</f>
        <v>13.0737876303789</v>
      </c>
      <c r="N570" s="787">
        <f>[18]Sales_SP!HD196</f>
        <v>13.0948829818044</v>
      </c>
      <c r="O570" s="787">
        <f>[18]Sales_SP!HE196</f>
        <v>14.7121819293298</v>
      </c>
      <c r="P570" s="787">
        <f>[18]Sales_SP!HF196</f>
        <v>19.1507972109039</v>
      </c>
      <c r="Q570" s="866">
        <f t="shared" si="135"/>
        <v>188.407399757014</v>
      </c>
      <c r="R570" s="863"/>
      <c r="S570" s="863"/>
    </row>
    <row r="571" ht="15" spans="3:19">
      <c r="C571" s="296" t="s">
        <v>218</v>
      </c>
      <c r="D571" s="296" t="s">
        <v>186</v>
      </c>
      <c r="E571" s="787">
        <f>[18]Sales_SP!GU197</f>
        <v>2.259861</v>
      </c>
      <c r="F571" s="787">
        <f>[18]Sales_SP!GV197</f>
        <v>2.2711626</v>
      </c>
      <c r="G571" s="787">
        <f>[18]Sales_SP!GW197</f>
        <v>4.174248</v>
      </c>
      <c r="H571" s="787">
        <f>[18]Sales_SP!GX197</f>
        <v>3.8350878</v>
      </c>
      <c r="I571" s="787">
        <f>[18]Sales_SP!GY197</f>
        <v>2.4798648</v>
      </c>
      <c r="J571" s="787">
        <f>[18]Sales_SP!GZ197</f>
        <v>2.7251952</v>
      </c>
      <c r="K571" s="787">
        <f>[18]Sales_SP!HA197</f>
        <v>4.81759292226648</v>
      </c>
      <c r="L571" s="787">
        <f>[18]Sales_SP!HB197</f>
        <v>2.72517291605996</v>
      </c>
      <c r="M571" s="787">
        <f>[18]Sales_SP!HC197</f>
        <v>2.62838667007343</v>
      </c>
      <c r="N571" s="787">
        <f>[18]Sales_SP!HD197</f>
        <v>2.59954575177804</v>
      </c>
      <c r="O571" s="787">
        <f>[18]Sales_SP!HE197</f>
        <v>2.77585287448774</v>
      </c>
      <c r="P571" s="787">
        <f>[18]Sales_SP!HF197</f>
        <v>2.83364590242865</v>
      </c>
      <c r="Q571" s="866">
        <f t="shared" si="135"/>
        <v>36.1256164370943</v>
      </c>
      <c r="R571" s="863"/>
      <c r="S571" s="863"/>
    </row>
    <row r="572" ht="15" spans="3:19">
      <c r="C572" s="296" t="s">
        <v>208</v>
      </c>
      <c r="D572" s="296" t="s">
        <v>209</v>
      </c>
      <c r="E572" s="787">
        <f>[18]Sales_SP!GU198</f>
        <v>0</v>
      </c>
      <c r="F572" s="787">
        <f>[18]Sales_SP!GV198</f>
        <v>0</v>
      </c>
      <c r="G572" s="787">
        <f>[18]Sales_SP!GW198</f>
        <v>0</v>
      </c>
      <c r="H572" s="787">
        <f>[18]Sales_SP!GX198</f>
        <v>0</v>
      </c>
      <c r="I572" s="787">
        <f>[18]Sales_SP!GY198</f>
        <v>0</v>
      </c>
      <c r="J572" s="787">
        <f>[18]Sales_SP!GZ198</f>
        <v>0</v>
      </c>
      <c r="K572" s="787">
        <f>[18]Sales_SP!HA198</f>
        <v>0</v>
      </c>
      <c r="L572" s="787">
        <f>[18]Sales_SP!HB198</f>
        <v>0</v>
      </c>
      <c r="M572" s="787">
        <f>[18]Sales_SP!HC198</f>
        <v>0</v>
      </c>
      <c r="N572" s="787">
        <f>[18]Sales_SP!HD198</f>
        <v>0</v>
      </c>
      <c r="O572" s="787">
        <f>[18]Sales_SP!HE198</f>
        <v>0</v>
      </c>
      <c r="P572" s="787">
        <f>[18]Sales_SP!HF198</f>
        <v>0</v>
      </c>
      <c r="Q572" s="866">
        <f t="shared" si="135"/>
        <v>0</v>
      </c>
      <c r="R572" s="863"/>
      <c r="S572" s="863"/>
    </row>
    <row r="573" ht="15" spans="3:19">
      <c r="C573" s="296" t="s">
        <v>210</v>
      </c>
      <c r="D573" s="296" t="s">
        <v>188</v>
      </c>
      <c r="E573" s="787"/>
      <c r="F573" s="787"/>
      <c r="G573" s="787"/>
      <c r="H573" s="787"/>
      <c r="I573" s="787"/>
      <c r="J573" s="787"/>
      <c r="K573" s="787"/>
      <c r="L573" s="787"/>
      <c r="M573" s="787"/>
      <c r="N573" s="787"/>
      <c r="O573" s="787"/>
      <c r="P573" s="787"/>
      <c r="Q573" s="866">
        <f t="shared" si="135"/>
        <v>0</v>
      </c>
      <c r="R573" s="863"/>
      <c r="S573" s="863"/>
    </row>
    <row r="574" ht="15" spans="3:19">
      <c r="C574" s="296"/>
      <c r="D574" s="296"/>
      <c r="E574" s="787"/>
      <c r="F574" s="787"/>
      <c r="G574" s="787"/>
      <c r="H574" s="787"/>
      <c r="I574" s="787"/>
      <c r="J574" s="787"/>
      <c r="K574" s="787"/>
      <c r="L574" s="787"/>
      <c r="M574" s="787"/>
      <c r="N574" s="787"/>
      <c r="O574" s="787"/>
      <c r="P574" s="787"/>
      <c r="Q574" s="866">
        <f t="shared" si="135"/>
        <v>0</v>
      </c>
      <c r="R574" s="863"/>
      <c r="S574" s="863"/>
    </row>
    <row r="575" ht="15" spans="3:19">
      <c r="C575" s="296"/>
      <c r="D575" s="296"/>
      <c r="E575" s="787"/>
      <c r="F575" s="787"/>
      <c r="G575" s="787"/>
      <c r="H575" s="787"/>
      <c r="I575" s="787"/>
      <c r="J575" s="787"/>
      <c r="K575" s="787"/>
      <c r="L575" s="787"/>
      <c r="M575" s="787"/>
      <c r="N575" s="787"/>
      <c r="O575" s="787"/>
      <c r="P575" s="787"/>
      <c r="Q575" s="866">
        <f t="shared" si="135"/>
        <v>0</v>
      </c>
      <c r="R575" s="863"/>
      <c r="S575" s="863"/>
    </row>
    <row r="576" ht="15" spans="3:19">
      <c r="C576" s="296" t="s">
        <v>258</v>
      </c>
      <c r="D576" s="296" t="s">
        <v>258</v>
      </c>
      <c r="E576" s="787"/>
      <c r="F576" s="787"/>
      <c r="G576" s="787"/>
      <c r="H576" s="787"/>
      <c r="I576" s="787"/>
      <c r="J576" s="787"/>
      <c r="K576" s="787"/>
      <c r="L576" s="787"/>
      <c r="M576" s="787"/>
      <c r="N576" s="787"/>
      <c r="O576" s="787"/>
      <c r="P576" s="787"/>
      <c r="Q576" s="866">
        <f t="shared" si="135"/>
        <v>0</v>
      </c>
      <c r="R576" s="863"/>
      <c r="S576" s="863"/>
    </row>
    <row r="577" ht="15" spans="3:19">
      <c r="C577" s="285" t="s">
        <v>211</v>
      </c>
      <c r="D577" s="286"/>
      <c r="E577" s="866">
        <f t="shared" ref="E577:P577" si="136">SUM(E562:E576)</f>
        <v>830.025559674359</v>
      </c>
      <c r="F577" s="866">
        <f t="shared" si="136"/>
        <v>865.486155594721</v>
      </c>
      <c r="G577" s="866">
        <f t="shared" si="136"/>
        <v>828.906046186692</v>
      </c>
      <c r="H577" s="866">
        <f t="shared" si="136"/>
        <v>844.410678365175</v>
      </c>
      <c r="I577" s="866">
        <f t="shared" si="136"/>
        <v>834.967595846968</v>
      </c>
      <c r="J577" s="866">
        <f t="shared" si="136"/>
        <v>804.99827341985</v>
      </c>
      <c r="K577" s="866">
        <f t="shared" si="136"/>
        <v>826.693739023693</v>
      </c>
      <c r="L577" s="866">
        <f t="shared" si="136"/>
        <v>826.842349462774</v>
      </c>
      <c r="M577" s="866">
        <f t="shared" si="136"/>
        <v>827.011502569429</v>
      </c>
      <c r="N577" s="866">
        <f t="shared" si="136"/>
        <v>828.893722497323</v>
      </c>
      <c r="O577" s="866">
        <f t="shared" si="136"/>
        <v>816.906286949875</v>
      </c>
      <c r="P577" s="866">
        <f t="shared" si="136"/>
        <v>920.168558637605</v>
      </c>
      <c r="Q577" s="722">
        <f t="shared" si="135"/>
        <v>10055.3104682285</v>
      </c>
      <c r="R577" s="863"/>
      <c r="S577" s="863"/>
    </row>
    <row r="578" ht="15" spans="3:19">
      <c r="C578" s="285" t="s">
        <v>219</v>
      </c>
      <c r="D578" s="286"/>
      <c r="E578" s="787"/>
      <c r="F578" s="787"/>
      <c r="G578" s="787"/>
      <c r="H578" s="787"/>
      <c r="I578" s="787"/>
      <c r="J578" s="787"/>
      <c r="K578" s="787"/>
      <c r="L578" s="787"/>
      <c r="M578" s="787"/>
      <c r="N578" s="787"/>
      <c r="O578" s="787"/>
      <c r="P578" s="787"/>
      <c r="Q578" s="866"/>
      <c r="R578" s="863"/>
      <c r="S578" s="863"/>
    </row>
    <row r="579" ht="15" spans="3:19">
      <c r="C579" s="296" t="s">
        <v>191</v>
      </c>
      <c r="D579" s="296" t="s">
        <v>192</v>
      </c>
      <c r="E579" s="787">
        <f>[18]Sales_SP!GU212</f>
        <v>385.100766483558</v>
      </c>
      <c r="F579" s="787">
        <f>[18]Sales_SP!GV212</f>
        <v>410.618119073842</v>
      </c>
      <c r="G579" s="787">
        <f>[18]Sales_SP!GW212</f>
        <v>401.990690682173</v>
      </c>
      <c r="H579" s="787">
        <f>[18]Sales_SP!GX212</f>
        <v>407.950246634222</v>
      </c>
      <c r="I579" s="787">
        <f>[18]Sales_SP!GY212</f>
        <v>431.263274159475</v>
      </c>
      <c r="J579" s="787">
        <f>[18]Sales_SP!GZ212</f>
        <v>391.802007877588</v>
      </c>
      <c r="K579" s="787">
        <f>[18]Sales_SP!HA212</f>
        <v>439.161260961195</v>
      </c>
      <c r="L579" s="787">
        <f>[18]Sales_SP!HB212</f>
        <v>432.090961827283</v>
      </c>
      <c r="M579" s="787">
        <f>[18]Sales_SP!HC212</f>
        <v>438.744840491775</v>
      </c>
      <c r="N579" s="787">
        <f>[18]Sales_SP!HD212</f>
        <v>432.090130864544</v>
      </c>
      <c r="O579" s="787">
        <f>[18]Sales_SP!HE212</f>
        <v>398.85509532451</v>
      </c>
      <c r="P579" s="787">
        <f>[18]Sales_SP!HF212</f>
        <v>432.807624153648</v>
      </c>
      <c r="Q579" s="866">
        <f t="shared" ref="Q579:Q598" si="137">SUM(E579:P579)</f>
        <v>5002.47501853381</v>
      </c>
      <c r="R579" s="863"/>
      <c r="S579" s="863"/>
    </row>
    <row r="580" ht="15" spans="3:19">
      <c r="C580" s="296" t="s">
        <v>193</v>
      </c>
      <c r="D580" s="296" t="s">
        <v>194</v>
      </c>
      <c r="E580" s="787">
        <f>[18]Sales_SP!GU222</f>
        <v>12.6888</v>
      </c>
      <c r="F580" s="787">
        <f>[18]Sales_SP!GV222</f>
        <v>13.5456</v>
      </c>
      <c r="G580" s="787">
        <f>[18]Sales_SP!GW222</f>
        <v>15.861</v>
      </c>
      <c r="H580" s="787">
        <f>[18]Sales_SP!GX222</f>
        <v>14.3514</v>
      </c>
      <c r="I580" s="787">
        <f>[18]Sales_SP!GY222</f>
        <v>13.413</v>
      </c>
      <c r="J580" s="787">
        <f>[18]Sales_SP!GZ222</f>
        <v>5.304</v>
      </c>
      <c r="K580" s="787">
        <f>[18]Sales_SP!HA222</f>
        <v>15.1101117</v>
      </c>
      <c r="L580" s="787">
        <f>[18]Sales_SP!HB222</f>
        <v>10.68603</v>
      </c>
      <c r="M580" s="787">
        <f>[18]Sales_SP!HC222</f>
        <v>13.151166</v>
      </c>
      <c r="N580" s="787">
        <f>[18]Sales_SP!HD222</f>
        <v>14.153418</v>
      </c>
      <c r="O580" s="787">
        <f>[18]Sales_SP!HE222</f>
        <v>12.765504</v>
      </c>
      <c r="P580" s="787">
        <f>[18]Sales_SP!HF222</f>
        <v>11.9034</v>
      </c>
      <c r="Q580" s="866">
        <f t="shared" si="137"/>
        <v>152.9334297</v>
      </c>
      <c r="R580" s="863"/>
      <c r="S580" s="863"/>
    </row>
    <row r="581" ht="15" spans="3:19">
      <c r="C581" s="296" t="s">
        <v>239</v>
      </c>
      <c r="D581" s="296" t="s">
        <v>196</v>
      </c>
      <c r="E581" s="787">
        <f>[18]Sales_SP!GU228</f>
        <v>29.1890955201412</v>
      </c>
      <c r="F581" s="787">
        <f>[18]Sales_SP!GV228</f>
        <v>32.7033875582178</v>
      </c>
      <c r="G581" s="787">
        <f>[18]Sales_SP!GW228</f>
        <v>31.4239123016365</v>
      </c>
      <c r="H581" s="787">
        <f>[18]Sales_SP!GX228</f>
        <v>31.32155428111</v>
      </c>
      <c r="I581" s="787">
        <f>[18]Sales_SP!GY228</f>
        <v>31.4921509819875</v>
      </c>
      <c r="J581" s="787">
        <f>[18]Sales_SP!GZ228</f>
        <v>30.4173917664592</v>
      </c>
      <c r="K581" s="787">
        <f>[18]Sales_SP!HA228</f>
        <v>22.3249302576742</v>
      </c>
      <c r="L581" s="787">
        <f>[18]Sales_SP!HB228</f>
        <v>23.2972861549776</v>
      </c>
      <c r="M581" s="787">
        <f>[18]Sales_SP!HC228</f>
        <v>23.1726531836905</v>
      </c>
      <c r="N581" s="787">
        <f>[18]Sales_SP!HD228</f>
        <v>23.3453158185376</v>
      </c>
      <c r="O581" s="787">
        <f>[18]Sales_SP!HE228</f>
        <v>27.6027887994423</v>
      </c>
      <c r="P581" s="787">
        <f>[18]Sales_SP!HF228</f>
        <v>39.3564498744186</v>
      </c>
      <c r="Q581" s="866">
        <f t="shared" si="137"/>
        <v>345.646916498293</v>
      </c>
      <c r="R581" s="863"/>
      <c r="S581" s="863"/>
    </row>
    <row r="582" ht="15" spans="3:19">
      <c r="C582" s="296" t="s">
        <v>197</v>
      </c>
      <c r="D582" s="296" t="s">
        <v>198</v>
      </c>
      <c r="E582" s="787">
        <f>[18]Sales_SP!GU233</f>
        <v>0</v>
      </c>
      <c r="F582" s="787">
        <f>[18]Sales_SP!GV233</f>
        <v>0</v>
      </c>
      <c r="G582" s="787">
        <f>[18]Sales_SP!GW233</f>
        <v>0</v>
      </c>
      <c r="H582" s="787">
        <f>[18]Sales_SP!GX233</f>
        <v>0</v>
      </c>
      <c r="I582" s="787">
        <f>[18]Sales_SP!GY233</f>
        <v>0</v>
      </c>
      <c r="J582" s="787">
        <f>[18]Sales_SP!GZ233</f>
        <v>0</v>
      </c>
      <c r="K582" s="787">
        <f>[18]Sales_SP!HA233</f>
        <v>0</v>
      </c>
      <c r="L582" s="787">
        <f>[18]Sales_SP!HB233</f>
        <v>0</v>
      </c>
      <c r="M582" s="787">
        <f>[18]Sales_SP!HC233</f>
        <v>0</v>
      </c>
      <c r="N582" s="787">
        <f>[18]Sales_SP!HD233</f>
        <v>0</v>
      </c>
      <c r="O582" s="787">
        <f>[18]Sales_SP!HE233</f>
        <v>0</v>
      </c>
      <c r="P582" s="787">
        <f>[18]Sales_SP!HF233</f>
        <v>0</v>
      </c>
      <c r="Q582" s="866">
        <f t="shared" si="137"/>
        <v>0</v>
      </c>
      <c r="R582" s="863"/>
      <c r="S582" s="863"/>
    </row>
    <row r="583" ht="15" spans="3:19">
      <c r="C583" s="296" t="s">
        <v>199</v>
      </c>
      <c r="D583" s="296" t="s">
        <v>200</v>
      </c>
      <c r="E583" s="787">
        <f>[18]Sales_SP!GU238</f>
        <v>11.2196826647101</v>
      </c>
      <c r="F583" s="787">
        <f>[18]Sales_SP!GV238</f>
        <v>13.2375237506709</v>
      </c>
      <c r="G583" s="787">
        <f>[18]Sales_SP!GW238</f>
        <v>12.2529145460756</v>
      </c>
      <c r="H583" s="787">
        <f>[18]Sales_SP!GX238</f>
        <v>11.6572867556413</v>
      </c>
      <c r="I583" s="787">
        <f>[18]Sales_SP!GY238</f>
        <v>11.718065101604</v>
      </c>
      <c r="J583" s="787">
        <f>[18]Sales_SP!GZ238</f>
        <v>10.7820785737788</v>
      </c>
      <c r="K583" s="787">
        <f>[18]Sales_SP!HA238</f>
        <v>10.3506175596136</v>
      </c>
      <c r="L583" s="787">
        <f>[18]Sales_SP!HB238</f>
        <v>10.5552949702855</v>
      </c>
      <c r="M583" s="787">
        <f>[18]Sales_SP!HC238</f>
        <v>9.39027719021645</v>
      </c>
      <c r="N583" s="787">
        <f>[18]Sales_SP!HD238</f>
        <v>9.41982658478704</v>
      </c>
      <c r="O583" s="787">
        <f>[18]Sales_SP!HE238</f>
        <v>10.5105820706063</v>
      </c>
      <c r="P583" s="787">
        <f>[18]Sales_SP!HF238</f>
        <v>12.5751964747559</v>
      </c>
      <c r="Q583" s="866">
        <f t="shared" si="137"/>
        <v>133.669346242745</v>
      </c>
      <c r="R583" s="863"/>
      <c r="S583" s="863"/>
    </row>
    <row r="584" ht="15" spans="3:19">
      <c r="C584" s="296" t="s">
        <v>201</v>
      </c>
      <c r="D584" s="296" t="s">
        <v>240</v>
      </c>
      <c r="E584" s="787">
        <f>[18]Sales_SP!GU244+[18]Sales_SP!GU245</f>
        <v>42.0336</v>
      </c>
      <c r="F584" s="787">
        <f>[18]Sales_SP!GV244+[18]Sales_SP!GV245</f>
        <v>26.136</v>
      </c>
      <c r="G584" s="787">
        <f>[18]Sales_SP!GW244+[18]Sales_SP!GW245</f>
        <v>57.24</v>
      </c>
      <c r="H584" s="787">
        <f>[18]Sales_SP!GX244+[18]Sales_SP!GX245</f>
        <v>128.0448</v>
      </c>
      <c r="I584" s="787">
        <f>[18]Sales_SP!GY244+[18]Sales_SP!GY245</f>
        <v>453.4596</v>
      </c>
      <c r="J584" s="787">
        <f>[18]Sales_SP!GZ244+[18]Sales_SP!GZ245</f>
        <v>300.5316</v>
      </c>
      <c r="K584" s="787">
        <f>[18]Sales_SP!HA244+[18]Sales_SP!HA245</f>
        <v>224.957676601728</v>
      </c>
      <c r="L584" s="787">
        <f>[18]Sales_SP!HB244+[18]Sales_SP!HB245</f>
        <v>212.711650619616</v>
      </c>
      <c r="M584" s="787">
        <f>[18]Sales_SP!HC244+[18]Sales_SP!HC245</f>
        <v>63.460752457968</v>
      </c>
      <c r="N584" s="787">
        <f>[18]Sales_SP!HD244+[18]Sales_SP!HD245</f>
        <v>43.94114202204</v>
      </c>
      <c r="O584" s="787">
        <f>[18]Sales_SP!HE244+[18]Sales_SP!HE245</f>
        <v>54.828519382296</v>
      </c>
      <c r="P584" s="787">
        <f>[18]Sales_SP!HF244+[18]Sales_SP!HF245</f>
        <v>36.952903683288</v>
      </c>
      <c r="Q584" s="866">
        <f t="shared" si="137"/>
        <v>1644.29824476694</v>
      </c>
      <c r="R584" s="863"/>
      <c r="S584" s="863"/>
    </row>
    <row r="585" ht="15" spans="3:19">
      <c r="C585" s="296" t="s">
        <v>203</v>
      </c>
      <c r="D585" s="296" t="s">
        <v>220</v>
      </c>
      <c r="E585" s="787">
        <f>[18]Sales_SP!GU246+[18]Sales_SP!GU247</f>
        <v>26.21429181895</v>
      </c>
      <c r="F585" s="787">
        <f>[18]Sales_SP!GV246+[18]Sales_SP!GV247</f>
        <v>26.9453762030388</v>
      </c>
      <c r="G585" s="787">
        <f>[18]Sales_SP!GW246+[18]Sales_SP!GW247</f>
        <v>25.7482789659343</v>
      </c>
      <c r="H585" s="787">
        <f>[18]Sales_SP!GX246+[18]Sales_SP!GX247</f>
        <v>26.6033484210089</v>
      </c>
      <c r="I585" s="787">
        <f>[18]Sales_SP!GY246+[18]Sales_SP!GY247</f>
        <v>25.5986418112962</v>
      </c>
      <c r="J585" s="787">
        <f>[18]Sales_SP!GZ246+[18]Sales_SP!GZ247</f>
        <v>21.9004664180985</v>
      </c>
      <c r="K585" s="787">
        <f>[18]Sales_SP!HA246+[18]Sales_SP!HA247</f>
        <v>25.4964417862226</v>
      </c>
      <c r="L585" s="787">
        <f>[18]Sales_SP!HB246+[18]Sales_SP!HB247</f>
        <v>26.5709101508887</v>
      </c>
      <c r="M585" s="787">
        <f>[18]Sales_SP!HC246+[18]Sales_SP!HC247</f>
        <v>28.1781943570127</v>
      </c>
      <c r="N585" s="787">
        <f>[18]Sales_SP!HD246+[18]Sales_SP!HD247</f>
        <v>26.4799960246153</v>
      </c>
      <c r="O585" s="787">
        <f>[18]Sales_SP!HE246+[18]Sales_SP!HE247</f>
        <v>23.4833239536912</v>
      </c>
      <c r="P585" s="787">
        <f>[18]Sales_SP!HF246+[18]Sales_SP!HF247</f>
        <v>28.372060334189</v>
      </c>
      <c r="Q585" s="866">
        <f t="shared" si="137"/>
        <v>311.591330244946</v>
      </c>
      <c r="R585" s="863"/>
      <c r="S585" s="863"/>
    </row>
    <row r="586" ht="15" spans="3:19">
      <c r="C586" s="296" t="s">
        <v>241</v>
      </c>
      <c r="D586" s="296" t="s">
        <v>229</v>
      </c>
      <c r="E586" s="787">
        <f>[18]Sales_SP!GU249+[18]Sales_SP!GU250</f>
        <v>114.504959478884</v>
      </c>
      <c r="F586" s="787">
        <f>[18]Sales_SP!GV249+[18]Sales_SP!GV250</f>
        <v>117.658872449268</v>
      </c>
      <c r="G586" s="787">
        <f>[18]Sales_SP!GW249+[18]Sales_SP!GW250</f>
        <v>114.772357121887</v>
      </c>
      <c r="H586" s="787">
        <f>[18]Sales_SP!GX249+[18]Sales_SP!GX250</f>
        <v>114.23411677341</v>
      </c>
      <c r="I586" s="787">
        <f>[18]Sales_SP!GY249+[18]Sales_SP!GY250</f>
        <v>115.012492280904</v>
      </c>
      <c r="J586" s="787">
        <f>[18]Sales_SP!GZ249+[18]Sales_SP!GZ250</f>
        <v>113.438968937552</v>
      </c>
      <c r="K586" s="787">
        <f>[18]Sales_SP!HA249+[18]Sales_SP!HA250</f>
        <v>130.45667443417</v>
      </c>
      <c r="L586" s="787">
        <f>[18]Sales_SP!HB249+[18]Sales_SP!HB250</f>
        <v>127.877029761432</v>
      </c>
      <c r="M586" s="787">
        <f>[18]Sales_SP!HC249+[18]Sales_SP!HC250</f>
        <v>127.329695980019</v>
      </c>
      <c r="N586" s="787">
        <f>[18]Sales_SP!HD249+[18]Sales_SP!HD250</f>
        <v>130.167528319472</v>
      </c>
      <c r="O586" s="787">
        <f>[18]Sales_SP!HE249+[18]Sales_SP!HE250</f>
        <v>126.029578283795</v>
      </c>
      <c r="P586" s="787">
        <f>[18]Sales_SP!HF249+[18]Sales_SP!HF250</f>
        <v>131.895091988454</v>
      </c>
      <c r="Q586" s="866">
        <f t="shared" si="137"/>
        <v>1463.37736580925</v>
      </c>
      <c r="R586" s="863"/>
      <c r="S586" s="863"/>
    </row>
    <row r="587" ht="15" spans="3:19">
      <c r="C587" s="296" t="s">
        <v>259</v>
      </c>
      <c r="D587" s="296" t="s">
        <v>243</v>
      </c>
      <c r="E587" s="787">
        <f>[18]Sales_SP!GU251+[18]Sales_SP!GU252</f>
        <v>20.8569852092472</v>
      </c>
      <c r="F587" s="787">
        <f>[18]Sales_SP!GV251+[18]Sales_SP!GV252</f>
        <v>21.6355055586499</v>
      </c>
      <c r="G587" s="787">
        <f>[18]Sales_SP!GW251+[18]Sales_SP!GW252</f>
        <v>22.2759013299327</v>
      </c>
      <c r="H587" s="787">
        <f>[18]Sales_SP!GX251+[18]Sales_SP!GX252</f>
        <v>20.4551682547168</v>
      </c>
      <c r="I587" s="787">
        <f>[18]Sales_SP!GY251+[18]Sales_SP!GY252</f>
        <v>20.3672707959133</v>
      </c>
      <c r="J587" s="787">
        <f>[18]Sales_SP!GZ251+[18]Sales_SP!GZ252</f>
        <v>19.3376148499291</v>
      </c>
      <c r="K587" s="787">
        <f>[18]Sales_SP!HA251+[18]Sales_SP!HA252</f>
        <v>22.0389890912227</v>
      </c>
      <c r="L587" s="787">
        <f>[18]Sales_SP!HB251+[18]Sales_SP!HB252</f>
        <v>18.0468502178328</v>
      </c>
      <c r="M587" s="787">
        <f>[18]Sales_SP!HC251+[18]Sales_SP!HC252</f>
        <v>20.7566863717604</v>
      </c>
      <c r="N587" s="787">
        <f>[18]Sales_SP!HD251+[18]Sales_SP!HD252</f>
        <v>21.1583717384652</v>
      </c>
      <c r="O587" s="787">
        <f>[18]Sales_SP!HE251+[18]Sales_SP!HE252</f>
        <v>21.1352006987561</v>
      </c>
      <c r="P587" s="787">
        <f>[18]Sales_SP!HF251+[18]Sales_SP!HF252</f>
        <v>22.9801192418982</v>
      </c>
      <c r="Q587" s="866">
        <f t="shared" si="137"/>
        <v>251.044663358325</v>
      </c>
      <c r="R587" s="863"/>
      <c r="S587" s="863"/>
    </row>
    <row r="588" ht="15" spans="3:19">
      <c r="C588" s="296" t="s">
        <v>205</v>
      </c>
      <c r="D588" s="296" t="s">
        <v>206</v>
      </c>
      <c r="E588" s="787">
        <f>[18]Sales_SP!GU253</f>
        <v>0</v>
      </c>
      <c r="F588" s="787">
        <f>[18]Sales_SP!GV253</f>
        <v>0</v>
      </c>
      <c r="G588" s="787">
        <f>[18]Sales_SP!GW253</f>
        <v>0</v>
      </c>
      <c r="H588" s="787">
        <f>[18]Sales_SP!GX253</f>
        <v>0</v>
      </c>
      <c r="I588" s="787">
        <f>[18]Sales_SP!GY253</f>
        <v>0</v>
      </c>
      <c r="J588" s="787">
        <f>[18]Sales_SP!GZ253</f>
        <v>0</v>
      </c>
      <c r="K588" s="787">
        <f>[18]Sales_SP!HA253</f>
        <v>0</v>
      </c>
      <c r="L588" s="787">
        <f>[18]Sales_SP!HB253</f>
        <v>0</v>
      </c>
      <c r="M588" s="787">
        <f>[18]Sales_SP!HC253</f>
        <v>0</v>
      </c>
      <c r="N588" s="787">
        <f>[18]Sales_SP!HD253</f>
        <v>0</v>
      </c>
      <c r="O588" s="787">
        <f>[18]Sales_SP!HE253</f>
        <v>0</v>
      </c>
      <c r="P588" s="787">
        <f>[18]Sales_SP!HF253</f>
        <v>0</v>
      </c>
      <c r="Q588" s="866">
        <f t="shared" si="137"/>
        <v>0</v>
      </c>
      <c r="R588" s="863"/>
      <c r="S588" s="863"/>
    </row>
    <row r="589" ht="15" spans="3:19">
      <c r="C589" s="296" t="s">
        <v>207</v>
      </c>
      <c r="D589" s="296" t="s">
        <v>186</v>
      </c>
      <c r="E589" s="787">
        <f>[18]Sales_SP!GU254</f>
        <v>0</v>
      </c>
      <c r="F589" s="787">
        <f>[18]Sales_SP!GV254</f>
        <v>0</v>
      </c>
      <c r="G589" s="787">
        <f>[18]Sales_SP!GW254</f>
        <v>0</v>
      </c>
      <c r="H589" s="787">
        <f>[18]Sales_SP!GX254</f>
        <v>0</v>
      </c>
      <c r="I589" s="787">
        <f>[18]Sales_SP!GY254</f>
        <v>0</v>
      </c>
      <c r="J589" s="787">
        <f>[18]Sales_SP!GZ254</f>
        <v>0</v>
      </c>
      <c r="K589" s="787">
        <f>[18]Sales_SP!HA254</f>
        <v>0</v>
      </c>
      <c r="L589" s="787">
        <f>[18]Sales_SP!HB254</f>
        <v>0</v>
      </c>
      <c r="M589" s="787">
        <f>[18]Sales_SP!HC254</f>
        <v>0</v>
      </c>
      <c r="N589" s="787">
        <f>[18]Sales_SP!HD254</f>
        <v>0</v>
      </c>
      <c r="O589" s="787">
        <f>[18]Sales_SP!HE254</f>
        <v>0</v>
      </c>
      <c r="P589" s="787">
        <f>[18]Sales_SP!HF254</f>
        <v>0</v>
      </c>
      <c r="Q589" s="866">
        <f t="shared" si="137"/>
        <v>0</v>
      </c>
      <c r="R589" s="863"/>
      <c r="S589" s="863"/>
    </row>
    <row r="590" ht="15" spans="3:19">
      <c r="C590" s="296" t="s">
        <v>208</v>
      </c>
      <c r="D590" s="296" t="s">
        <v>209</v>
      </c>
      <c r="E590" s="787">
        <v>0</v>
      </c>
      <c r="F590" s="787">
        <v>0</v>
      </c>
      <c r="G590" s="787">
        <v>0</v>
      </c>
      <c r="H590" s="787">
        <v>0</v>
      </c>
      <c r="I590" s="787">
        <v>0</v>
      </c>
      <c r="J590" s="787">
        <v>0</v>
      </c>
      <c r="K590" s="787">
        <v>0</v>
      </c>
      <c r="L590" s="787">
        <v>0</v>
      </c>
      <c r="M590" s="787">
        <v>0</v>
      </c>
      <c r="N590" s="787">
        <v>0</v>
      </c>
      <c r="O590" s="787">
        <v>0</v>
      </c>
      <c r="P590" s="787">
        <v>0</v>
      </c>
      <c r="Q590" s="866">
        <f t="shared" si="137"/>
        <v>0</v>
      </c>
      <c r="R590" s="863"/>
      <c r="S590" s="863"/>
    </row>
    <row r="591" ht="15" spans="3:19">
      <c r="C591" s="296" t="s">
        <v>210</v>
      </c>
      <c r="D591" s="296" t="s">
        <v>188</v>
      </c>
      <c r="E591" s="787">
        <v>0</v>
      </c>
      <c r="F591" s="787">
        <v>0</v>
      </c>
      <c r="G591" s="787">
        <v>0</v>
      </c>
      <c r="H591" s="787">
        <v>0</v>
      </c>
      <c r="I591" s="787">
        <v>0</v>
      </c>
      <c r="J591" s="787">
        <v>0</v>
      </c>
      <c r="K591" s="787">
        <v>0</v>
      </c>
      <c r="L591" s="787">
        <v>0</v>
      </c>
      <c r="M591" s="787">
        <v>0</v>
      </c>
      <c r="N591" s="787">
        <v>0</v>
      </c>
      <c r="O591" s="787">
        <v>0</v>
      </c>
      <c r="P591" s="787">
        <v>0</v>
      </c>
      <c r="Q591" s="866">
        <f t="shared" si="137"/>
        <v>0</v>
      </c>
      <c r="R591" s="863"/>
      <c r="S591" s="863"/>
    </row>
    <row r="592" ht="15" spans="3:19">
      <c r="C592" s="296"/>
      <c r="D592" s="296"/>
      <c r="E592" s="787"/>
      <c r="F592" s="787"/>
      <c r="G592" s="787"/>
      <c r="H592" s="787"/>
      <c r="I592" s="787"/>
      <c r="J592" s="787"/>
      <c r="K592" s="787"/>
      <c r="L592" s="787"/>
      <c r="M592" s="787"/>
      <c r="N592" s="787"/>
      <c r="O592" s="787"/>
      <c r="P592" s="787"/>
      <c r="Q592" s="866">
        <f t="shared" si="137"/>
        <v>0</v>
      </c>
      <c r="R592" s="863"/>
      <c r="S592" s="863"/>
    </row>
    <row r="593" ht="15" spans="3:19">
      <c r="C593" s="296"/>
      <c r="D593" s="296"/>
      <c r="E593" s="787"/>
      <c r="F593" s="787"/>
      <c r="G593" s="787"/>
      <c r="H593" s="787"/>
      <c r="I593" s="787"/>
      <c r="J593" s="787"/>
      <c r="K593" s="787"/>
      <c r="L593" s="787"/>
      <c r="M593" s="787"/>
      <c r="N593" s="787"/>
      <c r="O593" s="787"/>
      <c r="P593" s="787"/>
      <c r="Q593" s="866">
        <f t="shared" si="137"/>
        <v>0</v>
      </c>
      <c r="R593" s="863"/>
      <c r="S593" s="863"/>
    </row>
    <row r="594" ht="15" spans="3:19">
      <c r="C594" s="296"/>
      <c r="D594" s="296"/>
      <c r="E594" s="787"/>
      <c r="F594" s="787"/>
      <c r="G594" s="787"/>
      <c r="H594" s="787"/>
      <c r="I594" s="787"/>
      <c r="J594" s="787"/>
      <c r="K594" s="787"/>
      <c r="L594" s="787"/>
      <c r="M594" s="787"/>
      <c r="N594" s="787"/>
      <c r="O594" s="787"/>
      <c r="P594" s="787"/>
      <c r="Q594" s="866">
        <f t="shared" si="137"/>
        <v>0</v>
      </c>
      <c r="R594" s="863"/>
      <c r="S594" s="863"/>
    </row>
    <row r="595" ht="15" spans="3:19">
      <c r="C595" s="296" t="s">
        <v>258</v>
      </c>
      <c r="D595" s="296" t="s">
        <v>258</v>
      </c>
      <c r="E595" s="787"/>
      <c r="F595" s="787"/>
      <c r="G595" s="787"/>
      <c r="H595" s="787"/>
      <c r="I595" s="787"/>
      <c r="J595" s="787"/>
      <c r="K595" s="787"/>
      <c r="L595" s="787"/>
      <c r="M595" s="787"/>
      <c r="N595" s="787"/>
      <c r="O595" s="787"/>
      <c r="P595" s="787"/>
      <c r="Q595" s="866">
        <f t="shared" si="137"/>
        <v>0</v>
      </c>
      <c r="R595" s="863"/>
      <c r="S595" s="863"/>
    </row>
    <row r="596" ht="15" spans="3:19">
      <c r="C596" s="285" t="s">
        <v>211</v>
      </c>
      <c r="D596" s="286"/>
      <c r="E596" s="866">
        <f t="shared" ref="E596:P596" si="138">SUM(E579:E595)</f>
        <v>641.808181175491</v>
      </c>
      <c r="F596" s="866">
        <f t="shared" si="138"/>
        <v>662.480384593688</v>
      </c>
      <c r="G596" s="866">
        <f t="shared" si="138"/>
        <v>681.565054947639</v>
      </c>
      <c r="H596" s="866">
        <f t="shared" si="138"/>
        <v>754.617921120109</v>
      </c>
      <c r="I596" s="866">
        <f t="shared" si="138"/>
        <v>1102.32449513118</v>
      </c>
      <c r="J596" s="866">
        <f t="shared" si="138"/>
        <v>893.514128423405</v>
      </c>
      <c r="K596" s="866">
        <f t="shared" si="138"/>
        <v>889.896702391826</v>
      </c>
      <c r="L596" s="866">
        <f t="shared" si="138"/>
        <v>861.836013702315</v>
      </c>
      <c r="M596" s="866">
        <f t="shared" si="138"/>
        <v>724.184266032442</v>
      </c>
      <c r="N596" s="866">
        <f t="shared" si="138"/>
        <v>700.755729372461</v>
      </c>
      <c r="O596" s="866">
        <f t="shared" si="138"/>
        <v>675.210592513097</v>
      </c>
      <c r="P596" s="866">
        <f t="shared" si="138"/>
        <v>716.842845750651</v>
      </c>
      <c r="Q596" s="722">
        <f t="shared" si="137"/>
        <v>9305.0363151543</v>
      </c>
      <c r="R596" s="863"/>
      <c r="S596" s="863"/>
    </row>
    <row r="597" ht="15" spans="3:19">
      <c r="C597" s="285" t="s">
        <v>223</v>
      </c>
      <c r="D597" s="286"/>
      <c r="E597" s="866">
        <f t="shared" ref="E597:P597" si="139">E596+E577+E560</f>
        <v>2168.5575110012</v>
      </c>
      <c r="F597" s="866">
        <f t="shared" si="139"/>
        <v>2234.25797514492</v>
      </c>
      <c r="G597" s="866">
        <f t="shared" si="139"/>
        <v>2177.88519136895</v>
      </c>
      <c r="H597" s="866">
        <f t="shared" si="139"/>
        <v>2255.39659067658</v>
      </c>
      <c r="I597" s="866">
        <f t="shared" si="139"/>
        <v>2610.68539665794</v>
      </c>
      <c r="J597" s="866">
        <f t="shared" si="139"/>
        <v>2329.58419977787</v>
      </c>
      <c r="K597" s="866">
        <f t="shared" si="139"/>
        <v>2382.84668752458</v>
      </c>
      <c r="L597" s="866">
        <f t="shared" si="139"/>
        <v>2339.92444218804</v>
      </c>
      <c r="M597" s="866">
        <f t="shared" si="139"/>
        <v>2207.63151840194</v>
      </c>
      <c r="N597" s="866">
        <f t="shared" si="139"/>
        <v>2175.86622309882</v>
      </c>
      <c r="O597" s="866">
        <f t="shared" si="139"/>
        <v>2151.99515192506</v>
      </c>
      <c r="P597" s="866">
        <f t="shared" si="139"/>
        <v>2365.58487138803</v>
      </c>
      <c r="Q597" s="722">
        <f t="shared" si="137"/>
        <v>27400.2157591539</v>
      </c>
      <c r="R597" s="863"/>
      <c r="S597" s="863"/>
    </row>
    <row r="598" ht="15" spans="3:19">
      <c r="C598" s="285" t="s">
        <v>224</v>
      </c>
      <c r="D598" s="286"/>
      <c r="E598" s="866">
        <f t="shared" ref="E598:P598" si="140">E597+E543</f>
        <v>4084.54989638035</v>
      </c>
      <c r="F598" s="866">
        <f t="shared" si="140"/>
        <v>4157.73249113683</v>
      </c>
      <c r="G598" s="866">
        <f t="shared" si="140"/>
        <v>3775.17804876038</v>
      </c>
      <c r="H598" s="866">
        <f t="shared" si="140"/>
        <v>3740.36934814488</v>
      </c>
      <c r="I598" s="866">
        <f t="shared" si="140"/>
        <v>4194.32313381321</v>
      </c>
      <c r="J598" s="866">
        <f t="shared" si="140"/>
        <v>3771.40025063155</v>
      </c>
      <c r="K598" s="866">
        <f t="shared" si="140"/>
        <v>3912.32670798493</v>
      </c>
      <c r="L598" s="866">
        <f t="shared" si="140"/>
        <v>3780.84095852334</v>
      </c>
      <c r="M598" s="866">
        <f t="shared" si="140"/>
        <v>3524.42604867451</v>
      </c>
      <c r="N598" s="866">
        <f t="shared" si="140"/>
        <v>3630.45261493703</v>
      </c>
      <c r="O598" s="866">
        <f t="shared" si="140"/>
        <v>3545.51777185964</v>
      </c>
      <c r="P598" s="866">
        <f t="shared" si="140"/>
        <v>4191.0523463805</v>
      </c>
      <c r="Q598" s="722">
        <f t="shared" si="137"/>
        <v>46308.1696172271</v>
      </c>
      <c r="R598" s="863"/>
      <c r="S598" s="863"/>
    </row>
    <row r="599" spans="5:19">
      <c r="E599" s="863"/>
      <c r="F599" s="863"/>
      <c r="G599" s="863"/>
      <c r="H599" s="863"/>
      <c r="I599" s="863"/>
      <c r="J599" s="863"/>
      <c r="K599" s="863"/>
      <c r="L599" s="863"/>
      <c r="M599" s="863"/>
      <c r="N599" s="863"/>
      <c r="O599" s="863"/>
      <c r="P599" s="863"/>
      <c r="Q599" s="863"/>
      <c r="R599" s="863"/>
      <c r="S599" s="863"/>
    </row>
    <row r="600" ht="15" spans="3:19">
      <c r="C600" s="369"/>
      <c r="E600" s="863"/>
      <c r="F600" s="863"/>
      <c r="G600" s="863"/>
      <c r="H600" s="863"/>
      <c r="I600" s="863"/>
      <c r="J600" s="863"/>
      <c r="K600" s="863"/>
      <c r="L600" s="863"/>
      <c r="M600" s="863"/>
      <c r="N600" s="863"/>
      <c r="O600" s="863"/>
      <c r="P600" s="863"/>
      <c r="Q600" s="870" t="s">
        <v>236</v>
      </c>
      <c r="R600" s="863"/>
      <c r="S600" s="863"/>
    </row>
    <row r="601" ht="15" hidden="1" spans="3:19">
      <c r="C601" s="401" t="s">
        <v>159</v>
      </c>
      <c r="D601" s="401"/>
      <c r="E601" s="864" t="s">
        <v>265</v>
      </c>
      <c r="F601" s="864"/>
      <c r="G601" s="864"/>
      <c r="H601" s="864"/>
      <c r="I601" s="864"/>
      <c r="J601" s="864"/>
      <c r="K601" s="864"/>
      <c r="L601" s="864"/>
      <c r="M601" s="864"/>
      <c r="N601" s="864"/>
      <c r="O601" s="864"/>
      <c r="P601" s="864"/>
      <c r="Q601" s="864"/>
      <c r="R601" s="863"/>
      <c r="S601" s="863"/>
    </row>
    <row r="602" ht="15" hidden="1" spans="3:19">
      <c r="C602" s="401"/>
      <c r="D602" s="401"/>
      <c r="E602" s="864" t="s">
        <v>246</v>
      </c>
      <c r="F602" s="864" t="s">
        <v>247</v>
      </c>
      <c r="G602" s="864" t="s">
        <v>248</v>
      </c>
      <c r="H602" s="864" t="s">
        <v>249</v>
      </c>
      <c r="I602" s="864" t="s">
        <v>250</v>
      </c>
      <c r="J602" s="864" t="s">
        <v>251</v>
      </c>
      <c r="K602" s="864" t="s">
        <v>252</v>
      </c>
      <c r="L602" s="864" t="s">
        <v>253</v>
      </c>
      <c r="M602" s="864" t="s">
        <v>254</v>
      </c>
      <c r="N602" s="864" t="s">
        <v>255</v>
      </c>
      <c r="O602" s="864" t="s">
        <v>256</v>
      </c>
      <c r="P602" s="864" t="s">
        <v>257</v>
      </c>
      <c r="Q602" s="864" t="s">
        <v>97</v>
      </c>
      <c r="R602" s="863"/>
      <c r="S602" s="863"/>
    </row>
    <row r="603" ht="15" hidden="1" spans="3:19">
      <c r="C603" s="285" t="s">
        <v>170</v>
      </c>
      <c r="D603" s="286"/>
      <c r="E603" s="787"/>
      <c r="F603" s="787"/>
      <c r="G603" s="787"/>
      <c r="H603" s="787"/>
      <c r="I603" s="787"/>
      <c r="J603" s="787"/>
      <c r="K603" s="787"/>
      <c r="L603" s="787"/>
      <c r="M603" s="787"/>
      <c r="N603" s="787"/>
      <c r="O603" s="787"/>
      <c r="P603" s="787"/>
      <c r="Q603" s="866"/>
      <c r="R603" s="863"/>
      <c r="S603" s="863"/>
    </row>
    <row r="604" ht="15" hidden="1" spans="3:19">
      <c r="C604" s="296" t="s">
        <v>171</v>
      </c>
      <c r="D604" s="296" t="s">
        <v>172</v>
      </c>
      <c r="E604" s="787">
        <f>[17]Sales_SP!HP10</f>
        <v>1166.86840931156</v>
      </c>
      <c r="F604" s="787">
        <f>[17]Sales_SP!HQ10</f>
        <v>1404.20211994651</v>
      </c>
      <c r="G604" s="787">
        <f>[17]Sales_SP!HR10</f>
        <v>1251.563579208</v>
      </c>
      <c r="H604" s="787">
        <f>[17]Sales_SP!HS10</f>
        <v>981.112886979744</v>
      </c>
      <c r="I604" s="787">
        <f>[17]Sales_SP!HT10</f>
        <v>1122.6691979947</v>
      </c>
      <c r="J604" s="787">
        <f>[17]Sales_SP!HU10</f>
        <v>1040.42312275645</v>
      </c>
      <c r="K604" s="787">
        <f>[17]Sales_SP!HV10</f>
        <v>1029.33696251829</v>
      </c>
      <c r="L604" s="787">
        <f>[17]Sales_SP!HW10</f>
        <v>953.49416120483</v>
      </c>
      <c r="M604" s="787">
        <f>[17]Sales_SP!HX10</f>
        <v>845.792241457301</v>
      </c>
      <c r="N604" s="787">
        <f>[17]Sales_SP!HY10</f>
        <v>954.54080287983</v>
      </c>
      <c r="O604" s="787">
        <f>[17]Sales_SP!HZ10</f>
        <v>904.124309994117</v>
      </c>
      <c r="P604" s="787">
        <f>[17]Sales_SP!IA10</f>
        <v>1239.83063376747</v>
      </c>
      <c r="Q604" s="866">
        <f t="shared" ref="Q604:Q612" si="141">SUM(E604:P604)</f>
        <v>12893.9584280188</v>
      </c>
      <c r="R604" s="863"/>
      <c r="S604" s="863"/>
    </row>
    <row r="605" ht="15" hidden="1" spans="3:19">
      <c r="C605" s="296" t="s">
        <v>173</v>
      </c>
      <c r="D605" s="296" t="s">
        <v>174</v>
      </c>
      <c r="E605" s="787">
        <f>[17]Sales_SP!HP23</f>
        <v>450.745029911367</v>
      </c>
      <c r="F605" s="787">
        <f>[17]Sales_SP!HQ23</f>
        <v>517.376057385505</v>
      </c>
      <c r="G605" s="787">
        <f>[17]Sales_SP!HR23</f>
        <v>475.65645520836</v>
      </c>
      <c r="H605" s="787">
        <f>[17]Sales_SP!HS23</f>
        <v>404.38063433756</v>
      </c>
      <c r="I605" s="787">
        <f>[17]Sales_SP!HT23</f>
        <v>458.067679075706</v>
      </c>
      <c r="J605" s="787">
        <f>[17]Sales_SP!HU23</f>
        <v>423.994031997678</v>
      </c>
      <c r="K605" s="787">
        <f>[17]Sales_SP!HV23</f>
        <v>434.271590062575</v>
      </c>
      <c r="L605" s="787">
        <f>[17]Sales_SP!HW23</f>
        <v>410.941159153747</v>
      </c>
      <c r="M605" s="787">
        <f>[17]Sales_SP!HX23</f>
        <v>378.940709696436</v>
      </c>
      <c r="N605" s="787">
        <f>[17]Sales_SP!HY23</f>
        <v>414.832586520483</v>
      </c>
      <c r="O605" s="787">
        <f>[17]Sales_SP!HZ23</f>
        <v>414.154845167493</v>
      </c>
      <c r="P605" s="787">
        <f>[17]Sales_SP!IA23</f>
        <v>512.004756163324</v>
      </c>
      <c r="Q605" s="866">
        <f t="shared" si="141"/>
        <v>5295.36553468023</v>
      </c>
      <c r="R605" s="863"/>
      <c r="S605" s="863"/>
    </row>
    <row r="606" ht="15" hidden="1" spans="3:19">
      <c r="C606" s="296" t="s">
        <v>175</v>
      </c>
      <c r="D606" s="296" t="s">
        <v>176</v>
      </c>
      <c r="E606" s="787">
        <f>[17]Sales_SP!HP36</f>
        <v>91.1519610216825</v>
      </c>
      <c r="F606" s="787">
        <f>[17]Sales_SP!HQ36</f>
        <v>98.7013948306258</v>
      </c>
      <c r="G606" s="787">
        <f>[17]Sales_SP!HR36</f>
        <v>93.2880212281159</v>
      </c>
      <c r="H606" s="787">
        <f>[17]Sales_SP!HS36</f>
        <v>87.6639622542371</v>
      </c>
      <c r="I606" s="787">
        <f>[17]Sales_SP!HT36</f>
        <v>93.7830699087481</v>
      </c>
      <c r="J606" s="787">
        <f>[17]Sales_SP!HU36</f>
        <v>86.9877741193187</v>
      </c>
      <c r="K606" s="787">
        <f>[17]Sales_SP!HV36</f>
        <v>88.9801252616055</v>
      </c>
      <c r="L606" s="787">
        <f>[17]Sales_SP!HW36</f>
        <v>91.5033143522831</v>
      </c>
      <c r="M606" s="787">
        <f>[17]Sales_SP!HX36</f>
        <v>101.406151941671</v>
      </c>
      <c r="N606" s="787">
        <f>[17]Sales_SP!HY36</f>
        <v>98.5180565466306</v>
      </c>
      <c r="O606" s="787">
        <f>[17]Sales_SP!HZ36</f>
        <v>90.6728641420266</v>
      </c>
      <c r="P606" s="787">
        <f>[17]Sales_SP!IA36</f>
        <v>101.073024669386</v>
      </c>
      <c r="Q606" s="866">
        <f t="shared" si="141"/>
        <v>1123.72972027633</v>
      </c>
      <c r="R606" s="863"/>
      <c r="S606" s="863"/>
    </row>
    <row r="607" ht="15" hidden="1" spans="3:19">
      <c r="C607" s="296" t="s">
        <v>177</v>
      </c>
      <c r="D607" s="296" t="s">
        <v>178</v>
      </c>
      <c r="E607" s="787">
        <f>[17]Sales_SP!HP43</f>
        <v>0.858818602447451</v>
      </c>
      <c r="F607" s="787">
        <f>[17]Sales_SP!HQ43</f>
        <v>0.896715858807343</v>
      </c>
      <c r="G607" s="787">
        <f>[17]Sales_SP!HR43</f>
        <v>0.791469428588545</v>
      </c>
      <c r="H607" s="787">
        <f>[17]Sales_SP!HS43</f>
        <v>0.766281167485082</v>
      </c>
      <c r="I607" s="787">
        <f>[17]Sales_SP!HT43</f>
        <v>0.81445451381422</v>
      </c>
      <c r="J607" s="787">
        <f>[17]Sales_SP!HU43</f>
        <v>0.763958572795362</v>
      </c>
      <c r="K607" s="787">
        <f>[17]Sales_SP!HV43</f>
        <v>0.793419598508846</v>
      </c>
      <c r="L607" s="787">
        <f>[17]Sales_SP!HW43</f>
        <v>0.746495089585859</v>
      </c>
      <c r="M607" s="787">
        <f>[17]Sales_SP!HX43</f>
        <v>0.788924188656237</v>
      </c>
      <c r="N607" s="787">
        <f>[17]Sales_SP!HY43</f>
        <v>0.818412539013129</v>
      </c>
      <c r="O607" s="787">
        <f>[17]Sales_SP!HZ43</f>
        <v>0.735955873420827</v>
      </c>
      <c r="P607" s="787">
        <f>[17]Sales_SP!IA43</f>
        <v>0.850100017152488</v>
      </c>
      <c r="Q607" s="866">
        <f t="shared" si="141"/>
        <v>9.62500545027539</v>
      </c>
      <c r="R607" s="863"/>
      <c r="S607" s="863"/>
    </row>
    <row r="608" ht="15" hidden="1" spans="3:19">
      <c r="C608" s="296" t="s">
        <v>179</v>
      </c>
      <c r="D608" s="296" t="s">
        <v>180</v>
      </c>
      <c r="E608" s="787">
        <v>0</v>
      </c>
      <c r="F608" s="787">
        <v>0</v>
      </c>
      <c r="G608" s="787">
        <v>0</v>
      </c>
      <c r="H608" s="787">
        <v>0</v>
      </c>
      <c r="I608" s="787">
        <v>0</v>
      </c>
      <c r="J608" s="787">
        <v>0</v>
      </c>
      <c r="K608" s="787">
        <v>0</v>
      </c>
      <c r="L608" s="787">
        <v>0</v>
      </c>
      <c r="M608" s="787">
        <v>0</v>
      </c>
      <c r="N608" s="787">
        <v>0</v>
      </c>
      <c r="O608" s="787">
        <v>0</v>
      </c>
      <c r="P608" s="787">
        <v>0</v>
      </c>
      <c r="Q608" s="866">
        <f t="shared" si="141"/>
        <v>0</v>
      </c>
      <c r="R608" s="863"/>
      <c r="S608" s="863"/>
    </row>
    <row r="609" ht="15" hidden="1" spans="3:19">
      <c r="C609" s="296" t="s">
        <v>181</v>
      </c>
      <c r="D609" s="296" t="s">
        <v>182</v>
      </c>
      <c r="E609" s="787">
        <f>[17]Sales_SP!HP54</f>
        <v>41.7778178602906</v>
      </c>
      <c r="F609" s="787">
        <f>[17]Sales_SP!HQ54</f>
        <v>43.4940966583184</v>
      </c>
      <c r="G609" s="787">
        <f>[17]Sales_SP!HR54</f>
        <v>40.6732899031347</v>
      </c>
      <c r="H609" s="787">
        <f>[17]Sales_SP!HS54</f>
        <v>40.4539883019506</v>
      </c>
      <c r="I609" s="787">
        <f>[17]Sales_SP!HT54</f>
        <v>43.0889583106763</v>
      </c>
      <c r="J609" s="787">
        <f>[17]Sales_SP!HU54</f>
        <v>41.2593414017405</v>
      </c>
      <c r="K609" s="787">
        <f>[17]Sales_SP!HV54</f>
        <v>43.8270710907752</v>
      </c>
      <c r="L609" s="787">
        <f>[17]Sales_SP!HW54</f>
        <v>44.9989460677537</v>
      </c>
      <c r="M609" s="787">
        <f>[17]Sales_SP!HX54</f>
        <v>44.6875427597322</v>
      </c>
      <c r="N609" s="787">
        <f>[17]Sales_SP!HY54</f>
        <v>45.5745286419121</v>
      </c>
      <c r="O609" s="787">
        <f>[17]Sales_SP!HZ54</f>
        <v>42.1683331600937</v>
      </c>
      <c r="P609" s="787">
        <f>[17]Sales_SP!IA54</f>
        <v>46.2124148592416</v>
      </c>
      <c r="Q609" s="866">
        <f t="shared" si="141"/>
        <v>518.21632901562</v>
      </c>
      <c r="R609" s="863"/>
      <c r="S609" s="863"/>
    </row>
    <row r="610" ht="15" hidden="1" spans="3:19">
      <c r="C610" s="296" t="s">
        <v>183</v>
      </c>
      <c r="D610" s="296" t="s">
        <v>184</v>
      </c>
      <c r="E610" s="787">
        <f>[17]Sales_SP!HP64</f>
        <v>10.1238531626828</v>
      </c>
      <c r="F610" s="787">
        <f>[17]Sales_SP!HQ64</f>
        <v>8.2808752181303</v>
      </c>
      <c r="G610" s="787">
        <f>[17]Sales_SP!HR64</f>
        <v>9.81743612210026</v>
      </c>
      <c r="H610" s="787">
        <f>[17]Sales_SP!HS64</f>
        <v>9.96025985842943</v>
      </c>
      <c r="I610" s="787">
        <f>[17]Sales_SP!HT64</f>
        <v>11.5508146939489</v>
      </c>
      <c r="J610" s="787">
        <f>[17]Sales_SP!HU64</f>
        <v>10.7210441542037</v>
      </c>
      <c r="K610" s="787">
        <f>[17]Sales_SP!HV64</f>
        <v>8.88826386300881</v>
      </c>
      <c r="L610" s="787">
        <f>[17]Sales_SP!HW64</f>
        <v>10.268045331749</v>
      </c>
      <c r="M610" s="787">
        <f>[17]Sales_SP!HX64</f>
        <v>9.13834108734966</v>
      </c>
      <c r="N610" s="787">
        <f>[17]Sales_SP!HY64</f>
        <v>9.36057379218105</v>
      </c>
      <c r="O610" s="787">
        <f>[17]Sales_SP!HZ64</f>
        <v>10.3143984184761</v>
      </c>
      <c r="P610" s="787">
        <f>[17]Sales_SP!IA64</f>
        <v>13.1747572304598</v>
      </c>
      <c r="Q610" s="866">
        <f t="shared" si="141"/>
        <v>121.59866293272</v>
      </c>
      <c r="R610" s="863"/>
      <c r="S610" s="863"/>
    </row>
    <row r="611" ht="15" hidden="1" spans="3:19">
      <c r="C611" s="296" t="s">
        <v>185</v>
      </c>
      <c r="D611" s="296" t="s">
        <v>186</v>
      </c>
      <c r="E611" s="787">
        <f>[17]Sales_SP!HP69</f>
        <v>21.6857649030413</v>
      </c>
      <c r="F611" s="787">
        <f>[17]Sales_SP!HQ69</f>
        <v>24.5693714507797</v>
      </c>
      <c r="G611" s="787">
        <f>[17]Sales_SP!HR69</f>
        <v>23.1370593360814</v>
      </c>
      <c r="H611" s="787">
        <f>[17]Sales_SP!HS69</f>
        <v>20.0505910735249</v>
      </c>
      <c r="I611" s="787">
        <f>[17]Sales_SP!HT69</f>
        <v>23.0112172754386</v>
      </c>
      <c r="J611" s="787">
        <f>[17]Sales_SP!HU69</f>
        <v>21.5268309963949</v>
      </c>
      <c r="K611" s="787">
        <f>[17]Sales_SP!HV69</f>
        <v>22.4325085651373</v>
      </c>
      <c r="L611" s="787">
        <f>[17]Sales_SP!HW69</f>
        <v>21.5745339452324</v>
      </c>
      <c r="M611" s="787">
        <f>[17]Sales_SP!HX69</f>
        <v>21.4518103737019</v>
      </c>
      <c r="N611" s="787">
        <f>[17]Sales_SP!HY69</f>
        <v>23.7668051374257</v>
      </c>
      <c r="O611" s="787">
        <f>[17]Sales_SP!HZ69</f>
        <v>23.0784235023374</v>
      </c>
      <c r="P611" s="787">
        <f>[17]Sales_SP!IA69</f>
        <v>28.5728548194185</v>
      </c>
      <c r="Q611" s="866">
        <f t="shared" si="141"/>
        <v>274.857771378514</v>
      </c>
      <c r="R611" s="863"/>
      <c r="S611" s="863"/>
    </row>
    <row r="612" ht="15" hidden="1" spans="3:19">
      <c r="C612" s="296" t="s">
        <v>187</v>
      </c>
      <c r="D612" s="296" t="s">
        <v>188</v>
      </c>
      <c r="E612" s="787">
        <f>[17]Sales_SP!HP70</f>
        <v>0.100852532</v>
      </c>
      <c r="F612" s="787">
        <f>[17]Sales_SP!HQ70</f>
        <v>0.122125905</v>
      </c>
      <c r="G612" s="787">
        <f>[17]Sales_SP!HR70</f>
        <v>0.125373545</v>
      </c>
      <c r="H612" s="787">
        <f>[17]Sales_SP!HS70</f>
        <v>0.169277911</v>
      </c>
      <c r="I612" s="787">
        <f>[17]Sales_SP!HT70</f>
        <v>0.203324891</v>
      </c>
      <c r="J612" s="787">
        <f>[17]Sales_SP!HU70</f>
        <v>0.197690768</v>
      </c>
      <c r="K612" s="787">
        <f>[17]Sales_SP!HV70</f>
        <v>0.261637332</v>
      </c>
      <c r="L612" s="787">
        <f>[17]Sales_SP!HW70</f>
        <v>0.3159794</v>
      </c>
      <c r="M612" s="787">
        <f>[17]Sales_SP!HX70</f>
        <v>0.318198177</v>
      </c>
      <c r="N612" s="787">
        <f>[17]Sales_SP!HY70</f>
        <v>0.409145407</v>
      </c>
      <c r="O612" s="787">
        <f>[17]Sales_SP!HZ70</f>
        <v>0.359139737</v>
      </c>
      <c r="P612" s="787">
        <f>[17]Sales_SP!IA70</f>
        <v>0.455009005</v>
      </c>
      <c r="Q612" s="866">
        <f t="shared" si="141"/>
        <v>3.03775461</v>
      </c>
      <c r="R612" s="863"/>
      <c r="S612" s="863"/>
    </row>
    <row r="613" ht="15" hidden="1" spans="3:19">
      <c r="C613" s="296"/>
      <c r="D613" s="296"/>
      <c r="E613" s="787"/>
      <c r="F613" s="787"/>
      <c r="G613" s="787"/>
      <c r="H613" s="787"/>
      <c r="I613" s="787"/>
      <c r="J613" s="830"/>
      <c r="K613" s="787"/>
      <c r="L613" s="787"/>
      <c r="M613" s="787"/>
      <c r="N613" s="787"/>
      <c r="O613" s="787"/>
      <c r="P613" s="787"/>
      <c r="Q613" s="866"/>
      <c r="R613" s="863"/>
      <c r="S613" s="863"/>
    </row>
    <row r="614" ht="15" hidden="1" spans="3:19">
      <c r="C614" s="296"/>
      <c r="D614" s="296"/>
      <c r="E614" s="787"/>
      <c r="F614" s="787"/>
      <c r="G614" s="787"/>
      <c r="H614" s="787"/>
      <c r="I614" s="787"/>
      <c r="J614" s="787"/>
      <c r="K614" s="787"/>
      <c r="L614" s="787"/>
      <c r="M614" s="787"/>
      <c r="N614" s="787"/>
      <c r="O614" s="787"/>
      <c r="P614" s="787"/>
      <c r="Q614" s="866"/>
      <c r="R614" s="863"/>
      <c r="S614" s="863"/>
    </row>
    <row r="615" ht="15" hidden="1" spans="3:19">
      <c r="C615" s="296"/>
      <c r="D615" s="296"/>
      <c r="E615" s="787"/>
      <c r="F615" s="787"/>
      <c r="G615" s="787"/>
      <c r="H615" s="787"/>
      <c r="I615" s="787"/>
      <c r="J615" s="787"/>
      <c r="K615" s="787"/>
      <c r="L615" s="787"/>
      <c r="M615" s="787"/>
      <c r="N615" s="787"/>
      <c r="O615" s="787"/>
      <c r="P615" s="787"/>
      <c r="Q615" s="866"/>
      <c r="R615" s="863"/>
      <c r="S615" s="863"/>
    </row>
    <row r="616" ht="15" hidden="1" spans="3:19">
      <c r="C616" s="296" t="s">
        <v>258</v>
      </c>
      <c r="D616" s="296" t="s">
        <v>258</v>
      </c>
      <c r="E616" s="787"/>
      <c r="F616" s="787"/>
      <c r="G616" s="787"/>
      <c r="H616" s="787"/>
      <c r="I616" s="787"/>
      <c r="J616" s="787"/>
      <c r="K616" s="787"/>
      <c r="L616" s="787"/>
      <c r="M616" s="787"/>
      <c r="N616" s="787"/>
      <c r="O616" s="787"/>
      <c r="P616" s="787"/>
      <c r="Q616" s="866"/>
      <c r="R616" s="863"/>
      <c r="S616" s="863"/>
    </row>
    <row r="617" ht="15" hidden="1" spans="3:19">
      <c r="C617" s="285" t="s">
        <v>189</v>
      </c>
      <c r="D617" s="286"/>
      <c r="E617" s="866">
        <f t="shared" ref="E617:P617" si="142">SUM(E604:E616)</f>
        <v>1783.31250730507</v>
      </c>
      <c r="F617" s="866">
        <f t="shared" si="142"/>
        <v>2097.64275725368</v>
      </c>
      <c r="G617" s="866">
        <f t="shared" si="142"/>
        <v>1895.05268397938</v>
      </c>
      <c r="H617" s="866">
        <f t="shared" si="142"/>
        <v>1544.55788188393</v>
      </c>
      <c r="I617" s="866">
        <f t="shared" si="142"/>
        <v>1753.18871666403</v>
      </c>
      <c r="J617" s="866">
        <f t="shared" si="142"/>
        <v>1625.87379476658</v>
      </c>
      <c r="K617" s="866">
        <f t="shared" si="142"/>
        <v>1628.7915782919</v>
      </c>
      <c r="L617" s="866">
        <f t="shared" si="142"/>
        <v>1533.84263454518</v>
      </c>
      <c r="M617" s="866">
        <f t="shared" si="142"/>
        <v>1402.52391968185</v>
      </c>
      <c r="N617" s="866">
        <f t="shared" si="142"/>
        <v>1547.82091146448</v>
      </c>
      <c r="O617" s="866">
        <f t="shared" si="142"/>
        <v>1485.60826999496</v>
      </c>
      <c r="P617" s="866">
        <f t="shared" si="142"/>
        <v>1942.17355053145</v>
      </c>
      <c r="Q617" s="866">
        <f>SUM(E617:P617)</f>
        <v>20240.3892063625</v>
      </c>
      <c r="R617" s="863"/>
      <c r="S617" s="863"/>
    </row>
    <row r="618" ht="15" hidden="1" spans="3:19">
      <c r="C618" s="285" t="s">
        <v>190</v>
      </c>
      <c r="D618" s="286"/>
      <c r="E618" s="787"/>
      <c r="F618" s="787"/>
      <c r="G618" s="787"/>
      <c r="H618" s="787"/>
      <c r="I618" s="787"/>
      <c r="J618" s="787"/>
      <c r="K618" s="787"/>
      <c r="L618" s="787"/>
      <c r="M618" s="787"/>
      <c r="N618" s="787"/>
      <c r="O618" s="787"/>
      <c r="P618" s="787"/>
      <c r="Q618" s="866"/>
      <c r="R618" s="863"/>
      <c r="S618" s="863"/>
    </row>
    <row r="619" ht="15" hidden="1" spans="3:19">
      <c r="C619" s="296" t="s">
        <v>191</v>
      </c>
      <c r="D619" s="296" t="s">
        <v>192</v>
      </c>
      <c r="E619" s="787">
        <f>[17]Sales_SP!HP89</f>
        <v>441.587290768964</v>
      </c>
      <c r="F619" s="787">
        <f>[17]Sales_SP!HQ89</f>
        <v>455.231290546719</v>
      </c>
      <c r="G619" s="787">
        <f>[17]Sales_SP!HR89</f>
        <v>442.236152578642</v>
      </c>
      <c r="H619" s="787">
        <f>[17]Sales_SP!HS89</f>
        <v>427.544436939386</v>
      </c>
      <c r="I619" s="787">
        <f>[17]Sales_SP!HT89</f>
        <v>445.264452892438</v>
      </c>
      <c r="J619" s="787">
        <f>[17]Sales_SP!HU89</f>
        <v>418.731794827434</v>
      </c>
      <c r="K619" s="787">
        <f>[17]Sales_SP!HV89</f>
        <v>427.627013637985</v>
      </c>
      <c r="L619" s="787">
        <f>[17]Sales_SP!HW89</f>
        <v>433.726300251689</v>
      </c>
      <c r="M619" s="787">
        <f>[17]Sales_SP!HX89</f>
        <v>456.617230184961</v>
      </c>
      <c r="N619" s="787">
        <f>[17]Sales_SP!HY89</f>
        <v>443.744078300231</v>
      </c>
      <c r="O619" s="787">
        <f>[17]Sales_SP!HZ89</f>
        <v>437.5022318874</v>
      </c>
      <c r="P619" s="787">
        <f>[17]Sales_SP!IA89</f>
        <v>456.401171495223</v>
      </c>
      <c r="Q619" s="866">
        <f t="shared" ref="Q619:Q634" si="143">SUM(E619:P619)</f>
        <v>5286.21344431107</v>
      </c>
      <c r="R619" s="863"/>
      <c r="S619" s="863"/>
    </row>
    <row r="620" ht="15" hidden="1" spans="3:19">
      <c r="C620" s="296" t="s">
        <v>193</v>
      </c>
      <c r="D620" s="296" t="s">
        <v>194</v>
      </c>
      <c r="E620" s="787">
        <f>[17]Sales_SP!HP104</f>
        <v>0.01061208</v>
      </c>
      <c r="F620" s="787">
        <f>[17]Sales_SP!HQ104</f>
        <v>0.024161583744</v>
      </c>
      <c r="G620" s="787">
        <f>[17]Sales_SP!HR104</f>
        <v>0.009024512832</v>
      </c>
      <c r="H620" s="787">
        <f>[17]Sales_SP!HS104</f>
        <v>0</v>
      </c>
      <c r="I620" s="787">
        <f>[17]Sales_SP!HT104</f>
        <v>0</v>
      </c>
      <c r="J620" s="787">
        <f>[17]Sales_SP!HU104</f>
        <v>0</v>
      </c>
      <c r="K620" s="787">
        <f>[17]Sales_SP!HV104</f>
        <v>0</v>
      </c>
      <c r="L620" s="787">
        <f>[17]Sales_SP!HW104</f>
        <v>0.068512649688</v>
      </c>
      <c r="M620" s="787">
        <f>[17]Sales_SP!HX104</f>
        <v>0.107845263</v>
      </c>
      <c r="N620" s="787">
        <f>[17]Sales_SP!HY104</f>
        <v>0.043258021704</v>
      </c>
      <c r="O620" s="787">
        <f>[17]Sales_SP!HZ104</f>
        <v>0.015474535056</v>
      </c>
      <c r="P620" s="787">
        <f>[17]Sales_SP!IA104</f>
        <v>0</v>
      </c>
      <c r="Q620" s="866">
        <f t="shared" si="143"/>
        <v>0.278888646024</v>
      </c>
      <c r="R620" s="863"/>
      <c r="S620" s="863"/>
    </row>
    <row r="621" ht="15" hidden="1" spans="3:19">
      <c r="C621" s="296" t="s">
        <v>239</v>
      </c>
      <c r="D621" s="296" t="s">
        <v>196</v>
      </c>
      <c r="E621" s="787">
        <f>[17]Sales_SP!HP110</f>
        <v>279.793413668117</v>
      </c>
      <c r="F621" s="787">
        <f>[17]Sales_SP!HQ110</f>
        <v>309.15769324976</v>
      </c>
      <c r="G621" s="787">
        <f>[17]Sales_SP!HR110</f>
        <v>309.946629038686</v>
      </c>
      <c r="H621" s="787">
        <f>[17]Sales_SP!HS110</f>
        <v>264.522767951265</v>
      </c>
      <c r="I621" s="787">
        <f>[17]Sales_SP!HT110</f>
        <v>285.430479773069</v>
      </c>
      <c r="J621" s="787">
        <f>[17]Sales_SP!HU110</f>
        <v>265.727775542848</v>
      </c>
      <c r="K621" s="787">
        <f>[17]Sales_SP!HV110</f>
        <v>277.35809446949</v>
      </c>
      <c r="L621" s="787">
        <f>[17]Sales_SP!HW110</f>
        <v>256.943208762417</v>
      </c>
      <c r="M621" s="787">
        <f>[17]Sales_SP!HX110</f>
        <v>237.646304924492</v>
      </c>
      <c r="N621" s="787">
        <f>[17]Sales_SP!HY110</f>
        <v>238.270568638271</v>
      </c>
      <c r="O621" s="787">
        <f>[17]Sales_SP!HZ110</f>
        <v>261.132130392756</v>
      </c>
      <c r="P621" s="787">
        <f>[17]Sales_SP!IA110</f>
        <v>311.036527045902</v>
      </c>
      <c r="Q621" s="866">
        <f t="shared" si="143"/>
        <v>3296.96559345707</v>
      </c>
      <c r="R621" s="863"/>
      <c r="S621" s="863"/>
    </row>
    <row r="622" ht="15" hidden="1" spans="3:19">
      <c r="C622" s="296" t="s">
        <v>197</v>
      </c>
      <c r="D622" s="296" t="s">
        <v>198</v>
      </c>
      <c r="E622" s="787">
        <f>[17]Sales_SP!HP115</f>
        <v>0</v>
      </c>
      <c r="F622" s="787">
        <f>[17]Sales_SP!HQ115</f>
        <v>0.050119792632</v>
      </c>
      <c r="G622" s="787">
        <f>[17]Sales_SP!HR115</f>
        <v>0.038910252528</v>
      </c>
      <c r="H622" s="787">
        <f>[17]Sales_SP!HS115</f>
        <v>0.029115302688</v>
      </c>
      <c r="I622" s="787">
        <f>[17]Sales_SP!HT115</f>
        <v>0.026456976648</v>
      </c>
      <c r="J622" s="787">
        <f>[17]Sales_SP!HU115</f>
        <v>0.031779995976</v>
      </c>
      <c r="K622" s="787">
        <f>[17]Sales_SP!HV115</f>
        <v>0.027015172056</v>
      </c>
      <c r="L622" s="787">
        <f>[17]Sales_SP!HW115</f>
        <v>0.027561694176</v>
      </c>
      <c r="M622" s="787">
        <f>[17]Sales_SP!HX115</f>
        <v>0.030043859688</v>
      </c>
      <c r="N622" s="787">
        <f>[17]Sales_SP!HY115</f>
        <v>0.030089491632</v>
      </c>
      <c r="O622" s="787">
        <f>[17]Sales_SP!HZ115</f>
        <v>0.031368247272</v>
      </c>
      <c r="P622" s="787">
        <f>[17]Sales_SP!IA115</f>
        <v>0.035494223976</v>
      </c>
      <c r="Q622" s="866">
        <f t="shared" si="143"/>
        <v>0.357955009272</v>
      </c>
      <c r="R622" s="863"/>
      <c r="S622" s="863"/>
    </row>
    <row r="623" ht="15" hidden="1" spans="3:19">
      <c r="C623" s="296" t="s">
        <v>199</v>
      </c>
      <c r="D623" s="296" t="s">
        <v>200</v>
      </c>
      <c r="E623" s="787">
        <f>[17]Sales_SP!HP120</f>
        <v>0.452776127411213</v>
      </c>
      <c r="F623" s="787">
        <f>[17]Sales_SP!HQ120</f>
        <v>0.520235523686336</v>
      </c>
      <c r="G623" s="787">
        <f>[17]Sales_SP!HR120</f>
        <v>0.528010669956303</v>
      </c>
      <c r="H623" s="787">
        <f>[17]Sales_SP!HS120</f>
        <v>0.475538820865797</v>
      </c>
      <c r="I623" s="787">
        <f>[17]Sales_SP!HT120</f>
        <v>0.471053479194101</v>
      </c>
      <c r="J623" s="787">
        <f>[17]Sales_SP!HU120</f>
        <v>0.469792644663837</v>
      </c>
      <c r="K623" s="787">
        <f>[17]Sales_SP!HV120</f>
        <v>0.477006232804975</v>
      </c>
      <c r="L623" s="787">
        <f>[17]Sales_SP!HW120</f>
        <v>0.445186188473375</v>
      </c>
      <c r="M623" s="787">
        <f>[17]Sales_SP!HX120</f>
        <v>0.417672214613781</v>
      </c>
      <c r="N623" s="787">
        <f>[17]Sales_SP!HY120</f>
        <v>0.439416267741655</v>
      </c>
      <c r="O623" s="787">
        <f>[17]Sales_SP!HZ120</f>
        <v>0.461096210639175</v>
      </c>
      <c r="P623" s="787">
        <f>[17]Sales_SP!IA120</f>
        <v>0.564795695460754</v>
      </c>
      <c r="Q623" s="866">
        <f t="shared" si="143"/>
        <v>5.7225800755113</v>
      </c>
      <c r="R623" s="863"/>
      <c r="S623" s="863"/>
    </row>
    <row r="624" ht="15" hidden="1" spans="3:19">
      <c r="C624" s="296" t="s">
        <v>201</v>
      </c>
      <c r="D624" s="296" t="s">
        <v>202</v>
      </c>
      <c r="E624" s="787">
        <f>[17]Sales_SP!HP126</f>
        <v>2.195244</v>
      </c>
      <c r="F624" s="787">
        <f>[17]Sales_SP!HQ126</f>
        <v>0.4006070604</v>
      </c>
      <c r="G624" s="787">
        <f>[17]Sales_SP!HR126</f>
        <v>0.6540547428</v>
      </c>
      <c r="H624" s="787">
        <f>[17]Sales_SP!HS126</f>
        <v>1.085827110048</v>
      </c>
      <c r="I624" s="787">
        <f>[17]Sales_SP!HT126</f>
        <v>1.881551248128</v>
      </c>
      <c r="J624" s="787">
        <f>[17]Sales_SP!HU126</f>
        <v>1.7589907548</v>
      </c>
      <c r="K624" s="787">
        <f>[17]Sales_SP!HV126</f>
        <v>3.4407557388</v>
      </c>
      <c r="L624" s="787">
        <f>[17]Sales_SP!HW126</f>
        <v>1.462102554132</v>
      </c>
      <c r="M624" s="787">
        <f>[17]Sales_SP!HX126</f>
        <v>1.2883939056</v>
      </c>
      <c r="N624" s="787">
        <f>[17]Sales_SP!HY126</f>
        <v>1.6125643386</v>
      </c>
      <c r="O624" s="787">
        <f>[17]Sales_SP!HZ126</f>
        <v>1.8772956792</v>
      </c>
      <c r="P624" s="787">
        <f>[17]Sales_SP!IA126</f>
        <v>0.891607194</v>
      </c>
      <c r="Q624" s="866">
        <f t="shared" si="143"/>
        <v>18.548994326508</v>
      </c>
      <c r="R624" s="863"/>
      <c r="S624" s="863"/>
    </row>
    <row r="625" ht="15" hidden="1" spans="3:19">
      <c r="C625" s="296" t="s">
        <v>203</v>
      </c>
      <c r="D625" s="296" t="s">
        <v>204</v>
      </c>
      <c r="E625" s="787">
        <f>[17]Sales_SP!HP127+[17]Sales_SP!HP128</f>
        <v>15.1078632499737</v>
      </c>
      <c r="F625" s="787">
        <f>[17]Sales_SP!HQ127+[17]Sales_SP!HQ128</f>
        <v>14.4682952324377</v>
      </c>
      <c r="G625" s="787">
        <f>[17]Sales_SP!HR127+[17]Sales_SP!HR128</f>
        <v>14.4109508375614</v>
      </c>
      <c r="H625" s="787">
        <f>[17]Sales_SP!HS127+[17]Sales_SP!HS128</f>
        <v>14.2418100702889</v>
      </c>
      <c r="I625" s="787">
        <f>[17]Sales_SP!HT127+[17]Sales_SP!HT128</f>
        <v>14.3406019462906</v>
      </c>
      <c r="J625" s="787">
        <f>[17]Sales_SP!HU127+[17]Sales_SP!HU128</f>
        <v>13.7252715482896</v>
      </c>
      <c r="K625" s="787">
        <f>[17]Sales_SP!HV127+[17]Sales_SP!HV128</f>
        <v>14.6690523132063</v>
      </c>
      <c r="L625" s="787">
        <f>[17]Sales_SP!HW127+[17]Sales_SP!HW128</f>
        <v>14.7113353607918</v>
      </c>
      <c r="M625" s="787">
        <f>[17]Sales_SP!HX127+[17]Sales_SP!HX128</f>
        <v>14.906725423952</v>
      </c>
      <c r="N625" s="787">
        <f>[17]Sales_SP!HY127+[17]Sales_SP!HY128</f>
        <v>15.1393119949093</v>
      </c>
      <c r="O625" s="787">
        <f>[17]Sales_SP!HZ127+[17]Sales_SP!HZ128</f>
        <v>14.2138277331158</v>
      </c>
      <c r="P625" s="787">
        <f>[17]Sales_SP!IA127+[17]Sales_SP!IA128</f>
        <v>15.5161702591189</v>
      </c>
      <c r="Q625" s="866">
        <f t="shared" si="143"/>
        <v>175.451215969936</v>
      </c>
      <c r="R625" s="863"/>
      <c r="S625" s="863"/>
    </row>
    <row r="626" ht="15" hidden="1" spans="3:19">
      <c r="C626" s="296" t="s">
        <v>205</v>
      </c>
      <c r="D626" s="296" t="s">
        <v>206</v>
      </c>
      <c r="E626" s="787">
        <f>[17]Sales_SP!HP131</f>
        <v>31.3646704935132</v>
      </c>
      <c r="F626" s="787">
        <f>[17]Sales_SP!HQ131</f>
        <v>35.9870291070812</v>
      </c>
      <c r="G626" s="787">
        <f>[17]Sales_SP!HR131</f>
        <v>36.0126559829571</v>
      </c>
      <c r="H626" s="787">
        <f>[17]Sales_SP!HS131</f>
        <v>27.6941326252878</v>
      </c>
      <c r="I626" s="787">
        <f>[17]Sales_SP!HT131</f>
        <v>28.8624825098494</v>
      </c>
      <c r="J626" s="787">
        <f>[17]Sales_SP!HU131</f>
        <v>27.4073447487501</v>
      </c>
      <c r="K626" s="787">
        <f>[17]Sales_SP!HV131</f>
        <v>27.6698735077231</v>
      </c>
      <c r="L626" s="787">
        <f>[17]Sales_SP!HW131</f>
        <v>26.163334823431</v>
      </c>
      <c r="M626" s="787">
        <f>[17]Sales_SP!HX131</f>
        <v>25.140123674357</v>
      </c>
      <c r="N626" s="787">
        <f>[17]Sales_SP!HY131</f>
        <v>25.7564879516223</v>
      </c>
      <c r="O626" s="787">
        <f>[17]Sales_SP!HZ131</f>
        <v>27.1578742661531</v>
      </c>
      <c r="P626" s="787">
        <f>[17]Sales_SP!IA131</f>
        <v>37.3135202422959</v>
      </c>
      <c r="Q626" s="866">
        <f t="shared" si="143"/>
        <v>356.529529933021</v>
      </c>
      <c r="R626" s="863"/>
      <c r="S626" s="863"/>
    </row>
    <row r="627" ht="15" hidden="1" spans="3:19">
      <c r="C627" s="296" t="s">
        <v>207</v>
      </c>
      <c r="D627" s="296" t="s">
        <v>186</v>
      </c>
      <c r="E627" s="787">
        <f>[17]Sales_SP!HP132</f>
        <v>24.7644260246083</v>
      </c>
      <c r="F627" s="787">
        <f>[17]Sales_SP!HQ132</f>
        <v>27.0526391344216</v>
      </c>
      <c r="G627" s="787">
        <f>[17]Sales_SP!HR132</f>
        <v>26.8752280318226</v>
      </c>
      <c r="H627" s="787">
        <f>[17]Sales_SP!HS132</f>
        <v>25.3061007337276</v>
      </c>
      <c r="I627" s="787">
        <f>[17]Sales_SP!HT132</f>
        <v>28.6139095032132</v>
      </c>
      <c r="J627" s="787">
        <f>[17]Sales_SP!HU132</f>
        <v>27.8524795553715</v>
      </c>
      <c r="K627" s="787">
        <f>[17]Sales_SP!HV132</f>
        <v>28.9682703717023</v>
      </c>
      <c r="L627" s="787">
        <f>[17]Sales_SP!HW132</f>
        <v>27.8291807790504</v>
      </c>
      <c r="M627" s="787">
        <f>[17]Sales_SP!HX132</f>
        <v>28.8090470252804</v>
      </c>
      <c r="N627" s="787">
        <f>[17]Sales_SP!HY132</f>
        <v>27.9053073285951</v>
      </c>
      <c r="O627" s="787">
        <f>[17]Sales_SP!HZ132</f>
        <v>28.2522561069057</v>
      </c>
      <c r="P627" s="787">
        <f>[17]Sales_SP!IA132</f>
        <v>31.6766185572268</v>
      </c>
      <c r="Q627" s="866">
        <f t="shared" si="143"/>
        <v>333.905463151925</v>
      </c>
      <c r="R627" s="863"/>
      <c r="S627" s="863"/>
    </row>
    <row r="628" ht="15" hidden="1" spans="3:19">
      <c r="C628" s="296" t="s">
        <v>208</v>
      </c>
      <c r="D628" s="296" t="s">
        <v>209</v>
      </c>
      <c r="E628" s="787">
        <f>[17]Sales_SP!HP133</f>
        <v>0</v>
      </c>
      <c r="F628" s="787">
        <f>[17]Sales_SP!HQ133</f>
        <v>0</v>
      </c>
      <c r="G628" s="787">
        <f>[17]Sales_SP!HR133</f>
        <v>0</v>
      </c>
      <c r="H628" s="787">
        <f>[17]Sales_SP!HS133</f>
        <v>0</v>
      </c>
      <c r="I628" s="787">
        <f>[17]Sales_SP!HT133</f>
        <v>0</v>
      </c>
      <c r="J628" s="787">
        <f>[17]Sales_SP!HU133</f>
        <v>0</v>
      </c>
      <c r="K628" s="787">
        <f>[17]Sales_SP!HV133</f>
        <v>0</v>
      </c>
      <c r="L628" s="787">
        <f>[17]Sales_SP!HW133</f>
        <v>0</v>
      </c>
      <c r="M628" s="787">
        <f>[17]Sales_SP!HX133</f>
        <v>0</v>
      </c>
      <c r="N628" s="787">
        <f>[17]Sales_SP!HY133</f>
        <v>0</v>
      </c>
      <c r="O628" s="787">
        <f>[17]Sales_SP!HZ133</f>
        <v>0</v>
      </c>
      <c r="P628" s="787">
        <f>[17]Sales_SP!IA133</f>
        <v>0</v>
      </c>
      <c r="Q628" s="866">
        <f t="shared" si="143"/>
        <v>0</v>
      </c>
      <c r="R628" s="863"/>
      <c r="S628" s="863"/>
    </row>
    <row r="629" ht="15" hidden="1" spans="3:19">
      <c r="C629" s="296" t="s">
        <v>210</v>
      </c>
      <c r="D629" s="296" t="s">
        <v>188</v>
      </c>
      <c r="E629" s="787">
        <f>[17]Sales_SP!HP134</f>
        <v>0.799387952</v>
      </c>
      <c r="F629" s="787">
        <f>[17]Sales_SP!HQ134</f>
        <v>0.990218746</v>
      </c>
      <c r="G629" s="787">
        <f>[17]Sales_SP!HR134</f>
        <v>1.070318326</v>
      </c>
      <c r="H629" s="787">
        <f>[17]Sales_SP!HS134</f>
        <v>1.005195158</v>
      </c>
      <c r="I629" s="787">
        <f>[17]Sales_SP!HT134</f>
        <v>1.063861645</v>
      </c>
      <c r="J629" s="787">
        <f>[17]Sales_SP!HU134</f>
        <v>1.235012273</v>
      </c>
      <c r="K629" s="787">
        <f>[17]Sales_SP!HV134</f>
        <v>1.494292404</v>
      </c>
      <c r="L629" s="787">
        <f>[17]Sales_SP!HW134</f>
        <v>1.478050211</v>
      </c>
      <c r="M629" s="787">
        <f>[17]Sales_SP!HX134</f>
        <v>1.530160192</v>
      </c>
      <c r="N629" s="787">
        <f>[17]Sales_SP!HY134</f>
        <v>1.630274019</v>
      </c>
      <c r="O629" s="787">
        <f>[17]Sales_SP!HZ134</f>
        <v>1.702141364</v>
      </c>
      <c r="P629" s="787">
        <f>[17]Sales_SP!IA134</f>
        <v>2.001982389</v>
      </c>
      <c r="Q629" s="866">
        <f t="shared" si="143"/>
        <v>16.000894679</v>
      </c>
      <c r="R629" s="863"/>
      <c r="S629" s="863"/>
    </row>
    <row r="630" ht="15" hidden="1" spans="3:19">
      <c r="C630" s="296"/>
      <c r="D630" s="296"/>
      <c r="E630" s="787"/>
      <c r="F630" s="787"/>
      <c r="G630" s="787"/>
      <c r="H630" s="787"/>
      <c r="I630" s="787"/>
      <c r="J630" s="787"/>
      <c r="K630" s="787"/>
      <c r="L630" s="787"/>
      <c r="M630" s="787"/>
      <c r="N630" s="787"/>
      <c r="O630" s="787"/>
      <c r="P630" s="787"/>
      <c r="Q630" s="866">
        <f t="shared" si="143"/>
        <v>0</v>
      </c>
      <c r="R630" s="863"/>
      <c r="S630" s="863"/>
    </row>
    <row r="631" ht="15" hidden="1" spans="3:19">
      <c r="C631" s="296"/>
      <c r="D631" s="296"/>
      <c r="E631" s="787"/>
      <c r="F631" s="787"/>
      <c r="G631" s="787"/>
      <c r="H631" s="787"/>
      <c r="I631" s="787"/>
      <c r="J631" s="787"/>
      <c r="K631" s="787"/>
      <c r="L631" s="787"/>
      <c r="M631" s="787"/>
      <c r="N631" s="787"/>
      <c r="O631" s="787"/>
      <c r="P631" s="787"/>
      <c r="Q631" s="866">
        <f t="shared" si="143"/>
        <v>0</v>
      </c>
      <c r="R631" s="863"/>
      <c r="S631" s="863"/>
    </row>
    <row r="632" ht="15" hidden="1" spans="3:19">
      <c r="C632" s="296"/>
      <c r="D632" s="296"/>
      <c r="E632" s="787"/>
      <c r="F632" s="787"/>
      <c r="G632" s="787"/>
      <c r="H632" s="787"/>
      <c r="I632" s="787"/>
      <c r="J632" s="787"/>
      <c r="K632" s="787"/>
      <c r="L632" s="787"/>
      <c r="M632" s="787"/>
      <c r="N632" s="787"/>
      <c r="O632" s="787"/>
      <c r="P632" s="787"/>
      <c r="Q632" s="866">
        <f t="shared" si="143"/>
        <v>0</v>
      </c>
      <c r="R632" s="863"/>
      <c r="S632" s="863"/>
    </row>
    <row r="633" ht="15" hidden="1" spans="3:19">
      <c r="C633" s="296" t="s">
        <v>258</v>
      </c>
      <c r="D633" s="296" t="s">
        <v>258</v>
      </c>
      <c r="E633" s="787"/>
      <c r="F633" s="787"/>
      <c r="G633" s="787"/>
      <c r="H633" s="787"/>
      <c r="I633" s="787"/>
      <c r="J633" s="787"/>
      <c r="K633" s="787"/>
      <c r="L633" s="787"/>
      <c r="M633" s="787"/>
      <c r="N633" s="787"/>
      <c r="O633" s="787"/>
      <c r="P633" s="787"/>
      <c r="Q633" s="866">
        <f t="shared" si="143"/>
        <v>0</v>
      </c>
      <c r="R633" s="863"/>
      <c r="S633" s="863"/>
    </row>
    <row r="634" ht="15" hidden="1" spans="3:19">
      <c r="C634" s="285" t="s">
        <v>211</v>
      </c>
      <c r="D634" s="286"/>
      <c r="E634" s="866">
        <f t="shared" ref="E634:P634" si="144">SUM(E619:E633)</f>
        <v>796.075684364587</v>
      </c>
      <c r="F634" s="866">
        <f t="shared" si="144"/>
        <v>843.882289976882</v>
      </c>
      <c r="G634" s="866">
        <f t="shared" si="144"/>
        <v>831.781934973785</v>
      </c>
      <c r="H634" s="866">
        <f t="shared" si="144"/>
        <v>761.904924711557</v>
      </c>
      <c r="I634" s="866">
        <f t="shared" si="144"/>
        <v>805.95484997383</v>
      </c>
      <c r="J634" s="866">
        <f t="shared" si="144"/>
        <v>756.940241891133</v>
      </c>
      <c r="K634" s="866">
        <f t="shared" si="144"/>
        <v>781.731373847768</v>
      </c>
      <c r="L634" s="866">
        <f t="shared" si="144"/>
        <v>762.854773274849</v>
      </c>
      <c r="M634" s="866">
        <f t="shared" si="144"/>
        <v>766.493546667944</v>
      </c>
      <c r="N634" s="866">
        <f t="shared" si="144"/>
        <v>754.571356352306</v>
      </c>
      <c r="O634" s="866">
        <f t="shared" si="144"/>
        <v>772.345696422498</v>
      </c>
      <c r="P634" s="866">
        <f t="shared" si="144"/>
        <v>855.437887102203</v>
      </c>
      <c r="Q634" s="866">
        <f t="shared" si="143"/>
        <v>9489.97455955934</v>
      </c>
      <c r="R634" s="863"/>
      <c r="S634" s="863"/>
    </row>
    <row r="635" ht="15" hidden="1" spans="3:19">
      <c r="C635" s="285" t="s">
        <v>212</v>
      </c>
      <c r="D635" s="286"/>
      <c r="E635" s="787"/>
      <c r="F635" s="787"/>
      <c r="G635" s="787"/>
      <c r="H635" s="787"/>
      <c r="I635" s="787"/>
      <c r="J635" s="787"/>
      <c r="K635" s="787"/>
      <c r="L635" s="787"/>
      <c r="M635" s="787"/>
      <c r="N635" s="787"/>
      <c r="O635" s="787"/>
      <c r="P635" s="787"/>
      <c r="Q635" s="866"/>
      <c r="R635" s="863"/>
      <c r="S635" s="863"/>
    </row>
    <row r="636" ht="15" hidden="1" spans="3:19">
      <c r="C636" s="296" t="s">
        <v>191</v>
      </c>
      <c r="D636" s="296" t="s">
        <v>192</v>
      </c>
      <c r="E636" s="787">
        <f>[17]Sales_SP!HP152</f>
        <v>690.583100550679</v>
      </c>
      <c r="F636" s="787">
        <f>[17]Sales_SP!HQ152</f>
        <v>736.648159343549</v>
      </c>
      <c r="G636" s="787">
        <f>[17]Sales_SP!HR152</f>
        <v>718.094581151208</v>
      </c>
      <c r="H636" s="787">
        <f>[17]Sales_SP!HS152</f>
        <v>717.572041976097</v>
      </c>
      <c r="I636" s="787">
        <f>[17]Sales_SP!HT152</f>
        <v>735.374392129313</v>
      </c>
      <c r="J636" s="787">
        <f>[17]Sales_SP!HU152</f>
        <v>716.682337407633</v>
      </c>
      <c r="K636" s="787">
        <f>[17]Sales_SP!HV152</f>
        <v>733.4768741528</v>
      </c>
      <c r="L636" s="787">
        <f>[17]Sales_SP!HW152</f>
        <v>736.232871251056</v>
      </c>
      <c r="M636" s="787">
        <f>[17]Sales_SP!HX152</f>
        <v>751.065078324265</v>
      </c>
      <c r="N636" s="787">
        <f>[17]Sales_SP!HY152</f>
        <v>747.717619765383</v>
      </c>
      <c r="O636" s="787">
        <f>[17]Sales_SP!HZ152</f>
        <v>727.981075579009</v>
      </c>
      <c r="P636" s="787">
        <f>[17]Sales_SP!IA152</f>
        <v>813.251409292149</v>
      </c>
      <c r="Q636" s="866">
        <f t="shared" ref="Q636:Q651" si="145">SUM(E636:P636)</f>
        <v>8824.67954092314</v>
      </c>
      <c r="R636" s="863"/>
      <c r="S636" s="863"/>
    </row>
    <row r="637" ht="15" hidden="1" spans="3:19">
      <c r="C637" s="296" t="s">
        <v>193</v>
      </c>
      <c r="D637" s="296" t="s">
        <v>194</v>
      </c>
      <c r="E637" s="787">
        <f>[17]Sales_SP!HP168</f>
        <v>0</v>
      </c>
      <c r="F637" s="787">
        <f>[17]Sales_SP!HQ168</f>
        <v>0</v>
      </c>
      <c r="G637" s="787">
        <f>[17]Sales_SP!HR168</f>
        <v>0</v>
      </c>
      <c r="H637" s="787">
        <f>[17]Sales_SP!HS168</f>
        <v>0</v>
      </c>
      <c r="I637" s="787">
        <f>[17]Sales_SP!HT168</f>
        <v>0</v>
      </c>
      <c r="J637" s="787">
        <f>[17]Sales_SP!HU168</f>
        <v>0</v>
      </c>
      <c r="K637" s="787">
        <f>[17]Sales_SP!HV168</f>
        <v>0</v>
      </c>
      <c r="L637" s="787">
        <f>[17]Sales_SP!HW168</f>
        <v>0</v>
      </c>
      <c r="M637" s="787">
        <f>[17]Sales_SP!HX168</f>
        <v>0</v>
      </c>
      <c r="N637" s="787">
        <f>[17]Sales_SP!HY168</f>
        <v>0</v>
      </c>
      <c r="O637" s="787">
        <f>[17]Sales_SP!HZ168</f>
        <v>0</v>
      </c>
      <c r="P637" s="787">
        <f>[17]Sales_SP!IA168</f>
        <v>0</v>
      </c>
      <c r="Q637" s="866">
        <f t="shared" si="145"/>
        <v>0</v>
      </c>
      <c r="R637" s="863"/>
      <c r="S637" s="863"/>
    </row>
    <row r="638" ht="15" hidden="1" spans="3:19">
      <c r="C638" s="296" t="s">
        <v>239</v>
      </c>
      <c r="D638" s="296" t="s">
        <v>196</v>
      </c>
      <c r="E638" s="787">
        <f>[17]Sales_SP!HP174</f>
        <v>231.320118513961</v>
      </c>
      <c r="F638" s="787">
        <f>[17]Sales_SP!HQ174</f>
        <v>250.12063879428</v>
      </c>
      <c r="G638" s="787">
        <f>[17]Sales_SP!HR174</f>
        <v>251.56979130811</v>
      </c>
      <c r="H638" s="787">
        <f>[17]Sales_SP!HS174</f>
        <v>233.445181346415</v>
      </c>
      <c r="I638" s="787">
        <f>[17]Sales_SP!HT174</f>
        <v>234.55860836312</v>
      </c>
      <c r="J638" s="787">
        <f>[17]Sales_SP!HU174</f>
        <v>219.885443944965</v>
      </c>
      <c r="K638" s="787">
        <f>[17]Sales_SP!HV174</f>
        <v>215.855493603159</v>
      </c>
      <c r="L638" s="787">
        <f>[17]Sales_SP!HW174</f>
        <v>215.855493603159</v>
      </c>
      <c r="M638" s="787">
        <f>[17]Sales_SP!HX174</f>
        <v>202.128149568754</v>
      </c>
      <c r="N638" s="787">
        <f>[17]Sales_SP!HY174</f>
        <v>204.106276597198</v>
      </c>
      <c r="O638" s="787">
        <f>[17]Sales_SP!HZ174</f>
        <v>208.625118706989</v>
      </c>
      <c r="P638" s="787">
        <f>[17]Sales_SP!IA174</f>
        <v>245.111646005241</v>
      </c>
      <c r="Q638" s="866">
        <f t="shared" si="145"/>
        <v>2712.58196035535</v>
      </c>
      <c r="R638" s="863"/>
      <c r="S638" s="863"/>
    </row>
    <row r="639" ht="15" hidden="1" spans="3:19">
      <c r="C639" s="296" t="s">
        <v>197</v>
      </c>
      <c r="D639" s="296" t="s">
        <v>198</v>
      </c>
      <c r="E639" s="787">
        <f>[17]Sales_SP!HP180</f>
        <v>0</v>
      </c>
      <c r="F639" s="787">
        <f>[17]Sales_SP!HQ180</f>
        <v>0.4530296952</v>
      </c>
      <c r="G639" s="787">
        <f>[17]Sales_SP!HR180</f>
        <v>0.4392870516</v>
      </c>
      <c r="H639" s="787">
        <f>[17]Sales_SP!HS180</f>
        <v>0.3686105988</v>
      </c>
      <c r="I639" s="787">
        <f>[17]Sales_SP!HT180</f>
        <v>0.3911082084</v>
      </c>
      <c r="J639" s="787">
        <f>[17]Sales_SP!HU180</f>
        <v>0.35596099944</v>
      </c>
      <c r="K639" s="787">
        <f>[17]Sales_SP!HV180</f>
        <v>0.36905630616</v>
      </c>
      <c r="L639" s="787">
        <f>[17]Sales_SP!HW180</f>
        <v>0.3113584272</v>
      </c>
      <c r="M639" s="787">
        <f>[17]Sales_SP!HX180</f>
        <v>0.3234561984</v>
      </c>
      <c r="N639" s="787">
        <f>[17]Sales_SP!HY180</f>
        <v>0.2841915024</v>
      </c>
      <c r="O639" s="787">
        <f>[17]Sales_SP!HZ180</f>
        <v>0.3200603328</v>
      </c>
      <c r="P639" s="787">
        <f>[17]Sales_SP!IA180</f>
        <v>0.4376421792</v>
      </c>
      <c r="Q639" s="866">
        <f t="shared" si="145"/>
        <v>4.0537614996</v>
      </c>
      <c r="R639" s="863"/>
      <c r="S639" s="863"/>
    </row>
    <row r="640" ht="15" hidden="1" spans="3:19">
      <c r="C640" s="296" t="s">
        <v>199</v>
      </c>
      <c r="D640" s="296" t="s">
        <v>200</v>
      </c>
      <c r="E640" s="787">
        <f>[17]Sales_SP!HP185</f>
        <v>0</v>
      </c>
      <c r="F640" s="787">
        <f>[17]Sales_SP!HQ185</f>
        <v>0</v>
      </c>
      <c r="G640" s="787">
        <f>[17]Sales_SP!HR185</f>
        <v>0</v>
      </c>
      <c r="H640" s="787">
        <f>[17]Sales_SP!HS185</f>
        <v>0</v>
      </c>
      <c r="I640" s="787">
        <f>[17]Sales_SP!HT185</f>
        <v>0</v>
      </c>
      <c r="J640" s="787">
        <f>[17]Sales_SP!HU185</f>
        <v>0</v>
      </c>
      <c r="K640" s="787">
        <f>[17]Sales_SP!HV185</f>
        <v>0</v>
      </c>
      <c r="L640" s="787">
        <f>[17]Sales_SP!HW185</f>
        <v>0</v>
      </c>
      <c r="M640" s="787">
        <f>[17]Sales_SP!HX185</f>
        <v>0</v>
      </c>
      <c r="N640" s="787">
        <f>[17]Sales_SP!HY185</f>
        <v>0</v>
      </c>
      <c r="O640" s="787">
        <f>[17]Sales_SP!HZ185</f>
        <v>0</v>
      </c>
      <c r="P640" s="787">
        <f>[17]Sales_SP!IA185</f>
        <v>0</v>
      </c>
      <c r="Q640" s="866">
        <f t="shared" si="145"/>
        <v>0</v>
      </c>
      <c r="R640" s="863"/>
      <c r="S640" s="863"/>
    </row>
    <row r="641" ht="15" hidden="1" spans="3:19">
      <c r="C641" s="296" t="s">
        <v>201</v>
      </c>
      <c r="D641" s="296" t="s">
        <v>202</v>
      </c>
      <c r="E641" s="787">
        <f>[17]Sales_SP!HP191</f>
        <v>2.01142254913661</v>
      </c>
      <c r="F641" s="787">
        <f>[17]Sales_SP!HQ191</f>
        <v>3.21803943703238</v>
      </c>
      <c r="G641" s="787">
        <f>[17]Sales_SP!HR191</f>
        <v>3.02304212997468</v>
      </c>
      <c r="H641" s="787">
        <f>[17]Sales_SP!HS191</f>
        <v>3.42309787819606</v>
      </c>
      <c r="I641" s="787">
        <f>[17]Sales_SP!HT191</f>
        <v>5.79246015991905</v>
      </c>
      <c r="J641" s="787">
        <f>[17]Sales_SP!HU191</f>
        <v>5.4592363263355</v>
      </c>
      <c r="K641" s="787">
        <f>[17]Sales_SP!HV191</f>
        <v>7.24772084779575</v>
      </c>
      <c r="L641" s="787">
        <f>[17]Sales_SP!HW191</f>
        <v>7.07616343118786</v>
      </c>
      <c r="M641" s="787">
        <f>[17]Sales_SP!HX191</f>
        <v>5.81249736089413</v>
      </c>
      <c r="N641" s="787">
        <f>[17]Sales_SP!HY191</f>
        <v>7.30859032246762</v>
      </c>
      <c r="O641" s="787">
        <f>[17]Sales_SP!HZ191</f>
        <v>7.49597024513302</v>
      </c>
      <c r="P641" s="787">
        <f>[17]Sales_SP!IA191</f>
        <v>9.29318575845004</v>
      </c>
      <c r="Q641" s="866">
        <f t="shared" si="145"/>
        <v>67.1614264465227</v>
      </c>
      <c r="R641" s="863"/>
      <c r="S641" s="863"/>
    </row>
    <row r="642" ht="15" hidden="1" spans="3:19">
      <c r="C642" s="296" t="s">
        <v>203</v>
      </c>
      <c r="D642" s="296" t="s">
        <v>204</v>
      </c>
      <c r="E642" s="787">
        <f>[17]Sales_SP!HP192+[17]Sales_SP!HP193</f>
        <v>24.9810146351628</v>
      </c>
      <c r="F642" s="787">
        <f>[17]Sales_SP!HQ192+[17]Sales_SP!HQ193</f>
        <v>25.9006519527984</v>
      </c>
      <c r="G642" s="787">
        <f>[17]Sales_SP!HR192+[17]Sales_SP!HR193</f>
        <v>24.570683844775</v>
      </c>
      <c r="H642" s="787">
        <f>[17]Sales_SP!HS192+[17]Sales_SP!HS193</f>
        <v>24.7311951272336</v>
      </c>
      <c r="I642" s="787">
        <f>[17]Sales_SP!HT192+[17]Sales_SP!HT193</f>
        <v>26.822033093691</v>
      </c>
      <c r="J642" s="787">
        <f>[17]Sales_SP!HU192+[17]Sales_SP!HU193</f>
        <v>25.1982399448813</v>
      </c>
      <c r="K642" s="787">
        <f>[17]Sales_SP!HV192+[17]Sales_SP!HV193</f>
        <v>24.8165017372302</v>
      </c>
      <c r="L642" s="787">
        <f>[17]Sales_SP!HW192+[17]Sales_SP!HW193</f>
        <v>26.2993694921624</v>
      </c>
      <c r="M642" s="787">
        <f>[17]Sales_SP!HX192+[17]Sales_SP!HX193</f>
        <v>25.5366334369095</v>
      </c>
      <c r="N642" s="787">
        <f>[17]Sales_SP!HY192+[17]Sales_SP!HY193</f>
        <v>26.9663849473015</v>
      </c>
      <c r="O642" s="787">
        <f>[17]Sales_SP!HZ192+[17]Sales_SP!HZ193</f>
        <v>25.9350817544374</v>
      </c>
      <c r="P642" s="787">
        <f>[17]Sales_SP!IA192+[17]Sales_SP!IA193</f>
        <v>28.6779015839552</v>
      </c>
      <c r="Q642" s="866">
        <f t="shared" si="145"/>
        <v>310.435691550538</v>
      </c>
      <c r="R642" s="863"/>
      <c r="S642" s="863"/>
    </row>
    <row r="643" ht="15" hidden="1" spans="3:19">
      <c r="C643" s="296" t="s">
        <v>213</v>
      </c>
      <c r="D643" s="296" t="s">
        <v>229</v>
      </c>
      <c r="E643" s="787">
        <f>[17]Sales_SP!HP194</f>
        <v>1.028943405</v>
      </c>
      <c r="F643" s="787">
        <f>[17]Sales_SP!HQ194</f>
        <v>1.811260591875</v>
      </c>
      <c r="G643" s="787">
        <f>[17]Sales_SP!HR194</f>
        <v>1.70438286375</v>
      </c>
      <c r="H643" s="787">
        <f>[17]Sales_SP!HS194</f>
        <v>2.009075551875</v>
      </c>
      <c r="I643" s="787">
        <f>[17]Sales_SP!HT194</f>
        <v>2.1125498625</v>
      </c>
      <c r="J643" s="787">
        <f>[17]Sales_SP!HU194</f>
        <v>1.9437681375</v>
      </c>
      <c r="K643" s="787">
        <f>[17]Sales_SP!HV194</f>
        <v>0</v>
      </c>
      <c r="L643" s="787">
        <f>[17]Sales_SP!HW194</f>
        <v>0</v>
      </c>
      <c r="M643" s="787">
        <f>[17]Sales_SP!HX194</f>
        <v>0</v>
      </c>
      <c r="N643" s="787">
        <f>[17]Sales_SP!HY194</f>
        <v>0</v>
      </c>
      <c r="O643" s="787">
        <f>[17]Sales_SP!HZ194</f>
        <v>0</v>
      </c>
      <c r="P643" s="787">
        <f>[17]Sales_SP!IA194</f>
        <v>0</v>
      </c>
      <c r="Q643" s="866">
        <f t="shared" si="145"/>
        <v>10.6099804125</v>
      </c>
      <c r="R643" s="863"/>
      <c r="S643" s="863"/>
    </row>
    <row r="644" ht="15" hidden="1" spans="3:19">
      <c r="C644" s="296" t="s">
        <v>205</v>
      </c>
      <c r="D644" s="296" t="s">
        <v>206</v>
      </c>
      <c r="E644" s="787">
        <f>[17]Sales_SP!HP196</f>
        <v>20.3157064205419</v>
      </c>
      <c r="F644" s="787">
        <f>[17]Sales_SP!HQ196</f>
        <v>22.426249628716</v>
      </c>
      <c r="G644" s="787">
        <f>[17]Sales_SP!HR196</f>
        <v>23.1315370340467</v>
      </c>
      <c r="H644" s="787">
        <f>[17]Sales_SP!HS196</f>
        <v>16.9959971539696</v>
      </c>
      <c r="I644" s="787">
        <f>[17]Sales_SP!HT196</f>
        <v>17.5116278425357</v>
      </c>
      <c r="J644" s="787">
        <f>[17]Sales_SP!HU196</f>
        <v>15.9947682267159</v>
      </c>
      <c r="K644" s="787">
        <f>[17]Sales_SP!HV196</f>
        <v>17.0240129259513</v>
      </c>
      <c r="L644" s="787">
        <f>[17]Sales_SP!HW196</f>
        <v>15.7799085983933</v>
      </c>
      <c r="M644" s="787">
        <f>[17]Sales_SP!HX196</f>
        <v>15.2835881171758</v>
      </c>
      <c r="N644" s="787">
        <f>[17]Sales_SP!HY196</f>
        <v>15.308249116076</v>
      </c>
      <c r="O644" s="787">
        <f>[17]Sales_SP!HZ196</f>
        <v>17.1989124552053</v>
      </c>
      <c r="P644" s="787">
        <f>[17]Sales_SP!IA196</f>
        <v>22.3877658840731</v>
      </c>
      <c r="Q644" s="866">
        <f t="shared" si="145"/>
        <v>219.358323403401</v>
      </c>
      <c r="R644" s="863"/>
      <c r="S644" s="863"/>
    </row>
    <row r="645" ht="15" hidden="1" spans="3:19">
      <c r="C645" s="296" t="s">
        <v>218</v>
      </c>
      <c r="D645" s="296" t="s">
        <v>186</v>
      </c>
      <c r="E645" s="787">
        <f>[17]Sales_SP!HP197</f>
        <v>4.83490069063898</v>
      </c>
      <c r="F645" s="787">
        <f>[17]Sales_SP!HQ197</f>
        <v>4.82440619636114</v>
      </c>
      <c r="G645" s="787">
        <f>[17]Sales_SP!HR197</f>
        <v>4.74779039888444</v>
      </c>
      <c r="H645" s="787">
        <f>[17]Sales_SP!HS197</f>
        <v>5.1064665260797</v>
      </c>
      <c r="I645" s="787">
        <f>[17]Sales_SP!HT197</f>
        <v>5.46236763481341</v>
      </c>
      <c r="J645" s="787">
        <f>[17]Sales_SP!HU197</f>
        <v>5.44370779844368</v>
      </c>
      <c r="K645" s="787">
        <f>[17]Sales_SP!HV197</f>
        <v>6.05491726036018</v>
      </c>
      <c r="L645" s="787">
        <f>[17]Sales_SP!HW197</f>
        <v>3.4250914913655</v>
      </c>
      <c r="M645" s="787">
        <f>[17]Sales_SP!HX197</f>
        <v>3.30344719288591</v>
      </c>
      <c r="N645" s="787">
        <f>[17]Sales_SP!HY197</f>
        <v>3.26719893015199</v>
      </c>
      <c r="O645" s="787">
        <f>[17]Sales_SP!HZ197</f>
        <v>3.48878781440275</v>
      </c>
      <c r="P645" s="787">
        <f>[17]Sales_SP!IA197</f>
        <v>3.56142408900174</v>
      </c>
      <c r="Q645" s="866">
        <f t="shared" si="145"/>
        <v>53.5205060233894</v>
      </c>
      <c r="R645" s="863"/>
      <c r="S645" s="863"/>
    </row>
    <row r="646" ht="15" hidden="1" spans="3:19">
      <c r="C646" s="296" t="s">
        <v>208</v>
      </c>
      <c r="D646" s="296" t="s">
        <v>209</v>
      </c>
      <c r="E646" s="787">
        <f>[17]Sales_SP!HP198</f>
        <v>0</v>
      </c>
      <c r="F646" s="787">
        <f>[17]Sales_SP!HQ198</f>
        <v>0</v>
      </c>
      <c r="G646" s="787">
        <f>[17]Sales_SP!HR198</f>
        <v>0</v>
      </c>
      <c r="H646" s="787">
        <f>[17]Sales_SP!HS198</f>
        <v>0</v>
      </c>
      <c r="I646" s="787">
        <f>[17]Sales_SP!HT198</f>
        <v>0</v>
      </c>
      <c r="J646" s="787">
        <f>[17]Sales_SP!HU198</f>
        <v>0</v>
      </c>
      <c r="K646" s="787">
        <f>[17]Sales_SP!HV198</f>
        <v>0</v>
      </c>
      <c r="L646" s="787">
        <f>[17]Sales_SP!HW198</f>
        <v>0</v>
      </c>
      <c r="M646" s="787">
        <f>[17]Sales_SP!HX198</f>
        <v>0</v>
      </c>
      <c r="N646" s="787">
        <f>[17]Sales_SP!HY198</f>
        <v>0</v>
      </c>
      <c r="O646" s="787">
        <f>[17]Sales_SP!HZ198</f>
        <v>0</v>
      </c>
      <c r="P646" s="787">
        <f>[17]Sales_SP!IA198</f>
        <v>0</v>
      </c>
      <c r="Q646" s="866">
        <f t="shared" si="145"/>
        <v>0</v>
      </c>
      <c r="R646" s="863"/>
      <c r="S646" s="863"/>
    </row>
    <row r="647" ht="15" hidden="1" spans="3:19">
      <c r="C647" s="296" t="s">
        <v>210</v>
      </c>
      <c r="D647" s="296" t="s">
        <v>188</v>
      </c>
      <c r="E647" s="787">
        <v>0</v>
      </c>
      <c r="F647" s="787">
        <v>0</v>
      </c>
      <c r="G647" s="787">
        <v>0</v>
      </c>
      <c r="H647" s="787">
        <v>0</v>
      </c>
      <c r="I647" s="787">
        <v>0</v>
      </c>
      <c r="J647" s="787">
        <v>0</v>
      </c>
      <c r="K647" s="787">
        <v>0</v>
      </c>
      <c r="L647" s="787">
        <v>0</v>
      </c>
      <c r="M647" s="787">
        <v>0</v>
      </c>
      <c r="N647" s="787">
        <v>0</v>
      </c>
      <c r="O647" s="787">
        <v>0</v>
      </c>
      <c r="P647" s="787">
        <v>0</v>
      </c>
      <c r="Q647" s="866">
        <f t="shared" si="145"/>
        <v>0</v>
      </c>
      <c r="R647" s="863"/>
      <c r="S647" s="863"/>
    </row>
    <row r="648" ht="15" hidden="1" spans="3:19">
      <c r="C648" s="296"/>
      <c r="D648" s="296"/>
      <c r="E648" s="787"/>
      <c r="F648" s="787"/>
      <c r="G648" s="787"/>
      <c r="H648" s="787"/>
      <c r="I648" s="787"/>
      <c r="J648" s="787"/>
      <c r="K648" s="787"/>
      <c r="L648" s="787"/>
      <c r="M648" s="787"/>
      <c r="N648" s="787"/>
      <c r="O648" s="787"/>
      <c r="P648" s="787"/>
      <c r="Q648" s="866">
        <f t="shared" si="145"/>
        <v>0</v>
      </c>
      <c r="R648" s="863"/>
      <c r="S648" s="863"/>
    </row>
    <row r="649" ht="15" hidden="1" spans="3:19">
      <c r="C649" s="296"/>
      <c r="D649" s="296"/>
      <c r="E649" s="787"/>
      <c r="F649" s="787"/>
      <c r="G649" s="787"/>
      <c r="H649" s="787"/>
      <c r="I649" s="787"/>
      <c r="J649" s="787"/>
      <c r="K649" s="787"/>
      <c r="L649" s="787"/>
      <c r="M649" s="787"/>
      <c r="N649" s="787"/>
      <c r="O649" s="787"/>
      <c r="P649" s="787"/>
      <c r="Q649" s="866">
        <f t="shared" si="145"/>
        <v>0</v>
      </c>
      <c r="R649" s="863"/>
      <c r="S649" s="863"/>
    </row>
    <row r="650" ht="15" hidden="1" spans="3:19">
      <c r="C650" s="296" t="s">
        <v>258</v>
      </c>
      <c r="D650" s="296" t="s">
        <v>258</v>
      </c>
      <c r="E650" s="787"/>
      <c r="F650" s="787"/>
      <c r="G650" s="787"/>
      <c r="H650" s="787"/>
      <c r="I650" s="787"/>
      <c r="J650" s="787"/>
      <c r="K650" s="787"/>
      <c r="L650" s="787"/>
      <c r="M650" s="787"/>
      <c r="N650" s="787"/>
      <c r="O650" s="787"/>
      <c r="P650" s="787"/>
      <c r="Q650" s="866">
        <f t="shared" si="145"/>
        <v>0</v>
      </c>
      <c r="R650" s="863"/>
      <c r="S650" s="863"/>
    </row>
    <row r="651" ht="15" hidden="1" spans="3:19">
      <c r="C651" s="285" t="s">
        <v>211</v>
      </c>
      <c r="D651" s="286"/>
      <c r="E651" s="866">
        <f t="shared" ref="E651:P651" si="146">SUM(E636:E650)</f>
        <v>975.07520676512</v>
      </c>
      <c r="F651" s="866">
        <f t="shared" si="146"/>
        <v>1045.40243563981</v>
      </c>
      <c r="G651" s="866">
        <f t="shared" si="146"/>
        <v>1027.28109578235</v>
      </c>
      <c r="H651" s="866">
        <f t="shared" si="146"/>
        <v>1003.65166615867</v>
      </c>
      <c r="I651" s="866">
        <f t="shared" si="146"/>
        <v>1028.02514729429</v>
      </c>
      <c r="J651" s="866">
        <f t="shared" si="146"/>
        <v>990.963462785914</v>
      </c>
      <c r="K651" s="866">
        <f t="shared" si="146"/>
        <v>1004.84457683346</v>
      </c>
      <c r="L651" s="866">
        <f t="shared" si="146"/>
        <v>1004.98025629452</v>
      </c>
      <c r="M651" s="866">
        <f t="shared" si="146"/>
        <v>1003.45285019928</v>
      </c>
      <c r="N651" s="866">
        <f t="shared" si="146"/>
        <v>1004.95851118098</v>
      </c>
      <c r="O651" s="866">
        <f t="shared" si="146"/>
        <v>991.045006887977</v>
      </c>
      <c r="P651" s="866">
        <f t="shared" si="146"/>
        <v>1122.72097479207</v>
      </c>
      <c r="Q651" s="866">
        <f t="shared" si="145"/>
        <v>12202.4011906144</v>
      </c>
      <c r="R651" s="863"/>
      <c r="S651" s="863"/>
    </row>
    <row r="652" ht="15" hidden="1" spans="3:19">
      <c r="C652" s="285" t="s">
        <v>219</v>
      </c>
      <c r="D652" s="286"/>
      <c r="E652" s="787"/>
      <c r="F652" s="787"/>
      <c r="G652" s="787"/>
      <c r="H652" s="787"/>
      <c r="I652" s="787"/>
      <c r="J652" s="787"/>
      <c r="K652" s="787"/>
      <c r="L652" s="787"/>
      <c r="M652" s="787"/>
      <c r="N652" s="787"/>
      <c r="O652" s="787"/>
      <c r="P652" s="787"/>
      <c r="Q652" s="866"/>
      <c r="R652" s="863"/>
      <c r="S652" s="863"/>
    </row>
    <row r="653" ht="15" hidden="1" spans="3:19">
      <c r="C653" s="296" t="s">
        <v>191</v>
      </c>
      <c r="D653" s="296" t="s">
        <v>192</v>
      </c>
      <c r="E653" s="787">
        <f>[17]Sales_SP!HP212</f>
        <v>674.687053025917</v>
      </c>
      <c r="F653" s="787">
        <f>[17]Sales_SP!HQ212</f>
        <v>652.745964493322</v>
      </c>
      <c r="G653" s="787">
        <f>[17]Sales_SP!HR212</f>
        <v>676.196402310947</v>
      </c>
      <c r="H653" s="787">
        <f>[17]Sales_SP!HS212</f>
        <v>653.124955927993</v>
      </c>
      <c r="I653" s="787">
        <f>[17]Sales_SP!HT212</f>
        <v>709.426917620609</v>
      </c>
      <c r="J653" s="787">
        <f>[17]Sales_SP!HU212</f>
        <v>702.691875685169</v>
      </c>
      <c r="K653" s="787">
        <f>[17]Sales_SP!HV212</f>
        <v>769.978394740074</v>
      </c>
      <c r="L653" s="787">
        <f>[17]Sales_SP!HW212</f>
        <v>752.780364874722</v>
      </c>
      <c r="M653" s="787">
        <f>[17]Sales_SP!HX212</f>
        <v>763.127044182503</v>
      </c>
      <c r="N653" s="787">
        <f>[17]Sales_SP!HY212</f>
        <v>754.033858119332</v>
      </c>
      <c r="O653" s="787">
        <f>[17]Sales_SP!HZ212</f>
        <v>692.93935764161</v>
      </c>
      <c r="P653" s="787">
        <f>[17]Sales_SP!IA212</f>
        <v>752.683760300427</v>
      </c>
      <c r="Q653" s="866">
        <f t="shared" ref="Q653:Q665" si="147">SUM(E653:P653)</f>
        <v>8554.41594892262</v>
      </c>
      <c r="R653" s="863"/>
      <c r="S653" s="863"/>
    </row>
    <row r="654" ht="15" hidden="1" spans="3:19">
      <c r="C654" s="296" t="s">
        <v>193</v>
      </c>
      <c r="D654" s="296" t="s">
        <v>194</v>
      </c>
      <c r="E654" s="787">
        <f>[17]Sales_SP!HP222</f>
        <v>15.77478794148</v>
      </c>
      <c r="F654" s="787">
        <f>[17]Sales_SP!HQ222</f>
        <v>17.91792933372</v>
      </c>
      <c r="G654" s="787">
        <f>[17]Sales_SP!HR222</f>
        <v>8.66476332</v>
      </c>
      <c r="H654" s="787">
        <f>[17]Sales_SP!HS222</f>
        <v>9.875071044</v>
      </c>
      <c r="I654" s="787">
        <f>[17]Sales_SP!HT222</f>
        <v>15.77218798188</v>
      </c>
      <c r="J654" s="787">
        <f>[17]Sales_SP!HU222</f>
        <v>13.61145706704</v>
      </c>
      <c r="K654" s="787">
        <f>[17]Sales_SP!HV222</f>
        <v>15.72056021268</v>
      </c>
      <c r="L654" s="787">
        <f>[17]Sales_SP!HW222</f>
        <v>11.117745612</v>
      </c>
      <c r="M654" s="787">
        <f>[17]Sales_SP!HX222</f>
        <v>13.6824731064</v>
      </c>
      <c r="N654" s="787">
        <f>[17]Sales_SP!HY222</f>
        <v>14.7252160872</v>
      </c>
      <c r="O654" s="787">
        <f>[17]Sales_SP!HZ222</f>
        <v>13.2812303616</v>
      </c>
      <c r="P654" s="787">
        <f>[17]Sales_SP!IA222</f>
        <v>12.38429736</v>
      </c>
      <c r="Q654" s="866">
        <f t="shared" si="147"/>
        <v>162.527719428</v>
      </c>
      <c r="R654" s="863"/>
      <c r="S654" s="863"/>
    </row>
    <row r="655" ht="15" hidden="1" spans="3:19">
      <c r="C655" s="296" t="s">
        <v>239</v>
      </c>
      <c r="D655" s="296" t="s">
        <v>196</v>
      </c>
      <c r="E655" s="787">
        <f>[17]Sales_SP!HP228</f>
        <v>9.1419276266242</v>
      </c>
      <c r="F655" s="787">
        <f>[17]Sales_SP!HQ228</f>
        <v>10.8344664822</v>
      </c>
      <c r="G655" s="787">
        <f>[17]Sales_SP!HR228</f>
        <v>11.085967492489</v>
      </c>
      <c r="H655" s="787">
        <f>[17]Sales_SP!HS228</f>
        <v>9.61560337052922</v>
      </c>
      <c r="I655" s="787">
        <f>[17]Sales_SP!HT228</f>
        <v>13.4526823097915</v>
      </c>
      <c r="J655" s="787">
        <f>[17]Sales_SP!HU228</f>
        <v>15.2414757195989</v>
      </c>
      <c r="K655" s="787">
        <f>[17]Sales_SP!HV228</f>
        <v>19.2181582446813</v>
      </c>
      <c r="L655" s="787">
        <f>[17]Sales_SP!HW228</f>
        <v>20.0551995831689</v>
      </c>
      <c r="M655" s="787">
        <f>[17]Sales_SP!HX228</f>
        <v>19.9479107299875</v>
      </c>
      <c r="N655" s="787">
        <f>[17]Sales_SP!HY228</f>
        <v>20.0965453640552</v>
      </c>
      <c r="O655" s="787">
        <f>[17]Sales_SP!HZ228</f>
        <v>23.7615417839815</v>
      </c>
      <c r="P655" s="787">
        <f>[17]Sales_SP!IA228</f>
        <v>33.8795451052057</v>
      </c>
      <c r="Q655" s="866">
        <f t="shared" si="147"/>
        <v>206.331023812313</v>
      </c>
      <c r="R655" s="863"/>
      <c r="S655" s="863"/>
    </row>
    <row r="656" ht="15" hidden="1" spans="3:19">
      <c r="C656" s="296" t="s">
        <v>197</v>
      </c>
      <c r="D656" s="296" t="s">
        <v>198</v>
      </c>
      <c r="E656" s="787">
        <f>[17]Sales_SP!HP233</f>
        <v>0</v>
      </c>
      <c r="F656" s="787">
        <f>[17]Sales_SP!HQ233</f>
        <v>0</v>
      </c>
      <c r="G656" s="787">
        <f>[17]Sales_SP!HR233</f>
        <v>0</v>
      </c>
      <c r="H656" s="787">
        <f>[17]Sales_SP!HS233</f>
        <v>0</v>
      </c>
      <c r="I656" s="787">
        <f>[17]Sales_SP!HT233</f>
        <v>0</v>
      </c>
      <c r="J656" s="787">
        <f>[17]Sales_SP!HU233</f>
        <v>0</v>
      </c>
      <c r="K656" s="787">
        <f>[17]Sales_SP!HV233</f>
        <v>0</v>
      </c>
      <c r="L656" s="787">
        <f>[17]Sales_SP!HW233</f>
        <v>0</v>
      </c>
      <c r="M656" s="787">
        <f>[17]Sales_SP!HX233</f>
        <v>0</v>
      </c>
      <c r="N656" s="787">
        <f>[17]Sales_SP!HY233</f>
        <v>0</v>
      </c>
      <c r="O656" s="787">
        <f>[17]Sales_SP!HZ233</f>
        <v>0</v>
      </c>
      <c r="P656" s="787">
        <f>[17]Sales_SP!IA233</f>
        <v>0</v>
      </c>
      <c r="Q656" s="866">
        <f t="shared" si="147"/>
        <v>0</v>
      </c>
      <c r="R656" s="863"/>
      <c r="S656" s="863"/>
    </row>
    <row r="657" ht="15" hidden="1" spans="3:19">
      <c r="C657" s="296" t="s">
        <v>199</v>
      </c>
      <c r="D657" s="296" t="s">
        <v>200</v>
      </c>
      <c r="E657" s="787">
        <f>[17]Sales_SP!HP238</f>
        <v>7.53787800129833</v>
      </c>
      <c r="F657" s="787">
        <f>[17]Sales_SP!HQ238</f>
        <v>8.91617451793819</v>
      </c>
      <c r="G657" s="787">
        <f>[17]Sales_SP!HR238</f>
        <v>8.57071104105845</v>
      </c>
      <c r="H657" s="787">
        <f>[17]Sales_SP!HS238</f>
        <v>8.21807446453723</v>
      </c>
      <c r="I657" s="787">
        <f>[17]Sales_SP!HT238</f>
        <v>8.44734539080162</v>
      </c>
      <c r="J657" s="787">
        <f>[17]Sales_SP!HU238</f>
        <v>8.44633065963283</v>
      </c>
      <c r="K657" s="787">
        <f>[17]Sales_SP!HV238</f>
        <v>8.07302622528281</v>
      </c>
      <c r="L657" s="787">
        <f>[17]Sales_SP!HW238</f>
        <v>8.2326655989299</v>
      </c>
      <c r="M657" s="787">
        <f>[17]Sales_SP!HX238</f>
        <v>7.32400299621565</v>
      </c>
      <c r="N657" s="787">
        <f>[17]Sales_SP!HY238</f>
        <v>7.34705022368162</v>
      </c>
      <c r="O657" s="787">
        <f>[17]Sales_SP!HZ238</f>
        <v>8.19779150473798</v>
      </c>
      <c r="P657" s="787">
        <f>[17]Sales_SP!IA238</f>
        <v>9.80809988815565</v>
      </c>
      <c r="Q657" s="866">
        <f t="shared" si="147"/>
        <v>99.1191505122703</v>
      </c>
      <c r="R657" s="863"/>
      <c r="S657" s="863"/>
    </row>
    <row r="658" ht="15" hidden="1" spans="3:19">
      <c r="C658" s="296" t="s">
        <v>201</v>
      </c>
      <c r="D658" s="296" t="s">
        <v>240</v>
      </c>
      <c r="E658" s="787">
        <f>[17]Sales_SP!HP244+[17]Sales_SP!HP245</f>
        <v>53.558134091388</v>
      </c>
      <c r="F658" s="787">
        <f>[17]Sales_SP!HQ244+[17]Sales_SP!HQ245</f>
        <v>31.155589262304</v>
      </c>
      <c r="G658" s="787">
        <f>[17]Sales_SP!HR244+[17]Sales_SP!HR245</f>
        <v>52.735137074172</v>
      </c>
      <c r="H658" s="787">
        <f>[17]Sales_SP!HS244+[17]Sales_SP!HS245</f>
        <v>74.717926260048</v>
      </c>
      <c r="I658" s="787">
        <f>[17]Sales_SP!HT244+[17]Sales_SP!HT245</f>
        <v>189.524822711544</v>
      </c>
      <c r="J658" s="787">
        <f>[17]Sales_SP!HU244+[17]Sales_SP!HU245</f>
        <v>251.394216954048</v>
      </c>
      <c r="K658" s="787">
        <f>[17]Sales_SP!HV244+[17]Sales_SP!HV245</f>
        <v>212.460027901632</v>
      </c>
      <c r="L658" s="787">
        <f>[17]Sales_SP!HW244+[17]Sales_SP!HW245</f>
        <v>200.894336696304</v>
      </c>
      <c r="M658" s="787">
        <f>[17]Sales_SP!HX244+[17]Sales_SP!HX245</f>
        <v>59.935155099192</v>
      </c>
      <c r="N658" s="787">
        <f>[17]Sales_SP!HY244+[17]Sales_SP!HY245</f>
        <v>41.49996746526</v>
      </c>
      <c r="O658" s="787">
        <f>[17]Sales_SP!HZ244+[17]Sales_SP!HZ245</f>
        <v>51.782490527724</v>
      </c>
      <c r="P658" s="787">
        <f>[17]Sales_SP!IA244+[17]Sales_SP!IA245</f>
        <v>34.899964589772</v>
      </c>
      <c r="Q658" s="866">
        <f t="shared" si="147"/>
        <v>1254.55776863339</v>
      </c>
      <c r="R658" s="863"/>
      <c r="S658" s="863"/>
    </row>
    <row r="659" ht="15" hidden="1" spans="3:19">
      <c r="C659" s="296" t="s">
        <v>203</v>
      </c>
      <c r="D659" s="296" t="s">
        <v>220</v>
      </c>
      <c r="E659" s="787">
        <f>[17]Sales_SP!HP246+[17]Sales_SP!HP247</f>
        <v>25.8440081129043</v>
      </c>
      <c r="F659" s="787">
        <f>[17]Sales_SP!HQ246+[17]Sales_SP!HQ247</f>
        <v>28.2801742126272</v>
      </c>
      <c r="G659" s="787">
        <f>[17]Sales_SP!HR246+[17]Sales_SP!HR247</f>
        <v>26.1442263077911</v>
      </c>
      <c r="H659" s="787">
        <f>[17]Sales_SP!HS246+[17]Sales_SP!HS247</f>
        <v>25.4999000773153</v>
      </c>
      <c r="I659" s="787">
        <f>[17]Sales_SP!HT246+[17]Sales_SP!HT247</f>
        <v>28.6291751256323</v>
      </c>
      <c r="J659" s="787">
        <f>[17]Sales_SP!HU246+[17]Sales_SP!HU247</f>
        <v>27.5236282563402</v>
      </c>
      <c r="K659" s="787">
        <f>[17]Sales_SP!HV246+[17]Sales_SP!HV247</f>
        <v>27.5324403042238</v>
      </c>
      <c r="L659" s="787">
        <f>[17]Sales_SP!HW246+[17]Sales_SP!HW247</f>
        <v>28.6927095040199</v>
      </c>
      <c r="M659" s="787">
        <f>[17]Sales_SP!HX246+[17]Sales_SP!HX247</f>
        <v>30.4283421396665</v>
      </c>
      <c r="N659" s="787">
        <f>[17]Sales_SP!HY246+[17]Sales_SP!HY247</f>
        <v>28.5945355009405</v>
      </c>
      <c r="O659" s="787">
        <f>[17]Sales_SP!HZ246+[17]Sales_SP!HZ247</f>
        <v>25.3585665137449</v>
      </c>
      <c r="P659" s="787">
        <f>[17]Sales_SP!IA246+[17]Sales_SP!IA247</f>
        <v>30.6376891335874</v>
      </c>
      <c r="Q659" s="866">
        <f t="shared" si="147"/>
        <v>333.165395188793</v>
      </c>
      <c r="R659" s="863"/>
      <c r="S659" s="863"/>
    </row>
    <row r="660" ht="15" hidden="1" spans="3:19">
      <c r="C660" s="296" t="s">
        <v>241</v>
      </c>
      <c r="D660" s="296" t="s">
        <v>229</v>
      </c>
      <c r="E660" s="787">
        <f>[17]Sales_SP!HP249+[17]Sales_SP!HP250</f>
        <v>79.6926494276098</v>
      </c>
      <c r="F660" s="787">
        <f>[17]Sales_SP!HQ249+[17]Sales_SP!HQ250</f>
        <v>86.0542785712542</v>
      </c>
      <c r="G660" s="787">
        <f>[17]Sales_SP!HR249+[17]Sales_SP!HR250</f>
        <v>82.5661921405917</v>
      </c>
      <c r="H660" s="787">
        <f>[17]Sales_SP!HS249+[17]Sales_SP!HS250</f>
        <v>85.9376980079728</v>
      </c>
      <c r="I660" s="787">
        <f>[17]Sales_SP!HT249+[17]Sales_SP!HT250</f>
        <v>90.8448200843968</v>
      </c>
      <c r="J660" s="787">
        <f>[17]Sales_SP!HU249+[17]Sales_SP!HU250</f>
        <v>90.0946951718041</v>
      </c>
      <c r="K660" s="787">
        <f>[17]Sales_SP!HV249+[17]Sales_SP!HV250</f>
        <v>100.170080680339</v>
      </c>
      <c r="L660" s="787">
        <f>[17]Sales_SP!HW249+[17]Sales_SP!HW250</f>
        <v>96.3860787434162</v>
      </c>
      <c r="M660" s="787">
        <f>[17]Sales_SP!HX249+[17]Sales_SP!HX250</f>
        <v>95.5832115458923</v>
      </c>
      <c r="N660" s="787">
        <f>[17]Sales_SP!HY249+[17]Sales_SP!HY250</f>
        <v>99.745941080946</v>
      </c>
      <c r="O660" s="787">
        <f>[17]Sales_SP!HZ249+[17]Sales_SP!HZ250</f>
        <v>93.6761086286839</v>
      </c>
      <c r="P660" s="787">
        <f>[17]Sales_SP!IA249+[17]Sales_SP!IA250</f>
        <v>102.280051432914</v>
      </c>
      <c r="Q660" s="866">
        <f t="shared" si="147"/>
        <v>1103.03180551582</v>
      </c>
      <c r="R660" s="863"/>
      <c r="S660" s="863"/>
    </row>
    <row r="661" ht="15" hidden="1" spans="3:19">
      <c r="C661" s="296" t="s">
        <v>259</v>
      </c>
      <c r="D661" s="296" t="s">
        <v>243</v>
      </c>
      <c r="E661" s="787">
        <f>[17]Sales_SP!HP251+[17]Sales_SP!HP252</f>
        <v>24.9186806213099</v>
      </c>
      <c r="F661" s="787">
        <f>[17]Sales_SP!HQ251+[17]Sales_SP!HQ252</f>
        <v>26.0259814259931</v>
      </c>
      <c r="G661" s="787">
        <f>[17]Sales_SP!HR251+[17]Sales_SP!HR252</f>
        <v>25.9138798633497</v>
      </c>
      <c r="H661" s="787">
        <f>[17]Sales_SP!HS251+[17]Sales_SP!HS252</f>
        <v>25.7450162333811</v>
      </c>
      <c r="I661" s="787">
        <f>[17]Sales_SP!HT251+[17]Sales_SP!HT252</f>
        <v>24.7192587726015</v>
      </c>
      <c r="J661" s="787">
        <f>[17]Sales_SP!HU251+[17]Sales_SP!HU252</f>
        <v>24.8235488262658</v>
      </c>
      <c r="K661" s="787">
        <f>[17]Sales_SP!HV251+[17]Sales_SP!HV252</f>
        <v>29.1475250435275</v>
      </c>
      <c r="L661" s="787">
        <f>[17]Sales_SP!HW251+[17]Sales_SP!HW252</f>
        <v>24.2549569046119</v>
      </c>
      <c r="M661" s="787">
        <f>[17]Sales_SP!HX251+[17]Sales_SP!HX252</f>
        <v>27.5759981932206</v>
      </c>
      <c r="N661" s="787">
        <f>[17]Sales_SP!HY251+[17]Sales_SP!HY252</f>
        <v>28.0682839300992</v>
      </c>
      <c r="O661" s="787">
        <f>[17]Sales_SP!HZ251+[17]Sales_SP!HZ252</f>
        <v>28.0398866487867</v>
      </c>
      <c r="P661" s="787">
        <f>[17]Sales_SP!IA251+[17]Sales_SP!IA252</f>
        <v>30.3009276519536</v>
      </c>
      <c r="Q661" s="866">
        <f t="shared" si="147"/>
        <v>319.533944115101</v>
      </c>
      <c r="R661" s="863"/>
      <c r="S661" s="863"/>
    </row>
    <row r="662" ht="15" hidden="1" spans="3:19">
      <c r="C662" s="296" t="s">
        <v>205</v>
      </c>
      <c r="D662" s="296" t="s">
        <v>206</v>
      </c>
      <c r="E662" s="787">
        <f>[17]Sales_SP!HP253</f>
        <v>0</v>
      </c>
      <c r="F662" s="787">
        <f>[17]Sales_SP!HQ253</f>
        <v>0</v>
      </c>
      <c r="G662" s="787">
        <f>[17]Sales_SP!HR253</f>
        <v>0</v>
      </c>
      <c r="H662" s="787">
        <f>[17]Sales_SP!HS253</f>
        <v>0</v>
      </c>
      <c r="I662" s="787">
        <f>[17]Sales_SP!HT253</f>
        <v>0</v>
      </c>
      <c r="J662" s="787">
        <f>[17]Sales_SP!HU253</f>
        <v>0</v>
      </c>
      <c r="K662" s="787">
        <f>[17]Sales_SP!HV253</f>
        <v>0</v>
      </c>
      <c r="L662" s="787">
        <f>[17]Sales_SP!HW253</f>
        <v>0</v>
      </c>
      <c r="M662" s="787">
        <f>[17]Sales_SP!HX253</f>
        <v>0</v>
      </c>
      <c r="N662" s="787">
        <f>[17]Sales_SP!HY253</f>
        <v>0</v>
      </c>
      <c r="O662" s="787">
        <f>[17]Sales_SP!HZ253</f>
        <v>0</v>
      </c>
      <c r="P662" s="787">
        <f>[17]Sales_SP!IA253</f>
        <v>0</v>
      </c>
      <c r="Q662" s="866">
        <f t="shared" si="147"/>
        <v>0</v>
      </c>
      <c r="R662" s="863"/>
      <c r="S662" s="863"/>
    </row>
    <row r="663" ht="15" hidden="1" spans="3:19">
      <c r="C663" s="296" t="s">
        <v>207</v>
      </c>
      <c r="D663" s="296" t="s">
        <v>186</v>
      </c>
      <c r="E663" s="787">
        <f>[17]Sales_SP!HP254</f>
        <v>0</v>
      </c>
      <c r="F663" s="787">
        <f>[17]Sales_SP!HQ254</f>
        <v>0</v>
      </c>
      <c r="G663" s="787">
        <f>[17]Sales_SP!HR254</f>
        <v>0</v>
      </c>
      <c r="H663" s="787">
        <f>[17]Sales_SP!HS254</f>
        <v>0</v>
      </c>
      <c r="I663" s="787">
        <f>[17]Sales_SP!HT254</f>
        <v>0</v>
      </c>
      <c r="J663" s="787">
        <f>[17]Sales_SP!HU254</f>
        <v>0</v>
      </c>
      <c r="K663" s="787">
        <f>[17]Sales_SP!HV254</f>
        <v>0</v>
      </c>
      <c r="L663" s="787">
        <f>[17]Sales_SP!HW254</f>
        <v>0</v>
      </c>
      <c r="M663" s="787">
        <f>[17]Sales_SP!HX254</f>
        <v>0</v>
      </c>
      <c r="N663" s="787">
        <f>[17]Sales_SP!HY254</f>
        <v>0</v>
      </c>
      <c r="O663" s="787">
        <f>[17]Sales_SP!HZ254</f>
        <v>0</v>
      </c>
      <c r="P663" s="787">
        <f>[17]Sales_SP!IA254</f>
        <v>0</v>
      </c>
      <c r="Q663" s="866">
        <f t="shared" si="147"/>
        <v>0</v>
      </c>
      <c r="R663" s="863"/>
      <c r="S663" s="863"/>
    </row>
    <row r="664" ht="15" hidden="1" spans="3:19">
      <c r="C664" s="296" t="s">
        <v>208</v>
      </c>
      <c r="D664" s="296" t="s">
        <v>209</v>
      </c>
      <c r="E664" s="787">
        <v>0</v>
      </c>
      <c r="F664" s="787">
        <v>0</v>
      </c>
      <c r="G664" s="787">
        <v>0</v>
      </c>
      <c r="H664" s="787">
        <v>0</v>
      </c>
      <c r="I664" s="787">
        <v>0</v>
      </c>
      <c r="J664" s="787">
        <v>0</v>
      </c>
      <c r="K664" s="787">
        <v>0</v>
      </c>
      <c r="L664" s="787">
        <v>0</v>
      </c>
      <c r="M664" s="787">
        <v>0</v>
      </c>
      <c r="N664" s="787">
        <v>0</v>
      </c>
      <c r="O664" s="787">
        <v>0</v>
      </c>
      <c r="P664" s="787">
        <v>0</v>
      </c>
      <c r="Q664" s="866">
        <f t="shared" si="147"/>
        <v>0</v>
      </c>
      <c r="R664" s="863"/>
      <c r="S664" s="863"/>
    </row>
    <row r="665" ht="15" hidden="1" spans="3:19">
      <c r="C665" s="296" t="s">
        <v>210</v>
      </c>
      <c r="D665" s="296" t="s">
        <v>188</v>
      </c>
      <c r="E665" s="787">
        <v>0</v>
      </c>
      <c r="F665" s="787">
        <v>0</v>
      </c>
      <c r="G665" s="787">
        <v>0</v>
      </c>
      <c r="H665" s="787">
        <v>0</v>
      </c>
      <c r="I665" s="787">
        <v>0</v>
      </c>
      <c r="J665" s="787">
        <v>0</v>
      </c>
      <c r="K665" s="787">
        <v>0</v>
      </c>
      <c r="L665" s="787">
        <v>0</v>
      </c>
      <c r="M665" s="787">
        <v>0</v>
      </c>
      <c r="N665" s="787">
        <v>0</v>
      </c>
      <c r="O665" s="787">
        <v>0</v>
      </c>
      <c r="P665" s="787">
        <v>0</v>
      </c>
      <c r="Q665" s="866">
        <f t="shared" si="147"/>
        <v>0</v>
      </c>
      <c r="R665" s="863"/>
      <c r="S665" s="863"/>
    </row>
    <row r="666" ht="15" hidden="1" spans="3:19">
      <c r="C666" s="296"/>
      <c r="D666" s="296"/>
      <c r="E666" s="787"/>
      <c r="F666" s="787"/>
      <c r="G666" s="787"/>
      <c r="H666" s="787"/>
      <c r="I666" s="787"/>
      <c r="J666" s="787"/>
      <c r="K666" s="787"/>
      <c r="L666" s="787"/>
      <c r="M666" s="787"/>
      <c r="N666" s="787"/>
      <c r="O666" s="787"/>
      <c r="P666" s="787"/>
      <c r="Q666" s="866"/>
      <c r="R666" s="863"/>
      <c r="S666" s="863"/>
    </row>
    <row r="667" ht="15" hidden="1" spans="3:19">
      <c r="C667" s="296"/>
      <c r="D667" s="296"/>
      <c r="E667" s="787"/>
      <c r="F667" s="787"/>
      <c r="G667" s="787"/>
      <c r="H667" s="787"/>
      <c r="I667" s="787"/>
      <c r="J667" s="787"/>
      <c r="K667" s="787"/>
      <c r="L667" s="787"/>
      <c r="M667" s="787"/>
      <c r="N667" s="787"/>
      <c r="O667" s="787"/>
      <c r="P667" s="787"/>
      <c r="Q667" s="866"/>
      <c r="R667" s="863"/>
      <c r="S667" s="863"/>
    </row>
    <row r="668" ht="15" hidden="1" spans="3:19">
      <c r="C668" s="296"/>
      <c r="D668" s="296"/>
      <c r="E668" s="787"/>
      <c r="F668" s="787"/>
      <c r="G668" s="787"/>
      <c r="H668" s="787"/>
      <c r="I668" s="787"/>
      <c r="J668" s="787"/>
      <c r="K668" s="787"/>
      <c r="L668" s="787"/>
      <c r="M668" s="787"/>
      <c r="N668" s="787"/>
      <c r="O668" s="787"/>
      <c r="P668" s="787"/>
      <c r="Q668" s="866"/>
      <c r="R668" s="863"/>
      <c r="S668" s="863"/>
    </row>
    <row r="669" ht="15" hidden="1" spans="3:19">
      <c r="C669" s="296" t="s">
        <v>258</v>
      </c>
      <c r="D669" s="296" t="s">
        <v>258</v>
      </c>
      <c r="E669" s="787"/>
      <c r="F669" s="787"/>
      <c r="G669" s="787"/>
      <c r="H669" s="787"/>
      <c r="I669" s="787"/>
      <c r="J669" s="787"/>
      <c r="K669" s="787"/>
      <c r="L669" s="787"/>
      <c r="M669" s="787"/>
      <c r="N669" s="787"/>
      <c r="O669" s="787"/>
      <c r="P669" s="787"/>
      <c r="Q669" s="866"/>
      <c r="R669" s="863"/>
      <c r="S669" s="863"/>
    </row>
    <row r="670" ht="15" hidden="1" spans="3:19">
      <c r="C670" s="285" t="s">
        <v>211</v>
      </c>
      <c r="D670" s="286"/>
      <c r="E670" s="866">
        <f t="shared" ref="E670:P670" si="148">SUM(E653:E669)</f>
        <v>891.155118848531</v>
      </c>
      <c r="F670" s="866">
        <f t="shared" si="148"/>
        <v>861.930558299359</v>
      </c>
      <c r="G670" s="866">
        <f t="shared" si="148"/>
        <v>891.877279550399</v>
      </c>
      <c r="H670" s="866">
        <f t="shared" si="148"/>
        <v>892.734245385777</v>
      </c>
      <c r="I670" s="866">
        <f t="shared" si="148"/>
        <v>1080.81720999726</v>
      </c>
      <c r="J670" s="866">
        <f t="shared" si="148"/>
        <v>1133.8272283399</v>
      </c>
      <c r="K670" s="866">
        <f t="shared" si="148"/>
        <v>1182.30021335244</v>
      </c>
      <c r="L670" s="866">
        <f t="shared" si="148"/>
        <v>1142.41405751717</v>
      </c>
      <c r="M670" s="866">
        <f t="shared" si="148"/>
        <v>1017.60413799308</v>
      </c>
      <c r="N670" s="866">
        <f t="shared" si="148"/>
        <v>994.111397771514</v>
      </c>
      <c r="O670" s="866">
        <f t="shared" si="148"/>
        <v>937.036973610869</v>
      </c>
      <c r="P670" s="866">
        <f t="shared" si="148"/>
        <v>1006.87433546202</v>
      </c>
      <c r="Q670" s="866">
        <f>SUM(E670:P670)</f>
        <v>12032.6827561283</v>
      </c>
      <c r="R670" s="863"/>
      <c r="S670" s="863"/>
    </row>
    <row r="671" ht="15" hidden="1" spans="3:19">
      <c r="C671" s="285" t="s">
        <v>223</v>
      </c>
      <c r="D671" s="286"/>
      <c r="E671" s="866">
        <f t="shared" ref="E671:P671" si="149">E670+E651+E634</f>
        <v>2662.30600997824</v>
      </c>
      <c r="F671" s="866">
        <f t="shared" si="149"/>
        <v>2751.21528391605</v>
      </c>
      <c r="G671" s="866">
        <f t="shared" si="149"/>
        <v>2750.94031030653</v>
      </c>
      <c r="H671" s="866">
        <f t="shared" si="149"/>
        <v>2658.290836256</v>
      </c>
      <c r="I671" s="866">
        <f t="shared" si="149"/>
        <v>2914.79720726538</v>
      </c>
      <c r="J671" s="866">
        <f t="shared" si="149"/>
        <v>2881.73093301695</v>
      </c>
      <c r="K671" s="866">
        <f t="shared" si="149"/>
        <v>2968.87616403366</v>
      </c>
      <c r="L671" s="866">
        <f t="shared" si="149"/>
        <v>2910.24908708655</v>
      </c>
      <c r="M671" s="866">
        <f t="shared" si="149"/>
        <v>2787.55053486031</v>
      </c>
      <c r="N671" s="866">
        <f t="shared" si="149"/>
        <v>2753.6412653048</v>
      </c>
      <c r="O671" s="866">
        <f t="shared" si="149"/>
        <v>2700.42767692134</v>
      </c>
      <c r="P671" s="866">
        <f t="shared" si="149"/>
        <v>2985.03319735629</v>
      </c>
      <c r="Q671" s="866">
        <f>SUM(E671:P671)</f>
        <v>33725.0585063021</v>
      </c>
      <c r="R671" s="863"/>
      <c r="S671" s="863"/>
    </row>
    <row r="672" ht="15" hidden="1" spans="3:19">
      <c r="C672" s="285" t="s">
        <v>224</v>
      </c>
      <c r="D672" s="286"/>
      <c r="E672" s="866">
        <f t="shared" ref="E672:P672" si="150">E671+E617</f>
        <v>4445.61851728331</v>
      </c>
      <c r="F672" s="866">
        <f t="shared" si="150"/>
        <v>4848.85804116973</v>
      </c>
      <c r="G672" s="866">
        <f t="shared" si="150"/>
        <v>4645.99299428591</v>
      </c>
      <c r="H672" s="866">
        <f t="shared" si="150"/>
        <v>4202.84871813993</v>
      </c>
      <c r="I672" s="866">
        <f t="shared" si="150"/>
        <v>4667.98592392941</v>
      </c>
      <c r="J672" s="866">
        <f t="shared" si="150"/>
        <v>4507.60472778353</v>
      </c>
      <c r="K672" s="866">
        <f t="shared" si="150"/>
        <v>4597.66774232557</v>
      </c>
      <c r="L672" s="866">
        <f t="shared" si="150"/>
        <v>4444.09172163173</v>
      </c>
      <c r="M672" s="866">
        <f t="shared" si="150"/>
        <v>4190.07445454215</v>
      </c>
      <c r="N672" s="866">
        <f t="shared" si="150"/>
        <v>4301.46217676927</v>
      </c>
      <c r="O672" s="866">
        <f t="shared" si="150"/>
        <v>4186.03594691631</v>
      </c>
      <c r="P672" s="866">
        <f t="shared" si="150"/>
        <v>4927.20674788774</v>
      </c>
      <c r="Q672" s="866">
        <f>SUM(E672:P672)</f>
        <v>53965.4477126646</v>
      </c>
      <c r="R672" s="863"/>
      <c r="S672" s="863"/>
    </row>
    <row r="673" hidden="1" spans="5:19">
      <c r="E673" s="863"/>
      <c r="F673" s="863"/>
      <c r="G673" s="863"/>
      <c r="H673" s="863"/>
      <c r="I673" s="863"/>
      <c r="J673" s="863"/>
      <c r="K673" s="863"/>
      <c r="L673" s="863"/>
      <c r="M673" s="863"/>
      <c r="N673" s="863"/>
      <c r="O673" s="863"/>
      <c r="P673" s="863"/>
      <c r="Q673" s="863"/>
      <c r="R673" s="863"/>
      <c r="S673" s="863"/>
    </row>
    <row r="674" ht="15" hidden="1" spans="3:19">
      <c r="C674" s="369"/>
      <c r="E674" s="863"/>
      <c r="F674" s="863"/>
      <c r="G674" s="863"/>
      <c r="H674" s="863"/>
      <c r="I674" s="863"/>
      <c r="J674" s="863"/>
      <c r="K674" s="863"/>
      <c r="L674" s="863"/>
      <c r="M674" s="863"/>
      <c r="N674" s="863"/>
      <c r="O674" s="863"/>
      <c r="P674" s="863"/>
      <c r="Q674" s="870" t="s">
        <v>236</v>
      </c>
      <c r="R674" s="863"/>
      <c r="S674" s="863"/>
    </row>
    <row r="675" ht="15" hidden="1" spans="3:19">
      <c r="C675" s="401" t="s">
        <v>159</v>
      </c>
      <c r="D675" s="401"/>
      <c r="E675" s="864" t="s">
        <v>266</v>
      </c>
      <c r="F675" s="864"/>
      <c r="G675" s="864"/>
      <c r="H675" s="864"/>
      <c r="I675" s="864"/>
      <c r="J675" s="864"/>
      <c r="K675" s="864"/>
      <c r="L675" s="864"/>
      <c r="M675" s="864"/>
      <c r="N675" s="864"/>
      <c r="O675" s="864"/>
      <c r="P675" s="864"/>
      <c r="Q675" s="864"/>
      <c r="R675" s="863"/>
      <c r="S675" s="863"/>
    </row>
    <row r="676" ht="15" hidden="1" spans="3:19">
      <c r="C676" s="401"/>
      <c r="D676" s="401"/>
      <c r="E676" s="864" t="s">
        <v>246</v>
      </c>
      <c r="F676" s="864" t="s">
        <v>247</v>
      </c>
      <c r="G676" s="864" t="s">
        <v>248</v>
      </c>
      <c r="H676" s="864" t="s">
        <v>249</v>
      </c>
      <c r="I676" s="864" t="s">
        <v>250</v>
      </c>
      <c r="J676" s="864" t="s">
        <v>251</v>
      </c>
      <c r="K676" s="864" t="s">
        <v>252</v>
      </c>
      <c r="L676" s="864" t="s">
        <v>253</v>
      </c>
      <c r="M676" s="864" t="s">
        <v>254</v>
      </c>
      <c r="N676" s="864" t="s">
        <v>255</v>
      </c>
      <c r="O676" s="864" t="s">
        <v>256</v>
      </c>
      <c r="P676" s="864" t="s">
        <v>257</v>
      </c>
      <c r="Q676" s="864" t="s">
        <v>97</v>
      </c>
      <c r="R676" s="863"/>
      <c r="S676" s="863"/>
    </row>
    <row r="677" ht="15" hidden="1" spans="3:19">
      <c r="C677" s="285" t="s">
        <v>170</v>
      </c>
      <c r="D677" s="286"/>
      <c r="E677" s="787"/>
      <c r="F677" s="787"/>
      <c r="G677" s="787"/>
      <c r="H677" s="787"/>
      <c r="I677" s="787"/>
      <c r="J677" s="787"/>
      <c r="K677" s="787"/>
      <c r="L677" s="787"/>
      <c r="M677" s="787"/>
      <c r="N677" s="787"/>
      <c r="O677" s="787"/>
      <c r="P677" s="787"/>
      <c r="Q677" s="866"/>
      <c r="R677" s="863"/>
      <c r="S677" s="863"/>
    </row>
    <row r="678" ht="15" hidden="1" spans="3:19">
      <c r="C678" s="296" t="s">
        <v>171</v>
      </c>
      <c r="D678" s="296" t="s">
        <v>172</v>
      </c>
      <c r="E678" s="787">
        <f>[17]Sales_SP!IK10</f>
        <v>1244.72753475048</v>
      </c>
      <c r="F678" s="787">
        <f>[17]Sales_SP!IL10</f>
        <v>1497.89730281895</v>
      </c>
      <c r="G678" s="787">
        <f>[17]Sales_SP!IM10</f>
        <v>1335.07397757917</v>
      </c>
      <c r="H678" s="787">
        <f>[17]Sales_SP!IN10</f>
        <v>1046.57750212188</v>
      </c>
      <c r="I678" s="787">
        <f>[17]Sales_SP!IO10</f>
        <v>1197.5791374665</v>
      </c>
      <c r="J678" s="787">
        <f>[17]Sales_SP!IP10</f>
        <v>1109.845204782</v>
      </c>
      <c r="K678" s="787">
        <f>[17]Sales_SP!IQ10</f>
        <v>1098.01932210922</v>
      </c>
      <c r="L678" s="787">
        <f>[17]Sales_SP!IR10</f>
        <v>1017.1159208738</v>
      </c>
      <c r="M678" s="787">
        <f>[17]Sales_SP!IS10</f>
        <v>902.227606145721</v>
      </c>
      <c r="N678" s="787">
        <f>[17]Sales_SP!IT10</f>
        <v>1018.23239956282</v>
      </c>
      <c r="O678" s="787">
        <f>[17]Sales_SP!IU10</f>
        <v>964.451873498682</v>
      </c>
      <c r="P678" s="787">
        <f>[17]Sales_SP!IV10</f>
        <v>1322.55815305517</v>
      </c>
      <c r="Q678" s="866">
        <f t="shared" ref="Q678:Q691" si="151">SUM(E678:P678)</f>
        <v>13754.3059347644</v>
      </c>
      <c r="R678" s="863"/>
      <c r="S678" s="863"/>
    </row>
    <row r="679" ht="15" hidden="1" spans="3:19">
      <c r="C679" s="296" t="s">
        <v>173</v>
      </c>
      <c r="D679" s="296" t="s">
        <v>174</v>
      </c>
      <c r="E679" s="787">
        <f>[17]Sales_SP!IK23</f>
        <v>525.084457066474</v>
      </c>
      <c r="F679" s="787">
        <f>[17]Sales_SP!IL23</f>
        <v>602.704651551855</v>
      </c>
      <c r="G679" s="787">
        <f>[17]Sales_SP!IM23</f>
        <v>554.104415931901</v>
      </c>
      <c r="H679" s="787">
        <f>[17]Sales_SP!IN23</f>
        <v>471.07338237559</v>
      </c>
      <c r="I679" s="787">
        <f>[17]Sales_SP!IO23</f>
        <v>533.614799068251</v>
      </c>
      <c r="J679" s="787">
        <f>[17]Sales_SP!IP23</f>
        <v>493.921532833549</v>
      </c>
      <c r="K679" s="787">
        <f>[17]Sales_SP!IQ23</f>
        <v>505.894124073294</v>
      </c>
      <c r="L679" s="787">
        <f>[17]Sales_SP!IR23</f>
        <v>478.715906158616</v>
      </c>
      <c r="M679" s="787">
        <f>[17]Sales_SP!IS23</f>
        <v>441.43776105632</v>
      </c>
      <c r="N679" s="787">
        <f>[17]Sales_SP!IT23</f>
        <v>483.249129800546</v>
      </c>
      <c r="O679" s="787">
        <f>[17]Sales_SP!IU23</f>
        <v>482.459611499176</v>
      </c>
      <c r="P679" s="787">
        <f>[17]Sales_SP!IV23</f>
        <v>596.447484863752</v>
      </c>
      <c r="Q679" s="866">
        <f t="shared" si="151"/>
        <v>6168.70725627932</v>
      </c>
      <c r="R679" s="863"/>
      <c r="S679" s="863"/>
    </row>
    <row r="680" ht="15" hidden="1" spans="3:19">
      <c r="C680" s="296" t="s">
        <v>175</v>
      </c>
      <c r="D680" s="296" t="s">
        <v>176</v>
      </c>
      <c r="E680" s="787">
        <f>[17]Sales_SP!IK36</f>
        <v>95.4570009087562</v>
      </c>
      <c r="F680" s="787">
        <f>[17]Sales_SP!IL36</f>
        <v>103.362988908175</v>
      </c>
      <c r="G680" s="787">
        <f>[17]Sales_SP!IM36</f>
        <v>97.6939456632214</v>
      </c>
      <c r="H680" s="787">
        <f>[17]Sales_SP!IN36</f>
        <v>91.804266532207</v>
      </c>
      <c r="I680" s="787">
        <f>[17]Sales_SP!IO36</f>
        <v>98.2123751279013</v>
      </c>
      <c r="J680" s="787">
        <f>[17]Sales_SP!IP36</f>
        <v>91.0961425304202</v>
      </c>
      <c r="K680" s="787">
        <f>[17]Sales_SP!IQ36</f>
        <v>93.1825909476363</v>
      </c>
      <c r="L680" s="787">
        <f>[17]Sales_SP!IR36</f>
        <v>95.8249483980095</v>
      </c>
      <c r="M680" s="787">
        <f>[17]Sales_SP!IS36</f>
        <v>106.195489702597</v>
      </c>
      <c r="N680" s="787">
        <f>[17]Sales_SP!IT36</f>
        <v>103.170991692254</v>
      </c>
      <c r="O680" s="787">
        <f>[17]Sales_SP!IU36</f>
        <v>94.9552766368471</v>
      </c>
      <c r="P680" s="787">
        <f>[17]Sales_SP!IV36</f>
        <v>105.84662907495</v>
      </c>
      <c r="Q680" s="866">
        <f t="shared" si="151"/>
        <v>1176.80264612297</v>
      </c>
      <c r="R680" s="863"/>
      <c r="S680" s="863"/>
    </row>
    <row r="681" ht="15" hidden="1" spans="3:19">
      <c r="C681" s="296" t="s">
        <v>177</v>
      </c>
      <c r="D681" s="296" t="s">
        <v>178</v>
      </c>
      <c r="E681" s="787">
        <f>[17]Sales_SP!IK43</f>
        <v>0.870787728329867</v>
      </c>
      <c r="F681" s="787">
        <f>[17]Sales_SP!IL43</f>
        <v>0.909213148647406</v>
      </c>
      <c r="G681" s="787">
        <f>[17]Sales_SP!IM43</f>
        <v>0.802499926991658</v>
      </c>
      <c r="H681" s="787">
        <f>[17]Sales_SP!IN43</f>
        <v>0.77696062380894</v>
      </c>
      <c r="I681" s="787">
        <f>[17]Sales_SP!IO43</f>
        <v>0.825805349221795</v>
      </c>
      <c r="J681" s="787">
        <f>[17]Sales_SP!IP43</f>
        <v>0.774605659736284</v>
      </c>
      <c r="K681" s="787">
        <f>[17]Sales_SP!IQ43</f>
        <v>0.80447727591018</v>
      </c>
      <c r="L681" s="787">
        <f>[17]Sales_SP!IR43</f>
        <v>0.756898792617437</v>
      </c>
      <c r="M681" s="787">
        <f>[17]Sales_SP!IS43</f>
        <v>0.799919214729031</v>
      </c>
      <c r="N681" s="787">
        <f>[17]Sales_SP!IT43</f>
        <v>0.829818536362605</v>
      </c>
      <c r="O681" s="787">
        <f>[17]Sales_SP!IU43</f>
        <v>0.746212694206701</v>
      </c>
      <c r="P681" s="787">
        <f>[17]Sales_SP!IV43</f>
        <v>0.861947634436215</v>
      </c>
      <c r="Q681" s="866">
        <f t="shared" si="151"/>
        <v>9.75914658499812</v>
      </c>
      <c r="R681" s="863"/>
      <c r="S681" s="863"/>
    </row>
    <row r="682" ht="15" hidden="1" spans="3:19">
      <c r="C682" s="296" t="s">
        <v>179</v>
      </c>
      <c r="D682" s="296" t="s">
        <v>180</v>
      </c>
      <c r="E682" s="787">
        <v>0</v>
      </c>
      <c r="F682" s="787">
        <v>0</v>
      </c>
      <c r="G682" s="787">
        <v>0</v>
      </c>
      <c r="H682" s="787">
        <v>0</v>
      </c>
      <c r="I682" s="787">
        <v>0</v>
      </c>
      <c r="J682" s="787">
        <v>0</v>
      </c>
      <c r="K682" s="787">
        <v>0</v>
      </c>
      <c r="L682" s="787">
        <v>0</v>
      </c>
      <c r="M682" s="787">
        <v>0</v>
      </c>
      <c r="N682" s="787">
        <v>0</v>
      </c>
      <c r="O682" s="787">
        <v>0</v>
      </c>
      <c r="P682" s="787">
        <v>0</v>
      </c>
      <c r="Q682" s="866">
        <f t="shared" si="151"/>
        <v>0</v>
      </c>
      <c r="R682" s="863"/>
      <c r="S682" s="863"/>
    </row>
    <row r="683" ht="15" hidden="1" spans="3:19">
      <c r="C683" s="296" t="s">
        <v>181</v>
      </c>
      <c r="D683" s="296" t="s">
        <v>182</v>
      </c>
      <c r="E683" s="787">
        <f>[17]Sales_SP!IK54</f>
        <v>42.7449380194073</v>
      </c>
      <c r="F683" s="787">
        <f>[17]Sales_SP!IL54</f>
        <v>44.5009471793651</v>
      </c>
      <c r="G683" s="787">
        <f>[17]Sales_SP!IM54</f>
        <v>41.6148412003916</v>
      </c>
      <c r="H683" s="787">
        <f>[17]Sales_SP!IN54</f>
        <v>41.3904629578151</v>
      </c>
      <c r="I683" s="787">
        <f>[17]Sales_SP!IO54</f>
        <v>44.0864302312287</v>
      </c>
      <c r="J683" s="787">
        <f>[17]Sales_SP!IP54</f>
        <v>42.2144592816389</v>
      </c>
      <c r="K683" s="787">
        <f>[17]Sales_SP!IQ54</f>
        <v>44.8416296804237</v>
      </c>
      <c r="L683" s="787">
        <f>[17]Sales_SP!IR54</f>
        <v>46.040632544215</v>
      </c>
      <c r="M683" s="787">
        <f>[17]Sales_SP!IS54</f>
        <v>45.7220205203671</v>
      </c>
      <c r="N683" s="787">
        <f>[17]Sales_SP!IT54</f>
        <v>46.6295393545163</v>
      </c>
      <c r="O683" s="787">
        <f>[17]Sales_SP!IU54</f>
        <v>43.1444934088614</v>
      </c>
      <c r="P683" s="787">
        <f>[17]Sales_SP!IV54</f>
        <v>47.2821920831572</v>
      </c>
      <c r="Q683" s="866">
        <f t="shared" si="151"/>
        <v>530.212586461387</v>
      </c>
      <c r="R683" s="863"/>
      <c r="S683" s="863"/>
    </row>
    <row r="684" ht="15" hidden="1" spans="3:19">
      <c r="C684" s="296" t="s">
        <v>183</v>
      </c>
      <c r="D684" s="296" t="s">
        <v>184</v>
      </c>
      <c r="E684" s="787">
        <f>[17]Sales_SP!IK64</f>
        <v>11.6096636312734</v>
      </c>
      <c r="F684" s="787">
        <f>[17]Sales_SP!IL64</f>
        <v>9.49620409444622</v>
      </c>
      <c r="G684" s="787">
        <f>[17]Sales_SP!IM64</f>
        <v>11.2582758034485</v>
      </c>
      <c r="H684" s="787">
        <f>[17]Sales_SP!IN64</f>
        <v>11.4220608278555</v>
      </c>
      <c r="I684" s="787">
        <f>[17]Sales_SP!IO64</f>
        <v>13.2460507979533</v>
      </c>
      <c r="J684" s="787">
        <f>[17]Sales_SP!IP64</f>
        <v>12.2945003652495</v>
      </c>
      <c r="K684" s="787">
        <f>[17]Sales_SP!IQ64</f>
        <v>10.1927351234113</v>
      </c>
      <c r="L684" s="787">
        <f>[17]Sales_SP!IR64</f>
        <v>11.7750179241718</v>
      </c>
      <c r="M684" s="787">
        <f>[17]Sales_SP!IS64</f>
        <v>10.479514515584</v>
      </c>
      <c r="N684" s="787">
        <f>[17]Sales_SP!IT64</f>
        <v>10.7343628336602</v>
      </c>
      <c r="O684" s="787">
        <f>[17]Sales_SP!IU64</f>
        <v>11.8281739445649</v>
      </c>
      <c r="P684" s="787">
        <f>[17]Sales_SP!IV64</f>
        <v>15.1083285594388</v>
      </c>
      <c r="Q684" s="866">
        <f t="shared" si="151"/>
        <v>139.444888421057</v>
      </c>
      <c r="R684" s="863"/>
      <c r="S684" s="863"/>
    </row>
    <row r="685" ht="15" hidden="1" spans="3:19">
      <c r="C685" s="296" t="s">
        <v>185</v>
      </c>
      <c r="D685" s="296" t="s">
        <v>186</v>
      </c>
      <c r="E685" s="787">
        <f>[17]Sales_SP!IK69</f>
        <v>27.6012698309839</v>
      </c>
      <c r="F685" s="787">
        <f>[17]Sales_SP!IL69</f>
        <v>31.271474814132</v>
      </c>
      <c r="G685" s="787">
        <f>[17]Sales_SP!IM69</f>
        <v>29.4484525072531</v>
      </c>
      <c r="H685" s="787">
        <f>[17]Sales_SP!IN69</f>
        <v>25.5200486109422</v>
      </c>
      <c r="I685" s="787">
        <f>[17]Sales_SP!IO69</f>
        <v>29.2882828896528</v>
      </c>
      <c r="J685" s="787">
        <f>[17]Sales_SP!IP69</f>
        <v>27.398981479051</v>
      </c>
      <c r="K685" s="787">
        <f>[17]Sales_SP!IQ69</f>
        <v>28.5517123634121</v>
      </c>
      <c r="L685" s="787">
        <f>[17]Sales_SP!IR69</f>
        <v>27.4596969746069</v>
      </c>
      <c r="M685" s="787">
        <f>[17]Sales_SP!IS69</f>
        <v>27.3034965164917</v>
      </c>
      <c r="N685" s="787">
        <f>[17]Sales_SP!IT69</f>
        <v>30.249982168095</v>
      </c>
      <c r="O685" s="787">
        <f>[17]Sales_SP!IU69</f>
        <v>29.3738218231998</v>
      </c>
      <c r="P685" s="787">
        <f>[17]Sales_SP!IV69</f>
        <v>36.3670398179819</v>
      </c>
      <c r="Q685" s="866">
        <f t="shared" si="151"/>
        <v>349.834259795802</v>
      </c>
      <c r="R685" s="863"/>
      <c r="S685" s="863"/>
    </row>
    <row r="686" ht="15" hidden="1" spans="3:19">
      <c r="C686" s="296" t="s">
        <v>187</v>
      </c>
      <c r="D686" s="296" t="s">
        <v>188</v>
      </c>
      <c r="E686" s="787">
        <f>[17]Sales_SP!IK70</f>
        <v>0.1109377852</v>
      </c>
      <c r="F686" s="787">
        <f>[17]Sales_SP!IL70</f>
        <v>0.1343384955</v>
      </c>
      <c r="G686" s="787">
        <f>[17]Sales_SP!IM70</f>
        <v>0.1379108995</v>
      </c>
      <c r="H686" s="787">
        <f>[17]Sales_SP!IN70</f>
        <v>0.1862057021</v>
      </c>
      <c r="I686" s="787">
        <f>[17]Sales_SP!IO70</f>
        <v>0.2236573801</v>
      </c>
      <c r="J686" s="787">
        <f>[17]Sales_SP!IP70</f>
        <v>0.2174598448</v>
      </c>
      <c r="K686" s="787">
        <f>[17]Sales_SP!IQ70</f>
        <v>0.2878010652</v>
      </c>
      <c r="L686" s="787">
        <f>[17]Sales_SP!IR70</f>
        <v>0.34757734</v>
      </c>
      <c r="M686" s="787">
        <f>[17]Sales_SP!IS70</f>
        <v>0.3500179947</v>
      </c>
      <c r="N686" s="787">
        <f>[17]Sales_SP!IT70</f>
        <v>0.4500599477</v>
      </c>
      <c r="O686" s="787">
        <f>[17]Sales_SP!IU70</f>
        <v>0.3950537107</v>
      </c>
      <c r="P686" s="787">
        <f>[17]Sales_SP!IV70</f>
        <v>0.5005099055</v>
      </c>
      <c r="Q686" s="866">
        <f t="shared" si="151"/>
        <v>3.341530071</v>
      </c>
      <c r="R686" s="863"/>
      <c r="S686" s="863"/>
    </row>
    <row r="687" ht="15" hidden="1" spans="3:19">
      <c r="C687" s="296"/>
      <c r="D687" s="296"/>
      <c r="E687" s="787"/>
      <c r="F687" s="787"/>
      <c r="G687" s="787"/>
      <c r="H687" s="787"/>
      <c r="I687" s="787"/>
      <c r="J687" s="787"/>
      <c r="K687" s="787"/>
      <c r="L687" s="787"/>
      <c r="M687" s="787"/>
      <c r="N687" s="787"/>
      <c r="O687" s="787"/>
      <c r="P687" s="787"/>
      <c r="Q687" s="866">
        <f t="shared" si="151"/>
        <v>0</v>
      </c>
      <c r="R687" s="863"/>
      <c r="S687" s="863"/>
    </row>
    <row r="688" ht="15" hidden="1" spans="3:19">
      <c r="C688" s="296"/>
      <c r="D688" s="296"/>
      <c r="E688" s="787"/>
      <c r="F688" s="787"/>
      <c r="G688" s="787"/>
      <c r="H688" s="787"/>
      <c r="I688" s="787"/>
      <c r="J688" s="787"/>
      <c r="K688" s="787"/>
      <c r="L688" s="787"/>
      <c r="M688" s="787"/>
      <c r="N688" s="787"/>
      <c r="O688" s="787"/>
      <c r="P688" s="787"/>
      <c r="Q688" s="866">
        <f t="shared" si="151"/>
        <v>0</v>
      </c>
      <c r="R688" s="863"/>
      <c r="S688" s="863"/>
    </row>
    <row r="689" ht="15" hidden="1" spans="3:19">
      <c r="C689" s="296"/>
      <c r="D689" s="296"/>
      <c r="E689" s="787"/>
      <c r="F689" s="787"/>
      <c r="G689" s="787"/>
      <c r="H689" s="787"/>
      <c r="I689" s="787"/>
      <c r="J689" s="787"/>
      <c r="K689" s="787"/>
      <c r="L689" s="787"/>
      <c r="M689" s="787"/>
      <c r="N689" s="787"/>
      <c r="O689" s="787"/>
      <c r="P689" s="787"/>
      <c r="Q689" s="866">
        <f t="shared" si="151"/>
        <v>0</v>
      </c>
      <c r="R689" s="863"/>
      <c r="S689" s="863"/>
    </row>
    <row r="690" ht="15" hidden="1" spans="3:19">
      <c r="C690" s="296" t="s">
        <v>258</v>
      </c>
      <c r="D690" s="296" t="s">
        <v>258</v>
      </c>
      <c r="E690" s="787"/>
      <c r="F690" s="787"/>
      <c r="G690" s="787"/>
      <c r="H690" s="787"/>
      <c r="I690" s="787"/>
      <c r="J690" s="787"/>
      <c r="K690" s="787"/>
      <c r="L690" s="787"/>
      <c r="M690" s="787"/>
      <c r="N690" s="787"/>
      <c r="O690" s="787"/>
      <c r="P690" s="787"/>
      <c r="Q690" s="866">
        <f t="shared" si="151"/>
        <v>0</v>
      </c>
      <c r="R690" s="863"/>
      <c r="S690" s="863"/>
    </row>
    <row r="691" ht="15" hidden="1" spans="3:19">
      <c r="C691" s="285" t="s">
        <v>189</v>
      </c>
      <c r="D691" s="286"/>
      <c r="E691" s="866">
        <f t="shared" ref="E691:P691" si="152">SUM(E678:E690)</f>
        <v>1948.2065897209</v>
      </c>
      <c r="F691" s="866">
        <f t="shared" si="152"/>
        <v>2290.27712101107</v>
      </c>
      <c r="G691" s="866">
        <f t="shared" si="152"/>
        <v>2070.13431951188</v>
      </c>
      <c r="H691" s="866">
        <f t="shared" si="152"/>
        <v>1688.7508897522</v>
      </c>
      <c r="I691" s="866">
        <f t="shared" si="152"/>
        <v>1917.07653831081</v>
      </c>
      <c r="J691" s="866">
        <f t="shared" si="152"/>
        <v>1777.76288677644</v>
      </c>
      <c r="K691" s="866">
        <f t="shared" si="152"/>
        <v>1781.77439263851</v>
      </c>
      <c r="L691" s="866">
        <f t="shared" si="152"/>
        <v>1678.03659900604</v>
      </c>
      <c r="M691" s="866">
        <f t="shared" si="152"/>
        <v>1534.51582566651</v>
      </c>
      <c r="N691" s="866">
        <f t="shared" si="152"/>
        <v>1693.54628389595</v>
      </c>
      <c r="O691" s="866">
        <f t="shared" si="152"/>
        <v>1627.35451721624</v>
      </c>
      <c r="P691" s="866">
        <f t="shared" si="152"/>
        <v>2124.97228499439</v>
      </c>
      <c r="Q691" s="866">
        <f t="shared" si="151"/>
        <v>22132.4082485009</v>
      </c>
      <c r="R691" s="863"/>
      <c r="S691" s="863"/>
    </row>
    <row r="692" ht="15" hidden="1" spans="3:19">
      <c r="C692" s="285" t="s">
        <v>190</v>
      </c>
      <c r="D692" s="286"/>
      <c r="E692" s="787"/>
      <c r="F692" s="787"/>
      <c r="G692" s="787"/>
      <c r="H692" s="787"/>
      <c r="I692" s="787"/>
      <c r="J692" s="787"/>
      <c r="K692" s="787"/>
      <c r="L692" s="787"/>
      <c r="M692" s="787"/>
      <c r="N692" s="787"/>
      <c r="O692" s="787"/>
      <c r="P692" s="787"/>
      <c r="Q692" s="866"/>
      <c r="R692" s="863"/>
      <c r="S692" s="863"/>
    </row>
    <row r="693" ht="15" hidden="1" spans="3:19">
      <c r="C693" s="296" t="s">
        <v>191</v>
      </c>
      <c r="D693" s="296" t="s">
        <v>192</v>
      </c>
      <c r="E693" s="787">
        <f>[17]Sales_SP!IK89</f>
        <v>470.260446609344</v>
      </c>
      <c r="F693" s="787">
        <f>[17]Sales_SP!IL89</f>
        <v>484.792033808526</v>
      </c>
      <c r="G693" s="787">
        <f>[17]Sales_SP!IM89</f>
        <v>470.965166651277</v>
      </c>
      <c r="H693" s="787">
        <f>[17]Sales_SP!IN89</f>
        <v>455.312416150867</v>
      </c>
      <c r="I693" s="787">
        <f>[17]Sales_SP!IO89</f>
        <v>474.159143799044</v>
      </c>
      <c r="J693" s="787">
        <f>[17]Sales_SP!IP89</f>
        <v>445.905724206725</v>
      </c>
      <c r="K693" s="787">
        <f>[17]Sales_SP!IQ89</f>
        <v>455.385876732686</v>
      </c>
      <c r="L693" s="787">
        <f>[17]Sales_SP!IR89</f>
        <v>461.879069666434</v>
      </c>
      <c r="M693" s="787">
        <f>[17]Sales_SP!IS89</f>
        <v>486.252134136544</v>
      </c>
      <c r="N693" s="787">
        <f>[17]Sales_SP!IT89</f>
        <v>472.539656129902</v>
      </c>
      <c r="O693" s="787">
        <f>[17]Sales_SP!IU89</f>
        <v>465.90086265529</v>
      </c>
      <c r="P693" s="787">
        <f>[17]Sales_SP!IV89</f>
        <v>486.055346996795</v>
      </c>
      <c r="Q693" s="866">
        <f t="shared" ref="Q693:Q708" si="153">SUM(E693:P693)</f>
        <v>5629.40787754343</v>
      </c>
      <c r="R693" s="863"/>
      <c r="S693" s="863"/>
    </row>
    <row r="694" ht="15" hidden="1" spans="3:19">
      <c r="C694" s="296" t="s">
        <v>193</v>
      </c>
      <c r="D694" s="296" t="s">
        <v>194</v>
      </c>
      <c r="E694" s="787">
        <f>[17]Sales_SP!IK104</f>
        <v>0.0108243216</v>
      </c>
      <c r="F694" s="787">
        <f>[17]Sales_SP!IL104</f>
        <v>0.02464481541888</v>
      </c>
      <c r="G694" s="787">
        <f>[17]Sales_SP!IM104</f>
        <v>0.00920500308864</v>
      </c>
      <c r="H694" s="787">
        <f>[17]Sales_SP!IN104</f>
        <v>0</v>
      </c>
      <c r="I694" s="787">
        <f>[17]Sales_SP!IO104</f>
        <v>0</v>
      </c>
      <c r="J694" s="787">
        <f>[17]Sales_SP!IP104</f>
        <v>0</v>
      </c>
      <c r="K694" s="787">
        <f>[17]Sales_SP!IQ104</f>
        <v>0</v>
      </c>
      <c r="L694" s="787">
        <f>[17]Sales_SP!IR104</f>
        <v>0.06988290268176</v>
      </c>
      <c r="M694" s="787">
        <f>[17]Sales_SP!IS104</f>
        <v>0.11000216826</v>
      </c>
      <c r="N694" s="787">
        <f>[17]Sales_SP!IT104</f>
        <v>0.04412318213808</v>
      </c>
      <c r="O694" s="787">
        <f>[17]Sales_SP!IU104</f>
        <v>0.01578402575712</v>
      </c>
      <c r="P694" s="787">
        <f>[17]Sales_SP!IV104</f>
        <v>0</v>
      </c>
      <c r="Q694" s="866">
        <f t="shared" si="153"/>
        <v>0.28446641894448</v>
      </c>
      <c r="R694" s="863"/>
      <c r="S694" s="863"/>
    </row>
    <row r="695" ht="15" hidden="1" spans="3:19">
      <c r="C695" s="296" t="s">
        <v>239</v>
      </c>
      <c r="D695" s="296" t="s">
        <v>196</v>
      </c>
      <c r="E695" s="787">
        <f>[17]Sales_SP!IK110</f>
        <v>329.677578180817</v>
      </c>
      <c r="F695" s="787">
        <f>[17]Sales_SP!IL110</f>
        <v>364.277193842191</v>
      </c>
      <c r="G695" s="787">
        <f>[17]Sales_SP!IM110</f>
        <v>365.20678841993</v>
      </c>
      <c r="H695" s="787">
        <f>[17]Sales_SP!IN110</f>
        <v>311.684340129972</v>
      </c>
      <c r="I695" s="787">
        <f>[17]Sales_SP!IO110</f>
        <v>336.319672707496</v>
      </c>
      <c r="J695" s="787">
        <f>[17]Sales_SP!IP110</f>
        <v>313.104187649877</v>
      </c>
      <c r="K695" s="787">
        <f>[17]Sales_SP!IQ110</f>
        <v>326.808067691006</v>
      </c>
      <c r="L695" s="787">
        <f>[17]Sales_SP!IR110</f>
        <v>302.753426838276</v>
      </c>
      <c r="M695" s="787">
        <f>[17]Sales_SP!IS110</f>
        <v>280.016092030168</v>
      </c>
      <c r="N695" s="787">
        <f>[17]Sales_SP!IT110</f>
        <v>280.751655268083</v>
      </c>
      <c r="O695" s="787">
        <f>[17]Sales_SP!IU110</f>
        <v>307.689188263731</v>
      </c>
      <c r="P695" s="787">
        <f>[17]Sales_SP!IV110</f>
        <v>366.491003551275</v>
      </c>
      <c r="Q695" s="866">
        <f t="shared" si="153"/>
        <v>3884.77919457282</v>
      </c>
      <c r="R695" s="863"/>
      <c r="S695" s="863"/>
    </row>
    <row r="696" ht="15" hidden="1" spans="3:19">
      <c r="C696" s="296" t="s">
        <v>197</v>
      </c>
      <c r="D696" s="296" t="s">
        <v>198</v>
      </c>
      <c r="E696" s="787">
        <f>[17]Sales_SP!IK115</f>
        <v>0</v>
      </c>
      <c r="F696" s="787">
        <f>[17]Sales_SP!IL115</f>
        <v>0.05112218848464</v>
      </c>
      <c r="G696" s="787">
        <f>[17]Sales_SP!IM115</f>
        <v>0.03968845757856</v>
      </c>
      <c r="H696" s="787">
        <f>[17]Sales_SP!IN115</f>
        <v>0.02969760874176</v>
      </c>
      <c r="I696" s="787">
        <f>[17]Sales_SP!IO115</f>
        <v>0.02698611618096</v>
      </c>
      <c r="J696" s="787">
        <f>[17]Sales_SP!IP115</f>
        <v>0.03241559589552</v>
      </c>
      <c r="K696" s="787">
        <f>[17]Sales_SP!IQ115</f>
        <v>0.02755547549712</v>
      </c>
      <c r="L696" s="787">
        <f>[17]Sales_SP!IR115</f>
        <v>0.02811292805952</v>
      </c>
      <c r="M696" s="787">
        <f>[17]Sales_SP!IS115</f>
        <v>0.03064473688176</v>
      </c>
      <c r="N696" s="787">
        <f>[17]Sales_SP!IT115</f>
        <v>0.03069128146464</v>
      </c>
      <c r="O696" s="787">
        <f>[17]Sales_SP!IU115</f>
        <v>0.03199561221744</v>
      </c>
      <c r="P696" s="787">
        <f>[17]Sales_SP!IV115</f>
        <v>0.03620410845552</v>
      </c>
      <c r="Q696" s="866">
        <f t="shared" si="153"/>
        <v>0.36511410945744</v>
      </c>
      <c r="R696" s="863"/>
      <c r="S696" s="863"/>
    </row>
    <row r="697" ht="15" hidden="1" spans="3:19">
      <c r="C697" s="296" t="s">
        <v>199</v>
      </c>
      <c r="D697" s="296" t="s">
        <v>200</v>
      </c>
      <c r="E697" s="787">
        <f>[17]Sales_SP!IK120</f>
        <v>0.502833815908796</v>
      </c>
      <c r="F697" s="787">
        <f>[17]Sales_SP!IL120</f>
        <v>0.577751338265527</v>
      </c>
      <c r="G697" s="787">
        <f>[17]Sales_SP!IM120</f>
        <v>0.586386083411058</v>
      </c>
      <c r="H697" s="787">
        <f>[17]Sales_SP!IN120</f>
        <v>0.528113090404943</v>
      </c>
      <c r="I697" s="787">
        <f>[17]Sales_SP!IO120</f>
        <v>0.523131861643328</v>
      </c>
      <c r="J697" s="787">
        <f>[17]Sales_SP!IP120</f>
        <v>0.52173163270081</v>
      </c>
      <c r="K697" s="787">
        <f>[17]Sales_SP!IQ120</f>
        <v>0.529742735388892</v>
      </c>
      <c r="L697" s="787">
        <f>[17]Sales_SP!IR120</f>
        <v>0.494404754110753</v>
      </c>
      <c r="M697" s="787">
        <f>[17]Sales_SP!IS120</f>
        <v>0.463848910661725</v>
      </c>
      <c r="N697" s="787">
        <f>[17]Sales_SP!IT120</f>
        <v>0.487996926746685</v>
      </c>
      <c r="O697" s="787">
        <f>[17]Sales_SP!IU120</f>
        <v>0.512073744749822</v>
      </c>
      <c r="P697" s="787">
        <f>[17]Sales_SP!IV120</f>
        <v>0.627237960581488</v>
      </c>
      <c r="Q697" s="866">
        <f t="shared" si="153"/>
        <v>6.35525285457383</v>
      </c>
      <c r="R697" s="863"/>
      <c r="S697" s="863"/>
    </row>
    <row r="698" ht="15" hidden="1" spans="3:19">
      <c r="C698" s="296" t="s">
        <v>201</v>
      </c>
      <c r="D698" s="296" t="s">
        <v>202</v>
      </c>
      <c r="E698" s="787">
        <f>[17]Sales_SP!IK126</f>
        <v>2.23914888</v>
      </c>
      <c r="F698" s="787">
        <f>[17]Sales_SP!IL126</f>
        <v>0.408619201608</v>
      </c>
      <c r="G698" s="787">
        <f>[17]Sales_SP!IM126</f>
        <v>0.667135837656</v>
      </c>
      <c r="H698" s="787">
        <f>[17]Sales_SP!IN126</f>
        <v>1.10754365224896</v>
      </c>
      <c r="I698" s="787">
        <f>[17]Sales_SP!IO126</f>
        <v>1.91918227309056</v>
      </c>
      <c r="J698" s="787">
        <f>[17]Sales_SP!IP126</f>
        <v>1.794170569896</v>
      </c>
      <c r="K698" s="787">
        <f>[17]Sales_SP!IQ126</f>
        <v>3.509570853576</v>
      </c>
      <c r="L698" s="787">
        <f>[17]Sales_SP!IR126</f>
        <v>1.49134460521464</v>
      </c>
      <c r="M698" s="787">
        <f>[17]Sales_SP!IS126</f>
        <v>1.314161783712</v>
      </c>
      <c r="N698" s="787">
        <f>[17]Sales_SP!IT126</f>
        <v>1.644815625372</v>
      </c>
      <c r="O698" s="787">
        <f>[17]Sales_SP!IU126</f>
        <v>1.914841592784</v>
      </c>
      <c r="P698" s="787">
        <f>[17]Sales_SP!IV126</f>
        <v>0.90943933788</v>
      </c>
      <c r="Q698" s="866">
        <f t="shared" si="153"/>
        <v>18.9199742130382</v>
      </c>
      <c r="R698" s="863"/>
      <c r="S698" s="863"/>
    </row>
    <row r="699" ht="15" hidden="1" spans="3:19">
      <c r="C699" s="296" t="s">
        <v>203</v>
      </c>
      <c r="D699" s="296" t="s">
        <v>204</v>
      </c>
      <c r="E699" s="787">
        <f>[17]Sales_SP!IK127+[17]Sales_SP!IK128</f>
        <v>16.0360448647928</v>
      </c>
      <c r="F699" s="787">
        <f>[17]Sales_SP!IL127+[17]Sales_SP!IL128</f>
        <v>15.3571837145695</v>
      </c>
      <c r="G699" s="787">
        <f>[17]Sales_SP!IM127+[17]Sales_SP!IM128</f>
        <v>15.2963162527872</v>
      </c>
      <c r="H699" s="787">
        <f>[17]Sales_SP!IN127+[17]Sales_SP!IN128</f>
        <v>15.1167839862072</v>
      </c>
      <c r="I699" s="787">
        <f>[17]Sales_SP!IO127+[17]Sales_SP!IO128</f>
        <v>15.2216453375199</v>
      </c>
      <c r="J699" s="787">
        <f>[17]Sales_SP!IP127+[17]Sales_SP!IP128</f>
        <v>14.5685108931748</v>
      </c>
      <c r="K699" s="787">
        <f>[17]Sales_SP!IQ127+[17]Sales_SP!IQ128</f>
        <v>15.5702747057217</v>
      </c>
      <c r="L699" s="787">
        <f>[17]Sales_SP!IR127+[17]Sales_SP!IR128</f>
        <v>15.6151554963989</v>
      </c>
      <c r="M699" s="787">
        <f>[17]Sales_SP!IS127+[17]Sales_SP!IS128</f>
        <v>15.8225497365458</v>
      </c>
      <c r="N699" s="787">
        <f>[17]Sales_SP!IT127+[17]Sales_SP!IT128</f>
        <v>16.069425725897</v>
      </c>
      <c r="O699" s="787">
        <f>[17]Sales_SP!IU127+[17]Sales_SP!IU128</f>
        <v>15.087082498518</v>
      </c>
      <c r="P699" s="787">
        <f>[17]Sales_SP!IV127+[17]Sales_SP!IV128</f>
        <v>16.4694370268031</v>
      </c>
      <c r="Q699" s="866">
        <f t="shared" si="153"/>
        <v>186.230410238936</v>
      </c>
      <c r="R699" s="863"/>
      <c r="S699" s="863"/>
    </row>
    <row r="700" ht="15" hidden="1" spans="3:19">
      <c r="C700" s="296" t="s">
        <v>205</v>
      </c>
      <c r="D700" s="296" t="s">
        <v>206</v>
      </c>
      <c r="E700" s="787">
        <f>[17]Sales_SP!IK131</f>
        <v>37.4614040238201</v>
      </c>
      <c r="F700" s="787">
        <f>[17]Sales_SP!IL131</f>
        <v>42.9822668558293</v>
      </c>
      <c r="G700" s="787">
        <f>[17]Sales_SP!IM131</f>
        <v>43.012875140117</v>
      </c>
      <c r="H700" s="787">
        <f>[17]Sales_SP!IN131</f>
        <v>33.0773789439213</v>
      </c>
      <c r="I700" s="787">
        <f>[17]Sales_SP!IO131</f>
        <v>34.4728352448507</v>
      </c>
      <c r="J700" s="787">
        <f>[17]Sales_SP!IP131</f>
        <v>32.7348446101289</v>
      </c>
      <c r="K700" s="787">
        <f>[17]Sales_SP!IQ131</f>
        <v>33.0484042858091</v>
      </c>
      <c r="L700" s="787">
        <f>[17]Sales_SP!IR131</f>
        <v>31.249021303563</v>
      </c>
      <c r="M700" s="787">
        <f>[17]Sales_SP!IS131</f>
        <v>30.0269161242637</v>
      </c>
      <c r="N700" s="787">
        <f>[17]Sales_SP!IT131</f>
        <v>30.763090643338</v>
      </c>
      <c r="O700" s="787">
        <f>[17]Sales_SP!IU131</f>
        <v>32.4368815072639</v>
      </c>
      <c r="P700" s="787">
        <f>[17]Sales_SP!IV131</f>
        <v>44.5666042510068</v>
      </c>
      <c r="Q700" s="866">
        <f t="shared" si="153"/>
        <v>425.832522933912</v>
      </c>
      <c r="R700" s="863"/>
      <c r="S700" s="863"/>
    </row>
    <row r="701" ht="15" hidden="1" spans="3:19">
      <c r="C701" s="296" t="s">
        <v>207</v>
      </c>
      <c r="D701" s="296" t="s">
        <v>186</v>
      </c>
      <c r="E701" s="787">
        <f>[17]Sales_SP!IK132</f>
        <v>30.7846533517835</v>
      </c>
      <c r="F701" s="787">
        <f>[17]Sales_SP!IL132</f>
        <v>33.629130639915</v>
      </c>
      <c r="G701" s="787">
        <f>[17]Sales_SP!IM132</f>
        <v>33.4085909315106</v>
      </c>
      <c r="H701" s="787">
        <f>[17]Sales_SP!IN132</f>
        <v>31.4580090812115</v>
      </c>
      <c r="I701" s="787">
        <f>[17]Sales_SP!IO132</f>
        <v>35.5699455428689</v>
      </c>
      <c r="J701" s="787">
        <f>[17]Sales_SP!IP132</f>
        <v>34.6234121173544</v>
      </c>
      <c r="K701" s="787">
        <f>[17]Sales_SP!IQ132</f>
        <v>36.0104514721012</v>
      </c>
      <c r="L701" s="787">
        <f>[17]Sales_SP!IR132</f>
        <v>34.5944494128745</v>
      </c>
      <c r="M701" s="787">
        <f>[17]Sales_SP!IS132</f>
        <v>35.8125209599932</v>
      </c>
      <c r="N701" s="787">
        <f>[17]Sales_SP!IT132</f>
        <v>34.6890823123518</v>
      </c>
      <c r="O701" s="787">
        <f>[17]Sales_SP!IU132</f>
        <v>35.1203742736718</v>
      </c>
      <c r="P701" s="787">
        <f>[17]Sales_SP!IV132</f>
        <v>39.3771985941404</v>
      </c>
      <c r="Q701" s="866">
        <f t="shared" si="153"/>
        <v>415.077818689777</v>
      </c>
      <c r="R701" s="863"/>
      <c r="S701" s="863"/>
    </row>
    <row r="702" ht="15" hidden="1" spans="3:19">
      <c r="C702" s="296" t="s">
        <v>208</v>
      </c>
      <c r="D702" s="296" t="s">
        <v>209</v>
      </c>
      <c r="E702" s="787">
        <f>[17]Sales_SP!IK133</f>
        <v>0</v>
      </c>
      <c r="F702" s="787">
        <f>[17]Sales_SP!IL133</f>
        <v>0</v>
      </c>
      <c r="G702" s="787">
        <f>[17]Sales_SP!IM133</f>
        <v>0</v>
      </c>
      <c r="H702" s="787">
        <f>[17]Sales_SP!IN133</f>
        <v>0</v>
      </c>
      <c r="I702" s="787">
        <f>[17]Sales_SP!IO133</f>
        <v>0</v>
      </c>
      <c r="J702" s="787">
        <f>[17]Sales_SP!IP133</f>
        <v>0</v>
      </c>
      <c r="K702" s="787">
        <f>[17]Sales_SP!IQ133</f>
        <v>0</v>
      </c>
      <c r="L702" s="787">
        <f>[17]Sales_SP!IR133</f>
        <v>0</v>
      </c>
      <c r="M702" s="787">
        <f>[17]Sales_SP!IS133</f>
        <v>0</v>
      </c>
      <c r="N702" s="787">
        <f>[17]Sales_SP!IT133</f>
        <v>0</v>
      </c>
      <c r="O702" s="787">
        <f>[17]Sales_SP!IU133</f>
        <v>0</v>
      </c>
      <c r="P702" s="787">
        <f>[17]Sales_SP!IV133</f>
        <v>0</v>
      </c>
      <c r="Q702" s="866">
        <f t="shared" si="153"/>
        <v>0</v>
      </c>
      <c r="R702" s="863"/>
      <c r="S702" s="863"/>
    </row>
    <row r="703" ht="15" hidden="1" spans="3:19">
      <c r="C703" s="296" t="s">
        <v>210</v>
      </c>
      <c r="D703" s="296" t="s">
        <v>188</v>
      </c>
      <c r="E703" s="787">
        <f>[17]Sales_SP!IK134</f>
        <v>0.8793267472</v>
      </c>
      <c r="F703" s="787">
        <f>[17]Sales_SP!IL134</f>
        <v>1.0892406206</v>
      </c>
      <c r="G703" s="787">
        <f>[17]Sales_SP!IM134</f>
        <v>1.1773501586</v>
      </c>
      <c r="H703" s="787">
        <f>[17]Sales_SP!IN134</f>
        <v>1.1057146738</v>
      </c>
      <c r="I703" s="787">
        <f>[17]Sales_SP!IO134</f>
        <v>1.1702478095</v>
      </c>
      <c r="J703" s="787">
        <f>[17]Sales_SP!IP134</f>
        <v>1.3585135003</v>
      </c>
      <c r="K703" s="787">
        <f>[17]Sales_SP!IQ134</f>
        <v>1.6437216444</v>
      </c>
      <c r="L703" s="787">
        <f>[17]Sales_SP!IR134</f>
        <v>1.6258552321</v>
      </c>
      <c r="M703" s="787">
        <f>[17]Sales_SP!IS134</f>
        <v>1.6831762112</v>
      </c>
      <c r="N703" s="787">
        <f>[17]Sales_SP!IT134</f>
        <v>1.7933014209</v>
      </c>
      <c r="O703" s="787">
        <f>[17]Sales_SP!IU134</f>
        <v>1.8723555004</v>
      </c>
      <c r="P703" s="787">
        <f>[17]Sales_SP!IV134</f>
        <v>2.2021806279</v>
      </c>
      <c r="Q703" s="866">
        <f t="shared" si="153"/>
        <v>17.6009841469</v>
      </c>
      <c r="R703" s="863"/>
      <c r="S703" s="863"/>
    </row>
    <row r="704" ht="15" hidden="1" spans="3:19">
      <c r="C704" s="296"/>
      <c r="D704" s="296"/>
      <c r="E704" s="787"/>
      <c r="F704" s="787"/>
      <c r="G704" s="787"/>
      <c r="H704" s="787"/>
      <c r="I704" s="787"/>
      <c r="J704" s="787"/>
      <c r="K704" s="787"/>
      <c r="L704" s="787"/>
      <c r="M704" s="787"/>
      <c r="N704" s="787"/>
      <c r="O704" s="787"/>
      <c r="P704" s="787"/>
      <c r="Q704" s="866">
        <f t="shared" si="153"/>
        <v>0</v>
      </c>
      <c r="R704" s="863"/>
      <c r="S704" s="863"/>
    </row>
    <row r="705" ht="15" hidden="1" spans="3:19">
      <c r="C705" s="296"/>
      <c r="D705" s="296"/>
      <c r="E705" s="787"/>
      <c r="F705" s="787"/>
      <c r="G705" s="787"/>
      <c r="H705" s="787"/>
      <c r="I705" s="787"/>
      <c r="J705" s="787"/>
      <c r="K705" s="787"/>
      <c r="L705" s="787"/>
      <c r="M705" s="787"/>
      <c r="N705" s="787"/>
      <c r="O705" s="787"/>
      <c r="P705" s="787"/>
      <c r="Q705" s="866">
        <f t="shared" si="153"/>
        <v>0</v>
      </c>
      <c r="R705" s="863"/>
      <c r="S705" s="863"/>
    </row>
    <row r="706" ht="15" hidden="1" spans="3:19">
      <c r="C706" s="296"/>
      <c r="D706" s="296"/>
      <c r="E706" s="787"/>
      <c r="F706" s="787"/>
      <c r="G706" s="787"/>
      <c r="H706" s="787"/>
      <c r="I706" s="787"/>
      <c r="J706" s="787"/>
      <c r="K706" s="787"/>
      <c r="L706" s="787"/>
      <c r="M706" s="787"/>
      <c r="N706" s="787"/>
      <c r="O706" s="787"/>
      <c r="P706" s="787"/>
      <c r="Q706" s="866">
        <f t="shared" si="153"/>
        <v>0</v>
      </c>
      <c r="R706" s="863"/>
      <c r="S706" s="863"/>
    </row>
    <row r="707" ht="15" hidden="1" spans="3:19">
      <c r="C707" s="296" t="s">
        <v>258</v>
      </c>
      <c r="D707" s="296" t="s">
        <v>258</v>
      </c>
      <c r="E707" s="787"/>
      <c r="F707" s="787"/>
      <c r="G707" s="787"/>
      <c r="H707" s="787"/>
      <c r="I707" s="787"/>
      <c r="J707" s="787"/>
      <c r="K707" s="787"/>
      <c r="L707" s="787"/>
      <c r="M707" s="787"/>
      <c r="N707" s="787"/>
      <c r="O707" s="787"/>
      <c r="P707" s="787"/>
      <c r="Q707" s="866">
        <f t="shared" si="153"/>
        <v>0</v>
      </c>
      <c r="R707" s="863"/>
      <c r="S707" s="863"/>
    </row>
    <row r="708" ht="15" hidden="1" spans="3:19">
      <c r="C708" s="285" t="s">
        <v>211</v>
      </c>
      <c r="D708" s="286"/>
      <c r="E708" s="866">
        <f t="shared" ref="E708:P708" si="154">SUM(E693:E707)</f>
        <v>887.852260795266</v>
      </c>
      <c r="F708" s="866">
        <f t="shared" si="154"/>
        <v>943.189187025408</v>
      </c>
      <c r="G708" s="866">
        <f t="shared" si="154"/>
        <v>930.369502935956</v>
      </c>
      <c r="H708" s="866">
        <f t="shared" si="154"/>
        <v>849.419997317375</v>
      </c>
      <c r="I708" s="866">
        <f t="shared" si="154"/>
        <v>899.382790692194</v>
      </c>
      <c r="J708" s="866">
        <f t="shared" si="154"/>
        <v>844.643510776052</v>
      </c>
      <c r="K708" s="866">
        <f t="shared" si="154"/>
        <v>872.533665596186</v>
      </c>
      <c r="L708" s="866">
        <f t="shared" si="154"/>
        <v>849.800723139713</v>
      </c>
      <c r="M708" s="866">
        <f t="shared" si="154"/>
        <v>851.53204679823</v>
      </c>
      <c r="N708" s="866">
        <f t="shared" si="154"/>
        <v>838.813838516193</v>
      </c>
      <c r="O708" s="866">
        <f t="shared" si="154"/>
        <v>860.581439674383</v>
      </c>
      <c r="P708" s="866">
        <f t="shared" si="154"/>
        <v>956.734652454837</v>
      </c>
      <c r="Q708" s="866">
        <f t="shared" si="153"/>
        <v>10584.8536157218</v>
      </c>
      <c r="R708" s="863"/>
      <c r="S708" s="863"/>
    </row>
    <row r="709" ht="15" hidden="1" spans="3:19">
      <c r="C709" s="285" t="s">
        <v>212</v>
      </c>
      <c r="D709" s="286"/>
      <c r="E709" s="787"/>
      <c r="F709" s="787"/>
      <c r="G709" s="787"/>
      <c r="H709" s="787"/>
      <c r="I709" s="787"/>
      <c r="J709" s="787"/>
      <c r="K709" s="787"/>
      <c r="L709" s="787"/>
      <c r="M709" s="787"/>
      <c r="N709" s="787"/>
      <c r="O709" s="787"/>
      <c r="P709" s="787"/>
      <c r="Q709" s="866"/>
      <c r="R709" s="863"/>
      <c r="S709" s="863"/>
    </row>
    <row r="710" ht="15" hidden="1" spans="3:19">
      <c r="C710" s="296" t="s">
        <v>191</v>
      </c>
      <c r="D710" s="296" t="s">
        <v>192</v>
      </c>
      <c r="E710" s="787">
        <f>[17]Sales_SP!IK152</f>
        <v>786.885553584298</v>
      </c>
      <c r="F710" s="787">
        <f>[17]Sales_SP!IL152</f>
        <v>839.376072856808</v>
      </c>
      <c r="G710" s="787">
        <f>[17]Sales_SP!IM152</f>
        <v>818.240858528784</v>
      </c>
      <c r="H710" s="787">
        <f>[17]Sales_SP!IN152</f>
        <v>817.637684099481</v>
      </c>
      <c r="I710" s="787">
        <f>[17]Sales_SP!IO152</f>
        <v>837.931455965055</v>
      </c>
      <c r="J710" s="787">
        <f>[17]Sales_SP!IP152</f>
        <v>816.625216226542</v>
      </c>
      <c r="K710" s="787">
        <f>[17]Sales_SP!IQ152</f>
        <v>835.773315644608</v>
      </c>
      <c r="L710" s="787">
        <f>[17]Sales_SP!IR152</f>
        <v>838.915748034035</v>
      </c>
      <c r="M710" s="787">
        <f>[17]Sales_SP!IS152</f>
        <v>855.814763935738</v>
      </c>
      <c r="N710" s="787">
        <f>[17]Sales_SP!IT152</f>
        <v>851.999270381472</v>
      </c>
      <c r="O710" s="787">
        <f>[17]Sales_SP!IU152</f>
        <v>829.51285243775</v>
      </c>
      <c r="P710" s="787">
        <f>[17]Sales_SP!IV152</f>
        <v>926.677889639326</v>
      </c>
      <c r="Q710" s="866">
        <f t="shared" ref="Q710:Q725" si="155">SUM(E710:P710)</f>
        <v>10055.3906813339</v>
      </c>
      <c r="R710" s="863"/>
      <c r="S710" s="863"/>
    </row>
    <row r="711" ht="15" hidden="1" spans="3:19">
      <c r="C711" s="296" t="s">
        <v>193</v>
      </c>
      <c r="D711" s="296" t="s">
        <v>194</v>
      </c>
      <c r="E711" s="787">
        <f>[17]Sales_SP!IK168</f>
        <v>0</v>
      </c>
      <c r="F711" s="787">
        <f>[17]Sales_SP!IL168</f>
        <v>0</v>
      </c>
      <c r="G711" s="787">
        <f>[17]Sales_SP!IM168</f>
        <v>0</v>
      </c>
      <c r="H711" s="787">
        <f>[17]Sales_SP!IN168</f>
        <v>0</v>
      </c>
      <c r="I711" s="787">
        <f>[17]Sales_SP!IO168</f>
        <v>0</v>
      </c>
      <c r="J711" s="787">
        <f>[17]Sales_SP!IP168</f>
        <v>0</v>
      </c>
      <c r="K711" s="787">
        <f>[17]Sales_SP!IQ168</f>
        <v>0</v>
      </c>
      <c r="L711" s="787">
        <f>[17]Sales_SP!IR168</f>
        <v>0</v>
      </c>
      <c r="M711" s="787">
        <f>[17]Sales_SP!IS168</f>
        <v>0</v>
      </c>
      <c r="N711" s="787">
        <f>[17]Sales_SP!IT168</f>
        <v>0</v>
      </c>
      <c r="O711" s="787">
        <f>[17]Sales_SP!IU168</f>
        <v>0</v>
      </c>
      <c r="P711" s="787">
        <f>[17]Sales_SP!IV168</f>
        <v>0</v>
      </c>
      <c r="Q711" s="866">
        <f t="shared" si="155"/>
        <v>0</v>
      </c>
      <c r="R711" s="863"/>
      <c r="S711" s="863"/>
    </row>
    <row r="712" ht="15" hidden="1" spans="3:19">
      <c r="C712" s="296" t="s">
        <v>239</v>
      </c>
      <c r="D712" s="296" t="s">
        <v>196</v>
      </c>
      <c r="E712" s="787">
        <f>[17]Sales_SP!IK174</f>
        <v>297.363522552856</v>
      </c>
      <c r="F712" s="787">
        <f>[17]Sales_SP!IL174</f>
        <v>321.531714114822</v>
      </c>
      <c r="G712" s="787">
        <f>[17]Sales_SP!IM174</f>
        <v>323.394609132329</v>
      </c>
      <c r="H712" s="787">
        <f>[17]Sales_SP!IN174</f>
        <v>300.09530469772</v>
      </c>
      <c r="I712" s="787">
        <f>[17]Sales_SP!IO174</f>
        <v>301.526622396847</v>
      </c>
      <c r="J712" s="787">
        <f>[17]Sales_SP!IP174</f>
        <v>282.664173741666</v>
      </c>
      <c r="K712" s="787">
        <f>[17]Sales_SP!IQ174</f>
        <v>277.483646267226</v>
      </c>
      <c r="L712" s="787">
        <f>[17]Sales_SP!IR174</f>
        <v>277.483646267226</v>
      </c>
      <c r="M712" s="787">
        <f>[17]Sales_SP!IS174</f>
        <v>259.837055890266</v>
      </c>
      <c r="N712" s="787">
        <f>[17]Sales_SP!IT174</f>
        <v>262.379951099788</v>
      </c>
      <c r="O712" s="787">
        <f>[17]Sales_SP!IU174</f>
        <v>268.188952133766</v>
      </c>
      <c r="P712" s="787">
        <f>[17]Sales_SP!IV174</f>
        <v>315.092621182658</v>
      </c>
      <c r="Q712" s="866">
        <f t="shared" si="155"/>
        <v>3487.04181947717</v>
      </c>
      <c r="R712" s="863"/>
      <c r="S712" s="863"/>
    </row>
    <row r="713" ht="15" hidden="1" spans="3:19">
      <c r="C713" s="296" t="s">
        <v>197</v>
      </c>
      <c r="D713" s="296" t="s">
        <v>198</v>
      </c>
      <c r="E713" s="787">
        <f>[17]Sales_SP!IK180</f>
        <v>0</v>
      </c>
      <c r="F713" s="787">
        <f>[17]Sales_SP!IL180</f>
        <v>0.462090289104</v>
      </c>
      <c r="G713" s="787">
        <f>[17]Sales_SP!IM180</f>
        <v>0.448072792632</v>
      </c>
      <c r="H713" s="787">
        <f>[17]Sales_SP!IN180</f>
        <v>0.375982810776</v>
      </c>
      <c r="I713" s="787">
        <f>[17]Sales_SP!IO180</f>
        <v>0.398930372568</v>
      </c>
      <c r="J713" s="787">
        <f>[17]Sales_SP!IP180</f>
        <v>0.3630802194288</v>
      </c>
      <c r="K713" s="787">
        <f>[17]Sales_SP!IQ180</f>
        <v>0.3764374322832</v>
      </c>
      <c r="L713" s="787">
        <f>[17]Sales_SP!IR180</f>
        <v>0.317585595744</v>
      </c>
      <c r="M713" s="787">
        <f>[17]Sales_SP!IS180</f>
        <v>0.329925322368</v>
      </c>
      <c r="N713" s="787">
        <f>[17]Sales_SP!IT180</f>
        <v>0.289875332448</v>
      </c>
      <c r="O713" s="787">
        <f>[17]Sales_SP!IU180</f>
        <v>0.326461539456</v>
      </c>
      <c r="P713" s="787">
        <f>[17]Sales_SP!IV180</f>
        <v>0.446395022784</v>
      </c>
      <c r="Q713" s="866">
        <f t="shared" si="155"/>
        <v>4.134836729592</v>
      </c>
      <c r="R713" s="863"/>
      <c r="S713" s="863"/>
    </row>
    <row r="714" ht="15" hidden="1" spans="3:19">
      <c r="C714" s="296" t="s">
        <v>199</v>
      </c>
      <c r="D714" s="296" t="s">
        <v>200</v>
      </c>
      <c r="E714" s="787">
        <f>[17]Sales_SP!IK185</f>
        <v>0</v>
      </c>
      <c r="F714" s="787">
        <f>[17]Sales_SP!IL185</f>
        <v>0</v>
      </c>
      <c r="G714" s="787">
        <f>[17]Sales_SP!IM185</f>
        <v>0</v>
      </c>
      <c r="H714" s="787">
        <f>[17]Sales_SP!IN185</f>
        <v>0</v>
      </c>
      <c r="I714" s="787">
        <f>[17]Sales_SP!IO185</f>
        <v>0</v>
      </c>
      <c r="J714" s="787">
        <f>[17]Sales_SP!IP185</f>
        <v>0</v>
      </c>
      <c r="K714" s="787">
        <f>[17]Sales_SP!IQ185</f>
        <v>0</v>
      </c>
      <c r="L714" s="787">
        <f>[17]Sales_SP!IR185</f>
        <v>0</v>
      </c>
      <c r="M714" s="787">
        <f>[17]Sales_SP!IS185</f>
        <v>0</v>
      </c>
      <c r="N714" s="787">
        <f>[17]Sales_SP!IT185</f>
        <v>0</v>
      </c>
      <c r="O714" s="787">
        <f>[17]Sales_SP!IU185</f>
        <v>0</v>
      </c>
      <c r="P714" s="787">
        <f>[17]Sales_SP!IV185</f>
        <v>0</v>
      </c>
      <c r="Q714" s="866">
        <f t="shared" si="155"/>
        <v>0</v>
      </c>
      <c r="R714" s="863"/>
      <c r="S714" s="863"/>
    </row>
    <row r="715" ht="15" hidden="1" spans="3:19">
      <c r="C715" s="296" t="s">
        <v>201</v>
      </c>
      <c r="D715" s="296" t="s">
        <v>202</v>
      </c>
      <c r="E715" s="787">
        <f>[17]Sales_SP!IK191</f>
        <v>2.70077658610091</v>
      </c>
      <c r="F715" s="787">
        <f>[17]Sales_SP!IL191</f>
        <v>4.32092479445308</v>
      </c>
      <c r="G715" s="787">
        <f>[17]Sales_SP!IM191</f>
        <v>4.05909807809245</v>
      </c>
      <c r="H715" s="787">
        <f>[17]Sales_SP!IN191</f>
        <v>4.59626079330371</v>
      </c>
      <c r="I715" s="787">
        <f>[17]Sales_SP!IO191</f>
        <v>7.77765009274001</v>
      </c>
      <c r="J715" s="787">
        <f>[17]Sales_SP!IP191</f>
        <v>7.33022390272362</v>
      </c>
      <c r="K715" s="787">
        <f>[17]Sales_SP!IQ191</f>
        <v>9.7316572177857</v>
      </c>
      <c r="L715" s="787">
        <f>[17]Sales_SP!IR191</f>
        <v>9.50130370298323</v>
      </c>
      <c r="M715" s="787">
        <f>[17]Sales_SP!IS191</f>
        <v>7.80455443626927</v>
      </c>
      <c r="N715" s="787">
        <f>[17]Sales_SP!IT191</f>
        <v>9.81338785766174</v>
      </c>
      <c r="O715" s="787">
        <f>[17]Sales_SP!IU191</f>
        <v>10.0649865622986</v>
      </c>
      <c r="P715" s="787">
        <f>[17]Sales_SP!IV191</f>
        <v>12.4781431517121</v>
      </c>
      <c r="Q715" s="866">
        <f t="shared" si="155"/>
        <v>90.1789671761244</v>
      </c>
      <c r="R715" s="863"/>
      <c r="S715" s="863"/>
    </row>
    <row r="716" ht="15" hidden="1" spans="3:19">
      <c r="C716" s="296" t="s">
        <v>203</v>
      </c>
      <c r="D716" s="296" t="s">
        <v>204</v>
      </c>
      <c r="E716" s="787">
        <f>[17]Sales_SP!IK192+[17]Sales_SP!IK193</f>
        <v>26.5324982974759</v>
      </c>
      <c r="F716" s="787">
        <f>[17]Sales_SP!IL192+[17]Sales_SP!IL193</f>
        <v>27.509251080372</v>
      </c>
      <c r="G716" s="787">
        <f>[17]Sales_SP!IM192+[17]Sales_SP!IM193</f>
        <v>26.0966832933071</v>
      </c>
      <c r="H716" s="787">
        <f>[17]Sales_SP!IN192+[17]Sales_SP!IN193</f>
        <v>26.2671633715087</v>
      </c>
      <c r="I716" s="787">
        <f>[17]Sales_SP!IO192+[17]Sales_SP!IO193</f>
        <v>28.4878559893035</v>
      </c>
      <c r="J716" s="787">
        <f>[17]Sales_SP!IP192+[17]Sales_SP!IP193</f>
        <v>26.7632147133001</v>
      </c>
      <c r="K716" s="787">
        <f>[17]Sales_SP!IQ192+[17]Sales_SP!IQ193</f>
        <v>26.3577680774245</v>
      </c>
      <c r="L716" s="787">
        <f>[17]Sales_SP!IR192+[17]Sales_SP!IR193</f>
        <v>27.9327315750136</v>
      </c>
      <c r="M716" s="787">
        <f>[17]Sales_SP!IS192+[17]Sales_SP!IS193</f>
        <v>27.1226246444915</v>
      </c>
      <c r="N716" s="787">
        <f>[17]Sales_SP!IT192+[17]Sales_SP!IT193</f>
        <v>28.6411730329102</v>
      </c>
      <c r="O716" s="787">
        <f>[17]Sales_SP!IU192+[17]Sales_SP!IU193</f>
        <v>27.545819196868</v>
      </c>
      <c r="P716" s="787">
        <f>[17]Sales_SP!IV192+[17]Sales_SP!IV193</f>
        <v>30.4589859965275</v>
      </c>
      <c r="Q716" s="866">
        <f t="shared" si="155"/>
        <v>329.715769268503</v>
      </c>
      <c r="R716" s="863"/>
      <c r="S716" s="863"/>
    </row>
    <row r="717" ht="15" hidden="1" spans="3:19">
      <c r="C717" s="296" t="s">
        <v>213</v>
      </c>
      <c r="D717" s="296" t="s">
        <v>229</v>
      </c>
      <c r="E717" s="787">
        <f>[17]Sales_SP!IK194</f>
        <v>1.08039057525</v>
      </c>
      <c r="F717" s="787">
        <f>[17]Sales_SP!IL194</f>
        <v>1.90182362146875</v>
      </c>
      <c r="G717" s="787">
        <f>[17]Sales_SP!IM194</f>
        <v>1.7896020069375</v>
      </c>
      <c r="H717" s="787">
        <f>[17]Sales_SP!IN194</f>
        <v>2.10952932946875</v>
      </c>
      <c r="I717" s="787">
        <f>[17]Sales_SP!IO194</f>
        <v>2.218177355625</v>
      </c>
      <c r="J717" s="787">
        <f>[17]Sales_SP!IP194</f>
        <v>2.040956544375</v>
      </c>
      <c r="K717" s="787">
        <f>[17]Sales_SP!IQ194</f>
        <v>0</v>
      </c>
      <c r="L717" s="787">
        <f>[17]Sales_SP!IR194</f>
        <v>0</v>
      </c>
      <c r="M717" s="787">
        <f>[17]Sales_SP!IS194</f>
        <v>0</v>
      </c>
      <c r="N717" s="787">
        <f>[17]Sales_SP!IT194</f>
        <v>0</v>
      </c>
      <c r="O717" s="787">
        <f>[17]Sales_SP!IU194</f>
        <v>0</v>
      </c>
      <c r="P717" s="787">
        <f>[17]Sales_SP!IV194</f>
        <v>0</v>
      </c>
      <c r="Q717" s="866">
        <f t="shared" si="155"/>
        <v>11.140479433125</v>
      </c>
      <c r="R717" s="863"/>
      <c r="S717" s="863"/>
    </row>
    <row r="718" ht="15" hidden="1" spans="3:19">
      <c r="C718" s="296" t="s">
        <v>205</v>
      </c>
      <c r="D718" s="296" t="s">
        <v>206</v>
      </c>
      <c r="E718" s="787">
        <f>[17]Sales_SP!IK196</f>
        <v>23.7916309222181</v>
      </c>
      <c r="F718" s="787">
        <f>[17]Sales_SP!IL196</f>
        <v>26.2632784256247</v>
      </c>
      <c r="G718" s="787">
        <f>[17]Sales_SP!IM196</f>
        <v>27.0892372820073</v>
      </c>
      <c r="H718" s="787">
        <f>[17]Sales_SP!IN196</f>
        <v>19.9039345751448</v>
      </c>
      <c r="I718" s="787">
        <f>[17]Sales_SP!IO196</f>
        <v>20.5077873174806</v>
      </c>
      <c r="J718" s="787">
        <f>[17]Sales_SP!IP196</f>
        <v>18.731399955242</v>
      </c>
      <c r="K718" s="787">
        <f>[17]Sales_SP!IQ196</f>
        <v>19.9367437176472</v>
      </c>
      <c r="L718" s="787">
        <f>[17]Sales_SP!IR196</f>
        <v>18.4797788266767</v>
      </c>
      <c r="M718" s="787">
        <f>[17]Sales_SP!IS196</f>
        <v>17.8985401798963</v>
      </c>
      <c r="N718" s="787">
        <f>[17]Sales_SP!IT196</f>
        <v>17.9274205629783</v>
      </c>
      <c r="O718" s="787">
        <f>[17]Sales_SP!IU196</f>
        <v>20.1415677568583</v>
      </c>
      <c r="P718" s="787">
        <f>[17]Sales_SP!IV196</f>
        <v>26.2182102881898</v>
      </c>
      <c r="Q718" s="866">
        <f t="shared" si="155"/>
        <v>256.889529809964</v>
      </c>
      <c r="R718" s="863"/>
      <c r="S718" s="863"/>
    </row>
    <row r="719" ht="15" hidden="1" spans="3:19">
      <c r="C719" s="296" t="s">
        <v>218</v>
      </c>
      <c r="D719" s="296" t="s">
        <v>186</v>
      </c>
      <c r="E719" s="787">
        <f>[17]Sales_SP!IK197</f>
        <v>5.09358603465952</v>
      </c>
      <c r="F719" s="787">
        <f>[17]Sales_SP!IL197</f>
        <v>5.08253004552661</v>
      </c>
      <c r="G719" s="787">
        <f>[17]Sales_SP!IM197</f>
        <v>5.0018150151606</v>
      </c>
      <c r="H719" s="787">
        <f>[17]Sales_SP!IN197</f>
        <v>5.37968166213946</v>
      </c>
      <c r="I719" s="787">
        <f>[17]Sales_SP!IO197</f>
        <v>5.75462481674772</v>
      </c>
      <c r="J719" s="787">
        <f>[17]Sales_SP!IP197</f>
        <v>5.73496660905674</v>
      </c>
      <c r="K719" s="787">
        <f>[17]Sales_SP!IQ197</f>
        <v>6.37887807253257</v>
      </c>
      <c r="L719" s="787">
        <f>[17]Sales_SP!IR197</f>
        <v>3.60834674880257</v>
      </c>
      <c r="M719" s="787">
        <f>[17]Sales_SP!IS197</f>
        <v>3.48019402352918</v>
      </c>
      <c r="N719" s="787">
        <f>[17]Sales_SP!IT197</f>
        <v>3.44200634261163</v>
      </c>
      <c r="O719" s="787">
        <f>[17]Sales_SP!IU197</f>
        <v>3.67545106432861</v>
      </c>
      <c r="P719" s="787">
        <f>[17]Sales_SP!IV197</f>
        <v>3.7519736523982</v>
      </c>
      <c r="Q719" s="866">
        <f t="shared" si="155"/>
        <v>56.3840540874934</v>
      </c>
      <c r="R719" s="863"/>
      <c r="S719" s="863"/>
    </row>
    <row r="720" ht="15" hidden="1" spans="3:19">
      <c r="C720" s="296" t="s">
        <v>208</v>
      </c>
      <c r="D720" s="296" t="s">
        <v>209</v>
      </c>
      <c r="E720" s="787">
        <f>[17]Sales_SP!IK198</f>
        <v>0</v>
      </c>
      <c r="F720" s="787">
        <f>[17]Sales_SP!IL198</f>
        <v>0</v>
      </c>
      <c r="G720" s="787">
        <f>[17]Sales_SP!IM198</f>
        <v>0</v>
      </c>
      <c r="H720" s="787">
        <f>[17]Sales_SP!IN198</f>
        <v>0</v>
      </c>
      <c r="I720" s="787">
        <f>[17]Sales_SP!IO198</f>
        <v>0</v>
      </c>
      <c r="J720" s="787">
        <f>[17]Sales_SP!IP198</f>
        <v>0</v>
      </c>
      <c r="K720" s="787">
        <f>[17]Sales_SP!IQ198</f>
        <v>0</v>
      </c>
      <c r="L720" s="787">
        <f>[17]Sales_SP!IR198</f>
        <v>0</v>
      </c>
      <c r="M720" s="787">
        <f>[17]Sales_SP!IS198</f>
        <v>0</v>
      </c>
      <c r="N720" s="787">
        <f>[17]Sales_SP!IT198</f>
        <v>0</v>
      </c>
      <c r="O720" s="787">
        <f>[17]Sales_SP!IU198</f>
        <v>0</v>
      </c>
      <c r="P720" s="787">
        <f>[17]Sales_SP!IV198</f>
        <v>0</v>
      </c>
      <c r="Q720" s="866">
        <f t="shared" si="155"/>
        <v>0</v>
      </c>
      <c r="R720" s="863"/>
      <c r="S720" s="863"/>
    </row>
    <row r="721" ht="15" hidden="1" spans="3:19">
      <c r="C721" s="296" t="s">
        <v>210</v>
      </c>
      <c r="D721" s="296" t="s">
        <v>188</v>
      </c>
      <c r="E721" s="787">
        <v>0</v>
      </c>
      <c r="F721" s="787">
        <v>0</v>
      </c>
      <c r="G721" s="787">
        <v>0</v>
      </c>
      <c r="H721" s="787">
        <v>0</v>
      </c>
      <c r="I721" s="787">
        <v>0</v>
      </c>
      <c r="J721" s="787">
        <v>0</v>
      </c>
      <c r="K721" s="787">
        <v>0</v>
      </c>
      <c r="L721" s="787">
        <v>0</v>
      </c>
      <c r="M721" s="787">
        <v>0</v>
      </c>
      <c r="N721" s="787">
        <v>0</v>
      </c>
      <c r="O721" s="787">
        <v>0</v>
      </c>
      <c r="P721" s="787">
        <v>0</v>
      </c>
      <c r="Q721" s="866">
        <f t="shared" si="155"/>
        <v>0</v>
      </c>
      <c r="R721" s="863"/>
      <c r="S721" s="863"/>
    </row>
    <row r="722" ht="15" hidden="1" spans="3:19">
      <c r="C722" s="296"/>
      <c r="D722" s="296"/>
      <c r="E722" s="787"/>
      <c r="F722" s="787"/>
      <c r="G722" s="787"/>
      <c r="H722" s="787"/>
      <c r="I722" s="787"/>
      <c r="J722" s="787"/>
      <c r="K722" s="787"/>
      <c r="L722" s="787"/>
      <c r="M722" s="787"/>
      <c r="N722" s="787"/>
      <c r="O722" s="787"/>
      <c r="P722" s="787"/>
      <c r="Q722" s="866">
        <f t="shared" si="155"/>
        <v>0</v>
      </c>
      <c r="R722" s="863"/>
      <c r="S722" s="863"/>
    </row>
    <row r="723" ht="15" hidden="1" spans="3:19">
      <c r="C723" s="296"/>
      <c r="D723" s="296"/>
      <c r="E723" s="787"/>
      <c r="F723" s="787"/>
      <c r="G723" s="787"/>
      <c r="H723" s="787"/>
      <c r="I723" s="787"/>
      <c r="J723" s="787"/>
      <c r="K723" s="787"/>
      <c r="L723" s="787"/>
      <c r="M723" s="787"/>
      <c r="N723" s="787"/>
      <c r="O723" s="787"/>
      <c r="P723" s="787"/>
      <c r="Q723" s="866">
        <f t="shared" si="155"/>
        <v>0</v>
      </c>
      <c r="R723" s="863"/>
      <c r="S723" s="863"/>
    </row>
    <row r="724" ht="15" hidden="1" spans="3:19">
      <c r="C724" s="296" t="s">
        <v>258</v>
      </c>
      <c r="D724" s="296" t="s">
        <v>258</v>
      </c>
      <c r="E724" s="787"/>
      <c r="F724" s="787"/>
      <c r="G724" s="787"/>
      <c r="H724" s="787"/>
      <c r="I724" s="787"/>
      <c r="J724" s="787"/>
      <c r="K724" s="787"/>
      <c r="L724" s="787"/>
      <c r="M724" s="787"/>
      <c r="N724" s="787"/>
      <c r="O724" s="787"/>
      <c r="P724" s="787"/>
      <c r="Q724" s="866">
        <f t="shared" si="155"/>
        <v>0</v>
      </c>
      <c r="R724" s="863"/>
      <c r="S724" s="863"/>
    </row>
    <row r="725" ht="15" hidden="1" spans="3:19">
      <c r="C725" s="285" t="s">
        <v>211</v>
      </c>
      <c r="D725" s="286"/>
      <c r="E725" s="866">
        <f t="shared" ref="E725:P725" si="156">SUM(E710:E724)</f>
        <v>1143.44795855286</v>
      </c>
      <c r="F725" s="866">
        <f t="shared" si="156"/>
        <v>1226.44768522818</v>
      </c>
      <c r="G725" s="866">
        <f t="shared" si="156"/>
        <v>1206.11997612925</v>
      </c>
      <c r="H725" s="866">
        <f t="shared" si="156"/>
        <v>1176.36554133954</v>
      </c>
      <c r="I725" s="866">
        <f t="shared" si="156"/>
        <v>1204.60310430637</v>
      </c>
      <c r="J725" s="866">
        <f t="shared" si="156"/>
        <v>1160.25323191233</v>
      </c>
      <c r="K725" s="866">
        <f t="shared" si="156"/>
        <v>1176.03844642951</v>
      </c>
      <c r="L725" s="866">
        <f t="shared" si="156"/>
        <v>1176.23914075048</v>
      </c>
      <c r="M725" s="866">
        <f t="shared" si="156"/>
        <v>1172.28765843256</v>
      </c>
      <c r="N725" s="866">
        <f t="shared" si="156"/>
        <v>1174.49308460987</v>
      </c>
      <c r="O725" s="866">
        <f t="shared" si="156"/>
        <v>1159.45609069133</v>
      </c>
      <c r="P725" s="866">
        <f t="shared" si="156"/>
        <v>1315.1242189336</v>
      </c>
      <c r="Q725" s="866">
        <f t="shared" si="155"/>
        <v>14290.8761373159</v>
      </c>
      <c r="R725" s="863"/>
      <c r="S725" s="863"/>
    </row>
    <row r="726" ht="15" hidden="1" spans="3:19">
      <c r="C726" s="285" t="s">
        <v>219</v>
      </c>
      <c r="D726" s="286"/>
      <c r="E726" s="787"/>
      <c r="F726" s="787"/>
      <c r="G726" s="787"/>
      <c r="H726" s="787"/>
      <c r="I726" s="787"/>
      <c r="J726" s="787"/>
      <c r="K726" s="787"/>
      <c r="L726" s="787"/>
      <c r="M726" s="787"/>
      <c r="N726" s="787"/>
      <c r="O726" s="787"/>
      <c r="P726" s="787"/>
      <c r="Q726" s="866"/>
      <c r="R726" s="863"/>
      <c r="S726" s="863"/>
    </row>
    <row r="727" ht="15" hidden="1" spans="3:19">
      <c r="C727" s="296" t="s">
        <v>191</v>
      </c>
      <c r="D727" s="296" t="s">
        <v>192</v>
      </c>
      <c r="E727" s="787">
        <f>[17]Sales_SP!IK212</f>
        <v>804.453113278249</v>
      </c>
      <c r="F727" s="787">
        <f>[17]Sales_SP!IL212</f>
        <v>777.991190606526</v>
      </c>
      <c r="G727" s="787">
        <f>[17]Sales_SP!IM212</f>
        <v>806.303278040578</v>
      </c>
      <c r="H727" s="787">
        <f>[17]Sales_SP!IN212</f>
        <v>778.172928558411</v>
      </c>
      <c r="I727" s="787">
        <f>[17]Sales_SP!IO212</f>
        <v>846.811382313121</v>
      </c>
      <c r="J727" s="787">
        <f>[17]Sales_SP!IP212</f>
        <v>837.726497571662</v>
      </c>
      <c r="K727" s="787">
        <f>[17]Sales_SP!IQ212</f>
        <v>922.012689859786</v>
      </c>
      <c r="L727" s="787">
        <f>[17]Sales_SP!IR212</f>
        <v>899.773630801563</v>
      </c>
      <c r="M727" s="787">
        <f>[17]Sales_SP!IS212</f>
        <v>911.711177629966</v>
      </c>
      <c r="N727" s="787">
        <f>[17]Sales_SP!IT212</f>
        <v>901.704617836336</v>
      </c>
      <c r="O727" s="787">
        <f>[17]Sales_SP!IU212</f>
        <v>827.579335232621</v>
      </c>
      <c r="P727" s="787">
        <f>[17]Sales_SP!IV212</f>
        <v>899.194325655028</v>
      </c>
      <c r="Q727" s="866">
        <f t="shared" ref="Q727:Q746" si="157">SUM(E727:P727)</f>
        <v>10213.4341673838</v>
      </c>
      <c r="R727" s="863"/>
      <c r="S727" s="863"/>
    </row>
    <row r="728" ht="15" hidden="1" spans="3:19">
      <c r="C728" s="296" t="s">
        <v>193</v>
      </c>
      <c r="D728" s="296" t="s">
        <v>194</v>
      </c>
      <c r="E728" s="787">
        <f>[17]Sales_SP!IK222</f>
        <v>16.0902837003096</v>
      </c>
      <c r="F728" s="787">
        <f>[17]Sales_SP!IL222</f>
        <v>18.2762879203944</v>
      </c>
      <c r="G728" s="787">
        <f>[17]Sales_SP!IM222</f>
        <v>8.8380585864</v>
      </c>
      <c r="H728" s="787">
        <f>[17]Sales_SP!IN222</f>
        <v>10.07257246488</v>
      </c>
      <c r="I728" s="787">
        <f>[17]Sales_SP!IO222</f>
        <v>16.0876317415176</v>
      </c>
      <c r="J728" s="787">
        <f>[17]Sales_SP!IP222</f>
        <v>13.8836862083808</v>
      </c>
      <c r="K728" s="787">
        <f>[17]Sales_SP!IQ222</f>
        <v>16.0349714169336</v>
      </c>
      <c r="L728" s="787">
        <f>[17]Sales_SP!IR222</f>
        <v>11.34010052424</v>
      </c>
      <c r="M728" s="787">
        <f>[17]Sales_SP!IS222</f>
        <v>13.956122568528</v>
      </c>
      <c r="N728" s="787">
        <f>[17]Sales_SP!IT222</f>
        <v>15.019720408944</v>
      </c>
      <c r="O728" s="787">
        <f>[17]Sales_SP!IU222</f>
        <v>13.546854968832</v>
      </c>
      <c r="P728" s="787">
        <f>[17]Sales_SP!IV222</f>
        <v>12.6319833072</v>
      </c>
      <c r="Q728" s="866">
        <f t="shared" si="157"/>
        <v>165.77827381656</v>
      </c>
      <c r="R728" s="863"/>
      <c r="S728" s="863"/>
    </row>
    <row r="729" ht="15" hidden="1" spans="3:19">
      <c r="C729" s="296" t="s">
        <v>239</v>
      </c>
      <c r="D729" s="296" t="s">
        <v>196</v>
      </c>
      <c r="E729" s="787">
        <f>[17]Sales_SP!IK228</f>
        <v>12.6415594281515</v>
      </c>
      <c r="F729" s="787">
        <f>[17]Sales_SP!IL228</f>
        <v>14.9820210245553</v>
      </c>
      <c r="G729" s="787">
        <f>[17]Sales_SP!IM228</f>
        <v>15.329799425092</v>
      </c>
      <c r="H729" s="787">
        <f>[17]Sales_SP!IN228</f>
        <v>13.2965635269381</v>
      </c>
      <c r="I729" s="787">
        <f>[17]Sales_SP!IO228</f>
        <v>18.6025190564838</v>
      </c>
      <c r="J729" s="787">
        <f>[17]Sales_SP!IP228</f>
        <v>21.076082523439</v>
      </c>
      <c r="K729" s="787">
        <f>[17]Sales_SP!IQ228</f>
        <v>26.5750834476329</v>
      </c>
      <c r="L729" s="787">
        <f>[17]Sales_SP!IR228</f>
        <v>27.7325535410839</v>
      </c>
      <c r="M729" s="787">
        <f>[17]Sales_SP!IS228</f>
        <v>27.5841933189442</v>
      </c>
      <c r="N729" s="787">
        <f>[17]Sales_SP!IT228</f>
        <v>27.7897269477793</v>
      </c>
      <c r="O729" s="787">
        <f>[17]Sales_SP!IU228</f>
        <v>32.8577248513648</v>
      </c>
      <c r="P729" s="787">
        <f>[17]Sales_SP!IV228</f>
        <v>46.8490126304304</v>
      </c>
      <c r="Q729" s="866">
        <f t="shared" si="157"/>
        <v>285.316839721895</v>
      </c>
      <c r="R729" s="863"/>
      <c r="S729" s="863"/>
    </row>
    <row r="730" ht="15" hidden="1" spans="3:19">
      <c r="C730" s="296" t="s">
        <v>197</v>
      </c>
      <c r="D730" s="296" t="s">
        <v>198</v>
      </c>
      <c r="E730" s="787">
        <f>[17]Sales_SP!IK233</f>
        <v>0</v>
      </c>
      <c r="F730" s="787">
        <f>[17]Sales_SP!IL233</f>
        <v>0</v>
      </c>
      <c r="G730" s="787">
        <f>[17]Sales_SP!IM233</f>
        <v>0</v>
      </c>
      <c r="H730" s="787">
        <f>[17]Sales_SP!IN233</f>
        <v>0</v>
      </c>
      <c r="I730" s="787">
        <f>[17]Sales_SP!IO233</f>
        <v>0</v>
      </c>
      <c r="J730" s="787">
        <f>[17]Sales_SP!IP233</f>
        <v>0</v>
      </c>
      <c r="K730" s="787">
        <f>[17]Sales_SP!IQ233</f>
        <v>0</v>
      </c>
      <c r="L730" s="787">
        <f>[17]Sales_SP!IR233</f>
        <v>0</v>
      </c>
      <c r="M730" s="787">
        <f>[17]Sales_SP!IS233</f>
        <v>0</v>
      </c>
      <c r="N730" s="787">
        <f>[17]Sales_SP!IT233</f>
        <v>0</v>
      </c>
      <c r="O730" s="787">
        <f>[17]Sales_SP!IU233</f>
        <v>0</v>
      </c>
      <c r="P730" s="787">
        <f>[17]Sales_SP!IV233</f>
        <v>0</v>
      </c>
      <c r="Q730" s="866">
        <f t="shared" si="157"/>
        <v>0</v>
      </c>
      <c r="R730" s="863"/>
      <c r="S730" s="863"/>
    </row>
    <row r="731" ht="15" hidden="1" spans="3:19">
      <c r="C731" s="296" t="s">
        <v>199</v>
      </c>
      <c r="D731" s="296" t="s">
        <v>200</v>
      </c>
      <c r="E731" s="787">
        <f>[17]Sales_SP!IK238</f>
        <v>8.73596543991082</v>
      </c>
      <c r="F731" s="787">
        <f>[17]Sales_SP!IL238</f>
        <v>10.3333315332917</v>
      </c>
      <c r="G731" s="787">
        <f>[17]Sales_SP!IM238</f>
        <v>9.93295930728149</v>
      </c>
      <c r="H731" s="787">
        <f>[17]Sales_SP!IN238</f>
        <v>9.5242738728917</v>
      </c>
      <c r="I731" s="787">
        <f>[17]Sales_SP!IO238</f>
        <v>9.78998564056386</v>
      </c>
      <c r="J731" s="787">
        <f>[17]Sales_SP!IP238</f>
        <v>9.78880962571991</v>
      </c>
      <c r="K731" s="787">
        <f>[17]Sales_SP!IQ238</f>
        <v>9.35617133726719</v>
      </c>
      <c r="L731" s="787">
        <f>[17]Sales_SP!IR238</f>
        <v>9.54118415530295</v>
      </c>
      <c r="M731" s="787">
        <f>[17]Sales_SP!IS238</f>
        <v>8.48809665607786</v>
      </c>
      <c r="N731" s="787">
        <f>[17]Sales_SP!IT238</f>
        <v>8.51480706218867</v>
      </c>
      <c r="O731" s="787">
        <f>[17]Sales_SP!IU238</f>
        <v>9.50076709342475</v>
      </c>
      <c r="P731" s="787">
        <f>[17]Sales_SP!IV238</f>
        <v>11.3670215462976</v>
      </c>
      <c r="Q731" s="866">
        <f t="shared" si="157"/>
        <v>114.873373270218</v>
      </c>
      <c r="R731" s="863"/>
      <c r="S731" s="863"/>
    </row>
    <row r="732" ht="15" hidden="1" spans="3:19">
      <c r="C732" s="296" t="s">
        <v>201</v>
      </c>
      <c r="D732" s="296" t="s">
        <v>240</v>
      </c>
      <c r="E732" s="787">
        <f>[17]Sales_SP!IK244+[17]Sales_SP!IK245</f>
        <v>54.6292967732157</v>
      </c>
      <c r="F732" s="787">
        <f>[17]Sales_SP!IL244+[17]Sales_SP!IL245</f>
        <v>31.7787010475501</v>
      </c>
      <c r="G732" s="787">
        <f>[17]Sales_SP!IM244+[17]Sales_SP!IM245</f>
        <v>53.7898398156554</v>
      </c>
      <c r="H732" s="787">
        <f>[17]Sales_SP!IN244+[17]Sales_SP!IN245</f>
        <v>76.212284785249</v>
      </c>
      <c r="I732" s="787">
        <f>[17]Sales_SP!IO244+[17]Sales_SP!IO245</f>
        <v>193.315319165775</v>
      </c>
      <c r="J732" s="787">
        <f>[17]Sales_SP!IP244+[17]Sales_SP!IP245</f>
        <v>256.422101293129</v>
      </c>
      <c r="K732" s="787">
        <f>[17]Sales_SP!IQ244+[17]Sales_SP!IQ245</f>
        <v>216.709228459665</v>
      </c>
      <c r="L732" s="787">
        <f>[17]Sales_SP!IR244+[17]Sales_SP!IR245</f>
        <v>204.91222343023</v>
      </c>
      <c r="M732" s="787">
        <f>[17]Sales_SP!IS244+[17]Sales_SP!IS245</f>
        <v>61.1338582011758</v>
      </c>
      <c r="N732" s="787">
        <f>[17]Sales_SP!IT244+[17]Sales_SP!IT245</f>
        <v>42.3299668145652</v>
      </c>
      <c r="O732" s="787">
        <f>[17]Sales_SP!IU244+[17]Sales_SP!IU245</f>
        <v>52.8181403382785</v>
      </c>
      <c r="P732" s="787">
        <f>[17]Sales_SP!IV244+[17]Sales_SP!IV245</f>
        <v>35.5979638815674</v>
      </c>
      <c r="Q732" s="866">
        <f t="shared" si="157"/>
        <v>1279.64892400606</v>
      </c>
      <c r="R732" s="863"/>
      <c r="S732" s="863"/>
    </row>
    <row r="733" ht="15" hidden="1" spans="3:19">
      <c r="C733" s="296" t="s">
        <v>203</v>
      </c>
      <c r="D733" s="296" t="s">
        <v>220</v>
      </c>
      <c r="E733" s="787">
        <f>[17]Sales_SP!IK246+[17]Sales_SP!IK247</f>
        <v>27.6251024637576</v>
      </c>
      <c r="F733" s="787">
        <f>[17]Sales_SP!IL246+[17]Sales_SP!IL247</f>
        <v>30.2291620906377</v>
      </c>
      <c r="G733" s="787">
        <f>[17]Sales_SP!IM246+[17]Sales_SP!IM247</f>
        <v>27.9460108290158</v>
      </c>
      <c r="H733" s="787">
        <f>[17]Sales_SP!IN246+[17]Sales_SP!IN247</f>
        <v>27.257279496816</v>
      </c>
      <c r="I733" s="787">
        <f>[17]Sales_SP!IO246+[17]Sales_SP!IO247</f>
        <v>30.6022151379666</v>
      </c>
      <c r="J733" s="787">
        <f>[17]Sales_SP!IP246+[17]Sales_SP!IP247</f>
        <v>29.420477173435</v>
      </c>
      <c r="K733" s="787">
        <f>[17]Sales_SP!IQ246+[17]Sales_SP!IQ247</f>
        <v>29.4298965221923</v>
      </c>
      <c r="L733" s="787">
        <f>[17]Sales_SP!IR246+[17]Sales_SP!IR247</f>
        <v>30.6701281221005</v>
      </c>
      <c r="M733" s="787">
        <f>[17]Sales_SP!IS246+[17]Sales_SP!IS247</f>
        <v>32.5253755430777</v>
      </c>
      <c r="N733" s="787">
        <f>[17]Sales_SP!IT246+[17]Sales_SP!IT247</f>
        <v>30.5651882504483</v>
      </c>
      <c r="O733" s="787">
        <f>[17]Sales_SP!IU246+[17]Sales_SP!IU247</f>
        <v>27.1062056324935</v>
      </c>
      <c r="P733" s="787">
        <f>[17]Sales_SP!IV246+[17]Sales_SP!IV247</f>
        <v>32.749150126814</v>
      </c>
      <c r="Q733" s="866">
        <f t="shared" si="157"/>
        <v>356.126191388755</v>
      </c>
      <c r="R733" s="863"/>
      <c r="S733" s="863"/>
    </row>
    <row r="734" ht="15" hidden="1" spans="3:19">
      <c r="C734" s="296" t="s">
        <v>241</v>
      </c>
      <c r="D734" s="296" t="s">
        <v>229</v>
      </c>
      <c r="E734" s="787">
        <f>[17]Sales_SP!IK249+[17]Sales_SP!IK250</f>
        <v>103.493957649907</v>
      </c>
      <c r="F734" s="787">
        <f>[17]Sales_SP!IL249+[17]Sales_SP!IL250</f>
        <v>111.75557502498</v>
      </c>
      <c r="G734" s="787">
        <f>[17]Sales_SP!IM249+[17]Sales_SP!IM250</f>
        <v>107.225723502575</v>
      </c>
      <c r="H734" s="787">
        <f>[17]Sales_SP!IN249+[17]Sales_SP!IN250</f>
        <v>111.604176069547</v>
      </c>
      <c r="I734" s="787">
        <f>[17]Sales_SP!IO249+[17]Sales_SP!IO250</f>
        <v>117.976877793082</v>
      </c>
      <c r="J734" s="787">
        <f>[17]Sales_SP!IP249+[17]Sales_SP!IP250</f>
        <v>117.002717735741</v>
      </c>
      <c r="K734" s="787">
        <f>[17]Sales_SP!IQ249+[17]Sales_SP!IQ250</f>
        <v>130.087256003904</v>
      </c>
      <c r="L734" s="787">
        <f>[17]Sales_SP!IR249+[17]Sales_SP!IR250</f>
        <v>125.173109730441</v>
      </c>
      <c r="M734" s="787">
        <f>[17]Sales_SP!IS249+[17]Sales_SP!IS250</f>
        <v>124.130455177783</v>
      </c>
      <c r="N734" s="787">
        <f>[17]Sales_SP!IT249+[17]Sales_SP!IT250</f>
        <v>129.536441266879</v>
      </c>
      <c r="O734" s="787">
        <f>[17]Sales_SP!IU249+[17]Sales_SP!IU250</f>
        <v>121.653769687149</v>
      </c>
      <c r="P734" s="787">
        <f>[17]Sales_SP!IV249+[17]Sales_SP!IV250</f>
        <v>132.827398605234</v>
      </c>
      <c r="Q734" s="866">
        <f t="shared" si="157"/>
        <v>1432.46745824722</v>
      </c>
      <c r="R734" s="863"/>
      <c r="S734" s="863"/>
    </row>
    <row r="735" ht="15" hidden="1" spans="3:19">
      <c r="C735" s="296" t="s">
        <v>259</v>
      </c>
      <c r="D735" s="296" t="s">
        <v>243</v>
      </c>
      <c r="E735" s="787">
        <f>[17]Sales_SP!IK251+[17]Sales_SP!IK252</f>
        <v>28.9501537982083</v>
      </c>
      <c r="F735" s="787">
        <f>[17]Sales_SP!IL251+[17]Sales_SP!IL252</f>
        <v>30.3141883144723</v>
      </c>
      <c r="G735" s="787">
        <f>[17]Sales_SP!IM251+[17]Sales_SP!IM252</f>
        <v>30.1760953950723</v>
      </c>
      <c r="H735" s="787">
        <f>[17]Sales_SP!IN251+[17]Sales_SP!IN252</f>
        <v>29.9680798144417</v>
      </c>
      <c r="I735" s="787">
        <f>[17]Sales_SP!IO251+[17]Sales_SP!IO252</f>
        <v>28.7044949096886</v>
      </c>
      <c r="J735" s="787">
        <f>[17]Sales_SP!IP251+[17]Sales_SP!IP252</f>
        <v>28.8329651792843</v>
      </c>
      <c r="K735" s="787">
        <f>[17]Sales_SP!IQ251+[17]Sales_SP!IQ252</f>
        <v>34.1594787904949</v>
      </c>
      <c r="L735" s="787">
        <f>[17]Sales_SP!IR251+[17]Sales_SP!IR252</f>
        <v>28.1325421293555</v>
      </c>
      <c r="M735" s="787">
        <f>[17]Sales_SP!IS251+[17]Sales_SP!IS252</f>
        <v>32.2235848960915</v>
      </c>
      <c r="N735" s="787">
        <f>[17]Sales_SP!IT251+[17]Sales_SP!IT252</f>
        <v>32.8300097574542</v>
      </c>
      <c r="O735" s="787">
        <f>[17]Sales_SP!IU251+[17]Sales_SP!IU252</f>
        <v>32.7950284120831</v>
      </c>
      <c r="P735" s="787">
        <f>[17]Sales_SP!IV251+[17]Sales_SP!IV252</f>
        <v>35.5803040643394</v>
      </c>
      <c r="Q735" s="866">
        <f t="shared" si="157"/>
        <v>372.666925460986</v>
      </c>
      <c r="R735" s="863"/>
      <c r="S735" s="863"/>
    </row>
    <row r="736" ht="15" hidden="1" spans="3:19">
      <c r="C736" s="296" t="s">
        <v>205</v>
      </c>
      <c r="D736" s="296" t="s">
        <v>206</v>
      </c>
      <c r="E736" s="787">
        <f>[17]Sales_SP!IK253</f>
        <v>0</v>
      </c>
      <c r="F736" s="787">
        <f>[17]Sales_SP!IL253</f>
        <v>0</v>
      </c>
      <c r="G736" s="787">
        <f>[17]Sales_SP!IM253</f>
        <v>0</v>
      </c>
      <c r="H736" s="787">
        <f>[17]Sales_SP!IN253</f>
        <v>0</v>
      </c>
      <c r="I736" s="787">
        <f>[17]Sales_SP!IO253</f>
        <v>0</v>
      </c>
      <c r="J736" s="787">
        <f>[17]Sales_SP!IP253</f>
        <v>0</v>
      </c>
      <c r="K736" s="787">
        <f>[17]Sales_SP!IQ253</f>
        <v>0</v>
      </c>
      <c r="L736" s="787">
        <f>[17]Sales_SP!IR253</f>
        <v>0</v>
      </c>
      <c r="M736" s="787">
        <f>[17]Sales_SP!IS253</f>
        <v>0</v>
      </c>
      <c r="N736" s="787">
        <f>[17]Sales_SP!IT253</f>
        <v>0</v>
      </c>
      <c r="O736" s="787">
        <f>[17]Sales_SP!IU253</f>
        <v>0</v>
      </c>
      <c r="P736" s="787">
        <f>[17]Sales_SP!IV253</f>
        <v>0</v>
      </c>
      <c r="Q736" s="866">
        <f t="shared" si="157"/>
        <v>0</v>
      </c>
      <c r="R736" s="863"/>
      <c r="S736" s="863"/>
    </row>
    <row r="737" ht="15" hidden="1" spans="3:19">
      <c r="C737" s="296" t="s">
        <v>207</v>
      </c>
      <c r="D737" s="296" t="s">
        <v>186</v>
      </c>
      <c r="E737" s="787">
        <f>[17]Sales_SP!IK254</f>
        <v>0</v>
      </c>
      <c r="F737" s="787">
        <f>[17]Sales_SP!IL254</f>
        <v>0</v>
      </c>
      <c r="G737" s="787">
        <f>[17]Sales_SP!IM254</f>
        <v>0</v>
      </c>
      <c r="H737" s="787">
        <f>[17]Sales_SP!IN254</f>
        <v>0</v>
      </c>
      <c r="I737" s="787">
        <f>[17]Sales_SP!IO254</f>
        <v>0</v>
      </c>
      <c r="J737" s="787">
        <f>[17]Sales_SP!IP254</f>
        <v>0</v>
      </c>
      <c r="K737" s="787">
        <f>[17]Sales_SP!IQ254</f>
        <v>0</v>
      </c>
      <c r="L737" s="787">
        <f>[17]Sales_SP!IR254</f>
        <v>0</v>
      </c>
      <c r="M737" s="787">
        <f>[17]Sales_SP!IS254</f>
        <v>0</v>
      </c>
      <c r="N737" s="787">
        <f>[17]Sales_SP!IT254</f>
        <v>0</v>
      </c>
      <c r="O737" s="787">
        <f>[17]Sales_SP!IU254</f>
        <v>0</v>
      </c>
      <c r="P737" s="787">
        <f>[17]Sales_SP!IV254</f>
        <v>0</v>
      </c>
      <c r="Q737" s="866">
        <f t="shared" si="157"/>
        <v>0</v>
      </c>
      <c r="R737" s="863"/>
      <c r="S737" s="863"/>
    </row>
    <row r="738" ht="15" hidden="1" spans="3:19">
      <c r="C738" s="296" t="s">
        <v>208</v>
      </c>
      <c r="D738" s="296" t="s">
        <v>209</v>
      </c>
      <c r="E738" s="787">
        <v>0</v>
      </c>
      <c r="F738" s="787">
        <v>0</v>
      </c>
      <c r="G738" s="787">
        <v>0</v>
      </c>
      <c r="H738" s="787">
        <v>0</v>
      </c>
      <c r="I738" s="787">
        <v>0</v>
      </c>
      <c r="J738" s="787">
        <v>0</v>
      </c>
      <c r="K738" s="787">
        <v>0</v>
      </c>
      <c r="L738" s="787">
        <v>0</v>
      </c>
      <c r="M738" s="787">
        <v>0</v>
      </c>
      <c r="N738" s="787">
        <v>0</v>
      </c>
      <c r="O738" s="787">
        <v>0</v>
      </c>
      <c r="P738" s="787">
        <v>0</v>
      </c>
      <c r="Q738" s="866">
        <f t="shared" si="157"/>
        <v>0</v>
      </c>
      <c r="R738" s="863"/>
      <c r="S738" s="863"/>
    </row>
    <row r="739" ht="15" hidden="1" spans="3:19">
      <c r="C739" s="296" t="s">
        <v>210</v>
      </c>
      <c r="D739" s="296" t="s">
        <v>188</v>
      </c>
      <c r="E739" s="787">
        <v>0</v>
      </c>
      <c r="F739" s="787">
        <v>0</v>
      </c>
      <c r="G739" s="787">
        <v>0</v>
      </c>
      <c r="H739" s="787">
        <v>0</v>
      </c>
      <c r="I739" s="787">
        <v>0</v>
      </c>
      <c r="J739" s="787">
        <v>0</v>
      </c>
      <c r="K739" s="787">
        <v>0</v>
      </c>
      <c r="L739" s="787">
        <v>0</v>
      </c>
      <c r="M739" s="787">
        <v>0</v>
      </c>
      <c r="N739" s="787">
        <v>0</v>
      </c>
      <c r="O739" s="787">
        <v>0</v>
      </c>
      <c r="P739" s="787">
        <v>0</v>
      </c>
      <c r="Q739" s="866">
        <f t="shared" si="157"/>
        <v>0</v>
      </c>
      <c r="R739" s="863"/>
      <c r="S739" s="863"/>
    </row>
    <row r="740" ht="15" hidden="1" spans="3:19">
      <c r="C740" s="296"/>
      <c r="D740" s="296"/>
      <c r="E740" s="787"/>
      <c r="F740" s="787"/>
      <c r="G740" s="787"/>
      <c r="H740" s="787"/>
      <c r="I740" s="787"/>
      <c r="J740" s="787"/>
      <c r="K740" s="787"/>
      <c r="L740" s="787"/>
      <c r="M740" s="787"/>
      <c r="N740" s="787"/>
      <c r="O740" s="787"/>
      <c r="P740" s="787"/>
      <c r="Q740" s="866">
        <f t="shared" si="157"/>
        <v>0</v>
      </c>
      <c r="R740" s="863"/>
      <c r="S740" s="863"/>
    </row>
    <row r="741" ht="15" hidden="1" spans="3:19">
      <c r="C741" s="296"/>
      <c r="D741" s="296"/>
      <c r="E741" s="787"/>
      <c r="F741" s="787"/>
      <c r="G741" s="787"/>
      <c r="H741" s="787"/>
      <c r="I741" s="787"/>
      <c r="J741" s="787"/>
      <c r="K741" s="787"/>
      <c r="L741" s="787"/>
      <c r="M741" s="787"/>
      <c r="N741" s="787"/>
      <c r="O741" s="787"/>
      <c r="P741" s="787"/>
      <c r="Q741" s="866">
        <f t="shared" si="157"/>
        <v>0</v>
      </c>
      <c r="R741" s="863"/>
      <c r="S741" s="863"/>
    </row>
    <row r="742" ht="15" hidden="1" spans="3:19">
      <c r="C742" s="296"/>
      <c r="D742" s="296"/>
      <c r="E742" s="787"/>
      <c r="F742" s="787"/>
      <c r="G742" s="787"/>
      <c r="H742" s="787"/>
      <c r="I742" s="787"/>
      <c r="J742" s="787"/>
      <c r="K742" s="787"/>
      <c r="L742" s="787"/>
      <c r="M742" s="787"/>
      <c r="N742" s="787"/>
      <c r="O742" s="787"/>
      <c r="P742" s="787"/>
      <c r="Q742" s="866">
        <f t="shared" si="157"/>
        <v>0</v>
      </c>
      <c r="R742" s="863"/>
      <c r="S742" s="863"/>
    </row>
    <row r="743" ht="15" hidden="1" spans="3:19">
      <c r="C743" s="296" t="s">
        <v>258</v>
      </c>
      <c r="D743" s="296" t="s">
        <v>258</v>
      </c>
      <c r="E743" s="787"/>
      <c r="F743" s="787"/>
      <c r="G743" s="787"/>
      <c r="H743" s="787"/>
      <c r="I743" s="787"/>
      <c r="J743" s="787"/>
      <c r="K743" s="787"/>
      <c r="L743" s="787"/>
      <c r="M743" s="787"/>
      <c r="N743" s="787"/>
      <c r="O743" s="787"/>
      <c r="P743" s="787"/>
      <c r="Q743" s="866">
        <f t="shared" si="157"/>
        <v>0</v>
      </c>
      <c r="R743" s="863"/>
      <c r="S743" s="863"/>
    </row>
    <row r="744" ht="15" hidden="1" spans="3:19">
      <c r="C744" s="285" t="s">
        <v>211</v>
      </c>
      <c r="D744" s="286"/>
      <c r="E744" s="866">
        <f>SUM(E727:E743)</f>
        <v>1056.61943253171</v>
      </c>
      <c r="F744" s="866">
        <f t="shared" ref="F744:P744" si="158">SUM(F727:F743)</f>
        <v>1025.66045756241</v>
      </c>
      <c r="G744" s="866">
        <f t="shared" si="158"/>
        <v>1059.54176490167</v>
      </c>
      <c r="H744" s="866">
        <f t="shared" si="158"/>
        <v>1056.10815858917</v>
      </c>
      <c r="I744" s="866">
        <f t="shared" si="158"/>
        <v>1261.8904257582</v>
      </c>
      <c r="J744" s="866">
        <f t="shared" si="158"/>
        <v>1314.15333731079</v>
      </c>
      <c r="K744" s="866">
        <f t="shared" si="158"/>
        <v>1384.36477583788</v>
      </c>
      <c r="L744" s="866">
        <f t="shared" si="158"/>
        <v>1337.27547243432</v>
      </c>
      <c r="M744" s="866">
        <f t="shared" si="158"/>
        <v>1211.75286399164</v>
      </c>
      <c r="N744" s="866">
        <f t="shared" si="158"/>
        <v>1188.29047834459</v>
      </c>
      <c r="O744" s="866">
        <f t="shared" si="158"/>
        <v>1117.85782621625</v>
      </c>
      <c r="P744" s="866">
        <f t="shared" si="158"/>
        <v>1206.79715981691</v>
      </c>
      <c r="Q744" s="866">
        <f t="shared" si="157"/>
        <v>14220.3121532955</v>
      </c>
      <c r="R744" s="863"/>
      <c r="S744" s="863"/>
    </row>
    <row r="745" ht="15" hidden="1" spans="3:19">
      <c r="C745" s="285" t="s">
        <v>223</v>
      </c>
      <c r="D745" s="286"/>
      <c r="E745" s="866">
        <f t="shared" ref="E745:P745" si="159">E744+E725+E708</f>
        <v>3087.91965187983</v>
      </c>
      <c r="F745" s="866">
        <f t="shared" si="159"/>
        <v>3195.29732981599</v>
      </c>
      <c r="G745" s="866">
        <f t="shared" si="159"/>
        <v>3196.03124396688</v>
      </c>
      <c r="H745" s="866">
        <f t="shared" si="159"/>
        <v>3081.89369724609</v>
      </c>
      <c r="I745" s="866">
        <f t="shared" si="159"/>
        <v>3365.87632075676</v>
      </c>
      <c r="J745" s="866">
        <f t="shared" si="159"/>
        <v>3319.05007999918</v>
      </c>
      <c r="K745" s="866">
        <f t="shared" si="159"/>
        <v>3432.93688786357</v>
      </c>
      <c r="L745" s="866">
        <f t="shared" si="159"/>
        <v>3363.31533632451</v>
      </c>
      <c r="M745" s="866">
        <f t="shared" si="159"/>
        <v>3235.57256922243</v>
      </c>
      <c r="N745" s="866">
        <f t="shared" si="159"/>
        <v>3201.59740147066</v>
      </c>
      <c r="O745" s="866">
        <f t="shared" si="159"/>
        <v>3137.89535658196</v>
      </c>
      <c r="P745" s="866">
        <f t="shared" si="159"/>
        <v>3478.65603120534</v>
      </c>
      <c r="Q745" s="866">
        <f t="shared" si="157"/>
        <v>39096.0419063332</v>
      </c>
      <c r="R745" s="863"/>
      <c r="S745" s="863"/>
    </row>
    <row r="746" ht="15" hidden="1" spans="3:19">
      <c r="C746" s="285" t="s">
        <v>224</v>
      </c>
      <c r="D746" s="286"/>
      <c r="E746" s="866">
        <f t="shared" ref="E746:P746" si="160">E745+E691</f>
        <v>5036.12624160074</v>
      </c>
      <c r="F746" s="866">
        <f t="shared" si="160"/>
        <v>5485.57445082707</v>
      </c>
      <c r="G746" s="866">
        <f t="shared" si="160"/>
        <v>5266.16556347875</v>
      </c>
      <c r="H746" s="866">
        <f t="shared" si="160"/>
        <v>4770.64458699829</v>
      </c>
      <c r="I746" s="866">
        <f t="shared" si="160"/>
        <v>5282.95285906757</v>
      </c>
      <c r="J746" s="866">
        <f t="shared" si="160"/>
        <v>5096.81296677562</v>
      </c>
      <c r="K746" s="866">
        <f t="shared" si="160"/>
        <v>5214.71128050208</v>
      </c>
      <c r="L746" s="866">
        <f t="shared" si="160"/>
        <v>5041.35193533055</v>
      </c>
      <c r="M746" s="866">
        <f t="shared" si="160"/>
        <v>4770.08839488894</v>
      </c>
      <c r="N746" s="866">
        <f t="shared" si="160"/>
        <v>4895.14368536661</v>
      </c>
      <c r="O746" s="866">
        <f t="shared" si="160"/>
        <v>4765.24987379819</v>
      </c>
      <c r="P746" s="866">
        <f t="shared" si="160"/>
        <v>5603.62831619973</v>
      </c>
      <c r="Q746" s="866">
        <f t="shared" si="157"/>
        <v>61228.4501548341</v>
      </c>
      <c r="R746" s="863"/>
      <c r="S746" s="863"/>
    </row>
    <row r="747" hidden="1" spans="5:19">
      <c r="E747" s="863"/>
      <c r="F747" s="863"/>
      <c r="G747" s="863"/>
      <c r="H747" s="863"/>
      <c r="I747" s="863"/>
      <c r="J747" s="863"/>
      <c r="K747" s="863"/>
      <c r="L747" s="863"/>
      <c r="M747" s="863"/>
      <c r="N747" s="863"/>
      <c r="O747" s="863"/>
      <c r="P747" s="863"/>
      <c r="Q747" s="863"/>
      <c r="R747" s="863"/>
      <c r="S747" s="863"/>
    </row>
    <row r="748" ht="15" hidden="1" spans="3:19">
      <c r="C748" s="369"/>
      <c r="E748" s="863"/>
      <c r="F748" s="863"/>
      <c r="G748" s="863"/>
      <c r="H748" s="863"/>
      <c r="I748" s="863"/>
      <c r="J748" s="863"/>
      <c r="K748" s="863"/>
      <c r="L748" s="863"/>
      <c r="M748" s="863"/>
      <c r="N748" s="863"/>
      <c r="O748" s="863"/>
      <c r="P748" s="863"/>
      <c r="Q748" s="870" t="s">
        <v>236</v>
      </c>
      <c r="R748" s="863"/>
      <c r="S748" s="863"/>
    </row>
    <row r="749" ht="15" hidden="1" spans="3:19">
      <c r="C749" s="401" t="s">
        <v>159</v>
      </c>
      <c r="D749" s="401"/>
      <c r="E749" s="864" t="s">
        <v>267</v>
      </c>
      <c r="F749" s="864"/>
      <c r="G749" s="864"/>
      <c r="H749" s="864"/>
      <c r="I749" s="864"/>
      <c r="J749" s="864"/>
      <c r="K749" s="864"/>
      <c r="L749" s="864"/>
      <c r="M749" s="864"/>
      <c r="N749" s="864"/>
      <c r="O749" s="864"/>
      <c r="P749" s="864"/>
      <c r="Q749" s="864"/>
      <c r="R749" s="863"/>
      <c r="S749" s="863"/>
    </row>
    <row r="750" ht="15" hidden="1" spans="3:19">
      <c r="C750" s="401"/>
      <c r="D750" s="401"/>
      <c r="E750" s="864" t="s">
        <v>246</v>
      </c>
      <c r="F750" s="864" t="s">
        <v>247</v>
      </c>
      <c r="G750" s="864" t="s">
        <v>248</v>
      </c>
      <c r="H750" s="864" t="s">
        <v>249</v>
      </c>
      <c r="I750" s="864" t="s">
        <v>250</v>
      </c>
      <c r="J750" s="864" t="s">
        <v>251</v>
      </c>
      <c r="K750" s="864" t="s">
        <v>252</v>
      </c>
      <c r="L750" s="864" t="s">
        <v>253</v>
      </c>
      <c r="M750" s="864" t="s">
        <v>254</v>
      </c>
      <c r="N750" s="864" t="s">
        <v>255</v>
      </c>
      <c r="O750" s="864" t="s">
        <v>256</v>
      </c>
      <c r="P750" s="864" t="s">
        <v>257</v>
      </c>
      <c r="Q750" s="864" t="s">
        <v>97</v>
      </c>
      <c r="R750" s="863"/>
      <c r="S750" s="863"/>
    </row>
    <row r="751" ht="15" hidden="1" spans="3:19">
      <c r="C751" s="285" t="s">
        <v>170</v>
      </c>
      <c r="D751" s="286"/>
      <c r="E751" s="787"/>
      <c r="F751" s="787"/>
      <c r="G751" s="787"/>
      <c r="H751" s="787"/>
      <c r="I751" s="787"/>
      <c r="J751" s="787"/>
      <c r="K751" s="787"/>
      <c r="L751" s="787"/>
      <c r="M751" s="787"/>
      <c r="N751" s="787"/>
      <c r="O751" s="787"/>
      <c r="P751" s="787"/>
      <c r="Q751" s="866"/>
      <c r="R751" s="863"/>
      <c r="S751" s="863"/>
    </row>
    <row r="752" ht="15" hidden="1" spans="3:19">
      <c r="C752" s="296" t="s">
        <v>171</v>
      </c>
      <c r="D752" s="296" t="s">
        <v>172</v>
      </c>
      <c r="E752" s="787">
        <f>[17]Sales_SP!JF10</f>
        <v>1327.94169857284</v>
      </c>
      <c r="F752" s="787">
        <f>[17]Sales_SP!JG10</f>
        <v>1598.03670527125</v>
      </c>
      <c r="G752" s="787">
        <f>[17]Sales_SP!JH10</f>
        <v>1424.32810073754</v>
      </c>
      <c r="H752" s="787">
        <f>[17]Sales_SP!JI10</f>
        <v>1116.54467910075</v>
      </c>
      <c r="I752" s="787">
        <f>[17]Sales_SP!JJ10</f>
        <v>1277.64127456331</v>
      </c>
      <c r="J752" s="787">
        <f>[17]Sales_SP!JK10</f>
        <v>1184.04203751029</v>
      </c>
      <c r="K752" s="787">
        <f>[17]Sales_SP!JL10</f>
        <v>1171.42555536044</v>
      </c>
      <c r="L752" s="787">
        <f>[17]Sales_SP!JM10</f>
        <v>1085.11349343724</v>
      </c>
      <c r="M752" s="787">
        <f>[17]Sales_SP!JN10</f>
        <v>962.544513843845</v>
      </c>
      <c r="N752" s="787">
        <f>[17]Sales_SP!JO10</f>
        <v>1086.30461242941</v>
      </c>
      <c r="O752" s="787">
        <f>[17]Sales_SP!JP10</f>
        <v>1028.9286798354</v>
      </c>
      <c r="P752" s="787">
        <f>[17]Sales_SP!JQ10</f>
        <v>1410.97555183552</v>
      </c>
      <c r="Q752" s="866">
        <f t="shared" ref="Q752:Q765" si="161">SUM(E752:P752)</f>
        <v>14673.8269024978</v>
      </c>
      <c r="R752" s="863"/>
      <c r="S752" s="863"/>
    </row>
    <row r="753" ht="15" hidden="1" spans="3:19">
      <c r="C753" s="296" t="s">
        <v>173</v>
      </c>
      <c r="D753" s="296" t="s">
        <v>174</v>
      </c>
      <c r="E753" s="787">
        <f>[17]Sales_SP!JF23</f>
        <v>603.452940712734</v>
      </c>
      <c r="F753" s="787">
        <f>[17]Sales_SP!JG23</f>
        <v>692.657894297882</v>
      </c>
      <c r="G753" s="787">
        <f>[17]Sales_SP!JH23</f>
        <v>636.804107903135</v>
      </c>
      <c r="H753" s="787">
        <f>[17]Sales_SP!JI23</f>
        <v>541.380751344647</v>
      </c>
      <c r="I753" s="787">
        <f>[17]Sales_SP!JJ23</f>
        <v>613.256430221863</v>
      </c>
      <c r="J753" s="787">
        <f>[17]Sales_SP!JK23</f>
        <v>567.638972090185</v>
      </c>
      <c r="K753" s="787">
        <f>[17]Sales_SP!JL23</f>
        <v>581.398464100175</v>
      </c>
      <c r="L753" s="787">
        <f>[17]Sales_SP!JM23</f>
        <v>550.163916394133</v>
      </c>
      <c r="M753" s="787">
        <f>[17]Sales_SP!JN23</f>
        <v>507.322034514835</v>
      </c>
      <c r="N753" s="787">
        <f>[17]Sales_SP!JO23</f>
        <v>555.373720456729</v>
      </c>
      <c r="O753" s="787">
        <f>[17]Sales_SP!JP23</f>
        <v>554.466367107574</v>
      </c>
      <c r="P753" s="787">
        <f>[17]Sales_SP!JQ23</f>
        <v>685.466849909404</v>
      </c>
      <c r="Q753" s="866">
        <f t="shared" si="161"/>
        <v>7089.3824490533</v>
      </c>
      <c r="R753" s="863"/>
      <c r="S753" s="863"/>
    </row>
    <row r="754" ht="15" hidden="1" spans="3:19">
      <c r="C754" s="296" t="s">
        <v>175</v>
      </c>
      <c r="D754" s="296" t="s">
        <v>176</v>
      </c>
      <c r="E754" s="787">
        <f>[17]Sales_SP!JF36</f>
        <v>99.9921102495184</v>
      </c>
      <c r="F754" s="787">
        <f>[17]Sales_SP!JG36</f>
        <v>108.273707368046</v>
      </c>
      <c r="G754" s="787">
        <f>[17]Sales_SP!JH36</f>
        <v>102.335331012597</v>
      </c>
      <c r="H754" s="787">
        <f>[17]Sales_SP!JI36</f>
        <v>96.1658364821157</v>
      </c>
      <c r="I754" s="787">
        <f>[17]Sales_SP!JJ36</f>
        <v>102.878390774535</v>
      </c>
      <c r="J754" s="787">
        <f>[17]Sales_SP!JK36</f>
        <v>95.4240699004829</v>
      </c>
      <c r="K754" s="787">
        <f>[17]Sales_SP!JL36</f>
        <v>97.6096443285296</v>
      </c>
      <c r="L754" s="787">
        <f>[17]Sales_SP!JM36</f>
        <v>100.37753872057</v>
      </c>
      <c r="M754" s="787">
        <f>[17]Sales_SP!JN36</f>
        <v>111.240778709292</v>
      </c>
      <c r="N754" s="787">
        <f>[17]Sales_SP!JO36</f>
        <v>108.07258847054</v>
      </c>
      <c r="O754" s="787">
        <f>[17]Sales_SP!JP36</f>
        <v>99.4665493348239</v>
      </c>
      <c r="P754" s="787">
        <f>[17]Sales_SP!JQ36</f>
        <v>110.87534390609</v>
      </c>
      <c r="Q754" s="866">
        <f t="shared" si="161"/>
        <v>1232.71188925714</v>
      </c>
      <c r="R754" s="863"/>
      <c r="S754" s="863"/>
    </row>
    <row r="755" ht="15" hidden="1" spans="3:19">
      <c r="C755" s="296" t="s">
        <v>177</v>
      </c>
      <c r="D755" s="296" t="s">
        <v>178</v>
      </c>
      <c r="E755" s="787">
        <f>[17]Sales_SP!JF43</f>
        <v>0.8750092499173</v>
      </c>
      <c r="F755" s="787">
        <f>[17]Sales_SP!JG43</f>
        <v>0.913620954143189</v>
      </c>
      <c r="G755" s="787">
        <f>[17]Sales_SP!JH43</f>
        <v>0.80639039381324</v>
      </c>
      <c r="H755" s="787">
        <f>[17]Sales_SP!JI43</f>
        <v>0.780727277769815</v>
      </c>
      <c r="I755" s="787">
        <f>[17]Sales_SP!JJ43</f>
        <v>0.829808799196272</v>
      </c>
      <c r="J755" s="787">
        <f>[17]Sales_SP!JK43</f>
        <v>0.778360896986349</v>
      </c>
      <c r="K755" s="787">
        <f>[17]Sales_SP!JL43</f>
        <v>0.808377328789161</v>
      </c>
      <c r="L755" s="787">
        <f>[17]Sales_SP!JM43</f>
        <v>0.760568188141263</v>
      </c>
      <c r="M755" s="787">
        <f>[17]Sales_SP!JN43</f>
        <v>0.803797170427439</v>
      </c>
      <c r="N755" s="787">
        <f>[17]Sales_SP!JO43</f>
        <v>0.833841442004173</v>
      </c>
      <c r="O755" s="787">
        <f>[17]Sales_SP!JP43</f>
        <v>0.749830284228843</v>
      </c>
      <c r="P755" s="787">
        <f>[17]Sales_SP!JQ43</f>
        <v>0.866126299830349</v>
      </c>
      <c r="Q755" s="866">
        <f t="shared" si="161"/>
        <v>9.80645828524739</v>
      </c>
      <c r="R755" s="863"/>
      <c r="S755" s="863"/>
    </row>
    <row r="756" ht="15" hidden="1" spans="3:19">
      <c r="C756" s="296" t="s">
        <v>179</v>
      </c>
      <c r="D756" s="296" t="s">
        <v>180</v>
      </c>
      <c r="E756" s="787">
        <v>0</v>
      </c>
      <c r="F756" s="787">
        <v>0</v>
      </c>
      <c r="G756" s="787">
        <v>0</v>
      </c>
      <c r="H756" s="787">
        <v>0</v>
      </c>
      <c r="I756" s="787">
        <v>0</v>
      </c>
      <c r="J756" s="787">
        <v>0</v>
      </c>
      <c r="K756" s="787">
        <v>0</v>
      </c>
      <c r="L756" s="787">
        <v>0</v>
      </c>
      <c r="M756" s="787">
        <v>0</v>
      </c>
      <c r="N756" s="787">
        <v>0</v>
      </c>
      <c r="O756" s="787">
        <v>0</v>
      </c>
      <c r="P756" s="787">
        <v>0</v>
      </c>
      <c r="Q756" s="866">
        <f t="shared" si="161"/>
        <v>0</v>
      </c>
      <c r="R756" s="863"/>
      <c r="S756" s="863"/>
    </row>
    <row r="757" ht="15" hidden="1" spans="3:19">
      <c r="C757" s="296" t="s">
        <v>181</v>
      </c>
      <c r="D757" s="296" t="s">
        <v>182</v>
      </c>
      <c r="E757" s="787">
        <f>[17]Sales_SP!JF54</f>
        <v>43.8503726439887</v>
      </c>
      <c r="F757" s="787">
        <f>[17]Sales_SP!JG54</f>
        <v>45.6517942765443</v>
      </c>
      <c r="G757" s="787">
        <f>[17]Sales_SP!JH54</f>
        <v>42.6910501853827</v>
      </c>
      <c r="H757" s="787">
        <f>[17]Sales_SP!JI54</f>
        <v>42.460869256223</v>
      </c>
      <c r="I757" s="787">
        <f>[17]Sales_SP!JJ54</f>
        <v>45.2265574301422</v>
      </c>
      <c r="J757" s="787">
        <f>[17]Sales_SP!JK54</f>
        <v>43.306175099</v>
      </c>
      <c r="K757" s="787">
        <f>[17]Sales_SP!JL54</f>
        <v>46.00128722979</v>
      </c>
      <c r="L757" s="787">
        <f>[17]Sales_SP!JM54</f>
        <v>47.2312977249412</v>
      </c>
      <c r="M757" s="787">
        <f>[17]Sales_SP!JN54</f>
        <v>46.9044460175357</v>
      </c>
      <c r="N757" s="787">
        <f>[17]Sales_SP!JO54</f>
        <v>47.8354343614844</v>
      </c>
      <c r="O757" s="787">
        <f>[17]Sales_SP!JP54</f>
        <v>44.2602610081156</v>
      </c>
      <c r="P757" s="787">
        <f>[17]Sales_SP!JQ54</f>
        <v>48.5049654611676</v>
      </c>
      <c r="Q757" s="866">
        <f t="shared" si="161"/>
        <v>543.924510694315</v>
      </c>
      <c r="R757" s="863"/>
      <c r="S757" s="863"/>
    </row>
    <row r="758" ht="15" hidden="1" spans="3:19">
      <c r="C758" s="296" t="s">
        <v>183</v>
      </c>
      <c r="D758" s="296" t="s">
        <v>184</v>
      </c>
      <c r="E758" s="787">
        <f>[17]Sales_SP!JF64</f>
        <v>12.727133320712</v>
      </c>
      <c r="F758" s="787">
        <f>[17]Sales_SP!JG64</f>
        <v>10.4102461009417</v>
      </c>
      <c r="G758" s="787">
        <f>[17]Sales_SP!JH64</f>
        <v>12.3419232169536</v>
      </c>
      <c r="H758" s="787">
        <f>[17]Sales_SP!JI64</f>
        <v>12.5214731081278</v>
      </c>
      <c r="I758" s="787">
        <f>[17]Sales_SP!JJ64</f>
        <v>14.5210283288789</v>
      </c>
      <c r="J758" s="787">
        <f>[17]Sales_SP!JK64</f>
        <v>13.4778879242094</v>
      </c>
      <c r="K758" s="787">
        <f>[17]Sales_SP!JL64</f>
        <v>11.173820615174</v>
      </c>
      <c r="L758" s="787">
        <f>[17]Sales_SP!JM64</f>
        <v>12.9084035278179</v>
      </c>
      <c r="M758" s="787">
        <f>[17]Sales_SP!JN64</f>
        <v>11.4882035011676</v>
      </c>
      <c r="N758" s="787">
        <f>[17]Sales_SP!JO64</f>
        <v>11.7675818383641</v>
      </c>
      <c r="O758" s="787">
        <f>[17]Sales_SP!JP64</f>
        <v>12.9666759963258</v>
      </c>
      <c r="P758" s="787">
        <f>[17]Sales_SP!JQ64</f>
        <v>16.5625566714208</v>
      </c>
      <c r="Q758" s="866">
        <f t="shared" si="161"/>
        <v>152.866934150094</v>
      </c>
      <c r="R758" s="863"/>
      <c r="S758" s="863"/>
    </row>
    <row r="759" ht="15" hidden="1" spans="3:19">
      <c r="C759" s="296" t="s">
        <v>185</v>
      </c>
      <c r="D759" s="296" t="s">
        <v>186</v>
      </c>
      <c r="E759" s="787">
        <f>[17]Sales_SP!JF69</f>
        <v>35.72250084892</v>
      </c>
      <c r="F759" s="787">
        <f>[17]Sales_SP!JG69</f>
        <v>40.4726047908423</v>
      </c>
      <c r="G759" s="787">
        <f>[17]Sales_SP!JH69</f>
        <v>38.113187405198</v>
      </c>
      <c r="H759" s="787">
        <f>[17]Sales_SP!JI69</f>
        <v>33.028913660541</v>
      </c>
      <c r="I759" s="787">
        <f>[17]Sales_SP!JJ69</f>
        <v>37.905890446191</v>
      </c>
      <c r="J759" s="787">
        <f>[17]Sales_SP!JK69</f>
        <v>35.4606923934432</v>
      </c>
      <c r="K759" s="787">
        <f>[17]Sales_SP!JL69</f>
        <v>36.9525958546723</v>
      </c>
      <c r="L759" s="787">
        <f>[17]Sales_SP!JM69</f>
        <v>35.5392724498978</v>
      </c>
      <c r="M759" s="787">
        <f>[17]Sales_SP!JN69</f>
        <v>35.3371125119025</v>
      </c>
      <c r="N759" s="787">
        <f>[17]Sales_SP!JO69</f>
        <v>39.1505543149523</v>
      </c>
      <c r="O759" s="787">
        <f>[17]Sales_SP!JP69</f>
        <v>38.0165978391826</v>
      </c>
      <c r="P759" s="787">
        <f>[17]Sales_SP!JQ69</f>
        <v>47.0674580816652</v>
      </c>
      <c r="Q759" s="866">
        <f t="shared" si="161"/>
        <v>452.767380597408</v>
      </c>
      <c r="R759" s="863"/>
      <c r="S759" s="863"/>
    </row>
    <row r="760" ht="15" hidden="1" spans="3:19">
      <c r="C760" s="296" t="s">
        <v>187</v>
      </c>
      <c r="D760" s="296" t="s">
        <v>188</v>
      </c>
      <c r="E760" s="787">
        <f>[17]Sales_SP!JF70</f>
        <v>0.12203156372</v>
      </c>
      <c r="F760" s="787">
        <f>[17]Sales_SP!JG70</f>
        <v>0.14777234505</v>
      </c>
      <c r="G760" s="787">
        <f>[17]Sales_SP!JH70</f>
        <v>0.15170198945</v>
      </c>
      <c r="H760" s="787">
        <f>[17]Sales_SP!JI70</f>
        <v>0.20482627231</v>
      </c>
      <c r="I760" s="787">
        <f>[17]Sales_SP!JJ70</f>
        <v>0.24602311811</v>
      </c>
      <c r="J760" s="787">
        <f>[17]Sales_SP!JK70</f>
        <v>0.23920582928</v>
      </c>
      <c r="K760" s="787">
        <f>[17]Sales_SP!JL70</f>
        <v>0.31658117172</v>
      </c>
      <c r="L760" s="787">
        <f>[17]Sales_SP!JM70</f>
        <v>0.382335074</v>
      </c>
      <c r="M760" s="787">
        <f>[17]Sales_SP!JN70</f>
        <v>0.38501979417</v>
      </c>
      <c r="N760" s="787">
        <f>[17]Sales_SP!JO70</f>
        <v>0.49506594247</v>
      </c>
      <c r="O760" s="787">
        <f>[17]Sales_SP!JP70</f>
        <v>0.43455908177</v>
      </c>
      <c r="P760" s="787">
        <f>[17]Sales_SP!JQ70</f>
        <v>0.55056089605</v>
      </c>
      <c r="Q760" s="866">
        <f t="shared" si="161"/>
        <v>3.6756830781</v>
      </c>
      <c r="R760" s="863"/>
      <c r="S760" s="863"/>
    </row>
    <row r="761" ht="15" hidden="1" spans="3:19">
      <c r="C761" s="296"/>
      <c r="D761" s="296"/>
      <c r="E761" s="787"/>
      <c r="F761" s="787"/>
      <c r="G761" s="787"/>
      <c r="H761" s="787"/>
      <c r="I761" s="787"/>
      <c r="J761" s="787"/>
      <c r="K761" s="787"/>
      <c r="L761" s="787"/>
      <c r="M761" s="787"/>
      <c r="N761" s="787"/>
      <c r="O761" s="787"/>
      <c r="P761" s="787"/>
      <c r="Q761" s="866">
        <f t="shared" si="161"/>
        <v>0</v>
      </c>
      <c r="R761" s="863"/>
      <c r="S761" s="863"/>
    </row>
    <row r="762" ht="15" hidden="1" spans="3:19">
      <c r="C762" s="296"/>
      <c r="D762" s="296"/>
      <c r="E762" s="787"/>
      <c r="F762" s="787"/>
      <c r="G762" s="787"/>
      <c r="H762" s="787"/>
      <c r="I762" s="787"/>
      <c r="J762" s="787"/>
      <c r="K762" s="787"/>
      <c r="L762" s="787"/>
      <c r="M762" s="787"/>
      <c r="N762" s="787"/>
      <c r="O762" s="787"/>
      <c r="P762" s="787"/>
      <c r="Q762" s="866">
        <f t="shared" si="161"/>
        <v>0</v>
      </c>
      <c r="R762" s="863"/>
      <c r="S762" s="863"/>
    </row>
    <row r="763" ht="15" hidden="1" spans="3:19">
      <c r="C763" s="296"/>
      <c r="D763" s="296"/>
      <c r="E763" s="787"/>
      <c r="F763" s="787"/>
      <c r="G763" s="787"/>
      <c r="H763" s="787"/>
      <c r="I763" s="787"/>
      <c r="J763" s="787"/>
      <c r="K763" s="787"/>
      <c r="L763" s="787"/>
      <c r="M763" s="787"/>
      <c r="N763" s="787"/>
      <c r="O763" s="787"/>
      <c r="P763" s="787"/>
      <c r="Q763" s="866">
        <f t="shared" si="161"/>
        <v>0</v>
      </c>
      <c r="R763" s="863"/>
      <c r="S763" s="863"/>
    </row>
    <row r="764" ht="15" hidden="1" spans="3:19">
      <c r="C764" s="296" t="s">
        <v>258</v>
      </c>
      <c r="D764" s="296" t="s">
        <v>258</v>
      </c>
      <c r="E764" s="787"/>
      <c r="F764" s="787"/>
      <c r="G764" s="787"/>
      <c r="H764" s="787"/>
      <c r="I764" s="787"/>
      <c r="J764" s="787"/>
      <c r="K764" s="787"/>
      <c r="L764" s="787"/>
      <c r="M764" s="787"/>
      <c r="N764" s="787"/>
      <c r="O764" s="787"/>
      <c r="P764" s="787"/>
      <c r="Q764" s="866">
        <f t="shared" si="161"/>
        <v>0</v>
      </c>
      <c r="R764" s="863"/>
      <c r="S764" s="863"/>
    </row>
    <row r="765" ht="15" hidden="1" spans="3:19">
      <c r="C765" s="285" t="s">
        <v>189</v>
      </c>
      <c r="D765" s="286"/>
      <c r="E765" s="866">
        <f>SUM(E752:E764)</f>
        <v>2124.68379716235</v>
      </c>
      <c r="F765" s="866">
        <f t="shared" ref="F765:P765" si="162">SUM(F752:F764)</f>
        <v>2496.5643454047</v>
      </c>
      <c r="G765" s="866">
        <f t="shared" si="162"/>
        <v>2257.57179284407</v>
      </c>
      <c r="H765" s="866">
        <f t="shared" si="162"/>
        <v>1843.08807650248</v>
      </c>
      <c r="I765" s="866">
        <f t="shared" si="162"/>
        <v>2092.50540368223</v>
      </c>
      <c r="J765" s="866">
        <f t="shared" si="162"/>
        <v>1940.36740164388</v>
      </c>
      <c r="K765" s="866">
        <f t="shared" si="162"/>
        <v>1945.68632598929</v>
      </c>
      <c r="L765" s="866">
        <f t="shared" si="162"/>
        <v>1832.47682551674</v>
      </c>
      <c r="M765" s="866">
        <f t="shared" si="162"/>
        <v>1676.02590606318</v>
      </c>
      <c r="N765" s="866">
        <f t="shared" si="162"/>
        <v>1849.83339925595</v>
      </c>
      <c r="O765" s="866">
        <f t="shared" si="162"/>
        <v>1779.28952048742</v>
      </c>
      <c r="P765" s="866">
        <f t="shared" si="162"/>
        <v>2320.86941306115</v>
      </c>
      <c r="Q765" s="866">
        <f t="shared" si="161"/>
        <v>24158.9622076134</v>
      </c>
      <c r="R765" s="863"/>
      <c r="S765" s="863"/>
    </row>
    <row r="766" ht="15" hidden="1" spans="3:19">
      <c r="C766" s="285" t="s">
        <v>190</v>
      </c>
      <c r="D766" s="286"/>
      <c r="E766" s="787"/>
      <c r="F766" s="787"/>
      <c r="G766" s="787"/>
      <c r="H766" s="787"/>
      <c r="I766" s="787"/>
      <c r="J766" s="787"/>
      <c r="K766" s="787"/>
      <c r="L766" s="787"/>
      <c r="M766" s="787"/>
      <c r="N766" s="787"/>
      <c r="O766" s="787"/>
      <c r="P766" s="787"/>
      <c r="Q766" s="866"/>
      <c r="R766" s="863"/>
      <c r="S766" s="863"/>
    </row>
    <row r="767" ht="15" hidden="1" spans="3:19">
      <c r="C767" s="296" t="s">
        <v>191</v>
      </c>
      <c r="D767" s="296" t="s">
        <v>192</v>
      </c>
      <c r="E767" s="787">
        <f>[17]Sales_SP!JF89</f>
        <v>498.754101685561</v>
      </c>
      <c r="F767" s="787">
        <f>[17]Sales_SP!JG89</f>
        <v>514.1688105811</v>
      </c>
      <c r="G767" s="787">
        <f>[17]Sales_SP!JH89</f>
        <v>499.523377487292</v>
      </c>
      <c r="H767" s="787">
        <f>[17]Sales_SP!JI89</f>
        <v>482.910947142268</v>
      </c>
      <c r="I767" s="787">
        <f>[17]Sales_SP!JJ89</f>
        <v>502.861590208619</v>
      </c>
      <c r="J767" s="787">
        <f>[17]Sales_SP!JK89</f>
        <v>472.899537670895</v>
      </c>
      <c r="K767" s="787">
        <f>[17]Sales_SP!JL89</f>
        <v>482.965806029267</v>
      </c>
      <c r="L767" s="787">
        <f>[17]Sales_SP!JM89</f>
        <v>489.849033646691</v>
      </c>
      <c r="M767" s="787">
        <f>[17]Sales_SP!JN89</f>
        <v>515.692172784915</v>
      </c>
      <c r="N767" s="787">
        <f>[17]Sales_SP!JO89</f>
        <v>501.143351508528</v>
      </c>
      <c r="O767" s="787">
        <f>[17]Sales_SP!JP89</f>
        <v>494.115598667639</v>
      </c>
      <c r="P767" s="787">
        <f>[17]Sales_SP!JQ89</f>
        <v>515.536485498071</v>
      </c>
      <c r="Q767" s="866">
        <f t="shared" ref="Q767:Q782" si="163">SUM(E767:P767)</f>
        <v>5970.42081291085</v>
      </c>
      <c r="R767" s="863"/>
      <c r="S767" s="863"/>
    </row>
    <row r="768" ht="15" hidden="1" spans="3:19">
      <c r="C768" s="296" t="s">
        <v>193</v>
      </c>
      <c r="D768" s="296" t="s">
        <v>194</v>
      </c>
      <c r="E768" s="787">
        <f>[17]Sales_SP!JF104</f>
        <v>0.011040808032</v>
      </c>
      <c r="F768" s="787">
        <f>[17]Sales_SP!JG104</f>
        <v>0.0251377117272576</v>
      </c>
      <c r="G768" s="787">
        <f>[17]Sales_SP!JH104</f>
        <v>0.0093891031504128</v>
      </c>
      <c r="H768" s="787">
        <f>[17]Sales_SP!JI104</f>
        <v>0</v>
      </c>
      <c r="I768" s="787">
        <f>[17]Sales_SP!JJ104</f>
        <v>0</v>
      </c>
      <c r="J768" s="787">
        <f>[17]Sales_SP!JK104</f>
        <v>0</v>
      </c>
      <c r="K768" s="787">
        <f>[17]Sales_SP!JL104</f>
        <v>0</v>
      </c>
      <c r="L768" s="787">
        <f>[17]Sales_SP!JM104</f>
        <v>0.0712805607353952</v>
      </c>
      <c r="M768" s="787">
        <f>[17]Sales_SP!JN104</f>
        <v>0.1122022116252</v>
      </c>
      <c r="N768" s="787">
        <f>[17]Sales_SP!JO104</f>
        <v>0.0450056457808416</v>
      </c>
      <c r="O768" s="787">
        <f>[17]Sales_SP!JP104</f>
        <v>0.0160997062722624</v>
      </c>
      <c r="P768" s="787">
        <f>[17]Sales_SP!JQ104</f>
        <v>0</v>
      </c>
      <c r="Q768" s="866">
        <f t="shared" si="163"/>
        <v>0.29015574732337</v>
      </c>
      <c r="R768" s="863"/>
      <c r="S768" s="863"/>
    </row>
    <row r="769" ht="15" hidden="1" spans="3:19">
      <c r="C769" s="296" t="s">
        <v>239</v>
      </c>
      <c r="D769" s="296" t="s">
        <v>196</v>
      </c>
      <c r="E769" s="787">
        <f>[17]Sales_SP!JF110</f>
        <v>380.76730456002</v>
      </c>
      <c r="F769" s="787">
        <f>[17]Sales_SP!JG110</f>
        <v>420.728779850185</v>
      </c>
      <c r="G769" s="787">
        <f>[17]Sales_SP!JH110</f>
        <v>421.802432549445</v>
      </c>
      <c r="H769" s="787">
        <f>[17]Sales_SP!JI110</f>
        <v>359.985676671546</v>
      </c>
      <c r="I769" s="787">
        <f>[17]Sales_SP!JJ110</f>
        <v>388.438716257206</v>
      </c>
      <c r="J769" s="787">
        <f>[17]Sales_SP!JK110</f>
        <v>361.625556204828</v>
      </c>
      <c r="K769" s="787">
        <f>[17]Sales_SP!JL110</f>
        <v>377.453109580061</v>
      </c>
      <c r="L769" s="787">
        <f>[17]Sales_SP!JM110</f>
        <v>349.670750797294</v>
      </c>
      <c r="M769" s="787">
        <f>[17]Sales_SP!JN110</f>
        <v>323.409839346975</v>
      </c>
      <c r="N769" s="787">
        <f>[17]Sales_SP!JO110</f>
        <v>324.259391909754</v>
      </c>
      <c r="O769" s="787">
        <f>[17]Sales_SP!JP110</f>
        <v>355.371401063812</v>
      </c>
      <c r="P769" s="787">
        <f>[17]Sales_SP!JQ110</f>
        <v>423.28566091073</v>
      </c>
      <c r="Q769" s="866">
        <f t="shared" si="163"/>
        <v>4486.79861970186</v>
      </c>
      <c r="R769" s="863"/>
      <c r="S769" s="863"/>
    </row>
    <row r="770" ht="15" hidden="1" spans="3:19">
      <c r="C770" s="296" t="s">
        <v>197</v>
      </c>
      <c r="D770" s="296" t="s">
        <v>198</v>
      </c>
      <c r="E770" s="787">
        <f>[17]Sales_SP!JF115</f>
        <v>0</v>
      </c>
      <c r="F770" s="787">
        <f>[17]Sales_SP!JG115</f>
        <v>0.0521446322543328</v>
      </c>
      <c r="G770" s="787">
        <f>[17]Sales_SP!JH115</f>
        <v>0.0404822267301312</v>
      </c>
      <c r="H770" s="787">
        <f>[17]Sales_SP!JI115</f>
        <v>0.0302915609165952</v>
      </c>
      <c r="I770" s="787">
        <f>[17]Sales_SP!JJ115</f>
        <v>0.0275258385045792</v>
      </c>
      <c r="J770" s="787">
        <f>[17]Sales_SP!JK115</f>
        <v>0.0330639078134304</v>
      </c>
      <c r="K770" s="787">
        <f>[17]Sales_SP!JL115</f>
        <v>0.0281065850070624</v>
      </c>
      <c r="L770" s="787">
        <f>[17]Sales_SP!JM115</f>
        <v>0.0286751866207104</v>
      </c>
      <c r="M770" s="787">
        <f>[17]Sales_SP!JN115</f>
        <v>0.0312576316193952</v>
      </c>
      <c r="N770" s="787">
        <f>[17]Sales_SP!JO115</f>
        <v>0.0313051070939328</v>
      </c>
      <c r="O770" s="787">
        <f>[17]Sales_SP!JP115</f>
        <v>0.0326355244617888</v>
      </c>
      <c r="P770" s="787">
        <f>[17]Sales_SP!JQ115</f>
        <v>0.0369281906246304</v>
      </c>
      <c r="Q770" s="866">
        <f t="shared" si="163"/>
        <v>0.372416391646589</v>
      </c>
      <c r="R770" s="863"/>
      <c r="S770" s="863"/>
    </row>
    <row r="771" ht="15" hidden="1" spans="3:19">
      <c r="C771" s="296" t="s">
        <v>199</v>
      </c>
      <c r="D771" s="296" t="s">
        <v>200</v>
      </c>
      <c r="E771" s="787">
        <f>[17]Sales_SP!JF120</f>
        <v>0.542489028085223</v>
      </c>
      <c r="F771" s="787">
        <f>[17]Sales_SP!JG120</f>
        <v>0.623314805119335</v>
      </c>
      <c r="G771" s="787">
        <f>[17]Sales_SP!JH120</f>
        <v>0.632630516102887</v>
      </c>
      <c r="H771" s="787">
        <f>[17]Sales_SP!JI120</f>
        <v>0.569761913516226</v>
      </c>
      <c r="I771" s="787">
        <f>[17]Sales_SP!JJ120</f>
        <v>0.56438784784271</v>
      </c>
      <c r="J771" s="787">
        <f>[17]Sales_SP!JK120</f>
        <v>0.562877192007539</v>
      </c>
      <c r="K771" s="787">
        <f>[17]Sales_SP!JL120</f>
        <v>0.57152007793456</v>
      </c>
      <c r="L771" s="787">
        <f>[17]Sales_SP!JM120</f>
        <v>0.533395221348645</v>
      </c>
      <c r="M771" s="787">
        <f>[17]Sales_SP!JN120</f>
        <v>0.500429638504881</v>
      </c>
      <c r="N771" s="787">
        <f>[17]Sales_SP!JO120</f>
        <v>0.526482050577526</v>
      </c>
      <c r="O771" s="787">
        <f>[17]Sales_SP!JP120</f>
        <v>0.552457649641603</v>
      </c>
      <c r="P771" s="787">
        <f>[17]Sales_SP!JQ120</f>
        <v>0.676704113463457</v>
      </c>
      <c r="Q771" s="866">
        <f t="shared" si="163"/>
        <v>6.85645005414459</v>
      </c>
      <c r="R771" s="863"/>
      <c r="S771" s="863"/>
    </row>
    <row r="772" ht="15" hidden="1" spans="3:19">
      <c r="C772" s="296" t="s">
        <v>201</v>
      </c>
      <c r="D772" s="296" t="s">
        <v>202</v>
      </c>
      <c r="E772" s="787">
        <f>[17]Sales_SP!JF126</f>
        <v>2.2839318576</v>
      </c>
      <c r="F772" s="787">
        <f>[17]Sales_SP!JG126</f>
        <v>0.41679158564016</v>
      </c>
      <c r="G772" s="787">
        <f>[17]Sales_SP!JH126</f>
        <v>0.68047855440912</v>
      </c>
      <c r="H772" s="787">
        <f>[17]Sales_SP!JI126</f>
        <v>1.12969452529394</v>
      </c>
      <c r="I772" s="787">
        <f>[17]Sales_SP!JJ126</f>
        <v>1.95756591855237</v>
      </c>
      <c r="J772" s="787">
        <f>[17]Sales_SP!JK126</f>
        <v>1.83005398129392</v>
      </c>
      <c r="K772" s="787">
        <f>[17]Sales_SP!JL126</f>
        <v>3.57976227064752</v>
      </c>
      <c r="L772" s="787">
        <f>[17]Sales_SP!JM126</f>
        <v>1.52117149731893</v>
      </c>
      <c r="M772" s="787">
        <f>[17]Sales_SP!JN126</f>
        <v>1.34044501938624</v>
      </c>
      <c r="N772" s="787">
        <f>[17]Sales_SP!JO126</f>
        <v>1.67771193787944</v>
      </c>
      <c r="O772" s="787">
        <f>[17]Sales_SP!JP126</f>
        <v>1.95313842463968</v>
      </c>
      <c r="P772" s="787">
        <f>[17]Sales_SP!JQ126</f>
        <v>0.9276281246376</v>
      </c>
      <c r="Q772" s="866">
        <f t="shared" si="163"/>
        <v>19.2983736972989</v>
      </c>
      <c r="R772" s="863"/>
      <c r="S772" s="863"/>
    </row>
    <row r="773" ht="15" hidden="1" spans="3:19">
      <c r="C773" s="296" t="s">
        <v>203</v>
      </c>
      <c r="D773" s="296" t="s">
        <v>204</v>
      </c>
      <c r="E773" s="787">
        <f>[17]Sales_SP!JF127+[17]Sales_SP!JF128</f>
        <v>17.0352462842651</v>
      </c>
      <c r="F773" s="787">
        <f>[17]Sales_SP!JG127+[17]Sales_SP!JG128</f>
        <v>16.3140854877982</v>
      </c>
      <c r="G773" s="787">
        <f>[17]Sales_SP!JH127+[17]Sales_SP!JH128</f>
        <v>16.2494253916895</v>
      </c>
      <c r="H773" s="787">
        <f>[17]Sales_SP!JI127+[17]Sales_SP!JI128</f>
        <v>16.0587065203625</v>
      </c>
      <c r="I773" s="787">
        <f>[17]Sales_SP!JJ127+[17]Sales_SP!JJ128</f>
        <v>16.1701017528138</v>
      </c>
      <c r="J773" s="787">
        <f>[17]Sales_SP!JK127+[17]Sales_SP!JK128</f>
        <v>15.4762706859911</v>
      </c>
      <c r="K773" s="787">
        <f>[17]Sales_SP!JL127+[17]Sales_SP!JL128</f>
        <v>16.5404541183329</v>
      </c>
      <c r="L773" s="787">
        <f>[17]Sales_SP!JM127+[17]Sales_SP!JM128</f>
        <v>16.5881314183819</v>
      </c>
      <c r="M773" s="787">
        <f>[17]Sales_SP!JN127+[17]Sales_SP!JN128</f>
        <v>16.8084483349675</v>
      </c>
      <c r="N773" s="787">
        <f>[17]Sales_SP!JO127+[17]Sales_SP!JO128</f>
        <v>17.0707070973824</v>
      </c>
      <c r="O773" s="787">
        <f>[17]Sales_SP!JP127+[17]Sales_SP!JP128</f>
        <v>16.027154341377</v>
      </c>
      <c r="P773" s="787">
        <f>[17]Sales_SP!JQ127+[17]Sales_SP!JQ128</f>
        <v>17.4956429892983</v>
      </c>
      <c r="Q773" s="866">
        <f t="shared" si="163"/>
        <v>197.83437442266</v>
      </c>
      <c r="R773" s="863"/>
      <c r="S773" s="863"/>
    </row>
    <row r="774" ht="15" hidden="1" spans="3:19">
      <c r="C774" s="296" t="s">
        <v>205</v>
      </c>
      <c r="D774" s="296" t="s">
        <v>206</v>
      </c>
      <c r="E774" s="787">
        <f>[17]Sales_SP!JF131</f>
        <v>44.3070786583582</v>
      </c>
      <c r="F774" s="787">
        <f>[17]Sales_SP!JG131</f>
        <v>50.8368206724135</v>
      </c>
      <c r="G774" s="787">
        <f>[17]Sales_SP!JH131</f>
        <v>50.8730222963214</v>
      </c>
      <c r="H774" s="787">
        <f>[17]Sales_SP!JI131</f>
        <v>39.121919449382</v>
      </c>
      <c r="I774" s="787">
        <f>[17]Sales_SP!JJ131</f>
        <v>40.772380602687</v>
      </c>
      <c r="J774" s="787">
        <f>[17]Sales_SP!JK131</f>
        <v>38.7167905956722</v>
      </c>
      <c r="K774" s="787">
        <f>[17]Sales_SP!JL131</f>
        <v>39.0876499795228</v>
      </c>
      <c r="L774" s="787">
        <f>[17]Sales_SP!JM131</f>
        <v>36.959448824003</v>
      </c>
      <c r="M774" s="787">
        <f>[17]Sales_SP!JN131</f>
        <v>35.5140168729322</v>
      </c>
      <c r="N774" s="787">
        <f>[17]Sales_SP!JO131</f>
        <v>36.38471948467</v>
      </c>
      <c r="O774" s="787">
        <f>[17]Sales_SP!JP131</f>
        <v>38.3643778930535</v>
      </c>
      <c r="P774" s="787">
        <f>[17]Sales_SP!JQ131</f>
        <v>52.7106789385071</v>
      </c>
      <c r="Q774" s="866">
        <f t="shared" si="163"/>
        <v>503.648904267523</v>
      </c>
      <c r="R774" s="863"/>
      <c r="S774" s="863"/>
    </row>
    <row r="775" ht="15" hidden="1" spans="3:19">
      <c r="C775" s="296" t="s">
        <v>207</v>
      </c>
      <c r="D775" s="296" t="s">
        <v>186</v>
      </c>
      <c r="E775" s="787">
        <f>[17]Sales_SP!JF132</f>
        <v>37.5396732338666</v>
      </c>
      <c r="F775" s="787">
        <f>[17]Sales_SP!JG132</f>
        <v>41.0083089432702</v>
      </c>
      <c r="G775" s="787">
        <f>[17]Sales_SP!JH132</f>
        <v>40.739376612151</v>
      </c>
      <c r="H775" s="787">
        <f>[17]Sales_SP!JI132</f>
        <v>38.3607821729222</v>
      </c>
      <c r="I775" s="787">
        <f>[17]Sales_SP!JJ132</f>
        <v>43.3749932918562</v>
      </c>
      <c r="J775" s="787">
        <f>[17]Sales_SP!JK132</f>
        <v>42.2207637771461</v>
      </c>
      <c r="K775" s="787">
        <f>[17]Sales_SP!JL132</f>
        <v>43.9121586271937</v>
      </c>
      <c r="L775" s="787">
        <f>[17]Sales_SP!JM132</f>
        <v>42.185445839675</v>
      </c>
      <c r="M775" s="787">
        <f>[17]Sales_SP!JN132</f>
        <v>43.6707965867433</v>
      </c>
      <c r="N775" s="787">
        <f>[17]Sales_SP!JO132</f>
        <v>42.3008438622858</v>
      </c>
      <c r="O775" s="787">
        <f>[17]Sales_SP!JP132</f>
        <v>42.8267734256735</v>
      </c>
      <c r="P775" s="787">
        <f>[17]Sales_SP!JQ132</f>
        <v>48.0176648798762</v>
      </c>
      <c r="Q775" s="866">
        <f t="shared" si="163"/>
        <v>506.15758125266</v>
      </c>
      <c r="R775" s="863"/>
      <c r="S775" s="863"/>
    </row>
    <row r="776" ht="15" hidden="1" spans="3:19">
      <c r="C776" s="296" t="s">
        <v>208</v>
      </c>
      <c r="D776" s="296" t="s">
        <v>209</v>
      </c>
      <c r="E776" s="787">
        <f>[17]Sales_SP!JF133</f>
        <v>0</v>
      </c>
      <c r="F776" s="787">
        <f>[17]Sales_SP!JG133</f>
        <v>0</v>
      </c>
      <c r="G776" s="787">
        <f>[17]Sales_SP!JH133</f>
        <v>0</v>
      </c>
      <c r="H776" s="787">
        <f>[17]Sales_SP!JI133</f>
        <v>0</v>
      </c>
      <c r="I776" s="787">
        <f>[17]Sales_SP!JJ133</f>
        <v>0</v>
      </c>
      <c r="J776" s="787">
        <f>[17]Sales_SP!JK133</f>
        <v>0</v>
      </c>
      <c r="K776" s="787">
        <f>[17]Sales_SP!JL133</f>
        <v>0</v>
      </c>
      <c r="L776" s="787">
        <f>[17]Sales_SP!JM133</f>
        <v>0</v>
      </c>
      <c r="M776" s="787">
        <f>[17]Sales_SP!JN133</f>
        <v>0</v>
      </c>
      <c r="N776" s="787">
        <f>[17]Sales_SP!JO133</f>
        <v>0</v>
      </c>
      <c r="O776" s="787">
        <f>[17]Sales_SP!JP133</f>
        <v>0</v>
      </c>
      <c r="P776" s="787">
        <f>[17]Sales_SP!JQ133</f>
        <v>0</v>
      </c>
      <c r="Q776" s="866">
        <f t="shared" si="163"/>
        <v>0</v>
      </c>
      <c r="R776" s="863"/>
      <c r="S776" s="863"/>
    </row>
    <row r="777" ht="15" hidden="1" spans="3:19">
      <c r="C777" s="296" t="s">
        <v>210</v>
      </c>
      <c r="D777" s="296" t="s">
        <v>188</v>
      </c>
      <c r="E777" s="787">
        <f>[17]Sales_SP!JF134</f>
        <v>0.96725942192</v>
      </c>
      <c r="F777" s="787">
        <f>[17]Sales_SP!JG134</f>
        <v>1.19816468266</v>
      </c>
      <c r="G777" s="787">
        <f>[17]Sales_SP!JH134</f>
        <v>1.29508517446</v>
      </c>
      <c r="H777" s="787">
        <f>[17]Sales_SP!JI134</f>
        <v>1.21628614118</v>
      </c>
      <c r="I777" s="787">
        <f>[17]Sales_SP!JJ134</f>
        <v>1.28727259045</v>
      </c>
      <c r="J777" s="787">
        <f>[17]Sales_SP!JK134</f>
        <v>1.49436485033</v>
      </c>
      <c r="K777" s="787">
        <f>[17]Sales_SP!JL134</f>
        <v>1.80809380884</v>
      </c>
      <c r="L777" s="787">
        <f>[17]Sales_SP!JM134</f>
        <v>1.78844075531</v>
      </c>
      <c r="M777" s="787">
        <f>[17]Sales_SP!JN134</f>
        <v>1.85149383232</v>
      </c>
      <c r="N777" s="787">
        <f>[17]Sales_SP!JO134</f>
        <v>1.97263156299</v>
      </c>
      <c r="O777" s="787">
        <f>[17]Sales_SP!JP134</f>
        <v>2.05959105044</v>
      </c>
      <c r="P777" s="787">
        <f>[17]Sales_SP!JQ134</f>
        <v>2.42239869069</v>
      </c>
      <c r="Q777" s="866">
        <f t="shared" si="163"/>
        <v>19.36108256159</v>
      </c>
      <c r="R777" s="863"/>
      <c r="S777" s="863"/>
    </row>
    <row r="778" ht="15" hidden="1" spans="3:19">
      <c r="C778" s="296"/>
      <c r="D778" s="296"/>
      <c r="E778" s="787"/>
      <c r="F778" s="787"/>
      <c r="G778" s="787"/>
      <c r="H778" s="787"/>
      <c r="I778" s="787"/>
      <c r="J778" s="787"/>
      <c r="K778" s="787"/>
      <c r="L778" s="787"/>
      <c r="M778" s="787"/>
      <c r="N778" s="787"/>
      <c r="O778" s="787"/>
      <c r="P778" s="787"/>
      <c r="Q778" s="866">
        <f t="shared" si="163"/>
        <v>0</v>
      </c>
      <c r="R778" s="863"/>
      <c r="S778" s="863"/>
    </row>
    <row r="779" ht="15" hidden="1" spans="3:19">
      <c r="C779" s="296"/>
      <c r="D779" s="296"/>
      <c r="E779" s="787"/>
      <c r="F779" s="787"/>
      <c r="G779" s="787"/>
      <c r="H779" s="787"/>
      <c r="I779" s="787"/>
      <c r="J779" s="787"/>
      <c r="K779" s="787"/>
      <c r="L779" s="787"/>
      <c r="M779" s="787"/>
      <c r="N779" s="787"/>
      <c r="O779" s="787"/>
      <c r="P779" s="787"/>
      <c r="Q779" s="866">
        <f t="shared" si="163"/>
        <v>0</v>
      </c>
      <c r="R779" s="863"/>
      <c r="S779" s="863"/>
    </row>
    <row r="780" ht="15" hidden="1" spans="3:19">
      <c r="C780" s="296"/>
      <c r="D780" s="296"/>
      <c r="E780" s="787"/>
      <c r="F780" s="787"/>
      <c r="G780" s="787"/>
      <c r="H780" s="787"/>
      <c r="I780" s="787"/>
      <c r="J780" s="787"/>
      <c r="K780" s="787"/>
      <c r="L780" s="787"/>
      <c r="M780" s="787"/>
      <c r="N780" s="787"/>
      <c r="O780" s="787"/>
      <c r="P780" s="787"/>
      <c r="Q780" s="866">
        <f t="shared" si="163"/>
        <v>0</v>
      </c>
      <c r="R780" s="863"/>
      <c r="S780" s="863"/>
    </row>
    <row r="781" ht="15" hidden="1" spans="3:19">
      <c r="C781" s="296" t="s">
        <v>258</v>
      </c>
      <c r="D781" s="296" t="s">
        <v>258</v>
      </c>
      <c r="E781" s="787"/>
      <c r="F781" s="787"/>
      <c r="G781" s="787"/>
      <c r="H781" s="787"/>
      <c r="I781" s="787"/>
      <c r="J781" s="787"/>
      <c r="K781" s="787"/>
      <c r="L781" s="787"/>
      <c r="M781" s="787"/>
      <c r="N781" s="787"/>
      <c r="O781" s="787"/>
      <c r="P781" s="787"/>
      <c r="Q781" s="866">
        <f t="shared" si="163"/>
        <v>0</v>
      </c>
      <c r="R781" s="863"/>
      <c r="S781" s="863"/>
    </row>
    <row r="782" ht="15" hidden="1" spans="3:19">
      <c r="C782" s="285" t="s">
        <v>211</v>
      </c>
      <c r="D782" s="286"/>
      <c r="E782" s="866">
        <f t="shared" ref="E782:P782" si="164">SUM(E767:E781)</f>
        <v>982.208125537708</v>
      </c>
      <c r="F782" s="866">
        <f t="shared" si="164"/>
        <v>1045.37235895217</v>
      </c>
      <c r="G782" s="866">
        <f t="shared" si="164"/>
        <v>1031.84569991175</v>
      </c>
      <c r="H782" s="866">
        <f t="shared" si="164"/>
        <v>939.384066097388</v>
      </c>
      <c r="I782" s="866">
        <f t="shared" si="164"/>
        <v>995.454534308532</v>
      </c>
      <c r="J782" s="866">
        <f t="shared" si="164"/>
        <v>934.859278865977</v>
      </c>
      <c r="K782" s="866">
        <f t="shared" si="164"/>
        <v>965.946661076807</v>
      </c>
      <c r="L782" s="866">
        <f t="shared" si="164"/>
        <v>939.195773747379</v>
      </c>
      <c r="M782" s="866">
        <f t="shared" si="164"/>
        <v>938.931102259989</v>
      </c>
      <c r="N782" s="866">
        <f t="shared" si="164"/>
        <v>925.412150166942</v>
      </c>
      <c r="O782" s="866">
        <f t="shared" si="164"/>
        <v>951.31922774701</v>
      </c>
      <c r="P782" s="866">
        <f t="shared" si="164"/>
        <v>1061.1097923359</v>
      </c>
      <c r="Q782" s="866">
        <f t="shared" si="163"/>
        <v>11711.0387710075</v>
      </c>
      <c r="R782" s="863"/>
      <c r="S782" s="863"/>
    </row>
    <row r="783" ht="15" hidden="1" spans="3:19">
      <c r="C783" s="285" t="s">
        <v>212</v>
      </c>
      <c r="D783" s="286"/>
      <c r="E783" s="787"/>
      <c r="F783" s="787"/>
      <c r="G783" s="787"/>
      <c r="H783" s="787"/>
      <c r="I783" s="787"/>
      <c r="J783" s="787"/>
      <c r="K783" s="787"/>
      <c r="L783" s="787"/>
      <c r="M783" s="787"/>
      <c r="N783" s="787"/>
      <c r="O783" s="787"/>
      <c r="P783" s="787"/>
      <c r="Q783" s="866"/>
      <c r="R783" s="863"/>
      <c r="S783" s="863"/>
    </row>
    <row r="784" ht="15" hidden="1" spans="3:19">
      <c r="C784" s="296" t="s">
        <v>191</v>
      </c>
      <c r="D784" s="296" t="s">
        <v>192</v>
      </c>
      <c r="E784" s="787">
        <f>[17]Sales_SP!JF152</f>
        <v>887.86866337746</v>
      </c>
      <c r="F784" s="787">
        <f>[17]Sales_SP!JG152</f>
        <v>947.093088383833</v>
      </c>
      <c r="G784" s="787">
        <f>[17]Sales_SP!JH152</f>
        <v>923.237455276368</v>
      </c>
      <c r="H784" s="787">
        <f>[17]Sales_SP!JI152</f>
        <v>922.567927987548</v>
      </c>
      <c r="I784" s="787">
        <f>[17]Sales_SP!JJ152</f>
        <v>945.453432541909</v>
      </c>
      <c r="J784" s="787">
        <f>[17]Sales_SP!JK152</f>
        <v>921.42366746261</v>
      </c>
      <c r="K784" s="787">
        <f>[17]Sales_SP!JL152</f>
        <v>943.012655915</v>
      </c>
      <c r="L784" s="787">
        <f>[17]Sales_SP!JM152</f>
        <v>946.555363383057</v>
      </c>
      <c r="M784" s="787">
        <f>[17]Sales_SP!JN152</f>
        <v>965.625289688232</v>
      </c>
      <c r="N784" s="787">
        <f>[17]Sales_SP!JO152</f>
        <v>961.321892644932</v>
      </c>
      <c r="O784" s="787">
        <f>[17]Sales_SP!JP152</f>
        <v>935.946309213497</v>
      </c>
      <c r="P784" s="787">
        <f>[17]Sales_SP!JQ152</f>
        <v>1045.57556068403</v>
      </c>
      <c r="Q784" s="866">
        <f t="shared" ref="Q784:Q799" si="165">SUM(E784:P784)</f>
        <v>11345.6813065585</v>
      </c>
      <c r="R784" s="863"/>
      <c r="S784" s="863"/>
    </row>
    <row r="785" ht="15" hidden="1" spans="3:19">
      <c r="C785" s="296" t="s">
        <v>193</v>
      </c>
      <c r="D785" s="296" t="s">
        <v>194</v>
      </c>
      <c r="E785" s="787">
        <f>[17]Sales_SP!JF168</f>
        <v>0</v>
      </c>
      <c r="F785" s="787">
        <f>[17]Sales_SP!JG168</f>
        <v>0</v>
      </c>
      <c r="G785" s="787">
        <f>[17]Sales_SP!JH168</f>
        <v>0</v>
      </c>
      <c r="H785" s="787">
        <f>[17]Sales_SP!JI168</f>
        <v>0</v>
      </c>
      <c r="I785" s="787">
        <f>[17]Sales_SP!JJ168</f>
        <v>0</v>
      </c>
      <c r="J785" s="787">
        <f>[17]Sales_SP!JK168</f>
        <v>0</v>
      </c>
      <c r="K785" s="787">
        <f>[17]Sales_SP!JL168</f>
        <v>0</v>
      </c>
      <c r="L785" s="787">
        <f>[17]Sales_SP!JM168</f>
        <v>0</v>
      </c>
      <c r="M785" s="787">
        <f>[17]Sales_SP!JN168</f>
        <v>0</v>
      </c>
      <c r="N785" s="787">
        <f>[17]Sales_SP!JO168</f>
        <v>0</v>
      </c>
      <c r="O785" s="787">
        <f>[17]Sales_SP!JP168</f>
        <v>0</v>
      </c>
      <c r="P785" s="787">
        <f>[17]Sales_SP!JQ168</f>
        <v>0</v>
      </c>
      <c r="Q785" s="866">
        <f t="shared" si="165"/>
        <v>0</v>
      </c>
      <c r="R785" s="863"/>
      <c r="S785" s="863"/>
    </row>
    <row r="786" ht="15" hidden="1" spans="3:19">
      <c r="C786" s="296" t="s">
        <v>239</v>
      </c>
      <c r="D786" s="296" t="s">
        <v>196</v>
      </c>
      <c r="E786" s="787">
        <f>[17]Sales_SP!JF174</f>
        <v>368.216740787983</v>
      </c>
      <c r="F786" s="787">
        <f>[17]Sales_SP!JG174</f>
        <v>398.143520815634</v>
      </c>
      <c r="G786" s="787">
        <f>[17]Sales_SP!JH174</f>
        <v>400.450290408245</v>
      </c>
      <c r="H786" s="787">
        <f>[17]Sales_SP!JI174</f>
        <v>371.59942844681</v>
      </c>
      <c r="I786" s="787">
        <f>[17]Sales_SP!JJ174</f>
        <v>373.371788195847</v>
      </c>
      <c r="J786" s="787">
        <f>[17]Sales_SP!JK174</f>
        <v>350.014957783479</v>
      </c>
      <c r="K786" s="787">
        <f>[17]Sales_SP!JL174</f>
        <v>343.600058854973</v>
      </c>
      <c r="L786" s="787">
        <f>[17]Sales_SP!JM174</f>
        <v>343.600058854973</v>
      </c>
      <c r="M786" s="787">
        <f>[17]Sales_SP!JN174</f>
        <v>321.748790956202</v>
      </c>
      <c r="N786" s="787">
        <f>[17]Sales_SP!JO174</f>
        <v>324.897585328078</v>
      </c>
      <c r="O786" s="787">
        <f>[17]Sales_SP!JP174</f>
        <v>332.09070508131</v>
      </c>
      <c r="P786" s="787">
        <f>[17]Sales_SP!JQ174</f>
        <v>390.170176295239</v>
      </c>
      <c r="Q786" s="866">
        <f t="shared" si="165"/>
        <v>4317.90410180877</v>
      </c>
      <c r="R786" s="863"/>
      <c r="S786" s="863"/>
    </row>
    <row r="787" ht="15" hidden="1" spans="3:19">
      <c r="C787" s="296" t="s">
        <v>197</v>
      </c>
      <c r="D787" s="296" t="s">
        <v>198</v>
      </c>
      <c r="E787" s="787">
        <f>[17]Sales_SP!JF180</f>
        <v>0</v>
      </c>
      <c r="F787" s="787">
        <f>[17]Sales_SP!JG180</f>
        <v>0.47133209488608</v>
      </c>
      <c r="G787" s="787">
        <f>[17]Sales_SP!JH180</f>
        <v>0.45703424848464</v>
      </c>
      <c r="H787" s="787">
        <f>[17]Sales_SP!JI180</f>
        <v>0.38350246699152</v>
      </c>
      <c r="I787" s="787">
        <f>[17]Sales_SP!JJ180</f>
        <v>0.40690898001936</v>
      </c>
      <c r="J787" s="787">
        <f>[17]Sales_SP!JK180</f>
        <v>0.370341823817376</v>
      </c>
      <c r="K787" s="787">
        <f>[17]Sales_SP!JL180</f>
        <v>0.383966180928864</v>
      </c>
      <c r="L787" s="787">
        <f>[17]Sales_SP!JM180</f>
        <v>0.32393730765888</v>
      </c>
      <c r="M787" s="787">
        <f>[17]Sales_SP!JN180</f>
        <v>0.33652382881536</v>
      </c>
      <c r="N787" s="787">
        <f>[17]Sales_SP!JO180</f>
        <v>0.29567283909696</v>
      </c>
      <c r="O787" s="787">
        <f>[17]Sales_SP!JP180</f>
        <v>0.33299077024512</v>
      </c>
      <c r="P787" s="787">
        <f>[17]Sales_SP!JQ180</f>
        <v>0.45532292323968</v>
      </c>
      <c r="Q787" s="866">
        <f t="shared" si="165"/>
        <v>4.21753346418384</v>
      </c>
      <c r="R787" s="863"/>
      <c r="S787" s="863"/>
    </row>
    <row r="788" ht="15" hidden="1" spans="3:19">
      <c r="C788" s="296" t="s">
        <v>199</v>
      </c>
      <c r="D788" s="296" t="s">
        <v>200</v>
      </c>
      <c r="E788" s="787">
        <f>[17]Sales_SP!JF185</f>
        <v>0</v>
      </c>
      <c r="F788" s="787">
        <f>[17]Sales_SP!JG185</f>
        <v>0</v>
      </c>
      <c r="G788" s="787">
        <f>[17]Sales_SP!JH185</f>
        <v>0</v>
      </c>
      <c r="H788" s="787">
        <f>[17]Sales_SP!JI185</f>
        <v>0</v>
      </c>
      <c r="I788" s="787">
        <f>[17]Sales_SP!JJ185</f>
        <v>0</v>
      </c>
      <c r="J788" s="787">
        <f>[17]Sales_SP!JK185</f>
        <v>0</v>
      </c>
      <c r="K788" s="787">
        <f>[17]Sales_SP!JL185</f>
        <v>0</v>
      </c>
      <c r="L788" s="787">
        <f>[17]Sales_SP!JM185</f>
        <v>0</v>
      </c>
      <c r="M788" s="787">
        <f>[17]Sales_SP!JN185</f>
        <v>0</v>
      </c>
      <c r="N788" s="787">
        <f>[17]Sales_SP!JO185</f>
        <v>0</v>
      </c>
      <c r="O788" s="787">
        <f>[17]Sales_SP!JP185</f>
        <v>0</v>
      </c>
      <c r="P788" s="787">
        <f>[17]Sales_SP!JQ185</f>
        <v>0</v>
      </c>
      <c r="Q788" s="866">
        <f t="shared" si="165"/>
        <v>0</v>
      </c>
      <c r="R788" s="863"/>
      <c r="S788" s="863"/>
    </row>
    <row r="789" ht="15" hidden="1" spans="3:19">
      <c r="C789" s="296" t="s">
        <v>201</v>
      </c>
      <c r="D789" s="296" t="s">
        <v>202</v>
      </c>
      <c r="E789" s="787">
        <f>[17]Sales_SP!JF191</f>
        <v>3.76876957457497</v>
      </c>
      <c r="F789" s="787">
        <f>[17]Sales_SP!JG191</f>
        <v>6.02958792784533</v>
      </c>
      <c r="G789" s="787">
        <f>[17]Sales_SP!JH191</f>
        <v>5.6642246588104</v>
      </c>
      <c r="H789" s="787">
        <f>[17]Sales_SP!JI191</f>
        <v>6.41380257951021</v>
      </c>
      <c r="I789" s="787">
        <f>[17]Sales_SP!JJ191</f>
        <v>10.8532379842371</v>
      </c>
      <c r="J789" s="787">
        <f>[17]Sales_SP!JK191</f>
        <v>10.228881930323</v>
      </c>
      <c r="K789" s="787">
        <f>[17]Sales_SP!JL191</f>
        <v>13.5799361640398</v>
      </c>
      <c r="L789" s="787">
        <f>[17]Sales_SP!JM191</f>
        <v>13.2584918348599</v>
      </c>
      <c r="M789" s="787">
        <f>[17]Sales_SP!JN191</f>
        <v>10.8907813604049</v>
      </c>
      <c r="N789" s="787">
        <f>[17]Sales_SP!JO191</f>
        <v>13.6939863044551</v>
      </c>
      <c r="O789" s="787">
        <f>[17]Sales_SP!JP191</f>
        <v>14.045077004781</v>
      </c>
      <c r="P789" s="787">
        <f>[17]Sales_SP!JQ191</f>
        <v>17.4124903553227</v>
      </c>
      <c r="Q789" s="866">
        <f t="shared" si="165"/>
        <v>125.839267679164</v>
      </c>
      <c r="R789" s="863"/>
      <c r="S789" s="863"/>
    </row>
    <row r="790" ht="15" hidden="1" spans="3:19">
      <c r="C790" s="296" t="s">
        <v>203</v>
      </c>
      <c r="D790" s="296" t="s">
        <v>204</v>
      </c>
      <c r="E790" s="787">
        <f>[17]Sales_SP!JF192+[17]Sales_SP!JF193</f>
        <v>28.089325316795</v>
      </c>
      <c r="F790" s="787">
        <f>[17]Sales_SP!JG192+[17]Sales_SP!JG193</f>
        <v>29.1233902723541</v>
      </c>
      <c r="G790" s="787">
        <f>[17]Sales_SP!JH192+[17]Sales_SP!JH193</f>
        <v>27.6279383304363</v>
      </c>
      <c r="H790" s="787">
        <f>[17]Sales_SP!JI192+[17]Sales_SP!JI193</f>
        <v>27.8084215372173</v>
      </c>
      <c r="I790" s="787">
        <f>[17]Sales_SP!JJ192+[17]Sales_SP!JJ193</f>
        <v>30.1594160297252</v>
      </c>
      <c r="J790" s="787">
        <f>[17]Sales_SP!JK192+[17]Sales_SP!JK193</f>
        <v>28.3335793025053</v>
      </c>
      <c r="K790" s="787">
        <f>[17]Sales_SP!JL192+[17]Sales_SP!JL193</f>
        <v>27.904342585856</v>
      </c>
      <c r="L790" s="787">
        <f>[17]Sales_SP!JM192+[17]Sales_SP!JM193</f>
        <v>29.5717190066459</v>
      </c>
      <c r="M790" s="787">
        <f>[17]Sales_SP!JN192+[17]Sales_SP!JN193</f>
        <v>28.7140780541167</v>
      </c>
      <c r="N790" s="787">
        <f>[17]Sales_SP!JO192+[17]Sales_SP!JO193</f>
        <v>30.3217291397156</v>
      </c>
      <c r="O790" s="787">
        <f>[17]Sales_SP!JP192+[17]Sales_SP!JP193</f>
        <v>29.1621040681288</v>
      </c>
      <c r="P790" s="787">
        <f>[17]Sales_SP!JQ192+[17]Sales_SP!JQ193</f>
        <v>32.2462045180856</v>
      </c>
      <c r="Q790" s="866">
        <f t="shared" si="165"/>
        <v>349.062248161582</v>
      </c>
      <c r="R790" s="863"/>
      <c r="S790" s="863"/>
    </row>
    <row r="791" ht="15" hidden="1" spans="3:19">
      <c r="C791" s="296" t="s">
        <v>213</v>
      </c>
      <c r="D791" s="296" t="s">
        <v>229</v>
      </c>
      <c r="E791" s="787">
        <f>[17]Sales_SP!JF194</f>
        <v>1.1344101040125</v>
      </c>
      <c r="F791" s="787">
        <f>[17]Sales_SP!JG194</f>
        <v>1.99691480254219</v>
      </c>
      <c r="G791" s="787">
        <f>[17]Sales_SP!JH194</f>
        <v>1.87908210728438</v>
      </c>
      <c r="H791" s="787">
        <f>[17]Sales_SP!JI194</f>
        <v>2.21500579594219</v>
      </c>
      <c r="I791" s="787">
        <f>[17]Sales_SP!JJ194</f>
        <v>2.32908622340625</v>
      </c>
      <c r="J791" s="787">
        <f>[17]Sales_SP!JK194</f>
        <v>2.14300437159375</v>
      </c>
      <c r="K791" s="787">
        <f>[17]Sales_SP!JL194</f>
        <v>0</v>
      </c>
      <c r="L791" s="787">
        <f>[17]Sales_SP!JM194</f>
        <v>0</v>
      </c>
      <c r="M791" s="787">
        <f>[17]Sales_SP!JN194</f>
        <v>0</v>
      </c>
      <c r="N791" s="787">
        <f>[17]Sales_SP!JO194</f>
        <v>0</v>
      </c>
      <c r="O791" s="787">
        <f>[17]Sales_SP!JP194</f>
        <v>0</v>
      </c>
      <c r="P791" s="787">
        <f>[17]Sales_SP!JQ194</f>
        <v>0</v>
      </c>
      <c r="Q791" s="866">
        <f t="shared" si="165"/>
        <v>11.6975034047813</v>
      </c>
      <c r="R791" s="863"/>
      <c r="S791" s="863"/>
    </row>
    <row r="792" ht="15" hidden="1" spans="3:19">
      <c r="C792" s="296" t="s">
        <v>205</v>
      </c>
      <c r="D792" s="296" t="s">
        <v>206</v>
      </c>
      <c r="E792" s="787">
        <f>[17]Sales_SP!JF196</f>
        <v>27.5193524913721</v>
      </c>
      <c r="F792" s="787">
        <f>[17]Sales_SP!JG196</f>
        <v>30.3782627990781</v>
      </c>
      <c r="G792" s="787">
        <f>[17]Sales_SP!JH196</f>
        <v>31.333634584496</v>
      </c>
      <c r="H792" s="787">
        <f>[17]Sales_SP!JI196</f>
        <v>23.022523900499</v>
      </c>
      <c r="I792" s="787">
        <f>[17]Sales_SP!JJ196</f>
        <v>23.7209895300117</v>
      </c>
      <c r="J792" s="787">
        <f>[17]Sales_SP!JK196</f>
        <v>21.6662741495284</v>
      </c>
      <c r="K792" s="787">
        <f>[17]Sales_SP!JL196</f>
        <v>23.0604736467949</v>
      </c>
      <c r="L792" s="787">
        <f>[17]Sales_SP!JM196</f>
        <v>21.3752285060455</v>
      </c>
      <c r="M792" s="787">
        <f>[17]Sales_SP!JN196</f>
        <v>20.702920194999</v>
      </c>
      <c r="N792" s="787">
        <f>[17]Sales_SP!JO196</f>
        <v>20.7363256157841</v>
      </c>
      <c r="O792" s="787">
        <f>[17]Sales_SP!JP196</f>
        <v>23.2973899369049</v>
      </c>
      <c r="P792" s="787">
        <f>[17]Sales_SP!JQ196</f>
        <v>30.32613329336</v>
      </c>
      <c r="Q792" s="866">
        <f t="shared" si="165"/>
        <v>297.139508648874</v>
      </c>
      <c r="R792" s="863"/>
      <c r="S792" s="863"/>
    </row>
    <row r="793" ht="15" hidden="1" spans="3:19">
      <c r="C793" s="296" t="s">
        <v>218</v>
      </c>
      <c r="D793" s="296" t="s">
        <v>186</v>
      </c>
      <c r="E793" s="787">
        <f>[17]Sales_SP!JF197</f>
        <v>5.44709140124146</v>
      </c>
      <c r="F793" s="787">
        <f>[17]Sales_SP!JG197</f>
        <v>5.43526810368091</v>
      </c>
      <c r="G793" s="787">
        <f>[17]Sales_SP!JH197</f>
        <v>5.34895128388715</v>
      </c>
      <c r="H793" s="787">
        <f>[17]Sales_SP!JI197</f>
        <v>5.7530426547934</v>
      </c>
      <c r="I793" s="787">
        <f>[17]Sales_SP!JJ197</f>
        <v>6.15400763693443</v>
      </c>
      <c r="J793" s="787">
        <f>[17]Sales_SP!JK197</f>
        <v>6.13298510912224</v>
      </c>
      <c r="K793" s="787">
        <f>[17]Sales_SP!JL197</f>
        <v>6.82158535499881</v>
      </c>
      <c r="L793" s="787">
        <f>[17]Sales_SP!JM197</f>
        <v>3.85877344848145</v>
      </c>
      <c r="M793" s="787">
        <f>[17]Sales_SP!JN197</f>
        <v>3.72172666000426</v>
      </c>
      <c r="N793" s="787">
        <f>[17]Sales_SP!JO197</f>
        <v>3.680888675342</v>
      </c>
      <c r="O793" s="787">
        <f>[17]Sales_SP!JP197</f>
        <v>3.93053494177927</v>
      </c>
      <c r="P793" s="787">
        <f>[17]Sales_SP!JQ197</f>
        <v>4.01236835514232</v>
      </c>
      <c r="Q793" s="866">
        <f t="shared" si="165"/>
        <v>60.2972236254077</v>
      </c>
      <c r="R793" s="863"/>
      <c r="S793" s="863"/>
    </row>
    <row r="794" ht="15" hidden="1" spans="3:19">
      <c r="C794" s="296" t="s">
        <v>208</v>
      </c>
      <c r="D794" s="296" t="s">
        <v>209</v>
      </c>
      <c r="E794" s="787">
        <f>[17]Sales_SP!JF198</f>
        <v>0</v>
      </c>
      <c r="F794" s="787">
        <f>[17]Sales_SP!JG198</f>
        <v>0</v>
      </c>
      <c r="G794" s="787">
        <f>[17]Sales_SP!JH198</f>
        <v>0</v>
      </c>
      <c r="H794" s="787">
        <f>[17]Sales_SP!JI198</f>
        <v>0</v>
      </c>
      <c r="I794" s="787">
        <f>[17]Sales_SP!JJ198</f>
        <v>0</v>
      </c>
      <c r="J794" s="787">
        <f>[17]Sales_SP!JK198</f>
        <v>0</v>
      </c>
      <c r="K794" s="787">
        <f>[17]Sales_SP!JL198</f>
        <v>0</v>
      </c>
      <c r="L794" s="787">
        <f>[17]Sales_SP!JM198</f>
        <v>0</v>
      </c>
      <c r="M794" s="787">
        <f>[17]Sales_SP!JN198</f>
        <v>0</v>
      </c>
      <c r="N794" s="787">
        <f>[17]Sales_SP!JO198</f>
        <v>0</v>
      </c>
      <c r="O794" s="787">
        <f>[17]Sales_SP!JP198</f>
        <v>0</v>
      </c>
      <c r="P794" s="787">
        <f>[17]Sales_SP!JQ198</f>
        <v>0</v>
      </c>
      <c r="Q794" s="866">
        <f t="shared" si="165"/>
        <v>0</v>
      </c>
      <c r="R794" s="863"/>
      <c r="S794" s="863"/>
    </row>
    <row r="795" ht="15" hidden="1" spans="3:19">
      <c r="C795" s="296" t="s">
        <v>210</v>
      </c>
      <c r="D795" s="296" t="s">
        <v>188</v>
      </c>
      <c r="E795" s="787">
        <v>0</v>
      </c>
      <c r="F795" s="787">
        <v>0</v>
      </c>
      <c r="G795" s="787">
        <v>0</v>
      </c>
      <c r="H795" s="787">
        <v>0</v>
      </c>
      <c r="I795" s="787">
        <v>0</v>
      </c>
      <c r="J795" s="787">
        <v>0</v>
      </c>
      <c r="K795" s="787">
        <v>0</v>
      </c>
      <c r="L795" s="787">
        <v>0</v>
      </c>
      <c r="M795" s="787">
        <v>0</v>
      </c>
      <c r="N795" s="787">
        <v>0</v>
      </c>
      <c r="O795" s="787">
        <v>0</v>
      </c>
      <c r="P795" s="787">
        <v>0</v>
      </c>
      <c r="Q795" s="866">
        <f t="shared" si="165"/>
        <v>0</v>
      </c>
      <c r="R795" s="863"/>
      <c r="S795" s="863"/>
    </row>
    <row r="796" ht="15" hidden="1" spans="3:19">
      <c r="C796" s="296"/>
      <c r="D796" s="296"/>
      <c r="E796" s="787"/>
      <c r="F796" s="787"/>
      <c r="G796" s="787"/>
      <c r="H796" s="787"/>
      <c r="I796" s="787"/>
      <c r="J796" s="787"/>
      <c r="K796" s="787"/>
      <c r="L796" s="787"/>
      <c r="M796" s="787"/>
      <c r="N796" s="787"/>
      <c r="O796" s="787"/>
      <c r="P796" s="787"/>
      <c r="Q796" s="866">
        <f t="shared" si="165"/>
        <v>0</v>
      </c>
      <c r="R796" s="863"/>
      <c r="S796" s="863"/>
    </row>
    <row r="797" ht="15" hidden="1" spans="3:19">
      <c r="C797" s="296"/>
      <c r="D797" s="296"/>
      <c r="E797" s="787"/>
      <c r="F797" s="787"/>
      <c r="G797" s="787"/>
      <c r="H797" s="787"/>
      <c r="I797" s="787"/>
      <c r="J797" s="787"/>
      <c r="K797" s="787"/>
      <c r="L797" s="787"/>
      <c r="M797" s="787"/>
      <c r="N797" s="787"/>
      <c r="O797" s="787"/>
      <c r="P797" s="787"/>
      <c r="Q797" s="866">
        <f t="shared" si="165"/>
        <v>0</v>
      </c>
      <c r="R797" s="863"/>
      <c r="S797" s="863"/>
    </row>
    <row r="798" ht="15" hidden="1" spans="3:19">
      <c r="C798" s="296" t="s">
        <v>258</v>
      </c>
      <c r="D798" s="296" t="s">
        <v>258</v>
      </c>
      <c r="E798" s="787"/>
      <c r="F798" s="787"/>
      <c r="G798" s="787"/>
      <c r="H798" s="787"/>
      <c r="I798" s="787"/>
      <c r="J798" s="787"/>
      <c r="K798" s="787"/>
      <c r="L798" s="787"/>
      <c r="M798" s="787"/>
      <c r="N798" s="787"/>
      <c r="O798" s="787"/>
      <c r="P798" s="787"/>
      <c r="Q798" s="866">
        <f t="shared" si="165"/>
        <v>0</v>
      </c>
      <c r="R798" s="863"/>
      <c r="S798" s="863"/>
    </row>
    <row r="799" ht="15" hidden="1" spans="3:19">
      <c r="C799" s="285" t="s">
        <v>211</v>
      </c>
      <c r="D799" s="286"/>
      <c r="E799" s="866">
        <f>SUM(E784:E798)</f>
        <v>1322.04435305344</v>
      </c>
      <c r="F799" s="866">
        <f t="shared" ref="F799:P799" si="166">SUM(F784:F798)</f>
        <v>1418.67136519985</v>
      </c>
      <c r="G799" s="866">
        <f t="shared" si="166"/>
        <v>1395.99861089801</v>
      </c>
      <c r="H799" s="866">
        <f t="shared" si="166"/>
        <v>1359.76365536931</v>
      </c>
      <c r="I799" s="866">
        <f t="shared" si="166"/>
        <v>1392.44886712209</v>
      </c>
      <c r="J799" s="866">
        <f t="shared" si="166"/>
        <v>1340.31369193298</v>
      </c>
      <c r="K799" s="866">
        <f t="shared" si="166"/>
        <v>1358.36301870259</v>
      </c>
      <c r="L799" s="866">
        <f t="shared" si="166"/>
        <v>1358.54357234172</v>
      </c>
      <c r="M799" s="866">
        <f t="shared" si="166"/>
        <v>1351.74011074277</v>
      </c>
      <c r="N799" s="866">
        <f t="shared" si="166"/>
        <v>1354.9480805474</v>
      </c>
      <c r="O799" s="866">
        <f t="shared" si="166"/>
        <v>1338.80511101665</v>
      </c>
      <c r="P799" s="866">
        <f t="shared" si="166"/>
        <v>1520.19825642442</v>
      </c>
      <c r="Q799" s="866">
        <f t="shared" si="165"/>
        <v>16511.8386933512</v>
      </c>
      <c r="R799" s="863"/>
      <c r="S799" s="863"/>
    </row>
    <row r="800" ht="15" hidden="1" spans="3:19">
      <c r="C800" s="285" t="s">
        <v>219</v>
      </c>
      <c r="D800" s="286"/>
      <c r="E800" s="787"/>
      <c r="F800" s="787"/>
      <c r="G800" s="787"/>
      <c r="H800" s="787"/>
      <c r="I800" s="787"/>
      <c r="J800" s="787"/>
      <c r="K800" s="787"/>
      <c r="L800" s="787"/>
      <c r="M800" s="787"/>
      <c r="N800" s="787"/>
      <c r="O800" s="787"/>
      <c r="P800" s="787"/>
      <c r="Q800" s="866"/>
      <c r="R800" s="863"/>
      <c r="S800" s="863"/>
    </row>
    <row r="801" ht="15" hidden="1" spans="3:19">
      <c r="C801" s="296" t="s">
        <v>191</v>
      </c>
      <c r="D801" s="296" t="s">
        <v>192</v>
      </c>
      <c r="E801" s="787">
        <f>[17]Sales_SP!JF212</f>
        <v>960.579794641434</v>
      </c>
      <c r="F801" s="787">
        <f>[17]Sales_SP!JG212</f>
        <v>928.677086441938</v>
      </c>
      <c r="G801" s="787">
        <f>[17]Sales_SP!JH212</f>
        <v>962.840275197716</v>
      </c>
      <c r="H801" s="787">
        <f>[17]Sales_SP!JI212</f>
        <v>928.620071917168</v>
      </c>
      <c r="I801" s="787">
        <f>[17]Sales_SP!JJ212</f>
        <v>1012.10902241806</v>
      </c>
      <c r="J801" s="787">
        <f>[17]Sales_SP!JK212</f>
        <v>1000.19137101761</v>
      </c>
      <c r="K801" s="787">
        <f>[17]Sales_SP!JL212</f>
        <v>1104.95200911674</v>
      </c>
      <c r="L801" s="787">
        <f>[17]Sales_SP!JM212</f>
        <v>1076.63871997858</v>
      </c>
      <c r="M801" s="787">
        <f>[17]Sales_SP!JN212</f>
        <v>1090.48819099582</v>
      </c>
      <c r="N801" s="787">
        <f>[17]Sales_SP!JO212</f>
        <v>1079.38713505637</v>
      </c>
      <c r="O801" s="787">
        <f>[17]Sales_SP!JP212</f>
        <v>989.577231190915</v>
      </c>
      <c r="P801" s="787">
        <f>[17]Sales_SP!JQ212</f>
        <v>1075.47620359991</v>
      </c>
      <c r="Q801" s="866">
        <f t="shared" ref="Q801:Q820" si="167">SUM(E801:P801)</f>
        <v>12209.5371115723</v>
      </c>
      <c r="R801" s="863"/>
      <c r="S801" s="863"/>
    </row>
    <row r="802" ht="15" hidden="1" spans="3:19">
      <c r="C802" s="296" t="s">
        <v>193</v>
      </c>
      <c r="D802" s="296" t="s">
        <v>194</v>
      </c>
      <c r="E802" s="787">
        <f>[17]Sales_SP!JF222</f>
        <v>16.4120893743158</v>
      </c>
      <c r="F802" s="787">
        <f>[17]Sales_SP!JG222</f>
        <v>18.6418136788023</v>
      </c>
      <c r="G802" s="787">
        <f>[17]Sales_SP!JH222</f>
        <v>9.014819758128</v>
      </c>
      <c r="H802" s="787">
        <f>[17]Sales_SP!JI222</f>
        <v>10.2740239141776</v>
      </c>
      <c r="I802" s="787">
        <f>[17]Sales_SP!JJ222</f>
        <v>16.409384376348</v>
      </c>
      <c r="J802" s="787">
        <f>[17]Sales_SP!JK222</f>
        <v>14.1613599325484</v>
      </c>
      <c r="K802" s="787">
        <f>[17]Sales_SP!JL222</f>
        <v>16.3556708452723</v>
      </c>
      <c r="L802" s="787">
        <f>[17]Sales_SP!JM222</f>
        <v>11.5669025347248</v>
      </c>
      <c r="M802" s="787">
        <f>[17]Sales_SP!JN222</f>
        <v>14.2352450198986</v>
      </c>
      <c r="N802" s="787">
        <f>[17]Sales_SP!JO222</f>
        <v>15.3201148171229</v>
      </c>
      <c r="O802" s="787">
        <f>[17]Sales_SP!JP222</f>
        <v>13.8177920682086</v>
      </c>
      <c r="P802" s="787">
        <f>[17]Sales_SP!JQ222</f>
        <v>12.884622973344</v>
      </c>
      <c r="Q802" s="866">
        <f t="shared" si="167"/>
        <v>169.093839292891</v>
      </c>
      <c r="R802" s="863"/>
      <c r="S802" s="863"/>
    </row>
    <row r="803" ht="15" hidden="1" spans="3:19">
      <c r="C803" s="296" t="s">
        <v>239</v>
      </c>
      <c r="D803" s="296" t="s">
        <v>196</v>
      </c>
      <c r="E803" s="787">
        <f>[17]Sales_SP!JF228</f>
        <v>18.1910658802386</v>
      </c>
      <c r="F803" s="787">
        <f>[17]Sales_SP!JG228</f>
        <v>21.5589645427674</v>
      </c>
      <c r="G803" s="787">
        <f>[17]Sales_SP!JH228</f>
        <v>22.0594138608949</v>
      </c>
      <c r="H803" s="787">
        <f>[17]Sales_SP!JI228</f>
        <v>19.1336096210305</v>
      </c>
      <c r="I803" s="787">
        <f>[17]Sales_SP!JJ228</f>
        <v>26.7688216487998</v>
      </c>
      <c r="J803" s="787">
        <f>[17]Sales_SP!JK228</f>
        <v>30.328252448621</v>
      </c>
      <c r="K803" s="787">
        <f>[17]Sales_SP!JL228</f>
        <v>38.2412546898431</v>
      </c>
      <c r="L803" s="787">
        <f>[17]Sales_SP!JM228</f>
        <v>39.9068415064097</v>
      </c>
      <c r="M803" s="787">
        <f>[17]Sales_SP!JN228</f>
        <v>39.6933527679127</v>
      </c>
      <c r="N803" s="787">
        <f>[17]Sales_SP!JO228</f>
        <v>39.989113413899</v>
      </c>
      <c r="O803" s="787">
        <f>[17]Sales_SP!JP228</f>
        <v>47.2819070181225</v>
      </c>
      <c r="P803" s="787">
        <f>[17]Sales_SP!JQ228</f>
        <v>67.4152172465724</v>
      </c>
      <c r="Q803" s="866">
        <f t="shared" si="167"/>
        <v>410.567814645112</v>
      </c>
      <c r="R803" s="863"/>
      <c r="S803" s="863"/>
    </row>
    <row r="804" ht="15" hidden="1" spans="3:19">
      <c r="C804" s="296" t="s">
        <v>197</v>
      </c>
      <c r="D804" s="296" t="s">
        <v>198</v>
      </c>
      <c r="E804" s="787">
        <f>[17]Sales_SP!JF233</f>
        <v>0</v>
      </c>
      <c r="F804" s="787">
        <f>[17]Sales_SP!JG233</f>
        <v>0</v>
      </c>
      <c r="G804" s="787">
        <f>[17]Sales_SP!JH233</f>
        <v>0</v>
      </c>
      <c r="H804" s="787">
        <f>[17]Sales_SP!JI233</f>
        <v>0</v>
      </c>
      <c r="I804" s="787">
        <f>[17]Sales_SP!JJ233</f>
        <v>0</v>
      </c>
      <c r="J804" s="787">
        <f>[17]Sales_SP!JK233</f>
        <v>0</v>
      </c>
      <c r="K804" s="787">
        <f>[17]Sales_SP!JL233</f>
        <v>0</v>
      </c>
      <c r="L804" s="787">
        <f>[17]Sales_SP!JM233</f>
        <v>0</v>
      </c>
      <c r="M804" s="787">
        <f>[17]Sales_SP!JN233</f>
        <v>0</v>
      </c>
      <c r="N804" s="787">
        <f>[17]Sales_SP!JO233</f>
        <v>0</v>
      </c>
      <c r="O804" s="787">
        <f>[17]Sales_SP!JP233</f>
        <v>0</v>
      </c>
      <c r="P804" s="787">
        <f>[17]Sales_SP!JQ233</f>
        <v>0</v>
      </c>
      <c r="Q804" s="866">
        <f t="shared" si="167"/>
        <v>0</v>
      </c>
      <c r="R804" s="863"/>
      <c r="S804" s="863"/>
    </row>
    <row r="805" ht="15" hidden="1" spans="3:19">
      <c r="C805" s="296" t="s">
        <v>199</v>
      </c>
      <c r="D805" s="296" t="s">
        <v>200</v>
      </c>
      <c r="E805" s="787">
        <f>[17]Sales_SP!JF238</f>
        <v>9.9171245299444</v>
      </c>
      <c r="F805" s="787">
        <f>[17]Sales_SP!JG238</f>
        <v>11.7304648615804</v>
      </c>
      <c r="G805" s="787">
        <f>[17]Sales_SP!JH238</f>
        <v>11.2759597183327</v>
      </c>
      <c r="H805" s="787">
        <f>[17]Sales_SP!JI238</f>
        <v>10.8120173671071</v>
      </c>
      <c r="I805" s="787">
        <f>[17]Sales_SP!JJ238</f>
        <v>11.1136550861665</v>
      </c>
      <c r="J805" s="787">
        <f>[17]Sales_SP!JK238</f>
        <v>11.1123200665013</v>
      </c>
      <c r="K805" s="787">
        <f>[17]Sales_SP!JL238</f>
        <v>10.6211862802564</v>
      </c>
      <c r="L805" s="787">
        <f>[17]Sales_SP!JM238</f>
        <v>10.8312140291889</v>
      </c>
      <c r="M805" s="787">
        <f>[17]Sales_SP!JN238</f>
        <v>9.63574228166683</v>
      </c>
      <c r="N805" s="787">
        <f>[17]Sales_SP!JO238</f>
        <v>9.66606410762508</v>
      </c>
      <c r="O805" s="787">
        <f>[17]Sales_SP!JP238</f>
        <v>10.7853323188574</v>
      </c>
      <c r="P805" s="787">
        <f>[17]Sales_SP!JQ238</f>
        <v>12.9039164571541</v>
      </c>
      <c r="Q805" s="866">
        <f t="shared" si="167"/>
        <v>130.404997104381</v>
      </c>
      <c r="R805" s="863"/>
      <c r="S805" s="863"/>
    </row>
    <row r="806" ht="15" hidden="1" spans="3:19">
      <c r="C806" s="296" t="s">
        <v>201</v>
      </c>
      <c r="D806" s="296" t="s">
        <v>240</v>
      </c>
      <c r="E806" s="787">
        <f>[17]Sales_SP!JF244+[17]Sales_SP!JF245</f>
        <v>55.7218827086801</v>
      </c>
      <c r="F806" s="787">
        <f>[17]Sales_SP!JG244+[17]Sales_SP!JG245</f>
        <v>32.4142750685011</v>
      </c>
      <c r="G806" s="787">
        <f>[17]Sales_SP!JH244+[17]Sales_SP!JH245</f>
        <v>54.8656366119685</v>
      </c>
      <c r="H806" s="787">
        <f>[17]Sales_SP!JI244+[17]Sales_SP!JI245</f>
        <v>77.7365304809539</v>
      </c>
      <c r="I806" s="787">
        <f>[17]Sales_SP!JJ244+[17]Sales_SP!JJ245</f>
        <v>197.18162554909</v>
      </c>
      <c r="J806" s="787">
        <f>[17]Sales_SP!JK244+[17]Sales_SP!JK245</f>
        <v>261.550543318992</v>
      </c>
      <c r="K806" s="787">
        <f>[17]Sales_SP!JL244+[17]Sales_SP!JL245</f>
        <v>221.043413028858</v>
      </c>
      <c r="L806" s="787">
        <f>[17]Sales_SP!JM244+[17]Sales_SP!JM245</f>
        <v>209.010467898835</v>
      </c>
      <c r="M806" s="787">
        <f>[17]Sales_SP!JN244+[17]Sales_SP!JN245</f>
        <v>62.3565353651994</v>
      </c>
      <c r="N806" s="787">
        <f>[17]Sales_SP!JO244+[17]Sales_SP!JO245</f>
        <v>43.1765661508565</v>
      </c>
      <c r="O806" s="787">
        <f>[17]Sales_SP!JP244+[17]Sales_SP!JP245</f>
        <v>53.8745031450441</v>
      </c>
      <c r="P806" s="787">
        <f>[17]Sales_SP!JQ244+[17]Sales_SP!JQ245</f>
        <v>36.3099231591988</v>
      </c>
      <c r="Q806" s="866">
        <f t="shared" si="167"/>
        <v>1305.24190248618</v>
      </c>
      <c r="R806" s="863"/>
      <c r="S806" s="863"/>
    </row>
    <row r="807" ht="15" hidden="1" spans="3:19">
      <c r="C807" s="296" t="s">
        <v>203</v>
      </c>
      <c r="D807" s="296" t="s">
        <v>220</v>
      </c>
      <c r="E807" s="787">
        <f>[17]Sales_SP!JF246+[17]Sales_SP!JF247</f>
        <v>29.4103586483421</v>
      </c>
      <c r="F807" s="787">
        <f>[17]Sales_SP!JG246+[17]Sales_SP!JG247</f>
        <v>32.1827041145241</v>
      </c>
      <c r="G807" s="787">
        <f>[17]Sales_SP!JH246+[17]Sales_SP!JH247</f>
        <v>29.7520055301186</v>
      </c>
      <c r="H807" s="787">
        <f>[17]Sales_SP!JI246+[17]Sales_SP!JI247</f>
        <v>29.0187653360263</v>
      </c>
      <c r="I807" s="787">
        <f>[17]Sales_SP!JJ246+[17]Sales_SP!JJ247</f>
        <v>32.5798654981314</v>
      </c>
      <c r="J807" s="787">
        <f>[17]Sales_SP!JK246+[17]Sales_SP!JK247</f>
        <v>31.3217584047431</v>
      </c>
      <c r="K807" s="787">
        <f>[17]Sales_SP!JL246+[17]Sales_SP!JL247</f>
        <v>31.3317864734371</v>
      </c>
      <c r="L807" s="787">
        <f>[17]Sales_SP!JM246+[17]Sales_SP!JM247</f>
        <v>32.6521673193782</v>
      </c>
      <c r="M807" s="787">
        <f>[17]Sales_SP!JN246+[17]Sales_SP!JN247</f>
        <v>34.6273090262346</v>
      </c>
      <c r="N807" s="787">
        <f>[17]Sales_SP!JO246+[17]Sales_SP!JO247</f>
        <v>32.540445769536</v>
      </c>
      <c r="O807" s="787">
        <f>[17]Sales_SP!JP246+[17]Sales_SP!JP247</f>
        <v>28.8579284110612</v>
      </c>
      <c r="P807" s="787">
        <f>[17]Sales_SP!JQ246+[17]Sales_SP!JQ247</f>
        <v>34.8655449123351</v>
      </c>
      <c r="Q807" s="866">
        <f t="shared" si="167"/>
        <v>379.140639443868</v>
      </c>
      <c r="R807" s="863"/>
      <c r="S807" s="863"/>
    </row>
    <row r="808" ht="15" hidden="1" spans="3:19">
      <c r="C808" s="296" t="s">
        <v>241</v>
      </c>
      <c r="D808" s="296" t="s">
        <v>229</v>
      </c>
      <c r="E808" s="787">
        <f>[17]Sales_SP!JF249+[17]Sales_SP!JF250</f>
        <v>134.509454596009</v>
      </c>
      <c r="F808" s="787">
        <f>[17]Sales_SP!JG249+[17]Sales_SP!JG250</f>
        <v>145.246947609477</v>
      </c>
      <c r="G808" s="787">
        <f>[17]Sales_SP!JH249+[17]Sales_SP!JH250</f>
        <v>139.359571461965</v>
      </c>
      <c r="H808" s="787">
        <f>[17]Sales_SP!JI249+[17]Sales_SP!JI250</f>
        <v>145.050176789381</v>
      </c>
      <c r="I808" s="787">
        <f>[17]Sales_SP!JJ249+[17]Sales_SP!JJ250</f>
        <v>153.332676102387</v>
      </c>
      <c r="J808" s="787">
        <f>[17]Sales_SP!JK249+[17]Sales_SP!JK250</f>
        <v>152.066575733075</v>
      </c>
      <c r="K808" s="787">
        <f>[17]Sales_SP!JL249+[17]Sales_SP!JL250</f>
        <v>169.072342504937</v>
      </c>
      <c r="L808" s="787">
        <f>[17]Sales_SP!JM249+[17]Sales_SP!JM250</f>
        <v>162.685504567165</v>
      </c>
      <c r="M808" s="787">
        <f>[17]Sales_SP!JN249+[17]Sales_SP!JN250</f>
        <v>161.330382989107</v>
      </c>
      <c r="N808" s="787">
        <f>[17]Sales_SP!JO249+[17]Sales_SP!JO250</f>
        <v>168.356457331125</v>
      </c>
      <c r="O808" s="787">
        <f>[17]Sales_SP!JP249+[17]Sales_SP!JP250</f>
        <v>158.111474155047</v>
      </c>
      <c r="P808" s="787">
        <f>[17]Sales_SP!JQ249+[17]Sales_SP!JQ250</f>
        <v>172.633662365435</v>
      </c>
      <c r="Q808" s="866">
        <f t="shared" si="167"/>
        <v>1861.75522620511</v>
      </c>
      <c r="R808" s="863"/>
      <c r="S808" s="863"/>
    </row>
    <row r="809" ht="15" hidden="1" spans="3:19">
      <c r="C809" s="296" t="s">
        <v>259</v>
      </c>
      <c r="D809" s="296" t="s">
        <v>243</v>
      </c>
      <c r="E809" s="787">
        <f>[17]Sales_SP!JF251+[17]Sales_SP!JF252</f>
        <v>33.5080493893219</v>
      </c>
      <c r="F809" s="787">
        <f>[17]Sales_SP!JG251+[17]Sales_SP!JG252</f>
        <v>35.1576973512773</v>
      </c>
      <c r="G809" s="787">
        <f>[17]Sales_SP!JH251+[17]Sales_SP!JH252</f>
        <v>34.9906893318083</v>
      </c>
      <c r="H809" s="787">
        <f>[17]Sales_SP!JI251+[17]Sales_SP!JI252</f>
        <v>34.7391176343545</v>
      </c>
      <c r="I809" s="787">
        <f>[17]Sales_SP!JJ251+[17]Sales_SP!JJ252</f>
        <v>33.2109522998049</v>
      </c>
      <c r="J809" s="787">
        <f>[17]Sales_SP!JK251+[17]Sales_SP!JK252</f>
        <v>33.3663227951139</v>
      </c>
      <c r="K809" s="787">
        <f>[17]Sales_SP!JL251+[17]Sales_SP!JL252</f>
        <v>39.8081482902106</v>
      </c>
      <c r="L809" s="787">
        <f>[17]Sales_SP!JM251+[17]Sales_SP!JM252</f>
        <v>32.5192390570966</v>
      </c>
      <c r="M809" s="787">
        <f>[17]Sales_SP!JN251+[17]Sales_SP!JN252</f>
        <v>37.4669000451064</v>
      </c>
      <c r="N809" s="787">
        <f>[17]Sales_SP!JO251+[17]Sales_SP!JO252</f>
        <v>38.2003034338756</v>
      </c>
      <c r="O809" s="787">
        <f>[17]Sales_SP!JP251+[17]Sales_SP!JP252</f>
        <v>38.1579973892633</v>
      </c>
      <c r="P809" s="787">
        <f>[17]Sales_SP!JQ251+[17]Sales_SP!JQ252</f>
        <v>41.5264783539629</v>
      </c>
      <c r="Q809" s="866">
        <f t="shared" si="167"/>
        <v>432.651895371196</v>
      </c>
      <c r="R809" s="863"/>
      <c r="S809" s="863"/>
    </row>
    <row r="810" ht="15" hidden="1" spans="3:19">
      <c r="C810" s="296" t="s">
        <v>205</v>
      </c>
      <c r="D810" s="296" t="s">
        <v>206</v>
      </c>
      <c r="E810" s="787">
        <f>[17]Sales_SP!JF253</f>
        <v>0</v>
      </c>
      <c r="F810" s="787">
        <f>[17]Sales_SP!JG253</f>
        <v>0</v>
      </c>
      <c r="G810" s="787">
        <f>[17]Sales_SP!JH253</f>
        <v>0</v>
      </c>
      <c r="H810" s="787">
        <f>[17]Sales_SP!JI253</f>
        <v>0</v>
      </c>
      <c r="I810" s="787">
        <f>[17]Sales_SP!JJ253</f>
        <v>0</v>
      </c>
      <c r="J810" s="787">
        <f>[17]Sales_SP!JK253</f>
        <v>0</v>
      </c>
      <c r="K810" s="787">
        <f>[17]Sales_SP!JL253</f>
        <v>0</v>
      </c>
      <c r="L810" s="787">
        <f>[17]Sales_SP!JM253</f>
        <v>0</v>
      </c>
      <c r="M810" s="787">
        <f>[17]Sales_SP!JN253</f>
        <v>0</v>
      </c>
      <c r="N810" s="787">
        <f>[17]Sales_SP!JO253</f>
        <v>0</v>
      </c>
      <c r="O810" s="787">
        <f>[17]Sales_SP!JP253</f>
        <v>0</v>
      </c>
      <c r="P810" s="787">
        <f>[17]Sales_SP!JQ253</f>
        <v>0</v>
      </c>
      <c r="Q810" s="866">
        <f t="shared" si="167"/>
        <v>0</v>
      </c>
      <c r="R810" s="863"/>
      <c r="S810" s="863"/>
    </row>
    <row r="811" ht="15" hidden="1" spans="3:19">
      <c r="C811" s="296" t="s">
        <v>207</v>
      </c>
      <c r="D811" s="296" t="s">
        <v>186</v>
      </c>
      <c r="E811" s="787">
        <f>[17]Sales_SP!JF254</f>
        <v>0</v>
      </c>
      <c r="F811" s="787">
        <f>[17]Sales_SP!JG254</f>
        <v>0</v>
      </c>
      <c r="G811" s="787">
        <f>[17]Sales_SP!JH254</f>
        <v>0</v>
      </c>
      <c r="H811" s="787">
        <f>[17]Sales_SP!JI254</f>
        <v>0</v>
      </c>
      <c r="I811" s="787">
        <f>[17]Sales_SP!JJ254</f>
        <v>0</v>
      </c>
      <c r="J811" s="787">
        <f>[17]Sales_SP!JK254</f>
        <v>0</v>
      </c>
      <c r="K811" s="787">
        <f>[17]Sales_SP!JL254</f>
        <v>0</v>
      </c>
      <c r="L811" s="787">
        <f>[17]Sales_SP!JM254</f>
        <v>0</v>
      </c>
      <c r="M811" s="787">
        <f>[17]Sales_SP!JN254</f>
        <v>0</v>
      </c>
      <c r="N811" s="787">
        <f>[17]Sales_SP!JO254</f>
        <v>0</v>
      </c>
      <c r="O811" s="787">
        <f>[17]Sales_SP!JP254</f>
        <v>0</v>
      </c>
      <c r="P811" s="787">
        <f>[17]Sales_SP!JQ254</f>
        <v>0</v>
      </c>
      <c r="Q811" s="866">
        <f t="shared" si="167"/>
        <v>0</v>
      </c>
      <c r="R811" s="863"/>
      <c r="S811" s="863"/>
    </row>
    <row r="812" ht="15" hidden="1" spans="3:19">
      <c r="C812" s="296" t="s">
        <v>208</v>
      </c>
      <c r="D812" s="296" t="s">
        <v>209</v>
      </c>
      <c r="E812" s="787">
        <v>0</v>
      </c>
      <c r="F812" s="787">
        <v>0</v>
      </c>
      <c r="G812" s="787">
        <v>0</v>
      </c>
      <c r="H812" s="787">
        <v>0</v>
      </c>
      <c r="I812" s="787">
        <v>0</v>
      </c>
      <c r="J812" s="787">
        <v>0</v>
      </c>
      <c r="K812" s="787">
        <v>0</v>
      </c>
      <c r="L812" s="787">
        <v>0</v>
      </c>
      <c r="M812" s="787">
        <v>0</v>
      </c>
      <c r="N812" s="787">
        <v>0</v>
      </c>
      <c r="O812" s="787">
        <v>0</v>
      </c>
      <c r="P812" s="787">
        <v>0</v>
      </c>
      <c r="Q812" s="866">
        <f t="shared" si="167"/>
        <v>0</v>
      </c>
      <c r="R812" s="863"/>
      <c r="S812" s="863"/>
    </row>
    <row r="813" ht="15" hidden="1" spans="3:19">
      <c r="C813" s="296" t="s">
        <v>210</v>
      </c>
      <c r="D813" s="296" t="s">
        <v>188</v>
      </c>
      <c r="E813" s="787">
        <v>0</v>
      </c>
      <c r="F813" s="787">
        <v>0</v>
      </c>
      <c r="G813" s="787">
        <v>0</v>
      </c>
      <c r="H813" s="787">
        <v>0</v>
      </c>
      <c r="I813" s="787">
        <v>0</v>
      </c>
      <c r="J813" s="787">
        <v>0</v>
      </c>
      <c r="K813" s="787">
        <v>0</v>
      </c>
      <c r="L813" s="787">
        <v>0</v>
      </c>
      <c r="M813" s="787">
        <v>0</v>
      </c>
      <c r="N813" s="787">
        <v>0</v>
      </c>
      <c r="O813" s="787">
        <v>0</v>
      </c>
      <c r="P813" s="787">
        <v>0</v>
      </c>
      <c r="Q813" s="866">
        <f t="shared" si="167"/>
        <v>0</v>
      </c>
      <c r="R813" s="863"/>
      <c r="S813" s="863"/>
    </row>
    <row r="814" ht="15" hidden="1" spans="3:19">
      <c r="C814" s="296"/>
      <c r="D814" s="296"/>
      <c r="E814" s="787"/>
      <c r="F814" s="787"/>
      <c r="G814" s="787"/>
      <c r="H814" s="787"/>
      <c r="I814" s="787"/>
      <c r="J814" s="787"/>
      <c r="K814" s="787"/>
      <c r="L814" s="787"/>
      <c r="M814" s="787"/>
      <c r="N814" s="787"/>
      <c r="O814" s="787"/>
      <c r="P814" s="787"/>
      <c r="Q814" s="866">
        <f t="shared" si="167"/>
        <v>0</v>
      </c>
      <c r="R814" s="863"/>
      <c r="S814" s="863"/>
    </row>
    <row r="815" ht="15" hidden="1" spans="3:19">
      <c r="C815" s="296"/>
      <c r="D815" s="296"/>
      <c r="E815" s="787"/>
      <c r="F815" s="787"/>
      <c r="G815" s="787"/>
      <c r="H815" s="787"/>
      <c r="I815" s="787"/>
      <c r="J815" s="787"/>
      <c r="K815" s="787"/>
      <c r="L815" s="787"/>
      <c r="M815" s="787"/>
      <c r="N815" s="787"/>
      <c r="O815" s="787"/>
      <c r="P815" s="787"/>
      <c r="Q815" s="866">
        <f t="shared" si="167"/>
        <v>0</v>
      </c>
      <c r="R815" s="863"/>
      <c r="S815" s="863"/>
    </row>
    <row r="816" ht="15" hidden="1" spans="3:19">
      <c r="C816" s="296"/>
      <c r="D816" s="296"/>
      <c r="E816" s="787"/>
      <c r="F816" s="787"/>
      <c r="G816" s="787"/>
      <c r="H816" s="787"/>
      <c r="I816" s="787"/>
      <c r="J816" s="787"/>
      <c r="K816" s="787"/>
      <c r="L816" s="787"/>
      <c r="M816" s="787"/>
      <c r="N816" s="787"/>
      <c r="O816" s="787"/>
      <c r="P816" s="787"/>
      <c r="Q816" s="866">
        <f t="shared" si="167"/>
        <v>0</v>
      </c>
      <c r="R816" s="863"/>
      <c r="S816" s="863"/>
    </row>
    <row r="817" ht="15" hidden="1" spans="3:19">
      <c r="C817" s="296" t="s">
        <v>258</v>
      </c>
      <c r="D817" s="296" t="s">
        <v>258</v>
      </c>
      <c r="E817" s="787"/>
      <c r="F817" s="787"/>
      <c r="G817" s="787"/>
      <c r="H817" s="787"/>
      <c r="I817" s="787"/>
      <c r="J817" s="787"/>
      <c r="K817" s="787"/>
      <c r="L817" s="787"/>
      <c r="M817" s="787"/>
      <c r="N817" s="787"/>
      <c r="O817" s="787"/>
      <c r="P817" s="787"/>
      <c r="Q817" s="866">
        <f t="shared" si="167"/>
        <v>0</v>
      </c>
      <c r="R817" s="863"/>
      <c r="S817" s="863"/>
    </row>
    <row r="818" ht="15" hidden="1" spans="3:19">
      <c r="C818" s="285" t="s">
        <v>211</v>
      </c>
      <c r="D818" s="286"/>
      <c r="E818" s="866">
        <f t="shared" ref="E818:P818" si="168">SUM(E801:E817)</f>
        <v>1258.24981976829</v>
      </c>
      <c r="F818" s="866">
        <f t="shared" si="168"/>
        <v>1225.60995366887</v>
      </c>
      <c r="G818" s="866">
        <f t="shared" si="168"/>
        <v>1264.15837147093</v>
      </c>
      <c r="H818" s="866">
        <f t="shared" si="168"/>
        <v>1255.3843130602</v>
      </c>
      <c r="I818" s="866">
        <f t="shared" si="168"/>
        <v>1482.70600297879</v>
      </c>
      <c r="J818" s="866">
        <f t="shared" si="168"/>
        <v>1534.0985037172</v>
      </c>
      <c r="K818" s="866">
        <f t="shared" si="168"/>
        <v>1631.42581122955</v>
      </c>
      <c r="L818" s="866">
        <f t="shared" si="168"/>
        <v>1575.81105689138</v>
      </c>
      <c r="M818" s="866">
        <f t="shared" si="168"/>
        <v>1449.83365849095</v>
      </c>
      <c r="N818" s="866">
        <f t="shared" si="168"/>
        <v>1426.63620008041</v>
      </c>
      <c r="O818" s="866">
        <f t="shared" si="168"/>
        <v>1340.46416569652</v>
      </c>
      <c r="P818" s="866">
        <f t="shared" si="168"/>
        <v>1454.01556906791</v>
      </c>
      <c r="Q818" s="866">
        <f t="shared" si="167"/>
        <v>16898.393426121</v>
      </c>
      <c r="R818" s="863"/>
      <c r="S818" s="863"/>
    </row>
    <row r="819" ht="15" hidden="1" spans="3:19">
      <c r="C819" s="285" t="s">
        <v>223</v>
      </c>
      <c r="D819" s="286"/>
      <c r="E819" s="866">
        <f t="shared" ref="E819:P819" si="169">E818+E799+E782</f>
        <v>3562.50229835943</v>
      </c>
      <c r="F819" s="866">
        <f t="shared" si="169"/>
        <v>3689.65367782089</v>
      </c>
      <c r="G819" s="866">
        <f t="shared" si="169"/>
        <v>3692.00268228069</v>
      </c>
      <c r="H819" s="866">
        <f t="shared" si="169"/>
        <v>3554.5320345269</v>
      </c>
      <c r="I819" s="866">
        <f t="shared" si="169"/>
        <v>3870.60940440941</v>
      </c>
      <c r="J819" s="866">
        <f t="shared" si="169"/>
        <v>3809.27147451616</v>
      </c>
      <c r="K819" s="866">
        <f t="shared" si="169"/>
        <v>3955.73549100895</v>
      </c>
      <c r="L819" s="866">
        <f t="shared" si="169"/>
        <v>3873.55040298048</v>
      </c>
      <c r="M819" s="866">
        <f t="shared" si="169"/>
        <v>3740.50487149371</v>
      </c>
      <c r="N819" s="866">
        <f t="shared" si="169"/>
        <v>3706.99643079476</v>
      </c>
      <c r="O819" s="866">
        <f t="shared" si="169"/>
        <v>3630.58850446018</v>
      </c>
      <c r="P819" s="866">
        <f t="shared" si="169"/>
        <v>4035.32361782823</v>
      </c>
      <c r="Q819" s="866">
        <f t="shared" si="167"/>
        <v>45121.2708904798</v>
      </c>
      <c r="R819" s="863"/>
      <c r="S819" s="863"/>
    </row>
    <row r="820" ht="15" hidden="1" spans="3:19">
      <c r="C820" s="285" t="s">
        <v>224</v>
      </c>
      <c r="D820" s="286"/>
      <c r="E820" s="866">
        <f t="shared" ref="E820:P820" si="170">E819+E765</f>
        <v>5687.18609552178</v>
      </c>
      <c r="F820" s="866">
        <f t="shared" si="170"/>
        <v>6186.21802322559</v>
      </c>
      <c r="G820" s="866">
        <f t="shared" si="170"/>
        <v>5949.57447512476</v>
      </c>
      <c r="H820" s="866">
        <f t="shared" si="170"/>
        <v>5397.62011102938</v>
      </c>
      <c r="I820" s="866">
        <f t="shared" si="170"/>
        <v>5963.11480809164</v>
      </c>
      <c r="J820" s="866">
        <f t="shared" si="170"/>
        <v>5749.63887616004</v>
      </c>
      <c r="K820" s="866">
        <f t="shared" si="170"/>
        <v>5901.42181699824</v>
      </c>
      <c r="L820" s="866">
        <f t="shared" si="170"/>
        <v>5706.02722849722</v>
      </c>
      <c r="M820" s="866">
        <f t="shared" si="170"/>
        <v>5416.53077755688</v>
      </c>
      <c r="N820" s="866">
        <f t="shared" si="170"/>
        <v>5556.82983005071</v>
      </c>
      <c r="O820" s="866">
        <f t="shared" si="170"/>
        <v>5409.8780249476</v>
      </c>
      <c r="P820" s="866">
        <f t="shared" si="170"/>
        <v>6356.19303088938</v>
      </c>
      <c r="Q820" s="866">
        <f t="shared" si="167"/>
        <v>69280.2330980932</v>
      </c>
      <c r="R820" s="863"/>
      <c r="S820" s="863"/>
    </row>
    <row r="821" ht="3.95" customHeight="1" spans="5:19">
      <c r="E821" s="863"/>
      <c r="F821" s="863"/>
      <c r="G821" s="863"/>
      <c r="H821" s="863"/>
      <c r="I821" s="863"/>
      <c r="J821" s="863"/>
      <c r="K821" s="863"/>
      <c r="L821" s="863"/>
      <c r="M821" s="863"/>
      <c r="N821" s="863"/>
      <c r="O821" s="863"/>
      <c r="P821" s="863"/>
      <c r="Q821" s="863"/>
      <c r="R821" s="863"/>
      <c r="S821" s="863"/>
    </row>
    <row r="822" ht="15" spans="4:19">
      <c r="D822" s="367"/>
      <c r="E822" s="871" t="s">
        <v>225</v>
      </c>
      <c r="F822" s="863"/>
      <c r="G822" s="863"/>
      <c r="H822" s="863"/>
      <c r="I822" s="863"/>
      <c r="J822" s="863"/>
      <c r="K822" s="863"/>
      <c r="L822" s="863"/>
      <c r="M822" s="863"/>
      <c r="N822" s="863"/>
      <c r="O822" s="863"/>
      <c r="P822" s="863"/>
      <c r="Q822" s="863"/>
      <c r="R822" s="863"/>
      <c r="S822" s="863"/>
    </row>
    <row r="823" spans="4:19">
      <c r="D823" s="728"/>
      <c r="E823" s="872">
        <v>1</v>
      </c>
      <c r="F823" s="863" t="s">
        <v>226</v>
      </c>
      <c r="G823" s="863"/>
      <c r="H823" s="863"/>
      <c r="I823" s="863"/>
      <c r="J823" s="863"/>
      <c r="K823" s="863"/>
      <c r="L823" s="863"/>
      <c r="M823" s="863"/>
      <c r="N823" s="863"/>
      <c r="O823" s="863"/>
      <c r="P823" s="863"/>
      <c r="Q823" s="863"/>
      <c r="R823" s="863"/>
      <c r="S823" s="863"/>
    </row>
    <row r="824" spans="5:19">
      <c r="E824" s="872">
        <f>E823+1</f>
        <v>2</v>
      </c>
      <c r="F824" s="863" t="s">
        <v>233</v>
      </c>
      <c r="G824" s="863"/>
      <c r="H824" s="863"/>
      <c r="I824" s="863"/>
      <c r="J824" s="863"/>
      <c r="K824" s="863"/>
      <c r="L824" s="863"/>
      <c r="M824" s="863"/>
      <c r="N824" s="863"/>
      <c r="O824" s="863"/>
      <c r="P824" s="863"/>
      <c r="Q824" s="863"/>
      <c r="R824" s="863"/>
      <c r="S824" s="863"/>
    </row>
    <row r="825" spans="5:5">
      <c r="E825" s="728"/>
    </row>
  </sheetData>
  <mergeCells count="137">
    <mergeCell ref="H4:J4"/>
    <mergeCell ref="K4:N4"/>
    <mergeCell ref="O4:S4"/>
    <mergeCell ref="C7:D7"/>
    <mergeCell ref="C21:D21"/>
    <mergeCell ref="C22:D22"/>
    <mergeCell ref="C38:D38"/>
    <mergeCell ref="C39:D39"/>
    <mergeCell ref="C56:D56"/>
    <mergeCell ref="C57:D57"/>
    <mergeCell ref="C75:D75"/>
    <mergeCell ref="C76:D76"/>
    <mergeCell ref="C77:D77"/>
    <mergeCell ref="E82:Q82"/>
    <mergeCell ref="C84:D84"/>
    <mergeCell ref="C98:D98"/>
    <mergeCell ref="C99:D99"/>
    <mergeCell ref="C115:D115"/>
    <mergeCell ref="C116:D116"/>
    <mergeCell ref="C132:D132"/>
    <mergeCell ref="C133:D133"/>
    <mergeCell ref="C151:D151"/>
    <mergeCell ref="C152:D152"/>
    <mergeCell ref="C153:D153"/>
    <mergeCell ref="E156:Q156"/>
    <mergeCell ref="C158:D158"/>
    <mergeCell ref="C172:D172"/>
    <mergeCell ref="C173:D173"/>
    <mergeCell ref="C189:D189"/>
    <mergeCell ref="C190:D190"/>
    <mergeCell ref="C206:D206"/>
    <mergeCell ref="C207:D207"/>
    <mergeCell ref="C224:D224"/>
    <mergeCell ref="C225:D225"/>
    <mergeCell ref="C226:D226"/>
    <mergeCell ref="E229:Q229"/>
    <mergeCell ref="C231:D231"/>
    <mergeCell ref="C245:D245"/>
    <mergeCell ref="C246:D246"/>
    <mergeCell ref="C262:D262"/>
    <mergeCell ref="C263:D263"/>
    <mergeCell ref="C279:D279"/>
    <mergeCell ref="C280:D280"/>
    <mergeCell ref="C298:D298"/>
    <mergeCell ref="C299:D299"/>
    <mergeCell ref="C300:D300"/>
    <mergeCell ref="E302:Q302"/>
    <mergeCell ref="C304:D304"/>
    <mergeCell ref="C318:D318"/>
    <mergeCell ref="C319:D319"/>
    <mergeCell ref="C335:D335"/>
    <mergeCell ref="C336:D336"/>
    <mergeCell ref="C353:D353"/>
    <mergeCell ref="C354:D354"/>
    <mergeCell ref="C372:D372"/>
    <mergeCell ref="C373:D373"/>
    <mergeCell ref="C374:D374"/>
    <mergeCell ref="E377:Q377"/>
    <mergeCell ref="C380:D380"/>
    <mergeCell ref="C394:D394"/>
    <mergeCell ref="C395:D395"/>
    <mergeCell ref="C411:D411"/>
    <mergeCell ref="C412:D412"/>
    <mergeCell ref="C428:D428"/>
    <mergeCell ref="C429:D429"/>
    <mergeCell ref="C447:D447"/>
    <mergeCell ref="C448:D448"/>
    <mergeCell ref="C449:D449"/>
    <mergeCell ref="E452:Q452"/>
    <mergeCell ref="C454:D454"/>
    <mergeCell ref="C468:D468"/>
    <mergeCell ref="C469:D469"/>
    <mergeCell ref="C485:D485"/>
    <mergeCell ref="C486:D486"/>
    <mergeCell ref="C503:D503"/>
    <mergeCell ref="C504:D504"/>
    <mergeCell ref="C522:D522"/>
    <mergeCell ref="C523:D523"/>
    <mergeCell ref="C524:D524"/>
    <mergeCell ref="E527:Q527"/>
    <mergeCell ref="C529:D529"/>
    <mergeCell ref="C543:D543"/>
    <mergeCell ref="C544:D544"/>
    <mergeCell ref="C560:D560"/>
    <mergeCell ref="C561:D561"/>
    <mergeCell ref="C577:D577"/>
    <mergeCell ref="C578:D578"/>
    <mergeCell ref="C596:D596"/>
    <mergeCell ref="C597:D597"/>
    <mergeCell ref="C598:D598"/>
    <mergeCell ref="E601:Q601"/>
    <mergeCell ref="C603:D603"/>
    <mergeCell ref="C617:D617"/>
    <mergeCell ref="C618:D618"/>
    <mergeCell ref="C634:D634"/>
    <mergeCell ref="C635:D635"/>
    <mergeCell ref="C651:D651"/>
    <mergeCell ref="C652:D652"/>
    <mergeCell ref="C670:D670"/>
    <mergeCell ref="C671:D671"/>
    <mergeCell ref="C672:D672"/>
    <mergeCell ref="E675:Q675"/>
    <mergeCell ref="C677:D677"/>
    <mergeCell ref="C691:D691"/>
    <mergeCell ref="C692:D692"/>
    <mergeCell ref="C708:D708"/>
    <mergeCell ref="C709:D709"/>
    <mergeCell ref="C725:D725"/>
    <mergeCell ref="C726:D726"/>
    <mergeCell ref="C744:D744"/>
    <mergeCell ref="C745:D745"/>
    <mergeCell ref="C746:D746"/>
    <mergeCell ref="E749:Q749"/>
    <mergeCell ref="C751:D751"/>
    <mergeCell ref="C765:D765"/>
    <mergeCell ref="C766:D766"/>
    <mergeCell ref="C782:D782"/>
    <mergeCell ref="C783:D783"/>
    <mergeCell ref="C799:D799"/>
    <mergeCell ref="C800:D800"/>
    <mergeCell ref="C818:D818"/>
    <mergeCell ref="C819:D819"/>
    <mergeCell ref="C820:D820"/>
    <mergeCell ref="E4:E5"/>
    <mergeCell ref="F4:F5"/>
    <mergeCell ref="G4:G5"/>
    <mergeCell ref="C82:D83"/>
    <mergeCell ref="C4:D6"/>
    <mergeCell ref="C156:D157"/>
    <mergeCell ref="C229:D230"/>
    <mergeCell ref="C302:D303"/>
    <mergeCell ref="C377:D379"/>
    <mergeCell ref="C452:D453"/>
    <mergeCell ref="C527:D528"/>
    <mergeCell ref="C601:D602"/>
    <mergeCell ref="C675:D676"/>
    <mergeCell ref="C749:D750"/>
  </mergeCells>
  <printOptions horizontalCentered="1"/>
  <pageMargins left="0.275" right="0.275" top="1" bottom="1" header="0.5" footer="0.5"/>
  <pageSetup paperSize="9" scale="55" orientation="landscape"/>
  <headerFooter alignWithMargins="0"/>
  <rowBreaks count="3" manualBreakCount="3">
    <brk id="428" max="16" man="1"/>
    <brk id="468" max="16" man="1"/>
    <brk id="560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</sheetPr>
  <dimension ref="B2:S824"/>
  <sheetViews>
    <sheetView showGridLines="0" view="pageBreakPreview" zoomScale="70" zoomScaleNormal="100" topLeftCell="C1" workbookViewId="0">
      <pane xSplit="2" ySplit="7" topLeftCell="E558" activePane="bottomRight" state="frozen"/>
      <selection/>
      <selection pane="topRight"/>
      <selection pane="bottomLeft"/>
      <selection pane="bottomRight" activeCell="N836" sqref="N836"/>
    </sheetView>
  </sheetViews>
  <sheetFormatPr defaultColWidth="9.14285714285714" defaultRowHeight="14.25"/>
  <cols>
    <col min="1" max="1" width="3.14285714285714" style="368" customWidth="1"/>
    <col min="2" max="2" width="8.42857142857143" style="368" customWidth="1"/>
    <col min="3" max="3" width="21.5714285714286" style="368" customWidth="1"/>
    <col min="4" max="4" width="45.8571428571429" style="368" customWidth="1"/>
    <col min="5" max="5" width="13.5714285714286" style="368" customWidth="1"/>
    <col min="6" max="6" width="12.5714285714286" style="368" customWidth="1"/>
    <col min="7" max="7" width="13.4285714285714" style="368" customWidth="1"/>
    <col min="8" max="8" width="13.5714285714286" style="368" customWidth="1"/>
    <col min="9" max="9" width="12.5714285714286" style="368" customWidth="1"/>
    <col min="10" max="10" width="14.5714285714286" style="368" customWidth="1"/>
    <col min="11" max="11" width="12.5714285714286" style="368" customWidth="1"/>
    <col min="12" max="12" width="11.8571428571429" style="368" customWidth="1"/>
    <col min="13" max="13" width="13.8571428571429" style="368" customWidth="1"/>
    <col min="14" max="16" width="11.8571428571429" style="368" customWidth="1"/>
    <col min="17" max="17" width="11.4285714285714" style="368" customWidth="1"/>
    <col min="18" max="18" width="12.4285714285714" style="368" customWidth="1"/>
    <col min="19" max="19" width="12.5714285714286" style="368" customWidth="1"/>
    <col min="20" max="16384" width="9.14285714285714" style="368"/>
  </cols>
  <sheetData>
    <row r="2" ht="9.95" customHeight="1" spans="10:10">
      <c r="J2" s="276" t="s">
        <v>105</v>
      </c>
    </row>
    <row r="3" ht="15" spans="10:10">
      <c r="J3" s="370" t="s">
        <v>271</v>
      </c>
    </row>
    <row r="4" ht="15" spans="2:19">
      <c r="B4" s="369"/>
      <c r="C4" s="369" t="s">
        <v>235</v>
      </c>
      <c r="D4" s="770"/>
      <c r="E4" s="770"/>
      <c r="F4" s="770"/>
      <c r="G4" s="770"/>
      <c r="Q4" s="370" t="s">
        <v>236</v>
      </c>
      <c r="S4" s="370" t="s">
        <v>236</v>
      </c>
    </row>
    <row r="5" ht="13.7" hidden="1" customHeight="1" spans="3:19">
      <c r="C5" s="703" t="s">
        <v>159</v>
      </c>
      <c r="D5" s="846"/>
      <c r="E5" s="372" t="s">
        <v>160</v>
      </c>
      <c r="F5" s="372" t="s">
        <v>161</v>
      </c>
      <c r="G5" s="372" t="s">
        <v>162</v>
      </c>
      <c r="H5" s="374" t="s">
        <v>163</v>
      </c>
      <c r="I5" s="375"/>
      <c r="J5" s="376"/>
      <c r="K5" s="374" t="s">
        <v>164</v>
      </c>
      <c r="L5" s="375"/>
      <c r="M5" s="375"/>
      <c r="N5" s="375"/>
      <c r="O5" s="403" t="s">
        <v>114</v>
      </c>
      <c r="P5" s="403"/>
      <c r="Q5" s="403"/>
      <c r="R5" s="403"/>
      <c r="S5" s="403"/>
    </row>
    <row r="6" ht="45" hidden="1" spans="3:19">
      <c r="C6" s="705"/>
      <c r="D6" s="847"/>
      <c r="E6" s="380"/>
      <c r="F6" s="380"/>
      <c r="G6" s="380"/>
      <c r="H6" s="379" t="s">
        <v>116</v>
      </c>
      <c r="I6" s="379" t="s">
        <v>237</v>
      </c>
      <c r="J6" s="379" t="s">
        <v>118</v>
      </c>
      <c r="K6" s="379" t="s">
        <v>116</v>
      </c>
      <c r="L6" s="379" t="s">
        <v>119</v>
      </c>
      <c r="M6" s="379" t="s">
        <v>120</v>
      </c>
      <c r="N6" s="379" t="s">
        <v>238</v>
      </c>
      <c r="O6" s="379" t="s">
        <v>165</v>
      </c>
      <c r="P6" s="379" t="s">
        <v>166</v>
      </c>
      <c r="Q6" s="379" t="s">
        <v>167</v>
      </c>
      <c r="R6" s="379" t="s">
        <v>168</v>
      </c>
      <c r="S6" s="379" t="s">
        <v>169</v>
      </c>
    </row>
    <row r="7" ht="15" hidden="1" spans="3:19">
      <c r="C7" s="707"/>
      <c r="D7" s="848"/>
      <c r="E7" s="379" t="s">
        <v>128</v>
      </c>
      <c r="F7" s="379" t="s">
        <v>128</v>
      </c>
      <c r="G7" s="379" t="s">
        <v>128</v>
      </c>
      <c r="H7" s="379" t="s">
        <v>127</v>
      </c>
      <c r="I7" s="379" t="s">
        <v>128</v>
      </c>
      <c r="J7" s="379" t="s">
        <v>129</v>
      </c>
      <c r="K7" s="379" t="s">
        <v>127</v>
      </c>
      <c r="L7" s="379" t="s">
        <v>130</v>
      </c>
      <c r="M7" s="379" t="s">
        <v>131</v>
      </c>
      <c r="N7" s="379" t="s">
        <v>131</v>
      </c>
      <c r="O7" s="379" t="s">
        <v>132</v>
      </c>
      <c r="P7" s="379" t="s">
        <v>132</v>
      </c>
      <c r="Q7" s="379" t="s">
        <v>132</v>
      </c>
      <c r="R7" s="379" t="s">
        <v>132</v>
      </c>
      <c r="S7" s="379" t="s">
        <v>132</v>
      </c>
    </row>
    <row r="8" ht="15" hidden="1" spans="3:19">
      <c r="C8" s="285" t="s">
        <v>170</v>
      </c>
      <c r="D8" s="286"/>
      <c r="E8" s="849"/>
      <c r="F8" s="286"/>
      <c r="G8" s="286"/>
      <c r="H8" s="296"/>
      <c r="I8" s="296"/>
      <c r="J8" s="288"/>
      <c r="K8" s="296"/>
      <c r="L8" s="384"/>
      <c r="M8" s="296"/>
      <c r="N8" s="296"/>
      <c r="O8" s="296"/>
      <c r="P8" s="296"/>
      <c r="Q8" s="296"/>
      <c r="R8" s="296"/>
      <c r="S8" s="296"/>
    </row>
    <row r="9" hidden="1" spans="3:19">
      <c r="C9" s="296" t="s">
        <v>171</v>
      </c>
      <c r="D9" s="296" t="s">
        <v>172</v>
      </c>
      <c r="E9" s="850">
        <f t="shared" ref="E9:E17" si="0">Q86</f>
        <v>0</v>
      </c>
      <c r="F9" s="851">
        <f>Q160</f>
        <v>0</v>
      </c>
      <c r="G9" s="851">
        <f>Q233</f>
        <v>0</v>
      </c>
      <c r="H9" s="851"/>
      <c r="I9" s="851">
        <f>Q306</f>
        <v>0</v>
      </c>
      <c r="J9" s="851"/>
      <c r="K9" s="851"/>
      <c r="L9" s="851">
        <f t="shared" ref="L9:L17" si="1">E381+F381+G381+H381+I381+J381</f>
        <v>0</v>
      </c>
      <c r="M9" s="851">
        <f>K381+L381+M381+N381+O381+P381</f>
        <v>0</v>
      </c>
      <c r="N9" s="851">
        <f>L9+M9</f>
        <v>0</v>
      </c>
      <c r="O9" s="851">
        <f>Q455</f>
        <v>0</v>
      </c>
      <c r="P9" s="851">
        <f>Q529</f>
        <v>0</v>
      </c>
      <c r="Q9" s="851">
        <f>Q603</f>
        <v>0</v>
      </c>
      <c r="R9" s="851">
        <f>Q677</f>
        <v>0</v>
      </c>
      <c r="S9" s="851">
        <f>Q751</f>
        <v>0</v>
      </c>
    </row>
    <row r="10" hidden="1" spans="3:19">
      <c r="C10" s="296" t="s">
        <v>173</v>
      </c>
      <c r="D10" s="296" t="s">
        <v>174</v>
      </c>
      <c r="E10" s="850">
        <f t="shared" si="0"/>
        <v>0</v>
      </c>
      <c r="F10" s="851">
        <f t="shared" ref="F10:F17" si="2">Q161</f>
        <v>0</v>
      </c>
      <c r="G10" s="851">
        <f t="shared" ref="G10:G17" si="3">Q234</f>
        <v>0</v>
      </c>
      <c r="H10" s="851"/>
      <c r="I10" s="851">
        <f t="shared" ref="I10:I17" si="4">Q307</f>
        <v>0</v>
      </c>
      <c r="J10" s="851"/>
      <c r="K10" s="851"/>
      <c r="L10" s="851">
        <f t="shared" si="1"/>
        <v>0</v>
      </c>
      <c r="M10" s="851">
        <f t="shared" ref="M10:M17" si="5">K382+L382+M382+N382+O382+P382</f>
        <v>0</v>
      </c>
      <c r="N10" s="851">
        <f t="shared" ref="N10:N17" si="6">L10+M10</f>
        <v>0</v>
      </c>
      <c r="O10" s="851">
        <f t="shared" ref="O10:O17" si="7">Q456</f>
        <v>0</v>
      </c>
      <c r="P10" s="851">
        <f t="shared" ref="P10:P22" si="8">Q530</f>
        <v>0</v>
      </c>
      <c r="Q10" s="851">
        <f t="shared" ref="Q10:Q17" si="9">Q604</f>
        <v>0</v>
      </c>
      <c r="R10" s="851">
        <f t="shared" ref="R10:R17" si="10">Q678</f>
        <v>0</v>
      </c>
      <c r="S10" s="851">
        <f t="shared" ref="S10:S17" si="11">Q752</f>
        <v>0</v>
      </c>
    </row>
    <row r="11" hidden="1" spans="3:19">
      <c r="C11" s="296" t="s">
        <v>175</v>
      </c>
      <c r="D11" s="296" t="s">
        <v>176</v>
      </c>
      <c r="E11" s="850">
        <f t="shared" si="0"/>
        <v>0</v>
      </c>
      <c r="F11" s="851">
        <f t="shared" si="2"/>
        <v>0</v>
      </c>
      <c r="G11" s="851">
        <f t="shared" si="3"/>
        <v>0</v>
      </c>
      <c r="H11" s="851"/>
      <c r="I11" s="851">
        <f t="shared" si="4"/>
        <v>0</v>
      </c>
      <c r="J11" s="851"/>
      <c r="K11" s="851"/>
      <c r="L11" s="851">
        <f t="shared" si="1"/>
        <v>0</v>
      </c>
      <c r="M11" s="851">
        <f t="shared" si="5"/>
        <v>0</v>
      </c>
      <c r="N11" s="851">
        <f t="shared" si="6"/>
        <v>0</v>
      </c>
      <c r="O11" s="851">
        <f t="shared" si="7"/>
        <v>0</v>
      </c>
      <c r="P11" s="851">
        <f t="shared" si="8"/>
        <v>0</v>
      </c>
      <c r="Q11" s="851">
        <f t="shared" si="9"/>
        <v>0</v>
      </c>
      <c r="R11" s="851">
        <f t="shared" si="10"/>
        <v>0</v>
      </c>
      <c r="S11" s="851">
        <f t="shared" si="11"/>
        <v>0</v>
      </c>
    </row>
    <row r="12" hidden="1" spans="3:19">
      <c r="C12" s="296" t="s">
        <v>177</v>
      </c>
      <c r="D12" s="296" t="s">
        <v>178</v>
      </c>
      <c r="E12" s="850">
        <f t="shared" si="0"/>
        <v>0</v>
      </c>
      <c r="F12" s="851">
        <f t="shared" si="2"/>
        <v>0</v>
      </c>
      <c r="G12" s="851">
        <f t="shared" si="3"/>
        <v>0</v>
      </c>
      <c r="H12" s="851"/>
      <c r="I12" s="851">
        <f t="shared" si="4"/>
        <v>0</v>
      </c>
      <c r="J12" s="851"/>
      <c r="K12" s="851"/>
      <c r="L12" s="851">
        <f t="shared" si="1"/>
        <v>0</v>
      </c>
      <c r="M12" s="851">
        <f t="shared" si="5"/>
        <v>0</v>
      </c>
      <c r="N12" s="851">
        <f t="shared" si="6"/>
        <v>0</v>
      </c>
      <c r="O12" s="851">
        <f t="shared" si="7"/>
        <v>0</v>
      </c>
      <c r="P12" s="851">
        <f t="shared" si="8"/>
        <v>0</v>
      </c>
      <c r="Q12" s="851">
        <f t="shared" si="9"/>
        <v>0</v>
      </c>
      <c r="R12" s="851">
        <f t="shared" si="10"/>
        <v>0</v>
      </c>
      <c r="S12" s="851">
        <f t="shared" si="11"/>
        <v>0</v>
      </c>
    </row>
    <row r="13" hidden="1" spans="3:19">
      <c r="C13" s="296" t="s">
        <v>179</v>
      </c>
      <c r="D13" s="296" t="s">
        <v>180</v>
      </c>
      <c r="E13" s="850">
        <f t="shared" si="0"/>
        <v>10818.3927530706</v>
      </c>
      <c r="F13" s="851">
        <f t="shared" si="2"/>
        <v>11744.8428733557</v>
      </c>
      <c r="G13" s="851">
        <f t="shared" si="3"/>
        <v>11724.3576385522</v>
      </c>
      <c r="H13" s="851">
        <v>10391.18</v>
      </c>
      <c r="I13" s="851">
        <f t="shared" si="4"/>
        <v>12127.2243701067</v>
      </c>
      <c r="J13" s="853">
        <f>I13-H13</f>
        <v>1736.04437010666</v>
      </c>
      <c r="K13" s="851">
        <v>11410.74</v>
      </c>
      <c r="L13" s="851">
        <f t="shared" si="1"/>
        <v>6248.60909749297</v>
      </c>
      <c r="M13" s="851">
        <f t="shared" si="5"/>
        <v>9458.40310958755</v>
      </c>
      <c r="N13" s="851">
        <f t="shared" si="6"/>
        <v>15707.0122070805</v>
      </c>
      <c r="O13" s="851">
        <f t="shared" si="7"/>
        <v>16400.2035853187</v>
      </c>
      <c r="P13" s="851">
        <f t="shared" si="8"/>
        <v>17123.9873054058</v>
      </c>
      <c r="Q13" s="851">
        <f t="shared" si="9"/>
        <v>13052.8047610477</v>
      </c>
      <c r="R13" s="851">
        <f t="shared" si="10"/>
        <v>13336.0372206003</v>
      </c>
      <c r="S13" s="851">
        <f t="shared" si="11"/>
        <v>13591.8907847435</v>
      </c>
    </row>
    <row r="14" hidden="1" spans="3:19">
      <c r="C14" s="296" t="s">
        <v>181</v>
      </c>
      <c r="D14" s="296" t="s">
        <v>182</v>
      </c>
      <c r="E14" s="850">
        <f t="shared" si="0"/>
        <v>0</v>
      </c>
      <c r="F14" s="851">
        <f t="shared" si="2"/>
        <v>0</v>
      </c>
      <c r="G14" s="851">
        <f t="shared" si="3"/>
        <v>0</v>
      </c>
      <c r="H14" s="851"/>
      <c r="I14" s="851">
        <f t="shared" si="4"/>
        <v>0</v>
      </c>
      <c r="J14" s="851"/>
      <c r="K14" s="851"/>
      <c r="L14" s="851">
        <f t="shared" si="1"/>
        <v>0</v>
      </c>
      <c r="M14" s="851">
        <f t="shared" si="5"/>
        <v>0</v>
      </c>
      <c r="N14" s="851">
        <f t="shared" si="6"/>
        <v>0</v>
      </c>
      <c r="O14" s="851">
        <f t="shared" si="7"/>
        <v>0</v>
      </c>
      <c r="P14" s="851">
        <f t="shared" si="8"/>
        <v>0</v>
      </c>
      <c r="Q14" s="851">
        <f t="shared" si="9"/>
        <v>0</v>
      </c>
      <c r="R14" s="851">
        <f t="shared" si="10"/>
        <v>0</v>
      </c>
      <c r="S14" s="851">
        <f t="shared" si="11"/>
        <v>0</v>
      </c>
    </row>
    <row r="15" hidden="1" spans="3:19">
      <c r="C15" s="296" t="s">
        <v>183</v>
      </c>
      <c r="D15" s="296" t="s">
        <v>184</v>
      </c>
      <c r="E15" s="850">
        <f t="shared" si="0"/>
        <v>0</v>
      </c>
      <c r="F15" s="851">
        <f t="shared" si="2"/>
        <v>0</v>
      </c>
      <c r="G15" s="851">
        <f t="shared" si="3"/>
        <v>0</v>
      </c>
      <c r="H15" s="851"/>
      <c r="I15" s="851">
        <f t="shared" si="4"/>
        <v>0</v>
      </c>
      <c r="J15" s="851"/>
      <c r="K15" s="851"/>
      <c r="L15" s="851">
        <f t="shared" si="1"/>
        <v>0</v>
      </c>
      <c r="M15" s="851">
        <f t="shared" si="5"/>
        <v>0</v>
      </c>
      <c r="N15" s="851">
        <f t="shared" si="6"/>
        <v>0</v>
      </c>
      <c r="O15" s="851">
        <f t="shared" si="7"/>
        <v>0</v>
      </c>
      <c r="P15" s="851">
        <f t="shared" si="8"/>
        <v>0</v>
      </c>
      <c r="Q15" s="851">
        <f t="shared" si="9"/>
        <v>0</v>
      </c>
      <c r="R15" s="851">
        <f t="shared" si="10"/>
        <v>0</v>
      </c>
      <c r="S15" s="851">
        <f t="shared" si="11"/>
        <v>0</v>
      </c>
    </row>
    <row r="16" hidden="1" spans="3:19">
      <c r="C16" s="296" t="s">
        <v>185</v>
      </c>
      <c r="D16" s="296" t="s">
        <v>186</v>
      </c>
      <c r="E16" s="850">
        <f t="shared" si="0"/>
        <v>0</v>
      </c>
      <c r="F16" s="851">
        <f t="shared" si="2"/>
        <v>0</v>
      </c>
      <c r="G16" s="851">
        <f t="shared" si="3"/>
        <v>0</v>
      </c>
      <c r="H16" s="851"/>
      <c r="I16" s="851">
        <f t="shared" si="4"/>
        <v>0</v>
      </c>
      <c r="J16" s="851"/>
      <c r="K16" s="851"/>
      <c r="L16" s="851">
        <f t="shared" si="1"/>
        <v>0</v>
      </c>
      <c r="M16" s="851">
        <f t="shared" si="5"/>
        <v>0</v>
      </c>
      <c r="N16" s="851">
        <f t="shared" si="6"/>
        <v>0</v>
      </c>
      <c r="O16" s="851">
        <f t="shared" si="7"/>
        <v>0</v>
      </c>
      <c r="P16" s="851">
        <f t="shared" si="8"/>
        <v>0</v>
      </c>
      <c r="Q16" s="851">
        <f t="shared" si="9"/>
        <v>0</v>
      </c>
      <c r="R16" s="851">
        <f t="shared" si="10"/>
        <v>0</v>
      </c>
      <c r="S16" s="851">
        <f t="shared" si="11"/>
        <v>0</v>
      </c>
    </row>
    <row r="17" hidden="1" spans="3:19">
      <c r="C17" s="296" t="s">
        <v>187</v>
      </c>
      <c r="D17" s="296" t="s">
        <v>188</v>
      </c>
      <c r="E17" s="850">
        <f t="shared" si="0"/>
        <v>0</v>
      </c>
      <c r="F17" s="851">
        <f t="shared" si="2"/>
        <v>0</v>
      </c>
      <c r="G17" s="851">
        <f t="shared" si="3"/>
        <v>0</v>
      </c>
      <c r="H17" s="851"/>
      <c r="I17" s="851">
        <f t="shared" si="4"/>
        <v>0</v>
      </c>
      <c r="J17" s="851"/>
      <c r="K17" s="851"/>
      <c r="L17" s="851">
        <f t="shared" si="1"/>
        <v>0</v>
      </c>
      <c r="M17" s="851">
        <f t="shared" si="5"/>
        <v>0</v>
      </c>
      <c r="N17" s="851">
        <f t="shared" si="6"/>
        <v>0</v>
      </c>
      <c r="O17" s="851">
        <f t="shared" si="7"/>
        <v>0</v>
      </c>
      <c r="P17" s="851">
        <f t="shared" si="8"/>
        <v>0</v>
      </c>
      <c r="Q17" s="851">
        <f t="shared" si="9"/>
        <v>0</v>
      </c>
      <c r="R17" s="851">
        <f t="shared" si="10"/>
        <v>0</v>
      </c>
      <c r="S17" s="851">
        <f t="shared" si="11"/>
        <v>0</v>
      </c>
    </row>
    <row r="18" ht="15" hidden="1" spans="3:19">
      <c r="C18" s="296"/>
      <c r="D18" s="296"/>
      <c r="E18" s="852"/>
      <c r="F18" s="851"/>
      <c r="G18" s="851"/>
      <c r="H18" s="851"/>
      <c r="I18" s="851"/>
      <c r="J18" s="851"/>
      <c r="K18" s="851"/>
      <c r="L18" s="851"/>
      <c r="M18" s="851"/>
      <c r="N18" s="851"/>
      <c r="O18" s="851"/>
      <c r="P18" s="851"/>
      <c r="Q18" s="851"/>
      <c r="R18" s="851"/>
      <c r="S18" s="851"/>
    </row>
    <row r="19" ht="15" hidden="1" spans="3:19">
      <c r="C19" s="296"/>
      <c r="D19" s="296"/>
      <c r="E19" s="852"/>
      <c r="F19" s="851"/>
      <c r="G19" s="851"/>
      <c r="H19" s="851"/>
      <c r="I19" s="851"/>
      <c r="J19" s="851"/>
      <c r="K19" s="851"/>
      <c r="L19" s="851"/>
      <c r="M19" s="851"/>
      <c r="N19" s="851"/>
      <c r="O19" s="851"/>
      <c r="P19" s="851"/>
      <c r="Q19" s="851"/>
      <c r="R19" s="851"/>
      <c r="S19" s="851"/>
    </row>
    <row r="20" ht="15" hidden="1" spans="3:19">
      <c r="C20" s="296"/>
      <c r="D20" s="296"/>
      <c r="E20" s="852"/>
      <c r="F20" s="851"/>
      <c r="G20" s="851"/>
      <c r="H20" s="851"/>
      <c r="I20" s="851"/>
      <c r="J20" s="851"/>
      <c r="K20" s="851"/>
      <c r="L20" s="851"/>
      <c r="M20" s="851"/>
      <c r="N20" s="851"/>
      <c r="O20" s="851"/>
      <c r="P20" s="851"/>
      <c r="Q20" s="851"/>
      <c r="R20" s="851"/>
      <c r="S20" s="851"/>
    </row>
    <row r="21" ht="15" hidden="1" spans="3:19">
      <c r="C21" s="296"/>
      <c r="D21" s="296"/>
      <c r="E21" s="852"/>
      <c r="F21" s="851"/>
      <c r="G21" s="851"/>
      <c r="H21" s="851"/>
      <c r="I21" s="851"/>
      <c r="J21" s="851"/>
      <c r="K21" s="851"/>
      <c r="L21" s="851"/>
      <c r="M21" s="851"/>
      <c r="N21" s="851"/>
      <c r="O21" s="851"/>
      <c r="P21" s="851"/>
      <c r="Q21" s="851"/>
      <c r="R21" s="851"/>
      <c r="S21" s="851"/>
    </row>
    <row r="22" ht="15" hidden="1" spans="3:19">
      <c r="C22" s="285" t="s">
        <v>189</v>
      </c>
      <c r="D22" s="286"/>
      <c r="E22" s="852">
        <f>Q99</f>
        <v>10818.3927530706</v>
      </c>
      <c r="F22" s="852">
        <f>Q173</f>
        <v>11744.8428733557</v>
      </c>
      <c r="G22" s="852">
        <f>Q246</f>
        <v>11724.3576385522</v>
      </c>
      <c r="H22" s="852">
        <f>SUM(H9:H21)</f>
        <v>10391.18</v>
      </c>
      <c r="I22" s="852">
        <f>Q319</f>
        <v>12127.2243701067</v>
      </c>
      <c r="J22" s="852">
        <f>I22-H22</f>
        <v>1736.04437010666</v>
      </c>
      <c r="K22" s="852">
        <f>SUM(K9:K21)</f>
        <v>11410.74</v>
      </c>
      <c r="L22" s="852">
        <f>SUM(E394:J394)</f>
        <v>6248.60909749297</v>
      </c>
      <c r="M22" s="852">
        <f>SUM(K394:P394)</f>
        <v>9458.40310958755</v>
      </c>
      <c r="N22" s="852">
        <f>L22+M22</f>
        <v>15707.0122070805</v>
      </c>
      <c r="O22" s="852">
        <f>Q468</f>
        <v>16400.2035853187</v>
      </c>
      <c r="P22" s="852">
        <f t="shared" si="8"/>
        <v>17123.9873054058</v>
      </c>
      <c r="Q22" s="852">
        <f>Q616</f>
        <v>13052.8047610477</v>
      </c>
      <c r="R22" s="852">
        <f>Q690</f>
        <v>13336.0372206003</v>
      </c>
      <c r="S22" s="852">
        <f>Q764</f>
        <v>13591.8907847435</v>
      </c>
    </row>
    <row r="23" ht="15" hidden="1" spans="3:19">
      <c r="C23" s="285" t="s">
        <v>190</v>
      </c>
      <c r="D23" s="286"/>
      <c r="E23" s="852"/>
      <c r="F23" s="852"/>
      <c r="G23" s="852"/>
      <c r="H23" s="851"/>
      <c r="I23" s="851"/>
      <c r="J23" s="851"/>
      <c r="K23" s="851"/>
      <c r="L23" s="851"/>
      <c r="M23" s="851"/>
      <c r="N23" s="851"/>
      <c r="O23" s="851"/>
      <c r="P23" s="851"/>
      <c r="Q23" s="851"/>
      <c r="R23" s="851"/>
      <c r="S23" s="851"/>
    </row>
    <row r="24" hidden="1" spans="3:19">
      <c r="C24" s="296" t="s">
        <v>191</v>
      </c>
      <c r="D24" s="296" t="s">
        <v>192</v>
      </c>
      <c r="E24" s="850">
        <f>Q101</f>
        <v>0</v>
      </c>
      <c r="F24" s="851">
        <f>Q175</f>
        <v>0</v>
      </c>
      <c r="G24" s="851">
        <f>Q248</f>
        <v>0</v>
      </c>
      <c r="H24" s="851"/>
      <c r="I24" s="851">
        <f>Q321</f>
        <v>0</v>
      </c>
      <c r="J24" s="851"/>
      <c r="K24" s="851"/>
      <c r="L24" s="851">
        <f>E396+F396+G396+H396+I396+J396</f>
        <v>0</v>
      </c>
      <c r="M24" s="851">
        <f>K396+L396+M396+N396+O396+P396</f>
        <v>0</v>
      </c>
      <c r="N24" s="851">
        <f t="shared" ref="N24:N34" si="12">L24+M24</f>
        <v>0</v>
      </c>
      <c r="O24" s="851">
        <f>Q470</f>
        <v>0</v>
      </c>
      <c r="P24" s="851">
        <f>Q544</f>
        <v>0</v>
      </c>
      <c r="Q24" s="851">
        <f>Q618</f>
        <v>0</v>
      </c>
      <c r="R24" s="851">
        <f>Q692</f>
        <v>0</v>
      </c>
      <c r="S24" s="851">
        <f>Q766</f>
        <v>0</v>
      </c>
    </row>
    <row r="25" hidden="1" spans="3:19">
      <c r="C25" s="296" t="s">
        <v>193</v>
      </c>
      <c r="D25" s="296" t="s">
        <v>194</v>
      </c>
      <c r="E25" s="850">
        <f>Q102</f>
        <v>0</v>
      </c>
      <c r="F25" s="851">
        <f>Q176</f>
        <v>0</v>
      </c>
      <c r="G25" s="851">
        <f>Q249</f>
        <v>0</v>
      </c>
      <c r="H25" s="851"/>
      <c r="I25" s="851">
        <f>Q322</f>
        <v>0</v>
      </c>
      <c r="J25" s="851"/>
      <c r="K25" s="851"/>
      <c r="L25" s="851">
        <f>E397+F397+G397+H397+I397+J397</f>
        <v>0</v>
      </c>
      <c r="M25" s="851">
        <f>K397+L397+M397+N397+O397+P397</f>
        <v>0</v>
      </c>
      <c r="N25" s="851">
        <f t="shared" si="12"/>
        <v>0</v>
      </c>
      <c r="O25" s="851">
        <f>Q471</f>
        <v>0</v>
      </c>
      <c r="P25" s="851">
        <f>Q545</f>
        <v>0</v>
      </c>
      <c r="Q25" s="851">
        <f>Q619</f>
        <v>0</v>
      </c>
      <c r="R25" s="851">
        <f>Q693</f>
        <v>0</v>
      </c>
      <c r="S25" s="851">
        <f>Q767</f>
        <v>0</v>
      </c>
    </row>
    <row r="26" hidden="1" spans="3:19">
      <c r="C26" s="296" t="s">
        <v>239</v>
      </c>
      <c r="D26" s="296" t="s">
        <v>196</v>
      </c>
      <c r="E26" s="850">
        <f>Q103</f>
        <v>0</v>
      </c>
      <c r="F26" s="851">
        <f>Q177</f>
        <v>0</v>
      </c>
      <c r="G26" s="851">
        <f>Q250</f>
        <v>0</v>
      </c>
      <c r="H26" s="851"/>
      <c r="I26" s="851">
        <f>Q323</f>
        <v>0</v>
      </c>
      <c r="J26" s="851"/>
      <c r="K26" s="851"/>
      <c r="L26" s="851">
        <f>E398+F398+G398+H398+I398+J398</f>
        <v>0</v>
      </c>
      <c r="M26" s="851">
        <f>K398+L398+M398+N398+O398+P398</f>
        <v>0</v>
      </c>
      <c r="N26" s="851">
        <f t="shared" si="12"/>
        <v>0</v>
      </c>
      <c r="O26" s="851">
        <f>Q472</f>
        <v>0</v>
      </c>
      <c r="P26" s="851">
        <f>Q546</f>
        <v>0</v>
      </c>
      <c r="Q26" s="851">
        <f>Q620</f>
        <v>0</v>
      </c>
      <c r="R26" s="851">
        <f>Q694</f>
        <v>0</v>
      </c>
      <c r="S26" s="851">
        <f>Q768</f>
        <v>0</v>
      </c>
    </row>
    <row r="27" hidden="1" spans="3:19">
      <c r="C27" s="296" t="s">
        <v>197</v>
      </c>
      <c r="D27" s="296" t="s">
        <v>198</v>
      </c>
      <c r="E27" s="850">
        <f>Q104</f>
        <v>0</v>
      </c>
      <c r="F27" s="851">
        <f t="shared" ref="F27:F34" si="13">Q178</f>
        <v>0</v>
      </c>
      <c r="G27" s="851">
        <f>Q251</f>
        <v>0</v>
      </c>
      <c r="H27" s="851"/>
      <c r="I27" s="851">
        <f>Q324</f>
        <v>0</v>
      </c>
      <c r="J27" s="851"/>
      <c r="K27" s="851"/>
      <c r="L27" s="851">
        <f>E399+F399+G399+H399+I399+J399</f>
        <v>0</v>
      </c>
      <c r="M27" s="851">
        <f>K399+L399+M399+N399+O399+P399</f>
        <v>0</v>
      </c>
      <c r="N27" s="851">
        <f t="shared" si="12"/>
        <v>0</v>
      </c>
      <c r="O27" s="851">
        <f>Q473</f>
        <v>0</v>
      </c>
      <c r="P27" s="851">
        <f>Q547</f>
        <v>0</v>
      </c>
      <c r="Q27" s="851">
        <f>Q621</f>
        <v>0</v>
      </c>
      <c r="R27" s="851">
        <f>Q695</f>
        <v>0</v>
      </c>
      <c r="S27" s="851">
        <f>Q769</f>
        <v>0</v>
      </c>
    </row>
    <row r="28" hidden="1" spans="3:19">
      <c r="C28" s="296" t="s">
        <v>199</v>
      </c>
      <c r="D28" s="296" t="s">
        <v>200</v>
      </c>
      <c r="E28" s="850">
        <f t="shared" ref="E28:E34" si="14">Q105</f>
        <v>0</v>
      </c>
      <c r="F28" s="851">
        <f t="shared" si="13"/>
        <v>0</v>
      </c>
      <c r="G28" s="851">
        <f t="shared" ref="G28:G34" si="15">Q252</f>
        <v>0</v>
      </c>
      <c r="H28" s="851"/>
      <c r="I28" s="851">
        <f t="shared" ref="I28:I34" si="16">Q325</f>
        <v>0</v>
      </c>
      <c r="J28" s="851"/>
      <c r="K28" s="851"/>
      <c r="L28" s="851">
        <f t="shared" ref="L28:L34" si="17">E400+F400+G400+H400+I400+J400</f>
        <v>0</v>
      </c>
      <c r="M28" s="851">
        <f t="shared" ref="M28:M34" si="18">K400+L400+M400+N400+O400+P400</f>
        <v>0</v>
      </c>
      <c r="N28" s="851">
        <f t="shared" si="12"/>
        <v>0</v>
      </c>
      <c r="O28" s="851">
        <f t="shared" ref="O28:O34" si="19">Q474</f>
        <v>0</v>
      </c>
      <c r="P28" s="851">
        <f t="shared" ref="P28:P34" si="20">Q548</f>
        <v>0</v>
      </c>
      <c r="Q28" s="851">
        <f t="shared" ref="Q28:Q34" si="21">Q622</f>
        <v>0</v>
      </c>
      <c r="R28" s="851">
        <f t="shared" ref="R28:R34" si="22">Q696</f>
        <v>0</v>
      </c>
      <c r="S28" s="851">
        <f t="shared" ref="S28:S34" si="23">Q770</f>
        <v>0</v>
      </c>
    </row>
    <row r="29" hidden="1" spans="3:19">
      <c r="C29" s="296" t="s">
        <v>201</v>
      </c>
      <c r="D29" s="296" t="s">
        <v>202</v>
      </c>
      <c r="E29" s="850">
        <f t="shared" si="14"/>
        <v>0</v>
      </c>
      <c r="F29" s="851">
        <f t="shared" si="13"/>
        <v>0</v>
      </c>
      <c r="G29" s="851">
        <f t="shared" si="15"/>
        <v>0</v>
      </c>
      <c r="H29" s="851"/>
      <c r="I29" s="851">
        <f t="shared" si="16"/>
        <v>0</v>
      </c>
      <c r="J29" s="851"/>
      <c r="K29" s="851"/>
      <c r="L29" s="851">
        <f t="shared" si="17"/>
        <v>0</v>
      </c>
      <c r="M29" s="851">
        <f t="shared" si="18"/>
        <v>0</v>
      </c>
      <c r="N29" s="851">
        <f t="shared" si="12"/>
        <v>0</v>
      </c>
      <c r="O29" s="851">
        <f t="shared" si="19"/>
        <v>0</v>
      </c>
      <c r="P29" s="851">
        <f t="shared" si="20"/>
        <v>0</v>
      </c>
      <c r="Q29" s="851">
        <f t="shared" si="21"/>
        <v>0</v>
      </c>
      <c r="R29" s="851">
        <f t="shared" si="22"/>
        <v>0</v>
      </c>
      <c r="S29" s="851">
        <f t="shared" si="23"/>
        <v>0</v>
      </c>
    </row>
    <row r="30" hidden="1" spans="3:19">
      <c r="C30" s="296" t="s">
        <v>203</v>
      </c>
      <c r="D30" s="296" t="s">
        <v>204</v>
      </c>
      <c r="E30" s="850">
        <f t="shared" si="14"/>
        <v>0</v>
      </c>
      <c r="F30" s="851">
        <f t="shared" si="13"/>
        <v>0</v>
      </c>
      <c r="G30" s="851">
        <f t="shared" si="15"/>
        <v>0</v>
      </c>
      <c r="H30" s="851"/>
      <c r="I30" s="851">
        <f t="shared" si="16"/>
        <v>0</v>
      </c>
      <c r="J30" s="851"/>
      <c r="K30" s="851"/>
      <c r="L30" s="851">
        <f t="shared" si="17"/>
        <v>0</v>
      </c>
      <c r="M30" s="851">
        <f t="shared" si="18"/>
        <v>0</v>
      </c>
      <c r="N30" s="851">
        <f t="shared" si="12"/>
        <v>0</v>
      </c>
      <c r="O30" s="851">
        <f t="shared" si="19"/>
        <v>0</v>
      </c>
      <c r="P30" s="851">
        <f t="shared" si="20"/>
        <v>0</v>
      </c>
      <c r="Q30" s="851">
        <f t="shared" si="21"/>
        <v>0</v>
      </c>
      <c r="R30" s="851">
        <f t="shared" si="22"/>
        <v>0</v>
      </c>
      <c r="S30" s="851">
        <f t="shared" si="23"/>
        <v>0</v>
      </c>
    </row>
    <row r="31" hidden="1" spans="3:19">
      <c r="C31" s="296" t="s">
        <v>205</v>
      </c>
      <c r="D31" s="296" t="s">
        <v>206</v>
      </c>
      <c r="E31" s="850">
        <f t="shared" si="14"/>
        <v>0</v>
      </c>
      <c r="F31" s="851">
        <f t="shared" si="13"/>
        <v>0</v>
      </c>
      <c r="G31" s="851">
        <f t="shared" si="15"/>
        <v>0</v>
      </c>
      <c r="H31" s="851"/>
      <c r="I31" s="851">
        <f t="shared" si="16"/>
        <v>0</v>
      </c>
      <c r="J31" s="851"/>
      <c r="K31" s="851"/>
      <c r="L31" s="851">
        <f t="shared" si="17"/>
        <v>0</v>
      </c>
      <c r="M31" s="851">
        <f t="shared" si="18"/>
        <v>0</v>
      </c>
      <c r="N31" s="851">
        <f t="shared" si="12"/>
        <v>0</v>
      </c>
      <c r="O31" s="851">
        <f t="shared" si="19"/>
        <v>0</v>
      </c>
      <c r="P31" s="851">
        <f t="shared" si="20"/>
        <v>0</v>
      </c>
      <c r="Q31" s="851">
        <f t="shared" si="21"/>
        <v>0</v>
      </c>
      <c r="R31" s="851">
        <f t="shared" si="22"/>
        <v>0</v>
      </c>
      <c r="S31" s="851">
        <f t="shared" si="23"/>
        <v>0</v>
      </c>
    </row>
    <row r="32" hidden="1" spans="3:19">
      <c r="C32" s="296" t="s">
        <v>207</v>
      </c>
      <c r="D32" s="296" t="s">
        <v>186</v>
      </c>
      <c r="E32" s="850">
        <f t="shared" si="14"/>
        <v>0</v>
      </c>
      <c r="F32" s="851">
        <f t="shared" si="13"/>
        <v>0</v>
      </c>
      <c r="G32" s="851">
        <f t="shared" si="15"/>
        <v>0</v>
      </c>
      <c r="H32" s="851"/>
      <c r="I32" s="851">
        <f t="shared" si="16"/>
        <v>0</v>
      </c>
      <c r="J32" s="851"/>
      <c r="K32" s="851"/>
      <c r="L32" s="851">
        <f t="shared" si="17"/>
        <v>0</v>
      </c>
      <c r="M32" s="851">
        <f t="shared" si="18"/>
        <v>0</v>
      </c>
      <c r="N32" s="851">
        <f t="shared" si="12"/>
        <v>0</v>
      </c>
      <c r="O32" s="851">
        <f t="shared" si="19"/>
        <v>0</v>
      </c>
      <c r="P32" s="851">
        <f t="shared" si="20"/>
        <v>0</v>
      </c>
      <c r="Q32" s="851">
        <f t="shared" si="21"/>
        <v>0</v>
      </c>
      <c r="R32" s="851">
        <f t="shared" si="22"/>
        <v>0</v>
      </c>
      <c r="S32" s="851">
        <f t="shared" si="23"/>
        <v>0</v>
      </c>
    </row>
    <row r="33" hidden="1" spans="3:19">
      <c r="C33" s="296" t="s">
        <v>208</v>
      </c>
      <c r="D33" s="296" t="s">
        <v>209</v>
      </c>
      <c r="E33" s="850">
        <f t="shared" si="14"/>
        <v>0</v>
      </c>
      <c r="F33" s="851">
        <f t="shared" si="13"/>
        <v>0</v>
      </c>
      <c r="G33" s="851">
        <f t="shared" si="15"/>
        <v>0</v>
      </c>
      <c r="H33" s="851"/>
      <c r="I33" s="851">
        <f t="shared" si="16"/>
        <v>0</v>
      </c>
      <c r="J33" s="851"/>
      <c r="K33" s="851"/>
      <c r="L33" s="851">
        <f t="shared" si="17"/>
        <v>0</v>
      </c>
      <c r="M33" s="851">
        <f t="shared" si="18"/>
        <v>0</v>
      </c>
      <c r="N33" s="851">
        <f t="shared" si="12"/>
        <v>0</v>
      </c>
      <c r="O33" s="851">
        <f t="shared" si="19"/>
        <v>0</v>
      </c>
      <c r="P33" s="851">
        <f t="shared" si="20"/>
        <v>0</v>
      </c>
      <c r="Q33" s="851">
        <f t="shared" si="21"/>
        <v>0</v>
      </c>
      <c r="R33" s="851">
        <f t="shared" si="22"/>
        <v>0</v>
      </c>
      <c r="S33" s="851">
        <f t="shared" si="23"/>
        <v>0</v>
      </c>
    </row>
    <row r="34" hidden="1" spans="3:19">
      <c r="C34" s="296" t="s">
        <v>210</v>
      </c>
      <c r="D34" s="296" t="s">
        <v>188</v>
      </c>
      <c r="E34" s="850">
        <f t="shared" si="14"/>
        <v>0</v>
      </c>
      <c r="F34" s="851">
        <f t="shared" si="13"/>
        <v>0</v>
      </c>
      <c r="G34" s="851">
        <f t="shared" si="15"/>
        <v>0</v>
      </c>
      <c r="H34" s="851"/>
      <c r="I34" s="851">
        <f t="shared" si="16"/>
        <v>0</v>
      </c>
      <c r="J34" s="851"/>
      <c r="K34" s="851"/>
      <c r="L34" s="851">
        <f t="shared" si="17"/>
        <v>0</v>
      </c>
      <c r="M34" s="851">
        <f t="shared" si="18"/>
        <v>0</v>
      </c>
      <c r="N34" s="851">
        <f t="shared" si="12"/>
        <v>0</v>
      </c>
      <c r="O34" s="851">
        <f t="shared" si="19"/>
        <v>0</v>
      </c>
      <c r="P34" s="851">
        <f t="shared" si="20"/>
        <v>0</v>
      </c>
      <c r="Q34" s="851">
        <f t="shared" si="21"/>
        <v>0</v>
      </c>
      <c r="R34" s="851">
        <f t="shared" si="22"/>
        <v>0</v>
      </c>
      <c r="S34" s="851">
        <f t="shared" si="23"/>
        <v>0</v>
      </c>
    </row>
    <row r="35" ht="15" hidden="1" spans="3:19">
      <c r="C35" s="296"/>
      <c r="D35" s="296"/>
      <c r="E35" s="852"/>
      <c r="F35" s="851"/>
      <c r="G35" s="851"/>
      <c r="H35" s="851"/>
      <c r="I35" s="851"/>
      <c r="J35" s="851"/>
      <c r="K35" s="851"/>
      <c r="L35" s="851"/>
      <c r="M35" s="851"/>
      <c r="N35" s="851"/>
      <c r="O35" s="851"/>
      <c r="P35" s="851"/>
      <c r="Q35" s="851"/>
      <c r="R35" s="851"/>
      <c r="S35" s="851"/>
    </row>
    <row r="36" ht="15" hidden="1" spans="3:19">
      <c r="C36" s="296"/>
      <c r="D36" s="296"/>
      <c r="E36" s="852"/>
      <c r="F36" s="851"/>
      <c r="G36" s="851"/>
      <c r="H36" s="851"/>
      <c r="I36" s="851"/>
      <c r="J36" s="851"/>
      <c r="K36" s="851"/>
      <c r="L36" s="851"/>
      <c r="M36" s="851"/>
      <c r="N36" s="851"/>
      <c r="O36" s="851"/>
      <c r="P36" s="851"/>
      <c r="Q36" s="851"/>
      <c r="R36" s="851"/>
      <c r="S36" s="851"/>
    </row>
    <row r="37" ht="15" hidden="1" spans="3:19">
      <c r="C37" s="296"/>
      <c r="D37" s="296"/>
      <c r="E37" s="852"/>
      <c r="F37" s="851"/>
      <c r="G37" s="851"/>
      <c r="H37" s="851"/>
      <c r="I37" s="851"/>
      <c r="J37" s="851"/>
      <c r="K37" s="851"/>
      <c r="L37" s="851"/>
      <c r="M37" s="851"/>
      <c r="N37" s="851"/>
      <c r="O37" s="851"/>
      <c r="P37" s="851"/>
      <c r="Q37" s="851"/>
      <c r="R37" s="851"/>
      <c r="S37" s="851"/>
    </row>
    <row r="38" ht="15" hidden="1" spans="3:19">
      <c r="C38" s="296"/>
      <c r="D38" s="296"/>
      <c r="E38" s="852"/>
      <c r="F38" s="851"/>
      <c r="G38" s="851"/>
      <c r="H38" s="851"/>
      <c r="I38" s="851"/>
      <c r="J38" s="851"/>
      <c r="K38" s="851"/>
      <c r="L38" s="851"/>
      <c r="M38" s="851"/>
      <c r="N38" s="851"/>
      <c r="O38" s="851"/>
      <c r="P38" s="851"/>
      <c r="Q38" s="851"/>
      <c r="R38" s="851"/>
      <c r="S38" s="851"/>
    </row>
    <row r="39" ht="15" hidden="1" spans="3:19">
      <c r="C39" s="285" t="s">
        <v>211</v>
      </c>
      <c r="D39" s="286"/>
      <c r="E39" s="852">
        <f>Q116</f>
        <v>0</v>
      </c>
      <c r="F39" s="852">
        <f>Q190</f>
        <v>0</v>
      </c>
      <c r="G39" s="852">
        <f>Q263</f>
        <v>0</v>
      </c>
      <c r="H39" s="852">
        <f>SUM(H24:H38)</f>
        <v>0</v>
      </c>
      <c r="I39" s="852">
        <f>Q336</f>
        <v>0</v>
      </c>
      <c r="J39" s="852">
        <f>I39-H39</f>
        <v>0</v>
      </c>
      <c r="K39" s="852">
        <f>SUM(K24:K38)</f>
        <v>0</v>
      </c>
      <c r="L39" s="852">
        <f>SUM(E411:J411)</f>
        <v>0</v>
      </c>
      <c r="M39" s="852">
        <f>SUM(K411:P411)</f>
        <v>0</v>
      </c>
      <c r="N39" s="852">
        <f>L39+M39</f>
        <v>0</v>
      </c>
      <c r="O39" s="852">
        <f>Q485</f>
        <v>0</v>
      </c>
      <c r="P39" s="852">
        <f>Q559</f>
        <v>0</v>
      </c>
      <c r="Q39" s="852">
        <f>Q633</f>
        <v>0</v>
      </c>
      <c r="R39" s="852">
        <f>Q707</f>
        <v>0</v>
      </c>
      <c r="S39" s="852">
        <f>Q781</f>
        <v>0</v>
      </c>
    </row>
    <row r="40" ht="15" hidden="1" spans="3:19">
      <c r="C40" s="285" t="s">
        <v>212</v>
      </c>
      <c r="D40" s="286"/>
      <c r="E40" s="852"/>
      <c r="F40" s="852"/>
      <c r="G40" s="852"/>
      <c r="H40" s="851"/>
      <c r="I40" s="851"/>
      <c r="J40" s="851"/>
      <c r="K40" s="851"/>
      <c r="L40" s="851"/>
      <c r="M40" s="851"/>
      <c r="N40" s="851"/>
      <c r="O40" s="851"/>
      <c r="P40" s="851"/>
      <c r="Q40" s="851"/>
      <c r="R40" s="851"/>
      <c r="S40" s="851"/>
    </row>
    <row r="41" hidden="1" spans="3:19">
      <c r="C41" s="296" t="s">
        <v>191</v>
      </c>
      <c r="D41" s="296" t="s">
        <v>192</v>
      </c>
      <c r="E41" s="850">
        <f t="shared" ref="E41:E47" si="24">Q118</f>
        <v>0</v>
      </c>
      <c r="F41" s="851">
        <f t="shared" ref="F41:F47" si="25">Q192</f>
        <v>0</v>
      </c>
      <c r="G41" s="851">
        <f t="shared" ref="G41:G47" si="26">Q265</f>
        <v>0</v>
      </c>
      <c r="H41" s="851"/>
      <c r="I41" s="851">
        <f t="shared" ref="I41:I47" si="27">Q338</f>
        <v>0</v>
      </c>
      <c r="J41" s="851"/>
      <c r="K41" s="851"/>
      <c r="L41" s="851">
        <f t="shared" ref="L41:L47" si="28">E413+F413+G413+H413+I413+J413</f>
        <v>0</v>
      </c>
      <c r="M41" s="851">
        <f t="shared" ref="M41:M47" si="29">K413+L413+M413+N413+O413+P413</f>
        <v>0</v>
      </c>
      <c r="N41" s="851">
        <f t="shared" ref="N41:N52" si="30">L41+M41</f>
        <v>0</v>
      </c>
      <c r="O41" s="851">
        <f t="shared" ref="O41:O47" si="31">Q487</f>
        <v>0</v>
      </c>
      <c r="P41" s="851">
        <f t="shared" ref="P41:P47" si="32">Q561</f>
        <v>0</v>
      </c>
      <c r="Q41" s="851">
        <f t="shared" ref="Q41:Q47" si="33">Q635</f>
        <v>0</v>
      </c>
      <c r="R41" s="851">
        <f t="shared" ref="R41:R47" si="34">Q709</f>
        <v>0</v>
      </c>
      <c r="S41" s="851">
        <f t="shared" ref="S41:S47" si="35">Q783</f>
        <v>0</v>
      </c>
    </row>
    <row r="42" hidden="1" spans="3:19">
      <c r="C42" s="296" t="s">
        <v>193</v>
      </c>
      <c r="D42" s="296" t="s">
        <v>194</v>
      </c>
      <c r="E42" s="850">
        <f t="shared" si="24"/>
        <v>0</v>
      </c>
      <c r="F42" s="851">
        <f t="shared" si="25"/>
        <v>0</v>
      </c>
      <c r="G42" s="851">
        <f t="shared" si="26"/>
        <v>0</v>
      </c>
      <c r="H42" s="851"/>
      <c r="I42" s="851">
        <f t="shared" si="27"/>
        <v>0</v>
      </c>
      <c r="J42" s="851"/>
      <c r="K42" s="851"/>
      <c r="L42" s="851">
        <f t="shared" si="28"/>
        <v>0</v>
      </c>
      <c r="M42" s="851">
        <f t="shared" si="29"/>
        <v>0</v>
      </c>
      <c r="N42" s="851">
        <f t="shared" si="30"/>
        <v>0</v>
      </c>
      <c r="O42" s="851">
        <f t="shared" si="31"/>
        <v>0</v>
      </c>
      <c r="P42" s="851">
        <f t="shared" si="32"/>
        <v>0</v>
      </c>
      <c r="Q42" s="851">
        <f t="shared" si="33"/>
        <v>0</v>
      </c>
      <c r="R42" s="851">
        <f t="shared" si="34"/>
        <v>0</v>
      </c>
      <c r="S42" s="851">
        <f t="shared" si="35"/>
        <v>0</v>
      </c>
    </row>
    <row r="43" hidden="1" spans="3:19">
      <c r="C43" s="296" t="s">
        <v>239</v>
      </c>
      <c r="D43" s="296" t="s">
        <v>196</v>
      </c>
      <c r="E43" s="850">
        <f t="shared" si="24"/>
        <v>0</v>
      </c>
      <c r="F43" s="851">
        <f t="shared" si="25"/>
        <v>0</v>
      </c>
      <c r="G43" s="851">
        <f t="shared" si="26"/>
        <v>0</v>
      </c>
      <c r="H43" s="851"/>
      <c r="I43" s="851">
        <f t="shared" si="27"/>
        <v>0</v>
      </c>
      <c r="J43" s="851"/>
      <c r="K43" s="851"/>
      <c r="L43" s="851">
        <f t="shared" si="28"/>
        <v>0</v>
      </c>
      <c r="M43" s="851">
        <f t="shared" si="29"/>
        <v>0</v>
      </c>
      <c r="N43" s="851">
        <f t="shared" si="30"/>
        <v>0</v>
      </c>
      <c r="O43" s="851">
        <f t="shared" si="31"/>
        <v>0</v>
      </c>
      <c r="P43" s="851">
        <f t="shared" si="32"/>
        <v>0</v>
      </c>
      <c r="Q43" s="851">
        <f t="shared" si="33"/>
        <v>0</v>
      </c>
      <c r="R43" s="851">
        <f t="shared" si="34"/>
        <v>0</v>
      </c>
      <c r="S43" s="851">
        <f t="shared" si="35"/>
        <v>0</v>
      </c>
    </row>
    <row r="44" hidden="1" spans="3:19">
      <c r="C44" s="296" t="s">
        <v>197</v>
      </c>
      <c r="D44" s="296" t="s">
        <v>198</v>
      </c>
      <c r="E44" s="850">
        <f t="shared" si="24"/>
        <v>0</v>
      </c>
      <c r="F44" s="851">
        <f t="shared" si="25"/>
        <v>0</v>
      </c>
      <c r="G44" s="851">
        <f t="shared" si="26"/>
        <v>0</v>
      </c>
      <c r="H44" s="851"/>
      <c r="I44" s="851">
        <f t="shared" si="27"/>
        <v>0</v>
      </c>
      <c r="J44" s="851"/>
      <c r="K44" s="851"/>
      <c r="L44" s="851">
        <f t="shared" si="28"/>
        <v>0</v>
      </c>
      <c r="M44" s="851">
        <f t="shared" si="29"/>
        <v>0</v>
      </c>
      <c r="N44" s="851">
        <f t="shared" si="30"/>
        <v>0</v>
      </c>
      <c r="O44" s="851">
        <f t="shared" si="31"/>
        <v>0</v>
      </c>
      <c r="P44" s="851">
        <f t="shared" si="32"/>
        <v>0</v>
      </c>
      <c r="Q44" s="851">
        <f t="shared" si="33"/>
        <v>0</v>
      </c>
      <c r="R44" s="851">
        <f t="shared" si="34"/>
        <v>0</v>
      </c>
      <c r="S44" s="851">
        <f t="shared" si="35"/>
        <v>0</v>
      </c>
    </row>
    <row r="45" hidden="1" spans="3:19">
      <c r="C45" s="296" t="s">
        <v>199</v>
      </c>
      <c r="D45" s="296" t="s">
        <v>200</v>
      </c>
      <c r="E45" s="850">
        <f t="shared" si="24"/>
        <v>0</v>
      </c>
      <c r="F45" s="851">
        <f t="shared" si="25"/>
        <v>0</v>
      </c>
      <c r="G45" s="851">
        <f t="shared" si="26"/>
        <v>0</v>
      </c>
      <c r="H45" s="851"/>
      <c r="I45" s="851">
        <f t="shared" si="27"/>
        <v>0</v>
      </c>
      <c r="J45" s="851"/>
      <c r="K45" s="851"/>
      <c r="L45" s="851">
        <f t="shared" si="28"/>
        <v>0</v>
      </c>
      <c r="M45" s="851">
        <f t="shared" si="29"/>
        <v>0</v>
      </c>
      <c r="N45" s="851">
        <f t="shared" si="30"/>
        <v>0</v>
      </c>
      <c r="O45" s="851">
        <f t="shared" si="31"/>
        <v>0</v>
      </c>
      <c r="P45" s="851">
        <f t="shared" si="32"/>
        <v>0</v>
      </c>
      <c r="Q45" s="851">
        <f t="shared" si="33"/>
        <v>0</v>
      </c>
      <c r="R45" s="851">
        <f t="shared" si="34"/>
        <v>0</v>
      </c>
      <c r="S45" s="851">
        <f t="shared" si="35"/>
        <v>0</v>
      </c>
    </row>
    <row r="46" hidden="1" spans="3:19">
      <c r="C46" s="296" t="s">
        <v>201</v>
      </c>
      <c r="D46" s="296" t="s">
        <v>202</v>
      </c>
      <c r="E46" s="850">
        <f t="shared" si="24"/>
        <v>0</v>
      </c>
      <c r="F46" s="851">
        <f t="shared" si="25"/>
        <v>0</v>
      </c>
      <c r="G46" s="851">
        <f t="shared" si="26"/>
        <v>0</v>
      </c>
      <c r="H46" s="851"/>
      <c r="I46" s="851">
        <f t="shared" si="27"/>
        <v>0</v>
      </c>
      <c r="J46" s="851"/>
      <c r="K46" s="851"/>
      <c r="L46" s="851">
        <f t="shared" si="28"/>
        <v>0</v>
      </c>
      <c r="M46" s="851">
        <f t="shared" si="29"/>
        <v>0</v>
      </c>
      <c r="N46" s="851">
        <f t="shared" si="30"/>
        <v>0</v>
      </c>
      <c r="O46" s="851">
        <f t="shared" si="31"/>
        <v>0</v>
      </c>
      <c r="P46" s="851">
        <f t="shared" si="32"/>
        <v>0</v>
      </c>
      <c r="Q46" s="851">
        <f t="shared" si="33"/>
        <v>0</v>
      </c>
      <c r="R46" s="851">
        <f t="shared" si="34"/>
        <v>0</v>
      </c>
      <c r="S46" s="851">
        <f t="shared" si="35"/>
        <v>0</v>
      </c>
    </row>
    <row r="47" hidden="1" spans="3:19">
      <c r="C47" s="296" t="s">
        <v>203</v>
      </c>
      <c r="D47" s="296" t="s">
        <v>204</v>
      </c>
      <c r="E47" s="850">
        <f t="shared" si="24"/>
        <v>0</v>
      </c>
      <c r="F47" s="851">
        <f t="shared" si="25"/>
        <v>0</v>
      </c>
      <c r="G47" s="851">
        <f t="shared" si="26"/>
        <v>0</v>
      </c>
      <c r="H47" s="851"/>
      <c r="I47" s="851">
        <f t="shared" si="27"/>
        <v>0</v>
      </c>
      <c r="J47" s="851"/>
      <c r="K47" s="851"/>
      <c r="L47" s="851">
        <f t="shared" si="28"/>
        <v>0</v>
      </c>
      <c r="M47" s="851">
        <f t="shared" si="29"/>
        <v>0</v>
      </c>
      <c r="N47" s="851">
        <f t="shared" si="30"/>
        <v>0</v>
      </c>
      <c r="O47" s="851">
        <f t="shared" si="31"/>
        <v>0</v>
      </c>
      <c r="P47" s="851">
        <f t="shared" si="32"/>
        <v>0</v>
      </c>
      <c r="Q47" s="851">
        <f t="shared" si="33"/>
        <v>0</v>
      </c>
      <c r="R47" s="851">
        <f t="shared" si="34"/>
        <v>0</v>
      </c>
      <c r="S47" s="851">
        <f t="shared" si="35"/>
        <v>0</v>
      </c>
    </row>
    <row r="48" hidden="1" spans="3:19">
      <c r="C48" s="296" t="s">
        <v>269</v>
      </c>
      <c r="D48" s="296" t="s">
        <v>229</v>
      </c>
      <c r="E48" s="850">
        <v>0</v>
      </c>
      <c r="F48" s="851">
        <v>0</v>
      </c>
      <c r="G48" s="851">
        <v>0</v>
      </c>
      <c r="H48" s="851"/>
      <c r="I48" s="851">
        <v>0</v>
      </c>
      <c r="J48" s="851"/>
      <c r="K48" s="851"/>
      <c r="L48" s="851">
        <v>0</v>
      </c>
      <c r="M48" s="851">
        <v>0</v>
      </c>
      <c r="N48" s="851">
        <v>0</v>
      </c>
      <c r="O48" s="851">
        <v>0</v>
      </c>
      <c r="P48" s="851">
        <v>0</v>
      </c>
      <c r="Q48" s="851">
        <v>0</v>
      </c>
      <c r="R48" s="851">
        <v>0</v>
      </c>
      <c r="S48" s="851">
        <v>0</v>
      </c>
    </row>
    <row r="49" hidden="1" spans="3:19">
      <c r="C49" s="296" t="s">
        <v>205</v>
      </c>
      <c r="D49" s="296" t="s">
        <v>206</v>
      </c>
      <c r="E49" s="850">
        <f t="shared" ref="E49:E52" si="36">Q125</f>
        <v>0</v>
      </c>
      <c r="F49" s="851">
        <f t="shared" ref="F49:F52" si="37">Q199</f>
        <v>0</v>
      </c>
      <c r="G49" s="851">
        <f t="shared" ref="G49:G52" si="38">Q272</f>
        <v>0</v>
      </c>
      <c r="H49" s="851"/>
      <c r="I49" s="851">
        <f t="shared" ref="I49:I52" si="39">Q345</f>
        <v>0</v>
      </c>
      <c r="J49" s="851"/>
      <c r="K49" s="851"/>
      <c r="L49" s="851">
        <f t="shared" ref="L49:L52" si="40">E420+F420+G420+H420+I420+J420</f>
        <v>0</v>
      </c>
      <c r="M49" s="851">
        <f t="shared" ref="M49:M52" si="41">K420+L420+M420+N420+O420+P420</f>
        <v>0</v>
      </c>
      <c r="N49" s="851">
        <f t="shared" si="30"/>
        <v>0</v>
      </c>
      <c r="O49" s="851">
        <f t="shared" ref="O49:O52" si="42">Q494</f>
        <v>0</v>
      </c>
      <c r="P49" s="851">
        <f t="shared" ref="P49:P52" si="43">Q568</f>
        <v>0</v>
      </c>
      <c r="Q49" s="851">
        <f t="shared" ref="Q49:Q52" si="44">Q642</f>
        <v>0</v>
      </c>
      <c r="R49" s="851">
        <f t="shared" ref="R49:R52" si="45">Q716</f>
        <v>0</v>
      </c>
      <c r="S49" s="851">
        <f t="shared" ref="S49:S52" si="46">Q790</f>
        <v>0</v>
      </c>
    </row>
    <row r="50" hidden="1" spans="3:19">
      <c r="C50" s="296" t="s">
        <v>231</v>
      </c>
      <c r="D50" s="296" t="s">
        <v>186</v>
      </c>
      <c r="E50" s="850">
        <f t="shared" si="36"/>
        <v>0</v>
      </c>
      <c r="F50" s="851">
        <f t="shared" si="37"/>
        <v>0</v>
      </c>
      <c r="G50" s="851">
        <f t="shared" si="38"/>
        <v>0</v>
      </c>
      <c r="H50" s="851"/>
      <c r="I50" s="851">
        <f t="shared" si="39"/>
        <v>0</v>
      </c>
      <c r="J50" s="851"/>
      <c r="K50" s="851"/>
      <c r="L50" s="851">
        <f t="shared" si="40"/>
        <v>0</v>
      </c>
      <c r="M50" s="851">
        <f t="shared" si="41"/>
        <v>0</v>
      </c>
      <c r="N50" s="851">
        <f t="shared" si="30"/>
        <v>0</v>
      </c>
      <c r="O50" s="851">
        <f t="shared" si="42"/>
        <v>0</v>
      </c>
      <c r="P50" s="851">
        <f t="shared" si="43"/>
        <v>0</v>
      </c>
      <c r="Q50" s="851">
        <f t="shared" si="44"/>
        <v>0</v>
      </c>
      <c r="R50" s="851">
        <f t="shared" si="45"/>
        <v>0</v>
      </c>
      <c r="S50" s="851">
        <f t="shared" si="46"/>
        <v>0</v>
      </c>
    </row>
    <row r="51" hidden="1" spans="3:19">
      <c r="C51" s="296" t="s">
        <v>208</v>
      </c>
      <c r="D51" s="296" t="s">
        <v>209</v>
      </c>
      <c r="E51" s="850">
        <f t="shared" si="36"/>
        <v>0</v>
      </c>
      <c r="F51" s="851">
        <f t="shared" si="37"/>
        <v>0</v>
      </c>
      <c r="G51" s="851">
        <f t="shared" si="38"/>
        <v>0</v>
      </c>
      <c r="H51" s="851"/>
      <c r="I51" s="851">
        <f t="shared" si="39"/>
        <v>0</v>
      </c>
      <c r="J51" s="851"/>
      <c r="K51" s="851"/>
      <c r="L51" s="851">
        <f t="shared" si="40"/>
        <v>0</v>
      </c>
      <c r="M51" s="851">
        <f t="shared" si="41"/>
        <v>0</v>
      </c>
      <c r="N51" s="851">
        <f t="shared" si="30"/>
        <v>0</v>
      </c>
      <c r="O51" s="851">
        <f t="shared" si="42"/>
        <v>0</v>
      </c>
      <c r="P51" s="851">
        <f t="shared" si="43"/>
        <v>0</v>
      </c>
      <c r="Q51" s="851">
        <f t="shared" si="44"/>
        <v>0</v>
      </c>
      <c r="R51" s="851">
        <f t="shared" si="45"/>
        <v>0</v>
      </c>
      <c r="S51" s="851">
        <f t="shared" si="46"/>
        <v>0</v>
      </c>
    </row>
    <row r="52" hidden="1" spans="3:19">
      <c r="C52" s="296" t="s">
        <v>210</v>
      </c>
      <c r="D52" s="296" t="s">
        <v>188</v>
      </c>
      <c r="E52" s="850">
        <f t="shared" si="36"/>
        <v>0</v>
      </c>
      <c r="F52" s="851">
        <f t="shared" si="37"/>
        <v>0</v>
      </c>
      <c r="G52" s="851">
        <f t="shared" si="38"/>
        <v>0</v>
      </c>
      <c r="H52" s="851"/>
      <c r="I52" s="851">
        <f t="shared" si="39"/>
        <v>0</v>
      </c>
      <c r="J52" s="851"/>
      <c r="K52" s="851"/>
      <c r="L52" s="851">
        <f t="shared" si="40"/>
        <v>0</v>
      </c>
      <c r="M52" s="851">
        <f t="shared" si="41"/>
        <v>0</v>
      </c>
      <c r="N52" s="851">
        <f t="shared" si="30"/>
        <v>0</v>
      </c>
      <c r="O52" s="851">
        <f t="shared" si="42"/>
        <v>0</v>
      </c>
      <c r="P52" s="851">
        <f t="shared" si="43"/>
        <v>0</v>
      </c>
      <c r="Q52" s="851">
        <f t="shared" si="44"/>
        <v>0</v>
      </c>
      <c r="R52" s="851">
        <f t="shared" si="45"/>
        <v>0</v>
      </c>
      <c r="S52" s="851">
        <f t="shared" si="46"/>
        <v>0</v>
      </c>
    </row>
    <row r="53" ht="15" hidden="1" spans="3:19">
      <c r="C53" s="296"/>
      <c r="D53" s="296"/>
      <c r="E53" s="852"/>
      <c r="F53" s="851"/>
      <c r="G53" s="851"/>
      <c r="H53" s="851"/>
      <c r="I53" s="851"/>
      <c r="J53" s="851"/>
      <c r="K53" s="851"/>
      <c r="L53" s="851"/>
      <c r="M53" s="851"/>
      <c r="N53" s="851"/>
      <c r="O53" s="851"/>
      <c r="P53" s="851"/>
      <c r="Q53" s="851"/>
      <c r="R53" s="851"/>
      <c r="S53" s="851"/>
    </row>
    <row r="54" ht="15" hidden="1" spans="3:19">
      <c r="C54" s="296"/>
      <c r="D54" s="296"/>
      <c r="E54" s="852"/>
      <c r="F54" s="851"/>
      <c r="G54" s="851"/>
      <c r="H54" s="851"/>
      <c r="I54" s="851"/>
      <c r="J54" s="851"/>
      <c r="K54" s="851"/>
      <c r="L54" s="851"/>
      <c r="M54" s="851"/>
      <c r="N54" s="851"/>
      <c r="O54" s="851"/>
      <c r="P54" s="851"/>
      <c r="Q54" s="851"/>
      <c r="R54" s="851"/>
      <c r="S54" s="851"/>
    </row>
    <row r="55" ht="15" hidden="1" spans="3:19">
      <c r="C55" s="296"/>
      <c r="D55" s="296"/>
      <c r="E55" s="852"/>
      <c r="F55" s="851"/>
      <c r="G55" s="851"/>
      <c r="H55" s="851"/>
      <c r="I55" s="851"/>
      <c r="J55" s="851"/>
      <c r="K55" s="851"/>
      <c r="L55" s="851"/>
      <c r="M55" s="851"/>
      <c r="N55" s="851"/>
      <c r="O55" s="851"/>
      <c r="P55" s="851"/>
      <c r="Q55" s="851"/>
      <c r="R55" s="851"/>
      <c r="S55" s="851"/>
    </row>
    <row r="56" ht="15" hidden="1" spans="3:19">
      <c r="C56" s="296"/>
      <c r="D56" s="296"/>
      <c r="E56" s="852"/>
      <c r="F56" s="851"/>
      <c r="G56" s="851"/>
      <c r="H56" s="851"/>
      <c r="I56" s="851"/>
      <c r="J56" s="851"/>
      <c r="K56" s="851"/>
      <c r="L56" s="851"/>
      <c r="M56" s="851"/>
      <c r="N56" s="851"/>
      <c r="O56" s="851"/>
      <c r="P56" s="851"/>
      <c r="Q56" s="851"/>
      <c r="R56" s="851"/>
      <c r="S56" s="851"/>
    </row>
    <row r="57" ht="15" hidden="1" spans="3:19">
      <c r="C57" s="285" t="s">
        <v>211</v>
      </c>
      <c r="D57" s="286"/>
      <c r="E57" s="852">
        <f>Q133</f>
        <v>0</v>
      </c>
      <c r="F57" s="852">
        <f>Q207</f>
        <v>0</v>
      </c>
      <c r="G57" s="852">
        <f>Q280</f>
        <v>0</v>
      </c>
      <c r="H57" s="852">
        <f>SUM(H41:H56)</f>
        <v>0</v>
      </c>
      <c r="I57" s="852">
        <f>Q353</f>
        <v>0</v>
      </c>
      <c r="J57" s="852">
        <f>I57-H57</f>
        <v>0</v>
      </c>
      <c r="K57" s="852">
        <f>SUM(K41:K56)</f>
        <v>0</v>
      </c>
      <c r="L57" s="852">
        <f>SUM(E428:J428)</f>
        <v>0</v>
      </c>
      <c r="M57" s="852">
        <f>SUM(K428:P428)</f>
        <v>0</v>
      </c>
      <c r="N57" s="852">
        <f>L57+M57</f>
        <v>0</v>
      </c>
      <c r="O57" s="852">
        <f>Q502</f>
        <v>0</v>
      </c>
      <c r="P57" s="852">
        <f>Q576</f>
        <v>0</v>
      </c>
      <c r="Q57" s="852">
        <f>Q650</f>
        <v>0</v>
      </c>
      <c r="R57" s="852">
        <f>Q724</f>
        <v>0</v>
      </c>
      <c r="S57" s="852">
        <f>Q798</f>
        <v>0</v>
      </c>
    </row>
    <row r="58" ht="15" hidden="1" spans="3:19">
      <c r="C58" s="285" t="s">
        <v>219</v>
      </c>
      <c r="D58" s="286"/>
      <c r="E58" s="852"/>
      <c r="F58" s="852"/>
      <c r="G58" s="852"/>
      <c r="H58" s="851"/>
      <c r="I58" s="851"/>
      <c r="J58" s="851"/>
      <c r="K58" s="851"/>
      <c r="L58" s="851"/>
      <c r="M58" s="851"/>
      <c r="N58" s="851"/>
      <c r="O58" s="851"/>
      <c r="P58" s="851"/>
      <c r="Q58" s="851"/>
      <c r="R58" s="851"/>
      <c r="S58" s="851"/>
    </row>
    <row r="59" hidden="1" spans="3:19">
      <c r="C59" s="296" t="s">
        <v>191</v>
      </c>
      <c r="D59" s="296" t="s">
        <v>192</v>
      </c>
      <c r="E59" s="850">
        <f t="shared" ref="E59:E71" si="47">Q135</f>
        <v>0</v>
      </c>
      <c r="F59" s="851">
        <f t="shared" ref="F59:F71" si="48">Q209</f>
        <v>0</v>
      </c>
      <c r="G59" s="851">
        <f>Q282</f>
        <v>0</v>
      </c>
      <c r="H59" s="851"/>
      <c r="I59" s="851">
        <f t="shared" ref="I59:I71" si="49">Q355</f>
        <v>0</v>
      </c>
      <c r="J59" s="851"/>
      <c r="K59" s="851"/>
      <c r="L59" s="851">
        <f t="shared" ref="L59:L71" si="50">E430+F430+G430+H430+I430+J430</f>
        <v>0</v>
      </c>
      <c r="M59" s="851">
        <f t="shared" ref="M59:M71" si="51">K430+L430+M430+N430+O430+P430</f>
        <v>0</v>
      </c>
      <c r="N59" s="851">
        <f t="shared" ref="N59:N71" si="52">L59+M59</f>
        <v>0</v>
      </c>
      <c r="O59" s="851">
        <f t="shared" ref="O59:O71" si="53">Q504</f>
        <v>0</v>
      </c>
      <c r="P59" s="851">
        <f t="shared" ref="P59:P71" si="54">Q578</f>
        <v>0</v>
      </c>
      <c r="Q59" s="851">
        <f t="shared" ref="Q59:Q71" si="55">Q652</f>
        <v>0</v>
      </c>
      <c r="R59" s="851">
        <f t="shared" ref="R59:R71" si="56">Q726</f>
        <v>0</v>
      </c>
      <c r="S59" s="851">
        <f t="shared" ref="S59:S71" si="57">Q800</f>
        <v>0</v>
      </c>
    </row>
    <row r="60" hidden="1" spans="3:19">
      <c r="C60" s="296" t="s">
        <v>193</v>
      </c>
      <c r="D60" s="296" t="s">
        <v>194</v>
      </c>
      <c r="E60" s="850">
        <f t="shared" si="47"/>
        <v>0</v>
      </c>
      <c r="F60" s="851">
        <f t="shared" si="48"/>
        <v>0</v>
      </c>
      <c r="G60" s="851">
        <f>Q283</f>
        <v>0</v>
      </c>
      <c r="H60" s="851"/>
      <c r="I60" s="851">
        <f t="shared" si="49"/>
        <v>0</v>
      </c>
      <c r="J60" s="851"/>
      <c r="K60" s="851"/>
      <c r="L60" s="851">
        <f t="shared" si="50"/>
        <v>0</v>
      </c>
      <c r="M60" s="851">
        <f t="shared" si="51"/>
        <v>0</v>
      </c>
      <c r="N60" s="851">
        <f t="shared" si="52"/>
        <v>0</v>
      </c>
      <c r="O60" s="851">
        <f t="shared" si="53"/>
        <v>0</v>
      </c>
      <c r="P60" s="851">
        <f t="shared" si="54"/>
        <v>0</v>
      </c>
      <c r="Q60" s="851">
        <f t="shared" si="55"/>
        <v>0</v>
      </c>
      <c r="R60" s="851">
        <f t="shared" si="56"/>
        <v>0</v>
      </c>
      <c r="S60" s="851">
        <f t="shared" si="57"/>
        <v>0</v>
      </c>
    </row>
    <row r="61" hidden="1" spans="3:19">
      <c r="C61" s="296" t="s">
        <v>239</v>
      </c>
      <c r="D61" s="296" t="s">
        <v>196</v>
      </c>
      <c r="E61" s="850">
        <f t="shared" si="47"/>
        <v>0</v>
      </c>
      <c r="F61" s="851">
        <f t="shared" si="48"/>
        <v>0</v>
      </c>
      <c r="G61" s="851">
        <f>Q284</f>
        <v>0</v>
      </c>
      <c r="H61" s="851"/>
      <c r="I61" s="851">
        <f t="shared" si="49"/>
        <v>0</v>
      </c>
      <c r="J61" s="851"/>
      <c r="K61" s="851"/>
      <c r="L61" s="851">
        <f t="shared" si="50"/>
        <v>0</v>
      </c>
      <c r="M61" s="851">
        <f t="shared" si="51"/>
        <v>0</v>
      </c>
      <c r="N61" s="851">
        <f t="shared" si="52"/>
        <v>0</v>
      </c>
      <c r="O61" s="851">
        <f t="shared" si="53"/>
        <v>0</v>
      </c>
      <c r="P61" s="851">
        <f t="shared" si="54"/>
        <v>0</v>
      </c>
      <c r="Q61" s="851">
        <f t="shared" si="55"/>
        <v>0</v>
      </c>
      <c r="R61" s="851">
        <f t="shared" si="56"/>
        <v>0</v>
      </c>
      <c r="S61" s="851">
        <f t="shared" si="57"/>
        <v>0</v>
      </c>
    </row>
    <row r="62" hidden="1" spans="3:19">
      <c r="C62" s="296" t="s">
        <v>197</v>
      </c>
      <c r="D62" s="296" t="s">
        <v>198</v>
      </c>
      <c r="E62" s="850">
        <f t="shared" si="47"/>
        <v>0</v>
      </c>
      <c r="F62" s="851">
        <f t="shared" si="48"/>
        <v>0</v>
      </c>
      <c r="G62" s="851">
        <f>Q285</f>
        <v>0</v>
      </c>
      <c r="H62" s="851"/>
      <c r="I62" s="851">
        <f t="shared" si="49"/>
        <v>0</v>
      </c>
      <c r="J62" s="851"/>
      <c r="K62" s="851"/>
      <c r="L62" s="851">
        <f t="shared" si="50"/>
        <v>0</v>
      </c>
      <c r="M62" s="851">
        <f t="shared" si="51"/>
        <v>0</v>
      </c>
      <c r="N62" s="851">
        <f t="shared" si="52"/>
        <v>0</v>
      </c>
      <c r="O62" s="851">
        <f t="shared" si="53"/>
        <v>0</v>
      </c>
      <c r="P62" s="851">
        <f t="shared" si="54"/>
        <v>0</v>
      </c>
      <c r="Q62" s="851">
        <f t="shared" si="55"/>
        <v>0</v>
      </c>
      <c r="R62" s="851">
        <f t="shared" si="56"/>
        <v>0</v>
      </c>
      <c r="S62" s="851">
        <f t="shared" si="57"/>
        <v>0</v>
      </c>
    </row>
    <row r="63" hidden="1" spans="3:19">
      <c r="C63" s="296" t="s">
        <v>199</v>
      </c>
      <c r="D63" s="296" t="s">
        <v>200</v>
      </c>
      <c r="E63" s="850">
        <f t="shared" si="47"/>
        <v>0</v>
      </c>
      <c r="F63" s="851">
        <f t="shared" si="48"/>
        <v>0</v>
      </c>
      <c r="G63" s="851">
        <f t="shared" ref="G63" si="58">Q285</f>
        <v>0</v>
      </c>
      <c r="H63" s="851"/>
      <c r="I63" s="851">
        <f t="shared" si="49"/>
        <v>0</v>
      </c>
      <c r="J63" s="851"/>
      <c r="K63" s="851"/>
      <c r="L63" s="851">
        <f t="shared" si="50"/>
        <v>0</v>
      </c>
      <c r="M63" s="851">
        <f t="shared" si="51"/>
        <v>0</v>
      </c>
      <c r="N63" s="851">
        <f t="shared" si="52"/>
        <v>0</v>
      </c>
      <c r="O63" s="851">
        <f t="shared" si="53"/>
        <v>0</v>
      </c>
      <c r="P63" s="851">
        <f t="shared" si="54"/>
        <v>0</v>
      </c>
      <c r="Q63" s="851">
        <f t="shared" si="55"/>
        <v>0</v>
      </c>
      <c r="R63" s="851">
        <f t="shared" si="56"/>
        <v>0</v>
      </c>
      <c r="S63" s="851">
        <f t="shared" si="57"/>
        <v>0</v>
      </c>
    </row>
    <row r="64" hidden="1" spans="3:19">
      <c r="C64" s="296" t="s">
        <v>201</v>
      </c>
      <c r="D64" s="296" t="s">
        <v>240</v>
      </c>
      <c r="E64" s="850">
        <f t="shared" si="47"/>
        <v>0</v>
      </c>
      <c r="F64" s="851">
        <f t="shared" si="48"/>
        <v>0</v>
      </c>
      <c r="G64" s="851">
        <f t="shared" ref="G64:G71" si="59">Q287</f>
        <v>0</v>
      </c>
      <c r="H64" s="851"/>
      <c r="I64" s="851">
        <f t="shared" si="49"/>
        <v>0</v>
      </c>
      <c r="J64" s="851"/>
      <c r="K64" s="851"/>
      <c r="L64" s="851">
        <f t="shared" si="50"/>
        <v>0</v>
      </c>
      <c r="M64" s="851">
        <f t="shared" si="51"/>
        <v>0</v>
      </c>
      <c r="N64" s="851">
        <f t="shared" si="52"/>
        <v>0</v>
      </c>
      <c r="O64" s="851">
        <f t="shared" si="53"/>
        <v>0</v>
      </c>
      <c r="P64" s="851">
        <f t="shared" si="54"/>
        <v>0</v>
      </c>
      <c r="Q64" s="851">
        <f t="shared" si="55"/>
        <v>0</v>
      </c>
      <c r="R64" s="851">
        <f t="shared" si="56"/>
        <v>0</v>
      </c>
      <c r="S64" s="851">
        <f t="shared" si="57"/>
        <v>0</v>
      </c>
    </row>
    <row r="65" hidden="1" spans="3:19">
      <c r="C65" s="296" t="s">
        <v>203</v>
      </c>
      <c r="D65" s="296" t="s">
        <v>220</v>
      </c>
      <c r="E65" s="850">
        <f t="shared" si="47"/>
        <v>0</v>
      </c>
      <c r="F65" s="851">
        <f t="shared" si="48"/>
        <v>0</v>
      </c>
      <c r="G65" s="851">
        <f t="shared" si="59"/>
        <v>0</v>
      </c>
      <c r="H65" s="851"/>
      <c r="I65" s="851">
        <f t="shared" si="49"/>
        <v>0</v>
      </c>
      <c r="J65" s="851"/>
      <c r="K65" s="851"/>
      <c r="L65" s="851">
        <f t="shared" si="50"/>
        <v>0</v>
      </c>
      <c r="M65" s="851">
        <f t="shared" si="51"/>
        <v>0</v>
      </c>
      <c r="N65" s="851">
        <f t="shared" si="52"/>
        <v>0</v>
      </c>
      <c r="O65" s="851">
        <f t="shared" si="53"/>
        <v>0</v>
      </c>
      <c r="P65" s="851">
        <f t="shared" si="54"/>
        <v>0</v>
      </c>
      <c r="Q65" s="851">
        <f t="shared" si="55"/>
        <v>0</v>
      </c>
      <c r="R65" s="851">
        <f t="shared" si="56"/>
        <v>0</v>
      </c>
      <c r="S65" s="851">
        <f t="shared" si="57"/>
        <v>0</v>
      </c>
    </row>
    <row r="66" hidden="1" spans="3:19">
      <c r="C66" s="296" t="s">
        <v>241</v>
      </c>
      <c r="D66" s="296" t="s">
        <v>229</v>
      </c>
      <c r="E66" s="850">
        <f t="shared" si="47"/>
        <v>0</v>
      </c>
      <c r="F66" s="851">
        <f t="shared" si="48"/>
        <v>0</v>
      </c>
      <c r="G66" s="851">
        <f t="shared" si="59"/>
        <v>0</v>
      </c>
      <c r="H66" s="851"/>
      <c r="I66" s="851">
        <f t="shared" si="49"/>
        <v>0</v>
      </c>
      <c r="J66" s="851"/>
      <c r="K66" s="851"/>
      <c r="L66" s="851">
        <f t="shared" si="50"/>
        <v>0</v>
      </c>
      <c r="M66" s="851">
        <f t="shared" si="51"/>
        <v>0</v>
      </c>
      <c r="N66" s="851">
        <f t="shared" si="52"/>
        <v>0</v>
      </c>
      <c r="O66" s="851">
        <f t="shared" si="53"/>
        <v>0</v>
      </c>
      <c r="P66" s="851">
        <f t="shared" si="54"/>
        <v>0</v>
      </c>
      <c r="Q66" s="851">
        <f t="shared" si="55"/>
        <v>0</v>
      </c>
      <c r="R66" s="851">
        <f t="shared" si="56"/>
        <v>0</v>
      </c>
      <c r="S66" s="851">
        <f t="shared" si="57"/>
        <v>0</v>
      </c>
    </row>
    <row r="67" hidden="1" spans="3:19">
      <c r="C67" s="296" t="s">
        <v>242</v>
      </c>
      <c r="D67" s="296" t="s">
        <v>243</v>
      </c>
      <c r="E67" s="850">
        <f t="shared" si="47"/>
        <v>0</v>
      </c>
      <c r="F67" s="851">
        <f t="shared" si="48"/>
        <v>0</v>
      </c>
      <c r="G67" s="851">
        <f t="shared" si="59"/>
        <v>0</v>
      </c>
      <c r="H67" s="851"/>
      <c r="I67" s="851">
        <f t="shared" si="49"/>
        <v>0</v>
      </c>
      <c r="J67" s="851"/>
      <c r="K67" s="851"/>
      <c r="L67" s="851">
        <f t="shared" si="50"/>
        <v>0</v>
      </c>
      <c r="M67" s="851">
        <f t="shared" si="51"/>
        <v>0</v>
      </c>
      <c r="N67" s="851">
        <f t="shared" si="52"/>
        <v>0</v>
      </c>
      <c r="O67" s="851">
        <f t="shared" si="53"/>
        <v>0</v>
      </c>
      <c r="P67" s="851">
        <f t="shared" si="54"/>
        <v>0</v>
      </c>
      <c r="Q67" s="851">
        <f t="shared" si="55"/>
        <v>0</v>
      </c>
      <c r="R67" s="851">
        <f t="shared" si="56"/>
        <v>0</v>
      </c>
      <c r="S67" s="851">
        <f t="shared" si="57"/>
        <v>0</v>
      </c>
    </row>
    <row r="68" hidden="1" spans="3:19">
      <c r="C68" s="296" t="s">
        <v>205</v>
      </c>
      <c r="D68" s="296" t="s">
        <v>206</v>
      </c>
      <c r="E68" s="850">
        <f t="shared" si="47"/>
        <v>0</v>
      </c>
      <c r="F68" s="851">
        <f t="shared" si="48"/>
        <v>0</v>
      </c>
      <c r="G68" s="851">
        <f t="shared" si="59"/>
        <v>0</v>
      </c>
      <c r="H68" s="851"/>
      <c r="I68" s="851">
        <f t="shared" si="49"/>
        <v>0</v>
      </c>
      <c r="J68" s="851"/>
      <c r="K68" s="851"/>
      <c r="L68" s="851">
        <f t="shared" si="50"/>
        <v>0</v>
      </c>
      <c r="M68" s="851">
        <f t="shared" si="51"/>
        <v>0</v>
      </c>
      <c r="N68" s="851">
        <f t="shared" si="52"/>
        <v>0</v>
      </c>
      <c r="O68" s="851">
        <f t="shared" si="53"/>
        <v>0</v>
      </c>
      <c r="P68" s="851">
        <f t="shared" si="54"/>
        <v>0</v>
      </c>
      <c r="Q68" s="851">
        <f t="shared" si="55"/>
        <v>0</v>
      </c>
      <c r="R68" s="851">
        <f t="shared" si="56"/>
        <v>0</v>
      </c>
      <c r="S68" s="851">
        <f t="shared" si="57"/>
        <v>0</v>
      </c>
    </row>
    <row r="69" hidden="1" spans="3:19">
      <c r="C69" s="296" t="s">
        <v>207</v>
      </c>
      <c r="D69" s="296" t="s">
        <v>186</v>
      </c>
      <c r="E69" s="850">
        <f t="shared" si="47"/>
        <v>0</v>
      </c>
      <c r="F69" s="851">
        <f t="shared" si="48"/>
        <v>0</v>
      </c>
      <c r="G69" s="851">
        <f t="shared" si="59"/>
        <v>0</v>
      </c>
      <c r="H69" s="851"/>
      <c r="I69" s="851">
        <f t="shared" si="49"/>
        <v>0</v>
      </c>
      <c r="J69" s="851"/>
      <c r="K69" s="851"/>
      <c r="L69" s="851">
        <f t="shared" si="50"/>
        <v>0</v>
      </c>
      <c r="M69" s="851">
        <f t="shared" si="51"/>
        <v>0</v>
      </c>
      <c r="N69" s="851">
        <f t="shared" si="52"/>
        <v>0</v>
      </c>
      <c r="O69" s="851">
        <f t="shared" si="53"/>
        <v>0</v>
      </c>
      <c r="P69" s="851">
        <f t="shared" si="54"/>
        <v>0</v>
      </c>
      <c r="Q69" s="851">
        <f t="shared" si="55"/>
        <v>0</v>
      </c>
      <c r="R69" s="851">
        <f t="shared" si="56"/>
        <v>0</v>
      </c>
      <c r="S69" s="851">
        <f t="shared" si="57"/>
        <v>0</v>
      </c>
    </row>
    <row r="70" hidden="1" spans="3:19">
      <c r="C70" s="296" t="s">
        <v>208</v>
      </c>
      <c r="D70" s="296" t="s">
        <v>209</v>
      </c>
      <c r="E70" s="850">
        <f t="shared" si="47"/>
        <v>0</v>
      </c>
      <c r="F70" s="851">
        <f t="shared" si="48"/>
        <v>0</v>
      </c>
      <c r="G70" s="851">
        <f t="shared" si="59"/>
        <v>0</v>
      </c>
      <c r="H70" s="851"/>
      <c r="I70" s="851">
        <f t="shared" si="49"/>
        <v>0</v>
      </c>
      <c r="J70" s="851"/>
      <c r="K70" s="851"/>
      <c r="L70" s="851">
        <f t="shared" si="50"/>
        <v>0</v>
      </c>
      <c r="M70" s="851">
        <f t="shared" si="51"/>
        <v>0</v>
      </c>
      <c r="N70" s="851">
        <f t="shared" si="52"/>
        <v>0</v>
      </c>
      <c r="O70" s="851">
        <f t="shared" si="53"/>
        <v>0</v>
      </c>
      <c r="P70" s="851">
        <f t="shared" si="54"/>
        <v>0</v>
      </c>
      <c r="Q70" s="851">
        <f t="shared" si="55"/>
        <v>0</v>
      </c>
      <c r="R70" s="851">
        <f t="shared" si="56"/>
        <v>0</v>
      </c>
      <c r="S70" s="851">
        <f t="shared" si="57"/>
        <v>0</v>
      </c>
    </row>
    <row r="71" hidden="1" spans="3:19">
      <c r="C71" s="296" t="s">
        <v>210</v>
      </c>
      <c r="D71" s="296" t="s">
        <v>188</v>
      </c>
      <c r="E71" s="850">
        <f t="shared" si="47"/>
        <v>0</v>
      </c>
      <c r="F71" s="851">
        <f t="shared" si="48"/>
        <v>0</v>
      </c>
      <c r="G71" s="851">
        <f t="shared" si="59"/>
        <v>0</v>
      </c>
      <c r="H71" s="851"/>
      <c r="I71" s="851">
        <f t="shared" si="49"/>
        <v>0</v>
      </c>
      <c r="J71" s="851"/>
      <c r="K71" s="851"/>
      <c r="L71" s="851">
        <f t="shared" si="50"/>
        <v>0</v>
      </c>
      <c r="M71" s="851">
        <f t="shared" si="51"/>
        <v>0</v>
      </c>
      <c r="N71" s="851">
        <f t="shared" si="52"/>
        <v>0</v>
      </c>
      <c r="O71" s="851">
        <f t="shared" si="53"/>
        <v>0</v>
      </c>
      <c r="P71" s="851">
        <f t="shared" si="54"/>
        <v>0</v>
      </c>
      <c r="Q71" s="851">
        <f t="shared" si="55"/>
        <v>0</v>
      </c>
      <c r="R71" s="851">
        <f t="shared" si="56"/>
        <v>0</v>
      </c>
      <c r="S71" s="851">
        <f t="shared" si="57"/>
        <v>0</v>
      </c>
    </row>
    <row r="72" ht="15" hidden="1" spans="3:19">
      <c r="C72" s="296"/>
      <c r="D72" s="296"/>
      <c r="E72" s="852"/>
      <c r="F72" s="851"/>
      <c r="G72" s="851"/>
      <c r="H72" s="851"/>
      <c r="I72" s="851"/>
      <c r="J72" s="851"/>
      <c r="K72" s="851"/>
      <c r="L72" s="851"/>
      <c r="M72" s="851"/>
      <c r="N72" s="851"/>
      <c r="O72" s="851"/>
      <c r="P72" s="851"/>
      <c r="Q72" s="851"/>
      <c r="R72" s="851"/>
      <c r="S72" s="851"/>
    </row>
    <row r="73" ht="15" hidden="1" spans="3:19">
      <c r="C73" s="296"/>
      <c r="D73" s="296"/>
      <c r="E73" s="852"/>
      <c r="F73" s="851"/>
      <c r="G73" s="851"/>
      <c r="H73" s="851"/>
      <c r="I73" s="851"/>
      <c r="J73" s="851"/>
      <c r="K73" s="851"/>
      <c r="L73" s="851"/>
      <c r="M73" s="851"/>
      <c r="N73" s="851"/>
      <c r="O73" s="851"/>
      <c r="P73" s="851"/>
      <c r="Q73" s="851"/>
      <c r="R73" s="851"/>
      <c r="S73" s="851"/>
    </row>
    <row r="74" ht="15" hidden="1" spans="3:19">
      <c r="C74" s="296"/>
      <c r="D74" s="296"/>
      <c r="E74" s="852"/>
      <c r="F74" s="851"/>
      <c r="G74" s="851"/>
      <c r="H74" s="851"/>
      <c r="I74" s="851"/>
      <c r="J74" s="851"/>
      <c r="K74" s="851"/>
      <c r="L74" s="851"/>
      <c r="M74" s="851"/>
      <c r="N74" s="851"/>
      <c r="O74" s="851"/>
      <c r="P74" s="851"/>
      <c r="Q74" s="851"/>
      <c r="R74" s="851"/>
      <c r="S74" s="851"/>
    </row>
    <row r="75" ht="15" hidden="1" spans="3:19">
      <c r="C75" s="296"/>
      <c r="D75" s="296"/>
      <c r="E75" s="852"/>
      <c r="F75" s="851"/>
      <c r="G75" s="851"/>
      <c r="H75" s="851"/>
      <c r="I75" s="851"/>
      <c r="J75" s="851"/>
      <c r="K75" s="851"/>
      <c r="L75" s="851"/>
      <c r="M75" s="851"/>
      <c r="N75" s="851"/>
      <c r="O75" s="851"/>
      <c r="P75" s="851"/>
      <c r="Q75" s="851"/>
      <c r="R75" s="851"/>
      <c r="S75" s="851"/>
    </row>
    <row r="76" ht="15" hidden="1" spans="3:19">
      <c r="C76" s="285" t="s">
        <v>211</v>
      </c>
      <c r="D76" s="286"/>
      <c r="E76" s="852">
        <f t="shared" ref="E76:E78" si="60">Q152</f>
        <v>0</v>
      </c>
      <c r="F76" s="852">
        <f t="shared" ref="F76:F78" si="61">Q225</f>
        <v>0</v>
      </c>
      <c r="G76" s="852">
        <f t="shared" ref="G76:G78" si="62">Q299</f>
        <v>0</v>
      </c>
      <c r="H76" s="852">
        <f>SUM(H59:H75)</f>
        <v>0</v>
      </c>
      <c r="I76" s="852">
        <f t="shared" ref="I76:I78" si="63">Q372</f>
        <v>0</v>
      </c>
      <c r="J76" s="852">
        <f t="shared" ref="J76:J78" si="64">I76-H76</f>
        <v>0</v>
      </c>
      <c r="K76" s="852">
        <f>SUM(K59:K75)</f>
        <v>0</v>
      </c>
      <c r="L76" s="852">
        <f t="shared" ref="L76:L78" si="65">SUM(E447:J447)</f>
        <v>0</v>
      </c>
      <c r="M76" s="852">
        <f t="shared" ref="M76:M78" si="66">SUM(K447:P447)</f>
        <v>0</v>
      </c>
      <c r="N76" s="852">
        <f t="shared" ref="N76:N78" si="67">L76+M76</f>
        <v>0</v>
      </c>
      <c r="O76" s="852">
        <f t="shared" ref="O76:O78" si="68">Q521</f>
        <v>0</v>
      </c>
      <c r="P76" s="852">
        <f t="shared" ref="P76:P78" si="69">Q595</f>
        <v>0</v>
      </c>
      <c r="Q76" s="852">
        <f t="shared" ref="Q76:Q78" si="70">Q669</f>
        <v>0</v>
      </c>
      <c r="R76" s="852">
        <f t="shared" ref="R76:R78" si="71">Q743</f>
        <v>0</v>
      </c>
      <c r="S76" s="852">
        <f t="shared" ref="S76:S78" si="72">Q817</f>
        <v>0</v>
      </c>
    </row>
    <row r="77" ht="15" hidden="1" spans="3:19">
      <c r="C77" s="285" t="s">
        <v>223</v>
      </c>
      <c r="D77" s="286"/>
      <c r="E77" s="852">
        <f t="shared" si="60"/>
        <v>0</v>
      </c>
      <c r="F77" s="852">
        <f t="shared" si="61"/>
        <v>0</v>
      </c>
      <c r="G77" s="852">
        <f t="shared" si="62"/>
        <v>0</v>
      </c>
      <c r="H77" s="852">
        <f>SUM(H60:H76)</f>
        <v>0</v>
      </c>
      <c r="I77" s="852">
        <f t="shared" si="63"/>
        <v>0</v>
      </c>
      <c r="J77" s="852">
        <f t="shared" si="64"/>
        <v>0</v>
      </c>
      <c r="K77" s="852">
        <f>SUM(K60:K76)</f>
        <v>0</v>
      </c>
      <c r="L77" s="852">
        <f t="shared" si="65"/>
        <v>0</v>
      </c>
      <c r="M77" s="852">
        <f t="shared" si="66"/>
        <v>0</v>
      </c>
      <c r="N77" s="852">
        <f t="shared" si="67"/>
        <v>0</v>
      </c>
      <c r="O77" s="852">
        <f t="shared" si="68"/>
        <v>0</v>
      </c>
      <c r="P77" s="852">
        <f t="shared" si="69"/>
        <v>0</v>
      </c>
      <c r="Q77" s="852">
        <f t="shared" si="70"/>
        <v>0</v>
      </c>
      <c r="R77" s="852">
        <f t="shared" si="71"/>
        <v>0</v>
      </c>
      <c r="S77" s="852">
        <f t="shared" si="72"/>
        <v>0</v>
      </c>
    </row>
    <row r="78" ht="15" hidden="1" spans="3:19">
      <c r="C78" s="285" t="s">
        <v>224</v>
      </c>
      <c r="D78" s="286"/>
      <c r="E78" s="852">
        <f t="shared" si="60"/>
        <v>10818.3927530706</v>
      </c>
      <c r="F78" s="852">
        <f t="shared" si="61"/>
        <v>11744.8428733557</v>
      </c>
      <c r="G78" s="852">
        <f t="shared" si="62"/>
        <v>11724.3576385522</v>
      </c>
      <c r="H78" s="852">
        <f t="shared" ref="H78" si="73">SUM(H75:H77)</f>
        <v>0</v>
      </c>
      <c r="I78" s="852">
        <f t="shared" si="63"/>
        <v>12127.2243701067</v>
      </c>
      <c r="J78" s="852">
        <f t="shared" si="64"/>
        <v>12127.2243701067</v>
      </c>
      <c r="K78" s="852">
        <f t="shared" ref="K78" si="74">SUM(K75:K77)</f>
        <v>0</v>
      </c>
      <c r="L78" s="852">
        <f t="shared" si="65"/>
        <v>6248.60909749297</v>
      </c>
      <c r="M78" s="852">
        <f t="shared" si="66"/>
        <v>9458.40310958755</v>
      </c>
      <c r="N78" s="852">
        <f t="shared" si="67"/>
        <v>15707.0122070805</v>
      </c>
      <c r="O78" s="852">
        <f t="shared" si="68"/>
        <v>16400.2035853187</v>
      </c>
      <c r="P78" s="852">
        <f t="shared" si="69"/>
        <v>17123.9873054058</v>
      </c>
      <c r="Q78" s="852">
        <f t="shared" si="70"/>
        <v>13052.8047610477</v>
      </c>
      <c r="R78" s="852">
        <f t="shared" si="71"/>
        <v>13336.0372206003</v>
      </c>
      <c r="S78" s="852">
        <f t="shared" si="72"/>
        <v>13591.8907847435</v>
      </c>
    </row>
    <row r="79" hidden="1" spans="5:19">
      <c r="E79" s="854"/>
      <c r="F79" s="854"/>
      <c r="G79" s="854"/>
      <c r="H79" s="854"/>
      <c r="I79" s="854"/>
      <c r="J79" s="854"/>
      <c r="K79" s="854"/>
      <c r="L79" s="854"/>
      <c r="M79" s="854"/>
      <c r="N79" s="854"/>
      <c r="O79" s="854"/>
      <c r="P79" s="854"/>
      <c r="Q79" s="854"/>
      <c r="R79" s="854"/>
      <c r="S79" s="854"/>
    </row>
    <row r="80" hidden="1" spans="5:19">
      <c r="E80" s="854"/>
      <c r="F80" s="854"/>
      <c r="G80" s="854"/>
      <c r="H80" s="854"/>
      <c r="I80" s="854"/>
      <c r="J80" s="854"/>
      <c r="K80" s="854"/>
      <c r="L80" s="854"/>
      <c r="M80" s="854"/>
      <c r="N80" s="854"/>
      <c r="O80" s="854"/>
      <c r="P80" s="854"/>
      <c r="Q80" s="854"/>
      <c r="R80" s="854"/>
      <c r="S80" s="854"/>
    </row>
    <row r="81" ht="15" hidden="1" spans="3:19">
      <c r="C81" s="369" t="s">
        <v>244</v>
      </c>
      <c r="E81" s="854"/>
      <c r="F81" s="854"/>
      <c r="G81" s="854"/>
      <c r="H81" s="854"/>
      <c r="I81" s="854"/>
      <c r="J81" s="854"/>
      <c r="K81" s="854"/>
      <c r="L81" s="854"/>
      <c r="M81" s="854"/>
      <c r="N81" s="854"/>
      <c r="O81" s="854"/>
      <c r="P81" s="854"/>
      <c r="Q81" s="854"/>
      <c r="R81" s="854"/>
      <c r="S81" s="854"/>
    </row>
    <row r="82" ht="15" hidden="1" spans="3:19">
      <c r="C82" s="369"/>
      <c r="E82" s="854"/>
      <c r="F82" s="854"/>
      <c r="G82" s="854"/>
      <c r="H82" s="854"/>
      <c r="I82" s="854"/>
      <c r="J82" s="854"/>
      <c r="K82" s="854"/>
      <c r="L82" s="854"/>
      <c r="M82" s="854"/>
      <c r="N82" s="854"/>
      <c r="O82" s="854"/>
      <c r="P82" s="854"/>
      <c r="Q82" s="857" t="s">
        <v>236</v>
      </c>
      <c r="R82" s="854"/>
      <c r="S82" s="854"/>
    </row>
    <row r="83" ht="15" hidden="1" spans="3:19">
      <c r="C83" s="401" t="s">
        <v>159</v>
      </c>
      <c r="D83" s="401"/>
      <c r="E83" s="855" t="s">
        <v>245</v>
      </c>
      <c r="F83" s="855"/>
      <c r="G83" s="855"/>
      <c r="H83" s="855"/>
      <c r="I83" s="855"/>
      <c r="J83" s="855"/>
      <c r="K83" s="855"/>
      <c r="L83" s="855"/>
      <c r="M83" s="855"/>
      <c r="N83" s="855"/>
      <c r="O83" s="855"/>
      <c r="P83" s="855"/>
      <c r="Q83" s="855"/>
      <c r="R83" s="854"/>
      <c r="S83" s="854"/>
    </row>
    <row r="84" ht="15" hidden="1" spans="3:19">
      <c r="C84" s="401"/>
      <c r="D84" s="401"/>
      <c r="E84" s="855" t="s">
        <v>246</v>
      </c>
      <c r="F84" s="855" t="s">
        <v>247</v>
      </c>
      <c r="G84" s="855" t="s">
        <v>248</v>
      </c>
      <c r="H84" s="855" t="s">
        <v>249</v>
      </c>
      <c r="I84" s="855" t="s">
        <v>250</v>
      </c>
      <c r="J84" s="855" t="s">
        <v>251</v>
      </c>
      <c r="K84" s="855" t="s">
        <v>252</v>
      </c>
      <c r="L84" s="855" t="s">
        <v>253</v>
      </c>
      <c r="M84" s="855" t="s">
        <v>254</v>
      </c>
      <c r="N84" s="855" t="s">
        <v>255</v>
      </c>
      <c r="O84" s="855" t="s">
        <v>256</v>
      </c>
      <c r="P84" s="855" t="s">
        <v>257</v>
      </c>
      <c r="Q84" s="855" t="s">
        <v>97</v>
      </c>
      <c r="R84" s="854"/>
      <c r="S84" s="854"/>
    </row>
    <row r="85" ht="15" hidden="1" spans="3:19">
      <c r="C85" s="285" t="s">
        <v>170</v>
      </c>
      <c r="D85" s="286"/>
      <c r="E85" s="851"/>
      <c r="F85" s="851"/>
      <c r="G85" s="851"/>
      <c r="H85" s="851"/>
      <c r="I85" s="851"/>
      <c r="J85" s="851"/>
      <c r="K85" s="851"/>
      <c r="L85" s="851"/>
      <c r="M85" s="851"/>
      <c r="N85" s="851"/>
      <c r="O85" s="851"/>
      <c r="P85" s="851"/>
      <c r="Q85" s="856"/>
      <c r="R85" s="854"/>
      <c r="S85" s="854"/>
    </row>
    <row r="86" ht="15" hidden="1" spans="3:19">
      <c r="C86" s="296" t="s">
        <v>171</v>
      </c>
      <c r="D86" s="296" t="s">
        <v>172</v>
      </c>
      <c r="E86" s="851"/>
      <c r="F86" s="851"/>
      <c r="G86" s="851"/>
      <c r="H86" s="851"/>
      <c r="I86" s="851"/>
      <c r="J86" s="851"/>
      <c r="K86" s="851"/>
      <c r="L86" s="851"/>
      <c r="M86" s="851"/>
      <c r="N86" s="851"/>
      <c r="O86" s="851"/>
      <c r="P86" s="851"/>
      <c r="Q86" s="856">
        <f t="shared" ref="Q86:Q99" si="75">SUM(E86:P86)</f>
        <v>0</v>
      </c>
      <c r="R86" s="854"/>
      <c r="S86" s="854"/>
    </row>
    <row r="87" ht="15" hidden="1" spans="3:19">
      <c r="C87" s="296" t="s">
        <v>173</v>
      </c>
      <c r="D87" s="296" t="s">
        <v>174</v>
      </c>
      <c r="E87" s="851"/>
      <c r="F87" s="851"/>
      <c r="G87" s="851"/>
      <c r="H87" s="851"/>
      <c r="I87" s="851"/>
      <c r="J87" s="851"/>
      <c r="K87" s="851"/>
      <c r="L87" s="851"/>
      <c r="M87" s="851"/>
      <c r="N87" s="851"/>
      <c r="O87" s="851"/>
      <c r="P87" s="851"/>
      <c r="Q87" s="856">
        <f t="shared" si="75"/>
        <v>0</v>
      </c>
      <c r="R87" s="854"/>
      <c r="S87" s="854"/>
    </row>
    <row r="88" ht="15" hidden="1" spans="3:19">
      <c r="C88" s="296" t="s">
        <v>175</v>
      </c>
      <c r="D88" s="296" t="s">
        <v>176</v>
      </c>
      <c r="E88" s="851"/>
      <c r="F88" s="851"/>
      <c r="G88" s="851"/>
      <c r="H88" s="851"/>
      <c r="I88" s="851"/>
      <c r="J88" s="851"/>
      <c r="K88" s="851"/>
      <c r="L88" s="851"/>
      <c r="M88" s="851"/>
      <c r="N88" s="851"/>
      <c r="O88" s="851"/>
      <c r="P88" s="851"/>
      <c r="Q88" s="856">
        <f t="shared" si="75"/>
        <v>0</v>
      </c>
      <c r="R88" s="854"/>
      <c r="S88" s="854"/>
    </row>
    <row r="89" ht="15" hidden="1" spans="3:19">
      <c r="C89" s="296" t="s">
        <v>177</v>
      </c>
      <c r="D89" s="296" t="s">
        <v>178</v>
      </c>
      <c r="E89" s="851"/>
      <c r="F89" s="851"/>
      <c r="G89" s="851"/>
      <c r="H89" s="851"/>
      <c r="I89" s="851"/>
      <c r="J89" s="851"/>
      <c r="K89" s="851"/>
      <c r="L89" s="851"/>
      <c r="M89" s="851"/>
      <c r="N89" s="851"/>
      <c r="O89" s="851"/>
      <c r="P89" s="851"/>
      <c r="Q89" s="856">
        <f t="shared" si="75"/>
        <v>0</v>
      </c>
      <c r="R89" s="854"/>
      <c r="S89" s="854"/>
    </row>
    <row r="90" ht="15" hidden="1" spans="3:19">
      <c r="C90" s="296" t="s">
        <v>179</v>
      </c>
      <c r="D90" s="296" t="s">
        <v>180</v>
      </c>
      <c r="E90" s="851">
        <f>[17]Sales_SP!CG46</f>
        <v>803.002796767668</v>
      </c>
      <c r="F90" s="851">
        <f>[17]Sales_SP!CH46</f>
        <v>649.039038739027</v>
      </c>
      <c r="G90" s="851">
        <f>[17]Sales_SP!CI46</f>
        <v>573.288955114617</v>
      </c>
      <c r="H90" s="851">
        <f>[17]Sales_SP!CJ46</f>
        <v>776.234785796966</v>
      </c>
      <c r="I90" s="851">
        <f>[17]Sales_SP!CK46</f>
        <v>1063.16006873165</v>
      </c>
      <c r="J90" s="851">
        <f>[17]Sales_SP!CL46</f>
        <v>817.897245027652</v>
      </c>
      <c r="K90" s="851">
        <f>[17]Sales_SP!CM46</f>
        <v>677.755441547175</v>
      </c>
      <c r="L90" s="851">
        <f>[17]Sales_SP!CN46</f>
        <v>638.62</v>
      </c>
      <c r="M90" s="851">
        <f>[17]Sales_SP!CO46</f>
        <v>1027.11</v>
      </c>
      <c r="N90" s="851">
        <f>[17]Sales_SP!CP46</f>
        <v>1221.02768290285</v>
      </c>
      <c r="O90" s="851">
        <f>[17]Sales_SP!CQ46</f>
        <v>1210.79</v>
      </c>
      <c r="P90" s="851">
        <f>[17]Sales_SP!CR46</f>
        <v>1360.46673844303</v>
      </c>
      <c r="Q90" s="856">
        <f t="shared" si="75"/>
        <v>10818.3927530706</v>
      </c>
      <c r="R90" s="854"/>
      <c r="S90" s="854"/>
    </row>
    <row r="91" ht="15" hidden="1" spans="3:19">
      <c r="C91" s="296" t="s">
        <v>181</v>
      </c>
      <c r="D91" s="296" t="s">
        <v>182</v>
      </c>
      <c r="E91" s="851"/>
      <c r="F91" s="851"/>
      <c r="G91" s="851"/>
      <c r="H91" s="851"/>
      <c r="I91" s="851"/>
      <c r="J91" s="851"/>
      <c r="K91" s="851"/>
      <c r="L91" s="851"/>
      <c r="M91" s="851"/>
      <c r="N91" s="851"/>
      <c r="O91" s="851"/>
      <c r="P91" s="851"/>
      <c r="Q91" s="856">
        <f t="shared" si="75"/>
        <v>0</v>
      </c>
      <c r="R91" s="854"/>
      <c r="S91" s="854"/>
    </row>
    <row r="92" ht="15" hidden="1" spans="3:19">
      <c r="C92" s="296" t="s">
        <v>183</v>
      </c>
      <c r="D92" s="296" t="s">
        <v>184</v>
      </c>
      <c r="E92" s="851"/>
      <c r="F92" s="851"/>
      <c r="G92" s="851"/>
      <c r="H92" s="851"/>
      <c r="I92" s="851"/>
      <c r="J92" s="851"/>
      <c r="K92" s="851"/>
      <c r="L92" s="851"/>
      <c r="M92" s="851"/>
      <c r="N92" s="851"/>
      <c r="O92" s="851"/>
      <c r="P92" s="851"/>
      <c r="Q92" s="856">
        <f t="shared" si="75"/>
        <v>0</v>
      </c>
      <c r="R92" s="854"/>
      <c r="S92" s="854"/>
    </row>
    <row r="93" ht="15" hidden="1" spans="3:19">
      <c r="C93" s="296" t="s">
        <v>185</v>
      </c>
      <c r="D93" s="296" t="s">
        <v>186</v>
      </c>
      <c r="E93" s="851"/>
      <c r="F93" s="851"/>
      <c r="G93" s="851"/>
      <c r="H93" s="851"/>
      <c r="I93" s="851"/>
      <c r="J93" s="851"/>
      <c r="K93" s="851"/>
      <c r="L93" s="851"/>
      <c r="M93" s="851"/>
      <c r="N93" s="851"/>
      <c r="O93" s="851"/>
      <c r="P93" s="851"/>
      <c r="Q93" s="856">
        <f t="shared" si="75"/>
        <v>0</v>
      </c>
      <c r="R93" s="854"/>
      <c r="S93" s="854"/>
    </row>
    <row r="94" ht="15" hidden="1" spans="3:19">
      <c r="C94" s="296" t="s">
        <v>187</v>
      </c>
      <c r="D94" s="296" t="s">
        <v>188</v>
      </c>
      <c r="E94" s="851"/>
      <c r="F94" s="851"/>
      <c r="G94" s="851"/>
      <c r="H94" s="851"/>
      <c r="I94" s="851"/>
      <c r="J94" s="851"/>
      <c r="K94" s="851"/>
      <c r="L94" s="851"/>
      <c r="M94" s="851"/>
      <c r="N94" s="851"/>
      <c r="O94" s="851"/>
      <c r="P94" s="851"/>
      <c r="Q94" s="856">
        <f t="shared" si="75"/>
        <v>0</v>
      </c>
      <c r="R94" s="854"/>
      <c r="S94" s="854"/>
    </row>
    <row r="95" ht="15" hidden="1" spans="3:19">
      <c r="C95" s="296"/>
      <c r="D95" s="296"/>
      <c r="E95" s="851"/>
      <c r="F95" s="851"/>
      <c r="G95" s="851"/>
      <c r="H95" s="851"/>
      <c r="I95" s="851"/>
      <c r="J95" s="851"/>
      <c r="K95" s="851"/>
      <c r="L95" s="851"/>
      <c r="M95" s="851"/>
      <c r="N95" s="851"/>
      <c r="O95" s="851"/>
      <c r="P95" s="851"/>
      <c r="Q95" s="856">
        <f t="shared" si="75"/>
        <v>0</v>
      </c>
      <c r="R95" s="854"/>
      <c r="S95" s="854"/>
    </row>
    <row r="96" ht="15" hidden="1" spans="3:19">
      <c r="C96" s="296"/>
      <c r="D96" s="296"/>
      <c r="E96" s="851"/>
      <c r="F96" s="851"/>
      <c r="G96" s="851"/>
      <c r="H96" s="851"/>
      <c r="I96" s="851"/>
      <c r="J96" s="851"/>
      <c r="K96" s="851"/>
      <c r="L96" s="851"/>
      <c r="M96" s="851"/>
      <c r="N96" s="851"/>
      <c r="O96" s="851"/>
      <c r="P96" s="851"/>
      <c r="Q96" s="856">
        <f t="shared" si="75"/>
        <v>0</v>
      </c>
      <c r="R96" s="854"/>
      <c r="S96" s="854"/>
    </row>
    <row r="97" ht="15" hidden="1" spans="3:19">
      <c r="C97" s="296"/>
      <c r="D97" s="296"/>
      <c r="E97" s="851"/>
      <c r="F97" s="851"/>
      <c r="G97" s="851"/>
      <c r="H97" s="851"/>
      <c r="I97" s="851"/>
      <c r="J97" s="851"/>
      <c r="K97" s="851"/>
      <c r="L97" s="851"/>
      <c r="M97" s="851"/>
      <c r="N97" s="851"/>
      <c r="O97" s="851"/>
      <c r="P97" s="851"/>
      <c r="Q97" s="856">
        <f t="shared" si="75"/>
        <v>0</v>
      </c>
      <c r="R97" s="854"/>
      <c r="S97" s="854"/>
    </row>
    <row r="98" ht="15" hidden="1" spans="3:19">
      <c r="C98" s="296" t="s">
        <v>258</v>
      </c>
      <c r="D98" s="296" t="s">
        <v>258</v>
      </c>
      <c r="E98" s="851"/>
      <c r="F98" s="851"/>
      <c r="G98" s="851"/>
      <c r="H98" s="851"/>
      <c r="I98" s="851"/>
      <c r="J98" s="851"/>
      <c r="K98" s="851"/>
      <c r="L98" s="851"/>
      <c r="M98" s="851"/>
      <c r="N98" s="851"/>
      <c r="O98" s="851"/>
      <c r="P98" s="851"/>
      <c r="Q98" s="856">
        <f t="shared" si="75"/>
        <v>0</v>
      </c>
      <c r="R98" s="854"/>
      <c r="S98" s="854"/>
    </row>
    <row r="99" ht="15" hidden="1" spans="3:19">
      <c r="C99" s="285" t="s">
        <v>189</v>
      </c>
      <c r="D99" s="286"/>
      <c r="E99" s="856">
        <f t="shared" ref="E99:P99" si="76">SUM(E86:E98)</f>
        <v>803.002796767668</v>
      </c>
      <c r="F99" s="856">
        <f t="shared" si="76"/>
        <v>649.039038739027</v>
      </c>
      <c r="G99" s="856">
        <f t="shared" si="76"/>
        <v>573.288955114617</v>
      </c>
      <c r="H99" s="856">
        <f t="shared" si="76"/>
        <v>776.234785796966</v>
      </c>
      <c r="I99" s="856">
        <f t="shared" si="76"/>
        <v>1063.16006873165</v>
      </c>
      <c r="J99" s="856">
        <f t="shared" si="76"/>
        <v>817.897245027652</v>
      </c>
      <c r="K99" s="856">
        <f t="shared" si="76"/>
        <v>677.755441547175</v>
      </c>
      <c r="L99" s="856">
        <f t="shared" si="76"/>
        <v>638.62</v>
      </c>
      <c r="M99" s="856">
        <f t="shared" si="76"/>
        <v>1027.11</v>
      </c>
      <c r="N99" s="856">
        <f t="shared" si="76"/>
        <v>1221.02768290285</v>
      </c>
      <c r="O99" s="856">
        <f t="shared" si="76"/>
        <v>1210.79</v>
      </c>
      <c r="P99" s="856">
        <f t="shared" si="76"/>
        <v>1360.46673844303</v>
      </c>
      <c r="Q99" s="856">
        <f t="shared" si="75"/>
        <v>10818.3927530706</v>
      </c>
      <c r="R99" s="854"/>
      <c r="S99" s="854"/>
    </row>
    <row r="100" ht="15" hidden="1" spans="3:19">
      <c r="C100" s="285" t="s">
        <v>190</v>
      </c>
      <c r="D100" s="286"/>
      <c r="E100" s="851"/>
      <c r="F100" s="851"/>
      <c r="G100" s="851"/>
      <c r="H100" s="851"/>
      <c r="I100" s="851"/>
      <c r="J100" s="851"/>
      <c r="K100" s="851"/>
      <c r="L100" s="851"/>
      <c r="M100" s="851"/>
      <c r="N100" s="851"/>
      <c r="O100" s="851"/>
      <c r="P100" s="851"/>
      <c r="Q100" s="856"/>
      <c r="R100" s="854"/>
      <c r="S100" s="854"/>
    </row>
    <row r="101" ht="15" hidden="1" spans="3:19">
      <c r="C101" s="296" t="s">
        <v>191</v>
      </c>
      <c r="D101" s="296" t="s">
        <v>192</v>
      </c>
      <c r="E101" s="851"/>
      <c r="F101" s="851"/>
      <c r="G101" s="851"/>
      <c r="H101" s="851"/>
      <c r="I101" s="851"/>
      <c r="J101" s="851"/>
      <c r="K101" s="851"/>
      <c r="L101" s="851"/>
      <c r="M101" s="851"/>
      <c r="N101" s="851"/>
      <c r="O101" s="851"/>
      <c r="P101" s="851"/>
      <c r="Q101" s="856">
        <f t="shared" ref="Q101:Q116" si="77">SUM(E101:P101)</f>
        <v>0</v>
      </c>
      <c r="R101" s="854"/>
      <c r="S101" s="854"/>
    </row>
    <row r="102" ht="15" hidden="1" spans="3:19">
      <c r="C102" s="296" t="s">
        <v>193</v>
      </c>
      <c r="D102" s="296" t="s">
        <v>194</v>
      </c>
      <c r="E102" s="851"/>
      <c r="F102" s="851"/>
      <c r="G102" s="851"/>
      <c r="H102" s="851"/>
      <c r="I102" s="851"/>
      <c r="J102" s="851"/>
      <c r="K102" s="851"/>
      <c r="L102" s="851"/>
      <c r="M102" s="851"/>
      <c r="N102" s="851"/>
      <c r="O102" s="851"/>
      <c r="P102" s="851"/>
      <c r="Q102" s="856">
        <f t="shared" si="77"/>
        <v>0</v>
      </c>
      <c r="R102" s="854"/>
      <c r="S102" s="854"/>
    </row>
    <row r="103" ht="15" hidden="1" spans="3:19">
      <c r="C103" s="296" t="s">
        <v>239</v>
      </c>
      <c r="D103" s="296" t="s">
        <v>196</v>
      </c>
      <c r="E103" s="851"/>
      <c r="F103" s="851"/>
      <c r="G103" s="851"/>
      <c r="H103" s="851"/>
      <c r="I103" s="851"/>
      <c r="J103" s="851"/>
      <c r="K103" s="851"/>
      <c r="L103" s="851"/>
      <c r="M103" s="851"/>
      <c r="N103" s="851"/>
      <c r="O103" s="851"/>
      <c r="P103" s="851"/>
      <c r="Q103" s="856">
        <f t="shared" si="77"/>
        <v>0</v>
      </c>
      <c r="R103" s="854"/>
      <c r="S103" s="854"/>
    </row>
    <row r="104" ht="15" hidden="1" spans="3:19">
      <c r="C104" s="296" t="s">
        <v>197</v>
      </c>
      <c r="D104" s="296" t="s">
        <v>198</v>
      </c>
      <c r="E104" s="851"/>
      <c r="F104" s="851"/>
      <c r="G104" s="851"/>
      <c r="H104" s="851"/>
      <c r="I104" s="851"/>
      <c r="J104" s="851"/>
      <c r="K104" s="851"/>
      <c r="L104" s="851"/>
      <c r="M104" s="851"/>
      <c r="N104" s="851"/>
      <c r="O104" s="851"/>
      <c r="P104" s="851"/>
      <c r="Q104" s="856">
        <f t="shared" si="77"/>
        <v>0</v>
      </c>
      <c r="R104" s="854"/>
      <c r="S104" s="854"/>
    </row>
    <row r="105" ht="15" hidden="1" spans="3:19">
      <c r="C105" s="296" t="s">
        <v>199</v>
      </c>
      <c r="D105" s="296" t="s">
        <v>200</v>
      </c>
      <c r="E105" s="851"/>
      <c r="F105" s="851"/>
      <c r="G105" s="851"/>
      <c r="H105" s="851"/>
      <c r="I105" s="851"/>
      <c r="J105" s="851"/>
      <c r="K105" s="851"/>
      <c r="L105" s="851"/>
      <c r="M105" s="851"/>
      <c r="N105" s="851"/>
      <c r="O105" s="851"/>
      <c r="P105" s="851"/>
      <c r="Q105" s="856">
        <f t="shared" si="77"/>
        <v>0</v>
      </c>
      <c r="R105" s="854"/>
      <c r="S105" s="854"/>
    </row>
    <row r="106" ht="15" hidden="1" spans="3:19">
      <c r="C106" s="296" t="s">
        <v>201</v>
      </c>
      <c r="D106" s="296" t="s">
        <v>202</v>
      </c>
      <c r="E106" s="851"/>
      <c r="F106" s="851"/>
      <c r="G106" s="851"/>
      <c r="H106" s="851"/>
      <c r="I106" s="851"/>
      <c r="J106" s="851"/>
      <c r="K106" s="851"/>
      <c r="L106" s="851"/>
      <c r="M106" s="851"/>
      <c r="N106" s="851"/>
      <c r="O106" s="851"/>
      <c r="P106" s="851"/>
      <c r="Q106" s="856">
        <f t="shared" si="77"/>
        <v>0</v>
      </c>
      <c r="R106" s="854"/>
      <c r="S106" s="854"/>
    </row>
    <row r="107" ht="15" hidden="1" spans="3:19">
      <c r="C107" s="296" t="s">
        <v>203</v>
      </c>
      <c r="D107" s="296" t="s">
        <v>204</v>
      </c>
      <c r="E107" s="851"/>
      <c r="F107" s="851"/>
      <c r="G107" s="851"/>
      <c r="H107" s="851"/>
      <c r="I107" s="851"/>
      <c r="J107" s="851"/>
      <c r="K107" s="851"/>
      <c r="L107" s="851"/>
      <c r="M107" s="851"/>
      <c r="N107" s="851"/>
      <c r="O107" s="851"/>
      <c r="P107" s="851"/>
      <c r="Q107" s="856">
        <f t="shared" si="77"/>
        <v>0</v>
      </c>
      <c r="R107" s="854"/>
      <c r="S107" s="854"/>
    </row>
    <row r="108" ht="15" hidden="1" spans="3:19">
      <c r="C108" s="296" t="s">
        <v>205</v>
      </c>
      <c r="D108" s="296" t="s">
        <v>206</v>
      </c>
      <c r="E108" s="851"/>
      <c r="F108" s="851"/>
      <c r="G108" s="851"/>
      <c r="H108" s="851"/>
      <c r="I108" s="851"/>
      <c r="J108" s="851"/>
      <c r="K108" s="851"/>
      <c r="L108" s="851"/>
      <c r="M108" s="851"/>
      <c r="N108" s="851"/>
      <c r="O108" s="851"/>
      <c r="P108" s="851"/>
      <c r="Q108" s="856">
        <f t="shared" si="77"/>
        <v>0</v>
      </c>
      <c r="R108" s="854"/>
      <c r="S108" s="854"/>
    </row>
    <row r="109" ht="15" hidden="1" spans="3:19">
      <c r="C109" s="296" t="s">
        <v>207</v>
      </c>
      <c r="D109" s="296" t="s">
        <v>186</v>
      </c>
      <c r="E109" s="851"/>
      <c r="F109" s="851"/>
      <c r="G109" s="851"/>
      <c r="H109" s="851"/>
      <c r="I109" s="851"/>
      <c r="J109" s="851"/>
      <c r="K109" s="851"/>
      <c r="L109" s="851"/>
      <c r="M109" s="851"/>
      <c r="N109" s="851"/>
      <c r="O109" s="851"/>
      <c r="P109" s="851"/>
      <c r="Q109" s="856">
        <f t="shared" si="77"/>
        <v>0</v>
      </c>
      <c r="R109" s="854"/>
      <c r="S109" s="854"/>
    </row>
    <row r="110" ht="15" hidden="1" spans="3:19">
      <c r="C110" s="296" t="s">
        <v>208</v>
      </c>
      <c r="D110" s="296" t="s">
        <v>209</v>
      </c>
      <c r="E110" s="851"/>
      <c r="F110" s="851"/>
      <c r="G110" s="851"/>
      <c r="H110" s="851"/>
      <c r="I110" s="851"/>
      <c r="J110" s="851"/>
      <c r="K110" s="851"/>
      <c r="L110" s="851"/>
      <c r="M110" s="851"/>
      <c r="N110" s="851"/>
      <c r="O110" s="851"/>
      <c r="P110" s="851"/>
      <c r="Q110" s="856">
        <f t="shared" si="77"/>
        <v>0</v>
      </c>
      <c r="R110" s="854"/>
      <c r="S110" s="854"/>
    </row>
    <row r="111" ht="15" hidden="1" spans="3:19">
      <c r="C111" s="296" t="s">
        <v>210</v>
      </c>
      <c r="D111" s="296" t="s">
        <v>188</v>
      </c>
      <c r="E111" s="851"/>
      <c r="F111" s="851"/>
      <c r="G111" s="851"/>
      <c r="H111" s="851"/>
      <c r="I111" s="851"/>
      <c r="J111" s="851"/>
      <c r="K111" s="851"/>
      <c r="L111" s="851"/>
      <c r="M111" s="851"/>
      <c r="N111" s="851"/>
      <c r="O111" s="851"/>
      <c r="P111" s="851"/>
      <c r="Q111" s="856">
        <f t="shared" si="77"/>
        <v>0</v>
      </c>
      <c r="R111" s="854"/>
      <c r="S111" s="854"/>
    </row>
    <row r="112" ht="15" hidden="1" spans="3:19">
      <c r="C112" s="296"/>
      <c r="D112" s="296"/>
      <c r="E112" s="851"/>
      <c r="F112" s="851"/>
      <c r="G112" s="851"/>
      <c r="H112" s="851"/>
      <c r="I112" s="851"/>
      <c r="J112" s="851"/>
      <c r="K112" s="851"/>
      <c r="L112" s="851"/>
      <c r="M112" s="851"/>
      <c r="N112" s="851"/>
      <c r="O112" s="851"/>
      <c r="P112" s="851"/>
      <c r="Q112" s="856">
        <f t="shared" si="77"/>
        <v>0</v>
      </c>
      <c r="R112" s="854"/>
      <c r="S112" s="854"/>
    </row>
    <row r="113" ht="15" hidden="1" spans="3:19">
      <c r="C113" s="296"/>
      <c r="D113" s="296"/>
      <c r="E113" s="851"/>
      <c r="F113" s="851"/>
      <c r="G113" s="851"/>
      <c r="H113" s="851"/>
      <c r="I113" s="851"/>
      <c r="J113" s="851"/>
      <c r="K113" s="851"/>
      <c r="L113" s="851"/>
      <c r="M113" s="851"/>
      <c r="N113" s="851"/>
      <c r="O113" s="851"/>
      <c r="P113" s="851"/>
      <c r="Q113" s="856">
        <f t="shared" si="77"/>
        <v>0</v>
      </c>
      <c r="R113" s="854"/>
      <c r="S113" s="854"/>
    </row>
    <row r="114" ht="15" hidden="1" spans="3:19">
      <c r="C114" s="296"/>
      <c r="D114" s="296"/>
      <c r="E114" s="851"/>
      <c r="F114" s="851"/>
      <c r="G114" s="851"/>
      <c r="H114" s="851"/>
      <c r="I114" s="851"/>
      <c r="J114" s="851"/>
      <c r="K114" s="851"/>
      <c r="L114" s="851"/>
      <c r="M114" s="851"/>
      <c r="N114" s="851"/>
      <c r="O114" s="851"/>
      <c r="P114" s="851"/>
      <c r="Q114" s="856">
        <f t="shared" si="77"/>
        <v>0</v>
      </c>
      <c r="R114" s="854"/>
      <c r="S114" s="854"/>
    </row>
    <row r="115" ht="15" hidden="1" spans="3:19">
      <c r="C115" s="296" t="s">
        <v>258</v>
      </c>
      <c r="D115" s="296" t="s">
        <v>258</v>
      </c>
      <c r="E115" s="851"/>
      <c r="F115" s="851"/>
      <c r="G115" s="851"/>
      <c r="H115" s="851"/>
      <c r="I115" s="851"/>
      <c r="J115" s="851"/>
      <c r="K115" s="851"/>
      <c r="L115" s="851"/>
      <c r="M115" s="851"/>
      <c r="N115" s="851"/>
      <c r="O115" s="851"/>
      <c r="P115" s="851"/>
      <c r="Q115" s="856">
        <f t="shared" si="77"/>
        <v>0</v>
      </c>
      <c r="R115" s="854"/>
      <c r="S115" s="854"/>
    </row>
    <row r="116" ht="15" hidden="1" spans="3:19">
      <c r="C116" s="285" t="s">
        <v>211</v>
      </c>
      <c r="D116" s="286"/>
      <c r="E116" s="856">
        <f t="shared" ref="E116:P116" si="78">SUM(E101:E115)</f>
        <v>0</v>
      </c>
      <c r="F116" s="856">
        <f t="shared" si="78"/>
        <v>0</v>
      </c>
      <c r="G116" s="856">
        <f t="shared" si="78"/>
        <v>0</v>
      </c>
      <c r="H116" s="856">
        <f t="shared" si="78"/>
        <v>0</v>
      </c>
      <c r="I116" s="856">
        <f t="shared" si="78"/>
        <v>0</v>
      </c>
      <c r="J116" s="856">
        <f t="shared" si="78"/>
        <v>0</v>
      </c>
      <c r="K116" s="856">
        <f t="shared" si="78"/>
        <v>0</v>
      </c>
      <c r="L116" s="856">
        <f t="shared" si="78"/>
        <v>0</v>
      </c>
      <c r="M116" s="856">
        <f t="shared" si="78"/>
        <v>0</v>
      </c>
      <c r="N116" s="856">
        <f t="shared" si="78"/>
        <v>0</v>
      </c>
      <c r="O116" s="856">
        <f t="shared" si="78"/>
        <v>0</v>
      </c>
      <c r="P116" s="856">
        <f t="shared" si="78"/>
        <v>0</v>
      </c>
      <c r="Q116" s="856">
        <f t="shared" si="77"/>
        <v>0</v>
      </c>
      <c r="R116" s="854"/>
      <c r="S116" s="854"/>
    </row>
    <row r="117" ht="15" hidden="1" spans="3:19">
      <c r="C117" s="285" t="s">
        <v>212</v>
      </c>
      <c r="D117" s="286"/>
      <c r="E117" s="851"/>
      <c r="F117" s="851"/>
      <c r="G117" s="851"/>
      <c r="H117" s="851"/>
      <c r="I117" s="851"/>
      <c r="J117" s="851"/>
      <c r="K117" s="851"/>
      <c r="L117" s="851"/>
      <c r="M117" s="851"/>
      <c r="N117" s="851"/>
      <c r="O117" s="851"/>
      <c r="P117" s="851"/>
      <c r="Q117" s="856"/>
      <c r="R117" s="854"/>
      <c r="S117" s="854"/>
    </row>
    <row r="118" ht="15" hidden="1" spans="3:19">
      <c r="C118" s="296" t="s">
        <v>191</v>
      </c>
      <c r="D118" s="296" t="s">
        <v>192</v>
      </c>
      <c r="E118" s="851"/>
      <c r="F118" s="851"/>
      <c r="G118" s="851"/>
      <c r="H118" s="851"/>
      <c r="I118" s="851"/>
      <c r="J118" s="851"/>
      <c r="K118" s="851"/>
      <c r="L118" s="851"/>
      <c r="M118" s="851"/>
      <c r="N118" s="851"/>
      <c r="O118" s="851"/>
      <c r="P118" s="851"/>
      <c r="Q118" s="856">
        <f t="shared" ref="Q118:Q133" si="79">SUM(E118:P118)</f>
        <v>0</v>
      </c>
      <c r="R118" s="854"/>
      <c r="S118" s="854"/>
    </row>
    <row r="119" ht="15" hidden="1" spans="3:19">
      <c r="C119" s="296" t="s">
        <v>193</v>
      </c>
      <c r="D119" s="296" t="s">
        <v>194</v>
      </c>
      <c r="E119" s="851"/>
      <c r="F119" s="851"/>
      <c r="G119" s="851"/>
      <c r="H119" s="851"/>
      <c r="I119" s="851"/>
      <c r="J119" s="851"/>
      <c r="K119" s="851"/>
      <c r="L119" s="851"/>
      <c r="M119" s="851"/>
      <c r="N119" s="851"/>
      <c r="O119" s="851"/>
      <c r="P119" s="851"/>
      <c r="Q119" s="856">
        <f t="shared" si="79"/>
        <v>0</v>
      </c>
      <c r="R119" s="854"/>
      <c r="S119" s="854"/>
    </row>
    <row r="120" ht="15" hidden="1" spans="3:19">
      <c r="C120" s="296" t="s">
        <v>239</v>
      </c>
      <c r="D120" s="296" t="s">
        <v>196</v>
      </c>
      <c r="E120" s="851"/>
      <c r="F120" s="851"/>
      <c r="G120" s="851"/>
      <c r="H120" s="851"/>
      <c r="I120" s="851"/>
      <c r="J120" s="851"/>
      <c r="K120" s="851"/>
      <c r="L120" s="851"/>
      <c r="M120" s="851"/>
      <c r="N120" s="851"/>
      <c r="O120" s="851"/>
      <c r="P120" s="851"/>
      <c r="Q120" s="856">
        <f t="shared" si="79"/>
        <v>0</v>
      </c>
      <c r="R120" s="854"/>
      <c r="S120" s="854"/>
    </row>
    <row r="121" ht="15" hidden="1" spans="3:19">
      <c r="C121" s="296" t="s">
        <v>197</v>
      </c>
      <c r="D121" s="296" t="s">
        <v>198</v>
      </c>
      <c r="E121" s="851"/>
      <c r="F121" s="851"/>
      <c r="G121" s="851"/>
      <c r="H121" s="851"/>
      <c r="I121" s="851"/>
      <c r="J121" s="851"/>
      <c r="K121" s="851"/>
      <c r="L121" s="851"/>
      <c r="M121" s="851"/>
      <c r="N121" s="851"/>
      <c r="O121" s="851"/>
      <c r="P121" s="851"/>
      <c r="Q121" s="856">
        <f t="shared" si="79"/>
        <v>0</v>
      </c>
      <c r="R121" s="854"/>
      <c r="S121" s="854"/>
    </row>
    <row r="122" ht="15" hidden="1" spans="3:19">
      <c r="C122" s="296" t="s">
        <v>199</v>
      </c>
      <c r="D122" s="296" t="s">
        <v>200</v>
      </c>
      <c r="E122" s="851"/>
      <c r="F122" s="851"/>
      <c r="G122" s="851"/>
      <c r="H122" s="851"/>
      <c r="I122" s="851"/>
      <c r="J122" s="851"/>
      <c r="K122" s="851"/>
      <c r="L122" s="851"/>
      <c r="M122" s="851"/>
      <c r="N122" s="851"/>
      <c r="O122" s="851"/>
      <c r="P122" s="851"/>
      <c r="Q122" s="856">
        <f t="shared" si="79"/>
        <v>0</v>
      </c>
      <c r="R122" s="854"/>
      <c r="S122" s="854"/>
    </row>
    <row r="123" ht="15" hidden="1" spans="3:19">
      <c r="C123" s="296" t="s">
        <v>201</v>
      </c>
      <c r="D123" s="296" t="s">
        <v>202</v>
      </c>
      <c r="E123" s="851"/>
      <c r="F123" s="851"/>
      <c r="G123" s="851"/>
      <c r="H123" s="851"/>
      <c r="I123" s="851"/>
      <c r="J123" s="851"/>
      <c r="K123" s="851"/>
      <c r="L123" s="851"/>
      <c r="M123" s="851"/>
      <c r="N123" s="851"/>
      <c r="O123" s="851"/>
      <c r="P123" s="851"/>
      <c r="Q123" s="856">
        <f t="shared" si="79"/>
        <v>0</v>
      </c>
      <c r="R123" s="854"/>
      <c r="S123" s="854"/>
    </row>
    <row r="124" ht="15" hidden="1" spans="3:19">
      <c r="C124" s="296" t="s">
        <v>203</v>
      </c>
      <c r="D124" s="296" t="s">
        <v>204</v>
      </c>
      <c r="E124" s="851"/>
      <c r="F124" s="851"/>
      <c r="G124" s="851"/>
      <c r="H124" s="851"/>
      <c r="I124" s="851"/>
      <c r="J124" s="851"/>
      <c r="K124" s="851"/>
      <c r="L124" s="851"/>
      <c r="M124" s="851"/>
      <c r="N124" s="851"/>
      <c r="O124" s="851"/>
      <c r="P124" s="851"/>
      <c r="Q124" s="856">
        <f t="shared" si="79"/>
        <v>0</v>
      </c>
      <c r="R124" s="854"/>
      <c r="S124" s="854"/>
    </row>
    <row r="125" ht="15" hidden="1" spans="3:19">
      <c r="C125" s="296" t="s">
        <v>205</v>
      </c>
      <c r="D125" s="296" t="s">
        <v>206</v>
      </c>
      <c r="E125" s="851"/>
      <c r="F125" s="851"/>
      <c r="G125" s="851"/>
      <c r="H125" s="851"/>
      <c r="I125" s="851"/>
      <c r="J125" s="851"/>
      <c r="K125" s="851"/>
      <c r="L125" s="851"/>
      <c r="M125" s="851"/>
      <c r="N125" s="851"/>
      <c r="O125" s="851"/>
      <c r="P125" s="851"/>
      <c r="Q125" s="856">
        <f t="shared" si="79"/>
        <v>0</v>
      </c>
      <c r="R125" s="854"/>
      <c r="S125" s="854"/>
    </row>
    <row r="126" ht="15" hidden="1" spans="3:19">
      <c r="C126" s="296" t="s">
        <v>231</v>
      </c>
      <c r="D126" s="296" t="s">
        <v>186</v>
      </c>
      <c r="E126" s="851"/>
      <c r="F126" s="851"/>
      <c r="G126" s="851"/>
      <c r="H126" s="851"/>
      <c r="I126" s="851"/>
      <c r="J126" s="851"/>
      <c r="K126" s="851"/>
      <c r="L126" s="851"/>
      <c r="M126" s="851"/>
      <c r="N126" s="851"/>
      <c r="O126" s="851"/>
      <c r="P126" s="851"/>
      <c r="Q126" s="856">
        <f t="shared" si="79"/>
        <v>0</v>
      </c>
      <c r="R126" s="854"/>
      <c r="S126" s="854"/>
    </row>
    <row r="127" ht="15" hidden="1" spans="3:19">
      <c r="C127" s="296" t="s">
        <v>208</v>
      </c>
      <c r="D127" s="296" t="s">
        <v>209</v>
      </c>
      <c r="E127" s="851"/>
      <c r="F127" s="851"/>
      <c r="G127" s="851"/>
      <c r="H127" s="851"/>
      <c r="I127" s="851"/>
      <c r="J127" s="851"/>
      <c r="K127" s="851"/>
      <c r="L127" s="851"/>
      <c r="M127" s="851"/>
      <c r="N127" s="851"/>
      <c r="O127" s="851"/>
      <c r="P127" s="851"/>
      <c r="Q127" s="856">
        <f t="shared" si="79"/>
        <v>0</v>
      </c>
      <c r="R127" s="854"/>
      <c r="S127" s="854"/>
    </row>
    <row r="128" ht="15" hidden="1" spans="3:19">
      <c r="C128" s="296" t="s">
        <v>210</v>
      </c>
      <c r="D128" s="296" t="s">
        <v>188</v>
      </c>
      <c r="E128" s="851"/>
      <c r="F128" s="851"/>
      <c r="G128" s="851"/>
      <c r="H128" s="851"/>
      <c r="I128" s="851"/>
      <c r="J128" s="851"/>
      <c r="K128" s="851"/>
      <c r="L128" s="851"/>
      <c r="M128" s="851"/>
      <c r="N128" s="851"/>
      <c r="O128" s="851"/>
      <c r="P128" s="851"/>
      <c r="Q128" s="856">
        <f t="shared" si="79"/>
        <v>0</v>
      </c>
      <c r="R128" s="854"/>
      <c r="S128" s="854"/>
    </row>
    <row r="129" ht="15" hidden="1" spans="3:19">
      <c r="C129" s="296"/>
      <c r="D129" s="296"/>
      <c r="E129" s="851"/>
      <c r="F129" s="851"/>
      <c r="G129" s="851"/>
      <c r="H129" s="851"/>
      <c r="I129" s="851"/>
      <c r="J129" s="851"/>
      <c r="K129" s="851"/>
      <c r="L129" s="851"/>
      <c r="M129" s="851"/>
      <c r="N129" s="851"/>
      <c r="O129" s="851"/>
      <c r="P129" s="851"/>
      <c r="Q129" s="856">
        <f t="shared" si="79"/>
        <v>0</v>
      </c>
      <c r="R129" s="854"/>
      <c r="S129" s="854"/>
    </row>
    <row r="130" ht="15" hidden="1" spans="3:19">
      <c r="C130" s="296"/>
      <c r="D130" s="296"/>
      <c r="E130" s="851"/>
      <c r="F130" s="851"/>
      <c r="G130" s="851"/>
      <c r="H130" s="851"/>
      <c r="I130" s="851"/>
      <c r="J130" s="851"/>
      <c r="K130" s="851"/>
      <c r="L130" s="851"/>
      <c r="M130" s="851"/>
      <c r="N130" s="851"/>
      <c r="O130" s="851"/>
      <c r="P130" s="851"/>
      <c r="Q130" s="856">
        <f t="shared" si="79"/>
        <v>0</v>
      </c>
      <c r="R130" s="854"/>
      <c r="S130" s="854"/>
    </row>
    <row r="131" ht="15" hidden="1" spans="3:19">
      <c r="C131" s="296"/>
      <c r="D131" s="296"/>
      <c r="E131" s="851"/>
      <c r="F131" s="851"/>
      <c r="G131" s="851"/>
      <c r="H131" s="851"/>
      <c r="I131" s="851"/>
      <c r="J131" s="851"/>
      <c r="K131" s="851"/>
      <c r="L131" s="851"/>
      <c r="M131" s="851"/>
      <c r="N131" s="851"/>
      <c r="O131" s="851"/>
      <c r="P131" s="851"/>
      <c r="Q131" s="856">
        <f t="shared" si="79"/>
        <v>0</v>
      </c>
      <c r="R131" s="854"/>
      <c r="S131" s="854"/>
    </row>
    <row r="132" ht="15" hidden="1" spans="3:19">
      <c r="C132" s="296" t="s">
        <v>258</v>
      </c>
      <c r="D132" s="296" t="s">
        <v>258</v>
      </c>
      <c r="E132" s="851"/>
      <c r="F132" s="851"/>
      <c r="G132" s="851"/>
      <c r="H132" s="851"/>
      <c r="I132" s="851"/>
      <c r="J132" s="851"/>
      <c r="K132" s="851"/>
      <c r="L132" s="851"/>
      <c r="M132" s="851"/>
      <c r="N132" s="851"/>
      <c r="O132" s="851"/>
      <c r="P132" s="851"/>
      <c r="Q132" s="856">
        <f t="shared" si="79"/>
        <v>0</v>
      </c>
      <c r="R132" s="854"/>
      <c r="S132" s="854"/>
    </row>
    <row r="133" ht="15" hidden="1" spans="3:19">
      <c r="C133" s="285" t="s">
        <v>211</v>
      </c>
      <c r="D133" s="286"/>
      <c r="E133" s="856">
        <f t="shared" ref="E133:P133" si="80">SUM(E118:E132)</f>
        <v>0</v>
      </c>
      <c r="F133" s="856">
        <f t="shared" si="80"/>
        <v>0</v>
      </c>
      <c r="G133" s="856">
        <f t="shared" si="80"/>
        <v>0</v>
      </c>
      <c r="H133" s="856">
        <f t="shared" si="80"/>
        <v>0</v>
      </c>
      <c r="I133" s="856">
        <f t="shared" si="80"/>
        <v>0</v>
      </c>
      <c r="J133" s="856">
        <f t="shared" si="80"/>
        <v>0</v>
      </c>
      <c r="K133" s="856">
        <f t="shared" si="80"/>
        <v>0</v>
      </c>
      <c r="L133" s="856">
        <f t="shared" si="80"/>
        <v>0</v>
      </c>
      <c r="M133" s="856">
        <f t="shared" si="80"/>
        <v>0</v>
      </c>
      <c r="N133" s="856">
        <f t="shared" si="80"/>
        <v>0</v>
      </c>
      <c r="O133" s="856">
        <f t="shared" si="80"/>
        <v>0</v>
      </c>
      <c r="P133" s="856">
        <f t="shared" si="80"/>
        <v>0</v>
      </c>
      <c r="Q133" s="856">
        <f t="shared" si="79"/>
        <v>0</v>
      </c>
      <c r="R133" s="854"/>
      <c r="S133" s="854"/>
    </row>
    <row r="134" ht="15" hidden="1" spans="3:19">
      <c r="C134" s="285" t="s">
        <v>219</v>
      </c>
      <c r="D134" s="286"/>
      <c r="E134" s="851"/>
      <c r="F134" s="851"/>
      <c r="G134" s="851"/>
      <c r="H134" s="851"/>
      <c r="I134" s="851"/>
      <c r="J134" s="851"/>
      <c r="K134" s="851"/>
      <c r="L134" s="851"/>
      <c r="M134" s="851"/>
      <c r="N134" s="851"/>
      <c r="O134" s="851"/>
      <c r="P134" s="851"/>
      <c r="Q134" s="856"/>
      <c r="R134" s="854"/>
      <c r="S134" s="854"/>
    </row>
    <row r="135" ht="15" hidden="1" spans="3:19">
      <c r="C135" s="296" t="s">
        <v>191</v>
      </c>
      <c r="D135" s="296" t="s">
        <v>192</v>
      </c>
      <c r="E135" s="851"/>
      <c r="F135" s="851"/>
      <c r="G135" s="851"/>
      <c r="H135" s="851"/>
      <c r="I135" s="851"/>
      <c r="J135" s="851"/>
      <c r="K135" s="851"/>
      <c r="L135" s="851"/>
      <c r="M135" s="851"/>
      <c r="N135" s="851"/>
      <c r="O135" s="851"/>
      <c r="P135" s="851"/>
      <c r="Q135" s="856">
        <f t="shared" ref="Q135:Q154" si="81">SUM(E135:P135)</f>
        <v>0</v>
      </c>
      <c r="R135" s="854"/>
      <c r="S135" s="854"/>
    </row>
    <row r="136" ht="15" hidden="1" spans="3:19">
      <c r="C136" s="296" t="s">
        <v>193</v>
      </c>
      <c r="D136" s="296" t="s">
        <v>194</v>
      </c>
      <c r="E136" s="851"/>
      <c r="F136" s="851"/>
      <c r="G136" s="851"/>
      <c r="H136" s="851"/>
      <c r="I136" s="851"/>
      <c r="J136" s="851"/>
      <c r="K136" s="851"/>
      <c r="L136" s="851"/>
      <c r="M136" s="851"/>
      <c r="N136" s="851"/>
      <c r="O136" s="851"/>
      <c r="P136" s="851"/>
      <c r="Q136" s="856">
        <f t="shared" si="81"/>
        <v>0</v>
      </c>
      <c r="R136" s="854"/>
      <c r="S136" s="854"/>
    </row>
    <row r="137" ht="15" hidden="1" spans="3:19">
      <c r="C137" s="296" t="s">
        <v>239</v>
      </c>
      <c r="D137" s="296" t="s">
        <v>196</v>
      </c>
      <c r="E137" s="851"/>
      <c r="F137" s="851"/>
      <c r="G137" s="851"/>
      <c r="H137" s="851"/>
      <c r="I137" s="851"/>
      <c r="J137" s="851"/>
      <c r="K137" s="851"/>
      <c r="L137" s="851"/>
      <c r="M137" s="851"/>
      <c r="N137" s="851"/>
      <c r="O137" s="851"/>
      <c r="P137" s="851"/>
      <c r="Q137" s="856">
        <f t="shared" si="81"/>
        <v>0</v>
      </c>
      <c r="R137" s="854"/>
      <c r="S137" s="854"/>
    </row>
    <row r="138" ht="15" hidden="1" spans="3:19">
      <c r="C138" s="296" t="s">
        <v>197</v>
      </c>
      <c r="D138" s="296" t="s">
        <v>198</v>
      </c>
      <c r="E138" s="851"/>
      <c r="F138" s="851"/>
      <c r="G138" s="851"/>
      <c r="H138" s="851"/>
      <c r="I138" s="851"/>
      <c r="J138" s="851"/>
      <c r="K138" s="851"/>
      <c r="L138" s="851"/>
      <c r="M138" s="851"/>
      <c r="N138" s="851"/>
      <c r="O138" s="851"/>
      <c r="P138" s="851"/>
      <c r="Q138" s="856">
        <f t="shared" si="81"/>
        <v>0</v>
      </c>
      <c r="R138" s="854"/>
      <c r="S138" s="854"/>
    </row>
    <row r="139" ht="15" hidden="1" spans="3:19">
      <c r="C139" s="296" t="s">
        <v>199</v>
      </c>
      <c r="D139" s="296" t="s">
        <v>200</v>
      </c>
      <c r="E139" s="851"/>
      <c r="F139" s="851"/>
      <c r="G139" s="851"/>
      <c r="H139" s="851"/>
      <c r="I139" s="851"/>
      <c r="J139" s="851"/>
      <c r="K139" s="851"/>
      <c r="L139" s="851"/>
      <c r="M139" s="851"/>
      <c r="N139" s="851"/>
      <c r="O139" s="851"/>
      <c r="P139" s="851"/>
      <c r="Q139" s="856">
        <f t="shared" si="81"/>
        <v>0</v>
      </c>
      <c r="R139" s="854"/>
      <c r="S139" s="854"/>
    </row>
    <row r="140" ht="15" hidden="1" spans="3:19">
      <c r="C140" s="296" t="s">
        <v>201</v>
      </c>
      <c r="D140" s="296" t="s">
        <v>240</v>
      </c>
      <c r="E140" s="851"/>
      <c r="F140" s="851"/>
      <c r="G140" s="851"/>
      <c r="H140" s="851"/>
      <c r="I140" s="851"/>
      <c r="J140" s="851"/>
      <c r="K140" s="851"/>
      <c r="L140" s="851"/>
      <c r="M140" s="851"/>
      <c r="N140" s="851"/>
      <c r="O140" s="851"/>
      <c r="P140" s="851"/>
      <c r="Q140" s="856">
        <f t="shared" si="81"/>
        <v>0</v>
      </c>
      <c r="R140" s="854"/>
      <c r="S140" s="854"/>
    </row>
    <row r="141" ht="15" hidden="1" spans="3:19">
      <c r="C141" s="296" t="s">
        <v>203</v>
      </c>
      <c r="D141" s="296" t="s">
        <v>220</v>
      </c>
      <c r="E141" s="851"/>
      <c r="F141" s="851"/>
      <c r="G141" s="851"/>
      <c r="H141" s="851"/>
      <c r="I141" s="851"/>
      <c r="J141" s="851"/>
      <c r="K141" s="851"/>
      <c r="L141" s="851"/>
      <c r="M141" s="851"/>
      <c r="N141" s="851"/>
      <c r="O141" s="851"/>
      <c r="P141" s="851"/>
      <c r="Q141" s="856">
        <f t="shared" si="81"/>
        <v>0</v>
      </c>
      <c r="R141" s="854"/>
      <c r="S141" s="854"/>
    </row>
    <row r="142" ht="15" hidden="1" spans="3:19">
      <c r="C142" s="296" t="s">
        <v>241</v>
      </c>
      <c r="D142" s="296" t="s">
        <v>229</v>
      </c>
      <c r="E142" s="851"/>
      <c r="F142" s="851"/>
      <c r="G142" s="851"/>
      <c r="H142" s="851"/>
      <c r="I142" s="851"/>
      <c r="J142" s="851"/>
      <c r="K142" s="851"/>
      <c r="L142" s="851"/>
      <c r="M142" s="851"/>
      <c r="N142" s="851"/>
      <c r="O142" s="851"/>
      <c r="P142" s="851"/>
      <c r="Q142" s="856">
        <f t="shared" si="81"/>
        <v>0</v>
      </c>
      <c r="R142" s="854"/>
      <c r="S142" s="854"/>
    </row>
    <row r="143" ht="15" hidden="1" spans="3:19">
      <c r="C143" s="296" t="s">
        <v>259</v>
      </c>
      <c r="D143" s="296" t="s">
        <v>243</v>
      </c>
      <c r="E143" s="851"/>
      <c r="F143" s="851"/>
      <c r="G143" s="851"/>
      <c r="H143" s="851"/>
      <c r="I143" s="851"/>
      <c r="J143" s="851"/>
      <c r="K143" s="851"/>
      <c r="L143" s="851"/>
      <c r="M143" s="851"/>
      <c r="N143" s="851"/>
      <c r="O143" s="851"/>
      <c r="P143" s="851"/>
      <c r="Q143" s="856">
        <f t="shared" si="81"/>
        <v>0</v>
      </c>
      <c r="R143" s="854"/>
      <c r="S143" s="854"/>
    </row>
    <row r="144" ht="15" hidden="1" spans="3:19">
      <c r="C144" s="296" t="s">
        <v>205</v>
      </c>
      <c r="D144" s="296" t="s">
        <v>206</v>
      </c>
      <c r="E144" s="851"/>
      <c r="F144" s="851"/>
      <c r="G144" s="851"/>
      <c r="H144" s="851"/>
      <c r="I144" s="851"/>
      <c r="J144" s="851"/>
      <c r="K144" s="851"/>
      <c r="L144" s="851"/>
      <c r="M144" s="851"/>
      <c r="N144" s="851"/>
      <c r="O144" s="851"/>
      <c r="P144" s="851"/>
      <c r="Q144" s="856">
        <f t="shared" si="81"/>
        <v>0</v>
      </c>
      <c r="R144" s="854"/>
      <c r="S144" s="854"/>
    </row>
    <row r="145" ht="15" hidden="1" spans="3:19">
      <c r="C145" s="296" t="s">
        <v>207</v>
      </c>
      <c r="D145" s="296" t="s">
        <v>186</v>
      </c>
      <c r="E145" s="851"/>
      <c r="F145" s="851"/>
      <c r="G145" s="851"/>
      <c r="H145" s="851"/>
      <c r="I145" s="851"/>
      <c r="J145" s="851"/>
      <c r="K145" s="851"/>
      <c r="L145" s="851"/>
      <c r="M145" s="851"/>
      <c r="N145" s="851"/>
      <c r="O145" s="851"/>
      <c r="P145" s="851"/>
      <c r="Q145" s="856">
        <f t="shared" si="81"/>
        <v>0</v>
      </c>
      <c r="R145" s="854"/>
      <c r="S145" s="854"/>
    </row>
    <row r="146" ht="15" hidden="1" spans="3:19">
      <c r="C146" s="296" t="s">
        <v>208</v>
      </c>
      <c r="D146" s="296" t="s">
        <v>209</v>
      </c>
      <c r="E146" s="851"/>
      <c r="F146" s="851"/>
      <c r="G146" s="851"/>
      <c r="H146" s="851"/>
      <c r="I146" s="851"/>
      <c r="J146" s="851"/>
      <c r="K146" s="851"/>
      <c r="L146" s="851"/>
      <c r="M146" s="851"/>
      <c r="N146" s="851"/>
      <c r="O146" s="851"/>
      <c r="P146" s="851"/>
      <c r="Q146" s="856">
        <f t="shared" si="81"/>
        <v>0</v>
      </c>
      <c r="R146" s="854"/>
      <c r="S146" s="854"/>
    </row>
    <row r="147" ht="15" hidden="1" spans="3:19">
      <c r="C147" s="296" t="s">
        <v>210</v>
      </c>
      <c r="D147" s="296" t="s">
        <v>188</v>
      </c>
      <c r="E147" s="851"/>
      <c r="F147" s="851"/>
      <c r="G147" s="851"/>
      <c r="H147" s="851"/>
      <c r="I147" s="851"/>
      <c r="J147" s="851"/>
      <c r="K147" s="851"/>
      <c r="L147" s="851"/>
      <c r="M147" s="851"/>
      <c r="N147" s="851"/>
      <c r="O147" s="851"/>
      <c r="P147" s="851"/>
      <c r="Q147" s="856">
        <f t="shared" si="81"/>
        <v>0</v>
      </c>
      <c r="R147" s="854"/>
      <c r="S147" s="854"/>
    </row>
    <row r="148" ht="15" hidden="1" spans="3:19">
      <c r="C148" s="296"/>
      <c r="D148" s="296"/>
      <c r="E148" s="851"/>
      <c r="F148" s="851"/>
      <c r="G148" s="851"/>
      <c r="H148" s="851"/>
      <c r="I148" s="851"/>
      <c r="J148" s="851"/>
      <c r="K148" s="851"/>
      <c r="L148" s="851"/>
      <c r="M148" s="851"/>
      <c r="N148" s="851"/>
      <c r="O148" s="851"/>
      <c r="P148" s="851"/>
      <c r="Q148" s="856">
        <f t="shared" si="81"/>
        <v>0</v>
      </c>
      <c r="R148" s="854"/>
      <c r="S148" s="854"/>
    </row>
    <row r="149" ht="15" hidden="1" spans="3:19">
      <c r="C149" s="296"/>
      <c r="D149" s="296"/>
      <c r="E149" s="851"/>
      <c r="F149" s="851"/>
      <c r="G149" s="851"/>
      <c r="H149" s="851"/>
      <c r="I149" s="851"/>
      <c r="J149" s="851"/>
      <c r="K149" s="851"/>
      <c r="L149" s="851"/>
      <c r="M149" s="851"/>
      <c r="N149" s="851"/>
      <c r="O149" s="851"/>
      <c r="P149" s="851"/>
      <c r="Q149" s="856">
        <f t="shared" si="81"/>
        <v>0</v>
      </c>
      <c r="R149" s="854"/>
      <c r="S149" s="854"/>
    </row>
    <row r="150" ht="15" hidden="1" spans="3:19">
      <c r="C150" s="296"/>
      <c r="D150" s="296"/>
      <c r="E150" s="851"/>
      <c r="F150" s="851"/>
      <c r="G150" s="851"/>
      <c r="H150" s="851"/>
      <c r="I150" s="851"/>
      <c r="J150" s="851"/>
      <c r="K150" s="851"/>
      <c r="L150" s="851"/>
      <c r="M150" s="851"/>
      <c r="N150" s="851"/>
      <c r="O150" s="851"/>
      <c r="P150" s="851"/>
      <c r="Q150" s="856">
        <f t="shared" si="81"/>
        <v>0</v>
      </c>
      <c r="R150" s="854"/>
      <c r="S150" s="854"/>
    </row>
    <row r="151" ht="15" hidden="1" spans="3:19">
      <c r="C151" s="296" t="s">
        <v>258</v>
      </c>
      <c r="D151" s="296" t="s">
        <v>258</v>
      </c>
      <c r="E151" s="851"/>
      <c r="F151" s="851"/>
      <c r="G151" s="851"/>
      <c r="H151" s="851"/>
      <c r="I151" s="851"/>
      <c r="J151" s="851"/>
      <c r="K151" s="851"/>
      <c r="L151" s="851"/>
      <c r="M151" s="851"/>
      <c r="N151" s="851"/>
      <c r="O151" s="851"/>
      <c r="P151" s="851"/>
      <c r="Q151" s="856">
        <f t="shared" si="81"/>
        <v>0</v>
      </c>
      <c r="R151" s="854"/>
      <c r="S151" s="854"/>
    </row>
    <row r="152" ht="15" hidden="1" spans="3:19">
      <c r="C152" s="285" t="s">
        <v>211</v>
      </c>
      <c r="D152" s="286"/>
      <c r="E152" s="856">
        <f>SUM(E135:E151)</f>
        <v>0</v>
      </c>
      <c r="F152" s="856">
        <f t="shared" ref="F152:P152" si="82">SUM(F135:F151)</f>
        <v>0</v>
      </c>
      <c r="G152" s="856">
        <f t="shared" si="82"/>
        <v>0</v>
      </c>
      <c r="H152" s="856">
        <f t="shared" si="82"/>
        <v>0</v>
      </c>
      <c r="I152" s="856">
        <f t="shared" si="82"/>
        <v>0</v>
      </c>
      <c r="J152" s="856">
        <f t="shared" si="82"/>
        <v>0</v>
      </c>
      <c r="K152" s="856">
        <f t="shared" si="82"/>
        <v>0</v>
      </c>
      <c r="L152" s="856">
        <f t="shared" si="82"/>
        <v>0</v>
      </c>
      <c r="M152" s="856">
        <f t="shared" si="82"/>
        <v>0</v>
      </c>
      <c r="N152" s="856">
        <f t="shared" si="82"/>
        <v>0</v>
      </c>
      <c r="O152" s="856">
        <f t="shared" si="82"/>
        <v>0</v>
      </c>
      <c r="P152" s="856">
        <f t="shared" si="82"/>
        <v>0</v>
      </c>
      <c r="Q152" s="856">
        <f t="shared" si="81"/>
        <v>0</v>
      </c>
      <c r="R152" s="854"/>
      <c r="S152" s="854"/>
    </row>
    <row r="153" ht="15" hidden="1" spans="3:19">
      <c r="C153" s="285" t="s">
        <v>223</v>
      </c>
      <c r="D153" s="286"/>
      <c r="E153" s="856">
        <f t="shared" ref="E153:P153" si="83">E116+E133+E152</f>
        <v>0</v>
      </c>
      <c r="F153" s="856">
        <f t="shared" si="83"/>
        <v>0</v>
      </c>
      <c r="G153" s="856">
        <f t="shared" si="83"/>
        <v>0</v>
      </c>
      <c r="H153" s="856">
        <f t="shared" si="83"/>
        <v>0</v>
      </c>
      <c r="I153" s="856">
        <f t="shared" si="83"/>
        <v>0</v>
      </c>
      <c r="J153" s="856">
        <f t="shared" si="83"/>
        <v>0</v>
      </c>
      <c r="K153" s="856">
        <f t="shared" si="83"/>
        <v>0</v>
      </c>
      <c r="L153" s="856">
        <f t="shared" si="83"/>
        <v>0</v>
      </c>
      <c r="M153" s="856">
        <f t="shared" si="83"/>
        <v>0</v>
      </c>
      <c r="N153" s="856">
        <f t="shared" si="83"/>
        <v>0</v>
      </c>
      <c r="O153" s="856">
        <f t="shared" si="83"/>
        <v>0</v>
      </c>
      <c r="P153" s="856">
        <f t="shared" si="83"/>
        <v>0</v>
      </c>
      <c r="Q153" s="856">
        <f t="shared" si="81"/>
        <v>0</v>
      </c>
      <c r="R153" s="854"/>
      <c r="S153" s="854"/>
    </row>
    <row r="154" ht="15" hidden="1" spans="3:19">
      <c r="C154" s="285" t="s">
        <v>224</v>
      </c>
      <c r="D154" s="286"/>
      <c r="E154" s="856">
        <f t="shared" ref="E154:P154" si="84">E153+E99</f>
        <v>803.002796767668</v>
      </c>
      <c r="F154" s="856">
        <f t="shared" si="84"/>
        <v>649.039038739027</v>
      </c>
      <c r="G154" s="856">
        <f t="shared" si="84"/>
        <v>573.288955114617</v>
      </c>
      <c r="H154" s="856">
        <f t="shared" si="84"/>
        <v>776.234785796966</v>
      </c>
      <c r="I154" s="856">
        <f t="shared" si="84"/>
        <v>1063.16006873165</v>
      </c>
      <c r="J154" s="856">
        <f t="shared" si="84"/>
        <v>817.897245027652</v>
      </c>
      <c r="K154" s="856">
        <f t="shared" si="84"/>
        <v>677.755441547175</v>
      </c>
      <c r="L154" s="856">
        <f t="shared" si="84"/>
        <v>638.62</v>
      </c>
      <c r="M154" s="856">
        <f t="shared" si="84"/>
        <v>1027.11</v>
      </c>
      <c r="N154" s="856">
        <f t="shared" si="84"/>
        <v>1221.02768290285</v>
      </c>
      <c r="O154" s="856">
        <f t="shared" si="84"/>
        <v>1210.79</v>
      </c>
      <c r="P154" s="856">
        <f t="shared" si="84"/>
        <v>1360.46673844303</v>
      </c>
      <c r="Q154" s="856">
        <f t="shared" si="81"/>
        <v>10818.3927530706</v>
      </c>
      <c r="R154" s="854"/>
      <c r="S154" s="854"/>
    </row>
    <row r="155" ht="15" hidden="1" spans="3:19">
      <c r="C155" s="370"/>
      <c r="D155" s="370"/>
      <c r="E155" s="854"/>
      <c r="F155" s="854"/>
      <c r="G155" s="854"/>
      <c r="H155" s="854"/>
      <c r="I155" s="854"/>
      <c r="J155" s="854"/>
      <c r="K155" s="854"/>
      <c r="L155" s="854"/>
      <c r="M155" s="854"/>
      <c r="N155" s="854"/>
      <c r="O155" s="854"/>
      <c r="P155" s="854"/>
      <c r="Q155" s="854"/>
      <c r="R155" s="854"/>
      <c r="S155" s="854"/>
    </row>
    <row r="156" ht="15" hidden="1" spans="3:19">
      <c r="C156" s="369"/>
      <c r="E156" s="854"/>
      <c r="F156" s="854"/>
      <c r="G156" s="854"/>
      <c r="H156" s="854"/>
      <c r="I156" s="854"/>
      <c r="J156" s="854"/>
      <c r="K156" s="854"/>
      <c r="L156" s="854"/>
      <c r="M156" s="854"/>
      <c r="N156" s="854"/>
      <c r="O156" s="854"/>
      <c r="P156" s="854"/>
      <c r="Q156" s="857" t="s">
        <v>236</v>
      </c>
      <c r="R156" s="854"/>
      <c r="S156" s="854"/>
    </row>
    <row r="157" ht="15" hidden="1" spans="3:19">
      <c r="C157" s="401" t="s">
        <v>159</v>
      </c>
      <c r="D157" s="401"/>
      <c r="E157" s="855" t="s">
        <v>260</v>
      </c>
      <c r="F157" s="855"/>
      <c r="G157" s="855"/>
      <c r="H157" s="855"/>
      <c r="I157" s="855"/>
      <c r="J157" s="855"/>
      <c r="K157" s="855"/>
      <c r="L157" s="855"/>
      <c r="M157" s="855"/>
      <c r="N157" s="855"/>
      <c r="O157" s="855"/>
      <c r="P157" s="855"/>
      <c r="Q157" s="855"/>
      <c r="R157" s="854"/>
      <c r="S157" s="854"/>
    </row>
    <row r="158" ht="15" hidden="1" spans="3:19">
      <c r="C158" s="401"/>
      <c r="D158" s="401"/>
      <c r="E158" s="855" t="s">
        <v>246</v>
      </c>
      <c r="F158" s="855" t="s">
        <v>247</v>
      </c>
      <c r="G158" s="855" t="s">
        <v>248</v>
      </c>
      <c r="H158" s="855" t="s">
        <v>249</v>
      </c>
      <c r="I158" s="855" t="s">
        <v>250</v>
      </c>
      <c r="J158" s="855" t="s">
        <v>251</v>
      </c>
      <c r="K158" s="855" t="s">
        <v>252</v>
      </c>
      <c r="L158" s="855" t="s">
        <v>253</v>
      </c>
      <c r="M158" s="855" t="s">
        <v>254</v>
      </c>
      <c r="N158" s="855" t="s">
        <v>255</v>
      </c>
      <c r="O158" s="855" t="s">
        <v>256</v>
      </c>
      <c r="P158" s="855" t="s">
        <v>257</v>
      </c>
      <c r="Q158" s="855" t="s">
        <v>97</v>
      </c>
      <c r="R158" s="854"/>
      <c r="S158" s="854"/>
    </row>
    <row r="159" ht="15" hidden="1" spans="3:19">
      <c r="C159" s="285" t="s">
        <v>170</v>
      </c>
      <c r="D159" s="286"/>
      <c r="E159" s="851"/>
      <c r="F159" s="851"/>
      <c r="G159" s="851"/>
      <c r="H159" s="851"/>
      <c r="I159" s="851"/>
      <c r="J159" s="851"/>
      <c r="K159" s="851"/>
      <c r="L159" s="851"/>
      <c r="M159" s="851"/>
      <c r="N159" s="851"/>
      <c r="O159" s="851"/>
      <c r="P159" s="851"/>
      <c r="Q159" s="856"/>
      <c r="R159" s="854"/>
      <c r="S159" s="854"/>
    </row>
    <row r="160" ht="15" hidden="1" spans="3:19">
      <c r="C160" s="296" t="s">
        <v>171</v>
      </c>
      <c r="D160" s="296" t="s">
        <v>172</v>
      </c>
      <c r="E160" s="851"/>
      <c r="F160" s="851"/>
      <c r="G160" s="851"/>
      <c r="H160" s="851"/>
      <c r="I160" s="851"/>
      <c r="J160" s="851"/>
      <c r="K160" s="851"/>
      <c r="L160" s="851"/>
      <c r="M160" s="851"/>
      <c r="N160" s="851"/>
      <c r="O160" s="851"/>
      <c r="P160" s="851"/>
      <c r="Q160" s="856">
        <f t="shared" ref="Q160:Q173" si="85">SUM(E160:P160)</f>
        <v>0</v>
      </c>
      <c r="R160" s="854"/>
      <c r="S160" s="854"/>
    </row>
    <row r="161" ht="15" hidden="1" spans="3:19">
      <c r="C161" s="296" t="s">
        <v>173</v>
      </c>
      <c r="D161" s="296" t="s">
        <v>174</v>
      </c>
      <c r="E161" s="851"/>
      <c r="F161" s="851"/>
      <c r="G161" s="851"/>
      <c r="H161" s="851"/>
      <c r="I161" s="851"/>
      <c r="J161" s="851"/>
      <c r="K161" s="851"/>
      <c r="L161" s="851"/>
      <c r="M161" s="851"/>
      <c r="N161" s="851"/>
      <c r="O161" s="851"/>
      <c r="P161" s="851"/>
      <c r="Q161" s="856">
        <f t="shared" si="85"/>
        <v>0</v>
      </c>
      <c r="R161" s="854"/>
      <c r="S161" s="854"/>
    </row>
    <row r="162" ht="15" hidden="1" spans="3:19">
      <c r="C162" s="296" t="s">
        <v>175</v>
      </c>
      <c r="D162" s="296" t="s">
        <v>176</v>
      </c>
      <c r="E162" s="851"/>
      <c r="F162" s="851"/>
      <c r="G162" s="851"/>
      <c r="H162" s="851"/>
      <c r="I162" s="851"/>
      <c r="J162" s="851"/>
      <c r="K162" s="851"/>
      <c r="L162" s="851"/>
      <c r="M162" s="851"/>
      <c r="N162" s="851"/>
      <c r="O162" s="851"/>
      <c r="P162" s="851"/>
      <c r="Q162" s="856">
        <f t="shared" si="85"/>
        <v>0</v>
      </c>
      <c r="R162" s="854"/>
      <c r="S162" s="854"/>
    </row>
    <row r="163" ht="15" hidden="1" spans="3:19">
      <c r="C163" s="296" t="s">
        <v>177</v>
      </c>
      <c r="D163" s="296" t="s">
        <v>178</v>
      </c>
      <c r="E163" s="851"/>
      <c r="F163" s="851"/>
      <c r="G163" s="851"/>
      <c r="H163" s="851"/>
      <c r="I163" s="851"/>
      <c r="J163" s="851"/>
      <c r="K163" s="851"/>
      <c r="L163" s="851"/>
      <c r="M163" s="851"/>
      <c r="N163" s="851"/>
      <c r="O163" s="851"/>
      <c r="P163" s="851"/>
      <c r="Q163" s="856">
        <f t="shared" si="85"/>
        <v>0</v>
      </c>
      <c r="R163" s="854"/>
      <c r="S163" s="854"/>
    </row>
    <row r="164" ht="15" hidden="1" spans="3:19">
      <c r="C164" s="296" t="s">
        <v>179</v>
      </c>
      <c r="D164" s="296" t="s">
        <v>180</v>
      </c>
      <c r="E164" s="851">
        <f>[17]Sales_SP!CT46</f>
        <v>700.883191121226</v>
      </c>
      <c r="F164" s="851">
        <f>[17]Sales_SP!CU46</f>
        <v>652.515841899179</v>
      </c>
      <c r="G164" s="851">
        <f>[17]Sales_SP!CV46</f>
        <v>557.744076512743</v>
      </c>
      <c r="H164" s="851">
        <f>[17]Sales_SP!CW46</f>
        <v>1005.72579887347</v>
      </c>
      <c r="I164" s="851">
        <f>[17]Sales_SP!CX46</f>
        <v>937.29656875768</v>
      </c>
      <c r="J164" s="851">
        <f>[17]Sales_SP!CY46</f>
        <v>743.72</v>
      </c>
      <c r="K164" s="851">
        <f>[17]Sales_SP!CZ46</f>
        <v>613.03</v>
      </c>
      <c r="L164" s="851">
        <f>[17]Sales_SP!DA46</f>
        <v>504.954009414208</v>
      </c>
      <c r="M164" s="851">
        <f>[17]Sales_SP!DB46</f>
        <v>1080.42</v>
      </c>
      <c r="N164" s="851">
        <f>[17]Sales_SP!DC46</f>
        <v>1496.2531956607</v>
      </c>
      <c r="O164" s="851">
        <f>[17]Sales_SP!DD46</f>
        <v>1389.22311687039</v>
      </c>
      <c r="P164" s="851">
        <f>[17]Sales_SP!DE46</f>
        <v>2063.07707424606</v>
      </c>
      <c r="Q164" s="856">
        <f t="shared" si="85"/>
        <v>11744.8428733557</v>
      </c>
      <c r="R164" s="854"/>
      <c r="S164" s="854"/>
    </row>
    <row r="165" ht="15" hidden="1" spans="3:19">
      <c r="C165" s="296" t="s">
        <v>181</v>
      </c>
      <c r="D165" s="296" t="s">
        <v>182</v>
      </c>
      <c r="E165" s="851"/>
      <c r="F165" s="851"/>
      <c r="G165" s="851"/>
      <c r="H165" s="851"/>
      <c r="I165" s="851"/>
      <c r="J165" s="851"/>
      <c r="K165" s="851"/>
      <c r="L165" s="851"/>
      <c r="M165" s="851"/>
      <c r="N165" s="851"/>
      <c r="O165" s="851"/>
      <c r="P165" s="851"/>
      <c r="Q165" s="856">
        <f t="shared" si="85"/>
        <v>0</v>
      </c>
      <c r="R165" s="854"/>
      <c r="S165" s="854"/>
    </row>
    <row r="166" ht="15" hidden="1" spans="3:19">
      <c r="C166" s="296" t="s">
        <v>183</v>
      </c>
      <c r="D166" s="296" t="s">
        <v>184</v>
      </c>
      <c r="E166" s="851"/>
      <c r="F166" s="851"/>
      <c r="G166" s="851"/>
      <c r="H166" s="851"/>
      <c r="I166" s="851"/>
      <c r="J166" s="851"/>
      <c r="K166" s="851"/>
      <c r="L166" s="851"/>
      <c r="M166" s="851"/>
      <c r="N166" s="851"/>
      <c r="O166" s="851"/>
      <c r="P166" s="851"/>
      <c r="Q166" s="856">
        <f t="shared" si="85"/>
        <v>0</v>
      </c>
      <c r="R166" s="854"/>
      <c r="S166" s="854"/>
    </row>
    <row r="167" ht="15" hidden="1" spans="3:19">
      <c r="C167" s="296" t="s">
        <v>185</v>
      </c>
      <c r="D167" s="296" t="s">
        <v>186</v>
      </c>
      <c r="E167" s="851"/>
      <c r="F167" s="851"/>
      <c r="G167" s="851"/>
      <c r="H167" s="851"/>
      <c r="I167" s="851"/>
      <c r="J167" s="851"/>
      <c r="K167" s="851"/>
      <c r="L167" s="851"/>
      <c r="M167" s="851"/>
      <c r="N167" s="851"/>
      <c r="O167" s="851"/>
      <c r="P167" s="851"/>
      <c r="Q167" s="856">
        <f t="shared" si="85"/>
        <v>0</v>
      </c>
      <c r="R167" s="854"/>
      <c r="S167" s="854"/>
    </row>
    <row r="168" ht="15" hidden="1" spans="3:19">
      <c r="C168" s="296" t="s">
        <v>187</v>
      </c>
      <c r="D168" s="296" t="s">
        <v>188</v>
      </c>
      <c r="E168" s="851"/>
      <c r="F168" s="851"/>
      <c r="G168" s="851"/>
      <c r="H168" s="851"/>
      <c r="I168" s="851"/>
      <c r="J168" s="851"/>
      <c r="K168" s="851"/>
      <c r="L168" s="851"/>
      <c r="M168" s="851"/>
      <c r="N168" s="851"/>
      <c r="O168" s="851"/>
      <c r="P168" s="851"/>
      <c r="Q168" s="856">
        <f t="shared" si="85"/>
        <v>0</v>
      </c>
      <c r="R168" s="854"/>
      <c r="S168" s="854"/>
    </row>
    <row r="169" ht="15" hidden="1" spans="3:19">
      <c r="C169" s="296"/>
      <c r="D169" s="296"/>
      <c r="E169" s="851"/>
      <c r="F169" s="851"/>
      <c r="G169" s="851"/>
      <c r="H169" s="851"/>
      <c r="I169" s="851"/>
      <c r="J169" s="851"/>
      <c r="K169" s="851"/>
      <c r="L169" s="851"/>
      <c r="M169" s="851"/>
      <c r="N169" s="851"/>
      <c r="O169" s="851"/>
      <c r="P169" s="851"/>
      <c r="Q169" s="856">
        <f t="shared" si="85"/>
        <v>0</v>
      </c>
      <c r="R169" s="854"/>
      <c r="S169" s="854"/>
    </row>
    <row r="170" ht="15" hidden="1" spans="3:19">
      <c r="C170" s="296"/>
      <c r="D170" s="296"/>
      <c r="E170" s="851"/>
      <c r="F170" s="851"/>
      <c r="G170" s="851"/>
      <c r="H170" s="851"/>
      <c r="I170" s="851"/>
      <c r="J170" s="851"/>
      <c r="K170" s="851"/>
      <c r="L170" s="851"/>
      <c r="M170" s="851"/>
      <c r="N170" s="851"/>
      <c r="O170" s="851"/>
      <c r="P170" s="851"/>
      <c r="Q170" s="856">
        <f t="shared" si="85"/>
        <v>0</v>
      </c>
      <c r="R170" s="854"/>
      <c r="S170" s="854"/>
    </row>
    <row r="171" ht="15" hidden="1" spans="3:19">
      <c r="C171" s="296"/>
      <c r="D171" s="296"/>
      <c r="E171" s="851"/>
      <c r="F171" s="851"/>
      <c r="G171" s="851"/>
      <c r="H171" s="851"/>
      <c r="I171" s="851"/>
      <c r="J171" s="851"/>
      <c r="K171" s="851"/>
      <c r="L171" s="851"/>
      <c r="M171" s="851"/>
      <c r="N171" s="851"/>
      <c r="O171" s="851"/>
      <c r="P171" s="851"/>
      <c r="Q171" s="856">
        <f t="shared" si="85"/>
        <v>0</v>
      </c>
      <c r="R171" s="854"/>
      <c r="S171" s="854"/>
    </row>
    <row r="172" ht="15" hidden="1" spans="3:19">
      <c r="C172" s="296" t="s">
        <v>258</v>
      </c>
      <c r="D172" s="296" t="s">
        <v>258</v>
      </c>
      <c r="E172" s="851"/>
      <c r="F172" s="851"/>
      <c r="G172" s="851"/>
      <c r="H172" s="851"/>
      <c r="I172" s="851"/>
      <c r="J172" s="851"/>
      <c r="K172" s="851"/>
      <c r="L172" s="851"/>
      <c r="M172" s="851"/>
      <c r="N172" s="851"/>
      <c r="O172" s="851"/>
      <c r="P172" s="851"/>
      <c r="Q172" s="856">
        <f t="shared" si="85"/>
        <v>0</v>
      </c>
      <c r="R172" s="854"/>
      <c r="S172" s="854"/>
    </row>
    <row r="173" ht="15" hidden="1" spans="3:19">
      <c r="C173" s="285" t="s">
        <v>189</v>
      </c>
      <c r="D173" s="286"/>
      <c r="E173" s="856">
        <f t="shared" ref="E173:P173" si="86">SUM(E160:E172)</f>
        <v>700.883191121226</v>
      </c>
      <c r="F173" s="856">
        <f t="shared" si="86"/>
        <v>652.515841899179</v>
      </c>
      <c r="G173" s="856">
        <f t="shared" si="86"/>
        <v>557.744076512743</v>
      </c>
      <c r="H173" s="856">
        <f t="shared" si="86"/>
        <v>1005.72579887347</v>
      </c>
      <c r="I173" s="856">
        <f t="shared" si="86"/>
        <v>937.29656875768</v>
      </c>
      <c r="J173" s="856">
        <f t="shared" si="86"/>
        <v>743.72</v>
      </c>
      <c r="K173" s="856">
        <f t="shared" si="86"/>
        <v>613.03</v>
      </c>
      <c r="L173" s="856">
        <f t="shared" si="86"/>
        <v>504.954009414208</v>
      </c>
      <c r="M173" s="856">
        <f t="shared" si="86"/>
        <v>1080.42</v>
      </c>
      <c r="N173" s="856">
        <f t="shared" si="86"/>
        <v>1496.2531956607</v>
      </c>
      <c r="O173" s="856">
        <f t="shared" si="86"/>
        <v>1389.22311687039</v>
      </c>
      <c r="P173" s="856">
        <f t="shared" si="86"/>
        <v>2063.07707424606</v>
      </c>
      <c r="Q173" s="856">
        <f t="shared" si="85"/>
        <v>11744.8428733557</v>
      </c>
      <c r="R173" s="854"/>
      <c r="S173" s="854"/>
    </row>
    <row r="174" ht="15" hidden="1" spans="3:19">
      <c r="C174" s="285" t="s">
        <v>190</v>
      </c>
      <c r="D174" s="286"/>
      <c r="E174" s="851"/>
      <c r="F174" s="851"/>
      <c r="G174" s="851"/>
      <c r="H174" s="851"/>
      <c r="I174" s="851"/>
      <c r="J174" s="851"/>
      <c r="K174" s="851"/>
      <c r="L174" s="851"/>
      <c r="M174" s="851"/>
      <c r="N174" s="851"/>
      <c r="O174" s="851"/>
      <c r="P174" s="851"/>
      <c r="Q174" s="856"/>
      <c r="R174" s="854"/>
      <c r="S174" s="854"/>
    </row>
    <row r="175" ht="15" hidden="1" spans="3:19">
      <c r="C175" s="296" t="s">
        <v>191</v>
      </c>
      <c r="D175" s="296" t="s">
        <v>192</v>
      </c>
      <c r="E175" s="851"/>
      <c r="F175" s="851"/>
      <c r="G175" s="851"/>
      <c r="H175" s="851"/>
      <c r="I175" s="851"/>
      <c r="J175" s="851"/>
      <c r="K175" s="851"/>
      <c r="L175" s="851"/>
      <c r="M175" s="851"/>
      <c r="N175" s="851"/>
      <c r="O175" s="851"/>
      <c r="P175" s="851"/>
      <c r="Q175" s="856">
        <f t="shared" ref="Q175:Q190" si="87">SUM(E175:P175)</f>
        <v>0</v>
      </c>
      <c r="R175" s="854"/>
      <c r="S175" s="854"/>
    </row>
    <row r="176" ht="15" hidden="1" spans="3:19">
      <c r="C176" s="296" t="s">
        <v>193</v>
      </c>
      <c r="D176" s="296" t="s">
        <v>194</v>
      </c>
      <c r="E176" s="851"/>
      <c r="F176" s="851"/>
      <c r="G176" s="851"/>
      <c r="H176" s="851"/>
      <c r="I176" s="851"/>
      <c r="J176" s="851"/>
      <c r="K176" s="851"/>
      <c r="L176" s="851"/>
      <c r="M176" s="851"/>
      <c r="N176" s="851"/>
      <c r="O176" s="851"/>
      <c r="P176" s="851"/>
      <c r="Q176" s="856">
        <f t="shared" si="87"/>
        <v>0</v>
      </c>
      <c r="R176" s="854"/>
      <c r="S176" s="854"/>
    </row>
    <row r="177" ht="15" hidden="1" spans="3:19">
      <c r="C177" s="296" t="s">
        <v>239</v>
      </c>
      <c r="D177" s="296" t="s">
        <v>196</v>
      </c>
      <c r="E177" s="851"/>
      <c r="F177" s="851"/>
      <c r="G177" s="851"/>
      <c r="H177" s="851"/>
      <c r="I177" s="851"/>
      <c r="J177" s="851"/>
      <c r="K177" s="851"/>
      <c r="L177" s="851"/>
      <c r="M177" s="851"/>
      <c r="N177" s="851"/>
      <c r="O177" s="851"/>
      <c r="P177" s="851"/>
      <c r="Q177" s="856">
        <f t="shared" si="87"/>
        <v>0</v>
      </c>
      <c r="R177" s="854"/>
      <c r="S177" s="854"/>
    </row>
    <row r="178" ht="15" hidden="1" spans="3:19">
      <c r="C178" s="296" t="s">
        <v>197</v>
      </c>
      <c r="D178" s="296" t="s">
        <v>198</v>
      </c>
      <c r="E178" s="851"/>
      <c r="F178" s="851"/>
      <c r="G178" s="851"/>
      <c r="H178" s="851"/>
      <c r="I178" s="851"/>
      <c r="J178" s="851"/>
      <c r="K178" s="851"/>
      <c r="L178" s="851"/>
      <c r="M178" s="851"/>
      <c r="N178" s="851"/>
      <c r="O178" s="851"/>
      <c r="P178" s="851"/>
      <c r="Q178" s="856">
        <f t="shared" si="87"/>
        <v>0</v>
      </c>
      <c r="R178" s="854"/>
      <c r="S178" s="854"/>
    </row>
    <row r="179" ht="15" hidden="1" spans="3:19">
      <c r="C179" s="296" t="s">
        <v>199</v>
      </c>
      <c r="D179" s="296" t="s">
        <v>200</v>
      </c>
      <c r="E179" s="851"/>
      <c r="F179" s="851"/>
      <c r="G179" s="851"/>
      <c r="H179" s="851"/>
      <c r="I179" s="851"/>
      <c r="J179" s="851"/>
      <c r="K179" s="851"/>
      <c r="L179" s="851"/>
      <c r="M179" s="851"/>
      <c r="N179" s="851"/>
      <c r="O179" s="851"/>
      <c r="P179" s="851"/>
      <c r="Q179" s="856">
        <f t="shared" si="87"/>
        <v>0</v>
      </c>
      <c r="R179" s="854"/>
      <c r="S179" s="854"/>
    </row>
    <row r="180" ht="15" hidden="1" spans="3:19">
      <c r="C180" s="296" t="s">
        <v>201</v>
      </c>
      <c r="D180" s="296" t="s">
        <v>202</v>
      </c>
      <c r="E180" s="851"/>
      <c r="F180" s="851"/>
      <c r="G180" s="851"/>
      <c r="H180" s="851"/>
      <c r="I180" s="851"/>
      <c r="J180" s="851"/>
      <c r="K180" s="851"/>
      <c r="L180" s="851"/>
      <c r="M180" s="851"/>
      <c r="N180" s="851"/>
      <c r="O180" s="851"/>
      <c r="P180" s="851"/>
      <c r="Q180" s="856">
        <f t="shared" si="87"/>
        <v>0</v>
      </c>
      <c r="R180" s="854"/>
      <c r="S180" s="854"/>
    </row>
    <row r="181" ht="15" hidden="1" spans="3:19">
      <c r="C181" s="296" t="s">
        <v>203</v>
      </c>
      <c r="D181" s="296" t="s">
        <v>204</v>
      </c>
      <c r="E181" s="851"/>
      <c r="F181" s="851"/>
      <c r="G181" s="851"/>
      <c r="H181" s="851"/>
      <c r="I181" s="851"/>
      <c r="J181" s="851"/>
      <c r="K181" s="851"/>
      <c r="L181" s="851"/>
      <c r="M181" s="851"/>
      <c r="N181" s="851"/>
      <c r="O181" s="851"/>
      <c r="P181" s="851"/>
      <c r="Q181" s="856">
        <f t="shared" si="87"/>
        <v>0</v>
      </c>
      <c r="R181" s="854"/>
      <c r="S181" s="854"/>
    </row>
    <row r="182" ht="15" hidden="1" spans="3:19">
      <c r="C182" s="296" t="s">
        <v>205</v>
      </c>
      <c r="D182" s="296" t="s">
        <v>206</v>
      </c>
      <c r="E182" s="851"/>
      <c r="F182" s="851"/>
      <c r="G182" s="851"/>
      <c r="H182" s="851"/>
      <c r="I182" s="851"/>
      <c r="J182" s="851"/>
      <c r="K182" s="851"/>
      <c r="L182" s="851"/>
      <c r="M182" s="851"/>
      <c r="N182" s="851"/>
      <c r="O182" s="851"/>
      <c r="P182" s="851"/>
      <c r="Q182" s="856">
        <f t="shared" si="87"/>
        <v>0</v>
      </c>
      <c r="R182" s="854"/>
      <c r="S182" s="854"/>
    </row>
    <row r="183" ht="15" hidden="1" spans="3:19">
      <c r="C183" s="296" t="s">
        <v>207</v>
      </c>
      <c r="D183" s="296" t="s">
        <v>186</v>
      </c>
      <c r="E183" s="851"/>
      <c r="F183" s="851"/>
      <c r="G183" s="851"/>
      <c r="H183" s="851"/>
      <c r="I183" s="851"/>
      <c r="J183" s="851"/>
      <c r="K183" s="851"/>
      <c r="L183" s="851"/>
      <c r="M183" s="851"/>
      <c r="N183" s="851"/>
      <c r="O183" s="851"/>
      <c r="P183" s="851"/>
      <c r="Q183" s="856">
        <f t="shared" si="87"/>
        <v>0</v>
      </c>
      <c r="R183" s="854"/>
      <c r="S183" s="854"/>
    </row>
    <row r="184" ht="15" hidden="1" spans="3:19">
      <c r="C184" s="296" t="s">
        <v>208</v>
      </c>
      <c r="D184" s="296" t="s">
        <v>209</v>
      </c>
      <c r="E184" s="851"/>
      <c r="F184" s="851"/>
      <c r="G184" s="851"/>
      <c r="H184" s="851"/>
      <c r="I184" s="851"/>
      <c r="J184" s="851"/>
      <c r="K184" s="851"/>
      <c r="L184" s="851"/>
      <c r="M184" s="851"/>
      <c r="N184" s="851"/>
      <c r="O184" s="851"/>
      <c r="P184" s="851"/>
      <c r="Q184" s="856">
        <f t="shared" si="87"/>
        <v>0</v>
      </c>
      <c r="R184" s="854"/>
      <c r="S184" s="854"/>
    </row>
    <row r="185" ht="15" hidden="1" spans="3:19">
      <c r="C185" s="296" t="s">
        <v>210</v>
      </c>
      <c r="D185" s="296" t="s">
        <v>188</v>
      </c>
      <c r="E185" s="851"/>
      <c r="F185" s="851"/>
      <c r="G185" s="851"/>
      <c r="H185" s="851"/>
      <c r="I185" s="851"/>
      <c r="J185" s="851"/>
      <c r="K185" s="851"/>
      <c r="L185" s="851"/>
      <c r="M185" s="851"/>
      <c r="N185" s="851"/>
      <c r="O185" s="851"/>
      <c r="P185" s="851"/>
      <c r="Q185" s="856">
        <f t="shared" si="87"/>
        <v>0</v>
      </c>
      <c r="R185" s="854"/>
      <c r="S185" s="854"/>
    </row>
    <row r="186" ht="15" hidden="1" spans="3:19">
      <c r="C186" s="296"/>
      <c r="D186" s="296"/>
      <c r="E186" s="851"/>
      <c r="F186" s="851"/>
      <c r="G186" s="851"/>
      <c r="H186" s="851"/>
      <c r="I186" s="851"/>
      <c r="J186" s="851"/>
      <c r="K186" s="851"/>
      <c r="L186" s="851"/>
      <c r="M186" s="851"/>
      <c r="N186" s="851"/>
      <c r="O186" s="851"/>
      <c r="P186" s="851"/>
      <c r="Q186" s="856">
        <f t="shared" si="87"/>
        <v>0</v>
      </c>
      <c r="R186" s="854"/>
      <c r="S186" s="854"/>
    </row>
    <row r="187" ht="15" hidden="1" spans="3:19">
      <c r="C187" s="296"/>
      <c r="D187" s="296"/>
      <c r="E187" s="851"/>
      <c r="F187" s="851"/>
      <c r="G187" s="851"/>
      <c r="H187" s="851"/>
      <c r="I187" s="851"/>
      <c r="J187" s="851"/>
      <c r="K187" s="851"/>
      <c r="L187" s="851"/>
      <c r="M187" s="851"/>
      <c r="N187" s="851"/>
      <c r="O187" s="851"/>
      <c r="P187" s="851"/>
      <c r="Q187" s="856">
        <f t="shared" si="87"/>
        <v>0</v>
      </c>
      <c r="R187" s="854"/>
      <c r="S187" s="854"/>
    </row>
    <row r="188" ht="15" hidden="1" spans="3:19">
      <c r="C188" s="296"/>
      <c r="D188" s="296"/>
      <c r="E188" s="851"/>
      <c r="F188" s="851"/>
      <c r="G188" s="851"/>
      <c r="H188" s="851"/>
      <c r="I188" s="851"/>
      <c r="J188" s="851"/>
      <c r="K188" s="851"/>
      <c r="L188" s="851"/>
      <c r="M188" s="851"/>
      <c r="N188" s="851"/>
      <c r="O188" s="851"/>
      <c r="P188" s="851"/>
      <c r="Q188" s="856">
        <f t="shared" si="87"/>
        <v>0</v>
      </c>
      <c r="R188" s="854"/>
      <c r="S188" s="854"/>
    </row>
    <row r="189" ht="15" hidden="1" spans="3:19">
      <c r="C189" s="296" t="s">
        <v>258</v>
      </c>
      <c r="D189" s="296" t="s">
        <v>258</v>
      </c>
      <c r="E189" s="851"/>
      <c r="F189" s="851"/>
      <c r="G189" s="851"/>
      <c r="H189" s="851"/>
      <c r="I189" s="851"/>
      <c r="J189" s="851"/>
      <c r="K189" s="851"/>
      <c r="L189" s="851"/>
      <c r="M189" s="851"/>
      <c r="N189" s="851"/>
      <c r="O189" s="851"/>
      <c r="P189" s="851"/>
      <c r="Q189" s="856">
        <f t="shared" si="87"/>
        <v>0</v>
      </c>
      <c r="R189" s="854"/>
      <c r="S189" s="854"/>
    </row>
    <row r="190" ht="15" hidden="1" spans="3:19">
      <c r="C190" s="285" t="s">
        <v>211</v>
      </c>
      <c r="D190" s="286"/>
      <c r="E190" s="856">
        <f>SUM(E175:E189)</f>
        <v>0</v>
      </c>
      <c r="F190" s="856">
        <f t="shared" ref="F190:P190" si="88">SUM(F175:F189)</f>
        <v>0</v>
      </c>
      <c r="G190" s="856">
        <f t="shared" si="88"/>
        <v>0</v>
      </c>
      <c r="H190" s="856">
        <f t="shared" si="88"/>
        <v>0</v>
      </c>
      <c r="I190" s="856">
        <f t="shared" si="88"/>
        <v>0</v>
      </c>
      <c r="J190" s="856">
        <f t="shared" si="88"/>
        <v>0</v>
      </c>
      <c r="K190" s="856">
        <f t="shared" si="88"/>
        <v>0</v>
      </c>
      <c r="L190" s="856">
        <f t="shared" si="88"/>
        <v>0</v>
      </c>
      <c r="M190" s="856">
        <f t="shared" si="88"/>
        <v>0</v>
      </c>
      <c r="N190" s="856">
        <f t="shared" si="88"/>
        <v>0</v>
      </c>
      <c r="O190" s="856">
        <f t="shared" si="88"/>
        <v>0</v>
      </c>
      <c r="P190" s="856">
        <f t="shared" si="88"/>
        <v>0</v>
      </c>
      <c r="Q190" s="856">
        <f t="shared" si="87"/>
        <v>0</v>
      </c>
      <c r="R190" s="854"/>
      <c r="S190" s="854"/>
    </row>
    <row r="191" ht="15" hidden="1" spans="3:19">
      <c r="C191" s="285" t="s">
        <v>212</v>
      </c>
      <c r="D191" s="286"/>
      <c r="E191" s="851"/>
      <c r="F191" s="851"/>
      <c r="G191" s="851"/>
      <c r="H191" s="851"/>
      <c r="I191" s="851"/>
      <c r="J191" s="851"/>
      <c r="K191" s="851"/>
      <c r="L191" s="851"/>
      <c r="M191" s="851"/>
      <c r="N191" s="851"/>
      <c r="O191" s="851"/>
      <c r="P191" s="851"/>
      <c r="Q191" s="856"/>
      <c r="R191" s="854"/>
      <c r="S191" s="854"/>
    </row>
    <row r="192" ht="15" hidden="1" spans="3:19">
      <c r="C192" s="296" t="s">
        <v>191</v>
      </c>
      <c r="D192" s="296" t="s">
        <v>192</v>
      </c>
      <c r="E192" s="851"/>
      <c r="F192" s="851"/>
      <c r="G192" s="851"/>
      <c r="H192" s="851"/>
      <c r="I192" s="851"/>
      <c r="J192" s="851"/>
      <c r="K192" s="851"/>
      <c r="L192" s="851"/>
      <c r="M192" s="851"/>
      <c r="N192" s="851"/>
      <c r="O192" s="851"/>
      <c r="P192" s="851"/>
      <c r="Q192" s="856">
        <f t="shared" ref="Q192:Q207" si="89">SUM(E192:P192)</f>
        <v>0</v>
      </c>
      <c r="R192" s="854"/>
      <c r="S192" s="854"/>
    </row>
    <row r="193" ht="15" hidden="1" spans="3:19">
      <c r="C193" s="296" t="s">
        <v>193</v>
      </c>
      <c r="D193" s="296" t="s">
        <v>194</v>
      </c>
      <c r="E193" s="851"/>
      <c r="F193" s="851"/>
      <c r="G193" s="851"/>
      <c r="H193" s="851"/>
      <c r="I193" s="851"/>
      <c r="J193" s="851"/>
      <c r="K193" s="851"/>
      <c r="L193" s="851"/>
      <c r="M193" s="851"/>
      <c r="N193" s="851"/>
      <c r="O193" s="851"/>
      <c r="P193" s="851"/>
      <c r="Q193" s="856">
        <f t="shared" si="89"/>
        <v>0</v>
      </c>
      <c r="R193" s="854"/>
      <c r="S193" s="854"/>
    </row>
    <row r="194" ht="15" hidden="1" spans="3:19">
      <c r="C194" s="296" t="s">
        <v>239</v>
      </c>
      <c r="D194" s="296" t="s">
        <v>196</v>
      </c>
      <c r="E194" s="851"/>
      <c r="F194" s="851"/>
      <c r="G194" s="851"/>
      <c r="H194" s="851"/>
      <c r="I194" s="851"/>
      <c r="J194" s="851"/>
      <c r="K194" s="851"/>
      <c r="L194" s="851"/>
      <c r="M194" s="851"/>
      <c r="N194" s="851"/>
      <c r="O194" s="851"/>
      <c r="P194" s="851"/>
      <c r="Q194" s="856">
        <f t="shared" si="89"/>
        <v>0</v>
      </c>
      <c r="R194" s="854"/>
      <c r="S194" s="854"/>
    </row>
    <row r="195" ht="15" hidden="1" spans="3:19">
      <c r="C195" s="296" t="s">
        <v>197</v>
      </c>
      <c r="D195" s="296" t="s">
        <v>198</v>
      </c>
      <c r="E195" s="851"/>
      <c r="F195" s="851"/>
      <c r="G195" s="851"/>
      <c r="H195" s="851"/>
      <c r="I195" s="851"/>
      <c r="J195" s="851"/>
      <c r="K195" s="851"/>
      <c r="L195" s="851"/>
      <c r="M195" s="851"/>
      <c r="N195" s="851"/>
      <c r="O195" s="851"/>
      <c r="P195" s="851"/>
      <c r="Q195" s="856">
        <f t="shared" si="89"/>
        <v>0</v>
      </c>
      <c r="R195" s="854"/>
      <c r="S195" s="854"/>
    </row>
    <row r="196" ht="15" hidden="1" spans="3:19">
      <c r="C196" s="296" t="s">
        <v>199</v>
      </c>
      <c r="D196" s="296" t="s">
        <v>200</v>
      </c>
      <c r="E196" s="851"/>
      <c r="F196" s="851"/>
      <c r="G196" s="851"/>
      <c r="H196" s="851"/>
      <c r="I196" s="851"/>
      <c r="J196" s="851"/>
      <c r="K196" s="851"/>
      <c r="L196" s="851"/>
      <c r="M196" s="851"/>
      <c r="N196" s="851"/>
      <c r="O196" s="851"/>
      <c r="P196" s="851"/>
      <c r="Q196" s="856">
        <f t="shared" si="89"/>
        <v>0</v>
      </c>
      <c r="R196" s="854"/>
      <c r="S196" s="854"/>
    </row>
    <row r="197" ht="15" hidden="1" spans="3:19">
      <c r="C197" s="296" t="s">
        <v>201</v>
      </c>
      <c r="D197" s="296" t="s">
        <v>202</v>
      </c>
      <c r="E197" s="851"/>
      <c r="F197" s="851"/>
      <c r="G197" s="851"/>
      <c r="H197" s="851"/>
      <c r="I197" s="851"/>
      <c r="J197" s="851"/>
      <c r="K197" s="851"/>
      <c r="L197" s="851"/>
      <c r="M197" s="851"/>
      <c r="N197" s="851"/>
      <c r="O197" s="851"/>
      <c r="P197" s="851"/>
      <c r="Q197" s="856">
        <f t="shared" si="89"/>
        <v>0</v>
      </c>
      <c r="R197" s="854"/>
      <c r="S197" s="854"/>
    </row>
    <row r="198" ht="15" hidden="1" spans="3:19">
      <c r="C198" s="296" t="s">
        <v>203</v>
      </c>
      <c r="D198" s="296" t="s">
        <v>204</v>
      </c>
      <c r="E198" s="851"/>
      <c r="F198" s="851"/>
      <c r="G198" s="851"/>
      <c r="H198" s="851"/>
      <c r="I198" s="851"/>
      <c r="J198" s="851"/>
      <c r="K198" s="851"/>
      <c r="L198" s="851"/>
      <c r="M198" s="851"/>
      <c r="N198" s="851"/>
      <c r="O198" s="851"/>
      <c r="P198" s="851"/>
      <c r="Q198" s="856">
        <f t="shared" si="89"/>
        <v>0</v>
      </c>
      <c r="R198" s="854"/>
      <c r="S198" s="854"/>
    </row>
    <row r="199" ht="15" hidden="1" spans="3:19">
      <c r="C199" s="296" t="s">
        <v>205</v>
      </c>
      <c r="D199" s="296" t="s">
        <v>206</v>
      </c>
      <c r="E199" s="851"/>
      <c r="F199" s="851"/>
      <c r="G199" s="851"/>
      <c r="H199" s="851"/>
      <c r="I199" s="851"/>
      <c r="J199" s="851"/>
      <c r="K199" s="851"/>
      <c r="L199" s="851"/>
      <c r="M199" s="851"/>
      <c r="N199" s="851"/>
      <c r="O199" s="851"/>
      <c r="P199" s="851"/>
      <c r="Q199" s="856">
        <f t="shared" si="89"/>
        <v>0</v>
      </c>
      <c r="R199" s="854"/>
      <c r="S199" s="854"/>
    </row>
    <row r="200" ht="15" hidden="1" spans="3:19">
      <c r="C200" s="296" t="s">
        <v>231</v>
      </c>
      <c r="D200" s="296" t="s">
        <v>186</v>
      </c>
      <c r="E200" s="851"/>
      <c r="F200" s="851"/>
      <c r="G200" s="851"/>
      <c r="H200" s="851"/>
      <c r="I200" s="851"/>
      <c r="J200" s="851"/>
      <c r="K200" s="851"/>
      <c r="L200" s="851"/>
      <c r="M200" s="851"/>
      <c r="N200" s="851"/>
      <c r="O200" s="851"/>
      <c r="P200" s="851"/>
      <c r="Q200" s="856">
        <f t="shared" si="89"/>
        <v>0</v>
      </c>
      <c r="R200" s="854"/>
      <c r="S200" s="854"/>
    </row>
    <row r="201" ht="15" hidden="1" spans="3:19">
      <c r="C201" s="296" t="s">
        <v>208</v>
      </c>
      <c r="D201" s="296" t="s">
        <v>209</v>
      </c>
      <c r="E201" s="851"/>
      <c r="F201" s="851"/>
      <c r="G201" s="851"/>
      <c r="H201" s="851"/>
      <c r="I201" s="851"/>
      <c r="J201" s="851"/>
      <c r="K201" s="851"/>
      <c r="L201" s="851"/>
      <c r="M201" s="851"/>
      <c r="N201" s="851"/>
      <c r="O201" s="851"/>
      <c r="P201" s="851"/>
      <c r="Q201" s="856">
        <f t="shared" si="89"/>
        <v>0</v>
      </c>
      <c r="R201" s="854"/>
      <c r="S201" s="854"/>
    </row>
    <row r="202" ht="15" hidden="1" spans="3:19">
      <c r="C202" s="296" t="s">
        <v>210</v>
      </c>
      <c r="D202" s="296" t="s">
        <v>188</v>
      </c>
      <c r="E202" s="851"/>
      <c r="F202" s="851"/>
      <c r="G202" s="851"/>
      <c r="H202" s="851"/>
      <c r="I202" s="851"/>
      <c r="J202" s="851"/>
      <c r="K202" s="851"/>
      <c r="L202" s="851"/>
      <c r="M202" s="851"/>
      <c r="N202" s="851"/>
      <c r="O202" s="851"/>
      <c r="P202" s="851"/>
      <c r="Q202" s="856">
        <f t="shared" si="89"/>
        <v>0</v>
      </c>
      <c r="R202" s="854"/>
      <c r="S202" s="854"/>
    </row>
    <row r="203" ht="15" hidden="1" spans="3:19">
      <c r="C203" s="296"/>
      <c r="D203" s="296"/>
      <c r="E203" s="851"/>
      <c r="F203" s="851"/>
      <c r="G203" s="851"/>
      <c r="H203" s="851"/>
      <c r="I203" s="851"/>
      <c r="J203" s="851"/>
      <c r="K203" s="851"/>
      <c r="L203" s="851"/>
      <c r="M203" s="851"/>
      <c r="N203" s="851"/>
      <c r="O203" s="851"/>
      <c r="P203" s="851"/>
      <c r="Q203" s="856">
        <f t="shared" si="89"/>
        <v>0</v>
      </c>
      <c r="R203" s="854"/>
      <c r="S203" s="854"/>
    </row>
    <row r="204" ht="15" hidden="1" spans="3:19">
      <c r="C204" s="296"/>
      <c r="D204" s="296"/>
      <c r="E204" s="851"/>
      <c r="F204" s="851"/>
      <c r="G204" s="851"/>
      <c r="H204" s="851"/>
      <c r="I204" s="851"/>
      <c r="J204" s="851"/>
      <c r="K204" s="851"/>
      <c r="L204" s="851"/>
      <c r="M204" s="851"/>
      <c r="N204" s="851"/>
      <c r="O204" s="851"/>
      <c r="P204" s="851"/>
      <c r="Q204" s="856">
        <f t="shared" si="89"/>
        <v>0</v>
      </c>
      <c r="R204" s="854"/>
      <c r="S204" s="854"/>
    </row>
    <row r="205" ht="15" hidden="1" spans="3:19">
      <c r="C205" s="296"/>
      <c r="D205" s="296"/>
      <c r="E205" s="851"/>
      <c r="F205" s="851"/>
      <c r="G205" s="851"/>
      <c r="H205" s="851"/>
      <c r="I205" s="851"/>
      <c r="J205" s="851"/>
      <c r="K205" s="851"/>
      <c r="L205" s="851"/>
      <c r="M205" s="851"/>
      <c r="N205" s="851"/>
      <c r="O205" s="851"/>
      <c r="P205" s="851"/>
      <c r="Q205" s="856">
        <f t="shared" si="89"/>
        <v>0</v>
      </c>
      <c r="R205" s="854"/>
      <c r="S205" s="854"/>
    </row>
    <row r="206" ht="15" hidden="1" spans="3:19">
      <c r="C206" s="296" t="s">
        <v>258</v>
      </c>
      <c r="D206" s="296" t="s">
        <v>258</v>
      </c>
      <c r="E206" s="851"/>
      <c r="F206" s="851"/>
      <c r="G206" s="851"/>
      <c r="H206" s="851"/>
      <c r="I206" s="851"/>
      <c r="J206" s="851"/>
      <c r="K206" s="851"/>
      <c r="L206" s="851"/>
      <c r="M206" s="851"/>
      <c r="N206" s="851"/>
      <c r="O206" s="851"/>
      <c r="P206" s="851"/>
      <c r="Q206" s="856">
        <f t="shared" si="89"/>
        <v>0</v>
      </c>
      <c r="R206" s="854"/>
      <c r="S206" s="854"/>
    </row>
    <row r="207" ht="15" hidden="1" spans="3:19">
      <c r="C207" s="285" t="s">
        <v>211</v>
      </c>
      <c r="D207" s="286"/>
      <c r="E207" s="856">
        <f>SUM(E192:E206)</f>
        <v>0</v>
      </c>
      <c r="F207" s="856">
        <f t="shared" ref="F207:P207" si="90">SUM(F192:F206)</f>
        <v>0</v>
      </c>
      <c r="G207" s="856">
        <f t="shared" si="90"/>
        <v>0</v>
      </c>
      <c r="H207" s="856">
        <f t="shared" si="90"/>
        <v>0</v>
      </c>
      <c r="I207" s="856">
        <f t="shared" si="90"/>
        <v>0</v>
      </c>
      <c r="J207" s="856">
        <f t="shared" si="90"/>
        <v>0</v>
      </c>
      <c r="K207" s="856">
        <f t="shared" si="90"/>
        <v>0</v>
      </c>
      <c r="L207" s="856">
        <f t="shared" si="90"/>
        <v>0</v>
      </c>
      <c r="M207" s="856">
        <f t="shared" si="90"/>
        <v>0</v>
      </c>
      <c r="N207" s="856">
        <f t="shared" si="90"/>
        <v>0</v>
      </c>
      <c r="O207" s="856">
        <f t="shared" si="90"/>
        <v>0</v>
      </c>
      <c r="P207" s="856">
        <f t="shared" si="90"/>
        <v>0</v>
      </c>
      <c r="Q207" s="856">
        <f t="shared" si="89"/>
        <v>0</v>
      </c>
      <c r="R207" s="854"/>
      <c r="S207" s="854"/>
    </row>
    <row r="208" ht="15" hidden="1" spans="3:19">
      <c r="C208" s="285" t="s">
        <v>219</v>
      </c>
      <c r="D208" s="286"/>
      <c r="E208" s="851"/>
      <c r="F208" s="851"/>
      <c r="G208" s="851"/>
      <c r="H208" s="851"/>
      <c r="I208" s="851"/>
      <c r="J208" s="851"/>
      <c r="K208" s="851"/>
      <c r="L208" s="851"/>
      <c r="M208" s="851"/>
      <c r="N208" s="851"/>
      <c r="O208" s="851"/>
      <c r="P208" s="851"/>
      <c r="Q208" s="856"/>
      <c r="R208" s="854"/>
      <c r="S208" s="854"/>
    </row>
    <row r="209" ht="15" hidden="1" spans="3:19">
      <c r="C209" s="296" t="s">
        <v>191</v>
      </c>
      <c r="D209" s="296" t="s">
        <v>192</v>
      </c>
      <c r="E209" s="851"/>
      <c r="F209" s="851"/>
      <c r="G209" s="851"/>
      <c r="H209" s="851"/>
      <c r="I209" s="851"/>
      <c r="J209" s="851"/>
      <c r="K209" s="851"/>
      <c r="L209" s="851"/>
      <c r="M209" s="851"/>
      <c r="N209" s="851"/>
      <c r="O209" s="851"/>
      <c r="P209" s="851"/>
      <c r="Q209" s="856">
        <f t="shared" ref="Q209:Q227" si="91">SUM(E209:P209)</f>
        <v>0</v>
      </c>
      <c r="R209" s="854"/>
      <c r="S209" s="854"/>
    </row>
    <row r="210" ht="15" hidden="1" spans="3:19">
      <c r="C210" s="296" t="s">
        <v>193</v>
      </c>
      <c r="D210" s="296" t="s">
        <v>194</v>
      </c>
      <c r="E210" s="851"/>
      <c r="F210" s="851"/>
      <c r="G210" s="851"/>
      <c r="H210" s="851"/>
      <c r="I210" s="851"/>
      <c r="J210" s="851"/>
      <c r="K210" s="851"/>
      <c r="L210" s="851"/>
      <c r="M210" s="851"/>
      <c r="N210" s="851"/>
      <c r="O210" s="851"/>
      <c r="P210" s="851"/>
      <c r="Q210" s="856">
        <f t="shared" si="91"/>
        <v>0</v>
      </c>
      <c r="R210" s="854"/>
      <c r="S210" s="854"/>
    </row>
    <row r="211" ht="15" hidden="1" spans="3:19">
      <c r="C211" s="296" t="s">
        <v>239</v>
      </c>
      <c r="D211" s="296" t="s">
        <v>196</v>
      </c>
      <c r="E211" s="851"/>
      <c r="F211" s="851"/>
      <c r="G211" s="851"/>
      <c r="H211" s="851"/>
      <c r="I211" s="851"/>
      <c r="J211" s="851"/>
      <c r="K211" s="851"/>
      <c r="L211" s="851"/>
      <c r="M211" s="851"/>
      <c r="N211" s="851"/>
      <c r="O211" s="851"/>
      <c r="P211" s="851"/>
      <c r="Q211" s="856">
        <f t="shared" si="91"/>
        <v>0</v>
      </c>
      <c r="R211" s="854"/>
      <c r="S211" s="854"/>
    </row>
    <row r="212" ht="15" hidden="1" spans="3:19">
      <c r="C212" s="296" t="s">
        <v>197</v>
      </c>
      <c r="D212" s="296" t="s">
        <v>198</v>
      </c>
      <c r="E212" s="851"/>
      <c r="F212" s="851"/>
      <c r="G212" s="851"/>
      <c r="H212" s="851"/>
      <c r="I212" s="851"/>
      <c r="J212" s="851"/>
      <c r="K212" s="851"/>
      <c r="L212" s="851"/>
      <c r="M212" s="851"/>
      <c r="N212" s="851"/>
      <c r="O212" s="851"/>
      <c r="P212" s="851"/>
      <c r="Q212" s="856">
        <f t="shared" si="91"/>
        <v>0</v>
      </c>
      <c r="R212" s="854"/>
      <c r="S212" s="854"/>
    </row>
    <row r="213" ht="15" hidden="1" spans="3:19">
      <c r="C213" s="296" t="s">
        <v>199</v>
      </c>
      <c r="D213" s="296" t="s">
        <v>200</v>
      </c>
      <c r="E213" s="851"/>
      <c r="F213" s="851"/>
      <c r="G213" s="851"/>
      <c r="H213" s="851"/>
      <c r="I213" s="851"/>
      <c r="J213" s="851"/>
      <c r="K213" s="851"/>
      <c r="L213" s="851"/>
      <c r="M213" s="851"/>
      <c r="N213" s="851"/>
      <c r="O213" s="851"/>
      <c r="P213" s="851"/>
      <c r="Q213" s="856">
        <f t="shared" si="91"/>
        <v>0</v>
      </c>
      <c r="R213" s="854"/>
      <c r="S213" s="854"/>
    </row>
    <row r="214" ht="15" hidden="1" spans="3:19">
      <c r="C214" s="296" t="s">
        <v>201</v>
      </c>
      <c r="D214" s="296" t="s">
        <v>240</v>
      </c>
      <c r="E214" s="851"/>
      <c r="F214" s="851"/>
      <c r="G214" s="851"/>
      <c r="H214" s="851"/>
      <c r="I214" s="851"/>
      <c r="J214" s="851"/>
      <c r="K214" s="851"/>
      <c r="L214" s="851"/>
      <c r="M214" s="851"/>
      <c r="N214" s="851"/>
      <c r="O214" s="851"/>
      <c r="P214" s="851"/>
      <c r="Q214" s="856">
        <f t="shared" si="91"/>
        <v>0</v>
      </c>
      <c r="R214" s="854"/>
      <c r="S214" s="854"/>
    </row>
    <row r="215" ht="15" hidden="1" spans="3:19">
      <c r="C215" s="296" t="s">
        <v>203</v>
      </c>
      <c r="D215" s="296" t="s">
        <v>220</v>
      </c>
      <c r="E215" s="851"/>
      <c r="F215" s="851"/>
      <c r="G215" s="851"/>
      <c r="H215" s="851"/>
      <c r="I215" s="851"/>
      <c r="J215" s="851"/>
      <c r="K215" s="851"/>
      <c r="L215" s="851"/>
      <c r="M215" s="851"/>
      <c r="N215" s="851"/>
      <c r="O215" s="851"/>
      <c r="P215" s="851"/>
      <c r="Q215" s="856">
        <f t="shared" si="91"/>
        <v>0</v>
      </c>
      <c r="R215" s="854"/>
      <c r="S215" s="854"/>
    </row>
    <row r="216" ht="15" hidden="1" spans="3:19">
      <c r="C216" s="296" t="s">
        <v>241</v>
      </c>
      <c r="D216" s="296" t="s">
        <v>229</v>
      </c>
      <c r="E216" s="851"/>
      <c r="F216" s="851"/>
      <c r="G216" s="851"/>
      <c r="H216" s="851"/>
      <c r="I216" s="851"/>
      <c r="J216" s="851"/>
      <c r="K216" s="851"/>
      <c r="L216" s="851"/>
      <c r="M216" s="851"/>
      <c r="N216" s="851"/>
      <c r="O216" s="851"/>
      <c r="P216" s="851"/>
      <c r="Q216" s="856">
        <f t="shared" si="91"/>
        <v>0</v>
      </c>
      <c r="R216" s="854"/>
      <c r="S216" s="854"/>
    </row>
    <row r="217" ht="15" hidden="1" spans="3:19">
      <c r="C217" s="296" t="s">
        <v>259</v>
      </c>
      <c r="D217" s="296" t="s">
        <v>243</v>
      </c>
      <c r="E217" s="851"/>
      <c r="F217" s="851"/>
      <c r="G217" s="851"/>
      <c r="H217" s="851"/>
      <c r="I217" s="851"/>
      <c r="J217" s="851"/>
      <c r="K217" s="851"/>
      <c r="L217" s="851"/>
      <c r="M217" s="851"/>
      <c r="N217" s="851"/>
      <c r="O217" s="851"/>
      <c r="P217" s="851"/>
      <c r="Q217" s="856">
        <f t="shared" si="91"/>
        <v>0</v>
      </c>
      <c r="R217" s="854"/>
      <c r="S217" s="854"/>
    </row>
    <row r="218" ht="15" hidden="1" spans="3:19">
      <c r="C218" s="296" t="s">
        <v>205</v>
      </c>
      <c r="D218" s="296" t="s">
        <v>206</v>
      </c>
      <c r="E218" s="851"/>
      <c r="F218" s="851"/>
      <c r="G218" s="851"/>
      <c r="H218" s="851"/>
      <c r="I218" s="851"/>
      <c r="J218" s="851"/>
      <c r="K218" s="851"/>
      <c r="L218" s="851"/>
      <c r="M218" s="851"/>
      <c r="N218" s="851"/>
      <c r="O218" s="851"/>
      <c r="P218" s="851"/>
      <c r="Q218" s="856">
        <f t="shared" si="91"/>
        <v>0</v>
      </c>
      <c r="R218" s="854"/>
      <c r="S218" s="854"/>
    </row>
    <row r="219" ht="15" hidden="1" spans="3:19">
      <c r="C219" s="296" t="s">
        <v>207</v>
      </c>
      <c r="D219" s="296" t="s">
        <v>186</v>
      </c>
      <c r="E219" s="851"/>
      <c r="F219" s="851"/>
      <c r="G219" s="851"/>
      <c r="H219" s="851"/>
      <c r="I219" s="851"/>
      <c r="J219" s="851"/>
      <c r="K219" s="851"/>
      <c r="L219" s="851"/>
      <c r="M219" s="851"/>
      <c r="N219" s="851"/>
      <c r="O219" s="851"/>
      <c r="P219" s="851"/>
      <c r="Q219" s="856">
        <f t="shared" si="91"/>
        <v>0</v>
      </c>
      <c r="R219" s="854"/>
      <c r="S219" s="854"/>
    </row>
    <row r="220" ht="15" hidden="1" spans="3:19">
      <c r="C220" s="296" t="s">
        <v>208</v>
      </c>
      <c r="D220" s="296" t="s">
        <v>209</v>
      </c>
      <c r="E220" s="851"/>
      <c r="F220" s="851"/>
      <c r="G220" s="851"/>
      <c r="H220" s="851"/>
      <c r="I220" s="851"/>
      <c r="J220" s="851"/>
      <c r="K220" s="851"/>
      <c r="L220" s="851"/>
      <c r="M220" s="851"/>
      <c r="N220" s="851"/>
      <c r="O220" s="851"/>
      <c r="P220" s="851"/>
      <c r="Q220" s="856">
        <f t="shared" si="91"/>
        <v>0</v>
      </c>
      <c r="R220" s="854"/>
      <c r="S220" s="854"/>
    </row>
    <row r="221" ht="15" hidden="1" spans="3:19">
      <c r="C221" s="296" t="s">
        <v>210</v>
      </c>
      <c r="D221" s="296" t="s">
        <v>188</v>
      </c>
      <c r="E221" s="851"/>
      <c r="F221" s="851"/>
      <c r="G221" s="851"/>
      <c r="H221" s="851"/>
      <c r="I221" s="851"/>
      <c r="J221" s="851"/>
      <c r="K221" s="851"/>
      <c r="L221" s="851"/>
      <c r="M221" s="851"/>
      <c r="N221" s="851"/>
      <c r="O221" s="851"/>
      <c r="P221" s="851"/>
      <c r="Q221" s="856">
        <f t="shared" si="91"/>
        <v>0</v>
      </c>
      <c r="R221" s="854"/>
      <c r="S221" s="854"/>
    </row>
    <row r="222" ht="15" hidden="1" spans="3:19">
      <c r="C222" s="296"/>
      <c r="D222" s="296"/>
      <c r="E222" s="851"/>
      <c r="F222" s="851"/>
      <c r="G222" s="851"/>
      <c r="H222" s="851"/>
      <c r="I222" s="851"/>
      <c r="J222" s="851"/>
      <c r="K222" s="851"/>
      <c r="L222" s="851"/>
      <c r="M222" s="851"/>
      <c r="N222" s="851"/>
      <c r="O222" s="851"/>
      <c r="P222" s="851"/>
      <c r="Q222" s="856">
        <f t="shared" si="91"/>
        <v>0</v>
      </c>
      <c r="R222" s="854"/>
      <c r="S222" s="854"/>
    </row>
    <row r="223" ht="15" hidden="1" spans="3:19">
      <c r="C223" s="296"/>
      <c r="D223" s="296"/>
      <c r="E223" s="851"/>
      <c r="F223" s="851"/>
      <c r="G223" s="851"/>
      <c r="H223" s="851"/>
      <c r="I223" s="851"/>
      <c r="J223" s="851"/>
      <c r="K223" s="851"/>
      <c r="L223" s="851"/>
      <c r="M223" s="851"/>
      <c r="N223" s="851"/>
      <c r="O223" s="851"/>
      <c r="P223" s="851"/>
      <c r="Q223" s="856">
        <f t="shared" si="91"/>
        <v>0</v>
      </c>
      <c r="R223" s="854"/>
      <c r="S223" s="854"/>
    </row>
    <row r="224" ht="15" hidden="1" spans="3:19">
      <c r="C224" s="296" t="s">
        <v>258</v>
      </c>
      <c r="D224" s="296" t="s">
        <v>258</v>
      </c>
      <c r="E224" s="851"/>
      <c r="F224" s="851"/>
      <c r="G224" s="851"/>
      <c r="H224" s="851"/>
      <c r="I224" s="851"/>
      <c r="J224" s="851"/>
      <c r="K224" s="851"/>
      <c r="L224" s="851"/>
      <c r="M224" s="851"/>
      <c r="N224" s="851"/>
      <c r="O224" s="851"/>
      <c r="P224" s="851"/>
      <c r="Q224" s="856">
        <f t="shared" si="91"/>
        <v>0</v>
      </c>
      <c r="R224" s="854"/>
      <c r="S224" s="854"/>
    </row>
    <row r="225" ht="15" hidden="1" spans="3:19">
      <c r="C225" s="285" t="s">
        <v>211</v>
      </c>
      <c r="D225" s="286"/>
      <c r="E225" s="856">
        <f>SUM(E209:E224)</f>
        <v>0</v>
      </c>
      <c r="F225" s="856">
        <f t="shared" ref="F225:P225" si="92">SUM(F209:F224)</f>
        <v>0</v>
      </c>
      <c r="G225" s="856">
        <f t="shared" si="92"/>
        <v>0</v>
      </c>
      <c r="H225" s="856">
        <f t="shared" si="92"/>
        <v>0</v>
      </c>
      <c r="I225" s="856">
        <f t="shared" si="92"/>
        <v>0</v>
      </c>
      <c r="J225" s="856">
        <f t="shared" si="92"/>
        <v>0</v>
      </c>
      <c r="K225" s="856">
        <f t="shared" si="92"/>
        <v>0</v>
      </c>
      <c r="L225" s="856">
        <f t="shared" si="92"/>
        <v>0</v>
      </c>
      <c r="M225" s="856">
        <f t="shared" si="92"/>
        <v>0</v>
      </c>
      <c r="N225" s="856">
        <f t="shared" si="92"/>
        <v>0</v>
      </c>
      <c r="O225" s="856">
        <f t="shared" si="92"/>
        <v>0</v>
      </c>
      <c r="P225" s="856">
        <f t="shared" si="92"/>
        <v>0</v>
      </c>
      <c r="Q225" s="856">
        <f t="shared" si="91"/>
        <v>0</v>
      </c>
      <c r="R225" s="854"/>
      <c r="S225" s="854"/>
    </row>
    <row r="226" ht="15" hidden="1" spans="3:19">
      <c r="C226" s="285" t="s">
        <v>223</v>
      </c>
      <c r="D226" s="286"/>
      <c r="E226" s="856">
        <f>E225+E207+E190</f>
        <v>0</v>
      </c>
      <c r="F226" s="856">
        <f t="shared" ref="F226:P226" si="93">F225+F207+F190</f>
        <v>0</v>
      </c>
      <c r="G226" s="856">
        <f t="shared" si="93"/>
        <v>0</v>
      </c>
      <c r="H226" s="856">
        <f t="shared" si="93"/>
        <v>0</v>
      </c>
      <c r="I226" s="856">
        <f t="shared" si="93"/>
        <v>0</v>
      </c>
      <c r="J226" s="856">
        <f t="shared" si="93"/>
        <v>0</v>
      </c>
      <c r="K226" s="856">
        <f t="shared" si="93"/>
        <v>0</v>
      </c>
      <c r="L226" s="856">
        <f t="shared" si="93"/>
        <v>0</v>
      </c>
      <c r="M226" s="856">
        <f t="shared" si="93"/>
        <v>0</v>
      </c>
      <c r="N226" s="856">
        <f t="shared" si="93"/>
        <v>0</v>
      </c>
      <c r="O226" s="856">
        <f t="shared" si="93"/>
        <v>0</v>
      </c>
      <c r="P226" s="856">
        <f t="shared" si="93"/>
        <v>0</v>
      </c>
      <c r="Q226" s="856">
        <f t="shared" si="91"/>
        <v>0</v>
      </c>
      <c r="R226" s="854"/>
      <c r="S226" s="854"/>
    </row>
    <row r="227" ht="15" hidden="1" spans="3:19">
      <c r="C227" s="285" t="s">
        <v>224</v>
      </c>
      <c r="D227" s="286"/>
      <c r="E227" s="856">
        <f>E226+E173</f>
        <v>700.883191121226</v>
      </c>
      <c r="F227" s="856">
        <f t="shared" ref="F227:P227" si="94">F226+F173</f>
        <v>652.515841899179</v>
      </c>
      <c r="G227" s="856">
        <f t="shared" si="94"/>
        <v>557.744076512743</v>
      </c>
      <c r="H227" s="856">
        <f t="shared" si="94"/>
        <v>1005.72579887347</v>
      </c>
      <c r="I227" s="856">
        <f t="shared" si="94"/>
        <v>937.29656875768</v>
      </c>
      <c r="J227" s="856">
        <f t="shared" si="94"/>
        <v>743.72</v>
      </c>
      <c r="K227" s="856">
        <f t="shared" si="94"/>
        <v>613.03</v>
      </c>
      <c r="L227" s="856">
        <f t="shared" si="94"/>
        <v>504.954009414208</v>
      </c>
      <c r="M227" s="856">
        <f t="shared" si="94"/>
        <v>1080.42</v>
      </c>
      <c r="N227" s="856">
        <f t="shared" si="94"/>
        <v>1496.2531956607</v>
      </c>
      <c r="O227" s="856">
        <f t="shared" si="94"/>
        <v>1389.22311687039</v>
      </c>
      <c r="P227" s="856">
        <f t="shared" si="94"/>
        <v>2063.07707424606</v>
      </c>
      <c r="Q227" s="856">
        <f t="shared" si="91"/>
        <v>11744.8428733557</v>
      </c>
      <c r="R227" s="854"/>
      <c r="S227" s="854"/>
    </row>
    <row r="228" ht="15" hidden="1" spans="3:19">
      <c r="C228" s="370"/>
      <c r="D228" s="370"/>
      <c r="E228" s="854"/>
      <c r="F228" s="854"/>
      <c r="G228" s="854"/>
      <c r="H228" s="854"/>
      <c r="I228" s="854"/>
      <c r="J228" s="854"/>
      <c r="K228" s="854"/>
      <c r="L228" s="854"/>
      <c r="M228" s="854"/>
      <c r="N228" s="854"/>
      <c r="O228" s="854"/>
      <c r="P228" s="854"/>
      <c r="Q228" s="854"/>
      <c r="R228" s="854"/>
      <c r="S228" s="854"/>
    </row>
    <row r="229" ht="15" hidden="1" spans="3:19">
      <c r="C229" s="369"/>
      <c r="E229" s="854"/>
      <c r="F229" s="854"/>
      <c r="G229" s="854"/>
      <c r="H229" s="854"/>
      <c r="I229" s="854"/>
      <c r="J229" s="854"/>
      <c r="K229" s="854"/>
      <c r="L229" s="854"/>
      <c r="M229" s="854"/>
      <c r="N229" s="854"/>
      <c r="O229" s="854"/>
      <c r="P229" s="854"/>
      <c r="Q229" s="857" t="s">
        <v>236</v>
      </c>
      <c r="R229" s="854"/>
      <c r="S229" s="854"/>
    </row>
    <row r="230" ht="15" hidden="1" spans="3:19">
      <c r="C230" s="401" t="s">
        <v>159</v>
      </c>
      <c r="D230" s="401"/>
      <c r="E230" s="855" t="s">
        <v>261</v>
      </c>
      <c r="F230" s="855"/>
      <c r="G230" s="855"/>
      <c r="H230" s="855"/>
      <c r="I230" s="855"/>
      <c r="J230" s="855"/>
      <c r="K230" s="855"/>
      <c r="L230" s="855"/>
      <c r="M230" s="855"/>
      <c r="N230" s="855"/>
      <c r="O230" s="855"/>
      <c r="P230" s="855"/>
      <c r="Q230" s="855"/>
      <c r="R230" s="854"/>
      <c r="S230" s="854"/>
    </row>
    <row r="231" ht="15" hidden="1" spans="3:19">
      <c r="C231" s="401"/>
      <c r="D231" s="401"/>
      <c r="E231" s="855" t="s">
        <v>246</v>
      </c>
      <c r="F231" s="855" t="s">
        <v>247</v>
      </c>
      <c r="G231" s="855" t="s">
        <v>248</v>
      </c>
      <c r="H231" s="855" t="s">
        <v>249</v>
      </c>
      <c r="I231" s="855" t="s">
        <v>250</v>
      </c>
      <c r="J231" s="855" t="s">
        <v>251</v>
      </c>
      <c r="K231" s="855" t="s">
        <v>252</v>
      </c>
      <c r="L231" s="855" t="s">
        <v>253</v>
      </c>
      <c r="M231" s="855" t="s">
        <v>254</v>
      </c>
      <c r="N231" s="855" t="s">
        <v>255</v>
      </c>
      <c r="O231" s="855" t="s">
        <v>256</v>
      </c>
      <c r="P231" s="855" t="s">
        <v>257</v>
      </c>
      <c r="Q231" s="855" t="s">
        <v>97</v>
      </c>
      <c r="R231" s="854"/>
      <c r="S231" s="854"/>
    </row>
    <row r="232" ht="15" hidden="1" spans="3:19">
      <c r="C232" s="285" t="s">
        <v>170</v>
      </c>
      <c r="D232" s="286"/>
      <c r="E232" s="851"/>
      <c r="F232" s="851"/>
      <c r="G232" s="851"/>
      <c r="H232" s="851"/>
      <c r="I232" s="851"/>
      <c r="J232" s="851"/>
      <c r="K232" s="851"/>
      <c r="L232" s="851"/>
      <c r="M232" s="851"/>
      <c r="N232" s="851"/>
      <c r="O232" s="851"/>
      <c r="P232" s="851"/>
      <c r="Q232" s="856"/>
      <c r="R232" s="854"/>
      <c r="S232" s="854"/>
    </row>
    <row r="233" ht="15" hidden="1" spans="3:19">
      <c r="C233" s="296" t="s">
        <v>171</v>
      </c>
      <c r="D233" s="296" t="s">
        <v>172</v>
      </c>
      <c r="E233" s="851"/>
      <c r="F233" s="851"/>
      <c r="G233" s="851"/>
      <c r="H233" s="851"/>
      <c r="I233" s="851"/>
      <c r="J233" s="851"/>
      <c r="K233" s="851"/>
      <c r="L233" s="851"/>
      <c r="M233" s="851"/>
      <c r="N233" s="851"/>
      <c r="O233" s="851"/>
      <c r="P233" s="851"/>
      <c r="Q233" s="856">
        <f t="shared" ref="Q233:Q246" si="95">SUM(E233:P233)</f>
        <v>0</v>
      </c>
      <c r="R233" s="854"/>
      <c r="S233" s="854"/>
    </row>
    <row r="234" ht="15" hidden="1" spans="3:19">
      <c r="C234" s="296" t="s">
        <v>173</v>
      </c>
      <c r="D234" s="296" t="s">
        <v>174</v>
      </c>
      <c r="E234" s="851"/>
      <c r="F234" s="851"/>
      <c r="G234" s="851"/>
      <c r="H234" s="851"/>
      <c r="I234" s="851"/>
      <c r="J234" s="851"/>
      <c r="K234" s="851"/>
      <c r="L234" s="851"/>
      <c r="M234" s="851"/>
      <c r="N234" s="851"/>
      <c r="O234" s="851"/>
      <c r="P234" s="851"/>
      <c r="Q234" s="856">
        <f t="shared" si="95"/>
        <v>0</v>
      </c>
      <c r="R234" s="854"/>
      <c r="S234" s="854"/>
    </row>
    <row r="235" ht="15" hidden="1" spans="3:19">
      <c r="C235" s="296" t="s">
        <v>175</v>
      </c>
      <c r="D235" s="296" t="s">
        <v>176</v>
      </c>
      <c r="E235" s="851"/>
      <c r="F235" s="851"/>
      <c r="G235" s="851"/>
      <c r="H235" s="851"/>
      <c r="I235" s="851"/>
      <c r="J235" s="851"/>
      <c r="K235" s="851"/>
      <c r="L235" s="851"/>
      <c r="M235" s="851"/>
      <c r="N235" s="851"/>
      <c r="O235" s="851"/>
      <c r="P235" s="851"/>
      <c r="Q235" s="856">
        <f t="shared" si="95"/>
        <v>0</v>
      </c>
      <c r="R235" s="854"/>
      <c r="S235" s="854"/>
    </row>
    <row r="236" ht="15" hidden="1" spans="3:19">
      <c r="C236" s="296" t="s">
        <v>177</v>
      </c>
      <c r="D236" s="296" t="s">
        <v>178</v>
      </c>
      <c r="E236" s="851"/>
      <c r="F236" s="851"/>
      <c r="G236" s="851"/>
      <c r="H236" s="851"/>
      <c r="I236" s="851"/>
      <c r="J236" s="851"/>
      <c r="K236" s="851"/>
      <c r="L236" s="851"/>
      <c r="M236" s="851"/>
      <c r="N236" s="851"/>
      <c r="O236" s="851"/>
      <c r="P236" s="851"/>
      <c r="Q236" s="856">
        <f t="shared" si="95"/>
        <v>0</v>
      </c>
      <c r="R236" s="854"/>
      <c r="S236" s="854"/>
    </row>
    <row r="237" ht="15" hidden="1" spans="3:19">
      <c r="C237" s="296" t="s">
        <v>179</v>
      </c>
      <c r="D237" s="296" t="s">
        <v>180</v>
      </c>
      <c r="E237" s="851">
        <f>[17]Sales_SP!DG46</f>
        <v>1072.59193717063</v>
      </c>
      <c r="F237" s="851">
        <f>[17]Sales_SP!DH46</f>
        <v>556.239089937373</v>
      </c>
      <c r="G237" s="851">
        <f>[17]Sales_SP!DI46</f>
        <v>545.389182946933</v>
      </c>
      <c r="H237" s="851">
        <f>[17]Sales_SP!DJ46</f>
        <v>935.437165580384</v>
      </c>
      <c r="I237" s="851">
        <f>[17]Sales_SP!DK46</f>
        <v>1428.66565815359</v>
      </c>
      <c r="J237" s="851">
        <f>[17]Sales_SP!DL46</f>
        <v>871.507398885458</v>
      </c>
      <c r="K237" s="851">
        <f>[17]Sales_SP!DM46</f>
        <v>1004.44518767881</v>
      </c>
      <c r="L237" s="851">
        <f>[17]Sales_SP!DN46</f>
        <v>394.882793219235</v>
      </c>
      <c r="M237" s="851">
        <f>[17]Sales_SP!DO46</f>
        <v>882.23348368295</v>
      </c>
      <c r="N237" s="851">
        <f>[17]Sales_SP!DP46</f>
        <v>1166.43524578621</v>
      </c>
      <c r="O237" s="851">
        <f>[17]Sales_SP!DQ46</f>
        <v>1197.76734866097</v>
      </c>
      <c r="P237" s="851">
        <f>[17]Sales_SP!DR46</f>
        <v>1668.76314684963</v>
      </c>
      <c r="Q237" s="856">
        <f t="shared" si="95"/>
        <v>11724.3576385522</v>
      </c>
      <c r="R237" s="854"/>
      <c r="S237" s="854"/>
    </row>
    <row r="238" ht="15" hidden="1" spans="3:19">
      <c r="C238" s="296" t="s">
        <v>181</v>
      </c>
      <c r="D238" s="296" t="s">
        <v>182</v>
      </c>
      <c r="E238" s="851"/>
      <c r="F238" s="851"/>
      <c r="G238" s="851"/>
      <c r="H238" s="851"/>
      <c r="I238" s="851"/>
      <c r="J238" s="851"/>
      <c r="K238" s="851"/>
      <c r="L238" s="851"/>
      <c r="M238" s="851"/>
      <c r="N238" s="851"/>
      <c r="O238" s="851"/>
      <c r="P238" s="851"/>
      <c r="Q238" s="856">
        <f t="shared" si="95"/>
        <v>0</v>
      </c>
      <c r="R238" s="854"/>
      <c r="S238" s="854"/>
    </row>
    <row r="239" ht="15" hidden="1" spans="3:19">
      <c r="C239" s="296" t="s">
        <v>183</v>
      </c>
      <c r="D239" s="296" t="s">
        <v>184</v>
      </c>
      <c r="E239" s="851"/>
      <c r="F239" s="851"/>
      <c r="G239" s="851"/>
      <c r="H239" s="851"/>
      <c r="I239" s="851"/>
      <c r="J239" s="851"/>
      <c r="K239" s="851"/>
      <c r="L239" s="851"/>
      <c r="M239" s="851"/>
      <c r="N239" s="851"/>
      <c r="O239" s="851"/>
      <c r="P239" s="851"/>
      <c r="Q239" s="856">
        <f t="shared" si="95"/>
        <v>0</v>
      </c>
      <c r="R239" s="854"/>
      <c r="S239" s="854"/>
    </row>
    <row r="240" ht="15" hidden="1" spans="3:19">
      <c r="C240" s="296" t="s">
        <v>185</v>
      </c>
      <c r="D240" s="296" t="s">
        <v>186</v>
      </c>
      <c r="E240" s="851"/>
      <c r="F240" s="851"/>
      <c r="G240" s="851"/>
      <c r="H240" s="851"/>
      <c r="I240" s="851"/>
      <c r="J240" s="851"/>
      <c r="K240" s="851"/>
      <c r="L240" s="851"/>
      <c r="M240" s="851"/>
      <c r="N240" s="851"/>
      <c r="O240" s="851"/>
      <c r="P240" s="851"/>
      <c r="Q240" s="856">
        <f t="shared" si="95"/>
        <v>0</v>
      </c>
      <c r="R240" s="854"/>
      <c r="S240" s="854"/>
    </row>
    <row r="241" ht="15" hidden="1" spans="3:19">
      <c r="C241" s="296" t="s">
        <v>187</v>
      </c>
      <c r="D241" s="296" t="s">
        <v>188</v>
      </c>
      <c r="E241" s="851"/>
      <c r="F241" s="851"/>
      <c r="G241" s="851"/>
      <c r="H241" s="851"/>
      <c r="I241" s="851"/>
      <c r="J241" s="851"/>
      <c r="K241" s="851"/>
      <c r="L241" s="851"/>
      <c r="M241" s="851"/>
      <c r="N241" s="851"/>
      <c r="O241" s="851"/>
      <c r="P241" s="851"/>
      <c r="Q241" s="856">
        <f t="shared" si="95"/>
        <v>0</v>
      </c>
      <c r="R241" s="854"/>
      <c r="S241" s="854"/>
    </row>
    <row r="242" ht="15" hidden="1" spans="3:19">
      <c r="C242" s="296"/>
      <c r="D242" s="296"/>
      <c r="E242" s="851"/>
      <c r="F242" s="851"/>
      <c r="G242" s="851"/>
      <c r="H242" s="851"/>
      <c r="I242" s="851"/>
      <c r="J242" s="851"/>
      <c r="K242" s="851"/>
      <c r="L242" s="851"/>
      <c r="M242" s="851"/>
      <c r="N242" s="851"/>
      <c r="O242" s="851"/>
      <c r="P242" s="851"/>
      <c r="Q242" s="856">
        <f t="shared" si="95"/>
        <v>0</v>
      </c>
      <c r="R242" s="854"/>
      <c r="S242" s="854"/>
    </row>
    <row r="243" ht="15" hidden="1" spans="3:19">
      <c r="C243" s="296"/>
      <c r="D243" s="296"/>
      <c r="E243" s="851"/>
      <c r="F243" s="851"/>
      <c r="G243" s="851"/>
      <c r="H243" s="851"/>
      <c r="I243" s="851"/>
      <c r="J243" s="851"/>
      <c r="K243" s="851"/>
      <c r="L243" s="851"/>
      <c r="M243" s="851"/>
      <c r="N243" s="851"/>
      <c r="O243" s="851"/>
      <c r="P243" s="851"/>
      <c r="Q243" s="856">
        <f t="shared" si="95"/>
        <v>0</v>
      </c>
      <c r="R243" s="854"/>
      <c r="S243" s="854"/>
    </row>
    <row r="244" ht="15" hidden="1" spans="3:19">
      <c r="C244" s="296"/>
      <c r="D244" s="296"/>
      <c r="E244" s="851"/>
      <c r="F244" s="851"/>
      <c r="G244" s="851"/>
      <c r="H244" s="851"/>
      <c r="I244" s="851"/>
      <c r="J244" s="851"/>
      <c r="K244" s="851"/>
      <c r="L244" s="851"/>
      <c r="M244" s="851"/>
      <c r="N244" s="851"/>
      <c r="O244" s="851"/>
      <c r="P244" s="851"/>
      <c r="Q244" s="856">
        <f t="shared" si="95"/>
        <v>0</v>
      </c>
      <c r="R244" s="854"/>
      <c r="S244" s="854"/>
    </row>
    <row r="245" ht="15" hidden="1" spans="3:19">
      <c r="C245" s="296" t="s">
        <v>258</v>
      </c>
      <c r="D245" s="296" t="s">
        <v>258</v>
      </c>
      <c r="E245" s="851"/>
      <c r="F245" s="851"/>
      <c r="G245" s="851"/>
      <c r="H245" s="851"/>
      <c r="I245" s="851"/>
      <c r="J245" s="851"/>
      <c r="K245" s="851"/>
      <c r="L245" s="851"/>
      <c r="M245" s="851"/>
      <c r="N245" s="851"/>
      <c r="O245" s="851"/>
      <c r="P245" s="851"/>
      <c r="Q245" s="856">
        <f t="shared" si="95"/>
        <v>0</v>
      </c>
      <c r="R245" s="854"/>
      <c r="S245" s="854"/>
    </row>
    <row r="246" ht="15" hidden="1" spans="3:19">
      <c r="C246" s="285" t="s">
        <v>189</v>
      </c>
      <c r="D246" s="286"/>
      <c r="E246" s="856">
        <f t="shared" ref="E246:P246" si="96">SUM(E233:E245)</f>
        <v>1072.59193717063</v>
      </c>
      <c r="F246" s="856">
        <f t="shared" si="96"/>
        <v>556.239089937373</v>
      </c>
      <c r="G246" s="856">
        <f t="shared" si="96"/>
        <v>545.389182946933</v>
      </c>
      <c r="H246" s="856">
        <f t="shared" si="96"/>
        <v>935.437165580384</v>
      </c>
      <c r="I246" s="856">
        <f t="shared" si="96"/>
        <v>1428.66565815359</v>
      </c>
      <c r="J246" s="856">
        <f t="shared" si="96"/>
        <v>871.507398885458</v>
      </c>
      <c r="K246" s="856">
        <f t="shared" si="96"/>
        <v>1004.44518767881</v>
      </c>
      <c r="L246" s="856">
        <f t="shared" si="96"/>
        <v>394.882793219235</v>
      </c>
      <c r="M246" s="856">
        <f t="shared" si="96"/>
        <v>882.23348368295</v>
      </c>
      <c r="N246" s="856">
        <f t="shared" si="96"/>
        <v>1166.43524578621</v>
      </c>
      <c r="O246" s="856">
        <f t="shared" si="96"/>
        <v>1197.76734866097</v>
      </c>
      <c r="P246" s="856">
        <f t="shared" si="96"/>
        <v>1668.76314684963</v>
      </c>
      <c r="Q246" s="856">
        <f t="shared" si="95"/>
        <v>11724.3576385522</v>
      </c>
      <c r="R246" s="854"/>
      <c r="S246" s="854"/>
    </row>
    <row r="247" ht="15" hidden="1" spans="3:19">
      <c r="C247" s="285" t="s">
        <v>190</v>
      </c>
      <c r="D247" s="286"/>
      <c r="E247" s="851"/>
      <c r="F247" s="851"/>
      <c r="G247" s="851"/>
      <c r="H247" s="851"/>
      <c r="I247" s="851"/>
      <c r="J247" s="851"/>
      <c r="K247" s="851"/>
      <c r="L247" s="851"/>
      <c r="M247" s="851"/>
      <c r="N247" s="851"/>
      <c r="O247" s="851"/>
      <c r="P247" s="851"/>
      <c r="Q247" s="856"/>
      <c r="R247" s="854"/>
      <c r="S247" s="854"/>
    </row>
    <row r="248" ht="15" hidden="1" spans="3:19">
      <c r="C248" s="296" t="s">
        <v>191</v>
      </c>
      <c r="D248" s="296" t="s">
        <v>192</v>
      </c>
      <c r="E248" s="851"/>
      <c r="F248" s="851"/>
      <c r="G248" s="851"/>
      <c r="H248" s="851"/>
      <c r="I248" s="851"/>
      <c r="J248" s="851"/>
      <c r="K248" s="851"/>
      <c r="L248" s="851"/>
      <c r="M248" s="851"/>
      <c r="N248" s="851"/>
      <c r="O248" s="851"/>
      <c r="P248" s="851"/>
      <c r="Q248" s="856">
        <f t="shared" ref="Q248:Q280" si="97">SUM(E248:P248)</f>
        <v>0</v>
      </c>
      <c r="R248" s="854"/>
      <c r="S248" s="854"/>
    </row>
    <row r="249" ht="15" hidden="1" spans="3:19">
      <c r="C249" s="296" t="s">
        <v>193</v>
      </c>
      <c r="D249" s="296" t="s">
        <v>194</v>
      </c>
      <c r="E249" s="851"/>
      <c r="F249" s="851"/>
      <c r="G249" s="851"/>
      <c r="H249" s="851"/>
      <c r="I249" s="851"/>
      <c r="J249" s="851"/>
      <c r="K249" s="851"/>
      <c r="L249" s="851"/>
      <c r="M249" s="851"/>
      <c r="N249" s="851"/>
      <c r="O249" s="851"/>
      <c r="P249" s="851"/>
      <c r="Q249" s="856">
        <f t="shared" si="97"/>
        <v>0</v>
      </c>
      <c r="R249" s="854"/>
      <c r="S249" s="854"/>
    </row>
    <row r="250" ht="15" hidden="1" spans="3:19">
      <c r="C250" s="296" t="s">
        <v>239</v>
      </c>
      <c r="D250" s="296" t="s">
        <v>196</v>
      </c>
      <c r="E250" s="851"/>
      <c r="F250" s="851"/>
      <c r="G250" s="851"/>
      <c r="H250" s="851"/>
      <c r="I250" s="851"/>
      <c r="J250" s="851"/>
      <c r="K250" s="851"/>
      <c r="L250" s="851"/>
      <c r="M250" s="851"/>
      <c r="N250" s="851"/>
      <c r="O250" s="851"/>
      <c r="P250" s="851"/>
      <c r="Q250" s="856">
        <f t="shared" si="97"/>
        <v>0</v>
      </c>
      <c r="R250" s="854"/>
      <c r="S250" s="854"/>
    </row>
    <row r="251" ht="15" hidden="1" spans="3:19">
      <c r="C251" s="296" t="s">
        <v>197</v>
      </c>
      <c r="D251" s="296" t="s">
        <v>198</v>
      </c>
      <c r="E251" s="851"/>
      <c r="F251" s="851"/>
      <c r="G251" s="851"/>
      <c r="H251" s="851"/>
      <c r="I251" s="851"/>
      <c r="J251" s="851"/>
      <c r="K251" s="851"/>
      <c r="L251" s="851"/>
      <c r="M251" s="851"/>
      <c r="N251" s="851"/>
      <c r="O251" s="851"/>
      <c r="P251" s="851"/>
      <c r="Q251" s="856">
        <f t="shared" si="97"/>
        <v>0</v>
      </c>
      <c r="R251" s="854"/>
      <c r="S251" s="854"/>
    </row>
    <row r="252" ht="15" hidden="1" spans="3:19">
      <c r="C252" s="296" t="s">
        <v>199</v>
      </c>
      <c r="D252" s="296" t="s">
        <v>200</v>
      </c>
      <c r="E252" s="851"/>
      <c r="F252" s="851"/>
      <c r="G252" s="851"/>
      <c r="H252" s="851"/>
      <c r="I252" s="851"/>
      <c r="J252" s="851"/>
      <c r="K252" s="851"/>
      <c r="L252" s="851"/>
      <c r="M252" s="851"/>
      <c r="N252" s="851"/>
      <c r="O252" s="851"/>
      <c r="P252" s="851"/>
      <c r="Q252" s="856">
        <f t="shared" si="97"/>
        <v>0</v>
      </c>
      <c r="R252" s="854"/>
      <c r="S252" s="854"/>
    </row>
    <row r="253" ht="15" hidden="1" spans="3:19">
      <c r="C253" s="296" t="s">
        <v>201</v>
      </c>
      <c r="D253" s="296" t="s">
        <v>202</v>
      </c>
      <c r="E253" s="851"/>
      <c r="F253" s="851"/>
      <c r="G253" s="851"/>
      <c r="H253" s="851"/>
      <c r="I253" s="851"/>
      <c r="J253" s="851"/>
      <c r="K253" s="851"/>
      <c r="L253" s="851"/>
      <c r="M253" s="851"/>
      <c r="N253" s="851"/>
      <c r="O253" s="851"/>
      <c r="P253" s="851"/>
      <c r="Q253" s="856">
        <f t="shared" si="97"/>
        <v>0</v>
      </c>
      <c r="R253" s="854"/>
      <c r="S253" s="854"/>
    </row>
    <row r="254" ht="15" hidden="1" spans="3:19">
      <c r="C254" s="296" t="s">
        <v>203</v>
      </c>
      <c r="D254" s="296" t="s">
        <v>204</v>
      </c>
      <c r="E254" s="851"/>
      <c r="F254" s="851"/>
      <c r="G254" s="851"/>
      <c r="H254" s="851"/>
      <c r="I254" s="851"/>
      <c r="J254" s="851"/>
      <c r="K254" s="851"/>
      <c r="L254" s="851"/>
      <c r="M254" s="851"/>
      <c r="N254" s="851"/>
      <c r="O254" s="851"/>
      <c r="P254" s="851"/>
      <c r="Q254" s="856">
        <f t="shared" si="97"/>
        <v>0</v>
      </c>
      <c r="R254" s="854"/>
      <c r="S254" s="854"/>
    </row>
    <row r="255" ht="15" hidden="1" spans="3:19">
      <c r="C255" s="296" t="s">
        <v>205</v>
      </c>
      <c r="D255" s="296" t="s">
        <v>206</v>
      </c>
      <c r="E255" s="851"/>
      <c r="F255" s="851"/>
      <c r="G255" s="851"/>
      <c r="H255" s="851"/>
      <c r="I255" s="851"/>
      <c r="J255" s="851"/>
      <c r="K255" s="851"/>
      <c r="L255" s="851"/>
      <c r="M255" s="851"/>
      <c r="N255" s="851"/>
      <c r="O255" s="851"/>
      <c r="P255" s="851"/>
      <c r="Q255" s="856">
        <f t="shared" si="97"/>
        <v>0</v>
      </c>
      <c r="R255" s="854"/>
      <c r="S255" s="854"/>
    </row>
    <row r="256" ht="15" hidden="1" spans="3:19">
      <c r="C256" s="296" t="s">
        <v>207</v>
      </c>
      <c r="D256" s="296" t="s">
        <v>186</v>
      </c>
      <c r="E256" s="851"/>
      <c r="F256" s="851"/>
      <c r="G256" s="851"/>
      <c r="H256" s="851"/>
      <c r="I256" s="851"/>
      <c r="J256" s="851"/>
      <c r="K256" s="851"/>
      <c r="L256" s="851"/>
      <c r="M256" s="851"/>
      <c r="N256" s="851"/>
      <c r="O256" s="851"/>
      <c r="P256" s="851"/>
      <c r="Q256" s="856">
        <f t="shared" si="97"/>
        <v>0</v>
      </c>
      <c r="R256" s="854"/>
      <c r="S256" s="854"/>
    </row>
    <row r="257" ht="15" hidden="1" spans="3:19">
      <c r="C257" s="296" t="s">
        <v>208</v>
      </c>
      <c r="D257" s="296" t="s">
        <v>209</v>
      </c>
      <c r="E257" s="851"/>
      <c r="F257" s="851"/>
      <c r="G257" s="851"/>
      <c r="H257" s="851"/>
      <c r="I257" s="851"/>
      <c r="J257" s="851"/>
      <c r="K257" s="851"/>
      <c r="L257" s="851"/>
      <c r="M257" s="851"/>
      <c r="N257" s="851"/>
      <c r="O257" s="851"/>
      <c r="P257" s="851"/>
      <c r="Q257" s="856">
        <f t="shared" si="97"/>
        <v>0</v>
      </c>
      <c r="R257" s="854"/>
      <c r="S257" s="854"/>
    </row>
    <row r="258" ht="15" hidden="1" spans="3:19">
      <c r="C258" s="296" t="s">
        <v>210</v>
      </c>
      <c r="D258" s="296" t="s">
        <v>188</v>
      </c>
      <c r="E258" s="851"/>
      <c r="F258" s="851"/>
      <c r="G258" s="851"/>
      <c r="H258" s="851"/>
      <c r="I258" s="851"/>
      <c r="J258" s="851"/>
      <c r="K258" s="851"/>
      <c r="L258" s="851"/>
      <c r="M258" s="851"/>
      <c r="N258" s="851"/>
      <c r="O258" s="851"/>
      <c r="P258" s="851"/>
      <c r="Q258" s="856">
        <f t="shared" si="97"/>
        <v>0</v>
      </c>
      <c r="R258" s="854"/>
      <c r="S258" s="854"/>
    </row>
    <row r="259" ht="15" hidden="1" spans="3:19">
      <c r="C259" s="296"/>
      <c r="D259" s="296"/>
      <c r="E259" s="851"/>
      <c r="F259" s="851"/>
      <c r="G259" s="851"/>
      <c r="H259" s="851"/>
      <c r="I259" s="851"/>
      <c r="J259" s="851"/>
      <c r="K259" s="851"/>
      <c r="L259" s="851"/>
      <c r="M259" s="851"/>
      <c r="N259" s="851"/>
      <c r="O259" s="851"/>
      <c r="P259" s="851"/>
      <c r="Q259" s="856">
        <f t="shared" si="97"/>
        <v>0</v>
      </c>
      <c r="R259" s="854"/>
      <c r="S259" s="854"/>
    </row>
    <row r="260" ht="15" hidden="1" spans="3:19">
      <c r="C260" s="296"/>
      <c r="D260" s="296"/>
      <c r="E260" s="851"/>
      <c r="F260" s="851"/>
      <c r="G260" s="851"/>
      <c r="H260" s="851"/>
      <c r="I260" s="851"/>
      <c r="J260" s="851"/>
      <c r="K260" s="851"/>
      <c r="L260" s="851"/>
      <c r="M260" s="851"/>
      <c r="N260" s="851"/>
      <c r="O260" s="851"/>
      <c r="P260" s="851"/>
      <c r="Q260" s="856">
        <f t="shared" si="97"/>
        <v>0</v>
      </c>
      <c r="R260" s="854"/>
      <c r="S260" s="854"/>
    </row>
    <row r="261" ht="15" hidden="1" spans="3:19">
      <c r="C261" s="296"/>
      <c r="D261" s="296"/>
      <c r="E261" s="851"/>
      <c r="F261" s="851"/>
      <c r="G261" s="851"/>
      <c r="H261" s="851"/>
      <c r="I261" s="851"/>
      <c r="J261" s="851"/>
      <c r="K261" s="851"/>
      <c r="L261" s="851"/>
      <c r="M261" s="851"/>
      <c r="N261" s="851"/>
      <c r="O261" s="851"/>
      <c r="P261" s="851"/>
      <c r="Q261" s="856">
        <f t="shared" si="97"/>
        <v>0</v>
      </c>
      <c r="R261" s="854"/>
      <c r="S261" s="854"/>
    </row>
    <row r="262" ht="15" hidden="1" spans="3:19">
      <c r="C262" s="296" t="s">
        <v>258</v>
      </c>
      <c r="D262" s="296" t="s">
        <v>258</v>
      </c>
      <c r="E262" s="851"/>
      <c r="F262" s="851"/>
      <c r="G262" s="851"/>
      <c r="H262" s="851"/>
      <c r="I262" s="851"/>
      <c r="J262" s="851"/>
      <c r="K262" s="851"/>
      <c r="L262" s="851"/>
      <c r="M262" s="851"/>
      <c r="N262" s="851"/>
      <c r="O262" s="851"/>
      <c r="P262" s="851"/>
      <c r="Q262" s="856">
        <f t="shared" si="97"/>
        <v>0</v>
      </c>
      <c r="R262" s="854"/>
      <c r="S262" s="854"/>
    </row>
    <row r="263" ht="15" hidden="1" spans="3:19">
      <c r="C263" s="285" t="s">
        <v>211</v>
      </c>
      <c r="D263" s="286"/>
      <c r="E263" s="856">
        <f>SUM(E248:E262)</f>
        <v>0</v>
      </c>
      <c r="F263" s="856">
        <f t="shared" ref="F263:P263" si="98">SUM(F248:F262)</f>
        <v>0</v>
      </c>
      <c r="G263" s="856">
        <f t="shared" si="98"/>
        <v>0</v>
      </c>
      <c r="H263" s="856">
        <f t="shared" si="98"/>
        <v>0</v>
      </c>
      <c r="I263" s="856">
        <f t="shared" si="98"/>
        <v>0</v>
      </c>
      <c r="J263" s="856">
        <f t="shared" si="98"/>
        <v>0</v>
      </c>
      <c r="K263" s="856">
        <f t="shared" si="98"/>
        <v>0</v>
      </c>
      <c r="L263" s="856">
        <f t="shared" si="98"/>
        <v>0</v>
      </c>
      <c r="M263" s="856">
        <f t="shared" si="98"/>
        <v>0</v>
      </c>
      <c r="N263" s="856">
        <f t="shared" si="98"/>
        <v>0</v>
      </c>
      <c r="O263" s="856">
        <f t="shared" si="98"/>
        <v>0</v>
      </c>
      <c r="P263" s="856">
        <f t="shared" si="98"/>
        <v>0</v>
      </c>
      <c r="Q263" s="856">
        <f t="shared" si="97"/>
        <v>0</v>
      </c>
      <c r="R263" s="854"/>
      <c r="S263" s="854"/>
    </row>
    <row r="264" ht="15" hidden="1" spans="3:19">
      <c r="C264" s="285" t="s">
        <v>212</v>
      </c>
      <c r="D264" s="286"/>
      <c r="E264" s="851"/>
      <c r="F264" s="851"/>
      <c r="G264" s="851"/>
      <c r="H264" s="851"/>
      <c r="I264" s="851"/>
      <c r="J264" s="851"/>
      <c r="K264" s="851"/>
      <c r="L264" s="851"/>
      <c r="M264" s="851"/>
      <c r="N264" s="851"/>
      <c r="O264" s="851"/>
      <c r="P264" s="851"/>
      <c r="Q264" s="856"/>
      <c r="R264" s="854"/>
      <c r="S264" s="854"/>
    </row>
    <row r="265" ht="15" hidden="1" spans="3:19">
      <c r="C265" s="296" t="s">
        <v>191</v>
      </c>
      <c r="D265" s="296" t="s">
        <v>192</v>
      </c>
      <c r="E265" s="851"/>
      <c r="F265" s="851"/>
      <c r="G265" s="851"/>
      <c r="H265" s="851"/>
      <c r="I265" s="851"/>
      <c r="J265" s="851"/>
      <c r="K265" s="851"/>
      <c r="L265" s="851"/>
      <c r="M265" s="851"/>
      <c r="N265" s="851"/>
      <c r="O265" s="851"/>
      <c r="P265" s="851"/>
      <c r="Q265" s="856">
        <f t="shared" si="97"/>
        <v>0</v>
      </c>
      <c r="R265" s="854"/>
      <c r="S265" s="854"/>
    </row>
    <row r="266" ht="15" hidden="1" spans="3:19">
      <c r="C266" s="296" t="s">
        <v>193</v>
      </c>
      <c r="D266" s="296" t="s">
        <v>194</v>
      </c>
      <c r="E266" s="851"/>
      <c r="F266" s="851"/>
      <c r="G266" s="851"/>
      <c r="H266" s="851"/>
      <c r="I266" s="851"/>
      <c r="J266" s="851"/>
      <c r="K266" s="851"/>
      <c r="L266" s="851"/>
      <c r="M266" s="851"/>
      <c r="N266" s="851"/>
      <c r="O266" s="851"/>
      <c r="P266" s="851"/>
      <c r="Q266" s="856">
        <f t="shared" si="97"/>
        <v>0</v>
      </c>
      <c r="R266" s="854"/>
      <c r="S266" s="854"/>
    </row>
    <row r="267" ht="15" hidden="1" spans="3:19">
      <c r="C267" s="296" t="s">
        <v>239</v>
      </c>
      <c r="D267" s="296" t="s">
        <v>196</v>
      </c>
      <c r="E267" s="851"/>
      <c r="F267" s="851"/>
      <c r="G267" s="851"/>
      <c r="H267" s="851"/>
      <c r="I267" s="851"/>
      <c r="J267" s="851"/>
      <c r="K267" s="851"/>
      <c r="L267" s="851"/>
      <c r="M267" s="851"/>
      <c r="N267" s="851"/>
      <c r="O267" s="851"/>
      <c r="P267" s="851"/>
      <c r="Q267" s="856">
        <f t="shared" si="97"/>
        <v>0</v>
      </c>
      <c r="R267" s="854"/>
      <c r="S267" s="854"/>
    </row>
    <row r="268" ht="15" hidden="1" spans="3:19">
      <c r="C268" s="296" t="s">
        <v>197</v>
      </c>
      <c r="D268" s="296" t="s">
        <v>198</v>
      </c>
      <c r="E268" s="851"/>
      <c r="F268" s="851"/>
      <c r="G268" s="851"/>
      <c r="H268" s="851"/>
      <c r="I268" s="851"/>
      <c r="J268" s="851"/>
      <c r="K268" s="851"/>
      <c r="L268" s="851"/>
      <c r="M268" s="851"/>
      <c r="N268" s="851"/>
      <c r="O268" s="851"/>
      <c r="P268" s="851"/>
      <c r="Q268" s="856">
        <f t="shared" si="97"/>
        <v>0</v>
      </c>
      <c r="R268" s="854"/>
      <c r="S268" s="854"/>
    </row>
    <row r="269" ht="15" hidden="1" spans="3:19">
      <c r="C269" s="296" t="s">
        <v>199</v>
      </c>
      <c r="D269" s="296" t="s">
        <v>200</v>
      </c>
      <c r="E269" s="851"/>
      <c r="F269" s="851"/>
      <c r="G269" s="851"/>
      <c r="H269" s="851"/>
      <c r="I269" s="851"/>
      <c r="J269" s="851"/>
      <c r="K269" s="851"/>
      <c r="L269" s="851"/>
      <c r="M269" s="851"/>
      <c r="N269" s="851"/>
      <c r="O269" s="851"/>
      <c r="P269" s="851"/>
      <c r="Q269" s="856">
        <f t="shared" si="97"/>
        <v>0</v>
      </c>
      <c r="R269" s="854"/>
      <c r="S269" s="854"/>
    </row>
    <row r="270" ht="15" hidden="1" spans="3:19">
      <c r="C270" s="296" t="s">
        <v>201</v>
      </c>
      <c r="D270" s="296" t="s">
        <v>202</v>
      </c>
      <c r="E270" s="851"/>
      <c r="F270" s="851"/>
      <c r="G270" s="851"/>
      <c r="H270" s="851"/>
      <c r="I270" s="851"/>
      <c r="J270" s="851"/>
      <c r="K270" s="851"/>
      <c r="L270" s="851"/>
      <c r="M270" s="851"/>
      <c r="N270" s="851"/>
      <c r="O270" s="851"/>
      <c r="P270" s="851"/>
      <c r="Q270" s="856">
        <f t="shared" si="97"/>
        <v>0</v>
      </c>
      <c r="R270" s="854"/>
      <c r="S270" s="854"/>
    </row>
    <row r="271" ht="15" hidden="1" spans="3:19">
      <c r="C271" s="296" t="s">
        <v>203</v>
      </c>
      <c r="D271" s="296" t="s">
        <v>204</v>
      </c>
      <c r="E271" s="851"/>
      <c r="F271" s="851"/>
      <c r="G271" s="851"/>
      <c r="H271" s="851"/>
      <c r="I271" s="851"/>
      <c r="J271" s="851"/>
      <c r="K271" s="851"/>
      <c r="L271" s="851"/>
      <c r="M271" s="851"/>
      <c r="N271" s="851"/>
      <c r="O271" s="851"/>
      <c r="P271" s="851"/>
      <c r="Q271" s="856">
        <f t="shared" si="97"/>
        <v>0</v>
      </c>
      <c r="R271" s="854"/>
      <c r="S271" s="854"/>
    </row>
    <row r="272" ht="15" hidden="1" spans="3:19">
      <c r="C272" s="296" t="s">
        <v>205</v>
      </c>
      <c r="D272" s="296" t="s">
        <v>206</v>
      </c>
      <c r="E272" s="851"/>
      <c r="F272" s="851"/>
      <c r="G272" s="851"/>
      <c r="H272" s="851"/>
      <c r="I272" s="851"/>
      <c r="J272" s="851"/>
      <c r="K272" s="851"/>
      <c r="L272" s="851"/>
      <c r="M272" s="851"/>
      <c r="N272" s="851"/>
      <c r="O272" s="851"/>
      <c r="P272" s="851"/>
      <c r="Q272" s="856">
        <f t="shared" si="97"/>
        <v>0</v>
      </c>
      <c r="R272" s="854"/>
      <c r="S272" s="854"/>
    </row>
    <row r="273" ht="15" hidden="1" spans="3:19">
      <c r="C273" s="296" t="s">
        <v>231</v>
      </c>
      <c r="D273" s="296" t="s">
        <v>186</v>
      </c>
      <c r="E273" s="851"/>
      <c r="F273" s="851"/>
      <c r="G273" s="851"/>
      <c r="H273" s="851"/>
      <c r="I273" s="851"/>
      <c r="J273" s="851"/>
      <c r="K273" s="851"/>
      <c r="L273" s="851"/>
      <c r="M273" s="851"/>
      <c r="N273" s="851"/>
      <c r="O273" s="851"/>
      <c r="P273" s="851"/>
      <c r="Q273" s="856">
        <f t="shared" si="97"/>
        <v>0</v>
      </c>
      <c r="R273" s="854"/>
      <c r="S273" s="854"/>
    </row>
    <row r="274" ht="15" hidden="1" spans="3:19">
      <c r="C274" s="296" t="s">
        <v>208</v>
      </c>
      <c r="D274" s="296" t="s">
        <v>209</v>
      </c>
      <c r="E274" s="851"/>
      <c r="F274" s="851"/>
      <c r="G274" s="851"/>
      <c r="H274" s="851"/>
      <c r="I274" s="851"/>
      <c r="J274" s="851"/>
      <c r="K274" s="851"/>
      <c r="L274" s="851"/>
      <c r="M274" s="851"/>
      <c r="N274" s="851"/>
      <c r="O274" s="851"/>
      <c r="P274" s="851"/>
      <c r="Q274" s="856">
        <f t="shared" si="97"/>
        <v>0</v>
      </c>
      <c r="R274" s="854"/>
      <c r="S274" s="854"/>
    </row>
    <row r="275" ht="15" hidden="1" spans="3:19">
      <c r="C275" s="296" t="s">
        <v>210</v>
      </c>
      <c r="D275" s="296" t="s">
        <v>188</v>
      </c>
      <c r="E275" s="851"/>
      <c r="F275" s="851"/>
      <c r="G275" s="851"/>
      <c r="H275" s="851"/>
      <c r="I275" s="851"/>
      <c r="J275" s="851"/>
      <c r="K275" s="851"/>
      <c r="L275" s="851"/>
      <c r="M275" s="851"/>
      <c r="N275" s="851"/>
      <c r="O275" s="851"/>
      <c r="P275" s="851"/>
      <c r="Q275" s="856">
        <f t="shared" si="97"/>
        <v>0</v>
      </c>
      <c r="R275" s="854"/>
      <c r="S275" s="854"/>
    </row>
    <row r="276" ht="15" hidden="1" spans="3:19">
      <c r="C276" s="296"/>
      <c r="D276" s="296"/>
      <c r="E276" s="851"/>
      <c r="F276" s="851"/>
      <c r="G276" s="851"/>
      <c r="H276" s="851"/>
      <c r="I276" s="851"/>
      <c r="J276" s="851"/>
      <c r="K276" s="851"/>
      <c r="L276" s="851"/>
      <c r="M276" s="851"/>
      <c r="N276" s="851"/>
      <c r="O276" s="851"/>
      <c r="P276" s="851"/>
      <c r="Q276" s="856">
        <f t="shared" si="97"/>
        <v>0</v>
      </c>
      <c r="R276" s="854"/>
      <c r="S276" s="854"/>
    </row>
    <row r="277" ht="15" hidden="1" spans="3:19">
      <c r="C277" s="296"/>
      <c r="D277" s="296"/>
      <c r="E277" s="851"/>
      <c r="F277" s="851"/>
      <c r="G277" s="851"/>
      <c r="H277" s="851"/>
      <c r="I277" s="851"/>
      <c r="J277" s="851"/>
      <c r="K277" s="851"/>
      <c r="L277" s="851"/>
      <c r="M277" s="851"/>
      <c r="N277" s="851"/>
      <c r="O277" s="851"/>
      <c r="P277" s="851"/>
      <c r="Q277" s="856">
        <f t="shared" si="97"/>
        <v>0</v>
      </c>
      <c r="R277" s="854"/>
      <c r="S277" s="854"/>
    </row>
    <row r="278" ht="15" hidden="1" spans="3:19">
      <c r="C278" s="296"/>
      <c r="D278" s="296"/>
      <c r="E278" s="851"/>
      <c r="F278" s="851"/>
      <c r="G278" s="851"/>
      <c r="H278" s="851"/>
      <c r="I278" s="851"/>
      <c r="J278" s="851"/>
      <c r="K278" s="851"/>
      <c r="L278" s="851"/>
      <c r="M278" s="851"/>
      <c r="N278" s="851"/>
      <c r="O278" s="851"/>
      <c r="P278" s="851"/>
      <c r="Q278" s="856">
        <f t="shared" si="97"/>
        <v>0</v>
      </c>
      <c r="R278" s="854"/>
      <c r="S278" s="854"/>
    </row>
    <row r="279" ht="15" hidden="1" spans="3:19">
      <c r="C279" s="296" t="s">
        <v>258</v>
      </c>
      <c r="D279" s="296" t="s">
        <v>258</v>
      </c>
      <c r="E279" s="851"/>
      <c r="F279" s="851"/>
      <c r="G279" s="851"/>
      <c r="H279" s="851"/>
      <c r="I279" s="851"/>
      <c r="J279" s="851"/>
      <c r="K279" s="851"/>
      <c r="L279" s="851"/>
      <c r="M279" s="851"/>
      <c r="N279" s="851"/>
      <c r="O279" s="851"/>
      <c r="P279" s="851"/>
      <c r="Q279" s="856">
        <f t="shared" si="97"/>
        <v>0</v>
      </c>
      <c r="R279" s="854"/>
      <c r="S279" s="854"/>
    </row>
    <row r="280" ht="15" hidden="1" spans="3:19">
      <c r="C280" s="285" t="s">
        <v>211</v>
      </c>
      <c r="D280" s="286"/>
      <c r="E280" s="856">
        <f t="shared" ref="E280:P280" si="99">SUM(E265:E279)</f>
        <v>0</v>
      </c>
      <c r="F280" s="856">
        <f t="shared" si="99"/>
        <v>0</v>
      </c>
      <c r="G280" s="856">
        <f t="shared" si="99"/>
        <v>0</v>
      </c>
      <c r="H280" s="856">
        <f t="shared" si="99"/>
        <v>0</v>
      </c>
      <c r="I280" s="856">
        <f t="shared" si="99"/>
        <v>0</v>
      </c>
      <c r="J280" s="856">
        <f t="shared" si="99"/>
        <v>0</v>
      </c>
      <c r="K280" s="856">
        <f t="shared" si="99"/>
        <v>0</v>
      </c>
      <c r="L280" s="856">
        <f t="shared" si="99"/>
        <v>0</v>
      </c>
      <c r="M280" s="856">
        <f t="shared" si="99"/>
        <v>0</v>
      </c>
      <c r="N280" s="856">
        <f t="shared" si="99"/>
        <v>0</v>
      </c>
      <c r="O280" s="856">
        <f t="shared" si="99"/>
        <v>0</v>
      </c>
      <c r="P280" s="856">
        <f t="shared" si="99"/>
        <v>0</v>
      </c>
      <c r="Q280" s="856">
        <f t="shared" si="97"/>
        <v>0</v>
      </c>
      <c r="R280" s="854"/>
      <c r="S280" s="854"/>
    </row>
    <row r="281" ht="15" hidden="1" spans="3:19">
      <c r="C281" s="285" t="s">
        <v>219</v>
      </c>
      <c r="D281" s="286"/>
      <c r="E281" s="851"/>
      <c r="F281" s="851"/>
      <c r="G281" s="851"/>
      <c r="H281" s="851"/>
      <c r="I281" s="851"/>
      <c r="J281" s="851"/>
      <c r="K281" s="851"/>
      <c r="L281" s="851"/>
      <c r="M281" s="851"/>
      <c r="N281" s="851"/>
      <c r="O281" s="851"/>
      <c r="P281" s="851"/>
      <c r="Q281" s="856"/>
      <c r="R281" s="854"/>
      <c r="S281" s="854"/>
    </row>
    <row r="282" ht="15" hidden="1" spans="3:19">
      <c r="C282" s="296" t="s">
        <v>191</v>
      </c>
      <c r="D282" s="296" t="s">
        <v>192</v>
      </c>
      <c r="E282" s="851"/>
      <c r="F282" s="851"/>
      <c r="G282" s="851"/>
      <c r="H282" s="851"/>
      <c r="I282" s="851"/>
      <c r="J282" s="851"/>
      <c r="K282" s="851"/>
      <c r="L282" s="851"/>
      <c r="M282" s="851"/>
      <c r="N282" s="851"/>
      <c r="O282" s="851"/>
      <c r="P282" s="851"/>
      <c r="Q282" s="856">
        <f t="shared" ref="Q282:Q301" si="100">SUM(E282:P282)</f>
        <v>0</v>
      </c>
      <c r="R282" s="854"/>
      <c r="S282" s="854"/>
    </row>
    <row r="283" ht="15" hidden="1" spans="3:19">
      <c r="C283" s="296" t="s">
        <v>193</v>
      </c>
      <c r="D283" s="296" t="s">
        <v>194</v>
      </c>
      <c r="E283" s="851"/>
      <c r="F283" s="851"/>
      <c r="G283" s="851"/>
      <c r="H283" s="851"/>
      <c r="I283" s="851"/>
      <c r="J283" s="851"/>
      <c r="K283" s="851"/>
      <c r="L283" s="851"/>
      <c r="M283" s="851"/>
      <c r="N283" s="851"/>
      <c r="O283" s="851"/>
      <c r="P283" s="851"/>
      <c r="Q283" s="856">
        <f t="shared" si="100"/>
        <v>0</v>
      </c>
      <c r="R283" s="854"/>
      <c r="S283" s="854"/>
    </row>
    <row r="284" ht="15" hidden="1" spans="3:19">
      <c r="C284" s="296" t="s">
        <v>239</v>
      </c>
      <c r="D284" s="296" t="s">
        <v>196</v>
      </c>
      <c r="E284" s="851"/>
      <c r="F284" s="851"/>
      <c r="G284" s="851"/>
      <c r="H284" s="851"/>
      <c r="I284" s="851"/>
      <c r="J284" s="851"/>
      <c r="K284" s="851"/>
      <c r="L284" s="851"/>
      <c r="M284" s="851"/>
      <c r="N284" s="851"/>
      <c r="O284" s="851"/>
      <c r="P284" s="851"/>
      <c r="Q284" s="856">
        <f t="shared" si="100"/>
        <v>0</v>
      </c>
      <c r="R284" s="854"/>
      <c r="S284" s="854"/>
    </row>
    <row r="285" ht="15" hidden="1" spans="3:19">
      <c r="C285" s="296" t="s">
        <v>197</v>
      </c>
      <c r="D285" s="296" t="s">
        <v>198</v>
      </c>
      <c r="E285" s="851"/>
      <c r="F285" s="851"/>
      <c r="G285" s="851"/>
      <c r="H285" s="851"/>
      <c r="I285" s="851"/>
      <c r="J285" s="851"/>
      <c r="K285" s="851"/>
      <c r="L285" s="851"/>
      <c r="M285" s="851"/>
      <c r="N285" s="851"/>
      <c r="O285" s="851"/>
      <c r="P285" s="851"/>
      <c r="Q285" s="856">
        <f t="shared" si="100"/>
        <v>0</v>
      </c>
      <c r="R285" s="854"/>
      <c r="S285" s="854"/>
    </row>
    <row r="286" ht="15" hidden="1" spans="3:19">
      <c r="C286" s="296" t="s">
        <v>199</v>
      </c>
      <c r="D286" s="296" t="s">
        <v>200</v>
      </c>
      <c r="E286" s="851"/>
      <c r="F286" s="851"/>
      <c r="G286" s="851"/>
      <c r="H286" s="851"/>
      <c r="I286" s="851"/>
      <c r="J286" s="851"/>
      <c r="K286" s="851"/>
      <c r="L286" s="851"/>
      <c r="M286" s="851"/>
      <c r="N286" s="851"/>
      <c r="O286" s="851"/>
      <c r="P286" s="851"/>
      <c r="Q286" s="856">
        <f t="shared" si="100"/>
        <v>0</v>
      </c>
      <c r="R286" s="854"/>
      <c r="S286" s="854"/>
    </row>
    <row r="287" ht="15" hidden="1" spans="3:19">
      <c r="C287" s="296" t="s">
        <v>201</v>
      </c>
      <c r="D287" s="296" t="s">
        <v>240</v>
      </c>
      <c r="E287" s="851"/>
      <c r="F287" s="851"/>
      <c r="G287" s="851"/>
      <c r="H287" s="851"/>
      <c r="I287" s="851"/>
      <c r="J287" s="851"/>
      <c r="K287" s="851"/>
      <c r="L287" s="851"/>
      <c r="M287" s="851"/>
      <c r="N287" s="851"/>
      <c r="O287" s="851"/>
      <c r="P287" s="851"/>
      <c r="Q287" s="856">
        <f t="shared" si="100"/>
        <v>0</v>
      </c>
      <c r="R287" s="854"/>
      <c r="S287" s="854"/>
    </row>
    <row r="288" ht="15" hidden="1" spans="3:19">
      <c r="C288" s="296" t="s">
        <v>203</v>
      </c>
      <c r="D288" s="296" t="s">
        <v>220</v>
      </c>
      <c r="E288" s="851"/>
      <c r="F288" s="851"/>
      <c r="G288" s="851"/>
      <c r="H288" s="851"/>
      <c r="I288" s="851"/>
      <c r="J288" s="851"/>
      <c r="K288" s="851"/>
      <c r="L288" s="851"/>
      <c r="M288" s="851"/>
      <c r="N288" s="851"/>
      <c r="O288" s="851"/>
      <c r="P288" s="851"/>
      <c r="Q288" s="856">
        <f t="shared" si="100"/>
        <v>0</v>
      </c>
      <c r="R288" s="854"/>
      <c r="S288" s="854"/>
    </row>
    <row r="289" ht="15" hidden="1" spans="3:19">
      <c r="C289" s="296" t="s">
        <v>241</v>
      </c>
      <c r="D289" s="296" t="s">
        <v>229</v>
      </c>
      <c r="E289" s="851"/>
      <c r="F289" s="851"/>
      <c r="G289" s="851"/>
      <c r="H289" s="851"/>
      <c r="I289" s="851"/>
      <c r="J289" s="851"/>
      <c r="K289" s="851"/>
      <c r="L289" s="851"/>
      <c r="M289" s="851"/>
      <c r="N289" s="851"/>
      <c r="O289" s="851"/>
      <c r="P289" s="851"/>
      <c r="Q289" s="856">
        <f t="shared" si="100"/>
        <v>0</v>
      </c>
      <c r="R289" s="854"/>
      <c r="S289" s="854"/>
    </row>
    <row r="290" ht="15" hidden="1" spans="3:19">
      <c r="C290" s="296" t="s">
        <v>259</v>
      </c>
      <c r="D290" s="296" t="s">
        <v>243</v>
      </c>
      <c r="E290" s="851"/>
      <c r="F290" s="851"/>
      <c r="G290" s="851"/>
      <c r="H290" s="851"/>
      <c r="I290" s="851"/>
      <c r="J290" s="851"/>
      <c r="K290" s="851"/>
      <c r="L290" s="851"/>
      <c r="M290" s="851"/>
      <c r="N290" s="851"/>
      <c r="O290" s="851"/>
      <c r="P290" s="851"/>
      <c r="Q290" s="856">
        <f t="shared" si="100"/>
        <v>0</v>
      </c>
      <c r="R290" s="854"/>
      <c r="S290" s="854"/>
    </row>
    <row r="291" ht="15" hidden="1" spans="3:19">
      <c r="C291" s="296" t="s">
        <v>205</v>
      </c>
      <c r="D291" s="296" t="s">
        <v>206</v>
      </c>
      <c r="E291" s="851"/>
      <c r="F291" s="851"/>
      <c r="G291" s="851"/>
      <c r="H291" s="851"/>
      <c r="I291" s="851"/>
      <c r="J291" s="851"/>
      <c r="K291" s="851"/>
      <c r="L291" s="851"/>
      <c r="M291" s="851"/>
      <c r="N291" s="851"/>
      <c r="O291" s="851"/>
      <c r="P291" s="851"/>
      <c r="Q291" s="856">
        <f t="shared" si="100"/>
        <v>0</v>
      </c>
      <c r="R291" s="854"/>
      <c r="S291" s="854"/>
    </row>
    <row r="292" ht="15" hidden="1" spans="3:19">
      <c r="C292" s="296" t="s">
        <v>207</v>
      </c>
      <c r="D292" s="296" t="s">
        <v>186</v>
      </c>
      <c r="E292" s="851"/>
      <c r="F292" s="851"/>
      <c r="G292" s="851"/>
      <c r="H292" s="851"/>
      <c r="I292" s="851"/>
      <c r="J292" s="851"/>
      <c r="K292" s="851"/>
      <c r="L292" s="851"/>
      <c r="M292" s="851"/>
      <c r="N292" s="851"/>
      <c r="O292" s="851"/>
      <c r="P292" s="851"/>
      <c r="Q292" s="856">
        <f t="shared" si="100"/>
        <v>0</v>
      </c>
      <c r="R292" s="854"/>
      <c r="S292" s="854"/>
    </row>
    <row r="293" ht="15" hidden="1" spans="3:19">
      <c r="C293" s="296" t="s">
        <v>208</v>
      </c>
      <c r="D293" s="296" t="s">
        <v>209</v>
      </c>
      <c r="E293" s="851"/>
      <c r="F293" s="851"/>
      <c r="G293" s="851"/>
      <c r="H293" s="851"/>
      <c r="I293" s="851"/>
      <c r="J293" s="851"/>
      <c r="K293" s="851"/>
      <c r="L293" s="851"/>
      <c r="M293" s="851"/>
      <c r="N293" s="851"/>
      <c r="O293" s="851"/>
      <c r="P293" s="851"/>
      <c r="Q293" s="856">
        <f t="shared" si="100"/>
        <v>0</v>
      </c>
      <c r="R293" s="854"/>
      <c r="S293" s="854"/>
    </row>
    <row r="294" ht="15" hidden="1" spans="3:19">
      <c r="C294" s="296" t="s">
        <v>210</v>
      </c>
      <c r="D294" s="296" t="s">
        <v>188</v>
      </c>
      <c r="E294" s="851"/>
      <c r="F294" s="851"/>
      <c r="G294" s="851"/>
      <c r="H294" s="851"/>
      <c r="I294" s="851"/>
      <c r="J294" s="851"/>
      <c r="K294" s="851"/>
      <c r="L294" s="851"/>
      <c r="M294" s="851"/>
      <c r="N294" s="851"/>
      <c r="O294" s="851"/>
      <c r="P294" s="851"/>
      <c r="Q294" s="856">
        <f t="shared" si="100"/>
        <v>0</v>
      </c>
      <c r="R294" s="854"/>
      <c r="S294" s="854"/>
    </row>
    <row r="295" ht="15" hidden="1" spans="3:19">
      <c r="C295" s="296"/>
      <c r="D295" s="296"/>
      <c r="E295" s="851"/>
      <c r="F295" s="851"/>
      <c r="G295" s="851"/>
      <c r="H295" s="851"/>
      <c r="I295" s="851"/>
      <c r="J295" s="851"/>
      <c r="K295" s="851"/>
      <c r="L295" s="851"/>
      <c r="M295" s="851"/>
      <c r="N295" s="851"/>
      <c r="O295" s="851"/>
      <c r="P295" s="851"/>
      <c r="Q295" s="856">
        <f t="shared" si="100"/>
        <v>0</v>
      </c>
      <c r="R295" s="854"/>
      <c r="S295" s="854"/>
    </row>
    <row r="296" ht="15" hidden="1" spans="3:19">
      <c r="C296" s="296"/>
      <c r="D296" s="296"/>
      <c r="E296" s="851"/>
      <c r="F296" s="851"/>
      <c r="G296" s="851"/>
      <c r="H296" s="851"/>
      <c r="I296" s="851"/>
      <c r="J296" s="851"/>
      <c r="K296" s="851"/>
      <c r="L296" s="851"/>
      <c r="M296" s="851"/>
      <c r="N296" s="851"/>
      <c r="O296" s="851"/>
      <c r="P296" s="851"/>
      <c r="Q296" s="856">
        <f t="shared" si="100"/>
        <v>0</v>
      </c>
      <c r="R296" s="854"/>
      <c r="S296" s="854"/>
    </row>
    <row r="297" ht="15" hidden="1" spans="3:19">
      <c r="C297" s="296"/>
      <c r="D297" s="296"/>
      <c r="E297" s="851"/>
      <c r="F297" s="851"/>
      <c r="G297" s="851"/>
      <c r="H297" s="851"/>
      <c r="I297" s="851"/>
      <c r="J297" s="851"/>
      <c r="K297" s="851"/>
      <c r="L297" s="851"/>
      <c r="M297" s="851"/>
      <c r="N297" s="851"/>
      <c r="O297" s="851"/>
      <c r="P297" s="851"/>
      <c r="Q297" s="856">
        <f t="shared" si="100"/>
        <v>0</v>
      </c>
      <c r="R297" s="854"/>
      <c r="S297" s="854"/>
    </row>
    <row r="298" ht="15" hidden="1" spans="3:19">
      <c r="C298" s="296" t="s">
        <v>258</v>
      </c>
      <c r="D298" s="296" t="s">
        <v>258</v>
      </c>
      <c r="E298" s="851"/>
      <c r="F298" s="851"/>
      <c r="G298" s="851"/>
      <c r="H298" s="851"/>
      <c r="I298" s="851"/>
      <c r="J298" s="851"/>
      <c r="K298" s="851"/>
      <c r="L298" s="851"/>
      <c r="M298" s="851"/>
      <c r="N298" s="851"/>
      <c r="O298" s="851"/>
      <c r="P298" s="851"/>
      <c r="Q298" s="856">
        <f t="shared" si="100"/>
        <v>0</v>
      </c>
      <c r="R298" s="854"/>
      <c r="S298" s="854"/>
    </row>
    <row r="299" ht="15" hidden="1" spans="3:19">
      <c r="C299" s="285" t="s">
        <v>211</v>
      </c>
      <c r="D299" s="286"/>
      <c r="E299" s="856">
        <f t="shared" ref="E299:P299" si="101">SUM(E282:E298)</f>
        <v>0</v>
      </c>
      <c r="F299" s="856">
        <f t="shared" si="101"/>
        <v>0</v>
      </c>
      <c r="G299" s="856">
        <f t="shared" si="101"/>
        <v>0</v>
      </c>
      <c r="H299" s="856">
        <f t="shared" si="101"/>
        <v>0</v>
      </c>
      <c r="I299" s="856">
        <f t="shared" si="101"/>
        <v>0</v>
      </c>
      <c r="J299" s="856">
        <f t="shared" si="101"/>
        <v>0</v>
      </c>
      <c r="K299" s="856">
        <f t="shared" si="101"/>
        <v>0</v>
      </c>
      <c r="L299" s="856">
        <f t="shared" si="101"/>
        <v>0</v>
      </c>
      <c r="M299" s="856">
        <f t="shared" si="101"/>
        <v>0</v>
      </c>
      <c r="N299" s="856">
        <f t="shared" si="101"/>
        <v>0</v>
      </c>
      <c r="O299" s="856">
        <f t="shared" si="101"/>
        <v>0</v>
      </c>
      <c r="P299" s="856">
        <f t="shared" si="101"/>
        <v>0</v>
      </c>
      <c r="Q299" s="856">
        <f t="shared" si="100"/>
        <v>0</v>
      </c>
      <c r="R299" s="854"/>
      <c r="S299" s="854"/>
    </row>
    <row r="300" ht="15" hidden="1" spans="3:19">
      <c r="C300" s="285" t="s">
        <v>223</v>
      </c>
      <c r="D300" s="286"/>
      <c r="E300" s="856">
        <f t="shared" ref="E300:P300" si="102">E299+E280+E263</f>
        <v>0</v>
      </c>
      <c r="F300" s="856">
        <f t="shared" si="102"/>
        <v>0</v>
      </c>
      <c r="G300" s="856">
        <f t="shared" si="102"/>
        <v>0</v>
      </c>
      <c r="H300" s="856">
        <f t="shared" si="102"/>
        <v>0</v>
      </c>
      <c r="I300" s="856">
        <f t="shared" si="102"/>
        <v>0</v>
      </c>
      <c r="J300" s="856">
        <f t="shared" si="102"/>
        <v>0</v>
      </c>
      <c r="K300" s="856">
        <f t="shared" si="102"/>
        <v>0</v>
      </c>
      <c r="L300" s="856">
        <f t="shared" si="102"/>
        <v>0</v>
      </c>
      <c r="M300" s="856">
        <f t="shared" si="102"/>
        <v>0</v>
      </c>
      <c r="N300" s="856">
        <f t="shared" si="102"/>
        <v>0</v>
      </c>
      <c r="O300" s="856">
        <f t="shared" si="102"/>
        <v>0</v>
      </c>
      <c r="P300" s="856">
        <f t="shared" si="102"/>
        <v>0</v>
      </c>
      <c r="Q300" s="856">
        <f t="shared" si="100"/>
        <v>0</v>
      </c>
      <c r="R300" s="854"/>
      <c r="S300" s="854"/>
    </row>
    <row r="301" ht="15" hidden="1" spans="3:19">
      <c r="C301" s="285" t="s">
        <v>224</v>
      </c>
      <c r="D301" s="286"/>
      <c r="E301" s="856">
        <f t="shared" ref="E301:P301" si="103">E300+E246</f>
        <v>1072.59193717063</v>
      </c>
      <c r="F301" s="856">
        <f t="shared" si="103"/>
        <v>556.239089937373</v>
      </c>
      <c r="G301" s="856">
        <f t="shared" si="103"/>
        <v>545.389182946933</v>
      </c>
      <c r="H301" s="856">
        <f t="shared" si="103"/>
        <v>935.437165580384</v>
      </c>
      <c r="I301" s="856">
        <f t="shared" si="103"/>
        <v>1428.66565815359</v>
      </c>
      <c r="J301" s="856">
        <f t="shared" si="103"/>
        <v>871.507398885458</v>
      </c>
      <c r="K301" s="856">
        <f t="shared" si="103"/>
        <v>1004.44518767881</v>
      </c>
      <c r="L301" s="856">
        <f t="shared" si="103"/>
        <v>394.882793219235</v>
      </c>
      <c r="M301" s="856">
        <f t="shared" si="103"/>
        <v>882.23348368295</v>
      </c>
      <c r="N301" s="856">
        <f t="shared" si="103"/>
        <v>1166.43524578621</v>
      </c>
      <c r="O301" s="856">
        <f t="shared" si="103"/>
        <v>1197.76734866097</v>
      </c>
      <c r="P301" s="856">
        <f t="shared" si="103"/>
        <v>1668.76314684963</v>
      </c>
      <c r="Q301" s="856">
        <f t="shared" si="100"/>
        <v>11724.3576385522</v>
      </c>
      <c r="R301" s="854"/>
      <c r="S301" s="854"/>
    </row>
    <row r="302" ht="15" hidden="1" spans="3:19">
      <c r="C302" s="369"/>
      <c r="E302" s="854"/>
      <c r="F302" s="854"/>
      <c r="G302" s="854"/>
      <c r="H302" s="854"/>
      <c r="I302" s="854"/>
      <c r="J302" s="854"/>
      <c r="K302" s="854"/>
      <c r="L302" s="854"/>
      <c r="M302" s="854"/>
      <c r="N302" s="854"/>
      <c r="O302" s="854"/>
      <c r="P302" s="854"/>
      <c r="Q302" s="857" t="s">
        <v>236</v>
      </c>
      <c r="R302" s="854"/>
      <c r="S302" s="854"/>
    </row>
    <row r="303" ht="15" hidden="1" spans="3:19">
      <c r="C303" s="401" t="s">
        <v>159</v>
      </c>
      <c r="D303" s="401"/>
      <c r="E303" s="855" t="s">
        <v>262</v>
      </c>
      <c r="F303" s="855"/>
      <c r="G303" s="855"/>
      <c r="H303" s="855"/>
      <c r="I303" s="855"/>
      <c r="J303" s="855"/>
      <c r="K303" s="855"/>
      <c r="L303" s="855"/>
      <c r="M303" s="855"/>
      <c r="N303" s="855"/>
      <c r="O303" s="855"/>
      <c r="P303" s="855"/>
      <c r="Q303" s="855"/>
      <c r="R303" s="854"/>
      <c r="S303" s="854"/>
    </row>
    <row r="304" ht="15" hidden="1" spans="3:19">
      <c r="C304" s="401"/>
      <c r="D304" s="401"/>
      <c r="E304" s="855" t="s">
        <v>246</v>
      </c>
      <c r="F304" s="855" t="s">
        <v>247</v>
      </c>
      <c r="G304" s="855" t="s">
        <v>248</v>
      </c>
      <c r="H304" s="855" t="s">
        <v>249</v>
      </c>
      <c r="I304" s="855" t="s">
        <v>250</v>
      </c>
      <c r="J304" s="855" t="s">
        <v>251</v>
      </c>
      <c r="K304" s="855" t="s">
        <v>252</v>
      </c>
      <c r="L304" s="855" t="s">
        <v>253</v>
      </c>
      <c r="M304" s="855" t="s">
        <v>254</v>
      </c>
      <c r="N304" s="855" t="s">
        <v>255</v>
      </c>
      <c r="O304" s="855" t="s">
        <v>256</v>
      </c>
      <c r="P304" s="855" t="s">
        <v>257</v>
      </c>
      <c r="Q304" s="855" t="s">
        <v>97</v>
      </c>
      <c r="R304" s="854"/>
      <c r="S304" s="854"/>
    </row>
    <row r="305" ht="15" hidden="1" spans="3:19">
      <c r="C305" s="285" t="s">
        <v>170</v>
      </c>
      <c r="D305" s="286"/>
      <c r="E305" s="851"/>
      <c r="F305" s="851"/>
      <c r="G305" s="851"/>
      <c r="H305" s="851"/>
      <c r="I305" s="851"/>
      <c r="J305" s="851"/>
      <c r="K305" s="851"/>
      <c r="L305" s="851"/>
      <c r="M305" s="851"/>
      <c r="N305" s="851"/>
      <c r="O305" s="851"/>
      <c r="P305" s="851"/>
      <c r="Q305" s="856"/>
      <c r="R305" s="854"/>
      <c r="S305" s="854"/>
    </row>
    <row r="306" ht="15" hidden="1" spans="3:19">
      <c r="C306" s="296" t="s">
        <v>171</v>
      </c>
      <c r="D306" s="296" t="s">
        <v>172</v>
      </c>
      <c r="E306" s="851"/>
      <c r="F306" s="851"/>
      <c r="G306" s="851"/>
      <c r="H306" s="851"/>
      <c r="I306" s="851"/>
      <c r="J306" s="851"/>
      <c r="K306" s="851"/>
      <c r="L306" s="851"/>
      <c r="M306" s="851"/>
      <c r="N306" s="851"/>
      <c r="O306" s="851"/>
      <c r="P306" s="851"/>
      <c r="Q306" s="856">
        <f t="shared" ref="Q306:Q319" si="104">SUM(E306:P306)</f>
        <v>0</v>
      </c>
      <c r="R306" s="854"/>
      <c r="S306" s="854"/>
    </row>
    <row r="307" ht="15" hidden="1" spans="3:19">
      <c r="C307" s="296" t="s">
        <v>173</v>
      </c>
      <c r="D307" s="296" t="s">
        <v>174</v>
      </c>
      <c r="E307" s="851"/>
      <c r="F307" s="851"/>
      <c r="G307" s="851"/>
      <c r="H307" s="851"/>
      <c r="I307" s="851"/>
      <c r="J307" s="851"/>
      <c r="K307" s="851"/>
      <c r="L307" s="851"/>
      <c r="M307" s="851"/>
      <c r="N307" s="851"/>
      <c r="O307" s="851"/>
      <c r="P307" s="851"/>
      <c r="Q307" s="856">
        <f t="shared" si="104"/>
        <v>0</v>
      </c>
      <c r="R307" s="854"/>
      <c r="S307" s="854"/>
    </row>
    <row r="308" ht="15" hidden="1" spans="3:19">
      <c r="C308" s="296" t="s">
        <v>175</v>
      </c>
      <c r="D308" s="296" t="s">
        <v>176</v>
      </c>
      <c r="E308" s="851"/>
      <c r="F308" s="851"/>
      <c r="G308" s="851"/>
      <c r="H308" s="851"/>
      <c r="I308" s="851"/>
      <c r="J308" s="851"/>
      <c r="K308" s="851"/>
      <c r="L308" s="851"/>
      <c r="M308" s="851"/>
      <c r="N308" s="851"/>
      <c r="O308" s="851"/>
      <c r="P308" s="851"/>
      <c r="Q308" s="856">
        <f t="shared" si="104"/>
        <v>0</v>
      </c>
      <c r="R308" s="854"/>
      <c r="S308" s="854"/>
    </row>
    <row r="309" ht="15" hidden="1" spans="3:19">
      <c r="C309" s="296" t="s">
        <v>177</v>
      </c>
      <c r="D309" s="296" t="s">
        <v>178</v>
      </c>
      <c r="E309" s="851"/>
      <c r="F309" s="851"/>
      <c r="G309" s="851"/>
      <c r="H309" s="851"/>
      <c r="I309" s="851"/>
      <c r="J309" s="851"/>
      <c r="K309" s="851"/>
      <c r="L309" s="851"/>
      <c r="M309" s="851"/>
      <c r="N309" s="851"/>
      <c r="O309" s="851"/>
      <c r="P309" s="851"/>
      <c r="Q309" s="856">
        <f t="shared" si="104"/>
        <v>0</v>
      </c>
      <c r="R309" s="854"/>
      <c r="S309" s="854"/>
    </row>
    <row r="310" ht="15" hidden="1" spans="3:19">
      <c r="C310" s="296" t="s">
        <v>179</v>
      </c>
      <c r="D310" s="296" t="s">
        <v>180</v>
      </c>
      <c r="E310" s="851">
        <f>[17]Sales_SP!DV46</f>
        <v>1254.20211058848</v>
      </c>
      <c r="F310" s="851">
        <f>[17]Sales_SP!DW46</f>
        <v>593.193606162004</v>
      </c>
      <c r="G310" s="851">
        <f>[17]Sales_SP!DX46</f>
        <v>543.474133148526</v>
      </c>
      <c r="H310" s="851">
        <f>[17]Sales_SP!DY46</f>
        <v>780.52</v>
      </c>
      <c r="I310" s="851">
        <f>[17]Sales_SP!DZ46</f>
        <v>961.56</v>
      </c>
      <c r="J310" s="851">
        <f>[17]Sales_SP!EA46</f>
        <v>1043.74</v>
      </c>
      <c r="K310" s="851">
        <f>[17]Sales_SP!EB46</f>
        <v>701.02753478761</v>
      </c>
      <c r="L310" s="851">
        <f>[17]Sales_SP!EC46</f>
        <v>593.875110158624</v>
      </c>
      <c r="M310" s="851">
        <f>[17]Sales_SP!ED46</f>
        <v>1041.53916312042</v>
      </c>
      <c r="N310" s="851">
        <f>[17]Sales_SP!EE46</f>
        <v>1398.71766225091</v>
      </c>
      <c r="O310" s="851">
        <f>[17]Sales_SP!EF46</f>
        <v>1488.39335589008</v>
      </c>
      <c r="P310" s="851">
        <f>[17]Sales_SP!EG46</f>
        <v>1726.981694</v>
      </c>
      <c r="Q310" s="856">
        <f t="shared" si="104"/>
        <v>12127.2243701067</v>
      </c>
      <c r="R310" s="854"/>
      <c r="S310" s="854"/>
    </row>
    <row r="311" ht="15" hidden="1" spans="3:19">
      <c r="C311" s="296" t="s">
        <v>181</v>
      </c>
      <c r="D311" s="296" t="s">
        <v>182</v>
      </c>
      <c r="E311" s="851"/>
      <c r="F311" s="851"/>
      <c r="G311" s="851"/>
      <c r="H311" s="851"/>
      <c r="I311" s="851"/>
      <c r="J311" s="851"/>
      <c r="K311" s="851"/>
      <c r="L311" s="851"/>
      <c r="M311" s="851"/>
      <c r="N311" s="851"/>
      <c r="O311" s="851"/>
      <c r="P311" s="851"/>
      <c r="Q311" s="856">
        <f t="shared" si="104"/>
        <v>0</v>
      </c>
      <c r="R311" s="854"/>
      <c r="S311" s="854"/>
    </row>
    <row r="312" ht="15" hidden="1" spans="3:19">
      <c r="C312" s="296" t="s">
        <v>183</v>
      </c>
      <c r="D312" s="296" t="s">
        <v>184</v>
      </c>
      <c r="E312" s="851"/>
      <c r="F312" s="851"/>
      <c r="G312" s="851"/>
      <c r="H312" s="851"/>
      <c r="I312" s="851"/>
      <c r="J312" s="851"/>
      <c r="K312" s="851"/>
      <c r="L312" s="851"/>
      <c r="M312" s="851"/>
      <c r="N312" s="851"/>
      <c r="O312" s="851"/>
      <c r="P312" s="851"/>
      <c r="Q312" s="856">
        <f t="shared" si="104"/>
        <v>0</v>
      </c>
      <c r="R312" s="854"/>
      <c r="S312" s="854"/>
    </row>
    <row r="313" ht="15" hidden="1" spans="3:19">
      <c r="C313" s="296" t="s">
        <v>185</v>
      </c>
      <c r="D313" s="296" t="s">
        <v>186</v>
      </c>
      <c r="E313" s="851"/>
      <c r="F313" s="851"/>
      <c r="G313" s="851"/>
      <c r="H313" s="851"/>
      <c r="I313" s="851"/>
      <c r="J313" s="851"/>
      <c r="K313" s="851"/>
      <c r="L313" s="851"/>
      <c r="M313" s="851"/>
      <c r="N313" s="851"/>
      <c r="O313" s="851"/>
      <c r="P313" s="851"/>
      <c r="Q313" s="856">
        <f t="shared" si="104"/>
        <v>0</v>
      </c>
      <c r="R313" s="854"/>
      <c r="S313" s="854"/>
    </row>
    <row r="314" ht="15" hidden="1" spans="3:19">
      <c r="C314" s="296" t="s">
        <v>187</v>
      </c>
      <c r="D314" s="296" t="s">
        <v>188</v>
      </c>
      <c r="E314" s="851"/>
      <c r="F314" s="851"/>
      <c r="G314" s="851"/>
      <c r="H314" s="851"/>
      <c r="I314" s="851"/>
      <c r="J314" s="851"/>
      <c r="K314" s="851"/>
      <c r="L314" s="851"/>
      <c r="M314" s="851"/>
      <c r="N314" s="851"/>
      <c r="O314" s="851"/>
      <c r="P314" s="851"/>
      <c r="Q314" s="856">
        <f t="shared" si="104"/>
        <v>0</v>
      </c>
      <c r="R314" s="854"/>
      <c r="S314" s="854"/>
    </row>
    <row r="315" ht="15" hidden="1" spans="3:19">
      <c r="C315" s="296"/>
      <c r="D315" s="296"/>
      <c r="E315" s="851"/>
      <c r="F315" s="851"/>
      <c r="G315" s="851"/>
      <c r="H315" s="851"/>
      <c r="I315" s="851"/>
      <c r="J315" s="851"/>
      <c r="K315" s="851"/>
      <c r="L315" s="851"/>
      <c r="M315" s="851"/>
      <c r="N315" s="851"/>
      <c r="O315" s="851"/>
      <c r="P315" s="851"/>
      <c r="Q315" s="856">
        <f t="shared" si="104"/>
        <v>0</v>
      </c>
      <c r="R315" s="854"/>
      <c r="S315" s="854"/>
    </row>
    <row r="316" ht="15" hidden="1" spans="3:19">
      <c r="C316" s="296"/>
      <c r="D316" s="296"/>
      <c r="E316" s="851"/>
      <c r="F316" s="851"/>
      <c r="G316" s="851"/>
      <c r="H316" s="851"/>
      <c r="I316" s="851"/>
      <c r="J316" s="851"/>
      <c r="K316" s="851"/>
      <c r="L316" s="851"/>
      <c r="M316" s="851"/>
      <c r="N316" s="851"/>
      <c r="O316" s="851"/>
      <c r="P316" s="851"/>
      <c r="Q316" s="856">
        <f t="shared" si="104"/>
        <v>0</v>
      </c>
      <c r="R316" s="854"/>
      <c r="S316" s="854"/>
    </row>
    <row r="317" ht="15" hidden="1" spans="3:19">
      <c r="C317" s="296"/>
      <c r="D317" s="296"/>
      <c r="E317" s="851"/>
      <c r="F317" s="851"/>
      <c r="G317" s="851"/>
      <c r="H317" s="851"/>
      <c r="I317" s="851"/>
      <c r="J317" s="851"/>
      <c r="K317" s="851"/>
      <c r="L317" s="851"/>
      <c r="M317" s="851"/>
      <c r="N317" s="851"/>
      <c r="O317" s="851"/>
      <c r="P317" s="851"/>
      <c r="Q317" s="856">
        <f t="shared" si="104"/>
        <v>0</v>
      </c>
      <c r="R317" s="854"/>
      <c r="S317" s="854"/>
    </row>
    <row r="318" ht="15" hidden="1" spans="3:19">
      <c r="C318" s="296" t="s">
        <v>258</v>
      </c>
      <c r="D318" s="296" t="s">
        <v>258</v>
      </c>
      <c r="E318" s="851"/>
      <c r="F318" s="851"/>
      <c r="G318" s="851"/>
      <c r="H318" s="851"/>
      <c r="I318" s="851"/>
      <c r="J318" s="851"/>
      <c r="K318" s="851"/>
      <c r="L318" s="851"/>
      <c r="M318" s="851"/>
      <c r="N318" s="851"/>
      <c r="O318" s="851"/>
      <c r="P318" s="851"/>
      <c r="Q318" s="856">
        <f t="shared" si="104"/>
        <v>0</v>
      </c>
      <c r="R318" s="854"/>
      <c r="S318" s="854"/>
    </row>
    <row r="319" ht="15" hidden="1" spans="3:19">
      <c r="C319" s="285" t="s">
        <v>189</v>
      </c>
      <c r="D319" s="286"/>
      <c r="E319" s="856">
        <f t="shared" ref="E319:P319" si="105">SUM(E306:E318)</f>
        <v>1254.20211058848</v>
      </c>
      <c r="F319" s="856">
        <f t="shared" si="105"/>
        <v>593.193606162004</v>
      </c>
      <c r="G319" s="856">
        <f t="shared" si="105"/>
        <v>543.474133148526</v>
      </c>
      <c r="H319" s="856">
        <f t="shared" si="105"/>
        <v>780.52</v>
      </c>
      <c r="I319" s="856">
        <f t="shared" si="105"/>
        <v>961.56</v>
      </c>
      <c r="J319" s="856">
        <f t="shared" si="105"/>
        <v>1043.74</v>
      </c>
      <c r="K319" s="856">
        <f t="shared" si="105"/>
        <v>701.02753478761</v>
      </c>
      <c r="L319" s="856">
        <f t="shared" si="105"/>
        <v>593.875110158624</v>
      </c>
      <c r="M319" s="856">
        <f t="shared" si="105"/>
        <v>1041.53916312042</v>
      </c>
      <c r="N319" s="856">
        <f t="shared" si="105"/>
        <v>1398.71766225091</v>
      </c>
      <c r="O319" s="856">
        <f t="shared" si="105"/>
        <v>1488.39335589008</v>
      </c>
      <c r="P319" s="856">
        <f t="shared" si="105"/>
        <v>1726.981694</v>
      </c>
      <c r="Q319" s="856">
        <f t="shared" si="104"/>
        <v>12127.2243701067</v>
      </c>
      <c r="R319" s="854"/>
      <c r="S319" s="854"/>
    </row>
    <row r="320" ht="15" hidden="1" spans="3:19">
      <c r="C320" s="285" t="s">
        <v>190</v>
      </c>
      <c r="D320" s="286"/>
      <c r="E320" s="851"/>
      <c r="F320" s="851"/>
      <c r="G320" s="851"/>
      <c r="H320" s="851"/>
      <c r="I320" s="851"/>
      <c r="J320" s="851"/>
      <c r="K320" s="851"/>
      <c r="L320" s="851"/>
      <c r="M320" s="851"/>
      <c r="N320" s="851"/>
      <c r="O320" s="851"/>
      <c r="P320" s="851"/>
      <c r="Q320" s="856"/>
      <c r="R320" s="854"/>
      <c r="S320" s="854"/>
    </row>
    <row r="321" ht="15" hidden="1" spans="3:19">
      <c r="C321" s="296" t="s">
        <v>191</v>
      </c>
      <c r="D321" s="296" t="s">
        <v>192</v>
      </c>
      <c r="E321" s="851"/>
      <c r="F321" s="851"/>
      <c r="G321" s="851"/>
      <c r="H321" s="851"/>
      <c r="I321" s="851"/>
      <c r="J321" s="851"/>
      <c r="K321" s="851"/>
      <c r="L321" s="851"/>
      <c r="M321" s="851"/>
      <c r="N321" s="851"/>
      <c r="O321" s="851"/>
      <c r="P321" s="851"/>
      <c r="Q321" s="856">
        <f t="shared" ref="Q321:Q336" si="106">SUM(E321:P321)</f>
        <v>0</v>
      </c>
      <c r="R321" s="854"/>
      <c r="S321" s="854"/>
    </row>
    <row r="322" ht="15" hidden="1" spans="3:19">
      <c r="C322" s="296" t="s">
        <v>193</v>
      </c>
      <c r="D322" s="296" t="s">
        <v>194</v>
      </c>
      <c r="E322" s="851"/>
      <c r="F322" s="851"/>
      <c r="G322" s="851"/>
      <c r="H322" s="851"/>
      <c r="I322" s="851"/>
      <c r="J322" s="851"/>
      <c r="K322" s="851"/>
      <c r="L322" s="851"/>
      <c r="M322" s="851"/>
      <c r="N322" s="851"/>
      <c r="O322" s="851"/>
      <c r="P322" s="851"/>
      <c r="Q322" s="856">
        <f t="shared" si="106"/>
        <v>0</v>
      </c>
      <c r="R322" s="854"/>
      <c r="S322" s="854"/>
    </row>
    <row r="323" ht="15" hidden="1" spans="3:19">
      <c r="C323" s="296" t="s">
        <v>239</v>
      </c>
      <c r="D323" s="296" t="s">
        <v>196</v>
      </c>
      <c r="E323" s="851"/>
      <c r="F323" s="851"/>
      <c r="G323" s="851"/>
      <c r="H323" s="851"/>
      <c r="I323" s="851"/>
      <c r="J323" s="851"/>
      <c r="K323" s="851"/>
      <c r="L323" s="851"/>
      <c r="M323" s="851"/>
      <c r="N323" s="851"/>
      <c r="O323" s="851"/>
      <c r="P323" s="851"/>
      <c r="Q323" s="856">
        <f t="shared" si="106"/>
        <v>0</v>
      </c>
      <c r="R323" s="854"/>
      <c r="S323" s="854"/>
    </row>
    <row r="324" ht="15" hidden="1" spans="3:19">
      <c r="C324" s="296" t="s">
        <v>197</v>
      </c>
      <c r="D324" s="296" t="s">
        <v>198</v>
      </c>
      <c r="E324" s="851"/>
      <c r="F324" s="851"/>
      <c r="G324" s="851"/>
      <c r="H324" s="851"/>
      <c r="I324" s="851"/>
      <c r="J324" s="851"/>
      <c r="K324" s="851"/>
      <c r="L324" s="851"/>
      <c r="M324" s="851"/>
      <c r="N324" s="851"/>
      <c r="O324" s="851"/>
      <c r="P324" s="851"/>
      <c r="Q324" s="856">
        <f t="shared" si="106"/>
        <v>0</v>
      </c>
      <c r="R324" s="854"/>
      <c r="S324" s="854"/>
    </row>
    <row r="325" ht="15" hidden="1" spans="3:19">
      <c r="C325" s="296" t="s">
        <v>199</v>
      </c>
      <c r="D325" s="296" t="s">
        <v>200</v>
      </c>
      <c r="E325" s="851"/>
      <c r="F325" s="851"/>
      <c r="G325" s="851"/>
      <c r="H325" s="851"/>
      <c r="I325" s="851"/>
      <c r="J325" s="851"/>
      <c r="K325" s="851"/>
      <c r="L325" s="851"/>
      <c r="M325" s="851"/>
      <c r="N325" s="851"/>
      <c r="O325" s="851"/>
      <c r="P325" s="851"/>
      <c r="Q325" s="856">
        <f t="shared" si="106"/>
        <v>0</v>
      </c>
      <c r="R325" s="854"/>
      <c r="S325" s="854"/>
    </row>
    <row r="326" ht="15" hidden="1" spans="3:19">
      <c r="C326" s="296" t="s">
        <v>201</v>
      </c>
      <c r="D326" s="296" t="s">
        <v>202</v>
      </c>
      <c r="E326" s="851"/>
      <c r="F326" s="851"/>
      <c r="G326" s="851"/>
      <c r="H326" s="851"/>
      <c r="I326" s="851"/>
      <c r="J326" s="851"/>
      <c r="K326" s="851"/>
      <c r="L326" s="851"/>
      <c r="M326" s="851"/>
      <c r="N326" s="851"/>
      <c r="O326" s="851"/>
      <c r="P326" s="851"/>
      <c r="Q326" s="856">
        <f t="shared" si="106"/>
        <v>0</v>
      </c>
      <c r="R326" s="854"/>
      <c r="S326" s="854"/>
    </row>
    <row r="327" ht="15" hidden="1" spans="3:19">
      <c r="C327" s="296" t="s">
        <v>203</v>
      </c>
      <c r="D327" s="296" t="s">
        <v>204</v>
      </c>
      <c r="E327" s="851"/>
      <c r="F327" s="851"/>
      <c r="G327" s="851"/>
      <c r="H327" s="851"/>
      <c r="I327" s="851"/>
      <c r="J327" s="851"/>
      <c r="K327" s="851"/>
      <c r="L327" s="851"/>
      <c r="M327" s="851"/>
      <c r="N327" s="851"/>
      <c r="O327" s="851"/>
      <c r="P327" s="851"/>
      <c r="Q327" s="856">
        <f t="shared" si="106"/>
        <v>0</v>
      </c>
      <c r="R327" s="854"/>
      <c r="S327" s="854"/>
    </row>
    <row r="328" ht="15" hidden="1" spans="3:19">
      <c r="C328" s="296" t="s">
        <v>205</v>
      </c>
      <c r="D328" s="296" t="s">
        <v>206</v>
      </c>
      <c r="E328" s="851"/>
      <c r="F328" s="851"/>
      <c r="G328" s="851"/>
      <c r="H328" s="851"/>
      <c r="I328" s="851"/>
      <c r="J328" s="851"/>
      <c r="K328" s="851"/>
      <c r="L328" s="851"/>
      <c r="M328" s="851"/>
      <c r="N328" s="851"/>
      <c r="O328" s="851"/>
      <c r="P328" s="851"/>
      <c r="Q328" s="856">
        <f t="shared" si="106"/>
        <v>0</v>
      </c>
      <c r="R328" s="854"/>
      <c r="S328" s="854"/>
    </row>
    <row r="329" ht="15" hidden="1" spans="3:19">
      <c r="C329" s="296" t="s">
        <v>207</v>
      </c>
      <c r="D329" s="296" t="s">
        <v>186</v>
      </c>
      <c r="E329" s="851"/>
      <c r="F329" s="851"/>
      <c r="G329" s="851"/>
      <c r="H329" s="851"/>
      <c r="I329" s="851"/>
      <c r="J329" s="851"/>
      <c r="K329" s="851"/>
      <c r="L329" s="851"/>
      <c r="M329" s="851"/>
      <c r="N329" s="851"/>
      <c r="O329" s="851"/>
      <c r="P329" s="851"/>
      <c r="Q329" s="856">
        <f t="shared" si="106"/>
        <v>0</v>
      </c>
      <c r="R329" s="854"/>
      <c r="S329" s="854"/>
    </row>
    <row r="330" ht="15" hidden="1" spans="3:19">
      <c r="C330" s="296" t="s">
        <v>208</v>
      </c>
      <c r="D330" s="296" t="s">
        <v>209</v>
      </c>
      <c r="E330" s="851"/>
      <c r="F330" s="851"/>
      <c r="G330" s="851"/>
      <c r="H330" s="851"/>
      <c r="I330" s="851"/>
      <c r="J330" s="851"/>
      <c r="K330" s="851"/>
      <c r="L330" s="851"/>
      <c r="M330" s="851"/>
      <c r="N330" s="851"/>
      <c r="O330" s="851"/>
      <c r="P330" s="851"/>
      <c r="Q330" s="856">
        <f t="shared" si="106"/>
        <v>0</v>
      </c>
      <c r="R330" s="854"/>
      <c r="S330" s="854"/>
    </row>
    <row r="331" ht="15" hidden="1" spans="3:19">
      <c r="C331" s="296" t="s">
        <v>210</v>
      </c>
      <c r="D331" s="296" t="s">
        <v>188</v>
      </c>
      <c r="E331" s="851"/>
      <c r="F331" s="851"/>
      <c r="G331" s="851"/>
      <c r="H331" s="851"/>
      <c r="I331" s="851"/>
      <c r="J331" s="851"/>
      <c r="K331" s="851"/>
      <c r="L331" s="851"/>
      <c r="M331" s="851"/>
      <c r="N331" s="851"/>
      <c r="O331" s="851"/>
      <c r="P331" s="851"/>
      <c r="Q331" s="856">
        <f t="shared" si="106"/>
        <v>0</v>
      </c>
      <c r="R331" s="854"/>
      <c r="S331" s="854"/>
    </row>
    <row r="332" ht="15" hidden="1" spans="3:19">
      <c r="C332" s="296"/>
      <c r="D332" s="296"/>
      <c r="E332" s="851"/>
      <c r="F332" s="851"/>
      <c r="G332" s="851"/>
      <c r="H332" s="851"/>
      <c r="I332" s="851"/>
      <c r="J332" s="851"/>
      <c r="K332" s="851"/>
      <c r="L332" s="851"/>
      <c r="M332" s="851"/>
      <c r="N332" s="851"/>
      <c r="O332" s="851"/>
      <c r="P332" s="851"/>
      <c r="Q332" s="856">
        <f t="shared" si="106"/>
        <v>0</v>
      </c>
      <c r="R332" s="854"/>
      <c r="S332" s="854"/>
    </row>
    <row r="333" ht="15" hidden="1" spans="3:19">
      <c r="C333" s="296"/>
      <c r="D333" s="296"/>
      <c r="E333" s="851"/>
      <c r="F333" s="851"/>
      <c r="G333" s="851"/>
      <c r="H333" s="851"/>
      <c r="I333" s="851"/>
      <c r="J333" s="851"/>
      <c r="K333" s="851"/>
      <c r="L333" s="851"/>
      <c r="M333" s="851"/>
      <c r="N333" s="851"/>
      <c r="O333" s="851"/>
      <c r="P333" s="851"/>
      <c r="Q333" s="856">
        <f t="shared" si="106"/>
        <v>0</v>
      </c>
      <c r="R333" s="854"/>
      <c r="S333" s="854"/>
    </row>
    <row r="334" ht="15" hidden="1" spans="3:19">
      <c r="C334" s="296"/>
      <c r="D334" s="296"/>
      <c r="E334" s="851"/>
      <c r="F334" s="851"/>
      <c r="G334" s="851"/>
      <c r="H334" s="851"/>
      <c r="I334" s="851"/>
      <c r="J334" s="851"/>
      <c r="K334" s="851"/>
      <c r="L334" s="851"/>
      <c r="M334" s="851"/>
      <c r="N334" s="851"/>
      <c r="O334" s="851"/>
      <c r="P334" s="851"/>
      <c r="Q334" s="856">
        <f t="shared" si="106"/>
        <v>0</v>
      </c>
      <c r="R334" s="854"/>
      <c r="S334" s="854"/>
    </row>
    <row r="335" ht="15" hidden="1" spans="3:19">
      <c r="C335" s="296" t="s">
        <v>258</v>
      </c>
      <c r="D335" s="296" t="s">
        <v>258</v>
      </c>
      <c r="E335" s="851"/>
      <c r="F335" s="851"/>
      <c r="G335" s="851"/>
      <c r="H335" s="851"/>
      <c r="I335" s="851"/>
      <c r="J335" s="851"/>
      <c r="K335" s="851"/>
      <c r="L335" s="851"/>
      <c r="M335" s="851"/>
      <c r="N335" s="851"/>
      <c r="O335" s="851"/>
      <c r="P335" s="851"/>
      <c r="Q335" s="856">
        <f t="shared" si="106"/>
        <v>0</v>
      </c>
      <c r="R335" s="854"/>
      <c r="S335" s="854"/>
    </row>
    <row r="336" ht="15" hidden="1" spans="3:19">
      <c r="C336" s="285" t="s">
        <v>211</v>
      </c>
      <c r="D336" s="286"/>
      <c r="E336" s="856">
        <f t="shared" ref="E336:P336" si="107">SUM(E321:E335)</f>
        <v>0</v>
      </c>
      <c r="F336" s="856">
        <f t="shared" si="107"/>
        <v>0</v>
      </c>
      <c r="G336" s="856">
        <f t="shared" si="107"/>
        <v>0</v>
      </c>
      <c r="H336" s="856">
        <f t="shared" si="107"/>
        <v>0</v>
      </c>
      <c r="I336" s="856">
        <f t="shared" si="107"/>
        <v>0</v>
      </c>
      <c r="J336" s="856">
        <f t="shared" si="107"/>
        <v>0</v>
      </c>
      <c r="K336" s="856">
        <f t="shared" si="107"/>
        <v>0</v>
      </c>
      <c r="L336" s="856">
        <f t="shared" si="107"/>
        <v>0</v>
      </c>
      <c r="M336" s="856">
        <f t="shared" si="107"/>
        <v>0</v>
      </c>
      <c r="N336" s="856">
        <f t="shared" si="107"/>
        <v>0</v>
      </c>
      <c r="O336" s="856">
        <f t="shared" si="107"/>
        <v>0</v>
      </c>
      <c r="P336" s="856">
        <f t="shared" si="107"/>
        <v>0</v>
      </c>
      <c r="Q336" s="856">
        <f t="shared" si="106"/>
        <v>0</v>
      </c>
      <c r="R336" s="854"/>
      <c r="S336" s="854"/>
    </row>
    <row r="337" ht="15" hidden="1" spans="3:19">
      <c r="C337" s="285" t="s">
        <v>212</v>
      </c>
      <c r="D337" s="286"/>
      <c r="E337" s="851"/>
      <c r="F337" s="851"/>
      <c r="G337" s="851"/>
      <c r="H337" s="851"/>
      <c r="I337" s="851"/>
      <c r="J337" s="851"/>
      <c r="K337" s="851"/>
      <c r="L337" s="851"/>
      <c r="M337" s="851"/>
      <c r="N337" s="851"/>
      <c r="O337" s="851"/>
      <c r="P337" s="851"/>
      <c r="Q337" s="856"/>
      <c r="R337" s="854"/>
      <c r="S337" s="854"/>
    </row>
    <row r="338" ht="15" hidden="1" spans="3:19">
      <c r="C338" s="296" t="s">
        <v>191</v>
      </c>
      <c r="D338" s="296" t="s">
        <v>192</v>
      </c>
      <c r="E338" s="851"/>
      <c r="F338" s="851"/>
      <c r="G338" s="851"/>
      <c r="H338" s="851"/>
      <c r="I338" s="851"/>
      <c r="J338" s="851"/>
      <c r="K338" s="851"/>
      <c r="L338" s="851"/>
      <c r="M338" s="851"/>
      <c r="N338" s="851"/>
      <c r="O338" s="851"/>
      <c r="P338" s="851"/>
      <c r="Q338" s="856">
        <f t="shared" ref="Q338:Q353" si="108">SUM(E338:P338)</f>
        <v>0</v>
      </c>
      <c r="R338" s="854"/>
      <c r="S338" s="854"/>
    </row>
    <row r="339" ht="15" hidden="1" spans="3:19">
      <c r="C339" s="296" t="s">
        <v>193</v>
      </c>
      <c r="D339" s="296" t="s">
        <v>194</v>
      </c>
      <c r="E339" s="851"/>
      <c r="F339" s="851"/>
      <c r="G339" s="851"/>
      <c r="H339" s="851"/>
      <c r="I339" s="851"/>
      <c r="J339" s="851"/>
      <c r="K339" s="851"/>
      <c r="L339" s="851"/>
      <c r="M339" s="851"/>
      <c r="N339" s="851"/>
      <c r="O339" s="851"/>
      <c r="P339" s="851"/>
      <c r="Q339" s="856">
        <f t="shared" si="108"/>
        <v>0</v>
      </c>
      <c r="R339" s="854"/>
      <c r="S339" s="854"/>
    </row>
    <row r="340" ht="15" hidden="1" spans="3:19">
      <c r="C340" s="296" t="s">
        <v>239</v>
      </c>
      <c r="D340" s="296" t="s">
        <v>196</v>
      </c>
      <c r="E340" s="851"/>
      <c r="F340" s="851"/>
      <c r="G340" s="851"/>
      <c r="H340" s="851"/>
      <c r="I340" s="851"/>
      <c r="J340" s="851"/>
      <c r="K340" s="851"/>
      <c r="L340" s="851"/>
      <c r="M340" s="851"/>
      <c r="N340" s="851"/>
      <c r="O340" s="851"/>
      <c r="P340" s="851"/>
      <c r="Q340" s="856">
        <f t="shared" si="108"/>
        <v>0</v>
      </c>
      <c r="R340" s="854"/>
      <c r="S340" s="854"/>
    </row>
    <row r="341" ht="15" hidden="1" spans="3:19">
      <c r="C341" s="296" t="s">
        <v>197</v>
      </c>
      <c r="D341" s="296" t="s">
        <v>198</v>
      </c>
      <c r="E341" s="851"/>
      <c r="F341" s="851"/>
      <c r="G341" s="851"/>
      <c r="H341" s="851"/>
      <c r="I341" s="851"/>
      <c r="J341" s="851"/>
      <c r="K341" s="851"/>
      <c r="L341" s="851"/>
      <c r="M341" s="851"/>
      <c r="N341" s="851"/>
      <c r="O341" s="851"/>
      <c r="P341" s="851"/>
      <c r="Q341" s="856">
        <f t="shared" si="108"/>
        <v>0</v>
      </c>
      <c r="R341" s="854"/>
      <c r="S341" s="854"/>
    </row>
    <row r="342" ht="15" hidden="1" spans="3:19">
      <c r="C342" s="296" t="s">
        <v>199</v>
      </c>
      <c r="D342" s="296" t="s">
        <v>200</v>
      </c>
      <c r="E342" s="851"/>
      <c r="F342" s="851"/>
      <c r="G342" s="851"/>
      <c r="H342" s="851"/>
      <c r="I342" s="851"/>
      <c r="J342" s="851"/>
      <c r="K342" s="851"/>
      <c r="L342" s="851"/>
      <c r="M342" s="851"/>
      <c r="N342" s="851"/>
      <c r="O342" s="851"/>
      <c r="P342" s="851"/>
      <c r="Q342" s="856">
        <f t="shared" si="108"/>
        <v>0</v>
      </c>
      <c r="R342" s="854"/>
      <c r="S342" s="854"/>
    </row>
    <row r="343" ht="15" hidden="1" spans="3:19">
      <c r="C343" s="296" t="s">
        <v>201</v>
      </c>
      <c r="D343" s="296" t="s">
        <v>202</v>
      </c>
      <c r="E343" s="851"/>
      <c r="F343" s="851"/>
      <c r="G343" s="851"/>
      <c r="H343" s="851"/>
      <c r="I343" s="851"/>
      <c r="J343" s="851"/>
      <c r="K343" s="851"/>
      <c r="L343" s="851"/>
      <c r="M343" s="851"/>
      <c r="N343" s="851"/>
      <c r="O343" s="851"/>
      <c r="P343" s="851"/>
      <c r="Q343" s="856">
        <f t="shared" si="108"/>
        <v>0</v>
      </c>
      <c r="R343" s="854"/>
      <c r="S343" s="854"/>
    </row>
    <row r="344" ht="15" hidden="1" spans="3:19">
      <c r="C344" s="296" t="s">
        <v>203</v>
      </c>
      <c r="D344" s="296" t="s">
        <v>204</v>
      </c>
      <c r="E344" s="851"/>
      <c r="F344" s="851"/>
      <c r="G344" s="851"/>
      <c r="H344" s="851"/>
      <c r="I344" s="851"/>
      <c r="J344" s="851"/>
      <c r="K344" s="851"/>
      <c r="L344" s="851"/>
      <c r="M344" s="851"/>
      <c r="N344" s="851"/>
      <c r="O344" s="851"/>
      <c r="P344" s="851"/>
      <c r="Q344" s="856">
        <f t="shared" si="108"/>
        <v>0</v>
      </c>
      <c r="R344" s="854"/>
      <c r="S344" s="854"/>
    </row>
    <row r="345" ht="15" hidden="1" spans="3:19">
      <c r="C345" s="296" t="s">
        <v>205</v>
      </c>
      <c r="D345" s="296" t="s">
        <v>206</v>
      </c>
      <c r="E345" s="851"/>
      <c r="F345" s="851"/>
      <c r="G345" s="851"/>
      <c r="H345" s="851"/>
      <c r="I345" s="851"/>
      <c r="J345" s="851"/>
      <c r="K345" s="851"/>
      <c r="L345" s="851"/>
      <c r="M345" s="851"/>
      <c r="N345" s="851"/>
      <c r="O345" s="851"/>
      <c r="P345" s="851"/>
      <c r="Q345" s="856">
        <f t="shared" si="108"/>
        <v>0</v>
      </c>
      <c r="R345" s="854"/>
      <c r="S345" s="854"/>
    </row>
    <row r="346" ht="15" hidden="1" spans="3:19">
      <c r="C346" s="296" t="s">
        <v>231</v>
      </c>
      <c r="D346" s="296" t="s">
        <v>186</v>
      </c>
      <c r="E346" s="851"/>
      <c r="F346" s="851"/>
      <c r="G346" s="851"/>
      <c r="H346" s="851"/>
      <c r="I346" s="851"/>
      <c r="J346" s="851"/>
      <c r="K346" s="851"/>
      <c r="L346" s="851"/>
      <c r="M346" s="851"/>
      <c r="N346" s="851"/>
      <c r="O346" s="851"/>
      <c r="P346" s="851"/>
      <c r="Q346" s="856">
        <f t="shared" si="108"/>
        <v>0</v>
      </c>
      <c r="R346" s="854"/>
      <c r="S346" s="854"/>
    </row>
    <row r="347" ht="15" hidden="1" spans="3:19">
      <c r="C347" s="296" t="s">
        <v>208</v>
      </c>
      <c r="D347" s="296" t="s">
        <v>209</v>
      </c>
      <c r="E347" s="851"/>
      <c r="F347" s="851"/>
      <c r="G347" s="851"/>
      <c r="H347" s="851"/>
      <c r="I347" s="851"/>
      <c r="J347" s="851"/>
      <c r="K347" s="851"/>
      <c r="L347" s="851"/>
      <c r="M347" s="851"/>
      <c r="N347" s="851"/>
      <c r="O347" s="851"/>
      <c r="P347" s="851"/>
      <c r="Q347" s="856">
        <f t="shared" si="108"/>
        <v>0</v>
      </c>
      <c r="R347" s="854"/>
      <c r="S347" s="854"/>
    </row>
    <row r="348" ht="15" hidden="1" spans="3:19">
      <c r="C348" s="296" t="s">
        <v>210</v>
      </c>
      <c r="D348" s="296" t="s">
        <v>188</v>
      </c>
      <c r="E348" s="851"/>
      <c r="F348" s="851"/>
      <c r="G348" s="851"/>
      <c r="H348" s="851"/>
      <c r="I348" s="851"/>
      <c r="J348" s="851"/>
      <c r="K348" s="851"/>
      <c r="L348" s="851"/>
      <c r="M348" s="851"/>
      <c r="N348" s="851"/>
      <c r="O348" s="851"/>
      <c r="P348" s="851"/>
      <c r="Q348" s="856">
        <f t="shared" si="108"/>
        <v>0</v>
      </c>
      <c r="R348" s="854"/>
      <c r="S348" s="854"/>
    </row>
    <row r="349" ht="15" hidden="1" spans="3:19">
      <c r="C349" s="296"/>
      <c r="D349" s="296"/>
      <c r="E349" s="851"/>
      <c r="F349" s="851"/>
      <c r="G349" s="851"/>
      <c r="H349" s="851"/>
      <c r="I349" s="851"/>
      <c r="J349" s="851"/>
      <c r="K349" s="851"/>
      <c r="L349" s="851"/>
      <c r="M349" s="851"/>
      <c r="N349" s="851"/>
      <c r="O349" s="851"/>
      <c r="P349" s="851"/>
      <c r="Q349" s="856">
        <f t="shared" si="108"/>
        <v>0</v>
      </c>
      <c r="R349" s="854"/>
      <c r="S349" s="854"/>
    </row>
    <row r="350" ht="15" hidden="1" spans="3:19">
      <c r="C350" s="296"/>
      <c r="D350" s="296"/>
      <c r="E350" s="851"/>
      <c r="F350" s="851"/>
      <c r="G350" s="851"/>
      <c r="H350" s="851"/>
      <c r="I350" s="851"/>
      <c r="J350" s="851"/>
      <c r="K350" s="851"/>
      <c r="L350" s="851"/>
      <c r="M350" s="851"/>
      <c r="N350" s="851"/>
      <c r="O350" s="851"/>
      <c r="P350" s="851"/>
      <c r="Q350" s="856">
        <f t="shared" si="108"/>
        <v>0</v>
      </c>
      <c r="R350" s="854"/>
      <c r="S350" s="854"/>
    </row>
    <row r="351" ht="15" hidden="1" spans="3:19">
      <c r="C351" s="296"/>
      <c r="D351" s="296"/>
      <c r="E351" s="851"/>
      <c r="F351" s="851"/>
      <c r="G351" s="851"/>
      <c r="H351" s="851"/>
      <c r="I351" s="851"/>
      <c r="J351" s="851"/>
      <c r="K351" s="851"/>
      <c r="L351" s="851"/>
      <c r="M351" s="851"/>
      <c r="N351" s="851"/>
      <c r="O351" s="851"/>
      <c r="P351" s="851"/>
      <c r="Q351" s="856">
        <f t="shared" si="108"/>
        <v>0</v>
      </c>
      <c r="R351" s="854"/>
      <c r="S351" s="854"/>
    </row>
    <row r="352" ht="15" hidden="1" spans="3:19">
      <c r="C352" s="296" t="s">
        <v>258</v>
      </c>
      <c r="D352" s="296" t="s">
        <v>258</v>
      </c>
      <c r="E352" s="851"/>
      <c r="F352" s="851"/>
      <c r="G352" s="851"/>
      <c r="H352" s="851"/>
      <c r="I352" s="851"/>
      <c r="J352" s="851"/>
      <c r="K352" s="851"/>
      <c r="L352" s="851"/>
      <c r="M352" s="851"/>
      <c r="N352" s="851"/>
      <c r="O352" s="851"/>
      <c r="P352" s="851"/>
      <c r="Q352" s="856">
        <f t="shared" si="108"/>
        <v>0</v>
      </c>
      <c r="R352" s="854"/>
      <c r="S352" s="854"/>
    </row>
    <row r="353" ht="15" hidden="1" spans="3:19">
      <c r="C353" s="285" t="s">
        <v>211</v>
      </c>
      <c r="D353" s="286"/>
      <c r="E353" s="856">
        <f>SUM(E338:E352)</f>
        <v>0</v>
      </c>
      <c r="F353" s="856">
        <f t="shared" ref="F353:P353" si="109">SUM(F338:F352)</f>
        <v>0</v>
      </c>
      <c r="G353" s="856">
        <f t="shared" si="109"/>
        <v>0</v>
      </c>
      <c r="H353" s="856">
        <f t="shared" si="109"/>
        <v>0</v>
      </c>
      <c r="I353" s="856">
        <f t="shared" si="109"/>
        <v>0</v>
      </c>
      <c r="J353" s="856">
        <f t="shared" si="109"/>
        <v>0</v>
      </c>
      <c r="K353" s="856">
        <f t="shared" si="109"/>
        <v>0</v>
      </c>
      <c r="L353" s="856">
        <f t="shared" si="109"/>
        <v>0</v>
      </c>
      <c r="M353" s="856">
        <f t="shared" si="109"/>
        <v>0</v>
      </c>
      <c r="N353" s="856">
        <f t="shared" si="109"/>
        <v>0</v>
      </c>
      <c r="O353" s="856">
        <f t="shared" si="109"/>
        <v>0</v>
      </c>
      <c r="P353" s="856">
        <f t="shared" si="109"/>
        <v>0</v>
      </c>
      <c r="Q353" s="856">
        <f t="shared" si="108"/>
        <v>0</v>
      </c>
      <c r="R353" s="854"/>
      <c r="S353" s="854"/>
    </row>
    <row r="354" ht="15" hidden="1" spans="3:19">
      <c r="C354" s="285" t="s">
        <v>219</v>
      </c>
      <c r="D354" s="286"/>
      <c r="E354" s="851"/>
      <c r="F354" s="851"/>
      <c r="G354" s="851"/>
      <c r="H354" s="851"/>
      <c r="I354" s="851"/>
      <c r="J354" s="851"/>
      <c r="K354" s="851"/>
      <c r="L354" s="851"/>
      <c r="M354" s="851"/>
      <c r="N354" s="851"/>
      <c r="O354" s="851"/>
      <c r="P354" s="851"/>
      <c r="Q354" s="856"/>
      <c r="R354" s="854"/>
      <c r="S354" s="854"/>
    </row>
    <row r="355" ht="15" hidden="1" spans="3:19">
      <c r="C355" s="296" t="s">
        <v>191</v>
      </c>
      <c r="D355" s="296" t="s">
        <v>192</v>
      </c>
      <c r="E355" s="851"/>
      <c r="F355" s="851"/>
      <c r="G355" s="851"/>
      <c r="H355" s="851"/>
      <c r="I355" s="851"/>
      <c r="J355" s="851"/>
      <c r="K355" s="851"/>
      <c r="L355" s="851"/>
      <c r="M355" s="851"/>
      <c r="N355" s="851"/>
      <c r="O355" s="851"/>
      <c r="P355" s="851"/>
      <c r="Q355" s="856">
        <f t="shared" ref="Q355:Q374" si="110">SUM(E355:P355)</f>
        <v>0</v>
      </c>
      <c r="R355" s="854"/>
      <c r="S355" s="854"/>
    </row>
    <row r="356" ht="15" hidden="1" spans="3:19">
      <c r="C356" s="296" t="s">
        <v>193</v>
      </c>
      <c r="D356" s="296" t="s">
        <v>194</v>
      </c>
      <c r="E356" s="851"/>
      <c r="F356" s="851"/>
      <c r="G356" s="851"/>
      <c r="H356" s="851"/>
      <c r="I356" s="851"/>
      <c r="J356" s="851"/>
      <c r="K356" s="851"/>
      <c r="L356" s="851"/>
      <c r="M356" s="851"/>
      <c r="N356" s="851"/>
      <c r="O356" s="851"/>
      <c r="P356" s="851"/>
      <c r="Q356" s="856">
        <f t="shared" si="110"/>
        <v>0</v>
      </c>
      <c r="R356" s="854"/>
      <c r="S356" s="854"/>
    </row>
    <row r="357" ht="15" hidden="1" spans="3:19">
      <c r="C357" s="296" t="s">
        <v>239</v>
      </c>
      <c r="D357" s="296" t="s">
        <v>196</v>
      </c>
      <c r="E357" s="851"/>
      <c r="F357" s="851"/>
      <c r="G357" s="851"/>
      <c r="H357" s="851"/>
      <c r="I357" s="851"/>
      <c r="J357" s="851"/>
      <c r="K357" s="851"/>
      <c r="L357" s="851"/>
      <c r="M357" s="851"/>
      <c r="N357" s="851"/>
      <c r="O357" s="851"/>
      <c r="P357" s="851"/>
      <c r="Q357" s="856">
        <f t="shared" si="110"/>
        <v>0</v>
      </c>
      <c r="R357" s="854"/>
      <c r="S357" s="854"/>
    </row>
    <row r="358" ht="15" hidden="1" spans="3:19">
      <c r="C358" s="296" t="s">
        <v>197</v>
      </c>
      <c r="D358" s="296" t="s">
        <v>198</v>
      </c>
      <c r="E358" s="851"/>
      <c r="F358" s="851"/>
      <c r="G358" s="851"/>
      <c r="H358" s="851"/>
      <c r="I358" s="851"/>
      <c r="J358" s="851"/>
      <c r="K358" s="851"/>
      <c r="L358" s="851"/>
      <c r="M358" s="851"/>
      <c r="N358" s="851"/>
      <c r="O358" s="851"/>
      <c r="P358" s="851"/>
      <c r="Q358" s="856">
        <f t="shared" si="110"/>
        <v>0</v>
      </c>
      <c r="R358" s="854"/>
      <c r="S358" s="854"/>
    </row>
    <row r="359" ht="15" hidden="1" spans="3:19">
      <c r="C359" s="296" t="s">
        <v>199</v>
      </c>
      <c r="D359" s="296" t="s">
        <v>200</v>
      </c>
      <c r="E359" s="851"/>
      <c r="F359" s="851"/>
      <c r="G359" s="851"/>
      <c r="H359" s="851"/>
      <c r="I359" s="851"/>
      <c r="J359" s="851"/>
      <c r="K359" s="851"/>
      <c r="L359" s="851"/>
      <c r="M359" s="851"/>
      <c r="N359" s="851"/>
      <c r="O359" s="851"/>
      <c r="P359" s="851"/>
      <c r="Q359" s="856">
        <f t="shared" si="110"/>
        <v>0</v>
      </c>
      <c r="R359" s="854"/>
      <c r="S359" s="854"/>
    </row>
    <row r="360" ht="15" hidden="1" spans="3:19">
      <c r="C360" s="296" t="s">
        <v>201</v>
      </c>
      <c r="D360" s="296" t="s">
        <v>240</v>
      </c>
      <c r="E360" s="851"/>
      <c r="F360" s="851"/>
      <c r="G360" s="851"/>
      <c r="H360" s="851"/>
      <c r="I360" s="851"/>
      <c r="J360" s="851"/>
      <c r="K360" s="851"/>
      <c r="L360" s="851"/>
      <c r="M360" s="851"/>
      <c r="N360" s="851"/>
      <c r="O360" s="851"/>
      <c r="P360" s="851"/>
      <c r="Q360" s="856">
        <f t="shared" si="110"/>
        <v>0</v>
      </c>
      <c r="R360" s="854"/>
      <c r="S360" s="854"/>
    </row>
    <row r="361" ht="15" hidden="1" spans="3:19">
      <c r="C361" s="296" t="s">
        <v>203</v>
      </c>
      <c r="D361" s="296" t="s">
        <v>220</v>
      </c>
      <c r="E361" s="851"/>
      <c r="F361" s="851"/>
      <c r="G361" s="851"/>
      <c r="H361" s="851"/>
      <c r="I361" s="851"/>
      <c r="J361" s="851"/>
      <c r="K361" s="851"/>
      <c r="L361" s="851"/>
      <c r="M361" s="851"/>
      <c r="N361" s="851"/>
      <c r="O361" s="851"/>
      <c r="P361" s="851"/>
      <c r="Q361" s="856">
        <f t="shared" si="110"/>
        <v>0</v>
      </c>
      <c r="R361" s="854"/>
      <c r="S361" s="854"/>
    </row>
    <row r="362" ht="15" hidden="1" spans="3:19">
      <c r="C362" s="296" t="s">
        <v>241</v>
      </c>
      <c r="D362" s="296" t="s">
        <v>229</v>
      </c>
      <c r="E362" s="851"/>
      <c r="F362" s="851"/>
      <c r="G362" s="851"/>
      <c r="H362" s="851"/>
      <c r="I362" s="851"/>
      <c r="J362" s="851"/>
      <c r="K362" s="851"/>
      <c r="L362" s="851"/>
      <c r="M362" s="851"/>
      <c r="N362" s="851"/>
      <c r="O362" s="851"/>
      <c r="P362" s="851"/>
      <c r="Q362" s="856">
        <f t="shared" si="110"/>
        <v>0</v>
      </c>
      <c r="R362" s="854"/>
      <c r="S362" s="854"/>
    </row>
    <row r="363" ht="15" hidden="1" spans="3:19">
      <c r="C363" s="296" t="s">
        <v>259</v>
      </c>
      <c r="D363" s="296" t="s">
        <v>243</v>
      </c>
      <c r="E363" s="851"/>
      <c r="F363" s="851"/>
      <c r="G363" s="851"/>
      <c r="H363" s="851"/>
      <c r="I363" s="851"/>
      <c r="J363" s="851"/>
      <c r="K363" s="851"/>
      <c r="L363" s="851"/>
      <c r="M363" s="851"/>
      <c r="N363" s="851"/>
      <c r="O363" s="851"/>
      <c r="P363" s="851"/>
      <c r="Q363" s="856">
        <f t="shared" si="110"/>
        <v>0</v>
      </c>
      <c r="R363" s="854"/>
      <c r="S363" s="854"/>
    </row>
    <row r="364" ht="15" hidden="1" spans="3:19">
      <c r="C364" s="296" t="s">
        <v>205</v>
      </c>
      <c r="D364" s="296" t="s">
        <v>206</v>
      </c>
      <c r="E364" s="851"/>
      <c r="F364" s="851"/>
      <c r="G364" s="851"/>
      <c r="H364" s="851"/>
      <c r="I364" s="851"/>
      <c r="J364" s="851"/>
      <c r="K364" s="851"/>
      <c r="L364" s="851"/>
      <c r="M364" s="851"/>
      <c r="N364" s="851"/>
      <c r="O364" s="851"/>
      <c r="P364" s="851"/>
      <c r="Q364" s="856">
        <f t="shared" si="110"/>
        <v>0</v>
      </c>
      <c r="R364" s="854"/>
      <c r="S364" s="854"/>
    </row>
    <row r="365" ht="15" hidden="1" spans="3:19">
      <c r="C365" s="296" t="s">
        <v>207</v>
      </c>
      <c r="D365" s="296" t="s">
        <v>186</v>
      </c>
      <c r="E365" s="851"/>
      <c r="F365" s="851"/>
      <c r="G365" s="851"/>
      <c r="H365" s="851"/>
      <c r="I365" s="851"/>
      <c r="J365" s="851"/>
      <c r="K365" s="851"/>
      <c r="L365" s="851"/>
      <c r="M365" s="851"/>
      <c r="N365" s="851"/>
      <c r="O365" s="851"/>
      <c r="P365" s="851"/>
      <c r="Q365" s="856">
        <f t="shared" si="110"/>
        <v>0</v>
      </c>
      <c r="R365" s="854"/>
      <c r="S365" s="854"/>
    </row>
    <row r="366" ht="15" hidden="1" spans="3:19">
      <c r="C366" s="296" t="s">
        <v>208</v>
      </c>
      <c r="D366" s="296" t="s">
        <v>209</v>
      </c>
      <c r="E366" s="851"/>
      <c r="F366" s="851"/>
      <c r="G366" s="851"/>
      <c r="H366" s="851"/>
      <c r="I366" s="851"/>
      <c r="J366" s="851"/>
      <c r="K366" s="851"/>
      <c r="L366" s="851"/>
      <c r="M366" s="851"/>
      <c r="N366" s="851"/>
      <c r="O366" s="851"/>
      <c r="P366" s="851"/>
      <c r="Q366" s="856">
        <f t="shared" si="110"/>
        <v>0</v>
      </c>
      <c r="R366" s="854"/>
      <c r="S366" s="854"/>
    </row>
    <row r="367" ht="15" hidden="1" spans="3:19">
      <c r="C367" s="296" t="s">
        <v>210</v>
      </c>
      <c r="D367" s="296" t="s">
        <v>188</v>
      </c>
      <c r="E367" s="851"/>
      <c r="F367" s="851"/>
      <c r="G367" s="851"/>
      <c r="H367" s="851"/>
      <c r="I367" s="851"/>
      <c r="J367" s="851"/>
      <c r="K367" s="851"/>
      <c r="L367" s="851"/>
      <c r="M367" s="851"/>
      <c r="N367" s="851"/>
      <c r="O367" s="851"/>
      <c r="P367" s="851"/>
      <c r="Q367" s="856">
        <f t="shared" si="110"/>
        <v>0</v>
      </c>
      <c r="R367" s="854"/>
      <c r="S367" s="854"/>
    </row>
    <row r="368" ht="15" hidden="1" spans="3:19">
      <c r="C368" s="296"/>
      <c r="D368" s="296"/>
      <c r="E368" s="851"/>
      <c r="F368" s="851"/>
      <c r="G368" s="851"/>
      <c r="H368" s="851"/>
      <c r="I368" s="851"/>
      <c r="J368" s="851"/>
      <c r="K368" s="851"/>
      <c r="L368" s="851"/>
      <c r="M368" s="851"/>
      <c r="N368" s="851"/>
      <c r="O368" s="851"/>
      <c r="P368" s="851"/>
      <c r="Q368" s="856">
        <f t="shared" si="110"/>
        <v>0</v>
      </c>
      <c r="R368" s="854"/>
      <c r="S368" s="854"/>
    </row>
    <row r="369" ht="15" hidden="1" spans="3:19">
      <c r="C369" s="296"/>
      <c r="D369" s="296"/>
      <c r="E369" s="851"/>
      <c r="F369" s="851"/>
      <c r="G369" s="851"/>
      <c r="H369" s="851"/>
      <c r="I369" s="851"/>
      <c r="J369" s="851"/>
      <c r="K369" s="851"/>
      <c r="L369" s="851"/>
      <c r="M369" s="851"/>
      <c r="N369" s="851"/>
      <c r="O369" s="851"/>
      <c r="P369" s="851"/>
      <c r="Q369" s="856">
        <f t="shared" si="110"/>
        <v>0</v>
      </c>
      <c r="R369" s="854"/>
      <c r="S369" s="854"/>
    </row>
    <row r="370" ht="15" hidden="1" spans="3:19">
      <c r="C370" s="296"/>
      <c r="D370" s="296"/>
      <c r="E370" s="851"/>
      <c r="F370" s="851"/>
      <c r="G370" s="851"/>
      <c r="H370" s="851"/>
      <c r="I370" s="851"/>
      <c r="J370" s="851"/>
      <c r="K370" s="851"/>
      <c r="L370" s="851"/>
      <c r="M370" s="851"/>
      <c r="N370" s="851"/>
      <c r="O370" s="851"/>
      <c r="P370" s="851"/>
      <c r="Q370" s="856">
        <f t="shared" si="110"/>
        <v>0</v>
      </c>
      <c r="R370" s="854"/>
      <c r="S370" s="854"/>
    </row>
    <row r="371" ht="15" hidden="1" spans="3:19">
      <c r="C371" s="296" t="s">
        <v>258</v>
      </c>
      <c r="D371" s="296" t="s">
        <v>258</v>
      </c>
      <c r="E371" s="851"/>
      <c r="F371" s="851"/>
      <c r="G371" s="851"/>
      <c r="H371" s="851"/>
      <c r="I371" s="851"/>
      <c r="J371" s="851"/>
      <c r="K371" s="851"/>
      <c r="L371" s="851"/>
      <c r="M371" s="851"/>
      <c r="N371" s="851"/>
      <c r="O371" s="851"/>
      <c r="P371" s="851"/>
      <c r="Q371" s="856">
        <f t="shared" si="110"/>
        <v>0</v>
      </c>
      <c r="R371" s="854"/>
      <c r="S371" s="854"/>
    </row>
    <row r="372" ht="15" hidden="1" spans="3:19">
      <c r="C372" s="285" t="s">
        <v>211</v>
      </c>
      <c r="D372" s="286"/>
      <c r="E372" s="856">
        <f t="shared" ref="E372:P372" si="111">SUM(E355:E371)</f>
        <v>0</v>
      </c>
      <c r="F372" s="856">
        <f t="shared" si="111"/>
        <v>0</v>
      </c>
      <c r="G372" s="856">
        <f t="shared" si="111"/>
        <v>0</v>
      </c>
      <c r="H372" s="856">
        <f t="shared" si="111"/>
        <v>0</v>
      </c>
      <c r="I372" s="856">
        <f t="shared" si="111"/>
        <v>0</v>
      </c>
      <c r="J372" s="856">
        <f t="shared" si="111"/>
        <v>0</v>
      </c>
      <c r="K372" s="856">
        <f t="shared" si="111"/>
        <v>0</v>
      </c>
      <c r="L372" s="856">
        <f t="shared" si="111"/>
        <v>0</v>
      </c>
      <c r="M372" s="856">
        <f t="shared" si="111"/>
        <v>0</v>
      </c>
      <c r="N372" s="856">
        <f t="shared" si="111"/>
        <v>0</v>
      </c>
      <c r="O372" s="856">
        <f t="shared" si="111"/>
        <v>0</v>
      </c>
      <c r="P372" s="856">
        <f t="shared" si="111"/>
        <v>0</v>
      </c>
      <c r="Q372" s="856">
        <f t="shared" si="110"/>
        <v>0</v>
      </c>
      <c r="R372" s="854"/>
      <c r="S372" s="854"/>
    </row>
    <row r="373" ht="15" hidden="1" spans="3:19">
      <c r="C373" s="285" t="s">
        <v>223</v>
      </c>
      <c r="D373" s="286"/>
      <c r="E373" s="856">
        <f t="shared" ref="E373:P373" si="112">E372+E353+E336</f>
        <v>0</v>
      </c>
      <c r="F373" s="856">
        <f t="shared" si="112"/>
        <v>0</v>
      </c>
      <c r="G373" s="856">
        <f t="shared" si="112"/>
        <v>0</v>
      </c>
      <c r="H373" s="856">
        <f t="shared" si="112"/>
        <v>0</v>
      </c>
      <c r="I373" s="856">
        <f t="shared" si="112"/>
        <v>0</v>
      </c>
      <c r="J373" s="856">
        <f t="shared" si="112"/>
        <v>0</v>
      </c>
      <c r="K373" s="856">
        <f t="shared" si="112"/>
        <v>0</v>
      </c>
      <c r="L373" s="856">
        <f t="shared" si="112"/>
        <v>0</v>
      </c>
      <c r="M373" s="856">
        <f t="shared" si="112"/>
        <v>0</v>
      </c>
      <c r="N373" s="856">
        <f t="shared" si="112"/>
        <v>0</v>
      </c>
      <c r="O373" s="856">
        <f t="shared" si="112"/>
        <v>0</v>
      </c>
      <c r="P373" s="856">
        <f t="shared" si="112"/>
        <v>0</v>
      </c>
      <c r="Q373" s="856">
        <f t="shared" si="110"/>
        <v>0</v>
      </c>
      <c r="R373" s="854"/>
      <c r="S373" s="854"/>
    </row>
    <row r="374" ht="15" hidden="1" spans="3:19">
      <c r="C374" s="285" t="s">
        <v>224</v>
      </c>
      <c r="D374" s="286"/>
      <c r="E374" s="856">
        <f t="shared" ref="E374:P374" si="113">E373+E319</f>
        <v>1254.20211058848</v>
      </c>
      <c r="F374" s="856">
        <f t="shared" si="113"/>
        <v>593.193606162004</v>
      </c>
      <c r="G374" s="856">
        <f t="shared" si="113"/>
        <v>543.474133148526</v>
      </c>
      <c r="H374" s="856">
        <f t="shared" si="113"/>
        <v>780.52</v>
      </c>
      <c r="I374" s="856">
        <f t="shared" si="113"/>
        <v>961.56</v>
      </c>
      <c r="J374" s="856">
        <f t="shared" si="113"/>
        <v>1043.74</v>
      </c>
      <c r="K374" s="856">
        <f t="shared" si="113"/>
        <v>701.02753478761</v>
      </c>
      <c r="L374" s="856">
        <f t="shared" si="113"/>
        <v>593.875110158624</v>
      </c>
      <c r="M374" s="856">
        <f t="shared" si="113"/>
        <v>1041.53916312042</v>
      </c>
      <c r="N374" s="856">
        <f t="shared" si="113"/>
        <v>1398.71766225091</v>
      </c>
      <c r="O374" s="856">
        <f t="shared" si="113"/>
        <v>1488.39335589008</v>
      </c>
      <c r="P374" s="856">
        <f t="shared" si="113"/>
        <v>1726.981694</v>
      </c>
      <c r="Q374" s="856">
        <f t="shared" si="110"/>
        <v>12127.2243701067</v>
      </c>
      <c r="R374" s="854"/>
      <c r="S374" s="854"/>
    </row>
    <row r="375" ht="15" hidden="1" spans="3:19">
      <c r="C375" s="370"/>
      <c r="D375" s="370"/>
      <c r="E375" s="854"/>
      <c r="F375" s="854"/>
      <c r="G375" s="854"/>
      <c r="H375" s="854"/>
      <c r="I375" s="854"/>
      <c r="J375" s="854"/>
      <c r="K375" s="854"/>
      <c r="L375" s="854"/>
      <c r="M375" s="854"/>
      <c r="N375" s="854"/>
      <c r="O375" s="854"/>
      <c r="P375" s="854"/>
      <c r="Q375" s="854"/>
      <c r="R375" s="854"/>
      <c r="S375" s="854"/>
    </row>
    <row r="376" ht="15" hidden="1" spans="3:19">
      <c r="C376" s="369"/>
      <c r="E376" s="854"/>
      <c r="F376" s="854"/>
      <c r="G376" s="854"/>
      <c r="H376" s="854"/>
      <c r="I376" s="854"/>
      <c r="J376" s="854"/>
      <c r="K376" s="854"/>
      <c r="L376" s="854"/>
      <c r="M376" s="854"/>
      <c r="N376" s="854"/>
      <c r="O376" s="854"/>
      <c r="P376" s="854"/>
      <c r="Q376" s="857" t="s">
        <v>236</v>
      </c>
      <c r="R376" s="854"/>
      <c r="S376" s="854"/>
    </row>
    <row r="377" ht="15" spans="3:19">
      <c r="C377" s="703" t="s">
        <v>159</v>
      </c>
      <c r="D377" s="846"/>
      <c r="E377" s="855" t="s">
        <v>272</v>
      </c>
      <c r="F377" s="855"/>
      <c r="G377" s="855"/>
      <c r="H377" s="855"/>
      <c r="I377" s="855"/>
      <c r="J377" s="855"/>
      <c r="K377" s="855"/>
      <c r="L377" s="855"/>
      <c r="M377" s="855"/>
      <c r="N377" s="855"/>
      <c r="O377" s="855"/>
      <c r="P377" s="855"/>
      <c r="Q377" s="855"/>
      <c r="R377" s="854"/>
      <c r="S377" s="854"/>
    </row>
    <row r="378" ht="15" spans="3:19">
      <c r="C378" s="705"/>
      <c r="D378" s="847"/>
      <c r="E378" s="855" t="s">
        <v>246</v>
      </c>
      <c r="F378" s="855" t="s">
        <v>247</v>
      </c>
      <c r="G378" s="855" t="s">
        <v>248</v>
      </c>
      <c r="H378" s="855" t="s">
        <v>249</v>
      </c>
      <c r="I378" s="855" t="s">
        <v>250</v>
      </c>
      <c r="J378" s="855" t="s">
        <v>251</v>
      </c>
      <c r="K378" s="855" t="s">
        <v>252</v>
      </c>
      <c r="L378" s="855" t="s">
        <v>253</v>
      </c>
      <c r="M378" s="855" t="s">
        <v>254</v>
      </c>
      <c r="N378" s="855" t="s">
        <v>255</v>
      </c>
      <c r="O378" s="855" t="s">
        <v>256</v>
      </c>
      <c r="P378" s="855" t="s">
        <v>257</v>
      </c>
      <c r="Q378" s="855" t="s">
        <v>97</v>
      </c>
      <c r="R378" s="854"/>
      <c r="S378" s="854"/>
    </row>
    <row r="379" ht="15" spans="3:19">
      <c r="C379" s="707"/>
      <c r="D379" s="848"/>
      <c r="E379" s="855" t="s">
        <v>130</v>
      </c>
      <c r="F379" s="855" t="s">
        <v>130</v>
      </c>
      <c r="G379" s="855" t="s">
        <v>130</v>
      </c>
      <c r="H379" s="855" t="s">
        <v>130</v>
      </c>
      <c r="I379" s="855" t="s">
        <v>130</v>
      </c>
      <c r="J379" s="855" t="s">
        <v>130</v>
      </c>
      <c r="K379" s="855" t="s">
        <v>130</v>
      </c>
      <c r="L379" s="855" t="s">
        <v>130</v>
      </c>
      <c r="M379" s="855" t="s">
        <v>130</v>
      </c>
      <c r="N379" s="855" t="s">
        <v>130</v>
      </c>
      <c r="O379" s="855" t="s">
        <v>130</v>
      </c>
      <c r="P379" s="855" t="s">
        <v>130</v>
      </c>
      <c r="Q379" s="855" t="s">
        <v>130</v>
      </c>
      <c r="R379" s="854"/>
      <c r="S379" s="854"/>
    </row>
    <row r="380" ht="15" spans="3:19">
      <c r="C380" s="285" t="s">
        <v>170</v>
      </c>
      <c r="D380" s="286"/>
      <c r="E380" s="851"/>
      <c r="F380" s="851"/>
      <c r="G380" s="851"/>
      <c r="H380" s="851"/>
      <c r="I380" s="851"/>
      <c r="J380" s="851"/>
      <c r="K380" s="851"/>
      <c r="L380" s="851"/>
      <c r="M380" s="851"/>
      <c r="N380" s="851"/>
      <c r="O380" s="851"/>
      <c r="P380" s="851"/>
      <c r="Q380" s="856"/>
      <c r="R380" s="854"/>
      <c r="S380" s="854"/>
    </row>
    <row r="381" ht="15" spans="3:19">
      <c r="C381" s="296" t="s">
        <v>171</v>
      </c>
      <c r="D381" s="296" t="s">
        <v>172</v>
      </c>
      <c r="E381" s="851"/>
      <c r="F381" s="851"/>
      <c r="G381" s="851"/>
      <c r="H381" s="851"/>
      <c r="I381" s="851"/>
      <c r="J381" s="851"/>
      <c r="K381" s="851"/>
      <c r="L381" s="851"/>
      <c r="M381" s="851"/>
      <c r="N381" s="851"/>
      <c r="O381" s="851"/>
      <c r="P381" s="851"/>
      <c r="Q381" s="856">
        <f t="shared" ref="Q381:Q394" si="114">SUM(E381:P381)</f>
        <v>0</v>
      </c>
      <c r="R381" s="854"/>
      <c r="S381" s="854"/>
    </row>
    <row r="382" ht="15" spans="3:19">
      <c r="C382" s="296" t="s">
        <v>173</v>
      </c>
      <c r="D382" s="296" t="s">
        <v>174</v>
      </c>
      <c r="E382" s="851"/>
      <c r="F382" s="851"/>
      <c r="G382" s="851"/>
      <c r="H382" s="851"/>
      <c r="I382" s="851"/>
      <c r="J382" s="851"/>
      <c r="K382" s="851"/>
      <c r="L382" s="851"/>
      <c r="M382" s="851"/>
      <c r="N382" s="851"/>
      <c r="O382" s="851"/>
      <c r="P382" s="851"/>
      <c r="Q382" s="856">
        <f t="shared" si="114"/>
        <v>0</v>
      </c>
      <c r="R382" s="854"/>
      <c r="S382" s="854"/>
    </row>
    <row r="383" ht="15" spans="3:19">
      <c r="C383" s="296" t="s">
        <v>175</v>
      </c>
      <c r="D383" s="296" t="s">
        <v>176</v>
      </c>
      <c r="E383" s="851"/>
      <c r="F383" s="851"/>
      <c r="G383" s="851"/>
      <c r="H383" s="851"/>
      <c r="I383" s="851"/>
      <c r="J383" s="851"/>
      <c r="K383" s="851"/>
      <c r="L383" s="851"/>
      <c r="M383" s="851"/>
      <c r="N383" s="851"/>
      <c r="O383" s="851"/>
      <c r="P383" s="851"/>
      <c r="Q383" s="856">
        <f t="shared" si="114"/>
        <v>0</v>
      </c>
      <c r="R383" s="854"/>
      <c r="S383" s="854"/>
    </row>
    <row r="384" ht="15" spans="3:19">
      <c r="C384" s="296" t="s">
        <v>177</v>
      </c>
      <c r="D384" s="296" t="s">
        <v>178</v>
      </c>
      <c r="E384" s="851"/>
      <c r="F384" s="851"/>
      <c r="G384" s="851"/>
      <c r="H384" s="851"/>
      <c r="I384" s="851"/>
      <c r="J384" s="851"/>
      <c r="K384" s="851"/>
      <c r="L384" s="851"/>
      <c r="M384" s="851"/>
      <c r="N384" s="851"/>
      <c r="O384" s="851"/>
      <c r="P384" s="851"/>
      <c r="Q384" s="856">
        <f t="shared" si="114"/>
        <v>0</v>
      </c>
      <c r="R384" s="854"/>
      <c r="S384" s="854"/>
    </row>
    <row r="385" ht="15" spans="3:19">
      <c r="C385" s="296" t="s">
        <v>179</v>
      </c>
      <c r="D385" s="296" t="s">
        <v>180</v>
      </c>
      <c r="E385" s="851">
        <f>[17]Sales_SP!FE46</f>
        <v>1266.95010928518</v>
      </c>
      <c r="F385" s="851">
        <f>[17]Sales_SP!FF46</f>
        <v>492.193237403279</v>
      </c>
      <c r="G385" s="851">
        <f>[17]Sales_SP!FG46</f>
        <v>634.453835266266</v>
      </c>
      <c r="H385" s="851">
        <f>[17]Sales_SP!FH46</f>
        <v>979.893971825415</v>
      </c>
      <c r="I385" s="851">
        <f>[17]Sales_SP!FI46</f>
        <v>1640.44173852728</v>
      </c>
      <c r="J385" s="851">
        <f>[17]Sales_SP!FJ46</f>
        <v>1234.67620518555</v>
      </c>
      <c r="K385" s="851">
        <f>[17]Sales_SP!FK46</f>
        <v>1811.8894396692</v>
      </c>
      <c r="L385" s="851">
        <f>[17]Sales_SP!FL46</f>
        <v>840.616979274728</v>
      </c>
      <c r="M385" s="851">
        <f>[17]Sales_SP!FM46</f>
        <v>1191.21261654491</v>
      </c>
      <c r="N385" s="851">
        <f>[17]Sales_SP!FN46</f>
        <v>1657.83421070719</v>
      </c>
      <c r="O385" s="851">
        <f>[17]Sales_SP!FO46</f>
        <v>1877.45986339152</v>
      </c>
      <c r="P385" s="851">
        <f>[17]Sales_SP!FP46</f>
        <v>2079.39</v>
      </c>
      <c r="Q385" s="856">
        <f t="shared" si="114"/>
        <v>15707.0122070805</v>
      </c>
      <c r="R385" s="854"/>
      <c r="S385" s="854"/>
    </row>
    <row r="386" ht="15" spans="3:19">
      <c r="C386" s="296" t="s">
        <v>181</v>
      </c>
      <c r="D386" s="296" t="s">
        <v>182</v>
      </c>
      <c r="E386" s="851"/>
      <c r="F386" s="851"/>
      <c r="G386" s="851"/>
      <c r="H386" s="851"/>
      <c r="I386" s="851"/>
      <c r="J386" s="851"/>
      <c r="K386" s="851"/>
      <c r="L386" s="851"/>
      <c r="M386" s="851"/>
      <c r="N386" s="851"/>
      <c r="O386" s="851"/>
      <c r="P386" s="851"/>
      <c r="Q386" s="856">
        <f t="shared" si="114"/>
        <v>0</v>
      </c>
      <c r="R386" s="854"/>
      <c r="S386" s="854"/>
    </row>
    <row r="387" ht="15" spans="3:19">
      <c r="C387" s="296" t="s">
        <v>183</v>
      </c>
      <c r="D387" s="296" t="s">
        <v>184</v>
      </c>
      <c r="E387" s="851"/>
      <c r="F387" s="851"/>
      <c r="G387" s="851"/>
      <c r="H387" s="851"/>
      <c r="I387" s="851"/>
      <c r="J387" s="851"/>
      <c r="K387" s="851"/>
      <c r="L387" s="851"/>
      <c r="M387" s="851"/>
      <c r="N387" s="851"/>
      <c r="O387" s="851"/>
      <c r="P387" s="851"/>
      <c r="Q387" s="856">
        <f t="shared" si="114"/>
        <v>0</v>
      </c>
      <c r="R387" s="854"/>
      <c r="S387" s="854"/>
    </row>
    <row r="388" ht="15" spans="3:19">
      <c r="C388" s="296" t="s">
        <v>185</v>
      </c>
      <c r="D388" s="296" t="s">
        <v>186</v>
      </c>
      <c r="E388" s="851"/>
      <c r="F388" s="851"/>
      <c r="G388" s="851"/>
      <c r="H388" s="851"/>
      <c r="I388" s="851"/>
      <c r="J388" s="851"/>
      <c r="K388" s="851"/>
      <c r="L388" s="851"/>
      <c r="M388" s="851"/>
      <c r="N388" s="851"/>
      <c r="O388" s="851"/>
      <c r="P388" s="851"/>
      <c r="Q388" s="856">
        <f t="shared" si="114"/>
        <v>0</v>
      </c>
      <c r="R388" s="854"/>
      <c r="S388" s="854"/>
    </row>
    <row r="389" ht="15" spans="3:19">
      <c r="C389" s="296" t="s">
        <v>187</v>
      </c>
      <c r="D389" s="296" t="s">
        <v>188</v>
      </c>
      <c r="E389" s="851"/>
      <c r="F389" s="851"/>
      <c r="G389" s="851"/>
      <c r="H389" s="851"/>
      <c r="I389" s="851"/>
      <c r="J389" s="851"/>
      <c r="K389" s="851"/>
      <c r="L389" s="851"/>
      <c r="M389" s="851"/>
      <c r="N389" s="851"/>
      <c r="O389" s="851"/>
      <c r="P389" s="851"/>
      <c r="Q389" s="856">
        <f t="shared" si="114"/>
        <v>0</v>
      </c>
      <c r="R389" s="854"/>
      <c r="S389" s="854"/>
    </row>
    <row r="390" ht="15" spans="3:19">
      <c r="C390" s="296"/>
      <c r="D390" s="296"/>
      <c r="E390" s="851"/>
      <c r="F390" s="851"/>
      <c r="G390" s="851"/>
      <c r="H390" s="851"/>
      <c r="I390" s="851"/>
      <c r="J390" s="851"/>
      <c r="K390" s="851"/>
      <c r="L390" s="851"/>
      <c r="M390" s="851"/>
      <c r="N390" s="851"/>
      <c r="O390" s="851"/>
      <c r="P390" s="851"/>
      <c r="Q390" s="856">
        <f t="shared" si="114"/>
        <v>0</v>
      </c>
      <c r="R390" s="854"/>
      <c r="S390" s="854"/>
    </row>
    <row r="391" ht="15" spans="3:19">
      <c r="C391" s="296"/>
      <c r="D391" s="296"/>
      <c r="E391" s="851"/>
      <c r="F391" s="851"/>
      <c r="G391" s="851"/>
      <c r="H391" s="851"/>
      <c r="I391" s="851"/>
      <c r="J391" s="851"/>
      <c r="K391" s="851"/>
      <c r="L391" s="851"/>
      <c r="M391" s="851"/>
      <c r="N391" s="851"/>
      <c r="O391" s="851"/>
      <c r="P391" s="851"/>
      <c r="Q391" s="856">
        <f t="shared" si="114"/>
        <v>0</v>
      </c>
      <c r="R391" s="854"/>
      <c r="S391" s="854"/>
    </row>
    <row r="392" ht="15" spans="3:19">
      <c r="C392" s="296"/>
      <c r="D392" s="296"/>
      <c r="E392" s="851"/>
      <c r="F392" s="851"/>
      <c r="G392" s="851"/>
      <c r="H392" s="851"/>
      <c r="I392" s="851"/>
      <c r="J392" s="851"/>
      <c r="K392" s="851"/>
      <c r="L392" s="851"/>
      <c r="M392" s="851"/>
      <c r="N392" s="851"/>
      <c r="O392" s="851"/>
      <c r="P392" s="851"/>
      <c r="Q392" s="856">
        <f t="shared" si="114"/>
        <v>0</v>
      </c>
      <c r="R392" s="854"/>
      <c r="S392" s="854"/>
    </row>
    <row r="393" ht="15" spans="3:19">
      <c r="C393" s="296" t="s">
        <v>258</v>
      </c>
      <c r="D393" s="296" t="s">
        <v>258</v>
      </c>
      <c r="E393" s="851"/>
      <c r="F393" s="851"/>
      <c r="G393" s="851"/>
      <c r="H393" s="851"/>
      <c r="I393" s="851"/>
      <c r="J393" s="851"/>
      <c r="K393" s="851"/>
      <c r="L393" s="851"/>
      <c r="M393" s="851"/>
      <c r="N393" s="851"/>
      <c r="O393" s="851"/>
      <c r="P393" s="851"/>
      <c r="Q393" s="856">
        <f t="shared" si="114"/>
        <v>0</v>
      </c>
      <c r="R393" s="854"/>
      <c r="S393" s="854"/>
    </row>
    <row r="394" ht="15" spans="3:19">
      <c r="C394" s="285" t="s">
        <v>189</v>
      </c>
      <c r="D394" s="286"/>
      <c r="E394" s="856">
        <f>SUM(E381:E393)</f>
        <v>1266.95010928518</v>
      </c>
      <c r="F394" s="856">
        <f t="shared" ref="F394:P394" si="115">SUM(F381:F393)</f>
        <v>492.193237403279</v>
      </c>
      <c r="G394" s="856">
        <f t="shared" si="115"/>
        <v>634.453835266266</v>
      </c>
      <c r="H394" s="856">
        <f t="shared" si="115"/>
        <v>979.893971825415</v>
      </c>
      <c r="I394" s="856">
        <f t="shared" si="115"/>
        <v>1640.44173852728</v>
      </c>
      <c r="J394" s="856">
        <f t="shared" si="115"/>
        <v>1234.67620518555</v>
      </c>
      <c r="K394" s="856">
        <f t="shared" si="115"/>
        <v>1811.8894396692</v>
      </c>
      <c r="L394" s="856">
        <f t="shared" si="115"/>
        <v>840.616979274728</v>
      </c>
      <c r="M394" s="856">
        <f t="shared" si="115"/>
        <v>1191.21261654491</v>
      </c>
      <c r="N394" s="856">
        <f t="shared" si="115"/>
        <v>1657.83421070719</v>
      </c>
      <c r="O394" s="856">
        <f t="shared" si="115"/>
        <v>1877.45986339152</v>
      </c>
      <c r="P394" s="856">
        <f t="shared" si="115"/>
        <v>2079.39</v>
      </c>
      <c r="Q394" s="856">
        <f t="shared" si="114"/>
        <v>15707.0122070805</v>
      </c>
      <c r="R394" s="854"/>
      <c r="S394" s="854"/>
    </row>
    <row r="395" ht="15" spans="3:19">
      <c r="C395" s="285" t="s">
        <v>190</v>
      </c>
      <c r="D395" s="286"/>
      <c r="E395" s="851"/>
      <c r="F395" s="851"/>
      <c r="G395" s="851"/>
      <c r="H395" s="851"/>
      <c r="I395" s="851"/>
      <c r="J395" s="851"/>
      <c r="K395" s="851"/>
      <c r="L395" s="851"/>
      <c r="M395" s="851"/>
      <c r="N395" s="851"/>
      <c r="O395" s="851"/>
      <c r="P395" s="851"/>
      <c r="Q395" s="856"/>
      <c r="R395" s="854"/>
      <c r="S395" s="854"/>
    </row>
    <row r="396" ht="15" spans="3:19">
      <c r="C396" s="296" t="s">
        <v>191</v>
      </c>
      <c r="D396" s="296" t="s">
        <v>192</v>
      </c>
      <c r="E396" s="851"/>
      <c r="F396" s="851"/>
      <c r="G396" s="851"/>
      <c r="H396" s="851"/>
      <c r="I396" s="851"/>
      <c r="J396" s="851"/>
      <c r="K396" s="851"/>
      <c r="L396" s="851"/>
      <c r="M396" s="851"/>
      <c r="N396" s="851"/>
      <c r="O396" s="851"/>
      <c r="P396" s="851"/>
      <c r="Q396" s="856">
        <f t="shared" ref="Q396:Q411" si="116">SUM(E396:P396)</f>
        <v>0</v>
      </c>
      <c r="R396" s="854"/>
      <c r="S396" s="854"/>
    </row>
    <row r="397" ht="15" spans="3:19">
      <c r="C397" s="296" t="s">
        <v>193</v>
      </c>
      <c r="D397" s="296" t="s">
        <v>194</v>
      </c>
      <c r="E397" s="851"/>
      <c r="F397" s="851"/>
      <c r="G397" s="851"/>
      <c r="H397" s="851"/>
      <c r="I397" s="851"/>
      <c r="J397" s="851"/>
      <c r="K397" s="851"/>
      <c r="L397" s="851"/>
      <c r="M397" s="851"/>
      <c r="N397" s="851"/>
      <c r="O397" s="851"/>
      <c r="P397" s="851"/>
      <c r="Q397" s="856">
        <f t="shared" si="116"/>
        <v>0</v>
      </c>
      <c r="R397" s="854"/>
      <c r="S397" s="854"/>
    </row>
    <row r="398" ht="15" spans="3:19">
      <c r="C398" s="296" t="s">
        <v>239</v>
      </c>
      <c r="D398" s="296" t="s">
        <v>196</v>
      </c>
      <c r="E398" s="851"/>
      <c r="F398" s="851"/>
      <c r="G398" s="851"/>
      <c r="H398" s="851"/>
      <c r="I398" s="851"/>
      <c r="J398" s="851"/>
      <c r="K398" s="851"/>
      <c r="L398" s="851"/>
      <c r="M398" s="851"/>
      <c r="N398" s="851"/>
      <c r="O398" s="851"/>
      <c r="P398" s="851"/>
      <c r="Q398" s="856">
        <f t="shared" si="116"/>
        <v>0</v>
      </c>
      <c r="R398" s="854"/>
      <c r="S398" s="854"/>
    </row>
    <row r="399" ht="15" spans="3:19">
      <c r="C399" s="296" t="s">
        <v>197</v>
      </c>
      <c r="D399" s="296" t="s">
        <v>198</v>
      </c>
      <c r="E399" s="851"/>
      <c r="F399" s="851"/>
      <c r="G399" s="851"/>
      <c r="H399" s="851"/>
      <c r="I399" s="851"/>
      <c r="J399" s="851"/>
      <c r="K399" s="851"/>
      <c r="L399" s="851"/>
      <c r="M399" s="851"/>
      <c r="N399" s="851"/>
      <c r="O399" s="851"/>
      <c r="P399" s="851"/>
      <c r="Q399" s="856">
        <f t="shared" si="116"/>
        <v>0</v>
      </c>
      <c r="R399" s="854"/>
      <c r="S399" s="854"/>
    </row>
    <row r="400" ht="15" spans="3:19">
      <c r="C400" s="296" t="s">
        <v>199</v>
      </c>
      <c r="D400" s="296" t="s">
        <v>200</v>
      </c>
      <c r="E400" s="851"/>
      <c r="F400" s="851"/>
      <c r="G400" s="851"/>
      <c r="H400" s="851"/>
      <c r="I400" s="851"/>
      <c r="J400" s="851"/>
      <c r="K400" s="851"/>
      <c r="L400" s="851"/>
      <c r="M400" s="851"/>
      <c r="N400" s="851"/>
      <c r="O400" s="851"/>
      <c r="P400" s="851"/>
      <c r="Q400" s="856">
        <f t="shared" si="116"/>
        <v>0</v>
      </c>
      <c r="R400" s="854"/>
      <c r="S400" s="854"/>
    </row>
    <row r="401" ht="15" spans="3:19">
      <c r="C401" s="296" t="s">
        <v>201</v>
      </c>
      <c r="D401" s="296" t="s">
        <v>202</v>
      </c>
      <c r="E401" s="851"/>
      <c r="F401" s="851"/>
      <c r="G401" s="851"/>
      <c r="H401" s="851"/>
      <c r="I401" s="851"/>
      <c r="J401" s="851"/>
      <c r="K401" s="851"/>
      <c r="L401" s="851"/>
      <c r="M401" s="851"/>
      <c r="N401" s="851"/>
      <c r="O401" s="851"/>
      <c r="P401" s="851"/>
      <c r="Q401" s="856">
        <f t="shared" si="116"/>
        <v>0</v>
      </c>
      <c r="R401" s="854"/>
      <c r="S401" s="854"/>
    </row>
    <row r="402" ht="15" spans="3:19">
      <c r="C402" s="296" t="s">
        <v>203</v>
      </c>
      <c r="D402" s="296" t="s">
        <v>204</v>
      </c>
      <c r="E402" s="851"/>
      <c r="F402" s="851"/>
      <c r="G402" s="851"/>
      <c r="H402" s="851"/>
      <c r="I402" s="851"/>
      <c r="J402" s="851"/>
      <c r="K402" s="851"/>
      <c r="L402" s="851"/>
      <c r="M402" s="851"/>
      <c r="N402" s="851"/>
      <c r="O402" s="851"/>
      <c r="P402" s="851"/>
      <c r="Q402" s="856">
        <f t="shared" si="116"/>
        <v>0</v>
      </c>
      <c r="R402" s="854"/>
      <c r="S402" s="854"/>
    </row>
    <row r="403" ht="15" spans="3:19">
      <c r="C403" s="296" t="s">
        <v>205</v>
      </c>
      <c r="D403" s="296" t="s">
        <v>206</v>
      </c>
      <c r="E403" s="851"/>
      <c r="F403" s="851"/>
      <c r="G403" s="851"/>
      <c r="H403" s="851"/>
      <c r="I403" s="851"/>
      <c r="J403" s="851"/>
      <c r="K403" s="851"/>
      <c r="L403" s="851"/>
      <c r="M403" s="851"/>
      <c r="N403" s="851"/>
      <c r="O403" s="851"/>
      <c r="P403" s="851"/>
      <c r="Q403" s="856">
        <f t="shared" si="116"/>
        <v>0</v>
      </c>
      <c r="R403" s="854"/>
      <c r="S403" s="854"/>
    </row>
    <row r="404" ht="15" spans="3:19">
      <c r="C404" s="296" t="s">
        <v>207</v>
      </c>
      <c r="D404" s="296" t="s">
        <v>186</v>
      </c>
      <c r="E404" s="851"/>
      <c r="F404" s="851"/>
      <c r="G404" s="851"/>
      <c r="H404" s="851"/>
      <c r="I404" s="851"/>
      <c r="J404" s="851"/>
      <c r="K404" s="851"/>
      <c r="L404" s="851"/>
      <c r="M404" s="851"/>
      <c r="N404" s="851"/>
      <c r="O404" s="851"/>
      <c r="P404" s="851"/>
      <c r="Q404" s="856">
        <f t="shared" si="116"/>
        <v>0</v>
      </c>
      <c r="R404" s="854"/>
      <c r="S404" s="854"/>
    </row>
    <row r="405" ht="15" spans="3:19">
      <c r="C405" s="296" t="s">
        <v>208</v>
      </c>
      <c r="D405" s="296" t="s">
        <v>209</v>
      </c>
      <c r="E405" s="851"/>
      <c r="F405" s="851"/>
      <c r="G405" s="851"/>
      <c r="H405" s="851"/>
      <c r="I405" s="851"/>
      <c r="J405" s="851"/>
      <c r="K405" s="851"/>
      <c r="L405" s="851"/>
      <c r="M405" s="851"/>
      <c r="N405" s="851"/>
      <c r="O405" s="851"/>
      <c r="P405" s="851"/>
      <c r="Q405" s="856">
        <f t="shared" si="116"/>
        <v>0</v>
      </c>
      <c r="R405" s="854"/>
      <c r="S405" s="854"/>
    </row>
    <row r="406" ht="15" spans="3:19">
      <c r="C406" s="296" t="s">
        <v>210</v>
      </c>
      <c r="D406" s="296" t="s">
        <v>188</v>
      </c>
      <c r="E406" s="851"/>
      <c r="F406" s="851"/>
      <c r="G406" s="851"/>
      <c r="H406" s="851"/>
      <c r="I406" s="851"/>
      <c r="J406" s="851"/>
      <c r="K406" s="851"/>
      <c r="L406" s="851"/>
      <c r="M406" s="851"/>
      <c r="N406" s="851"/>
      <c r="O406" s="851"/>
      <c r="P406" s="851"/>
      <c r="Q406" s="856">
        <f t="shared" si="116"/>
        <v>0</v>
      </c>
      <c r="R406" s="854"/>
      <c r="S406" s="854"/>
    </row>
    <row r="407" ht="15" spans="3:19">
      <c r="C407" s="296"/>
      <c r="D407" s="296"/>
      <c r="E407" s="851"/>
      <c r="F407" s="851"/>
      <c r="G407" s="851"/>
      <c r="H407" s="851"/>
      <c r="I407" s="851"/>
      <c r="J407" s="851"/>
      <c r="K407" s="851"/>
      <c r="L407" s="851"/>
      <c r="M407" s="851"/>
      <c r="N407" s="851"/>
      <c r="O407" s="851"/>
      <c r="P407" s="851"/>
      <c r="Q407" s="856">
        <f t="shared" si="116"/>
        <v>0</v>
      </c>
      <c r="R407" s="854"/>
      <c r="S407" s="854"/>
    </row>
    <row r="408" ht="15" spans="3:19">
      <c r="C408" s="296"/>
      <c r="D408" s="296"/>
      <c r="E408" s="851"/>
      <c r="F408" s="851"/>
      <c r="G408" s="851"/>
      <c r="H408" s="851"/>
      <c r="I408" s="851"/>
      <c r="J408" s="851"/>
      <c r="K408" s="851"/>
      <c r="L408" s="851"/>
      <c r="M408" s="851"/>
      <c r="N408" s="851"/>
      <c r="O408" s="851"/>
      <c r="P408" s="851"/>
      <c r="Q408" s="856">
        <f t="shared" si="116"/>
        <v>0</v>
      </c>
      <c r="R408" s="854"/>
      <c r="S408" s="854"/>
    </row>
    <row r="409" ht="15" spans="3:19">
      <c r="C409" s="296"/>
      <c r="D409" s="296"/>
      <c r="E409" s="851"/>
      <c r="F409" s="851"/>
      <c r="G409" s="851"/>
      <c r="H409" s="851"/>
      <c r="I409" s="851"/>
      <c r="J409" s="851"/>
      <c r="K409" s="851"/>
      <c r="L409" s="851"/>
      <c r="M409" s="851"/>
      <c r="N409" s="851"/>
      <c r="O409" s="851"/>
      <c r="P409" s="851"/>
      <c r="Q409" s="856">
        <f t="shared" si="116"/>
        <v>0</v>
      </c>
      <c r="R409" s="854"/>
      <c r="S409" s="854"/>
    </row>
    <row r="410" ht="15" spans="3:19">
      <c r="C410" s="296" t="s">
        <v>258</v>
      </c>
      <c r="D410" s="296" t="s">
        <v>258</v>
      </c>
      <c r="E410" s="851"/>
      <c r="F410" s="851"/>
      <c r="G410" s="851"/>
      <c r="H410" s="851"/>
      <c r="I410" s="851"/>
      <c r="J410" s="851"/>
      <c r="K410" s="851"/>
      <c r="L410" s="851"/>
      <c r="M410" s="851"/>
      <c r="N410" s="851"/>
      <c r="O410" s="851"/>
      <c r="P410" s="851"/>
      <c r="Q410" s="856">
        <f t="shared" si="116"/>
        <v>0</v>
      </c>
      <c r="R410" s="854"/>
      <c r="S410" s="854"/>
    </row>
    <row r="411" ht="15" spans="3:19">
      <c r="C411" s="285" t="s">
        <v>211</v>
      </c>
      <c r="D411" s="286"/>
      <c r="E411" s="856">
        <f>SUM(E396:E410)</f>
        <v>0</v>
      </c>
      <c r="F411" s="856">
        <f t="shared" ref="F411:P411" si="117">SUM(F396:F410)</f>
        <v>0</v>
      </c>
      <c r="G411" s="856">
        <f t="shared" si="117"/>
        <v>0</v>
      </c>
      <c r="H411" s="856">
        <f t="shared" si="117"/>
        <v>0</v>
      </c>
      <c r="I411" s="856">
        <f t="shared" si="117"/>
        <v>0</v>
      </c>
      <c r="J411" s="856">
        <f t="shared" si="117"/>
        <v>0</v>
      </c>
      <c r="K411" s="856">
        <f t="shared" si="117"/>
        <v>0</v>
      </c>
      <c r="L411" s="856">
        <f t="shared" si="117"/>
        <v>0</v>
      </c>
      <c r="M411" s="856">
        <f t="shared" si="117"/>
        <v>0</v>
      </c>
      <c r="N411" s="856">
        <f t="shared" si="117"/>
        <v>0</v>
      </c>
      <c r="O411" s="856">
        <f t="shared" si="117"/>
        <v>0</v>
      </c>
      <c r="P411" s="856">
        <f t="shared" si="117"/>
        <v>0</v>
      </c>
      <c r="Q411" s="856">
        <f t="shared" si="116"/>
        <v>0</v>
      </c>
      <c r="R411" s="854"/>
      <c r="S411" s="854"/>
    </row>
    <row r="412" ht="15" spans="3:19">
      <c r="C412" s="285" t="s">
        <v>212</v>
      </c>
      <c r="D412" s="286"/>
      <c r="E412" s="851"/>
      <c r="F412" s="851"/>
      <c r="G412" s="851"/>
      <c r="H412" s="851"/>
      <c r="I412" s="851"/>
      <c r="J412" s="851"/>
      <c r="K412" s="851"/>
      <c r="L412" s="851"/>
      <c r="M412" s="851"/>
      <c r="N412" s="851"/>
      <c r="O412" s="851"/>
      <c r="P412" s="851"/>
      <c r="Q412" s="856"/>
      <c r="R412" s="854"/>
      <c r="S412" s="854"/>
    </row>
    <row r="413" ht="15" spans="3:19">
      <c r="C413" s="296" t="s">
        <v>191</v>
      </c>
      <c r="D413" s="296" t="s">
        <v>192</v>
      </c>
      <c r="E413" s="851"/>
      <c r="F413" s="851"/>
      <c r="G413" s="851"/>
      <c r="H413" s="851"/>
      <c r="I413" s="851"/>
      <c r="J413" s="851"/>
      <c r="K413" s="851"/>
      <c r="L413" s="851"/>
      <c r="M413" s="851"/>
      <c r="N413" s="851"/>
      <c r="O413" s="851"/>
      <c r="P413" s="851"/>
      <c r="Q413" s="856">
        <f t="shared" ref="Q413:Q428" si="118">SUM(E413:P413)</f>
        <v>0</v>
      </c>
      <c r="R413" s="854"/>
      <c r="S413" s="854"/>
    </row>
    <row r="414" ht="15" spans="3:19">
      <c r="C414" s="296" t="s">
        <v>193</v>
      </c>
      <c r="D414" s="296" t="s">
        <v>194</v>
      </c>
      <c r="E414" s="851"/>
      <c r="F414" s="851"/>
      <c r="G414" s="851"/>
      <c r="H414" s="851"/>
      <c r="I414" s="851"/>
      <c r="J414" s="851"/>
      <c r="K414" s="851"/>
      <c r="L414" s="851"/>
      <c r="M414" s="851"/>
      <c r="N414" s="851"/>
      <c r="O414" s="851"/>
      <c r="P414" s="851"/>
      <c r="Q414" s="856">
        <f t="shared" si="118"/>
        <v>0</v>
      </c>
      <c r="R414" s="854"/>
      <c r="S414" s="854"/>
    </row>
    <row r="415" ht="15" spans="3:19">
      <c r="C415" s="296" t="s">
        <v>239</v>
      </c>
      <c r="D415" s="296" t="s">
        <v>196</v>
      </c>
      <c r="E415" s="851"/>
      <c r="F415" s="851"/>
      <c r="G415" s="851"/>
      <c r="H415" s="851"/>
      <c r="I415" s="851"/>
      <c r="J415" s="851"/>
      <c r="K415" s="851"/>
      <c r="L415" s="851"/>
      <c r="M415" s="851"/>
      <c r="N415" s="851"/>
      <c r="O415" s="851"/>
      <c r="P415" s="851"/>
      <c r="Q415" s="856">
        <f t="shared" si="118"/>
        <v>0</v>
      </c>
      <c r="R415" s="854"/>
      <c r="S415" s="854"/>
    </row>
    <row r="416" ht="15" spans="3:19">
      <c r="C416" s="296" t="s">
        <v>197</v>
      </c>
      <c r="D416" s="296" t="s">
        <v>198</v>
      </c>
      <c r="E416" s="851"/>
      <c r="F416" s="851"/>
      <c r="G416" s="851"/>
      <c r="H416" s="851"/>
      <c r="I416" s="851"/>
      <c r="J416" s="851"/>
      <c r="K416" s="851"/>
      <c r="L416" s="851"/>
      <c r="M416" s="851"/>
      <c r="N416" s="851"/>
      <c r="O416" s="851"/>
      <c r="P416" s="851"/>
      <c r="Q416" s="856">
        <f t="shared" si="118"/>
        <v>0</v>
      </c>
      <c r="R416" s="854"/>
      <c r="S416" s="854"/>
    </row>
    <row r="417" ht="15" spans="3:19">
      <c r="C417" s="296" t="s">
        <v>199</v>
      </c>
      <c r="D417" s="296" t="s">
        <v>200</v>
      </c>
      <c r="E417" s="851"/>
      <c r="F417" s="851"/>
      <c r="G417" s="851"/>
      <c r="H417" s="851"/>
      <c r="I417" s="851"/>
      <c r="J417" s="851"/>
      <c r="K417" s="851"/>
      <c r="L417" s="851"/>
      <c r="M417" s="851"/>
      <c r="N417" s="851"/>
      <c r="O417" s="851"/>
      <c r="P417" s="851"/>
      <c r="Q417" s="856">
        <f t="shared" si="118"/>
        <v>0</v>
      </c>
      <c r="R417" s="854"/>
      <c r="S417" s="854"/>
    </row>
    <row r="418" ht="15" spans="3:19">
      <c r="C418" s="296" t="s">
        <v>201</v>
      </c>
      <c r="D418" s="296" t="s">
        <v>202</v>
      </c>
      <c r="E418" s="851"/>
      <c r="F418" s="851"/>
      <c r="G418" s="851"/>
      <c r="H418" s="851"/>
      <c r="I418" s="851"/>
      <c r="J418" s="851"/>
      <c r="K418" s="851"/>
      <c r="L418" s="851"/>
      <c r="M418" s="851"/>
      <c r="N418" s="851"/>
      <c r="O418" s="851"/>
      <c r="P418" s="851"/>
      <c r="Q418" s="856">
        <f t="shared" si="118"/>
        <v>0</v>
      </c>
      <c r="R418" s="854"/>
      <c r="S418" s="854"/>
    </row>
    <row r="419" ht="15" spans="3:19">
      <c r="C419" s="296" t="s">
        <v>203</v>
      </c>
      <c r="D419" s="296" t="s">
        <v>204</v>
      </c>
      <c r="E419" s="851"/>
      <c r="F419" s="851"/>
      <c r="G419" s="851"/>
      <c r="H419" s="851"/>
      <c r="I419" s="851"/>
      <c r="J419" s="851"/>
      <c r="K419" s="851"/>
      <c r="L419" s="851"/>
      <c r="M419" s="851"/>
      <c r="N419" s="851"/>
      <c r="O419" s="851"/>
      <c r="P419" s="851"/>
      <c r="Q419" s="856">
        <f t="shared" si="118"/>
        <v>0</v>
      </c>
      <c r="R419" s="854"/>
      <c r="S419" s="854"/>
    </row>
    <row r="420" ht="15" spans="3:19">
      <c r="C420" s="296" t="s">
        <v>205</v>
      </c>
      <c r="D420" s="296" t="s">
        <v>206</v>
      </c>
      <c r="E420" s="851"/>
      <c r="F420" s="851"/>
      <c r="G420" s="851"/>
      <c r="H420" s="851"/>
      <c r="I420" s="851"/>
      <c r="J420" s="851"/>
      <c r="K420" s="851"/>
      <c r="L420" s="851"/>
      <c r="M420" s="851"/>
      <c r="N420" s="851"/>
      <c r="O420" s="851"/>
      <c r="P420" s="851"/>
      <c r="Q420" s="856">
        <f t="shared" si="118"/>
        <v>0</v>
      </c>
      <c r="R420" s="854"/>
      <c r="S420" s="854"/>
    </row>
    <row r="421" ht="15" spans="3:19">
      <c r="C421" s="296" t="s">
        <v>231</v>
      </c>
      <c r="D421" s="296" t="s">
        <v>186</v>
      </c>
      <c r="E421" s="851"/>
      <c r="F421" s="851"/>
      <c r="G421" s="851"/>
      <c r="H421" s="851"/>
      <c r="I421" s="851"/>
      <c r="J421" s="851"/>
      <c r="K421" s="851"/>
      <c r="L421" s="851"/>
      <c r="M421" s="851"/>
      <c r="N421" s="851"/>
      <c r="O421" s="851"/>
      <c r="P421" s="851"/>
      <c r="Q421" s="856">
        <f t="shared" si="118"/>
        <v>0</v>
      </c>
      <c r="R421" s="854"/>
      <c r="S421" s="854"/>
    </row>
    <row r="422" ht="15" spans="3:19">
      <c r="C422" s="296" t="s">
        <v>208</v>
      </c>
      <c r="D422" s="296" t="s">
        <v>209</v>
      </c>
      <c r="E422" s="851"/>
      <c r="F422" s="851"/>
      <c r="G422" s="851"/>
      <c r="H422" s="851"/>
      <c r="I422" s="851"/>
      <c r="J422" s="851"/>
      <c r="K422" s="851"/>
      <c r="L422" s="851"/>
      <c r="M422" s="851"/>
      <c r="N422" s="851"/>
      <c r="O422" s="851"/>
      <c r="P422" s="851"/>
      <c r="Q422" s="856">
        <f t="shared" si="118"/>
        <v>0</v>
      </c>
      <c r="R422" s="854"/>
      <c r="S422" s="854"/>
    </row>
    <row r="423" ht="15" spans="3:19">
      <c r="C423" s="296" t="s">
        <v>210</v>
      </c>
      <c r="D423" s="296" t="s">
        <v>188</v>
      </c>
      <c r="E423" s="851"/>
      <c r="F423" s="851"/>
      <c r="G423" s="851"/>
      <c r="H423" s="851"/>
      <c r="I423" s="851"/>
      <c r="J423" s="851"/>
      <c r="K423" s="851"/>
      <c r="L423" s="851"/>
      <c r="M423" s="851"/>
      <c r="N423" s="851"/>
      <c r="O423" s="851"/>
      <c r="P423" s="851"/>
      <c r="Q423" s="856">
        <f t="shared" si="118"/>
        <v>0</v>
      </c>
      <c r="R423" s="854"/>
      <c r="S423" s="854"/>
    </row>
    <row r="424" ht="15" spans="3:19">
      <c r="C424" s="296"/>
      <c r="D424" s="296"/>
      <c r="E424" s="851"/>
      <c r="F424" s="851"/>
      <c r="G424" s="851"/>
      <c r="H424" s="851"/>
      <c r="I424" s="851"/>
      <c r="J424" s="851"/>
      <c r="K424" s="851"/>
      <c r="L424" s="851"/>
      <c r="M424" s="851"/>
      <c r="N424" s="851"/>
      <c r="O424" s="851"/>
      <c r="P424" s="851"/>
      <c r="Q424" s="856">
        <f t="shared" si="118"/>
        <v>0</v>
      </c>
      <c r="R424" s="854"/>
      <c r="S424" s="854"/>
    </row>
    <row r="425" ht="15" spans="3:19">
      <c r="C425" s="296"/>
      <c r="D425" s="296"/>
      <c r="E425" s="851"/>
      <c r="F425" s="851"/>
      <c r="G425" s="851"/>
      <c r="H425" s="851"/>
      <c r="I425" s="851"/>
      <c r="J425" s="851"/>
      <c r="K425" s="851"/>
      <c r="L425" s="851"/>
      <c r="M425" s="851"/>
      <c r="N425" s="851"/>
      <c r="O425" s="851"/>
      <c r="P425" s="851"/>
      <c r="Q425" s="856">
        <f t="shared" si="118"/>
        <v>0</v>
      </c>
      <c r="R425" s="854"/>
      <c r="S425" s="854"/>
    </row>
    <row r="426" ht="15" spans="3:19">
      <c r="C426" s="296"/>
      <c r="D426" s="296"/>
      <c r="E426" s="851"/>
      <c r="F426" s="851"/>
      <c r="G426" s="851"/>
      <c r="H426" s="851"/>
      <c r="I426" s="851"/>
      <c r="J426" s="851"/>
      <c r="K426" s="851"/>
      <c r="L426" s="851"/>
      <c r="M426" s="851"/>
      <c r="N426" s="851"/>
      <c r="O426" s="851"/>
      <c r="P426" s="851"/>
      <c r="Q426" s="856">
        <f t="shared" si="118"/>
        <v>0</v>
      </c>
      <c r="R426" s="854"/>
      <c r="S426" s="854"/>
    </row>
    <row r="427" ht="15" spans="3:19">
      <c r="C427" s="296" t="s">
        <v>258</v>
      </c>
      <c r="D427" s="296" t="s">
        <v>258</v>
      </c>
      <c r="E427" s="851"/>
      <c r="F427" s="851"/>
      <c r="G427" s="851"/>
      <c r="H427" s="851"/>
      <c r="I427" s="851"/>
      <c r="J427" s="851"/>
      <c r="K427" s="851"/>
      <c r="L427" s="851"/>
      <c r="M427" s="851"/>
      <c r="N427" s="851"/>
      <c r="O427" s="851"/>
      <c r="P427" s="851"/>
      <c r="Q427" s="856">
        <f t="shared" si="118"/>
        <v>0</v>
      </c>
      <c r="R427" s="854"/>
      <c r="S427" s="854"/>
    </row>
    <row r="428" ht="15" spans="3:19">
      <c r="C428" s="285" t="s">
        <v>211</v>
      </c>
      <c r="D428" s="286"/>
      <c r="E428" s="856">
        <f>SUM(E413:E427)</f>
        <v>0</v>
      </c>
      <c r="F428" s="856">
        <f t="shared" ref="F428:P428" si="119">SUM(F413:F427)</f>
        <v>0</v>
      </c>
      <c r="G428" s="856">
        <f t="shared" si="119"/>
        <v>0</v>
      </c>
      <c r="H428" s="856">
        <f t="shared" si="119"/>
        <v>0</v>
      </c>
      <c r="I428" s="856">
        <f t="shared" si="119"/>
        <v>0</v>
      </c>
      <c r="J428" s="856">
        <f t="shared" si="119"/>
        <v>0</v>
      </c>
      <c r="K428" s="856">
        <f t="shared" si="119"/>
        <v>0</v>
      </c>
      <c r="L428" s="856">
        <f t="shared" si="119"/>
        <v>0</v>
      </c>
      <c r="M428" s="856">
        <f t="shared" si="119"/>
        <v>0</v>
      </c>
      <c r="N428" s="856">
        <f t="shared" si="119"/>
        <v>0</v>
      </c>
      <c r="O428" s="856">
        <f t="shared" si="119"/>
        <v>0</v>
      </c>
      <c r="P428" s="856">
        <f t="shared" si="119"/>
        <v>0</v>
      </c>
      <c r="Q428" s="856">
        <f t="shared" si="118"/>
        <v>0</v>
      </c>
      <c r="R428" s="854"/>
      <c r="S428" s="854"/>
    </row>
    <row r="429" ht="15" spans="3:19">
      <c r="C429" s="285" t="s">
        <v>219</v>
      </c>
      <c r="D429" s="286"/>
      <c r="E429" s="851"/>
      <c r="F429" s="851"/>
      <c r="G429" s="851"/>
      <c r="H429" s="851"/>
      <c r="I429" s="851"/>
      <c r="J429" s="851"/>
      <c r="K429" s="851"/>
      <c r="L429" s="851"/>
      <c r="M429" s="851"/>
      <c r="N429" s="851"/>
      <c r="O429" s="851"/>
      <c r="P429" s="851"/>
      <c r="Q429" s="856"/>
      <c r="R429" s="854"/>
      <c r="S429" s="854"/>
    </row>
    <row r="430" ht="15" spans="3:19">
      <c r="C430" s="296" t="s">
        <v>191</v>
      </c>
      <c r="D430" s="296" t="s">
        <v>192</v>
      </c>
      <c r="E430" s="851"/>
      <c r="F430" s="851"/>
      <c r="G430" s="851"/>
      <c r="H430" s="851"/>
      <c r="I430" s="851"/>
      <c r="J430" s="851"/>
      <c r="K430" s="851"/>
      <c r="L430" s="851"/>
      <c r="M430" s="851"/>
      <c r="N430" s="851"/>
      <c r="O430" s="851"/>
      <c r="P430" s="851"/>
      <c r="Q430" s="856">
        <f t="shared" ref="Q430:Q449" si="120">SUM(E430:P430)</f>
        <v>0</v>
      </c>
      <c r="R430" s="854"/>
      <c r="S430" s="854"/>
    </row>
    <row r="431" ht="15" spans="3:19">
      <c r="C431" s="296" t="s">
        <v>193</v>
      </c>
      <c r="D431" s="296" t="s">
        <v>194</v>
      </c>
      <c r="E431" s="851"/>
      <c r="F431" s="851"/>
      <c r="G431" s="851"/>
      <c r="H431" s="851"/>
      <c r="I431" s="851"/>
      <c r="J431" s="851"/>
      <c r="K431" s="851"/>
      <c r="L431" s="851"/>
      <c r="M431" s="851"/>
      <c r="N431" s="851"/>
      <c r="O431" s="851"/>
      <c r="P431" s="851"/>
      <c r="Q431" s="856">
        <f t="shared" si="120"/>
        <v>0</v>
      </c>
      <c r="R431" s="854"/>
      <c r="S431" s="854"/>
    </row>
    <row r="432" ht="15" spans="3:19">
      <c r="C432" s="296" t="s">
        <v>239</v>
      </c>
      <c r="D432" s="296" t="s">
        <v>196</v>
      </c>
      <c r="E432" s="851"/>
      <c r="F432" s="851"/>
      <c r="G432" s="851"/>
      <c r="H432" s="851"/>
      <c r="I432" s="851"/>
      <c r="J432" s="851"/>
      <c r="K432" s="851"/>
      <c r="L432" s="851"/>
      <c r="M432" s="851"/>
      <c r="N432" s="851"/>
      <c r="O432" s="851"/>
      <c r="P432" s="851"/>
      <c r="Q432" s="856">
        <f t="shared" si="120"/>
        <v>0</v>
      </c>
      <c r="R432" s="854"/>
      <c r="S432" s="854"/>
    </row>
    <row r="433" ht="15" spans="3:19">
      <c r="C433" s="296" t="s">
        <v>197</v>
      </c>
      <c r="D433" s="296" t="s">
        <v>198</v>
      </c>
      <c r="E433" s="851"/>
      <c r="F433" s="851"/>
      <c r="G433" s="851"/>
      <c r="H433" s="851"/>
      <c r="I433" s="851"/>
      <c r="J433" s="851"/>
      <c r="K433" s="851"/>
      <c r="L433" s="851"/>
      <c r="M433" s="851"/>
      <c r="N433" s="851"/>
      <c r="O433" s="851"/>
      <c r="P433" s="851"/>
      <c r="Q433" s="856">
        <f t="shared" si="120"/>
        <v>0</v>
      </c>
      <c r="R433" s="854"/>
      <c r="S433" s="854"/>
    </row>
    <row r="434" ht="15" spans="3:19">
      <c r="C434" s="296" t="s">
        <v>199</v>
      </c>
      <c r="D434" s="296" t="s">
        <v>200</v>
      </c>
      <c r="E434" s="851"/>
      <c r="F434" s="851"/>
      <c r="G434" s="851"/>
      <c r="H434" s="851"/>
      <c r="I434" s="851"/>
      <c r="J434" s="851"/>
      <c r="K434" s="851"/>
      <c r="L434" s="851"/>
      <c r="M434" s="851"/>
      <c r="N434" s="851"/>
      <c r="O434" s="851"/>
      <c r="P434" s="851"/>
      <c r="Q434" s="856">
        <f t="shared" si="120"/>
        <v>0</v>
      </c>
      <c r="R434" s="854"/>
      <c r="S434" s="854"/>
    </row>
    <row r="435" ht="15" spans="3:19">
      <c r="C435" s="296" t="s">
        <v>201</v>
      </c>
      <c r="D435" s="296" t="s">
        <v>240</v>
      </c>
      <c r="E435" s="851"/>
      <c r="F435" s="851"/>
      <c r="G435" s="851"/>
      <c r="H435" s="851"/>
      <c r="I435" s="851"/>
      <c r="J435" s="851"/>
      <c r="K435" s="851"/>
      <c r="L435" s="851"/>
      <c r="M435" s="851"/>
      <c r="N435" s="851"/>
      <c r="O435" s="851"/>
      <c r="P435" s="851"/>
      <c r="Q435" s="856">
        <f t="shared" si="120"/>
        <v>0</v>
      </c>
      <c r="R435" s="854"/>
      <c r="S435" s="854"/>
    </row>
    <row r="436" ht="15" spans="3:19">
      <c r="C436" s="296" t="s">
        <v>203</v>
      </c>
      <c r="D436" s="296" t="s">
        <v>220</v>
      </c>
      <c r="E436" s="851"/>
      <c r="F436" s="851"/>
      <c r="G436" s="851"/>
      <c r="H436" s="851"/>
      <c r="I436" s="851"/>
      <c r="J436" s="851"/>
      <c r="K436" s="851"/>
      <c r="L436" s="851"/>
      <c r="M436" s="851"/>
      <c r="N436" s="851"/>
      <c r="O436" s="851"/>
      <c r="P436" s="851"/>
      <c r="Q436" s="856">
        <f t="shared" si="120"/>
        <v>0</v>
      </c>
      <c r="R436" s="854"/>
      <c r="S436" s="854"/>
    </row>
    <row r="437" ht="15" spans="3:19">
      <c r="C437" s="296" t="s">
        <v>241</v>
      </c>
      <c r="D437" s="296" t="s">
        <v>229</v>
      </c>
      <c r="E437" s="851"/>
      <c r="F437" s="851"/>
      <c r="G437" s="851"/>
      <c r="H437" s="851"/>
      <c r="I437" s="851"/>
      <c r="J437" s="851"/>
      <c r="K437" s="851"/>
      <c r="L437" s="851"/>
      <c r="M437" s="851"/>
      <c r="N437" s="851"/>
      <c r="O437" s="851"/>
      <c r="P437" s="851"/>
      <c r="Q437" s="856">
        <f t="shared" si="120"/>
        <v>0</v>
      </c>
      <c r="R437" s="854"/>
      <c r="S437" s="854"/>
    </row>
    <row r="438" ht="15" spans="3:19">
      <c r="C438" s="296" t="s">
        <v>259</v>
      </c>
      <c r="D438" s="296" t="s">
        <v>243</v>
      </c>
      <c r="E438" s="851"/>
      <c r="F438" s="851"/>
      <c r="G438" s="851"/>
      <c r="H438" s="851"/>
      <c r="I438" s="851"/>
      <c r="J438" s="851"/>
      <c r="K438" s="851"/>
      <c r="L438" s="851"/>
      <c r="M438" s="851"/>
      <c r="N438" s="851"/>
      <c r="O438" s="851"/>
      <c r="P438" s="851"/>
      <c r="Q438" s="856">
        <f t="shared" si="120"/>
        <v>0</v>
      </c>
      <c r="R438" s="854"/>
      <c r="S438" s="854"/>
    </row>
    <row r="439" ht="15" spans="3:19">
      <c r="C439" s="296" t="s">
        <v>205</v>
      </c>
      <c r="D439" s="296" t="s">
        <v>206</v>
      </c>
      <c r="E439" s="851"/>
      <c r="F439" s="851"/>
      <c r="G439" s="851"/>
      <c r="H439" s="851"/>
      <c r="I439" s="851"/>
      <c r="J439" s="851"/>
      <c r="K439" s="851"/>
      <c r="L439" s="851"/>
      <c r="M439" s="851"/>
      <c r="N439" s="851"/>
      <c r="O439" s="851"/>
      <c r="P439" s="851"/>
      <c r="Q439" s="856">
        <f t="shared" si="120"/>
        <v>0</v>
      </c>
      <c r="R439" s="854"/>
      <c r="S439" s="854"/>
    </row>
    <row r="440" ht="15" spans="3:19">
      <c r="C440" s="296" t="s">
        <v>207</v>
      </c>
      <c r="D440" s="296" t="s">
        <v>186</v>
      </c>
      <c r="E440" s="851"/>
      <c r="F440" s="851"/>
      <c r="G440" s="851"/>
      <c r="H440" s="851"/>
      <c r="I440" s="851"/>
      <c r="J440" s="851"/>
      <c r="K440" s="851"/>
      <c r="L440" s="851"/>
      <c r="M440" s="851"/>
      <c r="N440" s="851"/>
      <c r="O440" s="851"/>
      <c r="P440" s="851"/>
      <c r="Q440" s="856">
        <f t="shared" si="120"/>
        <v>0</v>
      </c>
      <c r="R440" s="854"/>
      <c r="S440" s="854"/>
    </row>
    <row r="441" ht="15" spans="3:19">
      <c r="C441" s="296" t="s">
        <v>208</v>
      </c>
      <c r="D441" s="296" t="s">
        <v>209</v>
      </c>
      <c r="E441" s="851"/>
      <c r="F441" s="851"/>
      <c r="G441" s="851"/>
      <c r="H441" s="851"/>
      <c r="I441" s="851"/>
      <c r="J441" s="851"/>
      <c r="K441" s="851"/>
      <c r="L441" s="851"/>
      <c r="M441" s="851"/>
      <c r="N441" s="851"/>
      <c r="O441" s="851"/>
      <c r="P441" s="851"/>
      <c r="Q441" s="856">
        <f t="shared" si="120"/>
        <v>0</v>
      </c>
      <c r="R441" s="854"/>
      <c r="S441" s="854"/>
    </row>
    <row r="442" ht="15" spans="3:19">
      <c r="C442" s="296" t="s">
        <v>210</v>
      </c>
      <c r="D442" s="296" t="s">
        <v>188</v>
      </c>
      <c r="E442" s="851"/>
      <c r="F442" s="851"/>
      <c r="G442" s="851"/>
      <c r="H442" s="851"/>
      <c r="I442" s="851"/>
      <c r="J442" s="851"/>
      <c r="K442" s="851"/>
      <c r="L442" s="851"/>
      <c r="M442" s="851"/>
      <c r="N442" s="851"/>
      <c r="O442" s="851"/>
      <c r="P442" s="851"/>
      <c r="Q442" s="856">
        <f t="shared" si="120"/>
        <v>0</v>
      </c>
      <c r="R442" s="854"/>
      <c r="S442" s="854"/>
    </row>
    <row r="443" ht="15" spans="3:19">
      <c r="C443" s="296"/>
      <c r="D443" s="296"/>
      <c r="E443" s="851"/>
      <c r="F443" s="851"/>
      <c r="G443" s="851"/>
      <c r="H443" s="851"/>
      <c r="I443" s="851"/>
      <c r="J443" s="851"/>
      <c r="K443" s="851"/>
      <c r="L443" s="851"/>
      <c r="M443" s="851"/>
      <c r="N443" s="851"/>
      <c r="O443" s="851"/>
      <c r="P443" s="851"/>
      <c r="Q443" s="856">
        <f t="shared" si="120"/>
        <v>0</v>
      </c>
      <c r="R443" s="854"/>
      <c r="S443" s="854"/>
    </row>
    <row r="444" ht="15" spans="3:19">
      <c r="C444" s="296"/>
      <c r="D444" s="296"/>
      <c r="E444" s="851"/>
      <c r="F444" s="851"/>
      <c r="G444" s="851"/>
      <c r="H444" s="851"/>
      <c r="I444" s="851"/>
      <c r="J444" s="851"/>
      <c r="K444" s="851"/>
      <c r="L444" s="851"/>
      <c r="M444" s="851"/>
      <c r="N444" s="851"/>
      <c r="O444" s="851"/>
      <c r="P444" s="851"/>
      <c r="Q444" s="856">
        <f t="shared" si="120"/>
        <v>0</v>
      </c>
      <c r="R444" s="854"/>
      <c r="S444" s="854"/>
    </row>
    <row r="445" ht="15" spans="3:19">
      <c r="C445" s="296"/>
      <c r="D445" s="296"/>
      <c r="E445" s="851"/>
      <c r="F445" s="851"/>
      <c r="G445" s="851"/>
      <c r="H445" s="851"/>
      <c r="I445" s="851"/>
      <c r="J445" s="851"/>
      <c r="K445" s="851"/>
      <c r="L445" s="851"/>
      <c r="M445" s="851"/>
      <c r="N445" s="851"/>
      <c r="O445" s="851"/>
      <c r="P445" s="851"/>
      <c r="Q445" s="856">
        <f t="shared" si="120"/>
        <v>0</v>
      </c>
      <c r="R445" s="854"/>
      <c r="S445" s="854"/>
    </row>
    <row r="446" ht="15" spans="3:19">
      <c r="C446" s="296" t="s">
        <v>258</v>
      </c>
      <c r="D446" s="296" t="s">
        <v>258</v>
      </c>
      <c r="E446" s="851"/>
      <c r="F446" s="851"/>
      <c r="G446" s="851"/>
      <c r="H446" s="851"/>
      <c r="I446" s="851"/>
      <c r="J446" s="851"/>
      <c r="K446" s="851"/>
      <c r="L446" s="851"/>
      <c r="M446" s="851"/>
      <c r="N446" s="851"/>
      <c r="O446" s="851"/>
      <c r="P446" s="851"/>
      <c r="Q446" s="856">
        <f t="shared" si="120"/>
        <v>0</v>
      </c>
      <c r="R446" s="854"/>
      <c r="S446" s="854"/>
    </row>
    <row r="447" ht="15" spans="3:19">
      <c r="C447" s="285" t="s">
        <v>211</v>
      </c>
      <c r="D447" s="286"/>
      <c r="E447" s="856">
        <f>SUM(E430:E446)</f>
        <v>0</v>
      </c>
      <c r="F447" s="856">
        <f t="shared" ref="F447:P447" si="121">SUM(F430:F446)</f>
        <v>0</v>
      </c>
      <c r="G447" s="856">
        <f t="shared" si="121"/>
        <v>0</v>
      </c>
      <c r="H447" s="856">
        <f t="shared" si="121"/>
        <v>0</v>
      </c>
      <c r="I447" s="856">
        <f t="shared" si="121"/>
        <v>0</v>
      </c>
      <c r="J447" s="856">
        <f t="shared" si="121"/>
        <v>0</v>
      </c>
      <c r="K447" s="856">
        <f t="shared" si="121"/>
        <v>0</v>
      </c>
      <c r="L447" s="856">
        <f t="shared" si="121"/>
        <v>0</v>
      </c>
      <c r="M447" s="856">
        <f t="shared" si="121"/>
        <v>0</v>
      </c>
      <c r="N447" s="856">
        <f t="shared" si="121"/>
        <v>0</v>
      </c>
      <c r="O447" s="856">
        <f t="shared" si="121"/>
        <v>0</v>
      </c>
      <c r="P447" s="856">
        <f t="shared" si="121"/>
        <v>0</v>
      </c>
      <c r="Q447" s="856">
        <f t="shared" si="120"/>
        <v>0</v>
      </c>
      <c r="R447" s="854"/>
      <c r="S447" s="854"/>
    </row>
    <row r="448" ht="15" spans="3:19">
      <c r="C448" s="285" t="s">
        <v>223</v>
      </c>
      <c r="D448" s="286"/>
      <c r="E448" s="856">
        <f>E447+E428+E411</f>
        <v>0</v>
      </c>
      <c r="F448" s="856">
        <f t="shared" ref="F448:P448" si="122">F447+F428+F411</f>
        <v>0</v>
      </c>
      <c r="G448" s="856">
        <f t="shared" si="122"/>
        <v>0</v>
      </c>
      <c r="H448" s="856">
        <f t="shared" si="122"/>
        <v>0</v>
      </c>
      <c r="I448" s="856">
        <f t="shared" si="122"/>
        <v>0</v>
      </c>
      <c r="J448" s="856">
        <f t="shared" si="122"/>
        <v>0</v>
      </c>
      <c r="K448" s="856">
        <f t="shared" si="122"/>
        <v>0</v>
      </c>
      <c r="L448" s="856">
        <f t="shared" si="122"/>
        <v>0</v>
      </c>
      <c r="M448" s="856">
        <f t="shared" si="122"/>
        <v>0</v>
      </c>
      <c r="N448" s="856">
        <f t="shared" si="122"/>
        <v>0</v>
      </c>
      <c r="O448" s="856">
        <f t="shared" si="122"/>
        <v>0</v>
      </c>
      <c r="P448" s="856">
        <f t="shared" si="122"/>
        <v>0</v>
      </c>
      <c r="Q448" s="856">
        <f t="shared" si="120"/>
        <v>0</v>
      </c>
      <c r="R448" s="854"/>
      <c r="S448" s="854"/>
    </row>
    <row r="449" ht="15" spans="3:19">
      <c r="C449" s="285" t="s">
        <v>224</v>
      </c>
      <c r="D449" s="286"/>
      <c r="E449" s="856">
        <f>E448+E394</f>
        <v>1266.95010928518</v>
      </c>
      <c r="F449" s="856">
        <f t="shared" ref="F449:P449" si="123">F448+F394</f>
        <v>492.193237403279</v>
      </c>
      <c r="G449" s="856">
        <f t="shared" si="123"/>
        <v>634.453835266266</v>
      </c>
      <c r="H449" s="856">
        <f t="shared" si="123"/>
        <v>979.893971825415</v>
      </c>
      <c r="I449" s="856">
        <f t="shared" si="123"/>
        <v>1640.44173852728</v>
      </c>
      <c r="J449" s="856">
        <f t="shared" si="123"/>
        <v>1234.67620518555</v>
      </c>
      <c r="K449" s="856">
        <f t="shared" si="123"/>
        <v>1811.8894396692</v>
      </c>
      <c r="L449" s="856">
        <f t="shared" si="123"/>
        <v>840.616979274728</v>
      </c>
      <c r="M449" s="856">
        <f t="shared" si="123"/>
        <v>1191.21261654491</v>
      </c>
      <c r="N449" s="856">
        <f t="shared" si="123"/>
        <v>1657.83421070719</v>
      </c>
      <c r="O449" s="856">
        <f t="shared" si="123"/>
        <v>1877.45986339152</v>
      </c>
      <c r="P449" s="856">
        <f t="shared" si="123"/>
        <v>2079.39</v>
      </c>
      <c r="Q449" s="856">
        <f t="shared" si="120"/>
        <v>15707.0122070805</v>
      </c>
      <c r="R449" s="854"/>
      <c r="S449" s="854"/>
    </row>
    <row r="450" spans="5:19">
      <c r="E450" s="854"/>
      <c r="F450" s="854"/>
      <c r="G450" s="854"/>
      <c r="H450" s="854"/>
      <c r="I450" s="854"/>
      <c r="J450" s="854"/>
      <c r="K450" s="854"/>
      <c r="L450" s="854"/>
      <c r="M450" s="854"/>
      <c r="N450" s="854"/>
      <c r="O450" s="854"/>
      <c r="P450" s="854"/>
      <c r="Q450" s="854"/>
      <c r="R450" s="854"/>
      <c r="S450" s="854"/>
    </row>
    <row r="451" ht="6" customHeight="1" spans="3:19">
      <c r="C451" s="369"/>
      <c r="E451" s="854"/>
      <c r="F451" s="854"/>
      <c r="G451" s="854"/>
      <c r="H451" s="854"/>
      <c r="I451" s="854"/>
      <c r="J451" s="854"/>
      <c r="K451" s="854"/>
      <c r="L451" s="854"/>
      <c r="M451" s="854"/>
      <c r="N451" s="854"/>
      <c r="O451" s="854"/>
      <c r="P451" s="854"/>
      <c r="Q451" s="857" t="s">
        <v>236</v>
      </c>
      <c r="R451" s="854"/>
      <c r="S451" s="854"/>
    </row>
    <row r="452" ht="15" spans="3:19">
      <c r="C452" s="401" t="s">
        <v>159</v>
      </c>
      <c r="D452" s="401"/>
      <c r="E452" s="855" t="s">
        <v>273</v>
      </c>
      <c r="F452" s="855"/>
      <c r="G452" s="855"/>
      <c r="H452" s="855"/>
      <c r="I452" s="855"/>
      <c r="J452" s="855"/>
      <c r="K452" s="855"/>
      <c r="L452" s="855"/>
      <c r="M452" s="855"/>
      <c r="N452" s="855"/>
      <c r="O452" s="855"/>
      <c r="P452" s="855"/>
      <c r="Q452" s="855"/>
      <c r="R452" s="854"/>
      <c r="S452" s="854"/>
    </row>
    <row r="453" ht="15" spans="3:19">
      <c r="C453" s="401"/>
      <c r="D453" s="401"/>
      <c r="E453" s="855" t="s">
        <v>246</v>
      </c>
      <c r="F453" s="855" t="s">
        <v>247</v>
      </c>
      <c r="G453" s="855" t="s">
        <v>248</v>
      </c>
      <c r="H453" s="855" t="s">
        <v>249</v>
      </c>
      <c r="I453" s="855" t="s">
        <v>250</v>
      </c>
      <c r="J453" s="855" t="s">
        <v>251</v>
      </c>
      <c r="K453" s="855" t="s">
        <v>252</v>
      </c>
      <c r="L453" s="855" t="s">
        <v>253</v>
      </c>
      <c r="M453" s="855" t="s">
        <v>254</v>
      </c>
      <c r="N453" s="855" t="s">
        <v>255</v>
      </c>
      <c r="O453" s="855" t="s">
        <v>256</v>
      </c>
      <c r="P453" s="855" t="s">
        <v>257</v>
      </c>
      <c r="Q453" s="855" t="s">
        <v>97</v>
      </c>
      <c r="R453" s="854"/>
      <c r="S453" s="854"/>
    </row>
    <row r="454" ht="15" spans="3:19">
      <c r="C454" s="285" t="s">
        <v>170</v>
      </c>
      <c r="D454" s="286"/>
      <c r="E454" s="851"/>
      <c r="F454" s="851"/>
      <c r="G454" s="851"/>
      <c r="H454" s="851"/>
      <c r="I454" s="851"/>
      <c r="J454" s="851"/>
      <c r="K454" s="851"/>
      <c r="L454" s="851"/>
      <c r="M454" s="851"/>
      <c r="N454" s="851"/>
      <c r="O454" s="851"/>
      <c r="P454" s="851"/>
      <c r="Q454" s="856"/>
      <c r="R454" s="854"/>
      <c r="S454" s="854"/>
    </row>
    <row r="455" ht="15" spans="3:19">
      <c r="C455" s="296" t="s">
        <v>171</v>
      </c>
      <c r="D455" s="296" t="s">
        <v>172</v>
      </c>
      <c r="E455" s="851"/>
      <c r="F455" s="851"/>
      <c r="G455" s="851"/>
      <c r="H455" s="851"/>
      <c r="I455" s="851"/>
      <c r="J455" s="851"/>
      <c r="K455" s="851"/>
      <c r="L455" s="851"/>
      <c r="M455" s="851"/>
      <c r="N455" s="851"/>
      <c r="O455" s="851"/>
      <c r="P455" s="851"/>
      <c r="Q455" s="856">
        <f t="shared" ref="Q455:Q485" si="124">SUM(E455:P455)</f>
        <v>0</v>
      </c>
      <c r="R455" s="854"/>
      <c r="S455" s="854"/>
    </row>
    <row r="456" ht="15" spans="3:19">
      <c r="C456" s="296" t="s">
        <v>173</v>
      </c>
      <c r="D456" s="296" t="s">
        <v>174</v>
      </c>
      <c r="E456" s="851"/>
      <c r="F456" s="851"/>
      <c r="G456" s="851"/>
      <c r="H456" s="851"/>
      <c r="I456" s="851"/>
      <c r="J456" s="851"/>
      <c r="K456" s="851"/>
      <c r="L456" s="851"/>
      <c r="M456" s="851"/>
      <c r="N456" s="851"/>
      <c r="O456" s="851"/>
      <c r="P456" s="851"/>
      <c r="Q456" s="856">
        <f t="shared" si="124"/>
        <v>0</v>
      </c>
      <c r="R456" s="854"/>
      <c r="S456" s="854"/>
    </row>
    <row r="457" ht="15" spans="3:19">
      <c r="C457" s="296" t="s">
        <v>175</v>
      </c>
      <c r="D457" s="296" t="s">
        <v>176</v>
      </c>
      <c r="E457" s="851"/>
      <c r="F457" s="851"/>
      <c r="G457" s="851"/>
      <c r="H457" s="851"/>
      <c r="I457" s="851"/>
      <c r="J457" s="851"/>
      <c r="K457" s="851"/>
      <c r="L457" s="851"/>
      <c r="M457" s="851"/>
      <c r="N457" s="851"/>
      <c r="O457" s="851"/>
      <c r="P457" s="851"/>
      <c r="Q457" s="856">
        <f t="shared" si="124"/>
        <v>0</v>
      </c>
      <c r="R457" s="854"/>
      <c r="S457" s="854"/>
    </row>
    <row r="458" ht="15" spans="3:19">
      <c r="C458" s="296" t="s">
        <v>177</v>
      </c>
      <c r="D458" s="296" t="s">
        <v>178</v>
      </c>
      <c r="E458" s="851"/>
      <c r="F458" s="851"/>
      <c r="G458" s="851"/>
      <c r="H458" s="851"/>
      <c r="I458" s="851"/>
      <c r="J458" s="851"/>
      <c r="K458" s="851"/>
      <c r="L458" s="851"/>
      <c r="M458" s="851"/>
      <c r="N458" s="851"/>
      <c r="O458" s="851"/>
      <c r="P458" s="851"/>
      <c r="Q458" s="856">
        <f t="shared" si="124"/>
        <v>0</v>
      </c>
      <c r="R458" s="854"/>
      <c r="S458" s="854"/>
    </row>
    <row r="459" ht="15" spans="3:19">
      <c r="C459" s="296" t="s">
        <v>179</v>
      </c>
      <c r="D459" s="296" t="s">
        <v>180</v>
      </c>
      <c r="E459" s="851">
        <f>[18]Sales_SP!FZ46</f>
        <v>1150.06094179262</v>
      </c>
      <c r="F459" s="851">
        <f>[18]Sales_SP!GA46</f>
        <v>535.134849879363</v>
      </c>
      <c r="G459" s="851">
        <f>[18]Sales_SP!GB46</f>
        <v>638.256395747589</v>
      </c>
      <c r="H459" s="851">
        <f>[18]Sales_SP!GC46</f>
        <v>1161.5783215538</v>
      </c>
      <c r="I459" s="851">
        <f>[18]Sales_SP!GD46</f>
        <v>1382.56638064665</v>
      </c>
      <c r="J459" s="851">
        <f>[18]Sales_SP!GE46</f>
        <v>1148.16</v>
      </c>
      <c r="K459" s="851">
        <f>[18]Sales_SP!GF46</f>
        <v>1989.28604403335</v>
      </c>
      <c r="L459" s="851">
        <f>[18]Sales_SP!GG46</f>
        <v>922.919240345036</v>
      </c>
      <c r="M459" s="851">
        <f>[18]Sales_SP!GH46</f>
        <v>1307.84063403001</v>
      </c>
      <c r="N459" s="851">
        <f>[18]Sales_SP!GI46</f>
        <v>1820.14773444619</v>
      </c>
      <c r="O459" s="851">
        <f>[18]Sales_SP!GJ46</f>
        <v>2061.27626924046</v>
      </c>
      <c r="P459" s="851">
        <f>[18]Sales_SP!GK46</f>
        <v>2282.97677360365</v>
      </c>
      <c r="Q459" s="856">
        <f t="shared" si="124"/>
        <v>16400.2035853187</v>
      </c>
      <c r="R459" s="854"/>
      <c r="S459" s="854"/>
    </row>
    <row r="460" ht="15" spans="3:19">
      <c r="C460" s="296" t="s">
        <v>181</v>
      </c>
      <c r="D460" s="296" t="s">
        <v>182</v>
      </c>
      <c r="E460" s="851"/>
      <c r="F460" s="851"/>
      <c r="G460" s="851"/>
      <c r="H460" s="851"/>
      <c r="I460" s="851"/>
      <c r="J460" s="851"/>
      <c r="K460" s="851"/>
      <c r="L460" s="851"/>
      <c r="M460" s="851"/>
      <c r="N460" s="851"/>
      <c r="O460" s="851"/>
      <c r="P460" s="851"/>
      <c r="Q460" s="856">
        <f t="shared" si="124"/>
        <v>0</v>
      </c>
      <c r="R460" s="854"/>
      <c r="S460" s="854"/>
    </row>
    <row r="461" ht="15" spans="3:19">
      <c r="C461" s="296" t="s">
        <v>183</v>
      </c>
      <c r="D461" s="296" t="s">
        <v>184</v>
      </c>
      <c r="E461" s="851"/>
      <c r="F461" s="851"/>
      <c r="G461" s="851"/>
      <c r="H461" s="851"/>
      <c r="I461" s="851"/>
      <c r="J461" s="851"/>
      <c r="K461" s="851"/>
      <c r="L461" s="851"/>
      <c r="M461" s="851"/>
      <c r="N461" s="851"/>
      <c r="O461" s="851"/>
      <c r="P461" s="851"/>
      <c r="Q461" s="856">
        <f t="shared" si="124"/>
        <v>0</v>
      </c>
      <c r="R461" s="854"/>
      <c r="S461" s="854"/>
    </row>
    <row r="462" ht="15" spans="3:19">
      <c r="C462" s="296" t="s">
        <v>185</v>
      </c>
      <c r="D462" s="296" t="s">
        <v>186</v>
      </c>
      <c r="E462" s="851"/>
      <c r="F462" s="851"/>
      <c r="G462" s="851"/>
      <c r="H462" s="851"/>
      <c r="I462" s="851"/>
      <c r="J462" s="851"/>
      <c r="K462" s="851"/>
      <c r="L462" s="851"/>
      <c r="M462" s="851"/>
      <c r="N462" s="851"/>
      <c r="O462" s="851"/>
      <c r="P462" s="851"/>
      <c r="Q462" s="856">
        <f t="shared" si="124"/>
        <v>0</v>
      </c>
      <c r="R462" s="854"/>
      <c r="S462" s="854"/>
    </row>
    <row r="463" ht="15" spans="3:19">
      <c r="C463" s="296" t="s">
        <v>187</v>
      </c>
      <c r="D463" s="296" t="s">
        <v>188</v>
      </c>
      <c r="E463" s="851"/>
      <c r="F463" s="851"/>
      <c r="G463" s="851"/>
      <c r="H463" s="851"/>
      <c r="I463" s="851"/>
      <c r="J463" s="851"/>
      <c r="K463" s="851"/>
      <c r="L463" s="851"/>
      <c r="M463" s="851"/>
      <c r="N463" s="851"/>
      <c r="O463" s="851"/>
      <c r="P463" s="851"/>
      <c r="Q463" s="856">
        <f t="shared" si="124"/>
        <v>0</v>
      </c>
      <c r="R463" s="854"/>
      <c r="S463" s="854"/>
    </row>
    <row r="464" ht="15" spans="3:19">
      <c r="C464" s="296"/>
      <c r="D464" s="296"/>
      <c r="E464" s="851"/>
      <c r="F464" s="851"/>
      <c r="G464" s="851"/>
      <c r="H464" s="851"/>
      <c r="I464" s="851"/>
      <c r="J464" s="851"/>
      <c r="K464" s="851"/>
      <c r="L464" s="851"/>
      <c r="M464" s="851"/>
      <c r="N464" s="851"/>
      <c r="O464" s="851"/>
      <c r="P464" s="851"/>
      <c r="Q464" s="856">
        <f t="shared" si="124"/>
        <v>0</v>
      </c>
      <c r="R464" s="854"/>
      <c r="S464" s="854"/>
    </row>
    <row r="465" ht="15" spans="3:19">
      <c r="C465" s="296"/>
      <c r="D465" s="296"/>
      <c r="E465" s="851"/>
      <c r="F465" s="851"/>
      <c r="G465" s="851"/>
      <c r="H465" s="851"/>
      <c r="I465" s="851"/>
      <c r="J465" s="851"/>
      <c r="K465" s="851"/>
      <c r="L465" s="851"/>
      <c r="M465" s="851"/>
      <c r="N465" s="851"/>
      <c r="O465" s="851"/>
      <c r="P465" s="851"/>
      <c r="Q465" s="856">
        <f t="shared" si="124"/>
        <v>0</v>
      </c>
      <c r="R465" s="854"/>
      <c r="S465" s="854"/>
    </row>
    <row r="466" ht="15" spans="3:19">
      <c r="C466" s="296"/>
      <c r="D466" s="296"/>
      <c r="E466" s="851"/>
      <c r="F466" s="851"/>
      <c r="G466" s="851"/>
      <c r="H466" s="851"/>
      <c r="I466" s="851"/>
      <c r="J466" s="851"/>
      <c r="K466" s="851"/>
      <c r="L466" s="851"/>
      <c r="M466" s="851"/>
      <c r="N466" s="851"/>
      <c r="O466" s="851"/>
      <c r="P466" s="851"/>
      <c r="Q466" s="856">
        <f t="shared" si="124"/>
        <v>0</v>
      </c>
      <c r="R466" s="854"/>
      <c r="S466" s="854"/>
    </row>
    <row r="467" ht="15" spans="3:19">
      <c r="C467" s="296" t="s">
        <v>258</v>
      </c>
      <c r="D467" s="296" t="s">
        <v>258</v>
      </c>
      <c r="E467" s="851"/>
      <c r="F467" s="851"/>
      <c r="G467" s="851"/>
      <c r="H467" s="851"/>
      <c r="I467" s="851"/>
      <c r="J467" s="851"/>
      <c r="K467" s="851"/>
      <c r="L467" s="851"/>
      <c r="M467" s="851"/>
      <c r="N467" s="851"/>
      <c r="O467" s="851"/>
      <c r="P467" s="851"/>
      <c r="Q467" s="856">
        <f t="shared" si="124"/>
        <v>0</v>
      </c>
      <c r="R467" s="854"/>
      <c r="S467" s="854"/>
    </row>
    <row r="468" ht="15" spans="3:19">
      <c r="C468" s="285" t="s">
        <v>189</v>
      </c>
      <c r="D468" s="286"/>
      <c r="E468" s="856">
        <f t="shared" ref="E468:P468" si="125">SUM(E455:E467)</f>
        <v>1150.06094179262</v>
      </c>
      <c r="F468" s="856">
        <f t="shared" si="125"/>
        <v>535.134849879363</v>
      </c>
      <c r="G468" s="856">
        <f t="shared" si="125"/>
        <v>638.256395747589</v>
      </c>
      <c r="H468" s="856">
        <f t="shared" si="125"/>
        <v>1161.5783215538</v>
      </c>
      <c r="I468" s="856">
        <f t="shared" si="125"/>
        <v>1382.56638064665</v>
      </c>
      <c r="J468" s="856">
        <f t="shared" si="125"/>
        <v>1148.16</v>
      </c>
      <c r="K468" s="856">
        <f t="shared" si="125"/>
        <v>1989.28604403335</v>
      </c>
      <c r="L468" s="856">
        <f t="shared" si="125"/>
        <v>922.919240345036</v>
      </c>
      <c r="M468" s="856">
        <f t="shared" si="125"/>
        <v>1307.84063403001</v>
      </c>
      <c r="N468" s="856">
        <f t="shared" si="125"/>
        <v>1820.14773444619</v>
      </c>
      <c r="O468" s="856">
        <f t="shared" si="125"/>
        <v>2061.27626924046</v>
      </c>
      <c r="P468" s="856">
        <f t="shared" si="125"/>
        <v>2282.97677360365</v>
      </c>
      <c r="Q468" s="856">
        <f t="shared" si="124"/>
        <v>16400.2035853187</v>
      </c>
      <c r="R468" s="854"/>
      <c r="S468" s="854"/>
    </row>
    <row r="469" ht="15" spans="3:19">
      <c r="C469" s="285" t="s">
        <v>190</v>
      </c>
      <c r="D469" s="286"/>
      <c r="E469" s="851"/>
      <c r="F469" s="851"/>
      <c r="G469" s="851"/>
      <c r="H469" s="851"/>
      <c r="I469" s="851"/>
      <c r="J469" s="851"/>
      <c r="K469" s="851"/>
      <c r="L469" s="851"/>
      <c r="M469" s="851"/>
      <c r="N469" s="851"/>
      <c r="O469" s="851"/>
      <c r="P469" s="851"/>
      <c r="Q469" s="856"/>
      <c r="R469" s="854"/>
      <c r="S469" s="854"/>
    </row>
    <row r="470" ht="15" spans="3:19">
      <c r="C470" s="296" t="s">
        <v>191</v>
      </c>
      <c r="D470" s="296" t="s">
        <v>192</v>
      </c>
      <c r="E470" s="851"/>
      <c r="F470" s="851"/>
      <c r="G470" s="851"/>
      <c r="H470" s="851"/>
      <c r="I470" s="851"/>
      <c r="J470" s="851"/>
      <c r="K470" s="851"/>
      <c r="L470" s="851"/>
      <c r="M470" s="851"/>
      <c r="N470" s="851"/>
      <c r="O470" s="851"/>
      <c r="P470" s="851"/>
      <c r="Q470" s="856">
        <f t="shared" si="124"/>
        <v>0</v>
      </c>
      <c r="R470" s="854"/>
      <c r="S470" s="854"/>
    </row>
    <row r="471" ht="15" spans="3:19">
      <c r="C471" s="296" t="s">
        <v>193</v>
      </c>
      <c r="D471" s="296" t="s">
        <v>194</v>
      </c>
      <c r="E471" s="851"/>
      <c r="F471" s="851"/>
      <c r="G471" s="851"/>
      <c r="H471" s="851"/>
      <c r="I471" s="851"/>
      <c r="J471" s="851"/>
      <c r="K471" s="851"/>
      <c r="L471" s="851"/>
      <c r="M471" s="851"/>
      <c r="N471" s="851"/>
      <c r="O471" s="851"/>
      <c r="P471" s="851"/>
      <c r="Q471" s="856">
        <f t="shared" si="124"/>
        <v>0</v>
      </c>
      <c r="R471" s="854"/>
      <c r="S471" s="854"/>
    </row>
    <row r="472" ht="15" spans="3:19">
      <c r="C472" s="296" t="s">
        <v>239</v>
      </c>
      <c r="D472" s="296" t="s">
        <v>196</v>
      </c>
      <c r="E472" s="851"/>
      <c r="F472" s="851"/>
      <c r="G472" s="851"/>
      <c r="H472" s="851"/>
      <c r="I472" s="851"/>
      <c r="J472" s="851"/>
      <c r="K472" s="851"/>
      <c r="L472" s="851"/>
      <c r="M472" s="851"/>
      <c r="N472" s="851"/>
      <c r="O472" s="851"/>
      <c r="P472" s="851"/>
      <c r="Q472" s="856">
        <f t="shared" si="124"/>
        <v>0</v>
      </c>
      <c r="R472" s="854"/>
      <c r="S472" s="854"/>
    </row>
    <row r="473" ht="15" spans="3:19">
      <c r="C473" s="296" t="s">
        <v>197</v>
      </c>
      <c r="D473" s="296" t="s">
        <v>198</v>
      </c>
      <c r="E473" s="851"/>
      <c r="F473" s="851"/>
      <c r="G473" s="851"/>
      <c r="H473" s="851"/>
      <c r="I473" s="851"/>
      <c r="J473" s="851"/>
      <c r="K473" s="851"/>
      <c r="L473" s="851"/>
      <c r="M473" s="851"/>
      <c r="N473" s="851"/>
      <c r="O473" s="851"/>
      <c r="P473" s="851"/>
      <c r="Q473" s="856">
        <f t="shared" si="124"/>
        <v>0</v>
      </c>
      <c r="R473" s="854"/>
      <c r="S473" s="854"/>
    </row>
    <row r="474" ht="15" spans="3:19">
      <c r="C474" s="296" t="s">
        <v>199</v>
      </c>
      <c r="D474" s="296" t="s">
        <v>200</v>
      </c>
      <c r="E474" s="851"/>
      <c r="F474" s="851"/>
      <c r="G474" s="851"/>
      <c r="H474" s="851"/>
      <c r="I474" s="851"/>
      <c r="J474" s="851"/>
      <c r="K474" s="851"/>
      <c r="L474" s="851"/>
      <c r="M474" s="851"/>
      <c r="N474" s="851"/>
      <c r="O474" s="851"/>
      <c r="P474" s="851"/>
      <c r="Q474" s="856">
        <f t="shared" si="124"/>
        <v>0</v>
      </c>
      <c r="R474" s="854"/>
      <c r="S474" s="854"/>
    </row>
    <row r="475" ht="15" spans="3:19">
      <c r="C475" s="296" t="s">
        <v>201</v>
      </c>
      <c r="D475" s="296" t="s">
        <v>202</v>
      </c>
      <c r="E475" s="851"/>
      <c r="F475" s="851"/>
      <c r="G475" s="851"/>
      <c r="H475" s="851"/>
      <c r="I475" s="851"/>
      <c r="J475" s="851"/>
      <c r="K475" s="851"/>
      <c r="L475" s="851"/>
      <c r="M475" s="851"/>
      <c r="N475" s="851"/>
      <c r="O475" s="851"/>
      <c r="P475" s="851"/>
      <c r="Q475" s="856">
        <f t="shared" si="124"/>
        <v>0</v>
      </c>
      <c r="R475" s="854"/>
      <c r="S475" s="854"/>
    </row>
    <row r="476" ht="15" spans="3:19">
      <c r="C476" s="296" t="s">
        <v>203</v>
      </c>
      <c r="D476" s="296" t="s">
        <v>204</v>
      </c>
      <c r="E476" s="851"/>
      <c r="F476" s="851"/>
      <c r="G476" s="851"/>
      <c r="H476" s="851"/>
      <c r="I476" s="851"/>
      <c r="J476" s="851"/>
      <c r="K476" s="851"/>
      <c r="L476" s="851"/>
      <c r="M476" s="851"/>
      <c r="N476" s="851"/>
      <c r="O476" s="851"/>
      <c r="P476" s="851"/>
      <c r="Q476" s="856">
        <f t="shared" si="124"/>
        <v>0</v>
      </c>
      <c r="R476" s="854"/>
      <c r="S476" s="854"/>
    </row>
    <row r="477" ht="15" spans="3:19">
      <c r="C477" s="296" t="s">
        <v>205</v>
      </c>
      <c r="D477" s="296" t="s">
        <v>206</v>
      </c>
      <c r="E477" s="851"/>
      <c r="F477" s="851"/>
      <c r="G477" s="851"/>
      <c r="H477" s="851"/>
      <c r="I477" s="851"/>
      <c r="J477" s="851"/>
      <c r="K477" s="851"/>
      <c r="L477" s="851"/>
      <c r="M477" s="851"/>
      <c r="N477" s="851"/>
      <c r="O477" s="851"/>
      <c r="P477" s="851"/>
      <c r="Q477" s="856">
        <f t="shared" si="124"/>
        <v>0</v>
      </c>
      <c r="R477" s="854"/>
      <c r="S477" s="854"/>
    </row>
    <row r="478" ht="15" spans="3:19">
      <c r="C478" s="296" t="s">
        <v>207</v>
      </c>
      <c r="D478" s="296" t="s">
        <v>186</v>
      </c>
      <c r="E478" s="851"/>
      <c r="F478" s="851"/>
      <c r="G478" s="851"/>
      <c r="H478" s="851"/>
      <c r="I478" s="851"/>
      <c r="J478" s="851"/>
      <c r="K478" s="851"/>
      <c r="L478" s="851"/>
      <c r="M478" s="851"/>
      <c r="N478" s="851"/>
      <c r="O478" s="851"/>
      <c r="P478" s="851"/>
      <c r="Q478" s="856">
        <f t="shared" si="124"/>
        <v>0</v>
      </c>
      <c r="R478" s="854"/>
      <c r="S478" s="854"/>
    </row>
    <row r="479" ht="15" spans="3:19">
      <c r="C479" s="296" t="s">
        <v>208</v>
      </c>
      <c r="D479" s="296" t="s">
        <v>209</v>
      </c>
      <c r="E479" s="851"/>
      <c r="F479" s="851"/>
      <c r="G479" s="851"/>
      <c r="H479" s="851"/>
      <c r="I479" s="851"/>
      <c r="J479" s="851"/>
      <c r="K479" s="851"/>
      <c r="L479" s="851"/>
      <c r="M479" s="851"/>
      <c r="N479" s="851"/>
      <c r="O479" s="851"/>
      <c r="P479" s="851"/>
      <c r="Q479" s="856">
        <f t="shared" si="124"/>
        <v>0</v>
      </c>
      <c r="R479" s="854"/>
      <c r="S479" s="854"/>
    </row>
    <row r="480" ht="15" spans="3:19">
      <c r="C480" s="296" t="s">
        <v>210</v>
      </c>
      <c r="D480" s="296" t="s">
        <v>188</v>
      </c>
      <c r="E480" s="851"/>
      <c r="F480" s="851"/>
      <c r="G480" s="851"/>
      <c r="H480" s="851"/>
      <c r="I480" s="851"/>
      <c r="J480" s="851"/>
      <c r="K480" s="851"/>
      <c r="L480" s="851"/>
      <c r="M480" s="851"/>
      <c r="N480" s="851"/>
      <c r="O480" s="851"/>
      <c r="P480" s="851"/>
      <c r="Q480" s="856">
        <f t="shared" si="124"/>
        <v>0</v>
      </c>
      <c r="R480" s="854"/>
      <c r="S480" s="854"/>
    </row>
    <row r="481" ht="15" spans="3:19">
      <c r="C481" s="296"/>
      <c r="D481" s="296"/>
      <c r="E481" s="851"/>
      <c r="F481" s="851"/>
      <c r="G481" s="851"/>
      <c r="H481" s="851"/>
      <c r="I481" s="851"/>
      <c r="J481" s="851"/>
      <c r="K481" s="851"/>
      <c r="L481" s="851"/>
      <c r="M481" s="851"/>
      <c r="N481" s="851"/>
      <c r="O481" s="851"/>
      <c r="P481" s="851"/>
      <c r="Q481" s="856">
        <f t="shared" si="124"/>
        <v>0</v>
      </c>
      <c r="R481" s="854"/>
      <c r="S481" s="854"/>
    </row>
    <row r="482" ht="15" spans="3:19">
      <c r="C482" s="296"/>
      <c r="D482" s="296"/>
      <c r="E482" s="851"/>
      <c r="F482" s="851"/>
      <c r="G482" s="851"/>
      <c r="H482" s="851"/>
      <c r="I482" s="851"/>
      <c r="J482" s="851"/>
      <c r="K482" s="851"/>
      <c r="L482" s="851"/>
      <c r="M482" s="851"/>
      <c r="N482" s="851"/>
      <c r="O482" s="851"/>
      <c r="P482" s="851"/>
      <c r="Q482" s="856">
        <f t="shared" si="124"/>
        <v>0</v>
      </c>
      <c r="R482" s="854"/>
      <c r="S482" s="854"/>
    </row>
    <row r="483" ht="15" spans="3:19">
      <c r="C483" s="296"/>
      <c r="D483" s="296"/>
      <c r="E483" s="851"/>
      <c r="F483" s="851"/>
      <c r="G483" s="851"/>
      <c r="H483" s="851"/>
      <c r="I483" s="851"/>
      <c r="J483" s="851"/>
      <c r="K483" s="851"/>
      <c r="L483" s="851"/>
      <c r="M483" s="851"/>
      <c r="N483" s="851"/>
      <c r="O483" s="851"/>
      <c r="P483" s="851"/>
      <c r="Q483" s="856">
        <f t="shared" si="124"/>
        <v>0</v>
      </c>
      <c r="R483" s="854"/>
      <c r="S483" s="854"/>
    </row>
    <row r="484" ht="15" spans="3:19">
      <c r="C484" s="296" t="s">
        <v>258</v>
      </c>
      <c r="D484" s="296" t="s">
        <v>258</v>
      </c>
      <c r="E484" s="851"/>
      <c r="F484" s="851"/>
      <c r="G484" s="851"/>
      <c r="H484" s="851"/>
      <c r="I484" s="851"/>
      <c r="J484" s="851"/>
      <c r="K484" s="851"/>
      <c r="L484" s="851"/>
      <c r="M484" s="851"/>
      <c r="N484" s="851"/>
      <c r="O484" s="851"/>
      <c r="P484" s="851"/>
      <c r="Q484" s="856">
        <f t="shared" si="124"/>
        <v>0</v>
      </c>
      <c r="R484" s="854"/>
      <c r="S484" s="854"/>
    </row>
    <row r="485" ht="15" spans="3:19">
      <c r="C485" s="285" t="s">
        <v>211</v>
      </c>
      <c r="D485" s="286"/>
      <c r="E485" s="856">
        <f>SUM(E470:E484)</f>
        <v>0</v>
      </c>
      <c r="F485" s="856">
        <f t="shared" ref="F485:P485" si="126">SUM(F470:F484)</f>
        <v>0</v>
      </c>
      <c r="G485" s="856">
        <f t="shared" si="126"/>
        <v>0</v>
      </c>
      <c r="H485" s="856">
        <f t="shared" si="126"/>
        <v>0</v>
      </c>
      <c r="I485" s="856">
        <f t="shared" si="126"/>
        <v>0</v>
      </c>
      <c r="J485" s="856">
        <f t="shared" si="126"/>
        <v>0</v>
      </c>
      <c r="K485" s="856">
        <f t="shared" si="126"/>
        <v>0</v>
      </c>
      <c r="L485" s="856">
        <f t="shared" si="126"/>
        <v>0</v>
      </c>
      <c r="M485" s="856">
        <f t="shared" si="126"/>
        <v>0</v>
      </c>
      <c r="N485" s="856">
        <f t="shared" si="126"/>
        <v>0</v>
      </c>
      <c r="O485" s="856">
        <f t="shared" si="126"/>
        <v>0</v>
      </c>
      <c r="P485" s="856">
        <f t="shared" si="126"/>
        <v>0</v>
      </c>
      <c r="Q485" s="856">
        <f t="shared" si="124"/>
        <v>0</v>
      </c>
      <c r="R485" s="854"/>
      <c r="S485" s="854"/>
    </row>
    <row r="486" ht="15" spans="3:19">
      <c r="C486" s="285" t="s">
        <v>212</v>
      </c>
      <c r="D486" s="286"/>
      <c r="E486" s="851"/>
      <c r="F486" s="851"/>
      <c r="G486" s="851"/>
      <c r="H486" s="851"/>
      <c r="I486" s="851"/>
      <c r="J486" s="851"/>
      <c r="K486" s="851"/>
      <c r="L486" s="851"/>
      <c r="M486" s="851"/>
      <c r="N486" s="851"/>
      <c r="O486" s="851"/>
      <c r="P486" s="851"/>
      <c r="Q486" s="856"/>
      <c r="R486" s="854"/>
      <c r="S486" s="854"/>
    </row>
    <row r="487" ht="15" spans="3:19">
      <c r="C487" s="296" t="s">
        <v>191</v>
      </c>
      <c r="D487" s="296" t="s">
        <v>192</v>
      </c>
      <c r="E487" s="851"/>
      <c r="F487" s="851"/>
      <c r="G487" s="851"/>
      <c r="H487" s="851"/>
      <c r="I487" s="851"/>
      <c r="J487" s="851"/>
      <c r="K487" s="851"/>
      <c r="L487" s="851"/>
      <c r="M487" s="851"/>
      <c r="N487" s="851"/>
      <c r="O487" s="851"/>
      <c r="P487" s="851"/>
      <c r="Q487" s="856">
        <f t="shared" ref="Q487:Q502" si="127">SUM(E487:P487)</f>
        <v>0</v>
      </c>
      <c r="R487" s="854"/>
      <c r="S487" s="854"/>
    </row>
    <row r="488" ht="15" spans="3:19">
      <c r="C488" s="296" t="s">
        <v>193</v>
      </c>
      <c r="D488" s="296" t="s">
        <v>194</v>
      </c>
      <c r="E488" s="851"/>
      <c r="F488" s="851"/>
      <c r="G488" s="851"/>
      <c r="H488" s="851"/>
      <c r="I488" s="851"/>
      <c r="J488" s="851"/>
      <c r="K488" s="851"/>
      <c r="L488" s="851"/>
      <c r="M488" s="851"/>
      <c r="N488" s="851"/>
      <c r="O488" s="851"/>
      <c r="P488" s="851"/>
      <c r="Q488" s="856">
        <f t="shared" si="127"/>
        <v>0</v>
      </c>
      <c r="R488" s="854"/>
      <c r="S488" s="854"/>
    </row>
    <row r="489" ht="15" spans="3:19">
      <c r="C489" s="296" t="s">
        <v>239</v>
      </c>
      <c r="D489" s="296" t="s">
        <v>196</v>
      </c>
      <c r="E489" s="851"/>
      <c r="F489" s="851"/>
      <c r="G489" s="851"/>
      <c r="H489" s="851"/>
      <c r="I489" s="851"/>
      <c r="J489" s="851"/>
      <c r="K489" s="851"/>
      <c r="L489" s="851"/>
      <c r="M489" s="851"/>
      <c r="N489" s="851"/>
      <c r="O489" s="851"/>
      <c r="P489" s="851"/>
      <c r="Q489" s="856">
        <f t="shared" si="127"/>
        <v>0</v>
      </c>
      <c r="R489" s="854"/>
      <c r="S489" s="854"/>
    </row>
    <row r="490" ht="15" spans="3:19">
      <c r="C490" s="296" t="s">
        <v>197</v>
      </c>
      <c r="D490" s="296" t="s">
        <v>198</v>
      </c>
      <c r="E490" s="851"/>
      <c r="F490" s="851"/>
      <c r="G490" s="851"/>
      <c r="H490" s="851"/>
      <c r="I490" s="851"/>
      <c r="J490" s="851"/>
      <c r="K490" s="851"/>
      <c r="L490" s="851"/>
      <c r="M490" s="851"/>
      <c r="N490" s="851"/>
      <c r="O490" s="851"/>
      <c r="P490" s="851"/>
      <c r="Q490" s="856">
        <f t="shared" si="127"/>
        <v>0</v>
      </c>
      <c r="R490" s="854"/>
      <c r="S490" s="854"/>
    </row>
    <row r="491" ht="15" spans="3:19">
      <c r="C491" s="296" t="s">
        <v>199</v>
      </c>
      <c r="D491" s="296" t="s">
        <v>200</v>
      </c>
      <c r="E491" s="851"/>
      <c r="F491" s="851"/>
      <c r="G491" s="851"/>
      <c r="H491" s="851"/>
      <c r="I491" s="851"/>
      <c r="J491" s="851"/>
      <c r="K491" s="851"/>
      <c r="L491" s="851"/>
      <c r="M491" s="851"/>
      <c r="N491" s="851"/>
      <c r="O491" s="851"/>
      <c r="P491" s="851"/>
      <c r="Q491" s="856">
        <f t="shared" si="127"/>
        <v>0</v>
      </c>
      <c r="R491" s="854"/>
      <c r="S491" s="854"/>
    </row>
    <row r="492" ht="15" spans="3:19">
      <c r="C492" s="296" t="s">
        <v>201</v>
      </c>
      <c r="D492" s="296" t="s">
        <v>202</v>
      </c>
      <c r="E492" s="851"/>
      <c r="F492" s="851"/>
      <c r="G492" s="851"/>
      <c r="H492" s="851"/>
      <c r="I492" s="851"/>
      <c r="J492" s="851"/>
      <c r="K492" s="851"/>
      <c r="L492" s="851"/>
      <c r="M492" s="851"/>
      <c r="N492" s="851"/>
      <c r="O492" s="851"/>
      <c r="P492" s="851"/>
      <c r="Q492" s="856">
        <f t="shared" si="127"/>
        <v>0</v>
      </c>
      <c r="R492" s="854"/>
      <c r="S492" s="854"/>
    </row>
    <row r="493" ht="15" spans="3:19">
      <c r="C493" s="296" t="s">
        <v>203</v>
      </c>
      <c r="D493" s="296" t="s">
        <v>204</v>
      </c>
      <c r="E493" s="851"/>
      <c r="F493" s="851"/>
      <c r="G493" s="851"/>
      <c r="H493" s="851"/>
      <c r="I493" s="851"/>
      <c r="J493" s="851"/>
      <c r="K493" s="851"/>
      <c r="L493" s="851"/>
      <c r="M493" s="851"/>
      <c r="N493" s="851"/>
      <c r="O493" s="851"/>
      <c r="P493" s="851"/>
      <c r="Q493" s="856">
        <f t="shared" si="127"/>
        <v>0</v>
      </c>
      <c r="R493" s="854"/>
      <c r="S493" s="854"/>
    </row>
    <row r="494" ht="15" spans="3:19">
      <c r="C494" s="296" t="s">
        <v>205</v>
      </c>
      <c r="D494" s="296" t="s">
        <v>206</v>
      </c>
      <c r="E494" s="851"/>
      <c r="F494" s="851"/>
      <c r="G494" s="851"/>
      <c r="H494" s="851"/>
      <c r="I494" s="851"/>
      <c r="J494" s="851"/>
      <c r="K494" s="851"/>
      <c r="L494" s="851"/>
      <c r="M494" s="851"/>
      <c r="N494" s="851"/>
      <c r="O494" s="851"/>
      <c r="P494" s="851"/>
      <c r="Q494" s="856">
        <f t="shared" si="127"/>
        <v>0</v>
      </c>
      <c r="R494" s="854"/>
      <c r="S494" s="854"/>
    </row>
    <row r="495" ht="15" spans="3:19">
      <c r="C495" s="296" t="s">
        <v>231</v>
      </c>
      <c r="D495" s="296" t="s">
        <v>186</v>
      </c>
      <c r="E495" s="851"/>
      <c r="F495" s="851"/>
      <c r="G495" s="851"/>
      <c r="H495" s="851"/>
      <c r="I495" s="851"/>
      <c r="J495" s="851"/>
      <c r="K495" s="851"/>
      <c r="L495" s="851"/>
      <c r="M495" s="851"/>
      <c r="N495" s="851"/>
      <c r="O495" s="851"/>
      <c r="P495" s="851"/>
      <c r="Q495" s="856">
        <f t="shared" si="127"/>
        <v>0</v>
      </c>
      <c r="R495" s="854"/>
      <c r="S495" s="854"/>
    </row>
    <row r="496" ht="15" spans="3:19">
      <c r="C496" s="296" t="s">
        <v>208</v>
      </c>
      <c r="D496" s="296" t="s">
        <v>209</v>
      </c>
      <c r="E496" s="851"/>
      <c r="F496" s="851"/>
      <c r="G496" s="851"/>
      <c r="H496" s="851"/>
      <c r="I496" s="851"/>
      <c r="J496" s="851"/>
      <c r="K496" s="851"/>
      <c r="L496" s="851"/>
      <c r="M496" s="851"/>
      <c r="N496" s="851"/>
      <c r="O496" s="851"/>
      <c r="P496" s="851"/>
      <c r="Q496" s="856">
        <f t="shared" si="127"/>
        <v>0</v>
      </c>
      <c r="R496" s="854"/>
      <c r="S496" s="854"/>
    </row>
    <row r="497" ht="15" spans="3:19">
      <c r="C497" s="296" t="s">
        <v>210</v>
      </c>
      <c r="D497" s="296" t="s">
        <v>188</v>
      </c>
      <c r="E497" s="851"/>
      <c r="F497" s="851"/>
      <c r="G497" s="851"/>
      <c r="H497" s="851"/>
      <c r="I497" s="851"/>
      <c r="J497" s="851"/>
      <c r="K497" s="851"/>
      <c r="L497" s="851"/>
      <c r="M497" s="851"/>
      <c r="N497" s="851"/>
      <c r="O497" s="851"/>
      <c r="P497" s="851"/>
      <c r="Q497" s="856">
        <f t="shared" si="127"/>
        <v>0</v>
      </c>
      <c r="R497" s="854"/>
      <c r="S497" s="854"/>
    </row>
    <row r="498" ht="15" spans="3:19">
      <c r="C498" s="296"/>
      <c r="D498" s="296"/>
      <c r="E498" s="851"/>
      <c r="F498" s="851"/>
      <c r="G498" s="851"/>
      <c r="H498" s="851"/>
      <c r="I498" s="851"/>
      <c r="J498" s="851"/>
      <c r="K498" s="851"/>
      <c r="L498" s="851"/>
      <c r="M498" s="851"/>
      <c r="N498" s="851"/>
      <c r="O498" s="851"/>
      <c r="P498" s="851"/>
      <c r="Q498" s="856">
        <f t="shared" si="127"/>
        <v>0</v>
      </c>
      <c r="R498" s="854"/>
      <c r="S498" s="854"/>
    </row>
    <row r="499" ht="15" spans="3:19">
      <c r="C499" s="296"/>
      <c r="D499" s="296"/>
      <c r="E499" s="851"/>
      <c r="F499" s="851"/>
      <c r="G499" s="851"/>
      <c r="H499" s="851"/>
      <c r="I499" s="851"/>
      <c r="J499" s="851"/>
      <c r="K499" s="851"/>
      <c r="L499" s="851"/>
      <c r="M499" s="851"/>
      <c r="N499" s="851"/>
      <c r="O499" s="851"/>
      <c r="P499" s="851"/>
      <c r="Q499" s="856">
        <f t="shared" si="127"/>
        <v>0</v>
      </c>
      <c r="R499" s="854"/>
      <c r="S499" s="854"/>
    </row>
    <row r="500" ht="15" spans="3:19">
      <c r="C500" s="296"/>
      <c r="D500" s="296"/>
      <c r="E500" s="851"/>
      <c r="F500" s="851"/>
      <c r="G500" s="851"/>
      <c r="H500" s="851"/>
      <c r="I500" s="851"/>
      <c r="J500" s="851"/>
      <c r="K500" s="851"/>
      <c r="L500" s="851"/>
      <c r="M500" s="851"/>
      <c r="N500" s="851"/>
      <c r="O500" s="851"/>
      <c r="P500" s="851"/>
      <c r="Q500" s="856">
        <f t="shared" si="127"/>
        <v>0</v>
      </c>
      <c r="R500" s="854"/>
      <c r="S500" s="854"/>
    </row>
    <row r="501" ht="15" spans="3:19">
      <c r="C501" s="296" t="s">
        <v>258</v>
      </c>
      <c r="D501" s="296" t="s">
        <v>258</v>
      </c>
      <c r="E501" s="851"/>
      <c r="F501" s="851"/>
      <c r="G501" s="851"/>
      <c r="H501" s="851"/>
      <c r="I501" s="851"/>
      <c r="J501" s="851"/>
      <c r="K501" s="851"/>
      <c r="L501" s="851"/>
      <c r="M501" s="851"/>
      <c r="N501" s="851"/>
      <c r="O501" s="851"/>
      <c r="P501" s="851"/>
      <c r="Q501" s="856">
        <f t="shared" si="127"/>
        <v>0</v>
      </c>
      <c r="R501" s="854"/>
      <c r="S501" s="854"/>
    </row>
    <row r="502" ht="15" spans="3:19">
      <c r="C502" s="285" t="s">
        <v>211</v>
      </c>
      <c r="D502" s="286"/>
      <c r="E502" s="856">
        <f t="shared" ref="E502:P502" si="128">SUM(E487:E501)</f>
        <v>0</v>
      </c>
      <c r="F502" s="856">
        <f t="shared" si="128"/>
        <v>0</v>
      </c>
      <c r="G502" s="856">
        <f t="shared" si="128"/>
        <v>0</v>
      </c>
      <c r="H502" s="856">
        <f t="shared" si="128"/>
        <v>0</v>
      </c>
      <c r="I502" s="856">
        <f t="shared" si="128"/>
        <v>0</v>
      </c>
      <c r="J502" s="856">
        <f t="shared" si="128"/>
        <v>0</v>
      </c>
      <c r="K502" s="856">
        <f t="shared" si="128"/>
        <v>0</v>
      </c>
      <c r="L502" s="856">
        <f t="shared" si="128"/>
        <v>0</v>
      </c>
      <c r="M502" s="856">
        <f t="shared" si="128"/>
        <v>0</v>
      </c>
      <c r="N502" s="856">
        <f t="shared" si="128"/>
        <v>0</v>
      </c>
      <c r="O502" s="856">
        <f t="shared" si="128"/>
        <v>0</v>
      </c>
      <c r="P502" s="856">
        <f t="shared" si="128"/>
        <v>0</v>
      </c>
      <c r="Q502" s="856">
        <f t="shared" si="127"/>
        <v>0</v>
      </c>
      <c r="R502" s="854"/>
      <c r="S502" s="854"/>
    </row>
    <row r="503" ht="15" spans="3:19">
      <c r="C503" s="285" t="s">
        <v>219</v>
      </c>
      <c r="D503" s="286"/>
      <c r="E503" s="851"/>
      <c r="F503" s="851"/>
      <c r="G503" s="851"/>
      <c r="H503" s="851"/>
      <c r="I503" s="851"/>
      <c r="J503" s="851"/>
      <c r="K503" s="851"/>
      <c r="L503" s="851"/>
      <c r="M503" s="851"/>
      <c r="N503" s="851"/>
      <c r="O503" s="851"/>
      <c r="P503" s="851"/>
      <c r="Q503" s="856"/>
      <c r="R503" s="854"/>
      <c r="S503" s="854"/>
    </row>
    <row r="504" ht="15" spans="3:19">
      <c r="C504" s="296" t="s">
        <v>191</v>
      </c>
      <c r="D504" s="296" t="s">
        <v>192</v>
      </c>
      <c r="E504" s="851"/>
      <c r="F504" s="851"/>
      <c r="G504" s="851"/>
      <c r="H504" s="851"/>
      <c r="I504" s="851"/>
      <c r="J504" s="851"/>
      <c r="K504" s="851"/>
      <c r="L504" s="851"/>
      <c r="M504" s="851"/>
      <c r="N504" s="851"/>
      <c r="O504" s="851"/>
      <c r="P504" s="851"/>
      <c r="Q504" s="856">
        <f t="shared" ref="Q504:Q523" si="129">SUM(E504:P504)</f>
        <v>0</v>
      </c>
      <c r="R504" s="854"/>
      <c r="S504" s="854"/>
    </row>
    <row r="505" ht="15" spans="3:19">
      <c r="C505" s="296" t="s">
        <v>193</v>
      </c>
      <c r="D505" s="296" t="s">
        <v>194</v>
      </c>
      <c r="E505" s="851"/>
      <c r="F505" s="851"/>
      <c r="G505" s="851"/>
      <c r="H505" s="851"/>
      <c r="I505" s="851"/>
      <c r="J505" s="851"/>
      <c r="K505" s="851"/>
      <c r="L505" s="851"/>
      <c r="M505" s="851"/>
      <c r="N505" s="851"/>
      <c r="O505" s="851"/>
      <c r="P505" s="851"/>
      <c r="Q505" s="856">
        <f t="shared" si="129"/>
        <v>0</v>
      </c>
      <c r="R505" s="854"/>
      <c r="S505" s="854"/>
    </row>
    <row r="506" ht="15" spans="3:19">
      <c r="C506" s="296" t="s">
        <v>239</v>
      </c>
      <c r="D506" s="296" t="s">
        <v>196</v>
      </c>
      <c r="E506" s="851"/>
      <c r="F506" s="851"/>
      <c r="G506" s="851"/>
      <c r="H506" s="851"/>
      <c r="I506" s="851"/>
      <c r="J506" s="851"/>
      <c r="K506" s="851"/>
      <c r="L506" s="851"/>
      <c r="M506" s="851"/>
      <c r="N506" s="851"/>
      <c r="O506" s="851"/>
      <c r="P506" s="851"/>
      <c r="Q506" s="856">
        <f t="shared" si="129"/>
        <v>0</v>
      </c>
      <c r="R506" s="854"/>
      <c r="S506" s="854"/>
    </row>
    <row r="507" ht="15" spans="3:19">
      <c r="C507" s="296" t="s">
        <v>197</v>
      </c>
      <c r="D507" s="296" t="s">
        <v>198</v>
      </c>
      <c r="E507" s="851"/>
      <c r="F507" s="851"/>
      <c r="G507" s="851"/>
      <c r="H507" s="851"/>
      <c r="I507" s="851"/>
      <c r="J507" s="851"/>
      <c r="K507" s="851"/>
      <c r="L507" s="851"/>
      <c r="M507" s="851"/>
      <c r="N507" s="851"/>
      <c r="O507" s="851"/>
      <c r="P507" s="851"/>
      <c r="Q507" s="856">
        <f t="shared" si="129"/>
        <v>0</v>
      </c>
      <c r="R507" s="854"/>
      <c r="S507" s="854"/>
    </row>
    <row r="508" ht="15" spans="3:19">
      <c r="C508" s="296" t="s">
        <v>199</v>
      </c>
      <c r="D508" s="296" t="s">
        <v>200</v>
      </c>
      <c r="E508" s="851"/>
      <c r="F508" s="851"/>
      <c r="G508" s="851"/>
      <c r="H508" s="851"/>
      <c r="I508" s="851"/>
      <c r="J508" s="851"/>
      <c r="K508" s="851"/>
      <c r="L508" s="851"/>
      <c r="M508" s="851"/>
      <c r="N508" s="851"/>
      <c r="O508" s="851"/>
      <c r="P508" s="851"/>
      <c r="Q508" s="856">
        <f t="shared" si="129"/>
        <v>0</v>
      </c>
      <c r="R508" s="854"/>
      <c r="S508" s="854"/>
    </row>
    <row r="509" ht="15" spans="3:19">
      <c r="C509" s="296" t="s">
        <v>201</v>
      </c>
      <c r="D509" s="296" t="s">
        <v>240</v>
      </c>
      <c r="E509" s="851"/>
      <c r="F509" s="851"/>
      <c r="G509" s="851"/>
      <c r="H509" s="851"/>
      <c r="I509" s="851"/>
      <c r="J509" s="851"/>
      <c r="K509" s="851"/>
      <c r="L509" s="851"/>
      <c r="M509" s="851"/>
      <c r="N509" s="851"/>
      <c r="O509" s="851"/>
      <c r="P509" s="851"/>
      <c r="Q509" s="856">
        <f t="shared" si="129"/>
        <v>0</v>
      </c>
      <c r="R509" s="854"/>
      <c r="S509" s="854"/>
    </row>
    <row r="510" ht="15" spans="3:19">
      <c r="C510" s="296" t="s">
        <v>203</v>
      </c>
      <c r="D510" s="296" t="s">
        <v>220</v>
      </c>
      <c r="E510" s="851"/>
      <c r="F510" s="851"/>
      <c r="G510" s="851"/>
      <c r="H510" s="851"/>
      <c r="I510" s="851"/>
      <c r="J510" s="851"/>
      <c r="K510" s="851"/>
      <c r="L510" s="851"/>
      <c r="M510" s="851"/>
      <c r="N510" s="851"/>
      <c r="O510" s="851"/>
      <c r="P510" s="851"/>
      <c r="Q510" s="856">
        <f t="shared" si="129"/>
        <v>0</v>
      </c>
      <c r="R510" s="854"/>
      <c r="S510" s="854"/>
    </row>
    <row r="511" ht="15" spans="3:19">
      <c r="C511" s="296" t="s">
        <v>241</v>
      </c>
      <c r="D511" s="296" t="s">
        <v>229</v>
      </c>
      <c r="E511" s="851"/>
      <c r="F511" s="851"/>
      <c r="G511" s="851"/>
      <c r="H511" s="851"/>
      <c r="I511" s="851"/>
      <c r="J511" s="851"/>
      <c r="K511" s="851"/>
      <c r="L511" s="851"/>
      <c r="M511" s="851"/>
      <c r="N511" s="851"/>
      <c r="O511" s="851"/>
      <c r="P511" s="851"/>
      <c r="Q511" s="856">
        <f t="shared" si="129"/>
        <v>0</v>
      </c>
      <c r="R511" s="854"/>
      <c r="S511" s="854"/>
    </row>
    <row r="512" ht="15" spans="3:19">
      <c r="C512" s="296" t="s">
        <v>259</v>
      </c>
      <c r="D512" s="296" t="s">
        <v>243</v>
      </c>
      <c r="E512" s="851"/>
      <c r="F512" s="851"/>
      <c r="G512" s="851"/>
      <c r="H512" s="851"/>
      <c r="I512" s="851"/>
      <c r="J512" s="851"/>
      <c r="K512" s="851"/>
      <c r="L512" s="851"/>
      <c r="M512" s="851"/>
      <c r="N512" s="851"/>
      <c r="O512" s="851"/>
      <c r="P512" s="851"/>
      <c r="Q512" s="856">
        <f t="shared" si="129"/>
        <v>0</v>
      </c>
      <c r="R512" s="854"/>
      <c r="S512" s="854"/>
    </row>
    <row r="513" ht="15" spans="3:19">
      <c r="C513" s="296" t="s">
        <v>205</v>
      </c>
      <c r="D513" s="296" t="s">
        <v>206</v>
      </c>
      <c r="E513" s="851"/>
      <c r="F513" s="851"/>
      <c r="G513" s="851"/>
      <c r="H513" s="851"/>
      <c r="I513" s="851"/>
      <c r="J513" s="851"/>
      <c r="K513" s="851"/>
      <c r="L513" s="851"/>
      <c r="M513" s="851"/>
      <c r="N513" s="851"/>
      <c r="O513" s="851"/>
      <c r="P513" s="851"/>
      <c r="Q513" s="856">
        <f t="shared" si="129"/>
        <v>0</v>
      </c>
      <c r="R513" s="854"/>
      <c r="S513" s="854"/>
    </row>
    <row r="514" ht="15" spans="3:19">
      <c r="C514" s="296" t="s">
        <v>207</v>
      </c>
      <c r="D514" s="296" t="s">
        <v>186</v>
      </c>
      <c r="E514" s="851"/>
      <c r="F514" s="851"/>
      <c r="G514" s="851"/>
      <c r="H514" s="851"/>
      <c r="I514" s="851"/>
      <c r="J514" s="851"/>
      <c r="K514" s="851"/>
      <c r="L514" s="851"/>
      <c r="M514" s="851"/>
      <c r="N514" s="851"/>
      <c r="O514" s="851"/>
      <c r="P514" s="851"/>
      <c r="Q514" s="856">
        <f t="shared" si="129"/>
        <v>0</v>
      </c>
      <c r="R514" s="854"/>
      <c r="S514" s="854"/>
    </row>
    <row r="515" ht="15" spans="3:19">
      <c r="C515" s="296" t="s">
        <v>208</v>
      </c>
      <c r="D515" s="296" t="s">
        <v>209</v>
      </c>
      <c r="E515" s="851"/>
      <c r="F515" s="851"/>
      <c r="G515" s="851"/>
      <c r="H515" s="851"/>
      <c r="I515" s="851"/>
      <c r="J515" s="851"/>
      <c r="K515" s="851"/>
      <c r="L515" s="851"/>
      <c r="M515" s="851"/>
      <c r="N515" s="851"/>
      <c r="O515" s="851"/>
      <c r="P515" s="851"/>
      <c r="Q515" s="856">
        <f t="shared" si="129"/>
        <v>0</v>
      </c>
      <c r="R515" s="854"/>
      <c r="S515" s="854"/>
    </row>
    <row r="516" ht="15" spans="3:19">
      <c r="C516" s="296" t="s">
        <v>210</v>
      </c>
      <c r="D516" s="296" t="s">
        <v>188</v>
      </c>
      <c r="E516" s="851"/>
      <c r="F516" s="851"/>
      <c r="G516" s="851"/>
      <c r="H516" s="851"/>
      <c r="I516" s="851"/>
      <c r="J516" s="851"/>
      <c r="K516" s="851"/>
      <c r="L516" s="851"/>
      <c r="M516" s="851"/>
      <c r="N516" s="851"/>
      <c r="O516" s="851"/>
      <c r="P516" s="851"/>
      <c r="Q516" s="856">
        <f t="shared" si="129"/>
        <v>0</v>
      </c>
      <c r="R516" s="854"/>
      <c r="S516" s="854"/>
    </row>
    <row r="517" ht="15" spans="3:19">
      <c r="C517" s="296"/>
      <c r="D517" s="296"/>
      <c r="E517" s="851"/>
      <c r="F517" s="851"/>
      <c r="G517" s="851"/>
      <c r="H517" s="851"/>
      <c r="I517" s="851"/>
      <c r="J517" s="851"/>
      <c r="K517" s="851"/>
      <c r="L517" s="851"/>
      <c r="M517" s="851"/>
      <c r="N517" s="851"/>
      <c r="O517" s="851"/>
      <c r="P517" s="851"/>
      <c r="Q517" s="856">
        <f t="shared" si="129"/>
        <v>0</v>
      </c>
      <c r="R517" s="854"/>
      <c r="S517" s="854"/>
    </row>
    <row r="518" ht="15" spans="3:19">
      <c r="C518" s="296"/>
      <c r="D518" s="296"/>
      <c r="E518" s="851"/>
      <c r="F518" s="851"/>
      <c r="G518" s="851"/>
      <c r="H518" s="851"/>
      <c r="I518" s="851"/>
      <c r="J518" s="851"/>
      <c r="K518" s="851"/>
      <c r="L518" s="851"/>
      <c r="M518" s="851"/>
      <c r="N518" s="851"/>
      <c r="O518" s="851"/>
      <c r="P518" s="851"/>
      <c r="Q518" s="856">
        <f t="shared" si="129"/>
        <v>0</v>
      </c>
      <c r="R518" s="854"/>
      <c r="S518" s="854"/>
    </row>
    <row r="519" ht="15" spans="3:19">
      <c r="C519" s="296"/>
      <c r="D519" s="296"/>
      <c r="E519" s="851"/>
      <c r="F519" s="851"/>
      <c r="G519" s="851"/>
      <c r="H519" s="851"/>
      <c r="I519" s="851"/>
      <c r="J519" s="851"/>
      <c r="K519" s="851"/>
      <c r="L519" s="851"/>
      <c r="M519" s="851"/>
      <c r="N519" s="851"/>
      <c r="O519" s="851"/>
      <c r="P519" s="851"/>
      <c r="Q519" s="856">
        <f t="shared" si="129"/>
        <v>0</v>
      </c>
      <c r="R519" s="854"/>
      <c r="S519" s="854"/>
    </row>
    <row r="520" ht="15" spans="3:19">
      <c r="C520" s="296" t="s">
        <v>258</v>
      </c>
      <c r="D520" s="296" t="s">
        <v>258</v>
      </c>
      <c r="E520" s="851"/>
      <c r="F520" s="851"/>
      <c r="G520" s="851"/>
      <c r="H520" s="851"/>
      <c r="I520" s="851"/>
      <c r="J520" s="851"/>
      <c r="K520" s="851"/>
      <c r="L520" s="851"/>
      <c r="M520" s="851"/>
      <c r="N520" s="851"/>
      <c r="O520" s="851"/>
      <c r="P520" s="851"/>
      <c r="Q520" s="856">
        <f t="shared" si="129"/>
        <v>0</v>
      </c>
      <c r="R520" s="854"/>
      <c r="S520" s="854"/>
    </row>
    <row r="521" ht="15" spans="3:19">
      <c r="C521" s="285" t="s">
        <v>211</v>
      </c>
      <c r="D521" s="286"/>
      <c r="E521" s="856">
        <f t="shared" ref="E521:P521" si="130">SUM(E504:E520)</f>
        <v>0</v>
      </c>
      <c r="F521" s="856">
        <f t="shared" si="130"/>
        <v>0</v>
      </c>
      <c r="G521" s="856">
        <f t="shared" si="130"/>
        <v>0</v>
      </c>
      <c r="H521" s="856">
        <f t="shared" si="130"/>
        <v>0</v>
      </c>
      <c r="I521" s="856">
        <f t="shared" si="130"/>
        <v>0</v>
      </c>
      <c r="J521" s="856">
        <f t="shared" si="130"/>
        <v>0</v>
      </c>
      <c r="K521" s="856">
        <f t="shared" si="130"/>
        <v>0</v>
      </c>
      <c r="L521" s="856">
        <f t="shared" si="130"/>
        <v>0</v>
      </c>
      <c r="M521" s="856">
        <f t="shared" si="130"/>
        <v>0</v>
      </c>
      <c r="N521" s="856">
        <f t="shared" si="130"/>
        <v>0</v>
      </c>
      <c r="O521" s="856">
        <f t="shared" si="130"/>
        <v>0</v>
      </c>
      <c r="P521" s="856">
        <f t="shared" si="130"/>
        <v>0</v>
      </c>
      <c r="Q521" s="856">
        <f t="shared" si="129"/>
        <v>0</v>
      </c>
      <c r="R521" s="854"/>
      <c r="S521" s="854"/>
    </row>
    <row r="522" ht="15" spans="3:19">
      <c r="C522" s="285" t="s">
        <v>223</v>
      </c>
      <c r="D522" s="286"/>
      <c r="E522" s="856">
        <f t="shared" ref="E522:P522" si="131">E521+E502+E485</f>
        <v>0</v>
      </c>
      <c r="F522" s="856">
        <f t="shared" si="131"/>
        <v>0</v>
      </c>
      <c r="G522" s="856">
        <f t="shared" si="131"/>
        <v>0</v>
      </c>
      <c r="H522" s="856">
        <f t="shared" si="131"/>
        <v>0</v>
      </c>
      <c r="I522" s="856">
        <f t="shared" si="131"/>
        <v>0</v>
      </c>
      <c r="J522" s="856">
        <f t="shared" si="131"/>
        <v>0</v>
      </c>
      <c r="K522" s="856">
        <f t="shared" si="131"/>
        <v>0</v>
      </c>
      <c r="L522" s="856">
        <f t="shared" si="131"/>
        <v>0</v>
      </c>
      <c r="M522" s="856">
        <f t="shared" si="131"/>
        <v>0</v>
      </c>
      <c r="N522" s="856">
        <f t="shared" si="131"/>
        <v>0</v>
      </c>
      <c r="O522" s="856">
        <f t="shared" si="131"/>
        <v>0</v>
      </c>
      <c r="P522" s="856">
        <f t="shared" si="131"/>
        <v>0</v>
      </c>
      <c r="Q522" s="856">
        <f t="shared" si="129"/>
        <v>0</v>
      </c>
      <c r="R522" s="854"/>
      <c r="S522" s="854"/>
    </row>
    <row r="523" ht="15" spans="3:19">
      <c r="C523" s="285" t="s">
        <v>224</v>
      </c>
      <c r="D523" s="286"/>
      <c r="E523" s="856">
        <f t="shared" ref="E523:P523" si="132">E522+E468</f>
        <v>1150.06094179262</v>
      </c>
      <c r="F523" s="856">
        <f t="shared" si="132"/>
        <v>535.134849879363</v>
      </c>
      <c r="G523" s="856">
        <f t="shared" si="132"/>
        <v>638.256395747589</v>
      </c>
      <c r="H523" s="856">
        <f t="shared" si="132"/>
        <v>1161.5783215538</v>
      </c>
      <c r="I523" s="856">
        <f t="shared" si="132"/>
        <v>1382.56638064665</v>
      </c>
      <c r="J523" s="856">
        <f t="shared" si="132"/>
        <v>1148.16</v>
      </c>
      <c r="K523" s="856">
        <f t="shared" si="132"/>
        <v>1989.28604403335</v>
      </c>
      <c r="L523" s="856">
        <f t="shared" si="132"/>
        <v>922.919240345036</v>
      </c>
      <c r="M523" s="856">
        <f t="shared" si="132"/>
        <v>1307.84063403001</v>
      </c>
      <c r="N523" s="856">
        <f t="shared" si="132"/>
        <v>1820.14773444619</v>
      </c>
      <c r="O523" s="856">
        <f t="shared" si="132"/>
        <v>2061.27626924046</v>
      </c>
      <c r="P523" s="856">
        <f t="shared" si="132"/>
        <v>2282.97677360365</v>
      </c>
      <c r="Q523" s="856">
        <f t="shared" si="129"/>
        <v>16400.2035853187</v>
      </c>
      <c r="R523" s="854"/>
      <c r="S523" s="854"/>
    </row>
    <row r="524" spans="5:19">
      <c r="E524" s="854"/>
      <c r="F524" s="854"/>
      <c r="G524" s="854"/>
      <c r="H524" s="854"/>
      <c r="I524" s="854"/>
      <c r="J524" s="854"/>
      <c r="K524" s="854"/>
      <c r="L524" s="854"/>
      <c r="M524" s="854"/>
      <c r="N524" s="854"/>
      <c r="O524" s="854"/>
      <c r="P524" s="854"/>
      <c r="Q524" s="854"/>
      <c r="R524" s="854"/>
      <c r="S524" s="854"/>
    </row>
    <row r="525" ht="15" spans="3:19">
      <c r="C525" s="369"/>
      <c r="E525" s="854"/>
      <c r="F525" s="854"/>
      <c r="G525" s="854"/>
      <c r="H525" s="854"/>
      <c r="I525" s="854"/>
      <c r="J525" s="854"/>
      <c r="K525" s="854"/>
      <c r="L525" s="854"/>
      <c r="M525" s="854"/>
      <c r="N525" s="854"/>
      <c r="O525" s="854"/>
      <c r="P525" s="854"/>
      <c r="Q525" s="857" t="s">
        <v>236</v>
      </c>
      <c r="R525" s="854"/>
      <c r="S525" s="854"/>
    </row>
    <row r="526" ht="15" spans="3:19">
      <c r="C526" s="401" t="s">
        <v>159</v>
      </c>
      <c r="D526" s="401"/>
      <c r="E526" s="855" t="s">
        <v>264</v>
      </c>
      <c r="F526" s="855"/>
      <c r="G526" s="855"/>
      <c r="H526" s="855"/>
      <c r="I526" s="855"/>
      <c r="J526" s="855"/>
      <c r="K526" s="855"/>
      <c r="L526" s="855"/>
      <c r="M526" s="855"/>
      <c r="N526" s="855"/>
      <c r="O526" s="855"/>
      <c r="P526" s="855"/>
      <c r="Q526" s="855"/>
      <c r="R526" s="854"/>
      <c r="S526" s="854"/>
    </row>
    <row r="527" ht="15" spans="3:19">
      <c r="C527" s="401"/>
      <c r="D527" s="401"/>
      <c r="E527" s="855" t="s">
        <v>246</v>
      </c>
      <c r="F527" s="855" t="s">
        <v>247</v>
      </c>
      <c r="G527" s="855" t="s">
        <v>248</v>
      </c>
      <c r="H527" s="855" t="s">
        <v>249</v>
      </c>
      <c r="I527" s="855" t="s">
        <v>250</v>
      </c>
      <c r="J527" s="855" t="s">
        <v>251</v>
      </c>
      <c r="K527" s="855" t="s">
        <v>252</v>
      </c>
      <c r="L527" s="855" t="s">
        <v>253</v>
      </c>
      <c r="M527" s="855" t="s">
        <v>254</v>
      </c>
      <c r="N527" s="855" t="s">
        <v>255</v>
      </c>
      <c r="O527" s="855" t="s">
        <v>256</v>
      </c>
      <c r="P527" s="855" t="s">
        <v>257</v>
      </c>
      <c r="Q527" s="855" t="s">
        <v>97</v>
      </c>
      <c r="R527" s="854"/>
      <c r="S527" s="854"/>
    </row>
    <row r="528" ht="15" spans="3:19">
      <c r="C528" s="285" t="s">
        <v>170</v>
      </c>
      <c r="D528" s="286"/>
      <c r="E528" s="851"/>
      <c r="F528" s="851"/>
      <c r="G528" s="851"/>
      <c r="H528" s="851"/>
      <c r="I528" s="851"/>
      <c r="J528" s="851"/>
      <c r="K528" s="851"/>
      <c r="L528" s="851"/>
      <c r="M528" s="851"/>
      <c r="N528" s="851"/>
      <c r="O528" s="851"/>
      <c r="P528" s="851"/>
      <c r="Q528" s="856"/>
      <c r="R528" s="854"/>
      <c r="S528" s="854"/>
    </row>
    <row r="529" ht="15" spans="3:19">
      <c r="C529" s="296" t="s">
        <v>171</v>
      </c>
      <c r="D529" s="296" t="s">
        <v>172</v>
      </c>
      <c r="E529" s="851"/>
      <c r="F529" s="851"/>
      <c r="G529" s="851"/>
      <c r="H529" s="851"/>
      <c r="I529" s="851"/>
      <c r="J529" s="851"/>
      <c r="K529" s="851"/>
      <c r="L529" s="851"/>
      <c r="M529" s="851"/>
      <c r="N529" s="851"/>
      <c r="O529" s="851"/>
      <c r="P529" s="851"/>
      <c r="Q529" s="856">
        <f t="shared" ref="Q529:Q542" si="133">SUM(E529:P529)</f>
        <v>0</v>
      </c>
      <c r="R529" s="854"/>
      <c r="S529" s="854"/>
    </row>
    <row r="530" ht="15" spans="3:19">
      <c r="C530" s="296" t="s">
        <v>173</v>
      </c>
      <c r="D530" s="296" t="s">
        <v>174</v>
      </c>
      <c r="E530" s="851"/>
      <c r="F530" s="851"/>
      <c r="G530" s="851"/>
      <c r="H530" s="851"/>
      <c r="I530" s="851"/>
      <c r="J530" s="851"/>
      <c r="K530" s="851"/>
      <c r="L530" s="851"/>
      <c r="M530" s="851"/>
      <c r="N530" s="851"/>
      <c r="O530" s="851"/>
      <c r="P530" s="851"/>
      <c r="Q530" s="856">
        <f t="shared" si="133"/>
        <v>0</v>
      </c>
      <c r="R530" s="854"/>
      <c r="S530" s="854"/>
    </row>
    <row r="531" ht="15" spans="3:19">
      <c r="C531" s="296" t="s">
        <v>175</v>
      </c>
      <c r="D531" s="296" t="s">
        <v>176</v>
      </c>
      <c r="E531" s="851"/>
      <c r="F531" s="851"/>
      <c r="G531" s="851"/>
      <c r="H531" s="851"/>
      <c r="I531" s="851"/>
      <c r="J531" s="851"/>
      <c r="K531" s="851"/>
      <c r="L531" s="851"/>
      <c r="M531" s="851"/>
      <c r="N531" s="851"/>
      <c r="O531" s="851"/>
      <c r="P531" s="851"/>
      <c r="Q531" s="856">
        <f t="shared" si="133"/>
        <v>0</v>
      </c>
      <c r="R531" s="854"/>
      <c r="S531" s="854"/>
    </row>
    <row r="532" ht="15" spans="3:19">
      <c r="C532" s="296" t="s">
        <v>177</v>
      </c>
      <c r="D532" s="296" t="s">
        <v>178</v>
      </c>
      <c r="E532" s="851"/>
      <c r="F532" s="851"/>
      <c r="G532" s="851"/>
      <c r="H532" s="851"/>
      <c r="I532" s="851"/>
      <c r="J532" s="851"/>
      <c r="K532" s="851"/>
      <c r="L532" s="851"/>
      <c r="M532" s="851"/>
      <c r="N532" s="851"/>
      <c r="O532" s="851"/>
      <c r="P532" s="851"/>
      <c r="Q532" s="856">
        <f t="shared" si="133"/>
        <v>0</v>
      </c>
      <c r="R532" s="854"/>
      <c r="S532" s="854"/>
    </row>
    <row r="533" ht="15" spans="3:19">
      <c r="C533" s="296" t="s">
        <v>179</v>
      </c>
      <c r="D533" s="296" t="s">
        <v>180</v>
      </c>
      <c r="E533" s="851">
        <f>[18]Sales_SP!GU46</f>
        <v>1200.81612799791</v>
      </c>
      <c r="F533" s="851">
        <f>[18]Sales_SP!GV46</f>
        <v>558.751745265995</v>
      </c>
      <c r="G533" s="851">
        <f>[18]Sales_SP!GW46</f>
        <v>666.42431366887</v>
      </c>
      <c r="H533" s="851">
        <f>[18]Sales_SP!GX46</f>
        <v>1212.84179974009</v>
      </c>
      <c r="I533" s="851">
        <f>[18]Sales_SP!GY46</f>
        <v>1443.58263773431</v>
      </c>
      <c r="J533" s="851">
        <f>[18]Sales_SP!GZ46</f>
        <v>1198.83129269048</v>
      </c>
      <c r="K533" s="851">
        <f>[18]Sales_SP!HA46</f>
        <v>2077.07842086438</v>
      </c>
      <c r="L533" s="851">
        <f>[18]Sales_SP!HB46</f>
        <v>963.6500713766</v>
      </c>
      <c r="M533" s="851">
        <f>[18]Sales_SP!HC46</f>
        <v>1365.55904919814</v>
      </c>
      <c r="N533" s="851">
        <f>[18]Sales_SP!HD46</f>
        <v>1900.47559693229</v>
      </c>
      <c r="O533" s="851">
        <f>[18]Sales_SP!HE46</f>
        <v>2152.24576230295</v>
      </c>
      <c r="P533" s="851">
        <f>[18]Sales_SP!HF46</f>
        <v>2383.73048763379</v>
      </c>
      <c r="Q533" s="856">
        <f t="shared" si="133"/>
        <v>17123.9873054058</v>
      </c>
      <c r="R533" s="854"/>
      <c r="S533" s="854"/>
    </row>
    <row r="534" ht="15" spans="3:19">
      <c r="C534" s="296" t="s">
        <v>181</v>
      </c>
      <c r="D534" s="296" t="s">
        <v>182</v>
      </c>
      <c r="E534" s="851"/>
      <c r="F534" s="851"/>
      <c r="G534" s="851"/>
      <c r="H534" s="851"/>
      <c r="I534" s="851"/>
      <c r="J534" s="851"/>
      <c r="K534" s="851"/>
      <c r="L534" s="851"/>
      <c r="M534" s="851"/>
      <c r="N534" s="851"/>
      <c r="O534" s="851"/>
      <c r="P534" s="851"/>
      <c r="Q534" s="856">
        <f t="shared" si="133"/>
        <v>0</v>
      </c>
      <c r="R534" s="854"/>
      <c r="S534" s="854"/>
    </row>
    <row r="535" ht="15" spans="3:19">
      <c r="C535" s="296" t="s">
        <v>183</v>
      </c>
      <c r="D535" s="296" t="s">
        <v>184</v>
      </c>
      <c r="E535" s="851"/>
      <c r="F535" s="851"/>
      <c r="G535" s="851"/>
      <c r="H535" s="851"/>
      <c r="I535" s="851"/>
      <c r="J535" s="851"/>
      <c r="K535" s="851"/>
      <c r="L535" s="851"/>
      <c r="M535" s="851"/>
      <c r="N535" s="851"/>
      <c r="O535" s="851"/>
      <c r="P535" s="851"/>
      <c r="Q535" s="856">
        <f t="shared" si="133"/>
        <v>0</v>
      </c>
      <c r="R535" s="854"/>
      <c r="S535" s="854"/>
    </row>
    <row r="536" ht="15" spans="3:19">
      <c r="C536" s="296" t="s">
        <v>185</v>
      </c>
      <c r="D536" s="296" t="s">
        <v>186</v>
      </c>
      <c r="E536" s="851"/>
      <c r="F536" s="851"/>
      <c r="G536" s="851"/>
      <c r="H536" s="851"/>
      <c r="I536" s="851"/>
      <c r="J536" s="851"/>
      <c r="K536" s="851"/>
      <c r="L536" s="851"/>
      <c r="M536" s="851"/>
      <c r="N536" s="851"/>
      <c r="O536" s="851"/>
      <c r="P536" s="851"/>
      <c r="Q536" s="856">
        <f t="shared" si="133"/>
        <v>0</v>
      </c>
      <c r="R536" s="854"/>
      <c r="S536" s="854"/>
    </row>
    <row r="537" ht="15" spans="3:19">
      <c r="C537" s="296" t="s">
        <v>187</v>
      </c>
      <c r="D537" s="296" t="s">
        <v>188</v>
      </c>
      <c r="E537" s="851"/>
      <c r="F537" s="851"/>
      <c r="G537" s="851"/>
      <c r="H537" s="851"/>
      <c r="I537" s="851"/>
      <c r="J537" s="851"/>
      <c r="K537" s="851"/>
      <c r="L537" s="851"/>
      <c r="M537" s="851"/>
      <c r="N537" s="851"/>
      <c r="O537" s="851"/>
      <c r="P537" s="851"/>
      <c r="Q537" s="856">
        <f t="shared" si="133"/>
        <v>0</v>
      </c>
      <c r="R537" s="854"/>
      <c r="S537" s="854"/>
    </row>
    <row r="538" ht="15" spans="3:19">
      <c r="C538" s="296"/>
      <c r="D538" s="296"/>
      <c r="E538" s="851"/>
      <c r="F538" s="851"/>
      <c r="G538" s="851"/>
      <c r="H538" s="851"/>
      <c r="I538" s="851"/>
      <c r="J538" s="851"/>
      <c r="K538" s="851"/>
      <c r="L538" s="851"/>
      <c r="M538" s="851"/>
      <c r="N538" s="851"/>
      <c r="O538" s="851"/>
      <c r="P538" s="851"/>
      <c r="Q538" s="856">
        <f t="shared" si="133"/>
        <v>0</v>
      </c>
      <c r="R538" s="854"/>
      <c r="S538" s="854"/>
    </row>
    <row r="539" ht="15" spans="3:19">
      <c r="C539" s="296"/>
      <c r="D539" s="296"/>
      <c r="E539" s="851"/>
      <c r="F539" s="851"/>
      <c r="G539" s="851"/>
      <c r="H539" s="851"/>
      <c r="I539" s="851"/>
      <c r="J539" s="851"/>
      <c r="K539" s="851"/>
      <c r="L539" s="851"/>
      <c r="M539" s="851"/>
      <c r="N539" s="851"/>
      <c r="O539" s="851"/>
      <c r="P539" s="851"/>
      <c r="Q539" s="856">
        <f t="shared" si="133"/>
        <v>0</v>
      </c>
      <c r="R539" s="854"/>
      <c r="S539" s="854"/>
    </row>
    <row r="540" ht="15" spans="3:19">
      <c r="C540" s="296"/>
      <c r="D540" s="296"/>
      <c r="E540" s="851"/>
      <c r="F540" s="851"/>
      <c r="G540" s="851"/>
      <c r="H540" s="851"/>
      <c r="I540" s="851"/>
      <c r="J540" s="851"/>
      <c r="K540" s="851"/>
      <c r="L540" s="851"/>
      <c r="M540" s="851"/>
      <c r="N540" s="851"/>
      <c r="O540" s="851"/>
      <c r="P540" s="851"/>
      <c r="Q540" s="856">
        <f t="shared" si="133"/>
        <v>0</v>
      </c>
      <c r="R540" s="854"/>
      <c r="S540" s="854"/>
    </row>
    <row r="541" ht="15" spans="3:19">
      <c r="C541" s="296" t="s">
        <v>258</v>
      </c>
      <c r="D541" s="296" t="s">
        <v>258</v>
      </c>
      <c r="E541" s="851"/>
      <c r="F541" s="851"/>
      <c r="G541" s="851"/>
      <c r="H541" s="851"/>
      <c r="I541" s="851"/>
      <c r="J541" s="851"/>
      <c r="K541" s="851"/>
      <c r="L541" s="851"/>
      <c r="M541" s="851"/>
      <c r="N541" s="851"/>
      <c r="O541" s="851"/>
      <c r="P541" s="851"/>
      <c r="Q541" s="856">
        <f t="shared" si="133"/>
        <v>0</v>
      </c>
      <c r="R541" s="854"/>
      <c r="S541" s="854"/>
    </row>
    <row r="542" ht="15" spans="3:19">
      <c r="C542" s="285" t="s">
        <v>189</v>
      </c>
      <c r="D542" s="286"/>
      <c r="E542" s="856">
        <f t="shared" ref="E542:P542" si="134">SUM(E529:E541)</f>
        <v>1200.81612799791</v>
      </c>
      <c r="F542" s="856">
        <f t="shared" si="134"/>
        <v>558.751745265995</v>
      </c>
      <c r="G542" s="856">
        <f t="shared" si="134"/>
        <v>666.42431366887</v>
      </c>
      <c r="H542" s="856">
        <f t="shared" si="134"/>
        <v>1212.84179974009</v>
      </c>
      <c r="I542" s="856">
        <f t="shared" si="134"/>
        <v>1443.58263773431</v>
      </c>
      <c r="J542" s="856">
        <f t="shared" si="134"/>
        <v>1198.83129269048</v>
      </c>
      <c r="K542" s="856">
        <f t="shared" si="134"/>
        <v>2077.07842086438</v>
      </c>
      <c r="L542" s="856">
        <f t="shared" si="134"/>
        <v>963.6500713766</v>
      </c>
      <c r="M542" s="856">
        <f t="shared" si="134"/>
        <v>1365.55904919814</v>
      </c>
      <c r="N542" s="856">
        <f t="shared" si="134"/>
        <v>1900.47559693229</v>
      </c>
      <c r="O542" s="856">
        <f t="shared" si="134"/>
        <v>2152.24576230295</v>
      </c>
      <c r="P542" s="856">
        <f t="shared" si="134"/>
        <v>2383.73048763379</v>
      </c>
      <c r="Q542" s="856">
        <f t="shared" si="133"/>
        <v>17123.9873054058</v>
      </c>
      <c r="R542" s="854"/>
      <c r="S542" s="854"/>
    </row>
    <row r="543" ht="15" spans="3:19">
      <c r="C543" s="285" t="s">
        <v>190</v>
      </c>
      <c r="D543" s="286"/>
      <c r="E543" s="851"/>
      <c r="F543" s="851"/>
      <c r="G543" s="851"/>
      <c r="H543" s="851"/>
      <c r="I543" s="851"/>
      <c r="J543" s="851"/>
      <c r="K543" s="851"/>
      <c r="L543" s="851"/>
      <c r="M543" s="851"/>
      <c r="N543" s="851"/>
      <c r="O543" s="851"/>
      <c r="P543" s="851"/>
      <c r="Q543" s="856"/>
      <c r="R543" s="854"/>
      <c r="S543" s="854"/>
    </row>
    <row r="544" ht="15" spans="3:19">
      <c r="C544" s="296" t="s">
        <v>191</v>
      </c>
      <c r="D544" s="296" t="s">
        <v>192</v>
      </c>
      <c r="E544" s="851"/>
      <c r="F544" s="851"/>
      <c r="G544" s="851"/>
      <c r="H544" s="851"/>
      <c r="I544" s="851"/>
      <c r="J544" s="851"/>
      <c r="K544" s="851"/>
      <c r="L544" s="851"/>
      <c r="M544" s="851"/>
      <c r="N544" s="851"/>
      <c r="O544" s="851"/>
      <c r="P544" s="851"/>
      <c r="Q544" s="856">
        <f t="shared" ref="Q544:Q559" si="135">SUM(E544:P544)</f>
        <v>0</v>
      </c>
      <c r="R544" s="854"/>
      <c r="S544" s="854"/>
    </row>
    <row r="545" ht="15" spans="3:19">
      <c r="C545" s="296" t="s">
        <v>193</v>
      </c>
      <c r="D545" s="296" t="s">
        <v>194</v>
      </c>
      <c r="E545" s="851"/>
      <c r="F545" s="851"/>
      <c r="G545" s="851"/>
      <c r="H545" s="851"/>
      <c r="I545" s="851"/>
      <c r="J545" s="851"/>
      <c r="K545" s="851"/>
      <c r="L545" s="851"/>
      <c r="M545" s="851"/>
      <c r="N545" s="851"/>
      <c r="O545" s="851"/>
      <c r="P545" s="851"/>
      <c r="Q545" s="856">
        <f t="shared" si="135"/>
        <v>0</v>
      </c>
      <c r="R545" s="854"/>
      <c r="S545" s="854"/>
    </row>
    <row r="546" ht="15" spans="3:19">
      <c r="C546" s="296" t="s">
        <v>239</v>
      </c>
      <c r="D546" s="296" t="s">
        <v>196</v>
      </c>
      <c r="E546" s="851"/>
      <c r="F546" s="851"/>
      <c r="G546" s="851"/>
      <c r="H546" s="851"/>
      <c r="I546" s="851"/>
      <c r="J546" s="851"/>
      <c r="K546" s="851"/>
      <c r="L546" s="851"/>
      <c r="M546" s="851"/>
      <c r="N546" s="851"/>
      <c r="O546" s="851"/>
      <c r="P546" s="851"/>
      <c r="Q546" s="856">
        <f t="shared" si="135"/>
        <v>0</v>
      </c>
      <c r="R546" s="854"/>
      <c r="S546" s="854"/>
    </row>
    <row r="547" ht="15" spans="3:19">
      <c r="C547" s="296" t="s">
        <v>197</v>
      </c>
      <c r="D547" s="296" t="s">
        <v>198</v>
      </c>
      <c r="E547" s="851"/>
      <c r="F547" s="851"/>
      <c r="G547" s="851"/>
      <c r="H547" s="851"/>
      <c r="I547" s="851"/>
      <c r="J547" s="851"/>
      <c r="K547" s="851"/>
      <c r="L547" s="851"/>
      <c r="M547" s="851"/>
      <c r="N547" s="851"/>
      <c r="O547" s="851"/>
      <c r="P547" s="851"/>
      <c r="Q547" s="856">
        <f t="shared" si="135"/>
        <v>0</v>
      </c>
      <c r="R547" s="854"/>
      <c r="S547" s="854"/>
    </row>
    <row r="548" ht="15" spans="3:19">
      <c r="C548" s="296" t="s">
        <v>199</v>
      </c>
      <c r="D548" s="296" t="s">
        <v>200</v>
      </c>
      <c r="E548" s="851"/>
      <c r="F548" s="851"/>
      <c r="G548" s="851"/>
      <c r="H548" s="851"/>
      <c r="I548" s="851"/>
      <c r="J548" s="851"/>
      <c r="K548" s="851"/>
      <c r="L548" s="851"/>
      <c r="M548" s="851"/>
      <c r="N548" s="851"/>
      <c r="O548" s="851"/>
      <c r="P548" s="851"/>
      <c r="Q548" s="856">
        <f t="shared" si="135"/>
        <v>0</v>
      </c>
      <c r="R548" s="854"/>
      <c r="S548" s="854"/>
    </row>
    <row r="549" ht="15" spans="3:19">
      <c r="C549" s="296" t="s">
        <v>201</v>
      </c>
      <c r="D549" s="296" t="s">
        <v>202</v>
      </c>
      <c r="E549" s="851"/>
      <c r="F549" s="851"/>
      <c r="G549" s="851"/>
      <c r="H549" s="851"/>
      <c r="I549" s="851"/>
      <c r="J549" s="851"/>
      <c r="K549" s="851"/>
      <c r="L549" s="851"/>
      <c r="M549" s="851"/>
      <c r="N549" s="851"/>
      <c r="O549" s="851"/>
      <c r="P549" s="851"/>
      <c r="Q549" s="856">
        <f t="shared" si="135"/>
        <v>0</v>
      </c>
      <c r="R549" s="854"/>
      <c r="S549" s="854"/>
    </row>
    <row r="550" ht="15" spans="3:19">
      <c r="C550" s="296" t="s">
        <v>203</v>
      </c>
      <c r="D550" s="296" t="s">
        <v>204</v>
      </c>
      <c r="E550" s="851"/>
      <c r="F550" s="851"/>
      <c r="G550" s="851"/>
      <c r="H550" s="851"/>
      <c r="I550" s="851"/>
      <c r="J550" s="851"/>
      <c r="K550" s="851"/>
      <c r="L550" s="851"/>
      <c r="M550" s="851"/>
      <c r="N550" s="851"/>
      <c r="O550" s="851"/>
      <c r="P550" s="851"/>
      <c r="Q550" s="856">
        <f t="shared" si="135"/>
        <v>0</v>
      </c>
      <c r="R550" s="854"/>
      <c r="S550" s="854"/>
    </row>
    <row r="551" ht="15" spans="3:19">
      <c r="C551" s="296" t="s">
        <v>205</v>
      </c>
      <c r="D551" s="296" t="s">
        <v>206</v>
      </c>
      <c r="E551" s="851"/>
      <c r="F551" s="851"/>
      <c r="G551" s="851"/>
      <c r="H551" s="851"/>
      <c r="I551" s="851"/>
      <c r="J551" s="851"/>
      <c r="K551" s="851"/>
      <c r="L551" s="851"/>
      <c r="M551" s="851"/>
      <c r="N551" s="851"/>
      <c r="O551" s="851"/>
      <c r="P551" s="851"/>
      <c r="Q551" s="856">
        <f t="shared" si="135"/>
        <v>0</v>
      </c>
      <c r="R551" s="854"/>
      <c r="S551" s="854"/>
    </row>
    <row r="552" ht="15" spans="3:19">
      <c r="C552" s="296" t="s">
        <v>207</v>
      </c>
      <c r="D552" s="296" t="s">
        <v>186</v>
      </c>
      <c r="E552" s="851"/>
      <c r="F552" s="851"/>
      <c r="G552" s="851"/>
      <c r="H552" s="851"/>
      <c r="I552" s="851"/>
      <c r="J552" s="851"/>
      <c r="K552" s="851"/>
      <c r="L552" s="851"/>
      <c r="M552" s="851"/>
      <c r="N552" s="851"/>
      <c r="O552" s="851"/>
      <c r="P552" s="851"/>
      <c r="Q552" s="856">
        <f t="shared" si="135"/>
        <v>0</v>
      </c>
      <c r="R552" s="854"/>
      <c r="S552" s="854"/>
    </row>
    <row r="553" ht="15" spans="3:19">
      <c r="C553" s="296" t="s">
        <v>208</v>
      </c>
      <c r="D553" s="296" t="s">
        <v>209</v>
      </c>
      <c r="E553" s="851"/>
      <c r="F553" s="851"/>
      <c r="G553" s="851"/>
      <c r="H553" s="851"/>
      <c r="I553" s="851"/>
      <c r="J553" s="851"/>
      <c r="K553" s="851"/>
      <c r="L553" s="851"/>
      <c r="M553" s="851"/>
      <c r="N553" s="851"/>
      <c r="O553" s="851"/>
      <c r="P553" s="851"/>
      <c r="Q553" s="856">
        <f t="shared" si="135"/>
        <v>0</v>
      </c>
      <c r="R553" s="854"/>
      <c r="S553" s="854"/>
    </row>
    <row r="554" ht="15" spans="3:19">
      <c r="C554" s="296" t="s">
        <v>210</v>
      </c>
      <c r="D554" s="296" t="s">
        <v>188</v>
      </c>
      <c r="E554" s="851"/>
      <c r="F554" s="851"/>
      <c r="G554" s="851"/>
      <c r="H554" s="851"/>
      <c r="I554" s="851"/>
      <c r="J554" s="851"/>
      <c r="K554" s="851"/>
      <c r="L554" s="851"/>
      <c r="M554" s="851"/>
      <c r="N554" s="851"/>
      <c r="O554" s="851"/>
      <c r="P554" s="851"/>
      <c r="Q554" s="856">
        <f t="shared" si="135"/>
        <v>0</v>
      </c>
      <c r="R554" s="854"/>
      <c r="S554" s="854"/>
    </row>
    <row r="555" ht="15" spans="3:19">
      <c r="C555" s="296"/>
      <c r="D555" s="296"/>
      <c r="E555" s="851"/>
      <c r="F555" s="851"/>
      <c r="G555" s="851"/>
      <c r="H555" s="851"/>
      <c r="I555" s="851"/>
      <c r="J555" s="851"/>
      <c r="K555" s="851"/>
      <c r="L555" s="851"/>
      <c r="M555" s="851"/>
      <c r="N555" s="851"/>
      <c r="O555" s="851"/>
      <c r="P555" s="851"/>
      <c r="Q555" s="856">
        <f t="shared" si="135"/>
        <v>0</v>
      </c>
      <c r="R555" s="854"/>
      <c r="S555" s="854"/>
    </row>
    <row r="556" ht="15" spans="3:19">
      <c r="C556" s="296"/>
      <c r="D556" s="296"/>
      <c r="E556" s="851"/>
      <c r="F556" s="851"/>
      <c r="G556" s="851"/>
      <c r="H556" s="851"/>
      <c r="I556" s="851"/>
      <c r="J556" s="851"/>
      <c r="K556" s="851"/>
      <c r="L556" s="851"/>
      <c r="M556" s="851"/>
      <c r="N556" s="851"/>
      <c r="O556" s="851"/>
      <c r="P556" s="851"/>
      <c r="Q556" s="856">
        <f t="shared" si="135"/>
        <v>0</v>
      </c>
      <c r="R556" s="854"/>
      <c r="S556" s="854"/>
    </row>
    <row r="557" ht="15" spans="3:19">
      <c r="C557" s="296"/>
      <c r="D557" s="296"/>
      <c r="E557" s="851"/>
      <c r="F557" s="851"/>
      <c r="G557" s="851"/>
      <c r="H557" s="851"/>
      <c r="I557" s="851"/>
      <c r="J557" s="851"/>
      <c r="K557" s="851"/>
      <c r="L557" s="851"/>
      <c r="M557" s="851"/>
      <c r="N557" s="851"/>
      <c r="O557" s="851"/>
      <c r="P557" s="851"/>
      <c r="Q557" s="856">
        <f t="shared" si="135"/>
        <v>0</v>
      </c>
      <c r="R557" s="854"/>
      <c r="S557" s="854"/>
    </row>
    <row r="558" ht="15" spans="3:19">
      <c r="C558" s="296" t="s">
        <v>258</v>
      </c>
      <c r="D558" s="296" t="s">
        <v>258</v>
      </c>
      <c r="E558" s="851"/>
      <c r="F558" s="851"/>
      <c r="G558" s="851"/>
      <c r="H558" s="851"/>
      <c r="I558" s="851"/>
      <c r="J558" s="851"/>
      <c r="K558" s="851"/>
      <c r="L558" s="851"/>
      <c r="M558" s="851"/>
      <c r="N558" s="851"/>
      <c r="O558" s="851"/>
      <c r="P558" s="851"/>
      <c r="Q558" s="856">
        <f t="shared" si="135"/>
        <v>0</v>
      </c>
      <c r="R558" s="854"/>
      <c r="S558" s="854"/>
    </row>
    <row r="559" ht="15" spans="3:19">
      <c r="C559" s="285" t="s">
        <v>211</v>
      </c>
      <c r="D559" s="286"/>
      <c r="E559" s="856">
        <f>SUM(E544:E558)</f>
        <v>0</v>
      </c>
      <c r="F559" s="856">
        <f t="shared" ref="F559:P559" si="136">SUM(F544:F558)</f>
        <v>0</v>
      </c>
      <c r="G559" s="856">
        <f t="shared" si="136"/>
        <v>0</v>
      </c>
      <c r="H559" s="856">
        <f t="shared" si="136"/>
        <v>0</v>
      </c>
      <c r="I559" s="856">
        <f t="shared" si="136"/>
        <v>0</v>
      </c>
      <c r="J559" s="856">
        <f t="shared" si="136"/>
        <v>0</v>
      </c>
      <c r="K559" s="856">
        <f t="shared" si="136"/>
        <v>0</v>
      </c>
      <c r="L559" s="856">
        <f t="shared" si="136"/>
        <v>0</v>
      </c>
      <c r="M559" s="856">
        <f t="shared" si="136"/>
        <v>0</v>
      </c>
      <c r="N559" s="856">
        <f t="shared" si="136"/>
        <v>0</v>
      </c>
      <c r="O559" s="856">
        <f t="shared" si="136"/>
        <v>0</v>
      </c>
      <c r="P559" s="856">
        <f t="shared" si="136"/>
        <v>0</v>
      </c>
      <c r="Q559" s="856">
        <f t="shared" si="135"/>
        <v>0</v>
      </c>
      <c r="R559" s="854"/>
      <c r="S559" s="854"/>
    </row>
    <row r="560" ht="15" spans="3:19">
      <c r="C560" s="285" t="s">
        <v>212</v>
      </c>
      <c r="D560" s="286"/>
      <c r="E560" s="851"/>
      <c r="F560" s="851"/>
      <c r="G560" s="851"/>
      <c r="H560" s="851"/>
      <c r="I560" s="851"/>
      <c r="J560" s="851"/>
      <c r="K560" s="851"/>
      <c r="L560" s="851"/>
      <c r="M560" s="851"/>
      <c r="N560" s="851"/>
      <c r="O560" s="851"/>
      <c r="P560" s="851"/>
      <c r="Q560" s="856"/>
      <c r="R560" s="854"/>
      <c r="S560" s="854"/>
    </row>
    <row r="561" ht="15" spans="3:19">
      <c r="C561" s="296" t="s">
        <v>191</v>
      </c>
      <c r="D561" s="296" t="s">
        <v>192</v>
      </c>
      <c r="E561" s="851"/>
      <c r="F561" s="851"/>
      <c r="G561" s="851"/>
      <c r="H561" s="851"/>
      <c r="I561" s="851"/>
      <c r="J561" s="851"/>
      <c r="K561" s="851"/>
      <c r="L561" s="851"/>
      <c r="M561" s="851"/>
      <c r="N561" s="851"/>
      <c r="O561" s="851"/>
      <c r="P561" s="851"/>
      <c r="Q561" s="856">
        <f t="shared" ref="Q561:Q576" si="137">SUM(E561:P561)</f>
        <v>0</v>
      </c>
      <c r="R561" s="854"/>
      <c r="S561" s="854"/>
    </row>
    <row r="562" ht="15" spans="3:19">
      <c r="C562" s="296" t="s">
        <v>193</v>
      </c>
      <c r="D562" s="296" t="s">
        <v>194</v>
      </c>
      <c r="E562" s="851"/>
      <c r="F562" s="851"/>
      <c r="G562" s="851"/>
      <c r="H562" s="851"/>
      <c r="I562" s="851"/>
      <c r="J562" s="851"/>
      <c r="K562" s="851"/>
      <c r="L562" s="851"/>
      <c r="M562" s="851"/>
      <c r="N562" s="851"/>
      <c r="O562" s="851"/>
      <c r="P562" s="851"/>
      <c r="Q562" s="856">
        <f t="shared" si="137"/>
        <v>0</v>
      </c>
      <c r="R562" s="854"/>
      <c r="S562" s="854"/>
    </row>
    <row r="563" ht="15" spans="3:19">
      <c r="C563" s="296" t="s">
        <v>239</v>
      </c>
      <c r="D563" s="296" t="s">
        <v>196</v>
      </c>
      <c r="E563" s="851"/>
      <c r="F563" s="851"/>
      <c r="G563" s="851"/>
      <c r="H563" s="851"/>
      <c r="I563" s="851"/>
      <c r="J563" s="851"/>
      <c r="K563" s="851"/>
      <c r="L563" s="851"/>
      <c r="M563" s="851"/>
      <c r="N563" s="851"/>
      <c r="O563" s="851"/>
      <c r="P563" s="851"/>
      <c r="Q563" s="856">
        <f t="shared" si="137"/>
        <v>0</v>
      </c>
      <c r="R563" s="854"/>
      <c r="S563" s="854"/>
    </row>
    <row r="564" ht="15" spans="3:19">
      <c r="C564" s="296" t="s">
        <v>197</v>
      </c>
      <c r="D564" s="296" t="s">
        <v>198</v>
      </c>
      <c r="E564" s="851"/>
      <c r="F564" s="851"/>
      <c r="G564" s="851"/>
      <c r="H564" s="851"/>
      <c r="I564" s="851"/>
      <c r="J564" s="851"/>
      <c r="K564" s="851"/>
      <c r="L564" s="851"/>
      <c r="M564" s="851"/>
      <c r="N564" s="851"/>
      <c r="O564" s="851"/>
      <c r="P564" s="851"/>
      <c r="Q564" s="856">
        <f t="shared" si="137"/>
        <v>0</v>
      </c>
      <c r="R564" s="854"/>
      <c r="S564" s="854"/>
    </row>
    <row r="565" ht="15" spans="3:19">
      <c r="C565" s="296" t="s">
        <v>199</v>
      </c>
      <c r="D565" s="296" t="s">
        <v>200</v>
      </c>
      <c r="E565" s="851"/>
      <c r="F565" s="851"/>
      <c r="G565" s="851"/>
      <c r="H565" s="851"/>
      <c r="I565" s="851"/>
      <c r="J565" s="851"/>
      <c r="K565" s="851"/>
      <c r="L565" s="851"/>
      <c r="M565" s="851"/>
      <c r="N565" s="851"/>
      <c r="O565" s="851"/>
      <c r="P565" s="851"/>
      <c r="Q565" s="856">
        <f t="shared" si="137"/>
        <v>0</v>
      </c>
      <c r="R565" s="854"/>
      <c r="S565" s="854"/>
    </row>
    <row r="566" ht="15" spans="3:19">
      <c r="C566" s="296" t="s">
        <v>201</v>
      </c>
      <c r="D566" s="296" t="s">
        <v>202</v>
      </c>
      <c r="E566" s="851"/>
      <c r="F566" s="851"/>
      <c r="G566" s="851"/>
      <c r="H566" s="851"/>
      <c r="I566" s="851"/>
      <c r="J566" s="851"/>
      <c r="K566" s="851"/>
      <c r="L566" s="851"/>
      <c r="M566" s="851"/>
      <c r="N566" s="851"/>
      <c r="O566" s="851"/>
      <c r="P566" s="851"/>
      <c r="Q566" s="856">
        <f t="shared" si="137"/>
        <v>0</v>
      </c>
      <c r="R566" s="854"/>
      <c r="S566" s="854"/>
    </row>
    <row r="567" ht="15" spans="3:19">
      <c r="C567" s="296" t="s">
        <v>203</v>
      </c>
      <c r="D567" s="296" t="s">
        <v>204</v>
      </c>
      <c r="E567" s="851"/>
      <c r="F567" s="851"/>
      <c r="G567" s="851"/>
      <c r="H567" s="851"/>
      <c r="I567" s="851"/>
      <c r="J567" s="851"/>
      <c r="K567" s="851"/>
      <c r="L567" s="851"/>
      <c r="M567" s="851"/>
      <c r="N567" s="851"/>
      <c r="O567" s="851"/>
      <c r="P567" s="851"/>
      <c r="Q567" s="856">
        <f t="shared" si="137"/>
        <v>0</v>
      </c>
      <c r="R567" s="854"/>
      <c r="S567" s="854"/>
    </row>
    <row r="568" ht="15" spans="3:19">
      <c r="C568" s="296" t="s">
        <v>205</v>
      </c>
      <c r="D568" s="296" t="s">
        <v>206</v>
      </c>
      <c r="E568" s="851"/>
      <c r="F568" s="851"/>
      <c r="G568" s="851"/>
      <c r="H568" s="851"/>
      <c r="I568" s="851"/>
      <c r="J568" s="851"/>
      <c r="K568" s="851"/>
      <c r="L568" s="851"/>
      <c r="M568" s="851"/>
      <c r="N568" s="851"/>
      <c r="O568" s="851"/>
      <c r="P568" s="851"/>
      <c r="Q568" s="856">
        <f t="shared" si="137"/>
        <v>0</v>
      </c>
      <c r="R568" s="854"/>
      <c r="S568" s="854"/>
    </row>
    <row r="569" ht="15" spans="3:19">
      <c r="C569" s="296" t="s">
        <v>231</v>
      </c>
      <c r="D569" s="296" t="s">
        <v>186</v>
      </c>
      <c r="E569" s="851"/>
      <c r="F569" s="851"/>
      <c r="G569" s="851"/>
      <c r="H569" s="851"/>
      <c r="I569" s="851"/>
      <c r="J569" s="851"/>
      <c r="K569" s="851"/>
      <c r="L569" s="851"/>
      <c r="M569" s="851"/>
      <c r="N569" s="851"/>
      <c r="O569" s="851"/>
      <c r="P569" s="851"/>
      <c r="Q569" s="856">
        <f t="shared" si="137"/>
        <v>0</v>
      </c>
      <c r="R569" s="854"/>
      <c r="S569" s="854"/>
    </row>
    <row r="570" ht="15" spans="3:19">
      <c r="C570" s="296" t="s">
        <v>208</v>
      </c>
      <c r="D570" s="296" t="s">
        <v>209</v>
      </c>
      <c r="E570" s="851"/>
      <c r="F570" s="851"/>
      <c r="G570" s="851"/>
      <c r="H570" s="851"/>
      <c r="I570" s="851"/>
      <c r="J570" s="851"/>
      <c r="K570" s="851"/>
      <c r="L570" s="851"/>
      <c r="M570" s="851"/>
      <c r="N570" s="851"/>
      <c r="O570" s="851"/>
      <c r="P570" s="851"/>
      <c r="Q570" s="856">
        <f t="shared" si="137"/>
        <v>0</v>
      </c>
      <c r="R570" s="854"/>
      <c r="S570" s="854"/>
    </row>
    <row r="571" ht="15" spans="3:19">
      <c r="C571" s="296" t="s">
        <v>210</v>
      </c>
      <c r="D571" s="296" t="s">
        <v>188</v>
      </c>
      <c r="E571" s="851"/>
      <c r="F571" s="851"/>
      <c r="G571" s="851"/>
      <c r="H571" s="851"/>
      <c r="I571" s="851"/>
      <c r="J571" s="851"/>
      <c r="K571" s="851"/>
      <c r="L571" s="851"/>
      <c r="M571" s="851"/>
      <c r="N571" s="851"/>
      <c r="O571" s="851"/>
      <c r="P571" s="851"/>
      <c r="Q571" s="856">
        <f t="shared" si="137"/>
        <v>0</v>
      </c>
      <c r="R571" s="854"/>
      <c r="S571" s="854"/>
    </row>
    <row r="572" ht="15" spans="3:19">
      <c r="C572" s="296"/>
      <c r="D572" s="296"/>
      <c r="E572" s="851"/>
      <c r="F572" s="851"/>
      <c r="G572" s="851"/>
      <c r="H572" s="851"/>
      <c r="I572" s="851"/>
      <c r="J572" s="851"/>
      <c r="K572" s="851"/>
      <c r="L572" s="851"/>
      <c r="M572" s="851"/>
      <c r="N572" s="851"/>
      <c r="O572" s="851"/>
      <c r="P572" s="851"/>
      <c r="Q572" s="856">
        <f t="shared" si="137"/>
        <v>0</v>
      </c>
      <c r="R572" s="854"/>
      <c r="S572" s="854"/>
    </row>
    <row r="573" ht="15" spans="3:19">
      <c r="C573" s="296"/>
      <c r="D573" s="296"/>
      <c r="E573" s="851"/>
      <c r="F573" s="851"/>
      <c r="G573" s="851"/>
      <c r="H573" s="851"/>
      <c r="I573" s="851"/>
      <c r="J573" s="851"/>
      <c r="K573" s="851"/>
      <c r="L573" s="851"/>
      <c r="M573" s="851"/>
      <c r="N573" s="851"/>
      <c r="O573" s="851"/>
      <c r="P573" s="851"/>
      <c r="Q573" s="856">
        <f t="shared" si="137"/>
        <v>0</v>
      </c>
      <c r="R573" s="854"/>
      <c r="S573" s="854"/>
    </row>
    <row r="574" ht="15" spans="3:19">
      <c r="C574" s="296"/>
      <c r="D574" s="296"/>
      <c r="E574" s="851"/>
      <c r="F574" s="851"/>
      <c r="G574" s="851"/>
      <c r="H574" s="851"/>
      <c r="I574" s="851"/>
      <c r="J574" s="851"/>
      <c r="K574" s="851"/>
      <c r="L574" s="851"/>
      <c r="M574" s="851"/>
      <c r="N574" s="851"/>
      <c r="O574" s="851"/>
      <c r="P574" s="851"/>
      <c r="Q574" s="856">
        <f t="shared" si="137"/>
        <v>0</v>
      </c>
      <c r="R574" s="854"/>
      <c r="S574" s="854"/>
    </row>
    <row r="575" ht="15" spans="3:19">
      <c r="C575" s="296" t="s">
        <v>258</v>
      </c>
      <c r="D575" s="296" t="s">
        <v>258</v>
      </c>
      <c r="E575" s="851"/>
      <c r="F575" s="851"/>
      <c r="G575" s="851"/>
      <c r="H575" s="851"/>
      <c r="I575" s="851"/>
      <c r="J575" s="851"/>
      <c r="K575" s="851"/>
      <c r="L575" s="851"/>
      <c r="M575" s="851"/>
      <c r="N575" s="851"/>
      <c r="O575" s="851"/>
      <c r="P575" s="851"/>
      <c r="Q575" s="856">
        <f t="shared" si="137"/>
        <v>0</v>
      </c>
      <c r="R575" s="854"/>
      <c r="S575" s="854"/>
    </row>
    <row r="576" ht="15" spans="3:19">
      <c r="C576" s="285" t="s">
        <v>211</v>
      </c>
      <c r="D576" s="286"/>
      <c r="E576" s="856">
        <f t="shared" ref="E576:P576" si="138">SUM(E561:E575)</f>
        <v>0</v>
      </c>
      <c r="F576" s="856">
        <f t="shared" si="138"/>
        <v>0</v>
      </c>
      <c r="G576" s="856">
        <f t="shared" si="138"/>
        <v>0</v>
      </c>
      <c r="H576" s="856">
        <f t="shared" si="138"/>
        <v>0</v>
      </c>
      <c r="I576" s="856">
        <f t="shared" si="138"/>
        <v>0</v>
      </c>
      <c r="J576" s="856">
        <f t="shared" si="138"/>
        <v>0</v>
      </c>
      <c r="K576" s="856">
        <f t="shared" si="138"/>
        <v>0</v>
      </c>
      <c r="L576" s="856">
        <f t="shared" si="138"/>
        <v>0</v>
      </c>
      <c r="M576" s="856">
        <f t="shared" si="138"/>
        <v>0</v>
      </c>
      <c r="N576" s="856">
        <f t="shared" si="138"/>
        <v>0</v>
      </c>
      <c r="O576" s="856">
        <f t="shared" si="138"/>
        <v>0</v>
      </c>
      <c r="P576" s="856">
        <f t="shared" si="138"/>
        <v>0</v>
      </c>
      <c r="Q576" s="856">
        <f t="shared" si="137"/>
        <v>0</v>
      </c>
      <c r="R576" s="854"/>
      <c r="S576" s="854"/>
    </row>
    <row r="577" ht="15" spans="3:19">
      <c r="C577" s="285" t="s">
        <v>219</v>
      </c>
      <c r="D577" s="286"/>
      <c r="E577" s="851"/>
      <c r="F577" s="851"/>
      <c r="G577" s="851"/>
      <c r="H577" s="851"/>
      <c r="I577" s="851"/>
      <c r="J577" s="851"/>
      <c r="K577" s="851"/>
      <c r="L577" s="851"/>
      <c r="M577" s="851"/>
      <c r="N577" s="851"/>
      <c r="O577" s="851"/>
      <c r="P577" s="851"/>
      <c r="Q577" s="856"/>
      <c r="R577" s="854"/>
      <c r="S577" s="854"/>
    </row>
    <row r="578" ht="15" spans="3:19">
      <c r="C578" s="296" t="s">
        <v>191</v>
      </c>
      <c r="D578" s="296" t="s">
        <v>192</v>
      </c>
      <c r="E578" s="851"/>
      <c r="F578" s="851"/>
      <c r="G578" s="851"/>
      <c r="H578" s="851"/>
      <c r="I578" s="851"/>
      <c r="J578" s="851"/>
      <c r="K578" s="851"/>
      <c r="L578" s="851"/>
      <c r="M578" s="851"/>
      <c r="N578" s="851"/>
      <c r="O578" s="851"/>
      <c r="P578" s="851"/>
      <c r="Q578" s="856">
        <f t="shared" ref="Q578:Q597" si="139">SUM(E578:P578)</f>
        <v>0</v>
      </c>
      <c r="R578" s="854"/>
      <c r="S578" s="854"/>
    </row>
    <row r="579" ht="15" spans="3:19">
      <c r="C579" s="296" t="s">
        <v>193</v>
      </c>
      <c r="D579" s="296" t="s">
        <v>194</v>
      </c>
      <c r="E579" s="851"/>
      <c r="F579" s="851"/>
      <c r="G579" s="851"/>
      <c r="H579" s="851"/>
      <c r="I579" s="851"/>
      <c r="J579" s="851"/>
      <c r="K579" s="851"/>
      <c r="L579" s="851"/>
      <c r="M579" s="851"/>
      <c r="N579" s="851"/>
      <c r="O579" s="851"/>
      <c r="P579" s="851"/>
      <c r="Q579" s="856">
        <f t="shared" si="139"/>
        <v>0</v>
      </c>
      <c r="R579" s="854"/>
      <c r="S579" s="854"/>
    </row>
    <row r="580" ht="15" spans="3:19">
      <c r="C580" s="296" t="s">
        <v>239</v>
      </c>
      <c r="D580" s="296" t="s">
        <v>196</v>
      </c>
      <c r="E580" s="851"/>
      <c r="F580" s="851"/>
      <c r="G580" s="851"/>
      <c r="H580" s="851"/>
      <c r="I580" s="851"/>
      <c r="J580" s="851"/>
      <c r="K580" s="851"/>
      <c r="L580" s="851"/>
      <c r="M580" s="851"/>
      <c r="N580" s="851"/>
      <c r="O580" s="851"/>
      <c r="P580" s="851"/>
      <c r="Q580" s="856">
        <f t="shared" si="139"/>
        <v>0</v>
      </c>
      <c r="R580" s="854"/>
      <c r="S580" s="854"/>
    </row>
    <row r="581" ht="15" spans="3:19">
      <c r="C581" s="296" t="s">
        <v>197</v>
      </c>
      <c r="D581" s="296" t="s">
        <v>198</v>
      </c>
      <c r="E581" s="851"/>
      <c r="F581" s="851"/>
      <c r="G581" s="851"/>
      <c r="H581" s="851"/>
      <c r="I581" s="851"/>
      <c r="J581" s="851"/>
      <c r="K581" s="851"/>
      <c r="L581" s="851"/>
      <c r="M581" s="851"/>
      <c r="N581" s="851"/>
      <c r="O581" s="851"/>
      <c r="P581" s="851"/>
      <c r="Q581" s="856">
        <f t="shared" si="139"/>
        <v>0</v>
      </c>
      <c r="R581" s="854"/>
      <c r="S581" s="854"/>
    </row>
    <row r="582" ht="15" spans="3:19">
      <c r="C582" s="296" t="s">
        <v>199</v>
      </c>
      <c r="D582" s="296" t="s">
        <v>200</v>
      </c>
      <c r="E582" s="851"/>
      <c r="F582" s="851"/>
      <c r="G582" s="851"/>
      <c r="H582" s="851"/>
      <c r="I582" s="851"/>
      <c r="J582" s="851"/>
      <c r="K582" s="851"/>
      <c r="L582" s="851"/>
      <c r="M582" s="851"/>
      <c r="N582" s="851"/>
      <c r="O582" s="851"/>
      <c r="P582" s="851"/>
      <c r="Q582" s="856">
        <f t="shared" si="139"/>
        <v>0</v>
      </c>
      <c r="R582" s="854"/>
      <c r="S582" s="854"/>
    </row>
    <row r="583" ht="15" spans="3:19">
      <c r="C583" s="296" t="s">
        <v>201</v>
      </c>
      <c r="D583" s="296" t="s">
        <v>240</v>
      </c>
      <c r="E583" s="851"/>
      <c r="F583" s="851"/>
      <c r="G583" s="851"/>
      <c r="H583" s="851"/>
      <c r="I583" s="851"/>
      <c r="J583" s="851"/>
      <c r="K583" s="851"/>
      <c r="L583" s="851"/>
      <c r="M583" s="851"/>
      <c r="N583" s="851"/>
      <c r="O583" s="851"/>
      <c r="P583" s="851"/>
      <c r="Q583" s="856">
        <f t="shared" si="139"/>
        <v>0</v>
      </c>
      <c r="R583" s="854"/>
      <c r="S583" s="854"/>
    </row>
    <row r="584" ht="15" spans="3:19">
      <c r="C584" s="296" t="s">
        <v>203</v>
      </c>
      <c r="D584" s="296" t="s">
        <v>220</v>
      </c>
      <c r="E584" s="851"/>
      <c r="F584" s="851"/>
      <c r="G584" s="851"/>
      <c r="H584" s="851"/>
      <c r="I584" s="851"/>
      <c r="J584" s="851"/>
      <c r="K584" s="851"/>
      <c r="L584" s="851"/>
      <c r="M584" s="851"/>
      <c r="N584" s="851"/>
      <c r="O584" s="851"/>
      <c r="P584" s="851"/>
      <c r="Q584" s="856">
        <f t="shared" si="139"/>
        <v>0</v>
      </c>
      <c r="R584" s="854"/>
      <c r="S584" s="854"/>
    </row>
    <row r="585" ht="15" spans="3:19">
      <c r="C585" s="296" t="s">
        <v>241</v>
      </c>
      <c r="D585" s="296" t="s">
        <v>229</v>
      </c>
      <c r="E585" s="851"/>
      <c r="F585" s="851"/>
      <c r="G585" s="851"/>
      <c r="H585" s="851"/>
      <c r="I585" s="851"/>
      <c r="J585" s="851"/>
      <c r="K585" s="851"/>
      <c r="L585" s="851"/>
      <c r="M585" s="851"/>
      <c r="N585" s="851"/>
      <c r="O585" s="851"/>
      <c r="P585" s="851"/>
      <c r="Q585" s="856">
        <f t="shared" si="139"/>
        <v>0</v>
      </c>
      <c r="R585" s="854"/>
      <c r="S585" s="854"/>
    </row>
    <row r="586" ht="15" spans="3:19">
      <c r="C586" s="296" t="s">
        <v>259</v>
      </c>
      <c r="D586" s="296" t="s">
        <v>243</v>
      </c>
      <c r="E586" s="851"/>
      <c r="F586" s="851"/>
      <c r="G586" s="851"/>
      <c r="H586" s="851"/>
      <c r="I586" s="851"/>
      <c r="J586" s="851"/>
      <c r="K586" s="851"/>
      <c r="L586" s="851"/>
      <c r="M586" s="851"/>
      <c r="N586" s="851"/>
      <c r="O586" s="851"/>
      <c r="P586" s="851"/>
      <c r="Q586" s="856">
        <f t="shared" si="139"/>
        <v>0</v>
      </c>
      <c r="R586" s="854"/>
      <c r="S586" s="854"/>
    </row>
    <row r="587" ht="15" spans="3:19">
      <c r="C587" s="296" t="s">
        <v>205</v>
      </c>
      <c r="D587" s="296" t="s">
        <v>206</v>
      </c>
      <c r="E587" s="851"/>
      <c r="F587" s="851"/>
      <c r="G587" s="851"/>
      <c r="H587" s="851"/>
      <c r="I587" s="851"/>
      <c r="J587" s="851"/>
      <c r="K587" s="851"/>
      <c r="L587" s="851"/>
      <c r="M587" s="851"/>
      <c r="N587" s="851"/>
      <c r="O587" s="851"/>
      <c r="P587" s="851"/>
      <c r="Q587" s="856">
        <f t="shared" si="139"/>
        <v>0</v>
      </c>
      <c r="R587" s="854"/>
      <c r="S587" s="854"/>
    </row>
    <row r="588" ht="15" spans="3:19">
      <c r="C588" s="296" t="s">
        <v>207</v>
      </c>
      <c r="D588" s="296" t="s">
        <v>186</v>
      </c>
      <c r="E588" s="851"/>
      <c r="F588" s="851"/>
      <c r="G588" s="851"/>
      <c r="H588" s="851"/>
      <c r="I588" s="851"/>
      <c r="J588" s="851"/>
      <c r="K588" s="851"/>
      <c r="L588" s="851"/>
      <c r="M588" s="851"/>
      <c r="N588" s="851"/>
      <c r="O588" s="851"/>
      <c r="P588" s="851"/>
      <c r="Q588" s="856">
        <f t="shared" si="139"/>
        <v>0</v>
      </c>
      <c r="R588" s="854"/>
      <c r="S588" s="854"/>
    </row>
    <row r="589" ht="15" spans="3:19">
      <c r="C589" s="296" t="s">
        <v>208</v>
      </c>
      <c r="D589" s="296" t="s">
        <v>209</v>
      </c>
      <c r="E589" s="851"/>
      <c r="F589" s="851"/>
      <c r="G589" s="851"/>
      <c r="H589" s="851"/>
      <c r="I589" s="851"/>
      <c r="J589" s="851"/>
      <c r="K589" s="851"/>
      <c r="L589" s="851"/>
      <c r="M589" s="851"/>
      <c r="N589" s="851"/>
      <c r="O589" s="851"/>
      <c r="P589" s="851"/>
      <c r="Q589" s="856">
        <f t="shared" si="139"/>
        <v>0</v>
      </c>
      <c r="R589" s="854"/>
      <c r="S589" s="854"/>
    </row>
    <row r="590" ht="15" spans="3:19">
      <c r="C590" s="296" t="s">
        <v>210</v>
      </c>
      <c r="D590" s="296" t="s">
        <v>188</v>
      </c>
      <c r="E590" s="851"/>
      <c r="F590" s="851"/>
      <c r="G590" s="851"/>
      <c r="H590" s="851"/>
      <c r="I590" s="851"/>
      <c r="J590" s="851"/>
      <c r="K590" s="851"/>
      <c r="L590" s="851"/>
      <c r="M590" s="851"/>
      <c r="N590" s="851"/>
      <c r="O590" s="851"/>
      <c r="P590" s="851"/>
      <c r="Q590" s="856">
        <f t="shared" si="139"/>
        <v>0</v>
      </c>
      <c r="R590" s="854"/>
      <c r="S590" s="854"/>
    </row>
    <row r="591" ht="15" spans="3:19">
      <c r="C591" s="296"/>
      <c r="D591" s="296"/>
      <c r="E591" s="851"/>
      <c r="F591" s="851"/>
      <c r="G591" s="851"/>
      <c r="H591" s="851"/>
      <c r="I591" s="851"/>
      <c r="J591" s="851"/>
      <c r="K591" s="851"/>
      <c r="L591" s="851"/>
      <c r="M591" s="851"/>
      <c r="N591" s="851"/>
      <c r="O591" s="851"/>
      <c r="P591" s="851"/>
      <c r="Q591" s="856">
        <f t="shared" si="139"/>
        <v>0</v>
      </c>
      <c r="R591" s="854"/>
      <c r="S591" s="854"/>
    </row>
    <row r="592" ht="15" spans="3:19">
      <c r="C592" s="296"/>
      <c r="D592" s="296"/>
      <c r="E592" s="851"/>
      <c r="F592" s="851"/>
      <c r="G592" s="851"/>
      <c r="H592" s="851"/>
      <c r="I592" s="851"/>
      <c r="J592" s="851"/>
      <c r="K592" s="851"/>
      <c r="L592" s="851"/>
      <c r="M592" s="851"/>
      <c r="N592" s="851"/>
      <c r="O592" s="851"/>
      <c r="P592" s="851"/>
      <c r="Q592" s="856">
        <f t="shared" si="139"/>
        <v>0</v>
      </c>
      <c r="R592" s="854"/>
      <c r="S592" s="854"/>
    </row>
    <row r="593" ht="15" spans="3:19">
      <c r="C593" s="296"/>
      <c r="D593" s="296"/>
      <c r="E593" s="851"/>
      <c r="F593" s="851"/>
      <c r="G593" s="851"/>
      <c r="H593" s="851"/>
      <c r="I593" s="851"/>
      <c r="J593" s="851"/>
      <c r="K593" s="851"/>
      <c r="L593" s="851"/>
      <c r="M593" s="851"/>
      <c r="N593" s="851"/>
      <c r="O593" s="851"/>
      <c r="P593" s="851"/>
      <c r="Q593" s="856">
        <f t="shared" si="139"/>
        <v>0</v>
      </c>
      <c r="R593" s="854"/>
      <c r="S593" s="854"/>
    </row>
    <row r="594" ht="15" spans="3:19">
      <c r="C594" s="296" t="s">
        <v>258</v>
      </c>
      <c r="D594" s="296" t="s">
        <v>258</v>
      </c>
      <c r="E594" s="851"/>
      <c r="F594" s="851"/>
      <c r="G594" s="851"/>
      <c r="H594" s="851"/>
      <c r="I594" s="851"/>
      <c r="J594" s="851"/>
      <c r="K594" s="851"/>
      <c r="L594" s="851"/>
      <c r="M594" s="851"/>
      <c r="N594" s="851"/>
      <c r="O594" s="851"/>
      <c r="P594" s="851"/>
      <c r="Q594" s="856">
        <f t="shared" si="139"/>
        <v>0</v>
      </c>
      <c r="R594" s="854"/>
      <c r="S594" s="854"/>
    </row>
    <row r="595" ht="15" spans="3:19">
      <c r="C595" s="285" t="s">
        <v>211</v>
      </c>
      <c r="D595" s="286"/>
      <c r="E595" s="856">
        <f t="shared" ref="E595:P595" si="140">SUM(E578:E594)</f>
        <v>0</v>
      </c>
      <c r="F595" s="856">
        <f t="shared" si="140"/>
        <v>0</v>
      </c>
      <c r="G595" s="856">
        <f t="shared" si="140"/>
        <v>0</v>
      </c>
      <c r="H595" s="856">
        <f t="shared" si="140"/>
        <v>0</v>
      </c>
      <c r="I595" s="856">
        <f t="shared" si="140"/>
        <v>0</v>
      </c>
      <c r="J595" s="856">
        <f t="shared" si="140"/>
        <v>0</v>
      </c>
      <c r="K595" s="856">
        <f t="shared" si="140"/>
        <v>0</v>
      </c>
      <c r="L595" s="856">
        <f t="shared" si="140"/>
        <v>0</v>
      </c>
      <c r="M595" s="856">
        <f t="shared" si="140"/>
        <v>0</v>
      </c>
      <c r="N595" s="856">
        <f t="shared" si="140"/>
        <v>0</v>
      </c>
      <c r="O595" s="856">
        <f t="shared" si="140"/>
        <v>0</v>
      </c>
      <c r="P595" s="856">
        <f t="shared" si="140"/>
        <v>0</v>
      </c>
      <c r="Q595" s="856">
        <f t="shared" si="139"/>
        <v>0</v>
      </c>
      <c r="R595" s="854"/>
      <c r="S595" s="854"/>
    </row>
    <row r="596" ht="15" spans="3:19">
      <c r="C596" s="285" t="s">
        <v>223</v>
      </c>
      <c r="D596" s="286"/>
      <c r="E596" s="856">
        <f t="shared" ref="E596:P596" si="141">E595+E576+E559</f>
        <v>0</v>
      </c>
      <c r="F596" s="856">
        <f t="shared" si="141"/>
        <v>0</v>
      </c>
      <c r="G596" s="856">
        <f t="shared" si="141"/>
        <v>0</v>
      </c>
      <c r="H596" s="856">
        <f t="shared" si="141"/>
        <v>0</v>
      </c>
      <c r="I596" s="856">
        <f t="shared" si="141"/>
        <v>0</v>
      </c>
      <c r="J596" s="856">
        <f t="shared" si="141"/>
        <v>0</v>
      </c>
      <c r="K596" s="856">
        <f t="shared" si="141"/>
        <v>0</v>
      </c>
      <c r="L596" s="856">
        <f t="shared" si="141"/>
        <v>0</v>
      </c>
      <c r="M596" s="856">
        <f t="shared" si="141"/>
        <v>0</v>
      </c>
      <c r="N596" s="856">
        <f t="shared" si="141"/>
        <v>0</v>
      </c>
      <c r="O596" s="856">
        <f t="shared" si="141"/>
        <v>0</v>
      </c>
      <c r="P596" s="856">
        <f t="shared" si="141"/>
        <v>0</v>
      </c>
      <c r="Q596" s="856">
        <f t="shared" si="139"/>
        <v>0</v>
      </c>
      <c r="R596" s="854"/>
      <c r="S596" s="854"/>
    </row>
    <row r="597" ht="15" spans="3:19">
      <c r="C597" s="285" t="s">
        <v>224</v>
      </c>
      <c r="D597" s="286"/>
      <c r="E597" s="856">
        <f t="shared" ref="E597:P597" si="142">E596+E542</f>
        <v>1200.81612799791</v>
      </c>
      <c r="F597" s="856">
        <f t="shared" si="142"/>
        <v>558.751745265995</v>
      </c>
      <c r="G597" s="856">
        <f t="shared" si="142"/>
        <v>666.42431366887</v>
      </c>
      <c r="H597" s="856">
        <f t="shared" si="142"/>
        <v>1212.84179974009</v>
      </c>
      <c r="I597" s="856">
        <f t="shared" si="142"/>
        <v>1443.58263773431</v>
      </c>
      <c r="J597" s="856">
        <f t="shared" si="142"/>
        <v>1198.83129269048</v>
      </c>
      <c r="K597" s="856">
        <f t="shared" si="142"/>
        <v>2077.07842086438</v>
      </c>
      <c r="L597" s="856">
        <f t="shared" si="142"/>
        <v>963.6500713766</v>
      </c>
      <c r="M597" s="856">
        <f t="shared" si="142"/>
        <v>1365.55904919814</v>
      </c>
      <c r="N597" s="856">
        <f t="shared" si="142"/>
        <v>1900.47559693229</v>
      </c>
      <c r="O597" s="856">
        <f t="shared" si="142"/>
        <v>2152.24576230295</v>
      </c>
      <c r="P597" s="856">
        <f t="shared" si="142"/>
        <v>2383.73048763379</v>
      </c>
      <c r="Q597" s="856">
        <f t="shared" si="139"/>
        <v>17123.9873054058</v>
      </c>
      <c r="R597" s="854"/>
      <c r="S597" s="854"/>
    </row>
    <row r="598" hidden="1" spans="5:19">
      <c r="E598" s="854"/>
      <c r="F598" s="854"/>
      <c r="G598" s="854"/>
      <c r="H598" s="854"/>
      <c r="I598" s="854"/>
      <c r="J598" s="854"/>
      <c r="K598" s="854"/>
      <c r="L598" s="854"/>
      <c r="M598" s="854"/>
      <c r="N598" s="854"/>
      <c r="O598" s="854"/>
      <c r="P598" s="854"/>
      <c r="Q598" s="854"/>
      <c r="R598" s="854"/>
      <c r="S598" s="854"/>
    </row>
    <row r="599" ht="15" hidden="1" spans="3:19">
      <c r="C599" s="369"/>
      <c r="E599" s="854"/>
      <c r="F599" s="854"/>
      <c r="G599" s="854"/>
      <c r="H599" s="854"/>
      <c r="I599" s="854"/>
      <c r="J599" s="854"/>
      <c r="K599" s="854"/>
      <c r="L599" s="854"/>
      <c r="M599" s="854"/>
      <c r="N599" s="854"/>
      <c r="O599" s="854"/>
      <c r="P599" s="854"/>
      <c r="Q599" s="857" t="s">
        <v>236</v>
      </c>
      <c r="R599" s="854"/>
      <c r="S599" s="854"/>
    </row>
    <row r="600" ht="15" hidden="1" spans="3:19">
      <c r="C600" s="401" t="s">
        <v>159</v>
      </c>
      <c r="D600" s="401"/>
      <c r="E600" s="855" t="s">
        <v>265</v>
      </c>
      <c r="F600" s="855"/>
      <c r="G600" s="855"/>
      <c r="H600" s="855"/>
      <c r="I600" s="855"/>
      <c r="J600" s="855"/>
      <c r="K600" s="855"/>
      <c r="L600" s="855"/>
      <c r="M600" s="855"/>
      <c r="N600" s="855"/>
      <c r="O600" s="855"/>
      <c r="P600" s="855"/>
      <c r="Q600" s="855"/>
      <c r="R600" s="854"/>
      <c r="S600" s="854"/>
    </row>
    <row r="601" ht="15" hidden="1" spans="3:19">
      <c r="C601" s="401"/>
      <c r="D601" s="401"/>
      <c r="E601" s="855" t="s">
        <v>246</v>
      </c>
      <c r="F601" s="855" t="s">
        <v>247</v>
      </c>
      <c r="G601" s="855" t="s">
        <v>248</v>
      </c>
      <c r="H601" s="855" t="s">
        <v>249</v>
      </c>
      <c r="I601" s="855" t="s">
        <v>250</v>
      </c>
      <c r="J601" s="855" t="s">
        <v>251</v>
      </c>
      <c r="K601" s="855" t="s">
        <v>252</v>
      </c>
      <c r="L601" s="855" t="s">
        <v>253</v>
      </c>
      <c r="M601" s="855" t="s">
        <v>254</v>
      </c>
      <c r="N601" s="855" t="s">
        <v>255</v>
      </c>
      <c r="O601" s="855" t="s">
        <v>256</v>
      </c>
      <c r="P601" s="855" t="s">
        <v>257</v>
      </c>
      <c r="Q601" s="855" t="s">
        <v>97</v>
      </c>
      <c r="R601" s="854"/>
      <c r="S601" s="854"/>
    </row>
    <row r="602" ht="15" hidden="1" spans="3:19">
      <c r="C602" s="285" t="s">
        <v>170</v>
      </c>
      <c r="D602" s="286"/>
      <c r="E602" s="851"/>
      <c r="F602" s="851"/>
      <c r="G602" s="851"/>
      <c r="H602" s="851"/>
      <c r="I602" s="851"/>
      <c r="J602" s="851"/>
      <c r="K602" s="851"/>
      <c r="L602" s="851"/>
      <c r="M602" s="851"/>
      <c r="N602" s="851"/>
      <c r="O602" s="851"/>
      <c r="P602" s="851"/>
      <c r="Q602" s="856"/>
      <c r="R602" s="854"/>
      <c r="S602" s="854"/>
    </row>
    <row r="603" ht="15" hidden="1" spans="3:19">
      <c r="C603" s="296" t="s">
        <v>171</v>
      </c>
      <c r="D603" s="296" t="s">
        <v>172</v>
      </c>
      <c r="E603" s="851"/>
      <c r="F603" s="851"/>
      <c r="G603" s="851"/>
      <c r="H603" s="851"/>
      <c r="I603" s="851"/>
      <c r="J603" s="851"/>
      <c r="K603" s="851"/>
      <c r="L603" s="851"/>
      <c r="M603" s="851"/>
      <c r="N603" s="851"/>
      <c r="O603" s="851"/>
      <c r="P603" s="851"/>
      <c r="Q603" s="856">
        <f t="shared" ref="Q603:Q616" si="143">SUM(E603:P603)</f>
        <v>0</v>
      </c>
      <c r="R603" s="854"/>
      <c r="S603" s="854"/>
    </row>
    <row r="604" ht="15" hidden="1" spans="3:19">
      <c r="C604" s="296" t="s">
        <v>173</v>
      </c>
      <c r="D604" s="296" t="s">
        <v>174</v>
      </c>
      <c r="E604" s="851"/>
      <c r="F604" s="851"/>
      <c r="G604" s="851"/>
      <c r="H604" s="851"/>
      <c r="I604" s="851"/>
      <c r="J604" s="851"/>
      <c r="K604" s="851"/>
      <c r="L604" s="851"/>
      <c r="M604" s="851"/>
      <c r="N604" s="851"/>
      <c r="O604" s="851"/>
      <c r="P604" s="851"/>
      <c r="Q604" s="856">
        <f t="shared" si="143"/>
        <v>0</v>
      </c>
      <c r="R604" s="854"/>
      <c r="S604" s="854"/>
    </row>
    <row r="605" ht="15" hidden="1" spans="3:19">
      <c r="C605" s="296" t="s">
        <v>175</v>
      </c>
      <c r="D605" s="296" t="s">
        <v>176</v>
      </c>
      <c r="E605" s="851"/>
      <c r="F605" s="851"/>
      <c r="G605" s="851"/>
      <c r="H605" s="851"/>
      <c r="I605" s="851"/>
      <c r="J605" s="851"/>
      <c r="K605" s="851"/>
      <c r="L605" s="851"/>
      <c r="M605" s="851"/>
      <c r="N605" s="851"/>
      <c r="O605" s="851"/>
      <c r="P605" s="851"/>
      <c r="Q605" s="856">
        <f t="shared" si="143"/>
        <v>0</v>
      </c>
      <c r="R605" s="854"/>
      <c r="S605" s="854"/>
    </row>
    <row r="606" ht="15" hidden="1" spans="3:19">
      <c r="C606" s="296" t="s">
        <v>177</v>
      </c>
      <c r="D606" s="296" t="s">
        <v>178</v>
      </c>
      <c r="E606" s="851"/>
      <c r="F606" s="851"/>
      <c r="G606" s="851"/>
      <c r="H606" s="851"/>
      <c r="I606" s="851"/>
      <c r="J606" s="851"/>
      <c r="K606" s="851"/>
      <c r="L606" s="851"/>
      <c r="M606" s="851"/>
      <c r="N606" s="851"/>
      <c r="O606" s="851"/>
      <c r="P606" s="851"/>
      <c r="Q606" s="856">
        <f t="shared" si="143"/>
        <v>0</v>
      </c>
      <c r="R606" s="854"/>
      <c r="S606" s="854"/>
    </row>
    <row r="607" ht="15" hidden="1" spans="3:19">
      <c r="C607" s="296" t="s">
        <v>179</v>
      </c>
      <c r="D607" s="296" t="s">
        <v>180</v>
      </c>
      <c r="E607" s="851">
        <f>[17]Sales_SP!HP46</f>
        <v>1349.92598312597</v>
      </c>
      <c r="F607" s="851">
        <f>[17]Sales_SP!HQ46</f>
        <v>638.467640280526</v>
      </c>
      <c r="G607" s="851">
        <f>[17]Sales_SP!HR46</f>
        <v>584.953451521322</v>
      </c>
      <c r="H607" s="851">
        <f>[17]Sales_SP!HS46</f>
        <v>840.091257584557</v>
      </c>
      <c r="I607" s="851">
        <f>[17]Sales_SP!HT46</f>
        <v>1034.94868759674</v>
      </c>
      <c r="J607" s="851">
        <f>[17]Sales_SP!HU46</f>
        <v>1123.40087274036</v>
      </c>
      <c r="K607" s="851">
        <f>[17]Sales_SP!HV46</f>
        <v>754.531726670841</v>
      </c>
      <c r="L607" s="851">
        <f>[17]Sales_SP!HW46</f>
        <v>639.201158383291</v>
      </c>
      <c r="M607" s="851">
        <f>[17]Sales_SP!HX46</f>
        <v>1121.03206243197</v>
      </c>
      <c r="N607" s="851">
        <f>[17]Sales_SP!HY46</f>
        <v>1505.47132666184</v>
      </c>
      <c r="O607" s="851">
        <f>[17]Sales_SP!HZ46</f>
        <v>1601.99129571336</v>
      </c>
      <c r="P607" s="851">
        <f>[17]Sales_SP!IA46</f>
        <v>1858.78929833697</v>
      </c>
      <c r="Q607" s="856">
        <f t="shared" si="143"/>
        <v>13052.8047610477</v>
      </c>
      <c r="R607" s="854"/>
      <c r="S607" s="854"/>
    </row>
    <row r="608" ht="15" hidden="1" spans="3:19">
      <c r="C608" s="296" t="s">
        <v>181</v>
      </c>
      <c r="D608" s="296" t="s">
        <v>182</v>
      </c>
      <c r="E608" s="851"/>
      <c r="F608" s="851"/>
      <c r="G608" s="851"/>
      <c r="H608" s="851"/>
      <c r="I608" s="851"/>
      <c r="J608" s="851"/>
      <c r="K608" s="851"/>
      <c r="L608" s="851"/>
      <c r="M608" s="851"/>
      <c r="N608" s="851"/>
      <c r="O608" s="851"/>
      <c r="P608" s="851"/>
      <c r="Q608" s="856">
        <f t="shared" si="143"/>
        <v>0</v>
      </c>
      <c r="R608" s="854"/>
      <c r="S608" s="854"/>
    </row>
    <row r="609" ht="15" hidden="1" spans="3:19">
      <c r="C609" s="296" t="s">
        <v>183</v>
      </c>
      <c r="D609" s="296" t="s">
        <v>184</v>
      </c>
      <c r="E609" s="851"/>
      <c r="F609" s="851"/>
      <c r="G609" s="851"/>
      <c r="H609" s="851"/>
      <c r="I609" s="851"/>
      <c r="J609" s="851"/>
      <c r="K609" s="851"/>
      <c r="L609" s="851"/>
      <c r="M609" s="851"/>
      <c r="N609" s="851"/>
      <c r="O609" s="851"/>
      <c r="P609" s="851"/>
      <c r="Q609" s="856">
        <f t="shared" si="143"/>
        <v>0</v>
      </c>
      <c r="R609" s="854"/>
      <c r="S609" s="854"/>
    </row>
    <row r="610" ht="15" hidden="1" spans="3:19">
      <c r="C610" s="296" t="s">
        <v>185</v>
      </c>
      <c r="D610" s="296" t="s">
        <v>186</v>
      </c>
      <c r="E610" s="851"/>
      <c r="F610" s="851"/>
      <c r="G610" s="851"/>
      <c r="H610" s="851"/>
      <c r="I610" s="851"/>
      <c r="J610" s="851"/>
      <c r="K610" s="851"/>
      <c r="L610" s="851"/>
      <c r="M610" s="851"/>
      <c r="N610" s="851"/>
      <c r="O610" s="851"/>
      <c r="P610" s="851"/>
      <c r="Q610" s="856">
        <f t="shared" si="143"/>
        <v>0</v>
      </c>
      <c r="R610" s="854"/>
      <c r="S610" s="854"/>
    </row>
    <row r="611" ht="15" hidden="1" spans="3:19">
      <c r="C611" s="296" t="s">
        <v>187</v>
      </c>
      <c r="D611" s="296" t="s">
        <v>188</v>
      </c>
      <c r="E611" s="851"/>
      <c r="F611" s="851"/>
      <c r="G611" s="851"/>
      <c r="H611" s="851"/>
      <c r="I611" s="851"/>
      <c r="J611" s="851"/>
      <c r="K611" s="851"/>
      <c r="L611" s="851"/>
      <c r="M611" s="851"/>
      <c r="N611" s="851"/>
      <c r="O611" s="851"/>
      <c r="P611" s="851"/>
      <c r="Q611" s="856">
        <f t="shared" si="143"/>
        <v>0</v>
      </c>
      <c r="R611" s="854"/>
      <c r="S611" s="854"/>
    </row>
    <row r="612" ht="15" hidden="1" spans="3:19">
      <c r="C612" s="296"/>
      <c r="D612" s="296"/>
      <c r="E612" s="851"/>
      <c r="F612" s="851"/>
      <c r="G612" s="851"/>
      <c r="H612" s="851"/>
      <c r="I612" s="851"/>
      <c r="J612" s="851"/>
      <c r="K612" s="851"/>
      <c r="L612" s="851"/>
      <c r="M612" s="851"/>
      <c r="N612" s="851"/>
      <c r="O612" s="851"/>
      <c r="P612" s="851"/>
      <c r="Q612" s="856">
        <f t="shared" si="143"/>
        <v>0</v>
      </c>
      <c r="R612" s="854"/>
      <c r="S612" s="854"/>
    </row>
    <row r="613" ht="15" hidden="1" spans="3:19">
      <c r="C613" s="296"/>
      <c r="D613" s="296"/>
      <c r="E613" s="851"/>
      <c r="F613" s="851"/>
      <c r="G613" s="851"/>
      <c r="H613" s="851"/>
      <c r="I613" s="851"/>
      <c r="J613" s="851"/>
      <c r="K613" s="851"/>
      <c r="L613" s="851"/>
      <c r="M613" s="851"/>
      <c r="N613" s="851"/>
      <c r="O613" s="851"/>
      <c r="P613" s="851"/>
      <c r="Q613" s="856">
        <f t="shared" si="143"/>
        <v>0</v>
      </c>
      <c r="R613" s="854"/>
      <c r="S613" s="854"/>
    </row>
    <row r="614" ht="15" hidden="1" spans="3:19">
      <c r="C614" s="296"/>
      <c r="D614" s="296"/>
      <c r="E614" s="851"/>
      <c r="F614" s="851"/>
      <c r="G614" s="851"/>
      <c r="H614" s="851"/>
      <c r="I614" s="851"/>
      <c r="J614" s="851"/>
      <c r="K614" s="851"/>
      <c r="L614" s="851"/>
      <c r="M614" s="851"/>
      <c r="N614" s="851"/>
      <c r="O614" s="851"/>
      <c r="P614" s="851"/>
      <c r="Q614" s="856">
        <f t="shared" si="143"/>
        <v>0</v>
      </c>
      <c r="R614" s="854"/>
      <c r="S614" s="854"/>
    </row>
    <row r="615" ht="15" hidden="1" spans="3:19">
      <c r="C615" s="296" t="s">
        <v>258</v>
      </c>
      <c r="D615" s="296" t="s">
        <v>258</v>
      </c>
      <c r="E615" s="851"/>
      <c r="F615" s="851"/>
      <c r="G615" s="851"/>
      <c r="H615" s="851"/>
      <c r="I615" s="851"/>
      <c r="J615" s="851"/>
      <c r="K615" s="851"/>
      <c r="L615" s="851"/>
      <c r="M615" s="851"/>
      <c r="N615" s="851"/>
      <c r="O615" s="851"/>
      <c r="P615" s="851"/>
      <c r="Q615" s="856">
        <f t="shared" si="143"/>
        <v>0</v>
      </c>
      <c r="R615" s="854"/>
      <c r="S615" s="854"/>
    </row>
    <row r="616" ht="15" hidden="1" spans="3:19">
      <c r="C616" s="285" t="s">
        <v>189</v>
      </c>
      <c r="D616" s="286"/>
      <c r="E616" s="856">
        <f t="shared" ref="E616:P616" si="144">SUM(E603:E615)</f>
        <v>1349.92598312597</v>
      </c>
      <c r="F616" s="856">
        <f t="shared" si="144"/>
        <v>638.467640280526</v>
      </c>
      <c r="G616" s="856">
        <f t="shared" si="144"/>
        <v>584.953451521322</v>
      </c>
      <c r="H616" s="856">
        <f t="shared" si="144"/>
        <v>840.091257584557</v>
      </c>
      <c r="I616" s="856">
        <f t="shared" si="144"/>
        <v>1034.94868759674</v>
      </c>
      <c r="J616" s="856">
        <f t="shared" si="144"/>
        <v>1123.40087274036</v>
      </c>
      <c r="K616" s="856">
        <f t="shared" si="144"/>
        <v>754.531726670841</v>
      </c>
      <c r="L616" s="856">
        <f t="shared" si="144"/>
        <v>639.201158383291</v>
      </c>
      <c r="M616" s="856">
        <f t="shared" si="144"/>
        <v>1121.03206243197</v>
      </c>
      <c r="N616" s="856">
        <f t="shared" si="144"/>
        <v>1505.47132666184</v>
      </c>
      <c r="O616" s="856">
        <f t="shared" si="144"/>
        <v>1601.99129571336</v>
      </c>
      <c r="P616" s="856">
        <f t="shared" si="144"/>
        <v>1858.78929833697</v>
      </c>
      <c r="Q616" s="856">
        <f t="shared" si="143"/>
        <v>13052.8047610477</v>
      </c>
      <c r="R616" s="854"/>
      <c r="S616" s="854"/>
    </row>
    <row r="617" ht="15" hidden="1" spans="3:19">
      <c r="C617" s="285" t="s">
        <v>190</v>
      </c>
      <c r="D617" s="286"/>
      <c r="E617" s="851"/>
      <c r="F617" s="851"/>
      <c r="G617" s="851"/>
      <c r="H617" s="851"/>
      <c r="I617" s="851"/>
      <c r="J617" s="851"/>
      <c r="K617" s="851"/>
      <c r="L617" s="851"/>
      <c r="M617" s="851"/>
      <c r="N617" s="851"/>
      <c r="O617" s="851"/>
      <c r="P617" s="851"/>
      <c r="Q617" s="856"/>
      <c r="R617" s="854"/>
      <c r="S617" s="854"/>
    </row>
    <row r="618" ht="15" hidden="1" spans="3:19">
      <c r="C618" s="296" t="s">
        <v>191</v>
      </c>
      <c r="D618" s="296" t="s">
        <v>192</v>
      </c>
      <c r="E618" s="851"/>
      <c r="F618" s="851"/>
      <c r="G618" s="851"/>
      <c r="H618" s="851"/>
      <c r="I618" s="851"/>
      <c r="J618" s="851"/>
      <c r="K618" s="851"/>
      <c r="L618" s="851"/>
      <c r="M618" s="851"/>
      <c r="N618" s="851"/>
      <c r="O618" s="851"/>
      <c r="P618" s="851"/>
      <c r="Q618" s="856">
        <f t="shared" ref="Q618:Q633" si="145">SUM(E618:P618)</f>
        <v>0</v>
      </c>
      <c r="R618" s="854"/>
      <c r="S618" s="854"/>
    </row>
    <row r="619" ht="15" hidden="1" spans="3:19">
      <c r="C619" s="296" t="s">
        <v>193</v>
      </c>
      <c r="D619" s="296" t="s">
        <v>194</v>
      </c>
      <c r="E619" s="851"/>
      <c r="F619" s="851"/>
      <c r="G619" s="851"/>
      <c r="H619" s="851"/>
      <c r="I619" s="851"/>
      <c r="J619" s="851"/>
      <c r="K619" s="851"/>
      <c r="L619" s="851"/>
      <c r="M619" s="851"/>
      <c r="N619" s="851"/>
      <c r="O619" s="851"/>
      <c r="P619" s="851"/>
      <c r="Q619" s="856">
        <f t="shared" si="145"/>
        <v>0</v>
      </c>
      <c r="R619" s="854"/>
      <c r="S619" s="854"/>
    </row>
    <row r="620" ht="15" hidden="1" spans="3:19">
      <c r="C620" s="296" t="s">
        <v>239</v>
      </c>
      <c r="D620" s="296" t="s">
        <v>196</v>
      </c>
      <c r="E620" s="851"/>
      <c r="F620" s="851"/>
      <c r="G620" s="851"/>
      <c r="H620" s="851"/>
      <c r="I620" s="851"/>
      <c r="J620" s="851"/>
      <c r="K620" s="851"/>
      <c r="L620" s="851"/>
      <c r="M620" s="851"/>
      <c r="N620" s="851"/>
      <c r="O620" s="851"/>
      <c r="P620" s="851"/>
      <c r="Q620" s="856">
        <f t="shared" si="145"/>
        <v>0</v>
      </c>
      <c r="R620" s="854"/>
      <c r="S620" s="854"/>
    </row>
    <row r="621" ht="15" hidden="1" spans="3:19">
      <c r="C621" s="296" t="s">
        <v>197</v>
      </c>
      <c r="D621" s="296" t="s">
        <v>198</v>
      </c>
      <c r="E621" s="851"/>
      <c r="F621" s="851"/>
      <c r="G621" s="851"/>
      <c r="H621" s="851"/>
      <c r="I621" s="851"/>
      <c r="J621" s="851"/>
      <c r="K621" s="851"/>
      <c r="L621" s="851"/>
      <c r="M621" s="851"/>
      <c r="N621" s="851"/>
      <c r="O621" s="851"/>
      <c r="P621" s="851"/>
      <c r="Q621" s="856">
        <f t="shared" si="145"/>
        <v>0</v>
      </c>
      <c r="R621" s="854"/>
      <c r="S621" s="854"/>
    </row>
    <row r="622" ht="15" hidden="1" spans="3:19">
      <c r="C622" s="296" t="s">
        <v>199</v>
      </c>
      <c r="D622" s="296" t="s">
        <v>200</v>
      </c>
      <c r="E622" s="851"/>
      <c r="F622" s="851"/>
      <c r="G622" s="851"/>
      <c r="H622" s="851"/>
      <c r="I622" s="851"/>
      <c r="J622" s="851"/>
      <c r="K622" s="851"/>
      <c r="L622" s="851"/>
      <c r="M622" s="851"/>
      <c r="N622" s="851"/>
      <c r="O622" s="851"/>
      <c r="P622" s="851"/>
      <c r="Q622" s="856">
        <f t="shared" si="145"/>
        <v>0</v>
      </c>
      <c r="R622" s="854"/>
      <c r="S622" s="854"/>
    </row>
    <row r="623" ht="15" hidden="1" spans="3:19">
      <c r="C623" s="296" t="s">
        <v>201</v>
      </c>
      <c r="D623" s="296" t="s">
        <v>202</v>
      </c>
      <c r="E623" s="851"/>
      <c r="F623" s="851"/>
      <c r="G623" s="851"/>
      <c r="H623" s="851"/>
      <c r="I623" s="851"/>
      <c r="J623" s="851"/>
      <c r="K623" s="851"/>
      <c r="L623" s="851"/>
      <c r="M623" s="851"/>
      <c r="N623" s="851"/>
      <c r="O623" s="851"/>
      <c r="P623" s="851"/>
      <c r="Q623" s="856">
        <f t="shared" si="145"/>
        <v>0</v>
      </c>
      <c r="R623" s="854"/>
      <c r="S623" s="854"/>
    </row>
    <row r="624" ht="15" hidden="1" spans="3:19">
      <c r="C624" s="296" t="s">
        <v>203</v>
      </c>
      <c r="D624" s="296" t="s">
        <v>204</v>
      </c>
      <c r="E624" s="851"/>
      <c r="F624" s="851"/>
      <c r="G624" s="851"/>
      <c r="H624" s="851"/>
      <c r="I624" s="851"/>
      <c r="J624" s="851"/>
      <c r="K624" s="851"/>
      <c r="L624" s="851"/>
      <c r="M624" s="851"/>
      <c r="N624" s="851"/>
      <c r="O624" s="851"/>
      <c r="P624" s="851"/>
      <c r="Q624" s="856">
        <f t="shared" si="145"/>
        <v>0</v>
      </c>
      <c r="R624" s="854"/>
      <c r="S624" s="854"/>
    </row>
    <row r="625" ht="15" hidden="1" spans="3:19">
      <c r="C625" s="296" t="s">
        <v>205</v>
      </c>
      <c r="D625" s="296" t="s">
        <v>206</v>
      </c>
      <c r="E625" s="851"/>
      <c r="F625" s="851"/>
      <c r="G625" s="851"/>
      <c r="H625" s="851"/>
      <c r="I625" s="851"/>
      <c r="J625" s="851"/>
      <c r="K625" s="851"/>
      <c r="L625" s="851"/>
      <c r="M625" s="851"/>
      <c r="N625" s="851"/>
      <c r="O625" s="851"/>
      <c r="P625" s="851"/>
      <c r="Q625" s="856">
        <f t="shared" si="145"/>
        <v>0</v>
      </c>
      <c r="R625" s="854"/>
      <c r="S625" s="854"/>
    </row>
    <row r="626" ht="15" hidden="1" spans="3:19">
      <c r="C626" s="296" t="s">
        <v>207</v>
      </c>
      <c r="D626" s="296" t="s">
        <v>186</v>
      </c>
      <c r="E626" s="851"/>
      <c r="F626" s="851"/>
      <c r="G626" s="851"/>
      <c r="H626" s="851"/>
      <c r="I626" s="851"/>
      <c r="J626" s="851"/>
      <c r="K626" s="851"/>
      <c r="L626" s="851"/>
      <c r="M626" s="851"/>
      <c r="N626" s="851"/>
      <c r="O626" s="851"/>
      <c r="P626" s="851"/>
      <c r="Q626" s="856">
        <f t="shared" si="145"/>
        <v>0</v>
      </c>
      <c r="R626" s="854"/>
      <c r="S626" s="854"/>
    </row>
    <row r="627" ht="15" hidden="1" spans="3:19">
      <c r="C627" s="296" t="s">
        <v>208</v>
      </c>
      <c r="D627" s="296" t="s">
        <v>209</v>
      </c>
      <c r="E627" s="851"/>
      <c r="F627" s="851"/>
      <c r="G627" s="851"/>
      <c r="H627" s="851"/>
      <c r="I627" s="851"/>
      <c r="J627" s="851"/>
      <c r="K627" s="851"/>
      <c r="L627" s="851"/>
      <c r="M627" s="851"/>
      <c r="N627" s="851"/>
      <c r="O627" s="851"/>
      <c r="P627" s="851"/>
      <c r="Q627" s="856">
        <f t="shared" si="145"/>
        <v>0</v>
      </c>
      <c r="R627" s="854"/>
      <c r="S627" s="854"/>
    </row>
    <row r="628" ht="15" hidden="1" spans="3:19">
      <c r="C628" s="296" t="s">
        <v>210</v>
      </c>
      <c r="D628" s="296" t="s">
        <v>188</v>
      </c>
      <c r="E628" s="851"/>
      <c r="F628" s="851"/>
      <c r="G628" s="851"/>
      <c r="H628" s="851"/>
      <c r="I628" s="851"/>
      <c r="J628" s="851"/>
      <c r="K628" s="851"/>
      <c r="L628" s="851"/>
      <c r="M628" s="851"/>
      <c r="N628" s="851"/>
      <c r="O628" s="851"/>
      <c r="P628" s="851"/>
      <c r="Q628" s="856">
        <f t="shared" si="145"/>
        <v>0</v>
      </c>
      <c r="R628" s="854"/>
      <c r="S628" s="854"/>
    </row>
    <row r="629" ht="15" hidden="1" spans="3:19">
      <c r="C629" s="296"/>
      <c r="D629" s="296"/>
      <c r="E629" s="851"/>
      <c r="F629" s="851"/>
      <c r="G629" s="851"/>
      <c r="H629" s="851"/>
      <c r="I629" s="851"/>
      <c r="J629" s="851"/>
      <c r="K629" s="851"/>
      <c r="L629" s="851"/>
      <c r="M629" s="851"/>
      <c r="N629" s="851"/>
      <c r="O629" s="851"/>
      <c r="P629" s="851"/>
      <c r="Q629" s="856">
        <f t="shared" si="145"/>
        <v>0</v>
      </c>
      <c r="R629" s="854"/>
      <c r="S629" s="854"/>
    </row>
    <row r="630" ht="15" hidden="1" spans="3:19">
      <c r="C630" s="296"/>
      <c r="D630" s="296"/>
      <c r="E630" s="851"/>
      <c r="F630" s="851"/>
      <c r="G630" s="851"/>
      <c r="H630" s="851"/>
      <c r="I630" s="851"/>
      <c r="J630" s="851"/>
      <c r="K630" s="851"/>
      <c r="L630" s="851"/>
      <c r="M630" s="851"/>
      <c r="N630" s="851"/>
      <c r="O630" s="851"/>
      <c r="P630" s="851"/>
      <c r="Q630" s="856">
        <f t="shared" si="145"/>
        <v>0</v>
      </c>
      <c r="R630" s="854"/>
      <c r="S630" s="854"/>
    </row>
    <row r="631" ht="15" hidden="1" spans="3:19">
      <c r="C631" s="296"/>
      <c r="D631" s="296"/>
      <c r="E631" s="851"/>
      <c r="F631" s="851"/>
      <c r="G631" s="851"/>
      <c r="H631" s="851"/>
      <c r="I631" s="851"/>
      <c r="J631" s="851"/>
      <c r="K631" s="851"/>
      <c r="L631" s="851"/>
      <c r="M631" s="851"/>
      <c r="N631" s="851"/>
      <c r="O631" s="851"/>
      <c r="P631" s="851"/>
      <c r="Q631" s="856">
        <f t="shared" si="145"/>
        <v>0</v>
      </c>
      <c r="R631" s="854"/>
      <c r="S631" s="854"/>
    </row>
    <row r="632" ht="15" hidden="1" spans="3:19">
      <c r="C632" s="296" t="s">
        <v>258</v>
      </c>
      <c r="D632" s="296" t="s">
        <v>258</v>
      </c>
      <c r="E632" s="851"/>
      <c r="F632" s="851"/>
      <c r="G632" s="851"/>
      <c r="H632" s="851"/>
      <c r="I632" s="851"/>
      <c r="J632" s="851"/>
      <c r="K632" s="851"/>
      <c r="L632" s="851"/>
      <c r="M632" s="851"/>
      <c r="N632" s="851"/>
      <c r="O632" s="851"/>
      <c r="P632" s="851"/>
      <c r="Q632" s="856">
        <f t="shared" si="145"/>
        <v>0</v>
      </c>
      <c r="R632" s="854"/>
      <c r="S632" s="854"/>
    </row>
    <row r="633" ht="15" hidden="1" spans="3:19">
      <c r="C633" s="285" t="s">
        <v>211</v>
      </c>
      <c r="D633" s="286"/>
      <c r="E633" s="856">
        <f t="shared" ref="E633:P633" si="146">SUM(E618:E632)</f>
        <v>0</v>
      </c>
      <c r="F633" s="856">
        <f t="shared" si="146"/>
        <v>0</v>
      </c>
      <c r="G633" s="856">
        <f t="shared" si="146"/>
        <v>0</v>
      </c>
      <c r="H633" s="856">
        <f t="shared" si="146"/>
        <v>0</v>
      </c>
      <c r="I633" s="856">
        <f t="shared" si="146"/>
        <v>0</v>
      </c>
      <c r="J633" s="856">
        <f t="shared" si="146"/>
        <v>0</v>
      </c>
      <c r="K633" s="856">
        <f t="shared" si="146"/>
        <v>0</v>
      </c>
      <c r="L633" s="856">
        <f t="shared" si="146"/>
        <v>0</v>
      </c>
      <c r="M633" s="856">
        <f t="shared" si="146"/>
        <v>0</v>
      </c>
      <c r="N633" s="856">
        <f t="shared" si="146"/>
        <v>0</v>
      </c>
      <c r="O633" s="856">
        <f t="shared" si="146"/>
        <v>0</v>
      </c>
      <c r="P633" s="856">
        <f t="shared" si="146"/>
        <v>0</v>
      </c>
      <c r="Q633" s="856">
        <f t="shared" si="145"/>
        <v>0</v>
      </c>
      <c r="R633" s="854"/>
      <c r="S633" s="854"/>
    </row>
    <row r="634" ht="15" hidden="1" spans="3:19">
      <c r="C634" s="285" t="s">
        <v>212</v>
      </c>
      <c r="D634" s="286"/>
      <c r="E634" s="851"/>
      <c r="F634" s="851"/>
      <c r="G634" s="851"/>
      <c r="H634" s="851"/>
      <c r="I634" s="851"/>
      <c r="J634" s="851"/>
      <c r="K634" s="851"/>
      <c r="L634" s="851"/>
      <c r="M634" s="851"/>
      <c r="N634" s="851"/>
      <c r="O634" s="851"/>
      <c r="P634" s="851"/>
      <c r="Q634" s="856"/>
      <c r="R634" s="854"/>
      <c r="S634" s="854"/>
    </row>
    <row r="635" ht="15" hidden="1" spans="3:19">
      <c r="C635" s="296" t="s">
        <v>191</v>
      </c>
      <c r="D635" s="296" t="s">
        <v>192</v>
      </c>
      <c r="E635" s="851"/>
      <c r="F635" s="851"/>
      <c r="G635" s="851"/>
      <c r="H635" s="851"/>
      <c r="I635" s="851"/>
      <c r="J635" s="851"/>
      <c r="K635" s="851"/>
      <c r="L635" s="851"/>
      <c r="M635" s="851"/>
      <c r="N635" s="851"/>
      <c r="O635" s="851"/>
      <c r="P635" s="851"/>
      <c r="Q635" s="856">
        <f t="shared" ref="Q635:Q650" si="147">SUM(E635:P635)</f>
        <v>0</v>
      </c>
      <c r="R635" s="854"/>
      <c r="S635" s="854"/>
    </row>
    <row r="636" ht="15" hidden="1" spans="3:19">
      <c r="C636" s="296" t="s">
        <v>193</v>
      </c>
      <c r="D636" s="296" t="s">
        <v>194</v>
      </c>
      <c r="E636" s="851"/>
      <c r="F636" s="851"/>
      <c r="G636" s="851"/>
      <c r="H636" s="851"/>
      <c r="I636" s="851"/>
      <c r="J636" s="851"/>
      <c r="K636" s="851"/>
      <c r="L636" s="851"/>
      <c r="M636" s="851"/>
      <c r="N636" s="851"/>
      <c r="O636" s="851"/>
      <c r="P636" s="851"/>
      <c r="Q636" s="856">
        <f t="shared" si="147"/>
        <v>0</v>
      </c>
      <c r="R636" s="854"/>
      <c r="S636" s="854"/>
    </row>
    <row r="637" ht="15" hidden="1" spans="3:19">
      <c r="C637" s="296" t="s">
        <v>239</v>
      </c>
      <c r="D637" s="296" t="s">
        <v>196</v>
      </c>
      <c r="E637" s="851"/>
      <c r="F637" s="851"/>
      <c r="G637" s="851"/>
      <c r="H637" s="851"/>
      <c r="I637" s="851"/>
      <c r="J637" s="851"/>
      <c r="K637" s="851"/>
      <c r="L637" s="851"/>
      <c r="M637" s="851"/>
      <c r="N637" s="851"/>
      <c r="O637" s="851"/>
      <c r="P637" s="851"/>
      <c r="Q637" s="856">
        <f t="shared" si="147"/>
        <v>0</v>
      </c>
      <c r="R637" s="854"/>
      <c r="S637" s="854"/>
    </row>
    <row r="638" ht="15" hidden="1" spans="3:19">
      <c r="C638" s="296" t="s">
        <v>197</v>
      </c>
      <c r="D638" s="296" t="s">
        <v>198</v>
      </c>
      <c r="E638" s="851"/>
      <c r="F638" s="851"/>
      <c r="G638" s="851"/>
      <c r="H638" s="851"/>
      <c r="I638" s="851"/>
      <c r="J638" s="851"/>
      <c r="K638" s="851"/>
      <c r="L638" s="851"/>
      <c r="M638" s="851"/>
      <c r="N638" s="851"/>
      <c r="O638" s="851"/>
      <c r="P638" s="851"/>
      <c r="Q638" s="856">
        <f t="shared" si="147"/>
        <v>0</v>
      </c>
      <c r="R638" s="854"/>
      <c r="S638" s="854"/>
    </row>
    <row r="639" ht="15" hidden="1" spans="3:19">
      <c r="C639" s="296" t="s">
        <v>199</v>
      </c>
      <c r="D639" s="296" t="s">
        <v>200</v>
      </c>
      <c r="E639" s="851"/>
      <c r="F639" s="851"/>
      <c r="G639" s="851"/>
      <c r="H639" s="851"/>
      <c r="I639" s="851"/>
      <c r="J639" s="851"/>
      <c r="K639" s="851"/>
      <c r="L639" s="851"/>
      <c r="M639" s="851"/>
      <c r="N639" s="851"/>
      <c r="O639" s="851"/>
      <c r="P639" s="851"/>
      <c r="Q639" s="856">
        <f t="shared" si="147"/>
        <v>0</v>
      </c>
      <c r="R639" s="854"/>
      <c r="S639" s="854"/>
    </row>
    <row r="640" ht="15" hidden="1" spans="3:19">
      <c r="C640" s="296" t="s">
        <v>201</v>
      </c>
      <c r="D640" s="296" t="s">
        <v>202</v>
      </c>
      <c r="E640" s="851"/>
      <c r="F640" s="851"/>
      <c r="G640" s="851"/>
      <c r="H640" s="851"/>
      <c r="I640" s="851"/>
      <c r="J640" s="851"/>
      <c r="K640" s="851"/>
      <c r="L640" s="851"/>
      <c r="M640" s="851"/>
      <c r="N640" s="851"/>
      <c r="O640" s="851"/>
      <c r="P640" s="851"/>
      <c r="Q640" s="856">
        <f t="shared" si="147"/>
        <v>0</v>
      </c>
      <c r="R640" s="854"/>
      <c r="S640" s="854"/>
    </row>
    <row r="641" ht="15" hidden="1" spans="3:19">
      <c r="C641" s="296" t="s">
        <v>203</v>
      </c>
      <c r="D641" s="296" t="s">
        <v>204</v>
      </c>
      <c r="E641" s="851"/>
      <c r="F641" s="851"/>
      <c r="G641" s="851"/>
      <c r="H641" s="851"/>
      <c r="I641" s="851"/>
      <c r="J641" s="851"/>
      <c r="K641" s="851"/>
      <c r="L641" s="851"/>
      <c r="M641" s="851"/>
      <c r="N641" s="851"/>
      <c r="O641" s="851"/>
      <c r="P641" s="851"/>
      <c r="Q641" s="856">
        <f t="shared" si="147"/>
        <v>0</v>
      </c>
      <c r="R641" s="854"/>
      <c r="S641" s="854"/>
    </row>
    <row r="642" ht="15" hidden="1" spans="3:19">
      <c r="C642" s="296" t="s">
        <v>205</v>
      </c>
      <c r="D642" s="296" t="s">
        <v>206</v>
      </c>
      <c r="E642" s="851"/>
      <c r="F642" s="851"/>
      <c r="G642" s="851"/>
      <c r="H642" s="851"/>
      <c r="I642" s="851"/>
      <c r="J642" s="851"/>
      <c r="K642" s="851"/>
      <c r="L642" s="851"/>
      <c r="M642" s="851"/>
      <c r="N642" s="851"/>
      <c r="O642" s="851"/>
      <c r="P642" s="851"/>
      <c r="Q642" s="856">
        <f t="shared" si="147"/>
        <v>0</v>
      </c>
      <c r="R642" s="854"/>
      <c r="S642" s="854"/>
    </row>
    <row r="643" ht="15" hidden="1" spans="3:19">
      <c r="C643" s="296" t="s">
        <v>231</v>
      </c>
      <c r="D643" s="296" t="s">
        <v>186</v>
      </c>
      <c r="E643" s="851"/>
      <c r="F643" s="851"/>
      <c r="G643" s="851"/>
      <c r="H643" s="851"/>
      <c r="I643" s="851"/>
      <c r="J643" s="851"/>
      <c r="K643" s="851"/>
      <c r="L643" s="851"/>
      <c r="M643" s="851"/>
      <c r="N643" s="851"/>
      <c r="O643" s="851"/>
      <c r="P643" s="851"/>
      <c r="Q643" s="856">
        <f t="shared" si="147"/>
        <v>0</v>
      </c>
      <c r="R643" s="854"/>
      <c r="S643" s="854"/>
    </row>
    <row r="644" ht="15" hidden="1" spans="3:19">
      <c r="C644" s="296" t="s">
        <v>208</v>
      </c>
      <c r="D644" s="296" t="s">
        <v>209</v>
      </c>
      <c r="E644" s="851"/>
      <c r="F644" s="851"/>
      <c r="G644" s="851"/>
      <c r="H644" s="851"/>
      <c r="I644" s="851"/>
      <c r="J644" s="851"/>
      <c r="K644" s="851"/>
      <c r="L644" s="851"/>
      <c r="M644" s="851"/>
      <c r="N644" s="851"/>
      <c r="O644" s="851"/>
      <c r="P644" s="851"/>
      <c r="Q644" s="856">
        <f t="shared" si="147"/>
        <v>0</v>
      </c>
      <c r="R644" s="854"/>
      <c r="S644" s="854"/>
    </row>
    <row r="645" ht="15" hidden="1" spans="3:19">
      <c r="C645" s="296" t="s">
        <v>210</v>
      </c>
      <c r="D645" s="296" t="s">
        <v>188</v>
      </c>
      <c r="E645" s="851"/>
      <c r="F645" s="851"/>
      <c r="G645" s="851"/>
      <c r="H645" s="851"/>
      <c r="I645" s="851"/>
      <c r="J645" s="851"/>
      <c r="K645" s="851"/>
      <c r="L645" s="851"/>
      <c r="M645" s="851"/>
      <c r="N645" s="851"/>
      <c r="O645" s="851"/>
      <c r="P645" s="851"/>
      <c r="Q645" s="856">
        <f t="shared" si="147"/>
        <v>0</v>
      </c>
      <c r="R645" s="854"/>
      <c r="S645" s="854"/>
    </row>
    <row r="646" ht="15" hidden="1" spans="3:19">
      <c r="C646" s="296"/>
      <c r="D646" s="296"/>
      <c r="E646" s="851"/>
      <c r="F646" s="851"/>
      <c r="G646" s="851"/>
      <c r="H646" s="851"/>
      <c r="I646" s="851"/>
      <c r="J646" s="851"/>
      <c r="K646" s="851"/>
      <c r="L646" s="851"/>
      <c r="M646" s="851"/>
      <c r="N646" s="851"/>
      <c r="O646" s="851"/>
      <c r="P646" s="851"/>
      <c r="Q646" s="856">
        <f t="shared" si="147"/>
        <v>0</v>
      </c>
      <c r="R646" s="854"/>
      <c r="S646" s="854"/>
    </row>
    <row r="647" ht="15" hidden="1" spans="3:19">
      <c r="C647" s="296"/>
      <c r="D647" s="296"/>
      <c r="E647" s="851"/>
      <c r="F647" s="851"/>
      <c r="G647" s="851"/>
      <c r="H647" s="851"/>
      <c r="I647" s="851"/>
      <c r="J647" s="851"/>
      <c r="K647" s="851"/>
      <c r="L647" s="851"/>
      <c r="M647" s="851"/>
      <c r="N647" s="851"/>
      <c r="O647" s="851"/>
      <c r="P647" s="851"/>
      <c r="Q647" s="856">
        <f t="shared" si="147"/>
        <v>0</v>
      </c>
      <c r="R647" s="854"/>
      <c r="S647" s="854"/>
    </row>
    <row r="648" ht="15" hidden="1" spans="3:19">
      <c r="C648" s="296"/>
      <c r="D648" s="296"/>
      <c r="E648" s="851"/>
      <c r="F648" s="851"/>
      <c r="G648" s="851"/>
      <c r="H648" s="851"/>
      <c r="I648" s="851"/>
      <c r="J648" s="851"/>
      <c r="K648" s="851"/>
      <c r="L648" s="851"/>
      <c r="M648" s="851"/>
      <c r="N648" s="851"/>
      <c r="O648" s="851"/>
      <c r="P648" s="851"/>
      <c r="Q648" s="856">
        <f t="shared" si="147"/>
        <v>0</v>
      </c>
      <c r="R648" s="854"/>
      <c r="S648" s="854"/>
    </row>
    <row r="649" ht="15" hidden="1" spans="3:19">
      <c r="C649" s="296" t="s">
        <v>258</v>
      </c>
      <c r="D649" s="296" t="s">
        <v>258</v>
      </c>
      <c r="E649" s="851"/>
      <c r="F649" s="851"/>
      <c r="G649" s="851"/>
      <c r="H649" s="851"/>
      <c r="I649" s="851"/>
      <c r="J649" s="851"/>
      <c r="K649" s="851"/>
      <c r="L649" s="851"/>
      <c r="M649" s="851"/>
      <c r="N649" s="851"/>
      <c r="O649" s="851"/>
      <c r="P649" s="851"/>
      <c r="Q649" s="856">
        <f t="shared" si="147"/>
        <v>0</v>
      </c>
      <c r="R649" s="854"/>
      <c r="S649" s="854"/>
    </row>
    <row r="650" ht="15" hidden="1" spans="3:19">
      <c r="C650" s="285" t="s">
        <v>211</v>
      </c>
      <c r="D650" s="286"/>
      <c r="E650" s="856">
        <f t="shared" ref="E650:P650" si="148">SUM(E635:E649)</f>
        <v>0</v>
      </c>
      <c r="F650" s="856">
        <f t="shared" si="148"/>
        <v>0</v>
      </c>
      <c r="G650" s="856">
        <f t="shared" si="148"/>
        <v>0</v>
      </c>
      <c r="H650" s="856">
        <f t="shared" si="148"/>
        <v>0</v>
      </c>
      <c r="I650" s="856">
        <f t="shared" si="148"/>
        <v>0</v>
      </c>
      <c r="J650" s="856">
        <f t="shared" si="148"/>
        <v>0</v>
      </c>
      <c r="K650" s="856">
        <f t="shared" si="148"/>
        <v>0</v>
      </c>
      <c r="L650" s="856">
        <f t="shared" si="148"/>
        <v>0</v>
      </c>
      <c r="M650" s="856">
        <f t="shared" si="148"/>
        <v>0</v>
      </c>
      <c r="N650" s="856">
        <f t="shared" si="148"/>
        <v>0</v>
      </c>
      <c r="O650" s="856">
        <f t="shared" si="148"/>
        <v>0</v>
      </c>
      <c r="P650" s="856">
        <f t="shared" si="148"/>
        <v>0</v>
      </c>
      <c r="Q650" s="856">
        <f t="shared" si="147"/>
        <v>0</v>
      </c>
      <c r="R650" s="854"/>
      <c r="S650" s="854"/>
    </row>
    <row r="651" ht="15" hidden="1" spans="3:19">
      <c r="C651" s="285" t="s">
        <v>219</v>
      </c>
      <c r="D651" s="286"/>
      <c r="E651" s="851"/>
      <c r="F651" s="851"/>
      <c r="G651" s="851"/>
      <c r="H651" s="851"/>
      <c r="I651" s="851"/>
      <c r="J651" s="851"/>
      <c r="K651" s="851"/>
      <c r="L651" s="851"/>
      <c r="M651" s="851"/>
      <c r="N651" s="851"/>
      <c r="O651" s="851"/>
      <c r="P651" s="851"/>
      <c r="Q651" s="856"/>
      <c r="R651" s="854"/>
      <c r="S651" s="854"/>
    </row>
    <row r="652" ht="15" hidden="1" spans="3:19">
      <c r="C652" s="296" t="s">
        <v>191</v>
      </c>
      <c r="D652" s="296" t="s">
        <v>192</v>
      </c>
      <c r="E652" s="851"/>
      <c r="F652" s="851"/>
      <c r="G652" s="851"/>
      <c r="H652" s="851"/>
      <c r="I652" s="851"/>
      <c r="J652" s="851"/>
      <c r="K652" s="851"/>
      <c r="L652" s="851"/>
      <c r="M652" s="851"/>
      <c r="N652" s="851"/>
      <c r="O652" s="851"/>
      <c r="P652" s="851"/>
      <c r="Q652" s="856">
        <f t="shared" ref="Q652:Q671" si="149">SUM(E652:P652)</f>
        <v>0</v>
      </c>
      <c r="R652" s="854"/>
      <c r="S652" s="854"/>
    </row>
    <row r="653" ht="15" hidden="1" spans="3:19">
      <c r="C653" s="296" t="s">
        <v>193</v>
      </c>
      <c r="D653" s="296" t="s">
        <v>194</v>
      </c>
      <c r="E653" s="851"/>
      <c r="F653" s="851"/>
      <c r="G653" s="851"/>
      <c r="H653" s="851"/>
      <c r="I653" s="851"/>
      <c r="J653" s="851"/>
      <c r="K653" s="851"/>
      <c r="L653" s="851"/>
      <c r="M653" s="851"/>
      <c r="N653" s="851"/>
      <c r="O653" s="851"/>
      <c r="P653" s="851"/>
      <c r="Q653" s="856">
        <f t="shared" si="149"/>
        <v>0</v>
      </c>
      <c r="R653" s="854"/>
      <c r="S653" s="854"/>
    </row>
    <row r="654" ht="15" hidden="1" spans="3:19">
      <c r="C654" s="296" t="s">
        <v>239</v>
      </c>
      <c r="D654" s="296" t="s">
        <v>196</v>
      </c>
      <c r="E654" s="851"/>
      <c r="F654" s="851"/>
      <c r="G654" s="851"/>
      <c r="H654" s="851"/>
      <c r="I654" s="851"/>
      <c r="J654" s="851"/>
      <c r="K654" s="851"/>
      <c r="L654" s="851"/>
      <c r="M654" s="851"/>
      <c r="N654" s="851"/>
      <c r="O654" s="851"/>
      <c r="P654" s="851"/>
      <c r="Q654" s="856">
        <f t="shared" si="149"/>
        <v>0</v>
      </c>
      <c r="R654" s="854"/>
      <c r="S654" s="854"/>
    </row>
    <row r="655" ht="15" hidden="1" spans="3:19">
      <c r="C655" s="296" t="s">
        <v>197</v>
      </c>
      <c r="D655" s="296" t="s">
        <v>198</v>
      </c>
      <c r="E655" s="851"/>
      <c r="F655" s="851"/>
      <c r="G655" s="851"/>
      <c r="H655" s="851"/>
      <c r="I655" s="851"/>
      <c r="J655" s="851"/>
      <c r="K655" s="851"/>
      <c r="L655" s="851"/>
      <c r="M655" s="851"/>
      <c r="N655" s="851"/>
      <c r="O655" s="851"/>
      <c r="P655" s="851"/>
      <c r="Q655" s="856">
        <f t="shared" si="149"/>
        <v>0</v>
      </c>
      <c r="R655" s="854"/>
      <c r="S655" s="854"/>
    </row>
    <row r="656" ht="15" hidden="1" spans="3:19">
      <c r="C656" s="296" t="s">
        <v>199</v>
      </c>
      <c r="D656" s="296" t="s">
        <v>200</v>
      </c>
      <c r="E656" s="851"/>
      <c r="F656" s="851"/>
      <c r="G656" s="851"/>
      <c r="H656" s="851"/>
      <c r="I656" s="851"/>
      <c r="J656" s="851"/>
      <c r="K656" s="851"/>
      <c r="L656" s="851"/>
      <c r="M656" s="851"/>
      <c r="N656" s="851"/>
      <c r="O656" s="851"/>
      <c r="P656" s="851"/>
      <c r="Q656" s="856">
        <f t="shared" si="149"/>
        <v>0</v>
      </c>
      <c r="R656" s="854"/>
      <c r="S656" s="854"/>
    </row>
    <row r="657" ht="15" hidden="1" spans="3:19">
      <c r="C657" s="296" t="s">
        <v>201</v>
      </c>
      <c r="D657" s="296" t="s">
        <v>240</v>
      </c>
      <c r="E657" s="851"/>
      <c r="F657" s="851"/>
      <c r="G657" s="851"/>
      <c r="H657" s="851"/>
      <c r="I657" s="851"/>
      <c r="J657" s="851"/>
      <c r="K657" s="851"/>
      <c r="L657" s="851"/>
      <c r="M657" s="851"/>
      <c r="N657" s="851"/>
      <c r="O657" s="851"/>
      <c r="P657" s="851"/>
      <c r="Q657" s="856">
        <f t="shared" si="149"/>
        <v>0</v>
      </c>
      <c r="R657" s="854"/>
      <c r="S657" s="854"/>
    </row>
    <row r="658" ht="15" hidden="1" spans="3:19">
      <c r="C658" s="296" t="s">
        <v>203</v>
      </c>
      <c r="D658" s="296" t="s">
        <v>220</v>
      </c>
      <c r="E658" s="851"/>
      <c r="F658" s="851"/>
      <c r="G658" s="851"/>
      <c r="H658" s="851"/>
      <c r="I658" s="851"/>
      <c r="J658" s="851"/>
      <c r="K658" s="851"/>
      <c r="L658" s="851"/>
      <c r="M658" s="851"/>
      <c r="N658" s="851"/>
      <c r="O658" s="851"/>
      <c r="P658" s="851"/>
      <c r="Q658" s="856">
        <f t="shared" si="149"/>
        <v>0</v>
      </c>
      <c r="R658" s="854"/>
      <c r="S658" s="854"/>
    </row>
    <row r="659" ht="15" hidden="1" spans="3:19">
      <c r="C659" s="296" t="s">
        <v>241</v>
      </c>
      <c r="D659" s="296" t="s">
        <v>229</v>
      </c>
      <c r="E659" s="851"/>
      <c r="F659" s="851"/>
      <c r="G659" s="851"/>
      <c r="H659" s="851"/>
      <c r="I659" s="851"/>
      <c r="J659" s="851"/>
      <c r="K659" s="851"/>
      <c r="L659" s="851"/>
      <c r="M659" s="851"/>
      <c r="N659" s="851"/>
      <c r="O659" s="851"/>
      <c r="P659" s="851"/>
      <c r="Q659" s="856">
        <f t="shared" si="149"/>
        <v>0</v>
      </c>
      <c r="R659" s="854"/>
      <c r="S659" s="854"/>
    </row>
    <row r="660" ht="15" hidden="1" spans="3:19">
      <c r="C660" s="296" t="s">
        <v>259</v>
      </c>
      <c r="D660" s="296" t="s">
        <v>243</v>
      </c>
      <c r="E660" s="851"/>
      <c r="F660" s="851"/>
      <c r="G660" s="851"/>
      <c r="H660" s="851"/>
      <c r="I660" s="851"/>
      <c r="J660" s="851"/>
      <c r="K660" s="851"/>
      <c r="L660" s="851"/>
      <c r="M660" s="851"/>
      <c r="N660" s="851"/>
      <c r="O660" s="851"/>
      <c r="P660" s="851"/>
      <c r="Q660" s="856">
        <f t="shared" si="149"/>
        <v>0</v>
      </c>
      <c r="R660" s="854"/>
      <c r="S660" s="854"/>
    </row>
    <row r="661" ht="15" hidden="1" spans="3:19">
      <c r="C661" s="296" t="s">
        <v>205</v>
      </c>
      <c r="D661" s="296" t="s">
        <v>206</v>
      </c>
      <c r="E661" s="851"/>
      <c r="F661" s="851"/>
      <c r="G661" s="851"/>
      <c r="H661" s="851"/>
      <c r="I661" s="851"/>
      <c r="J661" s="851"/>
      <c r="K661" s="851"/>
      <c r="L661" s="851"/>
      <c r="M661" s="851"/>
      <c r="N661" s="851"/>
      <c r="O661" s="851"/>
      <c r="P661" s="851"/>
      <c r="Q661" s="856">
        <f t="shared" si="149"/>
        <v>0</v>
      </c>
      <c r="R661" s="854"/>
      <c r="S661" s="854"/>
    </row>
    <row r="662" ht="15" hidden="1" spans="3:19">
      <c r="C662" s="296" t="s">
        <v>207</v>
      </c>
      <c r="D662" s="296" t="s">
        <v>186</v>
      </c>
      <c r="E662" s="851"/>
      <c r="F662" s="851"/>
      <c r="G662" s="851"/>
      <c r="H662" s="851"/>
      <c r="I662" s="851"/>
      <c r="J662" s="851"/>
      <c r="K662" s="851"/>
      <c r="L662" s="851"/>
      <c r="M662" s="851"/>
      <c r="N662" s="851"/>
      <c r="O662" s="851"/>
      <c r="P662" s="851"/>
      <c r="Q662" s="856">
        <f t="shared" si="149"/>
        <v>0</v>
      </c>
      <c r="R662" s="854"/>
      <c r="S662" s="854"/>
    </row>
    <row r="663" ht="15" hidden="1" spans="3:19">
      <c r="C663" s="296" t="s">
        <v>208</v>
      </c>
      <c r="D663" s="296" t="s">
        <v>209</v>
      </c>
      <c r="E663" s="851"/>
      <c r="F663" s="851"/>
      <c r="G663" s="851"/>
      <c r="H663" s="851"/>
      <c r="I663" s="851"/>
      <c r="J663" s="851"/>
      <c r="K663" s="851"/>
      <c r="L663" s="851"/>
      <c r="M663" s="851"/>
      <c r="N663" s="851"/>
      <c r="O663" s="851"/>
      <c r="P663" s="851"/>
      <c r="Q663" s="856">
        <f t="shared" si="149"/>
        <v>0</v>
      </c>
      <c r="R663" s="854"/>
      <c r="S663" s="854"/>
    </row>
    <row r="664" ht="15" hidden="1" spans="3:19">
      <c r="C664" s="296" t="s">
        <v>210</v>
      </c>
      <c r="D664" s="296" t="s">
        <v>188</v>
      </c>
      <c r="E664" s="851"/>
      <c r="F664" s="851"/>
      <c r="G664" s="851"/>
      <c r="H664" s="851"/>
      <c r="I664" s="851"/>
      <c r="J664" s="851"/>
      <c r="K664" s="851"/>
      <c r="L664" s="851"/>
      <c r="M664" s="851"/>
      <c r="N664" s="851"/>
      <c r="O664" s="851"/>
      <c r="P664" s="851"/>
      <c r="Q664" s="856">
        <f t="shared" si="149"/>
        <v>0</v>
      </c>
      <c r="R664" s="854"/>
      <c r="S664" s="854"/>
    </row>
    <row r="665" ht="15" hidden="1" spans="3:19">
      <c r="C665" s="296"/>
      <c r="D665" s="296"/>
      <c r="E665" s="851"/>
      <c r="F665" s="851"/>
      <c r="G665" s="851"/>
      <c r="H665" s="851"/>
      <c r="I665" s="851"/>
      <c r="J665" s="851"/>
      <c r="K665" s="851"/>
      <c r="L665" s="851"/>
      <c r="M665" s="851"/>
      <c r="N665" s="851"/>
      <c r="O665" s="851"/>
      <c r="P665" s="851"/>
      <c r="Q665" s="856">
        <f t="shared" si="149"/>
        <v>0</v>
      </c>
      <c r="R665" s="854"/>
      <c r="S665" s="854"/>
    </row>
    <row r="666" ht="15" hidden="1" spans="3:19">
      <c r="C666" s="296"/>
      <c r="D666" s="296"/>
      <c r="E666" s="851"/>
      <c r="F666" s="851"/>
      <c r="G666" s="851"/>
      <c r="H666" s="851"/>
      <c r="I666" s="851"/>
      <c r="J666" s="851"/>
      <c r="K666" s="851"/>
      <c r="L666" s="851"/>
      <c r="M666" s="851"/>
      <c r="N666" s="851"/>
      <c r="O666" s="851"/>
      <c r="P666" s="851"/>
      <c r="Q666" s="856">
        <f t="shared" si="149"/>
        <v>0</v>
      </c>
      <c r="R666" s="854"/>
      <c r="S666" s="854"/>
    </row>
    <row r="667" ht="15" hidden="1" spans="3:19">
      <c r="C667" s="296"/>
      <c r="D667" s="296"/>
      <c r="E667" s="851"/>
      <c r="F667" s="851"/>
      <c r="G667" s="851"/>
      <c r="H667" s="851"/>
      <c r="I667" s="851"/>
      <c r="J667" s="851"/>
      <c r="K667" s="851"/>
      <c r="L667" s="851"/>
      <c r="M667" s="851"/>
      <c r="N667" s="851"/>
      <c r="O667" s="851"/>
      <c r="P667" s="851"/>
      <c r="Q667" s="856">
        <f t="shared" si="149"/>
        <v>0</v>
      </c>
      <c r="R667" s="854"/>
      <c r="S667" s="854"/>
    </row>
    <row r="668" ht="15" hidden="1" spans="3:19">
      <c r="C668" s="296" t="s">
        <v>258</v>
      </c>
      <c r="D668" s="296" t="s">
        <v>258</v>
      </c>
      <c r="E668" s="851"/>
      <c r="F668" s="851"/>
      <c r="G668" s="851"/>
      <c r="H668" s="851"/>
      <c r="I668" s="851"/>
      <c r="J668" s="851"/>
      <c r="K668" s="851"/>
      <c r="L668" s="851"/>
      <c r="M668" s="851"/>
      <c r="N668" s="851"/>
      <c r="O668" s="851"/>
      <c r="P668" s="851"/>
      <c r="Q668" s="856">
        <f t="shared" si="149"/>
        <v>0</v>
      </c>
      <c r="R668" s="854"/>
      <c r="S668" s="854"/>
    </row>
    <row r="669" ht="15" hidden="1" spans="3:19">
      <c r="C669" s="285" t="s">
        <v>211</v>
      </c>
      <c r="D669" s="286"/>
      <c r="E669" s="856">
        <f t="shared" ref="E669:P669" si="150">SUM(E652:E668)</f>
        <v>0</v>
      </c>
      <c r="F669" s="856">
        <f t="shared" si="150"/>
        <v>0</v>
      </c>
      <c r="G669" s="856">
        <f t="shared" si="150"/>
        <v>0</v>
      </c>
      <c r="H669" s="856">
        <f t="shared" si="150"/>
        <v>0</v>
      </c>
      <c r="I669" s="856">
        <f t="shared" si="150"/>
        <v>0</v>
      </c>
      <c r="J669" s="856">
        <f t="shared" si="150"/>
        <v>0</v>
      </c>
      <c r="K669" s="856">
        <f t="shared" si="150"/>
        <v>0</v>
      </c>
      <c r="L669" s="856">
        <f t="shared" si="150"/>
        <v>0</v>
      </c>
      <c r="M669" s="856">
        <f t="shared" si="150"/>
        <v>0</v>
      </c>
      <c r="N669" s="856">
        <f t="shared" si="150"/>
        <v>0</v>
      </c>
      <c r="O669" s="856">
        <f t="shared" si="150"/>
        <v>0</v>
      </c>
      <c r="P669" s="856">
        <f t="shared" si="150"/>
        <v>0</v>
      </c>
      <c r="Q669" s="856">
        <f t="shared" si="149"/>
        <v>0</v>
      </c>
      <c r="R669" s="854"/>
      <c r="S669" s="854"/>
    </row>
    <row r="670" ht="15" hidden="1" spans="3:19">
      <c r="C670" s="285" t="s">
        <v>223</v>
      </c>
      <c r="D670" s="286"/>
      <c r="E670" s="856">
        <f t="shared" ref="E670:P670" si="151">E669+E650+E633</f>
        <v>0</v>
      </c>
      <c r="F670" s="856">
        <f t="shared" si="151"/>
        <v>0</v>
      </c>
      <c r="G670" s="856">
        <f t="shared" si="151"/>
        <v>0</v>
      </c>
      <c r="H670" s="856">
        <f t="shared" si="151"/>
        <v>0</v>
      </c>
      <c r="I670" s="856">
        <f t="shared" si="151"/>
        <v>0</v>
      </c>
      <c r="J670" s="856">
        <f t="shared" si="151"/>
        <v>0</v>
      </c>
      <c r="K670" s="856">
        <f t="shared" si="151"/>
        <v>0</v>
      </c>
      <c r="L670" s="856">
        <f t="shared" si="151"/>
        <v>0</v>
      </c>
      <c r="M670" s="856">
        <f t="shared" si="151"/>
        <v>0</v>
      </c>
      <c r="N670" s="856">
        <f t="shared" si="151"/>
        <v>0</v>
      </c>
      <c r="O670" s="856">
        <f t="shared" si="151"/>
        <v>0</v>
      </c>
      <c r="P670" s="856">
        <f t="shared" si="151"/>
        <v>0</v>
      </c>
      <c r="Q670" s="856">
        <f t="shared" si="149"/>
        <v>0</v>
      </c>
      <c r="R670" s="854"/>
      <c r="S670" s="854"/>
    </row>
    <row r="671" ht="15" hidden="1" spans="3:19">
      <c r="C671" s="285" t="s">
        <v>224</v>
      </c>
      <c r="D671" s="286"/>
      <c r="E671" s="856">
        <f t="shared" ref="E671:P671" si="152">E670+E616</f>
        <v>1349.92598312597</v>
      </c>
      <c r="F671" s="856">
        <f t="shared" si="152"/>
        <v>638.467640280526</v>
      </c>
      <c r="G671" s="856">
        <f t="shared" si="152"/>
        <v>584.953451521322</v>
      </c>
      <c r="H671" s="856">
        <f t="shared" si="152"/>
        <v>840.091257584557</v>
      </c>
      <c r="I671" s="856">
        <f t="shared" si="152"/>
        <v>1034.94868759674</v>
      </c>
      <c r="J671" s="856">
        <f t="shared" si="152"/>
        <v>1123.40087274036</v>
      </c>
      <c r="K671" s="856">
        <f t="shared" si="152"/>
        <v>754.531726670841</v>
      </c>
      <c r="L671" s="856">
        <f t="shared" si="152"/>
        <v>639.201158383291</v>
      </c>
      <c r="M671" s="856">
        <f t="shared" si="152"/>
        <v>1121.03206243197</v>
      </c>
      <c r="N671" s="856">
        <f t="shared" si="152"/>
        <v>1505.47132666184</v>
      </c>
      <c r="O671" s="856">
        <f t="shared" si="152"/>
        <v>1601.99129571336</v>
      </c>
      <c r="P671" s="856">
        <f t="shared" si="152"/>
        <v>1858.78929833697</v>
      </c>
      <c r="Q671" s="856">
        <f t="shared" si="149"/>
        <v>13052.8047610477</v>
      </c>
      <c r="R671" s="854"/>
      <c r="S671" s="854"/>
    </row>
    <row r="672" hidden="1" spans="5:19">
      <c r="E672" s="854"/>
      <c r="F672" s="854"/>
      <c r="G672" s="854"/>
      <c r="H672" s="854"/>
      <c r="I672" s="854"/>
      <c r="J672" s="854"/>
      <c r="K672" s="854"/>
      <c r="L672" s="854"/>
      <c r="M672" s="854"/>
      <c r="N672" s="854"/>
      <c r="O672" s="854"/>
      <c r="P672" s="854"/>
      <c r="Q672" s="854"/>
      <c r="R672" s="854"/>
      <c r="S672" s="854"/>
    </row>
    <row r="673" ht="15" hidden="1" spans="3:19">
      <c r="C673" s="369"/>
      <c r="E673" s="854"/>
      <c r="F673" s="854"/>
      <c r="G673" s="854"/>
      <c r="H673" s="854"/>
      <c r="I673" s="854"/>
      <c r="J673" s="854"/>
      <c r="K673" s="854"/>
      <c r="L673" s="854"/>
      <c r="M673" s="854"/>
      <c r="N673" s="854"/>
      <c r="O673" s="854"/>
      <c r="P673" s="854"/>
      <c r="Q673" s="857" t="s">
        <v>236</v>
      </c>
      <c r="R673" s="854"/>
      <c r="S673" s="854"/>
    </row>
    <row r="674" ht="15" hidden="1" spans="3:19">
      <c r="C674" s="401" t="s">
        <v>159</v>
      </c>
      <c r="D674" s="401"/>
      <c r="E674" s="855" t="s">
        <v>266</v>
      </c>
      <c r="F674" s="855"/>
      <c r="G674" s="855"/>
      <c r="H674" s="855"/>
      <c r="I674" s="855"/>
      <c r="J674" s="855"/>
      <c r="K674" s="855"/>
      <c r="L674" s="855"/>
      <c r="M674" s="855"/>
      <c r="N674" s="855"/>
      <c r="O674" s="855"/>
      <c r="P674" s="855"/>
      <c r="Q674" s="855"/>
      <c r="R674" s="854"/>
      <c r="S674" s="854"/>
    </row>
    <row r="675" ht="15" hidden="1" spans="3:19">
      <c r="C675" s="401"/>
      <c r="D675" s="401"/>
      <c r="E675" s="855" t="s">
        <v>246</v>
      </c>
      <c r="F675" s="855" t="s">
        <v>247</v>
      </c>
      <c r="G675" s="855" t="s">
        <v>248</v>
      </c>
      <c r="H675" s="855" t="s">
        <v>249</v>
      </c>
      <c r="I675" s="855" t="s">
        <v>250</v>
      </c>
      <c r="J675" s="855" t="s">
        <v>251</v>
      </c>
      <c r="K675" s="855" t="s">
        <v>252</v>
      </c>
      <c r="L675" s="855" t="s">
        <v>253</v>
      </c>
      <c r="M675" s="855" t="s">
        <v>254</v>
      </c>
      <c r="N675" s="855" t="s">
        <v>255</v>
      </c>
      <c r="O675" s="855" t="s">
        <v>256</v>
      </c>
      <c r="P675" s="855" t="s">
        <v>257</v>
      </c>
      <c r="Q675" s="855" t="s">
        <v>97</v>
      </c>
      <c r="R675" s="854"/>
      <c r="S675" s="854"/>
    </row>
    <row r="676" ht="15" hidden="1" spans="3:19">
      <c r="C676" s="285" t="s">
        <v>170</v>
      </c>
      <c r="D676" s="286"/>
      <c r="E676" s="851"/>
      <c r="F676" s="851"/>
      <c r="G676" s="851"/>
      <c r="H676" s="851"/>
      <c r="I676" s="851"/>
      <c r="J676" s="851"/>
      <c r="K676" s="851"/>
      <c r="L676" s="851"/>
      <c r="M676" s="851"/>
      <c r="N676" s="851"/>
      <c r="O676" s="851"/>
      <c r="P676" s="851"/>
      <c r="Q676" s="856"/>
      <c r="R676" s="854"/>
      <c r="S676" s="854"/>
    </row>
    <row r="677" ht="15" hidden="1" spans="3:19">
      <c r="C677" s="296" t="s">
        <v>171</v>
      </c>
      <c r="D677" s="296" t="s">
        <v>172</v>
      </c>
      <c r="E677" s="851"/>
      <c r="F677" s="851"/>
      <c r="G677" s="851"/>
      <c r="H677" s="851"/>
      <c r="I677" s="851"/>
      <c r="J677" s="851"/>
      <c r="K677" s="851"/>
      <c r="L677" s="851"/>
      <c r="M677" s="851"/>
      <c r="N677" s="851"/>
      <c r="O677" s="851"/>
      <c r="P677" s="851"/>
      <c r="Q677" s="856">
        <f t="shared" ref="Q677:Q690" si="153">SUM(E677:P677)</f>
        <v>0</v>
      </c>
      <c r="R677" s="854"/>
      <c r="S677" s="854"/>
    </row>
    <row r="678" ht="15" hidden="1" spans="3:19">
      <c r="C678" s="296" t="s">
        <v>173</v>
      </c>
      <c r="D678" s="296" t="s">
        <v>174</v>
      </c>
      <c r="E678" s="851"/>
      <c r="F678" s="851"/>
      <c r="G678" s="851"/>
      <c r="H678" s="851"/>
      <c r="I678" s="851"/>
      <c r="J678" s="851"/>
      <c r="K678" s="851"/>
      <c r="L678" s="851"/>
      <c r="M678" s="851"/>
      <c r="N678" s="851"/>
      <c r="O678" s="851"/>
      <c r="P678" s="851"/>
      <c r="Q678" s="856">
        <f t="shared" si="153"/>
        <v>0</v>
      </c>
      <c r="R678" s="854"/>
      <c r="S678" s="854"/>
    </row>
    <row r="679" ht="15" hidden="1" spans="3:19">
      <c r="C679" s="296" t="s">
        <v>175</v>
      </c>
      <c r="D679" s="296" t="s">
        <v>176</v>
      </c>
      <c r="E679" s="851"/>
      <c r="F679" s="851"/>
      <c r="G679" s="851"/>
      <c r="H679" s="851"/>
      <c r="I679" s="851"/>
      <c r="J679" s="851"/>
      <c r="K679" s="851"/>
      <c r="L679" s="851"/>
      <c r="M679" s="851"/>
      <c r="N679" s="851"/>
      <c r="O679" s="851"/>
      <c r="P679" s="851"/>
      <c r="Q679" s="856">
        <f t="shared" si="153"/>
        <v>0</v>
      </c>
      <c r="R679" s="854"/>
      <c r="S679" s="854"/>
    </row>
    <row r="680" ht="15" hidden="1" spans="3:19">
      <c r="C680" s="296" t="s">
        <v>177</v>
      </c>
      <c r="D680" s="296" t="s">
        <v>178</v>
      </c>
      <c r="E680" s="851"/>
      <c r="F680" s="851"/>
      <c r="G680" s="851"/>
      <c r="H680" s="851"/>
      <c r="I680" s="851"/>
      <c r="J680" s="851"/>
      <c r="K680" s="851"/>
      <c r="L680" s="851"/>
      <c r="M680" s="851"/>
      <c r="N680" s="851"/>
      <c r="O680" s="851"/>
      <c r="P680" s="851"/>
      <c r="Q680" s="856">
        <f t="shared" si="153"/>
        <v>0</v>
      </c>
      <c r="R680" s="854"/>
      <c r="S680" s="854"/>
    </row>
    <row r="681" ht="15" hidden="1" spans="3:19">
      <c r="C681" s="296" t="s">
        <v>179</v>
      </c>
      <c r="D681" s="296" t="s">
        <v>180</v>
      </c>
      <c r="E681" s="851">
        <f>[17]Sales_SP!IK46</f>
        <v>1379.21799073767</v>
      </c>
      <c r="F681" s="851">
        <f>[17]Sales_SP!IL46</f>
        <v>652.321732440167</v>
      </c>
      <c r="G681" s="851">
        <f>[17]Sales_SP!IM46</f>
        <v>597.64634073794</v>
      </c>
      <c r="H681" s="851">
        <f>[17]Sales_SP!IN46</f>
        <v>858.32037519492</v>
      </c>
      <c r="I681" s="851">
        <f>[17]Sales_SP!IO46</f>
        <v>1057.4060113417</v>
      </c>
      <c r="J681" s="851">
        <f>[17]Sales_SP!IP46</f>
        <v>1147.7775180725</v>
      </c>
      <c r="K681" s="851">
        <f>[17]Sales_SP!IQ46</f>
        <v>770.904290320391</v>
      </c>
      <c r="L681" s="851">
        <f>[17]Sales_SP!IR46</f>
        <v>653.071167132521</v>
      </c>
      <c r="M681" s="851">
        <f>[17]Sales_SP!IS46</f>
        <v>1145.35730701292</v>
      </c>
      <c r="N681" s="851">
        <f>[17]Sales_SP!IT46</f>
        <v>1538.1385085007</v>
      </c>
      <c r="O681" s="851">
        <f>[17]Sales_SP!IU46</f>
        <v>1636.75286176548</v>
      </c>
      <c r="P681" s="851">
        <f>[17]Sales_SP!IV46</f>
        <v>1899.12311734336</v>
      </c>
      <c r="Q681" s="856">
        <f t="shared" si="153"/>
        <v>13336.0372206003</v>
      </c>
      <c r="R681" s="854"/>
      <c r="S681" s="854"/>
    </row>
    <row r="682" ht="15" hidden="1" spans="3:19">
      <c r="C682" s="296" t="s">
        <v>181</v>
      </c>
      <c r="D682" s="296" t="s">
        <v>182</v>
      </c>
      <c r="E682" s="851"/>
      <c r="F682" s="851"/>
      <c r="G682" s="851"/>
      <c r="H682" s="851"/>
      <c r="I682" s="851"/>
      <c r="J682" s="851"/>
      <c r="K682" s="851"/>
      <c r="L682" s="851"/>
      <c r="M682" s="851"/>
      <c r="N682" s="851"/>
      <c r="O682" s="851"/>
      <c r="P682" s="851"/>
      <c r="Q682" s="856">
        <f t="shared" si="153"/>
        <v>0</v>
      </c>
      <c r="R682" s="854"/>
      <c r="S682" s="854"/>
    </row>
    <row r="683" ht="15" hidden="1" spans="3:19">
      <c r="C683" s="296" t="s">
        <v>183</v>
      </c>
      <c r="D683" s="296" t="s">
        <v>184</v>
      </c>
      <c r="E683" s="851"/>
      <c r="F683" s="851"/>
      <c r="G683" s="851"/>
      <c r="H683" s="851"/>
      <c r="I683" s="851"/>
      <c r="J683" s="851"/>
      <c r="K683" s="851"/>
      <c r="L683" s="851"/>
      <c r="M683" s="851"/>
      <c r="N683" s="851"/>
      <c r="O683" s="851"/>
      <c r="P683" s="851"/>
      <c r="Q683" s="856">
        <f t="shared" si="153"/>
        <v>0</v>
      </c>
      <c r="R683" s="854"/>
      <c r="S683" s="854"/>
    </row>
    <row r="684" ht="15" hidden="1" spans="3:19">
      <c r="C684" s="296" t="s">
        <v>185</v>
      </c>
      <c r="D684" s="296" t="s">
        <v>186</v>
      </c>
      <c r="E684" s="851"/>
      <c r="F684" s="851"/>
      <c r="G684" s="851"/>
      <c r="H684" s="851"/>
      <c r="I684" s="851"/>
      <c r="J684" s="851"/>
      <c r="K684" s="851"/>
      <c r="L684" s="851"/>
      <c r="M684" s="851"/>
      <c r="N684" s="851"/>
      <c r="O684" s="851"/>
      <c r="P684" s="851"/>
      <c r="Q684" s="856">
        <f t="shared" si="153"/>
        <v>0</v>
      </c>
      <c r="R684" s="854"/>
      <c r="S684" s="854"/>
    </row>
    <row r="685" ht="15" hidden="1" spans="3:19">
      <c r="C685" s="296" t="s">
        <v>187</v>
      </c>
      <c r="D685" s="296" t="s">
        <v>188</v>
      </c>
      <c r="E685" s="851"/>
      <c r="F685" s="851"/>
      <c r="G685" s="851"/>
      <c r="H685" s="851"/>
      <c r="I685" s="851"/>
      <c r="J685" s="851"/>
      <c r="K685" s="851"/>
      <c r="L685" s="851"/>
      <c r="M685" s="851"/>
      <c r="N685" s="851"/>
      <c r="O685" s="851"/>
      <c r="P685" s="851"/>
      <c r="Q685" s="856">
        <f t="shared" si="153"/>
        <v>0</v>
      </c>
      <c r="R685" s="854"/>
      <c r="S685" s="854"/>
    </row>
    <row r="686" ht="15" hidden="1" spans="3:19">
      <c r="C686" s="296"/>
      <c r="D686" s="296"/>
      <c r="E686" s="851"/>
      <c r="F686" s="851"/>
      <c r="G686" s="851"/>
      <c r="H686" s="851"/>
      <c r="I686" s="851"/>
      <c r="J686" s="851"/>
      <c r="K686" s="851"/>
      <c r="L686" s="851"/>
      <c r="M686" s="851"/>
      <c r="N686" s="851"/>
      <c r="O686" s="851"/>
      <c r="P686" s="851"/>
      <c r="Q686" s="856">
        <f t="shared" si="153"/>
        <v>0</v>
      </c>
      <c r="R686" s="854"/>
      <c r="S686" s="854"/>
    </row>
    <row r="687" ht="15" hidden="1" spans="3:19">
      <c r="C687" s="296"/>
      <c r="D687" s="296"/>
      <c r="E687" s="851"/>
      <c r="F687" s="851"/>
      <c r="G687" s="851"/>
      <c r="H687" s="851"/>
      <c r="I687" s="851"/>
      <c r="J687" s="851"/>
      <c r="K687" s="851"/>
      <c r="L687" s="851"/>
      <c r="M687" s="851"/>
      <c r="N687" s="851"/>
      <c r="O687" s="851"/>
      <c r="P687" s="851"/>
      <c r="Q687" s="856">
        <f t="shared" si="153"/>
        <v>0</v>
      </c>
      <c r="R687" s="854"/>
      <c r="S687" s="854"/>
    </row>
    <row r="688" ht="15" hidden="1" spans="3:19">
      <c r="C688" s="296"/>
      <c r="D688" s="296"/>
      <c r="E688" s="851"/>
      <c r="F688" s="851"/>
      <c r="G688" s="851"/>
      <c r="H688" s="851"/>
      <c r="I688" s="851"/>
      <c r="J688" s="851"/>
      <c r="K688" s="851"/>
      <c r="L688" s="851"/>
      <c r="M688" s="851"/>
      <c r="N688" s="851"/>
      <c r="O688" s="851"/>
      <c r="P688" s="851"/>
      <c r="Q688" s="856">
        <f t="shared" si="153"/>
        <v>0</v>
      </c>
      <c r="R688" s="854"/>
      <c r="S688" s="854"/>
    </row>
    <row r="689" ht="15" hidden="1" spans="3:19">
      <c r="C689" s="296" t="s">
        <v>258</v>
      </c>
      <c r="D689" s="296" t="s">
        <v>258</v>
      </c>
      <c r="E689" s="851"/>
      <c r="F689" s="851"/>
      <c r="G689" s="851"/>
      <c r="H689" s="851"/>
      <c r="I689" s="851"/>
      <c r="J689" s="851"/>
      <c r="K689" s="851"/>
      <c r="L689" s="851"/>
      <c r="M689" s="851"/>
      <c r="N689" s="851"/>
      <c r="O689" s="851"/>
      <c r="P689" s="851"/>
      <c r="Q689" s="856">
        <f t="shared" si="153"/>
        <v>0</v>
      </c>
      <c r="R689" s="854"/>
      <c r="S689" s="854"/>
    </row>
    <row r="690" ht="15" hidden="1" spans="3:19">
      <c r="C690" s="285" t="s">
        <v>189</v>
      </c>
      <c r="D690" s="286"/>
      <c r="E690" s="856">
        <f t="shared" ref="E690:P690" si="154">SUM(E677:E689)</f>
        <v>1379.21799073767</v>
      </c>
      <c r="F690" s="856">
        <f t="shared" si="154"/>
        <v>652.321732440167</v>
      </c>
      <c r="G690" s="856">
        <f t="shared" si="154"/>
        <v>597.64634073794</v>
      </c>
      <c r="H690" s="856">
        <f t="shared" si="154"/>
        <v>858.32037519492</v>
      </c>
      <c r="I690" s="856">
        <f t="shared" si="154"/>
        <v>1057.4060113417</v>
      </c>
      <c r="J690" s="856">
        <f t="shared" si="154"/>
        <v>1147.7775180725</v>
      </c>
      <c r="K690" s="856">
        <f t="shared" si="154"/>
        <v>770.904290320391</v>
      </c>
      <c r="L690" s="856">
        <f t="shared" si="154"/>
        <v>653.071167132521</v>
      </c>
      <c r="M690" s="856">
        <f t="shared" si="154"/>
        <v>1145.35730701292</v>
      </c>
      <c r="N690" s="856">
        <f t="shared" si="154"/>
        <v>1538.1385085007</v>
      </c>
      <c r="O690" s="856">
        <f t="shared" si="154"/>
        <v>1636.75286176548</v>
      </c>
      <c r="P690" s="856">
        <f t="shared" si="154"/>
        <v>1899.12311734336</v>
      </c>
      <c r="Q690" s="856">
        <f t="shared" si="153"/>
        <v>13336.0372206003</v>
      </c>
      <c r="R690" s="854"/>
      <c r="S690" s="854"/>
    </row>
    <row r="691" ht="15" hidden="1" spans="3:19">
      <c r="C691" s="285" t="s">
        <v>190</v>
      </c>
      <c r="D691" s="286"/>
      <c r="E691" s="851"/>
      <c r="F691" s="851"/>
      <c r="G691" s="851"/>
      <c r="H691" s="851"/>
      <c r="I691" s="851"/>
      <c r="J691" s="851"/>
      <c r="K691" s="851"/>
      <c r="L691" s="851"/>
      <c r="M691" s="851"/>
      <c r="N691" s="851"/>
      <c r="O691" s="851"/>
      <c r="P691" s="851"/>
      <c r="Q691" s="856"/>
      <c r="R691" s="854"/>
      <c r="S691" s="854"/>
    </row>
    <row r="692" ht="15" hidden="1" spans="3:19">
      <c r="C692" s="296" t="s">
        <v>191</v>
      </c>
      <c r="D692" s="296" t="s">
        <v>192</v>
      </c>
      <c r="E692" s="851"/>
      <c r="F692" s="851"/>
      <c r="G692" s="851"/>
      <c r="H692" s="851"/>
      <c r="I692" s="851"/>
      <c r="J692" s="851"/>
      <c r="K692" s="851"/>
      <c r="L692" s="851"/>
      <c r="M692" s="851"/>
      <c r="N692" s="851"/>
      <c r="O692" s="851"/>
      <c r="P692" s="851"/>
      <c r="Q692" s="856">
        <f t="shared" ref="Q692:Q707" si="155">SUM(E692:P692)</f>
        <v>0</v>
      </c>
      <c r="R692" s="854"/>
      <c r="S692" s="854"/>
    </row>
    <row r="693" ht="15" hidden="1" spans="3:19">
      <c r="C693" s="296" t="s">
        <v>193</v>
      </c>
      <c r="D693" s="296" t="s">
        <v>194</v>
      </c>
      <c r="E693" s="851"/>
      <c r="F693" s="851"/>
      <c r="G693" s="851"/>
      <c r="H693" s="851"/>
      <c r="I693" s="851"/>
      <c r="J693" s="851"/>
      <c r="K693" s="851"/>
      <c r="L693" s="851"/>
      <c r="M693" s="851"/>
      <c r="N693" s="851"/>
      <c r="O693" s="851"/>
      <c r="P693" s="851"/>
      <c r="Q693" s="856">
        <f t="shared" si="155"/>
        <v>0</v>
      </c>
      <c r="R693" s="854"/>
      <c r="S693" s="854"/>
    </row>
    <row r="694" ht="15" hidden="1" spans="3:19">
      <c r="C694" s="296" t="s">
        <v>239</v>
      </c>
      <c r="D694" s="296" t="s">
        <v>196</v>
      </c>
      <c r="E694" s="851"/>
      <c r="F694" s="851"/>
      <c r="G694" s="851"/>
      <c r="H694" s="851"/>
      <c r="I694" s="851"/>
      <c r="J694" s="851"/>
      <c r="K694" s="851"/>
      <c r="L694" s="851"/>
      <c r="M694" s="851"/>
      <c r="N694" s="851"/>
      <c r="O694" s="851"/>
      <c r="P694" s="851"/>
      <c r="Q694" s="856">
        <f t="shared" si="155"/>
        <v>0</v>
      </c>
      <c r="R694" s="854"/>
      <c r="S694" s="854"/>
    </row>
    <row r="695" ht="15" hidden="1" spans="3:19">
      <c r="C695" s="296" t="s">
        <v>197</v>
      </c>
      <c r="D695" s="296" t="s">
        <v>198</v>
      </c>
      <c r="E695" s="851"/>
      <c r="F695" s="851"/>
      <c r="G695" s="851"/>
      <c r="H695" s="851"/>
      <c r="I695" s="851"/>
      <c r="J695" s="851"/>
      <c r="K695" s="851"/>
      <c r="L695" s="851"/>
      <c r="M695" s="851"/>
      <c r="N695" s="851"/>
      <c r="O695" s="851"/>
      <c r="P695" s="851"/>
      <c r="Q695" s="856">
        <f t="shared" si="155"/>
        <v>0</v>
      </c>
      <c r="R695" s="854"/>
      <c r="S695" s="854"/>
    </row>
    <row r="696" ht="15" hidden="1" spans="3:19">
      <c r="C696" s="296" t="s">
        <v>199</v>
      </c>
      <c r="D696" s="296" t="s">
        <v>200</v>
      </c>
      <c r="E696" s="851"/>
      <c r="F696" s="851"/>
      <c r="G696" s="851"/>
      <c r="H696" s="851"/>
      <c r="I696" s="851"/>
      <c r="J696" s="851"/>
      <c r="K696" s="851"/>
      <c r="L696" s="851"/>
      <c r="M696" s="851"/>
      <c r="N696" s="851"/>
      <c r="O696" s="851"/>
      <c r="P696" s="851"/>
      <c r="Q696" s="856">
        <f t="shared" si="155"/>
        <v>0</v>
      </c>
      <c r="R696" s="854"/>
      <c r="S696" s="854"/>
    </row>
    <row r="697" ht="15" hidden="1" spans="3:19">
      <c r="C697" s="296" t="s">
        <v>201</v>
      </c>
      <c r="D697" s="296" t="s">
        <v>202</v>
      </c>
      <c r="E697" s="851"/>
      <c r="F697" s="851"/>
      <c r="G697" s="851"/>
      <c r="H697" s="851"/>
      <c r="I697" s="851"/>
      <c r="J697" s="851"/>
      <c r="K697" s="851"/>
      <c r="L697" s="851"/>
      <c r="M697" s="851"/>
      <c r="N697" s="851"/>
      <c r="O697" s="851"/>
      <c r="P697" s="851"/>
      <c r="Q697" s="856">
        <f t="shared" si="155"/>
        <v>0</v>
      </c>
      <c r="R697" s="854"/>
      <c r="S697" s="854"/>
    </row>
    <row r="698" ht="15" hidden="1" spans="3:19">
      <c r="C698" s="296" t="s">
        <v>203</v>
      </c>
      <c r="D698" s="296" t="s">
        <v>204</v>
      </c>
      <c r="E698" s="851"/>
      <c r="F698" s="851"/>
      <c r="G698" s="851"/>
      <c r="H698" s="851"/>
      <c r="I698" s="851"/>
      <c r="J698" s="851"/>
      <c r="K698" s="851"/>
      <c r="L698" s="851"/>
      <c r="M698" s="851"/>
      <c r="N698" s="851"/>
      <c r="O698" s="851"/>
      <c r="P698" s="851"/>
      <c r="Q698" s="856">
        <f t="shared" si="155"/>
        <v>0</v>
      </c>
      <c r="R698" s="854"/>
      <c r="S698" s="854"/>
    </row>
    <row r="699" ht="15" hidden="1" spans="3:19">
      <c r="C699" s="296" t="s">
        <v>205</v>
      </c>
      <c r="D699" s="296" t="s">
        <v>206</v>
      </c>
      <c r="E699" s="851"/>
      <c r="F699" s="851"/>
      <c r="G699" s="851"/>
      <c r="H699" s="851"/>
      <c r="I699" s="851"/>
      <c r="J699" s="851"/>
      <c r="K699" s="851"/>
      <c r="L699" s="851"/>
      <c r="M699" s="851"/>
      <c r="N699" s="851"/>
      <c r="O699" s="851"/>
      <c r="P699" s="851"/>
      <c r="Q699" s="856">
        <f t="shared" si="155"/>
        <v>0</v>
      </c>
      <c r="R699" s="854"/>
      <c r="S699" s="854"/>
    </row>
    <row r="700" ht="15" hidden="1" spans="3:19">
      <c r="C700" s="296" t="s">
        <v>207</v>
      </c>
      <c r="D700" s="296" t="s">
        <v>186</v>
      </c>
      <c r="E700" s="851"/>
      <c r="F700" s="851"/>
      <c r="G700" s="851"/>
      <c r="H700" s="851"/>
      <c r="I700" s="851"/>
      <c r="J700" s="851"/>
      <c r="K700" s="851"/>
      <c r="L700" s="851"/>
      <c r="M700" s="851"/>
      <c r="N700" s="851"/>
      <c r="O700" s="851"/>
      <c r="P700" s="851"/>
      <c r="Q700" s="856">
        <f t="shared" si="155"/>
        <v>0</v>
      </c>
      <c r="R700" s="854"/>
      <c r="S700" s="854"/>
    </row>
    <row r="701" ht="15" hidden="1" spans="3:19">
      <c r="C701" s="296" t="s">
        <v>208</v>
      </c>
      <c r="D701" s="296" t="s">
        <v>209</v>
      </c>
      <c r="E701" s="851"/>
      <c r="F701" s="851"/>
      <c r="G701" s="851"/>
      <c r="H701" s="851"/>
      <c r="I701" s="851"/>
      <c r="J701" s="851"/>
      <c r="K701" s="851"/>
      <c r="L701" s="851"/>
      <c r="M701" s="851"/>
      <c r="N701" s="851"/>
      <c r="O701" s="851"/>
      <c r="P701" s="851"/>
      <c r="Q701" s="856">
        <f t="shared" si="155"/>
        <v>0</v>
      </c>
      <c r="R701" s="854"/>
      <c r="S701" s="854"/>
    </row>
    <row r="702" ht="15" hidden="1" spans="3:19">
      <c r="C702" s="296" t="s">
        <v>210</v>
      </c>
      <c r="D702" s="296" t="s">
        <v>188</v>
      </c>
      <c r="E702" s="851"/>
      <c r="F702" s="851"/>
      <c r="G702" s="851"/>
      <c r="H702" s="851"/>
      <c r="I702" s="851"/>
      <c r="J702" s="851"/>
      <c r="K702" s="851"/>
      <c r="L702" s="851"/>
      <c r="M702" s="851"/>
      <c r="N702" s="851"/>
      <c r="O702" s="851"/>
      <c r="P702" s="851"/>
      <c r="Q702" s="856">
        <f t="shared" si="155"/>
        <v>0</v>
      </c>
      <c r="R702" s="854"/>
      <c r="S702" s="854"/>
    </row>
    <row r="703" ht="15" hidden="1" spans="3:19">
      <c r="C703" s="296"/>
      <c r="D703" s="296"/>
      <c r="E703" s="851"/>
      <c r="F703" s="851"/>
      <c r="G703" s="851"/>
      <c r="H703" s="851"/>
      <c r="I703" s="851"/>
      <c r="J703" s="851"/>
      <c r="K703" s="851"/>
      <c r="L703" s="851"/>
      <c r="M703" s="851"/>
      <c r="N703" s="851"/>
      <c r="O703" s="851"/>
      <c r="P703" s="851"/>
      <c r="Q703" s="856">
        <f t="shared" si="155"/>
        <v>0</v>
      </c>
      <c r="R703" s="854"/>
      <c r="S703" s="854"/>
    </row>
    <row r="704" ht="15" hidden="1" spans="3:19">
      <c r="C704" s="296"/>
      <c r="D704" s="296"/>
      <c r="E704" s="851"/>
      <c r="F704" s="851"/>
      <c r="G704" s="851"/>
      <c r="H704" s="851"/>
      <c r="I704" s="851"/>
      <c r="J704" s="851"/>
      <c r="K704" s="851"/>
      <c r="L704" s="851"/>
      <c r="M704" s="851"/>
      <c r="N704" s="851"/>
      <c r="O704" s="851"/>
      <c r="P704" s="851"/>
      <c r="Q704" s="856">
        <f t="shared" si="155"/>
        <v>0</v>
      </c>
      <c r="R704" s="854"/>
      <c r="S704" s="854"/>
    </row>
    <row r="705" ht="15" hidden="1" spans="3:19">
      <c r="C705" s="296"/>
      <c r="D705" s="296"/>
      <c r="E705" s="851"/>
      <c r="F705" s="851"/>
      <c r="G705" s="851"/>
      <c r="H705" s="851"/>
      <c r="I705" s="851"/>
      <c r="J705" s="851"/>
      <c r="K705" s="851"/>
      <c r="L705" s="851"/>
      <c r="M705" s="851"/>
      <c r="N705" s="851"/>
      <c r="O705" s="851"/>
      <c r="P705" s="851"/>
      <c r="Q705" s="856">
        <f t="shared" si="155"/>
        <v>0</v>
      </c>
      <c r="R705" s="854"/>
      <c r="S705" s="854"/>
    </row>
    <row r="706" ht="15" hidden="1" spans="3:19">
      <c r="C706" s="296" t="s">
        <v>258</v>
      </c>
      <c r="D706" s="296" t="s">
        <v>258</v>
      </c>
      <c r="E706" s="851"/>
      <c r="F706" s="851"/>
      <c r="G706" s="851"/>
      <c r="H706" s="851"/>
      <c r="I706" s="851"/>
      <c r="J706" s="851"/>
      <c r="K706" s="851"/>
      <c r="L706" s="851"/>
      <c r="M706" s="851"/>
      <c r="N706" s="851"/>
      <c r="O706" s="851"/>
      <c r="P706" s="851"/>
      <c r="Q706" s="856">
        <f t="shared" si="155"/>
        <v>0</v>
      </c>
      <c r="R706" s="854"/>
      <c r="S706" s="854"/>
    </row>
    <row r="707" ht="15" hidden="1" spans="3:19">
      <c r="C707" s="285" t="s">
        <v>211</v>
      </c>
      <c r="D707" s="286"/>
      <c r="E707" s="856">
        <f t="shared" ref="E707:P707" si="156">SUM(E692:E706)</f>
        <v>0</v>
      </c>
      <c r="F707" s="856">
        <f t="shared" si="156"/>
        <v>0</v>
      </c>
      <c r="G707" s="856">
        <f t="shared" si="156"/>
        <v>0</v>
      </c>
      <c r="H707" s="856">
        <f t="shared" si="156"/>
        <v>0</v>
      </c>
      <c r="I707" s="856">
        <f t="shared" si="156"/>
        <v>0</v>
      </c>
      <c r="J707" s="856">
        <f t="shared" si="156"/>
        <v>0</v>
      </c>
      <c r="K707" s="856">
        <f t="shared" si="156"/>
        <v>0</v>
      </c>
      <c r="L707" s="856">
        <f t="shared" si="156"/>
        <v>0</v>
      </c>
      <c r="M707" s="856">
        <f t="shared" si="156"/>
        <v>0</v>
      </c>
      <c r="N707" s="856">
        <f t="shared" si="156"/>
        <v>0</v>
      </c>
      <c r="O707" s="856">
        <f t="shared" si="156"/>
        <v>0</v>
      </c>
      <c r="P707" s="856">
        <f t="shared" si="156"/>
        <v>0</v>
      </c>
      <c r="Q707" s="856">
        <f t="shared" si="155"/>
        <v>0</v>
      </c>
      <c r="R707" s="854"/>
      <c r="S707" s="854"/>
    </row>
    <row r="708" ht="15" hidden="1" spans="3:19">
      <c r="C708" s="285" t="s">
        <v>212</v>
      </c>
      <c r="D708" s="286"/>
      <c r="E708" s="851"/>
      <c r="F708" s="851"/>
      <c r="G708" s="851"/>
      <c r="H708" s="851"/>
      <c r="I708" s="851"/>
      <c r="J708" s="851"/>
      <c r="K708" s="851"/>
      <c r="L708" s="851"/>
      <c r="M708" s="851"/>
      <c r="N708" s="851"/>
      <c r="O708" s="851"/>
      <c r="P708" s="851"/>
      <c r="Q708" s="856"/>
      <c r="R708" s="854"/>
      <c r="S708" s="854"/>
    </row>
    <row r="709" ht="15" hidden="1" spans="3:19">
      <c r="C709" s="296" t="s">
        <v>191</v>
      </c>
      <c r="D709" s="296" t="s">
        <v>192</v>
      </c>
      <c r="E709" s="851"/>
      <c r="F709" s="851"/>
      <c r="G709" s="851"/>
      <c r="H709" s="851"/>
      <c r="I709" s="851"/>
      <c r="J709" s="851"/>
      <c r="K709" s="851"/>
      <c r="L709" s="851"/>
      <c r="M709" s="851"/>
      <c r="N709" s="851"/>
      <c r="O709" s="851"/>
      <c r="P709" s="851"/>
      <c r="Q709" s="856">
        <f t="shared" ref="Q709:Q724" si="157">SUM(E709:P709)</f>
        <v>0</v>
      </c>
      <c r="R709" s="854"/>
      <c r="S709" s="854"/>
    </row>
    <row r="710" ht="15" hidden="1" spans="3:19">
      <c r="C710" s="296" t="s">
        <v>193</v>
      </c>
      <c r="D710" s="296" t="s">
        <v>194</v>
      </c>
      <c r="E710" s="851"/>
      <c r="F710" s="851"/>
      <c r="G710" s="851"/>
      <c r="H710" s="851"/>
      <c r="I710" s="851"/>
      <c r="J710" s="851"/>
      <c r="K710" s="851"/>
      <c r="L710" s="851"/>
      <c r="M710" s="851"/>
      <c r="N710" s="851"/>
      <c r="O710" s="851"/>
      <c r="P710" s="851"/>
      <c r="Q710" s="856">
        <f t="shared" si="157"/>
        <v>0</v>
      </c>
      <c r="R710" s="854"/>
      <c r="S710" s="854"/>
    </row>
    <row r="711" ht="15" hidden="1" spans="3:19">
      <c r="C711" s="296" t="s">
        <v>239</v>
      </c>
      <c r="D711" s="296" t="s">
        <v>196</v>
      </c>
      <c r="E711" s="851"/>
      <c r="F711" s="851"/>
      <c r="G711" s="851"/>
      <c r="H711" s="851"/>
      <c r="I711" s="851"/>
      <c r="J711" s="851"/>
      <c r="K711" s="851"/>
      <c r="L711" s="851"/>
      <c r="M711" s="851"/>
      <c r="N711" s="851"/>
      <c r="O711" s="851"/>
      <c r="P711" s="851"/>
      <c r="Q711" s="856">
        <f t="shared" si="157"/>
        <v>0</v>
      </c>
      <c r="R711" s="854"/>
      <c r="S711" s="854"/>
    </row>
    <row r="712" ht="15" hidden="1" spans="3:19">
      <c r="C712" s="296" t="s">
        <v>197</v>
      </c>
      <c r="D712" s="296" t="s">
        <v>198</v>
      </c>
      <c r="E712" s="851"/>
      <c r="F712" s="851"/>
      <c r="G712" s="851"/>
      <c r="H712" s="851"/>
      <c r="I712" s="851"/>
      <c r="J712" s="851"/>
      <c r="K712" s="851"/>
      <c r="L712" s="851"/>
      <c r="M712" s="851"/>
      <c r="N712" s="851"/>
      <c r="O712" s="851"/>
      <c r="P712" s="851"/>
      <c r="Q712" s="856">
        <f t="shared" si="157"/>
        <v>0</v>
      </c>
      <c r="R712" s="854"/>
      <c r="S712" s="854"/>
    </row>
    <row r="713" ht="15" hidden="1" spans="3:19">
      <c r="C713" s="296" t="s">
        <v>199</v>
      </c>
      <c r="D713" s="296" t="s">
        <v>200</v>
      </c>
      <c r="E713" s="851"/>
      <c r="F713" s="851"/>
      <c r="G713" s="851"/>
      <c r="H713" s="851"/>
      <c r="I713" s="851"/>
      <c r="J713" s="851"/>
      <c r="K713" s="851"/>
      <c r="L713" s="851"/>
      <c r="M713" s="851"/>
      <c r="N713" s="851"/>
      <c r="O713" s="851"/>
      <c r="P713" s="851"/>
      <c r="Q713" s="856">
        <f t="shared" si="157"/>
        <v>0</v>
      </c>
      <c r="R713" s="854"/>
      <c r="S713" s="854"/>
    </row>
    <row r="714" ht="15" hidden="1" spans="3:19">
      <c r="C714" s="296" t="s">
        <v>201</v>
      </c>
      <c r="D714" s="296" t="s">
        <v>202</v>
      </c>
      <c r="E714" s="851"/>
      <c r="F714" s="851"/>
      <c r="G714" s="851"/>
      <c r="H714" s="851"/>
      <c r="I714" s="851"/>
      <c r="J714" s="851"/>
      <c r="K714" s="851"/>
      <c r="L714" s="851"/>
      <c r="M714" s="851"/>
      <c r="N714" s="851"/>
      <c r="O714" s="851"/>
      <c r="P714" s="851"/>
      <c r="Q714" s="856">
        <f t="shared" si="157"/>
        <v>0</v>
      </c>
      <c r="R714" s="854"/>
      <c r="S714" s="854"/>
    </row>
    <row r="715" ht="15" hidden="1" spans="3:19">
      <c r="C715" s="296" t="s">
        <v>203</v>
      </c>
      <c r="D715" s="296" t="s">
        <v>204</v>
      </c>
      <c r="E715" s="851"/>
      <c r="F715" s="851"/>
      <c r="G715" s="851"/>
      <c r="H715" s="851"/>
      <c r="I715" s="851"/>
      <c r="J715" s="851"/>
      <c r="K715" s="851"/>
      <c r="L715" s="851"/>
      <c r="M715" s="851"/>
      <c r="N715" s="851"/>
      <c r="O715" s="851"/>
      <c r="P715" s="851"/>
      <c r="Q715" s="856">
        <f t="shared" si="157"/>
        <v>0</v>
      </c>
      <c r="R715" s="854"/>
      <c r="S715" s="854"/>
    </row>
    <row r="716" ht="15" hidden="1" spans="3:19">
      <c r="C716" s="296" t="s">
        <v>205</v>
      </c>
      <c r="D716" s="296" t="s">
        <v>206</v>
      </c>
      <c r="E716" s="851"/>
      <c r="F716" s="851"/>
      <c r="G716" s="851"/>
      <c r="H716" s="851"/>
      <c r="I716" s="851"/>
      <c r="J716" s="851"/>
      <c r="K716" s="851"/>
      <c r="L716" s="851"/>
      <c r="M716" s="851"/>
      <c r="N716" s="851"/>
      <c r="O716" s="851"/>
      <c r="P716" s="851"/>
      <c r="Q716" s="856">
        <f t="shared" si="157"/>
        <v>0</v>
      </c>
      <c r="R716" s="854"/>
      <c r="S716" s="854"/>
    </row>
    <row r="717" ht="15" hidden="1" spans="3:19">
      <c r="C717" s="296" t="s">
        <v>231</v>
      </c>
      <c r="D717" s="296" t="s">
        <v>186</v>
      </c>
      <c r="E717" s="851"/>
      <c r="F717" s="851"/>
      <c r="G717" s="851"/>
      <c r="H717" s="851"/>
      <c r="I717" s="851"/>
      <c r="J717" s="851"/>
      <c r="K717" s="851"/>
      <c r="L717" s="851"/>
      <c r="M717" s="851"/>
      <c r="N717" s="851"/>
      <c r="O717" s="851"/>
      <c r="P717" s="851"/>
      <c r="Q717" s="856">
        <f t="shared" si="157"/>
        <v>0</v>
      </c>
      <c r="R717" s="854"/>
      <c r="S717" s="854"/>
    </row>
    <row r="718" ht="15" hidden="1" spans="3:19">
      <c r="C718" s="296" t="s">
        <v>208</v>
      </c>
      <c r="D718" s="296" t="s">
        <v>209</v>
      </c>
      <c r="E718" s="851"/>
      <c r="F718" s="851"/>
      <c r="G718" s="851"/>
      <c r="H718" s="851"/>
      <c r="I718" s="851"/>
      <c r="J718" s="851"/>
      <c r="K718" s="851"/>
      <c r="L718" s="851"/>
      <c r="M718" s="851"/>
      <c r="N718" s="851"/>
      <c r="O718" s="851"/>
      <c r="P718" s="851"/>
      <c r="Q718" s="856">
        <f t="shared" si="157"/>
        <v>0</v>
      </c>
      <c r="R718" s="854"/>
      <c r="S718" s="854"/>
    </row>
    <row r="719" ht="15" hidden="1" spans="3:19">
      <c r="C719" s="296" t="s">
        <v>210</v>
      </c>
      <c r="D719" s="296" t="s">
        <v>188</v>
      </c>
      <c r="E719" s="851"/>
      <c r="F719" s="851"/>
      <c r="G719" s="851"/>
      <c r="H719" s="851"/>
      <c r="I719" s="851"/>
      <c r="J719" s="851"/>
      <c r="K719" s="851"/>
      <c r="L719" s="851"/>
      <c r="M719" s="851"/>
      <c r="N719" s="851"/>
      <c r="O719" s="851"/>
      <c r="P719" s="851"/>
      <c r="Q719" s="856">
        <f t="shared" si="157"/>
        <v>0</v>
      </c>
      <c r="R719" s="854"/>
      <c r="S719" s="854"/>
    </row>
    <row r="720" ht="15" hidden="1" spans="3:19">
      <c r="C720" s="296"/>
      <c r="D720" s="296"/>
      <c r="E720" s="851"/>
      <c r="F720" s="851"/>
      <c r="G720" s="851"/>
      <c r="H720" s="851"/>
      <c r="I720" s="851"/>
      <c r="J720" s="851"/>
      <c r="K720" s="851"/>
      <c r="L720" s="851"/>
      <c r="M720" s="851"/>
      <c r="N720" s="851"/>
      <c r="O720" s="851"/>
      <c r="P720" s="851"/>
      <c r="Q720" s="856">
        <f t="shared" si="157"/>
        <v>0</v>
      </c>
      <c r="R720" s="854"/>
      <c r="S720" s="854"/>
    </row>
    <row r="721" ht="15" hidden="1" spans="3:19">
      <c r="C721" s="296"/>
      <c r="D721" s="296"/>
      <c r="E721" s="851"/>
      <c r="F721" s="851"/>
      <c r="G721" s="851"/>
      <c r="H721" s="851"/>
      <c r="I721" s="851"/>
      <c r="J721" s="851"/>
      <c r="K721" s="851"/>
      <c r="L721" s="851"/>
      <c r="M721" s="851"/>
      <c r="N721" s="851"/>
      <c r="O721" s="851"/>
      <c r="P721" s="851"/>
      <c r="Q721" s="856">
        <f t="shared" si="157"/>
        <v>0</v>
      </c>
      <c r="R721" s="854"/>
      <c r="S721" s="854"/>
    </row>
    <row r="722" ht="15" hidden="1" spans="3:19">
      <c r="C722" s="296"/>
      <c r="D722" s="296"/>
      <c r="E722" s="851"/>
      <c r="F722" s="851"/>
      <c r="G722" s="851"/>
      <c r="H722" s="851"/>
      <c r="I722" s="851"/>
      <c r="J722" s="851"/>
      <c r="K722" s="851"/>
      <c r="L722" s="851"/>
      <c r="M722" s="851"/>
      <c r="N722" s="851"/>
      <c r="O722" s="851"/>
      <c r="P722" s="851"/>
      <c r="Q722" s="856">
        <f t="shared" si="157"/>
        <v>0</v>
      </c>
      <c r="R722" s="854"/>
      <c r="S722" s="854"/>
    </row>
    <row r="723" ht="15" hidden="1" spans="3:19">
      <c r="C723" s="296" t="s">
        <v>258</v>
      </c>
      <c r="D723" s="296" t="s">
        <v>258</v>
      </c>
      <c r="E723" s="851"/>
      <c r="F723" s="851"/>
      <c r="G723" s="851"/>
      <c r="H723" s="851"/>
      <c r="I723" s="851"/>
      <c r="J723" s="851"/>
      <c r="K723" s="851"/>
      <c r="L723" s="851"/>
      <c r="M723" s="851"/>
      <c r="N723" s="851"/>
      <c r="O723" s="851"/>
      <c r="P723" s="851"/>
      <c r="Q723" s="856">
        <f t="shared" si="157"/>
        <v>0</v>
      </c>
      <c r="R723" s="854"/>
      <c r="S723" s="854"/>
    </row>
    <row r="724" ht="15" hidden="1" spans="3:19">
      <c r="C724" s="285" t="s">
        <v>211</v>
      </c>
      <c r="D724" s="286"/>
      <c r="E724" s="856">
        <f t="shared" ref="E724:P724" si="158">SUM(E709:E723)</f>
        <v>0</v>
      </c>
      <c r="F724" s="856">
        <f t="shared" si="158"/>
        <v>0</v>
      </c>
      <c r="G724" s="856">
        <f t="shared" si="158"/>
        <v>0</v>
      </c>
      <c r="H724" s="856">
        <f t="shared" si="158"/>
        <v>0</v>
      </c>
      <c r="I724" s="856">
        <f t="shared" si="158"/>
        <v>0</v>
      </c>
      <c r="J724" s="856">
        <f t="shared" si="158"/>
        <v>0</v>
      </c>
      <c r="K724" s="856">
        <f t="shared" si="158"/>
        <v>0</v>
      </c>
      <c r="L724" s="856">
        <f t="shared" si="158"/>
        <v>0</v>
      </c>
      <c r="M724" s="856">
        <f t="shared" si="158"/>
        <v>0</v>
      </c>
      <c r="N724" s="856">
        <f t="shared" si="158"/>
        <v>0</v>
      </c>
      <c r="O724" s="856">
        <f t="shared" si="158"/>
        <v>0</v>
      </c>
      <c r="P724" s="856">
        <f t="shared" si="158"/>
        <v>0</v>
      </c>
      <c r="Q724" s="856">
        <f t="shared" si="157"/>
        <v>0</v>
      </c>
      <c r="R724" s="854"/>
      <c r="S724" s="854"/>
    </row>
    <row r="725" ht="15" hidden="1" spans="3:19">
      <c r="C725" s="285" t="s">
        <v>219</v>
      </c>
      <c r="D725" s="286"/>
      <c r="E725" s="851"/>
      <c r="F725" s="851"/>
      <c r="G725" s="851"/>
      <c r="H725" s="851"/>
      <c r="I725" s="851"/>
      <c r="J725" s="851"/>
      <c r="K725" s="851"/>
      <c r="L725" s="851"/>
      <c r="M725" s="851"/>
      <c r="N725" s="851"/>
      <c r="O725" s="851"/>
      <c r="P725" s="851"/>
      <c r="Q725" s="856"/>
      <c r="R725" s="854"/>
      <c r="S725" s="854"/>
    </row>
    <row r="726" ht="15" hidden="1" spans="3:19">
      <c r="C726" s="296" t="s">
        <v>191</v>
      </c>
      <c r="D726" s="296" t="s">
        <v>192</v>
      </c>
      <c r="E726" s="851"/>
      <c r="F726" s="851"/>
      <c r="G726" s="851"/>
      <c r="H726" s="851"/>
      <c r="I726" s="851"/>
      <c r="J726" s="851"/>
      <c r="K726" s="851"/>
      <c r="L726" s="851"/>
      <c r="M726" s="851"/>
      <c r="N726" s="851"/>
      <c r="O726" s="851"/>
      <c r="P726" s="851"/>
      <c r="Q726" s="856">
        <f t="shared" ref="Q726:Q745" si="159">SUM(E726:P726)</f>
        <v>0</v>
      </c>
      <c r="R726" s="854"/>
      <c r="S726" s="854"/>
    </row>
    <row r="727" ht="15" hidden="1" spans="3:19">
      <c r="C727" s="296" t="s">
        <v>193</v>
      </c>
      <c r="D727" s="296" t="s">
        <v>194</v>
      </c>
      <c r="E727" s="851"/>
      <c r="F727" s="851"/>
      <c r="G727" s="851"/>
      <c r="H727" s="851"/>
      <c r="I727" s="851"/>
      <c r="J727" s="851"/>
      <c r="K727" s="851"/>
      <c r="L727" s="851"/>
      <c r="M727" s="851"/>
      <c r="N727" s="851"/>
      <c r="O727" s="851"/>
      <c r="P727" s="851"/>
      <c r="Q727" s="856">
        <f t="shared" si="159"/>
        <v>0</v>
      </c>
      <c r="R727" s="854"/>
      <c r="S727" s="854"/>
    </row>
    <row r="728" ht="15" hidden="1" spans="3:19">
      <c r="C728" s="296" t="s">
        <v>239</v>
      </c>
      <c r="D728" s="296" t="s">
        <v>196</v>
      </c>
      <c r="E728" s="851"/>
      <c r="F728" s="851"/>
      <c r="G728" s="851"/>
      <c r="H728" s="851"/>
      <c r="I728" s="851"/>
      <c r="J728" s="851"/>
      <c r="K728" s="851"/>
      <c r="L728" s="851"/>
      <c r="M728" s="851"/>
      <c r="N728" s="851"/>
      <c r="O728" s="851"/>
      <c r="P728" s="851"/>
      <c r="Q728" s="856">
        <f t="shared" si="159"/>
        <v>0</v>
      </c>
      <c r="R728" s="854"/>
      <c r="S728" s="854"/>
    </row>
    <row r="729" ht="15" hidden="1" spans="3:19">
      <c r="C729" s="296" t="s">
        <v>197</v>
      </c>
      <c r="D729" s="296" t="s">
        <v>198</v>
      </c>
      <c r="E729" s="851"/>
      <c r="F729" s="851"/>
      <c r="G729" s="851"/>
      <c r="H729" s="851"/>
      <c r="I729" s="851"/>
      <c r="J729" s="851"/>
      <c r="K729" s="851"/>
      <c r="L729" s="851"/>
      <c r="M729" s="851"/>
      <c r="N729" s="851"/>
      <c r="O729" s="851"/>
      <c r="P729" s="851"/>
      <c r="Q729" s="856">
        <f t="shared" si="159"/>
        <v>0</v>
      </c>
      <c r="R729" s="854"/>
      <c r="S729" s="854"/>
    </row>
    <row r="730" ht="15" hidden="1" spans="3:19">
      <c r="C730" s="296" t="s">
        <v>199</v>
      </c>
      <c r="D730" s="296" t="s">
        <v>200</v>
      </c>
      <c r="E730" s="851"/>
      <c r="F730" s="851"/>
      <c r="G730" s="851"/>
      <c r="H730" s="851"/>
      <c r="I730" s="851"/>
      <c r="J730" s="851"/>
      <c r="K730" s="851"/>
      <c r="L730" s="851"/>
      <c r="M730" s="851"/>
      <c r="N730" s="851"/>
      <c r="O730" s="851"/>
      <c r="P730" s="851"/>
      <c r="Q730" s="856">
        <f t="shared" si="159"/>
        <v>0</v>
      </c>
      <c r="R730" s="854"/>
      <c r="S730" s="854"/>
    </row>
    <row r="731" ht="15" hidden="1" spans="3:19">
      <c r="C731" s="296" t="s">
        <v>201</v>
      </c>
      <c r="D731" s="296" t="s">
        <v>240</v>
      </c>
      <c r="E731" s="851"/>
      <c r="F731" s="851"/>
      <c r="G731" s="851"/>
      <c r="H731" s="851"/>
      <c r="I731" s="851"/>
      <c r="J731" s="851"/>
      <c r="K731" s="851"/>
      <c r="L731" s="851"/>
      <c r="M731" s="851"/>
      <c r="N731" s="851"/>
      <c r="O731" s="851"/>
      <c r="P731" s="851"/>
      <c r="Q731" s="856">
        <f t="shared" si="159"/>
        <v>0</v>
      </c>
      <c r="R731" s="854"/>
      <c r="S731" s="854"/>
    </row>
    <row r="732" ht="15" hidden="1" spans="3:19">
      <c r="C732" s="296" t="s">
        <v>203</v>
      </c>
      <c r="D732" s="296" t="s">
        <v>220</v>
      </c>
      <c r="E732" s="851"/>
      <c r="F732" s="851"/>
      <c r="G732" s="851"/>
      <c r="H732" s="851"/>
      <c r="I732" s="851"/>
      <c r="J732" s="851"/>
      <c r="K732" s="851"/>
      <c r="L732" s="851"/>
      <c r="M732" s="851"/>
      <c r="N732" s="851"/>
      <c r="O732" s="851"/>
      <c r="P732" s="851"/>
      <c r="Q732" s="856">
        <f t="shared" si="159"/>
        <v>0</v>
      </c>
      <c r="R732" s="854"/>
      <c r="S732" s="854"/>
    </row>
    <row r="733" ht="15" hidden="1" spans="3:19">
      <c r="C733" s="296" t="s">
        <v>241</v>
      </c>
      <c r="D733" s="296" t="s">
        <v>229</v>
      </c>
      <c r="E733" s="851"/>
      <c r="F733" s="851"/>
      <c r="G733" s="851"/>
      <c r="H733" s="851"/>
      <c r="I733" s="851"/>
      <c r="J733" s="851"/>
      <c r="K733" s="851"/>
      <c r="L733" s="851"/>
      <c r="M733" s="851"/>
      <c r="N733" s="851"/>
      <c r="O733" s="851"/>
      <c r="P733" s="851"/>
      <c r="Q733" s="856">
        <f t="shared" si="159"/>
        <v>0</v>
      </c>
      <c r="R733" s="854"/>
      <c r="S733" s="854"/>
    </row>
    <row r="734" ht="15" hidden="1" spans="3:19">
      <c r="C734" s="296" t="s">
        <v>259</v>
      </c>
      <c r="D734" s="296" t="s">
        <v>243</v>
      </c>
      <c r="E734" s="851"/>
      <c r="F734" s="851"/>
      <c r="G734" s="851"/>
      <c r="H734" s="851"/>
      <c r="I734" s="851"/>
      <c r="J734" s="851"/>
      <c r="K734" s="851"/>
      <c r="L734" s="851"/>
      <c r="M734" s="851"/>
      <c r="N734" s="851"/>
      <c r="O734" s="851"/>
      <c r="P734" s="851"/>
      <c r="Q734" s="856">
        <f t="shared" si="159"/>
        <v>0</v>
      </c>
      <c r="R734" s="854"/>
      <c r="S734" s="854"/>
    </row>
    <row r="735" ht="15" hidden="1" spans="3:19">
      <c r="C735" s="296" t="s">
        <v>205</v>
      </c>
      <c r="D735" s="296" t="s">
        <v>206</v>
      </c>
      <c r="E735" s="851"/>
      <c r="F735" s="851"/>
      <c r="G735" s="851"/>
      <c r="H735" s="851"/>
      <c r="I735" s="851"/>
      <c r="J735" s="851"/>
      <c r="K735" s="851"/>
      <c r="L735" s="851"/>
      <c r="M735" s="851"/>
      <c r="N735" s="851"/>
      <c r="O735" s="851"/>
      <c r="P735" s="851"/>
      <c r="Q735" s="856">
        <f t="shared" si="159"/>
        <v>0</v>
      </c>
      <c r="R735" s="854"/>
      <c r="S735" s="854"/>
    </row>
    <row r="736" ht="15" hidden="1" spans="3:19">
      <c r="C736" s="296" t="s">
        <v>207</v>
      </c>
      <c r="D736" s="296" t="s">
        <v>186</v>
      </c>
      <c r="E736" s="851"/>
      <c r="F736" s="851"/>
      <c r="G736" s="851"/>
      <c r="H736" s="851"/>
      <c r="I736" s="851"/>
      <c r="J736" s="851"/>
      <c r="K736" s="851"/>
      <c r="L736" s="851"/>
      <c r="M736" s="851"/>
      <c r="N736" s="851"/>
      <c r="O736" s="851"/>
      <c r="P736" s="851"/>
      <c r="Q736" s="856">
        <f t="shared" si="159"/>
        <v>0</v>
      </c>
      <c r="R736" s="854"/>
      <c r="S736" s="854"/>
    </row>
    <row r="737" ht="15" hidden="1" spans="3:19">
      <c r="C737" s="296" t="s">
        <v>208</v>
      </c>
      <c r="D737" s="296" t="s">
        <v>209</v>
      </c>
      <c r="E737" s="851"/>
      <c r="F737" s="851"/>
      <c r="G737" s="851"/>
      <c r="H737" s="851"/>
      <c r="I737" s="851"/>
      <c r="J737" s="851"/>
      <c r="K737" s="851"/>
      <c r="L737" s="851"/>
      <c r="M737" s="851"/>
      <c r="N737" s="851"/>
      <c r="O737" s="851"/>
      <c r="P737" s="851"/>
      <c r="Q737" s="856">
        <f t="shared" si="159"/>
        <v>0</v>
      </c>
      <c r="R737" s="854"/>
      <c r="S737" s="854"/>
    </row>
    <row r="738" ht="15" hidden="1" spans="3:19">
      <c r="C738" s="296" t="s">
        <v>210</v>
      </c>
      <c r="D738" s="296" t="s">
        <v>188</v>
      </c>
      <c r="E738" s="851"/>
      <c r="F738" s="851"/>
      <c r="G738" s="851"/>
      <c r="H738" s="851"/>
      <c r="I738" s="851"/>
      <c r="J738" s="851"/>
      <c r="K738" s="851"/>
      <c r="L738" s="851"/>
      <c r="M738" s="851"/>
      <c r="N738" s="851"/>
      <c r="O738" s="851"/>
      <c r="P738" s="851"/>
      <c r="Q738" s="856">
        <f t="shared" si="159"/>
        <v>0</v>
      </c>
      <c r="R738" s="854"/>
      <c r="S738" s="854"/>
    </row>
    <row r="739" ht="15" hidden="1" spans="3:19">
      <c r="C739" s="296"/>
      <c r="D739" s="296"/>
      <c r="E739" s="851"/>
      <c r="F739" s="851"/>
      <c r="G739" s="851"/>
      <c r="H739" s="851"/>
      <c r="I739" s="851"/>
      <c r="J739" s="851"/>
      <c r="K739" s="851"/>
      <c r="L739" s="851"/>
      <c r="M739" s="851"/>
      <c r="N739" s="851"/>
      <c r="O739" s="851"/>
      <c r="P739" s="851"/>
      <c r="Q739" s="856">
        <f t="shared" si="159"/>
        <v>0</v>
      </c>
      <c r="R739" s="854"/>
      <c r="S739" s="854"/>
    </row>
    <row r="740" ht="15" hidden="1" spans="3:19">
      <c r="C740" s="296"/>
      <c r="D740" s="296"/>
      <c r="E740" s="851"/>
      <c r="F740" s="851"/>
      <c r="G740" s="851"/>
      <c r="H740" s="851"/>
      <c r="I740" s="851"/>
      <c r="J740" s="851"/>
      <c r="K740" s="851"/>
      <c r="L740" s="851"/>
      <c r="M740" s="851"/>
      <c r="N740" s="851"/>
      <c r="O740" s="851"/>
      <c r="P740" s="851"/>
      <c r="Q740" s="856">
        <f t="shared" si="159"/>
        <v>0</v>
      </c>
      <c r="R740" s="854"/>
      <c r="S740" s="854"/>
    </row>
    <row r="741" ht="15" hidden="1" spans="3:19">
      <c r="C741" s="296"/>
      <c r="D741" s="296"/>
      <c r="E741" s="851"/>
      <c r="F741" s="851"/>
      <c r="G741" s="851"/>
      <c r="H741" s="851"/>
      <c r="I741" s="851"/>
      <c r="J741" s="851"/>
      <c r="K741" s="851"/>
      <c r="L741" s="851"/>
      <c r="M741" s="851"/>
      <c r="N741" s="851"/>
      <c r="O741" s="851"/>
      <c r="P741" s="851"/>
      <c r="Q741" s="856">
        <f t="shared" si="159"/>
        <v>0</v>
      </c>
      <c r="R741" s="854"/>
      <c r="S741" s="854"/>
    </row>
    <row r="742" ht="15" hidden="1" spans="3:19">
      <c r="C742" s="296" t="s">
        <v>258</v>
      </c>
      <c r="D742" s="296" t="s">
        <v>258</v>
      </c>
      <c r="E742" s="851"/>
      <c r="F742" s="851"/>
      <c r="G742" s="851"/>
      <c r="H742" s="851"/>
      <c r="I742" s="851"/>
      <c r="J742" s="851"/>
      <c r="K742" s="851"/>
      <c r="L742" s="851"/>
      <c r="M742" s="851"/>
      <c r="N742" s="851"/>
      <c r="O742" s="851"/>
      <c r="P742" s="851"/>
      <c r="Q742" s="856">
        <f t="shared" si="159"/>
        <v>0</v>
      </c>
      <c r="R742" s="854"/>
      <c r="S742" s="854"/>
    </row>
    <row r="743" ht="15" hidden="1" spans="3:19">
      <c r="C743" s="285" t="s">
        <v>211</v>
      </c>
      <c r="D743" s="286"/>
      <c r="E743" s="856">
        <f>SUM(E726:E742)</f>
        <v>0</v>
      </c>
      <c r="F743" s="856">
        <f t="shared" ref="F743:P743" si="160">SUM(F726:F742)</f>
        <v>0</v>
      </c>
      <c r="G743" s="856">
        <f t="shared" si="160"/>
        <v>0</v>
      </c>
      <c r="H743" s="856">
        <f t="shared" si="160"/>
        <v>0</v>
      </c>
      <c r="I743" s="856">
        <f t="shared" si="160"/>
        <v>0</v>
      </c>
      <c r="J743" s="856">
        <f t="shared" si="160"/>
        <v>0</v>
      </c>
      <c r="K743" s="856">
        <f t="shared" si="160"/>
        <v>0</v>
      </c>
      <c r="L743" s="856">
        <f t="shared" si="160"/>
        <v>0</v>
      </c>
      <c r="M743" s="856">
        <f t="shared" si="160"/>
        <v>0</v>
      </c>
      <c r="N743" s="856">
        <f t="shared" si="160"/>
        <v>0</v>
      </c>
      <c r="O743" s="856">
        <f t="shared" si="160"/>
        <v>0</v>
      </c>
      <c r="P743" s="856">
        <f t="shared" si="160"/>
        <v>0</v>
      </c>
      <c r="Q743" s="856">
        <f t="shared" si="159"/>
        <v>0</v>
      </c>
      <c r="R743" s="854"/>
      <c r="S743" s="854"/>
    </row>
    <row r="744" ht="15" hidden="1" spans="3:19">
      <c r="C744" s="285" t="s">
        <v>223</v>
      </c>
      <c r="D744" s="286"/>
      <c r="E744" s="856">
        <f t="shared" ref="E744:P744" si="161">E743+E724+E707</f>
        <v>0</v>
      </c>
      <c r="F744" s="856">
        <f t="shared" si="161"/>
        <v>0</v>
      </c>
      <c r="G744" s="856">
        <f t="shared" si="161"/>
        <v>0</v>
      </c>
      <c r="H744" s="856">
        <f t="shared" si="161"/>
        <v>0</v>
      </c>
      <c r="I744" s="856">
        <f t="shared" si="161"/>
        <v>0</v>
      </c>
      <c r="J744" s="856">
        <f t="shared" si="161"/>
        <v>0</v>
      </c>
      <c r="K744" s="856">
        <f t="shared" si="161"/>
        <v>0</v>
      </c>
      <c r="L744" s="856">
        <f t="shared" si="161"/>
        <v>0</v>
      </c>
      <c r="M744" s="856">
        <f t="shared" si="161"/>
        <v>0</v>
      </c>
      <c r="N744" s="856">
        <f t="shared" si="161"/>
        <v>0</v>
      </c>
      <c r="O744" s="856">
        <f t="shared" si="161"/>
        <v>0</v>
      </c>
      <c r="P744" s="856">
        <f t="shared" si="161"/>
        <v>0</v>
      </c>
      <c r="Q744" s="856">
        <f t="shared" si="159"/>
        <v>0</v>
      </c>
      <c r="R744" s="854"/>
      <c r="S744" s="854"/>
    </row>
    <row r="745" ht="15" hidden="1" spans="3:19">
      <c r="C745" s="285" t="s">
        <v>224</v>
      </c>
      <c r="D745" s="286"/>
      <c r="E745" s="856">
        <f t="shared" ref="E745:P745" si="162">E744+E690</f>
        <v>1379.21799073767</v>
      </c>
      <c r="F745" s="856">
        <f t="shared" si="162"/>
        <v>652.321732440167</v>
      </c>
      <c r="G745" s="856">
        <f t="shared" si="162"/>
        <v>597.64634073794</v>
      </c>
      <c r="H745" s="856">
        <f t="shared" si="162"/>
        <v>858.32037519492</v>
      </c>
      <c r="I745" s="856">
        <f t="shared" si="162"/>
        <v>1057.4060113417</v>
      </c>
      <c r="J745" s="856">
        <f t="shared" si="162"/>
        <v>1147.7775180725</v>
      </c>
      <c r="K745" s="856">
        <f t="shared" si="162"/>
        <v>770.904290320391</v>
      </c>
      <c r="L745" s="856">
        <f t="shared" si="162"/>
        <v>653.071167132521</v>
      </c>
      <c r="M745" s="856">
        <f t="shared" si="162"/>
        <v>1145.35730701292</v>
      </c>
      <c r="N745" s="856">
        <f t="shared" si="162"/>
        <v>1538.1385085007</v>
      </c>
      <c r="O745" s="856">
        <f t="shared" si="162"/>
        <v>1636.75286176548</v>
      </c>
      <c r="P745" s="856">
        <f t="shared" si="162"/>
        <v>1899.12311734336</v>
      </c>
      <c r="Q745" s="856">
        <f t="shared" si="159"/>
        <v>13336.0372206003</v>
      </c>
      <c r="R745" s="854"/>
      <c r="S745" s="854"/>
    </row>
    <row r="746" hidden="1" spans="5:19">
      <c r="E746" s="854"/>
      <c r="F746" s="854"/>
      <c r="G746" s="854"/>
      <c r="H746" s="854"/>
      <c r="I746" s="854"/>
      <c r="J746" s="854"/>
      <c r="K746" s="854"/>
      <c r="L746" s="854"/>
      <c r="M746" s="854"/>
      <c r="N746" s="854"/>
      <c r="O746" s="854"/>
      <c r="P746" s="854"/>
      <c r="Q746" s="854"/>
      <c r="R746" s="854"/>
      <c r="S746" s="854"/>
    </row>
    <row r="747" ht="15" hidden="1" spans="3:19">
      <c r="C747" s="369"/>
      <c r="E747" s="854"/>
      <c r="F747" s="854"/>
      <c r="G747" s="854"/>
      <c r="H747" s="854"/>
      <c r="I747" s="854"/>
      <c r="J747" s="854"/>
      <c r="K747" s="854"/>
      <c r="L747" s="854"/>
      <c r="M747" s="854"/>
      <c r="N747" s="854"/>
      <c r="O747" s="854"/>
      <c r="P747" s="854"/>
      <c r="Q747" s="857" t="s">
        <v>236</v>
      </c>
      <c r="R747" s="854"/>
      <c r="S747" s="854"/>
    </row>
    <row r="748" ht="15" hidden="1" spans="3:19">
      <c r="C748" s="401" t="s">
        <v>159</v>
      </c>
      <c r="D748" s="401"/>
      <c r="E748" s="855" t="s">
        <v>267</v>
      </c>
      <c r="F748" s="855"/>
      <c r="G748" s="855"/>
      <c r="H748" s="855"/>
      <c r="I748" s="855"/>
      <c r="J748" s="855"/>
      <c r="K748" s="855"/>
      <c r="L748" s="855"/>
      <c r="M748" s="855"/>
      <c r="N748" s="855"/>
      <c r="O748" s="855"/>
      <c r="P748" s="855"/>
      <c r="Q748" s="855"/>
      <c r="R748" s="854"/>
      <c r="S748" s="854"/>
    </row>
    <row r="749" ht="15" hidden="1" spans="3:19">
      <c r="C749" s="401"/>
      <c r="D749" s="401"/>
      <c r="E749" s="855" t="s">
        <v>246</v>
      </c>
      <c r="F749" s="855" t="s">
        <v>247</v>
      </c>
      <c r="G749" s="855" t="s">
        <v>248</v>
      </c>
      <c r="H749" s="855" t="s">
        <v>249</v>
      </c>
      <c r="I749" s="855" t="s">
        <v>250</v>
      </c>
      <c r="J749" s="855" t="s">
        <v>251</v>
      </c>
      <c r="K749" s="855" t="s">
        <v>252</v>
      </c>
      <c r="L749" s="855" t="s">
        <v>253</v>
      </c>
      <c r="M749" s="855" t="s">
        <v>254</v>
      </c>
      <c r="N749" s="855" t="s">
        <v>255</v>
      </c>
      <c r="O749" s="855" t="s">
        <v>256</v>
      </c>
      <c r="P749" s="855" t="s">
        <v>257</v>
      </c>
      <c r="Q749" s="855" t="s">
        <v>97</v>
      </c>
      <c r="R749" s="854"/>
      <c r="S749" s="854"/>
    </row>
    <row r="750" ht="15" hidden="1" spans="3:19">
      <c r="C750" s="285" t="s">
        <v>170</v>
      </c>
      <c r="D750" s="286"/>
      <c r="E750" s="851"/>
      <c r="F750" s="851"/>
      <c r="G750" s="851"/>
      <c r="H750" s="851"/>
      <c r="I750" s="851"/>
      <c r="J750" s="851"/>
      <c r="K750" s="851"/>
      <c r="L750" s="851"/>
      <c r="M750" s="851"/>
      <c r="N750" s="851"/>
      <c r="O750" s="851"/>
      <c r="P750" s="851"/>
      <c r="Q750" s="856"/>
      <c r="R750" s="854"/>
      <c r="S750" s="854"/>
    </row>
    <row r="751" ht="15" hidden="1" spans="3:19">
      <c r="C751" s="296" t="s">
        <v>171</v>
      </c>
      <c r="D751" s="296" t="s">
        <v>172</v>
      </c>
      <c r="E751" s="851"/>
      <c r="F751" s="851"/>
      <c r="G751" s="851"/>
      <c r="H751" s="851"/>
      <c r="I751" s="851"/>
      <c r="J751" s="851"/>
      <c r="K751" s="851"/>
      <c r="L751" s="851"/>
      <c r="M751" s="851"/>
      <c r="N751" s="851"/>
      <c r="O751" s="851"/>
      <c r="P751" s="851"/>
      <c r="Q751" s="856">
        <f t="shared" ref="Q751:Q764" si="163">SUM(E751:P751)</f>
        <v>0</v>
      </c>
      <c r="R751" s="854"/>
      <c r="S751" s="854"/>
    </row>
    <row r="752" ht="15" hidden="1" spans="3:19">
      <c r="C752" s="296" t="s">
        <v>173</v>
      </c>
      <c r="D752" s="296" t="s">
        <v>174</v>
      </c>
      <c r="E752" s="851"/>
      <c r="F752" s="851"/>
      <c r="G752" s="851"/>
      <c r="H752" s="851"/>
      <c r="I752" s="851"/>
      <c r="J752" s="851"/>
      <c r="K752" s="851"/>
      <c r="L752" s="851"/>
      <c r="M752" s="851"/>
      <c r="N752" s="851"/>
      <c r="O752" s="851"/>
      <c r="P752" s="851"/>
      <c r="Q752" s="856">
        <f t="shared" si="163"/>
        <v>0</v>
      </c>
      <c r="R752" s="720"/>
      <c r="S752" s="854"/>
    </row>
    <row r="753" ht="15" hidden="1" spans="3:19">
      <c r="C753" s="296" t="s">
        <v>175</v>
      </c>
      <c r="D753" s="296" t="s">
        <v>176</v>
      </c>
      <c r="E753" s="851"/>
      <c r="F753" s="851"/>
      <c r="G753" s="851"/>
      <c r="H753" s="851"/>
      <c r="I753" s="851"/>
      <c r="J753" s="851"/>
      <c r="K753" s="851"/>
      <c r="L753" s="851"/>
      <c r="M753" s="851"/>
      <c r="N753" s="851"/>
      <c r="O753" s="851"/>
      <c r="P753" s="851"/>
      <c r="Q753" s="856">
        <f t="shared" si="163"/>
        <v>0</v>
      </c>
      <c r="R753" s="854"/>
      <c r="S753" s="854"/>
    </row>
    <row r="754" ht="15" hidden="1" spans="3:19">
      <c r="C754" s="296" t="s">
        <v>177</v>
      </c>
      <c r="D754" s="296" t="s">
        <v>178</v>
      </c>
      <c r="E754" s="851"/>
      <c r="F754" s="851"/>
      <c r="G754" s="851"/>
      <c r="H754" s="851"/>
      <c r="I754" s="851"/>
      <c r="J754" s="851"/>
      <c r="K754" s="851"/>
      <c r="L754" s="851"/>
      <c r="M754" s="851"/>
      <c r="N754" s="851"/>
      <c r="O754" s="851"/>
      <c r="P754" s="851"/>
      <c r="Q754" s="856">
        <f t="shared" si="163"/>
        <v>0</v>
      </c>
      <c r="R754" s="854"/>
      <c r="S754" s="854"/>
    </row>
    <row r="755" ht="15" hidden="1" spans="3:19">
      <c r="C755" s="296" t="s">
        <v>179</v>
      </c>
      <c r="D755" s="296" t="s">
        <v>180</v>
      </c>
      <c r="E755" s="851">
        <f>[17]Sales_SP!JF46</f>
        <v>1405.67846267724</v>
      </c>
      <c r="F755" s="851">
        <f>[17]Sales_SP!JG46</f>
        <v>664.836607545276</v>
      </c>
      <c r="G755" s="851">
        <f>[17]Sales_SP!JH46</f>
        <v>609.112261524271</v>
      </c>
      <c r="H755" s="851">
        <f>[17]Sales_SP!JI46</f>
        <v>874.787360367333</v>
      </c>
      <c r="I755" s="851">
        <f>[17]Sales_SP!JJ46</f>
        <v>1077.69247967357</v>
      </c>
      <c r="J755" s="851">
        <f>[17]Sales_SP!JK46</f>
        <v>1169.7977752137</v>
      </c>
      <c r="K755" s="851">
        <f>[17]Sales_SP!JL46</f>
        <v>785.69418682631</v>
      </c>
      <c r="L755" s="851">
        <f>[17]Sales_SP!JM46</f>
        <v>665.600420237178</v>
      </c>
      <c r="M755" s="851">
        <f>[17]Sales_SP!JN46</f>
        <v>1167.33113209824</v>
      </c>
      <c r="N755" s="851">
        <f>[17]Sales_SP!JO46</f>
        <v>1567.64789071343</v>
      </c>
      <c r="O755" s="851">
        <f>[17]Sales_SP!JP46</f>
        <v>1668.15417284292</v>
      </c>
      <c r="P755" s="851">
        <f>[17]Sales_SP!JQ46</f>
        <v>1935.55803502404</v>
      </c>
      <c r="Q755" s="856">
        <f t="shared" si="163"/>
        <v>13591.8907847435</v>
      </c>
      <c r="R755" s="854"/>
      <c r="S755" s="854"/>
    </row>
    <row r="756" ht="15" hidden="1" spans="3:19">
      <c r="C756" s="296" t="s">
        <v>181</v>
      </c>
      <c r="D756" s="296" t="s">
        <v>182</v>
      </c>
      <c r="E756" s="851"/>
      <c r="F756" s="851"/>
      <c r="G756" s="851"/>
      <c r="H756" s="851"/>
      <c r="I756" s="851"/>
      <c r="J756" s="851"/>
      <c r="K756" s="851"/>
      <c r="L756" s="851"/>
      <c r="M756" s="851"/>
      <c r="N756" s="851"/>
      <c r="O756" s="851"/>
      <c r="P756" s="851"/>
      <c r="Q756" s="856">
        <f t="shared" si="163"/>
        <v>0</v>
      </c>
      <c r="R756" s="854"/>
      <c r="S756" s="854"/>
    </row>
    <row r="757" ht="15" hidden="1" spans="3:19">
      <c r="C757" s="296" t="s">
        <v>183</v>
      </c>
      <c r="D757" s="296" t="s">
        <v>184</v>
      </c>
      <c r="E757" s="851"/>
      <c r="F757" s="851"/>
      <c r="G757" s="851"/>
      <c r="H757" s="851"/>
      <c r="I757" s="851"/>
      <c r="J757" s="851"/>
      <c r="K757" s="851"/>
      <c r="L757" s="851"/>
      <c r="M757" s="851"/>
      <c r="N757" s="851"/>
      <c r="O757" s="851"/>
      <c r="P757" s="851"/>
      <c r="Q757" s="856">
        <f t="shared" si="163"/>
        <v>0</v>
      </c>
      <c r="R757" s="854"/>
      <c r="S757" s="854"/>
    </row>
    <row r="758" ht="15" hidden="1" spans="3:19">
      <c r="C758" s="296" t="s">
        <v>185</v>
      </c>
      <c r="D758" s="296" t="s">
        <v>186</v>
      </c>
      <c r="E758" s="851"/>
      <c r="F758" s="851"/>
      <c r="G758" s="851"/>
      <c r="H758" s="851"/>
      <c r="I758" s="851"/>
      <c r="J758" s="851"/>
      <c r="K758" s="851"/>
      <c r="L758" s="851"/>
      <c r="M758" s="851"/>
      <c r="N758" s="851"/>
      <c r="O758" s="851"/>
      <c r="P758" s="851"/>
      <c r="Q758" s="856">
        <f t="shared" si="163"/>
        <v>0</v>
      </c>
      <c r="R758" s="854"/>
      <c r="S758" s="854"/>
    </row>
    <row r="759" ht="15" hidden="1" spans="3:19">
      <c r="C759" s="296" t="s">
        <v>187</v>
      </c>
      <c r="D759" s="296" t="s">
        <v>188</v>
      </c>
      <c r="E759" s="851"/>
      <c r="F759" s="851"/>
      <c r="G759" s="851"/>
      <c r="H759" s="851"/>
      <c r="I759" s="851"/>
      <c r="J759" s="851"/>
      <c r="K759" s="851"/>
      <c r="L759" s="851"/>
      <c r="M759" s="851"/>
      <c r="N759" s="851"/>
      <c r="O759" s="851"/>
      <c r="P759" s="851"/>
      <c r="Q759" s="856">
        <f t="shared" si="163"/>
        <v>0</v>
      </c>
      <c r="R759" s="854"/>
      <c r="S759" s="854"/>
    </row>
    <row r="760" ht="15" hidden="1" spans="3:19">
      <c r="C760" s="296"/>
      <c r="D760" s="296"/>
      <c r="E760" s="851"/>
      <c r="F760" s="851"/>
      <c r="G760" s="851"/>
      <c r="H760" s="851"/>
      <c r="I760" s="851"/>
      <c r="J760" s="851"/>
      <c r="K760" s="851"/>
      <c r="L760" s="851"/>
      <c r="M760" s="851"/>
      <c r="N760" s="851"/>
      <c r="O760" s="851"/>
      <c r="P760" s="851"/>
      <c r="Q760" s="856">
        <f t="shared" si="163"/>
        <v>0</v>
      </c>
      <c r="R760" s="854"/>
      <c r="S760" s="854"/>
    </row>
    <row r="761" ht="15" hidden="1" spans="3:19">
      <c r="C761" s="296"/>
      <c r="D761" s="296"/>
      <c r="E761" s="851"/>
      <c r="F761" s="851"/>
      <c r="G761" s="851"/>
      <c r="H761" s="851"/>
      <c r="I761" s="851"/>
      <c r="J761" s="851"/>
      <c r="K761" s="851"/>
      <c r="L761" s="851"/>
      <c r="M761" s="851"/>
      <c r="N761" s="851"/>
      <c r="O761" s="851"/>
      <c r="P761" s="851"/>
      <c r="Q761" s="856">
        <f t="shared" si="163"/>
        <v>0</v>
      </c>
      <c r="R761" s="854"/>
      <c r="S761" s="854"/>
    </row>
    <row r="762" ht="15" hidden="1" spans="3:19">
      <c r="C762" s="296"/>
      <c r="D762" s="296"/>
      <c r="E762" s="851"/>
      <c r="F762" s="851"/>
      <c r="G762" s="851"/>
      <c r="H762" s="851"/>
      <c r="I762" s="851"/>
      <c r="J762" s="851"/>
      <c r="K762" s="851"/>
      <c r="L762" s="851"/>
      <c r="M762" s="851"/>
      <c r="N762" s="851"/>
      <c r="O762" s="851"/>
      <c r="P762" s="851"/>
      <c r="Q762" s="856">
        <f t="shared" si="163"/>
        <v>0</v>
      </c>
      <c r="R762" s="854"/>
      <c r="S762" s="854"/>
    </row>
    <row r="763" ht="15" hidden="1" spans="3:19">
      <c r="C763" s="296" t="s">
        <v>258</v>
      </c>
      <c r="D763" s="296" t="s">
        <v>258</v>
      </c>
      <c r="E763" s="851"/>
      <c r="F763" s="851"/>
      <c r="G763" s="851"/>
      <c r="H763" s="851"/>
      <c r="I763" s="851"/>
      <c r="J763" s="851"/>
      <c r="K763" s="851"/>
      <c r="L763" s="851"/>
      <c r="M763" s="851"/>
      <c r="N763" s="851"/>
      <c r="O763" s="851"/>
      <c r="P763" s="851"/>
      <c r="Q763" s="856">
        <f t="shared" si="163"/>
        <v>0</v>
      </c>
      <c r="R763" s="854"/>
      <c r="S763" s="854"/>
    </row>
    <row r="764" ht="15" hidden="1" spans="3:19">
      <c r="C764" s="285" t="s">
        <v>189</v>
      </c>
      <c r="D764" s="286"/>
      <c r="E764" s="856">
        <f>SUM(E751:E763)</f>
        <v>1405.67846267724</v>
      </c>
      <c r="F764" s="856">
        <f t="shared" ref="F764:P764" si="164">SUM(F751:F763)</f>
        <v>664.836607545276</v>
      </c>
      <c r="G764" s="856">
        <f t="shared" si="164"/>
        <v>609.112261524271</v>
      </c>
      <c r="H764" s="856">
        <f t="shared" si="164"/>
        <v>874.787360367333</v>
      </c>
      <c r="I764" s="856">
        <f t="shared" si="164"/>
        <v>1077.69247967357</v>
      </c>
      <c r="J764" s="856">
        <f t="shared" si="164"/>
        <v>1169.7977752137</v>
      </c>
      <c r="K764" s="856">
        <f t="shared" si="164"/>
        <v>785.69418682631</v>
      </c>
      <c r="L764" s="856">
        <f t="shared" si="164"/>
        <v>665.600420237178</v>
      </c>
      <c r="M764" s="856">
        <f t="shared" si="164"/>
        <v>1167.33113209824</v>
      </c>
      <c r="N764" s="856">
        <f t="shared" si="164"/>
        <v>1567.64789071343</v>
      </c>
      <c r="O764" s="856">
        <f t="shared" si="164"/>
        <v>1668.15417284292</v>
      </c>
      <c r="P764" s="856">
        <f t="shared" si="164"/>
        <v>1935.55803502404</v>
      </c>
      <c r="Q764" s="856">
        <f t="shared" si="163"/>
        <v>13591.8907847435</v>
      </c>
      <c r="R764" s="854"/>
      <c r="S764" s="854"/>
    </row>
    <row r="765" ht="15" hidden="1" spans="3:19">
      <c r="C765" s="285" t="s">
        <v>190</v>
      </c>
      <c r="D765" s="286"/>
      <c r="E765" s="851"/>
      <c r="F765" s="851"/>
      <c r="G765" s="851"/>
      <c r="H765" s="851"/>
      <c r="I765" s="851"/>
      <c r="J765" s="851"/>
      <c r="K765" s="851"/>
      <c r="L765" s="851"/>
      <c r="M765" s="851"/>
      <c r="N765" s="851"/>
      <c r="O765" s="851"/>
      <c r="P765" s="851"/>
      <c r="Q765" s="856"/>
      <c r="R765" s="854"/>
      <c r="S765" s="854"/>
    </row>
    <row r="766" ht="15" hidden="1" spans="3:19">
      <c r="C766" s="296" t="s">
        <v>191</v>
      </c>
      <c r="D766" s="296" t="s">
        <v>192</v>
      </c>
      <c r="E766" s="851"/>
      <c r="F766" s="851"/>
      <c r="G766" s="851"/>
      <c r="H766" s="851"/>
      <c r="I766" s="851"/>
      <c r="J766" s="851"/>
      <c r="K766" s="851"/>
      <c r="L766" s="851"/>
      <c r="M766" s="851"/>
      <c r="N766" s="851"/>
      <c r="O766" s="851"/>
      <c r="P766" s="851"/>
      <c r="Q766" s="856">
        <f t="shared" ref="Q766:Q781" si="165">SUM(E766:P766)</f>
        <v>0</v>
      </c>
      <c r="R766" s="854"/>
      <c r="S766" s="854"/>
    </row>
    <row r="767" ht="15" hidden="1" spans="3:19">
      <c r="C767" s="296" t="s">
        <v>193</v>
      </c>
      <c r="D767" s="296" t="s">
        <v>194</v>
      </c>
      <c r="E767" s="851"/>
      <c r="F767" s="851"/>
      <c r="G767" s="851"/>
      <c r="H767" s="851"/>
      <c r="I767" s="851"/>
      <c r="J767" s="851"/>
      <c r="K767" s="851"/>
      <c r="L767" s="851"/>
      <c r="M767" s="851"/>
      <c r="N767" s="851"/>
      <c r="O767" s="851"/>
      <c r="P767" s="851"/>
      <c r="Q767" s="856">
        <f t="shared" si="165"/>
        <v>0</v>
      </c>
      <c r="R767" s="854"/>
      <c r="S767" s="854"/>
    </row>
    <row r="768" ht="15" hidden="1" spans="3:19">
      <c r="C768" s="296" t="s">
        <v>239</v>
      </c>
      <c r="D768" s="296" t="s">
        <v>196</v>
      </c>
      <c r="E768" s="851"/>
      <c r="F768" s="851"/>
      <c r="G768" s="851"/>
      <c r="H768" s="851"/>
      <c r="I768" s="851"/>
      <c r="J768" s="851"/>
      <c r="K768" s="851"/>
      <c r="L768" s="851"/>
      <c r="M768" s="851"/>
      <c r="N768" s="851"/>
      <c r="O768" s="851"/>
      <c r="P768" s="851"/>
      <c r="Q768" s="856">
        <f t="shared" si="165"/>
        <v>0</v>
      </c>
      <c r="R768" s="854"/>
      <c r="S768" s="854"/>
    </row>
    <row r="769" ht="15" hidden="1" spans="3:19">
      <c r="C769" s="296" t="s">
        <v>197</v>
      </c>
      <c r="D769" s="296" t="s">
        <v>198</v>
      </c>
      <c r="E769" s="851"/>
      <c r="F769" s="851"/>
      <c r="G769" s="851"/>
      <c r="H769" s="851"/>
      <c r="I769" s="851"/>
      <c r="J769" s="851"/>
      <c r="K769" s="851"/>
      <c r="L769" s="851"/>
      <c r="M769" s="851"/>
      <c r="N769" s="851"/>
      <c r="O769" s="851"/>
      <c r="P769" s="851"/>
      <c r="Q769" s="856">
        <f t="shared" si="165"/>
        <v>0</v>
      </c>
      <c r="R769" s="854"/>
      <c r="S769" s="854"/>
    </row>
    <row r="770" ht="15" hidden="1" spans="3:19">
      <c r="C770" s="296" t="s">
        <v>199</v>
      </c>
      <c r="D770" s="296" t="s">
        <v>200</v>
      </c>
      <c r="E770" s="851"/>
      <c r="F770" s="851"/>
      <c r="G770" s="851"/>
      <c r="H770" s="851"/>
      <c r="I770" s="851"/>
      <c r="J770" s="851"/>
      <c r="K770" s="851"/>
      <c r="L770" s="851"/>
      <c r="M770" s="851"/>
      <c r="N770" s="851"/>
      <c r="O770" s="851"/>
      <c r="P770" s="851"/>
      <c r="Q770" s="856">
        <f t="shared" si="165"/>
        <v>0</v>
      </c>
      <c r="R770" s="854"/>
      <c r="S770" s="854"/>
    </row>
    <row r="771" ht="15" hidden="1" spans="3:19">
      <c r="C771" s="296" t="s">
        <v>201</v>
      </c>
      <c r="D771" s="296" t="s">
        <v>202</v>
      </c>
      <c r="E771" s="851"/>
      <c r="F771" s="851"/>
      <c r="G771" s="851"/>
      <c r="H771" s="851"/>
      <c r="I771" s="851"/>
      <c r="J771" s="851"/>
      <c r="K771" s="851"/>
      <c r="L771" s="851"/>
      <c r="M771" s="851"/>
      <c r="N771" s="851"/>
      <c r="O771" s="851"/>
      <c r="P771" s="851"/>
      <c r="Q771" s="856">
        <f t="shared" si="165"/>
        <v>0</v>
      </c>
      <c r="R771" s="854"/>
      <c r="S771" s="854"/>
    </row>
    <row r="772" ht="15" hidden="1" spans="3:19">
      <c r="C772" s="296" t="s">
        <v>203</v>
      </c>
      <c r="D772" s="296" t="s">
        <v>204</v>
      </c>
      <c r="E772" s="851"/>
      <c r="F772" s="851"/>
      <c r="G772" s="851"/>
      <c r="H772" s="851"/>
      <c r="I772" s="851"/>
      <c r="J772" s="851"/>
      <c r="K772" s="851"/>
      <c r="L772" s="851"/>
      <c r="M772" s="851"/>
      <c r="N772" s="851"/>
      <c r="O772" s="851"/>
      <c r="P772" s="851"/>
      <c r="Q772" s="856">
        <f t="shared" si="165"/>
        <v>0</v>
      </c>
      <c r="R772" s="854"/>
      <c r="S772" s="854"/>
    </row>
    <row r="773" ht="15" hidden="1" spans="3:19">
      <c r="C773" s="296" t="s">
        <v>205</v>
      </c>
      <c r="D773" s="296" t="s">
        <v>206</v>
      </c>
      <c r="E773" s="851"/>
      <c r="F773" s="851"/>
      <c r="G773" s="851"/>
      <c r="H773" s="851"/>
      <c r="I773" s="851"/>
      <c r="J773" s="851"/>
      <c r="K773" s="851"/>
      <c r="L773" s="851"/>
      <c r="M773" s="851"/>
      <c r="N773" s="851"/>
      <c r="O773" s="851"/>
      <c r="P773" s="851"/>
      <c r="Q773" s="856">
        <f t="shared" si="165"/>
        <v>0</v>
      </c>
      <c r="R773" s="854"/>
      <c r="S773" s="854"/>
    </row>
    <row r="774" ht="15" hidden="1" spans="3:19">
      <c r="C774" s="296" t="s">
        <v>207</v>
      </c>
      <c r="D774" s="296" t="s">
        <v>186</v>
      </c>
      <c r="E774" s="851"/>
      <c r="F774" s="851"/>
      <c r="G774" s="851"/>
      <c r="H774" s="851"/>
      <c r="I774" s="851"/>
      <c r="J774" s="851"/>
      <c r="K774" s="851"/>
      <c r="L774" s="851"/>
      <c r="M774" s="851"/>
      <c r="N774" s="851"/>
      <c r="O774" s="851"/>
      <c r="P774" s="851"/>
      <c r="Q774" s="856">
        <f t="shared" si="165"/>
        <v>0</v>
      </c>
      <c r="R774" s="854"/>
      <c r="S774" s="854"/>
    </row>
    <row r="775" ht="15" hidden="1" spans="3:19">
      <c r="C775" s="296" t="s">
        <v>208</v>
      </c>
      <c r="D775" s="296" t="s">
        <v>209</v>
      </c>
      <c r="E775" s="851"/>
      <c r="F775" s="851"/>
      <c r="G775" s="851"/>
      <c r="H775" s="851"/>
      <c r="I775" s="851"/>
      <c r="J775" s="851"/>
      <c r="K775" s="851"/>
      <c r="L775" s="851"/>
      <c r="M775" s="851"/>
      <c r="N775" s="851"/>
      <c r="O775" s="851"/>
      <c r="P775" s="851"/>
      <c r="Q775" s="856">
        <f t="shared" si="165"/>
        <v>0</v>
      </c>
      <c r="R775" s="854"/>
      <c r="S775" s="854"/>
    </row>
    <row r="776" ht="15" hidden="1" spans="3:19">
      <c r="C776" s="296" t="s">
        <v>210</v>
      </c>
      <c r="D776" s="296" t="s">
        <v>188</v>
      </c>
      <c r="E776" s="851"/>
      <c r="F776" s="851"/>
      <c r="G776" s="851"/>
      <c r="H776" s="851"/>
      <c r="I776" s="851"/>
      <c r="J776" s="851"/>
      <c r="K776" s="851"/>
      <c r="L776" s="851"/>
      <c r="M776" s="851"/>
      <c r="N776" s="851"/>
      <c r="O776" s="851"/>
      <c r="P776" s="851"/>
      <c r="Q776" s="856">
        <f t="shared" si="165"/>
        <v>0</v>
      </c>
      <c r="R776" s="854"/>
      <c r="S776" s="854"/>
    </row>
    <row r="777" ht="15" hidden="1" spans="3:19">
      <c r="C777" s="296"/>
      <c r="D777" s="296"/>
      <c r="E777" s="851"/>
      <c r="F777" s="851"/>
      <c r="G777" s="851"/>
      <c r="H777" s="851"/>
      <c r="I777" s="851"/>
      <c r="J777" s="851"/>
      <c r="K777" s="851"/>
      <c r="L777" s="851"/>
      <c r="M777" s="851"/>
      <c r="N777" s="851"/>
      <c r="O777" s="851"/>
      <c r="P777" s="851"/>
      <c r="Q777" s="856">
        <f t="shared" si="165"/>
        <v>0</v>
      </c>
      <c r="R777" s="854"/>
      <c r="S777" s="854"/>
    </row>
    <row r="778" ht="15" hidden="1" spans="3:19">
      <c r="C778" s="296"/>
      <c r="D778" s="296"/>
      <c r="E778" s="851"/>
      <c r="F778" s="851"/>
      <c r="G778" s="851"/>
      <c r="H778" s="851"/>
      <c r="I778" s="851"/>
      <c r="J778" s="851"/>
      <c r="K778" s="851"/>
      <c r="L778" s="851"/>
      <c r="M778" s="851"/>
      <c r="N778" s="851"/>
      <c r="O778" s="851"/>
      <c r="P778" s="851"/>
      <c r="Q778" s="856">
        <f t="shared" si="165"/>
        <v>0</v>
      </c>
      <c r="R778" s="854"/>
      <c r="S778" s="854"/>
    </row>
    <row r="779" ht="15" hidden="1" spans="3:19">
      <c r="C779" s="296"/>
      <c r="D779" s="296"/>
      <c r="E779" s="851"/>
      <c r="F779" s="851"/>
      <c r="G779" s="851"/>
      <c r="H779" s="851"/>
      <c r="I779" s="851"/>
      <c r="J779" s="851"/>
      <c r="K779" s="851"/>
      <c r="L779" s="851"/>
      <c r="M779" s="851"/>
      <c r="N779" s="851"/>
      <c r="O779" s="851"/>
      <c r="P779" s="851"/>
      <c r="Q779" s="856">
        <f t="shared" si="165"/>
        <v>0</v>
      </c>
      <c r="R779" s="854"/>
      <c r="S779" s="854"/>
    </row>
    <row r="780" ht="15" hidden="1" spans="3:19">
      <c r="C780" s="296" t="s">
        <v>258</v>
      </c>
      <c r="D780" s="296" t="s">
        <v>258</v>
      </c>
      <c r="E780" s="851"/>
      <c r="F780" s="851"/>
      <c r="G780" s="851"/>
      <c r="H780" s="851"/>
      <c r="I780" s="851"/>
      <c r="J780" s="851"/>
      <c r="K780" s="851"/>
      <c r="L780" s="851"/>
      <c r="M780" s="851"/>
      <c r="N780" s="851"/>
      <c r="O780" s="851"/>
      <c r="P780" s="851"/>
      <c r="Q780" s="856">
        <f t="shared" si="165"/>
        <v>0</v>
      </c>
      <c r="R780" s="854"/>
      <c r="S780" s="854"/>
    </row>
    <row r="781" ht="15" hidden="1" spans="3:19">
      <c r="C781" s="285" t="s">
        <v>211</v>
      </c>
      <c r="D781" s="286"/>
      <c r="E781" s="856">
        <f t="shared" ref="E781:P781" si="166">SUM(E766:E780)</f>
        <v>0</v>
      </c>
      <c r="F781" s="856">
        <f t="shared" si="166"/>
        <v>0</v>
      </c>
      <c r="G781" s="856">
        <f t="shared" si="166"/>
        <v>0</v>
      </c>
      <c r="H781" s="856">
        <f t="shared" si="166"/>
        <v>0</v>
      </c>
      <c r="I781" s="856">
        <f t="shared" si="166"/>
        <v>0</v>
      </c>
      <c r="J781" s="856">
        <f t="shared" si="166"/>
        <v>0</v>
      </c>
      <c r="K781" s="856">
        <f t="shared" si="166"/>
        <v>0</v>
      </c>
      <c r="L781" s="856">
        <f t="shared" si="166"/>
        <v>0</v>
      </c>
      <c r="M781" s="856">
        <f t="shared" si="166"/>
        <v>0</v>
      </c>
      <c r="N781" s="856">
        <f t="shared" si="166"/>
        <v>0</v>
      </c>
      <c r="O781" s="856">
        <f t="shared" si="166"/>
        <v>0</v>
      </c>
      <c r="P781" s="856">
        <f t="shared" si="166"/>
        <v>0</v>
      </c>
      <c r="Q781" s="856">
        <f t="shared" si="165"/>
        <v>0</v>
      </c>
      <c r="R781" s="854"/>
      <c r="S781" s="854"/>
    </row>
    <row r="782" ht="15" hidden="1" spans="3:19">
      <c r="C782" s="285" t="s">
        <v>212</v>
      </c>
      <c r="D782" s="286"/>
      <c r="E782" s="851"/>
      <c r="F782" s="851"/>
      <c r="G782" s="851"/>
      <c r="H782" s="851"/>
      <c r="I782" s="851"/>
      <c r="J782" s="851"/>
      <c r="K782" s="851"/>
      <c r="L782" s="851"/>
      <c r="M782" s="851"/>
      <c r="N782" s="851"/>
      <c r="O782" s="851"/>
      <c r="P782" s="851"/>
      <c r="Q782" s="856"/>
      <c r="R782" s="854"/>
      <c r="S782" s="854"/>
    </row>
    <row r="783" ht="15" hidden="1" spans="3:19">
      <c r="C783" s="296" t="s">
        <v>191</v>
      </c>
      <c r="D783" s="296" t="s">
        <v>192</v>
      </c>
      <c r="E783" s="851"/>
      <c r="F783" s="851"/>
      <c r="G783" s="851"/>
      <c r="H783" s="851"/>
      <c r="I783" s="851"/>
      <c r="J783" s="851"/>
      <c r="K783" s="851"/>
      <c r="L783" s="851"/>
      <c r="M783" s="851"/>
      <c r="N783" s="851"/>
      <c r="O783" s="851"/>
      <c r="P783" s="851"/>
      <c r="Q783" s="856">
        <f t="shared" ref="Q783:Q798" si="167">SUM(E783:P783)</f>
        <v>0</v>
      </c>
      <c r="R783" s="854"/>
      <c r="S783" s="854"/>
    </row>
    <row r="784" ht="15" hidden="1" spans="3:19">
      <c r="C784" s="296" t="s">
        <v>193</v>
      </c>
      <c r="D784" s="296" t="s">
        <v>194</v>
      </c>
      <c r="E784" s="851"/>
      <c r="F784" s="851"/>
      <c r="G784" s="851"/>
      <c r="H784" s="851"/>
      <c r="I784" s="851"/>
      <c r="J784" s="851"/>
      <c r="K784" s="851"/>
      <c r="L784" s="851"/>
      <c r="M784" s="851"/>
      <c r="N784" s="851"/>
      <c r="O784" s="851"/>
      <c r="P784" s="851"/>
      <c r="Q784" s="856">
        <f t="shared" si="167"/>
        <v>0</v>
      </c>
      <c r="R784" s="854"/>
      <c r="S784" s="854"/>
    </row>
    <row r="785" ht="15" hidden="1" spans="3:19">
      <c r="C785" s="296" t="s">
        <v>239</v>
      </c>
      <c r="D785" s="296" t="s">
        <v>196</v>
      </c>
      <c r="E785" s="851"/>
      <c r="F785" s="851"/>
      <c r="G785" s="851"/>
      <c r="H785" s="851"/>
      <c r="I785" s="851"/>
      <c r="J785" s="851"/>
      <c r="K785" s="851"/>
      <c r="L785" s="851"/>
      <c r="M785" s="851"/>
      <c r="N785" s="851"/>
      <c r="O785" s="851"/>
      <c r="P785" s="851"/>
      <c r="Q785" s="856">
        <f t="shared" si="167"/>
        <v>0</v>
      </c>
      <c r="R785" s="854"/>
      <c r="S785" s="854"/>
    </row>
    <row r="786" ht="15" hidden="1" spans="3:19">
      <c r="C786" s="296" t="s">
        <v>197</v>
      </c>
      <c r="D786" s="296" t="s">
        <v>198</v>
      </c>
      <c r="E786" s="851"/>
      <c r="F786" s="851"/>
      <c r="G786" s="851"/>
      <c r="H786" s="851"/>
      <c r="I786" s="851"/>
      <c r="J786" s="851"/>
      <c r="K786" s="851"/>
      <c r="L786" s="851"/>
      <c r="M786" s="851"/>
      <c r="N786" s="851"/>
      <c r="O786" s="851"/>
      <c r="P786" s="851"/>
      <c r="Q786" s="856">
        <f t="shared" si="167"/>
        <v>0</v>
      </c>
      <c r="R786" s="854"/>
      <c r="S786" s="854"/>
    </row>
    <row r="787" ht="15" hidden="1" spans="3:19">
      <c r="C787" s="296" t="s">
        <v>199</v>
      </c>
      <c r="D787" s="296" t="s">
        <v>200</v>
      </c>
      <c r="E787" s="851"/>
      <c r="F787" s="851"/>
      <c r="G787" s="851"/>
      <c r="H787" s="851"/>
      <c r="I787" s="851"/>
      <c r="J787" s="851"/>
      <c r="K787" s="851"/>
      <c r="L787" s="851"/>
      <c r="M787" s="851"/>
      <c r="N787" s="851"/>
      <c r="O787" s="851"/>
      <c r="P787" s="851"/>
      <c r="Q787" s="856">
        <f t="shared" si="167"/>
        <v>0</v>
      </c>
      <c r="R787" s="854"/>
      <c r="S787" s="854"/>
    </row>
    <row r="788" ht="15" hidden="1" spans="3:19">
      <c r="C788" s="296" t="s">
        <v>201</v>
      </c>
      <c r="D788" s="296" t="s">
        <v>202</v>
      </c>
      <c r="E788" s="851"/>
      <c r="F788" s="851"/>
      <c r="G788" s="851"/>
      <c r="H788" s="851"/>
      <c r="I788" s="851"/>
      <c r="J788" s="851"/>
      <c r="K788" s="851"/>
      <c r="L788" s="851"/>
      <c r="M788" s="851"/>
      <c r="N788" s="851"/>
      <c r="O788" s="851"/>
      <c r="P788" s="851"/>
      <c r="Q788" s="856">
        <f t="shared" si="167"/>
        <v>0</v>
      </c>
      <c r="R788" s="854"/>
      <c r="S788" s="854"/>
    </row>
    <row r="789" ht="15" hidden="1" spans="3:19">
      <c r="C789" s="296" t="s">
        <v>203</v>
      </c>
      <c r="D789" s="296" t="s">
        <v>204</v>
      </c>
      <c r="E789" s="851"/>
      <c r="F789" s="851"/>
      <c r="G789" s="851"/>
      <c r="H789" s="851"/>
      <c r="I789" s="851"/>
      <c r="J789" s="851"/>
      <c r="K789" s="851"/>
      <c r="L789" s="851"/>
      <c r="M789" s="851"/>
      <c r="N789" s="851"/>
      <c r="O789" s="851"/>
      <c r="P789" s="851"/>
      <c r="Q789" s="856">
        <f t="shared" si="167"/>
        <v>0</v>
      </c>
      <c r="R789" s="854"/>
      <c r="S789" s="854"/>
    </row>
    <row r="790" ht="15" hidden="1" spans="3:19">
      <c r="C790" s="296" t="s">
        <v>205</v>
      </c>
      <c r="D790" s="296" t="s">
        <v>206</v>
      </c>
      <c r="E790" s="851"/>
      <c r="F790" s="851"/>
      <c r="G790" s="851"/>
      <c r="H790" s="851"/>
      <c r="I790" s="851"/>
      <c r="J790" s="851"/>
      <c r="K790" s="851"/>
      <c r="L790" s="851"/>
      <c r="M790" s="851"/>
      <c r="N790" s="851"/>
      <c r="O790" s="851"/>
      <c r="P790" s="851"/>
      <c r="Q790" s="856">
        <f t="shared" si="167"/>
        <v>0</v>
      </c>
      <c r="R790" s="854"/>
      <c r="S790" s="854"/>
    </row>
    <row r="791" ht="15" hidden="1" spans="3:19">
      <c r="C791" s="296" t="s">
        <v>231</v>
      </c>
      <c r="D791" s="296" t="s">
        <v>186</v>
      </c>
      <c r="E791" s="851"/>
      <c r="F791" s="851"/>
      <c r="G791" s="851"/>
      <c r="H791" s="851"/>
      <c r="I791" s="851"/>
      <c r="J791" s="851"/>
      <c r="K791" s="851"/>
      <c r="L791" s="851"/>
      <c r="M791" s="851"/>
      <c r="N791" s="851"/>
      <c r="O791" s="851"/>
      <c r="P791" s="851"/>
      <c r="Q791" s="856">
        <f t="shared" si="167"/>
        <v>0</v>
      </c>
      <c r="R791" s="854"/>
      <c r="S791" s="854"/>
    </row>
    <row r="792" ht="15" hidden="1" spans="3:19">
      <c r="C792" s="296" t="s">
        <v>208</v>
      </c>
      <c r="D792" s="296" t="s">
        <v>209</v>
      </c>
      <c r="E792" s="851"/>
      <c r="F792" s="851"/>
      <c r="G792" s="851"/>
      <c r="H792" s="851"/>
      <c r="I792" s="851"/>
      <c r="J792" s="851"/>
      <c r="K792" s="851"/>
      <c r="L792" s="851"/>
      <c r="M792" s="851"/>
      <c r="N792" s="851"/>
      <c r="O792" s="851"/>
      <c r="P792" s="851"/>
      <c r="Q792" s="856">
        <f t="shared" si="167"/>
        <v>0</v>
      </c>
      <c r="R792" s="854"/>
      <c r="S792" s="854"/>
    </row>
    <row r="793" ht="15" hidden="1" spans="3:19">
      <c r="C793" s="296" t="s">
        <v>210</v>
      </c>
      <c r="D793" s="296" t="s">
        <v>188</v>
      </c>
      <c r="E793" s="851"/>
      <c r="F793" s="851"/>
      <c r="G793" s="851"/>
      <c r="H793" s="851"/>
      <c r="I793" s="851"/>
      <c r="J793" s="851"/>
      <c r="K793" s="851"/>
      <c r="L793" s="851"/>
      <c r="M793" s="851"/>
      <c r="N793" s="851"/>
      <c r="O793" s="851"/>
      <c r="P793" s="851"/>
      <c r="Q793" s="856">
        <f t="shared" si="167"/>
        <v>0</v>
      </c>
      <c r="R793" s="854"/>
      <c r="S793" s="854"/>
    </row>
    <row r="794" ht="15" hidden="1" spans="3:19">
      <c r="C794" s="296"/>
      <c r="D794" s="296"/>
      <c r="E794" s="851"/>
      <c r="F794" s="851"/>
      <c r="G794" s="851"/>
      <c r="H794" s="851"/>
      <c r="I794" s="851"/>
      <c r="J794" s="851"/>
      <c r="K794" s="851"/>
      <c r="L794" s="851"/>
      <c r="M794" s="851"/>
      <c r="N794" s="851"/>
      <c r="O794" s="851"/>
      <c r="P794" s="851"/>
      <c r="Q794" s="856">
        <f t="shared" si="167"/>
        <v>0</v>
      </c>
      <c r="R794" s="854"/>
      <c r="S794" s="854"/>
    </row>
    <row r="795" ht="15" hidden="1" spans="3:19">
      <c r="C795" s="296"/>
      <c r="D795" s="296"/>
      <c r="E795" s="851"/>
      <c r="F795" s="851"/>
      <c r="G795" s="851"/>
      <c r="H795" s="851"/>
      <c r="I795" s="851"/>
      <c r="J795" s="851"/>
      <c r="K795" s="851"/>
      <c r="L795" s="851"/>
      <c r="M795" s="851"/>
      <c r="N795" s="851"/>
      <c r="O795" s="851"/>
      <c r="P795" s="851"/>
      <c r="Q795" s="856">
        <f t="shared" si="167"/>
        <v>0</v>
      </c>
      <c r="R795" s="854"/>
      <c r="S795" s="854"/>
    </row>
    <row r="796" ht="15" hidden="1" spans="3:19">
      <c r="C796" s="296"/>
      <c r="D796" s="296"/>
      <c r="E796" s="851"/>
      <c r="F796" s="851"/>
      <c r="G796" s="851"/>
      <c r="H796" s="851"/>
      <c r="I796" s="851"/>
      <c r="J796" s="851"/>
      <c r="K796" s="851"/>
      <c r="L796" s="851"/>
      <c r="M796" s="851"/>
      <c r="N796" s="851"/>
      <c r="O796" s="851"/>
      <c r="P796" s="851"/>
      <c r="Q796" s="856">
        <f t="shared" si="167"/>
        <v>0</v>
      </c>
      <c r="R796" s="854"/>
      <c r="S796" s="854"/>
    </row>
    <row r="797" ht="15" hidden="1" spans="3:19">
      <c r="C797" s="296" t="s">
        <v>258</v>
      </c>
      <c r="D797" s="296" t="s">
        <v>258</v>
      </c>
      <c r="E797" s="851"/>
      <c r="F797" s="851"/>
      <c r="G797" s="851"/>
      <c r="H797" s="851"/>
      <c r="I797" s="851"/>
      <c r="J797" s="851"/>
      <c r="K797" s="851"/>
      <c r="L797" s="851"/>
      <c r="M797" s="851"/>
      <c r="N797" s="851"/>
      <c r="O797" s="851"/>
      <c r="P797" s="851"/>
      <c r="Q797" s="856">
        <f t="shared" si="167"/>
        <v>0</v>
      </c>
      <c r="R797" s="854"/>
      <c r="S797" s="854"/>
    </row>
    <row r="798" ht="15" hidden="1" spans="3:19">
      <c r="C798" s="285" t="s">
        <v>211</v>
      </c>
      <c r="D798" s="286"/>
      <c r="E798" s="856">
        <f>SUM(E783:E797)</f>
        <v>0</v>
      </c>
      <c r="F798" s="856">
        <f t="shared" ref="F798:P798" si="168">SUM(F783:F797)</f>
        <v>0</v>
      </c>
      <c r="G798" s="856">
        <f t="shared" si="168"/>
        <v>0</v>
      </c>
      <c r="H798" s="856">
        <f t="shared" si="168"/>
        <v>0</v>
      </c>
      <c r="I798" s="856">
        <f t="shared" si="168"/>
        <v>0</v>
      </c>
      <c r="J798" s="856">
        <f t="shared" si="168"/>
        <v>0</v>
      </c>
      <c r="K798" s="856">
        <f t="shared" si="168"/>
        <v>0</v>
      </c>
      <c r="L798" s="856">
        <f t="shared" si="168"/>
        <v>0</v>
      </c>
      <c r="M798" s="856">
        <f t="shared" si="168"/>
        <v>0</v>
      </c>
      <c r="N798" s="856">
        <f t="shared" si="168"/>
        <v>0</v>
      </c>
      <c r="O798" s="856">
        <f t="shared" si="168"/>
        <v>0</v>
      </c>
      <c r="P798" s="856">
        <f t="shared" si="168"/>
        <v>0</v>
      </c>
      <c r="Q798" s="856">
        <f t="shared" si="167"/>
        <v>0</v>
      </c>
      <c r="R798" s="854"/>
      <c r="S798" s="854"/>
    </row>
    <row r="799" ht="15" hidden="1" spans="3:19">
      <c r="C799" s="285" t="s">
        <v>219</v>
      </c>
      <c r="D799" s="286"/>
      <c r="E799" s="851"/>
      <c r="F799" s="851"/>
      <c r="G799" s="851"/>
      <c r="H799" s="851"/>
      <c r="I799" s="851"/>
      <c r="J799" s="851"/>
      <c r="K799" s="851"/>
      <c r="L799" s="851"/>
      <c r="M799" s="851"/>
      <c r="N799" s="851"/>
      <c r="O799" s="851"/>
      <c r="P799" s="851"/>
      <c r="Q799" s="856"/>
      <c r="R799" s="854"/>
      <c r="S799" s="854"/>
    </row>
    <row r="800" ht="15" hidden="1" spans="3:19">
      <c r="C800" s="296" t="s">
        <v>191</v>
      </c>
      <c r="D800" s="296" t="s">
        <v>192</v>
      </c>
      <c r="E800" s="851"/>
      <c r="F800" s="851"/>
      <c r="G800" s="851"/>
      <c r="H800" s="851"/>
      <c r="I800" s="851"/>
      <c r="J800" s="851"/>
      <c r="K800" s="851"/>
      <c r="L800" s="851"/>
      <c r="M800" s="851"/>
      <c r="N800" s="851"/>
      <c r="O800" s="851"/>
      <c r="P800" s="851"/>
      <c r="Q800" s="856">
        <f t="shared" ref="Q800:Q819" si="169">SUM(E800:P800)</f>
        <v>0</v>
      </c>
      <c r="R800" s="854"/>
      <c r="S800" s="854"/>
    </row>
    <row r="801" ht="15" hidden="1" spans="3:19">
      <c r="C801" s="296" t="s">
        <v>193</v>
      </c>
      <c r="D801" s="296" t="s">
        <v>194</v>
      </c>
      <c r="E801" s="851"/>
      <c r="F801" s="851"/>
      <c r="G801" s="851"/>
      <c r="H801" s="851"/>
      <c r="I801" s="851"/>
      <c r="J801" s="851"/>
      <c r="K801" s="851"/>
      <c r="L801" s="851"/>
      <c r="M801" s="851"/>
      <c r="N801" s="851"/>
      <c r="O801" s="851"/>
      <c r="P801" s="851"/>
      <c r="Q801" s="856">
        <f t="shared" si="169"/>
        <v>0</v>
      </c>
      <c r="R801" s="854"/>
      <c r="S801" s="854"/>
    </row>
    <row r="802" ht="15" hidden="1" spans="3:19">
      <c r="C802" s="296" t="s">
        <v>239</v>
      </c>
      <c r="D802" s="296" t="s">
        <v>196</v>
      </c>
      <c r="E802" s="851"/>
      <c r="F802" s="851"/>
      <c r="G802" s="851"/>
      <c r="H802" s="851"/>
      <c r="I802" s="851"/>
      <c r="J802" s="851"/>
      <c r="K802" s="851"/>
      <c r="L802" s="851"/>
      <c r="M802" s="851"/>
      <c r="N802" s="851"/>
      <c r="O802" s="851"/>
      <c r="P802" s="851"/>
      <c r="Q802" s="856">
        <f t="shared" si="169"/>
        <v>0</v>
      </c>
      <c r="R802" s="854"/>
      <c r="S802" s="854"/>
    </row>
    <row r="803" ht="15" hidden="1" spans="3:19">
      <c r="C803" s="296" t="s">
        <v>197</v>
      </c>
      <c r="D803" s="296" t="s">
        <v>198</v>
      </c>
      <c r="E803" s="851"/>
      <c r="F803" s="851"/>
      <c r="G803" s="851"/>
      <c r="H803" s="851"/>
      <c r="I803" s="851"/>
      <c r="J803" s="851"/>
      <c r="K803" s="851"/>
      <c r="L803" s="851"/>
      <c r="M803" s="851"/>
      <c r="N803" s="851"/>
      <c r="O803" s="851"/>
      <c r="P803" s="851"/>
      <c r="Q803" s="856">
        <f t="shared" si="169"/>
        <v>0</v>
      </c>
      <c r="R803" s="854"/>
      <c r="S803" s="854"/>
    </row>
    <row r="804" ht="15" hidden="1" spans="3:19">
      <c r="C804" s="296" t="s">
        <v>199</v>
      </c>
      <c r="D804" s="296" t="s">
        <v>200</v>
      </c>
      <c r="E804" s="851"/>
      <c r="F804" s="851"/>
      <c r="G804" s="851"/>
      <c r="H804" s="851"/>
      <c r="I804" s="851"/>
      <c r="J804" s="851"/>
      <c r="K804" s="851"/>
      <c r="L804" s="851"/>
      <c r="M804" s="851"/>
      <c r="N804" s="851"/>
      <c r="O804" s="851"/>
      <c r="P804" s="851"/>
      <c r="Q804" s="856">
        <f t="shared" si="169"/>
        <v>0</v>
      </c>
      <c r="R804" s="854"/>
      <c r="S804" s="854"/>
    </row>
    <row r="805" ht="15" hidden="1" spans="3:19">
      <c r="C805" s="296" t="s">
        <v>201</v>
      </c>
      <c r="D805" s="296" t="s">
        <v>240</v>
      </c>
      <c r="E805" s="851"/>
      <c r="F805" s="851"/>
      <c r="G805" s="851"/>
      <c r="H805" s="851"/>
      <c r="I805" s="851"/>
      <c r="J805" s="851"/>
      <c r="K805" s="851"/>
      <c r="L805" s="851"/>
      <c r="M805" s="851"/>
      <c r="N805" s="851"/>
      <c r="O805" s="851"/>
      <c r="P805" s="851"/>
      <c r="Q805" s="856">
        <f t="shared" si="169"/>
        <v>0</v>
      </c>
      <c r="R805" s="854"/>
      <c r="S805" s="854"/>
    </row>
    <row r="806" ht="15" hidden="1" spans="3:19">
      <c r="C806" s="296" t="s">
        <v>203</v>
      </c>
      <c r="D806" s="296" t="s">
        <v>220</v>
      </c>
      <c r="E806" s="851"/>
      <c r="F806" s="851"/>
      <c r="G806" s="851"/>
      <c r="H806" s="851"/>
      <c r="I806" s="851"/>
      <c r="J806" s="851"/>
      <c r="K806" s="851"/>
      <c r="L806" s="851"/>
      <c r="M806" s="851"/>
      <c r="N806" s="851"/>
      <c r="O806" s="851"/>
      <c r="P806" s="851"/>
      <c r="Q806" s="856">
        <f t="shared" si="169"/>
        <v>0</v>
      </c>
      <c r="R806" s="854"/>
      <c r="S806" s="854"/>
    </row>
    <row r="807" ht="15" hidden="1" spans="3:19">
      <c r="C807" s="296" t="s">
        <v>241</v>
      </c>
      <c r="D807" s="296" t="s">
        <v>229</v>
      </c>
      <c r="E807" s="851"/>
      <c r="F807" s="851"/>
      <c r="G807" s="851"/>
      <c r="H807" s="851"/>
      <c r="I807" s="851"/>
      <c r="J807" s="851"/>
      <c r="K807" s="851"/>
      <c r="L807" s="851"/>
      <c r="M807" s="851"/>
      <c r="N807" s="851"/>
      <c r="O807" s="851"/>
      <c r="P807" s="851"/>
      <c r="Q807" s="856">
        <f t="shared" si="169"/>
        <v>0</v>
      </c>
      <c r="R807" s="854"/>
      <c r="S807" s="854"/>
    </row>
    <row r="808" ht="15" hidden="1" spans="3:19">
      <c r="C808" s="296" t="s">
        <v>259</v>
      </c>
      <c r="D808" s="296" t="s">
        <v>243</v>
      </c>
      <c r="E808" s="851"/>
      <c r="F808" s="851"/>
      <c r="G808" s="851"/>
      <c r="H808" s="851"/>
      <c r="I808" s="851"/>
      <c r="J808" s="851"/>
      <c r="K808" s="851"/>
      <c r="L808" s="851"/>
      <c r="M808" s="851"/>
      <c r="N808" s="851"/>
      <c r="O808" s="851"/>
      <c r="P808" s="851"/>
      <c r="Q808" s="856">
        <f t="shared" si="169"/>
        <v>0</v>
      </c>
      <c r="R808" s="854"/>
      <c r="S808" s="854"/>
    </row>
    <row r="809" ht="15" hidden="1" spans="3:19">
      <c r="C809" s="296" t="s">
        <v>205</v>
      </c>
      <c r="D809" s="296" t="s">
        <v>206</v>
      </c>
      <c r="E809" s="851"/>
      <c r="F809" s="851"/>
      <c r="G809" s="851"/>
      <c r="H809" s="851"/>
      <c r="I809" s="851"/>
      <c r="J809" s="851"/>
      <c r="K809" s="851"/>
      <c r="L809" s="851"/>
      <c r="M809" s="851"/>
      <c r="N809" s="851"/>
      <c r="O809" s="851"/>
      <c r="P809" s="851"/>
      <c r="Q809" s="856">
        <f t="shared" si="169"/>
        <v>0</v>
      </c>
      <c r="R809" s="854"/>
      <c r="S809" s="854"/>
    </row>
    <row r="810" ht="15" hidden="1" spans="3:19">
      <c r="C810" s="296" t="s">
        <v>207</v>
      </c>
      <c r="D810" s="296" t="s">
        <v>186</v>
      </c>
      <c r="E810" s="851"/>
      <c r="F810" s="851"/>
      <c r="G810" s="851"/>
      <c r="H810" s="851"/>
      <c r="I810" s="851"/>
      <c r="J810" s="851"/>
      <c r="K810" s="851"/>
      <c r="L810" s="851"/>
      <c r="M810" s="851"/>
      <c r="N810" s="851"/>
      <c r="O810" s="851"/>
      <c r="P810" s="851"/>
      <c r="Q810" s="856">
        <f t="shared" si="169"/>
        <v>0</v>
      </c>
      <c r="R810" s="854"/>
      <c r="S810" s="854"/>
    </row>
    <row r="811" ht="15" hidden="1" spans="3:19">
      <c r="C811" s="296" t="s">
        <v>208</v>
      </c>
      <c r="D811" s="296" t="s">
        <v>209</v>
      </c>
      <c r="E811" s="851"/>
      <c r="F811" s="851"/>
      <c r="G811" s="851"/>
      <c r="H811" s="851"/>
      <c r="I811" s="851"/>
      <c r="J811" s="851"/>
      <c r="K811" s="851"/>
      <c r="L811" s="851"/>
      <c r="M811" s="851"/>
      <c r="N811" s="851"/>
      <c r="O811" s="851"/>
      <c r="P811" s="851"/>
      <c r="Q811" s="856">
        <f t="shared" si="169"/>
        <v>0</v>
      </c>
      <c r="R811" s="854"/>
      <c r="S811" s="854"/>
    </row>
    <row r="812" ht="15" hidden="1" spans="3:19">
      <c r="C812" s="296" t="s">
        <v>210</v>
      </c>
      <c r="D812" s="296" t="s">
        <v>188</v>
      </c>
      <c r="E812" s="851"/>
      <c r="F812" s="851"/>
      <c r="G812" s="851"/>
      <c r="H812" s="851"/>
      <c r="I812" s="851"/>
      <c r="J812" s="851"/>
      <c r="K812" s="851"/>
      <c r="L812" s="851"/>
      <c r="M812" s="851"/>
      <c r="N812" s="851"/>
      <c r="O812" s="851"/>
      <c r="P812" s="851"/>
      <c r="Q812" s="856">
        <f t="shared" si="169"/>
        <v>0</v>
      </c>
      <c r="R812" s="854"/>
      <c r="S812" s="854"/>
    </row>
    <row r="813" ht="15" hidden="1" spans="3:19">
      <c r="C813" s="296"/>
      <c r="D813" s="296"/>
      <c r="E813" s="851"/>
      <c r="F813" s="851"/>
      <c r="G813" s="851"/>
      <c r="H813" s="851"/>
      <c r="I813" s="851"/>
      <c r="J813" s="851"/>
      <c r="K813" s="851"/>
      <c r="L813" s="851"/>
      <c r="M813" s="851"/>
      <c r="N813" s="851"/>
      <c r="O813" s="851"/>
      <c r="P813" s="851"/>
      <c r="Q813" s="856">
        <f t="shared" si="169"/>
        <v>0</v>
      </c>
      <c r="R813" s="854"/>
      <c r="S813" s="854"/>
    </row>
    <row r="814" ht="15" hidden="1" spans="3:19">
      <c r="C814" s="296"/>
      <c r="D814" s="296"/>
      <c r="E814" s="851"/>
      <c r="F814" s="851"/>
      <c r="G814" s="851"/>
      <c r="H814" s="851"/>
      <c r="I814" s="851"/>
      <c r="J814" s="851"/>
      <c r="K814" s="851"/>
      <c r="L814" s="851"/>
      <c r="M814" s="851"/>
      <c r="N814" s="851"/>
      <c r="O814" s="851"/>
      <c r="P814" s="851"/>
      <c r="Q814" s="856">
        <f t="shared" si="169"/>
        <v>0</v>
      </c>
      <c r="R814" s="854"/>
      <c r="S814" s="854"/>
    </row>
    <row r="815" ht="15" hidden="1" spans="3:19">
      <c r="C815" s="296"/>
      <c r="D815" s="296"/>
      <c r="E815" s="851"/>
      <c r="F815" s="851"/>
      <c r="G815" s="851"/>
      <c r="H815" s="851"/>
      <c r="I815" s="851"/>
      <c r="J815" s="851"/>
      <c r="K815" s="851"/>
      <c r="L815" s="851"/>
      <c r="M815" s="851"/>
      <c r="N815" s="851"/>
      <c r="O815" s="851"/>
      <c r="P815" s="851"/>
      <c r="Q815" s="856">
        <f t="shared" si="169"/>
        <v>0</v>
      </c>
      <c r="R815" s="854"/>
      <c r="S815" s="854"/>
    </row>
    <row r="816" ht="15" hidden="1" spans="3:19">
      <c r="C816" s="296" t="s">
        <v>258</v>
      </c>
      <c r="D816" s="296" t="s">
        <v>258</v>
      </c>
      <c r="E816" s="851"/>
      <c r="F816" s="851"/>
      <c r="G816" s="851"/>
      <c r="H816" s="851"/>
      <c r="I816" s="851"/>
      <c r="J816" s="851"/>
      <c r="K816" s="851"/>
      <c r="L816" s="851"/>
      <c r="M816" s="851"/>
      <c r="N816" s="851"/>
      <c r="O816" s="851"/>
      <c r="P816" s="851"/>
      <c r="Q816" s="856">
        <f t="shared" si="169"/>
        <v>0</v>
      </c>
      <c r="R816" s="854"/>
      <c r="S816" s="854"/>
    </row>
    <row r="817" ht="15" hidden="1" spans="3:19">
      <c r="C817" s="285" t="s">
        <v>211</v>
      </c>
      <c r="D817" s="286"/>
      <c r="E817" s="856">
        <f t="shared" ref="E817:P817" si="170">SUM(E800:E816)</f>
        <v>0</v>
      </c>
      <c r="F817" s="856">
        <f t="shared" si="170"/>
        <v>0</v>
      </c>
      <c r="G817" s="856">
        <f t="shared" si="170"/>
        <v>0</v>
      </c>
      <c r="H817" s="856">
        <f t="shared" si="170"/>
        <v>0</v>
      </c>
      <c r="I817" s="856">
        <f t="shared" si="170"/>
        <v>0</v>
      </c>
      <c r="J817" s="856">
        <f t="shared" si="170"/>
        <v>0</v>
      </c>
      <c r="K817" s="856">
        <f t="shared" si="170"/>
        <v>0</v>
      </c>
      <c r="L817" s="856">
        <f t="shared" si="170"/>
        <v>0</v>
      </c>
      <c r="M817" s="856">
        <f t="shared" si="170"/>
        <v>0</v>
      </c>
      <c r="N817" s="856">
        <f t="shared" si="170"/>
        <v>0</v>
      </c>
      <c r="O817" s="856">
        <f t="shared" si="170"/>
        <v>0</v>
      </c>
      <c r="P817" s="856">
        <f t="shared" si="170"/>
        <v>0</v>
      </c>
      <c r="Q817" s="856">
        <f t="shared" si="169"/>
        <v>0</v>
      </c>
      <c r="R817" s="854"/>
      <c r="S817" s="854"/>
    </row>
    <row r="818" ht="15" hidden="1" spans="3:19">
      <c r="C818" s="285" t="s">
        <v>223</v>
      </c>
      <c r="D818" s="286"/>
      <c r="E818" s="856">
        <f t="shared" ref="E818:P818" si="171">E817+E798+E781</f>
        <v>0</v>
      </c>
      <c r="F818" s="856">
        <f t="shared" si="171"/>
        <v>0</v>
      </c>
      <c r="G818" s="856">
        <f t="shared" si="171"/>
        <v>0</v>
      </c>
      <c r="H818" s="856">
        <f t="shared" si="171"/>
        <v>0</v>
      </c>
      <c r="I818" s="856">
        <f t="shared" si="171"/>
        <v>0</v>
      </c>
      <c r="J818" s="856">
        <f t="shared" si="171"/>
        <v>0</v>
      </c>
      <c r="K818" s="856">
        <f t="shared" si="171"/>
        <v>0</v>
      </c>
      <c r="L818" s="856">
        <f t="shared" si="171"/>
        <v>0</v>
      </c>
      <c r="M818" s="856">
        <f t="shared" si="171"/>
        <v>0</v>
      </c>
      <c r="N818" s="856">
        <f t="shared" si="171"/>
        <v>0</v>
      </c>
      <c r="O818" s="856">
        <f t="shared" si="171"/>
        <v>0</v>
      </c>
      <c r="P818" s="856">
        <f t="shared" si="171"/>
        <v>0</v>
      </c>
      <c r="Q818" s="856">
        <f t="shared" si="169"/>
        <v>0</v>
      </c>
      <c r="R818" s="854"/>
      <c r="S818" s="854"/>
    </row>
    <row r="819" ht="15" hidden="1" spans="3:19">
      <c r="C819" s="285" t="s">
        <v>224</v>
      </c>
      <c r="D819" s="286"/>
      <c r="E819" s="856">
        <f t="shared" ref="E819:P819" si="172">E818+E764</f>
        <v>1405.67846267724</v>
      </c>
      <c r="F819" s="856">
        <f t="shared" si="172"/>
        <v>664.836607545276</v>
      </c>
      <c r="G819" s="856">
        <f t="shared" si="172"/>
        <v>609.112261524271</v>
      </c>
      <c r="H819" s="856">
        <f t="shared" si="172"/>
        <v>874.787360367333</v>
      </c>
      <c r="I819" s="856">
        <f t="shared" si="172"/>
        <v>1077.69247967357</v>
      </c>
      <c r="J819" s="856">
        <f t="shared" si="172"/>
        <v>1169.7977752137</v>
      </c>
      <c r="K819" s="856">
        <f t="shared" si="172"/>
        <v>785.69418682631</v>
      </c>
      <c r="L819" s="856">
        <f t="shared" si="172"/>
        <v>665.600420237178</v>
      </c>
      <c r="M819" s="856">
        <f t="shared" si="172"/>
        <v>1167.33113209824</v>
      </c>
      <c r="N819" s="856">
        <f t="shared" si="172"/>
        <v>1567.64789071343</v>
      </c>
      <c r="O819" s="856">
        <f t="shared" si="172"/>
        <v>1668.15417284292</v>
      </c>
      <c r="P819" s="856">
        <f t="shared" si="172"/>
        <v>1935.55803502404</v>
      </c>
      <c r="Q819" s="856">
        <f t="shared" si="169"/>
        <v>13591.8907847435</v>
      </c>
      <c r="R819" s="854"/>
      <c r="S819" s="854"/>
    </row>
    <row r="820" ht="6.95" customHeight="1" spans="5:19">
      <c r="E820" s="854"/>
      <c r="F820" s="854"/>
      <c r="G820" s="854"/>
      <c r="H820" s="854"/>
      <c r="I820" s="854"/>
      <c r="J820" s="854"/>
      <c r="K820" s="854"/>
      <c r="L820" s="854"/>
      <c r="M820" s="854"/>
      <c r="N820" s="854"/>
      <c r="O820" s="854"/>
      <c r="P820" s="854"/>
      <c r="Q820" s="854"/>
      <c r="R820" s="854"/>
      <c r="S820" s="854"/>
    </row>
    <row r="821" ht="15" spans="4:19">
      <c r="D821" s="367"/>
      <c r="E821" s="858" t="s">
        <v>225</v>
      </c>
      <c r="F821" s="854"/>
      <c r="G821" s="854"/>
      <c r="H821" s="854"/>
      <c r="I821" s="854"/>
      <c r="J821" s="854"/>
      <c r="K821" s="854"/>
      <c r="L821" s="854"/>
      <c r="M821" s="854"/>
      <c r="N821" s="854"/>
      <c r="O821" s="854"/>
      <c r="P821" s="854"/>
      <c r="Q821" s="854"/>
      <c r="R821" s="854"/>
      <c r="S821" s="854"/>
    </row>
    <row r="822" spans="4:19">
      <c r="D822" s="728"/>
      <c r="E822" s="859">
        <v>1</v>
      </c>
      <c r="F822" s="854" t="s">
        <v>226</v>
      </c>
      <c r="G822" s="854"/>
      <c r="H822" s="854"/>
      <c r="I822" s="854"/>
      <c r="J822" s="854"/>
      <c r="K822" s="854"/>
      <c r="L822" s="854"/>
      <c r="M822" s="854"/>
      <c r="N822" s="854"/>
      <c r="O822" s="854"/>
      <c r="P822" s="854"/>
      <c r="Q822" s="854"/>
      <c r="R822" s="854"/>
      <c r="S822" s="854"/>
    </row>
    <row r="823" spans="5:19">
      <c r="E823" s="859">
        <f>E822+1</f>
        <v>2</v>
      </c>
      <c r="F823" s="854" t="s">
        <v>233</v>
      </c>
      <c r="G823" s="854"/>
      <c r="H823" s="854"/>
      <c r="I823" s="854"/>
      <c r="J823" s="854"/>
      <c r="K823" s="854"/>
      <c r="L823" s="854"/>
      <c r="M823" s="854"/>
      <c r="N823" s="854"/>
      <c r="O823" s="854"/>
      <c r="P823" s="854"/>
      <c r="Q823" s="854"/>
      <c r="R823" s="854"/>
      <c r="S823" s="854"/>
    </row>
    <row r="824" spans="5:5">
      <c r="E824" s="728"/>
    </row>
  </sheetData>
  <mergeCells count="137">
    <mergeCell ref="H5:J5"/>
    <mergeCell ref="K5:N5"/>
    <mergeCell ref="O5:S5"/>
    <mergeCell ref="C8:D8"/>
    <mergeCell ref="C22:D22"/>
    <mergeCell ref="C23:D23"/>
    <mergeCell ref="C39:D39"/>
    <mergeCell ref="C40:D40"/>
    <mergeCell ref="C57:D57"/>
    <mergeCell ref="C58:D58"/>
    <mergeCell ref="C76:D76"/>
    <mergeCell ref="C77:D77"/>
    <mergeCell ref="C78:D78"/>
    <mergeCell ref="E83:Q83"/>
    <mergeCell ref="C85:D85"/>
    <mergeCell ref="C99:D99"/>
    <mergeCell ref="C100:D100"/>
    <mergeCell ref="C116:D116"/>
    <mergeCell ref="C117:D117"/>
    <mergeCell ref="C133:D133"/>
    <mergeCell ref="C134:D134"/>
    <mergeCell ref="C152:D152"/>
    <mergeCell ref="C153:D153"/>
    <mergeCell ref="C154:D154"/>
    <mergeCell ref="E157:Q157"/>
    <mergeCell ref="C159:D159"/>
    <mergeCell ref="C173:D173"/>
    <mergeCell ref="C174:D174"/>
    <mergeCell ref="C190:D190"/>
    <mergeCell ref="C191:D191"/>
    <mergeCell ref="C207:D207"/>
    <mergeCell ref="C208:D208"/>
    <mergeCell ref="C225:D225"/>
    <mergeCell ref="C226:D226"/>
    <mergeCell ref="C227:D227"/>
    <mergeCell ref="E230:Q230"/>
    <mergeCell ref="C232:D232"/>
    <mergeCell ref="C246:D246"/>
    <mergeCell ref="C247:D247"/>
    <mergeCell ref="C263:D263"/>
    <mergeCell ref="C264:D264"/>
    <mergeCell ref="C280:D280"/>
    <mergeCell ref="C281:D281"/>
    <mergeCell ref="C299:D299"/>
    <mergeCell ref="C300:D300"/>
    <mergeCell ref="C301:D301"/>
    <mergeCell ref="E303:Q303"/>
    <mergeCell ref="C305:D305"/>
    <mergeCell ref="C319:D319"/>
    <mergeCell ref="C320:D320"/>
    <mergeCell ref="C336:D336"/>
    <mergeCell ref="C337:D337"/>
    <mergeCell ref="C353:D353"/>
    <mergeCell ref="C354:D354"/>
    <mergeCell ref="C372:D372"/>
    <mergeCell ref="C373:D373"/>
    <mergeCell ref="C374:D374"/>
    <mergeCell ref="E377:Q377"/>
    <mergeCell ref="C380:D380"/>
    <mergeCell ref="C394:D394"/>
    <mergeCell ref="C395:D395"/>
    <mergeCell ref="C411:D411"/>
    <mergeCell ref="C412:D412"/>
    <mergeCell ref="C428:D428"/>
    <mergeCell ref="C429:D429"/>
    <mergeCell ref="C447:D447"/>
    <mergeCell ref="C448:D448"/>
    <mergeCell ref="C449:D449"/>
    <mergeCell ref="E452:Q452"/>
    <mergeCell ref="C454:D454"/>
    <mergeCell ref="C468:D468"/>
    <mergeCell ref="C469:D469"/>
    <mergeCell ref="C485:D485"/>
    <mergeCell ref="C486:D486"/>
    <mergeCell ref="C502:D502"/>
    <mergeCell ref="C503:D503"/>
    <mergeCell ref="C521:D521"/>
    <mergeCell ref="C522:D522"/>
    <mergeCell ref="C523:D523"/>
    <mergeCell ref="E526:Q526"/>
    <mergeCell ref="C528:D528"/>
    <mergeCell ref="C542:D542"/>
    <mergeCell ref="C543:D543"/>
    <mergeCell ref="C559:D559"/>
    <mergeCell ref="C560:D560"/>
    <mergeCell ref="C576:D576"/>
    <mergeCell ref="C577:D577"/>
    <mergeCell ref="C595:D595"/>
    <mergeCell ref="C596:D596"/>
    <mergeCell ref="C597:D597"/>
    <mergeCell ref="E600:Q600"/>
    <mergeCell ref="C602:D602"/>
    <mergeCell ref="C616:D616"/>
    <mergeCell ref="C617:D617"/>
    <mergeCell ref="C633:D633"/>
    <mergeCell ref="C634:D634"/>
    <mergeCell ref="C650:D650"/>
    <mergeCell ref="C651:D651"/>
    <mergeCell ref="C669:D669"/>
    <mergeCell ref="C670:D670"/>
    <mergeCell ref="C671:D671"/>
    <mergeCell ref="E674:Q674"/>
    <mergeCell ref="C676:D676"/>
    <mergeCell ref="C690:D690"/>
    <mergeCell ref="C691:D691"/>
    <mergeCell ref="C707:D707"/>
    <mergeCell ref="C708:D708"/>
    <mergeCell ref="C724:D724"/>
    <mergeCell ref="C725:D725"/>
    <mergeCell ref="C743:D743"/>
    <mergeCell ref="C744:D744"/>
    <mergeCell ref="C745:D745"/>
    <mergeCell ref="E748:Q748"/>
    <mergeCell ref="C750:D750"/>
    <mergeCell ref="C764:D764"/>
    <mergeCell ref="C765:D765"/>
    <mergeCell ref="C781:D781"/>
    <mergeCell ref="C782:D782"/>
    <mergeCell ref="C798:D798"/>
    <mergeCell ref="C799:D799"/>
    <mergeCell ref="C817:D817"/>
    <mergeCell ref="C818:D818"/>
    <mergeCell ref="C819:D819"/>
    <mergeCell ref="E5:E6"/>
    <mergeCell ref="F5:F6"/>
    <mergeCell ref="G5:G6"/>
    <mergeCell ref="C83:D84"/>
    <mergeCell ref="C5:D7"/>
    <mergeCell ref="C157:D158"/>
    <mergeCell ref="C230:D231"/>
    <mergeCell ref="C303:D304"/>
    <mergeCell ref="C377:D379"/>
    <mergeCell ref="C452:D453"/>
    <mergeCell ref="C526:D527"/>
    <mergeCell ref="C600:D601"/>
    <mergeCell ref="C674:D675"/>
    <mergeCell ref="C748:D749"/>
  </mergeCells>
  <printOptions horizontalCentered="1"/>
  <pageMargins left="0.236111111111111" right="0.275" top="1" bottom="1" header="0.5" footer="0.5"/>
  <pageSetup paperSize="9" scale="56" orientation="landscape"/>
  <headerFooter alignWithMargins="0"/>
  <rowBreaks count="5" manualBreakCount="5">
    <brk id="411" max="16" man="1"/>
    <brk id="449" max="16" man="1"/>
    <brk id="485" max="16" man="1"/>
    <brk id="523" max="16" man="1"/>
    <brk id="559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</sheetPr>
  <dimension ref="B1:I54"/>
  <sheetViews>
    <sheetView showGridLines="0" view="pageBreakPreview" zoomScaleNormal="84" workbookViewId="0">
      <selection activeCell="E63" sqref="E63"/>
    </sheetView>
  </sheetViews>
  <sheetFormatPr defaultColWidth="9.14285714285714" defaultRowHeight="14.25"/>
  <cols>
    <col min="1" max="1" width="4.14285714285714" style="12" customWidth="1"/>
    <col min="2" max="2" width="8.14285714285714" style="12" customWidth="1"/>
    <col min="3" max="3" width="23.8571428571429" style="12" customWidth="1"/>
    <col min="4" max="4" width="15.1428571428571" style="12" customWidth="1"/>
    <col min="5" max="5" width="23.8571428571429" style="12" customWidth="1"/>
    <col min="6" max="6" width="12.1428571428571" style="12" customWidth="1"/>
    <col min="7" max="7" width="13.8571428571429" style="12" customWidth="1"/>
    <col min="8" max="8" width="13.1428571428571" style="12" customWidth="1"/>
    <col min="9" max="9" width="22.4285714285714" style="12" customWidth="1"/>
    <col min="10" max="10" width="10.8571428571429" style="12" customWidth="1"/>
    <col min="11" max="16384" width="9.14285714285714" style="12"/>
  </cols>
  <sheetData>
    <row r="1" ht="15" spans="2:2">
      <c r="B1" s="840"/>
    </row>
    <row r="2" ht="15" spans="5:5">
      <c r="E2" s="2" t="s">
        <v>0</v>
      </c>
    </row>
    <row r="3" ht="15" spans="3:7">
      <c r="C3" s="841"/>
      <c r="D3" s="841"/>
      <c r="E3" s="3" t="s">
        <v>274</v>
      </c>
      <c r="F3" s="841"/>
      <c r="G3" s="841"/>
    </row>
    <row r="5" ht="15" hidden="1" spans="2:9">
      <c r="B5" s="11" t="s">
        <v>275</v>
      </c>
      <c r="I5" s="3" t="s">
        <v>236</v>
      </c>
    </row>
    <row r="6" ht="30" hidden="1" spans="2:9">
      <c r="B6" s="5" t="s">
        <v>3</v>
      </c>
      <c r="C6" s="842" t="s">
        <v>276</v>
      </c>
      <c r="D6" s="5" t="s">
        <v>277</v>
      </c>
      <c r="E6" s="5" t="s">
        <v>278</v>
      </c>
      <c r="F6" s="5" t="s">
        <v>279</v>
      </c>
      <c r="G6" s="5" t="s">
        <v>280</v>
      </c>
      <c r="H6" s="5" t="s">
        <v>281</v>
      </c>
      <c r="I6" s="5" t="s">
        <v>282</v>
      </c>
    </row>
    <row r="7" ht="15" hidden="1" spans="2:9">
      <c r="B7" s="5" t="s">
        <v>283</v>
      </c>
      <c r="C7" s="5" t="s">
        <v>284</v>
      </c>
      <c r="D7" s="147"/>
      <c r="E7" s="147"/>
      <c r="F7" s="55"/>
      <c r="G7" s="55"/>
      <c r="H7" s="55"/>
      <c r="I7" s="5"/>
    </row>
    <row r="8" ht="15" hidden="1" spans="2:9">
      <c r="B8" s="5" t="s">
        <v>285</v>
      </c>
      <c r="C8" s="5" t="s">
        <v>286</v>
      </c>
      <c r="D8" s="147"/>
      <c r="E8" s="55"/>
      <c r="F8" s="55"/>
      <c r="G8" s="55"/>
      <c r="H8" s="55"/>
      <c r="I8" s="234"/>
    </row>
    <row r="9" ht="15" hidden="1" spans="2:9">
      <c r="B9" s="5" t="s">
        <v>287</v>
      </c>
      <c r="C9" s="5" t="s">
        <v>288</v>
      </c>
      <c r="D9" s="55"/>
      <c r="E9" s="55"/>
      <c r="F9" s="55"/>
      <c r="G9" s="55"/>
      <c r="H9" s="55"/>
      <c r="I9" s="234"/>
    </row>
    <row r="10" hidden="1" customHeight="1" spans="2:9">
      <c r="B10" s="537" t="s">
        <v>289</v>
      </c>
      <c r="C10" s="540"/>
      <c r="D10" s="55"/>
      <c r="E10" s="55"/>
      <c r="F10" s="55"/>
      <c r="G10" s="55"/>
      <c r="H10" s="55"/>
      <c r="I10" s="55"/>
    </row>
    <row r="11" hidden="1"/>
    <row r="12" ht="15" hidden="1" spans="2:2">
      <c r="B12" s="11" t="s">
        <v>290</v>
      </c>
    </row>
    <row r="13" ht="30" hidden="1" spans="2:9">
      <c r="B13" s="5" t="s">
        <v>3</v>
      </c>
      <c r="C13" s="5" t="s">
        <v>276</v>
      </c>
      <c r="D13" s="5" t="s">
        <v>277</v>
      </c>
      <c r="E13" s="5" t="s">
        <v>278</v>
      </c>
      <c r="F13" s="5" t="s">
        <v>279</v>
      </c>
      <c r="G13" s="5" t="s">
        <v>280</v>
      </c>
      <c r="H13" s="5" t="s">
        <v>281</v>
      </c>
      <c r="I13" s="5" t="s">
        <v>282</v>
      </c>
    </row>
    <row r="14" ht="15" hidden="1" spans="2:9">
      <c r="B14" s="5" t="s">
        <v>283</v>
      </c>
      <c r="C14" s="5" t="s">
        <v>284</v>
      </c>
      <c r="D14" s="843">
        <f>'F6'!K18</f>
        <v>19592.6972956598</v>
      </c>
      <c r="E14" s="843">
        <f>'F6'!K22</f>
        <v>18286.157935214</v>
      </c>
      <c r="F14" s="843">
        <f>'F6'!K19</f>
        <v>625.54473715956</v>
      </c>
      <c r="G14" s="843">
        <f>D14-H14</f>
        <v>18911.7026723736</v>
      </c>
      <c r="H14" s="843">
        <f>'F6'!K21</f>
        <v>680.994623286229</v>
      </c>
      <c r="I14" s="844">
        <f>H14/D14</f>
        <v>0.0347575738556979</v>
      </c>
    </row>
    <row r="15" ht="15" hidden="1" spans="2:9">
      <c r="B15" s="5" t="s">
        <v>285</v>
      </c>
      <c r="C15" s="5" t="s">
        <v>286</v>
      </c>
      <c r="D15" s="126">
        <f>E14</f>
        <v>18286.157935214</v>
      </c>
      <c r="E15" s="126">
        <f>'F6'!K29</f>
        <v>14973.2504325437</v>
      </c>
      <c r="F15" s="126">
        <f>'F6'!K26</f>
        <v>2623.57507644279</v>
      </c>
      <c r="G15" s="126">
        <f>D15-H15</f>
        <v>17596.8255089865</v>
      </c>
      <c r="H15" s="126">
        <f>'F6'!K28</f>
        <v>689.332426227583</v>
      </c>
      <c r="I15" s="844">
        <f>H15/D15</f>
        <v>0.0376969524527687</v>
      </c>
    </row>
    <row r="16" ht="15" hidden="1" spans="2:9">
      <c r="B16" s="5" t="s">
        <v>287</v>
      </c>
      <c r="C16" s="5" t="s">
        <v>288</v>
      </c>
      <c r="D16" s="126">
        <f>E15</f>
        <v>14973.2504325437</v>
      </c>
      <c r="E16" s="126">
        <v>0</v>
      </c>
      <c r="F16" s="126">
        <f>'F6'!K33</f>
        <v>14261.4516481443</v>
      </c>
      <c r="G16" s="126">
        <f>D16-H16</f>
        <v>14261.4516481443</v>
      </c>
      <c r="H16" s="126">
        <f>'F6'!K35</f>
        <v>711.798784399417</v>
      </c>
      <c r="I16" s="844">
        <f>H16/D16</f>
        <v>0.0475380270707524</v>
      </c>
    </row>
    <row r="17" ht="15" hidden="1" spans="2:9">
      <c r="B17" s="537" t="s">
        <v>289</v>
      </c>
      <c r="C17" s="540"/>
      <c r="D17" s="55"/>
      <c r="E17" s="55"/>
      <c r="F17" s="55"/>
      <c r="G17" s="55"/>
      <c r="H17" s="55"/>
      <c r="I17" s="55"/>
    </row>
    <row r="19" ht="15" spans="2:2">
      <c r="B19" s="11" t="s">
        <v>291</v>
      </c>
    </row>
    <row r="20" ht="30" spans="2:9">
      <c r="B20" s="5" t="s">
        <v>3</v>
      </c>
      <c r="C20" s="5" t="s">
        <v>276</v>
      </c>
      <c r="D20" s="5" t="s">
        <v>277</v>
      </c>
      <c r="E20" s="5" t="s">
        <v>278</v>
      </c>
      <c r="F20" s="5" t="s">
        <v>279</v>
      </c>
      <c r="G20" s="5" t="s">
        <v>280</v>
      </c>
      <c r="H20" s="5" t="s">
        <v>281</v>
      </c>
      <c r="I20" s="5" t="s">
        <v>282</v>
      </c>
    </row>
    <row r="21" ht="15" spans="2:9">
      <c r="B21" s="5" t="s">
        <v>283</v>
      </c>
      <c r="C21" s="5" t="s">
        <v>284</v>
      </c>
      <c r="D21" s="126">
        <f>'F6'!L18</f>
        <v>59700.2856845208</v>
      </c>
      <c r="E21" s="126">
        <f>'F6'!L22</f>
        <v>47758.4461886615</v>
      </c>
      <c r="F21" s="126">
        <f>'F6'!L19</f>
        <v>10055.3104682285</v>
      </c>
      <c r="G21" s="126">
        <f>D21-H21</f>
        <v>57813.75665689</v>
      </c>
      <c r="H21" s="126">
        <f>'F6'!L21</f>
        <v>1886.52902763086</v>
      </c>
      <c r="I21" s="845">
        <f>H21/D21</f>
        <v>0.0316</v>
      </c>
    </row>
    <row r="22" ht="15" spans="2:9">
      <c r="B22" s="5" t="s">
        <v>285</v>
      </c>
      <c r="C22" s="5" t="s">
        <v>286</v>
      </c>
      <c r="D22" s="126">
        <f>E21</f>
        <v>47758.4461886615</v>
      </c>
      <c r="E22" s="126">
        <f>'F6'!L29</f>
        <v>37789.1359868684</v>
      </c>
      <c r="F22" s="126">
        <f>'F6'!L26</f>
        <v>8039.86897577117</v>
      </c>
      <c r="G22" s="126">
        <f>D22-H22</f>
        <v>45829.0049626396</v>
      </c>
      <c r="H22" s="126">
        <f>'F6'!L28</f>
        <v>1929.44122602192</v>
      </c>
      <c r="I22" s="845">
        <f>H22/D22</f>
        <v>0.0404</v>
      </c>
    </row>
    <row r="23" ht="15" spans="2:9">
      <c r="B23" s="5" t="s">
        <v>287</v>
      </c>
      <c r="C23" s="5" t="s">
        <v>288</v>
      </c>
      <c r="D23" s="126">
        <f>E22</f>
        <v>37789.1359868684</v>
      </c>
      <c r="E23" s="126">
        <v>0</v>
      </c>
      <c r="F23" s="126">
        <f>G23</f>
        <v>36031.941163479</v>
      </c>
      <c r="G23" s="126">
        <f>D23-H23</f>
        <v>36031.941163479</v>
      </c>
      <c r="H23" s="126">
        <f>'F6'!L35</f>
        <v>1757.19482338938</v>
      </c>
      <c r="I23" s="845">
        <f>H23/D23</f>
        <v>0.0465</v>
      </c>
    </row>
    <row r="24" ht="15" spans="2:9">
      <c r="B24" s="537" t="s">
        <v>289</v>
      </c>
      <c r="C24" s="540"/>
      <c r="D24" s="55"/>
      <c r="E24" s="55"/>
      <c r="F24" s="55"/>
      <c r="G24" s="55"/>
      <c r="H24" s="55"/>
      <c r="I24" s="55"/>
    </row>
    <row r="26" ht="15" hidden="1" spans="2:2">
      <c r="B26" s="11" t="s">
        <v>292</v>
      </c>
    </row>
    <row r="27" ht="30" hidden="1" spans="2:9">
      <c r="B27" s="5" t="s">
        <v>3</v>
      </c>
      <c r="C27" s="5" t="s">
        <v>276</v>
      </c>
      <c r="D27" s="5" t="s">
        <v>277</v>
      </c>
      <c r="E27" s="5" t="s">
        <v>278</v>
      </c>
      <c r="F27" s="5" t="s">
        <v>279</v>
      </c>
      <c r="G27" s="5" t="s">
        <v>280</v>
      </c>
      <c r="H27" s="5" t="s">
        <v>281</v>
      </c>
      <c r="I27" s="5" t="s">
        <v>282</v>
      </c>
    </row>
    <row r="28" ht="15" hidden="1" spans="2:9">
      <c r="B28" s="5" t="s">
        <v>283</v>
      </c>
      <c r="C28" s="5" t="s">
        <v>284</v>
      </c>
      <c r="D28" s="126">
        <f>'F6'!M18</f>
        <v>55205.97188446</v>
      </c>
      <c r="E28" s="126">
        <f>'F6'!M22</f>
        <v>43173.5853257916</v>
      </c>
      <c r="F28" s="126">
        <f>'F6'!M19</f>
        <v>10287.8778471195</v>
      </c>
      <c r="G28" s="126">
        <f>D28-H28</f>
        <v>53461.4631729111</v>
      </c>
      <c r="H28" s="126">
        <f>'F6'!M21</f>
        <v>1744.50871154894</v>
      </c>
      <c r="I28" s="845">
        <f>H28/D28</f>
        <v>0.0316</v>
      </c>
    </row>
    <row r="29" ht="15" hidden="1" spans="2:9">
      <c r="B29" s="5" t="s">
        <v>285</v>
      </c>
      <c r="C29" s="5" t="s">
        <v>286</v>
      </c>
      <c r="D29" s="126">
        <f>E28</f>
        <v>43173.5853257916</v>
      </c>
      <c r="E29" s="126">
        <f>'F6'!M29</f>
        <v>32958.0236298321</v>
      </c>
      <c r="F29" s="126">
        <f>'F6'!M26</f>
        <v>8471.34884879754</v>
      </c>
      <c r="G29" s="126">
        <f>D29-H29</f>
        <v>41429.3724786296</v>
      </c>
      <c r="H29" s="126">
        <f>'F6'!M28</f>
        <v>1744.21284716198</v>
      </c>
      <c r="I29" s="845">
        <f>H29/D29</f>
        <v>0.0404</v>
      </c>
    </row>
    <row r="30" ht="15" hidden="1" spans="2:9">
      <c r="B30" s="5" t="s">
        <v>287</v>
      </c>
      <c r="C30" s="5" t="s">
        <v>288</v>
      </c>
      <c r="D30" s="126">
        <f>E29</f>
        <v>32958.0236298321</v>
      </c>
      <c r="E30" s="126"/>
      <c r="F30" s="126">
        <f>G30</f>
        <v>31425.4755310449</v>
      </c>
      <c r="G30" s="126">
        <f>D30-H30</f>
        <v>31425.4755310449</v>
      </c>
      <c r="H30" s="126">
        <f>'F6'!M35</f>
        <v>1532.54809878719</v>
      </c>
      <c r="I30" s="845">
        <f>H30/D30</f>
        <v>0.0465</v>
      </c>
    </row>
    <row r="31" ht="15" hidden="1" spans="2:9">
      <c r="B31" s="537" t="s">
        <v>289</v>
      </c>
      <c r="C31" s="540"/>
      <c r="D31" s="55"/>
      <c r="E31" s="55"/>
      <c r="F31" s="55"/>
      <c r="G31" s="55"/>
      <c r="H31" s="55"/>
      <c r="I31" s="55"/>
    </row>
    <row r="32" hidden="1"/>
    <row r="33" ht="15" hidden="1" spans="2:2">
      <c r="B33" s="11" t="s">
        <v>293</v>
      </c>
    </row>
    <row r="34" ht="30" hidden="1" spans="2:9">
      <c r="B34" s="5" t="s">
        <v>3</v>
      </c>
      <c r="C34" s="5" t="s">
        <v>276</v>
      </c>
      <c r="D34" s="5" t="s">
        <v>277</v>
      </c>
      <c r="E34" s="5" t="s">
        <v>278</v>
      </c>
      <c r="F34" s="5" t="s">
        <v>279</v>
      </c>
      <c r="G34" s="5" t="s">
        <v>280</v>
      </c>
      <c r="H34" s="5" t="s">
        <v>281</v>
      </c>
      <c r="I34" s="5" t="s">
        <v>282</v>
      </c>
    </row>
    <row r="35" ht="15" hidden="1" spans="2:9">
      <c r="B35" s="5" t="s">
        <v>283</v>
      </c>
      <c r="C35" s="5" t="s">
        <v>284</v>
      </c>
      <c r="D35" s="126">
        <f>'F6'!N18</f>
        <v>60339.9130163106</v>
      </c>
      <c r="E35" s="126">
        <f>'F6'!N22</f>
        <v>46242.838556984</v>
      </c>
      <c r="F35" s="126">
        <f>'F6'!N19</f>
        <v>12202.4011906144</v>
      </c>
      <c r="G35" s="126">
        <f>D35-H35</f>
        <v>58445.2397475984</v>
      </c>
      <c r="H35" s="126">
        <f>'F6'!N21</f>
        <v>1894.67326871215</v>
      </c>
      <c r="I35" s="845">
        <f>H35/D35</f>
        <v>0.0314</v>
      </c>
    </row>
    <row r="36" ht="15" hidden="1" spans="2:9">
      <c r="B36" s="5" t="s">
        <v>285</v>
      </c>
      <c r="C36" s="5" t="s">
        <v>286</v>
      </c>
      <c r="D36" s="126">
        <f>E35</f>
        <v>46242.838556984</v>
      </c>
      <c r="E36" s="126">
        <f>'F6'!N29</f>
        <v>34898.5261712896</v>
      </c>
      <c r="F36" s="126">
        <f>'F6'!N26</f>
        <v>9489.97455955934</v>
      </c>
      <c r="G36" s="126">
        <f>D36-H36</f>
        <v>44388.5007308489</v>
      </c>
      <c r="H36" s="126">
        <f>'F6'!N28</f>
        <v>1854.33782613506</v>
      </c>
      <c r="I36" s="845">
        <f>H36/D36</f>
        <v>0.0401000000000001</v>
      </c>
    </row>
    <row r="37" ht="15" hidden="1" spans="2:9">
      <c r="B37" s="5" t="s">
        <v>287</v>
      </c>
      <c r="C37" s="5" t="s">
        <v>288</v>
      </c>
      <c r="D37" s="126">
        <f>E36</f>
        <v>34898.5261712896</v>
      </c>
      <c r="E37" s="126">
        <v>0</v>
      </c>
      <c r="F37" s="126">
        <f>G37</f>
        <v>33293.1939674102</v>
      </c>
      <c r="G37" s="126">
        <f>D37-H37</f>
        <v>33293.1939674102</v>
      </c>
      <c r="H37" s="126">
        <f>'F6'!N35</f>
        <v>1605.33220387932</v>
      </c>
      <c r="I37" s="845">
        <f>H37/D37</f>
        <v>0.046</v>
      </c>
    </row>
    <row r="38" ht="15" hidden="1" spans="2:9">
      <c r="B38" s="537" t="s">
        <v>289</v>
      </c>
      <c r="C38" s="540"/>
      <c r="D38" s="55"/>
      <c r="E38" s="55"/>
      <c r="F38" s="55"/>
      <c r="G38" s="55"/>
      <c r="H38" s="55"/>
      <c r="I38" s="55"/>
    </row>
    <row r="39" hidden="1"/>
    <row r="40" ht="15" hidden="1" spans="2:2">
      <c r="B40" s="11" t="s">
        <v>294</v>
      </c>
    </row>
    <row r="41" ht="30" hidden="1" spans="2:9">
      <c r="B41" s="5" t="s">
        <v>3</v>
      </c>
      <c r="C41" s="5" t="s">
        <v>276</v>
      </c>
      <c r="D41" s="5" t="s">
        <v>277</v>
      </c>
      <c r="E41" s="5" t="s">
        <v>278</v>
      </c>
      <c r="F41" s="5" t="s">
        <v>279</v>
      </c>
      <c r="G41" s="5" t="s">
        <v>280</v>
      </c>
      <c r="H41" s="5" t="s">
        <v>281</v>
      </c>
      <c r="I41" s="5" t="s">
        <v>282</v>
      </c>
    </row>
    <row r="42" ht="15" hidden="1" spans="2:9">
      <c r="B42" s="5" t="s">
        <v>283</v>
      </c>
      <c r="C42" s="5" t="s">
        <v>284</v>
      </c>
      <c r="D42" s="126">
        <f>'F6'!O18</f>
        <v>66075.4484197843</v>
      </c>
      <c r="E42" s="126">
        <f>'F6'!O22</f>
        <v>49723.0182917712</v>
      </c>
      <c r="F42" s="126">
        <f>'F6'!O19</f>
        <v>14290.8761373159</v>
      </c>
      <c r="G42" s="126">
        <f>D42-H42</f>
        <v>64013.8944290871</v>
      </c>
      <c r="H42" s="126">
        <f>'F6'!O21</f>
        <v>2061.55399069727</v>
      </c>
      <c r="I42" s="845">
        <f>H42/D42</f>
        <v>0.0312</v>
      </c>
    </row>
    <row r="43" ht="15" hidden="1" spans="2:9">
      <c r="B43" s="5" t="s">
        <v>285</v>
      </c>
      <c r="C43" s="5" t="s">
        <v>286</v>
      </c>
      <c r="D43" s="126">
        <f>E42</f>
        <v>49723.0182917712</v>
      </c>
      <c r="E43" s="126">
        <f>'F6'!O29</f>
        <v>37159.1885480369</v>
      </c>
      <c r="F43" s="126">
        <f>'F6'!O26</f>
        <v>10584.8536157218</v>
      </c>
      <c r="G43" s="126">
        <f>D43-H43</f>
        <v>47744.0421637587</v>
      </c>
      <c r="H43" s="126">
        <f>'F6'!O28</f>
        <v>1978.9761280125</v>
      </c>
      <c r="I43" s="845">
        <f>H43/D43</f>
        <v>0.0398</v>
      </c>
    </row>
    <row r="44" ht="15" hidden="1" spans="2:9">
      <c r="B44" s="5" t="s">
        <v>287</v>
      </c>
      <c r="C44" s="5" t="s">
        <v>288</v>
      </c>
      <c r="D44" s="126">
        <f>E43</f>
        <v>37159.1885480369</v>
      </c>
      <c r="E44" s="126">
        <v>0</v>
      </c>
      <c r="F44" s="126">
        <f>'F6'!O33</f>
        <v>35468.4454691012</v>
      </c>
      <c r="G44" s="126">
        <f>D44-H44</f>
        <v>35468.4454691012</v>
      </c>
      <c r="H44" s="126">
        <f>'F6'!O35</f>
        <v>1690.74307893568</v>
      </c>
      <c r="I44" s="845">
        <f>H44/D44</f>
        <v>0.0455</v>
      </c>
    </row>
    <row r="45" ht="15" hidden="1" spans="2:9">
      <c r="B45" s="537" t="s">
        <v>289</v>
      </c>
      <c r="C45" s="540"/>
      <c r="D45" s="55"/>
      <c r="E45" s="55"/>
      <c r="F45" s="55"/>
      <c r="G45" s="55"/>
      <c r="H45" s="55"/>
      <c r="I45" s="55"/>
    </row>
    <row r="46" hidden="1"/>
    <row r="47" ht="15" hidden="1" spans="2:2">
      <c r="B47" s="11" t="s">
        <v>295</v>
      </c>
    </row>
    <row r="48" ht="30" hidden="1" spans="2:9">
      <c r="B48" s="5" t="s">
        <v>3</v>
      </c>
      <c r="C48" s="5" t="s">
        <v>276</v>
      </c>
      <c r="D48" s="5" t="s">
        <v>277</v>
      </c>
      <c r="E48" s="5" t="s">
        <v>278</v>
      </c>
      <c r="F48" s="5" t="s">
        <v>279</v>
      </c>
      <c r="G48" s="5" t="s">
        <v>280</v>
      </c>
      <c r="H48" s="5" t="s">
        <v>281</v>
      </c>
      <c r="I48" s="5" t="s">
        <v>282</v>
      </c>
    </row>
    <row r="49" ht="15" hidden="1" spans="2:9">
      <c r="B49" s="5" t="s">
        <v>283</v>
      </c>
      <c r="C49" s="5" t="s">
        <v>284</v>
      </c>
      <c r="D49" s="126">
        <f>'F6'!P18</f>
        <v>72094.7485890871</v>
      </c>
      <c r="E49" s="126">
        <f>'F6'!P22</f>
        <v>53347.9726894742</v>
      </c>
      <c r="F49" s="126">
        <f>'F6'!P19</f>
        <v>16511.8386933512</v>
      </c>
      <c r="G49" s="126">
        <f>D49-H49</f>
        <v>69859.8113828254</v>
      </c>
      <c r="H49" s="126">
        <f>'F6'!P21</f>
        <v>2234.9372062617</v>
      </c>
      <c r="I49" s="845">
        <f>H49/D49</f>
        <v>0.031</v>
      </c>
    </row>
    <row r="50" ht="15" hidden="1" spans="2:9">
      <c r="B50" s="5" t="s">
        <v>285</v>
      </c>
      <c r="C50" s="5" t="s">
        <v>286</v>
      </c>
      <c r="D50" s="126">
        <f>E49</f>
        <v>53347.9726894742</v>
      </c>
      <c r="E50" s="126">
        <f>'F6'!P29</f>
        <v>39529.6889972324</v>
      </c>
      <c r="F50" s="126">
        <f>'F6'!P26</f>
        <v>11711.0387710075</v>
      </c>
      <c r="G50" s="126">
        <f>D50-H50</f>
        <v>51240.72776824</v>
      </c>
      <c r="H50" s="126">
        <f>'F6'!P28</f>
        <v>2107.24492123423</v>
      </c>
      <c r="I50" s="530">
        <f>H50/D50</f>
        <v>0.0395</v>
      </c>
    </row>
    <row r="51" ht="15" hidden="1" spans="2:9">
      <c r="B51" s="5" t="s">
        <v>287</v>
      </c>
      <c r="C51" s="5" t="s">
        <v>288</v>
      </c>
      <c r="D51" s="126">
        <f>E50</f>
        <v>39529.6889972324</v>
      </c>
      <c r="E51" s="126">
        <v>0</v>
      </c>
      <c r="F51" s="126">
        <f>'F6'!P33</f>
        <v>37750.852992357</v>
      </c>
      <c r="G51" s="126">
        <f>D51-H51</f>
        <v>37750.852992357</v>
      </c>
      <c r="H51" s="126">
        <f>'F6'!P35</f>
        <v>1778.83600487546</v>
      </c>
      <c r="I51" s="530">
        <f>H51/D51</f>
        <v>0.045</v>
      </c>
    </row>
    <row r="52" ht="15" hidden="1" spans="2:9">
      <c r="B52" s="537" t="s">
        <v>289</v>
      </c>
      <c r="C52" s="540"/>
      <c r="D52" s="126"/>
      <c r="E52" s="126"/>
      <c r="F52" s="126"/>
      <c r="G52" s="126"/>
      <c r="H52" s="126"/>
      <c r="I52" s="55"/>
    </row>
    <row r="53" hidden="1"/>
    <row r="54" hidden="1"/>
  </sheetData>
  <mergeCells count="7">
    <mergeCell ref="B10:C10"/>
    <mergeCell ref="B17:C17"/>
    <mergeCell ref="B24:C24"/>
    <mergeCell ref="B31:C31"/>
    <mergeCell ref="B38:C38"/>
    <mergeCell ref="B45:C45"/>
    <mergeCell ref="B52:C52"/>
  </mergeCells>
  <printOptions horizontalCentered="1"/>
  <pageMargins left="0.629861111111111" right="0.472222222222222" top="1" bottom="0.369444444444444" header="0.5" footer="0.5"/>
  <pageSetup paperSize="9" scale="90" orientation="landscape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</sheetPr>
  <dimension ref="B2:Q41"/>
  <sheetViews>
    <sheetView showGridLines="0" view="pageBreakPreview" zoomScaleNormal="70" topLeftCell="A20" workbookViewId="0">
      <selection activeCell="R15" sqref="R15"/>
    </sheetView>
  </sheetViews>
  <sheetFormatPr defaultColWidth="9.14285714285714" defaultRowHeight="14.25"/>
  <cols>
    <col min="1" max="1" width="9.14285714285714" style="1"/>
    <col min="2" max="2" width="9.14285714285714" style="1" customWidth="1"/>
    <col min="3" max="3" width="47" style="1" customWidth="1"/>
    <col min="4" max="4" width="13.8571428571429" style="35" customWidth="1"/>
    <col min="5" max="5" width="13.8571428571429" style="1" hidden="1" customWidth="1"/>
    <col min="6" max="6" width="12.5714285714286" style="1" hidden="1" customWidth="1"/>
    <col min="7" max="7" width="14.8571428571429" style="1" hidden="1" customWidth="1"/>
    <col min="8" max="8" width="12.5714285714286" style="1" hidden="1" customWidth="1"/>
    <col min="9" max="9" width="11.8571428571429" style="1" hidden="1" customWidth="1"/>
    <col min="10" max="10" width="13.8571428571429" style="1" hidden="1" customWidth="1"/>
    <col min="11" max="11" width="11.8571428571429" style="1" hidden="1" customWidth="1"/>
    <col min="12" max="12" width="16.7142857142857" style="1" customWidth="1"/>
    <col min="13" max="13" width="11.8571428571429" style="1" hidden="1" customWidth="1"/>
    <col min="14" max="14" width="16.2857142857143" style="1" hidden="1" customWidth="1"/>
    <col min="15" max="15" width="12.4285714285714" style="1" hidden="1" customWidth="1"/>
    <col min="16" max="16" width="12.8571428571429" style="1" hidden="1" customWidth="1"/>
    <col min="17" max="16384" width="9.14285714285714" style="1"/>
  </cols>
  <sheetData>
    <row r="2" ht="15" spans="8:8">
      <c r="H2" s="2" t="s">
        <v>156</v>
      </c>
    </row>
    <row r="3" ht="15" spans="8:8">
      <c r="H3" s="3" t="s">
        <v>296</v>
      </c>
    </row>
    <row r="5" ht="15" spans="2:16">
      <c r="B5" s="833" t="s">
        <v>3</v>
      </c>
      <c r="C5" s="658" t="s">
        <v>110</v>
      </c>
      <c r="D5" s="16" t="s">
        <v>297</v>
      </c>
      <c r="E5" s="306" t="s">
        <v>163</v>
      </c>
      <c r="F5" s="307"/>
      <c r="G5" s="308"/>
      <c r="H5" s="306" t="s">
        <v>164</v>
      </c>
      <c r="I5" s="307"/>
      <c r="J5" s="307"/>
      <c r="K5" s="307"/>
      <c r="L5" s="135" t="s">
        <v>114</v>
      </c>
      <c r="M5" s="135"/>
      <c r="N5" s="135"/>
      <c r="O5" s="135"/>
      <c r="P5" s="135"/>
    </row>
    <row r="6" ht="30" spans="2:16">
      <c r="B6" s="834"/>
      <c r="C6" s="660"/>
      <c r="D6" s="309"/>
      <c r="E6" s="5" t="s">
        <v>116</v>
      </c>
      <c r="F6" s="5" t="s">
        <v>237</v>
      </c>
      <c r="G6" s="5" t="s">
        <v>118</v>
      </c>
      <c r="H6" s="5" t="s">
        <v>116</v>
      </c>
      <c r="I6" s="5" t="s">
        <v>119</v>
      </c>
      <c r="J6" s="5" t="s">
        <v>120</v>
      </c>
      <c r="K6" s="5" t="s">
        <v>238</v>
      </c>
      <c r="L6" s="5" t="s">
        <v>298</v>
      </c>
      <c r="M6" s="5" t="s">
        <v>299</v>
      </c>
      <c r="N6" s="5" t="s">
        <v>300</v>
      </c>
      <c r="O6" s="5" t="s">
        <v>301</v>
      </c>
      <c r="P6" s="5" t="s">
        <v>302</v>
      </c>
    </row>
    <row r="7" ht="15" spans="2:16">
      <c r="B7" s="835"/>
      <c r="C7" s="662"/>
      <c r="D7" s="535"/>
      <c r="E7" s="5" t="s">
        <v>127</v>
      </c>
      <c r="F7" s="5" t="s">
        <v>128</v>
      </c>
      <c r="G7" s="5" t="s">
        <v>129</v>
      </c>
      <c r="H7" s="5" t="s">
        <v>127</v>
      </c>
      <c r="I7" s="5" t="s">
        <v>130</v>
      </c>
      <c r="J7" s="5" t="s">
        <v>131</v>
      </c>
      <c r="K7" s="5" t="s">
        <v>131</v>
      </c>
      <c r="L7" s="5" t="s">
        <v>132</v>
      </c>
      <c r="M7" s="5" t="s">
        <v>132</v>
      </c>
      <c r="N7" s="5" t="s">
        <v>132</v>
      </c>
      <c r="O7" s="5" t="s">
        <v>132</v>
      </c>
      <c r="P7" s="5" t="s">
        <v>132</v>
      </c>
    </row>
    <row r="8" ht="15" spans="2:17">
      <c r="B8" s="7">
        <v>1</v>
      </c>
      <c r="C8" s="32" t="s">
        <v>303</v>
      </c>
      <c r="D8" s="7" t="s">
        <v>304</v>
      </c>
      <c r="E8" s="8"/>
      <c r="F8" s="49">
        <f>'F7'!Q7</f>
        <v>0</v>
      </c>
      <c r="G8" s="650">
        <f>F8-E8</f>
        <v>0</v>
      </c>
      <c r="H8" s="49">
        <v>8004.22</v>
      </c>
      <c r="I8" s="49">
        <f>SUM('F7'!E44:J44)</f>
        <v>3102.06194029114</v>
      </c>
      <c r="J8" s="49">
        <f>SUM('F7'!K44:P44)</f>
        <v>4234.65102671806</v>
      </c>
      <c r="K8" s="650">
        <f>'F7'!Q44</f>
        <v>7336.7129670092</v>
      </c>
      <c r="L8" s="810">
        <f>'F7'!Q81</f>
        <v>12168.6051</v>
      </c>
      <c r="M8" s="810">
        <f>'F7'!Q118</f>
        <v>9998.31965285275</v>
      </c>
      <c r="N8" s="810">
        <f>'F7'!Q155</f>
        <v>10053.3345428528</v>
      </c>
      <c r="O8" s="810">
        <f>'F7'!Q192</f>
        <v>10053.3345428528</v>
      </c>
      <c r="P8" s="810">
        <f>'F7'!Q229</f>
        <v>10053.3345428528</v>
      </c>
      <c r="Q8" s="1">
        <f>118-81</f>
        <v>37</v>
      </c>
    </row>
    <row r="9" ht="15" spans="2:17">
      <c r="B9" s="7">
        <f>B8+1</f>
        <v>2</v>
      </c>
      <c r="C9" s="32" t="s">
        <v>305</v>
      </c>
      <c r="D9" s="7" t="s">
        <v>306</v>
      </c>
      <c r="E9" s="8"/>
      <c r="F9" s="49">
        <f>'F7'!Q8</f>
        <v>0</v>
      </c>
      <c r="G9" s="650">
        <f t="shared" ref="G9:G35" si="0">F9-E9</f>
        <v>0</v>
      </c>
      <c r="H9" s="236">
        <f>H10/H8</f>
        <v>0.0402001879853147</v>
      </c>
      <c r="I9" s="828">
        <f>SUM('F7'!E46:J46)/SUM('F7'!E44:J44)</f>
        <v>0.0352905748981025</v>
      </c>
      <c r="J9" s="828">
        <f>SUM('F7'!K46:P46)/SUM('F7'!K44:P44)</f>
        <v>0.0391833333333333</v>
      </c>
      <c r="K9" s="837">
        <f>'F7'!Q45</f>
        <v>0.0375374221686228</v>
      </c>
      <c r="L9" s="270">
        <f>'F7'!Q82</f>
        <v>0.0354</v>
      </c>
      <c r="M9" s="270">
        <f>'F7'!Q119</f>
        <v>0.0357878556714381</v>
      </c>
      <c r="N9" s="270">
        <f>'F7'!Q156</f>
        <v>0.035773694141799</v>
      </c>
      <c r="O9" s="270">
        <f>'F7'!Q193</f>
        <v>0.035773694141799</v>
      </c>
      <c r="P9" s="270">
        <f>'F7'!Q230</f>
        <v>0.035773694141799</v>
      </c>
      <c r="Q9" s="1">
        <f>119-82</f>
        <v>37</v>
      </c>
    </row>
    <row r="10" ht="15" spans="2:16">
      <c r="B10" s="7">
        <f t="shared" ref="B10:B16" si="1">B9+1</f>
        <v>3</v>
      </c>
      <c r="C10" s="32" t="s">
        <v>305</v>
      </c>
      <c r="D10" s="7" t="s">
        <v>304</v>
      </c>
      <c r="E10" s="8"/>
      <c r="F10" s="49">
        <f>'F7'!Q9</f>
        <v>0</v>
      </c>
      <c r="G10" s="650">
        <f t="shared" si="0"/>
        <v>0</v>
      </c>
      <c r="H10" s="49">
        <f>'[22]Losses &amp; PP Requirement'!$D$34</f>
        <v>321.771148675816</v>
      </c>
      <c r="I10" s="49">
        <f>SUM('F7'!E46:J46)</f>
        <v>109.473549242397</v>
      </c>
      <c r="J10" s="49">
        <f>SUM('F7'!K46:P46)</f>
        <v>165.927742730236</v>
      </c>
      <c r="K10" s="650">
        <f>'F7'!Q46</f>
        <v>275.401291972633</v>
      </c>
      <c r="L10" s="810">
        <f>'F7'!Q83</f>
        <v>430.76862054</v>
      </c>
      <c r="M10" s="810">
        <f>'F7'!Q120</f>
        <v>357.818420693197</v>
      </c>
      <c r="N10" s="810">
        <f>'F7'!Q157</f>
        <v>359.644915041197</v>
      </c>
      <c r="O10" s="810">
        <f>'F7'!Q194</f>
        <v>359.644915041197</v>
      </c>
      <c r="P10" s="810">
        <f>'F7'!Q231</f>
        <v>359.644915041197</v>
      </c>
    </row>
    <row r="11" ht="28.5" spans="2:16">
      <c r="B11" s="7">
        <f t="shared" si="1"/>
        <v>4</v>
      </c>
      <c r="C11" s="805" t="s">
        <v>307</v>
      </c>
      <c r="D11" s="7" t="s">
        <v>304</v>
      </c>
      <c r="E11" s="8"/>
      <c r="F11" s="49">
        <f>'F7'!Q10</f>
        <v>0</v>
      </c>
      <c r="G11" s="650">
        <f>G8-G10</f>
        <v>0</v>
      </c>
      <c r="H11" s="49">
        <f>H8-H10</f>
        <v>7682.44885132418</v>
      </c>
      <c r="I11" s="49">
        <f>SUM('F7'!E47:J47)</f>
        <v>2992.58839104874</v>
      </c>
      <c r="J11" s="49">
        <f>SUM('F7'!K47:P47)</f>
        <v>4068.72328398782</v>
      </c>
      <c r="K11" s="650">
        <f>'F7'!Q47</f>
        <v>7061.31167503657</v>
      </c>
      <c r="L11" s="810">
        <f>'F7'!Q84</f>
        <v>11737.83647946</v>
      </c>
      <c r="M11" s="810">
        <f>'F7'!Q121</f>
        <v>9640.50123215956</v>
      </c>
      <c r="N11" s="810">
        <f>'F7'!Q158</f>
        <v>9693.68962781156</v>
      </c>
      <c r="O11" s="810">
        <f>'F7'!Q195</f>
        <v>9693.68962781156</v>
      </c>
      <c r="P11" s="810">
        <f>'F7'!Q232</f>
        <v>9693.68962781156</v>
      </c>
    </row>
    <row r="12" ht="28.5" spans="2:16">
      <c r="B12" s="7">
        <f t="shared" si="1"/>
        <v>5</v>
      </c>
      <c r="C12" s="805" t="s">
        <v>308</v>
      </c>
      <c r="D12" s="7" t="s">
        <v>304</v>
      </c>
      <c r="E12" s="8"/>
      <c r="F12" s="49">
        <f>'F7'!Q11</f>
        <v>0</v>
      </c>
      <c r="G12" s="650">
        <f t="shared" si="0"/>
        <v>0</v>
      </c>
      <c r="H12" s="49">
        <f>'[22]Losses &amp; PP Requirement'!$D$41-H8</f>
        <v>16068.4</v>
      </c>
      <c r="I12" s="49">
        <f>SUM('F7'!E48:J48)</f>
        <v>7485.66396648188</v>
      </c>
      <c r="J12" s="49">
        <f>SUM('F7'!K48:P48)</f>
        <v>8774.26201234179</v>
      </c>
      <c r="K12" s="650">
        <f>'F7'!Q48</f>
        <v>16259.9259788237</v>
      </c>
      <c r="L12" s="810">
        <f>'F7'!Q85</f>
        <v>59007.8288882611</v>
      </c>
      <c r="M12" s="810">
        <f>'F7'!Q122</f>
        <v>57023.3343201932</v>
      </c>
      <c r="N12" s="810">
        <f>'F7'!Q159</f>
        <v>64488.9628654632</v>
      </c>
      <c r="O12" s="810">
        <f>'F7'!Q196</f>
        <v>72593.4189734181</v>
      </c>
      <c r="P12" s="810">
        <f>'F7'!Q233</f>
        <v>81487.8083385902</v>
      </c>
    </row>
    <row r="13" ht="15" spans="2:16">
      <c r="B13" s="7">
        <f t="shared" si="1"/>
        <v>6</v>
      </c>
      <c r="C13" s="32" t="s">
        <v>309</v>
      </c>
      <c r="D13" s="7" t="s">
        <v>304</v>
      </c>
      <c r="E13" s="8"/>
      <c r="F13" s="49">
        <f>'F7'!Q12</f>
        <v>2912.73862650292</v>
      </c>
      <c r="G13" s="650">
        <f t="shared" si="0"/>
        <v>2912.73862650292</v>
      </c>
      <c r="H13" s="49">
        <f>'[22]Losses &amp; PP Requirement'!$D$25</f>
        <v>4086.03</v>
      </c>
      <c r="I13" s="49">
        <f>SUM('F7'!E49:J49)</f>
        <v>1336.41317721</v>
      </c>
      <c r="J13" s="49">
        <f>SUM('F7'!K49:P49)</f>
        <v>1831.31856684178</v>
      </c>
      <c r="K13" s="650">
        <f>'F7'!Q49</f>
        <v>3167.73174405178</v>
      </c>
      <c r="L13" s="810">
        <f>'F7'!Q86</f>
        <v>9305.03631515431</v>
      </c>
      <c r="M13" s="810">
        <f>'F7'!Q123</f>
        <v>9817.93331330485</v>
      </c>
      <c r="N13" s="810">
        <f>'F7'!Q160</f>
        <v>12032.6827561283</v>
      </c>
      <c r="O13" s="810">
        <f>'F7'!Q197</f>
        <v>14220.3121532955</v>
      </c>
      <c r="P13" s="810">
        <f>'F7'!Q234</f>
        <v>16898.393426121</v>
      </c>
    </row>
    <row r="14" ht="15" spans="2:17">
      <c r="B14" s="7">
        <f t="shared" si="1"/>
        <v>7</v>
      </c>
      <c r="C14" s="32" t="s">
        <v>310</v>
      </c>
      <c r="D14" s="7" t="s">
        <v>306</v>
      </c>
      <c r="E14" s="8"/>
      <c r="F14" s="49">
        <f>'F7'!Q13</f>
        <v>0</v>
      </c>
      <c r="G14" s="650">
        <f t="shared" si="0"/>
        <v>0</v>
      </c>
      <c r="H14" s="236">
        <f>H15/(H11+H12)</f>
        <v>0.0250000000000001</v>
      </c>
      <c r="I14" s="828">
        <f>SUM('F7'!E51:J51)/(SUM('F7'!E47:J47)+SUM('F7'!E48:J48))</f>
        <v>0.0228791952665743</v>
      </c>
      <c r="J14" s="828">
        <f>SUM('F7'!K51:P51)/(SUM('F7'!K47:P47)+SUM('F7'!K48:P48))</f>
        <v>0.025</v>
      </c>
      <c r="K14" s="837">
        <f>'F7'!Q50</f>
        <v>0.0240471205890653</v>
      </c>
      <c r="L14" s="270">
        <f>'F7'!Q87</f>
        <v>0.0246</v>
      </c>
      <c r="M14" s="270">
        <f>'F7'!Q124</f>
        <v>0.0246</v>
      </c>
      <c r="N14" s="270">
        <f>'F7'!Q161</f>
        <v>0.0244</v>
      </c>
      <c r="O14" s="270">
        <f>'F7'!Q198</f>
        <v>0.0242</v>
      </c>
      <c r="P14" s="270">
        <f>'F7'!Q235</f>
        <v>0.024</v>
      </c>
      <c r="Q14" s="839"/>
    </row>
    <row r="15" ht="15" spans="2:16">
      <c r="B15" s="7">
        <f t="shared" si="1"/>
        <v>8</v>
      </c>
      <c r="C15" s="32" t="s">
        <v>310</v>
      </c>
      <c r="D15" s="7" t="s">
        <v>304</v>
      </c>
      <c r="E15" s="8"/>
      <c r="F15" s="49">
        <f>'F7'!Q14</f>
        <v>0</v>
      </c>
      <c r="G15" s="650">
        <f t="shared" si="0"/>
        <v>0</v>
      </c>
      <c r="H15" s="49">
        <f>'[22]Losses &amp; PP Requirement'!$D$33</f>
        <v>593.771221283107</v>
      </c>
      <c r="I15" s="49">
        <f>SUM('F7'!E51:J51)</f>
        <v>239.733981740386</v>
      </c>
      <c r="J15" s="49">
        <f>SUM('F7'!K51:P51)</f>
        <v>321.074632408241</v>
      </c>
      <c r="K15" s="650">
        <f>'F7'!Q51</f>
        <v>560.808614148627</v>
      </c>
      <c r="L15" s="810">
        <f>'F7'!Q88</f>
        <v>1740.34336804594</v>
      </c>
      <c r="M15" s="810">
        <f>'F7'!Q125</f>
        <v>1639.93035458788</v>
      </c>
      <c r="N15" s="810">
        <f>'F7'!Q162</f>
        <v>1810.05672083591</v>
      </c>
      <c r="O15" s="810">
        <f>'F7'!Q199</f>
        <v>1991.34802814976</v>
      </c>
      <c r="P15" s="810">
        <f>'F7'!Q236</f>
        <v>2188.35595119364</v>
      </c>
    </row>
    <row r="16" ht="15" spans="2:16">
      <c r="B16" s="7">
        <f t="shared" si="1"/>
        <v>9</v>
      </c>
      <c r="C16" s="32" t="s">
        <v>311</v>
      </c>
      <c r="D16" s="7" t="s">
        <v>304</v>
      </c>
      <c r="E16" s="8"/>
      <c r="F16" s="49">
        <f>'F7'!Q15</f>
        <v>0</v>
      </c>
      <c r="G16" s="650">
        <f>G11+G12+G13-G15</f>
        <v>2912.73862650292</v>
      </c>
      <c r="H16" s="49">
        <f>H11+H12-H13-H15</f>
        <v>19071.0476300411</v>
      </c>
      <c r="I16" s="49">
        <f>SUM('F7'!E52:J52)</f>
        <v>8902.10519858024</v>
      </c>
      <c r="J16" s="49">
        <f>SUM('F7'!K52:P52)</f>
        <v>10690.5920970796</v>
      </c>
      <c r="K16" s="650">
        <f>'F7'!Q52</f>
        <v>19592.6972956598</v>
      </c>
      <c r="L16" s="810">
        <f>'F7'!Q89</f>
        <v>59700.2856845208</v>
      </c>
      <c r="M16" s="810">
        <f>'F7'!Q126</f>
        <v>55205.97188446</v>
      </c>
      <c r="N16" s="810">
        <f>'F7'!Q163</f>
        <v>60339.9130163106</v>
      </c>
      <c r="O16" s="810">
        <f>'F7'!Q200</f>
        <v>66075.4484197843</v>
      </c>
      <c r="P16" s="810">
        <f>'F7'!Q237</f>
        <v>72094.7485890871</v>
      </c>
    </row>
    <row r="17" ht="15" spans="2:16">
      <c r="B17" s="7"/>
      <c r="C17" s="18" t="s">
        <v>312</v>
      </c>
      <c r="D17" s="7"/>
      <c r="E17" s="8"/>
      <c r="F17" s="49"/>
      <c r="G17" s="810"/>
      <c r="H17" s="8"/>
      <c r="I17" s="49"/>
      <c r="J17" s="49"/>
      <c r="K17" s="838"/>
      <c r="L17" s="810"/>
      <c r="M17" s="49"/>
      <c r="N17" s="49"/>
      <c r="O17" s="49"/>
      <c r="P17" s="49"/>
    </row>
    <row r="18" ht="28.5" spans="2:16">
      <c r="B18" s="7">
        <f>B16+1</f>
        <v>10</v>
      </c>
      <c r="C18" s="805" t="s">
        <v>313</v>
      </c>
      <c r="D18" s="7" t="s">
        <v>304</v>
      </c>
      <c r="E18" s="8"/>
      <c r="F18" s="49">
        <f>'F7'!Q17</f>
        <v>18227.4715173936</v>
      </c>
      <c r="G18" s="650">
        <f t="shared" si="0"/>
        <v>18227.4715173936</v>
      </c>
      <c r="H18" s="49">
        <f>'[22]Losses &amp; PP Requirement'!$D$4</f>
        <v>19071.0476300411</v>
      </c>
      <c r="I18" s="49">
        <f>SUM('F7'!E54:J54)</f>
        <v>8902.10519858024</v>
      </c>
      <c r="J18" s="49">
        <f>SUM('F7'!K54:P54)</f>
        <v>10690.5920970796</v>
      </c>
      <c r="K18" s="650">
        <f>'F7'!Q54</f>
        <v>19592.6972956598</v>
      </c>
      <c r="L18" s="810">
        <f>'F7'!Q91</f>
        <v>59700.2856845208</v>
      </c>
      <c r="M18" s="810">
        <f>'F7'!Q128</f>
        <v>55205.97188446</v>
      </c>
      <c r="N18" s="810">
        <f>'F7'!Q165</f>
        <v>60339.9130163106</v>
      </c>
      <c r="O18" s="810">
        <f>'F7'!Q202</f>
        <v>66075.4484197843</v>
      </c>
      <c r="P18" s="810">
        <f>'F7'!Q239</f>
        <v>72094.7485890871</v>
      </c>
    </row>
    <row r="19" ht="15" spans="2:16">
      <c r="B19" s="7">
        <f t="shared" ref="B19:B29" si="2">B18+1</f>
        <v>11</v>
      </c>
      <c r="C19" s="32" t="s">
        <v>314</v>
      </c>
      <c r="D19" s="7" t="s">
        <v>304</v>
      </c>
      <c r="E19" s="8"/>
      <c r="F19" s="49">
        <f>'F7'!Q18</f>
        <v>577.893588813871</v>
      </c>
      <c r="G19" s="650">
        <f t="shared" si="0"/>
        <v>577.893588813871</v>
      </c>
      <c r="H19" s="49">
        <f>'[22]Losses &amp; PP Requirement'!$D$5</f>
        <v>692.01</v>
      </c>
      <c r="I19" s="49">
        <f>SUM('F7'!E55:J55)</f>
        <v>311.8832505</v>
      </c>
      <c r="J19" s="49">
        <f>SUM('F7'!K55:P55)</f>
        <v>313.66148665956</v>
      </c>
      <c r="K19" s="650">
        <f>'F7'!Q55</f>
        <v>625.54473715956</v>
      </c>
      <c r="L19" s="810">
        <f>'F7'!Q92</f>
        <v>10055.3104682285</v>
      </c>
      <c r="M19" s="810">
        <f>'F7'!Q129</f>
        <v>10287.8778471195</v>
      </c>
      <c r="N19" s="810">
        <f>'F7'!Q166</f>
        <v>12202.4011906144</v>
      </c>
      <c r="O19" s="810">
        <f>'F7'!Q203</f>
        <v>14290.8761373159</v>
      </c>
      <c r="P19" s="810">
        <f>'F7'!Q240</f>
        <v>16511.8386933512</v>
      </c>
    </row>
    <row r="20" ht="15" spans="2:16">
      <c r="B20" s="7">
        <f t="shared" si="2"/>
        <v>12</v>
      </c>
      <c r="C20" s="32" t="s">
        <v>315</v>
      </c>
      <c r="D20" s="7" t="s">
        <v>306</v>
      </c>
      <c r="E20" s="8"/>
      <c r="F20" s="49">
        <f>'F7'!Q19</f>
        <v>0.0300684439256628</v>
      </c>
      <c r="G20" s="650">
        <f t="shared" si="0"/>
        <v>0.0300684439256628</v>
      </c>
      <c r="H20" s="836">
        <f>H21/H18</f>
        <v>0.0348</v>
      </c>
      <c r="I20" s="828">
        <f>SUM('F7'!E57:J57)/SUM('F7'!E54:J54)</f>
        <v>0.0309237699466821</v>
      </c>
      <c r="J20" s="828">
        <f>SUM('F7'!K57:P57)/SUM('F7'!K54:P54)</f>
        <v>0.03795</v>
      </c>
      <c r="K20" s="837">
        <f>'F7'!Q56</f>
        <v>0.0347575738556979</v>
      </c>
      <c r="L20" s="270">
        <f>'F7'!Q93</f>
        <v>0.0316</v>
      </c>
      <c r="M20" s="270">
        <f>'F7'!Q130</f>
        <v>0.0316</v>
      </c>
      <c r="N20" s="270">
        <f>'F7'!Q167</f>
        <v>0.0314</v>
      </c>
      <c r="O20" s="270">
        <f>'F7'!Q204</f>
        <v>0.0312</v>
      </c>
      <c r="P20" s="270">
        <f>'F7'!Q241</f>
        <v>0.031</v>
      </c>
    </row>
    <row r="21" ht="15" spans="2:16">
      <c r="B21" s="7">
        <f t="shared" si="2"/>
        <v>13</v>
      </c>
      <c r="C21" s="32" t="s">
        <v>315</v>
      </c>
      <c r="D21" s="7" t="s">
        <v>304</v>
      </c>
      <c r="E21" s="8"/>
      <c r="F21" s="49">
        <f>'F7'!Q20</f>
        <v>548.09922193</v>
      </c>
      <c r="G21" s="650">
        <f t="shared" si="0"/>
        <v>548.09922193</v>
      </c>
      <c r="H21" s="49">
        <f>'[22]Losses &amp; PP Requirement'!$D$7</f>
        <v>663.67245752543</v>
      </c>
      <c r="I21" s="49">
        <f>SUM('F7'!E57:J57)</f>
        <v>275.286653202058</v>
      </c>
      <c r="J21" s="49">
        <f>SUM('F7'!K57:P57)</f>
        <v>405.707970084171</v>
      </c>
      <c r="K21" s="650">
        <f>'F7'!Q57</f>
        <v>680.994623286229</v>
      </c>
      <c r="L21" s="810">
        <f>'F7'!Q94</f>
        <v>1886.52902763086</v>
      </c>
      <c r="M21" s="810">
        <f>'F7'!Q131</f>
        <v>1744.50871154894</v>
      </c>
      <c r="N21" s="810">
        <f>'F7'!Q168</f>
        <v>1894.67326871215</v>
      </c>
      <c r="O21" s="810">
        <f>'F7'!Q205</f>
        <v>2061.55399069727</v>
      </c>
      <c r="P21" s="810">
        <f>'F7'!Q242</f>
        <v>2234.9372062617</v>
      </c>
    </row>
    <row r="22" ht="15" spans="2:16">
      <c r="B22" s="7">
        <f t="shared" si="2"/>
        <v>14</v>
      </c>
      <c r="C22" s="32" t="s">
        <v>316</v>
      </c>
      <c r="D22" s="7" t="s">
        <v>304</v>
      </c>
      <c r="E22" s="8"/>
      <c r="F22" s="49">
        <f>'F7'!Q21</f>
        <v>1718.740111187</v>
      </c>
      <c r="G22" s="650">
        <f>G16+G18-G19-G21</f>
        <v>20014.2173331527</v>
      </c>
      <c r="H22" s="49">
        <f>H18-H19-H21</f>
        <v>17715.3651725157</v>
      </c>
      <c r="I22" s="49">
        <f>SUM('F7'!E58:J58)</f>
        <v>8314.93529487818</v>
      </c>
      <c r="J22" s="49">
        <f>SUM('F7'!K58:P58)</f>
        <v>9971.22264033586</v>
      </c>
      <c r="K22" s="650">
        <f>'F7'!Q58</f>
        <v>18286.157935214</v>
      </c>
      <c r="L22" s="810">
        <f>'F7'!Q95</f>
        <v>47758.4461886615</v>
      </c>
      <c r="M22" s="810">
        <f>'F7'!Q132</f>
        <v>43173.5853257916</v>
      </c>
      <c r="N22" s="810">
        <f>'F7'!Q169</f>
        <v>46242.838556984</v>
      </c>
      <c r="O22" s="810">
        <f>'F7'!Q206</f>
        <v>49723.0182917712</v>
      </c>
      <c r="P22" s="810">
        <f>'F7'!Q243</f>
        <v>53347.9726894742</v>
      </c>
    </row>
    <row r="23" ht="15" spans="2:16">
      <c r="B23" s="7"/>
      <c r="C23" s="18" t="s">
        <v>317</v>
      </c>
      <c r="D23" s="7"/>
      <c r="E23" s="8"/>
      <c r="F23" s="49"/>
      <c r="G23" s="810"/>
      <c r="H23" s="8"/>
      <c r="I23" s="49"/>
      <c r="J23" s="49"/>
      <c r="K23" s="838"/>
      <c r="L23" s="810"/>
      <c r="M23" s="49"/>
      <c r="N23" s="49"/>
      <c r="O23" s="49"/>
      <c r="P23" s="49"/>
    </row>
    <row r="24" ht="28.5" spans="2:16">
      <c r="B24" s="7">
        <f>B22+1</f>
        <v>15</v>
      </c>
      <c r="C24" s="805" t="s">
        <v>318</v>
      </c>
      <c r="D24" s="7" t="s">
        <v>304</v>
      </c>
      <c r="E24" s="8"/>
      <c r="F24" s="49">
        <f>'F7'!Q23</f>
        <v>0</v>
      </c>
      <c r="G24" s="650">
        <f t="shared" si="0"/>
        <v>0</v>
      </c>
      <c r="H24" s="49">
        <f>'[22]Losses &amp; PP Requirement'!$D$10</f>
        <v>17715.3651725156</v>
      </c>
      <c r="I24" s="49">
        <f>SUM('F7'!E60:J60)</f>
        <v>8314.93529487819</v>
      </c>
      <c r="J24" s="49">
        <f>SUM('F7'!K60:P60)</f>
        <v>9971.22264033585</v>
      </c>
      <c r="K24" s="650">
        <f>'F7'!Q60</f>
        <v>18286.157935214</v>
      </c>
      <c r="L24" s="810">
        <f>'F7'!Q97</f>
        <v>47758.4461886615</v>
      </c>
      <c r="M24" s="810">
        <f>'F7'!Q134</f>
        <v>43173.5853257916</v>
      </c>
      <c r="N24" s="810">
        <f>'F7'!Q171</f>
        <v>46242.838556984</v>
      </c>
      <c r="O24" s="810">
        <f>'F7'!Q208</f>
        <v>49723.0182917712</v>
      </c>
      <c r="P24" s="810">
        <f>'F7'!Q245</f>
        <v>53347.9726894742</v>
      </c>
    </row>
    <row r="25" ht="15" spans="2:16">
      <c r="B25" s="7">
        <f t="shared" si="2"/>
        <v>16</v>
      </c>
      <c r="C25" s="805" t="s">
        <v>319</v>
      </c>
      <c r="D25" s="7" t="s">
        <v>304</v>
      </c>
      <c r="E25" s="8"/>
      <c r="F25" s="49">
        <f>'F7'!Q24</f>
        <v>0</v>
      </c>
      <c r="G25" s="650">
        <f t="shared" si="0"/>
        <v>0</v>
      </c>
      <c r="H25" s="8"/>
      <c r="I25" s="49">
        <f>SUM('F7'!E61:J61)</f>
        <v>0</v>
      </c>
      <c r="J25" s="49">
        <f>SUM('F7'!K61:P61)</f>
        <v>0</v>
      </c>
      <c r="K25" s="650">
        <f>'F7'!Q61</f>
        <v>0</v>
      </c>
      <c r="L25" s="810">
        <f>'F7'!Q98</f>
        <v>0</v>
      </c>
      <c r="M25" s="810">
        <f>'F7'!Q135</f>
        <v>0</v>
      </c>
      <c r="N25" s="810">
        <f>'F7'!Q172</f>
        <v>0</v>
      </c>
      <c r="O25" s="810">
        <f>'F7'!Q209</f>
        <v>0</v>
      </c>
      <c r="P25" s="810">
        <f>'F7'!Q246</f>
        <v>0</v>
      </c>
    </row>
    <row r="26" ht="15" spans="2:16">
      <c r="B26" s="7">
        <f t="shared" si="2"/>
        <v>17</v>
      </c>
      <c r="C26" s="32" t="s">
        <v>320</v>
      </c>
      <c r="D26" s="7" t="s">
        <v>304</v>
      </c>
      <c r="E26" s="49"/>
      <c r="F26" s="49">
        <f>'F7'!Q25</f>
        <v>2455.20255671</v>
      </c>
      <c r="G26" s="650">
        <f t="shared" si="0"/>
        <v>2455.20255671</v>
      </c>
      <c r="H26" s="49">
        <f>'[22]Losses &amp; PP Requirement'!$D$11</f>
        <v>2410.74</v>
      </c>
      <c r="I26" s="49">
        <f>SUM('F7'!E62:J62)</f>
        <v>1185.50948394</v>
      </c>
      <c r="J26" s="49">
        <f>SUM('F7'!K62:P62)</f>
        <v>1438.06559250279</v>
      </c>
      <c r="K26" s="650">
        <f>'F7'!Q62</f>
        <v>2623.57507644279</v>
      </c>
      <c r="L26" s="810">
        <f>'F7'!Q99</f>
        <v>8039.86897577117</v>
      </c>
      <c r="M26" s="810">
        <f>'F7'!Q136</f>
        <v>8471.34884879754</v>
      </c>
      <c r="N26" s="810">
        <f>'F7'!Q173</f>
        <v>9489.97455955934</v>
      </c>
      <c r="O26" s="810">
        <f>'F7'!Q210</f>
        <v>10584.8536157218</v>
      </c>
      <c r="P26" s="810">
        <f>'F7'!Q247</f>
        <v>11711.0387710075</v>
      </c>
    </row>
    <row r="27" ht="15" spans="2:17">
      <c r="B27" s="7">
        <f t="shared" si="2"/>
        <v>18</v>
      </c>
      <c r="C27" s="32" t="s">
        <v>321</v>
      </c>
      <c r="D27" s="7" t="s">
        <v>306</v>
      </c>
      <c r="E27" s="836"/>
      <c r="F27" s="49">
        <f>'F7'!Q26</f>
        <v>0</v>
      </c>
      <c r="G27" s="650">
        <f t="shared" si="0"/>
        <v>0</v>
      </c>
      <c r="H27" s="836">
        <f>'[22]Losses &amp; PP Requirement'!$D$14</f>
        <v>0.0377000000000001</v>
      </c>
      <c r="I27" s="828">
        <f>SUM('F7'!E64:J64)/SUM('F7'!E60:J60)</f>
        <v>0.0384128144049257</v>
      </c>
      <c r="J27" s="828">
        <f>SUM('F7'!K64:P64)/SUM('F7'!K60:P60)</f>
        <v>0.0371000000000001</v>
      </c>
      <c r="K27" s="837">
        <f>'F7'!Q63</f>
        <v>0.0376969524527687</v>
      </c>
      <c r="L27" s="270">
        <f>'F7'!Q100</f>
        <v>0.0404</v>
      </c>
      <c r="M27" s="270">
        <f>'F7'!Q137</f>
        <v>0.0403999999999999</v>
      </c>
      <c r="N27" s="270">
        <f>'F7'!Q174</f>
        <v>0.0401000000000001</v>
      </c>
      <c r="O27" s="270">
        <f>'F7'!Q211</f>
        <v>0.0398</v>
      </c>
      <c r="P27" s="270">
        <f>'F7'!Q248</f>
        <v>0.0395</v>
      </c>
      <c r="Q27" s="267"/>
    </row>
    <row r="28" ht="15" spans="2:16">
      <c r="B28" s="7">
        <f t="shared" si="2"/>
        <v>19</v>
      </c>
      <c r="C28" s="32" t="s">
        <v>321</v>
      </c>
      <c r="D28" s="7" t="s">
        <v>304</v>
      </c>
      <c r="E28" s="49"/>
      <c r="F28" s="49">
        <f>'F7'!Q27</f>
        <v>609.771814403207</v>
      </c>
      <c r="G28" s="650">
        <f t="shared" si="0"/>
        <v>609.771814403207</v>
      </c>
      <c r="H28" s="49">
        <f>'[22]Losses &amp; PP Requirement'!$D$13</f>
        <v>667.869267003842</v>
      </c>
      <c r="I28" s="49">
        <f>SUM('F7'!E64:J64)</f>
        <v>319.400066271122</v>
      </c>
      <c r="J28" s="49">
        <f>SUM('F7'!K64:P64)</f>
        <v>369.932359956461</v>
      </c>
      <c r="K28" s="650">
        <f>'F7'!Q64</f>
        <v>689.332426227583</v>
      </c>
      <c r="L28" s="810">
        <f>'F7'!Q101</f>
        <v>1929.44122602192</v>
      </c>
      <c r="M28" s="810">
        <f>'F7'!Q138</f>
        <v>1744.21284716198</v>
      </c>
      <c r="N28" s="810">
        <f>'F7'!Q175</f>
        <v>1854.33782613506</v>
      </c>
      <c r="O28" s="810">
        <f>'F7'!Q212</f>
        <v>1978.9761280125</v>
      </c>
      <c r="P28" s="810">
        <f>'F7'!Q249</f>
        <v>2107.24492123423</v>
      </c>
    </row>
    <row r="29" ht="15" spans="2:16">
      <c r="B29" s="7">
        <f t="shared" si="2"/>
        <v>20</v>
      </c>
      <c r="C29" s="32" t="s">
        <v>322</v>
      </c>
      <c r="D29" s="7" t="s">
        <v>304</v>
      </c>
      <c r="E29" s="8"/>
      <c r="F29" s="49">
        <f>'F7'!Q28</f>
        <v>0</v>
      </c>
      <c r="G29" s="650">
        <f>G22+G24+G25-G26-G28</f>
        <v>16949.2429620394</v>
      </c>
      <c r="H29" s="49">
        <f>H24+H25-H26-H28</f>
        <v>14636.7559055118</v>
      </c>
      <c r="I29" s="49">
        <f>SUM('F7'!E65:J65)</f>
        <v>6810.02574466707</v>
      </c>
      <c r="J29" s="49">
        <f>SUM('F7'!K65:P65)</f>
        <v>8163.2246878766</v>
      </c>
      <c r="K29" s="650">
        <f>'F7'!Q65</f>
        <v>14973.2504325437</v>
      </c>
      <c r="L29" s="810">
        <f>'F7'!Q102</f>
        <v>37789.1359868684</v>
      </c>
      <c r="M29" s="810">
        <f>'F7'!Q139</f>
        <v>32958.0236298321</v>
      </c>
      <c r="N29" s="810">
        <f>'F7'!Q176</f>
        <v>34898.5261712896</v>
      </c>
      <c r="O29" s="810">
        <f>'F7'!Q213</f>
        <v>37159.1885480369</v>
      </c>
      <c r="P29" s="810">
        <f>'F7'!Q250</f>
        <v>39529.6889972324</v>
      </c>
    </row>
    <row r="30" ht="15" spans="2:16">
      <c r="B30" s="7"/>
      <c r="C30" s="18" t="s">
        <v>323</v>
      </c>
      <c r="D30" s="7"/>
      <c r="E30" s="8"/>
      <c r="F30" s="49"/>
      <c r="G30" s="650"/>
      <c r="H30" s="8"/>
      <c r="I30" s="49"/>
      <c r="J30" s="49"/>
      <c r="K30" s="838"/>
      <c r="L30" s="810"/>
      <c r="M30" s="49"/>
      <c r="N30" s="49"/>
      <c r="O30" s="49"/>
      <c r="P30" s="49"/>
    </row>
    <row r="31" ht="28.5" spans="2:16">
      <c r="B31" s="7"/>
      <c r="C31" s="805" t="s">
        <v>324</v>
      </c>
      <c r="D31" s="7" t="s">
        <v>304</v>
      </c>
      <c r="E31" s="8"/>
      <c r="F31" s="49">
        <f>'F7'!Q30</f>
        <v>0</v>
      </c>
      <c r="G31" s="650">
        <f t="shared" ref="G31" si="3">G24+G26+G27-G28-G30</f>
        <v>1845.43074230679</v>
      </c>
      <c r="H31" s="49">
        <f>'[22]Losses &amp; PP Requirement'!$D$16</f>
        <v>14636.7559055118</v>
      </c>
      <c r="I31" s="49">
        <f>SUM('F7'!E67:J67)</f>
        <v>6810.02574466707</v>
      </c>
      <c r="J31" s="49">
        <f>SUM('F7'!K67:P67)</f>
        <v>8163.22468787661</v>
      </c>
      <c r="K31" s="650">
        <f>'F7'!Q67</f>
        <v>14973.2504325437</v>
      </c>
      <c r="L31" s="810">
        <f>'F7'!Q104</f>
        <v>37789.1359868684</v>
      </c>
      <c r="M31" s="810">
        <f>'F7'!Q141</f>
        <v>32958.0236298321</v>
      </c>
      <c r="N31" s="810">
        <f>'F7'!Q178</f>
        <v>34898.5261712896</v>
      </c>
      <c r="O31" s="810">
        <f>'F7'!Q215</f>
        <v>37159.1885480369</v>
      </c>
      <c r="P31" s="810">
        <f>'F7'!Q252</f>
        <v>39529.6889972324</v>
      </c>
    </row>
    <row r="32" ht="15" spans="2:16">
      <c r="B32" s="7">
        <f>B29+1</f>
        <v>21</v>
      </c>
      <c r="C32" s="805" t="s">
        <v>319</v>
      </c>
      <c r="D32" s="7" t="s">
        <v>304</v>
      </c>
      <c r="E32" s="8"/>
      <c r="F32" s="49">
        <f>'F7'!Q30</f>
        <v>0</v>
      </c>
      <c r="G32" s="650">
        <f t="shared" si="0"/>
        <v>0</v>
      </c>
      <c r="H32" s="8"/>
      <c r="I32" s="49">
        <f>SUM('F7'!E68:J68)</f>
        <v>0</v>
      </c>
      <c r="J32" s="49">
        <f>SUM('F7'!K68:P68)</f>
        <v>0</v>
      </c>
      <c r="K32" s="650">
        <f>'F7'!Q68</f>
        <v>0</v>
      </c>
      <c r="L32" s="810">
        <f>'F7'!Q105</f>
        <v>0</v>
      </c>
      <c r="M32" s="810">
        <f>'F7'!Q142</f>
        <v>0</v>
      </c>
      <c r="N32" s="810">
        <f>'F7'!Q179</f>
        <v>0</v>
      </c>
      <c r="O32" s="810">
        <f>'F7'!Q216</f>
        <v>0</v>
      </c>
      <c r="P32" s="810">
        <f>'F7'!Q253</f>
        <v>0</v>
      </c>
    </row>
    <row r="33" ht="15" spans="2:16">
      <c r="B33" s="7">
        <f t="shared" ref="B33:B41" si="4">B32+1</f>
        <v>22</v>
      </c>
      <c r="C33" s="32" t="s">
        <v>325</v>
      </c>
      <c r="D33" s="7" t="s">
        <v>304</v>
      </c>
      <c r="E33" s="8"/>
      <c r="F33" s="49">
        <f>'F7'!Q31</f>
        <v>13304.1166228</v>
      </c>
      <c r="G33" s="650">
        <f t="shared" si="0"/>
        <v>13304.1166228</v>
      </c>
      <c r="H33" s="49">
        <f>'[22]Losses &amp; PP Requirement'!$D$17+'[22]Losses &amp; PP Requirement'!$D$18</f>
        <v>13941.51</v>
      </c>
      <c r="I33" s="49">
        <f>SUM('F7'!E69:J69)</f>
        <v>6461.49045887816</v>
      </c>
      <c r="J33" s="49">
        <f>SUM('F7'!K69:P69)</f>
        <v>7799.9611892661</v>
      </c>
      <c r="K33" s="650">
        <f>'F7'!Q69</f>
        <v>14261.4516481443</v>
      </c>
      <c r="L33" s="810">
        <f>'F7'!Q106</f>
        <v>36031.941163479</v>
      </c>
      <c r="M33" s="810">
        <f>'F7'!Q143</f>
        <v>31425.4755310449</v>
      </c>
      <c r="N33" s="810">
        <f>'F7'!Q180</f>
        <v>33293.1939674102</v>
      </c>
      <c r="O33" s="810">
        <f>'F7'!Q217</f>
        <v>35468.4454691012</v>
      </c>
      <c r="P33" s="810">
        <f>'F7'!Q254</f>
        <v>37750.852992357</v>
      </c>
    </row>
    <row r="34" ht="15" spans="2:16">
      <c r="B34" s="7">
        <f t="shared" si="4"/>
        <v>23</v>
      </c>
      <c r="C34" s="32" t="s">
        <v>326</v>
      </c>
      <c r="D34" s="7" t="s">
        <v>306</v>
      </c>
      <c r="E34" s="8"/>
      <c r="F34" s="49">
        <f>'F7'!Q32</f>
        <v>0</v>
      </c>
      <c r="G34" s="650">
        <f t="shared" si="0"/>
        <v>0</v>
      </c>
      <c r="H34" s="236">
        <f>H35/H31</f>
        <v>0.0475</v>
      </c>
      <c r="I34" s="828">
        <f>SUM('F7'!E71:J71)/SUM('F7'!E67:J67)</f>
        <v>0.0511797310108329</v>
      </c>
      <c r="J34" s="828">
        <f>SUM('F7'!K71:P71)/SUM('F7'!K67:P67)</f>
        <v>0.0445</v>
      </c>
      <c r="K34" s="837">
        <f>'F7'!Q70</f>
        <v>0.0475380270707524</v>
      </c>
      <c r="L34" s="270">
        <f>'F7'!Q107</f>
        <v>0.0465</v>
      </c>
      <c r="M34" s="270">
        <f>'F7'!Q144</f>
        <v>0.0465</v>
      </c>
      <c r="N34" s="270">
        <f>'F7'!Q181</f>
        <v>0.046</v>
      </c>
      <c r="O34" s="270">
        <f>'F7'!Q218</f>
        <v>0.0455</v>
      </c>
      <c r="P34" s="270">
        <f>'F7'!Q255</f>
        <v>0.045</v>
      </c>
    </row>
    <row r="35" ht="15" spans="2:16">
      <c r="B35" s="7">
        <f t="shared" si="4"/>
        <v>24</v>
      </c>
      <c r="C35" s="32" t="s">
        <v>326</v>
      </c>
      <c r="D35" s="7" t="s">
        <v>304</v>
      </c>
      <c r="E35" s="8"/>
      <c r="F35" s="49">
        <f>'F7'!Q33</f>
        <v>687.797380289208</v>
      </c>
      <c r="G35" s="650">
        <f t="shared" si="0"/>
        <v>687.797380289208</v>
      </c>
      <c r="H35" s="49">
        <f>'[22]Losses &amp; PP Requirement'!$D$19</f>
        <v>695.245905511811</v>
      </c>
      <c r="I35" s="49">
        <f>SUM('F7'!E71:J71)</f>
        <v>348.535285788908</v>
      </c>
      <c r="J35" s="49">
        <f>SUM('F7'!K71:P71)</f>
        <v>363.263498610509</v>
      </c>
      <c r="K35" s="650">
        <f>'F7'!Q71</f>
        <v>711.798784399417</v>
      </c>
      <c r="L35" s="810">
        <f>'F7'!Q108</f>
        <v>1757.19482338938</v>
      </c>
      <c r="M35" s="810">
        <f>'F7'!Q145</f>
        <v>1532.54809878719</v>
      </c>
      <c r="N35" s="810">
        <f>'F7'!Q182</f>
        <v>1605.33220387932</v>
      </c>
      <c r="O35" s="810">
        <f>'F7'!Q219</f>
        <v>1690.74307893568</v>
      </c>
      <c r="P35" s="810">
        <f>'F7'!Q256</f>
        <v>1778.83600487546</v>
      </c>
    </row>
    <row r="36" ht="15" spans="2:16">
      <c r="B36" s="7"/>
      <c r="C36" s="18" t="s">
        <v>97</v>
      </c>
      <c r="D36" s="7"/>
      <c r="E36" s="8"/>
      <c r="F36" s="49"/>
      <c r="G36" s="650"/>
      <c r="H36" s="8"/>
      <c r="I36" s="49"/>
      <c r="J36" s="49"/>
      <c r="K36" s="650"/>
      <c r="L36" s="810"/>
      <c r="M36" s="810"/>
      <c r="N36" s="810"/>
      <c r="O36" s="810"/>
      <c r="P36" s="810"/>
    </row>
    <row r="37" ht="15" spans="2:16">
      <c r="B37" s="7">
        <f>B35+1</f>
        <v>25</v>
      </c>
      <c r="C37" s="18" t="s">
        <v>327</v>
      </c>
      <c r="D37" s="39" t="s">
        <v>304</v>
      </c>
      <c r="E37" s="8"/>
      <c r="F37" s="49">
        <f>'F7'!Q35</f>
        <v>0</v>
      </c>
      <c r="G37" s="650">
        <f>G8+G12+G18+G24+G25+G32</f>
        <v>18227.4715173936</v>
      </c>
      <c r="H37" s="49">
        <f>H8+H12+H32</f>
        <v>24072.62</v>
      </c>
      <c r="I37" s="49">
        <f>SUM('F7'!E73:J73)</f>
        <v>10587.725906773</v>
      </c>
      <c r="J37" s="49">
        <f>SUM('F7'!K73:P73)</f>
        <v>13008.9130390598</v>
      </c>
      <c r="K37" s="650">
        <f>'F7'!Q73</f>
        <v>23596.6389458329</v>
      </c>
      <c r="L37" s="810">
        <f>'F7'!Q110</f>
        <v>71176.4339882611</v>
      </c>
      <c r="M37" s="810">
        <f>'F7'!Q147</f>
        <v>67021.653973046</v>
      </c>
      <c r="N37" s="810">
        <f>'F7'!Q184</f>
        <v>74542.297408316</v>
      </c>
      <c r="O37" s="810">
        <f>'F7'!Q221</f>
        <v>82646.7535162708</v>
      </c>
      <c r="P37" s="810">
        <f>'F7'!Q258</f>
        <v>91541.1428814429</v>
      </c>
    </row>
    <row r="38" ht="15" spans="2:16">
      <c r="B38" s="7">
        <f>B37+1</f>
        <v>26</v>
      </c>
      <c r="C38" s="18" t="s">
        <v>328</v>
      </c>
      <c r="D38" s="39" t="s">
        <v>304</v>
      </c>
      <c r="E38" s="8"/>
      <c r="F38" s="49">
        <f>'F7'!Q36</f>
        <v>0</v>
      </c>
      <c r="G38" s="650">
        <f>G13+G19+G26+G33</f>
        <v>19249.9513948268</v>
      </c>
      <c r="H38" s="49">
        <f>H13+H19+H26+H33</f>
        <v>21130.29</v>
      </c>
      <c r="I38" s="49">
        <f>SUM('F7'!E74:J74)</f>
        <v>9295.29637052816</v>
      </c>
      <c r="J38" s="49">
        <f>SUM('F7'!K74:P74)</f>
        <v>11383.0068352702</v>
      </c>
      <c r="K38" s="650">
        <f>'F7'!Q74</f>
        <v>20678.3032057984</v>
      </c>
      <c r="L38" s="810">
        <f>'F7'!Q111</f>
        <v>63432.156922633</v>
      </c>
      <c r="M38" s="810">
        <f>'F7'!Q148</f>
        <v>60002.6355402668</v>
      </c>
      <c r="N38" s="810">
        <f>'F7'!Q185</f>
        <v>67018.2524737123</v>
      </c>
      <c r="O38" s="810">
        <f>'F7'!Q222</f>
        <v>74564.4873754344</v>
      </c>
      <c r="P38" s="810">
        <f>'F7'!Q259</f>
        <v>82872.1238828367</v>
      </c>
    </row>
    <row r="39" ht="15" spans="2:16">
      <c r="B39" s="7">
        <f>B38+1</f>
        <v>27</v>
      </c>
      <c r="C39" s="808" t="s">
        <v>329</v>
      </c>
      <c r="D39" s="39"/>
      <c r="E39" s="8"/>
      <c r="F39" s="49">
        <f>'F7'!Q37</f>
        <v>0</v>
      </c>
      <c r="G39" s="650">
        <f>G16+G18+G24+G25+G32</f>
        <v>21140.2101438965</v>
      </c>
      <c r="H39" s="49">
        <f>H16+H13</f>
        <v>23157.0776300411</v>
      </c>
      <c r="I39" s="49">
        <f>SUM('F7'!E75:J75)</f>
        <v>10238.5183757902</v>
      </c>
      <c r="J39" s="49">
        <f>SUM('F7'!K75:P75)</f>
        <v>12521.9106639214</v>
      </c>
      <c r="K39" s="650">
        <f>'F7'!Q75</f>
        <v>22760.4290397116</v>
      </c>
      <c r="L39" s="810">
        <f>'F7'!Q112</f>
        <v>69005.3219996751</v>
      </c>
      <c r="M39" s="810">
        <f>'F7'!Q149</f>
        <v>65023.9051977649</v>
      </c>
      <c r="N39" s="810">
        <f>'F7'!Q186</f>
        <v>72372.5957724389</v>
      </c>
      <c r="O39" s="810">
        <f>'F7'!Q223</f>
        <v>80295.7605730799</v>
      </c>
      <c r="P39" s="810">
        <f>'F7'!Q260</f>
        <v>88993.1420152081</v>
      </c>
    </row>
    <row r="40" ht="15" spans="2:16">
      <c r="B40" s="7">
        <f>B39+1</f>
        <v>28</v>
      </c>
      <c r="C40" s="808" t="s">
        <v>330</v>
      </c>
      <c r="D40" s="39" t="s">
        <v>304</v>
      </c>
      <c r="E40" s="8"/>
      <c r="F40" s="49">
        <f>'F7'!Q38</f>
        <v>0</v>
      </c>
      <c r="G40" s="650">
        <f>G39-G38</f>
        <v>1890.25874906973</v>
      </c>
      <c r="H40" s="49">
        <f>H39-H38</f>
        <v>2026.78763004108</v>
      </c>
      <c r="I40" s="49">
        <f>SUM('F7'!E76:J76)</f>
        <v>943.222005262079</v>
      </c>
      <c r="J40" s="49">
        <f>SUM('F7'!K76:P76)</f>
        <v>1138.90382865114</v>
      </c>
      <c r="K40" s="650">
        <f>'F7'!Q76</f>
        <v>2082.12583391322</v>
      </c>
      <c r="L40" s="810">
        <f>'F7'!Q113</f>
        <v>5573.16507704216</v>
      </c>
      <c r="M40" s="810">
        <f>'F7'!Q150</f>
        <v>5021.26965749811</v>
      </c>
      <c r="N40" s="810">
        <f>'F7'!Q187</f>
        <v>5354.34329872656</v>
      </c>
      <c r="O40" s="810">
        <f>'F7'!Q224</f>
        <v>5731.27319764544</v>
      </c>
      <c r="P40" s="810">
        <f>'F7'!Q261</f>
        <v>6121.01813237136</v>
      </c>
    </row>
    <row r="41" ht="15" spans="2:16">
      <c r="B41" s="7">
        <f t="shared" si="4"/>
        <v>29</v>
      </c>
      <c r="C41" s="808" t="s">
        <v>331</v>
      </c>
      <c r="D41" s="39" t="s">
        <v>306</v>
      </c>
      <c r="E41" s="8"/>
      <c r="F41" s="49">
        <f>'F7'!Q39</f>
        <v>0</v>
      </c>
      <c r="G41" s="650">
        <f>G40-G39</f>
        <v>-19249.9513948268</v>
      </c>
      <c r="H41" s="236">
        <f>H40/(H39-H13)</f>
        <v>0.106275631489087</v>
      </c>
      <c r="I41" s="828">
        <f>SUM('F7'!E76:J76)/(SUM('F7'!E75:J75)-SUM('F7'!E49:J49))</f>
        <v>0.10595493809852</v>
      </c>
      <c r="J41" s="828">
        <f>SUM('F7'!K76:P76)/(SUM('F7'!K75:P75)-SUM('F7'!K49:P49))</f>
        <v>0.106533278822064</v>
      </c>
      <c r="K41" s="837">
        <f>'F7'!Q77</f>
        <v>0.106270504897478</v>
      </c>
      <c r="L41" s="270">
        <f>'F7'!Q114</f>
        <v>0.093352402139127</v>
      </c>
      <c r="M41" s="270">
        <f>'F7'!Q151</f>
        <v>0.0909551899205229</v>
      </c>
      <c r="N41" s="270">
        <f>'F7'!Q188</f>
        <v>0.0887363443377722</v>
      </c>
      <c r="O41" s="270">
        <f>'F7'!Q225</f>
        <v>0.0867383171012939</v>
      </c>
      <c r="P41" s="270">
        <f>'F7'!Q262</f>
        <v>0.0849024131737924</v>
      </c>
    </row>
  </sheetData>
  <mergeCells count="6">
    <mergeCell ref="E5:G5"/>
    <mergeCell ref="H5:K5"/>
    <mergeCell ref="L5:P5"/>
    <mergeCell ref="B5:B7"/>
    <mergeCell ref="C5:C7"/>
    <mergeCell ref="D5:D7"/>
  </mergeCells>
  <printOptions horizontalCentered="1" verticalCentered="1"/>
  <pageMargins left="0.700694444444445" right="0.700694444444445" top="0.751388888888889" bottom="0.751388888888889" header="0.298611111111111" footer="0.298611111111111"/>
  <pageSetup paperSize="9" scale="93" orientation="portrait"/>
  <headerFooter/>
  <colBreaks count="1" manualBreakCount="1">
    <brk id="16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</sheetPr>
  <dimension ref="B2:R262"/>
  <sheetViews>
    <sheetView showGridLines="0" view="pageBreakPreview" zoomScale="70" zoomScaleNormal="70" workbookViewId="0">
      <pane xSplit="4" ySplit="80" topLeftCell="E81" activePane="bottomRight" state="frozen"/>
      <selection/>
      <selection pane="topRight"/>
      <selection pane="bottomLeft"/>
      <selection pane="bottomRight" activeCell="D87" sqref="D87"/>
    </sheetView>
  </sheetViews>
  <sheetFormatPr defaultColWidth="18.5714285714286" defaultRowHeight="14.25"/>
  <cols>
    <col min="1" max="2" width="18.5714285714286" style="275"/>
    <col min="3" max="3" width="41.7142857142857" style="275" customWidth="1"/>
    <col min="4" max="16384" width="18.5714285714286" style="275"/>
  </cols>
  <sheetData>
    <row r="2" ht="15" spans="10:10">
      <c r="J2" s="276" t="s">
        <v>156</v>
      </c>
    </row>
    <row r="3" ht="15" spans="10:10">
      <c r="J3" s="370" t="s">
        <v>332</v>
      </c>
    </row>
    <row r="5" ht="15" hidden="1" spans="2:17">
      <c r="B5" s="298" t="s">
        <v>3</v>
      </c>
      <c r="C5" s="401" t="s">
        <v>110</v>
      </c>
      <c r="D5" s="379" t="s">
        <v>297</v>
      </c>
      <c r="E5" s="403" t="s">
        <v>333</v>
      </c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</row>
    <row r="6" ht="15" hidden="1" spans="2:17">
      <c r="B6" s="298"/>
      <c r="C6" s="401"/>
      <c r="D6" s="379"/>
      <c r="E6" s="403" t="s">
        <v>246</v>
      </c>
      <c r="F6" s="403" t="s">
        <v>247</v>
      </c>
      <c r="G6" s="403" t="s">
        <v>248</v>
      </c>
      <c r="H6" s="403" t="s">
        <v>249</v>
      </c>
      <c r="I6" s="403" t="s">
        <v>250</v>
      </c>
      <c r="J6" s="403" t="s">
        <v>251</v>
      </c>
      <c r="K6" s="403" t="s">
        <v>252</v>
      </c>
      <c r="L6" s="403" t="s">
        <v>253</v>
      </c>
      <c r="M6" s="403" t="s">
        <v>254</v>
      </c>
      <c r="N6" s="403" t="s">
        <v>255</v>
      </c>
      <c r="O6" s="403" t="s">
        <v>256</v>
      </c>
      <c r="P6" s="403" t="s">
        <v>257</v>
      </c>
      <c r="Q6" s="403" t="s">
        <v>97</v>
      </c>
    </row>
    <row r="7" ht="15" hidden="1" spans="2:17">
      <c r="B7" s="820">
        <v>1</v>
      </c>
      <c r="C7" s="821" t="s">
        <v>303</v>
      </c>
      <c r="D7" s="820" t="s">
        <v>304</v>
      </c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829">
        <f>SUM(E7:P7)</f>
        <v>0</v>
      </c>
    </row>
    <row r="8" ht="15" hidden="1" spans="2:17">
      <c r="B8" s="820">
        <f>B7+1</f>
        <v>2</v>
      </c>
      <c r="C8" s="821" t="s">
        <v>305</v>
      </c>
      <c r="D8" s="820" t="s">
        <v>306</v>
      </c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829">
        <f t="shared" ref="Q8:Q39" si="0">SUM(E8:P8)</f>
        <v>0</v>
      </c>
    </row>
    <row r="9" ht="15" hidden="1" spans="2:17">
      <c r="B9" s="820">
        <f t="shared" ref="B9:B15" si="1">B8+1</f>
        <v>3</v>
      </c>
      <c r="C9" s="821" t="s">
        <v>305</v>
      </c>
      <c r="D9" s="820" t="s">
        <v>304</v>
      </c>
      <c r="E9" s="287"/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829">
        <f t="shared" si="0"/>
        <v>0</v>
      </c>
    </row>
    <row r="10" ht="28.5" hidden="1" spans="2:17">
      <c r="B10" s="820">
        <f t="shared" si="1"/>
        <v>4</v>
      </c>
      <c r="C10" s="822" t="s">
        <v>307</v>
      </c>
      <c r="D10" s="820" t="s">
        <v>304</v>
      </c>
      <c r="E10" s="287"/>
      <c r="F10" s="287"/>
      <c r="G10" s="287"/>
      <c r="H10" s="287"/>
      <c r="I10" s="287"/>
      <c r="J10" s="287"/>
      <c r="K10" s="287"/>
      <c r="L10" s="287"/>
      <c r="M10" s="287"/>
      <c r="N10" s="287"/>
      <c r="O10" s="287"/>
      <c r="P10" s="287"/>
      <c r="Q10" s="829">
        <f t="shared" si="0"/>
        <v>0</v>
      </c>
    </row>
    <row r="11" ht="28.5" hidden="1" spans="2:17">
      <c r="B11" s="820">
        <f t="shared" si="1"/>
        <v>5</v>
      </c>
      <c r="C11" s="822" t="s">
        <v>308</v>
      </c>
      <c r="D11" s="820" t="s">
        <v>304</v>
      </c>
      <c r="E11" s="287"/>
      <c r="F11" s="287"/>
      <c r="G11" s="287"/>
      <c r="H11" s="287"/>
      <c r="I11" s="287"/>
      <c r="J11" s="287"/>
      <c r="K11" s="287"/>
      <c r="L11" s="287"/>
      <c r="M11" s="287"/>
      <c r="N11" s="287"/>
      <c r="O11" s="287"/>
      <c r="P11" s="287"/>
      <c r="Q11" s="829">
        <f t="shared" si="0"/>
        <v>0</v>
      </c>
    </row>
    <row r="12" ht="15" hidden="1" spans="2:17">
      <c r="B12" s="820">
        <f t="shared" si="1"/>
        <v>6</v>
      </c>
      <c r="C12" s="821" t="s">
        <v>309</v>
      </c>
      <c r="D12" s="820" t="s">
        <v>304</v>
      </c>
      <c r="E12" s="287">
        <f>'[23]FY22-23 Actual Sales  '!G133</f>
        <v>283.77027998</v>
      </c>
      <c r="F12" s="287">
        <f>'[23]FY22-23 Actual Sales  '!H133</f>
        <v>253.02448682</v>
      </c>
      <c r="G12" s="287">
        <f>'[23]FY22-23 Actual Sales  '!I133</f>
        <v>124.76130942</v>
      </c>
      <c r="H12" s="287">
        <f>'[23]FY22-23 Actual Sales  '!J133</f>
        <v>128.38350609</v>
      </c>
      <c r="I12" s="287">
        <f>'[23]FY22-23 Actual Sales  '!K133</f>
        <v>190.07336719</v>
      </c>
      <c r="J12" s="287">
        <f>'[23]FY22-23 Actual Sales  '!L133</f>
        <v>135.68933348</v>
      </c>
      <c r="K12" s="287">
        <f>'[23]FY22-23 Actual Sales  '!M133</f>
        <v>157.58112155</v>
      </c>
      <c r="L12" s="287">
        <f>'[23]FY22-23 Actual Sales  '!N133</f>
        <v>125.21098999</v>
      </c>
      <c r="M12" s="287">
        <f>'[23]FY22-23 Actual Sales  '!O133</f>
        <v>126.31962293</v>
      </c>
      <c r="N12" s="287">
        <f>'[23]FY22-23 Actual Sales  '!P133</f>
        <v>206.95628235</v>
      </c>
      <c r="O12" s="287">
        <f>'[23]FY22-23 Actual Sales  '!Q133</f>
        <v>387.51832206</v>
      </c>
      <c r="P12" s="287">
        <f>'[23]FY22-23 Actual Sales  '!R133</f>
        <v>793.450004642919</v>
      </c>
      <c r="Q12" s="829">
        <f t="shared" si="0"/>
        <v>2912.73862650292</v>
      </c>
    </row>
    <row r="13" ht="15" hidden="1" spans="2:17">
      <c r="B13" s="820">
        <f t="shared" si="1"/>
        <v>7</v>
      </c>
      <c r="C13" s="821" t="s">
        <v>310</v>
      </c>
      <c r="D13" s="820" t="s">
        <v>306</v>
      </c>
      <c r="E13" s="287"/>
      <c r="F13" s="287"/>
      <c r="G13" s="287"/>
      <c r="H13" s="287"/>
      <c r="I13" s="287"/>
      <c r="J13" s="287"/>
      <c r="K13" s="287"/>
      <c r="L13" s="287"/>
      <c r="M13" s="287"/>
      <c r="N13" s="287"/>
      <c r="O13" s="287"/>
      <c r="P13" s="287"/>
      <c r="Q13" s="829">
        <f t="shared" si="0"/>
        <v>0</v>
      </c>
    </row>
    <row r="14" ht="15" hidden="1" spans="2:17">
      <c r="B14" s="820">
        <f t="shared" si="1"/>
        <v>8</v>
      </c>
      <c r="C14" s="821" t="s">
        <v>310</v>
      </c>
      <c r="D14" s="820" t="s">
        <v>304</v>
      </c>
      <c r="E14" s="287"/>
      <c r="F14" s="287"/>
      <c r="G14" s="287"/>
      <c r="H14" s="287"/>
      <c r="I14" s="287"/>
      <c r="J14" s="287"/>
      <c r="K14" s="287"/>
      <c r="L14" s="287"/>
      <c r="M14" s="287"/>
      <c r="N14" s="287"/>
      <c r="O14" s="287"/>
      <c r="P14" s="287"/>
      <c r="Q14" s="829">
        <f t="shared" si="0"/>
        <v>0</v>
      </c>
    </row>
    <row r="15" ht="28.5" hidden="1" spans="2:17">
      <c r="B15" s="820">
        <f t="shared" si="1"/>
        <v>9</v>
      </c>
      <c r="C15" s="822" t="s">
        <v>311</v>
      </c>
      <c r="D15" s="820" t="s">
        <v>304</v>
      </c>
      <c r="E15" s="287"/>
      <c r="F15" s="287"/>
      <c r="G15" s="287"/>
      <c r="H15" s="287"/>
      <c r="I15" s="287"/>
      <c r="J15" s="287"/>
      <c r="K15" s="287"/>
      <c r="L15" s="287"/>
      <c r="M15" s="287"/>
      <c r="N15" s="287"/>
      <c r="O15" s="287"/>
      <c r="P15" s="287"/>
      <c r="Q15" s="829">
        <f t="shared" si="0"/>
        <v>0</v>
      </c>
    </row>
    <row r="16" ht="15" hidden="1" spans="2:17">
      <c r="B16" s="820"/>
      <c r="C16" s="823" t="s">
        <v>312</v>
      </c>
      <c r="D16" s="820"/>
      <c r="E16" s="287"/>
      <c r="F16" s="287"/>
      <c r="G16" s="287"/>
      <c r="H16" s="287"/>
      <c r="I16" s="287"/>
      <c r="J16" s="287"/>
      <c r="K16" s="287"/>
      <c r="L16" s="287"/>
      <c r="M16" s="287"/>
      <c r="N16" s="287"/>
      <c r="O16" s="287"/>
      <c r="P16" s="287"/>
      <c r="Q16" s="829"/>
    </row>
    <row r="17" ht="28.5" hidden="1" spans="2:17">
      <c r="B17" s="820">
        <f>B15+1</f>
        <v>10</v>
      </c>
      <c r="C17" s="822" t="s">
        <v>313</v>
      </c>
      <c r="D17" s="820" t="s">
        <v>304</v>
      </c>
      <c r="E17" s="287">
        <f>'[24]FORMAT 4 I&amp;R'!$E$26</f>
        <v>1832.145401877</v>
      </c>
      <c r="F17" s="287">
        <f>'[25]FORMAT 4 I&amp;R-DM'!$E$26</f>
        <v>1168.3626799092</v>
      </c>
      <c r="G17" s="287">
        <f>'[26]FORMAT 4 I&amp;R'!$E$26</f>
        <v>1092.874801994</v>
      </c>
      <c r="H17" s="287">
        <f>'[27]FORMAT 4 I&amp;R'!$E$26</f>
        <v>1064.76577893</v>
      </c>
      <c r="I17" s="287">
        <f>'[28]FORMAT 4 I&amp;R DM'!$E$26</f>
        <v>1523.7414107625</v>
      </c>
      <c r="J17" s="287">
        <f>'[29]FORMAT 4 I&amp;R (2)'!$E$26</f>
        <v>1482.6473351723</v>
      </c>
      <c r="K17" s="287">
        <f>'[30]FORMAT 4 I&amp;R'!$E$26</f>
        <v>1287.5364685552</v>
      </c>
      <c r="L17" s="287">
        <f>'[31]FORMAT 4 I&amp;R'!$E$26</f>
        <v>1097.0479517213</v>
      </c>
      <c r="M17" s="287">
        <f>'[32]FORMAT 4 I&amp;R'!$E$26</f>
        <v>1602.2019522244</v>
      </c>
      <c r="N17" s="287">
        <f>'[33]FORMAT 4 I&amp;R'!$E$26</f>
        <v>1836.85308675</v>
      </c>
      <c r="O17" s="287">
        <f>'[34]FORMAT 4 I&amp;R'!$E$26</f>
        <v>2004.1690588073</v>
      </c>
      <c r="P17" s="287">
        <f>'[35]FORMAT 4 I&amp;R'!$E$26</f>
        <v>2235.1255906904</v>
      </c>
      <c r="Q17" s="829">
        <f t="shared" si="0"/>
        <v>18227.4715173936</v>
      </c>
    </row>
    <row r="18" ht="15" hidden="1" spans="2:17">
      <c r="B18" s="820">
        <f t="shared" ref="B18:B28" si="2">B17+1</f>
        <v>11</v>
      </c>
      <c r="C18" s="821" t="s">
        <v>314</v>
      </c>
      <c r="D18" s="820" t="s">
        <v>304</v>
      </c>
      <c r="E18" s="287">
        <f>'[23]FY22-23 Actual Sales  '!G107</f>
        <v>58.31552941</v>
      </c>
      <c r="F18" s="287">
        <f>'[23]FY22-23 Actual Sales  '!H107</f>
        <v>52.78139355</v>
      </c>
      <c r="G18" s="287">
        <f>'[23]FY22-23 Actual Sales  '!I107</f>
        <v>46.0318159999999</v>
      </c>
      <c r="H18" s="287">
        <f>'[23]FY22-23 Actual Sales  '!J107</f>
        <v>40.450057</v>
      </c>
      <c r="I18" s="287">
        <f>'[23]FY22-23 Actual Sales  '!K107</f>
        <v>43.6173797</v>
      </c>
      <c r="J18" s="287">
        <f>'[23]FY22-23 Actual Sales  '!L107</f>
        <v>43.0466365399999</v>
      </c>
      <c r="K18" s="287">
        <f>'[23]FY22-23 Actual Sales  '!M107</f>
        <v>42.25021423</v>
      </c>
      <c r="L18" s="287">
        <f>'[23]FY22-23 Actual Sales  '!N107</f>
        <v>43.659411</v>
      </c>
      <c r="M18" s="287">
        <f>'[23]FY22-23 Actual Sales  '!O107</f>
        <v>46.749057</v>
      </c>
      <c r="N18" s="287">
        <f>'[23]FY22-23 Actual Sales  '!P107</f>
        <v>47.6852415</v>
      </c>
      <c r="O18" s="287">
        <f>'[23]FY22-23 Actual Sales  '!Q107</f>
        <v>50.2624139999999</v>
      </c>
      <c r="P18" s="287">
        <f>'[23]FY22-23 Actual Sales  '!R107</f>
        <v>63.044438883871</v>
      </c>
      <c r="Q18" s="829">
        <f t="shared" si="0"/>
        <v>577.893588813871</v>
      </c>
    </row>
    <row r="19" ht="15" hidden="1" spans="2:17">
      <c r="B19" s="820">
        <f t="shared" si="2"/>
        <v>12</v>
      </c>
      <c r="C19" s="821" t="s">
        <v>315</v>
      </c>
      <c r="D19" s="820" t="s">
        <v>306</v>
      </c>
      <c r="E19" s="824">
        <f>E20/E17</f>
        <v>0.0300684439256628</v>
      </c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829">
        <f t="shared" si="0"/>
        <v>0.0300684439256628</v>
      </c>
    </row>
    <row r="20" ht="15" hidden="1" spans="2:17">
      <c r="B20" s="820">
        <f t="shared" si="2"/>
        <v>13</v>
      </c>
      <c r="C20" s="821" t="s">
        <v>315</v>
      </c>
      <c r="D20" s="820" t="s">
        <v>304</v>
      </c>
      <c r="E20" s="825">
        <f>'[24]FORMAT 4 I&amp;R'!$E$8</f>
        <v>55.0897612799995</v>
      </c>
      <c r="F20" s="287">
        <f>'[25]FORMAT 4 I&amp;R-DM'!$E$8</f>
        <v>35.1235206000001</v>
      </c>
      <c r="G20" s="287">
        <f>'[26]FORMAT 4 I&amp;R'!$E$8</f>
        <v>32.78912599</v>
      </c>
      <c r="H20" s="287">
        <f>'[27]FORMAT 4 I&amp;R'!$E$8</f>
        <v>32.58311643</v>
      </c>
      <c r="I20" s="287">
        <f>'[28]FORMAT 4 I&amp;R DM'!$E$8</f>
        <v>45.77445016</v>
      </c>
      <c r="J20" s="287">
        <f>'[29]FORMAT 4 I&amp;R (2)'!$E$8</f>
        <v>47.0096869199997</v>
      </c>
      <c r="K20" s="287">
        <f>'[30]FORMAT 4 I&amp;R'!$E$8</f>
        <v>39.3810927900001</v>
      </c>
      <c r="L20" s="287">
        <f>'[31]FORMAT 4 I&amp;R'!$E$8</f>
        <v>32.6473923000003</v>
      </c>
      <c r="M20" s="287">
        <f>'[32]FORMAT 4 I&amp;R'!$E$8</f>
        <v>47.9215044600001</v>
      </c>
      <c r="N20" s="287">
        <f>'[33]FORMAT 4 I&amp;R'!$E$8</f>
        <v>56.8180122500005</v>
      </c>
      <c r="O20" s="287">
        <f>'[34]FORMAT 4 I&amp;R'!$E$8</f>
        <v>56.5816713299998</v>
      </c>
      <c r="P20" s="287">
        <f>'[35]FORMAT 4 I&amp;R'!$E$8</f>
        <v>66.3798874199997</v>
      </c>
      <c r="Q20" s="829">
        <f t="shared" si="0"/>
        <v>548.09922193</v>
      </c>
    </row>
    <row r="21" ht="28.5" hidden="1" spans="2:17">
      <c r="B21" s="820">
        <f t="shared" si="2"/>
        <v>14</v>
      </c>
      <c r="C21" s="822" t="s">
        <v>316</v>
      </c>
      <c r="D21" s="820" t="s">
        <v>304</v>
      </c>
      <c r="E21" s="825">
        <f>E17-E18-E20</f>
        <v>1718.740111187</v>
      </c>
      <c r="F21" s="287"/>
      <c r="G21" s="287"/>
      <c r="H21" s="287"/>
      <c r="I21" s="287"/>
      <c r="J21" s="287"/>
      <c r="K21" s="287"/>
      <c r="L21" s="287"/>
      <c r="M21" s="287"/>
      <c r="N21" s="287"/>
      <c r="O21" s="287"/>
      <c r="P21" s="287"/>
      <c r="Q21" s="829">
        <f t="shared" si="0"/>
        <v>1718.740111187</v>
      </c>
    </row>
    <row r="22" ht="15" hidden="1" spans="2:17">
      <c r="B22" s="820"/>
      <c r="C22" s="823" t="s">
        <v>317</v>
      </c>
      <c r="D22" s="820"/>
      <c r="E22" s="287"/>
      <c r="F22" s="287"/>
      <c r="G22" s="287"/>
      <c r="H22" s="287"/>
      <c r="I22" s="287"/>
      <c r="J22" s="287"/>
      <c r="K22" s="287"/>
      <c r="L22" s="287"/>
      <c r="M22" s="287"/>
      <c r="N22" s="287"/>
      <c r="O22" s="287"/>
      <c r="P22" s="287"/>
      <c r="Q22" s="829"/>
    </row>
    <row r="23" ht="28.5" hidden="1" spans="2:17">
      <c r="B23" s="820">
        <f>B21+1</f>
        <v>15</v>
      </c>
      <c r="C23" s="822" t="s">
        <v>318</v>
      </c>
      <c r="D23" s="820" t="s">
        <v>304</v>
      </c>
      <c r="E23" s="287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829">
        <f t="shared" si="0"/>
        <v>0</v>
      </c>
    </row>
    <row r="24" ht="15" hidden="1" spans="2:17">
      <c r="B24" s="820">
        <f t="shared" si="2"/>
        <v>16</v>
      </c>
      <c r="C24" s="822" t="s">
        <v>319</v>
      </c>
      <c r="D24" s="820" t="s">
        <v>304</v>
      </c>
      <c r="E24" s="287"/>
      <c r="F24" s="287"/>
      <c r="G24" s="287"/>
      <c r="H24" s="287"/>
      <c r="I24" s="287"/>
      <c r="J24" s="287"/>
      <c r="K24" s="287"/>
      <c r="L24" s="287"/>
      <c r="M24" s="287"/>
      <c r="N24" s="287"/>
      <c r="O24" s="287"/>
      <c r="P24" s="287"/>
      <c r="Q24" s="829">
        <f t="shared" si="0"/>
        <v>0</v>
      </c>
    </row>
    <row r="25" ht="15" hidden="1" spans="2:17">
      <c r="B25" s="820">
        <f t="shared" si="2"/>
        <v>17</v>
      </c>
      <c r="C25" s="821" t="s">
        <v>320</v>
      </c>
      <c r="D25" s="820" t="s">
        <v>304</v>
      </c>
      <c r="E25" s="287">
        <f>'[23]FY22-23 Actual Sales  '!G75</f>
        <v>237.16987799</v>
      </c>
      <c r="F25" s="287">
        <f>'[23]FY22-23 Actual Sales  '!H75</f>
        <v>155.44521056</v>
      </c>
      <c r="G25" s="287">
        <f>'[23]FY22-23 Actual Sales  '!I75</f>
        <v>178.71650135</v>
      </c>
      <c r="H25" s="287">
        <f>'[23]FY22-23 Actual Sales  '!J75</f>
        <v>154.7246594</v>
      </c>
      <c r="I25" s="287">
        <f>'[23]FY22-23 Actual Sales  '!K75</f>
        <v>178.47259766</v>
      </c>
      <c r="J25" s="287">
        <f>'[23]FY22-23 Actual Sales  '!L75</f>
        <v>207.06300263</v>
      </c>
      <c r="K25" s="287">
        <f>'[23]FY22-23 Actual Sales  '!M75</f>
        <v>182.0136128</v>
      </c>
      <c r="L25" s="287">
        <f>'[23]FY22-23 Actual Sales  '!N75</f>
        <v>162.94037407</v>
      </c>
      <c r="M25" s="287">
        <f>'[23]FY22-23 Actual Sales  '!O75</f>
        <v>204.22081157</v>
      </c>
      <c r="N25" s="287">
        <f>'[23]FY22-23 Actual Sales  '!P75</f>
        <v>230.80941757</v>
      </c>
      <c r="O25" s="287">
        <f>'[23]FY22-23 Actual Sales  '!Q75</f>
        <v>233.85216882</v>
      </c>
      <c r="P25" s="287">
        <f>'[23]FY22-23 Actual Sales  '!R75</f>
        <v>329.77432229</v>
      </c>
      <c r="Q25" s="829">
        <f t="shared" si="0"/>
        <v>2455.20255671</v>
      </c>
    </row>
    <row r="26" ht="15" hidden="1" spans="2:17">
      <c r="B26" s="820">
        <f t="shared" si="2"/>
        <v>18</v>
      </c>
      <c r="C26" s="821" t="s">
        <v>321</v>
      </c>
      <c r="D26" s="820" t="s">
        <v>306</v>
      </c>
      <c r="E26" s="287"/>
      <c r="F26" s="287"/>
      <c r="G26" s="287"/>
      <c r="H26" s="287"/>
      <c r="I26" s="287"/>
      <c r="J26" s="287"/>
      <c r="K26" s="287"/>
      <c r="L26" s="287"/>
      <c r="M26" s="287"/>
      <c r="N26" s="287"/>
      <c r="O26" s="287"/>
      <c r="P26" s="287"/>
      <c r="Q26" s="829">
        <f t="shared" si="0"/>
        <v>0</v>
      </c>
    </row>
    <row r="27" ht="15" hidden="1" spans="2:17">
      <c r="B27" s="820">
        <f t="shared" si="2"/>
        <v>19</v>
      </c>
      <c r="C27" s="821" t="s">
        <v>321</v>
      </c>
      <c r="D27" s="820" t="s">
        <v>304</v>
      </c>
      <c r="E27" s="287">
        <f>'[36]FORMAT 4 I&amp;R'!$E$17</f>
        <v>66.1628149865537</v>
      </c>
      <c r="F27" s="287">
        <f>'[25]FORMAT 4 I&amp;R-DM'!$E$17</f>
        <v>41.2309657423641</v>
      </c>
      <c r="G27" s="287">
        <f>'[26]FORMAT 4 I&amp;R'!$E$17</f>
        <v>37.2092282532992</v>
      </c>
      <c r="H27" s="287">
        <f>'[27]FORMAT 4 I&amp;R'!$E$17</f>
        <v>37.3640751724801</v>
      </c>
      <c r="I27" s="287">
        <f>'[28]FORMAT 4 I&amp;R DM'!$E$17</f>
        <v>56.081814608624</v>
      </c>
      <c r="J27" s="287">
        <f>'[29]FORMAT 4 I&amp;R (2)'!$E$17</f>
        <v>52.9042522006791</v>
      </c>
      <c r="K27" s="287">
        <f>'[30]FORMAT 4 I&amp;R'!$E$17</f>
        <v>45.704762744041</v>
      </c>
      <c r="L27" s="287">
        <f>'[31]FORMAT 4 I&amp;R'!$E$17</f>
        <v>38.2358925021382</v>
      </c>
      <c r="M27" s="287">
        <f>'[32]FORMAT 4 I&amp;R'!$E$17</f>
        <v>58.2000974103091</v>
      </c>
      <c r="N27" s="287">
        <f>'[33]FORMAT 4 I&amp;R'!$E$17</f>
        <v>67.0021199200639</v>
      </c>
      <c r="O27" s="287">
        <f>'[34]FORMAT 4 I&amp;R'!$E$17</f>
        <v>74.2391141030471</v>
      </c>
      <c r="P27" s="287">
        <f>'[35]FORMAT 4 I&amp;R'!$E$17</f>
        <v>35.436676759608</v>
      </c>
      <c r="Q27" s="829">
        <f t="shared" si="0"/>
        <v>609.771814403207</v>
      </c>
    </row>
    <row r="28" ht="28.5" hidden="1" spans="2:17">
      <c r="B28" s="820">
        <f t="shared" si="2"/>
        <v>20</v>
      </c>
      <c r="C28" s="822" t="s">
        <v>322</v>
      </c>
      <c r="D28" s="820" t="s">
        <v>304</v>
      </c>
      <c r="E28" s="287"/>
      <c r="F28" s="287"/>
      <c r="G28" s="287"/>
      <c r="H28" s="287"/>
      <c r="I28" s="287"/>
      <c r="J28" s="287"/>
      <c r="K28" s="287"/>
      <c r="L28" s="287"/>
      <c r="M28" s="287"/>
      <c r="N28" s="287"/>
      <c r="O28" s="287"/>
      <c r="P28" s="287"/>
      <c r="Q28" s="829">
        <f t="shared" si="0"/>
        <v>0</v>
      </c>
    </row>
    <row r="29" ht="15" hidden="1" spans="2:17">
      <c r="B29" s="820"/>
      <c r="C29" s="823" t="s">
        <v>323</v>
      </c>
      <c r="D29" s="820"/>
      <c r="E29" s="287"/>
      <c r="F29" s="287"/>
      <c r="G29" s="287"/>
      <c r="H29" s="287"/>
      <c r="I29" s="287"/>
      <c r="J29" s="287"/>
      <c r="K29" s="287"/>
      <c r="L29" s="287"/>
      <c r="M29" s="287"/>
      <c r="N29" s="287"/>
      <c r="O29" s="287"/>
      <c r="P29" s="287"/>
      <c r="Q29" s="829"/>
    </row>
    <row r="30" ht="15" hidden="1" spans="2:17">
      <c r="B30" s="820">
        <f>B28+1</f>
        <v>21</v>
      </c>
      <c r="C30" s="822" t="s">
        <v>319</v>
      </c>
      <c r="D30" s="820" t="s">
        <v>304</v>
      </c>
      <c r="E30" s="287"/>
      <c r="F30" s="287"/>
      <c r="G30" s="287"/>
      <c r="H30" s="287"/>
      <c r="I30" s="287"/>
      <c r="J30" s="287"/>
      <c r="K30" s="287"/>
      <c r="L30" s="287"/>
      <c r="M30" s="287"/>
      <c r="N30" s="287"/>
      <c r="O30" s="287"/>
      <c r="P30" s="287"/>
      <c r="Q30" s="829">
        <f t="shared" si="0"/>
        <v>0</v>
      </c>
    </row>
    <row r="31" ht="15" hidden="1" spans="2:17">
      <c r="B31" s="820">
        <f t="shared" ref="B31:B39" si="3">B30+1</f>
        <v>22</v>
      </c>
      <c r="C31" s="821" t="s">
        <v>325</v>
      </c>
      <c r="D31" s="820" t="s">
        <v>304</v>
      </c>
      <c r="E31" s="287">
        <f>'[23]FY22-23 Actual Sales  '!G70</f>
        <v>1334.30671</v>
      </c>
      <c r="F31" s="287">
        <f>'[23]FY22-23 Actual Sales  '!H70</f>
        <v>829.49526</v>
      </c>
      <c r="G31" s="287">
        <f>'[23]FY22-23 Actual Sales  '!I70</f>
        <v>756.198627</v>
      </c>
      <c r="H31" s="287">
        <f>'[23]FY22-23 Actual Sales  '!J70</f>
        <v>751.914356</v>
      </c>
      <c r="I31" s="287">
        <f>'[23]FY22-23 Actual Sales  '!K70</f>
        <v>1136.7870838</v>
      </c>
      <c r="J31" s="287">
        <f>'[23]FY22-23 Actual Sales  '!L70</f>
        <v>1068.13491</v>
      </c>
      <c r="K31" s="287">
        <f>'[23]FY22-23 Actual Sales  '!M70</f>
        <v>921.940612</v>
      </c>
      <c r="L31" s="287">
        <f>'[23]FY22-23 Actual Sales  '!N70</f>
        <v>772.752856</v>
      </c>
      <c r="M31" s="287">
        <f>'[23]FY22-23 Actual Sales  '!O70</f>
        <v>1164.025478</v>
      </c>
      <c r="N31" s="287">
        <f>'[23]FY22-23 Actual Sales  '!P70</f>
        <v>1356.222141</v>
      </c>
      <c r="O31" s="287">
        <f>'[23]FY22-23 Actual Sales  '!Q70</f>
        <v>1501.506876</v>
      </c>
      <c r="P31" s="287">
        <f>'[23]FY22-23 Actual Sales  '!R70</f>
        <v>1710.831713</v>
      </c>
      <c r="Q31" s="829">
        <f t="shared" si="0"/>
        <v>13304.1166228</v>
      </c>
    </row>
    <row r="32" ht="15" hidden="1" spans="2:17">
      <c r="B32" s="820">
        <f t="shared" si="3"/>
        <v>23</v>
      </c>
      <c r="C32" s="821" t="s">
        <v>326</v>
      </c>
      <c r="D32" s="820" t="s">
        <v>306</v>
      </c>
      <c r="E32" s="287"/>
      <c r="F32" s="287"/>
      <c r="G32" s="287"/>
      <c r="H32" s="287"/>
      <c r="I32" s="287"/>
      <c r="J32" s="287"/>
      <c r="K32" s="287"/>
      <c r="L32" s="287"/>
      <c r="M32" s="287"/>
      <c r="N32" s="287"/>
      <c r="O32" s="287"/>
      <c r="P32" s="287"/>
      <c r="Q32" s="829">
        <f t="shared" si="0"/>
        <v>0</v>
      </c>
    </row>
    <row r="33" ht="15" hidden="1" spans="2:17">
      <c r="B33" s="820">
        <f t="shared" si="3"/>
        <v>24</v>
      </c>
      <c r="C33" s="821" t="s">
        <v>326</v>
      </c>
      <c r="D33" s="820" t="s">
        <v>304</v>
      </c>
      <c r="E33" s="287">
        <f>'[36]FORMAT 4 I&amp;R'!$E$23</f>
        <v>76.3790238204467</v>
      </c>
      <c r="F33" s="287">
        <f>'[25]FORMAT 4 I&amp;R-DM'!$E$23</f>
        <v>49.6078310068357</v>
      </c>
      <c r="G33" s="287">
        <f>'[26]FORMAT 4 I&amp;R'!$E$23</f>
        <v>37.1552754007006</v>
      </c>
      <c r="H33" s="287">
        <f>'[27]FORMAT 4 I&amp;R'!$E$23</f>
        <v>44.7411039275199</v>
      </c>
      <c r="I33" s="287">
        <f>'[28]FORMAT 4 I&amp;R DM'!$E$23</f>
        <v>58.9573205338761</v>
      </c>
      <c r="J33" s="287">
        <f>'[29]FORMAT 4 I&amp;R (2)'!$E$23</f>
        <v>59.8593244216208</v>
      </c>
      <c r="K33" s="287">
        <f>'[30]FORMAT 4 I&amp;R'!$E$23</f>
        <v>52.5502222211588</v>
      </c>
      <c r="L33" s="287">
        <f>'[31]FORMAT 4 I&amp;R'!$E$23</f>
        <v>42.4909948491619</v>
      </c>
      <c r="M33" s="287">
        <f>'[32]FORMAT 4 I&amp;R'!$E$23</f>
        <v>76.8837417840907</v>
      </c>
      <c r="N33" s="287">
        <f>'[33]FORMAT 4 I&amp;R'!$E$23</f>
        <v>72.3587730099359</v>
      </c>
      <c r="O33" s="287">
        <f>'[34]FORMAT 4 I&amp;R'!$E$23</f>
        <v>81.3770925542531</v>
      </c>
      <c r="P33" s="287">
        <f>'[35]FORMAT 4 I&amp;R'!$E$17</f>
        <v>35.436676759608</v>
      </c>
      <c r="Q33" s="829">
        <f t="shared" si="0"/>
        <v>687.797380289208</v>
      </c>
    </row>
    <row r="34" ht="15" hidden="1" spans="2:17">
      <c r="B34" s="820"/>
      <c r="C34" s="823" t="s">
        <v>97</v>
      </c>
      <c r="D34" s="820"/>
      <c r="E34" s="287"/>
      <c r="F34" s="287"/>
      <c r="G34" s="287"/>
      <c r="H34" s="287"/>
      <c r="I34" s="287"/>
      <c r="J34" s="287"/>
      <c r="K34" s="287"/>
      <c r="L34" s="287"/>
      <c r="M34" s="287"/>
      <c r="N34" s="287"/>
      <c r="O34" s="287"/>
      <c r="P34" s="287"/>
      <c r="Q34" s="829">
        <f t="shared" si="0"/>
        <v>0</v>
      </c>
    </row>
    <row r="35" ht="15" hidden="1" spans="2:17">
      <c r="B35" s="820">
        <f>B33+1</f>
        <v>25</v>
      </c>
      <c r="C35" s="823" t="s">
        <v>334</v>
      </c>
      <c r="D35" s="298" t="s">
        <v>304</v>
      </c>
      <c r="E35" s="287"/>
      <c r="F35" s="287"/>
      <c r="G35" s="287"/>
      <c r="H35" s="287"/>
      <c r="I35" s="287"/>
      <c r="J35" s="287"/>
      <c r="K35" s="287"/>
      <c r="L35" s="287"/>
      <c r="M35" s="287"/>
      <c r="N35" s="287"/>
      <c r="O35" s="287"/>
      <c r="P35" s="287"/>
      <c r="Q35" s="829">
        <f t="shared" si="0"/>
        <v>0</v>
      </c>
    </row>
    <row r="36" ht="15" hidden="1" spans="2:17">
      <c r="B36" s="820">
        <f>B35+1</f>
        <v>26</v>
      </c>
      <c r="C36" s="823" t="s">
        <v>328</v>
      </c>
      <c r="D36" s="298" t="s">
        <v>304</v>
      </c>
      <c r="E36" s="287"/>
      <c r="F36" s="287"/>
      <c r="G36" s="287"/>
      <c r="H36" s="287"/>
      <c r="I36" s="287"/>
      <c r="J36" s="287"/>
      <c r="K36" s="287"/>
      <c r="L36" s="287"/>
      <c r="M36" s="287"/>
      <c r="N36" s="287"/>
      <c r="O36" s="287"/>
      <c r="P36" s="287"/>
      <c r="Q36" s="829">
        <f t="shared" si="0"/>
        <v>0</v>
      </c>
    </row>
    <row r="37" ht="30" hidden="1" spans="2:17">
      <c r="B37" s="820">
        <f>B36+1</f>
        <v>27</v>
      </c>
      <c r="C37" s="826" t="s">
        <v>335</v>
      </c>
      <c r="D37" s="298"/>
      <c r="E37" s="287"/>
      <c r="F37" s="287"/>
      <c r="G37" s="287"/>
      <c r="H37" s="287"/>
      <c r="I37" s="287"/>
      <c r="J37" s="287"/>
      <c r="K37" s="287"/>
      <c r="L37" s="287"/>
      <c r="M37" s="287"/>
      <c r="N37" s="287"/>
      <c r="O37" s="287"/>
      <c r="P37" s="287"/>
      <c r="Q37" s="829">
        <f t="shared" si="0"/>
        <v>0</v>
      </c>
    </row>
    <row r="38" ht="15" hidden="1" spans="2:17">
      <c r="B38" s="820">
        <f>B37+1</f>
        <v>28</v>
      </c>
      <c r="C38" s="826" t="s">
        <v>330</v>
      </c>
      <c r="D38" s="298" t="s">
        <v>304</v>
      </c>
      <c r="E38" s="287"/>
      <c r="F38" s="287"/>
      <c r="G38" s="287"/>
      <c r="H38" s="287"/>
      <c r="I38" s="287"/>
      <c r="J38" s="287"/>
      <c r="K38" s="287"/>
      <c r="L38" s="287"/>
      <c r="M38" s="287"/>
      <c r="N38" s="287"/>
      <c r="O38" s="287"/>
      <c r="P38" s="287"/>
      <c r="Q38" s="829">
        <f t="shared" si="0"/>
        <v>0</v>
      </c>
    </row>
    <row r="39" ht="15" hidden="1" spans="2:17">
      <c r="B39" s="820">
        <f t="shared" si="3"/>
        <v>29</v>
      </c>
      <c r="C39" s="826" t="s">
        <v>331</v>
      </c>
      <c r="D39" s="298" t="s">
        <v>306</v>
      </c>
      <c r="E39" s="287"/>
      <c r="F39" s="287"/>
      <c r="G39" s="287"/>
      <c r="H39" s="287"/>
      <c r="I39" s="287"/>
      <c r="J39" s="287"/>
      <c r="K39" s="287"/>
      <c r="L39" s="287"/>
      <c r="M39" s="287"/>
      <c r="N39" s="287"/>
      <c r="O39" s="287"/>
      <c r="P39" s="287"/>
      <c r="Q39" s="829">
        <f t="shared" si="0"/>
        <v>0</v>
      </c>
    </row>
    <row r="40" hidden="1"/>
    <row r="41" ht="15" hidden="1" spans="2:17">
      <c r="B41" s="298" t="s">
        <v>3</v>
      </c>
      <c r="C41" s="401" t="s">
        <v>110</v>
      </c>
      <c r="D41" s="379" t="s">
        <v>297</v>
      </c>
      <c r="E41" s="403" t="s">
        <v>336</v>
      </c>
      <c r="F41" s="403"/>
      <c r="G41" s="403"/>
      <c r="H41" s="403"/>
      <c r="I41" s="403"/>
      <c r="J41" s="403"/>
      <c r="K41" s="403"/>
      <c r="L41" s="403"/>
      <c r="M41" s="403"/>
      <c r="N41" s="403"/>
      <c r="O41" s="403"/>
      <c r="P41" s="403"/>
      <c r="Q41" s="403"/>
    </row>
    <row r="42" ht="15" hidden="1" spans="2:17">
      <c r="B42" s="298"/>
      <c r="C42" s="401"/>
      <c r="D42" s="379"/>
      <c r="E42" s="403" t="s">
        <v>246</v>
      </c>
      <c r="F42" s="403" t="s">
        <v>247</v>
      </c>
      <c r="G42" s="403" t="s">
        <v>248</v>
      </c>
      <c r="H42" s="403" t="s">
        <v>249</v>
      </c>
      <c r="I42" s="403" t="s">
        <v>250</v>
      </c>
      <c r="J42" s="403" t="s">
        <v>251</v>
      </c>
      <c r="K42" s="403" t="s">
        <v>252</v>
      </c>
      <c r="L42" s="403" t="s">
        <v>253</v>
      </c>
      <c r="M42" s="403" t="s">
        <v>254</v>
      </c>
      <c r="N42" s="403" t="s">
        <v>255</v>
      </c>
      <c r="O42" s="403" t="s">
        <v>256</v>
      </c>
      <c r="P42" s="403" t="s">
        <v>257</v>
      </c>
      <c r="Q42" s="403" t="s">
        <v>97</v>
      </c>
    </row>
    <row r="43" ht="15" hidden="1" spans="2:17">
      <c r="B43" s="298"/>
      <c r="C43" s="401"/>
      <c r="D43" s="379"/>
      <c r="E43" s="403" t="s">
        <v>130</v>
      </c>
      <c r="F43" s="403" t="s">
        <v>130</v>
      </c>
      <c r="G43" s="403" t="s">
        <v>130</v>
      </c>
      <c r="H43" s="403" t="s">
        <v>130</v>
      </c>
      <c r="I43" s="403" t="s">
        <v>130</v>
      </c>
      <c r="J43" s="403" t="s">
        <v>130</v>
      </c>
      <c r="K43" s="403" t="s">
        <v>131</v>
      </c>
      <c r="L43" s="403" t="s">
        <v>131</v>
      </c>
      <c r="M43" s="403" t="s">
        <v>131</v>
      </c>
      <c r="N43" s="403" t="s">
        <v>131</v>
      </c>
      <c r="O43" s="403" t="s">
        <v>131</v>
      </c>
      <c r="P43" s="403" t="s">
        <v>131</v>
      </c>
      <c r="Q43" s="403" t="s">
        <v>131</v>
      </c>
    </row>
    <row r="44" ht="15" hidden="1" spans="2:17">
      <c r="B44" s="820">
        <v>1</v>
      </c>
      <c r="C44" s="821" t="s">
        <v>303</v>
      </c>
      <c r="D44" s="820" t="s">
        <v>304</v>
      </c>
      <c r="E44" s="287">
        <f>[37]Rqmnt!Y48+[37]Rqmnt!Y49</f>
        <v>527.598689604388</v>
      </c>
      <c r="F44" s="287">
        <f>[37]Rqmnt!Z48+[37]Rqmnt!Z49</f>
        <v>444.900163806672</v>
      </c>
      <c r="G44" s="287">
        <f>[37]Rqmnt!AA48+[37]Rqmnt!AA49</f>
        <v>512.858662672386</v>
      </c>
      <c r="H44" s="287">
        <f>[37]Rqmnt!AB48+[37]Rqmnt!AB49</f>
        <v>496.176055449116</v>
      </c>
      <c r="I44" s="287">
        <f>[37]Rqmnt!AC48+[37]Rqmnt!AC49</f>
        <v>535.251983130464</v>
      </c>
      <c r="J44" s="287">
        <f>[37]Rqmnt!AD48+[37]Rqmnt!AD49</f>
        <v>585.276385628114</v>
      </c>
      <c r="K44" s="287">
        <f>[37]Rqmnt!AE48+[37]Rqmnt!AE49</f>
        <v>441.622160854643</v>
      </c>
      <c r="L44" s="287">
        <f>[37]Rqmnt!AF48+[37]Rqmnt!AF49</f>
        <v>566.256038328984</v>
      </c>
      <c r="M44" s="287">
        <f>[37]Rqmnt!AG48+[37]Rqmnt!AG49</f>
        <v>643.873041624648</v>
      </c>
      <c r="N44" s="287">
        <f>[37]Rqmnt!AH48+[37]Rqmnt!AH49</f>
        <v>853.330643515461</v>
      </c>
      <c r="O44" s="287">
        <f>[37]Rqmnt!AI48+[37]Rqmnt!AI49</f>
        <v>827.28528589562</v>
      </c>
      <c r="P44" s="287">
        <f>[37]Rqmnt!AJ48+[37]Rqmnt!AJ49</f>
        <v>902.283856498703</v>
      </c>
      <c r="Q44" s="829">
        <f>SUM(E44:P44)</f>
        <v>7336.7129670092</v>
      </c>
    </row>
    <row r="45" hidden="1" spans="2:17">
      <c r="B45" s="820">
        <f>B44+1</f>
        <v>2</v>
      </c>
      <c r="C45" s="821" t="s">
        <v>305</v>
      </c>
      <c r="D45" s="820" t="s">
        <v>306</v>
      </c>
      <c r="E45" s="827">
        <f>E46/E44</f>
        <v>0.0393000000000001</v>
      </c>
      <c r="F45" s="827">
        <f t="shared" ref="F45:Q45" si="4">F46/F44</f>
        <v>0.0358000000000001</v>
      </c>
      <c r="G45" s="827">
        <f t="shared" si="4"/>
        <v>0.0329</v>
      </c>
      <c r="H45" s="827">
        <f t="shared" si="4"/>
        <v>0.0351000000000001</v>
      </c>
      <c r="I45" s="827">
        <f t="shared" si="4"/>
        <v>0.0336999999999999</v>
      </c>
      <c r="J45" s="827">
        <f t="shared" si="4"/>
        <v>0.035</v>
      </c>
      <c r="K45" s="827">
        <f t="shared" si="4"/>
        <v>0.0391833333333333</v>
      </c>
      <c r="L45" s="827">
        <f t="shared" si="4"/>
        <v>0.0391833333333332</v>
      </c>
      <c r="M45" s="827">
        <f t="shared" si="4"/>
        <v>0.0391833333333334</v>
      </c>
      <c r="N45" s="827">
        <f t="shared" si="4"/>
        <v>0.0391833333333334</v>
      </c>
      <c r="O45" s="827">
        <f t="shared" si="4"/>
        <v>0.0391833333333333</v>
      </c>
      <c r="P45" s="827">
        <f t="shared" si="4"/>
        <v>0.0391833333333334</v>
      </c>
      <c r="Q45" s="827">
        <f t="shared" si="4"/>
        <v>0.0375374221686228</v>
      </c>
    </row>
    <row r="46" ht="15" hidden="1" spans="2:17">
      <c r="B46" s="820">
        <f t="shared" ref="B46:B52" si="5">B45+1</f>
        <v>3</v>
      </c>
      <c r="C46" s="821" t="s">
        <v>305</v>
      </c>
      <c r="D46" s="820" t="s">
        <v>304</v>
      </c>
      <c r="E46" s="287">
        <f>[37]Rqmnt!Y52</f>
        <v>20.7346285014525</v>
      </c>
      <c r="F46" s="287">
        <f>[37]Rqmnt!Z52</f>
        <v>15.9274258642789</v>
      </c>
      <c r="G46" s="287">
        <f>[37]Rqmnt!AA52</f>
        <v>16.8730500019215</v>
      </c>
      <c r="H46" s="287">
        <f>[37]Rqmnt!AB52</f>
        <v>17.415779546264</v>
      </c>
      <c r="I46" s="287">
        <f>[37]Rqmnt!AC52</f>
        <v>18.0379918314966</v>
      </c>
      <c r="J46" s="287">
        <f>[37]Rqmnt!AD52</f>
        <v>20.484673496984</v>
      </c>
      <c r="K46" s="287">
        <f>[37]Rqmnt!AE52</f>
        <v>17.3042283361544</v>
      </c>
      <c r="L46" s="287">
        <f>[37]Rqmnt!AF52</f>
        <v>22.1877991018573</v>
      </c>
      <c r="M46" s="287">
        <f>[37]Rqmnt!AG52</f>
        <v>25.2290920143258</v>
      </c>
      <c r="N46" s="287">
        <f>[37]Rqmnt!AH52</f>
        <v>33.4363390484142</v>
      </c>
      <c r="O46" s="287">
        <f>[37]Rqmnt!AI52</f>
        <v>32.41579511901</v>
      </c>
      <c r="P46" s="287">
        <f>[37]Rqmnt!AJ52</f>
        <v>35.3544891104742</v>
      </c>
      <c r="Q46" s="829">
        <f t="shared" ref="Q46:Q76" si="6">SUM(E46:P46)</f>
        <v>275.401291972633</v>
      </c>
    </row>
    <row r="47" ht="28.5" hidden="1" spans="2:17">
      <c r="B47" s="820">
        <f t="shared" si="5"/>
        <v>4</v>
      </c>
      <c r="C47" s="822" t="s">
        <v>307</v>
      </c>
      <c r="D47" s="820" t="s">
        <v>304</v>
      </c>
      <c r="E47" s="287">
        <f>E44-E46</f>
        <v>506.864061102936</v>
      </c>
      <c r="F47" s="287">
        <f t="shared" ref="F47:P47" si="7">F44-F46</f>
        <v>428.972737942393</v>
      </c>
      <c r="G47" s="287">
        <f t="shared" si="7"/>
        <v>495.985612670464</v>
      </c>
      <c r="H47" s="287">
        <f t="shared" si="7"/>
        <v>478.760275902852</v>
      </c>
      <c r="I47" s="287">
        <f t="shared" si="7"/>
        <v>517.213991298967</v>
      </c>
      <c r="J47" s="287">
        <f t="shared" si="7"/>
        <v>564.79171213113</v>
      </c>
      <c r="K47" s="287">
        <f t="shared" si="7"/>
        <v>424.317932518489</v>
      </c>
      <c r="L47" s="287">
        <f t="shared" si="7"/>
        <v>544.068239227127</v>
      </c>
      <c r="M47" s="287">
        <f t="shared" si="7"/>
        <v>618.643949610322</v>
      </c>
      <c r="N47" s="287">
        <f t="shared" si="7"/>
        <v>819.894304467047</v>
      </c>
      <c r="O47" s="287">
        <f t="shared" si="7"/>
        <v>794.86949077661</v>
      </c>
      <c r="P47" s="287">
        <f t="shared" si="7"/>
        <v>866.929367388229</v>
      </c>
      <c r="Q47" s="829">
        <f t="shared" si="6"/>
        <v>7061.31167503657</v>
      </c>
    </row>
    <row r="48" ht="28.5" hidden="1" spans="2:17">
      <c r="B48" s="820">
        <f t="shared" si="5"/>
        <v>5</v>
      </c>
      <c r="C48" s="822" t="s">
        <v>308</v>
      </c>
      <c r="D48" s="820" t="s">
        <v>304</v>
      </c>
      <c r="E48" s="287">
        <f>[37]Rqmnt!Y55-([37]Rqmnt!Y49+[37]Rqmnt!Y48)</f>
        <v>1537.70532284793</v>
      </c>
      <c r="F48" s="287">
        <f>[37]Rqmnt!Z55-([37]Rqmnt!Z49+[37]Rqmnt!Z48)</f>
        <v>859.426933443798</v>
      </c>
      <c r="G48" s="287">
        <f>[37]Rqmnt!AA55-([37]Rqmnt!AA49+[37]Rqmnt!AA48)</f>
        <v>965.491146793964</v>
      </c>
      <c r="H48" s="287">
        <f>[37]Rqmnt!AB55-([37]Rqmnt!AB49+[37]Rqmnt!AB48)</f>
        <v>1310.10513925823</v>
      </c>
      <c r="I48" s="287">
        <f>[37]Rqmnt!AC55-([37]Rqmnt!AC49+[37]Rqmnt!AC48)</f>
        <v>1596.2478500014</v>
      </c>
      <c r="J48" s="287">
        <f>[37]Rqmnt!AD55-([37]Rqmnt!AD49+[37]Rqmnt!AD48)</f>
        <v>1216.68757413656</v>
      </c>
      <c r="K48" s="287">
        <f>[37]Rqmnt!AE55-([37]Rqmnt!AE49+[37]Rqmnt!AE48)</f>
        <v>1129.52570595103</v>
      </c>
      <c r="L48" s="287">
        <f>[37]Rqmnt!AF55-([37]Rqmnt!AF49+[37]Rqmnt!AF48)</f>
        <v>774.842879106426</v>
      </c>
      <c r="M48" s="287">
        <f>[37]Rqmnt!AG55-([37]Rqmnt!AG49+[37]Rqmnt!AG48)</f>
        <v>1228.83865612605</v>
      </c>
      <c r="N48" s="287">
        <f>[37]Rqmnt!AH55-([37]Rqmnt!AH49+[37]Rqmnt!AH48)</f>
        <v>1375.54439756369</v>
      </c>
      <c r="O48" s="287">
        <f>[37]Rqmnt!AI55-([37]Rqmnt!AI49+[37]Rqmnt!AI48)</f>
        <v>1769.21379629493</v>
      </c>
      <c r="P48" s="287">
        <f>[37]Rqmnt!AJ55-([37]Rqmnt!AJ49+[37]Rqmnt!AJ48)</f>
        <v>2496.29657729967</v>
      </c>
      <c r="Q48" s="829">
        <f t="shared" si="6"/>
        <v>16259.9259788237</v>
      </c>
    </row>
    <row r="49" ht="15" hidden="1" spans="2:17">
      <c r="B49" s="820">
        <f t="shared" si="5"/>
        <v>6</v>
      </c>
      <c r="C49" s="821" t="s">
        <v>309</v>
      </c>
      <c r="D49" s="820" t="s">
        <v>304</v>
      </c>
      <c r="E49" s="287">
        <f>[37]Rqmnt!Y37</f>
        <v>357.64328812</v>
      </c>
      <c r="F49" s="287">
        <f>[37]Rqmnt!Z37</f>
        <v>169.47063178</v>
      </c>
      <c r="G49" s="287">
        <f>[37]Rqmnt!AA37</f>
        <v>127.54531446</v>
      </c>
      <c r="H49" s="287">
        <f>[37]Rqmnt!AB37</f>
        <v>380.26127379</v>
      </c>
      <c r="I49" s="287">
        <f>[37]Rqmnt!AC37</f>
        <v>126.35375582</v>
      </c>
      <c r="J49" s="287">
        <f>[37]Rqmnt!AD37</f>
        <v>175.13891324</v>
      </c>
      <c r="K49" s="287">
        <f>[37]Rqmnt!AE37</f>
        <v>163.165623510031</v>
      </c>
      <c r="L49" s="287">
        <f>[37]Rqmnt!AF37</f>
        <v>130.672333041741</v>
      </c>
      <c r="M49" s="287">
        <f>[37]Rqmnt!AG37</f>
        <v>132.125025618489</v>
      </c>
      <c r="N49" s="287">
        <f>[37]Rqmnt!AH37</f>
        <v>212.345780997261</v>
      </c>
      <c r="O49" s="287">
        <f>[37]Rqmnt!AI37</f>
        <v>393.015329086637</v>
      </c>
      <c r="P49" s="287">
        <f>[37]Rqmnt!AJ37</f>
        <v>799.994474587624</v>
      </c>
      <c r="Q49" s="829">
        <f t="shared" si="6"/>
        <v>3167.73174405178</v>
      </c>
    </row>
    <row r="50" hidden="1" spans="2:18">
      <c r="B50" s="820">
        <f t="shared" si="5"/>
        <v>7</v>
      </c>
      <c r="C50" s="821" t="s">
        <v>310</v>
      </c>
      <c r="D50" s="820" t="s">
        <v>306</v>
      </c>
      <c r="E50" s="828">
        <f>E51/(E48+E47)</f>
        <v>0.023</v>
      </c>
      <c r="F50" s="828">
        <f t="shared" ref="F50:Q50" si="8">F51/(F48+F47)</f>
        <v>0.0225</v>
      </c>
      <c r="G50" s="828">
        <f t="shared" si="8"/>
        <v>0.0216</v>
      </c>
      <c r="H50" s="828">
        <f t="shared" si="8"/>
        <v>0.0229</v>
      </c>
      <c r="I50" s="828">
        <f t="shared" si="8"/>
        <v>0.023</v>
      </c>
      <c r="J50" s="828">
        <f t="shared" si="8"/>
        <v>0.0239000000000001</v>
      </c>
      <c r="K50" s="828">
        <f t="shared" si="8"/>
        <v>0.0250000000000001</v>
      </c>
      <c r="L50" s="828">
        <f t="shared" si="8"/>
        <v>0.025</v>
      </c>
      <c r="M50" s="828">
        <f t="shared" si="8"/>
        <v>0.025</v>
      </c>
      <c r="N50" s="828">
        <f t="shared" si="8"/>
        <v>0.025</v>
      </c>
      <c r="O50" s="828">
        <f t="shared" si="8"/>
        <v>0.025</v>
      </c>
      <c r="P50" s="828">
        <f t="shared" si="8"/>
        <v>0.025</v>
      </c>
      <c r="Q50" s="828">
        <f t="shared" si="8"/>
        <v>0.0240471205890653</v>
      </c>
      <c r="R50" s="828"/>
    </row>
    <row r="51" ht="18.75" hidden="1" customHeight="1" spans="2:17">
      <c r="B51" s="820">
        <f t="shared" si="5"/>
        <v>8</v>
      </c>
      <c r="C51" s="821" t="s">
        <v>310</v>
      </c>
      <c r="D51" s="820" t="s">
        <v>304</v>
      </c>
      <c r="E51" s="287">
        <f>[37]Rqmnt!Y47</f>
        <v>47.02509583087</v>
      </c>
      <c r="F51" s="287">
        <f>[37]Rqmnt!Z47</f>
        <v>28.9889926061893</v>
      </c>
      <c r="G51" s="287">
        <f>[37]Rqmnt!AA47</f>
        <v>31.5678980044317</v>
      </c>
      <c r="H51" s="287">
        <f>[37]Rqmnt!AB47</f>
        <v>40.9650180071889</v>
      </c>
      <c r="I51" s="287">
        <f>[37]Rqmnt!AC47</f>
        <v>48.6096223499083</v>
      </c>
      <c r="J51" s="287">
        <f>[37]Rqmnt!AD47</f>
        <v>42.5773549417978</v>
      </c>
      <c r="K51" s="287">
        <f>[37]Rqmnt!AE47</f>
        <v>38.846090961738</v>
      </c>
      <c r="L51" s="287">
        <f>[37]Rqmnt!AF47</f>
        <v>32.9727779583388</v>
      </c>
      <c r="M51" s="287">
        <f>[37]Rqmnt!AG47</f>
        <v>46.1870651434094</v>
      </c>
      <c r="N51" s="287">
        <f>[37]Rqmnt!AH47</f>
        <v>54.8859675507683</v>
      </c>
      <c r="O51" s="287">
        <f>[37]Rqmnt!AI47</f>
        <v>64.1020821767886</v>
      </c>
      <c r="P51" s="287">
        <f>[37]Rqmnt!AJ47</f>
        <v>84.0806486171974</v>
      </c>
      <c r="Q51" s="829">
        <f t="shared" si="6"/>
        <v>560.808614148627</v>
      </c>
    </row>
    <row r="52" ht="28.5" hidden="1" spans="2:17">
      <c r="B52" s="820">
        <f t="shared" si="5"/>
        <v>9</v>
      </c>
      <c r="C52" s="822" t="s">
        <v>311</v>
      </c>
      <c r="D52" s="820" t="s">
        <v>304</v>
      </c>
      <c r="E52" s="287">
        <f>E47+E48-E49-E51</f>
        <v>1639.901</v>
      </c>
      <c r="F52" s="287">
        <f t="shared" ref="F52:P52" si="9">F47+F48-F49-F51</f>
        <v>1089.940047</v>
      </c>
      <c r="G52" s="287">
        <f t="shared" si="9"/>
        <v>1302.363547</v>
      </c>
      <c r="H52" s="287">
        <f t="shared" si="9"/>
        <v>1367.6391233639</v>
      </c>
      <c r="I52" s="287">
        <f t="shared" si="9"/>
        <v>1938.49846313046</v>
      </c>
      <c r="J52" s="287">
        <f t="shared" si="9"/>
        <v>1563.76301808589</v>
      </c>
      <c r="K52" s="287">
        <f t="shared" si="9"/>
        <v>1351.83192399775</v>
      </c>
      <c r="L52" s="287">
        <f t="shared" si="9"/>
        <v>1155.26600733347</v>
      </c>
      <c r="M52" s="287">
        <f t="shared" si="9"/>
        <v>1669.17051497448</v>
      </c>
      <c r="N52" s="287">
        <f t="shared" si="9"/>
        <v>1928.20695348271</v>
      </c>
      <c r="O52" s="287">
        <f t="shared" si="9"/>
        <v>2106.96587580811</v>
      </c>
      <c r="P52" s="287">
        <f t="shared" si="9"/>
        <v>2479.15082148307</v>
      </c>
      <c r="Q52" s="829">
        <f t="shared" si="6"/>
        <v>19592.6972956598</v>
      </c>
    </row>
    <row r="53" ht="15" hidden="1" spans="2:17">
      <c r="B53" s="820"/>
      <c r="C53" s="823" t="s">
        <v>312</v>
      </c>
      <c r="D53" s="820"/>
      <c r="E53" s="287"/>
      <c r="F53" s="287"/>
      <c r="G53" s="287"/>
      <c r="H53" s="287"/>
      <c r="I53" s="287"/>
      <c r="J53" s="287"/>
      <c r="K53" s="287"/>
      <c r="L53" s="287"/>
      <c r="M53" s="287"/>
      <c r="N53" s="287"/>
      <c r="O53" s="287"/>
      <c r="P53" s="287"/>
      <c r="Q53" s="829"/>
    </row>
    <row r="54" ht="28.5" hidden="1" spans="2:17">
      <c r="B54" s="820">
        <f>B52+1</f>
        <v>10</v>
      </c>
      <c r="C54" s="822" t="s">
        <v>313</v>
      </c>
      <c r="D54" s="820" t="s">
        <v>304</v>
      </c>
      <c r="E54" s="287">
        <f>[37]Rqmnt!Y7</f>
        <v>1639.901</v>
      </c>
      <c r="F54" s="287">
        <f>[37]Rqmnt!Z7</f>
        <v>1089.940047</v>
      </c>
      <c r="G54" s="287">
        <f>[37]Rqmnt!AA7</f>
        <v>1302.363547</v>
      </c>
      <c r="H54" s="287">
        <f>[37]Rqmnt!AB7</f>
        <v>1367.6391233639</v>
      </c>
      <c r="I54" s="287">
        <f>[37]Rqmnt!AC7</f>
        <v>1938.49846313045</v>
      </c>
      <c r="J54" s="287">
        <f>[37]Rqmnt!AD7</f>
        <v>1563.76301808589</v>
      </c>
      <c r="K54" s="287">
        <f>[37]Rqmnt!AE7</f>
        <v>1351.83192399775</v>
      </c>
      <c r="L54" s="287">
        <f>[37]Rqmnt!AF7</f>
        <v>1155.26600733347</v>
      </c>
      <c r="M54" s="287">
        <f>[37]Rqmnt!AG7</f>
        <v>1669.17051497448</v>
      </c>
      <c r="N54" s="287">
        <f>[37]Rqmnt!AH7</f>
        <v>1928.2069534827</v>
      </c>
      <c r="O54" s="287">
        <f>[37]Rqmnt!AI7</f>
        <v>2106.96587580812</v>
      </c>
      <c r="P54" s="287">
        <f>[37]Rqmnt!AJ7</f>
        <v>2479.15082148307</v>
      </c>
      <c r="Q54" s="829">
        <f t="shared" si="6"/>
        <v>19592.6972956598</v>
      </c>
    </row>
    <row r="55" ht="15" hidden="1" spans="2:17">
      <c r="B55" s="820">
        <f t="shared" ref="B55:B58" si="10">B54+1</f>
        <v>11</v>
      </c>
      <c r="C55" s="821" t="s">
        <v>314</v>
      </c>
      <c r="D55" s="820" t="s">
        <v>304</v>
      </c>
      <c r="E55" s="287">
        <f>[37]Rqmnt!Y9</f>
        <v>54.676074</v>
      </c>
      <c r="F55" s="287">
        <f>[37]Rqmnt!Z9</f>
        <v>55.536737</v>
      </c>
      <c r="G55" s="287">
        <f>[37]Rqmnt!AA9</f>
        <v>50.5677</v>
      </c>
      <c r="H55" s="287">
        <f>[37]Rqmnt!AB9</f>
        <v>49.379404</v>
      </c>
      <c r="I55" s="287">
        <f>[37]Rqmnt!AC9</f>
        <v>50.445635</v>
      </c>
      <c r="J55" s="287">
        <f>[37]Rqmnt!AD9</f>
        <v>51.2777005</v>
      </c>
      <c r="K55" s="287">
        <f>[37]Rqmnt!AE9</f>
        <v>45.222863233592</v>
      </c>
      <c r="L55" s="287">
        <f>[37]Rqmnt!AF9</f>
        <v>46.8385422108339</v>
      </c>
      <c r="M55" s="287">
        <f>[37]Rqmnt!AG9</f>
        <v>49.9427166516537</v>
      </c>
      <c r="N55" s="287">
        <f>[37]Rqmnt!AH9</f>
        <v>50.9269293838812</v>
      </c>
      <c r="O55" s="287">
        <f>[37]Rqmnt!AI9</f>
        <v>53.6001284798537</v>
      </c>
      <c r="P55" s="287">
        <f>[37]Rqmnt!AJ9</f>
        <v>67.1303066997459</v>
      </c>
      <c r="Q55" s="829">
        <f t="shared" si="6"/>
        <v>625.54473715956</v>
      </c>
    </row>
    <row r="56" hidden="1" spans="2:17">
      <c r="B56" s="820">
        <f t="shared" si="10"/>
        <v>12</v>
      </c>
      <c r="C56" s="821" t="s">
        <v>315</v>
      </c>
      <c r="D56" s="820" t="s">
        <v>306</v>
      </c>
      <c r="E56" s="828">
        <f>E57/E54</f>
        <v>0.0325230734105253</v>
      </c>
      <c r="F56" s="828">
        <f t="shared" ref="F56:Q56" si="11">F57/F54</f>
        <v>0.0311931942744107</v>
      </c>
      <c r="G56" s="828">
        <f t="shared" si="11"/>
        <v>0.0305283074392233</v>
      </c>
      <c r="H56" s="828">
        <f t="shared" si="11"/>
        <v>0.0309255184886745</v>
      </c>
      <c r="I56" s="828">
        <f t="shared" si="11"/>
        <v>0.0308741925932231</v>
      </c>
      <c r="J56" s="828">
        <f t="shared" si="11"/>
        <v>0.0294480952540143</v>
      </c>
      <c r="K56" s="828">
        <f t="shared" si="11"/>
        <v>0.03795</v>
      </c>
      <c r="L56" s="828">
        <f t="shared" si="11"/>
        <v>0.03795</v>
      </c>
      <c r="M56" s="828">
        <f t="shared" si="11"/>
        <v>0.0379499999999999</v>
      </c>
      <c r="N56" s="828">
        <f t="shared" si="11"/>
        <v>0.0379500000000001</v>
      </c>
      <c r="O56" s="828">
        <f t="shared" si="11"/>
        <v>0.03795</v>
      </c>
      <c r="P56" s="828">
        <f t="shared" si="11"/>
        <v>0.0379500000000001</v>
      </c>
      <c r="Q56" s="828">
        <f t="shared" si="11"/>
        <v>0.0347575738556979</v>
      </c>
    </row>
    <row r="57" ht="15" hidden="1" spans="2:17">
      <c r="B57" s="820">
        <f t="shared" si="10"/>
        <v>13</v>
      </c>
      <c r="C57" s="821" t="s">
        <v>315</v>
      </c>
      <c r="D57" s="820" t="s">
        <v>304</v>
      </c>
      <c r="E57" s="287">
        <f>[37]Rqmnt!Y11</f>
        <v>53.3346206089939</v>
      </c>
      <c r="F57" s="287">
        <f>[37]Rqmnt!Z11</f>
        <v>33.9987116335313</v>
      </c>
      <c r="G57" s="287">
        <f>[37]Rqmnt!AA11</f>
        <v>39.7589547604534</v>
      </c>
      <c r="H57" s="287">
        <f>[37]Rqmnt!AB11</f>
        <v>42.2949489954249</v>
      </c>
      <c r="I57" s="287">
        <f>[37]Rqmnt!AC11</f>
        <v>59.8495748923565</v>
      </c>
      <c r="J57" s="287">
        <f>[37]Rqmnt!AD11</f>
        <v>46.0498423112981</v>
      </c>
      <c r="K57" s="287">
        <f>[37]Rqmnt!AE11</f>
        <v>51.3020215157146</v>
      </c>
      <c r="L57" s="287">
        <f>[37]Rqmnt!AF11</f>
        <v>43.8423449783052</v>
      </c>
      <c r="M57" s="287">
        <f>[37]Rqmnt!AG11</f>
        <v>63.3450210432813</v>
      </c>
      <c r="N57" s="287">
        <f>[37]Rqmnt!AH11</f>
        <v>73.1754538846687</v>
      </c>
      <c r="O57" s="287">
        <f>[37]Rqmnt!AI11</f>
        <v>79.9593549869182</v>
      </c>
      <c r="P57" s="287">
        <f>[37]Rqmnt!AJ11</f>
        <v>94.0837736752828</v>
      </c>
      <c r="Q57" s="829">
        <f t="shared" si="6"/>
        <v>680.994623286229</v>
      </c>
    </row>
    <row r="58" ht="15" hidden="1" spans="2:17">
      <c r="B58" s="820">
        <f t="shared" si="10"/>
        <v>14</v>
      </c>
      <c r="C58" s="822" t="s">
        <v>337</v>
      </c>
      <c r="D58" s="820" t="s">
        <v>304</v>
      </c>
      <c r="E58" s="287">
        <f>E54-E55-E57</f>
        <v>1531.89030539101</v>
      </c>
      <c r="F58" s="287">
        <f t="shared" ref="F58:P58" si="12">F54-F55-F57</f>
        <v>1000.40459836647</v>
      </c>
      <c r="G58" s="287">
        <f t="shared" si="12"/>
        <v>1212.03689223955</v>
      </c>
      <c r="H58" s="287">
        <f t="shared" si="12"/>
        <v>1275.96477036847</v>
      </c>
      <c r="I58" s="287">
        <f t="shared" si="12"/>
        <v>1828.20325323809</v>
      </c>
      <c r="J58" s="287">
        <f t="shared" si="12"/>
        <v>1466.43547527459</v>
      </c>
      <c r="K58" s="287">
        <f t="shared" si="12"/>
        <v>1255.30703924844</v>
      </c>
      <c r="L58" s="287">
        <f t="shared" si="12"/>
        <v>1064.58512014433</v>
      </c>
      <c r="M58" s="287">
        <f t="shared" si="12"/>
        <v>1555.88277727955</v>
      </c>
      <c r="N58" s="287">
        <f t="shared" si="12"/>
        <v>1804.10457021415</v>
      </c>
      <c r="O58" s="287">
        <f t="shared" si="12"/>
        <v>1973.40639234135</v>
      </c>
      <c r="P58" s="287">
        <f t="shared" si="12"/>
        <v>2317.93674110804</v>
      </c>
      <c r="Q58" s="829">
        <f t="shared" si="6"/>
        <v>18286.157935214</v>
      </c>
    </row>
    <row r="59" ht="15" hidden="1" spans="2:17">
      <c r="B59" s="820"/>
      <c r="C59" s="823" t="s">
        <v>317</v>
      </c>
      <c r="D59" s="820"/>
      <c r="E59" s="287"/>
      <c r="F59" s="287"/>
      <c r="G59" s="287"/>
      <c r="H59" s="287"/>
      <c r="I59" s="287"/>
      <c r="J59" s="287"/>
      <c r="K59" s="287"/>
      <c r="L59" s="287"/>
      <c r="M59" s="287"/>
      <c r="N59" s="287"/>
      <c r="O59" s="287"/>
      <c r="P59" s="287"/>
      <c r="Q59" s="829"/>
    </row>
    <row r="60" ht="28.5" hidden="1" spans="2:17">
      <c r="B60" s="820">
        <f>B58+1</f>
        <v>15</v>
      </c>
      <c r="C60" s="822" t="s">
        <v>318</v>
      </c>
      <c r="D60" s="820" t="s">
        <v>304</v>
      </c>
      <c r="E60" s="287">
        <f>[37]Rqmnt!Y16</f>
        <v>1531.89030539101</v>
      </c>
      <c r="F60" s="287">
        <f>[37]Rqmnt!Z16</f>
        <v>1000.40459836647</v>
      </c>
      <c r="G60" s="287">
        <f>[37]Rqmnt!AA16</f>
        <v>1212.03689223955</v>
      </c>
      <c r="H60" s="287">
        <f>[37]Rqmnt!AB16</f>
        <v>1275.96477036847</v>
      </c>
      <c r="I60" s="287">
        <f>[37]Rqmnt!AC16</f>
        <v>1828.2032532381</v>
      </c>
      <c r="J60" s="287">
        <f>[37]Rqmnt!AD16</f>
        <v>1466.43547527459</v>
      </c>
      <c r="K60" s="287">
        <f>[37]Rqmnt!AE16</f>
        <v>1255.30703924844</v>
      </c>
      <c r="L60" s="287">
        <f>[37]Rqmnt!AF16</f>
        <v>1064.58512014433</v>
      </c>
      <c r="M60" s="287">
        <f>[37]Rqmnt!AG16</f>
        <v>1555.88277727954</v>
      </c>
      <c r="N60" s="287">
        <f>[37]Rqmnt!AH16</f>
        <v>1804.10457021415</v>
      </c>
      <c r="O60" s="287">
        <f>[37]Rqmnt!AI16</f>
        <v>1973.40639234135</v>
      </c>
      <c r="P60" s="287">
        <f>[37]Rqmnt!AJ16</f>
        <v>2317.93674110804</v>
      </c>
      <c r="Q60" s="829">
        <f t="shared" si="6"/>
        <v>18286.157935214</v>
      </c>
    </row>
    <row r="61" ht="15" hidden="1" spans="2:17">
      <c r="B61" s="820">
        <f t="shared" ref="B61:B65" si="13">B60+1</f>
        <v>16</v>
      </c>
      <c r="C61" s="822" t="s">
        <v>319</v>
      </c>
      <c r="D61" s="820" t="s">
        <v>304</v>
      </c>
      <c r="E61" s="287"/>
      <c r="F61" s="287"/>
      <c r="G61" s="287"/>
      <c r="H61" s="287"/>
      <c r="I61" s="287"/>
      <c r="J61" s="287"/>
      <c r="K61" s="287"/>
      <c r="L61" s="287"/>
      <c r="M61" s="287"/>
      <c r="N61" s="287"/>
      <c r="O61" s="287"/>
      <c r="P61" s="287"/>
      <c r="Q61" s="829">
        <f t="shared" si="6"/>
        <v>0</v>
      </c>
    </row>
    <row r="62" ht="15" hidden="1" spans="2:17">
      <c r="B62" s="820">
        <f t="shared" si="13"/>
        <v>17</v>
      </c>
      <c r="C62" s="821" t="s">
        <v>320</v>
      </c>
      <c r="D62" s="820" t="s">
        <v>304</v>
      </c>
      <c r="E62" s="287">
        <f>[37]Rqmnt!Y20</f>
        <v>202.02283174</v>
      </c>
      <c r="F62" s="287">
        <f>[37]Rqmnt!Z20</f>
        <v>151.8007619</v>
      </c>
      <c r="G62" s="287">
        <f>[37]Rqmnt!AA20</f>
        <v>187.94921158</v>
      </c>
      <c r="H62" s="287">
        <f>[37]Rqmnt!AB20</f>
        <v>210.19893706</v>
      </c>
      <c r="I62" s="287">
        <f>[37]Rqmnt!AC20</f>
        <v>224.79858078</v>
      </c>
      <c r="J62" s="287">
        <f>[37]Rqmnt!AD20</f>
        <v>208.73916088</v>
      </c>
      <c r="K62" s="287">
        <f>[37]Rqmnt!AE20</f>
        <v>195.165594257426</v>
      </c>
      <c r="L62" s="287">
        <f>[37]Rqmnt!AF20</f>
        <v>175.605477132891</v>
      </c>
      <c r="M62" s="287">
        <f>[37]Rqmnt!AG20</f>
        <v>218.873459932373</v>
      </c>
      <c r="N62" s="287">
        <f>[37]Rqmnt!AH20</f>
        <v>246.68042355386</v>
      </c>
      <c r="O62" s="287">
        <f>[37]Rqmnt!AI20</f>
        <v>250.065061709641</v>
      </c>
      <c r="P62" s="287">
        <f>[37]Rqmnt!AJ20</f>
        <v>351.675575916599</v>
      </c>
      <c r="Q62" s="829">
        <f t="shared" si="6"/>
        <v>2623.57507644279</v>
      </c>
    </row>
    <row r="63" hidden="1" spans="2:17">
      <c r="B63" s="820">
        <f t="shared" si="13"/>
        <v>18</v>
      </c>
      <c r="C63" s="821" t="s">
        <v>321</v>
      </c>
      <c r="D63" s="820" t="s">
        <v>306</v>
      </c>
      <c r="E63" s="827">
        <f>E64/E60</f>
        <v>0.0388928110224985</v>
      </c>
      <c r="F63" s="827">
        <f t="shared" ref="F63:Q63" si="14">F64/F60</f>
        <v>0.0380020498464519</v>
      </c>
      <c r="G63" s="827">
        <f t="shared" si="14"/>
        <v>0.0378530897216702</v>
      </c>
      <c r="H63" s="827">
        <f t="shared" si="14"/>
        <v>0.037419759795992</v>
      </c>
      <c r="I63" s="827">
        <f t="shared" si="14"/>
        <v>0.0392913454128736</v>
      </c>
      <c r="J63" s="827">
        <f t="shared" si="14"/>
        <v>0.0384230467016543</v>
      </c>
      <c r="K63" s="827">
        <f t="shared" si="14"/>
        <v>0.0371000000000001</v>
      </c>
      <c r="L63" s="827">
        <f t="shared" si="14"/>
        <v>0.0371000000000002</v>
      </c>
      <c r="M63" s="827">
        <f t="shared" si="14"/>
        <v>0.0371000000000001</v>
      </c>
      <c r="N63" s="827">
        <f t="shared" si="14"/>
        <v>0.0371000000000001</v>
      </c>
      <c r="O63" s="827">
        <f t="shared" si="14"/>
        <v>0.0371</v>
      </c>
      <c r="P63" s="827">
        <f t="shared" si="14"/>
        <v>0.0371000000000001</v>
      </c>
      <c r="Q63" s="827">
        <f t="shared" si="14"/>
        <v>0.0376969524527687</v>
      </c>
    </row>
    <row r="64" ht="15" hidden="1" spans="2:17">
      <c r="B64" s="820">
        <f t="shared" si="13"/>
        <v>19</v>
      </c>
      <c r="C64" s="821" t="s">
        <v>321</v>
      </c>
      <c r="D64" s="820" t="s">
        <v>304</v>
      </c>
      <c r="E64" s="287">
        <f>[37]Rqmnt!Y22</f>
        <v>59.5795201547701</v>
      </c>
      <c r="F64" s="287">
        <f>[37]Rqmnt!Z22</f>
        <v>38.0174254137423</v>
      </c>
      <c r="G64" s="287">
        <f>[37]Rqmnt!AA22</f>
        <v>45.879341227918</v>
      </c>
      <c r="H64" s="287">
        <f>[37]Rqmnt!AB22</f>
        <v>47.7462952153362</v>
      </c>
      <c r="I64" s="287">
        <f>[37]Rqmnt!AC22</f>
        <v>71.8325655079175</v>
      </c>
      <c r="J64" s="287">
        <f>[37]Rqmnt!AD22</f>
        <v>56.3449187514382</v>
      </c>
      <c r="K64" s="287">
        <f>[37]Rqmnt!AE22</f>
        <v>46.5718911561173</v>
      </c>
      <c r="L64" s="287">
        <f>[37]Rqmnt!AF22</f>
        <v>39.4961079573548</v>
      </c>
      <c r="M64" s="287">
        <f>[37]Rqmnt!AG22</f>
        <v>57.7232510370711</v>
      </c>
      <c r="N64" s="287">
        <f>[37]Rqmnt!AH22</f>
        <v>66.9322795549451</v>
      </c>
      <c r="O64" s="287">
        <f>[37]Rqmnt!AI22</f>
        <v>73.213377155864</v>
      </c>
      <c r="P64" s="287">
        <f>[37]Rqmnt!AJ22</f>
        <v>85.9954530951086</v>
      </c>
      <c r="Q64" s="829">
        <f t="shared" si="6"/>
        <v>689.332426227583</v>
      </c>
    </row>
    <row r="65" ht="15" hidden="1" spans="2:17">
      <c r="B65" s="820">
        <f t="shared" si="13"/>
        <v>20</v>
      </c>
      <c r="C65" s="822" t="s">
        <v>338</v>
      </c>
      <c r="D65" s="820" t="s">
        <v>304</v>
      </c>
      <c r="E65" s="287">
        <f>E60+E61-E62-E64</f>
        <v>1270.28795349624</v>
      </c>
      <c r="F65" s="287">
        <f t="shared" ref="F65:P65" si="15">F60+F61-F62-F64</f>
        <v>810.586411052728</v>
      </c>
      <c r="G65" s="287">
        <f t="shared" si="15"/>
        <v>978.208339431632</v>
      </c>
      <c r="H65" s="287">
        <f t="shared" si="15"/>
        <v>1018.01953809313</v>
      </c>
      <c r="I65" s="287">
        <f t="shared" si="15"/>
        <v>1531.57210695018</v>
      </c>
      <c r="J65" s="287">
        <f t="shared" si="15"/>
        <v>1201.35139564315</v>
      </c>
      <c r="K65" s="287">
        <f t="shared" si="15"/>
        <v>1013.5695538349</v>
      </c>
      <c r="L65" s="287">
        <f t="shared" si="15"/>
        <v>849.483535054084</v>
      </c>
      <c r="M65" s="287">
        <f t="shared" si="15"/>
        <v>1279.2860663101</v>
      </c>
      <c r="N65" s="287">
        <f t="shared" si="15"/>
        <v>1490.49186710534</v>
      </c>
      <c r="O65" s="287">
        <f t="shared" si="15"/>
        <v>1650.12795347585</v>
      </c>
      <c r="P65" s="287">
        <f t="shared" si="15"/>
        <v>1880.26571209633</v>
      </c>
      <c r="Q65" s="829">
        <f t="shared" si="6"/>
        <v>14973.2504325437</v>
      </c>
    </row>
    <row r="66" ht="15" hidden="1" spans="2:17">
      <c r="B66" s="820"/>
      <c r="C66" s="823" t="s">
        <v>323</v>
      </c>
      <c r="D66" s="820"/>
      <c r="E66" s="287"/>
      <c r="F66" s="287"/>
      <c r="G66" s="287"/>
      <c r="H66" s="287"/>
      <c r="I66" s="287"/>
      <c r="J66" s="287"/>
      <c r="K66" s="287"/>
      <c r="L66" s="287"/>
      <c r="M66" s="287"/>
      <c r="N66" s="287"/>
      <c r="O66" s="287"/>
      <c r="P66" s="287"/>
      <c r="Q66" s="829"/>
    </row>
    <row r="67" ht="28.5" hidden="1" spans="2:17">
      <c r="B67" s="820"/>
      <c r="C67" s="822" t="s">
        <v>324</v>
      </c>
      <c r="D67" s="820" t="s">
        <v>304</v>
      </c>
      <c r="E67" s="287">
        <f>[37]Rqmnt!Y27</f>
        <v>1270.28795349624</v>
      </c>
      <c r="F67" s="287">
        <f>[37]Rqmnt!Z27</f>
        <v>810.586411052726</v>
      </c>
      <c r="G67" s="287">
        <f>[37]Rqmnt!AA27</f>
        <v>978.208339431629</v>
      </c>
      <c r="H67" s="287">
        <f>[37]Rqmnt!AB27</f>
        <v>1018.01953809314</v>
      </c>
      <c r="I67" s="287">
        <f>[37]Rqmnt!AC27</f>
        <v>1531.57210695018</v>
      </c>
      <c r="J67" s="287">
        <f>[37]Rqmnt!AD27</f>
        <v>1201.35139564316</v>
      </c>
      <c r="K67" s="287">
        <f>[37]Rqmnt!AE27</f>
        <v>1013.5695538349</v>
      </c>
      <c r="L67" s="287">
        <f>[37]Rqmnt!AF27</f>
        <v>849.483535054085</v>
      </c>
      <c r="M67" s="287">
        <f>[37]Rqmnt!AG27</f>
        <v>1279.2860663101</v>
      </c>
      <c r="N67" s="287">
        <f>[37]Rqmnt!AH27</f>
        <v>1490.49186710535</v>
      </c>
      <c r="O67" s="287">
        <f>[37]Rqmnt!AI27</f>
        <v>1650.12795347584</v>
      </c>
      <c r="P67" s="287">
        <f>[37]Rqmnt!AJ27</f>
        <v>1880.26571209634</v>
      </c>
      <c r="Q67" s="829">
        <f>SUM(E67:P67)</f>
        <v>14973.2504325437</v>
      </c>
    </row>
    <row r="68" ht="15" hidden="1" spans="2:17">
      <c r="B68" s="820">
        <f>B65+1</f>
        <v>21</v>
      </c>
      <c r="C68" s="822" t="s">
        <v>319</v>
      </c>
      <c r="D68" s="820" t="s">
        <v>304</v>
      </c>
      <c r="E68" s="287"/>
      <c r="F68" s="287"/>
      <c r="G68" s="287"/>
      <c r="H68" s="287"/>
      <c r="I68" s="287"/>
      <c r="J68" s="287"/>
      <c r="K68" s="287"/>
      <c r="L68" s="287"/>
      <c r="M68" s="287"/>
      <c r="N68" s="287"/>
      <c r="O68" s="287"/>
      <c r="P68" s="287"/>
      <c r="Q68" s="829">
        <f t="shared" si="6"/>
        <v>0</v>
      </c>
    </row>
    <row r="69" ht="15" hidden="1" spans="2:17">
      <c r="B69" s="820">
        <f t="shared" ref="B69:B71" si="16">B68+1</f>
        <v>22</v>
      </c>
      <c r="C69" s="821" t="s">
        <v>325</v>
      </c>
      <c r="D69" s="820" t="s">
        <v>304</v>
      </c>
      <c r="E69" s="287">
        <f>[37]Rqmnt!Y28+[37]Rqmnt!Y29</f>
        <v>1205.62230049842</v>
      </c>
      <c r="F69" s="287">
        <f>[37]Rqmnt!Z28+[37]Rqmnt!Z29</f>
        <v>766.982033</v>
      </c>
      <c r="G69" s="287">
        <f>[37]Rqmnt!AA28+[37]Rqmnt!AA29</f>
        <v>926.169572</v>
      </c>
      <c r="H69" s="287">
        <f>[37]Rqmnt!AB28+[37]Rqmnt!AB29</f>
        <v>963.71413</v>
      </c>
      <c r="I69" s="287">
        <f>[37]Rqmnt!AC28+[37]Rqmnt!AC29</f>
        <v>1459.94607</v>
      </c>
      <c r="J69" s="287">
        <f>[37]Rqmnt!AD28+[37]Rqmnt!AD29</f>
        <v>1139.05635337973</v>
      </c>
      <c r="K69" s="287">
        <f>[37]Rqmnt!AE28+[37]Rqmnt!AE29</f>
        <v>968.465708689247</v>
      </c>
      <c r="L69" s="287">
        <f>[37]Rqmnt!AF28+[37]Rqmnt!AF29</f>
        <v>811.681517744179</v>
      </c>
      <c r="M69" s="287">
        <f>[37]Rqmnt!AG28+[37]Rqmnt!AG29</f>
        <v>1222.3578363593</v>
      </c>
      <c r="N69" s="287">
        <f>[37]Rqmnt!AH28+[37]Rqmnt!AH29</f>
        <v>1424.16497901916</v>
      </c>
      <c r="O69" s="287">
        <f>[37]Rqmnt!AI28+[37]Rqmnt!AI29</f>
        <v>1576.69725954617</v>
      </c>
      <c r="P69" s="287">
        <f>[37]Rqmnt!AJ28+[37]Rqmnt!AJ29</f>
        <v>1796.59388790805</v>
      </c>
      <c r="Q69" s="829">
        <f t="shared" si="6"/>
        <v>14261.4516481443</v>
      </c>
    </row>
    <row r="70" hidden="1" spans="2:17">
      <c r="B70" s="820">
        <f t="shared" si="16"/>
        <v>23</v>
      </c>
      <c r="C70" s="821" t="s">
        <v>326</v>
      </c>
      <c r="D70" s="820" t="s">
        <v>306</v>
      </c>
      <c r="E70" s="828">
        <f>E71/E67</f>
        <v>0.0509062947655549</v>
      </c>
      <c r="F70" s="828">
        <f t="shared" ref="F70:Q70" si="17">F71/F67</f>
        <v>0.0537936208381492</v>
      </c>
      <c r="G70" s="828">
        <f t="shared" si="17"/>
        <v>0.0531980410858741</v>
      </c>
      <c r="H70" s="828">
        <f t="shared" si="17"/>
        <v>0.0533441707757972</v>
      </c>
      <c r="I70" s="828">
        <f t="shared" si="17"/>
        <v>0.0467663498343594</v>
      </c>
      <c r="J70" s="828">
        <f t="shared" si="17"/>
        <v>0.051854139004909</v>
      </c>
      <c r="K70" s="828">
        <f t="shared" si="17"/>
        <v>0.0445000000000001</v>
      </c>
      <c r="L70" s="828">
        <f t="shared" si="17"/>
        <v>0.0445</v>
      </c>
      <c r="M70" s="828">
        <f t="shared" si="17"/>
        <v>0.0444999999999999</v>
      </c>
      <c r="N70" s="828">
        <f t="shared" si="17"/>
        <v>0.0445</v>
      </c>
      <c r="O70" s="828">
        <f t="shared" si="17"/>
        <v>0.0444999999999999</v>
      </c>
      <c r="P70" s="828">
        <f t="shared" si="17"/>
        <v>0.0444999999999999</v>
      </c>
      <c r="Q70" s="828">
        <f t="shared" si="17"/>
        <v>0.0475380270707524</v>
      </c>
    </row>
    <row r="71" ht="15" hidden="1" spans="2:17">
      <c r="B71" s="820">
        <f t="shared" si="16"/>
        <v>24</v>
      </c>
      <c r="C71" s="821" t="s">
        <v>326</v>
      </c>
      <c r="D71" s="820" t="s">
        <v>304</v>
      </c>
      <c r="E71" s="287">
        <f>[37]Rqmnt!Y30</f>
        <v>64.6656529978131</v>
      </c>
      <c r="F71" s="287">
        <f>[37]Rqmnt!Z30</f>
        <v>43.6043780527265</v>
      </c>
      <c r="G71" s="287">
        <f>[37]Rqmnt!AA30</f>
        <v>52.0387674316285</v>
      </c>
      <c r="H71" s="287">
        <f>[37]Rqmnt!AB30</f>
        <v>54.3054080931386</v>
      </c>
      <c r="I71" s="287">
        <f>[37]Rqmnt!AC30</f>
        <v>71.626036950179</v>
      </c>
      <c r="J71" s="287">
        <f>[37]Rqmnt!AD30</f>
        <v>62.2950422634219</v>
      </c>
      <c r="K71" s="287">
        <f>[37]Rqmnt!AE30</f>
        <v>45.1038451456531</v>
      </c>
      <c r="L71" s="287">
        <f>[37]Rqmnt!AF30</f>
        <v>37.8020173099068</v>
      </c>
      <c r="M71" s="287">
        <f>[37]Rqmnt!AG30</f>
        <v>56.9282299507993</v>
      </c>
      <c r="N71" s="287">
        <f>[37]Rqmnt!AH30</f>
        <v>66.3268880861881</v>
      </c>
      <c r="O71" s="287">
        <f>[37]Rqmnt!AI30</f>
        <v>73.4306939296748</v>
      </c>
      <c r="P71" s="287">
        <f>[37]Rqmnt!AJ30</f>
        <v>83.671824188287</v>
      </c>
      <c r="Q71" s="829">
        <f t="shared" si="6"/>
        <v>711.798784399417</v>
      </c>
    </row>
    <row r="72" ht="15" hidden="1" spans="2:17">
      <c r="B72" s="820"/>
      <c r="C72" s="823" t="s">
        <v>97</v>
      </c>
      <c r="D72" s="820"/>
      <c r="E72" s="287"/>
      <c r="F72" s="287"/>
      <c r="G72" s="287"/>
      <c r="H72" s="287"/>
      <c r="I72" s="287"/>
      <c r="J72" s="287"/>
      <c r="K72" s="287"/>
      <c r="L72" s="287"/>
      <c r="M72" s="287"/>
      <c r="N72" s="287"/>
      <c r="O72" s="287"/>
      <c r="P72" s="287"/>
      <c r="Q72" s="829"/>
    </row>
    <row r="73" ht="15" hidden="1" spans="2:17">
      <c r="B73" s="820">
        <f>B71+1</f>
        <v>25</v>
      </c>
      <c r="C73" s="823" t="s">
        <v>327</v>
      </c>
      <c r="D73" s="298" t="s">
        <v>304</v>
      </c>
      <c r="E73" s="287">
        <f>E44+E48+E68</f>
        <v>2065.30401245232</v>
      </c>
      <c r="F73" s="287">
        <f t="shared" ref="F73:P73" si="18">F44+F48+F68</f>
        <v>1304.32709725047</v>
      </c>
      <c r="G73" s="287">
        <f t="shared" si="18"/>
        <v>1478.34980946635</v>
      </c>
      <c r="H73" s="287">
        <f t="shared" si="18"/>
        <v>1806.28119470735</v>
      </c>
      <c r="I73" s="287">
        <f t="shared" si="18"/>
        <v>2131.49983313186</v>
      </c>
      <c r="J73" s="287">
        <f t="shared" si="18"/>
        <v>1801.96395976467</v>
      </c>
      <c r="K73" s="287">
        <f t="shared" si="18"/>
        <v>1571.14786680567</v>
      </c>
      <c r="L73" s="287">
        <f t="shared" si="18"/>
        <v>1341.09891743541</v>
      </c>
      <c r="M73" s="287">
        <f t="shared" si="18"/>
        <v>1872.7116977507</v>
      </c>
      <c r="N73" s="287">
        <f t="shared" si="18"/>
        <v>2228.87504107915</v>
      </c>
      <c r="O73" s="287">
        <f t="shared" si="18"/>
        <v>2596.49908219055</v>
      </c>
      <c r="P73" s="287">
        <f t="shared" si="18"/>
        <v>3398.58043379837</v>
      </c>
      <c r="Q73" s="829">
        <f t="shared" si="6"/>
        <v>23596.6389458329</v>
      </c>
    </row>
    <row r="74" ht="15" hidden="1" spans="2:17">
      <c r="B74" s="820">
        <f>B73+1</f>
        <v>26</v>
      </c>
      <c r="C74" s="823" t="s">
        <v>328</v>
      </c>
      <c r="D74" s="298" t="s">
        <v>304</v>
      </c>
      <c r="E74" s="287">
        <f>E49+E55+E62+E69</f>
        <v>1819.96449435842</v>
      </c>
      <c r="F74" s="287">
        <f t="shared" ref="F74:P74" si="19">F49+F55+F62+F69</f>
        <v>1143.79016368</v>
      </c>
      <c r="G74" s="287">
        <f t="shared" si="19"/>
        <v>1292.23179804</v>
      </c>
      <c r="H74" s="287">
        <f t="shared" si="19"/>
        <v>1603.55374485</v>
      </c>
      <c r="I74" s="287">
        <f t="shared" si="19"/>
        <v>1861.5440416</v>
      </c>
      <c r="J74" s="287">
        <f t="shared" si="19"/>
        <v>1574.21212799973</v>
      </c>
      <c r="K74" s="287">
        <f t="shared" si="19"/>
        <v>1372.0197896903</v>
      </c>
      <c r="L74" s="287">
        <f t="shared" si="19"/>
        <v>1164.79787012964</v>
      </c>
      <c r="M74" s="287">
        <f t="shared" si="19"/>
        <v>1623.29903856181</v>
      </c>
      <c r="N74" s="287">
        <f t="shared" si="19"/>
        <v>1934.11811295416</v>
      </c>
      <c r="O74" s="287">
        <f t="shared" si="19"/>
        <v>2273.3777788223</v>
      </c>
      <c r="P74" s="287">
        <f t="shared" si="19"/>
        <v>3015.39424511202</v>
      </c>
      <c r="Q74" s="829">
        <f t="shared" si="6"/>
        <v>20678.3032057984</v>
      </c>
    </row>
    <row r="75" ht="30" hidden="1" spans="2:17">
      <c r="B75" s="820">
        <f>B74+1</f>
        <v>27</v>
      </c>
      <c r="C75" s="826" t="s">
        <v>329</v>
      </c>
      <c r="D75" s="298"/>
      <c r="E75" s="287">
        <f>E52+E49</f>
        <v>1997.54428812</v>
      </c>
      <c r="F75" s="287">
        <f t="shared" ref="F75:P75" si="20">F52+F49</f>
        <v>1259.41067878</v>
      </c>
      <c r="G75" s="287">
        <f t="shared" si="20"/>
        <v>1429.90886146</v>
      </c>
      <c r="H75" s="287">
        <f t="shared" si="20"/>
        <v>1747.9003971539</v>
      </c>
      <c r="I75" s="287">
        <f t="shared" si="20"/>
        <v>2064.85221895046</v>
      </c>
      <c r="J75" s="287">
        <f t="shared" si="20"/>
        <v>1738.90193132589</v>
      </c>
      <c r="K75" s="287">
        <f t="shared" si="20"/>
        <v>1514.99754750778</v>
      </c>
      <c r="L75" s="287">
        <f t="shared" si="20"/>
        <v>1285.93834037521</v>
      </c>
      <c r="M75" s="287">
        <f t="shared" si="20"/>
        <v>1801.29554059296</v>
      </c>
      <c r="N75" s="287">
        <f t="shared" si="20"/>
        <v>2140.55273447997</v>
      </c>
      <c r="O75" s="287">
        <f t="shared" si="20"/>
        <v>2499.98120489475</v>
      </c>
      <c r="P75" s="287">
        <f t="shared" si="20"/>
        <v>3279.1452960707</v>
      </c>
      <c r="Q75" s="829">
        <f t="shared" si="6"/>
        <v>22760.4290397116</v>
      </c>
    </row>
    <row r="76" ht="15" hidden="1" spans="2:17">
      <c r="B76" s="820">
        <f>B75+1</f>
        <v>28</v>
      </c>
      <c r="C76" s="826" t="s">
        <v>330</v>
      </c>
      <c r="D76" s="298" t="s">
        <v>304</v>
      </c>
      <c r="E76" s="287">
        <f>E75-E74</f>
        <v>177.579793761574</v>
      </c>
      <c r="F76" s="287">
        <f t="shared" ref="F76:P76" si="21">F75-F74</f>
        <v>115.620515100002</v>
      </c>
      <c r="G76" s="287">
        <f t="shared" si="21"/>
        <v>137.677063419997</v>
      </c>
      <c r="H76" s="287">
        <f t="shared" si="21"/>
        <v>144.346652303897</v>
      </c>
      <c r="I76" s="287">
        <f t="shared" si="21"/>
        <v>203.308177350455</v>
      </c>
      <c r="J76" s="287">
        <f t="shared" si="21"/>
        <v>164.689803326154</v>
      </c>
      <c r="K76" s="287">
        <f t="shared" si="21"/>
        <v>142.977757817482</v>
      </c>
      <c r="L76" s="287">
        <f t="shared" si="21"/>
        <v>121.140470245569</v>
      </c>
      <c r="M76" s="287">
        <f t="shared" si="21"/>
        <v>177.996502031151</v>
      </c>
      <c r="N76" s="287">
        <f t="shared" si="21"/>
        <v>206.434621525805</v>
      </c>
      <c r="O76" s="287">
        <f t="shared" si="21"/>
        <v>226.603426072452</v>
      </c>
      <c r="P76" s="287">
        <f t="shared" si="21"/>
        <v>263.75105095868</v>
      </c>
      <c r="Q76" s="829">
        <f t="shared" si="6"/>
        <v>2082.12583391322</v>
      </c>
    </row>
    <row r="77" ht="15" hidden="1" spans="2:17">
      <c r="B77" s="820">
        <f t="shared" ref="B77" si="22">B76+1</f>
        <v>29</v>
      </c>
      <c r="C77" s="826" t="s">
        <v>331</v>
      </c>
      <c r="D77" s="298" t="s">
        <v>306</v>
      </c>
      <c r="E77" s="828">
        <f>E76/(E75-E49)</f>
        <v>0.108286898880832</v>
      </c>
      <c r="F77" s="828">
        <f t="shared" ref="F77:Q77" si="23">F76/(F75-F49)</f>
        <v>0.10607970173978</v>
      </c>
      <c r="G77" s="828">
        <f t="shared" si="23"/>
        <v>0.105713234785431</v>
      </c>
      <c r="H77" s="828">
        <f t="shared" si="23"/>
        <v>0.105544401178621</v>
      </c>
      <c r="I77" s="828">
        <f t="shared" si="23"/>
        <v>0.104879204816152</v>
      </c>
      <c r="J77" s="828">
        <f t="shared" si="23"/>
        <v>0.105316343602844</v>
      </c>
      <c r="K77" s="828">
        <f t="shared" si="23"/>
        <v>0.10576592790815</v>
      </c>
      <c r="L77" s="828">
        <f t="shared" si="23"/>
        <v>0.104859373924781</v>
      </c>
      <c r="M77" s="828">
        <f t="shared" si="23"/>
        <v>0.106637698446209</v>
      </c>
      <c r="N77" s="828">
        <f t="shared" si="23"/>
        <v>0.10706040715855</v>
      </c>
      <c r="O77" s="828">
        <f t="shared" si="23"/>
        <v>0.107549642200797</v>
      </c>
      <c r="P77" s="828">
        <f t="shared" si="23"/>
        <v>0.106387658497073</v>
      </c>
      <c r="Q77" s="828">
        <f t="shared" si="23"/>
        <v>0.106270504897478</v>
      </c>
    </row>
    <row r="78" hidden="1"/>
    <row r="79" ht="18.95" customHeight="1" spans="2:17">
      <c r="B79" s="298" t="s">
        <v>3</v>
      </c>
      <c r="C79" s="401" t="s">
        <v>110</v>
      </c>
      <c r="D79" s="379" t="s">
        <v>297</v>
      </c>
      <c r="E79" s="403" t="s">
        <v>339</v>
      </c>
      <c r="F79" s="403"/>
      <c r="G79" s="403"/>
      <c r="H79" s="403"/>
      <c r="I79" s="403"/>
      <c r="J79" s="403"/>
      <c r="K79" s="403"/>
      <c r="L79" s="403"/>
      <c r="M79" s="403"/>
      <c r="N79" s="403"/>
      <c r="O79" s="403"/>
      <c r="P79" s="403"/>
      <c r="Q79" s="403"/>
    </row>
    <row r="80" ht="15" spans="2:17">
      <c r="B80" s="298"/>
      <c r="C80" s="401"/>
      <c r="D80" s="379"/>
      <c r="E80" s="403" t="s">
        <v>246</v>
      </c>
      <c r="F80" s="403" t="s">
        <v>247</v>
      </c>
      <c r="G80" s="403" t="s">
        <v>248</v>
      </c>
      <c r="H80" s="403" t="s">
        <v>249</v>
      </c>
      <c r="I80" s="403" t="s">
        <v>250</v>
      </c>
      <c r="J80" s="403" t="s">
        <v>251</v>
      </c>
      <c r="K80" s="403" t="s">
        <v>252</v>
      </c>
      <c r="L80" s="403" t="s">
        <v>253</v>
      </c>
      <c r="M80" s="403" t="s">
        <v>254</v>
      </c>
      <c r="N80" s="403" t="s">
        <v>255</v>
      </c>
      <c r="O80" s="403" t="s">
        <v>256</v>
      </c>
      <c r="P80" s="403" t="s">
        <v>257</v>
      </c>
      <c r="Q80" s="403" t="s">
        <v>97</v>
      </c>
    </row>
    <row r="81" ht="15" spans="2:17">
      <c r="B81" s="820">
        <v>1</v>
      </c>
      <c r="C81" s="821" t="s">
        <v>303</v>
      </c>
      <c r="D81" s="820" t="s">
        <v>304</v>
      </c>
      <c r="E81" s="287">
        <f>[7]Rqmnt!L48+[7]Rqmnt!L49</f>
        <v>994.769951556836</v>
      </c>
      <c r="F81" s="287">
        <f>[7]Rqmnt!M48+[7]Rqmnt!M49</f>
        <v>856.444037181267</v>
      </c>
      <c r="G81" s="287">
        <f>[7]Rqmnt!N48+[7]Rqmnt!N49</f>
        <v>825.411883421637</v>
      </c>
      <c r="H81" s="287">
        <f>[7]Rqmnt!O48+[7]Rqmnt!O49</f>
        <v>940.803496584747</v>
      </c>
      <c r="I81" s="287">
        <f>[7]Rqmnt!P48+[7]Rqmnt!P49</f>
        <v>1113.61020402706</v>
      </c>
      <c r="J81" s="287">
        <f>[7]Rqmnt!Q48+[7]Rqmnt!Q49</f>
        <v>954.671237757168</v>
      </c>
      <c r="K81" s="287">
        <f>[7]Rqmnt!R48+[7]Rqmnt!R49</f>
        <v>1153.06446409223</v>
      </c>
      <c r="L81" s="287">
        <f>[7]Rqmnt!S48+[7]Rqmnt!S49</f>
        <v>883.476038423964</v>
      </c>
      <c r="M81" s="287">
        <f>[7]Rqmnt!T48+[7]Rqmnt!T49</f>
        <v>921.366696776935</v>
      </c>
      <c r="N81" s="287">
        <f>[7]Rqmnt!U48+[7]Rqmnt!U49</f>
        <v>1085.88661049188</v>
      </c>
      <c r="O81" s="287">
        <f>[7]Rqmnt!V48+[7]Rqmnt!V49</f>
        <v>1135.12244474855</v>
      </c>
      <c r="P81" s="287">
        <f>[7]Rqmnt!W48+[7]Rqmnt!W49</f>
        <v>1303.97803493773</v>
      </c>
      <c r="Q81" s="829">
        <f>SUM(E81:P81)</f>
        <v>12168.6051</v>
      </c>
    </row>
    <row r="82" spans="2:17">
      <c r="B82" s="820">
        <f>B81+1</f>
        <v>2</v>
      </c>
      <c r="C82" s="821" t="s">
        <v>305</v>
      </c>
      <c r="D82" s="820" t="s">
        <v>306</v>
      </c>
      <c r="E82" s="830">
        <f t="shared" ref="E82:P82" si="24">E83/E81</f>
        <v>0.0354</v>
      </c>
      <c r="F82" s="830">
        <f t="shared" si="24"/>
        <v>0.0353999999999999</v>
      </c>
      <c r="G82" s="830">
        <f t="shared" si="24"/>
        <v>0.0354000000000001</v>
      </c>
      <c r="H82" s="830">
        <f t="shared" si="24"/>
        <v>0.0354</v>
      </c>
      <c r="I82" s="830">
        <f t="shared" si="24"/>
        <v>0.0354</v>
      </c>
      <c r="J82" s="830">
        <f t="shared" si="24"/>
        <v>0.0354</v>
      </c>
      <c r="K82" s="830">
        <f t="shared" si="24"/>
        <v>0.0353999999999999</v>
      </c>
      <c r="L82" s="830">
        <f t="shared" si="24"/>
        <v>0.0354</v>
      </c>
      <c r="M82" s="830">
        <f t="shared" si="24"/>
        <v>0.0354</v>
      </c>
      <c r="N82" s="830">
        <f t="shared" si="24"/>
        <v>0.0354</v>
      </c>
      <c r="O82" s="830">
        <f t="shared" si="24"/>
        <v>0.0354000000000001</v>
      </c>
      <c r="P82" s="830">
        <f t="shared" si="24"/>
        <v>0.0353999999999999</v>
      </c>
      <c r="Q82" s="830">
        <f t="shared" ref="Q82" si="25">Q83/Q81</f>
        <v>0.0354</v>
      </c>
    </row>
    <row r="83" ht="15" spans="2:17">
      <c r="B83" s="820">
        <f t="shared" ref="B83:B89" si="26">B82+1</f>
        <v>3</v>
      </c>
      <c r="C83" s="821" t="s">
        <v>305</v>
      </c>
      <c r="D83" s="820" t="s">
        <v>304</v>
      </c>
      <c r="E83" s="831">
        <f>[7]Rqmnt!L52</f>
        <v>35.214856285112</v>
      </c>
      <c r="F83" s="831">
        <f>[7]Rqmnt!M52</f>
        <v>30.3181189162168</v>
      </c>
      <c r="G83" s="831">
        <f>[7]Rqmnt!N52</f>
        <v>29.219580673126</v>
      </c>
      <c r="H83" s="831">
        <f>[7]Rqmnt!O52</f>
        <v>33.3044437791001</v>
      </c>
      <c r="I83" s="831">
        <f>[7]Rqmnt!P52</f>
        <v>39.421801222558</v>
      </c>
      <c r="J83" s="831">
        <f>[7]Rqmnt!Q52</f>
        <v>33.7953618166038</v>
      </c>
      <c r="K83" s="831">
        <f>[7]Rqmnt!R52</f>
        <v>40.8184820288646</v>
      </c>
      <c r="L83" s="831">
        <f>[7]Rqmnt!S52</f>
        <v>31.2750517602083</v>
      </c>
      <c r="M83" s="831">
        <f>[7]Rqmnt!T52</f>
        <v>32.6163810659035</v>
      </c>
      <c r="N83" s="831">
        <f>[7]Rqmnt!U52</f>
        <v>38.4403860114126</v>
      </c>
      <c r="O83" s="831">
        <f>[7]Rqmnt!V52</f>
        <v>40.1833345440988</v>
      </c>
      <c r="P83" s="831">
        <f>[7]Rqmnt!W52</f>
        <v>46.1608224367955</v>
      </c>
      <c r="Q83" s="829">
        <f>SUM(E83:P83)</f>
        <v>430.76862054</v>
      </c>
    </row>
    <row r="84" ht="28.5" spans="2:17">
      <c r="B84" s="820">
        <f t="shared" si="26"/>
        <v>4</v>
      </c>
      <c r="C84" s="822" t="s">
        <v>307</v>
      </c>
      <c r="D84" s="820" t="s">
        <v>304</v>
      </c>
      <c r="E84" s="831">
        <f t="shared" ref="E84:P84" si="27">E81-E83</f>
        <v>959.555095271724</v>
      </c>
      <c r="F84" s="831">
        <f t="shared" si="27"/>
        <v>826.12591826505</v>
      </c>
      <c r="G84" s="831">
        <f t="shared" si="27"/>
        <v>796.192302748511</v>
      </c>
      <c r="H84" s="831">
        <f t="shared" si="27"/>
        <v>907.499052805647</v>
      </c>
      <c r="I84" s="831">
        <f t="shared" si="27"/>
        <v>1074.1884028045</v>
      </c>
      <c r="J84" s="831">
        <f t="shared" si="27"/>
        <v>920.875875940564</v>
      </c>
      <c r="K84" s="831">
        <f t="shared" si="27"/>
        <v>1112.24598206336</v>
      </c>
      <c r="L84" s="831">
        <f t="shared" si="27"/>
        <v>852.200986663755</v>
      </c>
      <c r="M84" s="831">
        <f t="shared" si="27"/>
        <v>888.750315711031</v>
      </c>
      <c r="N84" s="831">
        <f t="shared" si="27"/>
        <v>1047.44622448047</v>
      </c>
      <c r="O84" s="831">
        <f t="shared" si="27"/>
        <v>1094.93911020445</v>
      </c>
      <c r="P84" s="831">
        <f t="shared" si="27"/>
        <v>1257.81721250093</v>
      </c>
      <c r="Q84" s="829">
        <f>SUM(E84:P84)</f>
        <v>11737.83647946</v>
      </c>
    </row>
    <row r="85" ht="28.5" spans="2:17">
      <c r="B85" s="820">
        <f t="shared" si="26"/>
        <v>5</v>
      </c>
      <c r="C85" s="822" t="s">
        <v>308</v>
      </c>
      <c r="D85" s="820" t="s">
        <v>304</v>
      </c>
      <c r="E85" s="831">
        <f>[7]Rqmnt!L46-E84</f>
        <v>4952.1225089814</v>
      </c>
      <c r="F85" s="831">
        <f>[7]Rqmnt!M46-F84</f>
        <v>4420.59957756498</v>
      </c>
      <c r="G85" s="831">
        <f>[7]Rqmnt!N46-G84</f>
        <v>4135.65589831481</v>
      </c>
      <c r="H85" s="831">
        <f>[7]Rqmnt!O46-H84</f>
        <v>4605.74392909375</v>
      </c>
      <c r="I85" s="831">
        <f>[7]Rqmnt!P46-I84</f>
        <v>5185.4548919557</v>
      </c>
      <c r="J85" s="831">
        <f>[7]Rqmnt!Q46-J84</f>
        <v>4598.98827530965</v>
      </c>
      <c r="K85" s="831">
        <f>[7]Rqmnt!R46-K84</f>
        <v>5583.30094055304</v>
      </c>
      <c r="L85" s="831">
        <f>[7]Rqmnt!S46-L84</f>
        <v>4407.41220558259</v>
      </c>
      <c r="M85" s="831">
        <f>[7]Rqmnt!T46-M84</f>
        <v>4557.05705169525</v>
      </c>
      <c r="N85" s="831">
        <f>[7]Rqmnt!U46-N84</f>
        <v>5143.41654112897</v>
      </c>
      <c r="O85" s="831">
        <f>[7]Rqmnt!V46-O84</f>
        <v>5292.77198865717</v>
      </c>
      <c r="P85" s="831">
        <f>[7]Rqmnt!W46-P84</f>
        <v>6125.30507942378</v>
      </c>
      <c r="Q85" s="829">
        <f>SUM(E85:P85)</f>
        <v>59007.8288882611</v>
      </c>
    </row>
    <row r="86" ht="15" spans="2:17">
      <c r="B86" s="820">
        <f t="shared" si="26"/>
        <v>6</v>
      </c>
      <c r="C86" s="821" t="s">
        <v>309</v>
      </c>
      <c r="D86" s="820" t="s">
        <v>304</v>
      </c>
      <c r="E86" s="831">
        <f>[7]Rqmnt!L37</f>
        <v>641.808181175491</v>
      </c>
      <c r="F86" s="831">
        <f>[7]Rqmnt!M37</f>
        <v>662.480384593688</v>
      </c>
      <c r="G86" s="831">
        <f>[7]Rqmnt!N37</f>
        <v>681.565054947639</v>
      </c>
      <c r="H86" s="831">
        <f>[7]Rqmnt!O37</f>
        <v>754.617921120109</v>
      </c>
      <c r="I86" s="831">
        <f>[7]Rqmnt!P37</f>
        <v>1102.32449513118</v>
      </c>
      <c r="J86" s="831">
        <f>[7]Rqmnt!Q37</f>
        <v>893.514128423406</v>
      </c>
      <c r="K86" s="831">
        <f>[7]Rqmnt!R37</f>
        <v>889.896702391827</v>
      </c>
      <c r="L86" s="831">
        <f>[7]Rqmnt!S37</f>
        <v>861.836013702315</v>
      </c>
      <c r="M86" s="831">
        <f>[7]Rqmnt!T37</f>
        <v>724.184266032442</v>
      </c>
      <c r="N86" s="831">
        <f>[7]Rqmnt!U37</f>
        <v>700.755729372461</v>
      </c>
      <c r="O86" s="831">
        <f>[7]Rqmnt!V37</f>
        <v>675.210592513097</v>
      </c>
      <c r="P86" s="831">
        <f>[7]Rqmnt!W37</f>
        <v>716.842845750652</v>
      </c>
      <c r="Q86" s="829">
        <f>SUM(E86:P86)</f>
        <v>9305.03631515431</v>
      </c>
    </row>
    <row r="87" spans="2:17">
      <c r="B87" s="820">
        <f t="shared" si="26"/>
        <v>7</v>
      </c>
      <c r="C87" s="821" t="s">
        <v>310</v>
      </c>
      <c r="D87" s="820" t="s">
        <v>306</v>
      </c>
      <c r="E87" s="830">
        <f t="shared" ref="E87:P87" si="28">E88/(E85+E81)</f>
        <v>0.0244543297242447</v>
      </c>
      <c r="F87" s="830">
        <f t="shared" si="28"/>
        <v>0.024458665991834</v>
      </c>
      <c r="G87" s="830">
        <f t="shared" si="28"/>
        <v>0.0244551114969232</v>
      </c>
      <c r="H87" s="830">
        <f t="shared" si="28"/>
        <v>0.0244522884140189</v>
      </c>
      <c r="I87" s="830">
        <f t="shared" si="28"/>
        <v>0.0244460444057495</v>
      </c>
      <c r="J87" s="830">
        <f t="shared" si="28"/>
        <v>0.0244503030481554</v>
      </c>
      <c r="K87" s="830">
        <f t="shared" si="28"/>
        <v>0.0244509382140675</v>
      </c>
      <c r="L87" s="830">
        <f t="shared" si="28"/>
        <v>0.0244545865575269</v>
      </c>
      <c r="M87" s="830">
        <f t="shared" si="28"/>
        <v>0.024453541271895</v>
      </c>
      <c r="N87" s="830">
        <f t="shared" si="28"/>
        <v>0.0244481959421681</v>
      </c>
      <c r="O87" s="830">
        <f t="shared" si="28"/>
        <v>0.0244462155780519</v>
      </c>
      <c r="P87" s="830">
        <f t="shared" si="28"/>
        <v>0.0244471513045788</v>
      </c>
      <c r="Q87" s="830">
        <f>Q88/(Q85+Q84)</f>
        <v>0.0246</v>
      </c>
    </row>
    <row r="88" ht="15" spans="2:17">
      <c r="B88" s="820">
        <f t="shared" si="26"/>
        <v>8</v>
      </c>
      <c r="C88" s="821" t="s">
        <v>310</v>
      </c>
      <c r="D88" s="820" t="s">
        <v>304</v>
      </c>
      <c r="E88" s="831">
        <f>[7]Rqmnt!L47</f>
        <v>145.427269064627</v>
      </c>
      <c r="F88" s="831">
        <f>[7]Rqmnt!M47</f>
        <v>129.069447197419</v>
      </c>
      <c r="G88" s="831">
        <f>[7]Rqmnt!N47</f>
        <v>121.323465746158</v>
      </c>
      <c r="H88" s="831">
        <f>[7]Rqmnt!O47</f>
        <v>135.625777354725</v>
      </c>
      <c r="I88" s="831">
        <f>[7]Rqmnt!P47</f>
        <v>153.987225051101</v>
      </c>
      <c r="J88" s="831">
        <f>[7]Rqmnt!Q47</f>
        <v>135.788658120755</v>
      </c>
      <c r="K88" s="831">
        <f>[7]Rqmnt!R47</f>
        <v>164.710454296363</v>
      </c>
      <c r="L88" s="831">
        <f>[7]Rqmnt!S47</f>
        <v>129.38648452926</v>
      </c>
      <c r="M88" s="831">
        <f>[7]Rqmnt!T47</f>
        <v>133.966861238194</v>
      </c>
      <c r="N88" s="831">
        <f>[7]Rqmnt!U47</f>
        <v>152.295224033992</v>
      </c>
      <c r="O88" s="831">
        <f>[7]Rqmnt!V47</f>
        <v>157.137693031996</v>
      </c>
      <c r="P88" s="831">
        <f>[7]Rqmnt!W47</f>
        <v>181.624808381348</v>
      </c>
      <c r="Q88" s="832">
        <f>SUM(E88:P88)</f>
        <v>1740.34336804594</v>
      </c>
    </row>
    <row r="89" ht="28.5" spans="2:17">
      <c r="B89" s="820">
        <f t="shared" si="26"/>
        <v>9</v>
      </c>
      <c r="C89" s="822" t="s">
        <v>311</v>
      </c>
      <c r="D89" s="820" t="s">
        <v>304</v>
      </c>
      <c r="E89" s="831">
        <f t="shared" ref="E89:P89" si="29">E84+E85-E86-E88</f>
        <v>5124.442154013</v>
      </c>
      <c r="F89" s="831">
        <f t="shared" si="29"/>
        <v>4455.17566403892</v>
      </c>
      <c r="G89" s="831">
        <f t="shared" si="29"/>
        <v>4128.95968036952</v>
      </c>
      <c r="H89" s="831">
        <f t="shared" si="29"/>
        <v>4622.99928342457</v>
      </c>
      <c r="I89" s="831">
        <f t="shared" si="29"/>
        <v>5003.33157457792</v>
      </c>
      <c r="J89" s="831">
        <f t="shared" si="29"/>
        <v>4490.56136470605</v>
      </c>
      <c r="K89" s="831">
        <f t="shared" si="29"/>
        <v>5640.93976592821</v>
      </c>
      <c r="L89" s="831">
        <f t="shared" si="29"/>
        <v>4268.39069401478</v>
      </c>
      <c r="M89" s="831">
        <f t="shared" si="29"/>
        <v>4587.65624013564</v>
      </c>
      <c r="N89" s="831">
        <f t="shared" si="29"/>
        <v>5337.81181220299</v>
      </c>
      <c r="O89" s="831">
        <f t="shared" si="29"/>
        <v>5555.36281331653</v>
      </c>
      <c r="P89" s="831">
        <f t="shared" si="29"/>
        <v>6484.65463779271</v>
      </c>
      <c r="Q89" s="829">
        <f>SUM(E89:P89)</f>
        <v>59700.2856845208</v>
      </c>
    </row>
    <row r="90" ht="15" spans="2:17">
      <c r="B90" s="820"/>
      <c r="C90" s="823" t="s">
        <v>312</v>
      </c>
      <c r="D90" s="820"/>
      <c r="E90" s="287"/>
      <c r="F90" s="287"/>
      <c r="G90" s="287"/>
      <c r="H90" s="287"/>
      <c r="I90" s="287"/>
      <c r="J90" s="287"/>
      <c r="K90" s="287"/>
      <c r="L90" s="287"/>
      <c r="M90" s="287"/>
      <c r="N90" s="287"/>
      <c r="O90" s="287"/>
      <c r="P90" s="287"/>
      <c r="Q90" s="829"/>
    </row>
    <row r="91" ht="28.5" spans="2:17">
      <c r="B91" s="820">
        <f>B89+1</f>
        <v>10</v>
      </c>
      <c r="C91" s="822" t="s">
        <v>313</v>
      </c>
      <c r="D91" s="820" t="s">
        <v>304</v>
      </c>
      <c r="E91" s="831">
        <f>[7]Rqmnt!L7</f>
        <v>5124.442154013</v>
      </c>
      <c r="F91" s="831">
        <f>[7]Rqmnt!M7</f>
        <v>4455.17566403892</v>
      </c>
      <c r="G91" s="831">
        <f>[7]Rqmnt!N7</f>
        <v>4128.95968036952</v>
      </c>
      <c r="H91" s="831">
        <f>[7]Rqmnt!O7</f>
        <v>4622.99928342457</v>
      </c>
      <c r="I91" s="831">
        <f>[7]Rqmnt!P7</f>
        <v>5003.33157457792</v>
      </c>
      <c r="J91" s="831">
        <f>[7]Rqmnt!Q7</f>
        <v>4490.56136470604</v>
      </c>
      <c r="K91" s="831">
        <f>[7]Rqmnt!R7</f>
        <v>5640.93976592821</v>
      </c>
      <c r="L91" s="831">
        <f>[7]Rqmnt!S7</f>
        <v>4268.39069401477</v>
      </c>
      <c r="M91" s="831">
        <f>[7]Rqmnt!T7</f>
        <v>4587.65624013564</v>
      </c>
      <c r="N91" s="831">
        <f>[7]Rqmnt!U7</f>
        <v>5337.81181220299</v>
      </c>
      <c r="O91" s="831">
        <f>[7]Rqmnt!V7</f>
        <v>5555.36281331652</v>
      </c>
      <c r="P91" s="831">
        <f>[7]Rqmnt!W7</f>
        <v>6484.65463779271</v>
      </c>
      <c r="Q91" s="832">
        <f>SUM(E91:P91)</f>
        <v>59700.2856845208</v>
      </c>
    </row>
    <row r="92" ht="15" spans="2:17">
      <c r="B92" s="820">
        <f t="shared" ref="B92:B95" si="30">B91+1</f>
        <v>11</v>
      </c>
      <c r="C92" s="821" t="s">
        <v>314</v>
      </c>
      <c r="D92" s="820" t="s">
        <v>304</v>
      </c>
      <c r="E92" s="831">
        <f>[7]Rqmnt!L9</f>
        <v>830.025559674359</v>
      </c>
      <c r="F92" s="831">
        <f>[7]Rqmnt!M9</f>
        <v>865.486155594721</v>
      </c>
      <c r="G92" s="831">
        <f>[7]Rqmnt!N9</f>
        <v>828.906046186692</v>
      </c>
      <c r="H92" s="831">
        <f>[7]Rqmnt!O9</f>
        <v>844.410678365175</v>
      </c>
      <c r="I92" s="831">
        <f>[7]Rqmnt!P9</f>
        <v>834.967595846969</v>
      </c>
      <c r="J92" s="831">
        <f>[7]Rqmnt!Q9</f>
        <v>804.99827341985</v>
      </c>
      <c r="K92" s="831">
        <f>[7]Rqmnt!R9</f>
        <v>826.693739023693</v>
      </c>
      <c r="L92" s="831">
        <f>[7]Rqmnt!S9</f>
        <v>826.842349462774</v>
      </c>
      <c r="M92" s="831">
        <f>[7]Rqmnt!T9</f>
        <v>827.011502569429</v>
      </c>
      <c r="N92" s="831">
        <f>[7]Rqmnt!U9</f>
        <v>828.893722497324</v>
      </c>
      <c r="O92" s="831">
        <f>[7]Rqmnt!V9</f>
        <v>816.906286949874</v>
      </c>
      <c r="P92" s="831">
        <f>[7]Rqmnt!W9</f>
        <v>920.168558637605</v>
      </c>
      <c r="Q92" s="832">
        <f>SUM(E92:P92)</f>
        <v>10055.3104682285</v>
      </c>
    </row>
    <row r="93" spans="2:17">
      <c r="B93" s="820">
        <f t="shared" si="30"/>
        <v>12</v>
      </c>
      <c r="C93" s="821" t="s">
        <v>315</v>
      </c>
      <c r="D93" s="820" t="s">
        <v>306</v>
      </c>
      <c r="E93" s="830">
        <f t="shared" ref="E93:P93" si="31">E94/E91</f>
        <v>0.0316</v>
      </c>
      <c r="F93" s="830">
        <f t="shared" si="31"/>
        <v>0.0316</v>
      </c>
      <c r="G93" s="830">
        <f t="shared" si="31"/>
        <v>0.0316</v>
      </c>
      <c r="H93" s="830">
        <f t="shared" si="31"/>
        <v>0.0315999999999999</v>
      </c>
      <c r="I93" s="830">
        <f t="shared" si="31"/>
        <v>0.0315999999999999</v>
      </c>
      <c r="J93" s="830">
        <f t="shared" si="31"/>
        <v>0.0316</v>
      </c>
      <c r="K93" s="830">
        <f t="shared" si="31"/>
        <v>0.0315999999999999</v>
      </c>
      <c r="L93" s="830">
        <f t="shared" si="31"/>
        <v>0.0315999999999998</v>
      </c>
      <c r="M93" s="830">
        <f t="shared" si="31"/>
        <v>0.0316</v>
      </c>
      <c r="N93" s="830">
        <f t="shared" si="31"/>
        <v>0.0315999999999999</v>
      </c>
      <c r="O93" s="830">
        <f t="shared" si="31"/>
        <v>0.0316</v>
      </c>
      <c r="P93" s="830">
        <f t="shared" si="31"/>
        <v>0.0316000000000001</v>
      </c>
      <c r="Q93" s="830">
        <f t="shared" ref="Q93" si="32">Q94/Q91</f>
        <v>0.0316</v>
      </c>
    </row>
    <row r="94" spans="2:17">
      <c r="B94" s="820">
        <f t="shared" si="30"/>
        <v>13</v>
      </c>
      <c r="C94" s="821" t="s">
        <v>315</v>
      </c>
      <c r="D94" s="820" t="s">
        <v>304</v>
      </c>
      <c r="E94" s="831">
        <f>[7]Rqmnt!L11</f>
        <v>161.932372066811</v>
      </c>
      <c r="F94" s="831">
        <f>[7]Rqmnt!M11</f>
        <v>140.78355098363</v>
      </c>
      <c r="G94" s="831">
        <f>[7]Rqmnt!N11</f>
        <v>130.475125899677</v>
      </c>
      <c r="H94" s="831">
        <f>[7]Rqmnt!O11</f>
        <v>146.086777356216</v>
      </c>
      <c r="I94" s="831">
        <f>[7]Rqmnt!P11</f>
        <v>158.105277756662</v>
      </c>
      <c r="J94" s="831">
        <f>[7]Rqmnt!Q11</f>
        <v>141.901739124711</v>
      </c>
      <c r="K94" s="831">
        <f>[7]Rqmnt!R11</f>
        <v>178.253696603331</v>
      </c>
      <c r="L94" s="831">
        <f>[7]Rqmnt!S11</f>
        <v>134.881145930866</v>
      </c>
      <c r="M94" s="831">
        <f>[7]Rqmnt!T11</f>
        <v>144.969937188286</v>
      </c>
      <c r="N94" s="831">
        <f>[7]Rqmnt!U11</f>
        <v>168.674853265614</v>
      </c>
      <c r="O94" s="831">
        <f>[7]Rqmnt!V11</f>
        <v>175.549464900802</v>
      </c>
      <c r="P94" s="831">
        <f>[7]Rqmnt!W11</f>
        <v>204.91508655425</v>
      </c>
      <c r="Q94" s="831">
        <f>SUM(E94:P94)</f>
        <v>1886.52902763086</v>
      </c>
    </row>
    <row r="95" ht="15" spans="2:17">
      <c r="B95" s="820">
        <f t="shared" si="30"/>
        <v>14</v>
      </c>
      <c r="C95" s="822" t="s">
        <v>337</v>
      </c>
      <c r="D95" s="820" t="s">
        <v>304</v>
      </c>
      <c r="E95" s="831">
        <f t="shared" ref="E95:P95" si="33">E91-E92-E94</f>
        <v>4132.48422227183</v>
      </c>
      <c r="F95" s="831">
        <f t="shared" si="33"/>
        <v>3448.90595746057</v>
      </c>
      <c r="G95" s="831">
        <f t="shared" si="33"/>
        <v>3169.57850828315</v>
      </c>
      <c r="H95" s="831">
        <f t="shared" si="33"/>
        <v>3632.50182770318</v>
      </c>
      <c r="I95" s="831">
        <f t="shared" si="33"/>
        <v>4010.25870097429</v>
      </c>
      <c r="J95" s="831">
        <f t="shared" si="33"/>
        <v>3543.66135216148</v>
      </c>
      <c r="K95" s="831">
        <f t="shared" si="33"/>
        <v>4635.99233030119</v>
      </c>
      <c r="L95" s="831">
        <f t="shared" si="33"/>
        <v>3306.66719862113</v>
      </c>
      <c r="M95" s="831">
        <f t="shared" si="33"/>
        <v>3615.67480037792</v>
      </c>
      <c r="N95" s="831">
        <f t="shared" si="33"/>
        <v>4340.24323644005</v>
      </c>
      <c r="O95" s="831">
        <f t="shared" si="33"/>
        <v>4562.90706146584</v>
      </c>
      <c r="P95" s="831">
        <f t="shared" si="33"/>
        <v>5359.57099260085</v>
      </c>
      <c r="Q95" s="832">
        <f>SUM(E95:P95)</f>
        <v>47758.4461886615</v>
      </c>
    </row>
    <row r="96" ht="15" spans="2:17">
      <c r="B96" s="820"/>
      <c r="C96" s="823" t="s">
        <v>317</v>
      </c>
      <c r="D96" s="820"/>
      <c r="E96" s="287"/>
      <c r="F96" s="287"/>
      <c r="G96" s="287"/>
      <c r="H96" s="287"/>
      <c r="I96" s="287"/>
      <c r="J96" s="287"/>
      <c r="K96" s="287"/>
      <c r="L96" s="287"/>
      <c r="M96" s="287"/>
      <c r="N96" s="287"/>
      <c r="O96" s="287"/>
      <c r="P96" s="287"/>
      <c r="Q96" s="829"/>
    </row>
    <row r="97" ht="28.5" spans="2:17">
      <c r="B97" s="820">
        <f>B95+1</f>
        <v>15</v>
      </c>
      <c r="C97" s="822" t="s">
        <v>318</v>
      </c>
      <c r="D97" s="820" t="s">
        <v>304</v>
      </c>
      <c r="E97" s="831">
        <f>[7]Rqmnt!L19</f>
        <v>4132.48422227183</v>
      </c>
      <c r="F97" s="831">
        <f>[7]Rqmnt!M19</f>
        <v>3448.90595746057</v>
      </c>
      <c r="G97" s="831">
        <f>[7]Rqmnt!N19</f>
        <v>3169.57850828315</v>
      </c>
      <c r="H97" s="831">
        <f>[7]Rqmnt!O19</f>
        <v>3632.50182770318</v>
      </c>
      <c r="I97" s="831">
        <f>[7]Rqmnt!P19</f>
        <v>4010.25870097429</v>
      </c>
      <c r="J97" s="831">
        <f>[7]Rqmnt!Q19</f>
        <v>3543.66135216148</v>
      </c>
      <c r="K97" s="831">
        <f>[7]Rqmnt!R19</f>
        <v>4635.99233030118</v>
      </c>
      <c r="L97" s="831">
        <f>[7]Rqmnt!S19</f>
        <v>3306.66719862113</v>
      </c>
      <c r="M97" s="831">
        <f>[7]Rqmnt!T19</f>
        <v>3615.67480037793</v>
      </c>
      <c r="N97" s="831">
        <f>[7]Rqmnt!U19</f>
        <v>4340.24323644005</v>
      </c>
      <c r="O97" s="831">
        <f>[7]Rqmnt!V19</f>
        <v>4562.90706146585</v>
      </c>
      <c r="P97" s="831">
        <f>[7]Rqmnt!W19</f>
        <v>5359.57099260085</v>
      </c>
      <c r="Q97" s="832">
        <f>SUM(E97:P97)</f>
        <v>47758.4461886615</v>
      </c>
    </row>
    <row r="98" ht="15" spans="2:17">
      <c r="B98" s="820">
        <f t="shared" ref="B98:B102" si="34">B97+1</f>
        <v>16</v>
      </c>
      <c r="C98" s="822" t="s">
        <v>319</v>
      </c>
      <c r="D98" s="820" t="s">
        <v>304</v>
      </c>
      <c r="E98" s="831"/>
      <c r="F98" s="831"/>
      <c r="G98" s="831"/>
      <c r="H98" s="831"/>
      <c r="I98" s="831"/>
      <c r="J98" s="831"/>
      <c r="K98" s="831"/>
      <c r="L98" s="831"/>
      <c r="M98" s="831"/>
      <c r="N98" s="831"/>
      <c r="O98" s="831"/>
      <c r="P98" s="831"/>
      <c r="Q98" s="832">
        <f>SUM(E98:P98)</f>
        <v>0</v>
      </c>
    </row>
    <row r="99" ht="15" spans="2:17">
      <c r="B99" s="820">
        <f t="shared" si="34"/>
        <v>17</v>
      </c>
      <c r="C99" s="821" t="s">
        <v>320</v>
      </c>
      <c r="D99" s="820" t="s">
        <v>304</v>
      </c>
      <c r="E99" s="831">
        <f>[7]Rqmnt!L20</f>
        <v>696.723770151352</v>
      </c>
      <c r="F99" s="831">
        <f>[7]Rqmnt!M20</f>
        <v>706.291434956513</v>
      </c>
      <c r="G99" s="831">
        <f>[7]Rqmnt!N20</f>
        <v>667.414090234621</v>
      </c>
      <c r="H99" s="831">
        <f>[7]Rqmnt!O20</f>
        <v>656.367991191299</v>
      </c>
      <c r="I99" s="831">
        <f>[7]Rqmnt!P20</f>
        <v>673.393305679788</v>
      </c>
      <c r="J99" s="831">
        <f>[7]Rqmnt!Q20</f>
        <v>631.071797934617</v>
      </c>
      <c r="K99" s="831">
        <f>[7]Rqmnt!R20</f>
        <v>666.256246109061</v>
      </c>
      <c r="L99" s="831">
        <f>[7]Rqmnt!S20</f>
        <v>651.246079022945</v>
      </c>
      <c r="M99" s="831">
        <f>[7]Rqmnt!T20</f>
        <v>656.435749800073</v>
      </c>
      <c r="N99" s="831">
        <f>[7]Rqmnt!U20</f>
        <v>646.216771229033</v>
      </c>
      <c r="O99" s="831">
        <f>[7]Rqmnt!V20</f>
        <v>659.878272462086</v>
      </c>
      <c r="P99" s="831">
        <f>[7]Rqmnt!W20</f>
        <v>728.573466999778</v>
      </c>
      <c r="Q99" s="832">
        <f>SUM(E99:P99)</f>
        <v>8039.86897577117</v>
      </c>
    </row>
    <row r="100" spans="2:17">
      <c r="B100" s="820">
        <f t="shared" si="34"/>
        <v>18</v>
      </c>
      <c r="C100" s="821" t="s">
        <v>321</v>
      </c>
      <c r="D100" s="820" t="s">
        <v>306</v>
      </c>
      <c r="E100" s="830">
        <f t="shared" ref="E100:P100" si="35">E101/E97</f>
        <v>0.0404</v>
      </c>
      <c r="F100" s="830">
        <f t="shared" si="35"/>
        <v>0.0404</v>
      </c>
      <c r="G100" s="830">
        <f t="shared" si="35"/>
        <v>0.0403999999999999</v>
      </c>
      <c r="H100" s="830">
        <f t="shared" si="35"/>
        <v>0.0403999999999999</v>
      </c>
      <c r="I100" s="830">
        <f t="shared" si="35"/>
        <v>0.0403999999999999</v>
      </c>
      <c r="J100" s="830">
        <f t="shared" si="35"/>
        <v>0.0404000000000001</v>
      </c>
      <c r="K100" s="830">
        <f t="shared" si="35"/>
        <v>0.0404000000000001</v>
      </c>
      <c r="L100" s="830">
        <f t="shared" si="35"/>
        <v>0.0404000000000001</v>
      </c>
      <c r="M100" s="830">
        <f t="shared" si="35"/>
        <v>0.0403999999999999</v>
      </c>
      <c r="N100" s="830">
        <f t="shared" si="35"/>
        <v>0.0404</v>
      </c>
      <c r="O100" s="830">
        <f t="shared" si="35"/>
        <v>0.0403999999999999</v>
      </c>
      <c r="P100" s="830">
        <f t="shared" si="35"/>
        <v>0.0403999999999999</v>
      </c>
      <c r="Q100" s="830">
        <f t="shared" ref="Q100" si="36">Q101/Q97</f>
        <v>0.0404</v>
      </c>
    </row>
    <row r="101" ht="15" spans="2:17">
      <c r="B101" s="820">
        <f t="shared" si="34"/>
        <v>19</v>
      </c>
      <c r="C101" s="821" t="s">
        <v>321</v>
      </c>
      <c r="D101" s="820" t="s">
        <v>304</v>
      </c>
      <c r="E101" s="831">
        <f>[7]Rqmnt!L22</f>
        <v>166.952362579782</v>
      </c>
      <c r="F101" s="831">
        <f>[7]Rqmnt!M22</f>
        <v>139.335800681407</v>
      </c>
      <c r="G101" s="831">
        <f>[7]Rqmnt!N22</f>
        <v>128.050971734639</v>
      </c>
      <c r="H101" s="831">
        <f>[7]Rqmnt!O22</f>
        <v>146.753073839208</v>
      </c>
      <c r="I101" s="831">
        <f>[7]Rqmnt!P22</f>
        <v>162.014451519361</v>
      </c>
      <c r="J101" s="831">
        <f>[7]Rqmnt!Q22</f>
        <v>143.163918627324</v>
      </c>
      <c r="K101" s="831">
        <f>[7]Rqmnt!R22</f>
        <v>187.294090144168</v>
      </c>
      <c r="L101" s="831">
        <f>[7]Rqmnt!S22</f>
        <v>133.589354824294</v>
      </c>
      <c r="M101" s="831">
        <f>[7]Rqmnt!T22</f>
        <v>146.073261935268</v>
      </c>
      <c r="N101" s="831">
        <f>[7]Rqmnt!U22</f>
        <v>175.345826752178</v>
      </c>
      <c r="O101" s="831">
        <f>[7]Rqmnt!V22</f>
        <v>184.34144528322</v>
      </c>
      <c r="P101" s="831">
        <f>[7]Rqmnt!W22</f>
        <v>216.526668101074</v>
      </c>
      <c r="Q101" s="832">
        <f>SUM(E101:P101)</f>
        <v>1929.44122602192</v>
      </c>
    </row>
    <row r="102" ht="15" spans="2:17">
      <c r="B102" s="820">
        <f t="shared" si="34"/>
        <v>20</v>
      </c>
      <c r="C102" s="822" t="s">
        <v>338</v>
      </c>
      <c r="D102" s="820" t="s">
        <v>304</v>
      </c>
      <c r="E102" s="831">
        <f t="shared" ref="E102:P102" si="37">E97+E98-E99-E101</f>
        <v>3268.8080895407</v>
      </c>
      <c r="F102" s="831">
        <f t="shared" si="37"/>
        <v>2603.27872182265</v>
      </c>
      <c r="G102" s="831">
        <f t="shared" si="37"/>
        <v>2374.11344631389</v>
      </c>
      <c r="H102" s="831">
        <f t="shared" si="37"/>
        <v>2829.38076267267</v>
      </c>
      <c r="I102" s="831">
        <f t="shared" si="37"/>
        <v>3174.85094377514</v>
      </c>
      <c r="J102" s="831">
        <f t="shared" si="37"/>
        <v>2769.42563559954</v>
      </c>
      <c r="K102" s="831">
        <f t="shared" si="37"/>
        <v>3782.44199404795</v>
      </c>
      <c r="L102" s="831">
        <f t="shared" si="37"/>
        <v>2521.83176477389</v>
      </c>
      <c r="M102" s="831">
        <f t="shared" si="37"/>
        <v>2813.16578864259</v>
      </c>
      <c r="N102" s="831">
        <f t="shared" si="37"/>
        <v>3518.68063845884</v>
      </c>
      <c r="O102" s="831">
        <f t="shared" si="37"/>
        <v>3718.68734372054</v>
      </c>
      <c r="P102" s="831">
        <f t="shared" si="37"/>
        <v>4414.4708575</v>
      </c>
      <c r="Q102" s="832">
        <f>SUM(E102:P102)</f>
        <v>37789.1359868684</v>
      </c>
    </row>
    <row r="103" ht="15" spans="2:17">
      <c r="B103" s="820"/>
      <c r="C103" s="823" t="s">
        <v>323</v>
      </c>
      <c r="D103" s="820"/>
      <c r="E103" s="287"/>
      <c r="F103" s="287"/>
      <c r="G103" s="287"/>
      <c r="H103" s="287"/>
      <c r="I103" s="287"/>
      <c r="J103" s="287"/>
      <c r="K103" s="287"/>
      <c r="L103" s="287"/>
      <c r="M103" s="287"/>
      <c r="N103" s="287"/>
      <c r="O103" s="287"/>
      <c r="P103" s="287"/>
      <c r="Q103" s="829"/>
    </row>
    <row r="104" ht="28.5" spans="2:17">
      <c r="B104" s="820"/>
      <c r="C104" s="822" t="s">
        <v>324</v>
      </c>
      <c r="D104" s="820" t="s">
        <v>304</v>
      </c>
      <c r="E104" s="831">
        <f>[7]Rqmnt!L27</f>
        <v>3268.8080895407</v>
      </c>
      <c r="F104" s="831">
        <f>[7]Rqmnt!M27</f>
        <v>2603.27872182265</v>
      </c>
      <c r="G104" s="831">
        <f>[7]Rqmnt!N27</f>
        <v>2374.11344631389</v>
      </c>
      <c r="H104" s="831">
        <f>[7]Rqmnt!O27</f>
        <v>2829.38076267267</v>
      </c>
      <c r="I104" s="831">
        <f>[7]Rqmnt!P27</f>
        <v>3174.85094377514</v>
      </c>
      <c r="J104" s="831">
        <f>[7]Rqmnt!Q27</f>
        <v>2769.42563559954</v>
      </c>
      <c r="K104" s="831">
        <f>[7]Rqmnt!R27</f>
        <v>3782.44199404795</v>
      </c>
      <c r="L104" s="831">
        <f>[7]Rqmnt!S27</f>
        <v>2521.83176477389</v>
      </c>
      <c r="M104" s="831">
        <f>[7]Rqmnt!T27</f>
        <v>2813.16578864259</v>
      </c>
      <c r="N104" s="831">
        <f>[7]Rqmnt!U27</f>
        <v>3518.68063845884</v>
      </c>
      <c r="O104" s="831">
        <f>[7]Rqmnt!V27</f>
        <v>3718.68734372054</v>
      </c>
      <c r="P104" s="831">
        <f>[7]Rqmnt!W27</f>
        <v>4414.4708575</v>
      </c>
      <c r="Q104" s="829">
        <f>SUM(E104:P104)</f>
        <v>37789.1359868684</v>
      </c>
    </row>
    <row r="105" ht="15" spans="2:17">
      <c r="B105" s="820">
        <f>B102+1</f>
        <v>21</v>
      </c>
      <c r="C105" s="822" t="s">
        <v>319</v>
      </c>
      <c r="D105" s="820" t="s">
        <v>304</v>
      </c>
      <c r="E105" s="287"/>
      <c r="F105" s="287"/>
      <c r="G105" s="287"/>
      <c r="H105" s="287"/>
      <c r="I105" s="287"/>
      <c r="J105" s="287"/>
      <c r="K105" s="287"/>
      <c r="L105" s="287"/>
      <c r="M105" s="287"/>
      <c r="N105" s="287"/>
      <c r="O105" s="287"/>
      <c r="P105" s="287"/>
      <c r="Q105" s="829">
        <f>SUM(E105:P105)</f>
        <v>0</v>
      </c>
    </row>
    <row r="106" ht="15" spans="2:17">
      <c r="B106" s="820">
        <f t="shared" ref="B106:B108" si="38">B105+1</f>
        <v>22</v>
      </c>
      <c r="C106" s="821" t="s">
        <v>325</v>
      </c>
      <c r="D106" s="820" t="s">
        <v>304</v>
      </c>
      <c r="E106" s="831">
        <f>[7]Rqmnt!L28+[7]Rqmnt!L29</f>
        <v>3116.80851337706</v>
      </c>
      <c r="F106" s="831">
        <f>[7]Rqmnt!M28+[7]Rqmnt!M29</f>
        <v>2482.22626125791</v>
      </c>
      <c r="G106" s="831">
        <f>[7]Rqmnt!N28+[7]Rqmnt!N29</f>
        <v>2263.7171710603</v>
      </c>
      <c r="H106" s="831">
        <f>[7]Rqmnt!O28+[7]Rqmnt!O29</f>
        <v>2697.81455720839</v>
      </c>
      <c r="I106" s="831">
        <f>[7]Rqmnt!P28+[7]Rqmnt!P29</f>
        <v>3027.22037488959</v>
      </c>
      <c r="J106" s="831">
        <f>[7]Rqmnt!Q28+[7]Rqmnt!Q29</f>
        <v>2640.64734354416</v>
      </c>
      <c r="K106" s="831">
        <f>[7]Rqmnt!R28+[7]Rqmnt!R29</f>
        <v>3606.55844132473</v>
      </c>
      <c r="L106" s="831">
        <f>[7]Rqmnt!S28+[7]Rqmnt!S29</f>
        <v>2404.56658771191</v>
      </c>
      <c r="M106" s="831">
        <f>[7]Rqmnt!T28+[7]Rqmnt!T29</f>
        <v>2682.3535794707</v>
      </c>
      <c r="N106" s="831">
        <f>[7]Rqmnt!U28+[7]Rqmnt!U29</f>
        <v>3355.06198877051</v>
      </c>
      <c r="O106" s="831">
        <f>[7]Rqmnt!V28+[7]Rqmnt!V29</f>
        <v>3545.76838223753</v>
      </c>
      <c r="P106" s="831">
        <f>[7]Rqmnt!W28+[7]Rqmnt!W29</f>
        <v>4209.19796262626</v>
      </c>
      <c r="Q106" s="832">
        <f>SUM(E106:P106)</f>
        <v>36031.941163479</v>
      </c>
    </row>
    <row r="107" spans="2:17">
      <c r="B107" s="820">
        <f t="shared" si="38"/>
        <v>23</v>
      </c>
      <c r="C107" s="821" t="s">
        <v>326</v>
      </c>
      <c r="D107" s="820" t="s">
        <v>306</v>
      </c>
      <c r="E107" s="830">
        <f t="shared" ref="E107:P107" si="39">E108/E104</f>
        <v>0.0464999999999998</v>
      </c>
      <c r="F107" s="830">
        <f t="shared" si="39"/>
        <v>0.0464999999999999</v>
      </c>
      <c r="G107" s="830">
        <f t="shared" si="39"/>
        <v>0.0465</v>
      </c>
      <c r="H107" s="830">
        <f t="shared" si="39"/>
        <v>0.0464999999999999</v>
      </c>
      <c r="I107" s="830">
        <f t="shared" si="39"/>
        <v>0.0465</v>
      </c>
      <c r="J107" s="830">
        <f t="shared" si="39"/>
        <v>0.0465000000000001</v>
      </c>
      <c r="K107" s="830">
        <f t="shared" si="39"/>
        <v>0.0465000000000001</v>
      </c>
      <c r="L107" s="830">
        <f t="shared" si="39"/>
        <v>0.0465</v>
      </c>
      <c r="M107" s="830">
        <f t="shared" si="39"/>
        <v>0.0464999999999998</v>
      </c>
      <c r="N107" s="830">
        <f t="shared" si="39"/>
        <v>0.0465</v>
      </c>
      <c r="O107" s="830">
        <f t="shared" si="39"/>
        <v>0.0465</v>
      </c>
      <c r="P107" s="830">
        <f t="shared" si="39"/>
        <v>0.0465</v>
      </c>
      <c r="Q107" s="830">
        <f t="shared" ref="Q107" si="40">Q108/Q104</f>
        <v>0.0465</v>
      </c>
    </row>
    <row r="108" ht="15" spans="2:17">
      <c r="B108" s="820">
        <f t="shared" si="38"/>
        <v>24</v>
      </c>
      <c r="C108" s="821" t="s">
        <v>326</v>
      </c>
      <c r="D108" s="820" t="s">
        <v>304</v>
      </c>
      <c r="E108" s="831">
        <f>[7]Rqmnt!L30</f>
        <v>151.999576163642</v>
      </c>
      <c r="F108" s="831">
        <f>[7]Rqmnt!M30</f>
        <v>121.052460564753</v>
      </c>
      <c r="G108" s="831">
        <f>[7]Rqmnt!N30</f>
        <v>110.396275253596</v>
      </c>
      <c r="H108" s="831">
        <f>[7]Rqmnt!O30</f>
        <v>131.566205464279</v>
      </c>
      <c r="I108" s="831">
        <f>[7]Rqmnt!P30</f>
        <v>147.630568885544</v>
      </c>
      <c r="J108" s="831">
        <f>[7]Rqmnt!Q30</f>
        <v>128.778292055379</v>
      </c>
      <c r="K108" s="831">
        <f>[7]Rqmnt!R30</f>
        <v>175.88355272323</v>
      </c>
      <c r="L108" s="831">
        <f>[7]Rqmnt!S30</f>
        <v>117.265177061986</v>
      </c>
      <c r="M108" s="831">
        <f>[7]Rqmnt!T30</f>
        <v>130.81220917188</v>
      </c>
      <c r="N108" s="831">
        <f>[7]Rqmnt!U30</f>
        <v>163.618649688336</v>
      </c>
      <c r="O108" s="831">
        <f>[7]Rqmnt!V30</f>
        <v>172.918961483005</v>
      </c>
      <c r="P108" s="831">
        <f>[7]Rqmnt!W30</f>
        <v>205.27289487375</v>
      </c>
      <c r="Q108" s="832">
        <f t="shared" ref="Q108:Q113" si="41">SUM(E108:P108)</f>
        <v>1757.19482338938</v>
      </c>
    </row>
    <row r="109" ht="15" spans="2:17">
      <c r="B109" s="820"/>
      <c r="C109" s="823" t="s">
        <v>97</v>
      </c>
      <c r="D109" s="820"/>
      <c r="E109" s="287"/>
      <c r="F109" s="287"/>
      <c r="G109" s="287"/>
      <c r="H109" s="287"/>
      <c r="I109" s="287"/>
      <c r="J109" s="287"/>
      <c r="K109" s="287"/>
      <c r="L109" s="287"/>
      <c r="M109" s="287"/>
      <c r="N109" s="287"/>
      <c r="O109" s="287"/>
      <c r="P109" s="287"/>
      <c r="Q109" s="829">
        <f t="shared" si="41"/>
        <v>0</v>
      </c>
    </row>
    <row r="110" ht="15" spans="2:17">
      <c r="B110" s="820">
        <f>B108+1</f>
        <v>25</v>
      </c>
      <c r="C110" s="823" t="s">
        <v>327</v>
      </c>
      <c r="D110" s="298" t="s">
        <v>304</v>
      </c>
      <c r="E110" s="831">
        <f t="shared" ref="E110:P110" si="42">E81+E85+E105</f>
        <v>5946.89246053823</v>
      </c>
      <c r="F110" s="831">
        <f t="shared" si="42"/>
        <v>5277.04361474625</v>
      </c>
      <c r="G110" s="831">
        <f t="shared" si="42"/>
        <v>4961.06778173645</v>
      </c>
      <c r="H110" s="831">
        <f t="shared" si="42"/>
        <v>5546.5474256785</v>
      </c>
      <c r="I110" s="831">
        <f t="shared" si="42"/>
        <v>6299.06509598276</v>
      </c>
      <c r="J110" s="831">
        <f t="shared" si="42"/>
        <v>5553.65951306681</v>
      </c>
      <c r="K110" s="831">
        <f t="shared" si="42"/>
        <v>6736.36540464526</v>
      </c>
      <c r="L110" s="831">
        <f t="shared" si="42"/>
        <v>5290.88824400656</v>
      </c>
      <c r="M110" s="831">
        <f t="shared" si="42"/>
        <v>5478.42374847218</v>
      </c>
      <c r="N110" s="831">
        <f t="shared" si="42"/>
        <v>6229.30315162085</v>
      </c>
      <c r="O110" s="831">
        <f t="shared" si="42"/>
        <v>6427.89443340572</v>
      </c>
      <c r="P110" s="831">
        <f t="shared" si="42"/>
        <v>7429.28311436151</v>
      </c>
      <c r="Q110" s="829">
        <f t="shared" si="41"/>
        <v>71176.4339882611</v>
      </c>
    </row>
    <row r="111" ht="15" spans="2:17">
      <c r="B111" s="820">
        <f>B110+1</f>
        <v>26</v>
      </c>
      <c r="C111" s="823" t="s">
        <v>328</v>
      </c>
      <c r="D111" s="298" t="s">
        <v>304</v>
      </c>
      <c r="E111" s="831">
        <f t="shared" ref="E111:P111" si="43">E86+E92+E99+E106</f>
        <v>5285.36602437826</v>
      </c>
      <c r="F111" s="831">
        <f t="shared" si="43"/>
        <v>4716.48423640283</v>
      </c>
      <c r="G111" s="831">
        <f t="shared" si="43"/>
        <v>4441.60236242925</v>
      </c>
      <c r="H111" s="831">
        <f t="shared" si="43"/>
        <v>4953.21114788497</v>
      </c>
      <c r="I111" s="831">
        <f t="shared" si="43"/>
        <v>5637.90577154753</v>
      </c>
      <c r="J111" s="831">
        <f t="shared" si="43"/>
        <v>4970.23154332203</v>
      </c>
      <c r="K111" s="831">
        <f t="shared" si="43"/>
        <v>5989.40512884931</v>
      </c>
      <c r="L111" s="831">
        <f t="shared" si="43"/>
        <v>4744.49102989994</v>
      </c>
      <c r="M111" s="831">
        <f t="shared" si="43"/>
        <v>4889.98509787264</v>
      </c>
      <c r="N111" s="831">
        <f t="shared" si="43"/>
        <v>5530.92821186933</v>
      </c>
      <c r="O111" s="831">
        <f t="shared" si="43"/>
        <v>5697.76353416259</v>
      </c>
      <c r="P111" s="831">
        <f t="shared" si="43"/>
        <v>6574.7828340143</v>
      </c>
      <c r="Q111" s="832">
        <f t="shared" si="41"/>
        <v>63432.156922633</v>
      </c>
    </row>
    <row r="112" ht="30" spans="2:17">
      <c r="B112" s="820">
        <f>B111+1</f>
        <v>27</v>
      </c>
      <c r="C112" s="826" t="s">
        <v>329</v>
      </c>
      <c r="D112" s="298"/>
      <c r="E112" s="831">
        <f t="shared" ref="E112:P112" si="44">E89+E86</f>
        <v>5766.25033518849</v>
      </c>
      <c r="F112" s="831">
        <f t="shared" si="44"/>
        <v>5117.65604863261</v>
      </c>
      <c r="G112" s="831">
        <f t="shared" si="44"/>
        <v>4810.52473531716</v>
      </c>
      <c r="H112" s="831">
        <f t="shared" si="44"/>
        <v>5377.61720454467</v>
      </c>
      <c r="I112" s="831">
        <f t="shared" si="44"/>
        <v>6105.6560697091</v>
      </c>
      <c r="J112" s="831">
        <f t="shared" si="44"/>
        <v>5384.07549312946</v>
      </c>
      <c r="K112" s="831">
        <f t="shared" si="44"/>
        <v>6530.83646832004</v>
      </c>
      <c r="L112" s="831">
        <f t="shared" si="44"/>
        <v>5130.22670771709</v>
      </c>
      <c r="M112" s="831">
        <f t="shared" si="44"/>
        <v>5311.84050616809</v>
      </c>
      <c r="N112" s="831">
        <f t="shared" si="44"/>
        <v>6038.56754157545</v>
      </c>
      <c r="O112" s="831">
        <f t="shared" si="44"/>
        <v>6230.57340582962</v>
      </c>
      <c r="P112" s="831">
        <f t="shared" si="44"/>
        <v>7201.49748354336</v>
      </c>
      <c r="Q112" s="832">
        <f t="shared" si="41"/>
        <v>69005.3219996751</v>
      </c>
    </row>
    <row r="113" ht="15" spans="2:17">
      <c r="B113" s="820">
        <f>B112+1</f>
        <v>28</v>
      </c>
      <c r="C113" s="826" t="s">
        <v>330</v>
      </c>
      <c r="D113" s="298" t="s">
        <v>304</v>
      </c>
      <c r="E113" s="831">
        <f t="shared" ref="E113:P113" si="45">E112-E111</f>
        <v>480.884310810231</v>
      </c>
      <c r="F113" s="831">
        <f t="shared" si="45"/>
        <v>401.171812229783</v>
      </c>
      <c r="G113" s="831">
        <f t="shared" si="45"/>
        <v>368.92237288791</v>
      </c>
      <c r="H113" s="831">
        <f t="shared" si="45"/>
        <v>424.406056659702</v>
      </c>
      <c r="I113" s="831">
        <f t="shared" si="45"/>
        <v>467.750298161572</v>
      </c>
      <c r="J113" s="831">
        <f t="shared" si="45"/>
        <v>413.843949807421</v>
      </c>
      <c r="K113" s="831">
        <f t="shared" si="45"/>
        <v>541.431339470726</v>
      </c>
      <c r="L113" s="831">
        <f t="shared" si="45"/>
        <v>385.735677817146</v>
      </c>
      <c r="M113" s="831">
        <f t="shared" si="45"/>
        <v>421.855408295442</v>
      </c>
      <c r="N113" s="831">
        <f t="shared" si="45"/>
        <v>507.639329706121</v>
      </c>
      <c r="O113" s="831">
        <f t="shared" si="45"/>
        <v>532.809871667037</v>
      </c>
      <c r="P113" s="831">
        <f t="shared" si="45"/>
        <v>626.714649529067</v>
      </c>
      <c r="Q113" s="832">
        <f t="shared" si="41"/>
        <v>5573.16507704216</v>
      </c>
    </row>
    <row r="114" ht="15" spans="2:17">
      <c r="B114" s="820">
        <f t="shared" ref="B114" si="46">B113+1</f>
        <v>29</v>
      </c>
      <c r="C114" s="826" t="s">
        <v>331</v>
      </c>
      <c r="D114" s="298" t="s">
        <v>306</v>
      </c>
      <c r="E114" s="830">
        <f t="shared" ref="E114:Q114" si="47">E113/(E112-E86)</f>
        <v>0.0938412994736697</v>
      </c>
      <c r="F114" s="830">
        <f t="shared" si="47"/>
        <v>0.0900462389099364</v>
      </c>
      <c r="G114" s="830">
        <f t="shared" si="47"/>
        <v>0.0893499577246763</v>
      </c>
      <c r="H114" s="830">
        <f t="shared" si="47"/>
        <v>0.0918031846081784</v>
      </c>
      <c r="I114" s="830">
        <f t="shared" si="47"/>
        <v>0.0934877673385121</v>
      </c>
      <c r="J114" s="830">
        <f t="shared" si="47"/>
        <v>0.0921586225410621</v>
      </c>
      <c r="K114" s="830">
        <f t="shared" si="47"/>
        <v>0.095982471350079</v>
      </c>
      <c r="L114" s="830">
        <f t="shared" si="47"/>
        <v>0.0903702836664021</v>
      </c>
      <c r="M114" s="830">
        <f t="shared" si="47"/>
        <v>0.0919544504238985</v>
      </c>
      <c r="N114" s="830">
        <f t="shared" si="47"/>
        <v>0.0951025153313922</v>
      </c>
      <c r="O114" s="830">
        <f t="shared" si="47"/>
        <v>0.0959091043324588</v>
      </c>
      <c r="P114" s="830">
        <f t="shared" si="47"/>
        <v>0.0966458022107392</v>
      </c>
      <c r="Q114" s="830">
        <f t="shared" si="47"/>
        <v>0.093352402139127</v>
      </c>
    </row>
    <row r="116" ht="15" hidden="1" spans="2:17">
      <c r="B116" s="298" t="s">
        <v>3</v>
      </c>
      <c r="C116" s="401" t="s">
        <v>110</v>
      </c>
      <c r="D116" s="379" t="s">
        <v>297</v>
      </c>
      <c r="E116" s="403" t="s">
        <v>340</v>
      </c>
      <c r="F116" s="403"/>
      <c r="G116" s="403"/>
      <c r="H116" s="403"/>
      <c r="I116" s="403"/>
      <c r="J116" s="403"/>
      <c r="K116" s="403"/>
      <c r="L116" s="403"/>
      <c r="M116" s="403"/>
      <c r="N116" s="403"/>
      <c r="O116" s="403"/>
      <c r="P116" s="403"/>
      <c r="Q116" s="403"/>
    </row>
    <row r="117" ht="15" hidden="1" spans="2:17">
      <c r="B117" s="298"/>
      <c r="C117" s="401"/>
      <c r="D117" s="379"/>
      <c r="E117" s="403" t="s">
        <v>246</v>
      </c>
      <c r="F117" s="403" t="s">
        <v>247</v>
      </c>
      <c r="G117" s="403" t="s">
        <v>248</v>
      </c>
      <c r="H117" s="403" t="s">
        <v>249</v>
      </c>
      <c r="I117" s="403" t="s">
        <v>250</v>
      </c>
      <c r="J117" s="403" t="s">
        <v>251</v>
      </c>
      <c r="K117" s="403" t="s">
        <v>252</v>
      </c>
      <c r="L117" s="403" t="s">
        <v>253</v>
      </c>
      <c r="M117" s="403" t="s">
        <v>254</v>
      </c>
      <c r="N117" s="403" t="s">
        <v>255</v>
      </c>
      <c r="O117" s="403" t="s">
        <v>256</v>
      </c>
      <c r="P117" s="403" t="s">
        <v>257</v>
      </c>
      <c r="Q117" s="403" t="s">
        <v>97</v>
      </c>
    </row>
    <row r="118" ht="15" hidden="1" spans="2:17">
      <c r="B118" s="820">
        <v>1</v>
      </c>
      <c r="C118" s="821" t="s">
        <v>303</v>
      </c>
      <c r="D118" s="820" t="s">
        <v>304</v>
      </c>
      <c r="E118" s="287">
        <f>[38]Rqmnt!L48+[38]Rqmnt!L49</f>
        <v>851.728909274452</v>
      </c>
      <c r="F118" s="287">
        <f>[38]Rqmnt!M48+[38]Rqmnt!M49</f>
        <v>866.512265634791</v>
      </c>
      <c r="G118" s="287">
        <f>[38]Rqmnt!N48+[38]Rqmnt!N49</f>
        <v>769.811833116467</v>
      </c>
      <c r="H118" s="287">
        <f>[38]Rqmnt!O48+[38]Rqmnt!O49</f>
        <v>831.996611069648</v>
      </c>
      <c r="I118" s="287">
        <f>[38]Rqmnt!P48+[38]Rqmnt!P49</f>
        <v>869.177260478753</v>
      </c>
      <c r="J118" s="287">
        <f>[38]Rqmnt!Q48+[38]Rqmnt!Q49</f>
        <v>820.178131882152</v>
      </c>
      <c r="K118" s="287">
        <f>[38]Rqmnt!R48+[38]Rqmnt!R49</f>
        <v>826.309777149341</v>
      </c>
      <c r="L118" s="287">
        <f>[38]Rqmnt!S48+[38]Rqmnt!S49</f>
        <v>796.989164274452</v>
      </c>
      <c r="M118" s="287">
        <f>[38]Rqmnt!T48+[38]Rqmnt!T49</f>
        <v>812.489032149341</v>
      </c>
      <c r="N118" s="287">
        <f>[38]Rqmnt!U48+[38]Rqmnt!U49</f>
        <v>868.907867149341</v>
      </c>
      <c r="O118" s="287">
        <f>[38]Rqmnt!V48+[38]Rqmnt!V49</f>
        <v>799.507733524674</v>
      </c>
      <c r="P118" s="287">
        <f>[38]Rqmnt!W48+[38]Rqmnt!W49</f>
        <v>884.711067149341</v>
      </c>
      <c r="Q118" s="829">
        <f>SUM(E118:P118)</f>
        <v>9998.31965285275</v>
      </c>
    </row>
    <row r="119" hidden="1" spans="2:17">
      <c r="B119" s="820">
        <f>B118+1</f>
        <v>2</v>
      </c>
      <c r="C119" s="821" t="s">
        <v>305</v>
      </c>
      <c r="D119" s="820" t="s">
        <v>306</v>
      </c>
      <c r="E119" s="830">
        <f t="shared" ref="E119:Q119" si="48">E120/E118</f>
        <v>0.0393</v>
      </c>
      <c r="F119" s="830">
        <f t="shared" si="48"/>
        <v>0.0358</v>
      </c>
      <c r="G119" s="830">
        <f t="shared" si="48"/>
        <v>0.0329</v>
      </c>
      <c r="H119" s="830">
        <f t="shared" si="48"/>
        <v>0.0350999999999999</v>
      </c>
      <c r="I119" s="830">
        <f t="shared" si="48"/>
        <v>0.0337</v>
      </c>
      <c r="J119" s="830">
        <f t="shared" si="48"/>
        <v>0.035</v>
      </c>
      <c r="K119" s="830">
        <f t="shared" si="48"/>
        <v>0.0332</v>
      </c>
      <c r="L119" s="830">
        <f t="shared" si="48"/>
        <v>0.032775</v>
      </c>
      <c r="M119" s="830">
        <f t="shared" si="48"/>
        <v>0.0394</v>
      </c>
      <c r="N119" s="830">
        <f t="shared" si="48"/>
        <v>0.03885</v>
      </c>
      <c r="O119" s="830">
        <f t="shared" si="48"/>
        <v>0.03755</v>
      </c>
      <c r="P119" s="830">
        <f t="shared" si="48"/>
        <v>0.03555</v>
      </c>
      <c r="Q119" s="830">
        <f t="shared" si="48"/>
        <v>0.0357878556714381</v>
      </c>
    </row>
    <row r="120" ht="15" hidden="1" spans="2:17">
      <c r="B120" s="820">
        <f t="shared" ref="B120:B126" si="49">B119+1</f>
        <v>3</v>
      </c>
      <c r="C120" s="821" t="s">
        <v>305</v>
      </c>
      <c r="D120" s="820" t="s">
        <v>304</v>
      </c>
      <c r="E120" s="831">
        <f>[38]Rqmnt!L52</f>
        <v>33.472946134486</v>
      </c>
      <c r="F120" s="831">
        <f>[38]Rqmnt!M52</f>
        <v>31.0211391097255</v>
      </c>
      <c r="G120" s="831">
        <f>[38]Rqmnt!N52</f>
        <v>25.3268093095318</v>
      </c>
      <c r="H120" s="831">
        <f>[38]Rqmnt!O52</f>
        <v>29.2030810485446</v>
      </c>
      <c r="I120" s="831">
        <f>[38]Rqmnt!P52</f>
        <v>29.291273678134</v>
      </c>
      <c r="J120" s="831">
        <f>[38]Rqmnt!Q52</f>
        <v>28.7062346158753</v>
      </c>
      <c r="K120" s="831">
        <f>[38]Rqmnt!R52</f>
        <v>27.4334846013581</v>
      </c>
      <c r="L120" s="831">
        <f>[38]Rqmnt!S52</f>
        <v>26.1213198590952</v>
      </c>
      <c r="M120" s="831">
        <f>[38]Rqmnt!T52</f>
        <v>32.012067866684</v>
      </c>
      <c r="N120" s="831">
        <f>[38]Rqmnt!U52</f>
        <v>33.7570706387519</v>
      </c>
      <c r="O120" s="831">
        <f>[38]Rqmnt!V52</f>
        <v>30.0215153938515</v>
      </c>
      <c r="P120" s="831">
        <f>[38]Rqmnt!W52</f>
        <v>31.4514784371591</v>
      </c>
      <c r="Q120" s="829">
        <f>SUM(E120:P120)</f>
        <v>357.818420693197</v>
      </c>
    </row>
    <row r="121" ht="28.5" hidden="1" spans="2:17">
      <c r="B121" s="820">
        <f t="shared" si="49"/>
        <v>4</v>
      </c>
      <c r="C121" s="822" t="s">
        <v>307</v>
      </c>
      <c r="D121" s="820" t="s">
        <v>304</v>
      </c>
      <c r="E121" s="831">
        <f t="shared" ref="E121:P121" si="50">E118-E120</f>
        <v>818.255963139966</v>
      </c>
      <c r="F121" s="831">
        <f t="shared" si="50"/>
        <v>835.491126525066</v>
      </c>
      <c r="G121" s="831">
        <f t="shared" si="50"/>
        <v>744.485023806935</v>
      </c>
      <c r="H121" s="831">
        <f t="shared" si="50"/>
        <v>802.793530021103</v>
      </c>
      <c r="I121" s="831">
        <f t="shared" si="50"/>
        <v>839.885986800619</v>
      </c>
      <c r="J121" s="831">
        <f t="shared" si="50"/>
        <v>791.471897266277</v>
      </c>
      <c r="K121" s="831">
        <f t="shared" si="50"/>
        <v>798.876292547983</v>
      </c>
      <c r="L121" s="831">
        <f t="shared" si="50"/>
        <v>770.867844415357</v>
      </c>
      <c r="M121" s="831">
        <f t="shared" si="50"/>
        <v>780.476964282657</v>
      </c>
      <c r="N121" s="831">
        <f t="shared" si="50"/>
        <v>835.150796510589</v>
      </c>
      <c r="O121" s="831">
        <f t="shared" si="50"/>
        <v>769.486218130823</v>
      </c>
      <c r="P121" s="831">
        <f t="shared" si="50"/>
        <v>853.259588712182</v>
      </c>
      <c r="Q121" s="829">
        <f>SUM(E121:P121)</f>
        <v>9640.50123215956</v>
      </c>
    </row>
    <row r="122" ht="28.5" hidden="1" spans="2:17">
      <c r="B122" s="820">
        <f t="shared" si="49"/>
        <v>5</v>
      </c>
      <c r="C122" s="822" t="s">
        <v>308</v>
      </c>
      <c r="D122" s="820" t="s">
        <v>304</v>
      </c>
      <c r="E122" s="831">
        <f>[38]Rqmnt!L46-E121</f>
        <v>5007.95208848325</v>
      </c>
      <c r="F122" s="831">
        <f>[38]Rqmnt!M46-F121</f>
        <v>4598.1846501955</v>
      </c>
      <c r="G122" s="831">
        <f>[38]Rqmnt!N46-G121</f>
        <v>4408.72444094103</v>
      </c>
      <c r="H122" s="831">
        <f>[38]Rqmnt!O46-H121</f>
        <v>4185.27365552299</v>
      </c>
      <c r="I122" s="831">
        <f>[38]Rqmnt!P46-I121</f>
        <v>4830.9563770114</v>
      </c>
      <c r="J122" s="831">
        <f>[38]Rqmnt!Q46-J121</f>
        <v>4819.08145089036</v>
      </c>
      <c r="K122" s="831">
        <f>[38]Rqmnt!R46-K121</f>
        <v>4459.8398084429</v>
      </c>
      <c r="L122" s="831">
        <f>[38]Rqmnt!S46-L121</f>
        <v>4205.05738220979</v>
      </c>
      <c r="M122" s="831">
        <f>[38]Rqmnt!T46-M121</f>
        <v>4481.4660165131</v>
      </c>
      <c r="N122" s="831">
        <f>[38]Rqmnt!U46-N121</f>
        <v>4983.46634874058</v>
      </c>
      <c r="O122" s="831">
        <f>[38]Rqmnt!V46-O121</f>
        <v>5049.75503755788</v>
      </c>
      <c r="P122" s="831">
        <f>[38]Rqmnt!W46-P121</f>
        <v>5993.57706368442</v>
      </c>
      <c r="Q122" s="829">
        <f>SUM(E122:P122)</f>
        <v>57023.3343201932</v>
      </c>
    </row>
    <row r="123" ht="15" hidden="1" spans="2:17">
      <c r="B123" s="820">
        <f t="shared" si="49"/>
        <v>6</v>
      </c>
      <c r="C123" s="821" t="s">
        <v>309</v>
      </c>
      <c r="D123" s="820" t="s">
        <v>304</v>
      </c>
      <c r="E123" s="831">
        <f>[38]Rqmnt!L37</f>
        <v>722.02184301003</v>
      </c>
      <c r="F123" s="831">
        <f>[38]Rqmnt!M37</f>
        <v>695.379255589353</v>
      </c>
      <c r="G123" s="831">
        <f>[38]Rqmnt!N37</f>
        <v>721.000501573481</v>
      </c>
      <c r="H123" s="831">
        <f>[38]Rqmnt!O37</f>
        <v>726.304422563459</v>
      </c>
      <c r="I123" s="831">
        <f>[38]Rqmnt!P37</f>
        <v>896.930851464846</v>
      </c>
      <c r="J123" s="831">
        <f>[38]Rqmnt!Q37</f>
        <v>950.828686970505</v>
      </c>
      <c r="K123" s="831">
        <f>[38]Rqmnt!R37</f>
        <v>978.444831122421</v>
      </c>
      <c r="L123" s="831">
        <f>[38]Rqmnt!S37</f>
        <v>945.485711296329</v>
      </c>
      <c r="M123" s="831">
        <f>[38]Rqmnt!T37</f>
        <v>821.098211392909</v>
      </c>
      <c r="N123" s="831">
        <f>[38]Rqmnt!U37</f>
        <v>798.084126499628</v>
      </c>
      <c r="O123" s="831">
        <f>[38]Rqmnt!V37</f>
        <v>755.262517380684</v>
      </c>
      <c r="P123" s="831">
        <f>[38]Rqmnt!W37</f>
        <v>807.092354441205</v>
      </c>
      <c r="Q123" s="829">
        <f>SUM(E123:P123)</f>
        <v>9817.93331330485</v>
      </c>
    </row>
    <row r="124" hidden="1" spans="2:17">
      <c r="B124" s="820">
        <f t="shared" si="49"/>
        <v>7</v>
      </c>
      <c r="C124" s="821" t="s">
        <v>310</v>
      </c>
      <c r="D124" s="820" t="s">
        <v>306</v>
      </c>
      <c r="E124" s="830">
        <f t="shared" ref="E124:P124" si="51">E125/(E122+E118)</f>
        <v>0.0244594745216977</v>
      </c>
      <c r="F124" s="830">
        <f t="shared" si="51"/>
        <v>0.0244603545569218</v>
      </c>
      <c r="G124" s="830">
        <f t="shared" si="51"/>
        <v>0.024479688105665</v>
      </c>
      <c r="H124" s="830">
        <f t="shared" si="51"/>
        <v>0.0244568154084548</v>
      </c>
      <c r="I124" s="830">
        <f t="shared" si="51"/>
        <v>0.0244735879931406</v>
      </c>
      <c r="J124" s="830">
        <f t="shared" si="51"/>
        <v>0.0244747755159723</v>
      </c>
      <c r="K124" s="830">
        <f t="shared" si="51"/>
        <v>0.0244723335936175</v>
      </c>
      <c r="L124" s="830">
        <f t="shared" si="51"/>
        <v>0.0244715356879306</v>
      </c>
      <c r="M124" s="830">
        <f t="shared" si="51"/>
        <v>0.0244512460226274</v>
      </c>
      <c r="N124" s="830">
        <f t="shared" si="51"/>
        <v>0.02445810477815</v>
      </c>
      <c r="O124" s="830">
        <f t="shared" si="51"/>
        <v>0.0244737397672849</v>
      </c>
      <c r="P124" s="830">
        <f t="shared" si="51"/>
        <v>0.0244875146904524</v>
      </c>
      <c r="Q124" s="830">
        <f>Q125/(Q122+Q121)</f>
        <v>0.0246</v>
      </c>
    </row>
    <row r="125" ht="15" hidden="1" spans="2:17">
      <c r="B125" s="820">
        <f t="shared" si="49"/>
        <v>8</v>
      </c>
      <c r="C125" s="821" t="s">
        <v>310</v>
      </c>
      <c r="D125" s="820" t="s">
        <v>304</v>
      </c>
      <c r="E125" s="831">
        <f>[38]Rqmnt!L47</f>
        <v>143.324718069931</v>
      </c>
      <c r="F125" s="831">
        <f>[38]Rqmnt!M47</f>
        <v>133.668424107326</v>
      </c>
      <c r="G125" s="831">
        <f>[38]Rqmnt!N47</f>
        <v>126.7689528328</v>
      </c>
      <c r="H125" s="831">
        <f>[38]Rqmnt!O47</f>
        <v>122.706452764385</v>
      </c>
      <c r="I125" s="831">
        <f>[38]Rqmnt!P47</f>
        <v>139.502722149776</v>
      </c>
      <c r="J125" s="831">
        <f>[38]Rqmnt!Q47</f>
        <v>138.019612364653</v>
      </c>
      <c r="K125" s="831">
        <f>[38]Rqmnt!R47</f>
        <v>129.364416084376</v>
      </c>
      <c r="L125" s="831">
        <f>[38]Rqmnt!S47</f>
        <v>122.407760574979</v>
      </c>
      <c r="M125" s="831">
        <f>[38]Rqmnt!T47</f>
        <v>129.443797327576</v>
      </c>
      <c r="N125" s="831">
        <f>[38]Rqmnt!U47</f>
        <v>143.137981773179</v>
      </c>
      <c r="O125" s="831">
        <f>[38]Rqmnt!V47</f>
        <v>143.153334889942</v>
      </c>
      <c r="P125" s="831">
        <f>[38]Rqmnt!W47</f>
        <v>168.432181648956</v>
      </c>
      <c r="Q125" s="832">
        <f>SUM(E125:P125)</f>
        <v>1639.93035458788</v>
      </c>
    </row>
    <row r="126" ht="28.5" hidden="1" spans="2:17">
      <c r="B126" s="820">
        <f t="shared" si="49"/>
        <v>9</v>
      </c>
      <c r="C126" s="822" t="s">
        <v>311</v>
      </c>
      <c r="D126" s="820" t="s">
        <v>304</v>
      </c>
      <c r="E126" s="831">
        <f t="shared" ref="E126:P126" si="52">E121+E122-E123-E125</f>
        <v>4960.86149054326</v>
      </c>
      <c r="F126" s="831">
        <f t="shared" si="52"/>
        <v>4604.62809702389</v>
      </c>
      <c r="G126" s="831">
        <f t="shared" si="52"/>
        <v>4305.44001034168</v>
      </c>
      <c r="H126" s="831">
        <f t="shared" si="52"/>
        <v>4139.05631021625</v>
      </c>
      <c r="I126" s="831">
        <f t="shared" si="52"/>
        <v>4634.4087901974</v>
      </c>
      <c r="J126" s="831">
        <f t="shared" si="52"/>
        <v>4521.70504882148</v>
      </c>
      <c r="K126" s="831">
        <f t="shared" si="52"/>
        <v>4150.90685378408</v>
      </c>
      <c r="L126" s="831">
        <f t="shared" si="52"/>
        <v>3908.03175475384</v>
      </c>
      <c r="M126" s="831">
        <f t="shared" si="52"/>
        <v>4311.40097207527</v>
      </c>
      <c r="N126" s="831">
        <f t="shared" si="52"/>
        <v>4877.39503697836</v>
      </c>
      <c r="O126" s="831">
        <f t="shared" si="52"/>
        <v>4920.82540341807</v>
      </c>
      <c r="P126" s="831">
        <f t="shared" si="52"/>
        <v>5871.31211630644</v>
      </c>
      <c r="Q126" s="829">
        <f>SUM(E126:P126)</f>
        <v>55205.97188446</v>
      </c>
    </row>
    <row r="127" ht="15" hidden="1" spans="2:17">
      <c r="B127" s="820"/>
      <c r="C127" s="823" t="s">
        <v>312</v>
      </c>
      <c r="D127" s="820"/>
      <c r="E127" s="287"/>
      <c r="F127" s="287"/>
      <c r="G127" s="287"/>
      <c r="H127" s="287"/>
      <c r="I127" s="287"/>
      <c r="J127" s="287"/>
      <c r="K127" s="287"/>
      <c r="L127" s="287"/>
      <c r="M127" s="287"/>
      <c r="N127" s="287"/>
      <c r="O127" s="287"/>
      <c r="P127" s="287"/>
      <c r="Q127" s="829"/>
    </row>
    <row r="128" ht="28.5" hidden="1" spans="2:17">
      <c r="B128" s="820">
        <f>B126+1</f>
        <v>10</v>
      </c>
      <c r="C128" s="822" t="s">
        <v>313</v>
      </c>
      <c r="D128" s="820" t="s">
        <v>304</v>
      </c>
      <c r="E128" s="831">
        <f>[38]Rqmnt!L7</f>
        <v>4960.86149054326</v>
      </c>
      <c r="F128" s="831">
        <f>[38]Rqmnt!M7</f>
        <v>4604.62809702389</v>
      </c>
      <c r="G128" s="831">
        <f>[38]Rqmnt!N7</f>
        <v>4305.44001034167</v>
      </c>
      <c r="H128" s="831">
        <f>[38]Rqmnt!O7</f>
        <v>4139.05631021624</v>
      </c>
      <c r="I128" s="831">
        <f>[38]Rqmnt!P7</f>
        <v>4634.4087901974</v>
      </c>
      <c r="J128" s="831">
        <f>[38]Rqmnt!Q7</f>
        <v>4521.70504882149</v>
      </c>
      <c r="K128" s="831">
        <f>[38]Rqmnt!R7</f>
        <v>4150.90685378409</v>
      </c>
      <c r="L128" s="831">
        <f>[38]Rqmnt!S7</f>
        <v>3908.03175475384</v>
      </c>
      <c r="M128" s="831">
        <f>[38]Rqmnt!T7</f>
        <v>4311.40097207527</v>
      </c>
      <c r="N128" s="831">
        <f>[38]Rqmnt!U7</f>
        <v>4877.39503697836</v>
      </c>
      <c r="O128" s="831">
        <f>[38]Rqmnt!V7</f>
        <v>4920.82540341807</v>
      </c>
      <c r="P128" s="831">
        <f>[38]Rqmnt!W7</f>
        <v>5871.31211630644</v>
      </c>
      <c r="Q128" s="832">
        <f>SUM(E128:P128)</f>
        <v>55205.97188446</v>
      </c>
    </row>
    <row r="129" ht="15" hidden="1" spans="2:17">
      <c r="B129" s="820">
        <f t="shared" ref="B129:B132" si="53">B128+1</f>
        <v>11</v>
      </c>
      <c r="C129" s="821" t="s">
        <v>314</v>
      </c>
      <c r="D129" s="820" t="s">
        <v>304</v>
      </c>
      <c r="E129" s="831">
        <f>[38]Rqmnt!L9</f>
        <v>821.213229103455</v>
      </c>
      <c r="F129" s="831">
        <f>[38]Rqmnt!M9</f>
        <v>880.268077244213</v>
      </c>
      <c r="G129" s="831">
        <f>[38]Rqmnt!N9</f>
        <v>864.529712830856</v>
      </c>
      <c r="H129" s="831">
        <f>[38]Rqmnt!O9</f>
        <v>845.603672437672</v>
      </c>
      <c r="I129" s="831">
        <f>[38]Rqmnt!P9</f>
        <v>866.410545955145</v>
      </c>
      <c r="J129" s="831">
        <f>[38]Rqmnt!Q9</f>
        <v>835.583501176169</v>
      </c>
      <c r="K129" s="831">
        <f>[38]Rqmnt!R9</f>
        <v>847.465967986751</v>
      </c>
      <c r="L129" s="831">
        <f>[38]Rqmnt!S9</f>
        <v>847.752153700846</v>
      </c>
      <c r="M129" s="831">
        <f>[38]Rqmnt!T9</f>
        <v>847.537489085641</v>
      </c>
      <c r="N129" s="831">
        <f>[38]Rqmnt!U9</f>
        <v>848.639028544201</v>
      </c>
      <c r="O129" s="831">
        <f>[38]Rqmnt!V9</f>
        <v>836.264714942398</v>
      </c>
      <c r="P129" s="831">
        <f>[38]Rqmnt!W9</f>
        <v>946.609754112135</v>
      </c>
      <c r="Q129" s="832">
        <f>SUM(E129:P129)</f>
        <v>10287.8778471195</v>
      </c>
    </row>
    <row r="130" hidden="1" spans="2:17">
      <c r="B130" s="820">
        <f t="shared" si="53"/>
        <v>12</v>
      </c>
      <c r="C130" s="821" t="s">
        <v>315</v>
      </c>
      <c r="D130" s="820" t="s">
        <v>306</v>
      </c>
      <c r="E130" s="830">
        <f t="shared" ref="E130:Q130" si="54">E131/E128</f>
        <v>0.0316</v>
      </c>
      <c r="F130" s="830">
        <f t="shared" si="54"/>
        <v>0.0316</v>
      </c>
      <c r="G130" s="830">
        <f t="shared" si="54"/>
        <v>0.0316000000000001</v>
      </c>
      <c r="H130" s="830">
        <f t="shared" si="54"/>
        <v>0.0316</v>
      </c>
      <c r="I130" s="830">
        <f t="shared" si="54"/>
        <v>0.0316</v>
      </c>
      <c r="J130" s="830">
        <f t="shared" si="54"/>
        <v>0.0316</v>
      </c>
      <c r="K130" s="830">
        <f t="shared" si="54"/>
        <v>0.0315999999999999</v>
      </c>
      <c r="L130" s="830">
        <f t="shared" si="54"/>
        <v>0.0315999999999999</v>
      </c>
      <c r="M130" s="830">
        <f t="shared" si="54"/>
        <v>0.0316000000000001</v>
      </c>
      <c r="N130" s="830">
        <f t="shared" si="54"/>
        <v>0.0316</v>
      </c>
      <c r="O130" s="830">
        <f t="shared" si="54"/>
        <v>0.0316</v>
      </c>
      <c r="P130" s="830">
        <f t="shared" si="54"/>
        <v>0.0315999999999999</v>
      </c>
      <c r="Q130" s="830">
        <f t="shared" si="54"/>
        <v>0.0316</v>
      </c>
    </row>
    <row r="131" hidden="1" spans="2:17">
      <c r="B131" s="820">
        <f t="shared" si="53"/>
        <v>13</v>
      </c>
      <c r="C131" s="821" t="s">
        <v>315</v>
      </c>
      <c r="D131" s="820" t="s">
        <v>304</v>
      </c>
      <c r="E131" s="831">
        <f>[38]Rqmnt!L11</f>
        <v>156.763223101167</v>
      </c>
      <c r="F131" s="831">
        <f>[38]Rqmnt!M11</f>
        <v>145.506247865955</v>
      </c>
      <c r="G131" s="831">
        <f>[38]Rqmnt!N11</f>
        <v>136.051904326797</v>
      </c>
      <c r="H131" s="831">
        <f>[38]Rqmnt!O11</f>
        <v>130.794179402833</v>
      </c>
      <c r="I131" s="831">
        <f>[38]Rqmnt!P11</f>
        <v>146.447317770238</v>
      </c>
      <c r="J131" s="831">
        <f>[38]Rqmnt!Q11</f>
        <v>142.885879542759</v>
      </c>
      <c r="K131" s="831">
        <f>[38]Rqmnt!R11</f>
        <v>131.168656579577</v>
      </c>
      <c r="L131" s="831">
        <f>[38]Rqmnt!S11</f>
        <v>123.493803450221</v>
      </c>
      <c r="M131" s="831">
        <f>[38]Rqmnt!T11</f>
        <v>136.240270717579</v>
      </c>
      <c r="N131" s="831">
        <f>[38]Rqmnt!U11</f>
        <v>154.125683168516</v>
      </c>
      <c r="O131" s="831">
        <f>[38]Rqmnt!V11</f>
        <v>155.498082748011</v>
      </c>
      <c r="P131" s="831">
        <f>[38]Rqmnt!W11</f>
        <v>185.533462875283</v>
      </c>
      <c r="Q131" s="831">
        <f>SUM(E131:P131)</f>
        <v>1744.50871154894</v>
      </c>
    </row>
    <row r="132" ht="15" hidden="1" spans="2:17">
      <c r="B132" s="820">
        <f t="shared" si="53"/>
        <v>14</v>
      </c>
      <c r="C132" s="822" t="s">
        <v>337</v>
      </c>
      <c r="D132" s="820" t="s">
        <v>304</v>
      </c>
      <c r="E132" s="831">
        <f t="shared" ref="E132:P132" si="55">E128-E129-E131</f>
        <v>3982.88503833864</v>
      </c>
      <c r="F132" s="831">
        <f t="shared" si="55"/>
        <v>3578.85377191372</v>
      </c>
      <c r="G132" s="831">
        <f t="shared" si="55"/>
        <v>3304.85839318402</v>
      </c>
      <c r="H132" s="831">
        <f t="shared" si="55"/>
        <v>3162.65845837573</v>
      </c>
      <c r="I132" s="831">
        <f t="shared" si="55"/>
        <v>3621.55092647202</v>
      </c>
      <c r="J132" s="831">
        <f t="shared" si="55"/>
        <v>3543.23566810256</v>
      </c>
      <c r="K132" s="831">
        <f t="shared" si="55"/>
        <v>3172.27222921776</v>
      </c>
      <c r="L132" s="831">
        <f t="shared" si="55"/>
        <v>2936.78579760277</v>
      </c>
      <c r="M132" s="831">
        <f t="shared" si="55"/>
        <v>3327.62321227205</v>
      </c>
      <c r="N132" s="831">
        <f t="shared" si="55"/>
        <v>3874.63032526564</v>
      </c>
      <c r="O132" s="831">
        <f t="shared" si="55"/>
        <v>3929.06260572766</v>
      </c>
      <c r="P132" s="831">
        <f t="shared" si="55"/>
        <v>4739.16889931902</v>
      </c>
      <c r="Q132" s="832">
        <f>SUM(E132:P132)</f>
        <v>43173.5853257916</v>
      </c>
    </row>
    <row r="133" ht="15" hidden="1" spans="2:17">
      <c r="B133" s="820"/>
      <c r="C133" s="823" t="s">
        <v>317</v>
      </c>
      <c r="D133" s="820"/>
      <c r="E133" s="287"/>
      <c r="F133" s="287"/>
      <c r="G133" s="287"/>
      <c r="H133" s="287"/>
      <c r="I133" s="287"/>
      <c r="J133" s="287"/>
      <c r="K133" s="287"/>
      <c r="L133" s="287"/>
      <c r="M133" s="287"/>
      <c r="N133" s="287"/>
      <c r="O133" s="287"/>
      <c r="P133" s="287"/>
      <c r="Q133" s="829"/>
    </row>
    <row r="134" ht="28.5" hidden="1" spans="2:17">
      <c r="B134" s="820">
        <f>B132+1</f>
        <v>15</v>
      </c>
      <c r="C134" s="822" t="s">
        <v>318</v>
      </c>
      <c r="D134" s="820" t="s">
        <v>304</v>
      </c>
      <c r="E134" s="831">
        <f>[38]Rqmnt!L19</f>
        <v>3982.88503833864</v>
      </c>
      <c r="F134" s="831">
        <f>[38]Rqmnt!M19</f>
        <v>3578.85377191373</v>
      </c>
      <c r="G134" s="831">
        <f>[38]Rqmnt!N19</f>
        <v>3304.85839318402</v>
      </c>
      <c r="H134" s="831">
        <f>[38]Rqmnt!O19</f>
        <v>3162.65845837574</v>
      </c>
      <c r="I134" s="831">
        <f>[38]Rqmnt!P19</f>
        <v>3621.55092647202</v>
      </c>
      <c r="J134" s="831">
        <f>[38]Rqmnt!Q19</f>
        <v>3543.23566810256</v>
      </c>
      <c r="K134" s="831">
        <f>[38]Rqmnt!R19</f>
        <v>3172.27222921776</v>
      </c>
      <c r="L134" s="831">
        <f>[38]Rqmnt!S19</f>
        <v>2936.78579760278</v>
      </c>
      <c r="M134" s="831">
        <f>[38]Rqmnt!T19</f>
        <v>3327.62321227205</v>
      </c>
      <c r="N134" s="831">
        <f>[38]Rqmnt!U19</f>
        <v>3874.63032526564</v>
      </c>
      <c r="O134" s="831">
        <f>[38]Rqmnt!V19</f>
        <v>3929.06260572766</v>
      </c>
      <c r="P134" s="831">
        <f>[38]Rqmnt!W19</f>
        <v>4739.16889931902</v>
      </c>
      <c r="Q134" s="832">
        <f>SUM(E134:P134)</f>
        <v>43173.5853257916</v>
      </c>
    </row>
    <row r="135" ht="15" hidden="1" spans="2:17">
      <c r="B135" s="820">
        <f t="shared" ref="B135:B139" si="56">B134+1</f>
        <v>16</v>
      </c>
      <c r="C135" s="822" t="s">
        <v>319</v>
      </c>
      <c r="D135" s="820" t="s">
        <v>304</v>
      </c>
      <c r="E135" s="831"/>
      <c r="F135" s="831"/>
      <c r="G135" s="831"/>
      <c r="H135" s="831"/>
      <c r="I135" s="831"/>
      <c r="J135" s="831"/>
      <c r="K135" s="831"/>
      <c r="L135" s="831"/>
      <c r="M135" s="831"/>
      <c r="N135" s="831"/>
      <c r="O135" s="831"/>
      <c r="P135" s="831"/>
      <c r="Q135" s="832">
        <f>SUM(E135:P135)</f>
        <v>0</v>
      </c>
    </row>
    <row r="136" ht="15" hidden="1" spans="2:17">
      <c r="B136" s="820">
        <f t="shared" si="56"/>
        <v>17</v>
      </c>
      <c r="C136" s="821" t="s">
        <v>320</v>
      </c>
      <c r="D136" s="820" t="s">
        <v>304</v>
      </c>
      <c r="E136" s="831">
        <f>[38]Rqmnt!L20</f>
        <v>710.683939612215</v>
      </c>
      <c r="F136" s="831">
        <f>[38]Rqmnt!M20</f>
        <v>751.799760838815</v>
      </c>
      <c r="G136" s="831">
        <f>[38]Rqmnt!N20</f>
        <v>740.46635444085</v>
      </c>
      <c r="H136" s="831">
        <f>[38]Rqmnt!O20</f>
        <v>680.390866486305</v>
      </c>
      <c r="I136" s="831">
        <f>[38]Rqmnt!P20</f>
        <v>719.100635528816</v>
      </c>
      <c r="J136" s="831">
        <f>[38]Rqmnt!Q20</f>
        <v>675.407749108858</v>
      </c>
      <c r="K136" s="831">
        <f>[38]Rqmnt!R20</f>
        <v>697.357251931894</v>
      </c>
      <c r="L136" s="831">
        <f>[38]Rqmnt!S20</f>
        <v>681.785069108836</v>
      </c>
      <c r="M136" s="831">
        <f>[38]Rqmnt!T20</f>
        <v>686.848801343555</v>
      </c>
      <c r="N136" s="831">
        <f>[38]Rqmnt!U20</f>
        <v>675.767372985707</v>
      </c>
      <c r="O136" s="831">
        <f>[38]Rqmnt!V20</f>
        <v>690.121473756568</v>
      </c>
      <c r="P136" s="831">
        <f>[38]Rqmnt!W20</f>
        <v>761.619573655125</v>
      </c>
      <c r="Q136" s="832">
        <f>SUM(E136:P136)</f>
        <v>8471.34884879754</v>
      </c>
    </row>
    <row r="137" hidden="1" spans="2:17">
      <c r="B137" s="820">
        <f t="shared" si="56"/>
        <v>18</v>
      </c>
      <c r="C137" s="821" t="s">
        <v>321</v>
      </c>
      <c r="D137" s="820" t="s">
        <v>306</v>
      </c>
      <c r="E137" s="830">
        <f t="shared" ref="E137:Q137" si="57">E138/E134</f>
        <v>0.0404</v>
      </c>
      <c r="F137" s="830">
        <f t="shared" si="57"/>
        <v>0.0403999999999998</v>
      </c>
      <c r="G137" s="830">
        <f t="shared" si="57"/>
        <v>0.0403999999999999</v>
      </c>
      <c r="H137" s="830">
        <f t="shared" si="57"/>
        <v>0.0404</v>
      </c>
      <c r="I137" s="830">
        <f t="shared" si="57"/>
        <v>0.0403999999999998</v>
      </c>
      <c r="J137" s="830">
        <f t="shared" si="57"/>
        <v>0.0403999999999999</v>
      </c>
      <c r="K137" s="830">
        <f t="shared" si="57"/>
        <v>0.0403999999999998</v>
      </c>
      <c r="L137" s="830">
        <f t="shared" si="57"/>
        <v>0.0403999999999999</v>
      </c>
      <c r="M137" s="830">
        <f t="shared" si="57"/>
        <v>0.0404000000000001</v>
      </c>
      <c r="N137" s="830">
        <f t="shared" si="57"/>
        <v>0.0404</v>
      </c>
      <c r="O137" s="830">
        <f t="shared" si="57"/>
        <v>0.0404000000000001</v>
      </c>
      <c r="P137" s="830">
        <f t="shared" si="57"/>
        <v>0.0403999999999999</v>
      </c>
      <c r="Q137" s="830">
        <f t="shared" si="57"/>
        <v>0.0403999999999999</v>
      </c>
    </row>
    <row r="138" ht="15" hidden="1" spans="2:17">
      <c r="B138" s="820">
        <f t="shared" si="56"/>
        <v>19</v>
      </c>
      <c r="C138" s="821" t="s">
        <v>321</v>
      </c>
      <c r="D138" s="820" t="s">
        <v>304</v>
      </c>
      <c r="E138" s="831">
        <f>[38]Rqmnt!L22</f>
        <v>160.908555548881</v>
      </c>
      <c r="F138" s="831">
        <f>[38]Rqmnt!M22</f>
        <v>144.585692385314</v>
      </c>
      <c r="G138" s="831">
        <f>[38]Rqmnt!N22</f>
        <v>133.516279084634</v>
      </c>
      <c r="H138" s="831">
        <f>[38]Rqmnt!O22</f>
        <v>127.77140171838</v>
      </c>
      <c r="I138" s="831">
        <f>[38]Rqmnt!P22</f>
        <v>146.310657429469</v>
      </c>
      <c r="J138" s="831">
        <f>[38]Rqmnt!Q22</f>
        <v>143.146720991343</v>
      </c>
      <c r="K138" s="831">
        <f>[38]Rqmnt!R22</f>
        <v>128.159798060397</v>
      </c>
      <c r="L138" s="831">
        <f>[38]Rqmnt!S22</f>
        <v>118.646146223152</v>
      </c>
      <c r="M138" s="831">
        <f>[38]Rqmnt!T22</f>
        <v>134.435977775791</v>
      </c>
      <c r="N138" s="831">
        <f>[38]Rqmnt!U22</f>
        <v>156.535065140732</v>
      </c>
      <c r="O138" s="831">
        <f>[38]Rqmnt!V22</f>
        <v>158.734129271398</v>
      </c>
      <c r="P138" s="831">
        <f>[38]Rqmnt!W22</f>
        <v>191.462423532488</v>
      </c>
      <c r="Q138" s="832">
        <f>SUM(E138:P138)</f>
        <v>1744.21284716198</v>
      </c>
    </row>
    <row r="139" ht="15" hidden="1" spans="2:17">
      <c r="B139" s="820">
        <f t="shared" si="56"/>
        <v>20</v>
      </c>
      <c r="C139" s="822" t="s">
        <v>338</v>
      </c>
      <c r="D139" s="820" t="s">
        <v>304</v>
      </c>
      <c r="E139" s="831">
        <f t="shared" ref="E139:P139" si="58">E134+E135-E136-E138</f>
        <v>3111.29254317754</v>
      </c>
      <c r="F139" s="831">
        <f t="shared" si="58"/>
        <v>2682.4683186896</v>
      </c>
      <c r="G139" s="831">
        <f t="shared" si="58"/>
        <v>2430.87575965854</v>
      </c>
      <c r="H139" s="831">
        <f t="shared" si="58"/>
        <v>2354.49619017105</v>
      </c>
      <c r="I139" s="831">
        <f t="shared" si="58"/>
        <v>2756.13963351374</v>
      </c>
      <c r="J139" s="831">
        <f t="shared" si="58"/>
        <v>2724.68119800236</v>
      </c>
      <c r="K139" s="831">
        <f t="shared" si="58"/>
        <v>2346.75517922547</v>
      </c>
      <c r="L139" s="831">
        <f t="shared" si="58"/>
        <v>2136.35458227079</v>
      </c>
      <c r="M139" s="831">
        <f t="shared" si="58"/>
        <v>2506.3384331527</v>
      </c>
      <c r="N139" s="831">
        <f t="shared" si="58"/>
        <v>3042.3278871392</v>
      </c>
      <c r="O139" s="831">
        <f t="shared" si="58"/>
        <v>3080.20700269969</v>
      </c>
      <c r="P139" s="831">
        <f t="shared" si="58"/>
        <v>3786.08690213141</v>
      </c>
      <c r="Q139" s="832">
        <f>SUM(E139:P139)</f>
        <v>32958.0236298321</v>
      </c>
    </row>
    <row r="140" ht="15" hidden="1" spans="2:17">
      <c r="B140" s="820"/>
      <c r="C140" s="823" t="s">
        <v>323</v>
      </c>
      <c r="D140" s="820"/>
      <c r="E140" s="287"/>
      <c r="F140" s="287"/>
      <c r="G140" s="287"/>
      <c r="H140" s="287"/>
      <c r="I140" s="287"/>
      <c r="J140" s="287"/>
      <c r="K140" s="287"/>
      <c r="L140" s="287"/>
      <c r="M140" s="287"/>
      <c r="N140" s="287"/>
      <c r="O140" s="287"/>
      <c r="P140" s="287"/>
      <c r="Q140" s="829"/>
    </row>
    <row r="141" ht="28.5" hidden="1" spans="2:17">
      <c r="B141" s="820"/>
      <c r="C141" s="822" t="s">
        <v>324</v>
      </c>
      <c r="D141" s="820" t="s">
        <v>304</v>
      </c>
      <c r="E141" s="831">
        <f>[38]Rqmnt!L27</f>
        <v>3111.29254317754</v>
      </c>
      <c r="F141" s="831">
        <f>[38]Rqmnt!M27</f>
        <v>2682.4683186896</v>
      </c>
      <c r="G141" s="831">
        <f>[38]Rqmnt!N27</f>
        <v>2430.87575965854</v>
      </c>
      <c r="H141" s="831">
        <f>[38]Rqmnt!O27</f>
        <v>2354.49619017105</v>
      </c>
      <c r="I141" s="831">
        <f>[38]Rqmnt!P27</f>
        <v>2756.13963351373</v>
      </c>
      <c r="J141" s="831">
        <f>[38]Rqmnt!Q27</f>
        <v>2724.68119800236</v>
      </c>
      <c r="K141" s="831">
        <f>[38]Rqmnt!R27</f>
        <v>2346.75517922547</v>
      </c>
      <c r="L141" s="831">
        <f>[38]Rqmnt!S27</f>
        <v>2136.35458227079</v>
      </c>
      <c r="M141" s="831">
        <f>[38]Rqmnt!T27</f>
        <v>2506.33843315271</v>
      </c>
      <c r="N141" s="831">
        <f>[38]Rqmnt!U27</f>
        <v>3042.32788713921</v>
      </c>
      <c r="O141" s="831">
        <f>[38]Rqmnt!V27</f>
        <v>3080.2070026997</v>
      </c>
      <c r="P141" s="831">
        <f>[38]Rqmnt!W27</f>
        <v>3786.0869021314</v>
      </c>
      <c r="Q141" s="829">
        <f>SUM(E141:P141)</f>
        <v>32958.0236298321</v>
      </c>
    </row>
    <row r="142" ht="15" hidden="1" spans="2:17">
      <c r="B142" s="820">
        <f>B139+1</f>
        <v>21</v>
      </c>
      <c r="C142" s="822" t="s">
        <v>319</v>
      </c>
      <c r="D142" s="820" t="s">
        <v>304</v>
      </c>
      <c r="E142" s="287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829">
        <f>SUM(E142:P142)</f>
        <v>0</v>
      </c>
    </row>
    <row r="143" ht="15" hidden="1" spans="2:17">
      <c r="B143" s="820">
        <f t="shared" ref="B143:B145" si="59">B142+1</f>
        <v>22</v>
      </c>
      <c r="C143" s="821" t="s">
        <v>325</v>
      </c>
      <c r="D143" s="820" t="s">
        <v>304</v>
      </c>
      <c r="E143" s="831">
        <f>[38]Rqmnt!L28+[38]Rqmnt!L29</f>
        <v>2966.61743991979</v>
      </c>
      <c r="F143" s="831">
        <f>[38]Rqmnt!M28+[38]Rqmnt!M29</f>
        <v>2557.73354187053</v>
      </c>
      <c r="G143" s="831">
        <f>[38]Rqmnt!N28+[38]Rqmnt!N29</f>
        <v>2317.84003683442</v>
      </c>
      <c r="H143" s="831">
        <f>[38]Rqmnt!O28+[38]Rqmnt!O29</f>
        <v>2245.0121173281</v>
      </c>
      <c r="I143" s="831">
        <f>[38]Rqmnt!P28+[38]Rqmnt!P29</f>
        <v>2627.97914055534</v>
      </c>
      <c r="J143" s="831">
        <f>[38]Rqmnt!Q28+[38]Rqmnt!Q29</f>
        <v>2597.98352229525</v>
      </c>
      <c r="K143" s="831">
        <f>[38]Rqmnt!R28+[38]Rqmnt!R29</f>
        <v>2237.63106339148</v>
      </c>
      <c r="L143" s="831">
        <f>[38]Rqmnt!S28+[38]Rqmnt!S29</f>
        <v>2037.0140941952</v>
      </c>
      <c r="M143" s="831">
        <f>[38]Rqmnt!T28+[38]Rqmnt!T29</f>
        <v>2389.79369601111</v>
      </c>
      <c r="N143" s="831">
        <f>[38]Rqmnt!U28+[38]Rqmnt!U29</f>
        <v>2900.85964038723</v>
      </c>
      <c r="O143" s="831">
        <f>[38]Rqmnt!V28+[38]Rqmnt!V29</f>
        <v>2936.97737707416</v>
      </c>
      <c r="P143" s="831">
        <f>[38]Rqmnt!W28+[38]Rqmnt!W29</f>
        <v>3610.03386118229</v>
      </c>
      <c r="Q143" s="832">
        <f>SUM(E143:P143)</f>
        <v>31425.4755310449</v>
      </c>
    </row>
    <row r="144" hidden="1" spans="2:17">
      <c r="B144" s="820">
        <f t="shared" si="59"/>
        <v>23</v>
      </c>
      <c r="C144" s="821" t="s">
        <v>326</v>
      </c>
      <c r="D144" s="820" t="s">
        <v>306</v>
      </c>
      <c r="E144" s="830">
        <f t="shared" ref="E144:Q144" si="60">E145/E141</f>
        <v>0.0465000000000001</v>
      </c>
      <c r="F144" s="830">
        <f t="shared" si="60"/>
        <v>0.0464999999999999</v>
      </c>
      <c r="G144" s="830">
        <f t="shared" si="60"/>
        <v>0.0465</v>
      </c>
      <c r="H144" s="830">
        <f t="shared" si="60"/>
        <v>0.0465000000000001</v>
      </c>
      <c r="I144" s="830">
        <f t="shared" si="60"/>
        <v>0.0465000000000002</v>
      </c>
      <c r="J144" s="830">
        <f t="shared" si="60"/>
        <v>0.0465000000000001</v>
      </c>
      <c r="K144" s="830">
        <f t="shared" si="60"/>
        <v>0.0465000000000003</v>
      </c>
      <c r="L144" s="830">
        <f t="shared" si="60"/>
        <v>0.0465</v>
      </c>
      <c r="M144" s="830">
        <f t="shared" si="60"/>
        <v>0.0465</v>
      </c>
      <c r="N144" s="830">
        <f t="shared" si="60"/>
        <v>0.0464999999999999</v>
      </c>
      <c r="O144" s="830">
        <f t="shared" si="60"/>
        <v>0.0465</v>
      </c>
      <c r="P144" s="830">
        <f t="shared" si="60"/>
        <v>0.0465</v>
      </c>
      <c r="Q144" s="830">
        <f t="shared" si="60"/>
        <v>0.0465</v>
      </c>
    </row>
    <row r="145" ht="15" hidden="1" spans="2:17">
      <c r="B145" s="820">
        <f t="shared" si="59"/>
        <v>24</v>
      </c>
      <c r="C145" s="821" t="s">
        <v>326</v>
      </c>
      <c r="D145" s="820" t="s">
        <v>304</v>
      </c>
      <c r="E145" s="831">
        <f>[38]Rqmnt!L30</f>
        <v>144.675103257756</v>
      </c>
      <c r="F145" s="831">
        <f>[38]Rqmnt!M30</f>
        <v>124.734776819066</v>
      </c>
      <c r="G145" s="831">
        <f>[38]Rqmnt!N30</f>
        <v>113.035722824122</v>
      </c>
      <c r="H145" s="831">
        <f>[38]Rqmnt!O30</f>
        <v>109.484072842954</v>
      </c>
      <c r="I145" s="831">
        <f>[38]Rqmnt!P30</f>
        <v>128.160492958389</v>
      </c>
      <c r="J145" s="831">
        <f>[38]Rqmnt!Q30</f>
        <v>126.69767570711</v>
      </c>
      <c r="K145" s="831">
        <f>[38]Rqmnt!R30</f>
        <v>109.124115833985</v>
      </c>
      <c r="L145" s="831">
        <f>[38]Rqmnt!S30</f>
        <v>99.3404880755918</v>
      </c>
      <c r="M145" s="831">
        <f>[38]Rqmnt!T30</f>
        <v>116.544737141601</v>
      </c>
      <c r="N145" s="831">
        <f>[38]Rqmnt!U30</f>
        <v>141.468246751973</v>
      </c>
      <c r="O145" s="831">
        <f>[38]Rqmnt!V30</f>
        <v>143.229625625536</v>
      </c>
      <c r="P145" s="831">
        <f>[38]Rqmnt!W30</f>
        <v>176.05304094911</v>
      </c>
      <c r="Q145" s="832">
        <f t="shared" ref="Q145:Q150" si="61">SUM(E145:P145)</f>
        <v>1532.54809878719</v>
      </c>
    </row>
    <row r="146" ht="15" hidden="1" spans="2:17">
      <c r="B146" s="820"/>
      <c r="C146" s="823" t="s">
        <v>97</v>
      </c>
      <c r="D146" s="820"/>
      <c r="E146" s="287"/>
      <c r="F146" s="287"/>
      <c r="G146" s="287"/>
      <c r="H146" s="287"/>
      <c r="I146" s="287"/>
      <c r="J146" s="287"/>
      <c r="K146" s="287"/>
      <c r="L146" s="287"/>
      <c r="M146" s="287"/>
      <c r="N146" s="287"/>
      <c r="O146" s="287"/>
      <c r="P146" s="287"/>
      <c r="Q146" s="829">
        <f t="shared" si="61"/>
        <v>0</v>
      </c>
    </row>
    <row r="147" ht="15" hidden="1" spans="2:17">
      <c r="B147" s="820">
        <f>B145+1</f>
        <v>25</v>
      </c>
      <c r="C147" s="823" t="s">
        <v>327</v>
      </c>
      <c r="D147" s="298" t="s">
        <v>304</v>
      </c>
      <c r="E147" s="831">
        <f t="shared" ref="E147:P147" si="62">E118+E122+E142</f>
        <v>5859.68099775771</v>
      </c>
      <c r="F147" s="831">
        <f t="shared" si="62"/>
        <v>5464.6969158303</v>
      </c>
      <c r="G147" s="831">
        <f t="shared" si="62"/>
        <v>5178.53627405749</v>
      </c>
      <c r="H147" s="831">
        <f t="shared" si="62"/>
        <v>5017.27026659263</v>
      </c>
      <c r="I147" s="831">
        <f t="shared" si="62"/>
        <v>5700.13363749015</v>
      </c>
      <c r="J147" s="831">
        <f t="shared" si="62"/>
        <v>5639.25958277252</v>
      </c>
      <c r="K147" s="831">
        <f t="shared" si="62"/>
        <v>5286.14958559224</v>
      </c>
      <c r="L147" s="831">
        <f t="shared" si="62"/>
        <v>5002.04654648425</v>
      </c>
      <c r="M147" s="831">
        <f t="shared" si="62"/>
        <v>5293.95504866244</v>
      </c>
      <c r="N147" s="831">
        <f t="shared" si="62"/>
        <v>5852.37421588992</v>
      </c>
      <c r="O147" s="831">
        <f t="shared" si="62"/>
        <v>5849.26277108255</v>
      </c>
      <c r="P147" s="831">
        <f t="shared" si="62"/>
        <v>6878.28813083376</v>
      </c>
      <c r="Q147" s="829">
        <f t="shared" si="61"/>
        <v>67021.653973046</v>
      </c>
    </row>
    <row r="148" ht="15" hidden="1" spans="2:17">
      <c r="B148" s="820">
        <f>B147+1</f>
        <v>26</v>
      </c>
      <c r="C148" s="823" t="s">
        <v>328</v>
      </c>
      <c r="D148" s="298" t="s">
        <v>304</v>
      </c>
      <c r="E148" s="831">
        <f t="shared" ref="E148:P148" si="63">E123+E129+E136+E143</f>
        <v>5220.53645164549</v>
      </c>
      <c r="F148" s="831">
        <f t="shared" si="63"/>
        <v>4885.18063554291</v>
      </c>
      <c r="G148" s="831">
        <f t="shared" si="63"/>
        <v>4643.8366056796</v>
      </c>
      <c r="H148" s="831">
        <f t="shared" si="63"/>
        <v>4497.31107881554</v>
      </c>
      <c r="I148" s="831">
        <f t="shared" si="63"/>
        <v>5110.42117350415</v>
      </c>
      <c r="J148" s="831">
        <f t="shared" si="63"/>
        <v>5059.80345955078</v>
      </c>
      <c r="K148" s="831">
        <f t="shared" si="63"/>
        <v>4760.89911443255</v>
      </c>
      <c r="L148" s="831">
        <f t="shared" si="63"/>
        <v>4512.03702830121</v>
      </c>
      <c r="M148" s="831">
        <f t="shared" si="63"/>
        <v>4745.27819783322</v>
      </c>
      <c r="N148" s="831">
        <f t="shared" si="63"/>
        <v>5223.35016841677</v>
      </c>
      <c r="O148" s="831">
        <f t="shared" si="63"/>
        <v>5218.62608315381</v>
      </c>
      <c r="P148" s="831">
        <f t="shared" si="63"/>
        <v>6125.35554339075</v>
      </c>
      <c r="Q148" s="832">
        <f t="shared" si="61"/>
        <v>60002.6355402668</v>
      </c>
    </row>
    <row r="149" ht="30" hidden="1" spans="2:17">
      <c r="B149" s="820">
        <f>B148+1</f>
        <v>27</v>
      </c>
      <c r="C149" s="826" t="s">
        <v>329</v>
      </c>
      <c r="D149" s="298"/>
      <c r="E149" s="831">
        <f t="shared" ref="E149:P149" si="64">E126+E123</f>
        <v>5682.88333355329</v>
      </c>
      <c r="F149" s="831">
        <f t="shared" si="64"/>
        <v>5300.00735261324</v>
      </c>
      <c r="G149" s="831">
        <f t="shared" si="64"/>
        <v>5026.44051191516</v>
      </c>
      <c r="H149" s="831">
        <f t="shared" si="64"/>
        <v>4865.3607327797</v>
      </c>
      <c r="I149" s="831">
        <f t="shared" si="64"/>
        <v>5531.33964166225</v>
      </c>
      <c r="J149" s="831">
        <f t="shared" si="64"/>
        <v>5472.53373579199</v>
      </c>
      <c r="K149" s="831">
        <f t="shared" si="64"/>
        <v>5129.3516849065</v>
      </c>
      <c r="L149" s="831">
        <f t="shared" si="64"/>
        <v>4853.51746605017</v>
      </c>
      <c r="M149" s="831">
        <f t="shared" si="64"/>
        <v>5132.49918346818</v>
      </c>
      <c r="N149" s="831">
        <f t="shared" si="64"/>
        <v>5675.47916347799</v>
      </c>
      <c r="O149" s="831">
        <f t="shared" si="64"/>
        <v>5676.08792079876</v>
      </c>
      <c r="P149" s="831">
        <f t="shared" si="64"/>
        <v>6678.40447074764</v>
      </c>
      <c r="Q149" s="832">
        <f t="shared" si="61"/>
        <v>65023.9051977649</v>
      </c>
    </row>
    <row r="150" ht="15" hidden="1" spans="2:17">
      <c r="B150" s="820">
        <f>B149+1</f>
        <v>28</v>
      </c>
      <c r="C150" s="826" t="s">
        <v>330</v>
      </c>
      <c r="D150" s="298" t="s">
        <v>304</v>
      </c>
      <c r="E150" s="831">
        <f t="shared" ref="E150:P150" si="65">E149-E148</f>
        <v>462.346881907799</v>
      </c>
      <c r="F150" s="831">
        <f t="shared" si="65"/>
        <v>414.826717070333</v>
      </c>
      <c r="G150" s="831">
        <f t="shared" si="65"/>
        <v>382.603906235558</v>
      </c>
      <c r="H150" s="831">
        <f t="shared" si="65"/>
        <v>368.049653964168</v>
      </c>
      <c r="I150" s="831">
        <f t="shared" si="65"/>
        <v>420.918468158099</v>
      </c>
      <c r="J150" s="831">
        <f t="shared" si="65"/>
        <v>412.730276241206</v>
      </c>
      <c r="K150" s="831">
        <f t="shared" si="65"/>
        <v>368.452570473955</v>
      </c>
      <c r="L150" s="831">
        <f t="shared" si="65"/>
        <v>341.480437748962</v>
      </c>
      <c r="M150" s="831">
        <f t="shared" si="65"/>
        <v>387.220985634969</v>
      </c>
      <c r="N150" s="831">
        <f t="shared" si="65"/>
        <v>452.128995061225</v>
      </c>
      <c r="O150" s="831">
        <f t="shared" si="65"/>
        <v>457.461837644948</v>
      </c>
      <c r="P150" s="831">
        <f t="shared" si="65"/>
        <v>553.048927356888</v>
      </c>
      <c r="Q150" s="832">
        <f t="shared" si="61"/>
        <v>5021.26965749811</v>
      </c>
    </row>
    <row r="151" ht="15" hidden="1" spans="2:17">
      <c r="B151" s="820">
        <f t="shared" ref="B151" si="66">B150+1</f>
        <v>29</v>
      </c>
      <c r="C151" s="826" t="s">
        <v>331</v>
      </c>
      <c r="D151" s="298" t="s">
        <v>306</v>
      </c>
      <c r="E151" s="830">
        <f t="shared" ref="E151:Q151" si="67">E150/(E149-E123)</f>
        <v>0.0931989096630004</v>
      </c>
      <c r="F151" s="830">
        <f t="shared" si="67"/>
        <v>0.0900890817519982</v>
      </c>
      <c r="G151" s="830">
        <f t="shared" si="67"/>
        <v>0.0888652275531752</v>
      </c>
      <c r="H151" s="830">
        <f t="shared" si="67"/>
        <v>0.0889211516779146</v>
      </c>
      <c r="I151" s="830">
        <f t="shared" si="67"/>
        <v>0.0908246309752426</v>
      </c>
      <c r="J151" s="830">
        <f t="shared" si="67"/>
        <v>0.0912775759995177</v>
      </c>
      <c r="K151" s="830">
        <f t="shared" si="67"/>
        <v>0.0887643552247056</v>
      </c>
      <c r="L151" s="830">
        <f t="shared" si="67"/>
        <v>0.0873791358869014</v>
      </c>
      <c r="M151" s="830">
        <f t="shared" si="67"/>
        <v>0.0898132621259261</v>
      </c>
      <c r="N151" s="830">
        <f t="shared" si="67"/>
        <v>0.0926988672505247</v>
      </c>
      <c r="O151" s="830">
        <f t="shared" si="67"/>
        <v>0.0929644521277241</v>
      </c>
      <c r="P151" s="830">
        <f t="shared" si="67"/>
        <v>0.0941951162536397</v>
      </c>
      <c r="Q151" s="830">
        <f t="shared" si="67"/>
        <v>0.0909551899205229</v>
      </c>
    </row>
    <row r="152" hidden="1"/>
    <row r="153" ht="15" hidden="1" spans="2:17">
      <c r="B153" s="298" t="s">
        <v>3</v>
      </c>
      <c r="C153" s="401" t="s">
        <v>110</v>
      </c>
      <c r="D153" s="379" t="s">
        <v>297</v>
      </c>
      <c r="E153" s="403" t="s">
        <v>341</v>
      </c>
      <c r="F153" s="403"/>
      <c r="G153" s="403"/>
      <c r="H153" s="403"/>
      <c r="I153" s="403"/>
      <c r="J153" s="403"/>
      <c r="K153" s="403"/>
      <c r="L153" s="403"/>
      <c r="M153" s="403"/>
      <c r="N153" s="403"/>
      <c r="O153" s="403"/>
      <c r="P153" s="403"/>
      <c r="Q153" s="403"/>
    </row>
    <row r="154" ht="15" hidden="1" spans="2:17">
      <c r="B154" s="298"/>
      <c r="C154" s="401"/>
      <c r="D154" s="379"/>
      <c r="E154" s="403" t="s">
        <v>246</v>
      </c>
      <c r="F154" s="403" t="s">
        <v>247</v>
      </c>
      <c r="G154" s="403" t="s">
        <v>248</v>
      </c>
      <c r="H154" s="403" t="s">
        <v>249</v>
      </c>
      <c r="I154" s="403" t="s">
        <v>250</v>
      </c>
      <c r="J154" s="403" t="s">
        <v>251</v>
      </c>
      <c r="K154" s="403" t="s">
        <v>252</v>
      </c>
      <c r="L154" s="403" t="s">
        <v>253</v>
      </c>
      <c r="M154" s="403" t="s">
        <v>254</v>
      </c>
      <c r="N154" s="403" t="s">
        <v>255</v>
      </c>
      <c r="O154" s="403" t="s">
        <v>256</v>
      </c>
      <c r="P154" s="403" t="s">
        <v>257</v>
      </c>
      <c r="Q154" s="403" t="s">
        <v>97</v>
      </c>
    </row>
    <row r="155" ht="15" hidden="1" spans="2:17">
      <c r="B155" s="820">
        <v>1</v>
      </c>
      <c r="C155" s="821" t="s">
        <v>303</v>
      </c>
      <c r="D155" s="820" t="s">
        <v>304</v>
      </c>
      <c r="E155" s="287">
        <f>[39]Rqmnt!L48+[39]Rqmnt!L49</f>
        <v>851.728909274452</v>
      </c>
      <c r="F155" s="287">
        <f>[39]Rqmnt!M48+[39]Rqmnt!M49</f>
        <v>866.512265634791</v>
      </c>
      <c r="G155" s="287">
        <f>[39]Rqmnt!N48+[39]Rqmnt!N49</f>
        <v>769.811833116467</v>
      </c>
      <c r="H155" s="287">
        <f>[39]Rqmnt!O48+[39]Rqmnt!O49</f>
        <v>831.996611069648</v>
      </c>
      <c r="I155" s="287">
        <f>[39]Rqmnt!P48+[39]Rqmnt!P49</f>
        <v>869.177260478753</v>
      </c>
      <c r="J155" s="287">
        <f>[39]Rqmnt!Q48+[39]Rqmnt!Q49</f>
        <v>820.178131882152</v>
      </c>
      <c r="K155" s="287">
        <f>[39]Rqmnt!R48+[39]Rqmnt!R49</f>
        <v>881.324667149341</v>
      </c>
      <c r="L155" s="287">
        <f>[39]Rqmnt!S48+[39]Rqmnt!S49</f>
        <v>796.989164274452</v>
      </c>
      <c r="M155" s="287">
        <f>[39]Rqmnt!T48+[39]Rqmnt!T49</f>
        <v>812.489032149341</v>
      </c>
      <c r="N155" s="287">
        <f>[39]Rqmnt!U48+[39]Rqmnt!U49</f>
        <v>868.907867149341</v>
      </c>
      <c r="O155" s="287">
        <f>[39]Rqmnt!V48+[39]Rqmnt!V49</f>
        <v>799.507733524674</v>
      </c>
      <c r="P155" s="287">
        <f>[39]Rqmnt!W48+[39]Rqmnt!W49</f>
        <v>884.711067149341</v>
      </c>
      <c r="Q155" s="829">
        <f>SUM(E155:P155)</f>
        <v>10053.3345428528</v>
      </c>
    </row>
    <row r="156" hidden="1" spans="2:17">
      <c r="B156" s="820">
        <f>B155+1</f>
        <v>2</v>
      </c>
      <c r="C156" s="821" t="s">
        <v>305</v>
      </c>
      <c r="D156" s="820" t="s">
        <v>306</v>
      </c>
      <c r="E156" s="830">
        <f t="shared" ref="E156:Q156" si="68">E157/E155</f>
        <v>0.0393</v>
      </c>
      <c r="F156" s="830">
        <f t="shared" si="68"/>
        <v>0.0358</v>
      </c>
      <c r="G156" s="830">
        <f t="shared" si="68"/>
        <v>0.0329</v>
      </c>
      <c r="H156" s="830">
        <f t="shared" si="68"/>
        <v>0.0350999999999999</v>
      </c>
      <c r="I156" s="830">
        <f t="shared" si="68"/>
        <v>0.0337</v>
      </c>
      <c r="J156" s="830">
        <f t="shared" si="68"/>
        <v>0.035</v>
      </c>
      <c r="K156" s="830">
        <f t="shared" si="68"/>
        <v>0.0332</v>
      </c>
      <c r="L156" s="830">
        <f t="shared" si="68"/>
        <v>0.032775</v>
      </c>
      <c r="M156" s="830">
        <f t="shared" si="68"/>
        <v>0.0394</v>
      </c>
      <c r="N156" s="830">
        <f t="shared" si="68"/>
        <v>0.03885</v>
      </c>
      <c r="O156" s="830">
        <f t="shared" si="68"/>
        <v>0.03755</v>
      </c>
      <c r="P156" s="830">
        <f t="shared" si="68"/>
        <v>0.03555</v>
      </c>
      <c r="Q156" s="830">
        <f t="shared" si="68"/>
        <v>0.035773694141799</v>
      </c>
    </row>
    <row r="157" ht="15" hidden="1" spans="2:17">
      <c r="B157" s="820">
        <f t="shared" ref="B157:B163" si="69">B156+1</f>
        <v>3</v>
      </c>
      <c r="C157" s="821" t="s">
        <v>305</v>
      </c>
      <c r="D157" s="820" t="s">
        <v>304</v>
      </c>
      <c r="E157" s="831">
        <f>[39]Rqmnt!L52</f>
        <v>33.472946134486</v>
      </c>
      <c r="F157" s="831">
        <f>[39]Rqmnt!M52</f>
        <v>31.0211391097255</v>
      </c>
      <c r="G157" s="831">
        <f>[39]Rqmnt!N52</f>
        <v>25.3268093095318</v>
      </c>
      <c r="H157" s="831">
        <f>[39]Rqmnt!O52</f>
        <v>29.2030810485446</v>
      </c>
      <c r="I157" s="831">
        <f>[39]Rqmnt!P52</f>
        <v>29.291273678134</v>
      </c>
      <c r="J157" s="831">
        <f>[39]Rqmnt!Q52</f>
        <v>28.7062346158753</v>
      </c>
      <c r="K157" s="831">
        <f>[39]Rqmnt!R52</f>
        <v>29.2599789493581</v>
      </c>
      <c r="L157" s="831">
        <f>[39]Rqmnt!S52</f>
        <v>26.1213198590952</v>
      </c>
      <c r="M157" s="831">
        <f>[39]Rqmnt!T52</f>
        <v>32.012067866684</v>
      </c>
      <c r="N157" s="831">
        <f>[39]Rqmnt!U52</f>
        <v>33.7570706387519</v>
      </c>
      <c r="O157" s="831">
        <f>[39]Rqmnt!V52</f>
        <v>30.0215153938515</v>
      </c>
      <c r="P157" s="831">
        <f>[39]Rqmnt!W52</f>
        <v>31.4514784371591</v>
      </c>
      <c r="Q157" s="829">
        <f>SUM(E157:P157)</f>
        <v>359.644915041197</v>
      </c>
    </row>
    <row r="158" ht="28.5" hidden="1" spans="2:17">
      <c r="B158" s="820">
        <f t="shared" si="69"/>
        <v>4</v>
      </c>
      <c r="C158" s="822" t="s">
        <v>307</v>
      </c>
      <c r="D158" s="820" t="s">
        <v>304</v>
      </c>
      <c r="E158" s="831">
        <f t="shared" ref="E158:P158" si="70">E155-E157</f>
        <v>818.255963139966</v>
      </c>
      <c r="F158" s="831">
        <f t="shared" si="70"/>
        <v>835.491126525066</v>
      </c>
      <c r="G158" s="831">
        <f t="shared" si="70"/>
        <v>744.485023806935</v>
      </c>
      <c r="H158" s="831">
        <f t="shared" si="70"/>
        <v>802.793530021103</v>
      </c>
      <c r="I158" s="831">
        <f t="shared" si="70"/>
        <v>839.885986800619</v>
      </c>
      <c r="J158" s="831">
        <f t="shared" si="70"/>
        <v>791.471897266277</v>
      </c>
      <c r="K158" s="831">
        <f t="shared" si="70"/>
        <v>852.064688199983</v>
      </c>
      <c r="L158" s="831">
        <f t="shared" si="70"/>
        <v>770.867844415357</v>
      </c>
      <c r="M158" s="831">
        <f t="shared" si="70"/>
        <v>780.476964282657</v>
      </c>
      <c r="N158" s="831">
        <f t="shared" si="70"/>
        <v>835.150796510589</v>
      </c>
      <c r="O158" s="831">
        <f t="shared" si="70"/>
        <v>769.486218130823</v>
      </c>
      <c r="P158" s="831">
        <f t="shared" si="70"/>
        <v>853.259588712182</v>
      </c>
      <c r="Q158" s="829">
        <f>SUM(E158:P158)</f>
        <v>9693.68962781156</v>
      </c>
    </row>
    <row r="159" ht="28.5" hidden="1" spans="2:17">
      <c r="B159" s="820">
        <f t="shared" si="69"/>
        <v>5</v>
      </c>
      <c r="C159" s="822" t="s">
        <v>308</v>
      </c>
      <c r="D159" s="820" t="s">
        <v>304</v>
      </c>
      <c r="E159" s="831">
        <f>[39]Rqmnt!L46-E158</f>
        <v>5625.46682293014</v>
      </c>
      <c r="F159" s="831">
        <f>[39]Rqmnt!M46-F158</f>
        <v>5246.48027849206</v>
      </c>
      <c r="G159" s="831">
        <f>[39]Rqmnt!N46-G158</f>
        <v>5039.71002678714</v>
      </c>
      <c r="H159" s="831">
        <f>[39]Rqmnt!O46-H158</f>
        <v>4770.0436179391</v>
      </c>
      <c r="I159" s="831">
        <f>[39]Rqmnt!P46-I158</f>
        <v>5466.36682512523</v>
      </c>
      <c r="J159" s="831">
        <f>[39]Rqmnt!Q46-J158</f>
        <v>5430.95062769465</v>
      </c>
      <c r="K159" s="831">
        <f>[39]Rqmnt!R46-K158</f>
        <v>5039.16839967069</v>
      </c>
      <c r="L159" s="831">
        <f>[39]Rqmnt!S46-L158</f>
        <v>4815.81461704451</v>
      </c>
      <c r="M159" s="831">
        <f>[39]Rqmnt!T46-M158</f>
        <v>5085.72285058296</v>
      </c>
      <c r="N159" s="831">
        <f>[39]Rqmnt!U46-N158</f>
        <v>5607.58430082611</v>
      </c>
      <c r="O159" s="831">
        <f>[39]Rqmnt!V46-O158</f>
        <v>5659.26418263079</v>
      </c>
      <c r="P159" s="831">
        <f>[39]Rqmnt!W46-P158</f>
        <v>6702.39031573984</v>
      </c>
      <c r="Q159" s="829">
        <f>SUM(E159:P159)</f>
        <v>64488.9628654632</v>
      </c>
    </row>
    <row r="160" ht="15" hidden="1" spans="2:17">
      <c r="B160" s="820">
        <f t="shared" si="69"/>
        <v>6</v>
      </c>
      <c r="C160" s="821" t="s">
        <v>309</v>
      </c>
      <c r="D160" s="820" t="s">
        <v>304</v>
      </c>
      <c r="E160" s="831">
        <f>[39]Rqmnt!L37</f>
        <v>891.155118848532</v>
      </c>
      <c r="F160" s="831">
        <f>[39]Rqmnt!M37</f>
        <v>861.930558299359</v>
      </c>
      <c r="G160" s="831">
        <f>[39]Rqmnt!N37</f>
        <v>891.877279550399</v>
      </c>
      <c r="H160" s="831">
        <f>[39]Rqmnt!O37</f>
        <v>892.734245385777</v>
      </c>
      <c r="I160" s="831">
        <f>[39]Rqmnt!P37</f>
        <v>1080.81720999726</v>
      </c>
      <c r="J160" s="831">
        <f>[39]Rqmnt!Q37</f>
        <v>1133.8272283399</v>
      </c>
      <c r="K160" s="831">
        <f>[39]Rqmnt!R37</f>
        <v>1182.30021335244</v>
      </c>
      <c r="L160" s="831">
        <f>[39]Rqmnt!S37</f>
        <v>1142.41405751717</v>
      </c>
      <c r="M160" s="831">
        <f>[39]Rqmnt!T37</f>
        <v>1017.60413799308</v>
      </c>
      <c r="N160" s="831">
        <f>[39]Rqmnt!U37</f>
        <v>994.111397771514</v>
      </c>
      <c r="O160" s="831">
        <f>[39]Rqmnt!V37</f>
        <v>937.036973610869</v>
      </c>
      <c r="P160" s="831">
        <f>[39]Rqmnt!W37</f>
        <v>1006.87433546201</v>
      </c>
      <c r="Q160" s="829">
        <f>SUM(E160:P160)</f>
        <v>12032.6827561283</v>
      </c>
    </row>
    <row r="161" hidden="1" spans="2:17">
      <c r="B161" s="820">
        <f t="shared" si="69"/>
        <v>7</v>
      </c>
      <c r="C161" s="821" t="s">
        <v>310</v>
      </c>
      <c r="D161" s="820" t="s">
        <v>306</v>
      </c>
      <c r="E161" s="830">
        <f t="shared" ref="E161:P161" si="71">E162/(E159+E155)</f>
        <v>0.0242739053257847</v>
      </c>
      <c r="F161" s="830">
        <f t="shared" si="71"/>
        <v>0.0242761791726698</v>
      </c>
      <c r="G161" s="830">
        <f t="shared" si="71"/>
        <v>0.0242936273652024</v>
      </c>
      <c r="H161" s="830">
        <f t="shared" si="71"/>
        <v>0.0242728043447645</v>
      </c>
      <c r="I161" s="830">
        <f t="shared" si="71"/>
        <v>0.0242871908918809</v>
      </c>
      <c r="J161" s="830">
        <f t="shared" si="71"/>
        <v>0.0242879510962634</v>
      </c>
      <c r="K161" s="830">
        <f t="shared" si="71"/>
        <v>0.0242794114817285</v>
      </c>
      <c r="L161" s="830">
        <f t="shared" si="71"/>
        <v>0.0242864453080147</v>
      </c>
      <c r="M161" s="830">
        <f t="shared" si="71"/>
        <v>0.0242675709738007</v>
      </c>
      <c r="N161" s="830">
        <f t="shared" si="71"/>
        <v>0.0242728211966876</v>
      </c>
      <c r="O161" s="830">
        <f t="shared" si="71"/>
        <v>0.0242865844799724</v>
      </c>
      <c r="P161" s="830">
        <f t="shared" si="71"/>
        <v>0.0242988525346982</v>
      </c>
      <c r="Q161" s="830">
        <f>Q162/(Q159+Q158)</f>
        <v>0.0244</v>
      </c>
    </row>
    <row r="162" ht="15" hidden="1" spans="2:17">
      <c r="B162" s="820">
        <f t="shared" si="69"/>
        <v>8</v>
      </c>
      <c r="C162" s="821" t="s">
        <v>310</v>
      </c>
      <c r="D162" s="820" t="s">
        <v>304</v>
      </c>
      <c r="E162" s="831">
        <f>[39]Rqmnt!L47</f>
        <v>157.226835980111</v>
      </c>
      <c r="F162" s="831">
        <f>[39]Rqmnt!M47</f>
        <v>148.400102282418</v>
      </c>
      <c r="G162" s="831">
        <f>[39]Rqmnt!N47</f>
        <v>141.134359234496</v>
      </c>
      <c r="H162" s="831">
        <f>[39]Rqmnt!O47</f>
        <v>135.977226410229</v>
      </c>
      <c r="I162" s="831">
        <f>[39]Rqmnt!P47</f>
        <v>153.872568610991</v>
      </c>
      <c r="J162" s="831">
        <f>[39]Rqmnt!Q47</f>
        <v>151.827109609047</v>
      </c>
      <c r="K162" s="831">
        <f>[39]Rqmnt!R47</f>
        <v>143.746087344044</v>
      </c>
      <c r="L162" s="831">
        <f>[39]Rqmnt!S47</f>
        <v>136.315052059621</v>
      </c>
      <c r="M162" s="831">
        <f>[39]Rqmnt!T47</f>
        <v>143.135275482721</v>
      </c>
      <c r="N162" s="831">
        <f>[39]Rqmnt!U47</f>
        <v>157.202736375016</v>
      </c>
      <c r="O162" s="831">
        <f>[39]Rqmnt!V47</f>
        <v>156.861509778583</v>
      </c>
      <c r="P162" s="831">
        <f>[39]Rqmnt!W47</f>
        <v>184.357857668629</v>
      </c>
      <c r="Q162" s="832">
        <f>SUM(E162:P162)</f>
        <v>1810.05672083591</v>
      </c>
    </row>
    <row r="163" ht="28.5" hidden="1" spans="2:17">
      <c r="B163" s="820">
        <f t="shared" si="69"/>
        <v>9</v>
      </c>
      <c r="C163" s="822" t="s">
        <v>311</v>
      </c>
      <c r="D163" s="820" t="s">
        <v>304</v>
      </c>
      <c r="E163" s="831">
        <f t="shared" ref="E163:P163" si="72">E158+E159-E160-E162</f>
        <v>5395.34083124147</v>
      </c>
      <c r="F163" s="831">
        <f t="shared" si="72"/>
        <v>5071.64074443535</v>
      </c>
      <c r="G163" s="831">
        <f t="shared" si="72"/>
        <v>4751.18341180919</v>
      </c>
      <c r="H163" s="831">
        <f t="shared" si="72"/>
        <v>4544.12567616419</v>
      </c>
      <c r="I163" s="831">
        <f t="shared" si="72"/>
        <v>5071.5630333176</v>
      </c>
      <c r="J163" s="831">
        <f t="shared" si="72"/>
        <v>4936.76818701198</v>
      </c>
      <c r="K163" s="831">
        <f t="shared" si="72"/>
        <v>4565.18678717419</v>
      </c>
      <c r="L163" s="831">
        <f t="shared" si="72"/>
        <v>4307.95335188308</v>
      </c>
      <c r="M163" s="831">
        <f t="shared" si="72"/>
        <v>4705.46040138982</v>
      </c>
      <c r="N163" s="831">
        <f t="shared" si="72"/>
        <v>5291.42096319017</v>
      </c>
      <c r="O163" s="831">
        <f t="shared" si="72"/>
        <v>5334.85191737216</v>
      </c>
      <c r="P163" s="831">
        <f t="shared" si="72"/>
        <v>6364.41771132138</v>
      </c>
      <c r="Q163" s="829">
        <f>SUM(E163:P163)</f>
        <v>60339.9130163106</v>
      </c>
    </row>
    <row r="164" ht="15" hidden="1" spans="2:17">
      <c r="B164" s="820"/>
      <c r="C164" s="823" t="s">
        <v>312</v>
      </c>
      <c r="D164" s="820"/>
      <c r="E164" s="287"/>
      <c r="F164" s="287"/>
      <c r="G164" s="287"/>
      <c r="H164" s="287"/>
      <c r="I164" s="287"/>
      <c r="J164" s="287"/>
      <c r="K164" s="287"/>
      <c r="L164" s="287"/>
      <c r="M164" s="287"/>
      <c r="N164" s="287"/>
      <c r="O164" s="287"/>
      <c r="P164" s="287"/>
      <c r="Q164" s="829"/>
    </row>
    <row r="165" ht="28.5" hidden="1" spans="2:17">
      <c r="B165" s="820">
        <f>B163+1</f>
        <v>10</v>
      </c>
      <c r="C165" s="822" t="s">
        <v>313</v>
      </c>
      <c r="D165" s="820" t="s">
        <v>304</v>
      </c>
      <c r="E165" s="831">
        <f>[39]Rqmnt!L7</f>
        <v>5395.34083124147</v>
      </c>
      <c r="F165" s="831">
        <f>[39]Rqmnt!M7</f>
        <v>5071.64074443535</v>
      </c>
      <c r="G165" s="831">
        <f>[39]Rqmnt!N7</f>
        <v>4751.18341180919</v>
      </c>
      <c r="H165" s="831">
        <f>[39]Rqmnt!O7</f>
        <v>4544.1256761642</v>
      </c>
      <c r="I165" s="831">
        <f>[39]Rqmnt!P7</f>
        <v>5071.5630333176</v>
      </c>
      <c r="J165" s="831">
        <f>[39]Rqmnt!Q7</f>
        <v>4936.76818701198</v>
      </c>
      <c r="K165" s="831">
        <f>[39]Rqmnt!R7</f>
        <v>4565.18678717418</v>
      </c>
      <c r="L165" s="831">
        <f>[39]Rqmnt!S7</f>
        <v>4307.95335188307</v>
      </c>
      <c r="M165" s="831">
        <f>[39]Rqmnt!T7</f>
        <v>4705.46040138982</v>
      </c>
      <c r="N165" s="831">
        <f>[39]Rqmnt!U7</f>
        <v>5291.42096319017</v>
      </c>
      <c r="O165" s="831">
        <f>[39]Rqmnt!V7</f>
        <v>5334.85191737215</v>
      </c>
      <c r="P165" s="831">
        <f>[39]Rqmnt!W7</f>
        <v>6364.41771132137</v>
      </c>
      <c r="Q165" s="832">
        <f>SUM(E165:P165)</f>
        <v>60339.9130163106</v>
      </c>
    </row>
    <row r="166" ht="15" hidden="1" spans="2:17">
      <c r="B166" s="820">
        <f t="shared" ref="B166:B169" si="73">B165+1</f>
        <v>11</v>
      </c>
      <c r="C166" s="821" t="s">
        <v>314</v>
      </c>
      <c r="D166" s="820" t="s">
        <v>304</v>
      </c>
      <c r="E166" s="831">
        <f>[39]Rqmnt!L9</f>
        <v>975.075206765121</v>
      </c>
      <c r="F166" s="831">
        <f>[39]Rqmnt!M9</f>
        <v>1045.40243563981</v>
      </c>
      <c r="G166" s="831">
        <f>[39]Rqmnt!N9</f>
        <v>1027.28109578235</v>
      </c>
      <c r="H166" s="831">
        <f>[39]Rqmnt!O9</f>
        <v>1003.65166615867</v>
      </c>
      <c r="I166" s="831">
        <f>[39]Rqmnt!P9</f>
        <v>1028.02514729429</v>
      </c>
      <c r="J166" s="831">
        <f>[39]Rqmnt!Q9</f>
        <v>990.963462785914</v>
      </c>
      <c r="K166" s="831">
        <f>[39]Rqmnt!R9</f>
        <v>1004.84457683346</v>
      </c>
      <c r="L166" s="831">
        <f>[39]Rqmnt!S9</f>
        <v>1004.98025629452</v>
      </c>
      <c r="M166" s="831">
        <f>[39]Rqmnt!T9</f>
        <v>1003.45285019928</v>
      </c>
      <c r="N166" s="831">
        <f>[39]Rqmnt!U9</f>
        <v>1004.95851118098</v>
      </c>
      <c r="O166" s="831">
        <f>[39]Rqmnt!V9</f>
        <v>991.045006887977</v>
      </c>
      <c r="P166" s="831">
        <f>[39]Rqmnt!W9</f>
        <v>1122.72097479207</v>
      </c>
      <c r="Q166" s="832">
        <f>SUM(E166:P166)</f>
        <v>12202.4011906144</v>
      </c>
    </row>
    <row r="167" hidden="1" spans="2:17">
      <c r="B167" s="820">
        <f t="shared" si="73"/>
        <v>12</v>
      </c>
      <c r="C167" s="821" t="s">
        <v>315</v>
      </c>
      <c r="D167" s="820" t="s">
        <v>306</v>
      </c>
      <c r="E167" s="830">
        <f t="shared" ref="E167:Q167" si="74">E168/E165</f>
        <v>0.0314</v>
      </c>
      <c r="F167" s="830">
        <f t="shared" si="74"/>
        <v>0.0314</v>
      </c>
      <c r="G167" s="830">
        <f t="shared" si="74"/>
        <v>0.0313999999999999</v>
      </c>
      <c r="H167" s="830">
        <f t="shared" si="74"/>
        <v>0.0313999999999998</v>
      </c>
      <c r="I167" s="830">
        <f t="shared" si="74"/>
        <v>0.0314000000000001</v>
      </c>
      <c r="J167" s="830">
        <f t="shared" si="74"/>
        <v>0.0314000000000002</v>
      </c>
      <c r="K167" s="830">
        <f t="shared" si="74"/>
        <v>0.0313999999999999</v>
      </c>
      <c r="L167" s="830">
        <f t="shared" si="74"/>
        <v>0.0314000000000001</v>
      </c>
      <c r="M167" s="830">
        <f t="shared" si="74"/>
        <v>0.0314000000000001</v>
      </c>
      <c r="N167" s="830">
        <f t="shared" si="74"/>
        <v>0.0314000000000001</v>
      </c>
      <c r="O167" s="830">
        <f t="shared" si="74"/>
        <v>0.0313999999999999</v>
      </c>
      <c r="P167" s="830">
        <f t="shared" si="74"/>
        <v>0.0314</v>
      </c>
      <c r="Q167" s="830">
        <f t="shared" si="74"/>
        <v>0.0314</v>
      </c>
    </row>
    <row r="168" hidden="1" spans="2:17">
      <c r="B168" s="820">
        <f t="shared" si="73"/>
        <v>13</v>
      </c>
      <c r="C168" s="821" t="s">
        <v>315</v>
      </c>
      <c r="D168" s="820" t="s">
        <v>304</v>
      </c>
      <c r="E168" s="831">
        <f>[39]Rqmnt!L11</f>
        <v>169.413702100982</v>
      </c>
      <c r="F168" s="831">
        <f>[39]Rqmnt!M11</f>
        <v>159.24951937527</v>
      </c>
      <c r="G168" s="831">
        <f>[39]Rqmnt!N11</f>
        <v>149.187159130808</v>
      </c>
      <c r="H168" s="831">
        <f>[39]Rqmnt!O11</f>
        <v>142.685546231555</v>
      </c>
      <c r="I168" s="831">
        <f>[39]Rqmnt!P11</f>
        <v>159.247079246173</v>
      </c>
      <c r="J168" s="831">
        <f>[39]Rqmnt!Q11</f>
        <v>155.014521072177</v>
      </c>
      <c r="K168" s="831">
        <f>[39]Rqmnt!R11</f>
        <v>143.346865117269</v>
      </c>
      <c r="L168" s="831">
        <f>[39]Rqmnt!S11</f>
        <v>135.269735249129</v>
      </c>
      <c r="M168" s="831">
        <f>[39]Rqmnt!T11</f>
        <v>147.751456603641</v>
      </c>
      <c r="N168" s="831">
        <f>[39]Rqmnt!U11</f>
        <v>166.150618244172</v>
      </c>
      <c r="O168" s="831">
        <f>[39]Rqmnt!V11</f>
        <v>167.514350205485</v>
      </c>
      <c r="P168" s="831">
        <f>[39]Rqmnt!W11</f>
        <v>199.842716135491</v>
      </c>
      <c r="Q168" s="831">
        <f>SUM(E168:P168)</f>
        <v>1894.67326871215</v>
      </c>
    </row>
    <row r="169" ht="15" hidden="1" spans="2:17">
      <c r="B169" s="820">
        <f t="shared" si="73"/>
        <v>14</v>
      </c>
      <c r="C169" s="822" t="s">
        <v>337</v>
      </c>
      <c r="D169" s="820" t="s">
        <v>304</v>
      </c>
      <c r="E169" s="831">
        <f t="shared" ref="E169:P169" si="75">E165-E166-E168</f>
        <v>4250.85192237537</v>
      </c>
      <c r="F169" s="831">
        <f t="shared" si="75"/>
        <v>3866.98878942027</v>
      </c>
      <c r="G169" s="831">
        <f t="shared" si="75"/>
        <v>3574.71515689603</v>
      </c>
      <c r="H169" s="831">
        <f t="shared" si="75"/>
        <v>3397.78846377397</v>
      </c>
      <c r="I169" s="831">
        <f t="shared" si="75"/>
        <v>3884.29080677714</v>
      </c>
      <c r="J169" s="831">
        <f t="shared" si="75"/>
        <v>3790.79020315389</v>
      </c>
      <c r="K169" s="831">
        <f t="shared" si="75"/>
        <v>3416.99534522345</v>
      </c>
      <c r="L169" s="831">
        <f t="shared" si="75"/>
        <v>3167.70336033942</v>
      </c>
      <c r="M169" s="831">
        <f t="shared" si="75"/>
        <v>3554.2560945869</v>
      </c>
      <c r="N169" s="831">
        <f t="shared" si="75"/>
        <v>4120.31183376502</v>
      </c>
      <c r="O169" s="831">
        <f t="shared" si="75"/>
        <v>4176.29256027869</v>
      </c>
      <c r="P169" s="831">
        <f t="shared" si="75"/>
        <v>5041.85402039381</v>
      </c>
      <c r="Q169" s="832">
        <f>SUM(E169:P169)</f>
        <v>46242.838556984</v>
      </c>
    </row>
    <row r="170" ht="15" hidden="1" spans="2:17">
      <c r="B170" s="820"/>
      <c r="C170" s="823" t="s">
        <v>317</v>
      </c>
      <c r="D170" s="820"/>
      <c r="E170" s="287"/>
      <c r="F170" s="287"/>
      <c r="G170" s="287"/>
      <c r="H170" s="287"/>
      <c r="I170" s="287"/>
      <c r="J170" s="287"/>
      <c r="K170" s="287"/>
      <c r="L170" s="287"/>
      <c r="M170" s="287"/>
      <c r="N170" s="287"/>
      <c r="O170" s="287"/>
      <c r="P170" s="287"/>
      <c r="Q170" s="829"/>
    </row>
    <row r="171" ht="28.5" hidden="1" spans="2:17">
      <c r="B171" s="820">
        <f>B169+1</f>
        <v>15</v>
      </c>
      <c r="C171" s="822" t="s">
        <v>318</v>
      </c>
      <c r="D171" s="820" t="s">
        <v>304</v>
      </c>
      <c r="E171" s="831">
        <f>[39]Rqmnt!L19</f>
        <v>4250.85192237536</v>
      </c>
      <c r="F171" s="831">
        <f>[39]Rqmnt!M19</f>
        <v>3866.98878942027</v>
      </c>
      <c r="G171" s="831">
        <f>[39]Rqmnt!N19</f>
        <v>3574.71515689603</v>
      </c>
      <c r="H171" s="831">
        <f>[39]Rqmnt!O19</f>
        <v>3397.78846377397</v>
      </c>
      <c r="I171" s="831">
        <f>[39]Rqmnt!P19</f>
        <v>3884.29080677714</v>
      </c>
      <c r="J171" s="831">
        <f>[39]Rqmnt!Q19</f>
        <v>3790.79020315389</v>
      </c>
      <c r="K171" s="831">
        <f>[39]Rqmnt!R19</f>
        <v>3416.99534522346</v>
      </c>
      <c r="L171" s="831">
        <f>[39]Rqmnt!S19</f>
        <v>3167.70336033942</v>
      </c>
      <c r="M171" s="831">
        <f>[39]Rqmnt!T19</f>
        <v>3554.2560945869</v>
      </c>
      <c r="N171" s="831">
        <f>[39]Rqmnt!U19</f>
        <v>4120.31183376502</v>
      </c>
      <c r="O171" s="831">
        <f>[39]Rqmnt!V19</f>
        <v>4176.29256027869</v>
      </c>
      <c r="P171" s="831">
        <f>[39]Rqmnt!W19</f>
        <v>5041.85402039381</v>
      </c>
      <c r="Q171" s="832">
        <f>SUM(E171:P171)</f>
        <v>46242.838556984</v>
      </c>
    </row>
    <row r="172" ht="15" hidden="1" spans="2:17">
      <c r="B172" s="820">
        <f t="shared" ref="B172:B176" si="76">B171+1</f>
        <v>16</v>
      </c>
      <c r="C172" s="822" t="s">
        <v>319</v>
      </c>
      <c r="D172" s="820" t="s">
        <v>304</v>
      </c>
      <c r="E172" s="831"/>
      <c r="F172" s="831"/>
      <c r="G172" s="831"/>
      <c r="H172" s="831"/>
      <c r="I172" s="831"/>
      <c r="J172" s="831"/>
      <c r="K172" s="831"/>
      <c r="L172" s="831"/>
      <c r="M172" s="831"/>
      <c r="N172" s="831"/>
      <c r="O172" s="831"/>
      <c r="P172" s="831"/>
      <c r="Q172" s="832">
        <f>SUM(E172:P172)</f>
        <v>0</v>
      </c>
    </row>
    <row r="173" ht="15" hidden="1" spans="2:17">
      <c r="B173" s="820">
        <f t="shared" si="76"/>
        <v>17</v>
      </c>
      <c r="C173" s="821" t="s">
        <v>320</v>
      </c>
      <c r="D173" s="820" t="s">
        <v>304</v>
      </c>
      <c r="E173" s="831">
        <f>[39]Rqmnt!L20</f>
        <v>796.075684364588</v>
      </c>
      <c r="F173" s="831">
        <f>[39]Rqmnt!M20</f>
        <v>843.882289976883</v>
      </c>
      <c r="G173" s="831">
        <f>[39]Rqmnt!N20</f>
        <v>831.781934973786</v>
      </c>
      <c r="H173" s="831">
        <f>[39]Rqmnt!O20</f>
        <v>761.904924711557</v>
      </c>
      <c r="I173" s="831">
        <f>[39]Rqmnt!P20</f>
        <v>805.95484997383</v>
      </c>
      <c r="J173" s="831">
        <f>[39]Rqmnt!Q20</f>
        <v>756.940241891133</v>
      </c>
      <c r="K173" s="831">
        <f>[39]Rqmnt!R20</f>
        <v>781.731373847767</v>
      </c>
      <c r="L173" s="831">
        <f>[39]Rqmnt!S20</f>
        <v>762.854773274848</v>
      </c>
      <c r="M173" s="831">
        <f>[39]Rqmnt!T20</f>
        <v>766.493546667944</v>
      </c>
      <c r="N173" s="831">
        <f>[39]Rqmnt!U20</f>
        <v>754.571356352307</v>
      </c>
      <c r="O173" s="831">
        <f>[39]Rqmnt!V20</f>
        <v>772.345696422497</v>
      </c>
      <c r="P173" s="831">
        <f>[39]Rqmnt!W20</f>
        <v>855.437887102204</v>
      </c>
      <c r="Q173" s="832">
        <f>SUM(E173:P173)</f>
        <v>9489.97455955934</v>
      </c>
    </row>
    <row r="174" hidden="1" spans="2:17">
      <c r="B174" s="820">
        <f t="shared" si="76"/>
        <v>18</v>
      </c>
      <c r="C174" s="821" t="s">
        <v>321</v>
      </c>
      <c r="D174" s="820" t="s">
        <v>306</v>
      </c>
      <c r="E174" s="830">
        <f t="shared" ref="E174:Q174" si="77">E175/E171</f>
        <v>0.0401</v>
      </c>
      <c r="F174" s="830">
        <f t="shared" si="77"/>
        <v>0.0401</v>
      </c>
      <c r="G174" s="830">
        <f t="shared" si="77"/>
        <v>0.0401000000000001</v>
      </c>
      <c r="H174" s="830">
        <f t="shared" si="77"/>
        <v>0.0401000000000002</v>
      </c>
      <c r="I174" s="830">
        <f t="shared" si="77"/>
        <v>0.0400999999999999</v>
      </c>
      <c r="J174" s="830">
        <f t="shared" si="77"/>
        <v>0.0401</v>
      </c>
      <c r="K174" s="830">
        <f t="shared" si="77"/>
        <v>0.0401000000000001</v>
      </c>
      <c r="L174" s="830">
        <f t="shared" si="77"/>
        <v>0.0401000000000001</v>
      </c>
      <c r="M174" s="830">
        <f t="shared" si="77"/>
        <v>0.0401000000000001</v>
      </c>
      <c r="N174" s="830">
        <f t="shared" si="77"/>
        <v>0.0401000000000002</v>
      </c>
      <c r="O174" s="830">
        <f t="shared" si="77"/>
        <v>0.0401000000000001</v>
      </c>
      <c r="P174" s="830">
        <f t="shared" si="77"/>
        <v>0.0401</v>
      </c>
      <c r="Q174" s="830">
        <f t="shared" si="77"/>
        <v>0.0401000000000001</v>
      </c>
    </row>
    <row r="175" ht="15" hidden="1" spans="2:17">
      <c r="B175" s="820">
        <f t="shared" si="76"/>
        <v>19</v>
      </c>
      <c r="C175" s="821" t="s">
        <v>321</v>
      </c>
      <c r="D175" s="820" t="s">
        <v>304</v>
      </c>
      <c r="E175" s="831">
        <f>[39]Rqmnt!L22</f>
        <v>170.459162087252</v>
      </c>
      <c r="F175" s="831">
        <f>[39]Rqmnt!M22</f>
        <v>155.066250455753</v>
      </c>
      <c r="G175" s="831">
        <f>[39]Rqmnt!N22</f>
        <v>143.346077791531</v>
      </c>
      <c r="H175" s="831">
        <f>[39]Rqmnt!O22</f>
        <v>136.251317397337</v>
      </c>
      <c r="I175" s="831">
        <f>[39]Rqmnt!P22</f>
        <v>155.760061351763</v>
      </c>
      <c r="J175" s="831">
        <f>[39]Rqmnt!Q22</f>
        <v>152.010687146471</v>
      </c>
      <c r="K175" s="831">
        <f>[39]Rqmnt!R22</f>
        <v>137.021513343461</v>
      </c>
      <c r="L175" s="831">
        <f>[39]Rqmnt!S22</f>
        <v>127.024904749611</v>
      </c>
      <c r="M175" s="831">
        <f>[39]Rqmnt!T22</f>
        <v>142.525669392935</v>
      </c>
      <c r="N175" s="831">
        <f>[39]Rqmnt!U22</f>
        <v>165.224504533978</v>
      </c>
      <c r="O175" s="831">
        <f>[39]Rqmnt!V22</f>
        <v>167.469331667176</v>
      </c>
      <c r="P175" s="831">
        <f>[39]Rqmnt!W22</f>
        <v>202.178346217792</v>
      </c>
      <c r="Q175" s="832">
        <f>SUM(E175:P175)</f>
        <v>1854.33782613506</v>
      </c>
    </row>
    <row r="176" ht="15" hidden="1" spans="2:17">
      <c r="B176" s="820">
        <f t="shared" si="76"/>
        <v>20</v>
      </c>
      <c r="C176" s="822" t="s">
        <v>338</v>
      </c>
      <c r="D176" s="820" t="s">
        <v>304</v>
      </c>
      <c r="E176" s="831">
        <f t="shared" ref="E176:P176" si="78">E171+E172-E173-E175</f>
        <v>3284.31707592352</v>
      </c>
      <c r="F176" s="831">
        <f t="shared" si="78"/>
        <v>2868.04024898763</v>
      </c>
      <c r="G176" s="831">
        <f t="shared" si="78"/>
        <v>2599.58714413071</v>
      </c>
      <c r="H176" s="831">
        <f t="shared" si="78"/>
        <v>2499.63222166508</v>
      </c>
      <c r="I176" s="831">
        <f t="shared" si="78"/>
        <v>2922.57589545155</v>
      </c>
      <c r="J176" s="831">
        <f t="shared" si="78"/>
        <v>2881.83927411629</v>
      </c>
      <c r="K176" s="831">
        <f t="shared" si="78"/>
        <v>2498.24245803223</v>
      </c>
      <c r="L176" s="831">
        <f t="shared" si="78"/>
        <v>2277.82368231496</v>
      </c>
      <c r="M176" s="831">
        <f t="shared" si="78"/>
        <v>2645.23687852602</v>
      </c>
      <c r="N176" s="831">
        <f t="shared" si="78"/>
        <v>3200.51597287874</v>
      </c>
      <c r="O176" s="831">
        <f t="shared" si="78"/>
        <v>3236.47753218902</v>
      </c>
      <c r="P176" s="831">
        <f t="shared" si="78"/>
        <v>3984.23778707381</v>
      </c>
      <c r="Q176" s="832">
        <f>SUM(E176:P176)</f>
        <v>34898.5261712896</v>
      </c>
    </row>
    <row r="177" ht="15" hidden="1" spans="2:17">
      <c r="B177" s="820"/>
      <c r="C177" s="823" t="s">
        <v>323</v>
      </c>
      <c r="D177" s="820"/>
      <c r="E177" s="287"/>
      <c r="F177" s="287"/>
      <c r="G177" s="287"/>
      <c r="H177" s="287"/>
      <c r="I177" s="287"/>
      <c r="J177" s="287"/>
      <c r="K177" s="287"/>
      <c r="L177" s="287"/>
      <c r="M177" s="287"/>
      <c r="N177" s="287"/>
      <c r="O177" s="287"/>
      <c r="P177" s="287"/>
      <c r="Q177" s="829"/>
    </row>
    <row r="178" ht="28.5" hidden="1" spans="2:17">
      <c r="B178" s="820"/>
      <c r="C178" s="822" t="s">
        <v>324</v>
      </c>
      <c r="D178" s="820" t="s">
        <v>304</v>
      </c>
      <c r="E178" s="831">
        <f>[39]Rqmnt!L27</f>
        <v>3284.31707592352</v>
      </c>
      <c r="F178" s="831">
        <f>[39]Rqmnt!M27</f>
        <v>2868.04024898763</v>
      </c>
      <c r="G178" s="831">
        <f>[39]Rqmnt!N27</f>
        <v>2599.58714413071</v>
      </c>
      <c r="H178" s="831">
        <f>[39]Rqmnt!O27</f>
        <v>2499.63222166508</v>
      </c>
      <c r="I178" s="831">
        <f>[39]Rqmnt!P27</f>
        <v>2922.57589545154</v>
      </c>
      <c r="J178" s="831">
        <f>[39]Rqmnt!Q27</f>
        <v>2881.83927411629</v>
      </c>
      <c r="K178" s="831">
        <f>[39]Rqmnt!R27</f>
        <v>2498.24245803223</v>
      </c>
      <c r="L178" s="831">
        <f>[39]Rqmnt!S27</f>
        <v>2277.82368231496</v>
      </c>
      <c r="M178" s="831">
        <f>[39]Rqmnt!T27</f>
        <v>2645.23687852602</v>
      </c>
      <c r="N178" s="831">
        <f>[39]Rqmnt!U27</f>
        <v>3200.51597287874</v>
      </c>
      <c r="O178" s="831">
        <f>[39]Rqmnt!V27</f>
        <v>3236.47753218902</v>
      </c>
      <c r="P178" s="831">
        <f>[39]Rqmnt!W27</f>
        <v>3984.23778707382</v>
      </c>
      <c r="Q178" s="829">
        <f>SUM(E178:P178)</f>
        <v>34898.5261712896</v>
      </c>
    </row>
    <row r="179" ht="15" hidden="1" spans="2:17">
      <c r="B179" s="820">
        <f>B176+1</f>
        <v>21</v>
      </c>
      <c r="C179" s="822" t="s">
        <v>319</v>
      </c>
      <c r="D179" s="820" t="s">
        <v>304</v>
      </c>
      <c r="E179" s="287"/>
      <c r="F179" s="287"/>
      <c r="G179" s="287"/>
      <c r="H179" s="287"/>
      <c r="I179" s="287"/>
      <c r="J179" s="287"/>
      <c r="K179" s="287"/>
      <c r="L179" s="287"/>
      <c r="M179" s="287"/>
      <c r="N179" s="287"/>
      <c r="O179" s="287"/>
      <c r="P179" s="287"/>
      <c r="Q179" s="829">
        <f>SUM(E179:P179)</f>
        <v>0</v>
      </c>
    </row>
    <row r="180" ht="15" hidden="1" spans="2:17">
      <c r="B180" s="820">
        <f t="shared" ref="B180:B182" si="79">B179+1</f>
        <v>22</v>
      </c>
      <c r="C180" s="821" t="s">
        <v>325</v>
      </c>
      <c r="D180" s="820" t="s">
        <v>304</v>
      </c>
      <c r="E180" s="831">
        <f>[39]Rqmnt!L28+[39]Rqmnt!L29</f>
        <v>3133.23849043104</v>
      </c>
      <c r="F180" s="831">
        <f>[39]Rqmnt!M28+[39]Rqmnt!M29</f>
        <v>2736.1103975342</v>
      </c>
      <c r="G180" s="831">
        <f>[39]Rqmnt!N28+[39]Rqmnt!N29</f>
        <v>2480.0061355007</v>
      </c>
      <c r="H180" s="831">
        <f>[39]Rqmnt!O28+[39]Rqmnt!O29</f>
        <v>2384.64913946849</v>
      </c>
      <c r="I180" s="831">
        <f>[39]Rqmnt!P28+[39]Rqmnt!P29</f>
        <v>2788.13740426077</v>
      </c>
      <c r="J180" s="831">
        <f>[39]Rqmnt!Q28+[39]Rqmnt!Q29</f>
        <v>2749.27466750694</v>
      </c>
      <c r="K180" s="831">
        <f>[39]Rqmnt!R28+[39]Rqmnt!R29</f>
        <v>2383.32330496274</v>
      </c>
      <c r="L180" s="831">
        <f>[39]Rqmnt!S28+[39]Rqmnt!S29</f>
        <v>2173.04379292847</v>
      </c>
      <c r="M180" s="831">
        <f>[39]Rqmnt!T28+[39]Rqmnt!T29</f>
        <v>2523.55598211382</v>
      </c>
      <c r="N180" s="831">
        <f>[39]Rqmnt!U28+[39]Rqmnt!U29</f>
        <v>3053.29223812631</v>
      </c>
      <c r="O180" s="831">
        <f>[39]Rqmnt!V28+[39]Rqmnt!V29</f>
        <v>3087.59956570832</v>
      </c>
      <c r="P180" s="831">
        <f>[39]Rqmnt!W28+[39]Rqmnt!W29</f>
        <v>3800.96284886843</v>
      </c>
      <c r="Q180" s="832">
        <f>SUM(E180:P180)</f>
        <v>33293.1939674102</v>
      </c>
    </row>
    <row r="181" hidden="1" spans="2:17">
      <c r="B181" s="820">
        <f t="shared" si="79"/>
        <v>23</v>
      </c>
      <c r="C181" s="821" t="s">
        <v>326</v>
      </c>
      <c r="D181" s="820" t="s">
        <v>306</v>
      </c>
      <c r="E181" s="830">
        <f t="shared" ref="E181:Q181" si="80">E182/E178</f>
        <v>0.046</v>
      </c>
      <c r="F181" s="830">
        <f t="shared" si="80"/>
        <v>0.046</v>
      </c>
      <c r="G181" s="830">
        <f t="shared" si="80"/>
        <v>0.0460000000000001</v>
      </c>
      <c r="H181" s="830">
        <f t="shared" si="80"/>
        <v>0.0460000000000001</v>
      </c>
      <c r="I181" s="830">
        <f t="shared" si="80"/>
        <v>0.0460000000000001</v>
      </c>
      <c r="J181" s="830">
        <f t="shared" si="80"/>
        <v>0.0460000000000002</v>
      </c>
      <c r="K181" s="830">
        <f t="shared" si="80"/>
        <v>0.0459999999999998</v>
      </c>
      <c r="L181" s="830">
        <f t="shared" si="80"/>
        <v>0.0459999999999999</v>
      </c>
      <c r="M181" s="830">
        <f t="shared" si="80"/>
        <v>0.046</v>
      </c>
      <c r="N181" s="830">
        <f t="shared" si="80"/>
        <v>0.046</v>
      </c>
      <c r="O181" s="830">
        <f t="shared" si="80"/>
        <v>0.046</v>
      </c>
      <c r="P181" s="830">
        <f t="shared" si="80"/>
        <v>0.0460000000000001</v>
      </c>
      <c r="Q181" s="830">
        <f t="shared" si="80"/>
        <v>0.046</v>
      </c>
    </row>
    <row r="182" ht="15" hidden="1" spans="2:17">
      <c r="B182" s="820">
        <f t="shared" si="79"/>
        <v>24</v>
      </c>
      <c r="C182" s="821" t="s">
        <v>326</v>
      </c>
      <c r="D182" s="820" t="s">
        <v>304</v>
      </c>
      <c r="E182" s="831">
        <f>[39]Rqmnt!L30</f>
        <v>151.078585492482</v>
      </c>
      <c r="F182" s="831">
        <f>[39]Rqmnt!M30</f>
        <v>131.929851453431</v>
      </c>
      <c r="G182" s="831">
        <f>[39]Rqmnt!N30</f>
        <v>119.581008630013</v>
      </c>
      <c r="H182" s="831">
        <f>[39]Rqmnt!O30</f>
        <v>114.983082196594</v>
      </c>
      <c r="I182" s="831">
        <f>[39]Rqmnt!P30</f>
        <v>134.438491190771</v>
      </c>
      <c r="J182" s="831">
        <f>[39]Rqmnt!Q30</f>
        <v>132.56460660935</v>
      </c>
      <c r="K182" s="831">
        <f>[39]Rqmnt!R30</f>
        <v>114.919153069482</v>
      </c>
      <c r="L182" s="831">
        <f>[39]Rqmnt!S30</f>
        <v>104.779889386488</v>
      </c>
      <c r="M182" s="831">
        <f>[39]Rqmnt!T30</f>
        <v>121.680896412197</v>
      </c>
      <c r="N182" s="831">
        <f>[39]Rqmnt!U30</f>
        <v>147.223734752422</v>
      </c>
      <c r="O182" s="831">
        <f>[39]Rqmnt!V30</f>
        <v>148.877966480695</v>
      </c>
      <c r="P182" s="831">
        <f>[39]Rqmnt!W30</f>
        <v>183.274938205396</v>
      </c>
      <c r="Q182" s="832">
        <f t="shared" ref="Q182:Q184" si="81">SUM(E182:P182)</f>
        <v>1605.33220387932</v>
      </c>
    </row>
    <row r="183" ht="15" hidden="1" spans="2:17">
      <c r="B183" s="820"/>
      <c r="C183" s="823" t="s">
        <v>97</v>
      </c>
      <c r="D183" s="820"/>
      <c r="E183" s="287"/>
      <c r="F183" s="287"/>
      <c r="G183" s="287"/>
      <c r="H183" s="287"/>
      <c r="I183" s="287"/>
      <c r="J183" s="287"/>
      <c r="K183" s="287"/>
      <c r="L183" s="287"/>
      <c r="M183" s="287"/>
      <c r="N183" s="287"/>
      <c r="O183" s="287"/>
      <c r="P183" s="287"/>
      <c r="Q183" s="829">
        <f t="shared" si="81"/>
        <v>0</v>
      </c>
    </row>
    <row r="184" ht="15" hidden="1" spans="2:17">
      <c r="B184" s="820">
        <f>B182+1</f>
        <v>25</v>
      </c>
      <c r="C184" s="823" t="s">
        <v>327</v>
      </c>
      <c r="D184" s="298" t="s">
        <v>304</v>
      </c>
      <c r="E184" s="831">
        <f t="shared" ref="E184:P184" si="82">E155+E159+E179</f>
        <v>6477.1957322046</v>
      </c>
      <c r="F184" s="831">
        <f t="shared" si="82"/>
        <v>6112.99254412686</v>
      </c>
      <c r="G184" s="831">
        <f t="shared" si="82"/>
        <v>5809.52185990361</v>
      </c>
      <c r="H184" s="831">
        <f t="shared" si="82"/>
        <v>5602.04022900874</v>
      </c>
      <c r="I184" s="831">
        <f t="shared" si="82"/>
        <v>6335.54408560398</v>
      </c>
      <c r="J184" s="831">
        <f t="shared" si="82"/>
        <v>6251.12875957681</v>
      </c>
      <c r="K184" s="831">
        <f t="shared" si="82"/>
        <v>5920.49306682003</v>
      </c>
      <c r="L184" s="831">
        <f t="shared" si="82"/>
        <v>5612.80378131897</v>
      </c>
      <c r="M184" s="831">
        <f t="shared" si="82"/>
        <v>5898.2118827323</v>
      </c>
      <c r="N184" s="831">
        <f t="shared" si="82"/>
        <v>6476.49216797545</v>
      </c>
      <c r="O184" s="831">
        <f t="shared" si="82"/>
        <v>6458.77191615546</v>
      </c>
      <c r="P184" s="831">
        <f t="shared" si="82"/>
        <v>7587.10138288918</v>
      </c>
      <c r="Q184" s="829">
        <f t="shared" si="81"/>
        <v>74542.297408316</v>
      </c>
    </row>
    <row r="185" ht="15" hidden="1" spans="2:17">
      <c r="B185" s="820">
        <f>B184+1</f>
        <v>26</v>
      </c>
      <c r="C185" s="823" t="s">
        <v>328</v>
      </c>
      <c r="D185" s="298" t="s">
        <v>304</v>
      </c>
      <c r="E185" s="831">
        <f t="shared" ref="E185:P185" si="83">E160+E166+E173+E180</f>
        <v>5795.54450040928</v>
      </c>
      <c r="F185" s="831">
        <f t="shared" si="83"/>
        <v>5487.32568145025</v>
      </c>
      <c r="G185" s="831">
        <f t="shared" si="83"/>
        <v>5230.94644580724</v>
      </c>
      <c r="H185" s="831">
        <f t="shared" si="83"/>
        <v>5042.93997572449</v>
      </c>
      <c r="I185" s="831">
        <f t="shared" si="83"/>
        <v>5702.93461152615</v>
      </c>
      <c r="J185" s="831">
        <f t="shared" si="83"/>
        <v>5631.00560052389</v>
      </c>
      <c r="K185" s="831">
        <f t="shared" si="83"/>
        <v>5352.19946899641</v>
      </c>
      <c r="L185" s="831">
        <f t="shared" si="83"/>
        <v>5083.29288001501</v>
      </c>
      <c r="M185" s="831">
        <f t="shared" si="83"/>
        <v>5311.10651697412</v>
      </c>
      <c r="N185" s="831">
        <f t="shared" si="83"/>
        <v>5806.93350343111</v>
      </c>
      <c r="O185" s="831">
        <f t="shared" si="83"/>
        <v>5788.02724262966</v>
      </c>
      <c r="P185" s="831">
        <f t="shared" si="83"/>
        <v>6785.99604622471</v>
      </c>
      <c r="Q185" s="832">
        <f t="shared" ref="Q185:Q187" si="84">SUM(E185:P185)</f>
        <v>67018.2524737123</v>
      </c>
    </row>
    <row r="186" ht="30" hidden="1" spans="2:17">
      <c r="B186" s="820">
        <f>B185+1</f>
        <v>27</v>
      </c>
      <c r="C186" s="826" t="s">
        <v>329</v>
      </c>
      <c r="D186" s="298"/>
      <c r="E186" s="831">
        <f t="shared" ref="E186:P186" si="85">E163+E160</f>
        <v>6286.49595009</v>
      </c>
      <c r="F186" s="831">
        <f t="shared" si="85"/>
        <v>5933.57130273471</v>
      </c>
      <c r="G186" s="831">
        <f t="shared" si="85"/>
        <v>5643.06069135958</v>
      </c>
      <c r="H186" s="831">
        <f t="shared" si="85"/>
        <v>5436.85992154997</v>
      </c>
      <c r="I186" s="831">
        <f t="shared" si="85"/>
        <v>6152.38024331486</v>
      </c>
      <c r="J186" s="831">
        <f t="shared" si="85"/>
        <v>6070.59541535188</v>
      </c>
      <c r="K186" s="831">
        <f t="shared" si="85"/>
        <v>5747.48700052663</v>
      </c>
      <c r="L186" s="831">
        <f t="shared" si="85"/>
        <v>5450.36740940025</v>
      </c>
      <c r="M186" s="831">
        <f t="shared" si="85"/>
        <v>5723.0645393829</v>
      </c>
      <c r="N186" s="831">
        <f t="shared" si="85"/>
        <v>6285.53236096168</v>
      </c>
      <c r="O186" s="831">
        <f t="shared" si="85"/>
        <v>6271.88889098303</v>
      </c>
      <c r="P186" s="831">
        <f t="shared" si="85"/>
        <v>7371.29204678339</v>
      </c>
      <c r="Q186" s="832">
        <f t="shared" si="84"/>
        <v>72372.5957724389</v>
      </c>
    </row>
    <row r="187" ht="15" hidden="1" spans="2:17">
      <c r="B187" s="820">
        <f>B186+1</f>
        <v>28</v>
      </c>
      <c r="C187" s="826" t="s">
        <v>330</v>
      </c>
      <c r="D187" s="298" t="s">
        <v>304</v>
      </c>
      <c r="E187" s="831">
        <f t="shared" ref="E187:P187" si="86">E186-E185</f>
        <v>490.951449680717</v>
      </c>
      <c r="F187" s="831">
        <f t="shared" si="86"/>
        <v>446.245621284465</v>
      </c>
      <c r="G187" s="831">
        <f t="shared" si="86"/>
        <v>412.114245552349</v>
      </c>
      <c r="H187" s="831">
        <f t="shared" si="86"/>
        <v>393.91994582548</v>
      </c>
      <c r="I187" s="831">
        <f t="shared" si="86"/>
        <v>449.445631788709</v>
      </c>
      <c r="J187" s="831">
        <f t="shared" si="86"/>
        <v>439.589814827996</v>
      </c>
      <c r="K187" s="831">
        <f t="shared" si="86"/>
        <v>395.287531530218</v>
      </c>
      <c r="L187" s="831">
        <f t="shared" si="86"/>
        <v>367.07452938524</v>
      </c>
      <c r="M187" s="831">
        <f t="shared" si="86"/>
        <v>411.958022408776</v>
      </c>
      <c r="N187" s="831">
        <f t="shared" si="86"/>
        <v>478.598857530573</v>
      </c>
      <c r="O187" s="831">
        <f t="shared" si="86"/>
        <v>483.861648353363</v>
      </c>
      <c r="P187" s="831">
        <f t="shared" si="86"/>
        <v>585.296000558676</v>
      </c>
      <c r="Q187" s="832">
        <f t="shared" si="84"/>
        <v>5354.34329872656</v>
      </c>
    </row>
    <row r="188" ht="15" hidden="1" spans="2:17">
      <c r="B188" s="820">
        <f t="shared" ref="B188" si="87">B187+1</f>
        <v>29</v>
      </c>
      <c r="C188" s="826" t="s">
        <v>331</v>
      </c>
      <c r="D188" s="298" t="s">
        <v>306</v>
      </c>
      <c r="E188" s="830">
        <f t="shared" ref="E188:Q188" si="88">E187/(E186-E160)</f>
        <v>0.0909954468192048</v>
      </c>
      <c r="F188" s="830">
        <f t="shared" si="88"/>
        <v>0.0879884131726185</v>
      </c>
      <c r="G188" s="830">
        <f t="shared" si="88"/>
        <v>0.0867392836336371</v>
      </c>
      <c r="H188" s="830">
        <f t="shared" si="88"/>
        <v>0.086687731347694</v>
      </c>
      <c r="I188" s="830">
        <f t="shared" si="88"/>
        <v>0.08862073266882</v>
      </c>
      <c r="J188" s="830">
        <f t="shared" si="88"/>
        <v>0.0890440462617834</v>
      </c>
      <c r="K188" s="830">
        <f t="shared" si="88"/>
        <v>0.0865873730820328</v>
      </c>
      <c r="L188" s="830">
        <f t="shared" si="88"/>
        <v>0.0852085664355639</v>
      </c>
      <c r="M188" s="830">
        <f t="shared" si="88"/>
        <v>0.0875489298108</v>
      </c>
      <c r="N188" s="830">
        <f t="shared" si="88"/>
        <v>0.0904480782874678</v>
      </c>
      <c r="O188" s="830">
        <f t="shared" si="88"/>
        <v>0.090698234149244</v>
      </c>
      <c r="P188" s="830">
        <f t="shared" si="88"/>
        <v>0.0919637941924395</v>
      </c>
      <c r="Q188" s="830">
        <f t="shared" si="88"/>
        <v>0.0887363443377722</v>
      </c>
    </row>
    <row r="189" hidden="1"/>
    <row r="190" ht="15" hidden="1" spans="2:17">
      <c r="B190" s="298" t="s">
        <v>3</v>
      </c>
      <c r="C190" s="401" t="s">
        <v>110</v>
      </c>
      <c r="D190" s="379" t="s">
        <v>297</v>
      </c>
      <c r="E190" s="403" t="s">
        <v>266</v>
      </c>
      <c r="F190" s="403"/>
      <c r="G190" s="403"/>
      <c r="H190" s="403"/>
      <c r="I190" s="403"/>
      <c r="J190" s="403"/>
      <c r="K190" s="403"/>
      <c r="L190" s="403"/>
      <c r="M190" s="403"/>
      <c r="N190" s="403"/>
      <c r="O190" s="403"/>
      <c r="P190" s="403"/>
      <c r="Q190" s="403"/>
    </row>
    <row r="191" ht="15" hidden="1" spans="2:17">
      <c r="B191" s="298"/>
      <c r="C191" s="401"/>
      <c r="D191" s="379"/>
      <c r="E191" s="403" t="s">
        <v>246</v>
      </c>
      <c r="F191" s="403" t="s">
        <v>247</v>
      </c>
      <c r="G191" s="403" t="s">
        <v>248</v>
      </c>
      <c r="H191" s="403" t="s">
        <v>249</v>
      </c>
      <c r="I191" s="403" t="s">
        <v>250</v>
      </c>
      <c r="J191" s="403" t="s">
        <v>251</v>
      </c>
      <c r="K191" s="403" t="s">
        <v>252</v>
      </c>
      <c r="L191" s="403" t="s">
        <v>253</v>
      </c>
      <c r="M191" s="403" t="s">
        <v>254</v>
      </c>
      <c r="N191" s="403" t="s">
        <v>255</v>
      </c>
      <c r="O191" s="403" t="s">
        <v>256</v>
      </c>
      <c r="P191" s="403" t="s">
        <v>257</v>
      </c>
      <c r="Q191" s="403" t="s">
        <v>97</v>
      </c>
    </row>
    <row r="192" ht="15" hidden="1" spans="2:17">
      <c r="B192" s="820">
        <v>1</v>
      </c>
      <c r="C192" s="821" t="s">
        <v>303</v>
      </c>
      <c r="D192" s="820" t="s">
        <v>304</v>
      </c>
      <c r="E192" s="287">
        <f>[40]Rqmnt!L48+[40]Rqmnt!L49</f>
        <v>851.728909274452</v>
      </c>
      <c r="F192" s="287">
        <f>[40]Rqmnt!M48+[40]Rqmnt!M49</f>
        <v>866.512265634791</v>
      </c>
      <c r="G192" s="287">
        <f>[40]Rqmnt!N48+[40]Rqmnt!N49</f>
        <v>769.811833116467</v>
      </c>
      <c r="H192" s="287">
        <f>[40]Rqmnt!O48+[40]Rqmnt!O49</f>
        <v>831.996611069648</v>
      </c>
      <c r="I192" s="287">
        <f>[40]Rqmnt!P48+[40]Rqmnt!P49</f>
        <v>869.177260478753</v>
      </c>
      <c r="J192" s="287">
        <f>[40]Rqmnt!Q48+[40]Rqmnt!Q49</f>
        <v>820.178131882152</v>
      </c>
      <c r="K192" s="287">
        <f>[40]Rqmnt!R48+[40]Rqmnt!R49</f>
        <v>881.324667149341</v>
      </c>
      <c r="L192" s="287">
        <f>[40]Rqmnt!S48+[40]Rqmnt!S49</f>
        <v>796.989164274452</v>
      </c>
      <c r="M192" s="287">
        <f>[40]Rqmnt!T48+[40]Rqmnt!T49</f>
        <v>812.489032149341</v>
      </c>
      <c r="N192" s="287">
        <f>[40]Rqmnt!U48+[40]Rqmnt!U49</f>
        <v>868.907867149341</v>
      </c>
      <c r="O192" s="287">
        <f>[40]Rqmnt!V48+[40]Rqmnt!V49</f>
        <v>799.507733524674</v>
      </c>
      <c r="P192" s="287">
        <f>[40]Rqmnt!W48+[40]Rqmnt!W49</f>
        <v>884.711067149341</v>
      </c>
      <c r="Q192" s="829">
        <f>SUM(E192:P192)</f>
        <v>10053.3345428528</v>
      </c>
    </row>
    <row r="193" hidden="1" spans="2:17">
      <c r="B193" s="820">
        <f>B192+1</f>
        <v>2</v>
      </c>
      <c r="C193" s="821" t="s">
        <v>305</v>
      </c>
      <c r="D193" s="820" t="s">
        <v>306</v>
      </c>
      <c r="E193" s="830">
        <f t="shared" ref="E193:Q193" si="89">E194/E192</f>
        <v>0.0393</v>
      </c>
      <c r="F193" s="830">
        <f t="shared" si="89"/>
        <v>0.0358</v>
      </c>
      <c r="G193" s="830">
        <f t="shared" si="89"/>
        <v>0.0329</v>
      </c>
      <c r="H193" s="830">
        <f t="shared" si="89"/>
        <v>0.0350999999999999</v>
      </c>
      <c r="I193" s="830">
        <f t="shared" si="89"/>
        <v>0.0337</v>
      </c>
      <c r="J193" s="830">
        <f t="shared" si="89"/>
        <v>0.035</v>
      </c>
      <c r="K193" s="830">
        <f t="shared" si="89"/>
        <v>0.0332</v>
      </c>
      <c r="L193" s="830">
        <f t="shared" si="89"/>
        <v>0.032775</v>
      </c>
      <c r="M193" s="830">
        <f t="shared" si="89"/>
        <v>0.0394</v>
      </c>
      <c r="N193" s="830">
        <f t="shared" si="89"/>
        <v>0.03885</v>
      </c>
      <c r="O193" s="830">
        <f t="shared" si="89"/>
        <v>0.03755</v>
      </c>
      <c r="P193" s="830">
        <f t="shared" si="89"/>
        <v>0.03555</v>
      </c>
      <c r="Q193" s="830">
        <f t="shared" si="89"/>
        <v>0.035773694141799</v>
      </c>
    </row>
    <row r="194" ht="15" hidden="1" spans="2:17">
      <c r="B194" s="820">
        <f t="shared" ref="B194:B200" si="90">B193+1</f>
        <v>3</v>
      </c>
      <c r="C194" s="821" t="s">
        <v>305</v>
      </c>
      <c r="D194" s="820" t="s">
        <v>304</v>
      </c>
      <c r="E194" s="831">
        <f>[40]Rqmnt!L52</f>
        <v>33.472946134486</v>
      </c>
      <c r="F194" s="831">
        <f>[40]Rqmnt!M52</f>
        <v>31.0211391097255</v>
      </c>
      <c r="G194" s="831">
        <f>[40]Rqmnt!N52</f>
        <v>25.3268093095318</v>
      </c>
      <c r="H194" s="831">
        <f>[40]Rqmnt!O52</f>
        <v>29.2030810485446</v>
      </c>
      <c r="I194" s="831">
        <f>[40]Rqmnt!P52</f>
        <v>29.291273678134</v>
      </c>
      <c r="J194" s="831">
        <f>[40]Rqmnt!Q52</f>
        <v>28.7062346158753</v>
      </c>
      <c r="K194" s="831">
        <f>[40]Rqmnt!R52</f>
        <v>29.2599789493581</v>
      </c>
      <c r="L194" s="831">
        <f>[40]Rqmnt!S52</f>
        <v>26.1213198590952</v>
      </c>
      <c r="M194" s="831">
        <f>[40]Rqmnt!T52</f>
        <v>32.012067866684</v>
      </c>
      <c r="N194" s="831">
        <f>[40]Rqmnt!U52</f>
        <v>33.7570706387519</v>
      </c>
      <c r="O194" s="831">
        <f>[40]Rqmnt!V52</f>
        <v>30.0215153938515</v>
      </c>
      <c r="P194" s="831">
        <f>[40]Rqmnt!W52</f>
        <v>31.4514784371591</v>
      </c>
      <c r="Q194" s="829">
        <f>SUM(E194:P194)</f>
        <v>359.644915041197</v>
      </c>
    </row>
    <row r="195" ht="28.5" hidden="1" spans="2:17">
      <c r="B195" s="820">
        <f t="shared" si="90"/>
        <v>4</v>
      </c>
      <c r="C195" s="822" t="s">
        <v>307</v>
      </c>
      <c r="D195" s="820" t="s">
        <v>304</v>
      </c>
      <c r="E195" s="831">
        <f t="shared" ref="E195:P195" si="91">E192-E194</f>
        <v>818.255963139966</v>
      </c>
      <c r="F195" s="831">
        <f t="shared" si="91"/>
        <v>835.491126525066</v>
      </c>
      <c r="G195" s="831">
        <f t="shared" si="91"/>
        <v>744.485023806935</v>
      </c>
      <c r="H195" s="831">
        <f t="shared" si="91"/>
        <v>802.793530021103</v>
      </c>
      <c r="I195" s="831">
        <f t="shared" si="91"/>
        <v>839.885986800619</v>
      </c>
      <c r="J195" s="831">
        <f t="shared" si="91"/>
        <v>791.471897266277</v>
      </c>
      <c r="K195" s="831">
        <f t="shared" si="91"/>
        <v>852.064688199983</v>
      </c>
      <c r="L195" s="831">
        <f t="shared" si="91"/>
        <v>770.867844415357</v>
      </c>
      <c r="M195" s="831">
        <f t="shared" si="91"/>
        <v>780.476964282657</v>
      </c>
      <c r="N195" s="831">
        <f t="shared" si="91"/>
        <v>835.150796510589</v>
      </c>
      <c r="O195" s="831">
        <f t="shared" si="91"/>
        <v>769.486218130823</v>
      </c>
      <c r="P195" s="831">
        <f t="shared" si="91"/>
        <v>853.259588712182</v>
      </c>
      <c r="Q195" s="829">
        <f>SUM(E195:P195)</f>
        <v>9693.68962781156</v>
      </c>
    </row>
    <row r="196" ht="28.5" hidden="1" spans="2:17">
      <c r="B196" s="820">
        <f t="shared" si="90"/>
        <v>5</v>
      </c>
      <c r="C196" s="822" t="s">
        <v>308</v>
      </c>
      <c r="D196" s="820" t="s">
        <v>304</v>
      </c>
      <c r="E196" s="831">
        <f>[40]Rqmnt!L46-E195</f>
        <v>6292.60577684052</v>
      </c>
      <c r="F196" s="831">
        <f>[40]Rqmnt!M46-F195</f>
        <v>5948.2512526211</v>
      </c>
      <c r="G196" s="831">
        <f>[40]Rqmnt!N46-G195</f>
        <v>5721.16821380346</v>
      </c>
      <c r="H196" s="831">
        <f>[40]Rqmnt!O46-H195</f>
        <v>5399.37022771167</v>
      </c>
      <c r="I196" s="831">
        <f>[40]Rqmnt!P46-I195</f>
        <v>6151.3773460864</v>
      </c>
      <c r="J196" s="831">
        <f>[40]Rqmnt!Q46-J195</f>
        <v>6089.64628304914</v>
      </c>
      <c r="K196" s="831">
        <f>[40]Rqmnt!R46-K195</f>
        <v>5718.085536995</v>
      </c>
      <c r="L196" s="831">
        <f>[40]Rqmnt!S46-L195</f>
        <v>5470.4647049914</v>
      </c>
      <c r="M196" s="831">
        <f>[40]Rqmnt!T46-M195</f>
        <v>5732.47975028192</v>
      </c>
      <c r="N196" s="831">
        <f>[40]Rqmnt!U46-N195</f>
        <v>6278.96456679727</v>
      </c>
      <c r="O196" s="831">
        <f>[40]Rqmnt!V46-O195</f>
        <v>6317.94480039698</v>
      </c>
      <c r="P196" s="831">
        <f>[40]Rqmnt!W46-P195</f>
        <v>7473.0605138432</v>
      </c>
      <c r="Q196" s="829">
        <f>SUM(E196:P196)</f>
        <v>72593.4189734181</v>
      </c>
    </row>
    <row r="197" ht="15" hidden="1" spans="2:17">
      <c r="B197" s="820">
        <f t="shared" si="90"/>
        <v>6</v>
      </c>
      <c r="C197" s="821" t="s">
        <v>309</v>
      </c>
      <c r="D197" s="820" t="s">
        <v>304</v>
      </c>
      <c r="E197" s="831">
        <f>[40]Rqmnt!L37</f>
        <v>1056.61943253171</v>
      </c>
      <c r="F197" s="831">
        <f>[40]Rqmnt!M37</f>
        <v>1025.66045756241</v>
      </c>
      <c r="G197" s="831">
        <f>[40]Rqmnt!N37</f>
        <v>1059.54176490167</v>
      </c>
      <c r="H197" s="831">
        <f>[40]Rqmnt!O37</f>
        <v>1056.10815858917</v>
      </c>
      <c r="I197" s="831">
        <f>[40]Rqmnt!P37</f>
        <v>1261.8904257582</v>
      </c>
      <c r="J197" s="831">
        <f>[40]Rqmnt!Q37</f>
        <v>1314.15333731079</v>
      </c>
      <c r="K197" s="831">
        <f>[40]Rqmnt!R37</f>
        <v>1384.36477583788</v>
      </c>
      <c r="L197" s="831">
        <f>[40]Rqmnt!S37</f>
        <v>1337.27547243432</v>
      </c>
      <c r="M197" s="831">
        <f>[40]Rqmnt!T37</f>
        <v>1211.75286399164</v>
      </c>
      <c r="N197" s="831">
        <f>[40]Rqmnt!U37</f>
        <v>1188.29047834459</v>
      </c>
      <c r="O197" s="831">
        <f>[40]Rqmnt!V37</f>
        <v>1117.85782621625</v>
      </c>
      <c r="P197" s="831">
        <f>[40]Rqmnt!W37</f>
        <v>1206.79715981691</v>
      </c>
      <c r="Q197" s="829">
        <f>SUM(E197:P197)</f>
        <v>14220.3121532955</v>
      </c>
    </row>
    <row r="198" hidden="1" spans="2:17">
      <c r="B198" s="820">
        <f t="shared" si="90"/>
        <v>7</v>
      </c>
      <c r="C198" s="821" t="s">
        <v>310</v>
      </c>
      <c r="D198" s="820" t="s">
        <v>306</v>
      </c>
      <c r="E198" s="830">
        <f t="shared" ref="E198:P198" si="92">E199/(E196+E192)</f>
        <v>0.0240866171124333</v>
      </c>
      <c r="F198" s="830">
        <f t="shared" si="92"/>
        <v>0.0240898404083363</v>
      </c>
      <c r="G198" s="830">
        <f t="shared" si="92"/>
        <v>0.0241055753089888</v>
      </c>
      <c r="H198" s="830">
        <f t="shared" si="92"/>
        <v>0.0240865875529946</v>
      </c>
      <c r="I198" s="830">
        <f t="shared" si="92"/>
        <v>0.0240990323610121</v>
      </c>
      <c r="J198" s="830">
        <f t="shared" si="92"/>
        <v>0.0240994633096315</v>
      </c>
      <c r="K198" s="830">
        <f t="shared" si="92"/>
        <v>0.0240927038222099</v>
      </c>
      <c r="L198" s="830">
        <f t="shared" si="92"/>
        <v>0.0240991399133084</v>
      </c>
      <c r="M198" s="830">
        <f t="shared" si="92"/>
        <v>0.0240816354870243</v>
      </c>
      <c r="N198" s="830">
        <f t="shared" si="92"/>
        <v>0.0240857112914357</v>
      </c>
      <c r="O198" s="830">
        <f t="shared" si="92"/>
        <v>0.0240979240579311</v>
      </c>
      <c r="P198" s="830">
        <f t="shared" si="92"/>
        <v>0.0241089319717818</v>
      </c>
      <c r="Q198" s="830">
        <f>Q199/(Q196+Q195)</f>
        <v>0.0242</v>
      </c>
    </row>
    <row r="199" ht="15" hidden="1" spans="2:17">
      <c r="B199" s="820">
        <f t="shared" si="90"/>
        <v>8</v>
      </c>
      <c r="C199" s="821" t="s">
        <v>310</v>
      </c>
      <c r="D199" s="820" t="s">
        <v>304</v>
      </c>
      <c r="E199" s="831">
        <f>[40]Rqmnt!L47</f>
        <v>172.082854107528</v>
      </c>
      <c r="F199" s="831">
        <f>[40]Rqmnt!M47</f>
        <v>164.166565575337</v>
      </c>
      <c r="G199" s="831">
        <f>[40]Rqmnt!N47</f>
        <v>156.468808350172</v>
      </c>
      <c r="H199" s="831">
        <f>[40]Rqmnt!O47</f>
        <v>150.092362937133</v>
      </c>
      <c r="I199" s="831">
        <f>[40]Rqmnt!P47</f>
        <v>169.188572655866</v>
      </c>
      <c r="J199" s="831">
        <f>[40]Rqmnt!Q47</f>
        <v>166.523059963633</v>
      </c>
      <c r="K199" s="831">
        <f>[40]Rqmnt!R47</f>
        <v>158.997635449719</v>
      </c>
      <c r="L199" s="831">
        <f>[40]Rqmnt!S47</f>
        <v>151.040247695644</v>
      </c>
      <c r="M199" s="831">
        <f>[40]Rqmnt!T47</f>
        <v>157.613552492463</v>
      </c>
      <c r="N199" s="831">
        <f>[40]Rqmnt!U47</f>
        <v>172.16159179205</v>
      </c>
      <c r="O199" s="831">
        <f>[40]Rqmnt!V47</f>
        <v>171.515830648373</v>
      </c>
      <c r="P199" s="831">
        <f>[40]Rqmnt!W47</f>
        <v>201.49694648184</v>
      </c>
      <c r="Q199" s="832">
        <f>SUM(E199:P199)</f>
        <v>1991.34802814976</v>
      </c>
    </row>
    <row r="200" ht="28.5" hidden="1" spans="2:17">
      <c r="B200" s="820">
        <f t="shared" si="90"/>
        <v>9</v>
      </c>
      <c r="C200" s="822" t="s">
        <v>311</v>
      </c>
      <c r="D200" s="820" t="s">
        <v>304</v>
      </c>
      <c r="E200" s="831">
        <f t="shared" ref="E200:P200" si="93">E195+E196-E197-E199</f>
        <v>5882.15945334125</v>
      </c>
      <c r="F200" s="831">
        <f t="shared" si="93"/>
        <v>5593.91535600842</v>
      </c>
      <c r="G200" s="831">
        <f t="shared" si="93"/>
        <v>5249.64266435856</v>
      </c>
      <c r="H200" s="831">
        <f t="shared" si="93"/>
        <v>4995.96323620647</v>
      </c>
      <c r="I200" s="831">
        <f t="shared" si="93"/>
        <v>5560.18433447295</v>
      </c>
      <c r="J200" s="831">
        <f t="shared" si="93"/>
        <v>5400.441783041</v>
      </c>
      <c r="K200" s="831">
        <f t="shared" si="93"/>
        <v>5026.78781390738</v>
      </c>
      <c r="L200" s="831">
        <f t="shared" si="93"/>
        <v>4753.0168292768</v>
      </c>
      <c r="M200" s="831">
        <f t="shared" si="93"/>
        <v>5143.59029808048</v>
      </c>
      <c r="N200" s="831">
        <f t="shared" si="93"/>
        <v>5753.66329317122</v>
      </c>
      <c r="O200" s="831">
        <f t="shared" si="93"/>
        <v>5798.05736166318</v>
      </c>
      <c r="P200" s="831">
        <f t="shared" si="93"/>
        <v>6918.02599625663</v>
      </c>
      <c r="Q200" s="829">
        <f>SUM(E200:P200)</f>
        <v>66075.4484197843</v>
      </c>
    </row>
    <row r="201" ht="15" hidden="1" spans="2:17">
      <c r="B201" s="820"/>
      <c r="C201" s="823" t="s">
        <v>312</v>
      </c>
      <c r="D201" s="820"/>
      <c r="E201" s="287"/>
      <c r="F201" s="287"/>
      <c r="G201" s="287"/>
      <c r="H201" s="287"/>
      <c r="I201" s="287"/>
      <c r="J201" s="287"/>
      <c r="K201" s="287"/>
      <c r="L201" s="287"/>
      <c r="M201" s="287"/>
      <c r="N201" s="287"/>
      <c r="O201" s="287"/>
      <c r="P201" s="287"/>
      <c r="Q201" s="829"/>
    </row>
    <row r="202" ht="28.5" hidden="1" spans="2:17">
      <c r="B202" s="820">
        <f>B200+1</f>
        <v>10</v>
      </c>
      <c r="C202" s="822" t="s">
        <v>313</v>
      </c>
      <c r="D202" s="820" t="s">
        <v>304</v>
      </c>
      <c r="E202" s="831">
        <f>[40]Rqmnt!L7</f>
        <v>5882.15945334125</v>
      </c>
      <c r="F202" s="831">
        <f>[40]Rqmnt!M7</f>
        <v>5593.91535600843</v>
      </c>
      <c r="G202" s="831">
        <f>[40]Rqmnt!N7</f>
        <v>5249.64266435856</v>
      </c>
      <c r="H202" s="831">
        <f>[40]Rqmnt!O7</f>
        <v>4995.96323620647</v>
      </c>
      <c r="I202" s="831">
        <f>[40]Rqmnt!P7</f>
        <v>5560.18433447296</v>
      </c>
      <c r="J202" s="831">
        <f>[40]Rqmnt!Q7</f>
        <v>5400.441783041</v>
      </c>
      <c r="K202" s="831">
        <f>[40]Rqmnt!R7</f>
        <v>5026.78781390739</v>
      </c>
      <c r="L202" s="831">
        <f>[40]Rqmnt!S7</f>
        <v>4753.0168292768</v>
      </c>
      <c r="M202" s="831">
        <f>[40]Rqmnt!T7</f>
        <v>5143.59029808047</v>
      </c>
      <c r="N202" s="831">
        <f>[40]Rqmnt!U7</f>
        <v>5753.66329317121</v>
      </c>
      <c r="O202" s="831">
        <f>[40]Rqmnt!V7</f>
        <v>5798.05736166318</v>
      </c>
      <c r="P202" s="831">
        <f>[40]Rqmnt!W7</f>
        <v>6918.02599625662</v>
      </c>
      <c r="Q202" s="832">
        <f>SUM(E202:P202)</f>
        <v>66075.4484197843</v>
      </c>
    </row>
    <row r="203" ht="15" hidden="1" spans="2:17">
      <c r="B203" s="820">
        <f t="shared" ref="B203:B206" si="94">B202+1</f>
        <v>11</v>
      </c>
      <c r="C203" s="821" t="s">
        <v>314</v>
      </c>
      <c r="D203" s="820" t="s">
        <v>304</v>
      </c>
      <c r="E203" s="831">
        <f>[40]Rqmnt!L9</f>
        <v>1143.44795855286</v>
      </c>
      <c r="F203" s="831">
        <f>[40]Rqmnt!M9</f>
        <v>1226.44768522818</v>
      </c>
      <c r="G203" s="831">
        <f>[40]Rqmnt!N9</f>
        <v>1206.11997612925</v>
      </c>
      <c r="H203" s="831">
        <f>[40]Rqmnt!O9</f>
        <v>1176.36554133954</v>
      </c>
      <c r="I203" s="831">
        <f>[40]Rqmnt!P9</f>
        <v>1204.60310430637</v>
      </c>
      <c r="J203" s="831">
        <f>[40]Rqmnt!Q9</f>
        <v>1160.25323191233</v>
      </c>
      <c r="K203" s="831">
        <f>[40]Rqmnt!R9</f>
        <v>1176.03844642951</v>
      </c>
      <c r="L203" s="831">
        <f>[40]Rqmnt!S9</f>
        <v>1176.23914075048</v>
      </c>
      <c r="M203" s="831">
        <f>[40]Rqmnt!T9</f>
        <v>1172.28765843256</v>
      </c>
      <c r="N203" s="831">
        <f>[40]Rqmnt!U9</f>
        <v>1174.49308460987</v>
      </c>
      <c r="O203" s="831">
        <f>[40]Rqmnt!V9</f>
        <v>1159.45609069133</v>
      </c>
      <c r="P203" s="831">
        <f>[40]Rqmnt!W9</f>
        <v>1315.1242189336</v>
      </c>
      <c r="Q203" s="832">
        <f>SUM(E203:P203)</f>
        <v>14290.8761373159</v>
      </c>
    </row>
    <row r="204" hidden="1" spans="2:17">
      <c r="B204" s="820">
        <f t="shared" si="94"/>
        <v>12</v>
      </c>
      <c r="C204" s="821" t="s">
        <v>315</v>
      </c>
      <c r="D204" s="820" t="s">
        <v>306</v>
      </c>
      <c r="E204" s="830">
        <f t="shared" ref="E204:Q204" si="95">E205/E202</f>
        <v>0.0312</v>
      </c>
      <c r="F204" s="830">
        <f t="shared" si="95"/>
        <v>0.0312</v>
      </c>
      <c r="G204" s="830">
        <f t="shared" si="95"/>
        <v>0.0312</v>
      </c>
      <c r="H204" s="830">
        <f t="shared" si="95"/>
        <v>0.0312</v>
      </c>
      <c r="I204" s="830">
        <f t="shared" si="95"/>
        <v>0.0312000000000001</v>
      </c>
      <c r="J204" s="830">
        <f t="shared" si="95"/>
        <v>0.0312</v>
      </c>
      <c r="K204" s="830">
        <f t="shared" si="95"/>
        <v>0.0312000000000001</v>
      </c>
      <c r="L204" s="830">
        <f t="shared" si="95"/>
        <v>0.0312000000000002</v>
      </c>
      <c r="M204" s="830">
        <f t="shared" si="95"/>
        <v>0.0311999999999999</v>
      </c>
      <c r="N204" s="830">
        <f t="shared" si="95"/>
        <v>0.0312</v>
      </c>
      <c r="O204" s="830">
        <f t="shared" si="95"/>
        <v>0.0312</v>
      </c>
      <c r="P204" s="830">
        <f t="shared" si="95"/>
        <v>0.0312000000000001</v>
      </c>
      <c r="Q204" s="830">
        <f t="shared" si="95"/>
        <v>0.0312</v>
      </c>
    </row>
    <row r="205" hidden="1" spans="2:17">
      <c r="B205" s="820">
        <f t="shared" si="94"/>
        <v>13</v>
      </c>
      <c r="C205" s="821" t="s">
        <v>315</v>
      </c>
      <c r="D205" s="820" t="s">
        <v>304</v>
      </c>
      <c r="E205" s="831">
        <f>[40]Rqmnt!L11</f>
        <v>183.523374944247</v>
      </c>
      <c r="F205" s="831">
        <f>[40]Rqmnt!M11</f>
        <v>174.530159107463</v>
      </c>
      <c r="G205" s="831">
        <f>[40]Rqmnt!N11</f>
        <v>163.788851127987</v>
      </c>
      <c r="H205" s="831">
        <f>[40]Rqmnt!O11</f>
        <v>155.874052969642</v>
      </c>
      <c r="I205" s="831">
        <f>[40]Rqmnt!P11</f>
        <v>173.477751235557</v>
      </c>
      <c r="J205" s="831">
        <f>[40]Rqmnt!Q11</f>
        <v>168.493783630879</v>
      </c>
      <c r="K205" s="831">
        <f>[40]Rqmnt!R11</f>
        <v>156.835779793911</v>
      </c>
      <c r="L205" s="831">
        <f>[40]Rqmnt!S11</f>
        <v>148.294125073437</v>
      </c>
      <c r="M205" s="831">
        <f>[40]Rqmnt!T11</f>
        <v>160.48001730011</v>
      </c>
      <c r="N205" s="831">
        <f>[40]Rqmnt!U11</f>
        <v>179.514294746942</v>
      </c>
      <c r="O205" s="831">
        <f>[40]Rqmnt!V11</f>
        <v>180.899389683891</v>
      </c>
      <c r="P205" s="831">
        <f>[40]Rqmnt!W11</f>
        <v>215.842411083207</v>
      </c>
      <c r="Q205" s="831">
        <f>SUM(E205:P205)</f>
        <v>2061.55399069727</v>
      </c>
    </row>
    <row r="206" ht="15" hidden="1" spans="2:17">
      <c r="B206" s="820">
        <f t="shared" si="94"/>
        <v>14</v>
      </c>
      <c r="C206" s="822" t="s">
        <v>337</v>
      </c>
      <c r="D206" s="820" t="s">
        <v>304</v>
      </c>
      <c r="E206" s="831">
        <f t="shared" ref="E206:P206" si="96">E202-E203-E205</f>
        <v>4555.18811984414</v>
      </c>
      <c r="F206" s="831">
        <f t="shared" si="96"/>
        <v>4192.93751167279</v>
      </c>
      <c r="G206" s="831">
        <f t="shared" si="96"/>
        <v>3879.73383710132</v>
      </c>
      <c r="H206" s="831">
        <f t="shared" si="96"/>
        <v>3663.72364189729</v>
      </c>
      <c r="I206" s="831">
        <f t="shared" si="96"/>
        <v>4182.10347893103</v>
      </c>
      <c r="J206" s="831">
        <f t="shared" si="96"/>
        <v>4071.69476749779</v>
      </c>
      <c r="K206" s="831">
        <f t="shared" si="96"/>
        <v>3693.91358768397</v>
      </c>
      <c r="L206" s="831">
        <f t="shared" si="96"/>
        <v>3428.48356345288</v>
      </c>
      <c r="M206" s="831">
        <f t="shared" si="96"/>
        <v>3810.8226223478</v>
      </c>
      <c r="N206" s="831">
        <f t="shared" si="96"/>
        <v>4399.6559138144</v>
      </c>
      <c r="O206" s="831">
        <f t="shared" si="96"/>
        <v>4457.70188128796</v>
      </c>
      <c r="P206" s="831">
        <f t="shared" si="96"/>
        <v>5387.05936623981</v>
      </c>
      <c r="Q206" s="832">
        <f>SUM(E206:P206)</f>
        <v>49723.0182917712</v>
      </c>
    </row>
    <row r="207" ht="15" hidden="1" spans="2:17">
      <c r="B207" s="820"/>
      <c r="C207" s="823" t="s">
        <v>317</v>
      </c>
      <c r="D207" s="820"/>
      <c r="E207" s="287"/>
      <c r="F207" s="287"/>
      <c r="G207" s="287"/>
      <c r="H207" s="287"/>
      <c r="I207" s="287"/>
      <c r="J207" s="287"/>
      <c r="K207" s="287"/>
      <c r="L207" s="287"/>
      <c r="M207" s="287"/>
      <c r="N207" s="287"/>
      <c r="O207" s="287"/>
      <c r="P207" s="287"/>
      <c r="Q207" s="829"/>
    </row>
    <row r="208" ht="28.5" hidden="1" spans="2:17">
      <c r="B208" s="820">
        <f>B206+1</f>
        <v>15</v>
      </c>
      <c r="C208" s="822" t="s">
        <v>318</v>
      </c>
      <c r="D208" s="820" t="s">
        <v>304</v>
      </c>
      <c r="E208" s="831">
        <f>[40]Rqmnt!L19</f>
        <v>4555.18811984414</v>
      </c>
      <c r="F208" s="831">
        <f>[40]Rqmnt!M19</f>
        <v>4192.93751167279</v>
      </c>
      <c r="G208" s="831">
        <f>[40]Rqmnt!N19</f>
        <v>3879.73383710133</v>
      </c>
      <c r="H208" s="831">
        <f>[40]Rqmnt!O19</f>
        <v>3663.72364189728</v>
      </c>
      <c r="I208" s="831">
        <f>[40]Rqmnt!P19</f>
        <v>4182.10347893104</v>
      </c>
      <c r="J208" s="831">
        <f>[40]Rqmnt!Q19</f>
        <v>4071.69476749779</v>
      </c>
      <c r="K208" s="831">
        <f>[40]Rqmnt!R19</f>
        <v>3693.91358768397</v>
      </c>
      <c r="L208" s="831">
        <f>[40]Rqmnt!S19</f>
        <v>3428.48356345289</v>
      </c>
      <c r="M208" s="831">
        <f>[40]Rqmnt!T19</f>
        <v>3810.8226223478</v>
      </c>
      <c r="N208" s="831">
        <f>[40]Rqmnt!U19</f>
        <v>4399.6559138144</v>
      </c>
      <c r="O208" s="831">
        <f>[40]Rqmnt!V19</f>
        <v>4457.70188128796</v>
      </c>
      <c r="P208" s="831">
        <f>[40]Rqmnt!W19</f>
        <v>5387.05936623982</v>
      </c>
      <c r="Q208" s="832">
        <f>SUM(E208:P208)</f>
        <v>49723.0182917712</v>
      </c>
    </row>
    <row r="209" ht="15" hidden="1" spans="2:17">
      <c r="B209" s="820">
        <f t="shared" ref="B209:B213" si="97">B208+1</f>
        <v>16</v>
      </c>
      <c r="C209" s="822" t="s">
        <v>319</v>
      </c>
      <c r="D209" s="820" t="s">
        <v>304</v>
      </c>
      <c r="E209" s="831"/>
      <c r="F209" s="831"/>
      <c r="G209" s="831"/>
      <c r="H209" s="831"/>
      <c r="I209" s="831"/>
      <c r="J209" s="831"/>
      <c r="K209" s="831"/>
      <c r="L209" s="831"/>
      <c r="M209" s="831"/>
      <c r="N209" s="831"/>
      <c r="O209" s="831"/>
      <c r="P209" s="831"/>
      <c r="Q209" s="832">
        <f>SUM(E209:P209)</f>
        <v>0</v>
      </c>
    </row>
    <row r="210" ht="15" hidden="1" spans="2:17">
      <c r="B210" s="820">
        <f t="shared" si="97"/>
        <v>17</v>
      </c>
      <c r="C210" s="821" t="s">
        <v>320</v>
      </c>
      <c r="D210" s="820" t="s">
        <v>304</v>
      </c>
      <c r="E210" s="831">
        <f>[40]Rqmnt!L20</f>
        <v>887.852260795266</v>
      </c>
      <c r="F210" s="831">
        <f>[40]Rqmnt!M20</f>
        <v>943.189187025407</v>
      </c>
      <c r="G210" s="831">
        <f>[40]Rqmnt!N20</f>
        <v>930.369502935956</v>
      </c>
      <c r="H210" s="831">
        <f>[40]Rqmnt!O20</f>
        <v>849.419997317374</v>
      </c>
      <c r="I210" s="831">
        <f>[40]Rqmnt!P20</f>
        <v>899.382790692194</v>
      </c>
      <c r="J210" s="831">
        <f>[40]Rqmnt!Q20</f>
        <v>844.643510776053</v>
      </c>
      <c r="K210" s="831">
        <f>[40]Rqmnt!R20</f>
        <v>872.533665596186</v>
      </c>
      <c r="L210" s="831">
        <f>[40]Rqmnt!S20</f>
        <v>849.800723139713</v>
      </c>
      <c r="M210" s="831">
        <f>[40]Rqmnt!T20</f>
        <v>851.53204679823</v>
      </c>
      <c r="N210" s="831">
        <f>[40]Rqmnt!U20</f>
        <v>838.813838516194</v>
      </c>
      <c r="O210" s="831">
        <f>[40]Rqmnt!V20</f>
        <v>860.581439674383</v>
      </c>
      <c r="P210" s="831">
        <f>[40]Rqmnt!W20</f>
        <v>956.734652454838</v>
      </c>
      <c r="Q210" s="832">
        <f>SUM(E210:P210)</f>
        <v>10584.8536157218</v>
      </c>
    </row>
    <row r="211" hidden="1" spans="2:17">
      <c r="B211" s="820">
        <f t="shared" si="97"/>
        <v>18</v>
      </c>
      <c r="C211" s="821" t="s">
        <v>321</v>
      </c>
      <c r="D211" s="820" t="s">
        <v>306</v>
      </c>
      <c r="E211" s="830">
        <f t="shared" ref="E211:Q211" si="98">E212/E208</f>
        <v>0.0398000000000001</v>
      </c>
      <c r="F211" s="830">
        <f t="shared" si="98"/>
        <v>0.0398</v>
      </c>
      <c r="G211" s="830">
        <f t="shared" si="98"/>
        <v>0.0398</v>
      </c>
      <c r="H211" s="830">
        <f t="shared" si="98"/>
        <v>0.0398000000000001</v>
      </c>
      <c r="I211" s="830">
        <f t="shared" si="98"/>
        <v>0.0397999999999999</v>
      </c>
      <c r="J211" s="830">
        <f t="shared" si="98"/>
        <v>0.0398</v>
      </c>
      <c r="K211" s="830">
        <f t="shared" si="98"/>
        <v>0.0398</v>
      </c>
      <c r="L211" s="830">
        <f t="shared" si="98"/>
        <v>0.0398</v>
      </c>
      <c r="M211" s="830">
        <f t="shared" si="98"/>
        <v>0.0398000000000001</v>
      </c>
      <c r="N211" s="830">
        <f t="shared" si="98"/>
        <v>0.0398000000000002</v>
      </c>
      <c r="O211" s="830">
        <f t="shared" si="98"/>
        <v>0.0398</v>
      </c>
      <c r="P211" s="830">
        <f t="shared" si="98"/>
        <v>0.0398</v>
      </c>
      <c r="Q211" s="830">
        <f t="shared" si="98"/>
        <v>0.0398</v>
      </c>
    </row>
    <row r="212" ht="15" hidden="1" spans="2:17">
      <c r="B212" s="820">
        <f t="shared" si="97"/>
        <v>19</v>
      </c>
      <c r="C212" s="821" t="s">
        <v>321</v>
      </c>
      <c r="D212" s="820" t="s">
        <v>304</v>
      </c>
      <c r="E212" s="831">
        <f>[40]Rqmnt!L22</f>
        <v>181.296487169797</v>
      </c>
      <c r="F212" s="831">
        <f>[40]Rqmnt!M22</f>
        <v>166.878912964577</v>
      </c>
      <c r="G212" s="831">
        <f>[40]Rqmnt!N22</f>
        <v>154.413406716633</v>
      </c>
      <c r="H212" s="831">
        <f>[40]Rqmnt!O22</f>
        <v>145.816200947512</v>
      </c>
      <c r="I212" s="831">
        <f>[40]Rqmnt!P22</f>
        <v>166.447718461455</v>
      </c>
      <c r="J212" s="831">
        <f>[40]Rqmnt!Q22</f>
        <v>162.053451746412</v>
      </c>
      <c r="K212" s="831">
        <f>[40]Rqmnt!R22</f>
        <v>147.017760789822</v>
      </c>
      <c r="L212" s="831">
        <f>[40]Rqmnt!S22</f>
        <v>136.453645825425</v>
      </c>
      <c r="M212" s="831">
        <f>[40]Rqmnt!T22</f>
        <v>151.670740369443</v>
      </c>
      <c r="N212" s="831">
        <f>[40]Rqmnt!U22</f>
        <v>175.106305369814</v>
      </c>
      <c r="O212" s="831">
        <f>[40]Rqmnt!V22</f>
        <v>177.416534875261</v>
      </c>
      <c r="P212" s="831">
        <f>[40]Rqmnt!W22</f>
        <v>214.404962776345</v>
      </c>
      <c r="Q212" s="832">
        <f>SUM(E212:P212)</f>
        <v>1978.9761280125</v>
      </c>
    </row>
    <row r="213" ht="15" hidden="1" spans="2:17">
      <c r="B213" s="820">
        <f t="shared" si="97"/>
        <v>20</v>
      </c>
      <c r="C213" s="822" t="s">
        <v>338</v>
      </c>
      <c r="D213" s="820" t="s">
        <v>304</v>
      </c>
      <c r="E213" s="831">
        <f t="shared" ref="E213:P213" si="99">E208+E209-E210-E212</f>
        <v>3486.03937187908</v>
      </c>
      <c r="F213" s="831">
        <f t="shared" si="99"/>
        <v>3082.86941168281</v>
      </c>
      <c r="G213" s="831">
        <f t="shared" si="99"/>
        <v>2794.95092744874</v>
      </c>
      <c r="H213" s="831">
        <f t="shared" si="99"/>
        <v>2668.48744363239</v>
      </c>
      <c r="I213" s="831">
        <f t="shared" si="99"/>
        <v>3116.27296977739</v>
      </c>
      <c r="J213" s="831">
        <f t="shared" si="99"/>
        <v>3064.99780497532</v>
      </c>
      <c r="K213" s="831">
        <f t="shared" si="99"/>
        <v>2674.36216129796</v>
      </c>
      <c r="L213" s="831">
        <f t="shared" si="99"/>
        <v>2442.22919448775</v>
      </c>
      <c r="M213" s="831">
        <f t="shared" si="99"/>
        <v>2807.61983518013</v>
      </c>
      <c r="N213" s="831">
        <f t="shared" si="99"/>
        <v>3385.73576992839</v>
      </c>
      <c r="O213" s="831">
        <f t="shared" si="99"/>
        <v>3419.70390673832</v>
      </c>
      <c r="P213" s="831">
        <f t="shared" si="99"/>
        <v>4215.91975100864</v>
      </c>
      <c r="Q213" s="832">
        <f>SUM(E213:P213)</f>
        <v>37159.1885480369</v>
      </c>
    </row>
    <row r="214" ht="15" hidden="1" spans="2:17">
      <c r="B214" s="820"/>
      <c r="C214" s="823" t="s">
        <v>323</v>
      </c>
      <c r="D214" s="820"/>
      <c r="E214" s="287"/>
      <c r="F214" s="287"/>
      <c r="G214" s="287"/>
      <c r="H214" s="287"/>
      <c r="I214" s="287"/>
      <c r="J214" s="287"/>
      <c r="K214" s="287"/>
      <c r="L214" s="287"/>
      <c r="M214" s="287"/>
      <c r="N214" s="287"/>
      <c r="O214" s="287"/>
      <c r="P214" s="287"/>
      <c r="Q214" s="829"/>
    </row>
    <row r="215" ht="28.5" hidden="1" spans="2:17">
      <c r="B215" s="820"/>
      <c r="C215" s="822" t="s">
        <v>324</v>
      </c>
      <c r="D215" s="820" t="s">
        <v>304</v>
      </c>
      <c r="E215" s="831">
        <f>[40]Rqmnt!L27</f>
        <v>3486.03937187908</v>
      </c>
      <c r="F215" s="831">
        <f>[40]Rqmnt!M27</f>
        <v>3082.8694116828</v>
      </c>
      <c r="G215" s="831">
        <f>[40]Rqmnt!N27</f>
        <v>2794.95092744874</v>
      </c>
      <c r="H215" s="831">
        <f>[40]Rqmnt!O27</f>
        <v>2668.4874436324</v>
      </c>
      <c r="I215" s="831">
        <f>[40]Rqmnt!P27</f>
        <v>3116.27296977739</v>
      </c>
      <c r="J215" s="831">
        <f>[40]Rqmnt!Q27</f>
        <v>3064.99780497532</v>
      </c>
      <c r="K215" s="831">
        <f>[40]Rqmnt!R27</f>
        <v>2674.36216129796</v>
      </c>
      <c r="L215" s="831">
        <f>[40]Rqmnt!S27</f>
        <v>2442.22919448775</v>
      </c>
      <c r="M215" s="831">
        <f>[40]Rqmnt!T27</f>
        <v>2807.61983518013</v>
      </c>
      <c r="N215" s="831">
        <f>[40]Rqmnt!U27</f>
        <v>3385.73576992839</v>
      </c>
      <c r="O215" s="831">
        <f>[40]Rqmnt!V27</f>
        <v>3419.70390673832</v>
      </c>
      <c r="P215" s="831">
        <f>[40]Rqmnt!W27</f>
        <v>4215.91975100864</v>
      </c>
      <c r="Q215" s="829">
        <f>SUM(E215:P215)</f>
        <v>37159.1885480369</v>
      </c>
    </row>
    <row r="216" ht="15" hidden="1" spans="2:17">
      <c r="B216" s="820">
        <f>B213+1</f>
        <v>21</v>
      </c>
      <c r="C216" s="822" t="s">
        <v>319</v>
      </c>
      <c r="D216" s="820" t="s">
        <v>304</v>
      </c>
      <c r="E216" s="287"/>
      <c r="F216" s="287"/>
      <c r="G216" s="287"/>
      <c r="H216" s="287"/>
      <c r="I216" s="287"/>
      <c r="J216" s="287"/>
      <c r="K216" s="287"/>
      <c r="L216" s="287"/>
      <c r="M216" s="287"/>
      <c r="N216" s="287"/>
      <c r="O216" s="287"/>
      <c r="P216" s="287"/>
      <c r="Q216" s="829">
        <f>SUM(E216:P216)</f>
        <v>0</v>
      </c>
    </row>
    <row r="217" ht="15" hidden="1" spans="2:17">
      <c r="B217" s="820">
        <f t="shared" ref="B217:B219" si="100">B216+1</f>
        <v>22</v>
      </c>
      <c r="C217" s="821" t="s">
        <v>325</v>
      </c>
      <c r="D217" s="820" t="s">
        <v>304</v>
      </c>
      <c r="E217" s="831">
        <f>[40]Rqmnt!L28+[40]Rqmnt!L29</f>
        <v>3327.42458045858</v>
      </c>
      <c r="F217" s="831">
        <f>[40]Rqmnt!M28+[40]Rqmnt!M29</f>
        <v>2942.59885345124</v>
      </c>
      <c r="G217" s="831">
        <f>[40]Rqmnt!N28+[40]Rqmnt!N29</f>
        <v>2667.78066024982</v>
      </c>
      <c r="H217" s="831">
        <f>[40]Rqmnt!O28+[40]Rqmnt!O29</f>
        <v>2547.07126494712</v>
      </c>
      <c r="I217" s="831">
        <f>[40]Rqmnt!P28+[40]Rqmnt!P29</f>
        <v>2974.48254965251</v>
      </c>
      <c r="J217" s="831">
        <f>[40]Rqmnt!Q28+[40]Rqmnt!Q29</f>
        <v>2925.54040484895</v>
      </c>
      <c r="K217" s="831">
        <f>[40]Rqmnt!R28+[40]Rqmnt!R29</f>
        <v>2552.6786829589</v>
      </c>
      <c r="L217" s="831">
        <f>[40]Rqmnt!S28+[40]Rqmnt!S29</f>
        <v>2331.10776613855</v>
      </c>
      <c r="M217" s="831">
        <f>[40]Rqmnt!T28+[40]Rqmnt!T29</f>
        <v>2679.87313267943</v>
      </c>
      <c r="N217" s="831">
        <f>[40]Rqmnt!U28+[40]Rqmnt!U29</f>
        <v>3231.68479239665</v>
      </c>
      <c r="O217" s="831">
        <f>[40]Rqmnt!V28+[40]Rqmnt!V29</f>
        <v>3264.10737898172</v>
      </c>
      <c r="P217" s="831">
        <f>[40]Rqmnt!W28+[40]Rqmnt!W29</f>
        <v>4024.09540233775</v>
      </c>
      <c r="Q217" s="832">
        <f>SUM(E217:P217)</f>
        <v>35468.4454691012</v>
      </c>
    </row>
    <row r="218" hidden="1" spans="2:17">
      <c r="B218" s="820">
        <f t="shared" si="100"/>
        <v>23</v>
      </c>
      <c r="C218" s="821" t="s">
        <v>326</v>
      </c>
      <c r="D218" s="820" t="s">
        <v>306</v>
      </c>
      <c r="E218" s="830">
        <f t="shared" ref="E218:Q218" si="101">E219/E215</f>
        <v>0.0455</v>
      </c>
      <c r="F218" s="830">
        <f t="shared" si="101"/>
        <v>0.0454999999999999</v>
      </c>
      <c r="G218" s="830">
        <f t="shared" si="101"/>
        <v>0.0454999999999998</v>
      </c>
      <c r="H218" s="830">
        <f t="shared" si="101"/>
        <v>0.0454999999999999</v>
      </c>
      <c r="I218" s="830">
        <f t="shared" si="101"/>
        <v>0.0454999999999999</v>
      </c>
      <c r="J218" s="830">
        <f t="shared" si="101"/>
        <v>0.0455</v>
      </c>
      <c r="K218" s="830">
        <f t="shared" si="101"/>
        <v>0.0454999999999999</v>
      </c>
      <c r="L218" s="830">
        <f t="shared" si="101"/>
        <v>0.0455000000000002</v>
      </c>
      <c r="M218" s="830">
        <f t="shared" si="101"/>
        <v>0.0455</v>
      </c>
      <c r="N218" s="830">
        <f t="shared" si="101"/>
        <v>0.0455000000000001</v>
      </c>
      <c r="O218" s="830">
        <f t="shared" si="101"/>
        <v>0.0454999999999998</v>
      </c>
      <c r="P218" s="830">
        <f t="shared" si="101"/>
        <v>0.0455</v>
      </c>
      <c r="Q218" s="830">
        <f t="shared" si="101"/>
        <v>0.0455</v>
      </c>
    </row>
    <row r="219" ht="15" hidden="1" spans="2:17">
      <c r="B219" s="820">
        <f t="shared" si="100"/>
        <v>24</v>
      </c>
      <c r="C219" s="821" t="s">
        <v>326</v>
      </c>
      <c r="D219" s="820" t="s">
        <v>304</v>
      </c>
      <c r="E219" s="831">
        <f>[40]Rqmnt!L30</f>
        <v>158.614791420498</v>
      </c>
      <c r="F219" s="831">
        <f>[40]Rqmnt!M30</f>
        <v>140.270558231567</v>
      </c>
      <c r="G219" s="831">
        <f>[40]Rqmnt!N30</f>
        <v>127.170267198917</v>
      </c>
      <c r="H219" s="831">
        <f>[40]Rqmnt!O30</f>
        <v>121.416178685274</v>
      </c>
      <c r="I219" s="831">
        <f>[40]Rqmnt!P30</f>
        <v>141.790420124871</v>
      </c>
      <c r="J219" s="831">
        <f>[40]Rqmnt!Q30</f>
        <v>139.457400126377</v>
      </c>
      <c r="K219" s="831">
        <f>[40]Rqmnt!R30</f>
        <v>121.683478339057</v>
      </c>
      <c r="L219" s="831">
        <f>[40]Rqmnt!S30</f>
        <v>111.121428349193</v>
      </c>
      <c r="M219" s="831">
        <f>[40]Rqmnt!T30</f>
        <v>127.746702500696</v>
      </c>
      <c r="N219" s="831">
        <f>[40]Rqmnt!U30</f>
        <v>154.050977531742</v>
      </c>
      <c r="O219" s="831">
        <f>[40]Rqmnt!V30</f>
        <v>155.596527756593</v>
      </c>
      <c r="P219" s="831">
        <f>[40]Rqmnt!W30</f>
        <v>191.824348670893</v>
      </c>
      <c r="Q219" s="832">
        <f t="shared" ref="Q219:Q221" si="102">SUM(E219:P219)</f>
        <v>1690.74307893568</v>
      </c>
    </row>
    <row r="220" ht="15" hidden="1" spans="2:17">
      <c r="B220" s="820"/>
      <c r="C220" s="823" t="s">
        <v>97</v>
      </c>
      <c r="D220" s="820"/>
      <c r="E220" s="287"/>
      <c r="F220" s="287"/>
      <c r="G220" s="287"/>
      <c r="H220" s="287"/>
      <c r="I220" s="287"/>
      <c r="J220" s="287"/>
      <c r="K220" s="287"/>
      <c r="L220" s="287"/>
      <c r="M220" s="287"/>
      <c r="N220" s="287"/>
      <c r="O220" s="287"/>
      <c r="P220" s="287"/>
      <c r="Q220" s="829">
        <f t="shared" si="102"/>
        <v>0</v>
      </c>
    </row>
    <row r="221" ht="15" hidden="1" spans="2:17">
      <c r="B221" s="820">
        <f>B219+1</f>
        <v>25</v>
      </c>
      <c r="C221" s="823" t="s">
        <v>327</v>
      </c>
      <c r="D221" s="298" t="s">
        <v>304</v>
      </c>
      <c r="E221" s="831">
        <f t="shared" ref="E221:P221" si="103">E192+E196+E216</f>
        <v>7144.33468611498</v>
      </c>
      <c r="F221" s="831">
        <f t="shared" si="103"/>
        <v>6814.7635182559</v>
      </c>
      <c r="G221" s="831">
        <f t="shared" si="103"/>
        <v>6490.98004691993</v>
      </c>
      <c r="H221" s="831">
        <f t="shared" si="103"/>
        <v>6231.36683878131</v>
      </c>
      <c r="I221" s="831">
        <f t="shared" si="103"/>
        <v>7020.55460656515</v>
      </c>
      <c r="J221" s="831">
        <f t="shared" si="103"/>
        <v>6909.8244149313</v>
      </c>
      <c r="K221" s="831">
        <f t="shared" si="103"/>
        <v>6599.41020414434</v>
      </c>
      <c r="L221" s="831">
        <f t="shared" si="103"/>
        <v>6267.45386926586</v>
      </c>
      <c r="M221" s="831">
        <f t="shared" si="103"/>
        <v>6544.96878243126</v>
      </c>
      <c r="N221" s="831">
        <f t="shared" si="103"/>
        <v>7147.87243394661</v>
      </c>
      <c r="O221" s="831">
        <f t="shared" si="103"/>
        <v>7117.45253392165</v>
      </c>
      <c r="P221" s="831">
        <f t="shared" si="103"/>
        <v>8357.77158099254</v>
      </c>
      <c r="Q221" s="829">
        <f t="shared" si="102"/>
        <v>82646.7535162708</v>
      </c>
    </row>
    <row r="222" ht="15" hidden="1" spans="2:17">
      <c r="B222" s="820">
        <f>B221+1</f>
        <v>26</v>
      </c>
      <c r="C222" s="823" t="s">
        <v>328</v>
      </c>
      <c r="D222" s="298" t="s">
        <v>304</v>
      </c>
      <c r="E222" s="831">
        <f t="shared" ref="E222:P222" si="104">E197+E203+E210+E217</f>
        <v>6415.34423233842</v>
      </c>
      <c r="F222" s="831">
        <f t="shared" si="104"/>
        <v>6137.89618326723</v>
      </c>
      <c r="G222" s="831">
        <f t="shared" si="104"/>
        <v>5863.8119042167</v>
      </c>
      <c r="H222" s="831">
        <f t="shared" si="104"/>
        <v>5628.9649621932</v>
      </c>
      <c r="I222" s="831">
        <f t="shared" si="104"/>
        <v>6340.35887040927</v>
      </c>
      <c r="J222" s="831">
        <f t="shared" si="104"/>
        <v>6244.59048484812</v>
      </c>
      <c r="K222" s="831">
        <f t="shared" si="104"/>
        <v>5985.61557082248</v>
      </c>
      <c r="L222" s="831">
        <f t="shared" si="104"/>
        <v>5694.42310246306</v>
      </c>
      <c r="M222" s="831">
        <f t="shared" si="104"/>
        <v>5915.44570190186</v>
      </c>
      <c r="N222" s="831">
        <f t="shared" si="104"/>
        <v>6433.2821938673</v>
      </c>
      <c r="O222" s="831">
        <f t="shared" si="104"/>
        <v>6402.00273556368</v>
      </c>
      <c r="P222" s="831">
        <f t="shared" si="104"/>
        <v>7502.7514335431</v>
      </c>
      <c r="Q222" s="832">
        <f t="shared" ref="Q222:Q224" si="105">SUM(E222:P222)</f>
        <v>74564.4873754344</v>
      </c>
    </row>
    <row r="223" ht="30" hidden="1" spans="2:17">
      <c r="B223" s="820">
        <f>B222+1</f>
        <v>27</v>
      </c>
      <c r="C223" s="826" t="s">
        <v>329</v>
      </c>
      <c r="D223" s="298"/>
      <c r="E223" s="831">
        <f t="shared" ref="E223:P223" si="106">E200+E197</f>
        <v>6938.77888587296</v>
      </c>
      <c r="F223" s="831">
        <f t="shared" si="106"/>
        <v>6619.57581357083</v>
      </c>
      <c r="G223" s="831">
        <f t="shared" si="106"/>
        <v>6309.18442926023</v>
      </c>
      <c r="H223" s="831">
        <f t="shared" si="106"/>
        <v>6052.07139479564</v>
      </c>
      <c r="I223" s="831">
        <f t="shared" si="106"/>
        <v>6822.07476023115</v>
      </c>
      <c r="J223" s="831">
        <f t="shared" si="106"/>
        <v>6714.59512035179</v>
      </c>
      <c r="K223" s="831">
        <f t="shared" si="106"/>
        <v>6411.15258974526</v>
      </c>
      <c r="L223" s="831">
        <f t="shared" si="106"/>
        <v>6090.29230171112</v>
      </c>
      <c r="M223" s="831">
        <f t="shared" si="106"/>
        <v>6355.34316207212</v>
      </c>
      <c r="N223" s="831">
        <f t="shared" si="106"/>
        <v>6941.95377151581</v>
      </c>
      <c r="O223" s="831">
        <f t="shared" si="106"/>
        <v>6915.91518787943</v>
      </c>
      <c r="P223" s="831">
        <f t="shared" si="106"/>
        <v>8124.82315607354</v>
      </c>
      <c r="Q223" s="832">
        <f t="shared" si="105"/>
        <v>80295.7605730799</v>
      </c>
    </row>
    <row r="224" ht="15" hidden="1" spans="2:17">
      <c r="B224" s="820">
        <f>B223+1</f>
        <v>28</v>
      </c>
      <c r="C224" s="826" t="s">
        <v>330</v>
      </c>
      <c r="D224" s="298" t="s">
        <v>304</v>
      </c>
      <c r="E224" s="831">
        <f t="shared" ref="E224:P224" si="107">E223-E222</f>
        <v>523.434653534547</v>
      </c>
      <c r="F224" s="831">
        <f t="shared" si="107"/>
        <v>481.679630303599</v>
      </c>
      <c r="G224" s="831">
        <f t="shared" si="107"/>
        <v>445.372525043532</v>
      </c>
      <c r="H224" s="831">
        <f t="shared" si="107"/>
        <v>423.106432602433</v>
      </c>
      <c r="I224" s="831">
        <f t="shared" si="107"/>
        <v>481.71588982188</v>
      </c>
      <c r="J224" s="831">
        <f t="shared" si="107"/>
        <v>470.004635503665</v>
      </c>
      <c r="K224" s="831">
        <f t="shared" si="107"/>
        <v>425.537018922783</v>
      </c>
      <c r="L224" s="831">
        <f t="shared" si="107"/>
        <v>395.869199248051</v>
      </c>
      <c r="M224" s="831">
        <f t="shared" si="107"/>
        <v>439.897460170257</v>
      </c>
      <c r="N224" s="831">
        <f t="shared" si="107"/>
        <v>508.671577648507</v>
      </c>
      <c r="O224" s="831">
        <f t="shared" si="107"/>
        <v>513.912452315744</v>
      </c>
      <c r="P224" s="831">
        <f t="shared" si="107"/>
        <v>622.071722530443</v>
      </c>
      <c r="Q224" s="832">
        <f t="shared" si="105"/>
        <v>5731.27319764544</v>
      </c>
    </row>
    <row r="225" ht="15" hidden="1" spans="2:17">
      <c r="B225" s="820">
        <f t="shared" ref="B225" si="108">B224+1</f>
        <v>29</v>
      </c>
      <c r="C225" s="826" t="s">
        <v>331</v>
      </c>
      <c r="D225" s="298" t="s">
        <v>306</v>
      </c>
      <c r="E225" s="830">
        <f t="shared" ref="E225:Q225" si="109">E224/(E223-E197)</f>
        <v>0.0889868181382297</v>
      </c>
      <c r="F225" s="830">
        <f t="shared" si="109"/>
        <v>0.0861077795512631</v>
      </c>
      <c r="G225" s="830">
        <f t="shared" si="109"/>
        <v>0.084838636364205</v>
      </c>
      <c r="H225" s="830">
        <f t="shared" si="109"/>
        <v>0.0846896609518899</v>
      </c>
      <c r="I225" s="830">
        <f t="shared" si="109"/>
        <v>0.0866366762042865</v>
      </c>
      <c r="J225" s="830">
        <f t="shared" si="109"/>
        <v>0.0870307753301998</v>
      </c>
      <c r="K225" s="830">
        <f t="shared" si="109"/>
        <v>0.0846538653860563</v>
      </c>
      <c r="L225" s="830">
        <f t="shared" si="109"/>
        <v>0.0832879860238755</v>
      </c>
      <c r="M225" s="830">
        <f t="shared" si="109"/>
        <v>0.0855234252102896</v>
      </c>
      <c r="N225" s="830">
        <f t="shared" si="109"/>
        <v>0.0884082977626146</v>
      </c>
      <c r="O225" s="830">
        <f t="shared" si="109"/>
        <v>0.0886352825195797</v>
      </c>
      <c r="P225" s="830">
        <f t="shared" si="109"/>
        <v>0.0899204083458271</v>
      </c>
      <c r="Q225" s="830">
        <f t="shared" si="109"/>
        <v>0.0867383171012939</v>
      </c>
    </row>
    <row r="226" hidden="1"/>
    <row r="227" ht="15" hidden="1" spans="2:17">
      <c r="B227" s="298" t="s">
        <v>3</v>
      </c>
      <c r="C227" s="401" t="s">
        <v>110</v>
      </c>
      <c r="D227" s="379" t="s">
        <v>297</v>
      </c>
      <c r="E227" s="403" t="s">
        <v>342</v>
      </c>
      <c r="F227" s="403"/>
      <c r="G227" s="403"/>
      <c r="H227" s="403"/>
      <c r="I227" s="403"/>
      <c r="J227" s="403"/>
      <c r="K227" s="403"/>
      <c r="L227" s="403"/>
      <c r="M227" s="403"/>
      <c r="N227" s="403"/>
      <c r="O227" s="403"/>
      <c r="P227" s="403"/>
      <c r="Q227" s="403"/>
    </row>
    <row r="228" ht="15" hidden="1" spans="2:17">
      <c r="B228" s="298"/>
      <c r="C228" s="401"/>
      <c r="D228" s="379"/>
      <c r="E228" s="403" t="s">
        <v>246</v>
      </c>
      <c r="F228" s="403" t="s">
        <v>247</v>
      </c>
      <c r="G228" s="403" t="s">
        <v>248</v>
      </c>
      <c r="H228" s="403" t="s">
        <v>249</v>
      </c>
      <c r="I228" s="403" t="s">
        <v>250</v>
      </c>
      <c r="J228" s="403" t="s">
        <v>251</v>
      </c>
      <c r="K228" s="403" t="s">
        <v>252</v>
      </c>
      <c r="L228" s="403" t="s">
        <v>253</v>
      </c>
      <c r="M228" s="403" t="s">
        <v>254</v>
      </c>
      <c r="N228" s="403" t="s">
        <v>255</v>
      </c>
      <c r="O228" s="403" t="s">
        <v>256</v>
      </c>
      <c r="P228" s="403" t="s">
        <v>257</v>
      </c>
      <c r="Q228" s="403" t="s">
        <v>97</v>
      </c>
    </row>
    <row r="229" ht="15" hidden="1" spans="2:17">
      <c r="B229" s="820">
        <v>1</v>
      </c>
      <c r="C229" s="821" t="s">
        <v>303</v>
      </c>
      <c r="D229" s="820" t="s">
        <v>304</v>
      </c>
      <c r="E229" s="287">
        <f>[41]Rqmnt!L48+[41]Rqmnt!L49</f>
        <v>851.728909274452</v>
      </c>
      <c r="F229" s="287">
        <f>[41]Rqmnt!M48+[41]Rqmnt!M49</f>
        <v>866.512265634791</v>
      </c>
      <c r="G229" s="287">
        <f>[41]Rqmnt!N48+[41]Rqmnt!N49</f>
        <v>769.811833116467</v>
      </c>
      <c r="H229" s="287">
        <f>[41]Rqmnt!O48+[41]Rqmnt!O49</f>
        <v>831.996611069648</v>
      </c>
      <c r="I229" s="287">
        <f>[41]Rqmnt!P48+[41]Rqmnt!P49</f>
        <v>869.177260478753</v>
      </c>
      <c r="J229" s="287">
        <f>[41]Rqmnt!Q48+[41]Rqmnt!Q49</f>
        <v>820.178131882152</v>
      </c>
      <c r="K229" s="287">
        <f>[41]Rqmnt!R48+[41]Rqmnt!R49</f>
        <v>881.324667149341</v>
      </c>
      <c r="L229" s="287">
        <f>[41]Rqmnt!S48+[41]Rqmnt!S49</f>
        <v>796.989164274452</v>
      </c>
      <c r="M229" s="287">
        <f>[41]Rqmnt!T48+[41]Rqmnt!T49</f>
        <v>812.489032149341</v>
      </c>
      <c r="N229" s="287">
        <f>[41]Rqmnt!U48+[41]Rqmnt!U49</f>
        <v>868.907867149341</v>
      </c>
      <c r="O229" s="287">
        <f>[41]Rqmnt!V48+[41]Rqmnt!V49</f>
        <v>799.507733524674</v>
      </c>
      <c r="P229" s="287">
        <f>[41]Rqmnt!W48+[41]Rqmnt!W49</f>
        <v>884.711067149341</v>
      </c>
      <c r="Q229" s="829">
        <f>SUM(E229:P229)</f>
        <v>10053.3345428528</v>
      </c>
    </row>
    <row r="230" hidden="1" spans="2:17">
      <c r="B230" s="820">
        <f>B229+1</f>
        <v>2</v>
      </c>
      <c r="C230" s="821" t="s">
        <v>305</v>
      </c>
      <c r="D230" s="820" t="s">
        <v>306</v>
      </c>
      <c r="E230" s="830">
        <f t="shared" ref="E230:Q230" si="110">E231/E229</f>
        <v>0.0393</v>
      </c>
      <c r="F230" s="830">
        <f t="shared" si="110"/>
        <v>0.0358</v>
      </c>
      <c r="G230" s="830">
        <f t="shared" si="110"/>
        <v>0.0329</v>
      </c>
      <c r="H230" s="830">
        <f t="shared" si="110"/>
        <v>0.0350999999999999</v>
      </c>
      <c r="I230" s="830">
        <f t="shared" si="110"/>
        <v>0.0337</v>
      </c>
      <c r="J230" s="830">
        <f t="shared" si="110"/>
        <v>0.035</v>
      </c>
      <c r="K230" s="830">
        <f t="shared" si="110"/>
        <v>0.0332</v>
      </c>
      <c r="L230" s="830">
        <f t="shared" si="110"/>
        <v>0.032775</v>
      </c>
      <c r="M230" s="830">
        <f t="shared" si="110"/>
        <v>0.0394</v>
      </c>
      <c r="N230" s="830">
        <f t="shared" si="110"/>
        <v>0.03885</v>
      </c>
      <c r="O230" s="830">
        <f t="shared" si="110"/>
        <v>0.03755</v>
      </c>
      <c r="P230" s="830">
        <f t="shared" si="110"/>
        <v>0.03555</v>
      </c>
      <c r="Q230" s="830">
        <f t="shared" si="110"/>
        <v>0.035773694141799</v>
      </c>
    </row>
    <row r="231" ht="15" hidden="1" spans="2:17">
      <c r="B231" s="820">
        <f t="shared" ref="B231:B237" si="111">B230+1</f>
        <v>3</v>
      </c>
      <c r="C231" s="821" t="s">
        <v>305</v>
      </c>
      <c r="D231" s="820" t="s">
        <v>304</v>
      </c>
      <c r="E231" s="831">
        <f>[41]Rqmnt!L52</f>
        <v>33.472946134486</v>
      </c>
      <c r="F231" s="831">
        <f>[41]Rqmnt!M52</f>
        <v>31.0211391097255</v>
      </c>
      <c r="G231" s="831">
        <f>[41]Rqmnt!N52</f>
        <v>25.3268093095318</v>
      </c>
      <c r="H231" s="831">
        <f>[41]Rqmnt!O52</f>
        <v>29.2030810485446</v>
      </c>
      <c r="I231" s="831">
        <f>[41]Rqmnt!P52</f>
        <v>29.291273678134</v>
      </c>
      <c r="J231" s="831">
        <f>[41]Rqmnt!Q52</f>
        <v>28.7062346158753</v>
      </c>
      <c r="K231" s="831">
        <f>[41]Rqmnt!R52</f>
        <v>29.2599789493581</v>
      </c>
      <c r="L231" s="831">
        <f>[41]Rqmnt!S52</f>
        <v>26.1213198590952</v>
      </c>
      <c r="M231" s="831">
        <f>[41]Rqmnt!T52</f>
        <v>32.012067866684</v>
      </c>
      <c r="N231" s="831">
        <f>[41]Rqmnt!U52</f>
        <v>33.7570706387519</v>
      </c>
      <c r="O231" s="831">
        <f>[41]Rqmnt!V52</f>
        <v>30.0215153938515</v>
      </c>
      <c r="P231" s="831">
        <f>[41]Rqmnt!W52</f>
        <v>31.4514784371591</v>
      </c>
      <c r="Q231" s="829">
        <f>SUM(E231:P231)</f>
        <v>359.644915041197</v>
      </c>
    </row>
    <row r="232" ht="28.5" hidden="1" spans="2:17">
      <c r="B232" s="820">
        <f t="shared" si="111"/>
        <v>4</v>
      </c>
      <c r="C232" s="822" t="s">
        <v>307</v>
      </c>
      <c r="D232" s="820" t="s">
        <v>304</v>
      </c>
      <c r="E232" s="831">
        <f t="shared" ref="E232:P232" si="112">E229-E231</f>
        <v>818.255963139966</v>
      </c>
      <c r="F232" s="831">
        <f t="shared" si="112"/>
        <v>835.491126525066</v>
      </c>
      <c r="G232" s="831">
        <f t="shared" si="112"/>
        <v>744.485023806935</v>
      </c>
      <c r="H232" s="831">
        <f t="shared" si="112"/>
        <v>802.793530021103</v>
      </c>
      <c r="I232" s="831">
        <f t="shared" si="112"/>
        <v>839.885986800619</v>
      </c>
      <c r="J232" s="831">
        <f t="shared" si="112"/>
        <v>791.471897266277</v>
      </c>
      <c r="K232" s="831">
        <f t="shared" si="112"/>
        <v>852.064688199983</v>
      </c>
      <c r="L232" s="831">
        <f t="shared" si="112"/>
        <v>770.867844415357</v>
      </c>
      <c r="M232" s="831">
        <f t="shared" si="112"/>
        <v>780.476964282657</v>
      </c>
      <c r="N232" s="831">
        <f t="shared" si="112"/>
        <v>835.150796510589</v>
      </c>
      <c r="O232" s="831">
        <f t="shared" si="112"/>
        <v>769.486218130823</v>
      </c>
      <c r="P232" s="831">
        <f t="shared" si="112"/>
        <v>853.259588712182</v>
      </c>
      <c r="Q232" s="829">
        <f>SUM(E232:P232)</f>
        <v>9693.68962781156</v>
      </c>
    </row>
    <row r="233" ht="28.5" hidden="1" spans="2:17">
      <c r="B233" s="820">
        <f t="shared" si="111"/>
        <v>5</v>
      </c>
      <c r="C233" s="822" t="s">
        <v>308</v>
      </c>
      <c r="D233" s="820" t="s">
        <v>304</v>
      </c>
      <c r="E233" s="831">
        <f>[41]Rqmnt!L46-E232</f>
        <v>7019.62501863408</v>
      </c>
      <c r="F233" s="831">
        <f>[41]Rqmnt!M46-F232</f>
        <v>6715.34135000403</v>
      </c>
      <c r="G233" s="831">
        <f>[41]Rqmnt!N46-G232</f>
        <v>6467.25197142569</v>
      </c>
      <c r="H233" s="831">
        <f>[41]Rqmnt!O46-H232</f>
        <v>6088.31795460846</v>
      </c>
      <c r="I233" s="831">
        <f>[41]Rqmnt!P46-I232</f>
        <v>6901.82601791552</v>
      </c>
      <c r="J233" s="831">
        <f>[41]Rqmnt!Q46-J232</f>
        <v>6811.86264395368</v>
      </c>
      <c r="K233" s="831">
        <f>[41]Rqmnt!R46-K232</f>
        <v>6467.66335699223</v>
      </c>
      <c r="L233" s="831">
        <f>[41]Rqmnt!S46-L232</f>
        <v>6193.68552860764</v>
      </c>
      <c r="M233" s="831">
        <f>[41]Rqmnt!T46-M232</f>
        <v>6445.52867971313</v>
      </c>
      <c r="N233" s="831">
        <f>[41]Rqmnt!U46-N232</f>
        <v>7017.40390298076</v>
      </c>
      <c r="O233" s="831">
        <f>[41]Rqmnt!V46-O232</f>
        <v>7040.76666597203</v>
      </c>
      <c r="P233" s="831">
        <f>[41]Rqmnt!W46-P232</f>
        <v>8318.53524778292</v>
      </c>
      <c r="Q233" s="829">
        <f>SUM(E233:P233)</f>
        <v>81487.8083385902</v>
      </c>
    </row>
    <row r="234" ht="15" hidden="1" spans="2:17">
      <c r="B234" s="820">
        <f t="shared" si="111"/>
        <v>6</v>
      </c>
      <c r="C234" s="821" t="s">
        <v>309</v>
      </c>
      <c r="D234" s="820" t="s">
        <v>304</v>
      </c>
      <c r="E234" s="831">
        <f>[41]Rqmnt!L37</f>
        <v>1258.24981976829</v>
      </c>
      <c r="F234" s="831">
        <f>[41]Rqmnt!M37</f>
        <v>1225.60995366887</v>
      </c>
      <c r="G234" s="831">
        <f>[41]Rqmnt!N37</f>
        <v>1264.15837147093</v>
      </c>
      <c r="H234" s="831">
        <f>[41]Rqmnt!O37</f>
        <v>1255.3843130602</v>
      </c>
      <c r="I234" s="831">
        <f>[41]Rqmnt!P37</f>
        <v>1482.70600297879</v>
      </c>
      <c r="J234" s="831">
        <f>[41]Rqmnt!Q37</f>
        <v>1534.0985037172</v>
      </c>
      <c r="K234" s="831">
        <f>[41]Rqmnt!R37</f>
        <v>1631.42581122955</v>
      </c>
      <c r="L234" s="831">
        <f>[41]Rqmnt!S37</f>
        <v>1575.81105689137</v>
      </c>
      <c r="M234" s="831">
        <f>[41]Rqmnt!T37</f>
        <v>1449.83365849094</v>
      </c>
      <c r="N234" s="831">
        <f>[41]Rqmnt!U37</f>
        <v>1426.63620008041</v>
      </c>
      <c r="O234" s="831">
        <f>[41]Rqmnt!V37</f>
        <v>1340.46416569652</v>
      </c>
      <c r="P234" s="831">
        <f>[41]Rqmnt!W37</f>
        <v>1454.01556906791</v>
      </c>
      <c r="Q234" s="829">
        <f>SUM(E234:P234)</f>
        <v>16898.393426121</v>
      </c>
    </row>
    <row r="235" hidden="1" spans="2:17">
      <c r="B235" s="820">
        <f t="shared" si="111"/>
        <v>7</v>
      </c>
      <c r="C235" s="821" t="s">
        <v>310</v>
      </c>
      <c r="D235" s="820" t="s">
        <v>306</v>
      </c>
      <c r="E235" s="830">
        <f t="shared" ref="E235:P235" si="113">E236/(E233+E229)</f>
        <v>0.0238979399586671</v>
      </c>
      <c r="F235" s="830">
        <f t="shared" si="113"/>
        <v>0.0239018040473509</v>
      </c>
      <c r="G235" s="830">
        <f t="shared" si="113"/>
        <v>0.0239160096636087</v>
      </c>
      <c r="H235" s="830">
        <f t="shared" si="113"/>
        <v>0.0238987222418124</v>
      </c>
      <c r="I235" s="830">
        <f t="shared" si="113"/>
        <v>0.0239095367041949</v>
      </c>
      <c r="J235" s="830">
        <f t="shared" si="113"/>
        <v>0.023909729304256</v>
      </c>
      <c r="K235" s="830">
        <f t="shared" si="113"/>
        <v>0.0239044440550892</v>
      </c>
      <c r="L235" s="830">
        <f t="shared" si="113"/>
        <v>0.023910321720841</v>
      </c>
      <c r="M235" s="830">
        <f t="shared" si="113"/>
        <v>0.0238941460796459</v>
      </c>
      <c r="N235" s="830">
        <f t="shared" si="113"/>
        <v>0.0238972688730873</v>
      </c>
      <c r="O235" s="830">
        <f t="shared" si="113"/>
        <v>0.023908100618328</v>
      </c>
      <c r="P235" s="830">
        <f t="shared" si="113"/>
        <v>0.0239179816059832</v>
      </c>
      <c r="Q235" s="830">
        <f>Q236/(Q233+Q232)</f>
        <v>0.024</v>
      </c>
    </row>
    <row r="236" ht="15" hidden="1" spans="2:17">
      <c r="B236" s="820">
        <f t="shared" si="111"/>
        <v>8</v>
      </c>
      <c r="C236" s="821" t="s">
        <v>310</v>
      </c>
      <c r="D236" s="820" t="s">
        <v>304</v>
      </c>
      <c r="E236" s="831">
        <f>[41]Rqmnt!L47</f>
        <v>188.109143562577</v>
      </c>
      <c r="F236" s="831">
        <f>[41]Rqmnt!M47</f>
        <v>181.219979436698</v>
      </c>
      <c r="G236" s="831">
        <f>[41]Rqmnt!N47</f>
        <v>173.081687885583</v>
      </c>
      <c r="H236" s="831">
        <f>[41]Rqmnt!O47</f>
        <v>165.38667563111</v>
      </c>
      <c r="I236" s="831">
        <f>[41]Rqmnt!P47</f>
        <v>185.801088113187</v>
      </c>
      <c r="J236" s="831">
        <f>[41]Rqmnt!Q47</f>
        <v>182.480028989279</v>
      </c>
      <c r="K236" s="831">
        <f>[41]Rqmnt!R47</f>
        <v>175.673473084613</v>
      </c>
      <c r="L236" s="831">
        <f>[41]Rqmnt!S47</f>
        <v>167.149280952552</v>
      </c>
      <c r="M236" s="831">
        <f>[41]Rqmnt!T47</f>
        <v>173.424135455899</v>
      </c>
      <c r="N236" s="831">
        <f>[41]Rqmnt!U47</f>
        <v>188.461312787792</v>
      </c>
      <c r="O236" s="831">
        <f>[41]Rqmnt!V47</f>
        <v>187.446069218468</v>
      </c>
      <c r="P236" s="831">
        <f>[41]Rqmnt!W47</f>
        <v>220.123076075882</v>
      </c>
      <c r="Q236" s="832">
        <f>SUM(E236:P236)</f>
        <v>2188.35595119364</v>
      </c>
    </row>
    <row r="237" ht="28.5" hidden="1" spans="2:17">
      <c r="B237" s="820">
        <f t="shared" si="111"/>
        <v>9</v>
      </c>
      <c r="C237" s="822" t="s">
        <v>311</v>
      </c>
      <c r="D237" s="820" t="s">
        <v>304</v>
      </c>
      <c r="E237" s="831">
        <f t="shared" ref="E237:P237" si="114">E232+E233-E234-E236</f>
        <v>6391.52201844318</v>
      </c>
      <c r="F237" s="831">
        <f t="shared" si="114"/>
        <v>6144.00254342353</v>
      </c>
      <c r="G237" s="831">
        <f t="shared" si="114"/>
        <v>5774.49693587612</v>
      </c>
      <c r="H237" s="831">
        <f t="shared" si="114"/>
        <v>5470.34049593825</v>
      </c>
      <c r="I237" s="831">
        <f t="shared" si="114"/>
        <v>6073.20491362416</v>
      </c>
      <c r="J237" s="831">
        <f t="shared" si="114"/>
        <v>5886.75600851348</v>
      </c>
      <c r="K237" s="831">
        <f t="shared" si="114"/>
        <v>5512.62876087805</v>
      </c>
      <c r="L237" s="831">
        <f t="shared" si="114"/>
        <v>5221.59303517908</v>
      </c>
      <c r="M237" s="831">
        <f t="shared" si="114"/>
        <v>5602.74785004895</v>
      </c>
      <c r="N237" s="831">
        <f t="shared" si="114"/>
        <v>6237.45718662315</v>
      </c>
      <c r="O237" s="831">
        <f t="shared" si="114"/>
        <v>6282.34264918786</v>
      </c>
      <c r="P237" s="831">
        <f t="shared" si="114"/>
        <v>7497.65619135131</v>
      </c>
      <c r="Q237" s="829">
        <f>SUM(E237:P237)</f>
        <v>72094.7485890871</v>
      </c>
    </row>
    <row r="238" ht="15" hidden="1" spans="2:17">
      <c r="B238" s="820"/>
      <c r="C238" s="823" t="s">
        <v>312</v>
      </c>
      <c r="D238" s="820"/>
      <c r="E238" s="287"/>
      <c r="F238" s="287"/>
      <c r="G238" s="287"/>
      <c r="H238" s="287"/>
      <c r="I238" s="287"/>
      <c r="J238" s="287"/>
      <c r="K238" s="287"/>
      <c r="L238" s="287"/>
      <c r="M238" s="287"/>
      <c r="N238" s="287"/>
      <c r="O238" s="287"/>
      <c r="P238" s="287"/>
      <c r="Q238" s="829"/>
    </row>
    <row r="239" ht="28.5" hidden="1" spans="2:17">
      <c r="B239" s="820">
        <f>B237+1</f>
        <v>10</v>
      </c>
      <c r="C239" s="822" t="s">
        <v>313</v>
      </c>
      <c r="D239" s="820" t="s">
        <v>304</v>
      </c>
      <c r="E239" s="831">
        <f>[41]Rqmnt!L7</f>
        <v>6391.52201844319</v>
      </c>
      <c r="F239" s="831">
        <f>[41]Rqmnt!M7</f>
        <v>6144.00254342353</v>
      </c>
      <c r="G239" s="831">
        <f>[41]Rqmnt!N7</f>
        <v>5774.49693587612</v>
      </c>
      <c r="H239" s="831">
        <f>[41]Rqmnt!O7</f>
        <v>5470.34049593825</v>
      </c>
      <c r="I239" s="831">
        <f>[41]Rqmnt!P7</f>
        <v>6073.20491362417</v>
      </c>
      <c r="J239" s="831">
        <f>[41]Rqmnt!Q7</f>
        <v>5886.75600851348</v>
      </c>
      <c r="K239" s="831">
        <f>[41]Rqmnt!R7</f>
        <v>5512.62876087805</v>
      </c>
      <c r="L239" s="831">
        <f>[41]Rqmnt!S7</f>
        <v>5221.59303517907</v>
      </c>
      <c r="M239" s="831">
        <f>[41]Rqmnt!T7</f>
        <v>5602.74785004895</v>
      </c>
      <c r="N239" s="831">
        <f>[41]Rqmnt!U7</f>
        <v>6237.45718662315</v>
      </c>
      <c r="O239" s="831">
        <f>[41]Rqmnt!V7</f>
        <v>6282.34264918786</v>
      </c>
      <c r="P239" s="831">
        <f>[41]Rqmnt!W7</f>
        <v>7497.65619135131</v>
      </c>
      <c r="Q239" s="832">
        <f>SUM(E239:P239)</f>
        <v>72094.7485890871</v>
      </c>
    </row>
    <row r="240" ht="15" hidden="1" spans="2:17">
      <c r="B240" s="820">
        <f t="shared" ref="B240:B243" si="115">B239+1</f>
        <v>11</v>
      </c>
      <c r="C240" s="821" t="s">
        <v>314</v>
      </c>
      <c r="D240" s="820" t="s">
        <v>304</v>
      </c>
      <c r="E240" s="831">
        <f>[41]Rqmnt!L9</f>
        <v>1322.04435305344</v>
      </c>
      <c r="F240" s="831">
        <f>[41]Rqmnt!M9</f>
        <v>1418.67136519985</v>
      </c>
      <c r="G240" s="831">
        <f>[41]Rqmnt!N9</f>
        <v>1395.99861089801</v>
      </c>
      <c r="H240" s="831">
        <f>[41]Rqmnt!O9</f>
        <v>1359.76365536931</v>
      </c>
      <c r="I240" s="831">
        <f>[41]Rqmnt!P9</f>
        <v>1392.44886712209</v>
      </c>
      <c r="J240" s="831">
        <f>[41]Rqmnt!Q9</f>
        <v>1340.31369193298</v>
      </c>
      <c r="K240" s="831">
        <f>[41]Rqmnt!R9</f>
        <v>1358.36301870259</v>
      </c>
      <c r="L240" s="831">
        <f>[41]Rqmnt!S9</f>
        <v>1358.54357234172</v>
      </c>
      <c r="M240" s="831">
        <f>[41]Rqmnt!T9</f>
        <v>1351.74011074277</v>
      </c>
      <c r="N240" s="831">
        <f>[41]Rqmnt!U9</f>
        <v>1354.9480805474</v>
      </c>
      <c r="O240" s="831">
        <f>[41]Rqmnt!V9</f>
        <v>1338.80511101665</v>
      </c>
      <c r="P240" s="831">
        <f>[41]Rqmnt!W9</f>
        <v>1520.19825642442</v>
      </c>
      <c r="Q240" s="832">
        <f>SUM(E240:P240)</f>
        <v>16511.8386933512</v>
      </c>
    </row>
    <row r="241" hidden="1" spans="2:17">
      <c r="B241" s="820">
        <f t="shared" si="115"/>
        <v>12</v>
      </c>
      <c r="C241" s="821" t="s">
        <v>315</v>
      </c>
      <c r="D241" s="820" t="s">
        <v>306</v>
      </c>
      <c r="E241" s="830">
        <f t="shared" ref="E241:Q241" si="116">E242/E239</f>
        <v>0.031</v>
      </c>
      <c r="F241" s="830">
        <f t="shared" si="116"/>
        <v>0.0309999999999999</v>
      </c>
      <c r="G241" s="830">
        <f t="shared" si="116"/>
        <v>0.031</v>
      </c>
      <c r="H241" s="830">
        <f t="shared" si="116"/>
        <v>0.031</v>
      </c>
      <c r="I241" s="830">
        <f t="shared" si="116"/>
        <v>0.0310000000000001</v>
      </c>
      <c r="J241" s="830">
        <f t="shared" si="116"/>
        <v>0.031</v>
      </c>
      <c r="K241" s="830">
        <f t="shared" si="116"/>
        <v>0.0309999999999999</v>
      </c>
      <c r="L241" s="830">
        <f t="shared" si="116"/>
        <v>0.0310000000000002</v>
      </c>
      <c r="M241" s="830">
        <f t="shared" si="116"/>
        <v>0.0309999999999999</v>
      </c>
      <c r="N241" s="830">
        <f t="shared" si="116"/>
        <v>0.0310000000000001</v>
      </c>
      <c r="O241" s="830">
        <f t="shared" si="116"/>
        <v>0.0310000000000001</v>
      </c>
      <c r="P241" s="830">
        <f t="shared" si="116"/>
        <v>0.0310000000000001</v>
      </c>
      <c r="Q241" s="830">
        <f t="shared" si="116"/>
        <v>0.031</v>
      </c>
    </row>
    <row r="242" hidden="1" spans="2:17">
      <c r="B242" s="820">
        <f t="shared" si="115"/>
        <v>13</v>
      </c>
      <c r="C242" s="821" t="s">
        <v>315</v>
      </c>
      <c r="D242" s="820" t="s">
        <v>304</v>
      </c>
      <c r="E242" s="831">
        <f>[41]Rqmnt!L11</f>
        <v>198.137182571739</v>
      </c>
      <c r="F242" s="831">
        <f>[41]Rqmnt!M11</f>
        <v>190.464078846129</v>
      </c>
      <c r="G242" s="831">
        <f>[41]Rqmnt!N11</f>
        <v>179.00940501216</v>
      </c>
      <c r="H242" s="831">
        <f>[41]Rqmnt!O11</f>
        <v>169.580555374086</v>
      </c>
      <c r="I242" s="831">
        <f>[41]Rqmnt!P11</f>
        <v>188.26935232235</v>
      </c>
      <c r="J242" s="831">
        <f>[41]Rqmnt!Q11</f>
        <v>182.489436263918</v>
      </c>
      <c r="K242" s="831">
        <f>[41]Rqmnt!R11</f>
        <v>170.891491587219</v>
      </c>
      <c r="L242" s="831">
        <f>[41]Rqmnt!S11</f>
        <v>161.869384090552</v>
      </c>
      <c r="M242" s="831">
        <f>[41]Rqmnt!T11</f>
        <v>173.685183351517</v>
      </c>
      <c r="N242" s="831">
        <f>[41]Rqmnt!U11</f>
        <v>193.361172785318</v>
      </c>
      <c r="O242" s="831">
        <f>[41]Rqmnt!V11</f>
        <v>194.752622124824</v>
      </c>
      <c r="P242" s="831">
        <f>[41]Rqmnt!W11</f>
        <v>232.427341931891</v>
      </c>
      <c r="Q242" s="831">
        <f>SUM(E242:P242)</f>
        <v>2234.9372062617</v>
      </c>
    </row>
    <row r="243" ht="15" hidden="1" spans="2:17">
      <c r="B243" s="820">
        <f t="shared" si="115"/>
        <v>14</v>
      </c>
      <c r="C243" s="822" t="s">
        <v>337</v>
      </c>
      <c r="D243" s="820" t="s">
        <v>304</v>
      </c>
      <c r="E243" s="831">
        <f t="shared" ref="E243:P243" si="117">E239-E240-E242</f>
        <v>4871.34048281801</v>
      </c>
      <c r="F243" s="831">
        <f t="shared" si="117"/>
        <v>4534.86709937755</v>
      </c>
      <c r="G243" s="831">
        <f t="shared" si="117"/>
        <v>4199.48891996595</v>
      </c>
      <c r="H243" s="831">
        <f t="shared" si="117"/>
        <v>3940.99628519485</v>
      </c>
      <c r="I243" s="831">
        <f t="shared" si="117"/>
        <v>4492.48669417973</v>
      </c>
      <c r="J243" s="831">
        <f t="shared" si="117"/>
        <v>4363.95288031658</v>
      </c>
      <c r="K243" s="831">
        <f t="shared" si="117"/>
        <v>3983.37425058824</v>
      </c>
      <c r="L243" s="831">
        <f t="shared" si="117"/>
        <v>3701.1800787468</v>
      </c>
      <c r="M243" s="831">
        <f t="shared" si="117"/>
        <v>4077.32255595466</v>
      </c>
      <c r="N243" s="831">
        <f t="shared" si="117"/>
        <v>4689.14793329043</v>
      </c>
      <c r="O243" s="831">
        <f t="shared" si="117"/>
        <v>4748.78491604639</v>
      </c>
      <c r="P243" s="831">
        <f t="shared" si="117"/>
        <v>5745.030592995</v>
      </c>
      <c r="Q243" s="832">
        <f>SUM(E243:P243)</f>
        <v>53347.9726894742</v>
      </c>
    </row>
    <row r="244" ht="15" hidden="1" spans="2:17">
      <c r="B244" s="820"/>
      <c r="C244" s="823" t="s">
        <v>317</v>
      </c>
      <c r="D244" s="820"/>
      <c r="E244" s="287"/>
      <c r="F244" s="287"/>
      <c r="G244" s="287"/>
      <c r="H244" s="287"/>
      <c r="I244" s="287"/>
      <c r="J244" s="287"/>
      <c r="K244" s="287"/>
      <c r="L244" s="287"/>
      <c r="M244" s="287"/>
      <c r="N244" s="287"/>
      <c r="O244" s="287"/>
      <c r="P244" s="287"/>
      <c r="Q244" s="829"/>
    </row>
    <row r="245" ht="28.5" hidden="1" spans="2:17">
      <c r="B245" s="820">
        <f>B243+1</f>
        <v>15</v>
      </c>
      <c r="C245" s="822" t="s">
        <v>318</v>
      </c>
      <c r="D245" s="820" t="s">
        <v>304</v>
      </c>
      <c r="E245" s="831">
        <f>[41]Rqmnt!L19</f>
        <v>4871.34048281801</v>
      </c>
      <c r="F245" s="831">
        <f>[41]Rqmnt!M19</f>
        <v>4534.86709937755</v>
      </c>
      <c r="G245" s="831">
        <f>[41]Rqmnt!N19</f>
        <v>4199.48891996595</v>
      </c>
      <c r="H245" s="831">
        <f>[41]Rqmnt!O19</f>
        <v>3940.99628519486</v>
      </c>
      <c r="I245" s="831">
        <f>[41]Rqmnt!P19</f>
        <v>4492.48669417973</v>
      </c>
      <c r="J245" s="831">
        <f>[41]Rqmnt!Q19</f>
        <v>4363.95288031658</v>
      </c>
      <c r="K245" s="831">
        <f>[41]Rqmnt!R19</f>
        <v>3983.37425058824</v>
      </c>
      <c r="L245" s="831">
        <f>[41]Rqmnt!S19</f>
        <v>3701.1800787468</v>
      </c>
      <c r="M245" s="831">
        <f>[41]Rqmnt!T19</f>
        <v>4077.32255595466</v>
      </c>
      <c r="N245" s="831">
        <f>[41]Rqmnt!U19</f>
        <v>4689.14793329043</v>
      </c>
      <c r="O245" s="831">
        <f>[41]Rqmnt!V19</f>
        <v>4748.78491604639</v>
      </c>
      <c r="P245" s="831">
        <f>[41]Rqmnt!W19</f>
        <v>5745.03059299501</v>
      </c>
      <c r="Q245" s="832">
        <f>SUM(E245:P245)</f>
        <v>53347.9726894742</v>
      </c>
    </row>
    <row r="246" ht="15" hidden="1" spans="2:17">
      <c r="B246" s="820">
        <f t="shared" ref="B246:B250" si="118">B245+1</f>
        <v>16</v>
      </c>
      <c r="C246" s="822" t="s">
        <v>319</v>
      </c>
      <c r="D246" s="820" t="s">
        <v>304</v>
      </c>
      <c r="E246" s="831"/>
      <c r="F246" s="831"/>
      <c r="G246" s="831"/>
      <c r="H246" s="831"/>
      <c r="I246" s="831"/>
      <c r="J246" s="831"/>
      <c r="K246" s="831"/>
      <c r="L246" s="831"/>
      <c r="M246" s="831"/>
      <c r="N246" s="831"/>
      <c r="O246" s="831"/>
      <c r="P246" s="831"/>
      <c r="Q246" s="832">
        <f>SUM(E246:P246)</f>
        <v>0</v>
      </c>
    </row>
    <row r="247" ht="15" hidden="1" spans="2:17">
      <c r="B247" s="820">
        <f t="shared" si="118"/>
        <v>17</v>
      </c>
      <c r="C247" s="821" t="s">
        <v>320</v>
      </c>
      <c r="D247" s="820" t="s">
        <v>304</v>
      </c>
      <c r="E247" s="831">
        <f>[41]Rqmnt!L20</f>
        <v>982.208125537708</v>
      </c>
      <c r="F247" s="831">
        <f>[41]Rqmnt!M20</f>
        <v>1045.37235895217</v>
      </c>
      <c r="G247" s="831">
        <f>[41]Rqmnt!N20</f>
        <v>1031.84569991175</v>
      </c>
      <c r="H247" s="831">
        <f>[41]Rqmnt!O20</f>
        <v>939.384066097387</v>
      </c>
      <c r="I247" s="831">
        <f>[41]Rqmnt!P20</f>
        <v>995.454534308532</v>
      </c>
      <c r="J247" s="831">
        <f>[41]Rqmnt!Q20</f>
        <v>934.859278865978</v>
      </c>
      <c r="K247" s="831">
        <f>[41]Rqmnt!R20</f>
        <v>965.946661076807</v>
      </c>
      <c r="L247" s="831">
        <f>[41]Rqmnt!S20</f>
        <v>939.195773747378</v>
      </c>
      <c r="M247" s="831">
        <f>[41]Rqmnt!T20</f>
        <v>938.931102259989</v>
      </c>
      <c r="N247" s="831">
        <f>[41]Rqmnt!U20</f>
        <v>925.412150166942</v>
      </c>
      <c r="O247" s="831">
        <f>[41]Rqmnt!V20</f>
        <v>951.31922774701</v>
      </c>
      <c r="P247" s="831">
        <f>[41]Rqmnt!W20</f>
        <v>1061.1097923359</v>
      </c>
      <c r="Q247" s="832">
        <f>SUM(E247:P247)</f>
        <v>11711.0387710075</v>
      </c>
    </row>
    <row r="248" hidden="1" spans="2:17">
      <c r="B248" s="820">
        <f t="shared" si="118"/>
        <v>18</v>
      </c>
      <c r="C248" s="821" t="s">
        <v>321</v>
      </c>
      <c r="D248" s="820" t="s">
        <v>306</v>
      </c>
      <c r="E248" s="830">
        <f t="shared" ref="E248:Q248" si="119">E249/E245</f>
        <v>0.0394999999999999</v>
      </c>
      <c r="F248" s="830">
        <f t="shared" si="119"/>
        <v>0.0394999999999999</v>
      </c>
      <c r="G248" s="830">
        <f t="shared" si="119"/>
        <v>0.0395</v>
      </c>
      <c r="H248" s="830">
        <f t="shared" si="119"/>
        <v>0.0395</v>
      </c>
      <c r="I248" s="830">
        <f t="shared" si="119"/>
        <v>0.0394999999999999</v>
      </c>
      <c r="J248" s="830">
        <f t="shared" si="119"/>
        <v>0.0395</v>
      </c>
      <c r="K248" s="830">
        <f t="shared" si="119"/>
        <v>0.0394999999999999</v>
      </c>
      <c r="L248" s="830">
        <f t="shared" si="119"/>
        <v>0.0395000000000001</v>
      </c>
      <c r="M248" s="830">
        <f t="shared" si="119"/>
        <v>0.0395</v>
      </c>
      <c r="N248" s="830">
        <f t="shared" si="119"/>
        <v>0.0395</v>
      </c>
      <c r="O248" s="830">
        <f t="shared" si="119"/>
        <v>0.0394999999999999</v>
      </c>
      <c r="P248" s="830">
        <f t="shared" si="119"/>
        <v>0.0395</v>
      </c>
      <c r="Q248" s="830">
        <f t="shared" si="119"/>
        <v>0.0395</v>
      </c>
    </row>
    <row r="249" ht="15" hidden="1" spans="2:17">
      <c r="B249" s="820">
        <f t="shared" si="118"/>
        <v>19</v>
      </c>
      <c r="C249" s="821" t="s">
        <v>321</v>
      </c>
      <c r="D249" s="820" t="s">
        <v>304</v>
      </c>
      <c r="E249" s="831">
        <f>[41]Rqmnt!L22</f>
        <v>192.417949071311</v>
      </c>
      <c r="F249" s="831">
        <f>[41]Rqmnt!M22</f>
        <v>179.127250425413</v>
      </c>
      <c r="G249" s="831">
        <f>[41]Rqmnt!N22</f>
        <v>165.879812338655</v>
      </c>
      <c r="H249" s="831">
        <f>[41]Rqmnt!O22</f>
        <v>155.669353265197</v>
      </c>
      <c r="I249" s="831">
        <f>[41]Rqmnt!P22</f>
        <v>177.453224420099</v>
      </c>
      <c r="J249" s="831">
        <f>[41]Rqmnt!Q22</f>
        <v>172.376138772505</v>
      </c>
      <c r="K249" s="831">
        <f>[41]Rqmnt!R22</f>
        <v>157.343282898235</v>
      </c>
      <c r="L249" s="831">
        <f>[41]Rqmnt!S22</f>
        <v>146.196613110499</v>
      </c>
      <c r="M249" s="831">
        <f>[41]Rqmnt!T22</f>
        <v>161.054240960209</v>
      </c>
      <c r="N249" s="831">
        <f>[41]Rqmnt!U22</f>
        <v>185.221343364972</v>
      </c>
      <c r="O249" s="831">
        <f>[41]Rqmnt!V22</f>
        <v>187.577004183832</v>
      </c>
      <c r="P249" s="831">
        <f>[41]Rqmnt!W22</f>
        <v>226.928708423303</v>
      </c>
      <c r="Q249" s="832">
        <f>SUM(E249:P249)</f>
        <v>2107.24492123423</v>
      </c>
    </row>
    <row r="250" ht="15" hidden="1" spans="2:17">
      <c r="B250" s="820">
        <f t="shared" si="118"/>
        <v>20</v>
      </c>
      <c r="C250" s="822" t="s">
        <v>338</v>
      </c>
      <c r="D250" s="820" t="s">
        <v>304</v>
      </c>
      <c r="E250" s="831">
        <f t="shared" ref="E250:P250" si="120">E245+E246-E247-E249</f>
        <v>3696.71440820899</v>
      </c>
      <c r="F250" s="831">
        <f t="shared" si="120"/>
        <v>3310.36748999997</v>
      </c>
      <c r="G250" s="831">
        <f t="shared" si="120"/>
        <v>3001.76340771555</v>
      </c>
      <c r="H250" s="831">
        <f t="shared" si="120"/>
        <v>2845.94286583228</v>
      </c>
      <c r="I250" s="831">
        <f t="shared" si="120"/>
        <v>3319.5789354511</v>
      </c>
      <c r="J250" s="831">
        <f t="shared" si="120"/>
        <v>3256.7174626781</v>
      </c>
      <c r="K250" s="831">
        <f t="shared" si="120"/>
        <v>2860.0843066132</v>
      </c>
      <c r="L250" s="831">
        <f t="shared" si="120"/>
        <v>2615.78769188892</v>
      </c>
      <c r="M250" s="831">
        <f t="shared" si="120"/>
        <v>2977.33721273446</v>
      </c>
      <c r="N250" s="831">
        <f t="shared" si="120"/>
        <v>3578.51443975852</v>
      </c>
      <c r="O250" s="831">
        <f t="shared" si="120"/>
        <v>3609.88868411555</v>
      </c>
      <c r="P250" s="831">
        <f t="shared" si="120"/>
        <v>4456.99209223581</v>
      </c>
      <c r="Q250" s="832">
        <f>SUM(E250:P250)</f>
        <v>39529.6889972324</v>
      </c>
    </row>
    <row r="251" ht="15" hidden="1" spans="2:17">
      <c r="B251" s="820"/>
      <c r="C251" s="823" t="s">
        <v>323</v>
      </c>
      <c r="D251" s="820"/>
      <c r="E251" s="287"/>
      <c r="F251" s="287"/>
      <c r="G251" s="287"/>
      <c r="H251" s="287"/>
      <c r="I251" s="287"/>
      <c r="J251" s="287"/>
      <c r="K251" s="287"/>
      <c r="L251" s="287"/>
      <c r="M251" s="287"/>
      <c r="N251" s="287"/>
      <c r="O251" s="287"/>
      <c r="P251" s="287"/>
      <c r="Q251" s="829"/>
    </row>
    <row r="252" ht="28.5" hidden="1" spans="2:17">
      <c r="B252" s="820"/>
      <c r="C252" s="822" t="s">
        <v>324</v>
      </c>
      <c r="D252" s="820" t="s">
        <v>304</v>
      </c>
      <c r="E252" s="831">
        <f>[41]Rqmnt!L27</f>
        <v>3696.71440820899</v>
      </c>
      <c r="F252" s="831">
        <f>[41]Rqmnt!M27</f>
        <v>3310.36748999997</v>
      </c>
      <c r="G252" s="831">
        <f>[41]Rqmnt!N27</f>
        <v>3001.76340771554</v>
      </c>
      <c r="H252" s="831">
        <f>[41]Rqmnt!O27</f>
        <v>2845.94286583227</v>
      </c>
      <c r="I252" s="831">
        <f>[41]Rqmnt!P27</f>
        <v>3319.5789354511</v>
      </c>
      <c r="J252" s="831">
        <f>[41]Rqmnt!Q27</f>
        <v>3256.7174626781</v>
      </c>
      <c r="K252" s="831">
        <f>[41]Rqmnt!R27</f>
        <v>2860.08430661319</v>
      </c>
      <c r="L252" s="831">
        <f>[41]Rqmnt!S27</f>
        <v>2615.78769188892</v>
      </c>
      <c r="M252" s="831">
        <f>[41]Rqmnt!T27</f>
        <v>2977.33721273446</v>
      </c>
      <c r="N252" s="831">
        <f>[41]Rqmnt!U27</f>
        <v>3578.51443975852</v>
      </c>
      <c r="O252" s="831">
        <f>[41]Rqmnt!V27</f>
        <v>3609.88868411555</v>
      </c>
      <c r="P252" s="831">
        <f>[41]Rqmnt!W27</f>
        <v>4456.9920922358</v>
      </c>
      <c r="Q252" s="829">
        <f>SUM(E252:P252)</f>
        <v>39529.6889972324</v>
      </c>
    </row>
    <row r="253" ht="15" hidden="1" spans="2:17">
      <c r="B253" s="820">
        <f>B250+1</f>
        <v>21</v>
      </c>
      <c r="C253" s="822" t="s">
        <v>319</v>
      </c>
      <c r="D253" s="820" t="s">
        <v>304</v>
      </c>
      <c r="E253" s="287"/>
      <c r="F253" s="287"/>
      <c r="G253" s="287"/>
      <c r="H253" s="287"/>
      <c r="I253" s="287"/>
      <c r="J253" s="287"/>
      <c r="K253" s="287"/>
      <c r="L253" s="287"/>
      <c r="M253" s="287"/>
      <c r="N253" s="287"/>
      <c r="O253" s="287"/>
      <c r="P253" s="287"/>
      <c r="Q253" s="829">
        <f>SUM(E253:P253)</f>
        <v>0</v>
      </c>
    </row>
    <row r="254" ht="15" hidden="1" spans="2:17">
      <c r="B254" s="820">
        <f t="shared" ref="B254:B256" si="121">B253+1</f>
        <v>22</v>
      </c>
      <c r="C254" s="821" t="s">
        <v>325</v>
      </c>
      <c r="D254" s="820" t="s">
        <v>304</v>
      </c>
      <c r="E254" s="831">
        <f>[41]Rqmnt!L28+[41]Rqmnt!L29</f>
        <v>3530.36225983959</v>
      </c>
      <c r="F254" s="831">
        <f>[41]Rqmnt!M28+[41]Rqmnt!M29</f>
        <v>3161.40095294998</v>
      </c>
      <c r="G254" s="831">
        <f>[41]Rqmnt!N28+[41]Rqmnt!N29</f>
        <v>2866.68405436834</v>
      </c>
      <c r="H254" s="831">
        <f>[41]Rqmnt!O28+[41]Rqmnt!O29</f>
        <v>2717.87543686982</v>
      </c>
      <c r="I254" s="831">
        <f>[41]Rqmnt!P28+[41]Rqmnt!P29</f>
        <v>3170.1978833558</v>
      </c>
      <c r="J254" s="831">
        <f>[41]Rqmnt!Q28+[41]Rqmnt!Q29</f>
        <v>3110.16517685758</v>
      </c>
      <c r="K254" s="831">
        <f>[41]Rqmnt!R28+[41]Rqmnt!R29</f>
        <v>2731.3805128156</v>
      </c>
      <c r="L254" s="831">
        <f>[41]Rqmnt!S28+[41]Rqmnt!S29</f>
        <v>2498.07724575392</v>
      </c>
      <c r="M254" s="831">
        <f>[41]Rqmnt!T28+[41]Rqmnt!T29</f>
        <v>2843.35703816142</v>
      </c>
      <c r="N254" s="831">
        <f>[41]Rqmnt!U28+[41]Rqmnt!U29</f>
        <v>3417.48128996939</v>
      </c>
      <c r="O254" s="831">
        <f>[41]Rqmnt!V28+[41]Rqmnt!V29</f>
        <v>3447.44369333035</v>
      </c>
      <c r="P254" s="831">
        <f>[41]Rqmnt!W28+[41]Rqmnt!W29</f>
        <v>4256.42744808519</v>
      </c>
      <c r="Q254" s="832">
        <f>SUM(E254:P254)</f>
        <v>37750.852992357</v>
      </c>
    </row>
    <row r="255" hidden="1" spans="2:17">
      <c r="B255" s="820">
        <f t="shared" si="121"/>
        <v>23</v>
      </c>
      <c r="C255" s="821" t="s">
        <v>326</v>
      </c>
      <c r="D255" s="820" t="s">
        <v>306</v>
      </c>
      <c r="E255" s="830">
        <f t="shared" ref="E255:Q255" si="122">E256/E252</f>
        <v>0.0450000000000001</v>
      </c>
      <c r="F255" s="830">
        <f t="shared" si="122"/>
        <v>0.0450000000000001</v>
      </c>
      <c r="G255" s="830">
        <f t="shared" si="122"/>
        <v>0.0449999999999999</v>
      </c>
      <c r="H255" s="830">
        <f t="shared" si="122"/>
        <v>0.0450000000000003</v>
      </c>
      <c r="I255" s="830">
        <f t="shared" si="122"/>
        <v>0.0449999999999999</v>
      </c>
      <c r="J255" s="830">
        <f t="shared" si="122"/>
        <v>0.0449999999999998</v>
      </c>
      <c r="K255" s="830">
        <f t="shared" si="122"/>
        <v>0.0450000000000002</v>
      </c>
      <c r="L255" s="830">
        <f t="shared" si="122"/>
        <v>0.0450000000000002</v>
      </c>
      <c r="M255" s="830">
        <f t="shared" si="122"/>
        <v>0.0450000000000001</v>
      </c>
      <c r="N255" s="830">
        <f t="shared" si="122"/>
        <v>0.0449999999999999</v>
      </c>
      <c r="O255" s="830">
        <f t="shared" si="122"/>
        <v>0.0449999999999998</v>
      </c>
      <c r="P255" s="830">
        <f t="shared" si="122"/>
        <v>0.045</v>
      </c>
      <c r="Q255" s="830">
        <f t="shared" si="122"/>
        <v>0.045</v>
      </c>
    </row>
    <row r="256" ht="15" hidden="1" spans="2:17">
      <c r="B256" s="820">
        <f t="shared" si="121"/>
        <v>24</v>
      </c>
      <c r="C256" s="821" t="s">
        <v>326</v>
      </c>
      <c r="D256" s="820" t="s">
        <v>304</v>
      </c>
      <c r="E256" s="831">
        <f>[41]Rqmnt!L30</f>
        <v>166.352148369405</v>
      </c>
      <c r="F256" s="831">
        <f>[41]Rqmnt!M30</f>
        <v>148.966537049999</v>
      </c>
      <c r="G256" s="831">
        <f>[41]Rqmnt!N30</f>
        <v>135.079353347199</v>
      </c>
      <c r="H256" s="831">
        <f>[41]Rqmnt!O30</f>
        <v>128.067428962453</v>
      </c>
      <c r="I256" s="831">
        <f>[41]Rqmnt!P30</f>
        <v>149.381052095299</v>
      </c>
      <c r="J256" s="831">
        <f>[41]Rqmnt!Q30</f>
        <v>146.552285820514</v>
      </c>
      <c r="K256" s="831">
        <f>[41]Rqmnt!R30</f>
        <v>128.703793797594</v>
      </c>
      <c r="L256" s="831">
        <f>[41]Rqmnt!S30</f>
        <v>117.710446135002</v>
      </c>
      <c r="M256" s="831">
        <f>[41]Rqmnt!T30</f>
        <v>133.980174573051</v>
      </c>
      <c r="N256" s="831">
        <f>[41]Rqmnt!U30</f>
        <v>161.033149789133</v>
      </c>
      <c r="O256" s="831">
        <f>[41]Rqmnt!V30</f>
        <v>162.444990785199</v>
      </c>
      <c r="P256" s="831">
        <f>[41]Rqmnt!W30</f>
        <v>200.564644150611</v>
      </c>
      <c r="Q256" s="832">
        <f t="shared" ref="Q256:Q258" si="123">SUM(E256:P256)</f>
        <v>1778.83600487546</v>
      </c>
    </row>
    <row r="257" ht="15" hidden="1" spans="2:17">
      <c r="B257" s="820"/>
      <c r="C257" s="823" t="s">
        <v>97</v>
      </c>
      <c r="D257" s="820"/>
      <c r="E257" s="287"/>
      <c r="F257" s="287"/>
      <c r="G257" s="287"/>
      <c r="H257" s="287"/>
      <c r="I257" s="287"/>
      <c r="J257" s="287"/>
      <c r="K257" s="287"/>
      <c r="L257" s="287"/>
      <c r="M257" s="287"/>
      <c r="N257" s="287"/>
      <c r="O257" s="287"/>
      <c r="P257" s="287"/>
      <c r="Q257" s="829">
        <f t="shared" si="123"/>
        <v>0</v>
      </c>
    </row>
    <row r="258" ht="15" hidden="1" spans="2:17">
      <c r="B258" s="820">
        <f>B256+1</f>
        <v>25</v>
      </c>
      <c r="C258" s="823" t="s">
        <v>327</v>
      </c>
      <c r="D258" s="298" t="s">
        <v>304</v>
      </c>
      <c r="E258" s="831">
        <f t="shared" ref="E258:P258" si="124">E229+E233+E253</f>
        <v>7871.35392790854</v>
      </c>
      <c r="F258" s="831">
        <f t="shared" si="124"/>
        <v>7581.85361563883</v>
      </c>
      <c r="G258" s="831">
        <f t="shared" si="124"/>
        <v>7237.06380454216</v>
      </c>
      <c r="H258" s="831">
        <f t="shared" si="124"/>
        <v>6920.31456567811</v>
      </c>
      <c r="I258" s="831">
        <f t="shared" si="124"/>
        <v>7771.00327839427</v>
      </c>
      <c r="J258" s="831">
        <f t="shared" si="124"/>
        <v>7632.04077583584</v>
      </c>
      <c r="K258" s="831">
        <f t="shared" si="124"/>
        <v>7348.98802414157</v>
      </c>
      <c r="L258" s="831">
        <f t="shared" si="124"/>
        <v>6990.6746928821</v>
      </c>
      <c r="M258" s="831">
        <f t="shared" si="124"/>
        <v>7258.01771186247</v>
      </c>
      <c r="N258" s="831">
        <f t="shared" si="124"/>
        <v>7886.3117701301</v>
      </c>
      <c r="O258" s="831">
        <f t="shared" si="124"/>
        <v>7840.2743994967</v>
      </c>
      <c r="P258" s="831">
        <f t="shared" si="124"/>
        <v>9203.24631493226</v>
      </c>
      <c r="Q258" s="829">
        <f t="shared" si="123"/>
        <v>91541.1428814429</v>
      </c>
    </row>
    <row r="259" ht="15" hidden="1" spans="2:17">
      <c r="B259" s="820">
        <f>B258+1</f>
        <v>26</v>
      </c>
      <c r="C259" s="823" t="s">
        <v>328</v>
      </c>
      <c r="D259" s="298" t="s">
        <v>304</v>
      </c>
      <c r="E259" s="831">
        <f t="shared" ref="E259:P259" si="125">E234+E240+E247+E254</f>
        <v>7092.86455819903</v>
      </c>
      <c r="F259" s="831">
        <f t="shared" si="125"/>
        <v>6851.05463077087</v>
      </c>
      <c r="G259" s="831">
        <f t="shared" si="125"/>
        <v>6558.68673664903</v>
      </c>
      <c r="H259" s="831">
        <f t="shared" si="125"/>
        <v>6272.40747139672</v>
      </c>
      <c r="I259" s="831">
        <f t="shared" si="125"/>
        <v>7040.80728776521</v>
      </c>
      <c r="J259" s="831">
        <f t="shared" si="125"/>
        <v>6919.43665137374</v>
      </c>
      <c r="K259" s="831">
        <f t="shared" si="125"/>
        <v>6687.11600382455</v>
      </c>
      <c r="L259" s="831">
        <f t="shared" si="125"/>
        <v>6371.62764873439</v>
      </c>
      <c r="M259" s="831">
        <f t="shared" si="125"/>
        <v>6583.86190965512</v>
      </c>
      <c r="N259" s="831">
        <f t="shared" si="125"/>
        <v>7124.47772076414</v>
      </c>
      <c r="O259" s="831">
        <f t="shared" si="125"/>
        <v>7078.03219779053</v>
      </c>
      <c r="P259" s="831">
        <f t="shared" si="125"/>
        <v>8291.75106591342</v>
      </c>
      <c r="Q259" s="832">
        <f t="shared" ref="Q259:Q261" si="126">SUM(E259:P259)</f>
        <v>82872.1238828367</v>
      </c>
    </row>
    <row r="260" ht="30" hidden="1" spans="2:17">
      <c r="B260" s="820">
        <f>B259+1</f>
        <v>27</v>
      </c>
      <c r="C260" s="826" t="s">
        <v>329</v>
      </c>
      <c r="D260" s="298"/>
      <c r="E260" s="831">
        <f t="shared" ref="E260:P260" si="127">E237+E234</f>
        <v>7649.77183821147</v>
      </c>
      <c r="F260" s="831">
        <f t="shared" si="127"/>
        <v>7369.6124970924</v>
      </c>
      <c r="G260" s="831">
        <f t="shared" si="127"/>
        <v>7038.65530734705</v>
      </c>
      <c r="H260" s="831">
        <f t="shared" si="127"/>
        <v>6725.72480899845</v>
      </c>
      <c r="I260" s="831">
        <f t="shared" si="127"/>
        <v>7555.91091660295</v>
      </c>
      <c r="J260" s="831">
        <f t="shared" si="127"/>
        <v>7420.85451223068</v>
      </c>
      <c r="K260" s="831">
        <f t="shared" si="127"/>
        <v>7144.0545721076</v>
      </c>
      <c r="L260" s="831">
        <f t="shared" si="127"/>
        <v>6797.40409207045</v>
      </c>
      <c r="M260" s="831">
        <f t="shared" si="127"/>
        <v>7052.58150853989</v>
      </c>
      <c r="N260" s="831">
        <f t="shared" si="127"/>
        <v>7664.09338670356</v>
      </c>
      <c r="O260" s="831">
        <f t="shared" si="127"/>
        <v>7622.80681488438</v>
      </c>
      <c r="P260" s="831">
        <f t="shared" si="127"/>
        <v>8951.67176041922</v>
      </c>
      <c r="Q260" s="832">
        <f t="shared" si="126"/>
        <v>88993.1420152081</v>
      </c>
    </row>
    <row r="261" ht="15" hidden="1" spans="2:17">
      <c r="B261" s="820">
        <f>B260+1</f>
        <v>28</v>
      </c>
      <c r="C261" s="826" t="s">
        <v>330</v>
      </c>
      <c r="D261" s="298" t="s">
        <v>304</v>
      </c>
      <c r="E261" s="831">
        <f t="shared" ref="E261:P261" si="128">E260-E259</f>
        <v>556.907280012446</v>
      </c>
      <c r="F261" s="831">
        <f t="shared" si="128"/>
        <v>518.557866321536</v>
      </c>
      <c r="G261" s="831">
        <f t="shared" si="128"/>
        <v>479.968570698015</v>
      </c>
      <c r="H261" s="831">
        <f t="shared" si="128"/>
        <v>453.31733760173</v>
      </c>
      <c r="I261" s="831">
        <f t="shared" si="128"/>
        <v>515.103628837742</v>
      </c>
      <c r="J261" s="831">
        <f t="shared" si="128"/>
        <v>501.417860856942</v>
      </c>
      <c r="K261" s="831">
        <f t="shared" si="128"/>
        <v>456.93856828305</v>
      </c>
      <c r="L261" s="831">
        <f t="shared" si="128"/>
        <v>425.776443336063</v>
      </c>
      <c r="M261" s="831">
        <f t="shared" si="128"/>
        <v>468.719598884772</v>
      </c>
      <c r="N261" s="831">
        <f t="shared" si="128"/>
        <v>539.615665939416</v>
      </c>
      <c r="O261" s="831">
        <f t="shared" si="128"/>
        <v>544.774617093852</v>
      </c>
      <c r="P261" s="831">
        <f t="shared" si="128"/>
        <v>659.920694505798</v>
      </c>
      <c r="Q261" s="832">
        <f t="shared" si="126"/>
        <v>6121.01813237136</v>
      </c>
    </row>
    <row r="262" ht="15" hidden="1" spans="2:17">
      <c r="B262" s="820">
        <f t="shared" ref="B262" si="129">B261+1</f>
        <v>29</v>
      </c>
      <c r="C262" s="826" t="s">
        <v>331</v>
      </c>
      <c r="D262" s="298" t="s">
        <v>306</v>
      </c>
      <c r="E262" s="830">
        <f t="shared" ref="E262:Q262" si="130">E261/(E260-E234)</f>
        <v>0.0871321851673906</v>
      </c>
      <c r="F262" s="830">
        <f t="shared" si="130"/>
        <v>0.0844006594490417</v>
      </c>
      <c r="G262" s="830">
        <f t="shared" si="130"/>
        <v>0.0831186813375967</v>
      </c>
      <c r="H262" s="830">
        <f t="shared" si="130"/>
        <v>0.0828682123056728</v>
      </c>
      <c r="I262" s="830">
        <f t="shared" si="130"/>
        <v>0.0848157827973493</v>
      </c>
      <c r="J262" s="830">
        <f t="shared" si="130"/>
        <v>0.0851772793252832</v>
      </c>
      <c r="K262" s="830">
        <f t="shared" si="130"/>
        <v>0.0828894141259512</v>
      </c>
      <c r="L262" s="830">
        <f t="shared" si="130"/>
        <v>0.0815414836942497</v>
      </c>
      <c r="M262" s="830">
        <f t="shared" si="130"/>
        <v>0.0836588780058479</v>
      </c>
      <c r="N262" s="830">
        <f t="shared" si="130"/>
        <v>0.086512123417324</v>
      </c>
      <c r="O262" s="830">
        <f t="shared" si="130"/>
        <v>0.0867152028334966</v>
      </c>
      <c r="P262" s="830">
        <f t="shared" si="130"/>
        <v>0.0880169319136064</v>
      </c>
      <c r="Q262" s="830">
        <f t="shared" si="130"/>
        <v>0.0849024131737924</v>
      </c>
    </row>
  </sheetData>
  <mergeCells count="28">
    <mergeCell ref="E5:Q5"/>
    <mergeCell ref="E41:Q41"/>
    <mergeCell ref="E79:Q79"/>
    <mergeCell ref="E116:Q116"/>
    <mergeCell ref="E153:Q153"/>
    <mergeCell ref="E190:Q190"/>
    <mergeCell ref="E227:Q227"/>
    <mergeCell ref="B5:B6"/>
    <mergeCell ref="B41:B43"/>
    <mergeCell ref="B79:B80"/>
    <mergeCell ref="B116:B117"/>
    <mergeCell ref="B153:B154"/>
    <mergeCell ref="B190:B191"/>
    <mergeCell ref="B227:B228"/>
    <mergeCell ref="C5:C6"/>
    <mergeCell ref="C41:C43"/>
    <mergeCell ref="C79:C80"/>
    <mergeCell ref="C116:C117"/>
    <mergeCell ref="C153:C154"/>
    <mergeCell ref="C190:C191"/>
    <mergeCell ref="C227:C228"/>
    <mergeCell ref="D5:D6"/>
    <mergeCell ref="D41:D43"/>
    <mergeCell ref="D79:D80"/>
    <mergeCell ref="D116:D117"/>
    <mergeCell ref="D153:D154"/>
    <mergeCell ref="D190:D191"/>
    <mergeCell ref="D227:D228"/>
  </mergeCells>
  <printOptions horizontalCentered="1"/>
  <pageMargins left="0.393055555555556" right="0.236111111111111" top="0.751388888888889" bottom="0.751388888888889" header="0.298611111111111" footer="0.298611111111111"/>
  <pageSetup paperSize="1" scale="40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B2:R262"/>
  <sheetViews>
    <sheetView showGridLines="0" topLeftCell="B70" workbookViewId="0">
      <selection activeCell="E81" sqref="E81"/>
    </sheetView>
  </sheetViews>
  <sheetFormatPr defaultColWidth="9.14285714285714" defaultRowHeight="14.25"/>
  <cols>
    <col min="1" max="2" width="9.14285714285714" style="1"/>
    <col min="3" max="3" width="38.8571428571429" style="1" customWidth="1"/>
    <col min="4" max="4" width="9.14285714285714" style="1"/>
    <col min="5" max="5" width="9.57142857142857" style="1" customWidth="1"/>
    <col min="6" max="10" width="9.14285714285714" style="1"/>
    <col min="11" max="17" width="11" style="1" customWidth="1"/>
    <col min="18" max="18" width="12.1428571428571" style="1" customWidth="1"/>
    <col min="19" max="16384" width="9.14285714285714" style="1"/>
  </cols>
  <sheetData>
    <row r="2" ht="15" spans="10:10">
      <c r="J2" s="2" t="s">
        <v>156</v>
      </c>
    </row>
    <row r="3" ht="15" spans="10:10">
      <c r="J3" s="3" t="s">
        <v>332</v>
      </c>
    </row>
    <row r="5" ht="15" spans="2:17">
      <c r="B5" s="39" t="s">
        <v>3</v>
      </c>
      <c r="C5" s="6" t="s">
        <v>110</v>
      </c>
      <c r="D5" s="5" t="s">
        <v>297</v>
      </c>
      <c r="E5" s="135" t="s">
        <v>333</v>
      </c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</row>
    <row r="6" ht="15" spans="2:17">
      <c r="B6" s="39"/>
      <c r="C6" s="6"/>
      <c r="D6" s="5"/>
      <c r="E6" s="135" t="s">
        <v>246</v>
      </c>
      <c r="F6" s="135" t="s">
        <v>247</v>
      </c>
      <c r="G6" s="135" t="s">
        <v>248</v>
      </c>
      <c r="H6" s="135" t="s">
        <v>249</v>
      </c>
      <c r="I6" s="135" t="s">
        <v>250</v>
      </c>
      <c r="J6" s="135" t="s">
        <v>251</v>
      </c>
      <c r="K6" s="135" t="s">
        <v>252</v>
      </c>
      <c r="L6" s="135" t="s">
        <v>253</v>
      </c>
      <c r="M6" s="135" t="s">
        <v>254</v>
      </c>
      <c r="N6" s="135" t="s">
        <v>255</v>
      </c>
      <c r="O6" s="135" t="s">
        <v>256</v>
      </c>
      <c r="P6" s="135" t="s">
        <v>257</v>
      </c>
      <c r="Q6" s="135" t="s">
        <v>97</v>
      </c>
    </row>
    <row r="7" ht="15" spans="2:17">
      <c r="B7" s="7">
        <v>1</v>
      </c>
      <c r="C7" s="32" t="s">
        <v>303</v>
      </c>
      <c r="D7" s="7" t="s">
        <v>304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650">
        <f>SUM(E7:P7)</f>
        <v>0</v>
      </c>
    </row>
    <row r="8" ht="15" spans="2:17">
      <c r="B8" s="7">
        <f>B7+1</f>
        <v>2</v>
      </c>
      <c r="C8" s="32" t="s">
        <v>305</v>
      </c>
      <c r="D8" s="7" t="s">
        <v>306</v>
      </c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650">
        <f t="shared" ref="Q8:Q39" si="0">SUM(E8:P8)</f>
        <v>0</v>
      </c>
    </row>
    <row r="9" ht="15" spans="2:17">
      <c r="B9" s="7">
        <f t="shared" ref="B9:B15" si="1">B8+1</f>
        <v>3</v>
      </c>
      <c r="C9" s="32" t="s">
        <v>305</v>
      </c>
      <c r="D9" s="7" t="s">
        <v>304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650">
        <f t="shared" si="0"/>
        <v>0</v>
      </c>
    </row>
    <row r="10" ht="28.5" spans="2:17">
      <c r="B10" s="7">
        <f t="shared" si="1"/>
        <v>4</v>
      </c>
      <c r="C10" s="805" t="s">
        <v>307</v>
      </c>
      <c r="D10" s="7" t="s">
        <v>304</v>
      </c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650">
        <f t="shared" si="0"/>
        <v>0</v>
      </c>
    </row>
    <row r="11" ht="28.5" spans="2:17">
      <c r="B11" s="7">
        <f t="shared" si="1"/>
        <v>5</v>
      </c>
      <c r="C11" s="805" t="s">
        <v>308</v>
      </c>
      <c r="D11" s="7" t="s">
        <v>304</v>
      </c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650">
        <f t="shared" si="0"/>
        <v>0</v>
      </c>
    </row>
    <row r="12" ht="15" spans="2:17">
      <c r="B12" s="7">
        <f t="shared" si="1"/>
        <v>6</v>
      </c>
      <c r="C12" s="32" t="s">
        <v>309</v>
      </c>
      <c r="D12" s="7" t="s">
        <v>304</v>
      </c>
      <c r="E12" s="8">
        <f>'[23]FY22-23 Actual Sales  '!G133</f>
        <v>283.77027998</v>
      </c>
      <c r="F12" s="8">
        <f>'[23]FY22-23 Actual Sales  '!H133</f>
        <v>253.02448682</v>
      </c>
      <c r="G12" s="8">
        <f>'[23]FY22-23 Actual Sales  '!I133</f>
        <v>124.76130942</v>
      </c>
      <c r="H12" s="8">
        <f>'[23]FY22-23 Actual Sales  '!J133</f>
        <v>128.38350609</v>
      </c>
      <c r="I12" s="8">
        <f>'[23]FY22-23 Actual Sales  '!K133</f>
        <v>190.07336719</v>
      </c>
      <c r="J12" s="8">
        <f>'[23]FY22-23 Actual Sales  '!L133</f>
        <v>135.68933348</v>
      </c>
      <c r="K12" s="8">
        <f>'[23]FY22-23 Actual Sales  '!M133</f>
        <v>157.58112155</v>
      </c>
      <c r="L12" s="8">
        <f>'[23]FY22-23 Actual Sales  '!N133</f>
        <v>125.21098999</v>
      </c>
      <c r="M12" s="8">
        <f>'[23]FY22-23 Actual Sales  '!O133</f>
        <v>126.31962293</v>
      </c>
      <c r="N12" s="8">
        <f>'[23]FY22-23 Actual Sales  '!P133</f>
        <v>206.95628235</v>
      </c>
      <c r="O12" s="8">
        <f>'[23]FY22-23 Actual Sales  '!Q133</f>
        <v>387.51832206</v>
      </c>
      <c r="P12" s="8">
        <f>'[23]FY22-23 Actual Sales  '!R133</f>
        <v>793.450004642919</v>
      </c>
      <c r="Q12" s="650">
        <f t="shared" si="0"/>
        <v>2912.73862650292</v>
      </c>
    </row>
    <row r="13" ht="15" spans="2:17">
      <c r="B13" s="7">
        <f t="shared" si="1"/>
        <v>7</v>
      </c>
      <c r="C13" s="32" t="s">
        <v>310</v>
      </c>
      <c r="D13" s="7" t="s">
        <v>306</v>
      </c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650">
        <f t="shared" si="0"/>
        <v>0</v>
      </c>
    </row>
    <row r="14" ht="15" spans="2:17">
      <c r="B14" s="7">
        <f t="shared" si="1"/>
        <v>8</v>
      </c>
      <c r="C14" s="32" t="s">
        <v>310</v>
      </c>
      <c r="D14" s="7" t="s">
        <v>304</v>
      </c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650">
        <f t="shared" si="0"/>
        <v>0</v>
      </c>
    </row>
    <row r="15" ht="28.5" spans="2:17">
      <c r="B15" s="7">
        <f t="shared" si="1"/>
        <v>9</v>
      </c>
      <c r="C15" s="805" t="s">
        <v>311</v>
      </c>
      <c r="D15" s="7" t="s">
        <v>304</v>
      </c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650">
        <f t="shared" si="0"/>
        <v>0</v>
      </c>
    </row>
    <row r="16" ht="15" spans="2:17">
      <c r="B16" s="7"/>
      <c r="C16" s="18" t="s">
        <v>312</v>
      </c>
      <c r="D16" s="7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10"/>
    </row>
    <row r="17" ht="28.5" spans="2:17">
      <c r="B17" s="7">
        <f>B15+1</f>
        <v>10</v>
      </c>
      <c r="C17" s="805" t="s">
        <v>313</v>
      </c>
      <c r="D17" s="7" t="s">
        <v>304</v>
      </c>
      <c r="E17" s="8">
        <f>'[24]FORMAT 4 I&amp;R'!$E$26</f>
        <v>1832.145401877</v>
      </c>
      <c r="F17" s="8">
        <f>'[25]FORMAT 4 I&amp;R-DM'!$E$26</f>
        <v>1168.3626799092</v>
      </c>
      <c r="G17" s="8">
        <f>'[26]FORMAT 4 I&amp;R'!$E$26</f>
        <v>1092.874801994</v>
      </c>
      <c r="H17" s="8">
        <f>'[27]FORMAT 4 I&amp;R'!$E$26</f>
        <v>1064.76577893</v>
      </c>
      <c r="I17" s="8">
        <f>'[28]FORMAT 4 I&amp;R DM'!$E$26</f>
        <v>1523.7414107625</v>
      </c>
      <c r="J17" s="8">
        <f>'[29]FORMAT 4 I&amp;R (2)'!$E$26</f>
        <v>1482.6473351723</v>
      </c>
      <c r="K17" s="8">
        <f>'[30]FORMAT 4 I&amp;R'!$E$26</f>
        <v>1287.5364685552</v>
      </c>
      <c r="L17" s="8">
        <f>'[31]FORMAT 4 I&amp;R'!$E$26</f>
        <v>1097.0479517213</v>
      </c>
      <c r="M17" s="8">
        <f>'[32]FORMAT 4 I&amp;R'!$E$26</f>
        <v>1602.2019522244</v>
      </c>
      <c r="N17" s="8">
        <f>'[33]FORMAT 4 I&amp;R'!$E$26</f>
        <v>1836.85308675</v>
      </c>
      <c r="O17" s="8">
        <f>'[34]FORMAT 4 I&amp;R'!$E$26</f>
        <v>2004.1690588073</v>
      </c>
      <c r="P17" s="8">
        <f>'[35]FORMAT 4 I&amp;R'!$E$26</f>
        <v>2235.1255906904</v>
      </c>
      <c r="Q17" s="650">
        <f t="shared" si="0"/>
        <v>18227.4715173936</v>
      </c>
    </row>
    <row r="18" ht="15" spans="2:17">
      <c r="B18" s="7">
        <f t="shared" ref="B18:B28" si="2">B17+1</f>
        <v>11</v>
      </c>
      <c r="C18" s="32" t="s">
        <v>314</v>
      </c>
      <c r="D18" s="7" t="s">
        <v>304</v>
      </c>
      <c r="E18" s="8">
        <f>'[23]FY22-23 Actual Sales  '!G107</f>
        <v>58.31552941</v>
      </c>
      <c r="F18" s="8">
        <f>'[23]FY22-23 Actual Sales  '!H107</f>
        <v>52.78139355</v>
      </c>
      <c r="G18" s="8">
        <f>'[23]FY22-23 Actual Sales  '!I107</f>
        <v>46.0318159999999</v>
      </c>
      <c r="H18" s="8">
        <f>'[23]FY22-23 Actual Sales  '!J107</f>
        <v>40.450057</v>
      </c>
      <c r="I18" s="8">
        <f>'[23]FY22-23 Actual Sales  '!K107</f>
        <v>43.6173797</v>
      </c>
      <c r="J18" s="8">
        <f>'[23]FY22-23 Actual Sales  '!L107</f>
        <v>43.0466365399999</v>
      </c>
      <c r="K18" s="8">
        <f>'[23]FY22-23 Actual Sales  '!M107</f>
        <v>42.25021423</v>
      </c>
      <c r="L18" s="8">
        <f>'[23]FY22-23 Actual Sales  '!N107</f>
        <v>43.659411</v>
      </c>
      <c r="M18" s="8">
        <f>'[23]FY22-23 Actual Sales  '!O107</f>
        <v>46.749057</v>
      </c>
      <c r="N18" s="8">
        <f>'[23]FY22-23 Actual Sales  '!P107</f>
        <v>47.6852415</v>
      </c>
      <c r="O18" s="8">
        <f>'[23]FY22-23 Actual Sales  '!Q107</f>
        <v>50.2624139999999</v>
      </c>
      <c r="P18" s="8">
        <f>'[23]FY22-23 Actual Sales  '!R107</f>
        <v>63.044438883871</v>
      </c>
      <c r="Q18" s="650">
        <f t="shared" si="0"/>
        <v>577.893588813871</v>
      </c>
    </row>
    <row r="19" ht="15" spans="2:17">
      <c r="B19" s="7">
        <f t="shared" si="2"/>
        <v>12</v>
      </c>
      <c r="C19" s="32" t="s">
        <v>315</v>
      </c>
      <c r="D19" s="7" t="s">
        <v>306</v>
      </c>
      <c r="E19" s="806">
        <f>E20/E17</f>
        <v>0.0300684439256628</v>
      </c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650">
        <f t="shared" si="0"/>
        <v>0.0300684439256628</v>
      </c>
    </row>
    <row r="20" ht="15" spans="2:17">
      <c r="B20" s="7">
        <f t="shared" si="2"/>
        <v>13</v>
      </c>
      <c r="C20" s="32" t="s">
        <v>315</v>
      </c>
      <c r="D20" s="7" t="s">
        <v>304</v>
      </c>
      <c r="E20" s="807">
        <f>'[24]FORMAT 4 I&amp;R'!$E$8</f>
        <v>55.0897612799995</v>
      </c>
      <c r="F20" s="8">
        <f>'[25]FORMAT 4 I&amp;R-DM'!$E$8</f>
        <v>35.1235206000001</v>
      </c>
      <c r="G20" s="8">
        <f>'[26]FORMAT 4 I&amp;R'!$E$8</f>
        <v>32.78912599</v>
      </c>
      <c r="H20" s="8">
        <f>'[27]FORMAT 4 I&amp;R'!$E$8</f>
        <v>32.58311643</v>
      </c>
      <c r="I20" s="8">
        <f>'[28]FORMAT 4 I&amp;R DM'!$E$8</f>
        <v>45.77445016</v>
      </c>
      <c r="J20" s="8">
        <f>'[29]FORMAT 4 I&amp;R (2)'!$E$8</f>
        <v>47.0096869199997</v>
      </c>
      <c r="K20" s="8">
        <f>'[30]FORMAT 4 I&amp;R'!$E$8</f>
        <v>39.3810927900001</v>
      </c>
      <c r="L20" s="8">
        <f>'[31]FORMAT 4 I&amp;R'!$E$8</f>
        <v>32.6473923000003</v>
      </c>
      <c r="M20" s="8">
        <f>'[32]FORMAT 4 I&amp;R'!$E$8</f>
        <v>47.9215044600001</v>
      </c>
      <c r="N20" s="8">
        <f>'[33]FORMAT 4 I&amp;R'!$E$8</f>
        <v>56.8180122500005</v>
      </c>
      <c r="O20" s="8">
        <f>'[34]FORMAT 4 I&amp;R'!$E$8</f>
        <v>56.5816713299998</v>
      </c>
      <c r="P20" s="8">
        <f>'[35]FORMAT 4 I&amp;R'!$E$8</f>
        <v>66.3798874199997</v>
      </c>
      <c r="Q20" s="650">
        <f t="shared" si="0"/>
        <v>548.09922193</v>
      </c>
    </row>
    <row r="21" ht="28.5" spans="2:17">
      <c r="B21" s="7">
        <f t="shared" si="2"/>
        <v>14</v>
      </c>
      <c r="C21" s="805" t="s">
        <v>316</v>
      </c>
      <c r="D21" s="7" t="s">
        <v>304</v>
      </c>
      <c r="E21" s="807">
        <f>E17-E18-E20</f>
        <v>1718.740111187</v>
      </c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650">
        <f t="shared" si="0"/>
        <v>1718.740111187</v>
      </c>
    </row>
    <row r="22" ht="15" spans="2:17">
      <c r="B22" s="7"/>
      <c r="C22" s="18" t="s">
        <v>317</v>
      </c>
      <c r="D22" s="7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10"/>
    </row>
    <row r="23" ht="28.5" spans="2:17">
      <c r="B23" s="7">
        <f>B21+1</f>
        <v>15</v>
      </c>
      <c r="C23" s="805" t="s">
        <v>318</v>
      </c>
      <c r="D23" s="7" t="s">
        <v>304</v>
      </c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650">
        <f t="shared" si="0"/>
        <v>0</v>
      </c>
    </row>
    <row r="24" ht="15" spans="2:17">
      <c r="B24" s="7">
        <f t="shared" si="2"/>
        <v>16</v>
      </c>
      <c r="C24" s="805" t="s">
        <v>319</v>
      </c>
      <c r="D24" s="7" t="s">
        <v>304</v>
      </c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650">
        <f t="shared" si="0"/>
        <v>0</v>
      </c>
    </row>
    <row r="25" ht="15" spans="2:17">
      <c r="B25" s="7">
        <f t="shared" si="2"/>
        <v>17</v>
      </c>
      <c r="C25" s="32" t="s">
        <v>320</v>
      </c>
      <c r="D25" s="7" t="s">
        <v>304</v>
      </c>
      <c r="E25" s="8">
        <f>'[23]FY22-23 Actual Sales  '!G75</f>
        <v>237.16987799</v>
      </c>
      <c r="F25" s="8">
        <f>'[23]FY22-23 Actual Sales  '!H75</f>
        <v>155.44521056</v>
      </c>
      <c r="G25" s="8">
        <f>'[23]FY22-23 Actual Sales  '!I75</f>
        <v>178.71650135</v>
      </c>
      <c r="H25" s="8">
        <f>'[23]FY22-23 Actual Sales  '!J75</f>
        <v>154.7246594</v>
      </c>
      <c r="I25" s="8">
        <f>'[23]FY22-23 Actual Sales  '!K75</f>
        <v>178.47259766</v>
      </c>
      <c r="J25" s="8">
        <f>'[23]FY22-23 Actual Sales  '!L75</f>
        <v>207.06300263</v>
      </c>
      <c r="K25" s="8">
        <f>'[23]FY22-23 Actual Sales  '!M75</f>
        <v>182.0136128</v>
      </c>
      <c r="L25" s="8">
        <f>'[23]FY22-23 Actual Sales  '!N75</f>
        <v>162.94037407</v>
      </c>
      <c r="M25" s="8">
        <f>'[23]FY22-23 Actual Sales  '!O75</f>
        <v>204.22081157</v>
      </c>
      <c r="N25" s="8">
        <f>'[23]FY22-23 Actual Sales  '!P75</f>
        <v>230.80941757</v>
      </c>
      <c r="O25" s="8">
        <f>'[23]FY22-23 Actual Sales  '!Q75</f>
        <v>233.85216882</v>
      </c>
      <c r="P25" s="8">
        <f>'[23]FY22-23 Actual Sales  '!R75</f>
        <v>329.77432229</v>
      </c>
      <c r="Q25" s="650">
        <f t="shared" si="0"/>
        <v>2455.20255671</v>
      </c>
    </row>
    <row r="26" ht="15" spans="2:17">
      <c r="B26" s="7">
        <f t="shared" si="2"/>
        <v>18</v>
      </c>
      <c r="C26" s="32" t="s">
        <v>321</v>
      </c>
      <c r="D26" s="7" t="s">
        <v>306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650">
        <f t="shared" si="0"/>
        <v>0</v>
      </c>
    </row>
    <row r="27" ht="15" spans="2:17">
      <c r="B27" s="7">
        <f t="shared" si="2"/>
        <v>19</v>
      </c>
      <c r="C27" s="32" t="s">
        <v>321</v>
      </c>
      <c r="D27" s="7" t="s">
        <v>304</v>
      </c>
      <c r="E27" s="8">
        <f>'[36]FORMAT 4 I&amp;R'!$E$17</f>
        <v>66.1628149865537</v>
      </c>
      <c r="F27" s="8">
        <f>'[25]FORMAT 4 I&amp;R-DM'!$E$17</f>
        <v>41.2309657423641</v>
      </c>
      <c r="G27" s="8">
        <f>'[26]FORMAT 4 I&amp;R'!$E$17</f>
        <v>37.2092282532992</v>
      </c>
      <c r="H27" s="8">
        <f>'[27]FORMAT 4 I&amp;R'!$E$17</f>
        <v>37.3640751724801</v>
      </c>
      <c r="I27" s="8">
        <f>'[28]FORMAT 4 I&amp;R DM'!$E$17</f>
        <v>56.081814608624</v>
      </c>
      <c r="J27" s="8">
        <f>'[29]FORMAT 4 I&amp;R (2)'!$E$17</f>
        <v>52.9042522006791</v>
      </c>
      <c r="K27" s="8">
        <f>'[30]FORMAT 4 I&amp;R'!$E$17</f>
        <v>45.704762744041</v>
      </c>
      <c r="L27" s="8">
        <f>'[31]FORMAT 4 I&amp;R'!$E$17</f>
        <v>38.2358925021382</v>
      </c>
      <c r="M27" s="8">
        <f>'[32]FORMAT 4 I&amp;R'!$E$17</f>
        <v>58.2000974103091</v>
      </c>
      <c r="N27" s="8">
        <f>'[33]FORMAT 4 I&amp;R'!$E$17</f>
        <v>67.0021199200639</v>
      </c>
      <c r="O27" s="8">
        <f>'[34]FORMAT 4 I&amp;R'!$E$17</f>
        <v>74.2391141030471</v>
      </c>
      <c r="P27" s="8">
        <f>'[35]FORMAT 4 I&amp;R'!$E$17</f>
        <v>35.436676759608</v>
      </c>
      <c r="Q27" s="650">
        <f t="shared" si="0"/>
        <v>609.771814403207</v>
      </c>
    </row>
    <row r="28" ht="28.5" spans="2:17">
      <c r="B28" s="7">
        <f t="shared" si="2"/>
        <v>20</v>
      </c>
      <c r="C28" s="805" t="s">
        <v>322</v>
      </c>
      <c r="D28" s="7" t="s">
        <v>304</v>
      </c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650">
        <f t="shared" si="0"/>
        <v>0</v>
      </c>
    </row>
    <row r="29" ht="15" spans="2:17">
      <c r="B29" s="7"/>
      <c r="C29" s="18" t="s">
        <v>323</v>
      </c>
      <c r="D29" s="7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10"/>
    </row>
    <row r="30" ht="15" spans="2:17">
      <c r="B30" s="7">
        <f>B28+1</f>
        <v>21</v>
      </c>
      <c r="C30" s="805" t="s">
        <v>319</v>
      </c>
      <c r="D30" s="7" t="s">
        <v>304</v>
      </c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650">
        <f t="shared" si="0"/>
        <v>0</v>
      </c>
    </row>
    <row r="31" ht="15" spans="2:17">
      <c r="B31" s="7">
        <f t="shared" ref="B31:B39" si="3">B30+1</f>
        <v>22</v>
      </c>
      <c r="C31" s="32" t="s">
        <v>325</v>
      </c>
      <c r="D31" s="7" t="s">
        <v>304</v>
      </c>
      <c r="E31" s="8">
        <f>'[23]FY22-23 Actual Sales  '!G70</f>
        <v>1334.30671</v>
      </c>
      <c r="F31" s="8">
        <f>'[23]FY22-23 Actual Sales  '!H70</f>
        <v>829.49526</v>
      </c>
      <c r="G31" s="8">
        <f>'[23]FY22-23 Actual Sales  '!I70</f>
        <v>756.198627</v>
      </c>
      <c r="H31" s="8">
        <f>'[23]FY22-23 Actual Sales  '!J70</f>
        <v>751.914356</v>
      </c>
      <c r="I31" s="8">
        <f>'[23]FY22-23 Actual Sales  '!K70</f>
        <v>1136.7870838</v>
      </c>
      <c r="J31" s="8">
        <f>'[23]FY22-23 Actual Sales  '!L70</f>
        <v>1068.13491</v>
      </c>
      <c r="K31" s="8">
        <f>'[23]FY22-23 Actual Sales  '!M70</f>
        <v>921.940612</v>
      </c>
      <c r="L31" s="8">
        <f>'[23]FY22-23 Actual Sales  '!N70</f>
        <v>772.752856</v>
      </c>
      <c r="M31" s="8">
        <f>'[23]FY22-23 Actual Sales  '!O70</f>
        <v>1164.025478</v>
      </c>
      <c r="N31" s="8">
        <f>'[23]FY22-23 Actual Sales  '!P70</f>
        <v>1356.222141</v>
      </c>
      <c r="O31" s="8">
        <f>'[23]FY22-23 Actual Sales  '!Q70</f>
        <v>1501.506876</v>
      </c>
      <c r="P31" s="8">
        <f>'[23]FY22-23 Actual Sales  '!R70</f>
        <v>1710.831713</v>
      </c>
      <c r="Q31" s="650">
        <f t="shared" si="0"/>
        <v>13304.1166228</v>
      </c>
    </row>
    <row r="32" ht="15" spans="2:17">
      <c r="B32" s="7">
        <f t="shared" si="3"/>
        <v>23</v>
      </c>
      <c r="C32" s="32" t="s">
        <v>326</v>
      </c>
      <c r="D32" s="7" t="s">
        <v>306</v>
      </c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650">
        <f t="shared" si="0"/>
        <v>0</v>
      </c>
    </row>
    <row r="33" ht="15" spans="2:17">
      <c r="B33" s="7">
        <f t="shared" si="3"/>
        <v>24</v>
      </c>
      <c r="C33" s="32" t="s">
        <v>326</v>
      </c>
      <c r="D33" s="7" t="s">
        <v>304</v>
      </c>
      <c r="E33" s="8">
        <f>'[36]FORMAT 4 I&amp;R'!$E$23</f>
        <v>76.3790238204467</v>
      </c>
      <c r="F33" s="8">
        <f>'[25]FORMAT 4 I&amp;R-DM'!$E$23</f>
        <v>49.6078310068357</v>
      </c>
      <c r="G33" s="8">
        <f>'[26]FORMAT 4 I&amp;R'!$E$23</f>
        <v>37.1552754007006</v>
      </c>
      <c r="H33" s="8">
        <f>'[27]FORMAT 4 I&amp;R'!$E$23</f>
        <v>44.7411039275199</v>
      </c>
      <c r="I33" s="8">
        <f>'[28]FORMAT 4 I&amp;R DM'!$E$23</f>
        <v>58.9573205338761</v>
      </c>
      <c r="J33" s="8">
        <f>'[29]FORMAT 4 I&amp;R (2)'!$E$23</f>
        <v>59.8593244216208</v>
      </c>
      <c r="K33" s="8">
        <f>'[30]FORMAT 4 I&amp;R'!$E$23</f>
        <v>52.5502222211588</v>
      </c>
      <c r="L33" s="8">
        <f>'[31]FORMAT 4 I&amp;R'!$E$23</f>
        <v>42.4909948491619</v>
      </c>
      <c r="M33" s="8">
        <f>'[32]FORMAT 4 I&amp;R'!$E$23</f>
        <v>76.8837417840907</v>
      </c>
      <c r="N33" s="8">
        <f>'[33]FORMAT 4 I&amp;R'!$E$23</f>
        <v>72.3587730099359</v>
      </c>
      <c r="O33" s="8">
        <f>'[34]FORMAT 4 I&amp;R'!$E$23</f>
        <v>81.3770925542531</v>
      </c>
      <c r="P33" s="8">
        <f>'[35]FORMAT 4 I&amp;R'!$E$17</f>
        <v>35.436676759608</v>
      </c>
      <c r="Q33" s="650">
        <f t="shared" si="0"/>
        <v>687.797380289208</v>
      </c>
    </row>
    <row r="34" ht="15" spans="2:17">
      <c r="B34" s="7"/>
      <c r="C34" s="18" t="s">
        <v>97</v>
      </c>
      <c r="D34" s="7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650">
        <f t="shared" si="0"/>
        <v>0</v>
      </c>
    </row>
    <row r="35" ht="15" spans="2:17">
      <c r="B35" s="7">
        <f>B33+1</f>
        <v>25</v>
      </c>
      <c r="C35" s="18" t="s">
        <v>334</v>
      </c>
      <c r="D35" s="39" t="s">
        <v>304</v>
      </c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650">
        <f t="shared" si="0"/>
        <v>0</v>
      </c>
    </row>
    <row r="36" ht="15" spans="2:17">
      <c r="B36" s="7">
        <f>B35+1</f>
        <v>26</v>
      </c>
      <c r="C36" s="18" t="s">
        <v>328</v>
      </c>
      <c r="D36" s="39" t="s">
        <v>304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650">
        <f t="shared" si="0"/>
        <v>0</v>
      </c>
    </row>
    <row r="37" ht="30" spans="2:17">
      <c r="B37" s="7">
        <f>B36+1</f>
        <v>27</v>
      </c>
      <c r="C37" s="808" t="s">
        <v>335</v>
      </c>
      <c r="D37" s="39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650">
        <f t="shared" si="0"/>
        <v>0</v>
      </c>
    </row>
    <row r="38" ht="15" spans="2:17">
      <c r="B38" s="7">
        <f>B37+1</f>
        <v>28</v>
      </c>
      <c r="C38" s="808" t="s">
        <v>330</v>
      </c>
      <c r="D38" s="39" t="s">
        <v>304</v>
      </c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650">
        <f t="shared" si="0"/>
        <v>0</v>
      </c>
    </row>
    <row r="39" ht="15" spans="2:17">
      <c r="B39" s="7">
        <f t="shared" si="3"/>
        <v>29</v>
      </c>
      <c r="C39" s="808" t="s">
        <v>331</v>
      </c>
      <c r="D39" s="39" t="s">
        <v>306</v>
      </c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650">
        <f t="shared" si="0"/>
        <v>0</v>
      </c>
    </row>
    <row r="41" ht="15" spans="2:17">
      <c r="B41" s="39" t="s">
        <v>3</v>
      </c>
      <c r="C41" s="6" t="s">
        <v>110</v>
      </c>
      <c r="D41" s="5" t="s">
        <v>297</v>
      </c>
      <c r="E41" s="135" t="s">
        <v>336</v>
      </c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</row>
    <row r="42" ht="15" spans="2:17">
      <c r="B42" s="39"/>
      <c r="C42" s="6"/>
      <c r="D42" s="5"/>
      <c r="E42" s="135" t="s">
        <v>246</v>
      </c>
      <c r="F42" s="135" t="s">
        <v>247</v>
      </c>
      <c r="G42" s="135" t="s">
        <v>248</v>
      </c>
      <c r="H42" s="135" t="s">
        <v>249</v>
      </c>
      <c r="I42" s="135" t="s">
        <v>250</v>
      </c>
      <c r="J42" s="135" t="s">
        <v>251</v>
      </c>
      <c r="K42" s="135" t="s">
        <v>252</v>
      </c>
      <c r="L42" s="135" t="s">
        <v>253</v>
      </c>
      <c r="M42" s="135" t="s">
        <v>254</v>
      </c>
      <c r="N42" s="135" t="s">
        <v>255</v>
      </c>
      <c r="O42" s="135" t="s">
        <v>256</v>
      </c>
      <c r="P42" s="135" t="s">
        <v>257</v>
      </c>
      <c r="Q42" s="135" t="s">
        <v>97</v>
      </c>
    </row>
    <row r="43" ht="15" spans="2:17">
      <c r="B43" s="39"/>
      <c r="C43" s="6"/>
      <c r="D43" s="5"/>
      <c r="E43" s="135" t="s">
        <v>130</v>
      </c>
      <c r="F43" s="135" t="s">
        <v>130</v>
      </c>
      <c r="G43" s="135" t="s">
        <v>130</v>
      </c>
      <c r="H43" s="135" t="s">
        <v>130</v>
      </c>
      <c r="I43" s="135" t="s">
        <v>130</v>
      </c>
      <c r="J43" s="135" t="s">
        <v>130</v>
      </c>
      <c r="K43" s="135" t="s">
        <v>131</v>
      </c>
      <c r="L43" s="135" t="s">
        <v>131</v>
      </c>
      <c r="M43" s="135" t="s">
        <v>131</v>
      </c>
      <c r="N43" s="135" t="s">
        <v>131</v>
      </c>
      <c r="O43" s="135" t="s">
        <v>131</v>
      </c>
      <c r="P43" s="135" t="s">
        <v>131</v>
      </c>
      <c r="Q43" s="135" t="s">
        <v>131</v>
      </c>
    </row>
    <row r="44" ht="15" spans="2:17">
      <c r="B44" s="7">
        <v>1</v>
      </c>
      <c r="C44" s="32" t="s">
        <v>303</v>
      </c>
      <c r="D44" s="7" t="s">
        <v>304</v>
      </c>
      <c r="E44" s="8">
        <f>[37]Rqmnt!Y48+[37]Rqmnt!Y49</f>
        <v>527.598689604388</v>
      </c>
      <c r="F44" s="8">
        <f>[37]Rqmnt!Z48+[37]Rqmnt!Z49</f>
        <v>444.900163806672</v>
      </c>
      <c r="G44" s="8">
        <f>[37]Rqmnt!AA48+[37]Rqmnt!AA49</f>
        <v>512.858662672386</v>
      </c>
      <c r="H44" s="8">
        <f>[37]Rqmnt!AB48+[37]Rqmnt!AB49</f>
        <v>496.176055449116</v>
      </c>
      <c r="I44" s="8">
        <f>[37]Rqmnt!AC48+[37]Rqmnt!AC49</f>
        <v>535.251983130464</v>
      </c>
      <c r="J44" s="8">
        <f>[37]Rqmnt!AD48+[37]Rqmnt!AD49</f>
        <v>585.276385628114</v>
      </c>
      <c r="K44" s="8">
        <f>[37]Rqmnt!AE48+[37]Rqmnt!AE49</f>
        <v>441.622160854643</v>
      </c>
      <c r="L44" s="8">
        <f>[37]Rqmnt!AF48+[37]Rqmnt!AF49</f>
        <v>566.256038328984</v>
      </c>
      <c r="M44" s="8">
        <f>[37]Rqmnt!AG48+[37]Rqmnt!AG49</f>
        <v>643.873041624648</v>
      </c>
      <c r="N44" s="8">
        <f>[37]Rqmnt!AH48+[37]Rqmnt!AH49</f>
        <v>853.330643515461</v>
      </c>
      <c r="O44" s="8">
        <f>[37]Rqmnt!AI48+[37]Rqmnt!AI49</f>
        <v>827.28528589562</v>
      </c>
      <c r="P44" s="8">
        <f>[37]Rqmnt!AJ48+[37]Rqmnt!AJ49</f>
        <v>902.283856498703</v>
      </c>
      <c r="Q44" s="650">
        <f>SUM(E44:P44)</f>
        <v>7336.7129670092</v>
      </c>
    </row>
    <row r="45" spans="2:17">
      <c r="B45" s="7">
        <f>B44+1</f>
        <v>2</v>
      </c>
      <c r="C45" s="32" t="s">
        <v>305</v>
      </c>
      <c r="D45" s="7" t="s">
        <v>306</v>
      </c>
      <c r="E45" s="809">
        <f>E46/E44</f>
        <v>0.0393000000000001</v>
      </c>
      <c r="F45" s="809">
        <f t="shared" ref="F45:Q45" si="4">F46/F44</f>
        <v>0.0358000000000001</v>
      </c>
      <c r="G45" s="809">
        <f t="shared" si="4"/>
        <v>0.0329</v>
      </c>
      <c r="H45" s="809">
        <f t="shared" si="4"/>
        <v>0.0351000000000001</v>
      </c>
      <c r="I45" s="809">
        <f t="shared" si="4"/>
        <v>0.0336999999999999</v>
      </c>
      <c r="J45" s="809">
        <f t="shared" si="4"/>
        <v>0.035</v>
      </c>
      <c r="K45" s="809">
        <f t="shared" si="4"/>
        <v>0.0391833333333333</v>
      </c>
      <c r="L45" s="809">
        <f t="shared" si="4"/>
        <v>0.0391833333333332</v>
      </c>
      <c r="M45" s="809">
        <f t="shared" si="4"/>
        <v>0.0391833333333334</v>
      </c>
      <c r="N45" s="809">
        <f t="shared" si="4"/>
        <v>0.0391833333333334</v>
      </c>
      <c r="O45" s="809">
        <f t="shared" si="4"/>
        <v>0.0391833333333333</v>
      </c>
      <c r="P45" s="809">
        <f t="shared" si="4"/>
        <v>0.0391833333333334</v>
      </c>
      <c r="Q45" s="809">
        <f t="shared" si="4"/>
        <v>0.0375374221686228</v>
      </c>
    </row>
    <row r="46" ht="15" spans="2:17">
      <c r="B46" s="7">
        <f t="shared" ref="B46:B52" si="5">B45+1</f>
        <v>3</v>
      </c>
      <c r="C46" s="32" t="s">
        <v>305</v>
      </c>
      <c r="D46" s="7" t="s">
        <v>304</v>
      </c>
      <c r="E46" s="8">
        <f>[37]Rqmnt!Y52</f>
        <v>20.7346285014525</v>
      </c>
      <c r="F46" s="8">
        <f>[37]Rqmnt!Z52</f>
        <v>15.9274258642789</v>
      </c>
      <c r="G46" s="8">
        <f>[37]Rqmnt!AA52</f>
        <v>16.8730500019215</v>
      </c>
      <c r="H46" s="8">
        <f>[37]Rqmnt!AB52</f>
        <v>17.415779546264</v>
      </c>
      <c r="I46" s="8">
        <f>[37]Rqmnt!AC52</f>
        <v>18.0379918314966</v>
      </c>
      <c r="J46" s="8">
        <f>[37]Rqmnt!AD52</f>
        <v>20.484673496984</v>
      </c>
      <c r="K46" s="8">
        <f>[37]Rqmnt!AE52</f>
        <v>17.3042283361544</v>
      </c>
      <c r="L46" s="8">
        <f>[37]Rqmnt!AF52</f>
        <v>22.1877991018573</v>
      </c>
      <c r="M46" s="8">
        <f>[37]Rqmnt!AG52</f>
        <v>25.2290920143258</v>
      </c>
      <c r="N46" s="8">
        <f>[37]Rqmnt!AH52</f>
        <v>33.4363390484142</v>
      </c>
      <c r="O46" s="8">
        <f>[37]Rqmnt!AI52</f>
        <v>32.41579511901</v>
      </c>
      <c r="P46" s="8">
        <f>[37]Rqmnt!AJ52</f>
        <v>35.3544891104742</v>
      </c>
      <c r="Q46" s="650">
        <f t="shared" ref="Q46:Q76" si="6">SUM(E46:P46)</f>
        <v>275.401291972633</v>
      </c>
    </row>
    <row r="47" ht="28.5" spans="2:17">
      <c r="B47" s="7">
        <f t="shared" si="5"/>
        <v>4</v>
      </c>
      <c r="C47" s="805" t="s">
        <v>307</v>
      </c>
      <c r="D47" s="7" t="s">
        <v>304</v>
      </c>
      <c r="E47" s="8">
        <f>E44-E46</f>
        <v>506.864061102936</v>
      </c>
      <c r="F47" s="8">
        <f t="shared" ref="F47:P47" si="7">F44-F46</f>
        <v>428.972737942393</v>
      </c>
      <c r="G47" s="8">
        <f t="shared" si="7"/>
        <v>495.985612670464</v>
      </c>
      <c r="H47" s="8">
        <f t="shared" si="7"/>
        <v>478.760275902852</v>
      </c>
      <c r="I47" s="8">
        <f t="shared" si="7"/>
        <v>517.213991298967</v>
      </c>
      <c r="J47" s="8">
        <f t="shared" si="7"/>
        <v>564.79171213113</v>
      </c>
      <c r="K47" s="8">
        <f t="shared" si="7"/>
        <v>424.317932518489</v>
      </c>
      <c r="L47" s="8">
        <f t="shared" si="7"/>
        <v>544.068239227127</v>
      </c>
      <c r="M47" s="8">
        <f t="shared" si="7"/>
        <v>618.643949610322</v>
      </c>
      <c r="N47" s="8">
        <f t="shared" si="7"/>
        <v>819.894304467047</v>
      </c>
      <c r="O47" s="8">
        <f t="shared" si="7"/>
        <v>794.86949077661</v>
      </c>
      <c r="P47" s="8">
        <f t="shared" si="7"/>
        <v>866.929367388229</v>
      </c>
      <c r="Q47" s="650">
        <f t="shared" si="6"/>
        <v>7061.31167503657</v>
      </c>
    </row>
    <row r="48" ht="28.5" spans="2:17">
      <c r="B48" s="7">
        <f t="shared" si="5"/>
        <v>5</v>
      </c>
      <c r="C48" s="805" t="s">
        <v>308</v>
      </c>
      <c r="D48" s="7" t="s">
        <v>304</v>
      </c>
      <c r="E48" s="8">
        <f>[37]Rqmnt!Y55-([37]Rqmnt!Y49+[37]Rqmnt!Y48)</f>
        <v>1537.70532284793</v>
      </c>
      <c r="F48" s="8">
        <f>[37]Rqmnt!Z55-([37]Rqmnt!Z49+[37]Rqmnt!Z48)</f>
        <v>859.426933443798</v>
      </c>
      <c r="G48" s="8">
        <f>[37]Rqmnt!AA55-([37]Rqmnt!AA49+[37]Rqmnt!AA48)</f>
        <v>965.491146793964</v>
      </c>
      <c r="H48" s="8">
        <f>[37]Rqmnt!AB55-([37]Rqmnt!AB49+[37]Rqmnt!AB48)</f>
        <v>1310.10513925823</v>
      </c>
      <c r="I48" s="8">
        <f>[37]Rqmnt!AC55-([37]Rqmnt!AC49+[37]Rqmnt!AC48)</f>
        <v>1596.2478500014</v>
      </c>
      <c r="J48" s="8">
        <f>[37]Rqmnt!AD55-([37]Rqmnt!AD49+[37]Rqmnt!AD48)</f>
        <v>1216.68757413656</v>
      </c>
      <c r="K48" s="8">
        <f>[37]Rqmnt!AE55-([37]Rqmnt!AE49+[37]Rqmnt!AE48)</f>
        <v>1129.52570595103</v>
      </c>
      <c r="L48" s="8">
        <f>[37]Rqmnt!AF55-([37]Rqmnt!AF49+[37]Rqmnt!AF48)</f>
        <v>774.842879106426</v>
      </c>
      <c r="M48" s="8">
        <f>[37]Rqmnt!AG55-([37]Rqmnt!AG49+[37]Rqmnt!AG48)</f>
        <v>1228.83865612605</v>
      </c>
      <c r="N48" s="8">
        <f>[37]Rqmnt!AH55-([37]Rqmnt!AH49+[37]Rqmnt!AH48)</f>
        <v>1375.54439756369</v>
      </c>
      <c r="O48" s="8">
        <f>[37]Rqmnt!AI55-([37]Rqmnt!AI49+[37]Rqmnt!AI48)</f>
        <v>1769.21379629493</v>
      </c>
      <c r="P48" s="8">
        <f>[37]Rqmnt!AJ55-([37]Rqmnt!AJ49+[37]Rqmnt!AJ48)</f>
        <v>2496.29657729967</v>
      </c>
      <c r="Q48" s="650">
        <f t="shared" si="6"/>
        <v>16259.9259788237</v>
      </c>
    </row>
    <row r="49" ht="15" spans="2:17">
      <c r="B49" s="7">
        <f t="shared" si="5"/>
        <v>6</v>
      </c>
      <c r="C49" s="32" t="s">
        <v>309</v>
      </c>
      <c r="D49" s="7" t="s">
        <v>304</v>
      </c>
      <c r="E49" s="8">
        <f>[37]Rqmnt!Y37</f>
        <v>357.64328812</v>
      </c>
      <c r="F49" s="8">
        <f>[37]Rqmnt!Z37</f>
        <v>169.47063178</v>
      </c>
      <c r="G49" s="8">
        <f>[37]Rqmnt!AA37</f>
        <v>127.54531446</v>
      </c>
      <c r="H49" s="8">
        <f>[37]Rqmnt!AB37</f>
        <v>380.26127379</v>
      </c>
      <c r="I49" s="8">
        <f>[37]Rqmnt!AC37</f>
        <v>126.35375582</v>
      </c>
      <c r="J49" s="8">
        <f>[37]Rqmnt!AD37</f>
        <v>175.13891324</v>
      </c>
      <c r="K49" s="8">
        <f>[37]Rqmnt!AE37</f>
        <v>163.165623510031</v>
      </c>
      <c r="L49" s="8">
        <f>[37]Rqmnt!AF37</f>
        <v>130.672333041741</v>
      </c>
      <c r="M49" s="8">
        <f>[37]Rqmnt!AG37</f>
        <v>132.125025618489</v>
      </c>
      <c r="N49" s="8">
        <f>[37]Rqmnt!AH37</f>
        <v>212.345780997261</v>
      </c>
      <c r="O49" s="8">
        <f>[37]Rqmnt!AI37</f>
        <v>393.015329086637</v>
      </c>
      <c r="P49" s="8">
        <f>[37]Rqmnt!AJ37</f>
        <v>799.994474587624</v>
      </c>
      <c r="Q49" s="650">
        <f t="shared" si="6"/>
        <v>3167.73174405178</v>
      </c>
    </row>
    <row r="50" spans="2:18">
      <c r="B50" s="7">
        <f t="shared" si="5"/>
        <v>7</v>
      </c>
      <c r="C50" s="32" t="s">
        <v>310</v>
      </c>
      <c r="D50" s="7" t="s">
        <v>306</v>
      </c>
      <c r="E50" s="236">
        <f>E51/(E48+E47)</f>
        <v>0.023</v>
      </c>
      <c r="F50" s="236">
        <f t="shared" ref="F50:Q50" si="8">F51/(F48+F47)</f>
        <v>0.0225</v>
      </c>
      <c r="G50" s="236">
        <f t="shared" si="8"/>
        <v>0.0216</v>
      </c>
      <c r="H50" s="236">
        <f t="shared" si="8"/>
        <v>0.0229</v>
      </c>
      <c r="I50" s="236">
        <f t="shared" si="8"/>
        <v>0.023</v>
      </c>
      <c r="J50" s="236">
        <f t="shared" si="8"/>
        <v>0.0239000000000001</v>
      </c>
      <c r="K50" s="236">
        <f t="shared" si="8"/>
        <v>0.0250000000000001</v>
      </c>
      <c r="L50" s="236">
        <f t="shared" si="8"/>
        <v>0.025</v>
      </c>
      <c r="M50" s="236">
        <f t="shared" si="8"/>
        <v>0.025</v>
      </c>
      <c r="N50" s="236">
        <f t="shared" si="8"/>
        <v>0.025</v>
      </c>
      <c r="O50" s="236">
        <f t="shared" si="8"/>
        <v>0.025</v>
      </c>
      <c r="P50" s="236">
        <f t="shared" si="8"/>
        <v>0.025</v>
      </c>
      <c r="Q50" s="236">
        <f t="shared" si="8"/>
        <v>0.0240471205890653</v>
      </c>
      <c r="R50" s="236"/>
    </row>
    <row r="51" ht="18.75" customHeight="1" spans="2:17">
      <c r="B51" s="7">
        <f t="shared" si="5"/>
        <v>8</v>
      </c>
      <c r="C51" s="32" t="s">
        <v>310</v>
      </c>
      <c r="D51" s="7" t="s">
        <v>304</v>
      </c>
      <c r="E51" s="8">
        <f>[37]Rqmnt!Y47</f>
        <v>47.02509583087</v>
      </c>
      <c r="F51" s="8">
        <f>[37]Rqmnt!Z47</f>
        <v>28.9889926061893</v>
      </c>
      <c r="G51" s="8">
        <f>[37]Rqmnt!AA47</f>
        <v>31.5678980044317</v>
      </c>
      <c r="H51" s="8">
        <f>[37]Rqmnt!AB47</f>
        <v>40.9650180071889</v>
      </c>
      <c r="I51" s="8">
        <f>[37]Rqmnt!AC47</f>
        <v>48.6096223499083</v>
      </c>
      <c r="J51" s="8">
        <f>[37]Rqmnt!AD47</f>
        <v>42.5773549417978</v>
      </c>
      <c r="K51" s="8">
        <f>[37]Rqmnt!AE47</f>
        <v>38.846090961738</v>
      </c>
      <c r="L51" s="8">
        <f>[37]Rqmnt!AF47</f>
        <v>32.9727779583388</v>
      </c>
      <c r="M51" s="8">
        <f>[37]Rqmnt!AG47</f>
        <v>46.1870651434094</v>
      </c>
      <c r="N51" s="8">
        <f>[37]Rqmnt!AH47</f>
        <v>54.8859675507683</v>
      </c>
      <c r="O51" s="8">
        <f>[37]Rqmnt!AI47</f>
        <v>64.1020821767886</v>
      </c>
      <c r="P51" s="8">
        <f>[37]Rqmnt!AJ47</f>
        <v>84.0806486171974</v>
      </c>
      <c r="Q51" s="650">
        <f t="shared" si="6"/>
        <v>560.808614148627</v>
      </c>
    </row>
    <row r="52" ht="28.5" spans="2:17">
      <c r="B52" s="7">
        <f t="shared" si="5"/>
        <v>9</v>
      </c>
      <c r="C52" s="805" t="s">
        <v>311</v>
      </c>
      <c r="D52" s="7" t="s">
        <v>304</v>
      </c>
      <c r="E52" s="8">
        <f>E47+E48-E49-E51</f>
        <v>1639.901</v>
      </c>
      <c r="F52" s="8">
        <f t="shared" ref="F52:P52" si="9">F47+F48-F49-F51</f>
        <v>1089.940047</v>
      </c>
      <c r="G52" s="8">
        <f t="shared" si="9"/>
        <v>1302.363547</v>
      </c>
      <c r="H52" s="8">
        <f t="shared" si="9"/>
        <v>1367.6391233639</v>
      </c>
      <c r="I52" s="8">
        <f t="shared" si="9"/>
        <v>1938.49846313046</v>
      </c>
      <c r="J52" s="8">
        <f t="shared" si="9"/>
        <v>1563.76301808589</v>
      </c>
      <c r="K52" s="8">
        <f t="shared" si="9"/>
        <v>1351.83192399775</v>
      </c>
      <c r="L52" s="8">
        <f t="shared" si="9"/>
        <v>1155.26600733347</v>
      </c>
      <c r="M52" s="8">
        <f t="shared" si="9"/>
        <v>1669.17051497448</v>
      </c>
      <c r="N52" s="8">
        <f t="shared" si="9"/>
        <v>1928.20695348271</v>
      </c>
      <c r="O52" s="8">
        <f t="shared" si="9"/>
        <v>2106.96587580811</v>
      </c>
      <c r="P52" s="8">
        <f t="shared" si="9"/>
        <v>2479.15082148307</v>
      </c>
      <c r="Q52" s="650">
        <f t="shared" si="6"/>
        <v>19592.6972956598</v>
      </c>
    </row>
    <row r="53" ht="15" spans="2:17">
      <c r="B53" s="7"/>
      <c r="C53" s="18" t="s">
        <v>312</v>
      </c>
      <c r="D53" s="7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10"/>
    </row>
    <row r="54" ht="28.5" spans="2:17">
      <c r="B54" s="7">
        <f>B52+1</f>
        <v>10</v>
      </c>
      <c r="C54" s="805" t="s">
        <v>313</v>
      </c>
      <c r="D54" s="7" t="s">
        <v>304</v>
      </c>
      <c r="E54" s="8">
        <f>[37]Rqmnt!Y7</f>
        <v>1639.901</v>
      </c>
      <c r="F54" s="8">
        <f>[37]Rqmnt!Z7</f>
        <v>1089.940047</v>
      </c>
      <c r="G54" s="8">
        <f>[37]Rqmnt!AA7</f>
        <v>1302.363547</v>
      </c>
      <c r="H54" s="8">
        <f>[37]Rqmnt!AB7</f>
        <v>1367.6391233639</v>
      </c>
      <c r="I54" s="8">
        <f>[37]Rqmnt!AC7</f>
        <v>1938.49846313045</v>
      </c>
      <c r="J54" s="8">
        <f>[37]Rqmnt!AD7</f>
        <v>1563.76301808589</v>
      </c>
      <c r="K54" s="8">
        <f>[37]Rqmnt!AE7</f>
        <v>1351.83192399775</v>
      </c>
      <c r="L54" s="8">
        <f>[37]Rqmnt!AF7</f>
        <v>1155.26600733347</v>
      </c>
      <c r="M54" s="8">
        <f>[37]Rqmnt!AG7</f>
        <v>1669.17051497448</v>
      </c>
      <c r="N54" s="8">
        <f>[37]Rqmnt!AH7</f>
        <v>1928.2069534827</v>
      </c>
      <c r="O54" s="8">
        <f>[37]Rqmnt!AI7</f>
        <v>2106.96587580812</v>
      </c>
      <c r="P54" s="8">
        <f>[37]Rqmnt!AJ7</f>
        <v>2479.15082148307</v>
      </c>
      <c r="Q54" s="650">
        <f t="shared" si="6"/>
        <v>19592.6972956598</v>
      </c>
    </row>
    <row r="55" ht="15" spans="2:17">
      <c r="B55" s="7">
        <f t="shared" ref="B55:B58" si="10">B54+1</f>
        <v>11</v>
      </c>
      <c r="C55" s="32" t="s">
        <v>314</v>
      </c>
      <c r="D55" s="7" t="s">
        <v>304</v>
      </c>
      <c r="E55" s="8">
        <f>[37]Rqmnt!Y9</f>
        <v>54.676074</v>
      </c>
      <c r="F55" s="8">
        <f>[37]Rqmnt!Z9</f>
        <v>55.536737</v>
      </c>
      <c r="G55" s="8">
        <f>[37]Rqmnt!AA9</f>
        <v>50.5677</v>
      </c>
      <c r="H55" s="8">
        <f>[37]Rqmnt!AB9</f>
        <v>49.379404</v>
      </c>
      <c r="I55" s="8">
        <f>[37]Rqmnt!AC9</f>
        <v>50.445635</v>
      </c>
      <c r="J55" s="8">
        <f>[37]Rqmnt!AD9</f>
        <v>51.2777005</v>
      </c>
      <c r="K55" s="8">
        <f>[37]Rqmnt!AE9</f>
        <v>45.222863233592</v>
      </c>
      <c r="L55" s="8">
        <f>[37]Rqmnt!AF9</f>
        <v>46.8385422108339</v>
      </c>
      <c r="M55" s="8">
        <f>[37]Rqmnt!AG9</f>
        <v>49.9427166516537</v>
      </c>
      <c r="N55" s="8">
        <f>[37]Rqmnt!AH9</f>
        <v>50.9269293838812</v>
      </c>
      <c r="O55" s="8">
        <f>[37]Rqmnt!AI9</f>
        <v>53.6001284798537</v>
      </c>
      <c r="P55" s="8">
        <f>[37]Rqmnt!AJ9</f>
        <v>67.1303066997459</v>
      </c>
      <c r="Q55" s="650">
        <f t="shared" si="6"/>
        <v>625.54473715956</v>
      </c>
    </row>
    <row r="56" spans="2:17">
      <c r="B56" s="7">
        <f t="shared" si="10"/>
        <v>12</v>
      </c>
      <c r="C56" s="32" t="s">
        <v>315</v>
      </c>
      <c r="D56" s="7" t="s">
        <v>306</v>
      </c>
      <c r="E56" s="236">
        <f>E57/E54</f>
        <v>0.0325230734105253</v>
      </c>
      <c r="F56" s="236">
        <f t="shared" ref="F56:Q56" si="11">F57/F54</f>
        <v>0.0311931942744107</v>
      </c>
      <c r="G56" s="236">
        <f t="shared" si="11"/>
        <v>0.0305283074392233</v>
      </c>
      <c r="H56" s="236">
        <f t="shared" si="11"/>
        <v>0.0309255184886745</v>
      </c>
      <c r="I56" s="236">
        <f t="shared" si="11"/>
        <v>0.0308741925932231</v>
      </c>
      <c r="J56" s="236">
        <f t="shared" si="11"/>
        <v>0.0294480952540143</v>
      </c>
      <c r="K56" s="236">
        <f t="shared" si="11"/>
        <v>0.03795</v>
      </c>
      <c r="L56" s="236">
        <f t="shared" si="11"/>
        <v>0.03795</v>
      </c>
      <c r="M56" s="236">
        <f t="shared" si="11"/>
        <v>0.0379499999999999</v>
      </c>
      <c r="N56" s="236">
        <f t="shared" si="11"/>
        <v>0.0379500000000001</v>
      </c>
      <c r="O56" s="236">
        <f t="shared" si="11"/>
        <v>0.03795</v>
      </c>
      <c r="P56" s="236">
        <f t="shared" si="11"/>
        <v>0.0379500000000001</v>
      </c>
      <c r="Q56" s="236">
        <f t="shared" si="11"/>
        <v>0.0347575738556979</v>
      </c>
    </row>
    <row r="57" ht="15" spans="2:17">
      <c r="B57" s="7">
        <f t="shared" si="10"/>
        <v>13</v>
      </c>
      <c r="C57" s="32" t="s">
        <v>315</v>
      </c>
      <c r="D57" s="7" t="s">
        <v>304</v>
      </c>
      <c r="E57" s="8">
        <f>[37]Rqmnt!Y11</f>
        <v>53.3346206089939</v>
      </c>
      <c r="F57" s="8">
        <f>[37]Rqmnt!Z11</f>
        <v>33.9987116335313</v>
      </c>
      <c r="G57" s="8">
        <f>[37]Rqmnt!AA11</f>
        <v>39.7589547604534</v>
      </c>
      <c r="H57" s="8">
        <f>[37]Rqmnt!AB11</f>
        <v>42.2949489954249</v>
      </c>
      <c r="I57" s="8">
        <f>[37]Rqmnt!AC11</f>
        <v>59.8495748923565</v>
      </c>
      <c r="J57" s="8">
        <f>[37]Rqmnt!AD11</f>
        <v>46.0498423112981</v>
      </c>
      <c r="K57" s="8">
        <f>[37]Rqmnt!AE11</f>
        <v>51.3020215157146</v>
      </c>
      <c r="L57" s="8">
        <f>[37]Rqmnt!AF11</f>
        <v>43.8423449783052</v>
      </c>
      <c r="M57" s="8">
        <f>[37]Rqmnt!AG11</f>
        <v>63.3450210432813</v>
      </c>
      <c r="N57" s="8">
        <f>[37]Rqmnt!AH11</f>
        <v>73.1754538846687</v>
      </c>
      <c r="O57" s="8">
        <f>[37]Rqmnt!AI11</f>
        <v>79.9593549869182</v>
      </c>
      <c r="P57" s="8">
        <f>[37]Rqmnt!AJ11</f>
        <v>94.0837736752828</v>
      </c>
      <c r="Q57" s="650">
        <f t="shared" si="6"/>
        <v>680.994623286229</v>
      </c>
    </row>
    <row r="58" ht="28.5" spans="2:17">
      <c r="B58" s="7">
        <f t="shared" si="10"/>
        <v>14</v>
      </c>
      <c r="C58" s="805" t="s">
        <v>337</v>
      </c>
      <c r="D58" s="7" t="s">
        <v>304</v>
      </c>
      <c r="E58" s="8">
        <f>E54-E55-E57</f>
        <v>1531.89030539101</v>
      </c>
      <c r="F58" s="8">
        <f t="shared" ref="F58:P58" si="12">F54-F55-F57</f>
        <v>1000.40459836647</v>
      </c>
      <c r="G58" s="8">
        <f t="shared" si="12"/>
        <v>1212.03689223955</v>
      </c>
      <c r="H58" s="8">
        <f t="shared" si="12"/>
        <v>1275.96477036847</v>
      </c>
      <c r="I58" s="8">
        <f t="shared" si="12"/>
        <v>1828.20325323809</v>
      </c>
      <c r="J58" s="8">
        <f t="shared" si="12"/>
        <v>1466.43547527459</v>
      </c>
      <c r="K58" s="8">
        <f t="shared" si="12"/>
        <v>1255.30703924844</v>
      </c>
      <c r="L58" s="8">
        <f t="shared" si="12"/>
        <v>1064.58512014433</v>
      </c>
      <c r="M58" s="8">
        <f t="shared" si="12"/>
        <v>1555.88277727955</v>
      </c>
      <c r="N58" s="8">
        <f t="shared" si="12"/>
        <v>1804.10457021415</v>
      </c>
      <c r="O58" s="8">
        <f t="shared" si="12"/>
        <v>1973.40639234135</v>
      </c>
      <c r="P58" s="8">
        <f t="shared" si="12"/>
        <v>2317.93674110804</v>
      </c>
      <c r="Q58" s="650">
        <f t="shared" si="6"/>
        <v>18286.157935214</v>
      </c>
    </row>
    <row r="59" ht="15" spans="2:17">
      <c r="B59" s="7"/>
      <c r="C59" s="18" t="s">
        <v>317</v>
      </c>
      <c r="D59" s="7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10"/>
    </row>
    <row r="60" ht="28.5" spans="2:17">
      <c r="B60" s="7">
        <f>B58+1</f>
        <v>15</v>
      </c>
      <c r="C60" s="805" t="s">
        <v>318</v>
      </c>
      <c r="D60" s="7" t="s">
        <v>304</v>
      </c>
      <c r="E60" s="8">
        <f>[37]Rqmnt!Y16</f>
        <v>1531.89030539101</v>
      </c>
      <c r="F60" s="8">
        <f>[37]Rqmnt!Z16</f>
        <v>1000.40459836647</v>
      </c>
      <c r="G60" s="8">
        <f>[37]Rqmnt!AA16</f>
        <v>1212.03689223955</v>
      </c>
      <c r="H60" s="8">
        <f>[37]Rqmnt!AB16</f>
        <v>1275.96477036847</v>
      </c>
      <c r="I60" s="8">
        <f>[37]Rqmnt!AC16</f>
        <v>1828.2032532381</v>
      </c>
      <c r="J60" s="8">
        <f>[37]Rqmnt!AD16</f>
        <v>1466.43547527459</v>
      </c>
      <c r="K60" s="8">
        <f>[37]Rqmnt!AE16</f>
        <v>1255.30703924844</v>
      </c>
      <c r="L60" s="8">
        <f>[37]Rqmnt!AF16</f>
        <v>1064.58512014433</v>
      </c>
      <c r="M60" s="8">
        <f>[37]Rqmnt!AG16</f>
        <v>1555.88277727954</v>
      </c>
      <c r="N60" s="8">
        <f>[37]Rqmnt!AH16</f>
        <v>1804.10457021415</v>
      </c>
      <c r="O60" s="8">
        <f>[37]Rqmnt!AI16</f>
        <v>1973.40639234135</v>
      </c>
      <c r="P60" s="8">
        <f>[37]Rqmnt!AJ16</f>
        <v>2317.93674110804</v>
      </c>
      <c r="Q60" s="650">
        <f t="shared" si="6"/>
        <v>18286.157935214</v>
      </c>
    </row>
    <row r="61" ht="15" spans="2:17">
      <c r="B61" s="7">
        <f t="shared" ref="B61:B65" si="13">B60+1</f>
        <v>16</v>
      </c>
      <c r="C61" s="805" t="s">
        <v>319</v>
      </c>
      <c r="D61" s="7" t="s">
        <v>304</v>
      </c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650">
        <f t="shared" si="6"/>
        <v>0</v>
      </c>
    </row>
    <row r="62" ht="15" spans="2:17">
      <c r="B62" s="7">
        <f t="shared" si="13"/>
        <v>17</v>
      </c>
      <c r="C62" s="32" t="s">
        <v>320</v>
      </c>
      <c r="D62" s="7" t="s">
        <v>304</v>
      </c>
      <c r="E62" s="8">
        <f>[37]Rqmnt!Y20</f>
        <v>202.02283174</v>
      </c>
      <c r="F62" s="8">
        <f>[37]Rqmnt!Z20</f>
        <v>151.8007619</v>
      </c>
      <c r="G62" s="8">
        <f>[37]Rqmnt!AA20</f>
        <v>187.94921158</v>
      </c>
      <c r="H62" s="8">
        <f>[37]Rqmnt!AB20</f>
        <v>210.19893706</v>
      </c>
      <c r="I62" s="8">
        <f>[37]Rqmnt!AC20</f>
        <v>224.79858078</v>
      </c>
      <c r="J62" s="8">
        <f>[37]Rqmnt!AD20</f>
        <v>208.73916088</v>
      </c>
      <c r="K62" s="8">
        <f>[37]Rqmnt!AE20</f>
        <v>195.165594257426</v>
      </c>
      <c r="L62" s="8">
        <f>[37]Rqmnt!AF20</f>
        <v>175.605477132891</v>
      </c>
      <c r="M62" s="8">
        <f>[37]Rqmnt!AG20</f>
        <v>218.873459932373</v>
      </c>
      <c r="N62" s="8">
        <f>[37]Rqmnt!AH20</f>
        <v>246.68042355386</v>
      </c>
      <c r="O62" s="8">
        <f>[37]Rqmnt!AI20</f>
        <v>250.065061709641</v>
      </c>
      <c r="P62" s="8">
        <f>[37]Rqmnt!AJ20</f>
        <v>351.675575916599</v>
      </c>
      <c r="Q62" s="650">
        <f t="shared" si="6"/>
        <v>2623.57507644279</v>
      </c>
    </row>
    <row r="63" spans="2:17">
      <c r="B63" s="7">
        <f t="shared" si="13"/>
        <v>18</v>
      </c>
      <c r="C63" s="32" t="s">
        <v>321</v>
      </c>
      <c r="D63" s="7" t="s">
        <v>306</v>
      </c>
      <c r="E63" s="809">
        <f>E64/E60</f>
        <v>0.0388928110224985</v>
      </c>
      <c r="F63" s="809">
        <f t="shared" ref="F63:Q63" si="14">F64/F60</f>
        <v>0.0380020498464519</v>
      </c>
      <c r="G63" s="809">
        <f t="shared" si="14"/>
        <v>0.0378530897216702</v>
      </c>
      <c r="H63" s="809">
        <f t="shared" si="14"/>
        <v>0.037419759795992</v>
      </c>
      <c r="I63" s="809">
        <f t="shared" si="14"/>
        <v>0.0392913454128736</v>
      </c>
      <c r="J63" s="809">
        <f t="shared" si="14"/>
        <v>0.0384230467016543</v>
      </c>
      <c r="K63" s="809">
        <f t="shared" si="14"/>
        <v>0.0371000000000001</v>
      </c>
      <c r="L63" s="809">
        <f t="shared" si="14"/>
        <v>0.0371000000000002</v>
      </c>
      <c r="M63" s="809">
        <f t="shared" si="14"/>
        <v>0.0371000000000001</v>
      </c>
      <c r="N63" s="809">
        <f t="shared" si="14"/>
        <v>0.0371000000000001</v>
      </c>
      <c r="O63" s="809">
        <f t="shared" si="14"/>
        <v>0.0371</v>
      </c>
      <c r="P63" s="809">
        <f t="shared" si="14"/>
        <v>0.0371000000000001</v>
      </c>
      <c r="Q63" s="809">
        <f t="shared" si="14"/>
        <v>0.0376969524527687</v>
      </c>
    </row>
    <row r="64" ht="15" spans="2:17">
      <c r="B64" s="7">
        <f t="shared" si="13"/>
        <v>19</v>
      </c>
      <c r="C64" s="32" t="s">
        <v>321</v>
      </c>
      <c r="D64" s="7" t="s">
        <v>304</v>
      </c>
      <c r="E64" s="8">
        <f>[37]Rqmnt!Y22</f>
        <v>59.5795201547701</v>
      </c>
      <c r="F64" s="8">
        <f>[37]Rqmnt!Z22</f>
        <v>38.0174254137423</v>
      </c>
      <c r="G64" s="8">
        <f>[37]Rqmnt!AA22</f>
        <v>45.879341227918</v>
      </c>
      <c r="H64" s="8">
        <f>[37]Rqmnt!AB22</f>
        <v>47.7462952153362</v>
      </c>
      <c r="I64" s="8">
        <f>[37]Rqmnt!AC22</f>
        <v>71.8325655079175</v>
      </c>
      <c r="J64" s="8">
        <f>[37]Rqmnt!AD22</f>
        <v>56.3449187514382</v>
      </c>
      <c r="K64" s="8">
        <f>[37]Rqmnt!AE22</f>
        <v>46.5718911561173</v>
      </c>
      <c r="L64" s="8">
        <f>[37]Rqmnt!AF22</f>
        <v>39.4961079573548</v>
      </c>
      <c r="M64" s="8">
        <f>[37]Rqmnt!AG22</f>
        <v>57.7232510370711</v>
      </c>
      <c r="N64" s="8">
        <f>[37]Rqmnt!AH22</f>
        <v>66.9322795549451</v>
      </c>
      <c r="O64" s="8">
        <f>[37]Rqmnt!AI22</f>
        <v>73.213377155864</v>
      </c>
      <c r="P64" s="8">
        <f>[37]Rqmnt!AJ22</f>
        <v>85.9954530951086</v>
      </c>
      <c r="Q64" s="650">
        <f t="shared" si="6"/>
        <v>689.332426227583</v>
      </c>
    </row>
    <row r="65" ht="28.5" spans="2:17">
      <c r="B65" s="7">
        <f t="shared" si="13"/>
        <v>20</v>
      </c>
      <c r="C65" s="805" t="s">
        <v>338</v>
      </c>
      <c r="D65" s="7" t="s">
        <v>304</v>
      </c>
      <c r="E65" s="8">
        <f>E60+E61-E62-E64</f>
        <v>1270.28795349624</v>
      </c>
      <c r="F65" s="8">
        <f t="shared" ref="F65:P65" si="15">F60+F61-F62-F64</f>
        <v>810.586411052728</v>
      </c>
      <c r="G65" s="8">
        <f t="shared" si="15"/>
        <v>978.208339431632</v>
      </c>
      <c r="H65" s="8">
        <f t="shared" si="15"/>
        <v>1018.01953809313</v>
      </c>
      <c r="I65" s="8">
        <f t="shared" si="15"/>
        <v>1531.57210695018</v>
      </c>
      <c r="J65" s="8">
        <f t="shared" si="15"/>
        <v>1201.35139564315</v>
      </c>
      <c r="K65" s="8">
        <f t="shared" si="15"/>
        <v>1013.5695538349</v>
      </c>
      <c r="L65" s="8">
        <f t="shared" si="15"/>
        <v>849.483535054084</v>
      </c>
      <c r="M65" s="8">
        <f t="shared" si="15"/>
        <v>1279.2860663101</v>
      </c>
      <c r="N65" s="8">
        <f t="shared" si="15"/>
        <v>1490.49186710534</v>
      </c>
      <c r="O65" s="8">
        <f t="shared" si="15"/>
        <v>1650.12795347585</v>
      </c>
      <c r="P65" s="8">
        <f t="shared" si="15"/>
        <v>1880.26571209633</v>
      </c>
      <c r="Q65" s="650">
        <f t="shared" si="6"/>
        <v>14973.2504325437</v>
      </c>
    </row>
    <row r="66" ht="15" spans="2:17">
      <c r="B66" s="7"/>
      <c r="C66" s="18" t="s">
        <v>323</v>
      </c>
      <c r="D66" s="7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10"/>
    </row>
    <row r="67" ht="28.5" spans="2:17">
      <c r="B67" s="7"/>
      <c r="C67" s="805" t="s">
        <v>324</v>
      </c>
      <c r="D67" s="7" t="s">
        <v>304</v>
      </c>
      <c r="E67" s="8">
        <f>[37]Rqmnt!Y27</f>
        <v>1270.28795349624</v>
      </c>
      <c r="F67" s="8">
        <f>[37]Rqmnt!Z27</f>
        <v>810.586411052726</v>
      </c>
      <c r="G67" s="8">
        <f>[37]Rqmnt!AA27</f>
        <v>978.208339431629</v>
      </c>
      <c r="H67" s="8">
        <f>[37]Rqmnt!AB27</f>
        <v>1018.01953809314</v>
      </c>
      <c r="I67" s="8">
        <f>[37]Rqmnt!AC27</f>
        <v>1531.57210695018</v>
      </c>
      <c r="J67" s="8">
        <f>[37]Rqmnt!AD27</f>
        <v>1201.35139564316</v>
      </c>
      <c r="K67" s="8">
        <f>[37]Rqmnt!AE27</f>
        <v>1013.5695538349</v>
      </c>
      <c r="L67" s="8">
        <f>[37]Rqmnt!AF27</f>
        <v>849.483535054085</v>
      </c>
      <c r="M67" s="8">
        <f>[37]Rqmnt!AG27</f>
        <v>1279.2860663101</v>
      </c>
      <c r="N67" s="8">
        <f>[37]Rqmnt!AH27</f>
        <v>1490.49186710535</v>
      </c>
      <c r="O67" s="8">
        <f>[37]Rqmnt!AI27</f>
        <v>1650.12795347584</v>
      </c>
      <c r="P67" s="8">
        <f>[37]Rqmnt!AJ27</f>
        <v>1880.26571209634</v>
      </c>
      <c r="Q67" s="650">
        <f>SUM(E67:P67)</f>
        <v>14973.2504325437</v>
      </c>
    </row>
    <row r="68" ht="15" spans="2:17">
      <c r="B68" s="7">
        <f>B65+1</f>
        <v>21</v>
      </c>
      <c r="C68" s="805" t="s">
        <v>319</v>
      </c>
      <c r="D68" s="7" t="s">
        <v>304</v>
      </c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650">
        <f t="shared" si="6"/>
        <v>0</v>
      </c>
    </row>
    <row r="69" ht="15" spans="2:17">
      <c r="B69" s="7">
        <f t="shared" ref="B69:B71" si="16">B68+1</f>
        <v>22</v>
      </c>
      <c r="C69" s="32" t="s">
        <v>325</v>
      </c>
      <c r="D69" s="7" t="s">
        <v>304</v>
      </c>
      <c r="E69" s="8">
        <f>[37]Rqmnt!Y28+[37]Rqmnt!Y29</f>
        <v>1205.62230049842</v>
      </c>
      <c r="F69" s="8">
        <f>[37]Rqmnt!Z28+[37]Rqmnt!Z29</f>
        <v>766.982033</v>
      </c>
      <c r="G69" s="8">
        <f>[37]Rqmnt!AA28+[37]Rqmnt!AA29</f>
        <v>926.169572</v>
      </c>
      <c r="H69" s="8">
        <f>[37]Rqmnt!AB28+[37]Rqmnt!AB29</f>
        <v>963.71413</v>
      </c>
      <c r="I69" s="8">
        <f>[37]Rqmnt!AC28+[37]Rqmnt!AC29</f>
        <v>1459.94607</v>
      </c>
      <c r="J69" s="8">
        <f>[37]Rqmnt!AD28+[37]Rqmnt!AD29</f>
        <v>1139.05635337973</v>
      </c>
      <c r="K69" s="8">
        <f>[37]Rqmnt!AE28+[37]Rqmnt!AE29</f>
        <v>968.465708689247</v>
      </c>
      <c r="L69" s="8">
        <f>[37]Rqmnt!AF28+[37]Rqmnt!AF29</f>
        <v>811.681517744179</v>
      </c>
      <c r="M69" s="8">
        <f>[37]Rqmnt!AG28+[37]Rqmnt!AG29</f>
        <v>1222.3578363593</v>
      </c>
      <c r="N69" s="8">
        <f>[37]Rqmnt!AH28+[37]Rqmnt!AH29</f>
        <v>1424.16497901916</v>
      </c>
      <c r="O69" s="8">
        <f>[37]Rqmnt!AI28+[37]Rqmnt!AI29</f>
        <v>1576.69725954617</v>
      </c>
      <c r="P69" s="8">
        <f>[37]Rqmnt!AJ28+[37]Rqmnt!AJ29</f>
        <v>1796.59388790805</v>
      </c>
      <c r="Q69" s="650">
        <f t="shared" si="6"/>
        <v>14261.4516481443</v>
      </c>
    </row>
    <row r="70" spans="2:17">
      <c r="B70" s="7">
        <f t="shared" si="16"/>
        <v>23</v>
      </c>
      <c r="C70" s="32" t="s">
        <v>326</v>
      </c>
      <c r="D70" s="7" t="s">
        <v>306</v>
      </c>
      <c r="E70" s="236">
        <f>E71/E67</f>
        <v>0.0509062947655549</v>
      </c>
      <c r="F70" s="236">
        <f t="shared" ref="F70:Q70" si="17">F71/F67</f>
        <v>0.0537936208381492</v>
      </c>
      <c r="G70" s="236">
        <f t="shared" si="17"/>
        <v>0.0531980410858741</v>
      </c>
      <c r="H70" s="236">
        <f t="shared" si="17"/>
        <v>0.0533441707757972</v>
      </c>
      <c r="I70" s="236">
        <f t="shared" si="17"/>
        <v>0.0467663498343594</v>
      </c>
      <c r="J70" s="236">
        <f t="shared" si="17"/>
        <v>0.051854139004909</v>
      </c>
      <c r="K70" s="236">
        <f t="shared" si="17"/>
        <v>0.0445000000000001</v>
      </c>
      <c r="L70" s="236">
        <f t="shared" si="17"/>
        <v>0.0445</v>
      </c>
      <c r="M70" s="236">
        <f t="shared" si="17"/>
        <v>0.0444999999999999</v>
      </c>
      <c r="N70" s="236">
        <f t="shared" si="17"/>
        <v>0.0445</v>
      </c>
      <c r="O70" s="236">
        <f t="shared" si="17"/>
        <v>0.0444999999999999</v>
      </c>
      <c r="P70" s="236">
        <f t="shared" si="17"/>
        <v>0.0444999999999999</v>
      </c>
      <c r="Q70" s="236">
        <f t="shared" si="17"/>
        <v>0.0475380270707524</v>
      </c>
    </row>
    <row r="71" ht="15" spans="2:17">
      <c r="B71" s="7">
        <f t="shared" si="16"/>
        <v>24</v>
      </c>
      <c r="C71" s="32" t="s">
        <v>326</v>
      </c>
      <c r="D71" s="7" t="s">
        <v>304</v>
      </c>
      <c r="E71" s="8">
        <f>[37]Rqmnt!Y30</f>
        <v>64.6656529978131</v>
      </c>
      <c r="F71" s="8">
        <f>[37]Rqmnt!Z30</f>
        <v>43.6043780527265</v>
      </c>
      <c r="G71" s="8">
        <f>[37]Rqmnt!AA30</f>
        <v>52.0387674316285</v>
      </c>
      <c r="H71" s="8">
        <f>[37]Rqmnt!AB30</f>
        <v>54.3054080931386</v>
      </c>
      <c r="I71" s="8">
        <f>[37]Rqmnt!AC30</f>
        <v>71.626036950179</v>
      </c>
      <c r="J71" s="8">
        <f>[37]Rqmnt!AD30</f>
        <v>62.2950422634219</v>
      </c>
      <c r="K71" s="8">
        <f>[37]Rqmnt!AE30</f>
        <v>45.1038451456531</v>
      </c>
      <c r="L71" s="8">
        <f>[37]Rqmnt!AF30</f>
        <v>37.8020173099068</v>
      </c>
      <c r="M71" s="8">
        <f>[37]Rqmnt!AG30</f>
        <v>56.9282299507993</v>
      </c>
      <c r="N71" s="8">
        <f>[37]Rqmnt!AH30</f>
        <v>66.3268880861881</v>
      </c>
      <c r="O71" s="8">
        <f>[37]Rqmnt!AI30</f>
        <v>73.4306939296748</v>
      </c>
      <c r="P71" s="8">
        <f>[37]Rqmnt!AJ30</f>
        <v>83.671824188287</v>
      </c>
      <c r="Q71" s="650">
        <f t="shared" si="6"/>
        <v>711.798784399417</v>
      </c>
    </row>
    <row r="72" ht="15" spans="2:17">
      <c r="B72" s="7"/>
      <c r="C72" s="18" t="s">
        <v>97</v>
      </c>
      <c r="D72" s="7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650"/>
    </row>
    <row r="73" ht="15" spans="2:17">
      <c r="B73" s="7">
        <f>B71+1</f>
        <v>25</v>
      </c>
      <c r="C73" s="18" t="s">
        <v>327</v>
      </c>
      <c r="D73" s="39" t="s">
        <v>304</v>
      </c>
      <c r="E73" s="8">
        <f>E44+E48+E68</f>
        <v>2065.30401245232</v>
      </c>
      <c r="F73" s="8">
        <f t="shared" ref="F73:P73" si="18">F44+F48+F68</f>
        <v>1304.32709725047</v>
      </c>
      <c r="G73" s="8">
        <f t="shared" si="18"/>
        <v>1478.34980946635</v>
      </c>
      <c r="H73" s="8">
        <f t="shared" si="18"/>
        <v>1806.28119470735</v>
      </c>
      <c r="I73" s="8">
        <f t="shared" si="18"/>
        <v>2131.49983313186</v>
      </c>
      <c r="J73" s="8">
        <f t="shared" si="18"/>
        <v>1801.96395976467</v>
      </c>
      <c r="K73" s="8">
        <f t="shared" si="18"/>
        <v>1571.14786680567</v>
      </c>
      <c r="L73" s="8">
        <f t="shared" si="18"/>
        <v>1341.09891743541</v>
      </c>
      <c r="M73" s="8">
        <f t="shared" si="18"/>
        <v>1872.7116977507</v>
      </c>
      <c r="N73" s="8">
        <f t="shared" si="18"/>
        <v>2228.87504107915</v>
      </c>
      <c r="O73" s="8">
        <f t="shared" si="18"/>
        <v>2596.49908219055</v>
      </c>
      <c r="P73" s="8">
        <f t="shared" si="18"/>
        <v>3398.58043379837</v>
      </c>
      <c r="Q73" s="650">
        <f t="shared" si="6"/>
        <v>23596.6389458329</v>
      </c>
    </row>
    <row r="74" ht="15" spans="2:17">
      <c r="B74" s="7">
        <f>B73+1</f>
        <v>26</v>
      </c>
      <c r="C74" s="18" t="s">
        <v>328</v>
      </c>
      <c r="D74" s="39" t="s">
        <v>304</v>
      </c>
      <c r="E74" s="8">
        <f>E49+E55+E62+E69</f>
        <v>1819.96449435842</v>
      </c>
      <c r="F74" s="8">
        <f t="shared" ref="F74:P74" si="19">F49+F55+F62+F69</f>
        <v>1143.79016368</v>
      </c>
      <c r="G74" s="8">
        <f t="shared" si="19"/>
        <v>1292.23179804</v>
      </c>
      <c r="H74" s="8">
        <f t="shared" si="19"/>
        <v>1603.55374485</v>
      </c>
      <c r="I74" s="8">
        <f t="shared" si="19"/>
        <v>1861.5440416</v>
      </c>
      <c r="J74" s="8">
        <f t="shared" si="19"/>
        <v>1574.21212799973</v>
      </c>
      <c r="K74" s="8">
        <f t="shared" si="19"/>
        <v>1372.0197896903</v>
      </c>
      <c r="L74" s="8">
        <f t="shared" si="19"/>
        <v>1164.79787012964</v>
      </c>
      <c r="M74" s="8">
        <f t="shared" si="19"/>
        <v>1623.29903856181</v>
      </c>
      <c r="N74" s="8">
        <f t="shared" si="19"/>
        <v>1934.11811295416</v>
      </c>
      <c r="O74" s="8">
        <f t="shared" si="19"/>
        <v>2273.3777788223</v>
      </c>
      <c r="P74" s="8">
        <f t="shared" si="19"/>
        <v>3015.39424511202</v>
      </c>
      <c r="Q74" s="650">
        <f t="shared" si="6"/>
        <v>20678.3032057984</v>
      </c>
    </row>
    <row r="75" ht="30" spans="2:17">
      <c r="B75" s="7">
        <f>B74+1</f>
        <v>27</v>
      </c>
      <c r="C75" s="808" t="s">
        <v>329</v>
      </c>
      <c r="D75" s="39"/>
      <c r="E75" s="8">
        <f>E52+E49</f>
        <v>1997.54428812</v>
      </c>
      <c r="F75" s="8">
        <f t="shared" ref="F75:P75" si="20">F52+F49</f>
        <v>1259.41067878</v>
      </c>
      <c r="G75" s="8">
        <f t="shared" si="20"/>
        <v>1429.90886146</v>
      </c>
      <c r="H75" s="8">
        <f t="shared" si="20"/>
        <v>1747.9003971539</v>
      </c>
      <c r="I75" s="8">
        <f t="shared" si="20"/>
        <v>2064.85221895046</v>
      </c>
      <c r="J75" s="8">
        <f t="shared" si="20"/>
        <v>1738.90193132589</v>
      </c>
      <c r="K75" s="8">
        <f t="shared" si="20"/>
        <v>1514.99754750778</v>
      </c>
      <c r="L75" s="8">
        <f t="shared" si="20"/>
        <v>1285.93834037521</v>
      </c>
      <c r="M75" s="8">
        <f t="shared" si="20"/>
        <v>1801.29554059296</v>
      </c>
      <c r="N75" s="8">
        <f t="shared" si="20"/>
        <v>2140.55273447997</v>
      </c>
      <c r="O75" s="8">
        <f t="shared" si="20"/>
        <v>2499.98120489475</v>
      </c>
      <c r="P75" s="8">
        <f t="shared" si="20"/>
        <v>3279.1452960707</v>
      </c>
      <c r="Q75" s="650">
        <f t="shared" si="6"/>
        <v>22760.4290397116</v>
      </c>
    </row>
    <row r="76" ht="15" spans="2:17">
      <c r="B76" s="7">
        <f>B75+1</f>
        <v>28</v>
      </c>
      <c r="C76" s="808" t="s">
        <v>330</v>
      </c>
      <c r="D76" s="39" t="s">
        <v>304</v>
      </c>
      <c r="E76" s="8">
        <f>E75-E74</f>
        <v>177.579793761574</v>
      </c>
      <c r="F76" s="8">
        <f t="shared" ref="F76:P76" si="21">F75-F74</f>
        <v>115.620515100002</v>
      </c>
      <c r="G76" s="8">
        <f t="shared" si="21"/>
        <v>137.677063419997</v>
      </c>
      <c r="H76" s="8">
        <f t="shared" si="21"/>
        <v>144.346652303897</v>
      </c>
      <c r="I76" s="8">
        <f t="shared" si="21"/>
        <v>203.308177350455</v>
      </c>
      <c r="J76" s="8">
        <f t="shared" si="21"/>
        <v>164.689803326154</v>
      </c>
      <c r="K76" s="8">
        <f t="shared" si="21"/>
        <v>142.977757817482</v>
      </c>
      <c r="L76" s="8">
        <f t="shared" si="21"/>
        <v>121.140470245569</v>
      </c>
      <c r="M76" s="8">
        <f t="shared" si="21"/>
        <v>177.996502031151</v>
      </c>
      <c r="N76" s="8">
        <f t="shared" si="21"/>
        <v>206.434621525805</v>
      </c>
      <c r="O76" s="8">
        <f t="shared" si="21"/>
        <v>226.603426072452</v>
      </c>
      <c r="P76" s="8">
        <f t="shared" si="21"/>
        <v>263.75105095868</v>
      </c>
      <c r="Q76" s="650">
        <f t="shared" si="6"/>
        <v>2082.12583391322</v>
      </c>
    </row>
    <row r="77" ht="15" spans="2:17">
      <c r="B77" s="7">
        <f t="shared" ref="B77" si="22">B76+1</f>
        <v>29</v>
      </c>
      <c r="C77" s="808" t="s">
        <v>331</v>
      </c>
      <c r="D77" s="39" t="s">
        <v>306</v>
      </c>
      <c r="E77" s="236">
        <f>E76/(E75-E49)</f>
        <v>0.108286898880832</v>
      </c>
      <c r="F77" s="236">
        <f t="shared" ref="F77:Q77" si="23">F76/(F75-F49)</f>
        <v>0.10607970173978</v>
      </c>
      <c r="G77" s="236">
        <f t="shared" si="23"/>
        <v>0.105713234785431</v>
      </c>
      <c r="H77" s="236">
        <f t="shared" si="23"/>
        <v>0.105544401178621</v>
      </c>
      <c r="I77" s="236">
        <f t="shared" si="23"/>
        <v>0.104879204816152</v>
      </c>
      <c r="J77" s="236">
        <f t="shared" si="23"/>
        <v>0.105316343602844</v>
      </c>
      <c r="K77" s="236">
        <f t="shared" si="23"/>
        <v>0.10576592790815</v>
      </c>
      <c r="L77" s="236">
        <f t="shared" si="23"/>
        <v>0.104859373924781</v>
      </c>
      <c r="M77" s="236">
        <f t="shared" si="23"/>
        <v>0.106637698446209</v>
      </c>
      <c r="N77" s="236">
        <f t="shared" si="23"/>
        <v>0.10706040715855</v>
      </c>
      <c r="O77" s="236">
        <f t="shared" si="23"/>
        <v>0.107549642200797</v>
      </c>
      <c r="P77" s="236">
        <f t="shared" si="23"/>
        <v>0.106387658497073</v>
      </c>
      <c r="Q77" s="236">
        <f t="shared" si="23"/>
        <v>0.106270504897478</v>
      </c>
    </row>
    <row r="79" ht="15" spans="2:17">
      <c r="B79" s="39" t="s">
        <v>3</v>
      </c>
      <c r="C79" s="6" t="s">
        <v>110</v>
      </c>
      <c r="D79" s="5" t="s">
        <v>297</v>
      </c>
      <c r="E79" s="811" t="s">
        <v>343</v>
      </c>
      <c r="F79" s="811"/>
      <c r="G79" s="811"/>
      <c r="H79" s="811"/>
      <c r="I79" s="811"/>
      <c r="J79" s="811"/>
      <c r="K79" s="811"/>
      <c r="L79" s="811"/>
      <c r="M79" s="811"/>
      <c r="N79" s="811"/>
      <c r="O79" s="811"/>
      <c r="P79" s="811"/>
      <c r="Q79" s="811"/>
    </row>
    <row r="80" ht="15" spans="2:17">
      <c r="B80" s="39"/>
      <c r="C80" s="6"/>
      <c r="D80" s="5"/>
      <c r="E80" s="135" t="s">
        <v>246</v>
      </c>
      <c r="F80" s="135" t="s">
        <v>247</v>
      </c>
      <c r="G80" s="135" t="s">
        <v>248</v>
      </c>
      <c r="H80" s="135" t="s">
        <v>249</v>
      </c>
      <c r="I80" s="135" t="s">
        <v>250</v>
      </c>
      <c r="J80" s="135" t="s">
        <v>251</v>
      </c>
      <c r="K80" s="135" t="s">
        <v>252</v>
      </c>
      <c r="L80" s="135" t="s">
        <v>253</v>
      </c>
      <c r="M80" s="135" t="s">
        <v>254</v>
      </c>
      <c r="N80" s="135" t="s">
        <v>255</v>
      </c>
      <c r="O80" s="135" t="s">
        <v>256</v>
      </c>
      <c r="P80" s="135" t="s">
        <v>257</v>
      </c>
      <c r="Q80" s="135" t="s">
        <v>97</v>
      </c>
    </row>
    <row r="81" ht="15" spans="2:17">
      <c r="B81" s="7">
        <v>1</v>
      </c>
      <c r="C81" s="32" t="s">
        <v>303</v>
      </c>
      <c r="D81" s="7" t="s">
        <v>304</v>
      </c>
      <c r="E81" s="8">
        <f>[42]Rqmnt!L48+[42]Rqmnt!L49</f>
        <v>851.728909274452</v>
      </c>
      <c r="F81" s="8">
        <f>[42]Rqmnt!M48+[42]Rqmnt!M49</f>
        <v>866.512265634791</v>
      </c>
      <c r="G81" s="8">
        <f>[42]Rqmnt!N48+[42]Rqmnt!N49</f>
        <v>769.811833116467</v>
      </c>
      <c r="H81" s="8">
        <f>[42]Rqmnt!O48+[42]Rqmnt!O49</f>
        <v>831.996611069648</v>
      </c>
      <c r="I81" s="8">
        <f>[42]Rqmnt!P48+[42]Rqmnt!P49</f>
        <v>869.177260478753</v>
      </c>
      <c r="J81" s="8">
        <f>[42]Rqmnt!Q48+[42]Rqmnt!Q49</f>
        <v>820.178131882152</v>
      </c>
      <c r="K81" s="8">
        <f>[42]Rqmnt!R48+[42]Rqmnt!R49</f>
        <v>827.744440542192</v>
      </c>
      <c r="L81" s="8">
        <f>[42]Rqmnt!S48+[42]Rqmnt!S49</f>
        <v>796.989164274452</v>
      </c>
      <c r="M81" s="8">
        <f>[42]Rqmnt!T48+[42]Rqmnt!T49</f>
        <v>812.489032149341</v>
      </c>
      <c r="N81" s="8">
        <f>[42]Rqmnt!U48+[42]Rqmnt!U49</f>
        <v>868.907867149341</v>
      </c>
      <c r="O81" s="8">
        <f>[42]Rqmnt!V48+[42]Rqmnt!V49</f>
        <v>799.507733524674</v>
      </c>
      <c r="P81" s="8">
        <f>[42]Rqmnt!W48+[42]Rqmnt!W49</f>
        <v>884.711067149341</v>
      </c>
      <c r="Q81" s="650">
        <f>SUM(E81:P81)</f>
        <v>9999.7543162456</v>
      </c>
    </row>
    <row r="82" spans="2:17">
      <c r="B82" s="7">
        <f>B81+1</f>
        <v>2</v>
      </c>
      <c r="C82" s="32" t="s">
        <v>305</v>
      </c>
      <c r="D82" s="7" t="s">
        <v>306</v>
      </c>
      <c r="E82" s="812">
        <f t="shared" ref="E82:Q82" si="24">E83/E81</f>
        <v>0.0393</v>
      </c>
      <c r="F82" s="812">
        <f t="shared" si="24"/>
        <v>0.0358</v>
      </c>
      <c r="G82" s="812">
        <f t="shared" si="24"/>
        <v>0.0329</v>
      </c>
      <c r="H82" s="812">
        <f t="shared" si="24"/>
        <v>0.0350999999999999</v>
      </c>
      <c r="I82" s="812">
        <f t="shared" si="24"/>
        <v>0.0337</v>
      </c>
      <c r="J82" s="812">
        <f t="shared" si="24"/>
        <v>0.035</v>
      </c>
      <c r="K82" s="812">
        <f t="shared" si="24"/>
        <v>0.0332</v>
      </c>
      <c r="L82" s="812">
        <f t="shared" si="24"/>
        <v>0.032775</v>
      </c>
      <c r="M82" s="812">
        <f t="shared" si="24"/>
        <v>0.0394</v>
      </c>
      <c r="N82" s="812">
        <f t="shared" si="24"/>
        <v>0.03885</v>
      </c>
      <c r="O82" s="812">
        <f t="shared" si="24"/>
        <v>0.03755</v>
      </c>
      <c r="P82" s="812">
        <f t="shared" si="24"/>
        <v>0.03555</v>
      </c>
      <c r="Q82" s="812">
        <f t="shared" si="24"/>
        <v>0.0357874843921366</v>
      </c>
    </row>
    <row r="83" ht="15" spans="2:17">
      <c r="B83" s="7">
        <f t="shared" ref="B83:B89" si="25">B82+1</f>
        <v>3</v>
      </c>
      <c r="C83" s="32" t="s">
        <v>305</v>
      </c>
      <c r="D83" s="7" t="s">
        <v>304</v>
      </c>
      <c r="E83" s="24">
        <f>[42]Rqmnt!L52</f>
        <v>33.472946134486</v>
      </c>
      <c r="F83" s="24">
        <f>[42]Rqmnt!M52</f>
        <v>31.0211391097255</v>
      </c>
      <c r="G83" s="24">
        <f>[42]Rqmnt!N52</f>
        <v>25.3268093095318</v>
      </c>
      <c r="H83" s="24">
        <f>[42]Rqmnt!O52</f>
        <v>29.2030810485446</v>
      </c>
      <c r="I83" s="24">
        <f>[42]Rqmnt!P52</f>
        <v>29.291273678134</v>
      </c>
      <c r="J83" s="24">
        <f>[42]Rqmnt!Q52</f>
        <v>28.7062346158753</v>
      </c>
      <c r="K83" s="24">
        <f>[42]Rqmnt!R52</f>
        <v>27.4811154260008</v>
      </c>
      <c r="L83" s="24">
        <f>[42]Rqmnt!S52</f>
        <v>26.1213198590952</v>
      </c>
      <c r="M83" s="24">
        <f>[42]Rqmnt!T52</f>
        <v>32.012067866684</v>
      </c>
      <c r="N83" s="24">
        <f>[42]Rqmnt!U52</f>
        <v>33.7570706387519</v>
      </c>
      <c r="O83" s="24">
        <f>[42]Rqmnt!V52</f>
        <v>30.0215153938515</v>
      </c>
      <c r="P83" s="24">
        <f>[42]Rqmnt!W52</f>
        <v>31.4514784371591</v>
      </c>
      <c r="Q83" s="650">
        <f>SUM(E83:P83)</f>
        <v>357.86605151784</v>
      </c>
    </row>
    <row r="84" ht="28.5" spans="2:17">
      <c r="B84" s="7">
        <f t="shared" si="25"/>
        <v>4</v>
      </c>
      <c r="C84" s="805" t="s">
        <v>307</v>
      </c>
      <c r="D84" s="7" t="s">
        <v>304</v>
      </c>
      <c r="E84" s="24">
        <f t="shared" ref="E84:P84" si="26">E81-E83</f>
        <v>818.255963139966</v>
      </c>
      <c r="F84" s="24">
        <f t="shared" si="26"/>
        <v>835.491126525066</v>
      </c>
      <c r="G84" s="24">
        <f t="shared" si="26"/>
        <v>744.485023806935</v>
      </c>
      <c r="H84" s="24">
        <f t="shared" si="26"/>
        <v>802.793530021103</v>
      </c>
      <c r="I84" s="24">
        <f t="shared" si="26"/>
        <v>839.885986800619</v>
      </c>
      <c r="J84" s="24">
        <f t="shared" si="26"/>
        <v>791.471897266277</v>
      </c>
      <c r="K84" s="24">
        <f t="shared" si="26"/>
        <v>800.263325116191</v>
      </c>
      <c r="L84" s="24">
        <f t="shared" si="26"/>
        <v>770.867844415357</v>
      </c>
      <c r="M84" s="24">
        <f t="shared" si="26"/>
        <v>780.476964282657</v>
      </c>
      <c r="N84" s="24">
        <f t="shared" si="26"/>
        <v>835.150796510589</v>
      </c>
      <c r="O84" s="24">
        <f t="shared" si="26"/>
        <v>769.486218130823</v>
      </c>
      <c r="P84" s="24">
        <f t="shared" si="26"/>
        <v>853.259588712182</v>
      </c>
      <c r="Q84" s="650">
        <f>SUM(E84:P84)</f>
        <v>9641.88826472776</v>
      </c>
    </row>
    <row r="85" ht="28.5" spans="2:17">
      <c r="B85" s="7">
        <f t="shared" si="25"/>
        <v>5</v>
      </c>
      <c r="C85" s="813" t="s">
        <v>308</v>
      </c>
      <c r="D85" s="7" t="s">
        <v>304</v>
      </c>
      <c r="E85" s="814">
        <f>[42]Rqmnt!L46-E84</f>
        <v>4591.99212286342</v>
      </c>
      <c r="F85" s="814">
        <f>[42]Rqmnt!M46-F84</f>
        <v>4175.43780419553</v>
      </c>
      <c r="G85" s="814">
        <f>[42]Rqmnt!N46-G84</f>
        <v>3999.48143867834</v>
      </c>
      <c r="H85" s="814">
        <f>[42]Rqmnt!O46-H84</f>
        <v>3802.11856119934</v>
      </c>
      <c r="I85" s="814">
        <f>[42]Rqmnt!P46-I84</f>
        <v>4410.31079579672</v>
      </c>
      <c r="J85" s="814">
        <f>[42]Rqmnt!Q46-J84</f>
        <v>4411.4344688843</v>
      </c>
      <c r="K85" s="814">
        <f>[42]Rqmnt!R46-K84</f>
        <v>4044.78486982848</v>
      </c>
      <c r="L85" s="814">
        <f>[42]Rqmnt!S46-L84</f>
        <v>3807.62074334372</v>
      </c>
      <c r="M85" s="814">
        <f>[42]Rqmnt!T46-M84</f>
        <v>4080.39004385223</v>
      </c>
      <c r="N85" s="814">
        <f>[42]Rqmnt!U46-N84</f>
        <v>4561.58603803194</v>
      </c>
      <c r="O85" s="814">
        <f>[42]Rqmnt!V46-O84</f>
        <v>4637.33172713617</v>
      </c>
      <c r="P85" s="814">
        <f>[42]Rqmnt!W46-P84</f>
        <v>5513.5953806186</v>
      </c>
      <c r="Q85" s="817">
        <f>SUM(E85:P85)</f>
        <v>52036.0839944288</v>
      </c>
    </row>
    <row r="86" ht="15" spans="2:17">
      <c r="B86" s="7">
        <f t="shared" si="25"/>
        <v>6</v>
      </c>
      <c r="C86" s="32" t="s">
        <v>309</v>
      </c>
      <c r="D86" s="7" t="s">
        <v>304</v>
      </c>
      <c r="E86" s="24">
        <f>[42]Rqmnt!L37</f>
        <v>607.609933041974</v>
      </c>
      <c r="F86" s="24">
        <f>[42]Rqmnt!M37</f>
        <v>583.152950432383</v>
      </c>
      <c r="G86" s="24">
        <f>[42]Rqmnt!N37</f>
        <v>605.770899895486</v>
      </c>
      <c r="H86" s="24">
        <f>[42]Rqmnt!O37</f>
        <v>613.927347624491</v>
      </c>
      <c r="I86" s="24">
        <f>[42]Rqmnt!P37</f>
        <v>772.406121818497</v>
      </c>
      <c r="J86" s="24">
        <f>[42]Rqmnt!Q37</f>
        <v>826.817606407136</v>
      </c>
      <c r="K86" s="24">
        <f>[42]Rqmnt!R37</f>
        <v>840.896460635292</v>
      </c>
      <c r="L86" s="24">
        <f>[42]Rqmnt!S37</f>
        <v>812.593661898453</v>
      </c>
      <c r="M86" s="24">
        <f>[42]Rqmnt!T37</f>
        <v>689.605056646936</v>
      </c>
      <c r="N86" s="24">
        <f>[42]Rqmnt!U37</f>
        <v>666.932934066462</v>
      </c>
      <c r="O86" s="24">
        <f>[42]Rqmnt!V37</f>
        <v>633.495071816136</v>
      </c>
      <c r="P86" s="24">
        <f>[42]Rqmnt!W37</f>
        <v>674.615518751046</v>
      </c>
      <c r="Q86" s="650">
        <f>SUM(E86:P86)</f>
        <v>8327.82356303429</v>
      </c>
    </row>
    <row r="87" spans="2:17">
      <c r="B87" s="7">
        <f t="shared" si="25"/>
        <v>7</v>
      </c>
      <c r="C87" s="32" t="s">
        <v>310</v>
      </c>
      <c r="D87" s="7" t="s">
        <v>306</v>
      </c>
      <c r="E87" s="812">
        <f t="shared" ref="E87:P87" si="27">E88/(E85+E81)</f>
        <v>0.0246475070527614</v>
      </c>
      <c r="F87" s="812">
        <f t="shared" si="27"/>
        <v>0.0246474153374655</v>
      </c>
      <c r="G87" s="812">
        <f t="shared" si="27"/>
        <v>0.0246683023175382</v>
      </c>
      <c r="H87" s="812">
        <f t="shared" si="27"/>
        <v>0.024643716355101</v>
      </c>
      <c r="I87" s="812">
        <f t="shared" si="27"/>
        <v>0.0246624064342083</v>
      </c>
      <c r="J87" s="812">
        <f t="shared" si="27"/>
        <v>0.0246639206162991</v>
      </c>
      <c r="K87" s="812">
        <f t="shared" si="27"/>
        <v>0.0246601277449242</v>
      </c>
      <c r="L87" s="812">
        <f t="shared" si="27"/>
        <v>0.0246593130046839</v>
      </c>
      <c r="M87" s="812">
        <f t="shared" si="27"/>
        <v>0.0246377439395574</v>
      </c>
      <c r="N87" s="812">
        <f t="shared" si="27"/>
        <v>0.0246458380827862</v>
      </c>
      <c r="O87" s="812">
        <f t="shared" si="27"/>
        <v>0.0246630576482614</v>
      </c>
      <c r="P87" s="812">
        <f t="shared" si="27"/>
        <v>0.0246780932623954</v>
      </c>
      <c r="Q87" s="812">
        <f>Q88/(Q85+Q84)</f>
        <v>0.0248</v>
      </c>
    </row>
    <row r="88" ht="15" spans="2:17">
      <c r="B88" s="7">
        <f t="shared" si="25"/>
        <v>8</v>
      </c>
      <c r="C88" s="32" t="s">
        <v>310</v>
      </c>
      <c r="D88" s="7" t="s">
        <v>304</v>
      </c>
      <c r="E88" s="24">
        <f>[42]Rqmnt!L47</f>
        <v>134.174152532884</v>
      </c>
      <c r="F88" s="24">
        <f>[42]Rqmnt!M47</f>
        <v>124.271037481871</v>
      </c>
      <c r="G88" s="24">
        <f>[42]Rqmnt!N47</f>
        <v>117.650368269635</v>
      </c>
      <c r="H88" s="24">
        <f>[42]Rqmnt!O47</f>
        <v>114.201819862267</v>
      </c>
      <c r="I88" s="24">
        <f>[42]Rqmnt!P47</f>
        <v>130.204880208414</v>
      </c>
      <c r="J88" s="24">
        <f>[42]Rqmnt!Q47</f>
        <v>129.032077880534</v>
      </c>
      <c r="K88" s="24">
        <f>[42]Rqmnt!R47</f>
        <v>120.157195234628</v>
      </c>
      <c r="L88" s="24">
        <f>[42]Rqmnt!S47</f>
        <v>113.546516976425</v>
      </c>
      <c r="M88" s="24">
        <f>[42]Rqmnt!T47</f>
        <v>120.549501801745</v>
      </c>
      <c r="N88" s="24">
        <f>[42]Rqmnt!U47</f>
        <v>133.839073496655</v>
      </c>
      <c r="O88" s="24">
        <f>[42]Rqmnt!V47</f>
        <v>134.089085042621</v>
      </c>
      <c r="P88" s="24">
        <f>[42]Rqmnt!W47</f>
        <v>157.898003239403</v>
      </c>
      <c r="Q88" s="818">
        <f>SUM(E88:P88)</f>
        <v>1529.61371202708</v>
      </c>
    </row>
    <row r="89" ht="28.5" spans="2:17">
      <c r="B89" s="7">
        <f t="shared" si="25"/>
        <v>9</v>
      </c>
      <c r="C89" s="813" t="s">
        <v>311</v>
      </c>
      <c r="D89" s="7" t="s">
        <v>304</v>
      </c>
      <c r="E89" s="24">
        <f t="shared" ref="E89:P89" si="28">E84+E85-E86-E88</f>
        <v>4668.46400042853</v>
      </c>
      <c r="F89" s="24">
        <f t="shared" si="28"/>
        <v>4303.50494280635</v>
      </c>
      <c r="G89" s="24">
        <f t="shared" si="28"/>
        <v>4020.54519432015</v>
      </c>
      <c r="H89" s="24">
        <f t="shared" si="28"/>
        <v>3876.78292373368</v>
      </c>
      <c r="I89" s="24">
        <f t="shared" si="28"/>
        <v>4347.58578057043</v>
      </c>
      <c r="J89" s="24">
        <f t="shared" si="28"/>
        <v>4247.05668186291</v>
      </c>
      <c r="K89" s="24">
        <f t="shared" si="28"/>
        <v>3883.99453907475</v>
      </c>
      <c r="L89" s="24">
        <f t="shared" si="28"/>
        <v>3652.3484088842</v>
      </c>
      <c r="M89" s="24">
        <f t="shared" si="28"/>
        <v>4050.71244968621</v>
      </c>
      <c r="N89" s="24">
        <f t="shared" si="28"/>
        <v>4595.96482697941</v>
      </c>
      <c r="O89" s="24">
        <f t="shared" si="28"/>
        <v>4639.23378840823</v>
      </c>
      <c r="P89" s="24">
        <f t="shared" si="28"/>
        <v>5534.34144734033</v>
      </c>
      <c r="Q89" s="650">
        <f>SUM(E89:P89)</f>
        <v>51820.5349840952</v>
      </c>
    </row>
    <row r="90" ht="15" spans="2:17">
      <c r="B90" s="7"/>
      <c r="C90" s="18" t="s">
        <v>312</v>
      </c>
      <c r="D90" s="7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10"/>
    </row>
    <row r="91" ht="28.5" spans="2:17">
      <c r="B91" s="7">
        <f>B89+1</f>
        <v>10</v>
      </c>
      <c r="C91" s="805" t="s">
        <v>313</v>
      </c>
      <c r="D91" s="7" t="s">
        <v>304</v>
      </c>
      <c r="E91" s="24">
        <f>[42]Rqmnt!L7</f>
        <v>4668.46400042853</v>
      </c>
      <c r="F91" s="24">
        <f>[42]Rqmnt!M7</f>
        <v>4303.50494280635</v>
      </c>
      <c r="G91" s="24">
        <f>[42]Rqmnt!N7</f>
        <v>4020.54519432015</v>
      </c>
      <c r="H91" s="24">
        <f>[42]Rqmnt!O7</f>
        <v>3876.78292373368</v>
      </c>
      <c r="I91" s="24">
        <f>[42]Rqmnt!P7</f>
        <v>4347.58578057043</v>
      </c>
      <c r="J91" s="24">
        <f>[42]Rqmnt!Q7</f>
        <v>4247.05668186291</v>
      </c>
      <c r="K91" s="24">
        <f>[42]Rqmnt!R7</f>
        <v>3883.99453907475</v>
      </c>
      <c r="L91" s="24">
        <f>[42]Rqmnt!S7</f>
        <v>3652.3484088842</v>
      </c>
      <c r="M91" s="24">
        <f>[42]Rqmnt!T7</f>
        <v>4050.71244968621</v>
      </c>
      <c r="N91" s="24">
        <f>[42]Rqmnt!U7</f>
        <v>4595.96482697942</v>
      </c>
      <c r="O91" s="24">
        <f>[42]Rqmnt!V7</f>
        <v>4639.23378840823</v>
      </c>
      <c r="P91" s="24">
        <f>[42]Rqmnt!W7</f>
        <v>5534.34144734033</v>
      </c>
      <c r="Q91" s="818">
        <f>SUM(E91:P91)</f>
        <v>51820.5349840952</v>
      </c>
    </row>
    <row r="92" ht="15" spans="2:17">
      <c r="B92" s="7">
        <f t="shared" ref="B92:B95" si="29">B91+1</f>
        <v>11</v>
      </c>
      <c r="C92" s="32" t="s">
        <v>314</v>
      </c>
      <c r="D92" s="7" t="s">
        <v>304</v>
      </c>
      <c r="E92" s="24">
        <f>[42]Rqmnt!L9</f>
        <v>735.880009081892</v>
      </c>
      <c r="F92" s="24">
        <f>[42]Rqmnt!M9</f>
        <v>788.686883148107</v>
      </c>
      <c r="G92" s="24">
        <f>[42]Rqmnt!N9</f>
        <v>774.337847500418</v>
      </c>
      <c r="H92" s="24">
        <f>[42]Rqmnt!O9</f>
        <v>758.055023201292</v>
      </c>
      <c r="I92" s="24">
        <f>[42]Rqmnt!P9</f>
        <v>776.754400602116</v>
      </c>
      <c r="J92" s="24">
        <f>[42]Rqmnt!Q9</f>
        <v>749.384912631284</v>
      </c>
      <c r="K92" s="24">
        <f>[42]Rqmnt!R9</f>
        <v>760.10889328322</v>
      </c>
      <c r="L92" s="24">
        <f>[42]Rqmnt!S9</f>
        <v>760.321842220344</v>
      </c>
      <c r="M92" s="24">
        <f>[42]Rqmnt!T9</f>
        <v>760.703677748432</v>
      </c>
      <c r="N92" s="24">
        <f>[42]Rqmnt!U9</f>
        <v>761.541978753759</v>
      </c>
      <c r="O92" s="24">
        <f>[42]Rqmnt!V9</f>
        <v>750.085606142552</v>
      </c>
      <c r="P92" s="24">
        <f>[42]Rqmnt!W9</f>
        <v>848.572341010618</v>
      </c>
      <c r="Q92" s="818">
        <f>SUM(E92:P92)</f>
        <v>9224.43341532403</v>
      </c>
    </row>
    <row r="93" spans="2:17">
      <c r="B93" s="7">
        <f t="shared" si="29"/>
        <v>12</v>
      </c>
      <c r="C93" s="32" t="s">
        <v>315</v>
      </c>
      <c r="D93" s="7" t="s">
        <v>306</v>
      </c>
      <c r="E93" s="812">
        <f t="shared" ref="E93:Q93" si="30">E94/E91</f>
        <v>0.0318000000000002</v>
      </c>
      <c r="F93" s="812">
        <f t="shared" si="30"/>
        <v>0.0318</v>
      </c>
      <c r="G93" s="812">
        <f t="shared" si="30"/>
        <v>0.0318000000000001</v>
      </c>
      <c r="H93" s="812">
        <f t="shared" si="30"/>
        <v>0.0318</v>
      </c>
      <c r="I93" s="812">
        <f t="shared" si="30"/>
        <v>0.0318000000000001</v>
      </c>
      <c r="J93" s="812">
        <f t="shared" si="30"/>
        <v>0.0318000000000001</v>
      </c>
      <c r="K93" s="812">
        <f t="shared" si="30"/>
        <v>0.0318</v>
      </c>
      <c r="L93" s="812">
        <f t="shared" si="30"/>
        <v>0.0318000000000001</v>
      </c>
      <c r="M93" s="812">
        <f t="shared" si="30"/>
        <v>0.0318000000000001</v>
      </c>
      <c r="N93" s="812">
        <f t="shared" si="30"/>
        <v>0.0318000000000001</v>
      </c>
      <c r="O93" s="812">
        <f t="shared" si="30"/>
        <v>0.0318000000000001</v>
      </c>
      <c r="P93" s="812">
        <f t="shared" si="30"/>
        <v>0.0318000000000001</v>
      </c>
      <c r="Q93" s="812">
        <f t="shared" si="30"/>
        <v>0.0318000000000001</v>
      </c>
    </row>
    <row r="94" spans="2:17">
      <c r="B94" s="7">
        <f t="shared" si="29"/>
        <v>13</v>
      </c>
      <c r="C94" s="32" t="s">
        <v>315</v>
      </c>
      <c r="D94" s="7" t="s">
        <v>304</v>
      </c>
      <c r="E94" s="24">
        <f>[42]Rqmnt!L11</f>
        <v>148.457155213628</v>
      </c>
      <c r="F94" s="24">
        <f>[42]Rqmnt!M11</f>
        <v>136.851457181242</v>
      </c>
      <c r="G94" s="24">
        <f>[42]Rqmnt!N11</f>
        <v>127.853337179381</v>
      </c>
      <c r="H94" s="24">
        <f>[42]Rqmnt!O11</f>
        <v>123.281696974731</v>
      </c>
      <c r="I94" s="24">
        <f>[42]Rqmnt!P11</f>
        <v>138.25322782214</v>
      </c>
      <c r="J94" s="24">
        <f>[42]Rqmnt!Q11</f>
        <v>135.056402483241</v>
      </c>
      <c r="K94" s="24">
        <f>[42]Rqmnt!R11</f>
        <v>123.511026342577</v>
      </c>
      <c r="L94" s="24">
        <f>[42]Rqmnt!S11</f>
        <v>116.144679402518</v>
      </c>
      <c r="M94" s="24">
        <f>[42]Rqmnt!T11</f>
        <v>128.812655900022</v>
      </c>
      <c r="N94" s="24">
        <f>[42]Rqmnt!U11</f>
        <v>146.151681497946</v>
      </c>
      <c r="O94" s="24">
        <f>[42]Rqmnt!V11</f>
        <v>147.527634471382</v>
      </c>
      <c r="P94" s="24">
        <f>[42]Rqmnt!W11</f>
        <v>175.992058025423</v>
      </c>
      <c r="Q94" s="24">
        <f>SUM(E94:P94)</f>
        <v>1647.89301249423</v>
      </c>
    </row>
    <row r="95" ht="28.5" spans="2:17">
      <c r="B95" s="7">
        <f t="shared" si="29"/>
        <v>14</v>
      </c>
      <c r="C95" s="805" t="s">
        <v>337</v>
      </c>
      <c r="D95" s="7" t="s">
        <v>304</v>
      </c>
      <c r="E95" s="24">
        <f t="shared" ref="E95:P95" si="31">E91-E92-E94</f>
        <v>3784.12683613301</v>
      </c>
      <c r="F95" s="24">
        <f t="shared" si="31"/>
        <v>3377.966602477</v>
      </c>
      <c r="G95" s="24">
        <f t="shared" si="31"/>
        <v>3118.35400964035</v>
      </c>
      <c r="H95" s="24">
        <f t="shared" si="31"/>
        <v>2995.44620355766</v>
      </c>
      <c r="I95" s="24">
        <f t="shared" si="31"/>
        <v>3432.57815214617</v>
      </c>
      <c r="J95" s="24">
        <f t="shared" si="31"/>
        <v>3362.61536674839</v>
      </c>
      <c r="K95" s="24">
        <f t="shared" si="31"/>
        <v>3000.37461944895</v>
      </c>
      <c r="L95" s="24">
        <f t="shared" si="31"/>
        <v>2775.88188726134</v>
      </c>
      <c r="M95" s="24">
        <f t="shared" si="31"/>
        <v>3161.19611603776</v>
      </c>
      <c r="N95" s="24">
        <f t="shared" si="31"/>
        <v>3688.27116672771</v>
      </c>
      <c r="O95" s="24">
        <f t="shared" si="31"/>
        <v>3741.6205477943</v>
      </c>
      <c r="P95" s="24">
        <f t="shared" si="31"/>
        <v>4509.77704830429</v>
      </c>
      <c r="Q95" s="818">
        <f>SUM(E95:P95)</f>
        <v>40948.2085562769</v>
      </c>
    </row>
    <row r="96" ht="15" spans="2:17">
      <c r="B96" s="7"/>
      <c r="C96" s="18" t="s">
        <v>317</v>
      </c>
      <c r="D96" s="7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10"/>
    </row>
    <row r="97" ht="28.5" spans="2:17">
      <c r="B97" s="7">
        <f>B95+1</f>
        <v>15</v>
      </c>
      <c r="C97" s="805" t="s">
        <v>318</v>
      </c>
      <c r="D97" s="7" t="s">
        <v>304</v>
      </c>
      <c r="E97" s="24">
        <f>[42]Rqmnt!L19</f>
        <v>3784.12683613301</v>
      </c>
      <c r="F97" s="24">
        <f>[42]Rqmnt!M19</f>
        <v>3377.966602477</v>
      </c>
      <c r="G97" s="24">
        <f>[42]Rqmnt!N19</f>
        <v>3118.35400964035</v>
      </c>
      <c r="H97" s="24">
        <f>[42]Rqmnt!O19</f>
        <v>2995.44620355766</v>
      </c>
      <c r="I97" s="24">
        <f>[42]Rqmnt!P19</f>
        <v>3432.57815214617</v>
      </c>
      <c r="J97" s="24">
        <f>[42]Rqmnt!Q19</f>
        <v>3362.61536674839</v>
      </c>
      <c r="K97" s="24">
        <f>[42]Rqmnt!R19</f>
        <v>3000.37461944895</v>
      </c>
      <c r="L97" s="24">
        <f>[42]Rqmnt!S19</f>
        <v>2775.88188726133</v>
      </c>
      <c r="M97" s="24">
        <f>[42]Rqmnt!T19</f>
        <v>3161.19611603775</v>
      </c>
      <c r="N97" s="24">
        <f>[42]Rqmnt!U19</f>
        <v>3688.27116672771</v>
      </c>
      <c r="O97" s="24">
        <f>[42]Rqmnt!V19</f>
        <v>3741.6205477943</v>
      </c>
      <c r="P97" s="24">
        <f>[42]Rqmnt!W19</f>
        <v>4509.77704830429</v>
      </c>
      <c r="Q97" s="818">
        <f>SUM(E97:P97)</f>
        <v>40948.2085562769</v>
      </c>
    </row>
    <row r="98" ht="15" spans="2:17">
      <c r="B98" s="7">
        <f t="shared" ref="B98:B102" si="32">B97+1</f>
        <v>16</v>
      </c>
      <c r="C98" s="805" t="s">
        <v>319</v>
      </c>
      <c r="D98" s="7" t="s">
        <v>304</v>
      </c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818">
        <f>SUM(E98:P98)</f>
        <v>0</v>
      </c>
    </row>
    <row r="99" ht="15" spans="2:17">
      <c r="B99" s="7">
        <f t="shared" si="32"/>
        <v>17</v>
      </c>
      <c r="C99" s="32" t="s">
        <v>320</v>
      </c>
      <c r="D99" s="7" t="s">
        <v>304</v>
      </c>
      <c r="E99" s="24">
        <f>[42]Rqmnt!L20</f>
        <v>663.216255130405</v>
      </c>
      <c r="F99" s="24">
        <f>[42]Rqmnt!M20</f>
        <v>700.903200756976</v>
      </c>
      <c r="G99" s="24">
        <f>[42]Rqmnt!N20</f>
        <v>690.111098312545</v>
      </c>
      <c r="H99" s="24">
        <f>[42]Rqmnt!O20</f>
        <v>635.053682021841</v>
      </c>
      <c r="I99" s="24">
        <f>[42]Rqmnt!P20</f>
        <v>670.92942053322</v>
      </c>
      <c r="J99" s="24">
        <f>[42]Rqmnt!Q20</f>
        <v>630.099943304359</v>
      </c>
      <c r="K99" s="24">
        <f>[42]Rqmnt!R20</f>
        <v>650.541441830685</v>
      </c>
      <c r="L99" s="24">
        <f>[42]Rqmnt!S20</f>
        <v>636.469728763249</v>
      </c>
      <c r="M99" s="24">
        <f>[42]Rqmnt!T20</f>
        <v>641.817789251859</v>
      </c>
      <c r="N99" s="24">
        <f>[42]Rqmnt!U20</f>
        <v>631.282346101699</v>
      </c>
      <c r="O99" s="24">
        <f>[42]Rqmnt!V20</f>
        <v>644.185658621051</v>
      </c>
      <c r="P99" s="24">
        <f>[42]Rqmnt!W20</f>
        <v>709.60369528669</v>
      </c>
      <c r="Q99" s="818">
        <f>SUM(E99:P99)</f>
        <v>7904.21425991458</v>
      </c>
    </row>
    <row r="100" spans="2:17">
      <c r="B100" s="7">
        <f t="shared" si="32"/>
        <v>18</v>
      </c>
      <c r="C100" s="32" t="s">
        <v>321</v>
      </c>
      <c r="D100" s="7" t="s">
        <v>306</v>
      </c>
      <c r="E100" s="812">
        <f t="shared" ref="E100:Q100" si="33">E101/E97</f>
        <v>0.0406999999999999</v>
      </c>
      <c r="F100" s="812">
        <f t="shared" si="33"/>
        <v>0.0407</v>
      </c>
      <c r="G100" s="812">
        <f t="shared" si="33"/>
        <v>0.0406999999999999</v>
      </c>
      <c r="H100" s="812">
        <f t="shared" si="33"/>
        <v>0.0407000000000001</v>
      </c>
      <c r="I100" s="812">
        <f t="shared" si="33"/>
        <v>0.0407</v>
      </c>
      <c r="J100" s="812">
        <f t="shared" si="33"/>
        <v>0.0406999999999999</v>
      </c>
      <c r="K100" s="812">
        <f t="shared" si="33"/>
        <v>0.0406999999999999</v>
      </c>
      <c r="L100" s="812">
        <f t="shared" si="33"/>
        <v>0.0407</v>
      </c>
      <c r="M100" s="812">
        <f t="shared" si="33"/>
        <v>0.0406999999999999</v>
      </c>
      <c r="N100" s="812">
        <f t="shared" si="33"/>
        <v>0.0407000000000001</v>
      </c>
      <c r="O100" s="812">
        <f t="shared" si="33"/>
        <v>0.0407</v>
      </c>
      <c r="P100" s="812">
        <f t="shared" si="33"/>
        <v>0.0406999999999999</v>
      </c>
      <c r="Q100" s="812">
        <f t="shared" si="33"/>
        <v>0.0407</v>
      </c>
    </row>
    <row r="101" ht="15" spans="2:17">
      <c r="B101" s="7">
        <f t="shared" si="32"/>
        <v>19</v>
      </c>
      <c r="C101" s="32" t="s">
        <v>321</v>
      </c>
      <c r="D101" s="7" t="s">
        <v>304</v>
      </c>
      <c r="E101" s="24">
        <f>[42]Rqmnt!L22</f>
        <v>154.013962230613</v>
      </c>
      <c r="F101" s="24">
        <f>[42]Rqmnt!M22</f>
        <v>137.483240720814</v>
      </c>
      <c r="G101" s="24">
        <f>[42]Rqmnt!N22</f>
        <v>126.917008192362</v>
      </c>
      <c r="H101" s="24">
        <f>[42]Rqmnt!O22</f>
        <v>121.914660484797</v>
      </c>
      <c r="I101" s="24">
        <f>[42]Rqmnt!P22</f>
        <v>139.705930792349</v>
      </c>
      <c r="J101" s="24">
        <f>[42]Rqmnt!Q22</f>
        <v>136.858445426659</v>
      </c>
      <c r="K101" s="24">
        <f>[42]Rqmnt!R22</f>
        <v>122.115247011572</v>
      </c>
      <c r="L101" s="24">
        <f>[42]Rqmnt!S22</f>
        <v>112.978392811536</v>
      </c>
      <c r="M101" s="24">
        <f>[42]Rqmnt!T22</f>
        <v>128.660681922736</v>
      </c>
      <c r="N101" s="24">
        <f>[42]Rqmnt!U22</f>
        <v>150.112636485818</v>
      </c>
      <c r="O101" s="24">
        <f>[42]Rqmnt!V22</f>
        <v>152.283956295228</v>
      </c>
      <c r="P101" s="24">
        <f>[42]Rqmnt!W22</f>
        <v>183.547925865984</v>
      </c>
      <c r="Q101" s="818">
        <f>SUM(E101:P101)</f>
        <v>1666.59208824047</v>
      </c>
    </row>
    <row r="102" ht="28.5" spans="2:17">
      <c r="B102" s="7">
        <f t="shared" si="32"/>
        <v>20</v>
      </c>
      <c r="C102" s="805" t="s">
        <v>338</v>
      </c>
      <c r="D102" s="7" t="s">
        <v>304</v>
      </c>
      <c r="E102" s="24">
        <f t="shared" ref="E102:P102" si="34">E97+E98-E99-E101</f>
        <v>2966.89661877199</v>
      </c>
      <c r="F102" s="24">
        <f t="shared" si="34"/>
        <v>2539.58016099921</v>
      </c>
      <c r="G102" s="24">
        <f t="shared" si="34"/>
        <v>2301.32590313544</v>
      </c>
      <c r="H102" s="24">
        <f t="shared" si="34"/>
        <v>2238.47786105102</v>
      </c>
      <c r="I102" s="24">
        <f t="shared" si="34"/>
        <v>2621.9428008206</v>
      </c>
      <c r="J102" s="24">
        <f t="shared" si="34"/>
        <v>2595.65697801737</v>
      </c>
      <c r="K102" s="24">
        <f t="shared" si="34"/>
        <v>2227.71793060669</v>
      </c>
      <c r="L102" s="24">
        <f t="shared" si="34"/>
        <v>2026.43376568655</v>
      </c>
      <c r="M102" s="24">
        <f t="shared" si="34"/>
        <v>2390.71764486315</v>
      </c>
      <c r="N102" s="24">
        <f t="shared" si="34"/>
        <v>2906.87618414019</v>
      </c>
      <c r="O102" s="24">
        <f t="shared" si="34"/>
        <v>2945.15093287802</v>
      </c>
      <c r="P102" s="24">
        <f t="shared" si="34"/>
        <v>3616.62542715162</v>
      </c>
      <c r="Q102" s="818">
        <f>SUM(E102:P102)</f>
        <v>31377.4022081219</v>
      </c>
    </row>
    <row r="103" ht="15" spans="2:17">
      <c r="B103" s="7"/>
      <c r="C103" s="18" t="s">
        <v>323</v>
      </c>
      <c r="D103" s="7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10"/>
    </row>
    <row r="104" ht="28.5" spans="2:17">
      <c r="B104" s="7"/>
      <c r="C104" s="805" t="s">
        <v>324</v>
      </c>
      <c r="D104" s="7" t="s">
        <v>304</v>
      </c>
      <c r="E104" s="24">
        <f>[42]Rqmnt!L27</f>
        <v>2966.89661877199</v>
      </c>
      <c r="F104" s="24">
        <f>[42]Rqmnt!M27</f>
        <v>2539.58016099921</v>
      </c>
      <c r="G104" s="24">
        <f>[42]Rqmnt!N27</f>
        <v>2301.32590313545</v>
      </c>
      <c r="H104" s="24">
        <f>[42]Rqmnt!O27</f>
        <v>2238.47786105102</v>
      </c>
      <c r="I104" s="24">
        <f>[42]Rqmnt!P27</f>
        <v>2621.9428008206</v>
      </c>
      <c r="J104" s="24">
        <f>[42]Rqmnt!Q27</f>
        <v>2595.65697801737</v>
      </c>
      <c r="K104" s="24">
        <f>[42]Rqmnt!R27</f>
        <v>2227.7179306067</v>
      </c>
      <c r="L104" s="24">
        <f>[42]Rqmnt!S27</f>
        <v>2026.43376568655</v>
      </c>
      <c r="M104" s="24">
        <f>[42]Rqmnt!T27</f>
        <v>2390.71764486316</v>
      </c>
      <c r="N104" s="24">
        <f>[42]Rqmnt!U27</f>
        <v>2906.87618414019</v>
      </c>
      <c r="O104" s="24">
        <f>[42]Rqmnt!V27</f>
        <v>2945.15093287802</v>
      </c>
      <c r="P104" s="24">
        <f>[42]Rqmnt!W27</f>
        <v>3616.62542715161</v>
      </c>
      <c r="Q104" s="810">
        <f>SUM(E104:P104)</f>
        <v>31377.4022081219</v>
      </c>
    </row>
    <row r="105" ht="15" spans="2:17">
      <c r="B105" s="7">
        <f>B102+1</f>
        <v>21</v>
      </c>
      <c r="C105" s="805" t="s">
        <v>319</v>
      </c>
      <c r="D105" s="7" t="s">
        <v>304</v>
      </c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650">
        <f>SUM(E105:P105)</f>
        <v>0</v>
      </c>
    </row>
    <row r="106" ht="15" spans="2:17">
      <c r="B106" s="7">
        <f t="shared" ref="B106:B108" si="35">B105+1</f>
        <v>22</v>
      </c>
      <c r="C106" s="32" t="s">
        <v>325</v>
      </c>
      <c r="D106" s="7" t="s">
        <v>304</v>
      </c>
      <c r="E106" s="24">
        <f>[42]Rqmnt!L28+[42]Rqmnt!L29</f>
        <v>2827.4524776897</v>
      </c>
      <c r="F106" s="24">
        <f>[42]Rqmnt!M28+[42]Rqmnt!M29</f>
        <v>2420.21989343225</v>
      </c>
      <c r="G106" s="24">
        <f>[42]Rqmnt!N28+[42]Rqmnt!N29</f>
        <v>2193.16358568808</v>
      </c>
      <c r="H106" s="24">
        <f>[42]Rqmnt!O28+[42]Rqmnt!O29</f>
        <v>2133.26940158162</v>
      </c>
      <c r="I106" s="24">
        <f>[42]Rqmnt!P28+[42]Rqmnt!P29</f>
        <v>2498.71148918203</v>
      </c>
      <c r="J106" s="24">
        <f>[42]Rqmnt!Q28+[42]Rqmnt!Q29</f>
        <v>2473.66110005055</v>
      </c>
      <c r="K106" s="24">
        <f>[42]Rqmnt!R28+[42]Rqmnt!R29</f>
        <v>2123.01518786818</v>
      </c>
      <c r="L106" s="24">
        <f>[42]Rqmnt!S28+[42]Rqmnt!S29</f>
        <v>1931.19137869929</v>
      </c>
      <c r="M106" s="24">
        <f>[42]Rqmnt!T28+[42]Rqmnt!T29</f>
        <v>2278.35391555458</v>
      </c>
      <c r="N106" s="24">
        <f>[42]Rqmnt!U28+[42]Rqmnt!U29</f>
        <v>2770.25300348561</v>
      </c>
      <c r="O106" s="24">
        <f>[42]Rqmnt!V28+[42]Rqmnt!V29</f>
        <v>2806.72883903275</v>
      </c>
      <c r="P106" s="24">
        <f>[42]Rqmnt!W28+[42]Rqmnt!W29</f>
        <v>3446.64403207549</v>
      </c>
      <c r="Q106" s="818">
        <f>SUM(E106:P106)</f>
        <v>29902.6643043401</v>
      </c>
    </row>
    <row r="107" spans="2:17">
      <c r="B107" s="7">
        <f t="shared" si="35"/>
        <v>23</v>
      </c>
      <c r="C107" s="32" t="s">
        <v>326</v>
      </c>
      <c r="D107" s="7" t="s">
        <v>306</v>
      </c>
      <c r="E107" s="812">
        <f t="shared" ref="E107:Q107" si="36">E108/E104</f>
        <v>0.0470000000000002</v>
      </c>
      <c r="F107" s="812">
        <f t="shared" si="36"/>
        <v>0.0470000000000001</v>
      </c>
      <c r="G107" s="812">
        <f t="shared" si="36"/>
        <v>0.0469999999999999</v>
      </c>
      <c r="H107" s="812">
        <f t="shared" si="36"/>
        <v>0.047</v>
      </c>
      <c r="I107" s="812">
        <f t="shared" si="36"/>
        <v>0.0470000000000003</v>
      </c>
      <c r="J107" s="812">
        <f t="shared" si="36"/>
        <v>0.0469999999999998</v>
      </c>
      <c r="K107" s="812">
        <f t="shared" si="36"/>
        <v>0.047</v>
      </c>
      <c r="L107" s="812">
        <f t="shared" si="36"/>
        <v>0.0470000000000001</v>
      </c>
      <c r="M107" s="812">
        <f t="shared" si="36"/>
        <v>0.0470000000000002</v>
      </c>
      <c r="N107" s="812">
        <f t="shared" si="36"/>
        <v>0.047</v>
      </c>
      <c r="O107" s="812">
        <f t="shared" si="36"/>
        <v>0.047</v>
      </c>
      <c r="P107" s="812">
        <f t="shared" si="36"/>
        <v>0.0470000000000001</v>
      </c>
      <c r="Q107" s="812">
        <f t="shared" si="36"/>
        <v>0.0470000000000001</v>
      </c>
    </row>
    <row r="108" ht="15" spans="2:17">
      <c r="B108" s="7">
        <f t="shared" si="35"/>
        <v>24</v>
      </c>
      <c r="C108" s="32" t="s">
        <v>326</v>
      </c>
      <c r="D108" s="7" t="s">
        <v>304</v>
      </c>
      <c r="E108" s="24">
        <f>[42]Rqmnt!L30</f>
        <v>139.444141082284</v>
      </c>
      <c r="F108" s="24">
        <f>[42]Rqmnt!M30</f>
        <v>119.360267566963</v>
      </c>
      <c r="G108" s="24">
        <f>[42]Rqmnt!N30</f>
        <v>108.162317447366</v>
      </c>
      <c r="H108" s="24">
        <f>[42]Rqmnt!O30</f>
        <v>105.208459469398</v>
      </c>
      <c r="I108" s="24">
        <f>[42]Rqmnt!P30</f>
        <v>123.231311638569</v>
      </c>
      <c r="J108" s="24">
        <f>[42]Rqmnt!Q30</f>
        <v>121.995877966816</v>
      </c>
      <c r="K108" s="24">
        <f>[42]Rqmnt!R30</f>
        <v>104.702742738515</v>
      </c>
      <c r="L108" s="24">
        <f>[42]Rqmnt!S30</f>
        <v>95.242386987268</v>
      </c>
      <c r="M108" s="24">
        <f>[42]Rqmnt!T30</f>
        <v>112.363729308569</v>
      </c>
      <c r="N108" s="24">
        <f>[42]Rqmnt!U30</f>
        <v>136.623180654589</v>
      </c>
      <c r="O108" s="24">
        <f>[42]Rqmnt!V30</f>
        <v>138.422093845267</v>
      </c>
      <c r="P108" s="24">
        <f>[42]Rqmnt!W30</f>
        <v>169.981395076126</v>
      </c>
      <c r="Q108" s="818">
        <f t="shared" ref="Q108:Q113" si="37">SUM(E108:P108)</f>
        <v>1474.73790378173</v>
      </c>
    </row>
    <row r="109" ht="15" spans="2:17">
      <c r="B109" s="7"/>
      <c r="C109" s="18" t="s">
        <v>97</v>
      </c>
      <c r="D109" s="7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650">
        <f t="shared" si="37"/>
        <v>0</v>
      </c>
    </row>
    <row r="110" ht="15" spans="2:17">
      <c r="B110" s="7">
        <f>B108+1</f>
        <v>25</v>
      </c>
      <c r="C110" s="815" t="s">
        <v>327</v>
      </c>
      <c r="D110" s="39" t="s">
        <v>304</v>
      </c>
      <c r="E110" s="24">
        <f t="shared" ref="E110:P110" si="38">E81+E85+E105</f>
        <v>5443.72103213788</v>
      </c>
      <c r="F110" s="24">
        <f t="shared" si="38"/>
        <v>5041.95006983033</v>
      </c>
      <c r="G110" s="24">
        <f t="shared" si="38"/>
        <v>4769.2932717948</v>
      </c>
      <c r="H110" s="24">
        <f t="shared" si="38"/>
        <v>4634.11517226898</v>
      </c>
      <c r="I110" s="24">
        <f t="shared" si="38"/>
        <v>5279.48805627547</v>
      </c>
      <c r="J110" s="24">
        <f t="shared" si="38"/>
        <v>5231.61260076646</v>
      </c>
      <c r="K110" s="24">
        <f t="shared" si="38"/>
        <v>4872.52931037067</v>
      </c>
      <c r="L110" s="24">
        <f t="shared" si="38"/>
        <v>4604.60990761818</v>
      </c>
      <c r="M110" s="24">
        <f t="shared" si="38"/>
        <v>4892.87907600157</v>
      </c>
      <c r="N110" s="24">
        <f t="shared" si="38"/>
        <v>5430.49390518128</v>
      </c>
      <c r="O110" s="24">
        <f t="shared" si="38"/>
        <v>5436.83946066084</v>
      </c>
      <c r="P110" s="24">
        <f t="shared" si="38"/>
        <v>6398.30644776794</v>
      </c>
      <c r="Q110" s="650">
        <f t="shared" si="37"/>
        <v>62035.8383106744</v>
      </c>
    </row>
    <row r="111" ht="15" spans="2:17">
      <c r="B111" s="7">
        <f>B110+1</f>
        <v>26</v>
      </c>
      <c r="C111" s="18" t="s">
        <v>328</v>
      </c>
      <c r="D111" s="39" t="s">
        <v>304</v>
      </c>
      <c r="E111" s="24">
        <f t="shared" ref="E111:P111" si="39">E86+E92+E99+E106</f>
        <v>4834.15867494397</v>
      </c>
      <c r="F111" s="24">
        <f t="shared" si="39"/>
        <v>4492.96292776971</v>
      </c>
      <c r="G111" s="24">
        <f t="shared" si="39"/>
        <v>4263.38343139653</v>
      </c>
      <c r="H111" s="24">
        <f t="shared" si="39"/>
        <v>4140.30545442925</v>
      </c>
      <c r="I111" s="24">
        <f t="shared" si="39"/>
        <v>4718.80143213587</v>
      </c>
      <c r="J111" s="24">
        <f t="shared" si="39"/>
        <v>4679.96356239333</v>
      </c>
      <c r="K111" s="24">
        <f t="shared" si="39"/>
        <v>4374.56198361737</v>
      </c>
      <c r="L111" s="24">
        <f t="shared" si="39"/>
        <v>4140.57661158133</v>
      </c>
      <c r="M111" s="24">
        <f t="shared" si="39"/>
        <v>4370.48043920181</v>
      </c>
      <c r="N111" s="24">
        <f t="shared" si="39"/>
        <v>4830.01026240753</v>
      </c>
      <c r="O111" s="24">
        <f t="shared" si="39"/>
        <v>4834.49517561249</v>
      </c>
      <c r="P111" s="24">
        <f t="shared" si="39"/>
        <v>5679.43558712384</v>
      </c>
      <c r="Q111" s="818">
        <f t="shared" si="37"/>
        <v>55359.135542613</v>
      </c>
    </row>
    <row r="112" ht="30" spans="2:17">
      <c r="B112" s="7">
        <f>B111+1</f>
        <v>27</v>
      </c>
      <c r="C112" s="808" t="s">
        <v>329</v>
      </c>
      <c r="D112" s="39"/>
      <c r="E112" s="24">
        <f t="shared" ref="E112:P112" si="40">E89+E86</f>
        <v>5276.07393347051</v>
      </c>
      <c r="F112" s="24">
        <f t="shared" si="40"/>
        <v>4886.65789323873</v>
      </c>
      <c r="G112" s="24">
        <f t="shared" si="40"/>
        <v>4626.31609421564</v>
      </c>
      <c r="H112" s="24">
        <f t="shared" si="40"/>
        <v>4490.71027135817</v>
      </c>
      <c r="I112" s="24">
        <f t="shared" si="40"/>
        <v>5119.99190238893</v>
      </c>
      <c r="J112" s="24">
        <f t="shared" si="40"/>
        <v>5073.87428827005</v>
      </c>
      <c r="K112" s="24">
        <f t="shared" si="40"/>
        <v>4724.89099971004</v>
      </c>
      <c r="L112" s="24">
        <f t="shared" si="40"/>
        <v>4464.94207078265</v>
      </c>
      <c r="M112" s="24">
        <f t="shared" si="40"/>
        <v>4740.31750633315</v>
      </c>
      <c r="N112" s="24">
        <f t="shared" si="40"/>
        <v>5262.89776104588</v>
      </c>
      <c r="O112" s="24">
        <f t="shared" si="40"/>
        <v>5272.72886022437</v>
      </c>
      <c r="P112" s="24">
        <f t="shared" si="40"/>
        <v>6208.95696609138</v>
      </c>
      <c r="Q112" s="818">
        <f t="shared" si="37"/>
        <v>60148.3585471295</v>
      </c>
    </row>
    <row r="113" ht="15" spans="2:17">
      <c r="B113" s="7">
        <f>B112+1</f>
        <v>28</v>
      </c>
      <c r="C113" s="808" t="s">
        <v>330</v>
      </c>
      <c r="D113" s="39" t="s">
        <v>304</v>
      </c>
      <c r="E113" s="24">
        <f t="shared" ref="E113:P113" si="41">E112-E111</f>
        <v>441.915258526535</v>
      </c>
      <c r="F113" s="24">
        <f t="shared" si="41"/>
        <v>393.694965469016</v>
      </c>
      <c r="G113" s="24">
        <f t="shared" si="41"/>
        <v>362.932662819107</v>
      </c>
      <c r="H113" s="24">
        <f t="shared" si="41"/>
        <v>350.404816928926</v>
      </c>
      <c r="I113" s="24">
        <f t="shared" si="41"/>
        <v>401.190470253058</v>
      </c>
      <c r="J113" s="24">
        <f t="shared" si="41"/>
        <v>393.910725876716</v>
      </c>
      <c r="K113" s="24">
        <f t="shared" si="41"/>
        <v>350.329016092668</v>
      </c>
      <c r="L113" s="24">
        <f t="shared" si="41"/>
        <v>324.365459201324</v>
      </c>
      <c r="M113" s="24">
        <f t="shared" si="41"/>
        <v>369.837067131339</v>
      </c>
      <c r="N113" s="24">
        <f t="shared" si="41"/>
        <v>432.887498638345</v>
      </c>
      <c r="O113" s="24">
        <f t="shared" si="41"/>
        <v>438.233684611881</v>
      </c>
      <c r="P113" s="24">
        <f t="shared" si="41"/>
        <v>529.521378967533</v>
      </c>
      <c r="Q113" s="818">
        <f t="shared" si="37"/>
        <v>4789.22300451645</v>
      </c>
    </row>
    <row r="114" ht="15" spans="2:17">
      <c r="B114" s="7">
        <f t="shared" ref="B114" si="42">B113+1</f>
        <v>29</v>
      </c>
      <c r="C114" s="808" t="s">
        <v>331</v>
      </c>
      <c r="D114" s="39" t="s">
        <v>306</v>
      </c>
      <c r="E114" s="812">
        <f t="shared" ref="E114:Q114" si="43">E113/(E112-E86)</f>
        <v>0.0946596693229229</v>
      </c>
      <c r="F114" s="812">
        <f t="shared" si="43"/>
        <v>0.0914824011361039</v>
      </c>
      <c r="G114" s="812">
        <f t="shared" si="43"/>
        <v>0.0902695145254987</v>
      </c>
      <c r="H114" s="812">
        <f t="shared" si="43"/>
        <v>0.090385462333665</v>
      </c>
      <c r="I114" s="812">
        <f t="shared" si="43"/>
        <v>0.0922789084567343</v>
      </c>
      <c r="J114" s="812">
        <f t="shared" si="43"/>
        <v>0.0927491096501997</v>
      </c>
      <c r="K114" s="812">
        <f t="shared" si="43"/>
        <v>0.0901981227234485</v>
      </c>
      <c r="L114" s="812">
        <f t="shared" si="43"/>
        <v>0.0888101086994649</v>
      </c>
      <c r="M114" s="812">
        <f t="shared" si="43"/>
        <v>0.0913017331457305</v>
      </c>
      <c r="N114" s="812">
        <f t="shared" si="43"/>
        <v>0.0941886012915486</v>
      </c>
      <c r="O114" s="812">
        <f t="shared" si="43"/>
        <v>0.0944625135527483</v>
      </c>
      <c r="P114" s="812">
        <f t="shared" si="43"/>
        <v>0.0956792030282135</v>
      </c>
      <c r="Q114" s="812">
        <f t="shared" si="43"/>
        <v>0.0924194048939549</v>
      </c>
    </row>
    <row r="116" ht="15" hidden="1" spans="2:17">
      <c r="B116" s="39" t="s">
        <v>3</v>
      </c>
      <c r="C116" s="6" t="s">
        <v>110</v>
      </c>
      <c r="D116" s="5" t="s">
        <v>297</v>
      </c>
      <c r="E116" s="811" t="s">
        <v>340</v>
      </c>
      <c r="F116" s="811"/>
      <c r="G116" s="811"/>
      <c r="H116" s="811"/>
      <c r="I116" s="811"/>
      <c r="J116" s="811"/>
      <c r="K116" s="811"/>
      <c r="L116" s="811"/>
      <c r="M116" s="811"/>
      <c r="N116" s="811"/>
      <c r="O116" s="811"/>
      <c r="P116" s="811"/>
      <c r="Q116" s="811"/>
    </row>
    <row r="117" ht="15" hidden="1" spans="2:17">
      <c r="B117" s="39"/>
      <c r="C117" s="6"/>
      <c r="D117" s="5"/>
      <c r="E117" s="135" t="s">
        <v>246</v>
      </c>
      <c r="F117" s="135" t="s">
        <v>247</v>
      </c>
      <c r="G117" s="135" t="s">
        <v>248</v>
      </c>
      <c r="H117" s="135" t="s">
        <v>249</v>
      </c>
      <c r="I117" s="135" t="s">
        <v>250</v>
      </c>
      <c r="J117" s="135" t="s">
        <v>251</v>
      </c>
      <c r="K117" s="135" t="s">
        <v>252</v>
      </c>
      <c r="L117" s="135" t="s">
        <v>253</v>
      </c>
      <c r="M117" s="135" t="s">
        <v>254</v>
      </c>
      <c r="N117" s="135" t="s">
        <v>255</v>
      </c>
      <c r="O117" s="135" t="s">
        <v>256</v>
      </c>
      <c r="P117" s="135" t="s">
        <v>257</v>
      </c>
      <c r="Q117" s="135" t="s">
        <v>97</v>
      </c>
    </row>
    <row r="118" ht="15" hidden="1" spans="2:17">
      <c r="B118" s="7">
        <v>1</v>
      </c>
      <c r="C118" s="32" t="s">
        <v>303</v>
      </c>
      <c r="D118" s="7" t="s">
        <v>304</v>
      </c>
      <c r="E118" s="8">
        <f>[38]Rqmnt!L48+[38]Rqmnt!L49</f>
        <v>851.728909274452</v>
      </c>
      <c r="F118" s="8">
        <f>[38]Rqmnt!M48+[38]Rqmnt!M49</f>
        <v>866.512265634791</v>
      </c>
      <c r="G118" s="8">
        <f>[38]Rqmnt!N48+[38]Rqmnt!N49</f>
        <v>769.811833116467</v>
      </c>
      <c r="H118" s="8">
        <f>[38]Rqmnt!O48+[38]Rqmnt!O49</f>
        <v>831.996611069648</v>
      </c>
      <c r="I118" s="8">
        <f>[38]Rqmnt!P48+[38]Rqmnt!P49</f>
        <v>869.177260478753</v>
      </c>
      <c r="J118" s="8">
        <f>[38]Rqmnt!Q48+[38]Rqmnt!Q49</f>
        <v>820.178131882152</v>
      </c>
      <c r="K118" s="8">
        <f>[38]Rqmnt!R48+[38]Rqmnt!R49</f>
        <v>826.309777149341</v>
      </c>
      <c r="L118" s="8">
        <f>[38]Rqmnt!S48+[38]Rqmnt!S49</f>
        <v>796.989164274452</v>
      </c>
      <c r="M118" s="8">
        <f>[38]Rqmnt!T48+[38]Rqmnt!T49</f>
        <v>812.489032149341</v>
      </c>
      <c r="N118" s="8">
        <f>[38]Rqmnt!U48+[38]Rqmnt!U49</f>
        <v>868.907867149341</v>
      </c>
      <c r="O118" s="8">
        <f>[38]Rqmnt!V48+[38]Rqmnt!V49</f>
        <v>799.507733524674</v>
      </c>
      <c r="P118" s="8">
        <f>[38]Rqmnt!W48+[38]Rqmnt!W49</f>
        <v>884.711067149341</v>
      </c>
      <c r="Q118" s="650">
        <f>SUM(E118:P118)</f>
        <v>9998.31965285275</v>
      </c>
    </row>
    <row r="119" hidden="1" spans="2:17">
      <c r="B119" s="816">
        <f>B118+1</f>
        <v>2</v>
      </c>
      <c r="C119" s="32" t="s">
        <v>305</v>
      </c>
      <c r="D119" s="7" t="s">
        <v>306</v>
      </c>
      <c r="E119" s="812">
        <f t="shared" ref="E119:Q119" si="44">E120/E118</f>
        <v>0.0393</v>
      </c>
      <c r="F119" s="812">
        <f t="shared" si="44"/>
        <v>0.0358</v>
      </c>
      <c r="G119" s="812">
        <f t="shared" si="44"/>
        <v>0.0329</v>
      </c>
      <c r="H119" s="812">
        <f t="shared" si="44"/>
        <v>0.0350999999999999</v>
      </c>
      <c r="I119" s="812">
        <f t="shared" si="44"/>
        <v>0.0337</v>
      </c>
      <c r="J119" s="812">
        <f t="shared" si="44"/>
        <v>0.035</v>
      </c>
      <c r="K119" s="812">
        <f t="shared" si="44"/>
        <v>0.0332</v>
      </c>
      <c r="L119" s="812">
        <f t="shared" si="44"/>
        <v>0.032775</v>
      </c>
      <c r="M119" s="812">
        <f t="shared" si="44"/>
        <v>0.0394</v>
      </c>
      <c r="N119" s="812">
        <f t="shared" si="44"/>
        <v>0.03885</v>
      </c>
      <c r="O119" s="812">
        <f t="shared" si="44"/>
        <v>0.03755</v>
      </c>
      <c r="P119" s="812">
        <f t="shared" si="44"/>
        <v>0.03555</v>
      </c>
      <c r="Q119" s="812">
        <f t="shared" si="44"/>
        <v>0.0357878556714381</v>
      </c>
    </row>
    <row r="120" ht="15" hidden="1" spans="2:17">
      <c r="B120" s="7">
        <f t="shared" ref="B120:B126" si="45">B119+1</f>
        <v>3</v>
      </c>
      <c r="C120" s="32" t="s">
        <v>305</v>
      </c>
      <c r="D120" s="7" t="s">
        <v>304</v>
      </c>
      <c r="E120" s="24">
        <f>[38]Rqmnt!L52</f>
        <v>33.472946134486</v>
      </c>
      <c r="F120" s="24">
        <f>[38]Rqmnt!M52</f>
        <v>31.0211391097255</v>
      </c>
      <c r="G120" s="24">
        <f>[38]Rqmnt!N52</f>
        <v>25.3268093095318</v>
      </c>
      <c r="H120" s="24">
        <f>[38]Rqmnt!O52</f>
        <v>29.2030810485446</v>
      </c>
      <c r="I120" s="24">
        <f>[38]Rqmnt!P52</f>
        <v>29.291273678134</v>
      </c>
      <c r="J120" s="24">
        <f>[38]Rqmnt!Q52</f>
        <v>28.7062346158753</v>
      </c>
      <c r="K120" s="24">
        <f>[38]Rqmnt!R52</f>
        <v>27.4334846013581</v>
      </c>
      <c r="L120" s="24">
        <f>[38]Rqmnt!S52</f>
        <v>26.1213198590952</v>
      </c>
      <c r="M120" s="24">
        <f>[38]Rqmnt!T52</f>
        <v>32.012067866684</v>
      </c>
      <c r="N120" s="24">
        <f>[38]Rqmnt!U52</f>
        <v>33.7570706387519</v>
      </c>
      <c r="O120" s="24">
        <f>[38]Rqmnt!V52</f>
        <v>30.0215153938515</v>
      </c>
      <c r="P120" s="24">
        <f>[38]Rqmnt!W52</f>
        <v>31.4514784371591</v>
      </c>
      <c r="Q120" s="650">
        <f>SUM(E120:P120)</f>
        <v>357.818420693197</v>
      </c>
    </row>
    <row r="121" ht="28.5" hidden="1" spans="2:17">
      <c r="B121" s="816">
        <f t="shared" si="45"/>
        <v>4</v>
      </c>
      <c r="C121" s="805" t="s">
        <v>307</v>
      </c>
      <c r="D121" s="7" t="s">
        <v>304</v>
      </c>
      <c r="E121" s="24">
        <f t="shared" ref="E121:P121" si="46">E118-E120</f>
        <v>818.255963139966</v>
      </c>
      <c r="F121" s="24">
        <f t="shared" si="46"/>
        <v>835.491126525066</v>
      </c>
      <c r="G121" s="24">
        <f t="shared" si="46"/>
        <v>744.485023806935</v>
      </c>
      <c r="H121" s="24">
        <f t="shared" si="46"/>
        <v>802.793530021103</v>
      </c>
      <c r="I121" s="24">
        <f t="shared" si="46"/>
        <v>839.885986800619</v>
      </c>
      <c r="J121" s="24">
        <f t="shared" si="46"/>
        <v>791.471897266277</v>
      </c>
      <c r="K121" s="24">
        <f t="shared" si="46"/>
        <v>798.876292547983</v>
      </c>
      <c r="L121" s="24">
        <f t="shared" si="46"/>
        <v>770.867844415357</v>
      </c>
      <c r="M121" s="24">
        <f t="shared" si="46"/>
        <v>780.476964282657</v>
      </c>
      <c r="N121" s="24">
        <f t="shared" si="46"/>
        <v>835.150796510589</v>
      </c>
      <c r="O121" s="24">
        <f t="shared" si="46"/>
        <v>769.486218130823</v>
      </c>
      <c r="P121" s="24">
        <f t="shared" si="46"/>
        <v>853.259588712182</v>
      </c>
      <c r="Q121" s="650">
        <f>SUM(E121:P121)</f>
        <v>9640.50123215956</v>
      </c>
    </row>
    <row r="122" ht="28.5" hidden="1" spans="2:17">
      <c r="B122" s="7">
        <f t="shared" si="45"/>
        <v>5</v>
      </c>
      <c r="C122" s="813" t="s">
        <v>308</v>
      </c>
      <c r="D122" s="7" t="s">
        <v>304</v>
      </c>
      <c r="E122" s="814">
        <f>[38]Rqmnt!L46-E121</f>
        <v>5007.95208848325</v>
      </c>
      <c r="F122" s="814">
        <f>[38]Rqmnt!M46-F121</f>
        <v>4598.1846501955</v>
      </c>
      <c r="G122" s="814">
        <f>[38]Rqmnt!N46-G121</f>
        <v>4408.72444094103</v>
      </c>
      <c r="H122" s="814">
        <f>[38]Rqmnt!O46-H121</f>
        <v>4185.27365552299</v>
      </c>
      <c r="I122" s="814">
        <f>[38]Rqmnt!P46-I121</f>
        <v>4830.9563770114</v>
      </c>
      <c r="J122" s="814">
        <f>[38]Rqmnt!Q46-J121</f>
        <v>4819.08145089036</v>
      </c>
      <c r="K122" s="814">
        <f>[38]Rqmnt!R46-K121</f>
        <v>4459.8398084429</v>
      </c>
      <c r="L122" s="814">
        <f>[38]Rqmnt!S46-L121</f>
        <v>4205.05738220979</v>
      </c>
      <c r="M122" s="814">
        <f>[38]Rqmnt!T46-M121</f>
        <v>4481.4660165131</v>
      </c>
      <c r="N122" s="814">
        <f>[38]Rqmnt!U46-N121</f>
        <v>4983.46634874058</v>
      </c>
      <c r="O122" s="814">
        <f>[38]Rqmnt!V46-O121</f>
        <v>5049.75503755788</v>
      </c>
      <c r="P122" s="814">
        <f>[38]Rqmnt!W46-P121</f>
        <v>5993.57706368442</v>
      </c>
      <c r="Q122" s="817">
        <f>SUM(E122:P122)</f>
        <v>57023.3343201932</v>
      </c>
    </row>
    <row r="123" ht="15" hidden="1" spans="2:17">
      <c r="B123" s="7">
        <f t="shared" si="45"/>
        <v>6</v>
      </c>
      <c r="C123" s="32" t="s">
        <v>309</v>
      </c>
      <c r="D123" s="7" t="s">
        <v>304</v>
      </c>
      <c r="E123" s="24">
        <f>[38]Rqmnt!L37</f>
        <v>722.02184301003</v>
      </c>
      <c r="F123" s="24">
        <f>[38]Rqmnt!M37</f>
        <v>695.379255589353</v>
      </c>
      <c r="G123" s="24">
        <f>[38]Rqmnt!N37</f>
        <v>721.000501573481</v>
      </c>
      <c r="H123" s="24">
        <f>[38]Rqmnt!O37</f>
        <v>726.304422563459</v>
      </c>
      <c r="I123" s="24">
        <f>[38]Rqmnt!P37</f>
        <v>896.930851464846</v>
      </c>
      <c r="J123" s="24">
        <f>[38]Rqmnt!Q37</f>
        <v>950.828686970505</v>
      </c>
      <c r="K123" s="24">
        <f>[38]Rqmnt!R37</f>
        <v>978.444831122421</v>
      </c>
      <c r="L123" s="24">
        <f>[38]Rqmnt!S37</f>
        <v>945.485711296329</v>
      </c>
      <c r="M123" s="24">
        <f>[38]Rqmnt!T37</f>
        <v>821.098211392909</v>
      </c>
      <c r="N123" s="24">
        <f>[38]Rqmnt!U37</f>
        <v>798.084126499628</v>
      </c>
      <c r="O123" s="24">
        <f>[38]Rqmnt!V37</f>
        <v>755.262517380684</v>
      </c>
      <c r="P123" s="24">
        <f>[38]Rqmnt!W37</f>
        <v>807.092354441205</v>
      </c>
      <c r="Q123" s="650">
        <f>SUM(E123:P123)</f>
        <v>9817.93331330485</v>
      </c>
    </row>
    <row r="124" hidden="1" spans="2:17">
      <c r="B124" s="816">
        <f t="shared" si="45"/>
        <v>7</v>
      </c>
      <c r="C124" s="32" t="s">
        <v>310</v>
      </c>
      <c r="D124" s="7" t="s">
        <v>306</v>
      </c>
      <c r="E124" s="812">
        <f t="shared" ref="E124:P124" si="47">E125/(E122+E118)</f>
        <v>0.0244594745216977</v>
      </c>
      <c r="F124" s="812">
        <f t="shared" si="47"/>
        <v>0.0244603545569218</v>
      </c>
      <c r="G124" s="812">
        <f t="shared" si="47"/>
        <v>0.024479688105665</v>
      </c>
      <c r="H124" s="812">
        <f t="shared" si="47"/>
        <v>0.0244568154084548</v>
      </c>
      <c r="I124" s="812">
        <f t="shared" si="47"/>
        <v>0.0244735879931406</v>
      </c>
      <c r="J124" s="812">
        <f t="shared" si="47"/>
        <v>0.0244747755159723</v>
      </c>
      <c r="K124" s="812">
        <f t="shared" si="47"/>
        <v>0.0244723335936175</v>
      </c>
      <c r="L124" s="812">
        <f t="shared" si="47"/>
        <v>0.0244715356879306</v>
      </c>
      <c r="M124" s="812">
        <f t="shared" si="47"/>
        <v>0.0244512460226274</v>
      </c>
      <c r="N124" s="812">
        <f t="shared" si="47"/>
        <v>0.02445810477815</v>
      </c>
      <c r="O124" s="812">
        <f t="shared" si="47"/>
        <v>0.0244737397672849</v>
      </c>
      <c r="P124" s="812">
        <f t="shared" si="47"/>
        <v>0.0244875146904524</v>
      </c>
      <c r="Q124" s="812">
        <f>Q125/(Q122+Q121)</f>
        <v>0.0246</v>
      </c>
    </row>
    <row r="125" ht="15" hidden="1" spans="2:17">
      <c r="B125" s="7">
        <f t="shared" si="45"/>
        <v>8</v>
      </c>
      <c r="C125" s="32" t="s">
        <v>310</v>
      </c>
      <c r="D125" s="7" t="s">
        <v>304</v>
      </c>
      <c r="E125" s="24">
        <f>[38]Rqmnt!L47</f>
        <v>143.324718069931</v>
      </c>
      <c r="F125" s="24">
        <f>[38]Rqmnt!M47</f>
        <v>133.668424107326</v>
      </c>
      <c r="G125" s="24">
        <f>[38]Rqmnt!N47</f>
        <v>126.7689528328</v>
      </c>
      <c r="H125" s="24">
        <f>[38]Rqmnt!O47</f>
        <v>122.706452764385</v>
      </c>
      <c r="I125" s="24">
        <f>[38]Rqmnt!P47</f>
        <v>139.502722149776</v>
      </c>
      <c r="J125" s="24">
        <f>[38]Rqmnt!Q47</f>
        <v>138.019612364653</v>
      </c>
      <c r="K125" s="24">
        <f>[38]Rqmnt!R47</f>
        <v>129.364416084376</v>
      </c>
      <c r="L125" s="24">
        <f>[38]Rqmnt!S47</f>
        <v>122.407760574979</v>
      </c>
      <c r="M125" s="24">
        <f>[38]Rqmnt!T47</f>
        <v>129.443797327576</v>
      </c>
      <c r="N125" s="24">
        <f>[38]Rqmnt!U47</f>
        <v>143.137981773179</v>
      </c>
      <c r="O125" s="24">
        <f>[38]Rqmnt!V47</f>
        <v>143.153334889942</v>
      </c>
      <c r="P125" s="24">
        <f>[38]Rqmnt!W47</f>
        <v>168.432181648956</v>
      </c>
      <c r="Q125" s="818">
        <f>SUM(E125:P125)</f>
        <v>1639.93035458788</v>
      </c>
    </row>
    <row r="126" ht="28.5" hidden="1" spans="2:17">
      <c r="B126" s="816">
        <f t="shared" si="45"/>
        <v>9</v>
      </c>
      <c r="C126" s="813" t="s">
        <v>311</v>
      </c>
      <c r="D126" s="7" t="s">
        <v>304</v>
      </c>
      <c r="E126" s="24">
        <f t="shared" ref="E126:P126" si="48">E121+E122-E123-E125</f>
        <v>4960.86149054326</v>
      </c>
      <c r="F126" s="24">
        <f t="shared" si="48"/>
        <v>4604.62809702389</v>
      </c>
      <c r="G126" s="24">
        <f t="shared" si="48"/>
        <v>4305.44001034168</v>
      </c>
      <c r="H126" s="24">
        <f t="shared" si="48"/>
        <v>4139.05631021625</v>
      </c>
      <c r="I126" s="24">
        <f t="shared" si="48"/>
        <v>4634.4087901974</v>
      </c>
      <c r="J126" s="24">
        <f t="shared" si="48"/>
        <v>4521.70504882148</v>
      </c>
      <c r="K126" s="24">
        <f t="shared" si="48"/>
        <v>4150.90685378408</v>
      </c>
      <c r="L126" s="24">
        <f t="shared" si="48"/>
        <v>3908.03175475384</v>
      </c>
      <c r="M126" s="24">
        <f t="shared" si="48"/>
        <v>4311.40097207527</v>
      </c>
      <c r="N126" s="24">
        <f t="shared" si="48"/>
        <v>4877.39503697836</v>
      </c>
      <c r="O126" s="24">
        <f t="shared" si="48"/>
        <v>4920.82540341807</v>
      </c>
      <c r="P126" s="24">
        <f t="shared" si="48"/>
        <v>5871.31211630644</v>
      </c>
      <c r="Q126" s="650">
        <f>SUM(E126:P126)</f>
        <v>55205.97188446</v>
      </c>
    </row>
    <row r="127" ht="15" hidden="1" spans="2:17">
      <c r="B127" s="7"/>
      <c r="C127" s="18" t="s">
        <v>312</v>
      </c>
      <c r="D127" s="7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10"/>
    </row>
    <row r="128" ht="28.5" hidden="1" spans="2:17">
      <c r="B128" s="7">
        <f>B126+1</f>
        <v>10</v>
      </c>
      <c r="C128" s="805" t="s">
        <v>313</v>
      </c>
      <c r="D128" s="7" t="s">
        <v>304</v>
      </c>
      <c r="E128" s="24">
        <f>[38]Rqmnt!L7</f>
        <v>4960.86149054326</v>
      </c>
      <c r="F128" s="24">
        <f>[38]Rqmnt!M7</f>
        <v>4604.62809702389</v>
      </c>
      <c r="G128" s="24">
        <f>[38]Rqmnt!N7</f>
        <v>4305.44001034167</v>
      </c>
      <c r="H128" s="24">
        <f>[38]Rqmnt!O7</f>
        <v>4139.05631021624</v>
      </c>
      <c r="I128" s="24">
        <f>[38]Rqmnt!P7</f>
        <v>4634.4087901974</v>
      </c>
      <c r="J128" s="24">
        <f>[38]Rqmnt!Q7</f>
        <v>4521.70504882149</v>
      </c>
      <c r="K128" s="24">
        <f>[38]Rqmnt!R7</f>
        <v>4150.90685378409</v>
      </c>
      <c r="L128" s="24">
        <f>[38]Rqmnt!S7</f>
        <v>3908.03175475384</v>
      </c>
      <c r="M128" s="24">
        <f>[38]Rqmnt!T7</f>
        <v>4311.40097207527</v>
      </c>
      <c r="N128" s="24">
        <f>[38]Rqmnt!U7</f>
        <v>4877.39503697836</v>
      </c>
      <c r="O128" s="24">
        <f>[38]Rqmnt!V7</f>
        <v>4920.82540341807</v>
      </c>
      <c r="P128" s="24">
        <f>[38]Rqmnt!W7</f>
        <v>5871.31211630644</v>
      </c>
      <c r="Q128" s="818">
        <f>SUM(E128:P128)</f>
        <v>55205.97188446</v>
      </c>
    </row>
    <row r="129" ht="15" hidden="1" spans="2:17">
      <c r="B129" s="7">
        <f t="shared" ref="B129:B132" si="49">B128+1</f>
        <v>11</v>
      </c>
      <c r="C129" s="32" t="s">
        <v>314</v>
      </c>
      <c r="D129" s="7" t="s">
        <v>304</v>
      </c>
      <c r="E129" s="24">
        <f>[38]Rqmnt!L9</f>
        <v>821.213229103455</v>
      </c>
      <c r="F129" s="24">
        <f>[38]Rqmnt!M9</f>
        <v>880.268077244213</v>
      </c>
      <c r="G129" s="24">
        <f>[38]Rqmnt!N9</f>
        <v>864.529712830856</v>
      </c>
      <c r="H129" s="24">
        <f>[38]Rqmnt!O9</f>
        <v>845.603672437672</v>
      </c>
      <c r="I129" s="24">
        <f>[38]Rqmnt!P9</f>
        <v>866.410545955145</v>
      </c>
      <c r="J129" s="24">
        <f>[38]Rqmnt!Q9</f>
        <v>835.583501176169</v>
      </c>
      <c r="K129" s="24">
        <f>[38]Rqmnt!R9</f>
        <v>847.465967986751</v>
      </c>
      <c r="L129" s="24">
        <f>[38]Rqmnt!S9</f>
        <v>847.752153700846</v>
      </c>
      <c r="M129" s="24">
        <f>[38]Rqmnt!T9</f>
        <v>847.537489085641</v>
      </c>
      <c r="N129" s="24">
        <f>[38]Rqmnt!U9</f>
        <v>848.639028544201</v>
      </c>
      <c r="O129" s="24">
        <f>[38]Rqmnt!V9</f>
        <v>836.264714942398</v>
      </c>
      <c r="P129" s="24">
        <f>[38]Rqmnt!W9</f>
        <v>946.609754112135</v>
      </c>
      <c r="Q129" s="818">
        <f>SUM(E129:P129)</f>
        <v>10287.8778471195</v>
      </c>
    </row>
    <row r="130" hidden="1" spans="2:17">
      <c r="B130" s="816">
        <f t="shared" si="49"/>
        <v>12</v>
      </c>
      <c r="C130" s="32" t="s">
        <v>315</v>
      </c>
      <c r="D130" s="7" t="s">
        <v>306</v>
      </c>
      <c r="E130" s="812">
        <f t="shared" ref="E130:Q130" si="50">E131/E128</f>
        <v>0.0316</v>
      </c>
      <c r="F130" s="812">
        <f t="shared" si="50"/>
        <v>0.0316</v>
      </c>
      <c r="G130" s="812">
        <f t="shared" si="50"/>
        <v>0.0316000000000001</v>
      </c>
      <c r="H130" s="812">
        <f t="shared" si="50"/>
        <v>0.0316</v>
      </c>
      <c r="I130" s="812">
        <f t="shared" si="50"/>
        <v>0.0316</v>
      </c>
      <c r="J130" s="812">
        <f t="shared" si="50"/>
        <v>0.0316</v>
      </c>
      <c r="K130" s="812">
        <f t="shared" si="50"/>
        <v>0.0315999999999999</v>
      </c>
      <c r="L130" s="812">
        <f t="shared" si="50"/>
        <v>0.0315999999999999</v>
      </c>
      <c r="M130" s="812">
        <f t="shared" si="50"/>
        <v>0.0316000000000001</v>
      </c>
      <c r="N130" s="812">
        <f t="shared" si="50"/>
        <v>0.0316</v>
      </c>
      <c r="O130" s="812">
        <f t="shared" si="50"/>
        <v>0.0316</v>
      </c>
      <c r="P130" s="812">
        <f t="shared" si="50"/>
        <v>0.0315999999999999</v>
      </c>
      <c r="Q130" s="812">
        <f t="shared" si="50"/>
        <v>0.0316</v>
      </c>
    </row>
    <row r="131" hidden="1" spans="2:17">
      <c r="B131" s="7">
        <f t="shared" si="49"/>
        <v>13</v>
      </c>
      <c r="C131" s="32" t="s">
        <v>315</v>
      </c>
      <c r="D131" s="7" t="s">
        <v>304</v>
      </c>
      <c r="E131" s="24">
        <f>[38]Rqmnt!L11</f>
        <v>156.763223101167</v>
      </c>
      <c r="F131" s="24">
        <f>[38]Rqmnt!M11</f>
        <v>145.506247865955</v>
      </c>
      <c r="G131" s="24">
        <f>[38]Rqmnt!N11</f>
        <v>136.051904326797</v>
      </c>
      <c r="H131" s="24">
        <f>[38]Rqmnt!O11</f>
        <v>130.794179402833</v>
      </c>
      <c r="I131" s="24">
        <f>[38]Rqmnt!P11</f>
        <v>146.447317770238</v>
      </c>
      <c r="J131" s="24">
        <f>[38]Rqmnt!Q11</f>
        <v>142.885879542759</v>
      </c>
      <c r="K131" s="24">
        <f>[38]Rqmnt!R11</f>
        <v>131.168656579577</v>
      </c>
      <c r="L131" s="24">
        <f>[38]Rqmnt!S11</f>
        <v>123.493803450221</v>
      </c>
      <c r="M131" s="24">
        <f>[38]Rqmnt!T11</f>
        <v>136.240270717579</v>
      </c>
      <c r="N131" s="24">
        <f>[38]Rqmnt!U11</f>
        <v>154.125683168516</v>
      </c>
      <c r="O131" s="24">
        <f>[38]Rqmnt!V11</f>
        <v>155.498082748011</v>
      </c>
      <c r="P131" s="24">
        <f>[38]Rqmnt!W11</f>
        <v>185.533462875283</v>
      </c>
      <c r="Q131" s="24">
        <f>SUM(E131:P131)</f>
        <v>1744.50871154894</v>
      </c>
    </row>
    <row r="132" ht="28.5" hidden="1" spans="2:17">
      <c r="B132" s="816">
        <f t="shared" si="49"/>
        <v>14</v>
      </c>
      <c r="C132" s="805" t="s">
        <v>337</v>
      </c>
      <c r="D132" s="7" t="s">
        <v>304</v>
      </c>
      <c r="E132" s="24">
        <f t="shared" ref="E132:P132" si="51">E128-E129-E131</f>
        <v>3982.88503833864</v>
      </c>
      <c r="F132" s="24">
        <f t="shared" si="51"/>
        <v>3578.85377191372</v>
      </c>
      <c r="G132" s="24">
        <f t="shared" si="51"/>
        <v>3304.85839318402</v>
      </c>
      <c r="H132" s="24">
        <f t="shared" si="51"/>
        <v>3162.65845837573</v>
      </c>
      <c r="I132" s="24">
        <f t="shared" si="51"/>
        <v>3621.55092647202</v>
      </c>
      <c r="J132" s="24">
        <f t="shared" si="51"/>
        <v>3543.23566810256</v>
      </c>
      <c r="K132" s="24">
        <f t="shared" si="51"/>
        <v>3172.27222921776</v>
      </c>
      <c r="L132" s="24">
        <f t="shared" si="51"/>
        <v>2936.78579760277</v>
      </c>
      <c r="M132" s="24">
        <f t="shared" si="51"/>
        <v>3327.62321227205</v>
      </c>
      <c r="N132" s="24">
        <f t="shared" si="51"/>
        <v>3874.63032526564</v>
      </c>
      <c r="O132" s="24">
        <f t="shared" si="51"/>
        <v>3929.06260572766</v>
      </c>
      <c r="P132" s="24">
        <f t="shared" si="51"/>
        <v>4739.16889931902</v>
      </c>
      <c r="Q132" s="818">
        <f>SUM(E132:P132)</f>
        <v>43173.5853257916</v>
      </c>
    </row>
    <row r="133" ht="15" hidden="1" spans="2:17">
      <c r="B133" s="7"/>
      <c r="C133" s="18" t="s">
        <v>317</v>
      </c>
      <c r="D133" s="7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10"/>
    </row>
    <row r="134" ht="28.5" hidden="1" spans="2:17">
      <c r="B134" s="7">
        <f>B132+1</f>
        <v>15</v>
      </c>
      <c r="C134" s="805" t="s">
        <v>318</v>
      </c>
      <c r="D134" s="7" t="s">
        <v>304</v>
      </c>
      <c r="E134" s="24">
        <f>[38]Rqmnt!L19</f>
        <v>3982.88503833864</v>
      </c>
      <c r="F134" s="24">
        <f>[38]Rqmnt!M19</f>
        <v>3578.85377191373</v>
      </c>
      <c r="G134" s="24">
        <f>[38]Rqmnt!N19</f>
        <v>3304.85839318402</v>
      </c>
      <c r="H134" s="24">
        <f>[38]Rqmnt!O19</f>
        <v>3162.65845837574</v>
      </c>
      <c r="I134" s="24">
        <f>[38]Rqmnt!P19</f>
        <v>3621.55092647202</v>
      </c>
      <c r="J134" s="24">
        <f>[38]Rqmnt!Q19</f>
        <v>3543.23566810256</v>
      </c>
      <c r="K134" s="24">
        <f>[38]Rqmnt!R19</f>
        <v>3172.27222921776</v>
      </c>
      <c r="L134" s="24">
        <f>[38]Rqmnt!S19</f>
        <v>2936.78579760278</v>
      </c>
      <c r="M134" s="24">
        <f>[38]Rqmnt!T19</f>
        <v>3327.62321227205</v>
      </c>
      <c r="N134" s="24">
        <f>[38]Rqmnt!U19</f>
        <v>3874.63032526564</v>
      </c>
      <c r="O134" s="24">
        <f>[38]Rqmnt!V19</f>
        <v>3929.06260572766</v>
      </c>
      <c r="P134" s="24">
        <f>[38]Rqmnt!W19</f>
        <v>4739.16889931902</v>
      </c>
      <c r="Q134" s="818">
        <f>SUM(E134:P134)</f>
        <v>43173.5853257916</v>
      </c>
    </row>
    <row r="135" ht="15" hidden="1" spans="2:17">
      <c r="B135" s="7">
        <f t="shared" ref="B135:B139" si="52">B134+1</f>
        <v>16</v>
      </c>
      <c r="C135" s="805" t="s">
        <v>319</v>
      </c>
      <c r="D135" s="7" t="s">
        <v>304</v>
      </c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818">
        <f>SUM(E135:P135)</f>
        <v>0</v>
      </c>
    </row>
    <row r="136" ht="15" hidden="1" spans="2:17">
      <c r="B136" s="7">
        <f t="shared" si="52"/>
        <v>17</v>
      </c>
      <c r="C136" s="32" t="s">
        <v>320</v>
      </c>
      <c r="D136" s="7" t="s">
        <v>304</v>
      </c>
      <c r="E136" s="24">
        <f>[38]Rqmnt!L20</f>
        <v>710.683939612215</v>
      </c>
      <c r="F136" s="24">
        <f>[38]Rqmnt!M20</f>
        <v>751.799760838815</v>
      </c>
      <c r="G136" s="24">
        <f>[38]Rqmnt!N20</f>
        <v>740.46635444085</v>
      </c>
      <c r="H136" s="24">
        <f>[38]Rqmnt!O20</f>
        <v>680.390866486305</v>
      </c>
      <c r="I136" s="24">
        <f>[38]Rqmnt!P20</f>
        <v>719.100635528816</v>
      </c>
      <c r="J136" s="24">
        <f>[38]Rqmnt!Q20</f>
        <v>675.407749108858</v>
      </c>
      <c r="K136" s="24">
        <f>[38]Rqmnt!R20</f>
        <v>697.357251931894</v>
      </c>
      <c r="L136" s="24">
        <f>[38]Rqmnt!S20</f>
        <v>681.785069108836</v>
      </c>
      <c r="M136" s="24">
        <f>[38]Rqmnt!T20</f>
        <v>686.848801343555</v>
      </c>
      <c r="N136" s="24">
        <f>[38]Rqmnt!U20</f>
        <v>675.767372985707</v>
      </c>
      <c r="O136" s="24">
        <f>[38]Rqmnt!V20</f>
        <v>690.121473756568</v>
      </c>
      <c r="P136" s="24">
        <f>[38]Rqmnt!W20</f>
        <v>761.619573655125</v>
      </c>
      <c r="Q136" s="818">
        <f>SUM(E136:P136)</f>
        <v>8471.34884879754</v>
      </c>
    </row>
    <row r="137" hidden="1" spans="2:17">
      <c r="B137" s="816">
        <f t="shared" si="52"/>
        <v>18</v>
      </c>
      <c r="C137" s="32" t="s">
        <v>321</v>
      </c>
      <c r="D137" s="7" t="s">
        <v>306</v>
      </c>
      <c r="E137" s="812">
        <f t="shared" ref="E137:Q137" si="53">E138/E134</f>
        <v>0.0404</v>
      </c>
      <c r="F137" s="812">
        <f t="shared" si="53"/>
        <v>0.0403999999999998</v>
      </c>
      <c r="G137" s="812">
        <f t="shared" si="53"/>
        <v>0.0403999999999999</v>
      </c>
      <c r="H137" s="812">
        <f t="shared" si="53"/>
        <v>0.0404</v>
      </c>
      <c r="I137" s="812">
        <f t="shared" si="53"/>
        <v>0.0403999999999998</v>
      </c>
      <c r="J137" s="812">
        <f t="shared" si="53"/>
        <v>0.0403999999999999</v>
      </c>
      <c r="K137" s="812">
        <f t="shared" si="53"/>
        <v>0.0403999999999998</v>
      </c>
      <c r="L137" s="812">
        <f t="shared" si="53"/>
        <v>0.0403999999999999</v>
      </c>
      <c r="M137" s="812">
        <f t="shared" si="53"/>
        <v>0.0404000000000001</v>
      </c>
      <c r="N137" s="812">
        <f t="shared" si="53"/>
        <v>0.0404</v>
      </c>
      <c r="O137" s="812">
        <f t="shared" si="53"/>
        <v>0.0404000000000001</v>
      </c>
      <c r="P137" s="812">
        <f t="shared" si="53"/>
        <v>0.0403999999999999</v>
      </c>
      <c r="Q137" s="812">
        <f t="shared" si="53"/>
        <v>0.0403999999999999</v>
      </c>
    </row>
    <row r="138" ht="15" hidden="1" spans="2:17">
      <c r="B138" s="7">
        <f t="shared" si="52"/>
        <v>19</v>
      </c>
      <c r="C138" s="32" t="s">
        <v>321</v>
      </c>
      <c r="D138" s="7" t="s">
        <v>304</v>
      </c>
      <c r="E138" s="24">
        <f>[38]Rqmnt!L22</f>
        <v>160.908555548881</v>
      </c>
      <c r="F138" s="24">
        <f>[38]Rqmnt!M22</f>
        <v>144.585692385314</v>
      </c>
      <c r="G138" s="24">
        <f>[38]Rqmnt!N22</f>
        <v>133.516279084634</v>
      </c>
      <c r="H138" s="24">
        <f>[38]Rqmnt!O22</f>
        <v>127.77140171838</v>
      </c>
      <c r="I138" s="24">
        <f>[38]Rqmnt!P22</f>
        <v>146.310657429469</v>
      </c>
      <c r="J138" s="24">
        <f>[38]Rqmnt!Q22</f>
        <v>143.146720991343</v>
      </c>
      <c r="K138" s="24">
        <f>[38]Rqmnt!R22</f>
        <v>128.159798060397</v>
      </c>
      <c r="L138" s="24">
        <f>[38]Rqmnt!S22</f>
        <v>118.646146223152</v>
      </c>
      <c r="M138" s="24">
        <f>[38]Rqmnt!T22</f>
        <v>134.435977775791</v>
      </c>
      <c r="N138" s="24">
        <f>[38]Rqmnt!U22</f>
        <v>156.535065140732</v>
      </c>
      <c r="O138" s="24">
        <f>[38]Rqmnt!V22</f>
        <v>158.734129271398</v>
      </c>
      <c r="P138" s="24">
        <f>[38]Rqmnt!W22</f>
        <v>191.462423532488</v>
      </c>
      <c r="Q138" s="818">
        <f>SUM(E138:P138)</f>
        <v>1744.21284716198</v>
      </c>
    </row>
    <row r="139" ht="28.5" hidden="1" spans="2:17">
      <c r="B139" s="816">
        <f t="shared" si="52"/>
        <v>20</v>
      </c>
      <c r="C139" s="805" t="s">
        <v>338</v>
      </c>
      <c r="D139" s="7" t="s">
        <v>304</v>
      </c>
      <c r="E139" s="24">
        <f t="shared" ref="E139:P139" si="54">E134+E135-E136-E138</f>
        <v>3111.29254317754</v>
      </c>
      <c r="F139" s="24">
        <f t="shared" si="54"/>
        <v>2682.4683186896</v>
      </c>
      <c r="G139" s="24">
        <f t="shared" si="54"/>
        <v>2430.87575965854</v>
      </c>
      <c r="H139" s="24">
        <f t="shared" si="54"/>
        <v>2354.49619017105</v>
      </c>
      <c r="I139" s="24">
        <f t="shared" si="54"/>
        <v>2756.13963351374</v>
      </c>
      <c r="J139" s="24">
        <f t="shared" si="54"/>
        <v>2724.68119800236</v>
      </c>
      <c r="K139" s="24">
        <f t="shared" si="54"/>
        <v>2346.75517922547</v>
      </c>
      <c r="L139" s="24">
        <f t="shared" si="54"/>
        <v>2136.35458227079</v>
      </c>
      <c r="M139" s="24">
        <f t="shared" si="54"/>
        <v>2506.3384331527</v>
      </c>
      <c r="N139" s="24">
        <f t="shared" si="54"/>
        <v>3042.3278871392</v>
      </c>
      <c r="O139" s="24">
        <f t="shared" si="54"/>
        <v>3080.20700269969</v>
      </c>
      <c r="P139" s="24">
        <f t="shared" si="54"/>
        <v>3786.08690213141</v>
      </c>
      <c r="Q139" s="818">
        <f>SUM(E139:P139)</f>
        <v>32958.0236298321</v>
      </c>
    </row>
    <row r="140" ht="15" hidden="1" spans="2:17">
      <c r="B140" s="7"/>
      <c r="C140" s="18" t="s">
        <v>323</v>
      </c>
      <c r="D140" s="7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10"/>
    </row>
    <row r="141" ht="28.5" hidden="1" spans="2:17">
      <c r="B141" s="7"/>
      <c r="C141" s="805" t="s">
        <v>324</v>
      </c>
      <c r="D141" s="7" t="s">
        <v>304</v>
      </c>
      <c r="E141" s="24">
        <f>[38]Rqmnt!L27</f>
        <v>3111.29254317754</v>
      </c>
      <c r="F141" s="24">
        <f>[38]Rqmnt!M27</f>
        <v>2682.4683186896</v>
      </c>
      <c r="G141" s="24">
        <f>[38]Rqmnt!N27</f>
        <v>2430.87575965854</v>
      </c>
      <c r="H141" s="24">
        <f>[38]Rqmnt!O27</f>
        <v>2354.49619017105</v>
      </c>
      <c r="I141" s="24">
        <f>[38]Rqmnt!P27</f>
        <v>2756.13963351373</v>
      </c>
      <c r="J141" s="24">
        <f>[38]Rqmnt!Q27</f>
        <v>2724.68119800236</v>
      </c>
      <c r="K141" s="24">
        <f>[38]Rqmnt!R27</f>
        <v>2346.75517922547</v>
      </c>
      <c r="L141" s="24">
        <f>[38]Rqmnt!S27</f>
        <v>2136.35458227079</v>
      </c>
      <c r="M141" s="24">
        <f>[38]Rqmnt!T27</f>
        <v>2506.33843315271</v>
      </c>
      <c r="N141" s="24">
        <f>[38]Rqmnt!U27</f>
        <v>3042.32788713921</v>
      </c>
      <c r="O141" s="24">
        <f>[38]Rqmnt!V27</f>
        <v>3080.2070026997</v>
      </c>
      <c r="P141" s="24">
        <f>[38]Rqmnt!W27</f>
        <v>3786.0869021314</v>
      </c>
      <c r="Q141" s="810">
        <f>SUM(E141:P141)</f>
        <v>32958.0236298321</v>
      </c>
    </row>
    <row r="142" ht="15" hidden="1" spans="2:17">
      <c r="B142" s="7">
        <f>B139+1</f>
        <v>21</v>
      </c>
      <c r="C142" s="805" t="s">
        <v>319</v>
      </c>
      <c r="D142" s="7" t="s">
        <v>304</v>
      </c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650">
        <f>SUM(E142:P142)</f>
        <v>0</v>
      </c>
    </row>
    <row r="143" ht="15" hidden="1" spans="2:17">
      <c r="B143" s="7">
        <f t="shared" ref="B143:B145" si="55">B142+1</f>
        <v>22</v>
      </c>
      <c r="C143" s="32" t="s">
        <v>325</v>
      </c>
      <c r="D143" s="7" t="s">
        <v>304</v>
      </c>
      <c r="E143" s="24">
        <f>[38]Rqmnt!L28+[38]Rqmnt!L29</f>
        <v>2966.61743991979</v>
      </c>
      <c r="F143" s="24">
        <f>[38]Rqmnt!M28+[38]Rqmnt!M29</f>
        <v>2557.73354187053</v>
      </c>
      <c r="G143" s="24">
        <f>[38]Rqmnt!N28+[38]Rqmnt!N29</f>
        <v>2317.84003683442</v>
      </c>
      <c r="H143" s="24">
        <f>[38]Rqmnt!O28+[38]Rqmnt!O29</f>
        <v>2245.0121173281</v>
      </c>
      <c r="I143" s="24">
        <f>[38]Rqmnt!P28+[38]Rqmnt!P29</f>
        <v>2627.97914055534</v>
      </c>
      <c r="J143" s="24">
        <f>[38]Rqmnt!Q28+[38]Rqmnt!Q29</f>
        <v>2597.98352229525</v>
      </c>
      <c r="K143" s="24">
        <f>[38]Rqmnt!R28+[38]Rqmnt!R29</f>
        <v>2237.63106339148</v>
      </c>
      <c r="L143" s="24">
        <f>[38]Rqmnt!S28+[38]Rqmnt!S29</f>
        <v>2037.0140941952</v>
      </c>
      <c r="M143" s="24">
        <f>[38]Rqmnt!T28+[38]Rqmnt!T29</f>
        <v>2389.79369601111</v>
      </c>
      <c r="N143" s="24">
        <f>[38]Rqmnt!U28+[38]Rqmnt!U29</f>
        <v>2900.85964038723</v>
      </c>
      <c r="O143" s="24">
        <f>[38]Rqmnt!V28+[38]Rqmnt!V29</f>
        <v>2936.97737707416</v>
      </c>
      <c r="P143" s="24">
        <f>[38]Rqmnt!W28+[38]Rqmnt!W29</f>
        <v>3610.03386118229</v>
      </c>
      <c r="Q143" s="818">
        <f>SUM(E143:P143)</f>
        <v>31425.4755310449</v>
      </c>
    </row>
    <row r="144" hidden="1" spans="2:17">
      <c r="B144" s="816">
        <f t="shared" si="55"/>
        <v>23</v>
      </c>
      <c r="C144" s="32" t="s">
        <v>326</v>
      </c>
      <c r="D144" s="7" t="s">
        <v>306</v>
      </c>
      <c r="E144" s="812">
        <f t="shared" ref="E144:Q144" si="56">E145/E141</f>
        <v>0.0465000000000001</v>
      </c>
      <c r="F144" s="812">
        <f t="shared" si="56"/>
        <v>0.0464999999999999</v>
      </c>
      <c r="G144" s="812">
        <f t="shared" si="56"/>
        <v>0.0465</v>
      </c>
      <c r="H144" s="812">
        <f t="shared" si="56"/>
        <v>0.0465000000000001</v>
      </c>
      <c r="I144" s="812">
        <f t="shared" si="56"/>
        <v>0.0465000000000002</v>
      </c>
      <c r="J144" s="812">
        <f t="shared" si="56"/>
        <v>0.0465000000000001</v>
      </c>
      <c r="K144" s="812">
        <f t="shared" si="56"/>
        <v>0.0465000000000003</v>
      </c>
      <c r="L144" s="812">
        <f t="shared" si="56"/>
        <v>0.0465</v>
      </c>
      <c r="M144" s="812">
        <f t="shared" si="56"/>
        <v>0.0465</v>
      </c>
      <c r="N144" s="812">
        <f t="shared" si="56"/>
        <v>0.0464999999999999</v>
      </c>
      <c r="O144" s="812">
        <f t="shared" si="56"/>
        <v>0.0465</v>
      </c>
      <c r="P144" s="812">
        <f t="shared" si="56"/>
        <v>0.0465</v>
      </c>
      <c r="Q144" s="812">
        <f t="shared" si="56"/>
        <v>0.0465</v>
      </c>
    </row>
    <row r="145" ht="15" hidden="1" spans="2:17">
      <c r="B145" s="7">
        <f t="shared" si="55"/>
        <v>24</v>
      </c>
      <c r="C145" s="32" t="s">
        <v>326</v>
      </c>
      <c r="D145" s="7" t="s">
        <v>304</v>
      </c>
      <c r="E145" s="24">
        <f>[38]Rqmnt!L30</f>
        <v>144.675103257756</v>
      </c>
      <c r="F145" s="24">
        <f>[38]Rqmnt!M30</f>
        <v>124.734776819066</v>
      </c>
      <c r="G145" s="24">
        <f>[38]Rqmnt!N30</f>
        <v>113.035722824122</v>
      </c>
      <c r="H145" s="24">
        <f>[38]Rqmnt!O30</f>
        <v>109.484072842954</v>
      </c>
      <c r="I145" s="24">
        <f>[38]Rqmnt!P30</f>
        <v>128.160492958389</v>
      </c>
      <c r="J145" s="24">
        <f>[38]Rqmnt!Q30</f>
        <v>126.69767570711</v>
      </c>
      <c r="K145" s="24">
        <f>[38]Rqmnt!R30</f>
        <v>109.124115833985</v>
      </c>
      <c r="L145" s="24">
        <f>[38]Rqmnt!S30</f>
        <v>99.3404880755918</v>
      </c>
      <c r="M145" s="24">
        <f>[38]Rqmnt!T30</f>
        <v>116.544737141601</v>
      </c>
      <c r="N145" s="24">
        <f>[38]Rqmnt!U30</f>
        <v>141.468246751973</v>
      </c>
      <c r="O145" s="24">
        <f>[38]Rqmnt!V30</f>
        <v>143.229625625536</v>
      </c>
      <c r="P145" s="24">
        <f>[38]Rqmnt!W30</f>
        <v>176.05304094911</v>
      </c>
      <c r="Q145" s="818">
        <f t="shared" ref="Q145:Q150" si="57">SUM(E145:P145)</f>
        <v>1532.54809878719</v>
      </c>
    </row>
    <row r="146" ht="15" hidden="1" spans="2:17">
      <c r="B146" s="7"/>
      <c r="C146" s="18" t="s">
        <v>97</v>
      </c>
      <c r="D146" s="7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650">
        <f t="shared" si="57"/>
        <v>0</v>
      </c>
    </row>
    <row r="147" ht="15" hidden="1" spans="2:18">
      <c r="B147" s="816">
        <f>B145+1</f>
        <v>25</v>
      </c>
      <c r="C147" s="815" t="s">
        <v>327</v>
      </c>
      <c r="D147" s="39" t="s">
        <v>304</v>
      </c>
      <c r="E147" s="24">
        <f t="shared" ref="E147:P147" si="58">E118+E122+E142</f>
        <v>5859.68099775771</v>
      </c>
      <c r="F147" s="24">
        <f t="shared" si="58"/>
        <v>5464.6969158303</v>
      </c>
      <c r="G147" s="24">
        <f t="shared" si="58"/>
        <v>5178.53627405749</v>
      </c>
      <c r="H147" s="24">
        <f t="shared" si="58"/>
        <v>5017.27026659263</v>
      </c>
      <c r="I147" s="24">
        <f t="shared" si="58"/>
        <v>5700.13363749015</v>
      </c>
      <c r="J147" s="24">
        <f t="shared" si="58"/>
        <v>5639.25958277252</v>
      </c>
      <c r="K147" s="24">
        <f t="shared" si="58"/>
        <v>5286.14958559224</v>
      </c>
      <c r="L147" s="24">
        <f t="shared" si="58"/>
        <v>5002.04654648425</v>
      </c>
      <c r="M147" s="24">
        <f t="shared" si="58"/>
        <v>5293.95504866244</v>
      </c>
      <c r="N147" s="24">
        <f t="shared" si="58"/>
        <v>5852.37421588992</v>
      </c>
      <c r="O147" s="24">
        <f t="shared" si="58"/>
        <v>5849.26277108255</v>
      </c>
      <c r="P147" s="24">
        <f t="shared" si="58"/>
        <v>6878.28813083376</v>
      </c>
      <c r="Q147" s="650">
        <f t="shared" si="57"/>
        <v>67021.653973046</v>
      </c>
      <c r="R147" s="819"/>
    </row>
    <row r="148" ht="15" hidden="1" spans="2:17">
      <c r="B148" s="816">
        <f>B147+1</f>
        <v>26</v>
      </c>
      <c r="C148" s="18" t="s">
        <v>328</v>
      </c>
      <c r="D148" s="39" t="s">
        <v>304</v>
      </c>
      <c r="E148" s="24">
        <f t="shared" ref="E148:P148" si="59">E123+E129+E136+E143</f>
        <v>5220.53645164549</v>
      </c>
      <c r="F148" s="24">
        <f t="shared" si="59"/>
        <v>4885.18063554291</v>
      </c>
      <c r="G148" s="24">
        <f t="shared" si="59"/>
        <v>4643.8366056796</v>
      </c>
      <c r="H148" s="24">
        <f t="shared" si="59"/>
        <v>4497.31107881554</v>
      </c>
      <c r="I148" s="24">
        <f t="shared" si="59"/>
        <v>5110.42117350415</v>
      </c>
      <c r="J148" s="24">
        <f t="shared" si="59"/>
        <v>5059.80345955078</v>
      </c>
      <c r="K148" s="24">
        <f t="shared" si="59"/>
        <v>4760.89911443255</v>
      </c>
      <c r="L148" s="24">
        <f t="shared" si="59"/>
        <v>4512.03702830121</v>
      </c>
      <c r="M148" s="24">
        <f t="shared" si="59"/>
        <v>4745.27819783322</v>
      </c>
      <c r="N148" s="24">
        <f t="shared" si="59"/>
        <v>5223.35016841677</v>
      </c>
      <c r="O148" s="24">
        <f t="shared" si="59"/>
        <v>5218.62608315381</v>
      </c>
      <c r="P148" s="24">
        <f t="shared" si="59"/>
        <v>6125.35554339075</v>
      </c>
      <c r="Q148" s="818">
        <f t="shared" si="57"/>
        <v>60002.6355402668</v>
      </c>
    </row>
    <row r="149" ht="30" hidden="1" spans="2:17">
      <c r="B149" s="816">
        <f>B148+1</f>
        <v>27</v>
      </c>
      <c r="C149" s="808" t="s">
        <v>329</v>
      </c>
      <c r="D149" s="39"/>
      <c r="E149" s="24">
        <f t="shared" ref="E149:P149" si="60">E126+E123</f>
        <v>5682.88333355329</v>
      </c>
      <c r="F149" s="24">
        <f t="shared" si="60"/>
        <v>5300.00735261324</v>
      </c>
      <c r="G149" s="24">
        <f t="shared" si="60"/>
        <v>5026.44051191516</v>
      </c>
      <c r="H149" s="24">
        <f t="shared" si="60"/>
        <v>4865.3607327797</v>
      </c>
      <c r="I149" s="24">
        <f t="shared" si="60"/>
        <v>5531.33964166225</v>
      </c>
      <c r="J149" s="24">
        <f t="shared" si="60"/>
        <v>5472.53373579199</v>
      </c>
      <c r="K149" s="24">
        <f t="shared" si="60"/>
        <v>5129.3516849065</v>
      </c>
      <c r="L149" s="24">
        <f t="shared" si="60"/>
        <v>4853.51746605017</v>
      </c>
      <c r="M149" s="24">
        <f t="shared" si="60"/>
        <v>5132.49918346818</v>
      </c>
      <c r="N149" s="24">
        <f t="shared" si="60"/>
        <v>5675.47916347799</v>
      </c>
      <c r="O149" s="24">
        <f t="shared" si="60"/>
        <v>5676.08792079876</v>
      </c>
      <c r="P149" s="24">
        <f t="shared" si="60"/>
        <v>6678.40447074764</v>
      </c>
      <c r="Q149" s="818">
        <f t="shared" si="57"/>
        <v>65023.9051977649</v>
      </c>
    </row>
    <row r="150" ht="15" hidden="1" spans="2:17">
      <c r="B150" s="816">
        <f>B149+1</f>
        <v>28</v>
      </c>
      <c r="C150" s="808" t="s">
        <v>330</v>
      </c>
      <c r="D150" s="39" t="s">
        <v>304</v>
      </c>
      <c r="E150" s="24">
        <f t="shared" ref="E150:P150" si="61">E149-E148</f>
        <v>462.346881907799</v>
      </c>
      <c r="F150" s="24">
        <f t="shared" si="61"/>
        <v>414.826717070333</v>
      </c>
      <c r="G150" s="24">
        <f t="shared" si="61"/>
        <v>382.603906235558</v>
      </c>
      <c r="H150" s="24">
        <f t="shared" si="61"/>
        <v>368.049653964168</v>
      </c>
      <c r="I150" s="24">
        <f t="shared" si="61"/>
        <v>420.918468158099</v>
      </c>
      <c r="J150" s="24">
        <f t="shared" si="61"/>
        <v>412.730276241206</v>
      </c>
      <c r="K150" s="24">
        <f t="shared" si="61"/>
        <v>368.452570473955</v>
      </c>
      <c r="L150" s="24">
        <f t="shared" si="61"/>
        <v>341.480437748962</v>
      </c>
      <c r="M150" s="24">
        <f t="shared" si="61"/>
        <v>387.220985634969</v>
      </c>
      <c r="N150" s="24">
        <f t="shared" si="61"/>
        <v>452.128995061225</v>
      </c>
      <c r="O150" s="24">
        <f t="shared" si="61"/>
        <v>457.461837644948</v>
      </c>
      <c r="P150" s="24">
        <f t="shared" si="61"/>
        <v>553.048927356888</v>
      </c>
      <c r="Q150" s="818">
        <f t="shared" si="57"/>
        <v>5021.26965749811</v>
      </c>
    </row>
    <row r="151" ht="15" hidden="1" spans="2:17">
      <c r="B151" s="816">
        <f t="shared" ref="B151" si="62">B150+1</f>
        <v>29</v>
      </c>
      <c r="C151" s="808" t="s">
        <v>331</v>
      </c>
      <c r="D151" s="39" t="s">
        <v>306</v>
      </c>
      <c r="E151" s="812">
        <f t="shared" ref="E151:Q151" si="63">E150/(E149-E123)</f>
        <v>0.0931989096630004</v>
      </c>
      <c r="F151" s="812">
        <f t="shared" si="63"/>
        <v>0.0900890817519982</v>
      </c>
      <c r="G151" s="812">
        <f t="shared" si="63"/>
        <v>0.0888652275531752</v>
      </c>
      <c r="H151" s="812">
        <f t="shared" si="63"/>
        <v>0.0889211516779146</v>
      </c>
      <c r="I151" s="812">
        <f t="shared" si="63"/>
        <v>0.0908246309752426</v>
      </c>
      <c r="J151" s="812">
        <f t="shared" si="63"/>
        <v>0.0912775759995177</v>
      </c>
      <c r="K151" s="812">
        <f t="shared" si="63"/>
        <v>0.0887643552247056</v>
      </c>
      <c r="L151" s="812">
        <f t="shared" si="63"/>
        <v>0.0873791358869014</v>
      </c>
      <c r="M151" s="812">
        <f t="shared" si="63"/>
        <v>0.0898132621259261</v>
      </c>
      <c r="N151" s="812">
        <f t="shared" si="63"/>
        <v>0.0926988672505247</v>
      </c>
      <c r="O151" s="812">
        <f t="shared" si="63"/>
        <v>0.0929644521277241</v>
      </c>
      <c r="P151" s="812">
        <f t="shared" si="63"/>
        <v>0.0941951162536397</v>
      </c>
      <c r="Q151" s="812">
        <f t="shared" si="63"/>
        <v>0.0909551899205229</v>
      </c>
    </row>
    <row r="152" hidden="1"/>
    <row r="153" ht="15" hidden="1" spans="2:17">
      <c r="B153" s="39" t="s">
        <v>3</v>
      </c>
      <c r="C153" s="6" t="s">
        <v>110</v>
      </c>
      <c r="D153" s="5" t="s">
        <v>297</v>
      </c>
      <c r="E153" s="811" t="s">
        <v>341</v>
      </c>
      <c r="F153" s="811"/>
      <c r="G153" s="811"/>
      <c r="H153" s="811"/>
      <c r="I153" s="811"/>
      <c r="J153" s="811"/>
      <c r="K153" s="811"/>
      <c r="L153" s="811"/>
      <c r="M153" s="811"/>
      <c r="N153" s="811"/>
      <c r="O153" s="811"/>
      <c r="P153" s="811"/>
      <c r="Q153" s="811"/>
    </row>
    <row r="154" ht="15" hidden="1" spans="2:17">
      <c r="B154" s="39"/>
      <c r="C154" s="6"/>
      <c r="D154" s="5"/>
      <c r="E154" s="135" t="s">
        <v>246</v>
      </c>
      <c r="F154" s="135" t="s">
        <v>247</v>
      </c>
      <c r="G154" s="135" t="s">
        <v>248</v>
      </c>
      <c r="H154" s="135" t="s">
        <v>249</v>
      </c>
      <c r="I154" s="135" t="s">
        <v>250</v>
      </c>
      <c r="J154" s="135" t="s">
        <v>251</v>
      </c>
      <c r="K154" s="135" t="s">
        <v>252</v>
      </c>
      <c r="L154" s="135" t="s">
        <v>253</v>
      </c>
      <c r="M154" s="135" t="s">
        <v>254</v>
      </c>
      <c r="N154" s="135" t="s">
        <v>255</v>
      </c>
      <c r="O154" s="135" t="s">
        <v>256</v>
      </c>
      <c r="P154" s="135" t="s">
        <v>257</v>
      </c>
      <c r="Q154" s="135" t="s">
        <v>97</v>
      </c>
    </row>
    <row r="155" ht="15" hidden="1" spans="2:17">
      <c r="B155" s="7">
        <v>1</v>
      </c>
      <c r="C155" s="32" t="s">
        <v>303</v>
      </c>
      <c r="D155" s="7" t="s">
        <v>304</v>
      </c>
      <c r="E155" s="8">
        <f>[39]Rqmnt!L48+[39]Rqmnt!L49</f>
        <v>851.728909274452</v>
      </c>
      <c r="F155" s="8">
        <f>[39]Rqmnt!M48+[39]Rqmnt!M49</f>
        <v>866.512265634791</v>
      </c>
      <c r="G155" s="8">
        <f>[39]Rqmnt!N48+[39]Rqmnt!N49</f>
        <v>769.811833116467</v>
      </c>
      <c r="H155" s="8">
        <f>[39]Rqmnt!O48+[39]Rqmnt!O49</f>
        <v>831.996611069648</v>
      </c>
      <c r="I155" s="8">
        <f>[39]Rqmnt!P48+[39]Rqmnt!P49</f>
        <v>869.177260478753</v>
      </c>
      <c r="J155" s="8">
        <f>[39]Rqmnt!Q48+[39]Rqmnt!Q49</f>
        <v>820.178131882152</v>
      </c>
      <c r="K155" s="8">
        <f>[39]Rqmnt!R48+[39]Rqmnt!R49</f>
        <v>881.324667149341</v>
      </c>
      <c r="L155" s="8">
        <f>[39]Rqmnt!S48+[39]Rqmnt!S49</f>
        <v>796.989164274452</v>
      </c>
      <c r="M155" s="8">
        <f>[39]Rqmnt!T48+[39]Rqmnt!T49</f>
        <v>812.489032149341</v>
      </c>
      <c r="N155" s="8">
        <f>[39]Rqmnt!U48+[39]Rqmnt!U49</f>
        <v>868.907867149341</v>
      </c>
      <c r="O155" s="8">
        <f>[39]Rqmnt!V48+[39]Rqmnt!V49</f>
        <v>799.507733524674</v>
      </c>
      <c r="P155" s="8">
        <f>[39]Rqmnt!W48+[39]Rqmnt!W49</f>
        <v>884.711067149341</v>
      </c>
      <c r="Q155" s="650">
        <f>SUM(E155:P155)</f>
        <v>10053.3345428528</v>
      </c>
    </row>
    <row r="156" hidden="1" spans="2:17">
      <c r="B156" s="816">
        <f>B155+1</f>
        <v>2</v>
      </c>
      <c r="C156" s="32" t="s">
        <v>305</v>
      </c>
      <c r="D156" s="7" t="s">
        <v>306</v>
      </c>
      <c r="E156" s="812">
        <f t="shared" ref="E156:Q156" si="64">E157/E155</f>
        <v>0.0393</v>
      </c>
      <c r="F156" s="812">
        <f t="shared" si="64"/>
        <v>0.0358</v>
      </c>
      <c r="G156" s="812">
        <f t="shared" si="64"/>
        <v>0.0329</v>
      </c>
      <c r="H156" s="812">
        <f t="shared" si="64"/>
        <v>0.0350999999999999</v>
      </c>
      <c r="I156" s="812">
        <f t="shared" si="64"/>
        <v>0.0337</v>
      </c>
      <c r="J156" s="812">
        <f t="shared" si="64"/>
        <v>0.035</v>
      </c>
      <c r="K156" s="812">
        <f t="shared" si="64"/>
        <v>0.0332</v>
      </c>
      <c r="L156" s="812">
        <f t="shared" si="64"/>
        <v>0.032775</v>
      </c>
      <c r="M156" s="812">
        <f t="shared" si="64"/>
        <v>0.0394</v>
      </c>
      <c r="N156" s="812">
        <f t="shared" si="64"/>
        <v>0.03885</v>
      </c>
      <c r="O156" s="812">
        <f t="shared" si="64"/>
        <v>0.03755</v>
      </c>
      <c r="P156" s="812">
        <f t="shared" si="64"/>
        <v>0.03555</v>
      </c>
      <c r="Q156" s="812">
        <f t="shared" si="64"/>
        <v>0.035773694141799</v>
      </c>
    </row>
    <row r="157" ht="15" hidden="1" spans="2:17">
      <c r="B157" s="7">
        <f t="shared" ref="B157:B163" si="65">B156+1</f>
        <v>3</v>
      </c>
      <c r="C157" s="32" t="s">
        <v>305</v>
      </c>
      <c r="D157" s="7" t="s">
        <v>304</v>
      </c>
      <c r="E157" s="24">
        <f>[39]Rqmnt!L52</f>
        <v>33.472946134486</v>
      </c>
      <c r="F157" s="24">
        <f>[39]Rqmnt!M52</f>
        <v>31.0211391097255</v>
      </c>
      <c r="G157" s="24">
        <f>[39]Rqmnt!N52</f>
        <v>25.3268093095318</v>
      </c>
      <c r="H157" s="24">
        <f>[39]Rqmnt!O52</f>
        <v>29.2030810485446</v>
      </c>
      <c r="I157" s="24">
        <f>[39]Rqmnt!P52</f>
        <v>29.291273678134</v>
      </c>
      <c r="J157" s="24">
        <f>[39]Rqmnt!Q52</f>
        <v>28.7062346158753</v>
      </c>
      <c r="K157" s="24">
        <f>[39]Rqmnt!R52</f>
        <v>29.2599789493581</v>
      </c>
      <c r="L157" s="24">
        <f>[39]Rqmnt!S52</f>
        <v>26.1213198590952</v>
      </c>
      <c r="M157" s="24">
        <f>[39]Rqmnt!T52</f>
        <v>32.012067866684</v>
      </c>
      <c r="N157" s="24">
        <f>[39]Rqmnt!U52</f>
        <v>33.7570706387519</v>
      </c>
      <c r="O157" s="24">
        <f>[39]Rqmnt!V52</f>
        <v>30.0215153938515</v>
      </c>
      <c r="P157" s="24">
        <f>[39]Rqmnt!W52</f>
        <v>31.4514784371591</v>
      </c>
      <c r="Q157" s="650">
        <f>SUM(E157:P157)</f>
        <v>359.644915041197</v>
      </c>
    </row>
    <row r="158" ht="28.5" hidden="1" spans="2:17">
      <c r="B158" s="816">
        <f t="shared" si="65"/>
        <v>4</v>
      </c>
      <c r="C158" s="805" t="s">
        <v>307</v>
      </c>
      <c r="D158" s="7" t="s">
        <v>304</v>
      </c>
      <c r="E158" s="24">
        <f t="shared" ref="E158:P158" si="66">E155-E157</f>
        <v>818.255963139966</v>
      </c>
      <c r="F158" s="24">
        <f t="shared" si="66"/>
        <v>835.491126525066</v>
      </c>
      <c r="G158" s="24">
        <f t="shared" si="66"/>
        <v>744.485023806935</v>
      </c>
      <c r="H158" s="24">
        <f t="shared" si="66"/>
        <v>802.793530021103</v>
      </c>
      <c r="I158" s="24">
        <f t="shared" si="66"/>
        <v>839.885986800619</v>
      </c>
      <c r="J158" s="24">
        <f t="shared" si="66"/>
        <v>791.471897266277</v>
      </c>
      <c r="K158" s="24">
        <f t="shared" si="66"/>
        <v>852.064688199983</v>
      </c>
      <c r="L158" s="24">
        <f t="shared" si="66"/>
        <v>770.867844415357</v>
      </c>
      <c r="M158" s="24">
        <f t="shared" si="66"/>
        <v>780.476964282657</v>
      </c>
      <c r="N158" s="24">
        <f t="shared" si="66"/>
        <v>835.150796510589</v>
      </c>
      <c r="O158" s="24">
        <f t="shared" si="66"/>
        <v>769.486218130823</v>
      </c>
      <c r="P158" s="24">
        <f t="shared" si="66"/>
        <v>853.259588712182</v>
      </c>
      <c r="Q158" s="650">
        <f>SUM(E158:P158)</f>
        <v>9693.68962781156</v>
      </c>
    </row>
    <row r="159" ht="28.5" hidden="1" spans="2:17">
      <c r="B159" s="7">
        <f t="shared" si="65"/>
        <v>5</v>
      </c>
      <c r="C159" s="813" t="s">
        <v>308</v>
      </c>
      <c r="D159" s="7" t="s">
        <v>304</v>
      </c>
      <c r="E159" s="814">
        <f>[39]Rqmnt!L46-E158</f>
        <v>5625.46682293014</v>
      </c>
      <c r="F159" s="814">
        <f>[39]Rqmnt!M46-F158</f>
        <v>5246.48027849206</v>
      </c>
      <c r="G159" s="814">
        <f>[39]Rqmnt!N46-G158</f>
        <v>5039.71002678714</v>
      </c>
      <c r="H159" s="814">
        <f>[39]Rqmnt!O46-H158</f>
        <v>4770.0436179391</v>
      </c>
      <c r="I159" s="814">
        <f>[39]Rqmnt!P46-I158</f>
        <v>5466.36682512523</v>
      </c>
      <c r="J159" s="814">
        <f>[39]Rqmnt!Q46-J158</f>
        <v>5430.95062769465</v>
      </c>
      <c r="K159" s="814">
        <f>[39]Rqmnt!R46-K158</f>
        <v>5039.16839967069</v>
      </c>
      <c r="L159" s="814">
        <f>[39]Rqmnt!S46-L158</f>
        <v>4815.81461704451</v>
      </c>
      <c r="M159" s="814">
        <f>[39]Rqmnt!T46-M158</f>
        <v>5085.72285058296</v>
      </c>
      <c r="N159" s="814">
        <f>[39]Rqmnt!U46-N158</f>
        <v>5607.58430082611</v>
      </c>
      <c r="O159" s="814">
        <f>[39]Rqmnt!V46-O158</f>
        <v>5659.26418263079</v>
      </c>
      <c r="P159" s="814">
        <f>[39]Rqmnt!W46-P158</f>
        <v>6702.39031573984</v>
      </c>
      <c r="Q159" s="817">
        <f>SUM(E159:P159)</f>
        <v>64488.9628654632</v>
      </c>
    </row>
    <row r="160" ht="15" hidden="1" spans="2:17">
      <c r="B160" s="7">
        <f t="shared" si="65"/>
        <v>6</v>
      </c>
      <c r="C160" s="32" t="s">
        <v>309</v>
      </c>
      <c r="D160" s="7" t="s">
        <v>304</v>
      </c>
      <c r="E160" s="24">
        <f>[39]Rqmnt!L37</f>
        <v>891.155118848532</v>
      </c>
      <c r="F160" s="24">
        <f>[39]Rqmnt!M37</f>
        <v>861.930558299359</v>
      </c>
      <c r="G160" s="24">
        <f>[39]Rqmnt!N37</f>
        <v>891.877279550399</v>
      </c>
      <c r="H160" s="24">
        <f>[39]Rqmnt!O37</f>
        <v>892.734245385777</v>
      </c>
      <c r="I160" s="24">
        <f>[39]Rqmnt!P37</f>
        <v>1080.81720999726</v>
      </c>
      <c r="J160" s="24">
        <f>[39]Rqmnt!Q37</f>
        <v>1133.8272283399</v>
      </c>
      <c r="K160" s="24">
        <f>[39]Rqmnt!R37</f>
        <v>1182.30021335244</v>
      </c>
      <c r="L160" s="24">
        <f>[39]Rqmnt!S37</f>
        <v>1142.41405751717</v>
      </c>
      <c r="M160" s="24">
        <f>[39]Rqmnt!T37</f>
        <v>1017.60413799308</v>
      </c>
      <c r="N160" s="24">
        <f>[39]Rqmnt!U37</f>
        <v>994.111397771514</v>
      </c>
      <c r="O160" s="24">
        <f>[39]Rqmnt!V37</f>
        <v>937.036973610869</v>
      </c>
      <c r="P160" s="24">
        <f>[39]Rqmnt!W37</f>
        <v>1006.87433546201</v>
      </c>
      <c r="Q160" s="650">
        <f>SUM(E160:P160)</f>
        <v>12032.6827561283</v>
      </c>
    </row>
    <row r="161" hidden="1" spans="2:17">
      <c r="B161" s="816">
        <f t="shared" si="65"/>
        <v>7</v>
      </c>
      <c r="C161" s="32" t="s">
        <v>310</v>
      </c>
      <c r="D161" s="7" t="s">
        <v>306</v>
      </c>
      <c r="E161" s="812">
        <f t="shared" ref="E161:P161" si="67">E162/(E159+E155)</f>
        <v>0.0242739053257847</v>
      </c>
      <c r="F161" s="812">
        <f t="shared" si="67"/>
        <v>0.0242761791726698</v>
      </c>
      <c r="G161" s="812">
        <f t="shared" si="67"/>
        <v>0.0242936273652024</v>
      </c>
      <c r="H161" s="812">
        <f t="shared" si="67"/>
        <v>0.0242728043447645</v>
      </c>
      <c r="I161" s="812">
        <f t="shared" si="67"/>
        <v>0.0242871908918809</v>
      </c>
      <c r="J161" s="812">
        <f t="shared" si="67"/>
        <v>0.0242879510962634</v>
      </c>
      <c r="K161" s="812">
        <f t="shared" si="67"/>
        <v>0.0242794114817285</v>
      </c>
      <c r="L161" s="812">
        <f t="shared" si="67"/>
        <v>0.0242864453080147</v>
      </c>
      <c r="M161" s="812">
        <f t="shared" si="67"/>
        <v>0.0242675709738007</v>
      </c>
      <c r="N161" s="812">
        <f t="shared" si="67"/>
        <v>0.0242728211966876</v>
      </c>
      <c r="O161" s="812">
        <f t="shared" si="67"/>
        <v>0.0242865844799724</v>
      </c>
      <c r="P161" s="812">
        <f t="shared" si="67"/>
        <v>0.0242988525346982</v>
      </c>
      <c r="Q161" s="812">
        <f>Q162/(Q159+Q158)</f>
        <v>0.0244</v>
      </c>
    </row>
    <row r="162" ht="15" hidden="1" spans="2:17">
      <c r="B162" s="7">
        <f t="shared" si="65"/>
        <v>8</v>
      </c>
      <c r="C162" s="32" t="s">
        <v>310</v>
      </c>
      <c r="D162" s="7" t="s">
        <v>304</v>
      </c>
      <c r="E162" s="24">
        <f>[39]Rqmnt!L47</f>
        <v>157.226835980111</v>
      </c>
      <c r="F162" s="24">
        <f>[39]Rqmnt!M47</f>
        <v>148.400102282418</v>
      </c>
      <c r="G162" s="24">
        <f>[39]Rqmnt!N47</f>
        <v>141.134359234496</v>
      </c>
      <c r="H162" s="24">
        <f>[39]Rqmnt!O47</f>
        <v>135.977226410229</v>
      </c>
      <c r="I162" s="24">
        <f>[39]Rqmnt!P47</f>
        <v>153.872568610991</v>
      </c>
      <c r="J162" s="24">
        <f>[39]Rqmnt!Q47</f>
        <v>151.827109609047</v>
      </c>
      <c r="K162" s="24">
        <f>[39]Rqmnt!R47</f>
        <v>143.746087344044</v>
      </c>
      <c r="L162" s="24">
        <f>[39]Rqmnt!S47</f>
        <v>136.315052059621</v>
      </c>
      <c r="M162" s="24">
        <f>[39]Rqmnt!T47</f>
        <v>143.135275482721</v>
      </c>
      <c r="N162" s="24">
        <f>[39]Rqmnt!U47</f>
        <v>157.202736375016</v>
      </c>
      <c r="O162" s="24">
        <f>[39]Rqmnt!V47</f>
        <v>156.861509778583</v>
      </c>
      <c r="P162" s="24">
        <f>[39]Rqmnt!W47</f>
        <v>184.357857668629</v>
      </c>
      <c r="Q162" s="818">
        <f>SUM(E162:P162)</f>
        <v>1810.05672083591</v>
      </c>
    </row>
    <row r="163" ht="28.5" hidden="1" spans="2:17">
      <c r="B163" s="816">
        <f t="shared" si="65"/>
        <v>9</v>
      </c>
      <c r="C163" s="813" t="s">
        <v>311</v>
      </c>
      <c r="D163" s="7" t="s">
        <v>304</v>
      </c>
      <c r="E163" s="24">
        <f t="shared" ref="E163:P163" si="68">E158+E159-E160-E162</f>
        <v>5395.34083124147</v>
      </c>
      <c r="F163" s="24">
        <f t="shared" si="68"/>
        <v>5071.64074443535</v>
      </c>
      <c r="G163" s="24">
        <f t="shared" si="68"/>
        <v>4751.18341180919</v>
      </c>
      <c r="H163" s="24">
        <f t="shared" si="68"/>
        <v>4544.12567616419</v>
      </c>
      <c r="I163" s="24">
        <f t="shared" si="68"/>
        <v>5071.5630333176</v>
      </c>
      <c r="J163" s="24">
        <f t="shared" si="68"/>
        <v>4936.76818701198</v>
      </c>
      <c r="K163" s="24">
        <f t="shared" si="68"/>
        <v>4565.18678717419</v>
      </c>
      <c r="L163" s="24">
        <f t="shared" si="68"/>
        <v>4307.95335188308</v>
      </c>
      <c r="M163" s="24">
        <f t="shared" si="68"/>
        <v>4705.46040138982</v>
      </c>
      <c r="N163" s="24">
        <f t="shared" si="68"/>
        <v>5291.42096319017</v>
      </c>
      <c r="O163" s="24">
        <f t="shared" si="68"/>
        <v>5334.85191737216</v>
      </c>
      <c r="P163" s="24">
        <f t="shared" si="68"/>
        <v>6364.41771132138</v>
      </c>
      <c r="Q163" s="650">
        <f>SUM(E163:P163)</f>
        <v>60339.9130163106</v>
      </c>
    </row>
    <row r="164" ht="15" hidden="1" spans="2:17">
      <c r="B164" s="7"/>
      <c r="C164" s="18" t="s">
        <v>312</v>
      </c>
      <c r="D164" s="7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10"/>
    </row>
    <row r="165" ht="28.5" hidden="1" spans="2:17">
      <c r="B165" s="7">
        <f>B163+1</f>
        <v>10</v>
      </c>
      <c r="C165" s="805" t="s">
        <v>313</v>
      </c>
      <c r="D165" s="7" t="s">
        <v>304</v>
      </c>
      <c r="E165" s="24">
        <f>[39]Rqmnt!L7</f>
        <v>5395.34083124147</v>
      </c>
      <c r="F165" s="24">
        <f>[39]Rqmnt!M7</f>
        <v>5071.64074443535</v>
      </c>
      <c r="G165" s="24">
        <f>[39]Rqmnt!N7</f>
        <v>4751.18341180919</v>
      </c>
      <c r="H165" s="24">
        <f>[39]Rqmnt!O7</f>
        <v>4544.1256761642</v>
      </c>
      <c r="I165" s="24">
        <f>[39]Rqmnt!P7</f>
        <v>5071.5630333176</v>
      </c>
      <c r="J165" s="24">
        <f>[39]Rqmnt!Q7</f>
        <v>4936.76818701198</v>
      </c>
      <c r="K165" s="24">
        <f>[39]Rqmnt!R7</f>
        <v>4565.18678717418</v>
      </c>
      <c r="L165" s="24">
        <f>[39]Rqmnt!S7</f>
        <v>4307.95335188307</v>
      </c>
      <c r="M165" s="24">
        <f>[39]Rqmnt!T7</f>
        <v>4705.46040138982</v>
      </c>
      <c r="N165" s="24">
        <f>[39]Rqmnt!U7</f>
        <v>5291.42096319017</v>
      </c>
      <c r="O165" s="24">
        <f>[39]Rqmnt!V7</f>
        <v>5334.85191737215</v>
      </c>
      <c r="P165" s="24">
        <f>[39]Rqmnt!W7</f>
        <v>6364.41771132137</v>
      </c>
      <c r="Q165" s="818">
        <f>SUM(E165:P165)</f>
        <v>60339.9130163106</v>
      </c>
    </row>
    <row r="166" ht="15" hidden="1" spans="2:17">
      <c r="B166" s="7">
        <f t="shared" ref="B166:B169" si="69">B165+1</f>
        <v>11</v>
      </c>
      <c r="C166" s="32" t="s">
        <v>314</v>
      </c>
      <c r="D166" s="7" t="s">
        <v>304</v>
      </c>
      <c r="E166" s="24">
        <f>[39]Rqmnt!L9</f>
        <v>975.075206765121</v>
      </c>
      <c r="F166" s="24">
        <f>[39]Rqmnt!M9</f>
        <v>1045.40243563981</v>
      </c>
      <c r="G166" s="24">
        <f>[39]Rqmnt!N9</f>
        <v>1027.28109578235</v>
      </c>
      <c r="H166" s="24">
        <f>[39]Rqmnt!O9</f>
        <v>1003.65166615867</v>
      </c>
      <c r="I166" s="24">
        <f>[39]Rqmnt!P9</f>
        <v>1028.02514729429</v>
      </c>
      <c r="J166" s="24">
        <f>[39]Rqmnt!Q9</f>
        <v>990.963462785914</v>
      </c>
      <c r="K166" s="24">
        <f>[39]Rqmnt!R9</f>
        <v>1004.84457683346</v>
      </c>
      <c r="L166" s="24">
        <f>[39]Rqmnt!S9</f>
        <v>1004.98025629452</v>
      </c>
      <c r="M166" s="24">
        <f>[39]Rqmnt!T9</f>
        <v>1003.45285019928</v>
      </c>
      <c r="N166" s="24">
        <f>[39]Rqmnt!U9</f>
        <v>1004.95851118098</v>
      </c>
      <c r="O166" s="24">
        <f>[39]Rqmnt!V9</f>
        <v>991.045006887977</v>
      </c>
      <c r="P166" s="24">
        <f>[39]Rqmnt!W9</f>
        <v>1122.72097479207</v>
      </c>
      <c r="Q166" s="818">
        <f>SUM(E166:P166)</f>
        <v>12202.4011906144</v>
      </c>
    </row>
    <row r="167" hidden="1" spans="2:17">
      <c r="B167" s="816">
        <f t="shared" si="69"/>
        <v>12</v>
      </c>
      <c r="C167" s="32" t="s">
        <v>315</v>
      </c>
      <c r="D167" s="7" t="s">
        <v>306</v>
      </c>
      <c r="E167" s="812">
        <f t="shared" ref="E167:Q167" si="70">E168/E165</f>
        <v>0.0314</v>
      </c>
      <c r="F167" s="812">
        <f t="shared" si="70"/>
        <v>0.0314</v>
      </c>
      <c r="G167" s="812">
        <f t="shared" si="70"/>
        <v>0.0313999999999999</v>
      </c>
      <c r="H167" s="812">
        <f t="shared" si="70"/>
        <v>0.0313999999999998</v>
      </c>
      <c r="I167" s="812">
        <f t="shared" si="70"/>
        <v>0.0314000000000001</v>
      </c>
      <c r="J167" s="812">
        <f t="shared" si="70"/>
        <v>0.0314000000000002</v>
      </c>
      <c r="K167" s="812">
        <f t="shared" si="70"/>
        <v>0.0313999999999999</v>
      </c>
      <c r="L167" s="812">
        <f t="shared" si="70"/>
        <v>0.0314000000000001</v>
      </c>
      <c r="M167" s="812">
        <f t="shared" si="70"/>
        <v>0.0314000000000001</v>
      </c>
      <c r="N167" s="812">
        <f t="shared" si="70"/>
        <v>0.0314000000000001</v>
      </c>
      <c r="O167" s="812">
        <f t="shared" si="70"/>
        <v>0.0313999999999999</v>
      </c>
      <c r="P167" s="812">
        <f t="shared" si="70"/>
        <v>0.0314</v>
      </c>
      <c r="Q167" s="812">
        <f t="shared" si="70"/>
        <v>0.0314</v>
      </c>
    </row>
    <row r="168" hidden="1" spans="2:17">
      <c r="B168" s="7">
        <f t="shared" si="69"/>
        <v>13</v>
      </c>
      <c r="C168" s="32" t="s">
        <v>315</v>
      </c>
      <c r="D168" s="7" t="s">
        <v>304</v>
      </c>
      <c r="E168" s="24">
        <f>[39]Rqmnt!L11</f>
        <v>169.413702100982</v>
      </c>
      <c r="F168" s="24">
        <f>[39]Rqmnt!M11</f>
        <v>159.24951937527</v>
      </c>
      <c r="G168" s="24">
        <f>[39]Rqmnt!N11</f>
        <v>149.187159130808</v>
      </c>
      <c r="H168" s="24">
        <f>[39]Rqmnt!O11</f>
        <v>142.685546231555</v>
      </c>
      <c r="I168" s="24">
        <f>[39]Rqmnt!P11</f>
        <v>159.247079246173</v>
      </c>
      <c r="J168" s="24">
        <f>[39]Rqmnt!Q11</f>
        <v>155.014521072177</v>
      </c>
      <c r="K168" s="24">
        <f>[39]Rqmnt!R11</f>
        <v>143.346865117269</v>
      </c>
      <c r="L168" s="24">
        <f>[39]Rqmnt!S11</f>
        <v>135.269735249129</v>
      </c>
      <c r="M168" s="24">
        <f>[39]Rqmnt!T11</f>
        <v>147.751456603641</v>
      </c>
      <c r="N168" s="24">
        <f>[39]Rqmnt!U11</f>
        <v>166.150618244172</v>
      </c>
      <c r="O168" s="24">
        <f>[39]Rqmnt!V11</f>
        <v>167.514350205485</v>
      </c>
      <c r="P168" s="24">
        <f>[39]Rqmnt!W11</f>
        <v>199.842716135491</v>
      </c>
      <c r="Q168" s="24">
        <f>SUM(E168:P168)</f>
        <v>1894.67326871215</v>
      </c>
    </row>
    <row r="169" ht="28.5" hidden="1" spans="2:17">
      <c r="B169" s="816">
        <f t="shared" si="69"/>
        <v>14</v>
      </c>
      <c r="C169" s="805" t="s">
        <v>337</v>
      </c>
      <c r="D169" s="7" t="s">
        <v>304</v>
      </c>
      <c r="E169" s="24">
        <f t="shared" ref="E169:P169" si="71">E165-E166-E168</f>
        <v>4250.85192237537</v>
      </c>
      <c r="F169" s="24">
        <f t="shared" si="71"/>
        <v>3866.98878942027</v>
      </c>
      <c r="G169" s="24">
        <f t="shared" si="71"/>
        <v>3574.71515689603</v>
      </c>
      <c r="H169" s="24">
        <f t="shared" si="71"/>
        <v>3397.78846377397</v>
      </c>
      <c r="I169" s="24">
        <f t="shared" si="71"/>
        <v>3884.29080677714</v>
      </c>
      <c r="J169" s="24">
        <f t="shared" si="71"/>
        <v>3790.79020315389</v>
      </c>
      <c r="K169" s="24">
        <f t="shared" si="71"/>
        <v>3416.99534522345</v>
      </c>
      <c r="L169" s="24">
        <f t="shared" si="71"/>
        <v>3167.70336033942</v>
      </c>
      <c r="M169" s="24">
        <f t="shared" si="71"/>
        <v>3554.2560945869</v>
      </c>
      <c r="N169" s="24">
        <f t="shared" si="71"/>
        <v>4120.31183376502</v>
      </c>
      <c r="O169" s="24">
        <f t="shared" si="71"/>
        <v>4176.29256027869</v>
      </c>
      <c r="P169" s="24">
        <f t="shared" si="71"/>
        <v>5041.85402039381</v>
      </c>
      <c r="Q169" s="818">
        <f>SUM(E169:P169)</f>
        <v>46242.838556984</v>
      </c>
    </row>
    <row r="170" ht="15" hidden="1" spans="2:17">
      <c r="B170" s="7"/>
      <c r="C170" s="18" t="s">
        <v>317</v>
      </c>
      <c r="D170" s="7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10"/>
    </row>
    <row r="171" ht="28.5" hidden="1" spans="2:17">
      <c r="B171" s="7">
        <f>B169+1</f>
        <v>15</v>
      </c>
      <c r="C171" s="805" t="s">
        <v>318</v>
      </c>
      <c r="D171" s="7" t="s">
        <v>304</v>
      </c>
      <c r="E171" s="24">
        <f>[39]Rqmnt!L19</f>
        <v>4250.85192237536</v>
      </c>
      <c r="F171" s="24">
        <f>[39]Rqmnt!M19</f>
        <v>3866.98878942027</v>
      </c>
      <c r="G171" s="24">
        <f>[39]Rqmnt!N19</f>
        <v>3574.71515689603</v>
      </c>
      <c r="H171" s="24">
        <f>[39]Rqmnt!O19</f>
        <v>3397.78846377397</v>
      </c>
      <c r="I171" s="24">
        <f>[39]Rqmnt!P19</f>
        <v>3884.29080677714</v>
      </c>
      <c r="J171" s="24">
        <f>[39]Rqmnt!Q19</f>
        <v>3790.79020315389</v>
      </c>
      <c r="K171" s="24">
        <f>[39]Rqmnt!R19</f>
        <v>3416.99534522346</v>
      </c>
      <c r="L171" s="24">
        <f>[39]Rqmnt!S19</f>
        <v>3167.70336033942</v>
      </c>
      <c r="M171" s="24">
        <f>[39]Rqmnt!T19</f>
        <v>3554.2560945869</v>
      </c>
      <c r="N171" s="24">
        <f>[39]Rqmnt!U19</f>
        <v>4120.31183376502</v>
      </c>
      <c r="O171" s="24">
        <f>[39]Rqmnt!V19</f>
        <v>4176.29256027869</v>
      </c>
      <c r="P171" s="24">
        <f>[39]Rqmnt!W19</f>
        <v>5041.85402039381</v>
      </c>
      <c r="Q171" s="818">
        <f>SUM(E171:P171)</f>
        <v>46242.838556984</v>
      </c>
    </row>
    <row r="172" ht="15" hidden="1" spans="2:17">
      <c r="B172" s="7">
        <f t="shared" ref="B172:B176" si="72">B171+1</f>
        <v>16</v>
      </c>
      <c r="C172" s="805" t="s">
        <v>319</v>
      </c>
      <c r="D172" s="7" t="s">
        <v>304</v>
      </c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818">
        <f>SUM(E172:P172)</f>
        <v>0</v>
      </c>
    </row>
    <row r="173" ht="15" hidden="1" spans="2:17">
      <c r="B173" s="7">
        <f t="shared" si="72"/>
        <v>17</v>
      </c>
      <c r="C173" s="32" t="s">
        <v>320</v>
      </c>
      <c r="D173" s="7" t="s">
        <v>304</v>
      </c>
      <c r="E173" s="24">
        <f>[39]Rqmnt!L20</f>
        <v>796.075684364588</v>
      </c>
      <c r="F173" s="24">
        <f>[39]Rqmnt!M20</f>
        <v>843.882289976883</v>
      </c>
      <c r="G173" s="24">
        <f>[39]Rqmnt!N20</f>
        <v>831.781934973786</v>
      </c>
      <c r="H173" s="24">
        <f>[39]Rqmnt!O20</f>
        <v>761.904924711557</v>
      </c>
      <c r="I173" s="24">
        <f>[39]Rqmnt!P20</f>
        <v>805.95484997383</v>
      </c>
      <c r="J173" s="24">
        <f>[39]Rqmnt!Q20</f>
        <v>756.940241891133</v>
      </c>
      <c r="K173" s="24">
        <f>[39]Rqmnt!R20</f>
        <v>781.731373847767</v>
      </c>
      <c r="L173" s="24">
        <f>[39]Rqmnt!S20</f>
        <v>762.854773274848</v>
      </c>
      <c r="M173" s="24">
        <f>[39]Rqmnt!T20</f>
        <v>766.493546667944</v>
      </c>
      <c r="N173" s="24">
        <f>[39]Rqmnt!U20</f>
        <v>754.571356352307</v>
      </c>
      <c r="O173" s="24">
        <f>[39]Rqmnt!V20</f>
        <v>772.345696422497</v>
      </c>
      <c r="P173" s="24">
        <f>[39]Rqmnt!W20</f>
        <v>855.437887102204</v>
      </c>
      <c r="Q173" s="818">
        <f>SUM(E173:P173)</f>
        <v>9489.97455955934</v>
      </c>
    </row>
    <row r="174" hidden="1" spans="2:17">
      <c r="B174" s="816">
        <f t="shared" si="72"/>
        <v>18</v>
      </c>
      <c r="C174" s="32" t="s">
        <v>321</v>
      </c>
      <c r="D174" s="7" t="s">
        <v>306</v>
      </c>
      <c r="E174" s="812">
        <f t="shared" ref="E174:Q174" si="73">E175/E171</f>
        <v>0.0401</v>
      </c>
      <c r="F174" s="812">
        <f t="shared" si="73"/>
        <v>0.0401</v>
      </c>
      <c r="G174" s="812">
        <f t="shared" si="73"/>
        <v>0.0401000000000001</v>
      </c>
      <c r="H174" s="812">
        <f t="shared" si="73"/>
        <v>0.0401000000000002</v>
      </c>
      <c r="I174" s="812">
        <f t="shared" si="73"/>
        <v>0.0400999999999999</v>
      </c>
      <c r="J174" s="812">
        <f t="shared" si="73"/>
        <v>0.0401</v>
      </c>
      <c r="K174" s="812">
        <f t="shared" si="73"/>
        <v>0.0401000000000001</v>
      </c>
      <c r="L174" s="812">
        <f t="shared" si="73"/>
        <v>0.0401000000000001</v>
      </c>
      <c r="M174" s="812">
        <f t="shared" si="73"/>
        <v>0.0401000000000001</v>
      </c>
      <c r="N174" s="812">
        <f t="shared" si="73"/>
        <v>0.0401000000000002</v>
      </c>
      <c r="O174" s="812">
        <f t="shared" si="73"/>
        <v>0.0401000000000001</v>
      </c>
      <c r="P174" s="812">
        <f t="shared" si="73"/>
        <v>0.0401</v>
      </c>
      <c r="Q174" s="812">
        <f t="shared" si="73"/>
        <v>0.0401000000000001</v>
      </c>
    </row>
    <row r="175" ht="15" hidden="1" spans="2:17">
      <c r="B175" s="7">
        <f t="shared" si="72"/>
        <v>19</v>
      </c>
      <c r="C175" s="32" t="s">
        <v>321</v>
      </c>
      <c r="D175" s="7" t="s">
        <v>304</v>
      </c>
      <c r="E175" s="24">
        <f>[39]Rqmnt!L22</f>
        <v>170.459162087252</v>
      </c>
      <c r="F175" s="24">
        <f>[39]Rqmnt!M22</f>
        <v>155.066250455753</v>
      </c>
      <c r="G175" s="24">
        <f>[39]Rqmnt!N22</f>
        <v>143.346077791531</v>
      </c>
      <c r="H175" s="24">
        <f>[39]Rqmnt!O22</f>
        <v>136.251317397337</v>
      </c>
      <c r="I175" s="24">
        <f>[39]Rqmnt!P22</f>
        <v>155.760061351763</v>
      </c>
      <c r="J175" s="24">
        <f>[39]Rqmnt!Q22</f>
        <v>152.010687146471</v>
      </c>
      <c r="K175" s="24">
        <f>[39]Rqmnt!R22</f>
        <v>137.021513343461</v>
      </c>
      <c r="L175" s="24">
        <f>[39]Rqmnt!S22</f>
        <v>127.024904749611</v>
      </c>
      <c r="M175" s="24">
        <f>[39]Rqmnt!T22</f>
        <v>142.525669392935</v>
      </c>
      <c r="N175" s="24">
        <f>[39]Rqmnt!U22</f>
        <v>165.224504533978</v>
      </c>
      <c r="O175" s="24">
        <f>[39]Rqmnt!V22</f>
        <v>167.469331667176</v>
      </c>
      <c r="P175" s="24">
        <f>[39]Rqmnt!W22</f>
        <v>202.178346217792</v>
      </c>
      <c r="Q175" s="818">
        <f>SUM(E175:P175)</f>
        <v>1854.33782613506</v>
      </c>
    </row>
    <row r="176" ht="28.5" hidden="1" spans="2:17">
      <c r="B176" s="816">
        <f t="shared" si="72"/>
        <v>20</v>
      </c>
      <c r="C176" s="805" t="s">
        <v>338</v>
      </c>
      <c r="D176" s="7" t="s">
        <v>304</v>
      </c>
      <c r="E176" s="24">
        <f t="shared" ref="E176:P176" si="74">E171+E172-E173-E175</f>
        <v>3284.31707592352</v>
      </c>
      <c r="F176" s="24">
        <f t="shared" si="74"/>
        <v>2868.04024898763</v>
      </c>
      <c r="G176" s="24">
        <f t="shared" si="74"/>
        <v>2599.58714413071</v>
      </c>
      <c r="H176" s="24">
        <f t="shared" si="74"/>
        <v>2499.63222166508</v>
      </c>
      <c r="I176" s="24">
        <f t="shared" si="74"/>
        <v>2922.57589545155</v>
      </c>
      <c r="J176" s="24">
        <f t="shared" si="74"/>
        <v>2881.83927411629</v>
      </c>
      <c r="K176" s="24">
        <f t="shared" si="74"/>
        <v>2498.24245803223</v>
      </c>
      <c r="L176" s="24">
        <f t="shared" si="74"/>
        <v>2277.82368231496</v>
      </c>
      <c r="M176" s="24">
        <f t="shared" si="74"/>
        <v>2645.23687852602</v>
      </c>
      <c r="N176" s="24">
        <f t="shared" si="74"/>
        <v>3200.51597287874</v>
      </c>
      <c r="O176" s="24">
        <f t="shared" si="74"/>
        <v>3236.47753218902</v>
      </c>
      <c r="P176" s="24">
        <f t="shared" si="74"/>
        <v>3984.23778707381</v>
      </c>
      <c r="Q176" s="818">
        <f>SUM(E176:P176)</f>
        <v>34898.5261712896</v>
      </c>
    </row>
    <row r="177" ht="15" hidden="1" spans="2:17">
      <c r="B177" s="7"/>
      <c r="C177" s="18" t="s">
        <v>323</v>
      </c>
      <c r="D177" s="7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10"/>
    </row>
    <row r="178" ht="28.5" hidden="1" spans="2:17">
      <c r="B178" s="7"/>
      <c r="C178" s="805" t="s">
        <v>324</v>
      </c>
      <c r="D178" s="7" t="s">
        <v>304</v>
      </c>
      <c r="E178" s="24">
        <f>[39]Rqmnt!L27</f>
        <v>3284.31707592352</v>
      </c>
      <c r="F178" s="24">
        <f>[39]Rqmnt!M27</f>
        <v>2868.04024898763</v>
      </c>
      <c r="G178" s="24">
        <f>[39]Rqmnt!N27</f>
        <v>2599.58714413071</v>
      </c>
      <c r="H178" s="24">
        <f>[39]Rqmnt!O27</f>
        <v>2499.63222166508</v>
      </c>
      <c r="I178" s="24">
        <f>[39]Rqmnt!P27</f>
        <v>2922.57589545154</v>
      </c>
      <c r="J178" s="24">
        <f>[39]Rqmnt!Q27</f>
        <v>2881.83927411629</v>
      </c>
      <c r="K178" s="24">
        <f>[39]Rqmnt!R27</f>
        <v>2498.24245803223</v>
      </c>
      <c r="L178" s="24">
        <f>[39]Rqmnt!S27</f>
        <v>2277.82368231496</v>
      </c>
      <c r="M178" s="24">
        <f>[39]Rqmnt!T27</f>
        <v>2645.23687852602</v>
      </c>
      <c r="N178" s="24">
        <f>[39]Rqmnt!U27</f>
        <v>3200.51597287874</v>
      </c>
      <c r="O178" s="24">
        <f>[39]Rqmnt!V27</f>
        <v>3236.47753218902</v>
      </c>
      <c r="P178" s="24">
        <f>[39]Rqmnt!W27</f>
        <v>3984.23778707382</v>
      </c>
      <c r="Q178" s="810">
        <f>SUM(E178:P178)</f>
        <v>34898.5261712896</v>
      </c>
    </row>
    <row r="179" ht="15" hidden="1" spans="2:17">
      <c r="B179" s="7">
        <f>B176+1</f>
        <v>21</v>
      </c>
      <c r="C179" s="805" t="s">
        <v>319</v>
      </c>
      <c r="D179" s="7" t="s">
        <v>304</v>
      </c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650">
        <f>SUM(E179:P179)</f>
        <v>0</v>
      </c>
    </row>
    <row r="180" ht="15" hidden="1" spans="2:17">
      <c r="B180" s="7">
        <f t="shared" ref="B180:B182" si="75">B179+1</f>
        <v>22</v>
      </c>
      <c r="C180" s="32" t="s">
        <v>325</v>
      </c>
      <c r="D180" s="7" t="s">
        <v>304</v>
      </c>
      <c r="E180" s="24">
        <f>[39]Rqmnt!L28+[39]Rqmnt!L29</f>
        <v>3133.23849043104</v>
      </c>
      <c r="F180" s="24">
        <f>[39]Rqmnt!M28+[39]Rqmnt!M29</f>
        <v>2736.1103975342</v>
      </c>
      <c r="G180" s="24">
        <f>[39]Rqmnt!N28+[39]Rqmnt!N29</f>
        <v>2480.0061355007</v>
      </c>
      <c r="H180" s="24">
        <f>[39]Rqmnt!O28+[39]Rqmnt!O29</f>
        <v>2384.64913946849</v>
      </c>
      <c r="I180" s="24">
        <f>[39]Rqmnt!P28+[39]Rqmnt!P29</f>
        <v>2788.13740426077</v>
      </c>
      <c r="J180" s="24">
        <f>[39]Rqmnt!Q28+[39]Rqmnt!Q29</f>
        <v>2749.27466750694</v>
      </c>
      <c r="K180" s="24">
        <f>[39]Rqmnt!R28+[39]Rqmnt!R29</f>
        <v>2383.32330496274</v>
      </c>
      <c r="L180" s="24">
        <f>[39]Rqmnt!S28+[39]Rqmnt!S29</f>
        <v>2173.04379292847</v>
      </c>
      <c r="M180" s="24">
        <f>[39]Rqmnt!T28+[39]Rqmnt!T29</f>
        <v>2523.55598211382</v>
      </c>
      <c r="N180" s="24">
        <f>[39]Rqmnt!U28+[39]Rqmnt!U29</f>
        <v>3053.29223812631</v>
      </c>
      <c r="O180" s="24">
        <f>[39]Rqmnt!V28+[39]Rqmnt!V29</f>
        <v>3087.59956570832</v>
      </c>
      <c r="P180" s="24">
        <f>[39]Rqmnt!W28+[39]Rqmnt!W29</f>
        <v>3800.96284886843</v>
      </c>
      <c r="Q180" s="818">
        <f>SUM(E180:P180)</f>
        <v>33293.1939674102</v>
      </c>
    </row>
    <row r="181" hidden="1" spans="2:17">
      <c r="B181" s="816">
        <f t="shared" si="75"/>
        <v>23</v>
      </c>
      <c r="C181" s="32" t="s">
        <v>326</v>
      </c>
      <c r="D181" s="7" t="s">
        <v>306</v>
      </c>
      <c r="E181" s="812">
        <f t="shared" ref="E181:Q181" si="76">E182/E178</f>
        <v>0.046</v>
      </c>
      <c r="F181" s="812">
        <f t="shared" si="76"/>
        <v>0.046</v>
      </c>
      <c r="G181" s="812">
        <f t="shared" si="76"/>
        <v>0.0460000000000001</v>
      </c>
      <c r="H181" s="812">
        <f t="shared" si="76"/>
        <v>0.0460000000000001</v>
      </c>
      <c r="I181" s="812">
        <f t="shared" si="76"/>
        <v>0.0460000000000001</v>
      </c>
      <c r="J181" s="812">
        <f t="shared" si="76"/>
        <v>0.0460000000000002</v>
      </c>
      <c r="K181" s="812">
        <f t="shared" si="76"/>
        <v>0.0459999999999998</v>
      </c>
      <c r="L181" s="812">
        <f t="shared" si="76"/>
        <v>0.0459999999999999</v>
      </c>
      <c r="M181" s="812">
        <f t="shared" si="76"/>
        <v>0.046</v>
      </c>
      <c r="N181" s="812">
        <f t="shared" si="76"/>
        <v>0.046</v>
      </c>
      <c r="O181" s="812">
        <f t="shared" si="76"/>
        <v>0.046</v>
      </c>
      <c r="P181" s="812">
        <f t="shared" si="76"/>
        <v>0.0460000000000001</v>
      </c>
      <c r="Q181" s="812">
        <f t="shared" si="76"/>
        <v>0.046</v>
      </c>
    </row>
    <row r="182" ht="15" hidden="1" spans="2:17">
      <c r="B182" s="7">
        <f t="shared" si="75"/>
        <v>24</v>
      </c>
      <c r="C182" s="32" t="s">
        <v>326</v>
      </c>
      <c r="D182" s="7" t="s">
        <v>304</v>
      </c>
      <c r="E182" s="24">
        <f>[39]Rqmnt!L30</f>
        <v>151.078585492482</v>
      </c>
      <c r="F182" s="24">
        <f>[39]Rqmnt!M30</f>
        <v>131.929851453431</v>
      </c>
      <c r="G182" s="24">
        <f>[39]Rqmnt!N30</f>
        <v>119.581008630013</v>
      </c>
      <c r="H182" s="24">
        <f>[39]Rqmnt!O30</f>
        <v>114.983082196594</v>
      </c>
      <c r="I182" s="24">
        <f>[39]Rqmnt!P30</f>
        <v>134.438491190771</v>
      </c>
      <c r="J182" s="24">
        <f>[39]Rqmnt!Q30</f>
        <v>132.56460660935</v>
      </c>
      <c r="K182" s="24">
        <f>[39]Rqmnt!R30</f>
        <v>114.919153069482</v>
      </c>
      <c r="L182" s="24">
        <f>[39]Rqmnt!S30</f>
        <v>104.779889386488</v>
      </c>
      <c r="M182" s="24">
        <f>[39]Rqmnt!T30</f>
        <v>121.680896412197</v>
      </c>
      <c r="N182" s="24">
        <f>[39]Rqmnt!U30</f>
        <v>147.223734752422</v>
      </c>
      <c r="O182" s="24">
        <f>[39]Rqmnt!V30</f>
        <v>148.877966480695</v>
      </c>
      <c r="P182" s="24">
        <f>[39]Rqmnt!W30</f>
        <v>183.274938205396</v>
      </c>
      <c r="Q182" s="818">
        <f t="shared" ref="Q182:Q184" si="77">SUM(E182:P182)</f>
        <v>1605.33220387932</v>
      </c>
    </row>
    <row r="183" ht="15" hidden="1" spans="2:17">
      <c r="B183" s="7"/>
      <c r="C183" s="18" t="s">
        <v>97</v>
      </c>
      <c r="D183" s="7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650">
        <f t="shared" si="77"/>
        <v>0</v>
      </c>
    </row>
    <row r="184" ht="15" hidden="1" spans="2:18">
      <c r="B184" s="816">
        <f>B182+1</f>
        <v>25</v>
      </c>
      <c r="C184" s="815" t="s">
        <v>327</v>
      </c>
      <c r="D184" s="39" t="s">
        <v>304</v>
      </c>
      <c r="E184" s="24">
        <f t="shared" ref="E184:P184" si="78">E155+E159+E179</f>
        <v>6477.1957322046</v>
      </c>
      <c r="F184" s="24">
        <f t="shared" si="78"/>
        <v>6112.99254412686</v>
      </c>
      <c r="G184" s="24">
        <f t="shared" si="78"/>
        <v>5809.52185990361</v>
      </c>
      <c r="H184" s="24">
        <f t="shared" si="78"/>
        <v>5602.04022900874</v>
      </c>
      <c r="I184" s="24">
        <f t="shared" si="78"/>
        <v>6335.54408560398</v>
      </c>
      <c r="J184" s="24">
        <f t="shared" si="78"/>
        <v>6251.12875957681</v>
      </c>
      <c r="K184" s="24">
        <f t="shared" si="78"/>
        <v>5920.49306682003</v>
      </c>
      <c r="L184" s="24">
        <f t="shared" si="78"/>
        <v>5612.80378131897</v>
      </c>
      <c r="M184" s="24">
        <f t="shared" si="78"/>
        <v>5898.2118827323</v>
      </c>
      <c r="N184" s="24">
        <f t="shared" si="78"/>
        <v>6476.49216797545</v>
      </c>
      <c r="O184" s="24">
        <f t="shared" si="78"/>
        <v>6458.77191615546</v>
      </c>
      <c r="P184" s="24">
        <f t="shared" si="78"/>
        <v>7587.10138288918</v>
      </c>
      <c r="Q184" s="650">
        <f t="shared" si="77"/>
        <v>74542.297408316</v>
      </c>
      <c r="R184" s="819"/>
    </row>
    <row r="185" ht="15" hidden="1" spans="2:17">
      <c r="B185" s="816">
        <f>B184+1</f>
        <v>26</v>
      </c>
      <c r="C185" s="18" t="s">
        <v>328</v>
      </c>
      <c r="D185" s="39" t="s">
        <v>304</v>
      </c>
      <c r="E185" s="24">
        <f t="shared" ref="E185:P185" si="79">E160+E166+E173+E180</f>
        <v>5795.54450040928</v>
      </c>
      <c r="F185" s="24">
        <f t="shared" si="79"/>
        <v>5487.32568145025</v>
      </c>
      <c r="G185" s="24">
        <f t="shared" si="79"/>
        <v>5230.94644580724</v>
      </c>
      <c r="H185" s="24">
        <f t="shared" si="79"/>
        <v>5042.93997572449</v>
      </c>
      <c r="I185" s="24">
        <f t="shared" si="79"/>
        <v>5702.93461152615</v>
      </c>
      <c r="J185" s="24">
        <f t="shared" si="79"/>
        <v>5631.00560052389</v>
      </c>
      <c r="K185" s="24">
        <f t="shared" si="79"/>
        <v>5352.19946899641</v>
      </c>
      <c r="L185" s="24">
        <f t="shared" si="79"/>
        <v>5083.29288001501</v>
      </c>
      <c r="M185" s="24">
        <f t="shared" si="79"/>
        <v>5311.10651697412</v>
      </c>
      <c r="N185" s="24">
        <f t="shared" si="79"/>
        <v>5806.93350343111</v>
      </c>
      <c r="O185" s="24">
        <f t="shared" si="79"/>
        <v>5788.02724262966</v>
      </c>
      <c r="P185" s="24">
        <f t="shared" si="79"/>
        <v>6785.99604622471</v>
      </c>
      <c r="Q185" s="818">
        <f t="shared" ref="Q185:Q187" si="80">SUM(E185:P185)</f>
        <v>67018.2524737123</v>
      </c>
    </row>
    <row r="186" ht="30" hidden="1" spans="2:17">
      <c r="B186" s="816">
        <f>B185+1</f>
        <v>27</v>
      </c>
      <c r="C186" s="808" t="s">
        <v>329</v>
      </c>
      <c r="D186" s="39"/>
      <c r="E186" s="24">
        <f t="shared" ref="E186:P186" si="81">E163+E160</f>
        <v>6286.49595009</v>
      </c>
      <c r="F186" s="24">
        <f t="shared" si="81"/>
        <v>5933.57130273471</v>
      </c>
      <c r="G186" s="24">
        <f t="shared" si="81"/>
        <v>5643.06069135958</v>
      </c>
      <c r="H186" s="24">
        <f t="shared" si="81"/>
        <v>5436.85992154997</v>
      </c>
      <c r="I186" s="24">
        <f t="shared" si="81"/>
        <v>6152.38024331486</v>
      </c>
      <c r="J186" s="24">
        <f t="shared" si="81"/>
        <v>6070.59541535188</v>
      </c>
      <c r="K186" s="24">
        <f t="shared" si="81"/>
        <v>5747.48700052663</v>
      </c>
      <c r="L186" s="24">
        <f t="shared" si="81"/>
        <v>5450.36740940025</v>
      </c>
      <c r="M186" s="24">
        <f t="shared" si="81"/>
        <v>5723.0645393829</v>
      </c>
      <c r="N186" s="24">
        <f t="shared" si="81"/>
        <v>6285.53236096168</v>
      </c>
      <c r="O186" s="24">
        <f t="shared" si="81"/>
        <v>6271.88889098303</v>
      </c>
      <c r="P186" s="24">
        <f t="shared" si="81"/>
        <v>7371.29204678339</v>
      </c>
      <c r="Q186" s="818">
        <f t="shared" si="80"/>
        <v>72372.5957724389</v>
      </c>
    </row>
    <row r="187" ht="15" hidden="1" spans="2:17">
      <c r="B187" s="816">
        <f>B186+1</f>
        <v>28</v>
      </c>
      <c r="C187" s="808" t="s">
        <v>330</v>
      </c>
      <c r="D187" s="39" t="s">
        <v>304</v>
      </c>
      <c r="E187" s="24">
        <f t="shared" ref="E187:P187" si="82">E186-E185</f>
        <v>490.951449680717</v>
      </c>
      <c r="F187" s="24">
        <f t="shared" si="82"/>
        <v>446.245621284465</v>
      </c>
      <c r="G187" s="24">
        <f t="shared" si="82"/>
        <v>412.114245552349</v>
      </c>
      <c r="H187" s="24">
        <f t="shared" si="82"/>
        <v>393.91994582548</v>
      </c>
      <c r="I187" s="24">
        <f t="shared" si="82"/>
        <v>449.445631788709</v>
      </c>
      <c r="J187" s="24">
        <f t="shared" si="82"/>
        <v>439.589814827996</v>
      </c>
      <c r="K187" s="24">
        <f t="shared" si="82"/>
        <v>395.287531530218</v>
      </c>
      <c r="L187" s="24">
        <f t="shared" si="82"/>
        <v>367.07452938524</v>
      </c>
      <c r="M187" s="24">
        <f t="shared" si="82"/>
        <v>411.958022408776</v>
      </c>
      <c r="N187" s="24">
        <f t="shared" si="82"/>
        <v>478.598857530573</v>
      </c>
      <c r="O187" s="24">
        <f t="shared" si="82"/>
        <v>483.861648353363</v>
      </c>
      <c r="P187" s="24">
        <f t="shared" si="82"/>
        <v>585.296000558676</v>
      </c>
      <c r="Q187" s="818">
        <f t="shared" si="80"/>
        <v>5354.34329872656</v>
      </c>
    </row>
    <row r="188" ht="15" hidden="1" spans="2:17">
      <c r="B188" s="816">
        <f t="shared" ref="B188" si="83">B187+1</f>
        <v>29</v>
      </c>
      <c r="C188" s="808" t="s">
        <v>331</v>
      </c>
      <c r="D188" s="39" t="s">
        <v>306</v>
      </c>
      <c r="E188" s="812">
        <f t="shared" ref="E188:Q188" si="84">E187/(E186-E160)</f>
        <v>0.0909954468192048</v>
      </c>
      <c r="F188" s="812">
        <f t="shared" si="84"/>
        <v>0.0879884131726185</v>
      </c>
      <c r="G188" s="812">
        <f t="shared" si="84"/>
        <v>0.0867392836336371</v>
      </c>
      <c r="H188" s="812">
        <f t="shared" si="84"/>
        <v>0.086687731347694</v>
      </c>
      <c r="I188" s="812">
        <f t="shared" si="84"/>
        <v>0.08862073266882</v>
      </c>
      <c r="J188" s="812">
        <f t="shared" si="84"/>
        <v>0.0890440462617834</v>
      </c>
      <c r="K188" s="812">
        <f t="shared" si="84"/>
        <v>0.0865873730820328</v>
      </c>
      <c r="L188" s="812">
        <f t="shared" si="84"/>
        <v>0.0852085664355639</v>
      </c>
      <c r="M188" s="812">
        <f t="shared" si="84"/>
        <v>0.0875489298108</v>
      </c>
      <c r="N188" s="812">
        <f t="shared" si="84"/>
        <v>0.0904480782874678</v>
      </c>
      <c r="O188" s="812">
        <f t="shared" si="84"/>
        <v>0.090698234149244</v>
      </c>
      <c r="P188" s="812">
        <f t="shared" si="84"/>
        <v>0.0919637941924395</v>
      </c>
      <c r="Q188" s="812">
        <f t="shared" si="84"/>
        <v>0.0887363443377722</v>
      </c>
    </row>
    <row r="189" hidden="1"/>
    <row r="190" ht="15" hidden="1" spans="2:17">
      <c r="B190" s="39" t="s">
        <v>3</v>
      </c>
      <c r="C190" s="6" t="s">
        <v>110</v>
      </c>
      <c r="D190" s="5" t="s">
        <v>297</v>
      </c>
      <c r="E190" s="811" t="s">
        <v>266</v>
      </c>
      <c r="F190" s="811"/>
      <c r="G190" s="811"/>
      <c r="H190" s="811"/>
      <c r="I190" s="811"/>
      <c r="J190" s="811"/>
      <c r="K190" s="811"/>
      <c r="L190" s="811"/>
      <c r="M190" s="811"/>
      <c r="N190" s="811"/>
      <c r="O190" s="811"/>
      <c r="P190" s="811"/>
      <c r="Q190" s="811"/>
    </row>
    <row r="191" ht="15" hidden="1" spans="2:17">
      <c r="B191" s="39"/>
      <c r="C191" s="6"/>
      <c r="D191" s="5"/>
      <c r="E191" s="135" t="s">
        <v>246</v>
      </c>
      <c r="F191" s="135" t="s">
        <v>247</v>
      </c>
      <c r="G191" s="135" t="s">
        <v>248</v>
      </c>
      <c r="H191" s="135" t="s">
        <v>249</v>
      </c>
      <c r="I191" s="135" t="s">
        <v>250</v>
      </c>
      <c r="J191" s="135" t="s">
        <v>251</v>
      </c>
      <c r="K191" s="135" t="s">
        <v>252</v>
      </c>
      <c r="L191" s="135" t="s">
        <v>253</v>
      </c>
      <c r="M191" s="135" t="s">
        <v>254</v>
      </c>
      <c r="N191" s="135" t="s">
        <v>255</v>
      </c>
      <c r="O191" s="135" t="s">
        <v>256</v>
      </c>
      <c r="P191" s="135" t="s">
        <v>257</v>
      </c>
      <c r="Q191" s="135" t="s">
        <v>97</v>
      </c>
    </row>
    <row r="192" ht="15" hidden="1" spans="2:17">
      <c r="B192" s="7">
        <v>1</v>
      </c>
      <c r="C192" s="32" t="s">
        <v>303</v>
      </c>
      <c r="D192" s="7" t="s">
        <v>304</v>
      </c>
      <c r="E192" s="8">
        <f>[40]Rqmnt!L48+[40]Rqmnt!L49</f>
        <v>851.728909274452</v>
      </c>
      <c r="F192" s="8">
        <f>[40]Rqmnt!M48+[40]Rqmnt!M49</f>
        <v>866.512265634791</v>
      </c>
      <c r="G192" s="8">
        <f>[40]Rqmnt!N48+[40]Rqmnt!N49</f>
        <v>769.811833116467</v>
      </c>
      <c r="H192" s="8">
        <f>[40]Rqmnt!O48+[40]Rqmnt!O49</f>
        <v>831.996611069648</v>
      </c>
      <c r="I192" s="8">
        <f>[40]Rqmnt!P48+[40]Rqmnt!P49</f>
        <v>869.177260478753</v>
      </c>
      <c r="J192" s="8">
        <f>[40]Rqmnt!Q48+[40]Rqmnt!Q49</f>
        <v>820.178131882152</v>
      </c>
      <c r="K192" s="8">
        <f>[40]Rqmnt!R48+[40]Rqmnt!R49</f>
        <v>881.324667149341</v>
      </c>
      <c r="L192" s="8">
        <f>[40]Rqmnt!S48+[40]Rqmnt!S49</f>
        <v>796.989164274452</v>
      </c>
      <c r="M192" s="8">
        <f>[40]Rqmnt!T48+[40]Rqmnt!T49</f>
        <v>812.489032149341</v>
      </c>
      <c r="N192" s="8">
        <f>[40]Rqmnt!U48+[40]Rqmnt!U49</f>
        <v>868.907867149341</v>
      </c>
      <c r="O192" s="8">
        <f>[40]Rqmnt!V48+[40]Rqmnt!V49</f>
        <v>799.507733524674</v>
      </c>
      <c r="P192" s="8">
        <f>[40]Rqmnt!W48+[40]Rqmnt!W49</f>
        <v>884.711067149341</v>
      </c>
      <c r="Q192" s="650">
        <f>SUM(E192:P192)</f>
        <v>10053.3345428528</v>
      </c>
    </row>
    <row r="193" hidden="1" spans="2:17">
      <c r="B193" s="816">
        <f>B192+1</f>
        <v>2</v>
      </c>
      <c r="C193" s="32" t="s">
        <v>305</v>
      </c>
      <c r="D193" s="7" t="s">
        <v>306</v>
      </c>
      <c r="E193" s="812">
        <f t="shared" ref="E193:Q193" si="85">E194/E192</f>
        <v>0.0393</v>
      </c>
      <c r="F193" s="812">
        <f t="shared" si="85"/>
        <v>0.0358</v>
      </c>
      <c r="G193" s="812">
        <f t="shared" si="85"/>
        <v>0.0329</v>
      </c>
      <c r="H193" s="812">
        <f t="shared" si="85"/>
        <v>0.0350999999999999</v>
      </c>
      <c r="I193" s="812">
        <f t="shared" si="85"/>
        <v>0.0337</v>
      </c>
      <c r="J193" s="812">
        <f t="shared" si="85"/>
        <v>0.035</v>
      </c>
      <c r="K193" s="812">
        <f t="shared" si="85"/>
        <v>0.0332</v>
      </c>
      <c r="L193" s="812">
        <f t="shared" si="85"/>
        <v>0.032775</v>
      </c>
      <c r="M193" s="812">
        <f t="shared" si="85"/>
        <v>0.0394</v>
      </c>
      <c r="N193" s="812">
        <f t="shared" si="85"/>
        <v>0.03885</v>
      </c>
      <c r="O193" s="812">
        <f t="shared" si="85"/>
        <v>0.03755</v>
      </c>
      <c r="P193" s="812">
        <f t="shared" si="85"/>
        <v>0.03555</v>
      </c>
      <c r="Q193" s="812">
        <f t="shared" si="85"/>
        <v>0.035773694141799</v>
      </c>
    </row>
    <row r="194" ht="15" hidden="1" spans="2:17">
      <c r="B194" s="7">
        <f t="shared" ref="B194:B200" si="86">B193+1</f>
        <v>3</v>
      </c>
      <c r="C194" s="32" t="s">
        <v>305</v>
      </c>
      <c r="D194" s="7" t="s">
        <v>304</v>
      </c>
      <c r="E194" s="24">
        <f>[40]Rqmnt!L52</f>
        <v>33.472946134486</v>
      </c>
      <c r="F194" s="24">
        <f>[40]Rqmnt!M52</f>
        <v>31.0211391097255</v>
      </c>
      <c r="G194" s="24">
        <f>[40]Rqmnt!N52</f>
        <v>25.3268093095318</v>
      </c>
      <c r="H194" s="24">
        <f>[40]Rqmnt!O52</f>
        <v>29.2030810485446</v>
      </c>
      <c r="I194" s="24">
        <f>[40]Rqmnt!P52</f>
        <v>29.291273678134</v>
      </c>
      <c r="J194" s="24">
        <f>[40]Rqmnt!Q52</f>
        <v>28.7062346158753</v>
      </c>
      <c r="K194" s="24">
        <f>[40]Rqmnt!R52</f>
        <v>29.2599789493581</v>
      </c>
      <c r="L194" s="24">
        <f>[40]Rqmnt!S52</f>
        <v>26.1213198590952</v>
      </c>
      <c r="M194" s="24">
        <f>[40]Rqmnt!T52</f>
        <v>32.012067866684</v>
      </c>
      <c r="N194" s="24">
        <f>[40]Rqmnt!U52</f>
        <v>33.7570706387519</v>
      </c>
      <c r="O194" s="24">
        <f>[40]Rqmnt!V52</f>
        <v>30.0215153938515</v>
      </c>
      <c r="P194" s="24">
        <f>[40]Rqmnt!W52</f>
        <v>31.4514784371591</v>
      </c>
      <c r="Q194" s="650">
        <f>SUM(E194:P194)</f>
        <v>359.644915041197</v>
      </c>
    </row>
    <row r="195" ht="28.5" hidden="1" spans="2:17">
      <c r="B195" s="816">
        <f t="shared" si="86"/>
        <v>4</v>
      </c>
      <c r="C195" s="805" t="s">
        <v>307</v>
      </c>
      <c r="D195" s="7" t="s">
        <v>304</v>
      </c>
      <c r="E195" s="24">
        <f t="shared" ref="E195:P195" si="87">E192-E194</f>
        <v>818.255963139966</v>
      </c>
      <c r="F195" s="24">
        <f t="shared" si="87"/>
        <v>835.491126525066</v>
      </c>
      <c r="G195" s="24">
        <f t="shared" si="87"/>
        <v>744.485023806935</v>
      </c>
      <c r="H195" s="24">
        <f t="shared" si="87"/>
        <v>802.793530021103</v>
      </c>
      <c r="I195" s="24">
        <f t="shared" si="87"/>
        <v>839.885986800619</v>
      </c>
      <c r="J195" s="24">
        <f t="shared" si="87"/>
        <v>791.471897266277</v>
      </c>
      <c r="K195" s="24">
        <f t="shared" si="87"/>
        <v>852.064688199983</v>
      </c>
      <c r="L195" s="24">
        <f t="shared" si="87"/>
        <v>770.867844415357</v>
      </c>
      <c r="M195" s="24">
        <f t="shared" si="87"/>
        <v>780.476964282657</v>
      </c>
      <c r="N195" s="24">
        <f t="shared" si="87"/>
        <v>835.150796510589</v>
      </c>
      <c r="O195" s="24">
        <f t="shared" si="87"/>
        <v>769.486218130823</v>
      </c>
      <c r="P195" s="24">
        <f t="shared" si="87"/>
        <v>853.259588712182</v>
      </c>
      <c r="Q195" s="650">
        <f>SUM(E195:P195)</f>
        <v>9693.68962781156</v>
      </c>
    </row>
    <row r="196" ht="28.5" hidden="1" spans="2:17">
      <c r="B196" s="7">
        <f t="shared" si="86"/>
        <v>5</v>
      </c>
      <c r="C196" s="813" t="s">
        <v>308</v>
      </c>
      <c r="D196" s="7" t="s">
        <v>304</v>
      </c>
      <c r="E196" s="814">
        <f>[40]Rqmnt!L46-E195</f>
        <v>6292.60577684052</v>
      </c>
      <c r="F196" s="814">
        <f>[40]Rqmnt!M46-F195</f>
        <v>5948.2512526211</v>
      </c>
      <c r="G196" s="814">
        <f>[40]Rqmnt!N46-G195</f>
        <v>5721.16821380346</v>
      </c>
      <c r="H196" s="814">
        <f>[40]Rqmnt!O46-H195</f>
        <v>5399.37022771167</v>
      </c>
      <c r="I196" s="814">
        <f>[40]Rqmnt!P46-I195</f>
        <v>6151.3773460864</v>
      </c>
      <c r="J196" s="814">
        <f>[40]Rqmnt!Q46-J195</f>
        <v>6089.64628304914</v>
      </c>
      <c r="K196" s="814">
        <f>[40]Rqmnt!R46-K195</f>
        <v>5718.085536995</v>
      </c>
      <c r="L196" s="814">
        <f>[40]Rqmnt!S46-L195</f>
        <v>5470.4647049914</v>
      </c>
      <c r="M196" s="814">
        <f>[40]Rqmnt!T46-M195</f>
        <v>5732.47975028192</v>
      </c>
      <c r="N196" s="814">
        <f>[40]Rqmnt!U46-N195</f>
        <v>6278.96456679727</v>
      </c>
      <c r="O196" s="814">
        <f>[40]Rqmnt!V46-O195</f>
        <v>6317.94480039698</v>
      </c>
      <c r="P196" s="814">
        <f>[40]Rqmnt!W46-P195</f>
        <v>7473.0605138432</v>
      </c>
      <c r="Q196" s="817">
        <f>SUM(E196:P196)</f>
        <v>72593.4189734181</v>
      </c>
    </row>
    <row r="197" ht="15" hidden="1" spans="2:17">
      <c r="B197" s="7">
        <f t="shared" si="86"/>
        <v>6</v>
      </c>
      <c r="C197" s="32" t="s">
        <v>309</v>
      </c>
      <c r="D197" s="7" t="s">
        <v>304</v>
      </c>
      <c r="E197" s="24">
        <f>[40]Rqmnt!L37</f>
        <v>1056.61943253171</v>
      </c>
      <c r="F197" s="24">
        <f>[40]Rqmnt!M37</f>
        <v>1025.66045756241</v>
      </c>
      <c r="G197" s="24">
        <f>[40]Rqmnt!N37</f>
        <v>1059.54176490167</v>
      </c>
      <c r="H197" s="24">
        <f>[40]Rqmnt!O37</f>
        <v>1056.10815858917</v>
      </c>
      <c r="I197" s="24">
        <f>[40]Rqmnt!P37</f>
        <v>1261.8904257582</v>
      </c>
      <c r="J197" s="24">
        <f>[40]Rqmnt!Q37</f>
        <v>1314.15333731079</v>
      </c>
      <c r="K197" s="24">
        <f>[40]Rqmnt!R37</f>
        <v>1384.36477583788</v>
      </c>
      <c r="L197" s="24">
        <f>[40]Rqmnt!S37</f>
        <v>1337.27547243432</v>
      </c>
      <c r="M197" s="24">
        <f>[40]Rqmnt!T37</f>
        <v>1211.75286399164</v>
      </c>
      <c r="N197" s="24">
        <f>[40]Rqmnt!U37</f>
        <v>1188.29047834459</v>
      </c>
      <c r="O197" s="24">
        <f>[40]Rqmnt!V37</f>
        <v>1117.85782621625</v>
      </c>
      <c r="P197" s="24">
        <f>[40]Rqmnt!W37</f>
        <v>1206.79715981691</v>
      </c>
      <c r="Q197" s="650">
        <f>SUM(E197:P197)</f>
        <v>14220.3121532955</v>
      </c>
    </row>
    <row r="198" hidden="1" spans="2:17">
      <c r="B198" s="816">
        <f t="shared" si="86"/>
        <v>7</v>
      </c>
      <c r="C198" s="32" t="s">
        <v>310</v>
      </c>
      <c r="D198" s="7" t="s">
        <v>306</v>
      </c>
      <c r="E198" s="812">
        <f t="shared" ref="E198:P198" si="88">E199/(E196+E192)</f>
        <v>0.0240866171124333</v>
      </c>
      <c r="F198" s="812">
        <f t="shared" si="88"/>
        <v>0.0240898404083363</v>
      </c>
      <c r="G198" s="812">
        <f t="shared" si="88"/>
        <v>0.0241055753089888</v>
      </c>
      <c r="H198" s="812">
        <f t="shared" si="88"/>
        <v>0.0240865875529946</v>
      </c>
      <c r="I198" s="812">
        <f t="shared" si="88"/>
        <v>0.0240990323610121</v>
      </c>
      <c r="J198" s="812">
        <f t="shared" si="88"/>
        <v>0.0240994633096315</v>
      </c>
      <c r="K198" s="812">
        <f t="shared" si="88"/>
        <v>0.0240927038222099</v>
      </c>
      <c r="L198" s="812">
        <f t="shared" si="88"/>
        <v>0.0240991399133084</v>
      </c>
      <c r="M198" s="812">
        <f t="shared" si="88"/>
        <v>0.0240816354870243</v>
      </c>
      <c r="N198" s="812">
        <f t="shared" si="88"/>
        <v>0.0240857112914357</v>
      </c>
      <c r="O198" s="812">
        <f t="shared" si="88"/>
        <v>0.0240979240579311</v>
      </c>
      <c r="P198" s="812">
        <f t="shared" si="88"/>
        <v>0.0241089319717818</v>
      </c>
      <c r="Q198" s="812">
        <f>Q199/(Q196+Q195)</f>
        <v>0.0242</v>
      </c>
    </row>
    <row r="199" ht="15" hidden="1" spans="2:17">
      <c r="B199" s="7">
        <f t="shared" si="86"/>
        <v>8</v>
      </c>
      <c r="C199" s="32" t="s">
        <v>310</v>
      </c>
      <c r="D199" s="7" t="s">
        <v>304</v>
      </c>
      <c r="E199" s="24">
        <f>[40]Rqmnt!L47</f>
        <v>172.082854107528</v>
      </c>
      <c r="F199" s="24">
        <f>[40]Rqmnt!M47</f>
        <v>164.166565575337</v>
      </c>
      <c r="G199" s="24">
        <f>[40]Rqmnt!N47</f>
        <v>156.468808350172</v>
      </c>
      <c r="H199" s="24">
        <f>[40]Rqmnt!O47</f>
        <v>150.092362937133</v>
      </c>
      <c r="I199" s="24">
        <f>[40]Rqmnt!P47</f>
        <v>169.188572655866</v>
      </c>
      <c r="J199" s="24">
        <f>[40]Rqmnt!Q47</f>
        <v>166.523059963633</v>
      </c>
      <c r="K199" s="24">
        <f>[40]Rqmnt!R47</f>
        <v>158.997635449719</v>
      </c>
      <c r="L199" s="24">
        <f>[40]Rqmnt!S47</f>
        <v>151.040247695644</v>
      </c>
      <c r="M199" s="24">
        <f>[40]Rqmnt!T47</f>
        <v>157.613552492463</v>
      </c>
      <c r="N199" s="24">
        <f>[40]Rqmnt!U47</f>
        <v>172.16159179205</v>
      </c>
      <c r="O199" s="24">
        <f>[40]Rqmnt!V47</f>
        <v>171.515830648373</v>
      </c>
      <c r="P199" s="24">
        <f>[40]Rqmnt!W47</f>
        <v>201.49694648184</v>
      </c>
      <c r="Q199" s="818">
        <f>SUM(E199:P199)</f>
        <v>1991.34802814976</v>
      </c>
    </row>
    <row r="200" ht="28.5" hidden="1" spans="2:17">
      <c r="B200" s="816">
        <f t="shared" si="86"/>
        <v>9</v>
      </c>
      <c r="C200" s="813" t="s">
        <v>311</v>
      </c>
      <c r="D200" s="7" t="s">
        <v>304</v>
      </c>
      <c r="E200" s="24">
        <f t="shared" ref="E200:P200" si="89">E195+E196-E197-E199</f>
        <v>5882.15945334125</v>
      </c>
      <c r="F200" s="24">
        <f t="shared" si="89"/>
        <v>5593.91535600842</v>
      </c>
      <c r="G200" s="24">
        <f t="shared" si="89"/>
        <v>5249.64266435856</v>
      </c>
      <c r="H200" s="24">
        <f t="shared" si="89"/>
        <v>4995.96323620647</v>
      </c>
      <c r="I200" s="24">
        <f t="shared" si="89"/>
        <v>5560.18433447295</v>
      </c>
      <c r="J200" s="24">
        <f t="shared" si="89"/>
        <v>5400.441783041</v>
      </c>
      <c r="K200" s="24">
        <f t="shared" si="89"/>
        <v>5026.78781390738</v>
      </c>
      <c r="L200" s="24">
        <f t="shared" si="89"/>
        <v>4753.0168292768</v>
      </c>
      <c r="M200" s="24">
        <f t="shared" si="89"/>
        <v>5143.59029808048</v>
      </c>
      <c r="N200" s="24">
        <f t="shared" si="89"/>
        <v>5753.66329317122</v>
      </c>
      <c r="O200" s="24">
        <f t="shared" si="89"/>
        <v>5798.05736166318</v>
      </c>
      <c r="P200" s="24">
        <f t="shared" si="89"/>
        <v>6918.02599625663</v>
      </c>
      <c r="Q200" s="650">
        <f>SUM(E200:P200)</f>
        <v>66075.4484197843</v>
      </c>
    </row>
    <row r="201" ht="15" hidden="1" spans="2:17">
      <c r="B201" s="7"/>
      <c r="C201" s="18" t="s">
        <v>312</v>
      </c>
      <c r="D201" s="7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10"/>
    </row>
    <row r="202" ht="28.5" hidden="1" spans="2:17">
      <c r="B202" s="7">
        <f>B200+1</f>
        <v>10</v>
      </c>
      <c r="C202" s="805" t="s">
        <v>313</v>
      </c>
      <c r="D202" s="7" t="s">
        <v>304</v>
      </c>
      <c r="E202" s="24">
        <f>[40]Rqmnt!L7</f>
        <v>5882.15945334125</v>
      </c>
      <c r="F202" s="24">
        <f>[40]Rqmnt!M7</f>
        <v>5593.91535600843</v>
      </c>
      <c r="G202" s="24">
        <f>[40]Rqmnt!N7</f>
        <v>5249.64266435856</v>
      </c>
      <c r="H202" s="24">
        <f>[40]Rqmnt!O7</f>
        <v>4995.96323620647</v>
      </c>
      <c r="I202" s="24">
        <f>[40]Rqmnt!P7</f>
        <v>5560.18433447296</v>
      </c>
      <c r="J202" s="24">
        <f>[40]Rqmnt!Q7</f>
        <v>5400.441783041</v>
      </c>
      <c r="K202" s="24">
        <f>[40]Rqmnt!R7</f>
        <v>5026.78781390739</v>
      </c>
      <c r="L202" s="24">
        <f>[40]Rqmnt!S7</f>
        <v>4753.0168292768</v>
      </c>
      <c r="M202" s="24">
        <f>[40]Rqmnt!T7</f>
        <v>5143.59029808047</v>
      </c>
      <c r="N202" s="24">
        <f>[40]Rqmnt!U7</f>
        <v>5753.66329317121</v>
      </c>
      <c r="O202" s="24">
        <f>[40]Rqmnt!V7</f>
        <v>5798.05736166318</v>
      </c>
      <c r="P202" s="24">
        <f>[40]Rqmnt!W7</f>
        <v>6918.02599625662</v>
      </c>
      <c r="Q202" s="818">
        <f>SUM(E202:P202)</f>
        <v>66075.4484197843</v>
      </c>
    </row>
    <row r="203" ht="15" hidden="1" spans="2:17">
      <c r="B203" s="7">
        <f t="shared" ref="B203:B206" si="90">B202+1</f>
        <v>11</v>
      </c>
      <c r="C203" s="32" t="s">
        <v>314</v>
      </c>
      <c r="D203" s="7" t="s">
        <v>304</v>
      </c>
      <c r="E203" s="24">
        <f>[40]Rqmnt!L9</f>
        <v>1143.44795855286</v>
      </c>
      <c r="F203" s="24">
        <f>[40]Rqmnt!M9</f>
        <v>1226.44768522818</v>
      </c>
      <c r="G203" s="24">
        <f>[40]Rqmnt!N9</f>
        <v>1206.11997612925</v>
      </c>
      <c r="H203" s="24">
        <f>[40]Rqmnt!O9</f>
        <v>1176.36554133954</v>
      </c>
      <c r="I203" s="24">
        <f>[40]Rqmnt!P9</f>
        <v>1204.60310430637</v>
      </c>
      <c r="J203" s="24">
        <f>[40]Rqmnt!Q9</f>
        <v>1160.25323191233</v>
      </c>
      <c r="K203" s="24">
        <f>[40]Rqmnt!R9</f>
        <v>1176.03844642951</v>
      </c>
      <c r="L203" s="24">
        <f>[40]Rqmnt!S9</f>
        <v>1176.23914075048</v>
      </c>
      <c r="M203" s="24">
        <f>[40]Rqmnt!T9</f>
        <v>1172.28765843256</v>
      </c>
      <c r="N203" s="24">
        <f>[40]Rqmnt!U9</f>
        <v>1174.49308460987</v>
      </c>
      <c r="O203" s="24">
        <f>[40]Rqmnt!V9</f>
        <v>1159.45609069133</v>
      </c>
      <c r="P203" s="24">
        <f>[40]Rqmnt!W9</f>
        <v>1315.1242189336</v>
      </c>
      <c r="Q203" s="818">
        <f>SUM(E203:P203)</f>
        <v>14290.8761373159</v>
      </c>
    </row>
    <row r="204" hidden="1" spans="2:17">
      <c r="B204" s="816">
        <f t="shared" si="90"/>
        <v>12</v>
      </c>
      <c r="C204" s="32" t="s">
        <v>315</v>
      </c>
      <c r="D204" s="7" t="s">
        <v>306</v>
      </c>
      <c r="E204" s="812">
        <f t="shared" ref="E204:Q204" si="91">E205/E202</f>
        <v>0.0312</v>
      </c>
      <c r="F204" s="812">
        <f t="shared" si="91"/>
        <v>0.0312</v>
      </c>
      <c r="G204" s="812">
        <f t="shared" si="91"/>
        <v>0.0312</v>
      </c>
      <c r="H204" s="812">
        <f t="shared" si="91"/>
        <v>0.0312</v>
      </c>
      <c r="I204" s="812">
        <f t="shared" si="91"/>
        <v>0.0312000000000001</v>
      </c>
      <c r="J204" s="812">
        <f t="shared" si="91"/>
        <v>0.0312</v>
      </c>
      <c r="K204" s="812">
        <f t="shared" si="91"/>
        <v>0.0312000000000001</v>
      </c>
      <c r="L204" s="812">
        <f t="shared" si="91"/>
        <v>0.0312000000000002</v>
      </c>
      <c r="M204" s="812">
        <f t="shared" si="91"/>
        <v>0.0311999999999999</v>
      </c>
      <c r="N204" s="812">
        <f t="shared" si="91"/>
        <v>0.0312</v>
      </c>
      <c r="O204" s="812">
        <f t="shared" si="91"/>
        <v>0.0312</v>
      </c>
      <c r="P204" s="812">
        <f t="shared" si="91"/>
        <v>0.0312000000000001</v>
      </c>
      <c r="Q204" s="812">
        <f t="shared" si="91"/>
        <v>0.0312</v>
      </c>
    </row>
    <row r="205" hidden="1" spans="2:17">
      <c r="B205" s="7">
        <f t="shared" si="90"/>
        <v>13</v>
      </c>
      <c r="C205" s="32" t="s">
        <v>315</v>
      </c>
      <c r="D205" s="7" t="s">
        <v>304</v>
      </c>
      <c r="E205" s="24">
        <f>[40]Rqmnt!L11</f>
        <v>183.523374944247</v>
      </c>
      <c r="F205" s="24">
        <f>[40]Rqmnt!M11</f>
        <v>174.530159107463</v>
      </c>
      <c r="G205" s="24">
        <f>[40]Rqmnt!N11</f>
        <v>163.788851127987</v>
      </c>
      <c r="H205" s="24">
        <f>[40]Rqmnt!O11</f>
        <v>155.874052969642</v>
      </c>
      <c r="I205" s="24">
        <f>[40]Rqmnt!P11</f>
        <v>173.477751235557</v>
      </c>
      <c r="J205" s="24">
        <f>[40]Rqmnt!Q11</f>
        <v>168.493783630879</v>
      </c>
      <c r="K205" s="24">
        <f>[40]Rqmnt!R11</f>
        <v>156.835779793911</v>
      </c>
      <c r="L205" s="24">
        <f>[40]Rqmnt!S11</f>
        <v>148.294125073437</v>
      </c>
      <c r="M205" s="24">
        <f>[40]Rqmnt!T11</f>
        <v>160.48001730011</v>
      </c>
      <c r="N205" s="24">
        <f>[40]Rqmnt!U11</f>
        <v>179.514294746942</v>
      </c>
      <c r="O205" s="24">
        <f>[40]Rqmnt!V11</f>
        <v>180.899389683891</v>
      </c>
      <c r="P205" s="24">
        <f>[40]Rqmnt!W11</f>
        <v>215.842411083207</v>
      </c>
      <c r="Q205" s="24">
        <f>SUM(E205:P205)</f>
        <v>2061.55399069727</v>
      </c>
    </row>
    <row r="206" ht="28.5" hidden="1" spans="2:17">
      <c r="B206" s="816">
        <f t="shared" si="90"/>
        <v>14</v>
      </c>
      <c r="C206" s="805" t="s">
        <v>337</v>
      </c>
      <c r="D206" s="7" t="s">
        <v>304</v>
      </c>
      <c r="E206" s="24">
        <f t="shared" ref="E206:P206" si="92">E202-E203-E205</f>
        <v>4555.18811984414</v>
      </c>
      <c r="F206" s="24">
        <f t="shared" si="92"/>
        <v>4192.93751167279</v>
      </c>
      <c r="G206" s="24">
        <f t="shared" si="92"/>
        <v>3879.73383710132</v>
      </c>
      <c r="H206" s="24">
        <f t="shared" si="92"/>
        <v>3663.72364189729</v>
      </c>
      <c r="I206" s="24">
        <f t="shared" si="92"/>
        <v>4182.10347893103</v>
      </c>
      <c r="J206" s="24">
        <f t="shared" si="92"/>
        <v>4071.69476749779</v>
      </c>
      <c r="K206" s="24">
        <f t="shared" si="92"/>
        <v>3693.91358768397</v>
      </c>
      <c r="L206" s="24">
        <f t="shared" si="92"/>
        <v>3428.48356345288</v>
      </c>
      <c r="M206" s="24">
        <f t="shared" si="92"/>
        <v>3810.8226223478</v>
      </c>
      <c r="N206" s="24">
        <f t="shared" si="92"/>
        <v>4399.6559138144</v>
      </c>
      <c r="O206" s="24">
        <f t="shared" si="92"/>
        <v>4457.70188128796</v>
      </c>
      <c r="P206" s="24">
        <f t="shared" si="92"/>
        <v>5387.05936623981</v>
      </c>
      <c r="Q206" s="818">
        <f>SUM(E206:P206)</f>
        <v>49723.0182917712</v>
      </c>
    </row>
    <row r="207" ht="15" hidden="1" spans="2:17">
      <c r="B207" s="7"/>
      <c r="C207" s="18" t="s">
        <v>317</v>
      </c>
      <c r="D207" s="7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10"/>
    </row>
    <row r="208" ht="28.5" hidden="1" spans="2:17">
      <c r="B208" s="7">
        <f>B206+1</f>
        <v>15</v>
      </c>
      <c r="C208" s="805" t="s">
        <v>318</v>
      </c>
      <c r="D208" s="7" t="s">
        <v>304</v>
      </c>
      <c r="E208" s="24">
        <f>[40]Rqmnt!L19</f>
        <v>4555.18811984414</v>
      </c>
      <c r="F208" s="24">
        <f>[40]Rqmnt!M19</f>
        <v>4192.93751167279</v>
      </c>
      <c r="G208" s="24">
        <f>[40]Rqmnt!N19</f>
        <v>3879.73383710133</v>
      </c>
      <c r="H208" s="24">
        <f>[40]Rqmnt!O19</f>
        <v>3663.72364189728</v>
      </c>
      <c r="I208" s="24">
        <f>[40]Rqmnt!P19</f>
        <v>4182.10347893104</v>
      </c>
      <c r="J208" s="24">
        <f>[40]Rqmnt!Q19</f>
        <v>4071.69476749779</v>
      </c>
      <c r="K208" s="24">
        <f>[40]Rqmnt!R19</f>
        <v>3693.91358768397</v>
      </c>
      <c r="L208" s="24">
        <f>[40]Rqmnt!S19</f>
        <v>3428.48356345289</v>
      </c>
      <c r="M208" s="24">
        <f>[40]Rqmnt!T19</f>
        <v>3810.8226223478</v>
      </c>
      <c r="N208" s="24">
        <f>[40]Rqmnt!U19</f>
        <v>4399.6559138144</v>
      </c>
      <c r="O208" s="24">
        <f>[40]Rqmnt!V19</f>
        <v>4457.70188128796</v>
      </c>
      <c r="P208" s="24">
        <f>[40]Rqmnt!W19</f>
        <v>5387.05936623982</v>
      </c>
      <c r="Q208" s="818">
        <f>SUM(E208:P208)</f>
        <v>49723.0182917712</v>
      </c>
    </row>
    <row r="209" ht="15" hidden="1" spans="2:17">
      <c r="B209" s="7">
        <f t="shared" ref="B209:B213" si="93">B208+1</f>
        <v>16</v>
      </c>
      <c r="C209" s="805" t="s">
        <v>319</v>
      </c>
      <c r="D209" s="7" t="s">
        <v>304</v>
      </c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818">
        <f>SUM(E209:P209)</f>
        <v>0</v>
      </c>
    </row>
    <row r="210" ht="15" hidden="1" spans="2:17">
      <c r="B210" s="7">
        <f t="shared" si="93"/>
        <v>17</v>
      </c>
      <c r="C210" s="32" t="s">
        <v>320</v>
      </c>
      <c r="D210" s="7" t="s">
        <v>304</v>
      </c>
      <c r="E210" s="24">
        <f>[40]Rqmnt!L20</f>
        <v>887.852260795266</v>
      </c>
      <c r="F210" s="24">
        <f>[40]Rqmnt!M20</f>
        <v>943.189187025407</v>
      </c>
      <c r="G210" s="24">
        <f>[40]Rqmnt!N20</f>
        <v>930.369502935956</v>
      </c>
      <c r="H210" s="24">
        <f>[40]Rqmnt!O20</f>
        <v>849.419997317374</v>
      </c>
      <c r="I210" s="24">
        <f>[40]Rqmnt!P20</f>
        <v>899.382790692194</v>
      </c>
      <c r="J210" s="24">
        <f>[40]Rqmnt!Q20</f>
        <v>844.643510776053</v>
      </c>
      <c r="K210" s="24">
        <f>[40]Rqmnt!R20</f>
        <v>872.533665596186</v>
      </c>
      <c r="L210" s="24">
        <f>[40]Rqmnt!S20</f>
        <v>849.800723139713</v>
      </c>
      <c r="M210" s="24">
        <f>[40]Rqmnt!T20</f>
        <v>851.53204679823</v>
      </c>
      <c r="N210" s="24">
        <f>[40]Rqmnt!U20</f>
        <v>838.813838516194</v>
      </c>
      <c r="O210" s="24">
        <f>[40]Rqmnt!V20</f>
        <v>860.581439674383</v>
      </c>
      <c r="P210" s="24">
        <f>[40]Rqmnt!W20</f>
        <v>956.734652454838</v>
      </c>
      <c r="Q210" s="818">
        <f>SUM(E210:P210)</f>
        <v>10584.8536157218</v>
      </c>
    </row>
    <row r="211" hidden="1" spans="2:17">
      <c r="B211" s="816">
        <f t="shared" si="93"/>
        <v>18</v>
      </c>
      <c r="C211" s="32" t="s">
        <v>321</v>
      </c>
      <c r="D211" s="7" t="s">
        <v>306</v>
      </c>
      <c r="E211" s="812">
        <f t="shared" ref="E211:Q211" si="94">E212/E208</f>
        <v>0.0398000000000001</v>
      </c>
      <c r="F211" s="812">
        <f t="shared" si="94"/>
        <v>0.0398</v>
      </c>
      <c r="G211" s="812">
        <f t="shared" si="94"/>
        <v>0.0398</v>
      </c>
      <c r="H211" s="812">
        <f t="shared" si="94"/>
        <v>0.0398000000000001</v>
      </c>
      <c r="I211" s="812">
        <f t="shared" si="94"/>
        <v>0.0397999999999999</v>
      </c>
      <c r="J211" s="812">
        <f t="shared" si="94"/>
        <v>0.0398</v>
      </c>
      <c r="K211" s="812">
        <f t="shared" si="94"/>
        <v>0.0398</v>
      </c>
      <c r="L211" s="812">
        <f t="shared" si="94"/>
        <v>0.0398</v>
      </c>
      <c r="M211" s="812">
        <f t="shared" si="94"/>
        <v>0.0398000000000001</v>
      </c>
      <c r="N211" s="812">
        <f t="shared" si="94"/>
        <v>0.0398000000000002</v>
      </c>
      <c r="O211" s="812">
        <f t="shared" si="94"/>
        <v>0.0398</v>
      </c>
      <c r="P211" s="812">
        <f t="shared" si="94"/>
        <v>0.0398</v>
      </c>
      <c r="Q211" s="812">
        <f t="shared" si="94"/>
        <v>0.0398</v>
      </c>
    </row>
    <row r="212" ht="15" hidden="1" spans="2:17">
      <c r="B212" s="7">
        <f t="shared" si="93"/>
        <v>19</v>
      </c>
      <c r="C212" s="32" t="s">
        <v>321</v>
      </c>
      <c r="D212" s="7" t="s">
        <v>304</v>
      </c>
      <c r="E212" s="24">
        <f>[40]Rqmnt!L22</f>
        <v>181.296487169797</v>
      </c>
      <c r="F212" s="24">
        <f>[40]Rqmnt!M22</f>
        <v>166.878912964577</v>
      </c>
      <c r="G212" s="24">
        <f>[40]Rqmnt!N22</f>
        <v>154.413406716633</v>
      </c>
      <c r="H212" s="24">
        <f>[40]Rqmnt!O22</f>
        <v>145.816200947512</v>
      </c>
      <c r="I212" s="24">
        <f>[40]Rqmnt!P22</f>
        <v>166.447718461455</v>
      </c>
      <c r="J212" s="24">
        <f>[40]Rqmnt!Q22</f>
        <v>162.053451746412</v>
      </c>
      <c r="K212" s="24">
        <f>[40]Rqmnt!R22</f>
        <v>147.017760789822</v>
      </c>
      <c r="L212" s="24">
        <f>[40]Rqmnt!S22</f>
        <v>136.453645825425</v>
      </c>
      <c r="M212" s="24">
        <f>[40]Rqmnt!T22</f>
        <v>151.670740369443</v>
      </c>
      <c r="N212" s="24">
        <f>[40]Rqmnt!U22</f>
        <v>175.106305369814</v>
      </c>
      <c r="O212" s="24">
        <f>[40]Rqmnt!V22</f>
        <v>177.416534875261</v>
      </c>
      <c r="P212" s="24">
        <f>[40]Rqmnt!W22</f>
        <v>214.404962776345</v>
      </c>
      <c r="Q212" s="818">
        <f>SUM(E212:P212)</f>
        <v>1978.9761280125</v>
      </c>
    </row>
    <row r="213" ht="28.5" hidden="1" spans="2:17">
      <c r="B213" s="816">
        <f t="shared" si="93"/>
        <v>20</v>
      </c>
      <c r="C213" s="805" t="s">
        <v>338</v>
      </c>
      <c r="D213" s="7" t="s">
        <v>304</v>
      </c>
      <c r="E213" s="24">
        <f t="shared" ref="E213:P213" si="95">E208+E209-E210-E212</f>
        <v>3486.03937187908</v>
      </c>
      <c r="F213" s="24">
        <f t="shared" si="95"/>
        <v>3082.86941168281</v>
      </c>
      <c r="G213" s="24">
        <f t="shared" si="95"/>
        <v>2794.95092744874</v>
      </c>
      <c r="H213" s="24">
        <f t="shared" si="95"/>
        <v>2668.48744363239</v>
      </c>
      <c r="I213" s="24">
        <f t="shared" si="95"/>
        <v>3116.27296977739</v>
      </c>
      <c r="J213" s="24">
        <f t="shared" si="95"/>
        <v>3064.99780497532</v>
      </c>
      <c r="K213" s="24">
        <f t="shared" si="95"/>
        <v>2674.36216129796</v>
      </c>
      <c r="L213" s="24">
        <f t="shared" si="95"/>
        <v>2442.22919448775</v>
      </c>
      <c r="M213" s="24">
        <f t="shared" si="95"/>
        <v>2807.61983518013</v>
      </c>
      <c r="N213" s="24">
        <f t="shared" si="95"/>
        <v>3385.73576992839</v>
      </c>
      <c r="O213" s="24">
        <f t="shared" si="95"/>
        <v>3419.70390673832</v>
      </c>
      <c r="P213" s="24">
        <f t="shared" si="95"/>
        <v>4215.91975100864</v>
      </c>
      <c r="Q213" s="818">
        <f>SUM(E213:P213)</f>
        <v>37159.1885480369</v>
      </c>
    </row>
    <row r="214" ht="15" hidden="1" spans="2:17">
      <c r="B214" s="7"/>
      <c r="C214" s="18" t="s">
        <v>323</v>
      </c>
      <c r="D214" s="7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10"/>
    </row>
    <row r="215" ht="28.5" hidden="1" spans="2:17">
      <c r="B215" s="7"/>
      <c r="C215" s="805" t="s">
        <v>324</v>
      </c>
      <c r="D215" s="7" t="s">
        <v>304</v>
      </c>
      <c r="E215" s="24">
        <f>[40]Rqmnt!L27</f>
        <v>3486.03937187908</v>
      </c>
      <c r="F215" s="24">
        <f>[40]Rqmnt!M27</f>
        <v>3082.8694116828</v>
      </c>
      <c r="G215" s="24">
        <f>[40]Rqmnt!N27</f>
        <v>2794.95092744874</v>
      </c>
      <c r="H215" s="24">
        <f>[40]Rqmnt!O27</f>
        <v>2668.4874436324</v>
      </c>
      <c r="I215" s="24">
        <f>[40]Rqmnt!P27</f>
        <v>3116.27296977739</v>
      </c>
      <c r="J215" s="24">
        <f>[40]Rqmnt!Q27</f>
        <v>3064.99780497532</v>
      </c>
      <c r="K215" s="24">
        <f>[40]Rqmnt!R27</f>
        <v>2674.36216129796</v>
      </c>
      <c r="L215" s="24">
        <f>[40]Rqmnt!S27</f>
        <v>2442.22919448775</v>
      </c>
      <c r="M215" s="24">
        <f>[40]Rqmnt!T27</f>
        <v>2807.61983518013</v>
      </c>
      <c r="N215" s="24">
        <f>[40]Rqmnt!U27</f>
        <v>3385.73576992839</v>
      </c>
      <c r="O215" s="24">
        <f>[40]Rqmnt!V27</f>
        <v>3419.70390673832</v>
      </c>
      <c r="P215" s="24">
        <f>[40]Rqmnt!W27</f>
        <v>4215.91975100864</v>
      </c>
      <c r="Q215" s="810">
        <f>SUM(E215:P215)</f>
        <v>37159.1885480369</v>
      </c>
    </row>
    <row r="216" ht="15" hidden="1" spans="2:17">
      <c r="B216" s="7">
        <f>B213+1</f>
        <v>21</v>
      </c>
      <c r="C216" s="805" t="s">
        <v>319</v>
      </c>
      <c r="D216" s="7" t="s">
        <v>304</v>
      </c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650">
        <f>SUM(E216:P216)</f>
        <v>0</v>
      </c>
    </row>
    <row r="217" ht="15" hidden="1" spans="2:17">
      <c r="B217" s="7">
        <f t="shared" ref="B217:B219" si="96">B216+1</f>
        <v>22</v>
      </c>
      <c r="C217" s="32" t="s">
        <v>325</v>
      </c>
      <c r="D217" s="7" t="s">
        <v>304</v>
      </c>
      <c r="E217" s="24">
        <f>[40]Rqmnt!L28+[40]Rqmnt!L29</f>
        <v>3327.42458045858</v>
      </c>
      <c r="F217" s="24">
        <f>[40]Rqmnt!M28+[40]Rqmnt!M29</f>
        <v>2942.59885345124</v>
      </c>
      <c r="G217" s="24">
        <f>[40]Rqmnt!N28+[40]Rqmnt!N29</f>
        <v>2667.78066024982</v>
      </c>
      <c r="H217" s="24">
        <f>[40]Rqmnt!O28+[40]Rqmnt!O29</f>
        <v>2547.07126494712</v>
      </c>
      <c r="I217" s="24">
        <f>[40]Rqmnt!P28+[40]Rqmnt!P29</f>
        <v>2974.48254965251</v>
      </c>
      <c r="J217" s="24">
        <f>[40]Rqmnt!Q28+[40]Rqmnt!Q29</f>
        <v>2925.54040484895</v>
      </c>
      <c r="K217" s="24">
        <f>[40]Rqmnt!R28+[40]Rqmnt!R29</f>
        <v>2552.6786829589</v>
      </c>
      <c r="L217" s="24">
        <f>[40]Rqmnt!S28+[40]Rqmnt!S29</f>
        <v>2331.10776613855</v>
      </c>
      <c r="M217" s="24">
        <f>[40]Rqmnt!T28+[40]Rqmnt!T29</f>
        <v>2679.87313267943</v>
      </c>
      <c r="N217" s="24">
        <f>[40]Rqmnt!U28+[40]Rqmnt!U29</f>
        <v>3231.68479239665</v>
      </c>
      <c r="O217" s="24">
        <f>[40]Rqmnt!V28+[40]Rqmnt!V29</f>
        <v>3264.10737898172</v>
      </c>
      <c r="P217" s="24">
        <f>[40]Rqmnt!W28+[40]Rqmnt!W29</f>
        <v>4024.09540233775</v>
      </c>
      <c r="Q217" s="818">
        <f>SUM(E217:P217)</f>
        <v>35468.4454691012</v>
      </c>
    </row>
    <row r="218" hidden="1" spans="2:17">
      <c r="B218" s="816">
        <f t="shared" si="96"/>
        <v>23</v>
      </c>
      <c r="C218" s="32" t="s">
        <v>326</v>
      </c>
      <c r="D218" s="7" t="s">
        <v>306</v>
      </c>
      <c r="E218" s="812">
        <f t="shared" ref="E218:Q218" si="97">E219/E215</f>
        <v>0.0455</v>
      </c>
      <c r="F218" s="812">
        <f t="shared" si="97"/>
        <v>0.0454999999999999</v>
      </c>
      <c r="G218" s="812">
        <f t="shared" si="97"/>
        <v>0.0454999999999998</v>
      </c>
      <c r="H218" s="812">
        <f t="shared" si="97"/>
        <v>0.0454999999999999</v>
      </c>
      <c r="I218" s="812">
        <f t="shared" si="97"/>
        <v>0.0454999999999999</v>
      </c>
      <c r="J218" s="812">
        <f t="shared" si="97"/>
        <v>0.0455</v>
      </c>
      <c r="K218" s="812">
        <f t="shared" si="97"/>
        <v>0.0454999999999999</v>
      </c>
      <c r="L218" s="812">
        <f t="shared" si="97"/>
        <v>0.0455000000000002</v>
      </c>
      <c r="M218" s="812">
        <f t="shared" si="97"/>
        <v>0.0455</v>
      </c>
      <c r="N218" s="812">
        <f t="shared" si="97"/>
        <v>0.0455000000000001</v>
      </c>
      <c r="O218" s="812">
        <f t="shared" si="97"/>
        <v>0.0454999999999998</v>
      </c>
      <c r="P218" s="812">
        <f t="shared" si="97"/>
        <v>0.0455</v>
      </c>
      <c r="Q218" s="812">
        <f t="shared" si="97"/>
        <v>0.0455</v>
      </c>
    </row>
    <row r="219" ht="15" hidden="1" spans="2:17">
      <c r="B219" s="7">
        <f t="shared" si="96"/>
        <v>24</v>
      </c>
      <c r="C219" s="32" t="s">
        <v>326</v>
      </c>
      <c r="D219" s="7" t="s">
        <v>304</v>
      </c>
      <c r="E219" s="24">
        <f>[40]Rqmnt!L30</f>
        <v>158.614791420498</v>
      </c>
      <c r="F219" s="24">
        <f>[40]Rqmnt!M30</f>
        <v>140.270558231567</v>
      </c>
      <c r="G219" s="24">
        <f>[40]Rqmnt!N30</f>
        <v>127.170267198917</v>
      </c>
      <c r="H219" s="24">
        <f>[40]Rqmnt!O30</f>
        <v>121.416178685274</v>
      </c>
      <c r="I219" s="24">
        <f>[40]Rqmnt!P30</f>
        <v>141.790420124871</v>
      </c>
      <c r="J219" s="24">
        <f>[40]Rqmnt!Q30</f>
        <v>139.457400126377</v>
      </c>
      <c r="K219" s="24">
        <f>[40]Rqmnt!R30</f>
        <v>121.683478339057</v>
      </c>
      <c r="L219" s="24">
        <f>[40]Rqmnt!S30</f>
        <v>111.121428349193</v>
      </c>
      <c r="M219" s="24">
        <f>[40]Rqmnt!T30</f>
        <v>127.746702500696</v>
      </c>
      <c r="N219" s="24">
        <f>[40]Rqmnt!U30</f>
        <v>154.050977531742</v>
      </c>
      <c r="O219" s="24">
        <f>[40]Rqmnt!V30</f>
        <v>155.596527756593</v>
      </c>
      <c r="P219" s="24">
        <f>[40]Rqmnt!W30</f>
        <v>191.824348670893</v>
      </c>
      <c r="Q219" s="818">
        <f t="shared" ref="Q219:Q221" si="98">SUM(E219:P219)</f>
        <v>1690.74307893568</v>
      </c>
    </row>
    <row r="220" ht="15" hidden="1" spans="2:17">
      <c r="B220" s="7"/>
      <c r="C220" s="18" t="s">
        <v>97</v>
      </c>
      <c r="D220" s="7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650">
        <f t="shared" si="98"/>
        <v>0</v>
      </c>
    </row>
    <row r="221" ht="15" hidden="1" spans="2:18">
      <c r="B221" s="816">
        <f>B219+1</f>
        <v>25</v>
      </c>
      <c r="C221" s="815" t="s">
        <v>327</v>
      </c>
      <c r="D221" s="39" t="s">
        <v>304</v>
      </c>
      <c r="E221" s="24">
        <f t="shared" ref="E221:P221" si="99">E192+E196+E216</f>
        <v>7144.33468611498</v>
      </c>
      <c r="F221" s="24">
        <f t="shared" si="99"/>
        <v>6814.7635182559</v>
      </c>
      <c r="G221" s="24">
        <f t="shared" si="99"/>
        <v>6490.98004691993</v>
      </c>
      <c r="H221" s="24">
        <f t="shared" si="99"/>
        <v>6231.36683878131</v>
      </c>
      <c r="I221" s="24">
        <f t="shared" si="99"/>
        <v>7020.55460656515</v>
      </c>
      <c r="J221" s="24">
        <f t="shared" si="99"/>
        <v>6909.8244149313</v>
      </c>
      <c r="K221" s="24">
        <f t="shared" si="99"/>
        <v>6599.41020414434</v>
      </c>
      <c r="L221" s="24">
        <f t="shared" si="99"/>
        <v>6267.45386926586</v>
      </c>
      <c r="M221" s="24">
        <f t="shared" si="99"/>
        <v>6544.96878243126</v>
      </c>
      <c r="N221" s="24">
        <f t="shared" si="99"/>
        <v>7147.87243394661</v>
      </c>
      <c r="O221" s="24">
        <f t="shared" si="99"/>
        <v>7117.45253392165</v>
      </c>
      <c r="P221" s="24">
        <f t="shared" si="99"/>
        <v>8357.77158099254</v>
      </c>
      <c r="Q221" s="650">
        <f t="shared" si="98"/>
        <v>82646.7535162708</v>
      </c>
      <c r="R221" s="819"/>
    </row>
    <row r="222" ht="15" hidden="1" spans="2:17">
      <c r="B222" s="816">
        <f>B221+1</f>
        <v>26</v>
      </c>
      <c r="C222" s="18" t="s">
        <v>328</v>
      </c>
      <c r="D222" s="39" t="s">
        <v>304</v>
      </c>
      <c r="E222" s="24">
        <f t="shared" ref="E222:P222" si="100">E197+E203+E210+E217</f>
        <v>6415.34423233842</v>
      </c>
      <c r="F222" s="24">
        <f t="shared" si="100"/>
        <v>6137.89618326723</v>
      </c>
      <c r="G222" s="24">
        <f t="shared" si="100"/>
        <v>5863.8119042167</v>
      </c>
      <c r="H222" s="24">
        <f t="shared" si="100"/>
        <v>5628.9649621932</v>
      </c>
      <c r="I222" s="24">
        <f t="shared" si="100"/>
        <v>6340.35887040927</v>
      </c>
      <c r="J222" s="24">
        <f t="shared" si="100"/>
        <v>6244.59048484812</v>
      </c>
      <c r="K222" s="24">
        <f t="shared" si="100"/>
        <v>5985.61557082248</v>
      </c>
      <c r="L222" s="24">
        <f t="shared" si="100"/>
        <v>5694.42310246306</v>
      </c>
      <c r="M222" s="24">
        <f t="shared" si="100"/>
        <v>5915.44570190186</v>
      </c>
      <c r="N222" s="24">
        <f t="shared" si="100"/>
        <v>6433.2821938673</v>
      </c>
      <c r="O222" s="24">
        <f t="shared" si="100"/>
        <v>6402.00273556368</v>
      </c>
      <c r="P222" s="24">
        <f t="shared" si="100"/>
        <v>7502.7514335431</v>
      </c>
      <c r="Q222" s="818">
        <f t="shared" ref="Q222:Q224" si="101">SUM(E222:P222)</f>
        <v>74564.4873754344</v>
      </c>
    </row>
    <row r="223" ht="30" hidden="1" spans="2:17">
      <c r="B223" s="816">
        <f>B222+1</f>
        <v>27</v>
      </c>
      <c r="C223" s="808" t="s">
        <v>329</v>
      </c>
      <c r="D223" s="39"/>
      <c r="E223" s="24">
        <f t="shared" ref="E223:P223" si="102">E200+E197</f>
        <v>6938.77888587296</v>
      </c>
      <c r="F223" s="24">
        <f t="shared" si="102"/>
        <v>6619.57581357083</v>
      </c>
      <c r="G223" s="24">
        <f t="shared" si="102"/>
        <v>6309.18442926023</v>
      </c>
      <c r="H223" s="24">
        <f t="shared" si="102"/>
        <v>6052.07139479564</v>
      </c>
      <c r="I223" s="24">
        <f t="shared" si="102"/>
        <v>6822.07476023115</v>
      </c>
      <c r="J223" s="24">
        <f t="shared" si="102"/>
        <v>6714.59512035179</v>
      </c>
      <c r="K223" s="24">
        <f t="shared" si="102"/>
        <v>6411.15258974526</v>
      </c>
      <c r="L223" s="24">
        <f t="shared" si="102"/>
        <v>6090.29230171112</v>
      </c>
      <c r="M223" s="24">
        <f t="shared" si="102"/>
        <v>6355.34316207212</v>
      </c>
      <c r="N223" s="24">
        <f t="shared" si="102"/>
        <v>6941.95377151581</v>
      </c>
      <c r="O223" s="24">
        <f t="shared" si="102"/>
        <v>6915.91518787943</v>
      </c>
      <c r="P223" s="24">
        <f t="shared" si="102"/>
        <v>8124.82315607354</v>
      </c>
      <c r="Q223" s="818">
        <f t="shared" si="101"/>
        <v>80295.7605730799</v>
      </c>
    </row>
    <row r="224" ht="15" hidden="1" spans="2:17">
      <c r="B224" s="816">
        <f>B223+1</f>
        <v>28</v>
      </c>
      <c r="C224" s="808" t="s">
        <v>330</v>
      </c>
      <c r="D224" s="39" t="s">
        <v>304</v>
      </c>
      <c r="E224" s="24">
        <f t="shared" ref="E224:P224" si="103">E223-E222</f>
        <v>523.434653534547</v>
      </c>
      <c r="F224" s="24">
        <f t="shared" si="103"/>
        <v>481.679630303599</v>
      </c>
      <c r="G224" s="24">
        <f t="shared" si="103"/>
        <v>445.372525043532</v>
      </c>
      <c r="H224" s="24">
        <f t="shared" si="103"/>
        <v>423.106432602433</v>
      </c>
      <c r="I224" s="24">
        <f t="shared" si="103"/>
        <v>481.71588982188</v>
      </c>
      <c r="J224" s="24">
        <f t="shared" si="103"/>
        <v>470.004635503665</v>
      </c>
      <c r="K224" s="24">
        <f t="shared" si="103"/>
        <v>425.537018922783</v>
      </c>
      <c r="L224" s="24">
        <f t="shared" si="103"/>
        <v>395.869199248051</v>
      </c>
      <c r="M224" s="24">
        <f t="shared" si="103"/>
        <v>439.897460170257</v>
      </c>
      <c r="N224" s="24">
        <f t="shared" si="103"/>
        <v>508.671577648507</v>
      </c>
      <c r="O224" s="24">
        <f t="shared" si="103"/>
        <v>513.912452315744</v>
      </c>
      <c r="P224" s="24">
        <f t="shared" si="103"/>
        <v>622.071722530443</v>
      </c>
      <c r="Q224" s="818">
        <f t="shared" si="101"/>
        <v>5731.27319764544</v>
      </c>
    </row>
    <row r="225" ht="15" hidden="1" spans="2:17">
      <c r="B225" s="816">
        <f t="shared" ref="B225" si="104">B224+1</f>
        <v>29</v>
      </c>
      <c r="C225" s="808" t="s">
        <v>331</v>
      </c>
      <c r="D225" s="39" t="s">
        <v>306</v>
      </c>
      <c r="E225" s="812">
        <f t="shared" ref="E225:Q225" si="105">E224/(E223-E197)</f>
        <v>0.0889868181382297</v>
      </c>
      <c r="F225" s="812">
        <f t="shared" si="105"/>
        <v>0.0861077795512631</v>
      </c>
      <c r="G225" s="812">
        <f t="shared" si="105"/>
        <v>0.084838636364205</v>
      </c>
      <c r="H225" s="812">
        <f t="shared" si="105"/>
        <v>0.0846896609518899</v>
      </c>
      <c r="I225" s="812">
        <f t="shared" si="105"/>
        <v>0.0866366762042865</v>
      </c>
      <c r="J225" s="812">
        <f t="shared" si="105"/>
        <v>0.0870307753301998</v>
      </c>
      <c r="K225" s="812">
        <f t="shared" si="105"/>
        <v>0.0846538653860563</v>
      </c>
      <c r="L225" s="812">
        <f t="shared" si="105"/>
        <v>0.0832879860238755</v>
      </c>
      <c r="M225" s="812">
        <f t="shared" si="105"/>
        <v>0.0855234252102896</v>
      </c>
      <c r="N225" s="812">
        <f t="shared" si="105"/>
        <v>0.0884082977626146</v>
      </c>
      <c r="O225" s="812">
        <f t="shared" si="105"/>
        <v>0.0886352825195797</v>
      </c>
      <c r="P225" s="812">
        <f t="shared" si="105"/>
        <v>0.0899204083458271</v>
      </c>
      <c r="Q225" s="812">
        <f t="shared" si="105"/>
        <v>0.0867383171012939</v>
      </c>
    </row>
    <row r="226" hidden="1"/>
    <row r="227" ht="15" hidden="1" spans="2:17">
      <c r="B227" s="39" t="s">
        <v>3</v>
      </c>
      <c r="C227" s="6" t="s">
        <v>110</v>
      </c>
      <c r="D227" s="5" t="s">
        <v>297</v>
      </c>
      <c r="E227" s="811" t="s">
        <v>342</v>
      </c>
      <c r="F227" s="811"/>
      <c r="G227" s="811"/>
      <c r="H227" s="811"/>
      <c r="I227" s="811"/>
      <c r="J227" s="811"/>
      <c r="K227" s="811"/>
      <c r="L227" s="811"/>
      <c r="M227" s="811"/>
      <c r="N227" s="811"/>
      <c r="O227" s="811"/>
      <c r="P227" s="811"/>
      <c r="Q227" s="811"/>
    </row>
    <row r="228" ht="15" hidden="1" spans="2:17">
      <c r="B228" s="39"/>
      <c r="C228" s="6"/>
      <c r="D228" s="5"/>
      <c r="E228" s="135" t="s">
        <v>246</v>
      </c>
      <c r="F228" s="135" t="s">
        <v>247</v>
      </c>
      <c r="G228" s="135" t="s">
        <v>248</v>
      </c>
      <c r="H228" s="135" t="s">
        <v>249</v>
      </c>
      <c r="I228" s="135" t="s">
        <v>250</v>
      </c>
      <c r="J228" s="135" t="s">
        <v>251</v>
      </c>
      <c r="K228" s="135" t="s">
        <v>252</v>
      </c>
      <c r="L228" s="135" t="s">
        <v>253</v>
      </c>
      <c r="M228" s="135" t="s">
        <v>254</v>
      </c>
      <c r="N228" s="135" t="s">
        <v>255</v>
      </c>
      <c r="O228" s="135" t="s">
        <v>256</v>
      </c>
      <c r="P228" s="135" t="s">
        <v>257</v>
      </c>
      <c r="Q228" s="135" t="s">
        <v>97</v>
      </c>
    </row>
    <row r="229" ht="15" hidden="1" spans="2:17">
      <c r="B229" s="7">
        <v>1</v>
      </c>
      <c r="C229" s="32" t="s">
        <v>303</v>
      </c>
      <c r="D229" s="7" t="s">
        <v>304</v>
      </c>
      <c r="E229" s="8">
        <f>[41]Rqmnt!L48+[41]Rqmnt!L49</f>
        <v>851.728909274452</v>
      </c>
      <c r="F229" s="8">
        <f>[41]Rqmnt!M48+[41]Rqmnt!M49</f>
        <v>866.512265634791</v>
      </c>
      <c r="G229" s="8">
        <f>[41]Rqmnt!N48+[41]Rqmnt!N49</f>
        <v>769.811833116467</v>
      </c>
      <c r="H229" s="8">
        <f>[41]Rqmnt!O48+[41]Rqmnt!O49</f>
        <v>831.996611069648</v>
      </c>
      <c r="I229" s="8">
        <f>[41]Rqmnt!P48+[41]Rqmnt!P49</f>
        <v>869.177260478753</v>
      </c>
      <c r="J229" s="8">
        <f>[41]Rqmnt!Q48+[41]Rqmnt!Q49</f>
        <v>820.178131882152</v>
      </c>
      <c r="K229" s="8">
        <f>[41]Rqmnt!R48+[41]Rqmnt!R49</f>
        <v>881.324667149341</v>
      </c>
      <c r="L229" s="8">
        <f>[41]Rqmnt!S48+[41]Rqmnt!S49</f>
        <v>796.989164274452</v>
      </c>
      <c r="M229" s="8">
        <f>[41]Rqmnt!T48+[41]Rqmnt!T49</f>
        <v>812.489032149341</v>
      </c>
      <c r="N229" s="8">
        <f>[41]Rqmnt!U48+[41]Rqmnt!U49</f>
        <v>868.907867149341</v>
      </c>
      <c r="O229" s="8">
        <f>[41]Rqmnt!V48+[41]Rqmnt!V49</f>
        <v>799.507733524674</v>
      </c>
      <c r="P229" s="8">
        <f>[41]Rqmnt!W48+[41]Rqmnt!W49</f>
        <v>884.711067149341</v>
      </c>
      <c r="Q229" s="650">
        <f>SUM(E229:P229)</f>
        <v>10053.3345428528</v>
      </c>
    </row>
    <row r="230" hidden="1" spans="2:17">
      <c r="B230" s="816">
        <f>B229+1</f>
        <v>2</v>
      </c>
      <c r="C230" s="32" t="s">
        <v>305</v>
      </c>
      <c r="D230" s="7" t="s">
        <v>306</v>
      </c>
      <c r="E230" s="812">
        <f t="shared" ref="E230:Q230" si="106">E231/E229</f>
        <v>0.0393</v>
      </c>
      <c r="F230" s="812">
        <f t="shared" si="106"/>
        <v>0.0358</v>
      </c>
      <c r="G230" s="812">
        <f t="shared" si="106"/>
        <v>0.0329</v>
      </c>
      <c r="H230" s="812">
        <f t="shared" si="106"/>
        <v>0.0350999999999999</v>
      </c>
      <c r="I230" s="812">
        <f t="shared" si="106"/>
        <v>0.0337</v>
      </c>
      <c r="J230" s="812">
        <f t="shared" si="106"/>
        <v>0.035</v>
      </c>
      <c r="K230" s="812">
        <f t="shared" si="106"/>
        <v>0.0332</v>
      </c>
      <c r="L230" s="812">
        <f t="shared" si="106"/>
        <v>0.032775</v>
      </c>
      <c r="M230" s="812">
        <f t="shared" si="106"/>
        <v>0.0394</v>
      </c>
      <c r="N230" s="812">
        <f t="shared" si="106"/>
        <v>0.03885</v>
      </c>
      <c r="O230" s="812">
        <f t="shared" si="106"/>
        <v>0.03755</v>
      </c>
      <c r="P230" s="812">
        <f t="shared" si="106"/>
        <v>0.03555</v>
      </c>
      <c r="Q230" s="812">
        <f t="shared" si="106"/>
        <v>0.035773694141799</v>
      </c>
    </row>
    <row r="231" ht="15" hidden="1" spans="2:17">
      <c r="B231" s="7">
        <f t="shared" ref="B231:B237" si="107">B230+1</f>
        <v>3</v>
      </c>
      <c r="C231" s="32" t="s">
        <v>305</v>
      </c>
      <c r="D231" s="7" t="s">
        <v>304</v>
      </c>
      <c r="E231" s="24">
        <f>[41]Rqmnt!L52</f>
        <v>33.472946134486</v>
      </c>
      <c r="F231" s="24">
        <f>[41]Rqmnt!M52</f>
        <v>31.0211391097255</v>
      </c>
      <c r="G231" s="24">
        <f>[41]Rqmnt!N52</f>
        <v>25.3268093095318</v>
      </c>
      <c r="H231" s="24">
        <f>[41]Rqmnt!O52</f>
        <v>29.2030810485446</v>
      </c>
      <c r="I231" s="24">
        <f>[41]Rqmnt!P52</f>
        <v>29.291273678134</v>
      </c>
      <c r="J231" s="24">
        <f>[41]Rqmnt!Q52</f>
        <v>28.7062346158753</v>
      </c>
      <c r="K231" s="24">
        <f>[41]Rqmnt!R52</f>
        <v>29.2599789493581</v>
      </c>
      <c r="L231" s="24">
        <f>[41]Rqmnt!S52</f>
        <v>26.1213198590952</v>
      </c>
      <c r="M231" s="24">
        <f>[41]Rqmnt!T52</f>
        <v>32.012067866684</v>
      </c>
      <c r="N231" s="24">
        <f>[41]Rqmnt!U52</f>
        <v>33.7570706387519</v>
      </c>
      <c r="O231" s="24">
        <f>[41]Rqmnt!V52</f>
        <v>30.0215153938515</v>
      </c>
      <c r="P231" s="24">
        <f>[41]Rqmnt!W52</f>
        <v>31.4514784371591</v>
      </c>
      <c r="Q231" s="650">
        <f>SUM(E231:P231)</f>
        <v>359.644915041197</v>
      </c>
    </row>
    <row r="232" ht="28.5" hidden="1" spans="2:17">
      <c r="B232" s="816">
        <f t="shared" si="107"/>
        <v>4</v>
      </c>
      <c r="C232" s="805" t="s">
        <v>307</v>
      </c>
      <c r="D232" s="7" t="s">
        <v>304</v>
      </c>
      <c r="E232" s="24">
        <f t="shared" ref="E232:P232" si="108">E229-E231</f>
        <v>818.255963139966</v>
      </c>
      <c r="F232" s="24">
        <f t="shared" si="108"/>
        <v>835.491126525066</v>
      </c>
      <c r="G232" s="24">
        <f t="shared" si="108"/>
        <v>744.485023806935</v>
      </c>
      <c r="H232" s="24">
        <f t="shared" si="108"/>
        <v>802.793530021103</v>
      </c>
      <c r="I232" s="24">
        <f t="shared" si="108"/>
        <v>839.885986800619</v>
      </c>
      <c r="J232" s="24">
        <f t="shared" si="108"/>
        <v>791.471897266277</v>
      </c>
      <c r="K232" s="24">
        <f t="shared" si="108"/>
        <v>852.064688199983</v>
      </c>
      <c r="L232" s="24">
        <f t="shared" si="108"/>
        <v>770.867844415357</v>
      </c>
      <c r="M232" s="24">
        <f t="shared" si="108"/>
        <v>780.476964282657</v>
      </c>
      <c r="N232" s="24">
        <f t="shared" si="108"/>
        <v>835.150796510589</v>
      </c>
      <c r="O232" s="24">
        <f t="shared" si="108"/>
        <v>769.486218130823</v>
      </c>
      <c r="P232" s="24">
        <f t="shared" si="108"/>
        <v>853.259588712182</v>
      </c>
      <c r="Q232" s="650">
        <f>SUM(E232:P232)</f>
        <v>9693.68962781156</v>
      </c>
    </row>
    <row r="233" ht="28.5" hidden="1" spans="2:17">
      <c r="B233" s="7">
        <f t="shared" si="107"/>
        <v>5</v>
      </c>
      <c r="C233" s="813" t="s">
        <v>308</v>
      </c>
      <c r="D233" s="7" t="s">
        <v>304</v>
      </c>
      <c r="E233" s="814">
        <f>[41]Rqmnt!L46-E232</f>
        <v>7019.62501863408</v>
      </c>
      <c r="F233" s="814">
        <f>[41]Rqmnt!M46-F232</f>
        <v>6715.34135000403</v>
      </c>
      <c r="G233" s="814">
        <f>[41]Rqmnt!N46-G232</f>
        <v>6467.25197142569</v>
      </c>
      <c r="H233" s="814">
        <f>[41]Rqmnt!O46-H232</f>
        <v>6088.31795460846</v>
      </c>
      <c r="I233" s="814">
        <f>[41]Rqmnt!P46-I232</f>
        <v>6901.82601791552</v>
      </c>
      <c r="J233" s="814">
        <f>[41]Rqmnt!Q46-J232</f>
        <v>6811.86264395368</v>
      </c>
      <c r="K233" s="814">
        <f>[41]Rqmnt!R46-K232</f>
        <v>6467.66335699223</v>
      </c>
      <c r="L233" s="814">
        <f>[41]Rqmnt!S46-L232</f>
        <v>6193.68552860764</v>
      </c>
      <c r="M233" s="814">
        <f>[41]Rqmnt!T46-M232</f>
        <v>6445.52867971313</v>
      </c>
      <c r="N233" s="814">
        <f>[41]Rqmnt!U46-N232</f>
        <v>7017.40390298076</v>
      </c>
      <c r="O233" s="814">
        <f>[41]Rqmnt!V46-O232</f>
        <v>7040.76666597203</v>
      </c>
      <c r="P233" s="814">
        <f>[41]Rqmnt!W46-P232</f>
        <v>8318.53524778292</v>
      </c>
      <c r="Q233" s="817">
        <f>SUM(E233:P233)</f>
        <v>81487.8083385902</v>
      </c>
    </row>
    <row r="234" ht="15" hidden="1" spans="2:17">
      <c r="B234" s="7">
        <f t="shared" si="107"/>
        <v>6</v>
      </c>
      <c r="C234" s="32" t="s">
        <v>309</v>
      </c>
      <c r="D234" s="7" t="s">
        <v>304</v>
      </c>
      <c r="E234" s="24">
        <f>[41]Rqmnt!L37</f>
        <v>1258.24981976829</v>
      </c>
      <c r="F234" s="24">
        <f>[41]Rqmnt!M37</f>
        <v>1225.60995366887</v>
      </c>
      <c r="G234" s="24">
        <f>[41]Rqmnt!N37</f>
        <v>1264.15837147093</v>
      </c>
      <c r="H234" s="24">
        <f>[41]Rqmnt!O37</f>
        <v>1255.3843130602</v>
      </c>
      <c r="I234" s="24">
        <f>[41]Rqmnt!P37</f>
        <v>1482.70600297879</v>
      </c>
      <c r="J234" s="24">
        <f>[41]Rqmnt!Q37</f>
        <v>1534.0985037172</v>
      </c>
      <c r="K234" s="24">
        <f>[41]Rqmnt!R37</f>
        <v>1631.42581122955</v>
      </c>
      <c r="L234" s="24">
        <f>[41]Rqmnt!S37</f>
        <v>1575.81105689137</v>
      </c>
      <c r="M234" s="24">
        <f>[41]Rqmnt!T37</f>
        <v>1449.83365849094</v>
      </c>
      <c r="N234" s="24">
        <f>[41]Rqmnt!U37</f>
        <v>1426.63620008041</v>
      </c>
      <c r="O234" s="24">
        <f>[41]Rqmnt!V37</f>
        <v>1340.46416569652</v>
      </c>
      <c r="P234" s="24">
        <f>[41]Rqmnt!W37</f>
        <v>1454.01556906791</v>
      </c>
      <c r="Q234" s="650">
        <f>SUM(E234:P234)</f>
        <v>16898.393426121</v>
      </c>
    </row>
    <row r="235" hidden="1" spans="2:17">
      <c r="B235" s="816">
        <f t="shared" si="107"/>
        <v>7</v>
      </c>
      <c r="C235" s="32" t="s">
        <v>310</v>
      </c>
      <c r="D235" s="7" t="s">
        <v>306</v>
      </c>
      <c r="E235" s="812">
        <f t="shared" ref="E235:P235" si="109">E236/(E233+E229)</f>
        <v>0.0238979399586671</v>
      </c>
      <c r="F235" s="812">
        <f t="shared" si="109"/>
        <v>0.0239018040473509</v>
      </c>
      <c r="G235" s="812">
        <f t="shared" si="109"/>
        <v>0.0239160096636087</v>
      </c>
      <c r="H235" s="812">
        <f t="shared" si="109"/>
        <v>0.0238987222418124</v>
      </c>
      <c r="I235" s="812">
        <f t="shared" si="109"/>
        <v>0.0239095367041949</v>
      </c>
      <c r="J235" s="812">
        <f t="shared" si="109"/>
        <v>0.023909729304256</v>
      </c>
      <c r="K235" s="812">
        <f t="shared" si="109"/>
        <v>0.0239044440550892</v>
      </c>
      <c r="L235" s="812">
        <f t="shared" si="109"/>
        <v>0.023910321720841</v>
      </c>
      <c r="M235" s="812">
        <f t="shared" si="109"/>
        <v>0.0238941460796459</v>
      </c>
      <c r="N235" s="812">
        <f t="shared" si="109"/>
        <v>0.0238972688730873</v>
      </c>
      <c r="O235" s="812">
        <f t="shared" si="109"/>
        <v>0.023908100618328</v>
      </c>
      <c r="P235" s="812">
        <f t="shared" si="109"/>
        <v>0.0239179816059832</v>
      </c>
      <c r="Q235" s="812">
        <f>Q236/(Q233+Q232)</f>
        <v>0.024</v>
      </c>
    </row>
    <row r="236" ht="15" hidden="1" spans="2:17">
      <c r="B236" s="7">
        <f t="shared" si="107"/>
        <v>8</v>
      </c>
      <c r="C236" s="32" t="s">
        <v>310</v>
      </c>
      <c r="D236" s="7" t="s">
        <v>304</v>
      </c>
      <c r="E236" s="24">
        <f>[41]Rqmnt!L47</f>
        <v>188.109143562577</v>
      </c>
      <c r="F236" s="24">
        <f>[41]Rqmnt!M47</f>
        <v>181.219979436698</v>
      </c>
      <c r="G236" s="24">
        <f>[41]Rqmnt!N47</f>
        <v>173.081687885583</v>
      </c>
      <c r="H236" s="24">
        <f>[41]Rqmnt!O47</f>
        <v>165.38667563111</v>
      </c>
      <c r="I236" s="24">
        <f>[41]Rqmnt!P47</f>
        <v>185.801088113187</v>
      </c>
      <c r="J236" s="24">
        <f>[41]Rqmnt!Q47</f>
        <v>182.480028989279</v>
      </c>
      <c r="K236" s="24">
        <f>[41]Rqmnt!R47</f>
        <v>175.673473084613</v>
      </c>
      <c r="L236" s="24">
        <f>[41]Rqmnt!S47</f>
        <v>167.149280952552</v>
      </c>
      <c r="M236" s="24">
        <f>[41]Rqmnt!T47</f>
        <v>173.424135455899</v>
      </c>
      <c r="N236" s="24">
        <f>[41]Rqmnt!U47</f>
        <v>188.461312787792</v>
      </c>
      <c r="O236" s="24">
        <f>[41]Rqmnt!V47</f>
        <v>187.446069218468</v>
      </c>
      <c r="P236" s="24">
        <f>[41]Rqmnt!W47</f>
        <v>220.123076075882</v>
      </c>
      <c r="Q236" s="818">
        <f>SUM(E236:P236)</f>
        <v>2188.35595119364</v>
      </c>
    </row>
    <row r="237" ht="28.5" hidden="1" spans="2:17">
      <c r="B237" s="816">
        <f t="shared" si="107"/>
        <v>9</v>
      </c>
      <c r="C237" s="813" t="s">
        <v>311</v>
      </c>
      <c r="D237" s="7" t="s">
        <v>304</v>
      </c>
      <c r="E237" s="24">
        <f t="shared" ref="E237:P237" si="110">E232+E233-E234-E236</f>
        <v>6391.52201844318</v>
      </c>
      <c r="F237" s="24">
        <f t="shared" si="110"/>
        <v>6144.00254342353</v>
      </c>
      <c r="G237" s="24">
        <f t="shared" si="110"/>
        <v>5774.49693587612</v>
      </c>
      <c r="H237" s="24">
        <f t="shared" si="110"/>
        <v>5470.34049593825</v>
      </c>
      <c r="I237" s="24">
        <f t="shared" si="110"/>
        <v>6073.20491362416</v>
      </c>
      <c r="J237" s="24">
        <f t="shared" si="110"/>
        <v>5886.75600851348</v>
      </c>
      <c r="K237" s="24">
        <f t="shared" si="110"/>
        <v>5512.62876087805</v>
      </c>
      <c r="L237" s="24">
        <f t="shared" si="110"/>
        <v>5221.59303517908</v>
      </c>
      <c r="M237" s="24">
        <f t="shared" si="110"/>
        <v>5602.74785004895</v>
      </c>
      <c r="N237" s="24">
        <f t="shared" si="110"/>
        <v>6237.45718662315</v>
      </c>
      <c r="O237" s="24">
        <f t="shared" si="110"/>
        <v>6282.34264918786</v>
      </c>
      <c r="P237" s="24">
        <f t="shared" si="110"/>
        <v>7497.65619135131</v>
      </c>
      <c r="Q237" s="650">
        <f>SUM(E237:P237)</f>
        <v>72094.7485890871</v>
      </c>
    </row>
    <row r="238" ht="15" hidden="1" spans="2:17">
      <c r="B238" s="7"/>
      <c r="C238" s="18" t="s">
        <v>312</v>
      </c>
      <c r="D238" s="7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10"/>
    </row>
    <row r="239" ht="28.5" hidden="1" spans="2:17">
      <c r="B239" s="7">
        <f>B237+1</f>
        <v>10</v>
      </c>
      <c r="C239" s="805" t="s">
        <v>313</v>
      </c>
      <c r="D239" s="7" t="s">
        <v>304</v>
      </c>
      <c r="E239" s="24">
        <f>[41]Rqmnt!L7</f>
        <v>6391.52201844319</v>
      </c>
      <c r="F239" s="24">
        <f>[41]Rqmnt!M7</f>
        <v>6144.00254342353</v>
      </c>
      <c r="G239" s="24">
        <f>[41]Rqmnt!N7</f>
        <v>5774.49693587612</v>
      </c>
      <c r="H239" s="24">
        <f>[41]Rqmnt!O7</f>
        <v>5470.34049593825</v>
      </c>
      <c r="I239" s="24">
        <f>[41]Rqmnt!P7</f>
        <v>6073.20491362417</v>
      </c>
      <c r="J239" s="24">
        <f>[41]Rqmnt!Q7</f>
        <v>5886.75600851348</v>
      </c>
      <c r="K239" s="24">
        <f>[41]Rqmnt!R7</f>
        <v>5512.62876087805</v>
      </c>
      <c r="L239" s="24">
        <f>[41]Rqmnt!S7</f>
        <v>5221.59303517907</v>
      </c>
      <c r="M239" s="24">
        <f>[41]Rqmnt!T7</f>
        <v>5602.74785004895</v>
      </c>
      <c r="N239" s="24">
        <f>[41]Rqmnt!U7</f>
        <v>6237.45718662315</v>
      </c>
      <c r="O239" s="24">
        <f>[41]Rqmnt!V7</f>
        <v>6282.34264918786</v>
      </c>
      <c r="P239" s="24">
        <f>[41]Rqmnt!W7</f>
        <v>7497.65619135131</v>
      </c>
      <c r="Q239" s="818">
        <f>SUM(E239:P239)</f>
        <v>72094.7485890871</v>
      </c>
    </row>
    <row r="240" ht="15" hidden="1" spans="2:17">
      <c r="B240" s="7">
        <f t="shared" ref="B240:B243" si="111">B239+1</f>
        <v>11</v>
      </c>
      <c r="C240" s="32" t="s">
        <v>314</v>
      </c>
      <c r="D240" s="7" t="s">
        <v>304</v>
      </c>
      <c r="E240" s="24">
        <f>[41]Rqmnt!L9</f>
        <v>1322.04435305344</v>
      </c>
      <c r="F240" s="24">
        <f>[41]Rqmnt!M9</f>
        <v>1418.67136519985</v>
      </c>
      <c r="G240" s="24">
        <f>[41]Rqmnt!N9</f>
        <v>1395.99861089801</v>
      </c>
      <c r="H240" s="24">
        <f>[41]Rqmnt!O9</f>
        <v>1359.76365536931</v>
      </c>
      <c r="I240" s="24">
        <f>[41]Rqmnt!P9</f>
        <v>1392.44886712209</v>
      </c>
      <c r="J240" s="24">
        <f>[41]Rqmnt!Q9</f>
        <v>1340.31369193298</v>
      </c>
      <c r="K240" s="24">
        <f>[41]Rqmnt!R9</f>
        <v>1358.36301870259</v>
      </c>
      <c r="L240" s="24">
        <f>[41]Rqmnt!S9</f>
        <v>1358.54357234172</v>
      </c>
      <c r="M240" s="24">
        <f>[41]Rqmnt!T9</f>
        <v>1351.74011074277</v>
      </c>
      <c r="N240" s="24">
        <f>[41]Rqmnt!U9</f>
        <v>1354.9480805474</v>
      </c>
      <c r="O240" s="24">
        <f>[41]Rqmnt!V9</f>
        <v>1338.80511101665</v>
      </c>
      <c r="P240" s="24">
        <f>[41]Rqmnt!W9</f>
        <v>1520.19825642442</v>
      </c>
      <c r="Q240" s="818">
        <f>SUM(E240:P240)</f>
        <v>16511.8386933512</v>
      </c>
    </row>
    <row r="241" hidden="1" spans="2:17">
      <c r="B241" s="816">
        <f t="shared" si="111"/>
        <v>12</v>
      </c>
      <c r="C241" s="32" t="s">
        <v>315</v>
      </c>
      <c r="D241" s="7" t="s">
        <v>306</v>
      </c>
      <c r="E241" s="812">
        <f t="shared" ref="E241:Q241" si="112">E242/E239</f>
        <v>0.031</v>
      </c>
      <c r="F241" s="812">
        <f t="shared" si="112"/>
        <v>0.0309999999999999</v>
      </c>
      <c r="G241" s="812">
        <f t="shared" si="112"/>
        <v>0.031</v>
      </c>
      <c r="H241" s="812">
        <f t="shared" si="112"/>
        <v>0.031</v>
      </c>
      <c r="I241" s="812">
        <f t="shared" si="112"/>
        <v>0.0310000000000001</v>
      </c>
      <c r="J241" s="812">
        <f t="shared" si="112"/>
        <v>0.031</v>
      </c>
      <c r="K241" s="812">
        <f t="shared" si="112"/>
        <v>0.0309999999999999</v>
      </c>
      <c r="L241" s="812">
        <f t="shared" si="112"/>
        <v>0.0310000000000002</v>
      </c>
      <c r="M241" s="812">
        <f t="shared" si="112"/>
        <v>0.0309999999999999</v>
      </c>
      <c r="N241" s="812">
        <f t="shared" si="112"/>
        <v>0.0310000000000001</v>
      </c>
      <c r="O241" s="812">
        <f t="shared" si="112"/>
        <v>0.0310000000000001</v>
      </c>
      <c r="P241" s="812">
        <f t="shared" si="112"/>
        <v>0.0310000000000001</v>
      </c>
      <c r="Q241" s="812">
        <f t="shared" si="112"/>
        <v>0.031</v>
      </c>
    </row>
    <row r="242" hidden="1" spans="2:17">
      <c r="B242" s="7">
        <f t="shared" si="111"/>
        <v>13</v>
      </c>
      <c r="C242" s="32" t="s">
        <v>315</v>
      </c>
      <c r="D242" s="7" t="s">
        <v>304</v>
      </c>
      <c r="E242" s="24">
        <f>[41]Rqmnt!L11</f>
        <v>198.137182571739</v>
      </c>
      <c r="F242" s="24">
        <f>[41]Rqmnt!M11</f>
        <v>190.464078846129</v>
      </c>
      <c r="G242" s="24">
        <f>[41]Rqmnt!N11</f>
        <v>179.00940501216</v>
      </c>
      <c r="H242" s="24">
        <f>[41]Rqmnt!O11</f>
        <v>169.580555374086</v>
      </c>
      <c r="I242" s="24">
        <f>[41]Rqmnt!P11</f>
        <v>188.26935232235</v>
      </c>
      <c r="J242" s="24">
        <f>[41]Rqmnt!Q11</f>
        <v>182.489436263918</v>
      </c>
      <c r="K242" s="24">
        <f>[41]Rqmnt!R11</f>
        <v>170.891491587219</v>
      </c>
      <c r="L242" s="24">
        <f>[41]Rqmnt!S11</f>
        <v>161.869384090552</v>
      </c>
      <c r="M242" s="24">
        <f>[41]Rqmnt!T11</f>
        <v>173.685183351517</v>
      </c>
      <c r="N242" s="24">
        <f>[41]Rqmnt!U11</f>
        <v>193.361172785318</v>
      </c>
      <c r="O242" s="24">
        <f>[41]Rqmnt!V11</f>
        <v>194.752622124824</v>
      </c>
      <c r="P242" s="24">
        <f>[41]Rqmnt!W11</f>
        <v>232.427341931891</v>
      </c>
      <c r="Q242" s="24">
        <f>SUM(E242:P242)</f>
        <v>2234.9372062617</v>
      </c>
    </row>
    <row r="243" ht="28.5" hidden="1" spans="2:17">
      <c r="B243" s="816">
        <f t="shared" si="111"/>
        <v>14</v>
      </c>
      <c r="C243" s="805" t="s">
        <v>337</v>
      </c>
      <c r="D243" s="7" t="s">
        <v>304</v>
      </c>
      <c r="E243" s="24">
        <f t="shared" ref="E243:P243" si="113">E239-E240-E242</f>
        <v>4871.34048281801</v>
      </c>
      <c r="F243" s="24">
        <f t="shared" si="113"/>
        <v>4534.86709937755</v>
      </c>
      <c r="G243" s="24">
        <f t="shared" si="113"/>
        <v>4199.48891996595</v>
      </c>
      <c r="H243" s="24">
        <f t="shared" si="113"/>
        <v>3940.99628519485</v>
      </c>
      <c r="I243" s="24">
        <f t="shared" si="113"/>
        <v>4492.48669417973</v>
      </c>
      <c r="J243" s="24">
        <f t="shared" si="113"/>
        <v>4363.95288031658</v>
      </c>
      <c r="K243" s="24">
        <f t="shared" si="113"/>
        <v>3983.37425058824</v>
      </c>
      <c r="L243" s="24">
        <f t="shared" si="113"/>
        <v>3701.1800787468</v>
      </c>
      <c r="M243" s="24">
        <f t="shared" si="113"/>
        <v>4077.32255595466</v>
      </c>
      <c r="N243" s="24">
        <f t="shared" si="113"/>
        <v>4689.14793329043</v>
      </c>
      <c r="O243" s="24">
        <f t="shared" si="113"/>
        <v>4748.78491604639</v>
      </c>
      <c r="P243" s="24">
        <f t="shared" si="113"/>
        <v>5745.030592995</v>
      </c>
      <c r="Q243" s="818">
        <f>SUM(E243:P243)</f>
        <v>53347.9726894742</v>
      </c>
    </row>
    <row r="244" ht="15" hidden="1" spans="2:17">
      <c r="B244" s="7"/>
      <c r="C244" s="18" t="s">
        <v>317</v>
      </c>
      <c r="D244" s="7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10"/>
    </row>
    <row r="245" ht="28.5" hidden="1" spans="2:17">
      <c r="B245" s="7">
        <f>B243+1</f>
        <v>15</v>
      </c>
      <c r="C245" s="805" t="s">
        <v>318</v>
      </c>
      <c r="D245" s="7" t="s">
        <v>304</v>
      </c>
      <c r="E245" s="24">
        <f>[41]Rqmnt!L19</f>
        <v>4871.34048281801</v>
      </c>
      <c r="F245" s="24">
        <f>[41]Rqmnt!M19</f>
        <v>4534.86709937755</v>
      </c>
      <c r="G245" s="24">
        <f>[41]Rqmnt!N19</f>
        <v>4199.48891996595</v>
      </c>
      <c r="H245" s="24">
        <f>[41]Rqmnt!O19</f>
        <v>3940.99628519486</v>
      </c>
      <c r="I245" s="24">
        <f>[41]Rqmnt!P19</f>
        <v>4492.48669417973</v>
      </c>
      <c r="J245" s="24">
        <f>[41]Rqmnt!Q19</f>
        <v>4363.95288031658</v>
      </c>
      <c r="K245" s="24">
        <f>[41]Rqmnt!R19</f>
        <v>3983.37425058824</v>
      </c>
      <c r="L245" s="24">
        <f>[41]Rqmnt!S19</f>
        <v>3701.1800787468</v>
      </c>
      <c r="M245" s="24">
        <f>[41]Rqmnt!T19</f>
        <v>4077.32255595466</v>
      </c>
      <c r="N245" s="24">
        <f>[41]Rqmnt!U19</f>
        <v>4689.14793329043</v>
      </c>
      <c r="O245" s="24">
        <f>[41]Rqmnt!V19</f>
        <v>4748.78491604639</v>
      </c>
      <c r="P245" s="24">
        <f>[41]Rqmnt!W19</f>
        <v>5745.03059299501</v>
      </c>
      <c r="Q245" s="818">
        <f>SUM(E245:P245)</f>
        <v>53347.9726894742</v>
      </c>
    </row>
    <row r="246" ht="15" hidden="1" spans="2:17">
      <c r="B246" s="7">
        <f t="shared" ref="B246:B250" si="114">B245+1</f>
        <v>16</v>
      </c>
      <c r="C246" s="805" t="s">
        <v>319</v>
      </c>
      <c r="D246" s="7" t="s">
        <v>304</v>
      </c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818">
        <f>SUM(E246:P246)</f>
        <v>0</v>
      </c>
    </row>
    <row r="247" ht="15" hidden="1" spans="2:17">
      <c r="B247" s="7">
        <f t="shared" si="114"/>
        <v>17</v>
      </c>
      <c r="C247" s="32" t="s">
        <v>320</v>
      </c>
      <c r="D247" s="7" t="s">
        <v>304</v>
      </c>
      <c r="E247" s="24">
        <f>[41]Rqmnt!L20</f>
        <v>982.208125537708</v>
      </c>
      <c r="F247" s="24">
        <f>[41]Rqmnt!M20</f>
        <v>1045.37235895217</v>
      </c>
      <c r="G247" s="24">
        <f>[41]Rqmnt!N20</f>
        <v>1031.84569991175</v>
      </c>
      <c r="H247" s="24">
        <f>[41]Rqmnt!O20</f>
        <v>939.384066097387</v>
      </c>
      <c r="I247" s="24">
        <f>[41]Rqmnt!P20</f>
        <v>995.454534308532</v>
      </c>
      <c r="J247" s="24">
        <f>[41]Rqmnt!Q20</f>
        <v>934.859278865978</v>
      </c>
      <c r="K247" s="24">
        <f>[41]Rqmnt!R20</f>
        <v>965.946661076807</v>
      </c>
      <c r="L247" s="24">
        <f>[41]Rqmnt!S20</f>
        <v>939.195773747378</v>
      </c>
      <c r="M247" s="24">
        <f>[41]Rqmnt!T20</f>
        <v>938.931102259989</v>
      </c>
      <c r="N247" s="24">
        <f>[41]Rqmnt!U20</f>
        <v>925.412150166942</v>
      </c>
      <c r="O247" s="24">
        <f>[41]Rqmnt!V20</f>
        <v>951.31922774701</v>
      </c>
      <c r="P247" s="24">
        <f>[41]Rqmnt!W20</f>
        <v>1061.1097923359</v>
      </c>
      <c r="Q247" s="818">
        <f>SUM(E247:P247)</f>
        <v>11711.0387710075</v>
      </c>
    </row>
    <row r="248" hidden="1" spans="2:17">
      <c r="B248" s="816">
        <f t="shared" si="114"/>
        <v>18</v>
      </c>
      <c r="C248" s="32" t="s">
        <v>321</v>
      </c>
      <c r="D248" s="7" t="s">
        <v>306</v>
      </c>
      <c r="E248" s="812">
        <f t="shared" ref="E248:Q248" si="115">E249/E245</f>
        <v>0.0394999999999999</v>
      </c>
      <c r="F248" s="812">
        <f t="shared" si="115"/>
        <v>0.0394999999999999</v>
      </c>
      <c r="G248" s="812">
        <f t="shared" si="115"/>
        <v>0.0395</v>
      </c>
      <c r="H248" s="812">
        <f t="shared" si="115"/>
        <v>0.0395</v>
      </c>
      <c r="I248" s="812">
        <f t="shared" si="115"/>
        <v>0.0394999999999999</v>
      </c>
      <c r="J248" s="812">
        <f t="shared" si="115"/>
        <v>0.0395</v>
      </c>
      <c r="K248" s="812">
        <f t="shared" si="115"/>
        <v>0.0394999999999999</v>
      </c>
      <c r="L248" s="812">
        <f t="shared" si="115"/>
        <v>0.0395000000000001</v>
      </c>
      <c r="M248" s="812">
        <f t="shared" si="115"/>
        <v>0.0395</v>
      </c>
      <c r="N248" s="812">
        <f t="shared" si="115"/>
        <v>0.0395</v>
      </c>
      <c r="O248" s="812">
        <f t="shared" si="115"/>
        <v>0.0394999999999999</v>
      </c>
      <c r="P248" s="812">
        <f t="shared" si="115"/>
        <v>0.0395</v>
      </c>
      <c r="Q248" s="812">
        <f t="shared" si="115"/>
        <v>0.0395</v>
      </c>
    </row>
    <row r="249" ht="15" hidden="1" spans="2:17">
      <c r="B249" s="7">
        <f t="shared" si="114"/>
        <v>19</v>
      </c>
      <c r="C249" s="32" t="s">
        <v>321</v>
      </c>
      <c r="D249" s="7" t="s">
        <v>304</v>
      </c>
      <c r="E249" s="24">
        <f>[41]Rqmnt!L22</f>
        <v>192.417949071311</v>
      </c>
      <c r="F249" s="24">
        <f>[41]Rqmnt!M22</f>
        <v>179.127250425413</v>
      </c>
      <c r="G249" s="24">
        <f>[41]Rqmnt!N22</f>
        <v>165.879812338655</v>
      </c>
      <c r="H249" s="24">
        <f>[41]Rqmnt!O22</f>
        <v>155.669353265197</v>
      </c>
      <c r="I249" s="24">
        <f>[41]Rqmnt!P22</f>
        <v>177.453224420099</v>
      </c>
      <c r="J249" s="24">
        <f>[41]Rqmnt!Q22</f>
        <v>172.376138772505</v>
      </c>
      <c r="K249" s="24">
        <f>[41]Rqmnt!R22</f>
        <v>157.343282898235</v>
      </c>
      <c r="L249" s="24">
        <f>[41]Rqmnt!S22</f>
        <v>146.196613110499</v>
      </c>
      <c r="M249" s="24">
        <f>[41]Rqmnt!T22</f>
        <v>161.054240960209</v>
      </c>
      <c r="N249" s="24">
        <f>[41]Rqmnt!U22</f>
        <v>185.221343364972</v>
      </c>
      <c r="O249" s="24">
        <f>[41]Rqmnt!V22</f>
        <v>187.577004183832</v>
      </c>
      <c r="P249" s="24">
        <f>[41]Rqmnt!W22</f>
        <v>226.928708423303</v>
      </c>
      <c r="Q249" s="818">
        <f>SUM(E249:P249)</f>
        <v>2107.24492123423</v>
      </c>
    </row>
    <row r="250" ht="28.5" hidden="1" spans="2:17">
      <c r="B250" s="816">
        <f t="shared" si="114"/>
        <v>20</v>
      </c>
      <c r="C250" s="805" t="s">
        <v>338</v>
      </c>
      <c r="D250" s="7" t="s">
        <v>304</v>
      </c>
      <c r="E250" s="24">
        <f t="shared" ref="E250:P250" si="116">E245+E246-E247-E249</f>
        <v>3696.71440820899</v>
      </c>
      <c r="F250" s="24">
        <f t="shared" si="116"/>
        <v>3310.36748999997</v>
      </c>
      <c r="G250" s="24">
        <f t="shared" si="116"/>
        <v>3001.76340771555</v>
      </c>
      <c r="H250" s="24">
        <f t="shared" si="116"/>
        <v>2845.94286583228</v>
      </c>
      <c r="I250" s="24">
        <f t="shared" si="116"/>
        <v>3319.5789354511</v>
      </c>
      <c r="J250" s="24">
        <f t="shared" si="116"/>
        <v>3256.7174626781</v>
      </c>
      <c r="K250" s="24">
        <f t="shared" si="116"/>
        <v>2860.0843066132</v>
      </c>
      <c r="L250" s="24">
        <f t="shared" si="116"/>
        <v>2615.78769188892</v>
      </c>
      <c r="M250" s="24">
        <f t="shared" si="116"/>
        <v>2977.33721273446</v>
      </c>
      <c r="N250" s="24">
        <f t="shared" si="116"/>
        <v>3578.51443975852</v>
      </c>
      <c r="O250" s="24">
        <f t="shared" si="116"/>
        <v>3609.88868411555</v>
      </c>
      <c r="P250" s="24">
        <f t="shared" si="116"/>
        <v>4456.99209223581</v>
      </c>
      <c r="Q250" s="818">
        <f>SUM(E250:P250)</f>
        <v>39529.6889972324</v>
      </c>
    </row>
    <row r="251" ht="15" hidden="1" spans="2:17">
      <c r="B251" s="7"/>
      <c r="C251" s="18" t="s">
        <v>323</v>
      </c>
      <c r="D251" s="7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10"/>
    </row>
    <row r="252" ht="28.5" hidden="1" spans="2:17">
      <c r="B252" s="7"/>
      <c r="C252" s="805" t="s">
        <v>324</v>
      </c>
      <c r="D252" s="7" t="s">
        <v>304</v>
      </c>
      <c r="E252" s="24">
        <f>[41]Rqmnt!L27</f>
        <v>3696.71440820899</v>
      </c>
      <c r="F252" s="24">
        <f>[41]Rqmnt!M27</f>
        <v>3310.36748999997</v>
      </c>
      <c r="G252" s="24">
        <f>[41]Rqmnt!N27</f>
        <v>3001.76340771554</v>
      </c>
      <c r="H252" s="24">
        <f>[41]Rqmnt!O27</f>
        <v>2845.94286583227</v>
      </c>
      <c r="I252" s="24">
        <f>[41]Rqmnt!P27</f>
        <v>3319.5789354511</v>
      </c>
      <c r="J252" s="24">
        <f>[41]Rqmnt!Q27</f>
        <v>3256.7174626781</v>
      </c>
      <c r="K252" s="24">
        <f>[41]Rqmnt!R27</f>
        <v>2860.08430661319</v>
      </c>
      <c r="L252" s="24">
        <f>[41]Rqmnt!S27</f>
        <v>2615.78769188892</v>
      </c>
      <c r="M252" s="24">
        <f>[41]Rqmnt!T27</f>
        <v>2977.33721273446</v>
      </c>
      <c r="N252" s="24">
        <f>[41]Rqmnt!U27</f>
        <v>3578.51443975852</v>
      </c>
      <c r="O252" s="24">
        <f>[41]Rqmnt!V27</f>
        <v>3609.88868411555</v>
      </c>
      <c r="P252" s="24">
        <f>[41]Rqmnt!W27</f>
        <v>4456.9920922358</v>
      </c>
      <c r="Q252" s="810">
        <f>SUM(E252:P252)</f>
        <v>39529.6889972324</v>
      </c>
    </row>
    <row r="253" ht="15" hidden="1" spans="2:17">
      <c r="B253" s="7">
        <f>B250+1</f>
        <v>21</v>
      </c>
      <c r="C253" s="805" t="s">
        <v>319</v>
      </c>
      <c r="D253" s="7" t="s">
        <v>304</v>
      </c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650">
        <f>SUM(E253:P253)</f>
        <v>0</v>
      </c>
    </row>
    <row r="254" ht="15" hidden="1" spans="2:17">
      <c r="B254" s="7">
        <f t="shared" ref="B254:B256" si="117">B253+1</f>
        <v>22</v>
      </c>
      <c r="C254" s="32" t="s">
        <v>325</v>
      </c>
      <c r="D254" s="7" t="s">
        <v>304</v>
      </c>
      <c r="E254" s="24">
        <f>[41]Rqmnt!L28+[41]Rqmnt!L29</f>
        <v>3530.36225983959</v>
      </c>
      <c r="F254" s="24">
        <f>[41]Rqmnt!M28+[41]Rqmnt!M29</f>
        <v>3161.40095294998</v>
      </c>
      <c r="G254" s="24">
        <f>[41]Rqmnt!N28+[41]Rqmnt!N29</f>
        <v>2866.68405436834</v>
      </c>
      <c r="H254" s="24">
        <f>[41]Rqmnt!O28+[41]Rqmnt!O29</f>
        <v>2717.87543686982</v>
      </c>
      <c r="I254" s="24">
        <f>[41]Rqmnt!P28+[41]Rqmnt!P29</f>
        <v>3170.1978833558</v>
      </c>
      <c r="J254" s="24">
        <f>[41]Rqmnt!Q28+[41]Rqmnt!Q29</f>
        <v>3110.16517685758</v>
      </c>
      <c r="K254" s="24">
        <f>[41]Rqmnt!R28+[41]Rqmnt!R29</f>
        <v>2731.3805128156</v>
      </c>
      <c r="L254" s="24">
        <f>[41]Rqmnt!S28+[41]Rqmnt!S29</f>
        <v>2498.07724575392</v>
      </c>
      <c r="M254" s="24">
        <f>[41]Rqmnt!T28+[41]Rqmnt!T29</f>
        <v>2843.35703816142</v>
      </c>
      <c r="N254" s="24">
        <f>[41]Rqmnt!U28+[41]Rqmnt!U29</f>
        <v>3417.48128996939</v>
      </c>
      <c r="O254" s="24">
        <f>[41]Rqmnt!V28+[41]Rqmnt!V29</f>
        <v>3447.44369333035</v>
      </c>
      <c r="P254" s="24">
        <f>[41]Rqmnt!W28+[41]Rqmnt!W29</f>
        <v>4256.42744808519</v>
      </c>
      <c r="Q254" s="818">
        <f>SUM(E254:P254)</f>
        <v>37750.852992357</v>
      </c>
    </row>
    <row r="255" hidden="1" spans="2:17">
      <c r="B255" s="816">
        <f t="shared" si="117"/>
        <v>23</v>
      </c>
      <c r="C255" s="32" t="s">
        <v>326</v>
      </c>
      <c r="D255" s="7" t="s">
        <v>306</v>
      </c>
      <c r="E255" s="812">
        <f t="shared" ref="E255:Q255" si="118">E256/E252</f>
        <v>0.0450000000000001</v>
      </c>
      <c r="F255" s="812">
        <f t="shared" si="118"/>
        <v>0.0450000000000001</v>
      </c>
      <c r="G255" s="812">
        <f t="shared" si="118"/>
        <v>0.0449999999999999</v>
      </c>
      <c r="H255" s="812">
        <f t="shared" si="118"/>
        <v>0.0450000000000003</v>
      </c>
      <c r="I255" s="812">
        <f t="shared" si="118"/>
        <v>0.0449999999999999</v>
      </c>
      <c r="J255" s="812">
        <f t="shared" si="118"/>
        <v>0.0449999999999998</v>
      </c>
      <c r="K255" s="812">
        <f t="shared" si="118"/>
        <v>0.0450000000000002</v>
      </c>
      <c r="L255" s="812">
        <f t="shared" si="118"/>
        <v>0.0450000000000002</v>
      </c>
      <c r="M255" s="812">
        <f t="shared" si="118"/>
        <v>0.0450000000000001</v>
      </c>
      <c r="N255" s="812">
        <f t="shared" si="118"/>
        <v>0.0449999999999999</v>
      </c>
      <c r="O255" s="812">
        <f t="shared" si="118"/>
        <v>0.0449999999999998</v>
      </c>
      <c r="P255" s="812">
        <f t="shared" si="118"/>
        <v>0.045</v>
      </c>
      <c r="Q255" s="812">
        <f t="shared" si="118"/>
        <v>0.045</v>
      </c>
    </row>
    <row r="256" ht="15" hidden="1" spans="2:17">
      <c r="B256" s="7">
        <f t="shared" si="117"/>
        <v>24</v>
      </c>
      <c r="C256" s="32" t="s">
        <v>326</v>
      </c>
      <c r="D256" s="7" t="s">
        <v>304</v>
      </c>
      <c r="E256" s="24">
        <f>[41]Rqmnt!L30</f>
        <v>166.352148369405</v>
      </c>
      <c r="F256" s="24">
        <f>[41]Rqmnt!M30</f>
        <v>148.966537049999</v>
      </c>
      <c r="G256" s="24">
        <f>[41]Rqmnt!N30</f>
        <v>135.079353347199</v>
      </c>
      <c r="H256" s="24">
        <f>[41]Rqmnt!O30</f>
        <v>128.067428962453</v>
      </c>
      <c r="I256" s="24">
        <f>[41]Rqmnt!P30</f>
        <v>149.381052095299</v>
      </c>
      <c r="J256" s="24">
        <f>[41]Rqmnt!Q30</f>
        <v>146.552285820514</v>
      </c>
      <c r="K256" s="24">
        <f>[41]Rqmnt!R30</f>
        <v>128.703793797594</v>
      </c>
      <c r="L256" s="24">
        <f>[41]Rqmnt!S30</f>
        <v>117.710446135002</v>
      </c>
      <c r="M256" s="24">
        <f>[41]Rqmnt!T30</f>
        <v>133.980174573051</v>
      </c>
      <c r="N256" s="24">
        <f>[41]Rqmnt!U30</f>
        <v>161.033149789133</v>
      </c>
      <c r="O256" s="24">
        <f>[41]Rqmnt!V30</f>
        <v>162.444990785199</v>
      </c>
      <c r="P256" s="24">
        <f>[41]Rqmnt!W30</f>
        <v>200.564644150611</v>
      </c>
      <c r="Q256" s="818">
        <f t="shared" ref="Q256:Q258" si="119">SUM(E256:P256)</f>
        <v>1778.83600487546</v>
      </c>
    </row>
    <row r="257" ht="15" hidden="1" spans="2:17">
      <c r="B257" s="7"/>
      <c r="C257" s="18" t="s">
        <v>97</v>
      </c>
      <c r="D257" s="7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650">
        <f t="shared" si="119"/>
        <v>0</v>
      </c>
    </row>
    <row r="258" ht="15" hidden="1" spans="2:18">
      <c r="B258" s="816">
        <f>B256+1</f>
        <v>25</v>
      </c>
      <c r="C258" s="815" t="s">
        <v>327</v>
      </c>
      <c r="D258" s="39" t="s">
        <v>304</v>
      </c>
      <c r="E258" s="24">
        <f t="shared" ref="E258:P258" si="120">E229+E233+E253</f>
        <v>7871.35392790854</v>
      </c>
      <c r="F258" s="24">
        <f t="shared" si="120"/>
        <v>7581.85361563883</v>
      </c>
      <c r="G258" s="24">
        <f t="shared" si="120"/>
        <v>7237.06380454216</v>
      </c>
      <c r="H258" s="24">
        <f t="shared" si="120"/>
        <v>6920.31456567811</v>
      </c>
      <c r="I258" s="24">
        <f t="shared" si="120"/>
        <v>7771.00327839427</v>
      </c>
      <c r="J258" s="24">
        <f t="shared" si="120"/>
        <v>7632.04077583584</v>
      </c>
      <c r="K258" s="24">
        <f t="shared" si="120"/>
        <v>7348.98802414157</v>
      </c>
      <c r="L258" s="24">
        <f t="shared" si="120"/>
        <v>6990.6746928821</v>
      </c>
      <c r="M258" s="24">
        <f t="shared" si="120"/>
        <v>7258.01771186247</v>
      </c>
      <c r="N258" s="24">
        <f t="shared" si="120"/>
        <v>7886.3117701301</v>
      </c>
      <c r="O258" s="24">
        <f t="shared" si="120"/>
        <v>7840.2743994967</v>
      </c>
      <c r="P258" s="24">
        <f t="shared" si="120"/>
        <v>9203.24631493226</v>
      </c>
      <c r="Q258" s="650">
        <f t="shared" si="119"/>
        <v>91541.1428814429</v>
      </c>
      <c r="R258" s="819"/>
    </row>
    <row r="259" ht="15" hidden="1" spans="2:17">
      <c r="B259" s="816">
        <f>B258+1</f>
        <v>26</v>
      </c>
      <c r="C259" s="18" t="s">
        <v>328</v>
      </c>
      <c r="D259" s="39" t="s">
        <v>304</v>
      </c>
      <c r="E259" s="24">
        <f t="shared" ref="E259:P259" si="121">E234+E240+E247+E254</f>
        <v>7092.86455819903</v>
      </c>
      <c r="F259" s="24">
        <f t="shared" si="121"/>
        <v>6851.05463077087</v>
      </c>
      <c r="G259" s="24">
        <f t="shared" si="121"/>
        <v>6558.68673664903</v>
      </c>
      <c r="H259" s="24">
        <f t="shared" si="121"/>
        <v>6272.40747139672</v>
      </c>
      <c r="I259" s="24">
        <f t="shared" si="121"/>
        <v>7040.80728776521</v>
      </c>
      <c r="J259" s="24">
        <f t="shared" si="121"/>
        <v>6919.43665137374</v>
      </c>
      <c r="K259" s="24">
        <f t="shared" si="121"/>
        <v>6687.11600382455</v>
      </c>
      <c r="L259" s="24">
        <f t="shared" si="121"/>
        <v>6371.62764873439</v>
      </c>
      <c r="M259" s="24">
        <f t="shared" si="121"/>
        <v>6583.86190965512</v>
      </c>
      <c r="N259" s="24">
        <f t="shared" si="121"/>
        <v>7124.47772076414</v>
      </c>
      <c r="O259" s="24">
        <f t="shared" si="121"/>
        <v>7078.03219779053</v>
      </c>
      <c r="P259" s="24">
        <f t="shared" si="121"/>
        <v>8291.75106591342</v>
      </c>
      <c r="Q259" s="818">
        <f t="shared" ref="Q259:Q261" si="122">SUM(E259:P259)</f>
        <v>82872.1238828367</v>
      </c>
    </row>
    <row r="260" ht="30" hidden="1" spans="2:17">
      <c r="B260" s="816">
        <f>B259+1</f>
        <v>27</v>
      </c>
      <c r="C260" s="808" t="s">
        <v>329</v>
      </c>
      <c r="D260" s="39"/>
      <c r="E260" s="24">
        <f t="shared" ref="E260:P260" si="123">E237+E234</f>
        <v>7649.77183821147</v>
      </c>
      <c r="F260" s="24">
        <f t="shared" si="123"/>
        <v>7369.6124970924</v>
      </c>
      <c r="G260" s="24">
        <f t="shared" si="123"/>
        <v>7038.65530734705</v>
      </c>
      <c r="H260" s="24">
        <f t="shared" si="123"/>
        <v>6725.72480899845</v>
      </c>
      <c r="I260" s="24">
        <f t="shared" si="123"/>
        <v>7555.91091660295</v>
      </c>
      <c r="J260" s="24">
        <f t="shared" si="123"/>
        <v>7420.85451223068</v>
      </c>
      <c r="K260" s="24">
        <f t="shared" si="123"/>
        <v>7144.0545721076</v>
      </c>
      <c r="L260" s="24">
        <f t="shared" si="123"/>
        <v>6797.40409207045</v>
      </c>
      <c r="M260" s="24">
        <f t="shared" si="123"/>
        <v>7052.58150853989</v>
      </c>
      <c r="N260" s="24">
        <f t="shared" si="123"/>
        <v>7664.09338670356</v>
      </c>
      <c r="O260" s="24">
        <f t="shared" si="123"/>
        <v>7622.80681488438</v>
      </c>
      <c r="P260" s="24">
        <f t="shared" si="123"/>
        <v>8951.67176041922</v>
      </c>
      <c r="Q260" s="818">
        <f t="shared" si="122"/>
        <v>88993.1420152081</v>
      </c>
    </row>
    <row r="261" ht="15" hidden="1" spans="2:17">
      <c r="B261" s="816">
        <f>B260+1</f>
        <v>28</v>
      </c>
      <c r="C261" s="808" t="s">
        <v>330</v>
      </c>
      <c r="D261" s="39" t="s">
        <v>304</v>
      </c>
      <c r="E261" s="24">
        <f t="shared" ref="E261:P261" si="124">E260-E259</f>
        <v>556.907280012446</v>
      </c>
      <c r="F261" s="24">
        <f t="shared" si="124"/>
        <v>518.557866321536</v>
      </c>
      <c r="G261" s="24">
        <f t="shared" si="124"/>
        <v>479.968570698015</v>
      </c>
      <c r="H261" s="24">
        <f t="shared" si="124"/>
        <v>453.31733760173</v>
      </c>
      <c r="I261" s="24">
        <f t="shared" si="124"/>
        <v>515.103628837742</v>
      </c>
      <c r="J261" s="24">
        <f t="shared" si="124"/>
        <v>501.417860856942</v>
      </c>
      <c r="K261" s="24">
        <f t="shared" si="124"/>
        <v>456.93856828305</v>
      </c>
      <c r="L261" s="24">
        <f t="shared" si="124"/>
        <v>425.776443336063</v>
      </c>
      <c r="M261" s="24">
        <f t="shared" si="124"/>
        <v>468.719598884772</v>
      </c>
      <c r="N261" s="24">
        <f t="shared" si="124"/>
        <v>539.615665939416</v>
      </c>
      <c r="O261" s="24">
        <f t="shared" si="124"/>
        <v>544.774617093852</v>
      </c>
      <c r="P261" s="24">
        <f t="shared" si="124"/>
        <v>659.920694505798</v>
      </c>
      <c r="Q261" s="818">
        <f t="shared" si="122"/>
        <v>6121.01813237136</v>
      </c>
    </row>
    <row r="262" ht="15" hidden="1" spans="2:17">
      <c r="B262" s="816">
        <f t="shared" ref="B262" si="125">B261+1</f>
        <v>29</v>
      </c>
      <c r="C262" s="808" t="s">
        <v>331</v>
      </c>
      <c r="D262" s="39" t="s">
        <v>306</v>
      </c>
      <c r="E262" s="812">
        <f t="shared" ref="E262:Q262" si="126">E261/(E260-E234)</f>
        <v>0.0871321851673906</v>
      </c>
      <c r="F262" s="812">
        <f t="shared" si="126"/>
        <v>0.0844006594490417</v>
      </c>
      <c r="G262" s="812">
        <f t="shared" si="126"/>
        <v>0.0831186813375967</v>
      </c>
      <c r="H262" s="812">
        <f t="shared" si="126"/>
        <v>0.0828682123056728</v>
      </c>
      <c r="I262" s="812">
        <f t="shared" si="126"/>
        <v>0.0848157827973493</v>
      </c>
      <c r="J262" s="812">
        <f t="shared" si="126"/>
        <v>0.0851772793252832</v>
      </c>
      <c r="K262" s="812">
        <f t="shared" si="126"/>
        <v>0.0828894141259512</v>
      </c>
      <c r="L262" s="812">
        <f t="shared" si="126"/>
        <v>0.0815414836942497</v>
      </c>
      <c r="M262" s="812">
        <f t="shared" si="126"/>
        <v>0.0836588780058479</v>
      </c>
      <c r="N262" s="812">
        <f t="shared" si="126"/>
        <v>0.086512123417324</v>
      </c>
      <c r="O262" s="812">
        <f t="shared" si="126"/>
        <v>0.0867152028334966</v>
      </c>
      <c r="P262" s="812">
        <f t="shared" si="126"/>
        <v>0.0880169319136064</v>
      </c>
      <c r="Q262" s="812">
        <f t="shared" si="126"/>
        <v>0.0849024131737924</v>
      </c>
    </row>
  </sheetData>
  <mergeCells count="28">
    <mergeCell ref="E5:Q5"/>
    <mergeCell ref="E41:Q41"/>
    <mergeCell ref="E79:Q79"/>
    <mergeCell ref="E116:Q116"/>
    <mergeCell ref="E153:Q153"/>
    <mergeCell ref="E190:Q190"/>
    <mergeCell ref="E227:Q227"/>
    <mergeCell ref="B5:B6"/>
    <mergeCell ref="B41:B43"/>
    <mergeCell ref="B79:B80"/>
    <mergeCell ref="B116:B117"/>
    <mergeCell ref="B153:B154"/>
    <mergeCell ref="B190:B191"/>
    <mergeCell ref="B227:B228"/>
    <mergeCell ref="C5:C6"/>
    <mergeCell ref="C41:C43"/>
    <mergeCell ref="C79:C80"/>
    <mergeCell ref="C116:C117"/>
    <mergeCell ref="C153:C154"/>
    <mergeCell ref="C190:C191"/>
    <mergeCell ref="C227:C228"/>
    <mergeCell ref="D5:D6"/>
    <mergeCell ref="D41:D43"/>
    <mergeCell ref="D79:D80"/>
    <mergeCell ref="D116:D117"/>
    <mergeCell ref="D153:D154"/>
    <mergeCell ref="D190:D191"/>
    <mergeCell ref="D227:D228"/>
  </mergeCells>
  <pageMargins left="0.7" right="0.7" top="0.75" bottom="0.75" header="0.3" footer="0.3"/>
  <pageSetup paperSize="1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D1:J9"/>
  <sheetViews>
    <sheetView zoomScale="154" zoomScaleNormal="154" topLeftCell="C1" workbookViewId="0">
      <selection activeCell="F9" sqref="F9"/>
    </sheetView>
  </sheetViews>
  <sheetFormatPr defaultColWidth="8.85714285714286" defaultRowHeight="12.75"/>
  <cols>
    <col min="1" max="3" width="8.85714285714286" style="940"/>
    <col min="4" max="4" width="12.1428571428571" style="940" customWidth="1"/>
    <col min="5" max="5" width="8.85714285714286" style="940"/>
    <col min="6" max="6" width="11.8571428571429" style="940" customWidth="1"/>
    <col min="7" max="7" width="12.8571428571429" style="940" customWidth="1"/>
    <col min="8" max="8" width="11.5714285714286" style="940" customWidth="1"/>
    <col min="9" max="9" width="15.5714285714286" style="940" customWidth="1"/>
    <col min="10" max="10" width="12.8571428571429" style="940" customWidth="1"/>
    <col min="11" max="16384" width="8.85714285714286" style="940"/>
  </cols>
  <sheetData>
    <row r="1" ht="13.5"/>
    <row r="2" ht="13.5" spans="4:10">
      <c r="D2" s="941"/>
      <c r="E2" s="942" t="s">
        <v>0</v>
      </c>
      <c r="F2" s="943"/>
      <c r="G2" s="944"/>
      <c r="H2" s="942" t="s">
        <v>95</v>
      </c>
      <c r="I2" s="943"/>
      <c r="J2" s="944"/>
    </row>
    <row r="3" ht="15" spans="4:10">
      <c r="D3" s="945" t="s">
        <v>96</v>
      </c>
      <c r="E3" s="946" t="s">
        <v>97</v>
      </c>
      <c r="F3" s="947" t="s">
        <v>98</v>
      </c>
      <c r="G3" s="948" t="s">
        <v>99</v>
      </c>
      <c r="H3" s="946" t="s">
        <v>97</v>
      </c>
      <c r="I3" s="947" t="s">
        <v>98</v>
      </c>
      <c r="J3" s="948" t="s">
        <v>99</v>
      </c>
    </row>
    <row r="4" ht="14.25" spans="4:10">
      <c r="D4" s="949" t="s">
        <v>100</v>
      </c>
      <c r="E4" s="950">
        <v>12</v>
      </c>
      <c r="F4" s="951">
        <v>12</v>
      </c>
      <c r="G4" s="952">
        <f>E4-F4</f>
        <v>0</v>
      </c>
      <c r="H4" s="950">
        <f>E4</f>
        <v>12</v>
      </c>
      <c r="I4" s="951">
        <v>0</v>
      </c>
      <c r="J4" s="952">
        <f>H4-I4</f>
        <v>12</v>
      </c>
    </row>
    <row r="5" ht="14.25" spans="4:10">
      <c r="D5" s="949" t="s">
        <v>101</v>
      </c>
      <c r="E5" s="953">
        <v>27</v>
      </c>
      <c r="F5" s="954">
        <v>22</v>
      </c>
      <c r="G5" s="955">
        <f>E5-F5</f>
        <v>5</v>
      </c>
      <c r="H5" s="953">
        <f>E5</f>
        <v>27</v>
      </c>
      <c r="I5" s="954">
        <v>0</v>
      </c>
      <c r="J5" s="955">
        <f>H5-I5</f>
        <v>27</v>
      </c>
    </row>
    <row r="6" ht="14.25" spans="4:10">
      <c r="D6" s="949" t="s">
        <v>102</v>
      </c>
      <c r="E6" s="956">
        <v>13</v>
      </c>
      <c r="F6" s="957">
        <v>13</v>
      </c>
      <c r="G6" s="958">
        <f>E6-F6</f>
        <v>0</v>
      </c>
      <c r="H6" s="956">
        <f>E6</f>
        <v>13</v>
      </c>
      <c r="I6" s="957">
        <v>13</v>
      </c>
      <c r="J6" s="958">
        <f>H6-I6</f>
        <v>0</v>
      </c>
    </row>
    <row r="7" ht="14.25" spans="4:10">
      <c r="D7" s="949" t="s">
        <v>103</v>
      </c>
      <c r="E7" s="959">
        <v>10</v>
      </c>
      <c r="F7" s="960">
        <v>10</v>
      </c>
      <c r="G7" s="961">
        <f>E7-F7</f>
        <v>0</v>
      </c>
      <c r="H7" s="959">
        <f>E7</f>
        <v>10</v>
      </c>
      <c r="I7" s="960">
        <v>10</v>
      </c>
      <c r="J7" s="961">
        <f>H7-I7</f>
        <v>0</v>
      </c>
    </row>
    <row r="8" ht="15" spans="4:10">
      <c r="D8" s="949" t="s">
        <v>104</v>
      </c>
      <c r="E8" s="962">
        <v>1</v>
      </c>
      <c r="F8" s="963">
        <v>0</v>
      </c>
      <c r="G8" s="964">
        <f>E8-F8</f>
        <v>1</v>
      </c>
      <c r="H8" s="962">
        <f>E8</f>
        <v>1</v>
      </c>
      <c r="I8" s="963">
        <v>0</v>
      </c>
      <c r="J8" s="964">
        <f>H8-I8</f>
        <v>1</v>
      </c>
    </row>
    <row r="9" ht="15" spans="4:10">
      <c r="D9" s="945" t="s">
        <v>97</v>
      </c>
      <c r="E9" s="965">
        <f t="shared" ref="E9:J9" si="0">SUM(E4:E8)</f>
        <v>63</v>
      </c>
      <c r="F9" s="966">
        <f t="shared" si="0"/>
        <v>57</v>
      </c>
      <c r="G9" s="967">
        <f t="shared" si="0"/>
        <v>6</v>
      </c>
      <c r="H9" s="965">
        <f t="shared" si="0"/>
        <v>63</v>
      </c>
      <c r="I9" s="966">
        <f t="shared" si="0"/>
        <v>23</v>
      </c>
      <c r="J9" s="967">
        <f t="shared" si="0"/>
        <v>40</v>
      </c>
    </row>
  </sheetData>
  <mergeCells count="2">
    <mergeCell ref="E2:G2"/>
    <mergeCell ref="H2:J2"/>
  </mergeCells>
  <pageMargins left="0.7" right="0.7" top="0.75" bottom="0.75" header="0.3" footer="0.3"/>
  <pageSetup paperSize="1" orientation="portrait" horizontalDpi="90" verticalDpi="90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</sheetPr>
  <dimension ref="B1:Q164"/>
  <sheetViews>
    <sheetView showGridLines="0" view="pageBreakPreview" zoomScaleNormal="70" workbookViewId="0">
      <selection activeCell="D97" sqref="D97"/>
    </sheetView>
  </sheetViews>
  <sheetFormatPr defaultColWidth="9.14285714285714" defaultRowHeight="14.25"/>
  <cols>
    <col min="1" max="1" width="3.14285714285714" style="12" customWidth="1"/>
    <col min="2" max="2" width="8.14285714285714" style="12" customWidth="1"/>
    <col min="3" max="3" width="22.1428571428571" style="12" customWidth="1"/>
    <col min="4" max="4" width="41.1428571428571" style="12" customWidth="1"/>
    <col min="5" max="7" width="16.4285714285714" style="12" hidden="1" customWidth="1"/>
    <col min="8" max="8" width="16.8571428571429" style="12" hidden="1" customWidth="1"/>
    <col min="9" max="9" width="13.8571428571429" style="12" hidden="1" customWidth="1"/>
    <col min="10" max="10" width="12.5714285714286" style="12" hidden="1" customWidth="1"/>
    <col min="11" max="11" width="13.4285714285714" style="12" hidden="1" customWidth="1"/>
    <col min="12" max="12" width="12.7142857142857" style="12" customWidth="1"/>
    <col min="13" max="13" width="12.5714285714286" style="12" hidden="1" customWidth="1"/>
    <col min="14" max="14" width="14.8571428571429" style="12" hidden="1" customWidth="1"/>
    <col min="15" max="15" width="12.5714285714286" style="12" hidden="1" customWidth="1"/>
    <col min="16" max="16" width="0.142857142857143" style="12" customWidth="1"/>
    <col min="17" max="17" width="13.8571428571429" style="12" customWidth="1"/>
    <col min="18" max="20" width="11.8571428571429" style="12" customWidth="1"/>
    <col min="21" max="21" width="11.4285714285714" style="12" customWidth="1"/>
    <col min="22" max="22" width="12.4285714285714" style="12" customWidth="1"/>
    <col min="23" max="23" width="12.8571428571429" style="12" customWidth="1"/>
    <col min="24" max="16384" width="9.14285714285714" style="12"/>
  </cols>
  <sheetData>
    <row r="1" ht="8.1" customHeight="1"/>
    <row r="2" ht="12.95" customHeight="1" spans="3:3">
      <c r="C2" s="2" t="s">
        <v>0</v>
      </c>
    </row>
    <row r="3" ht="15" customHeight="1" spans="4:4">
      <c r="D3" s="3" t="s">
        <v>344</v>
      </c>
    </row>
    <row r="4" ht="30.95" customHeight="1" spans="2:16">
      <c r="B4" s="656"/>
      <c r="C4" s="658" t="s">
        <v>345</v>
      </c>
      <c r="D4" s="658" t="s">
        <v>346</v>
      </c>
      <c r="E4" s="306" t="s">
        <v>347</v>
      </c>
      <c r="F4" s="307"/>
      <c r="G4" s="308"/>
      <c r="H4" s="306" t="s">
        <v>336</v>
      </c>
      <c r="I4" s="307"/>
      <c r="J4" s="307"/>
      <c r="K4" s="307"/>
      <c r="L4" s="175" t="s">
        <v>114</v>
      </c>
      <c r="M4" s="175"/>
      <c r="N4" s="175"/>
      <c r="O4" s="175"/>
      <c r="P4" s="175"/>
    </row>
    <row r="5" ht="42" customHeight="1" spans="2:16">
      <c r="B5" s="656"/>
      <c r="C5" s="660"/>
      <c r="D5" s="660"/>
      <c r="E5" s="5" t="s">
        <v>116</v>
      </c>
      <c r="F5" s="5" t="s">
        <v>237</v>
      </c>
      <c r="G5" s="5" t="s">
        <v>118</v>
      </c>
      <c r="H5" s="5" t="s">
        <v>116</v>
      </c>
      <c r="I5" s="5" t="s">
        <v>119</v>
      </c>
      <c r="J5" s="5" t="s">
        <v>120</v>
      </c>
      <c r="K5" s="5" t="s">
        <v>238</v>
      </c>
      <c r="L5" s="5" t="s">
        <v>348</v>
      </c>
      <c r="M5" s="5" t="s">
        <v>299</v>
      </c>
      <c r="N5" s="5" t="s">
        <v>167</v>
      </c>
      <c r="O5" s="5" t="s">
        <v>301</v>
      </c>
      <c r="P5" s="5" t="s">
        <v>302</v>
      </c>
    </row>
    <row r="6" ht="15" customHeight="1" spans="2:16">
      <c r="B6" s="656"/>
      <c r="C6" s="662"/>
      <c r="D6" s="662"/>
      <c r="E6" s="5" t="s">
        <v>127</v>
      </c>
      <c r="F6" s="5" t="s">
        <v>128</v>
      </c>
      <c r="G6" s="5" t="s">
        <v>129</v>
      </c>
      <c r="H6" s="5" t="s">
        <v>127</v>
      </c>
      <c r="I6" s="5" t="s">
        <v>130</v>
      </c>
      <c r="J6" s="5" t="s">
        <v>131</v>
      </c>
      <c r="K6" s="5" t="s">
        <v>131</v>
      </c>
      <c r="L6" s="5" t="s">
        <v>132</v>
      </c>
      <c r="M6" s="5" t="s">
        <v>132</v>
      </c>
      <c r="N6" s="5" t="s">
        <v>132</v>
      </c>
      <c r="O6" s="5" t="s">
        <v>132</v>
      </c>
      <c r="P6" s="5" t="s">
        <v>132</v>
      </c>
    </row>
    <row r="7" ht="15" spans="2:16">
      <c r="B7" s="656"/>
      <c r="C7" s="663" t="s">
        <v>349</v>
      </c>
      <c r="D7" s="676"/>
      <c r="E7" s="47"/>
      <c r="F7" s="47"/>
      <c r="G7" s="749"/>
      <c r="H7" s="47"/>
      <c r="I7" s="55"/>
      <c r="J7" s="55"/>
      <c r="K7" s="55"/>
      <c r="L7" s="55"/>
      <c r="M7" s="55"/>
      <c r="N7" s="55"/>
      <c r="O7" s="55"/>
      <c r="P7" s="55"/>
    </row>
    <row r="8" ht="15" spans="3:16">
      <c r="C8" s="44" t="s">
        <v>350</v>
      </c>
      <c r="D8" s="4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</row>
    <row r="9" customHeight="1" spans="2:16">
      <c r="B9" s="656"/>
      <c r="C9" s="677" t="s">
        <v>351</v>
      </c>
      <c r="D9" s="47" t="s">
        <v>352</v>
      </c>
      <c r="E9" s="752">
        <f>3187.93*70.55/100</f>
        <v>2249.084615</v>
      </c>
      <c r="F9" s="752">
        <f>'F9-Year(n-1)'!U9</f>
        <v>0</v>
      </c>
      <c r="G9" s="752"/>
      <c r="H9" s="752">
        <f>3048.29*70.55/100</f>
        <v>2150.568595</v>
      </c>
      <c r="I9" s="681">
        <f>SUM('F9-Year(n)'!I9:N9)</f>
        <v>1316.8863</v>
      </c>
      <c r="J9" s="681">
        <f>SUM('F9-Year(n)'!O9:T9)</f>
        <v>1309.6902</v>
      </c>
      <c r="K9" s="147">
        <f>I9+J9</f>
        <v>2626.5765</v>
      </c>
      <c r="L9" s="681">
        <f>'F9-Year(n+1)'!U9</f>
        <v>2626.5765</v>
      </c>
      <c r="M9" s="681">
        <f>'F9-Year(n+2)'!U9</f>
        <v>2626.5765</v>
      </c>
      <c r="N9" s="681">
        <f>'F9-Year(n+3)'!U9</f>
        <v>2626.5765</v>
      </c>
      <c r="O9" s="681">
        <f>'F9-Year(n+4)'!U9</f>
        <v>2626.5765</v>
      </c>
      <c r="P9" s="681">
        <f>'F9-Year(n+5)'!U9</f>
        <v>2626.5765</v>
      </c>
    </row>
    <row r="10" customHeight="1" spans="2:16">
      <c r="B10" s="656"/>
      <c r="C10" s="678"/>
      <c r="D10" s="47" t="s">
        <v>353</v>
      </c>
      <c r="E10" s="752">
        <f>3241.2*70.55/100</f>
        <v>2286.6666</v>
      </c>
      <c r="F10" s="752">
        <f>'F9-Year(n-1)'!U10</f>
        <v>0</v>
      </c>
      <c r="G10" s="752"/>
      <c r="H10" s="752">
        <f>3049.54*70.55/100</f>
        <v>2151.45047</v>
      </c>
      <c r="I10" s="681">
        <f>SUM('F9-Year(n)'!I10:N10)</f>
        <v>1316.8863</v>
      </c>
      <c r="J10" s="681">
        <f>SUM('F9-Year(n)'!O10:T10)</f>
        <v>1309.6902</v>
      </c>
      <c r="K10" s="147">
        <f t="shared" ref="K10:K27" si="0">I10+J10</f>
        <v>2626.5765</v>
      </c>
      <c r="L10" s="681">
        <f>'F9-Year(n+1)'!U10</f>
        <v>2626.5765</v>
      </c>
      <c r="M10" s="681">
        <f>'F9-Year(n+2)'!U10</f>
        <v>2626.5765</v>
      </c>
      <c r="N10" s="681">
        <f>'F9-Year(n+3)'!U10</f>
        <v>2626.5765</v>
      </c>
      <c r="O10" s="681">
        <f>'F9-Year(n+4)'!U10</f>
        <v>2626.5765</v>
      </c>
      <c r="P10" s="681">
        <f>'F9-Year(n+5)'!U10</f>
        <v>2626.5765</v>
      </c>
    </row>
    <row r="11" customHeight="1" spans="2:16">
      <c r="B11" s="656"/>
      <c r="C11" s="678"/>
      <c r="D11" s="47" t="s">
        <v>354</v>
      </c>
      <c r="E11" s="752">
        <f>5644.07*70.55/100</f>
        <v>3981.891385</v>
      </c>
      <c r="F11" s="752">
        <f>'F9-Year(n-1)'!U11</f>
        <v>0</v>
      </c>
      <c r="G11" s="752"/>
      <c r="H11" s="752">
        <f>5355.05*70.55/100</f>
        <v>3777.987775</v>
      </c>
      <c r="I11" s="681">
        <f>SUM('F9-Year(n)'!I11:N11)</f>
        <v>2107.01808</v>
      </c>
      <c r="J11" s="681">
        <f>SUM('F9-Year(n)'!O11:T11)</f>
        <v>2095.50432</v>
      </c>
      <c r="K11" s="147">
        <f t="shared" si="0"/>
        <v>4202.5224</v>
      </c>
      <c r="L11" s="681">
        <f>'F9-Year(n+1)'!U11</f>
        <v>4202.5224</v>
      </c>
      <c r="M11" s="681">
        <f>'F9-Year(n+2)'!U11</f>
        <v>4202.5224</v>
      </c>
      <c r="N11" s="681">
        <f>'F9-Year(n+3)'!U11</f>
        <v>4202.5224</v>
      </c>
      <c r="O11" s="681">
        <f>'F9-Year(n+4)'!U11</f>
        <v>4202.5224</v>
      </c>
      <c r="P11" s="681">
        <f>'F9-Year(n+5)'!U11</f>
        <v>4202.5224</v>
      </c>
    </row>
    <row r="12" customHeight="1" spans="2:16">
      <c r="B12" s="656"/>
      <c r="C12" s="678"/>
      <c r="D12" s="47" t="s">
        <v>355</v>
      </c>
      <c r="E12" s="752">
        <f>369.66*70.55/100</f>
        <v>260.79513</v>
      </c>
      <c r="F12" s="752">
        <f>'F9-Year(n-1)'!U12</f>
        <v>0</v>
      </c>
      <c r="G12" s="752"/>
      <c r="H12" s="752">
        <f>302.8*70.55/100</f>
        <v>213.6254</v>
      </c>
      <c r="I12" s="681">
        <f>SUM('F9-Year(n)'!I12:N12)</f>
        <v>164.6107875</v>
      </c>
      <c r="J12" s="681">
        <f>SUM('F9-Year(n)'!O12:T12)</f>
        <v>163.711275</v>
      </c>
      <c r="K12" s="147">
        <f t="shared" si="0"/>
        <v>328.3220625</v>
      </c>
      <c r="L12" s="681">
        <f>'F9-Year(n+1)'!U12</f>
        <v>0</v>
      </c>
      <c r="M12" s="681">
        <f>'F9-Year(n+2)'!U12</f>
        <v>328.3220625</v>
      </c>
      <c r="N12" s="681">
        <f>'F9-Year(n+3)'!U12</f>
        <v>328.3220625</v>
      </c>
      <c r="O12" s="681">
        <f>'F9-Year(n+4)'!U12</f>
        <v>328.3220625</v>
      </c>
      <c r="P12" s="681">
        <f>'F9-Year(n+5)'!U12</f>
        <v>328.3220625</v>
      </c>
    </row>
    <row r="13" customHeight="1" spans="2:16">
      <c r="B13" s="656"/>
      <c r="C13" s="678"/>
      <c r="D13" s="47" t="s">
        <v>356</v>
      </c>
      <c r="E13" s="752">
        <f>3241.2*70.55/100</f>
        <v>2286.6666</v>
      </c>
      <c r="F13" s="752">
        <f>'F9-Year(n-1)'!U13</f>
        <v>0</v>
      </c>
      <c r="G13" s="752"/>
      <c r="H13" s="752">
        <f>2659.28*70.55/100</f>
        <v>1876.12204</v>
      </c>
      <c r="I13" s="681">
        <f>SUM('F9-Year(n)'!I13:N13)</f>
        <v>1316.8863</v>
      </c>
      <c r="J13" s="681">
        <f>SUM('F9-Year(n)'!O13:T13)</f>
        <v>1309.6902</v>
      </c>
      <c r="K13" s="147">
        <f t="shared" si="0"/>
        <v>2626.5765</v>
      </c>
      <c r="L13" s="681">
        <f>'F9-Year(n+1)'!U13</f>
        <v>2626.5765</v>
      </c>
      <c r="M13" s="681">
        <f>'F9-Year(n+2)'!U13</f>
        <v>2626.5765</v>
      </c>
      <c r="N13" s="681">
        <f>'F9-Year(n+3)'!U13</f>
        <v>2626.5765</v>
      </c>
      <c r="O13" s="681">
        <f>'F9-Year(n+4)'!U13</f>
        <v>2626.5765</v>
      </c>
      <c r="P13" s="681">
        <f>'F9-Year(n+5)'!U13</f>
        <v>2626.5765</v>
      </c>
    </row>
    <row r="14" customHeight="1" spans="2:16">
      <c r="B14" s="656"/>
      <c r="C14" s="678"/>
      <c r="D14" s="47" t="s">
        <v>357</v>
      </c>
      <c r="E14" s="752">
        <f>3910.46*70.55/100</f>
        <v>2758.82953</v>
      </c>
      <c r="F14" s="752">
        <f>'F9-Year(n-1)'!U14</f>
        <v>0</v>
      </c>
      <c r="G14" s="752"/>
      <c r="H14" s="752">
        <f>3635.83*70.55/100</f>
        <v>2565.078065</v>
      </c>
      <c r="I14" s="681">
        <f>SUM('F9-Year(n)'!I14:N14)</f>
        <v>1580.26356</v>
      </c>
      <c r="J14" s="681">
        <f>SUM('F9-Year(n)'!O14:T14)</f>
        <v>1571.62824</v>
      </c>
      <c r="K14" s="147">
        <f t="shared" si="0"/>
        <v>3151.8918</v>
      </c>
      <c r="L14" s="681">
        <f>'F9-Year(n+1)'!U14</f>
        <v>3151.8918</v>
      </c>
      <c r="M14" s="681">
        <f>'F9-Year(n+2)'!U14</f>
        <v>3151.8918</v>
      </c>
      <c r="N14" s="681">
        <f>'F9-Year(n+3)'!U14</f>
        <v>3151.8918</v>
      </c>
      <c r="O14" s="681">
        <f>'F9-Year(n+4)'!U14</f>
        <v>3151.8918</v>
      </c>
      <c r="P14" s="681">
        <f>'F9-Year(n+5)'!U14</f>
        <v>3151.8918</v>
      </c>
    </row>
    <row r="15" customHeight="1" spans="2:16">
      <c r="B15" s="656"/>
      <c r="C15" s="678"/>
      <c r="D15" s="47" t="s">
        <v>358</v>
      </c>
      <c r="E15" s="752">
        <f>7361.1*70.55/100</f>
        <v>5193.25605</v>
      </c>
      <c r="F15" s="752">
        <f>'F9-Year(n-1)'!U15</f>
        <v>0</v>
      </c>
      <c r="G15" s="752"/>
      <c r="H15" s="752">
        <f>7255.02*70.55/100</f>
        <v>5118.41661</v>
      </c>
      <c r="I15" s="681">
        <f>SUM('F9-Year(n)'!I15:N15)</f>
        <v>2844.474408</v>
      </c>
      <c r="J15" s="681">
        <f>SUM('F9-Year(n)'!O15:T15)</f>
        <v>2828.930832</v>
      </c>
      <c r="K15" s="147">
        <f t="shared" si="0"/>
        <v>5673.40524</v>
      </c>
      <c r="L15" s="681">
        <f>'F9-Year(n+1)'!U15</f>
        <v>5673.40524</v>
      </c>
      <c r="M15" s="681">
        <f>'F9-Year(n+2)'!U15</f>
        <v>5673.40524</v>
      </c>
      <c r="N15" s="681">
        <f>'F9-Year(n+3)'!U15</f>
        <v>5673.40524</v>
      </c>
      <c r="O15" s="681">
        <f>'F9-Year(n+4)'!U15</f>
        <v>5673.40524</v>
      </c>
      <c r="P15" s="681">
        <f>'F9-Year(n+5)'!U15</f>
        <v>5673.40524</v>
      </c>
    </row>
    <row r="16" customHeight="1" spans="2:16">
      <c r="B16" s="656"/>
      <c r="C16" s="678"/>
      <c r="D16" s="47" t="s">
        <v>359</v>
      </c>
      <c r="E16" s="752">
        <f>0*70.55/100</f>
        <v>0</v>
      </c>
      <c r="F16" s="752" t="e">
        <f>'F9-Year(n-1)'!U16</f>
        <v>#REF!</v>
      </c>
      <c r="G16" s="752"/>
      <c r="H16" s="752">
        <f>905.5*70.55/100</f>
        <v>638.83025</v>
      </c>
      <c r="I16" s="681">
        <f>SUM('F9-Year(n)'!I16:N16)</f>
        <v>0</v>
      </c>
      <c r="J16" s="681">
        <f>SUM('F9-Year(n)'!O16:T16)</f>
        <v>0</v>
      </c>
      <c r="K16" s="147">
        <f t="shared" si="0"/>
        <v>0</v>
      </c>
      <c r="L16" s="681">
        <f>'F9-Year(n+1)'!U16</f>
        <v>19960.7765066667</v>
      </c>
      <c r="M16" s="681">
        <f>'F9-Year(n+2)'!U16</f>
        <v>21076.885872</v>
      </c>
      <c r="N16" s="681">
        <f>'F9-Year(n+3)'!U16</f>
        <v>21076.885872</v>
      </c>
      <c r="O16" s="681">
        <f>'F9-Year(n+4)'!U16</f>
        <v>21076.885872</v>
      </c>
      <c r="P16" s="681">
        <f>'F9-Year(n+5)'!U16</f>
        <v>21076.885872</v>
      </c>
    </row>
    <row r="17" ht="15" spans="2:16">
      <c r="B17" s="656"/>
      <c r="C17" s="678"/>
      <c r="D17" s="47"/>
      <c r="E17" s="752"/>
      <c r="F17" s="752">
        <f>'F9-Year(n-1)'!U17</f>
        <v>0</v>
      </c>
      <c r="G17" s="752"/>
      <c r="H17" s="752"/>
      <c r="I17" s="681">
        <f>SUM('F9-Year(n)'!I17:N17)</f>
        <v>0</v>
      </c>
      <c r="J17" s="681">
        <f>SUM('F9-Year(n)'!O17:T17)</f>
        <v>0</v>
      </c>
      <c r="K17" s="147">
        <f t="shared" si="0"/>
        <v>0</v>
      </c>
      <c r="L17" s="681">
        <f>'F9-Year(n+1)'!U17</f>
        <v>0</v>
      </c>
      <c r="M17" s="681">
        <f>'F9-Year(n+2)'!U17</f>
        <v>0</v>
      </c>
      <c r="N17" s="681">
        <f>'F9-Year(n+3)'!U17</f>
        <v>0</v>
      </c>
      <c r="O17" s="681">
        <f>'F9-Year(n+4)'!U17</f>
        <v>0</v>
      </c>
      <c r="P17" s="681">
        <f>'F9-Year(n+5)'!U17</f>
        <v>0</v>
      </c>
    </row>
    <row r="18" ht="15" spans="2:16">
      <c r="B18" s="656"/>
      <c r="C18" s="678"/>
      <c r="D18" s="47"/>
      <c r="E18" s="752"/>
      <c r="F18" s="752">
        <f>'F9-Year(n-1)'!U18</f>
        <v>0</v>
      </c>
      <c r="G18" s="752"/>
      <c r="H18" s="752"/>
      <c r="I18" s="681">
        <f>SUM('F9-Year(n)'!I18:N18)</f>
        <v>0</v>
      </c>
      <c r="J18" s="681">
        <f>SUM('F9-Year(n)'!O18:T18)</f>
        <v>0</v>
      </c>
      <c r="K18" s="147">
        <f t="shared" si="0"/>
        <v>0</v>
      </c>
      <c r="L18" s="681">
        <f>'F9-Year(n+1)'!U18</f>
        <v>0</v>
      </c>
      <c r="M18" s="681">
        <f>'F9-Year(n+2)'!U18</f>
        <v>0</v>
      </c>
      <c r="N18" s="681">
        <f>'F9-Year(n+3)'!U18</f>
        <v>0</v>
      </c>
      <c r="O18" s="681">
        <f>'F9-Year(n+4)'!U18</f>
        <v>0</v>
      </c>
      <c r="P18" s="681">
        <f>'F9-Year(n+5)'!U18</f>
        <v>0</v>
      </c>
    </row>
    <row r="19" ht="15" spans="2:16">
      <c r="B19" s="656"/>
      <c r="C19" s="678"/>
      <c r="D19" s="47"/>
      <c r="E19" s="752"/>
      <c r="F19" s="752">
        <f>'F9-Year(n-1)'!U19</f>
        <v>0</v>
      </c>
      <c r="G19" s="752"/>
      <c r="H19" s="752"/>
      <c r="I19" s="681">
        <f>SUM('F9-Year(n)'!I19:N19)</f>
        <v>0</v>
      </c>
      <c r="J19" s="681">
        <f>SUM('F9-Year(n)'!O19:T19)</f>
        <v>0</v>
      </c>
      <c r="K19" s="147">
        <f t="shared" si="0"/>
        <v>0</v>
      </c>
      <c r="L19" s="681">
        <f>'F9-Year(n+1)'!U19</f>
        <v>0</v>
      </c>
      <c r="M19" s="681">
        <f>'F9-Year(n+2)'!U19</f>
        <v>0</v>
      </c>
      <c r="N19" s="681">
        <f>'F9-Year(n+3)'!U19</f>
        <v>0</v>
      </c>
      <c r="O19" s="681">
        <f>'F9-Year(n+4)'!U19</f>
        <v>0</v>
      </c>
      <c r="P19" s="681">
        <f>'F9-Year(n+5)'!U19</f>
        <v>0</v>
      </c>
    </row>
    <row r="20" ht="15" spans="2:16">
      <c r="B20" s="656"/>
      <c r="C20" s="678"/>
      <c r="D20" s="47"/>
      <c r="E20" s="752"/>
      <c r="F20" s="752">
        <f>'F9-Year(n-1)'!U20</f>
        <v>0</v>
      </c>
      <c r="G20" s="752"/>
      <c r="H20" s="752"/>
      <c r="I20" s="681">
        <f>SUM('F9-Year(n)'!I20:N20)</f>
        <v>0</v>
      </c>
      <c r="J20" s="681">
        <f>SUM('F9-Year(n)'!O20:T20)</f>
        <v>0</v>
      </c>
      <c r="K20" s="147">
        <f t="shared" si="0"/>
        <v>0</v>
      </c>
      <c r="L20" s="681">
        <f>'F9-Year(n+1)'!U20</f>
        <v>0</v>
      </c>
      <c r="M20" s="681">
        <f>'F9-Year(n+2)'!U20</f>
        <v>0</v>
      </c>
      <c r="N20" s="681">
        <f>'F9-Year(n+3)'!U20</f>
        <v>0</v>
      </c>
      <c r="O20" s="681">
        <f>'F9-Year(n+4)'!U20</f>
        <v>0</v>
      </c>
      <c r="P20" s="681">
        <f>'F9-Year(n+5)'!U20</f>
        <v>0</v>
      </c>
    </row>
    <row r="21" ht="15" spans="2:16">
      <c r="B21" s="656"/>
      <c r="C21" s="678"/>
      <c r="D21" s="47"/>
      <c r="E21" s="752"/>
      <c r="F21" s="752">
        <f>'F9-Year(n-1)'!U21</f>
        <v>0</v>
      </c>
      <c r="G21" s="752"/>
      <c r="H21" s="752"/>
      <c r="I21" s="681">
        <f>SUM('F9-Year(n)'!I21:N21)</f>
        <v>0</v>
      </c>
      <c r="J21" s="681">
        <f>SUM('F9-Year(n)'!O21:T21)</f>
        <v>0</v>
      </c>
      <c r="K21" s="147">
        <f t="shared" si="0"/>
        <v>0</v>
      </c>
      <c r="L21" s="681">
        <f>'F9-Year(n+1)'!U21</f>
        <v>0</v>
      </c>
      <c r="M21" s="681">
        <f>'F9-Year(n+2)'!U21</f>
        <v>0</v>
      </c>
      <c r="N21" s="681">
        <f>'F9-Year(n+3)'!U21</f>
        <v>0</v>
      </c>
      <c r="O21" s="681">
        <f>'F9-Year(n+4)'!U21</f>
        <v>0</v>
      </c>
      <c r="P21" s="681">
        <f>'F9-Year(n+5)'!U21</f>
        <v>0</v>
      </c>
    </row>
    <row r="22" ht="15" spans="2:16">
      <c r="B22" s="656"/>
      <c r="C22" s="678"/>
      <c r="D22" s="47"/>
      <c r="E22" s="752"/>
      <c r="F22" s="752">
        <f>'F9-Year(n-1)'!U22</f>
        <v>0</v>
      </c>
      <c r="G22" s="752"/>
      <c r="H22" s="752"/>
      <c r="I22" s="681">
        <f>SUM('F9-Year(n)'!I22:N22)</f>
        <v>0</v>
      </c>
      <c r="J22" s="681">
        <f>SUM('F9-Year(n)'!O22:T22)</f>
        <v>0</v>
      </c>
      <c r="K22" s="147">
        <f t="shared" si="0"/>
        <v>0</v>
      </c>
      <c r="L22" s="681">
        <f>'F9-Year(n+1)'!U22</f>
        <v>0</v>
      </c>
      <c r="M22" s="681">
        <f>'F9-Year(n+2)'!U22</f>
        <v>0</v>
      </c>
      <c r="N22" s="681">
        <f>'F9-Year(n+3)'!U22</f>
        <v>0</v>
      </c>
      <c r="O22" s="681">
        <f>'F9-Year(n+4)'!U22</f>
        <v>0</v>
      </c>
      <c r="P22" s="681">
        <f>'F9-Year(n+5)'!U22</f>
        <v>0</v>
      </c>
    </row>
    <row r="23" ht="15" spans="2:16">
      <c r="B23" s="656"/>
      <c r="C23" s="678"/>
      <c r="D23" s="47"/>
      <c r="E23" s="752"/>
      <c r="F23" s="752">
        <f>'F9-Year(n-1)'!U23</f>
        <v>0</v>
      </c>
      <c r="G23" s="752"/>
      <c r="H23" s="752"/>
      <c r="I23" s="681">
        <f>SUM('F9-Year(n)'!I23:N23)</f>
        <v>0</v>
      </c>
      <c r="J23" s="681">
        <f>SUM('F9-Year(n)'!O23:T23)</f>
        <v>0</v>
      </c>
      <c r="K23" s="147">
        <f t="shared" si="0"/>
        <v>0</v>
      </c>
      <c r="L23" s="681">
        <f>'F9-Year(n+1)'!U23</f>
        <v>0</v>
      </c>
      <c r="M23" s="681">
        <f>'F9-Year(n+2)'!U23</f>
        <v>0</v>
      </c>
      <c r="N23" s="681">
        <f>'F9-Year(n+3)'!U23</f>
        <v>0</v>
      </c>
      <c r="O23" s="681">
        <f>'F9-Year(n+4)'!U23</f>
        <v>0</v>
      </c>
      <c r="P23" s="681">
        <f>'F9-Year(n+5)'!U23</f>
        <v>0</v>
      </c>
    </row>
    <row r="24" ht="15" spans="2:16">
      <c r="B24" s="656"/>
      <c r="C24" s="678"/>
      <c r="D24" s="47"/>
      <c r="E24" s="752"/>
      <c r="F24" s="752">
        <f>'F9-Year(n-1)'!U24</f>
        <v>0</v>
      </c>
      <c r="G24" s="752"/>
      <c r="H24" s="752"/>
      <c r="I24" s="681">
        <f>SUM('F9-Year(n)'!I24:N24)</f>
        <v>0</v>
      </c>
      <c r="J24" s="681">
        <f>SUM('F9-Year(n)'!O24:T24)</f>
        <v>0</v>
      </c>
      <c r="K24" s="147">
        <f t="shared" si="0"/>
        <v>0</v>
      </c>
      <c r="L24" s="681">
        <f>'F9-Year(n+1)'!U24</f>
        <v>0</v>
      </c>
      <c r="M24" s="681">
        <f>'F9-Year(n+2)'!U24</f>
        <v>0</v>
      </c>
      <c r="N24" s="681">
        <f>'F9-Year(n+3)'!U24</f>
        <v>0</v>
      </c>
      <c r="O24" s="681">
        <f>'F9-Year(n+4)'!U24</f>
        <v>0</v>
      </c>
      <c r="P24" s="681">
        <f>'F9-Year(n+5)'!U24</f>
        <v>0</v>
      </c>
    </row>
    <row r="25" ht="15" spans="2:16">
      <c r="B25" s="656"/>
      <c r="C25" s="678"/>
      <c r="D25" s="47"/>
      <c r="E25" s="752"/>
      <c r="F25" s="752">
        <f>'F9-Year(n-1)'!U25</f>
        <v>0</v>
      </c>
      <c r="G25" s="752"/>
      <c r="H25" s="752"/>
      <c r="I25" s="681">
        <f>SUM('F9-Year(n)'!I25:N25)</f>
        <v>0</v>
      </c>
      <c r="J25" s="681">
        <f>SUM('F9-Year(n)'!O25:T25)</f>
        <v>0</v>
      </c>
      <c r="K25" s="147">
        <f t="shared" si="0"/>
        <v>0</v>
      </c>
      <c r="L25" s="681">
        <f>'F9-Year(n+1)'!U25</f>
        <v>0</v>
      </c>
      <c r="M25" s="681">
        <f>'F9-Year(n+2)'!U25</f>
        <v>0</v>
      </c>
      <c r="N25" s="681">
        <f>'F9-Year(n+3)'!U25</f>
        <v>0</v>
      </c>
      <c r="O25" s="681">
        <f>'F9-Year(n+4)'!U25</f>
        <v>0</v>
      </c>
      <c r="P25" s="681">
        <f>'F9-Year(n+5)'!U25</f>
        <v>0</v>
      </c>
    </row>
    <row r="26" ht="15" spans="2:16">
      <c r="B26" s="656"/>
      <c r="C26" s="680"/>
      <c r="D26" s="47"/>
      <c r="E26" s="752"/>
      <c r="F26" s="752">
        <f>'F9-Year(n-1)'!U26</f>
        <v>0</v>
      </c>
      <c r="G26" s="752"/>
      <c r="H26" s="752"/>
      <c r="I26" s="681">
        <f>SUM('F9-Year(n)'!I26:N26)</f>
        <v>0</v>
      </c>
      <c r="J26" s="681">
        <f>SUM('F9-Year(n)'!O26:T26)</f>
        <v>0</v>
      </c>
      <c r="K26" s="147">
        <f t="shared" si="0"/>
        <v>0</v>
      </c>
      <c r="L26" s="681">
        <f>'F9-Year(n+1)'!U26</f>
        <v>0</v>
      </c>
      <c r="M26" s="681">
        <f>'F9-Year(n+2)'!U26</f>
        <v>0</v>
      </c>
      <c r="N26" s="681">
        <f>'F9-Year(n+3)'!U26</f>
        <v>0</v>
      </c>
      <c r="O26" s="681">
        <f>'F9-Year(n+4)'!U26</f>
        <v>0</v>
      </c>
      <c r="P26" s="681">
        <f>'F9-Year(n+5)'!U26</f>
        <v>0</v>
      </c>
    </row>
    <row r="27" ht="15" spans="3:16">
      <c r="C27" s="537" t="s">
        <v>211</v>
      </c>
      <c r="D27" s="540"/>
      <c r="E27" s="316">
        <f>SUM(E9:E26)</f>
        <v>19017.18991</v>
      </c>
      <c r="F27" s="316" t="e">
        <f>'F9-Year(n-1)'!U27</f>
        <v>#REF!</v>
      </c>
      <c r="G27" s="316" t="e">
        <f>F27-E27</f>
        <v>#REF!</v>
      </c>
      <c r="H27" s="316">
        <f>SUM(H9:H26)</f>
        <v>18492.079205</v>
      </c>
      <c r="I27" s="316">
        <f>SUM('F9-Year(n)'!I27:N27)</f>
        <v>10647.0257355</v>
      </c>
      <c r="J27" s="316">
        <f>SUM('F9-Year(n)'!O27:T27)</f>
        <v>10588.845267</v>
      </c>
      <c r="K27" s="316">
        <f t="shared" si="0"/>
        <v>21235.8710025</v>
      </c>
      <c r="L27" s="316">
        <f>'F9-Year(n+1)'!U27</f>
        <v>40870.3254466667</v>
      </c>
      <c r="M27" s="316">
        <f>'F9-Year(n+2)'!U27</f>
        <v>42312.7568745</v>
      </c>
      <c r="N27" s="316">
        <f>'F9-Year(n+3)'!U27</f>
        <v>42312.7568745</v>
      </c>
      <c r="O27" s="316">
        <f>'F9-Year(n+4)'!U27</f>
        <v>42312.7568745</v>
      </c>
      <c r="P27" s="316">
        <f>'F9-Year(n+5)'!U27</f>
        <v>42312.7568745</v>
      </c>
    </row>
    <row r="28" ht="15" spans="3:16">
      <c r="C28" s="44" t="s">
        <v>360</v>
      </c>
      <c r="D28" s="45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</row>
    <row r="29" ht="15" spans="3:16">
      <c r="C29" s="682" t="s">
        <v>351</v>
      </c>
      <c r="D29" s="55" t="s">
        <v>361</v>
      </c>
      <c r="E29" s="147">
        <f>157.49*70.55/100</f>
        <v>111.109195</v>
      </c>
      <c r="F29" s="752">
        <f>'F9-Year(n-1)'!U29</f>
        <v>0</v>
      </c>
      <c r="G29" s="147"/>
      <c r="H29" s="147">
        <f>169.72*70.55/100</f>
        <v>119.73746</v>
      </c>
      <c r="I29" s="681">
        <f>SUM('F9-Year(n)'!I29:N29)</f>
        <v>0</v>
      </c>
      <c r="J29" s="681">
        <f>SUM('F9-Year(n)'!O29:T29)</f>
        <v>0</v>
      </c>
      <c r="K29" s="147">
        <f>I29+J29</f>
        <v>0</v>
      </c>
      <c r="L29" s="681">
        <f>'F9-Year(n+1)'!U29</f>
        <v>204.860294346477</v>
      </c>
      <c r="M29" s="681">
        <f>'F9-Year(n+2)'!U29</f>
        <v>389.998117847382</v>
      </c>
      <c r="N29" s="681">
        <f>'F9-Year(n+3)'!U29</f>
        <v>389.99781475805</v>
      </c>
      <c r="O29" s="681">
        <f>'F9-Year(n+4)'!U29</f>
        <v>391.558266693278</v>
      </c>
      <c r="P29" s="681">
        <f>'F9-Year(n+5)'!U29</f>
        <v>389.998170822028</v>
      </c>
    </row>
    <row r="30" ht="15" spans="3:16">
      <c r="C30" s="683"/>
      <c r="D30" s="55" t="s">
        <v>362</v>
      </c>
      <c r="E30" s="147">
        <f>1552.76*70.55/100</f>
        <v>1095.47218</v>
      </c>
      <c r="F30" s="752">
        <f>'F9-Year(n-1)'!U30</f>
        <v>0</v>
      </c>
      <c r="G30" s="147"/>
      <c r="H30" s="147">
        <f>2495.35*70.55/100</f>
        <v>1760.469425</v>
      </c>
      <c r="I30" s="681">
        <f>SUM('F9-Year(n)'!I30:N30)</f>
        <v>0</v>
      </c>
      <c r="J30" s="681">
        <f>SUM('F9-Year(n)'!O30:T30)</f>
        <v>0</v>
      </c>
      <c r="K30" s="147">
        <f t="shared" ref="K30:K48" si="1">I30+J30</f>
        <v>0</v>
      </c>
      <c r="L30" s="681">
        <f>'F9-Year(n+1)'!U30</f>
        <v>1428.06885529049</v>
      </c>
      <c r="M30" s="681">
        <f>'F9-Year(n+2)'!U30</f>
        <v>1359.32677314669</v>
      </c>
      <c r="N30" s="681">
        <f>'F9-Year(n+3)'!U30</f>
        <v>1359.32571673789</v>
      </c>
      <c r="O30" s="681">
        <f>'F9-Year(n+4)'!U30</f>
        <v>1364.76462527794</v>
      </c>
      <c r="P30" s="681">
        <f>'F9-Year(n+5)'!U30</f>
        <v>1359.32695778823</v>
      </c>
    </row>
    <row r="31" ht="15" spans="3:16">
      <c r="C31" s="683"/>
      <c r="D31" s="55" t="s">
        <v>363</v>
      </c>
      <c r="E31" s="147">
        <f>1408.6*70.55/100</f>
        <v>993.7673</v>
      </c>
      <c r="F31" s="752">
        <f>'F9-Year(n-1)'!U31</f>
        <v>0</v>
      </c>
      <c r="G31" s="147"/>
      <c r="H31" s="147">
        <f>2159.13*70.55/100</f>
        <v>1523.266215</v>
      </c>
      <c r="I31" s="681">
        <f>SUM('F9-Year(n)'!I31:N31)</f>
        <v>0</v>
      </c>
      <c r="J31" s="681">
        <f>SUM('F9-Year(n)'!O31:T31)</f>
        <v>0</v>
      </c>
      <c r="K31" s="147">
        <f t="shared" si="1"/>
        <v>0</v>
      </c>
      <c r="L31" s="681">
        <f>'F9-Year(n+1)'!U31</f>
        <v>1575.84841804983</v>
      </c>
      <c r="M31" s="681">
        <f>'F9-Year(n+2)'!U31</f>
        <v>1499.99276095147</v>
      </c>
      <c r="N31" s="681">
        <f>'F9-Year(n+3)'!U31</f>
        <v>1499.99159522327</v>
      </c>
      <c r="O31" s="681">
        <f>'F9-Year(n+4)'!U31</f>
        <v>1505.99333343568</v>
      </c>
      <c r="P31" s="681">
        <f>'F9-Year(n+5)'!U31</f>
        <v>1499.9929647001</v>
      </c>
    </row>
    <row r="32" ht="15" spans="3:16">
      <c r="C32" s="683"/>
      <c r="D32" s="55" t="s">
        <v>364</v>
      </c>
      <c r="E32" s="147">
        <f>316.66*70.55/100</f>
        <v>223.40363</v>
      </c>
      <c r="F32" s="752">
        <f>'F9-Year(n-1)'!U32</f>
        <v>0</v>
      </c>
      <c r="G32" s="147"/>
      <c r="H32" s="147">
        <f>376.27*70.55/100</f>
        <v>265.458485</v>
      </c>
      <c r="I32" s="681">
        <f>SUM('F9-Year(n)'!I32:N32)</f>
        <v>0</v>
      </c>
      <c r="J32" s="681">
        <f>SUM('F9-Year(n)'!O32:T32)</f>
        <v>0</v>
      </c>
      <c r="K32" s="147">
        <f t="shared" si="1"/>
        <v>0</v>
      </c>
      <c r="L32" s="681">
        <f>'F9-Year(n+1)'!U32</f>
        <v>420.226244813287</v>
      </c>
      <c r="M32" s="681">
        <f>'F9-Year(n+2)'!U32</f>
        <v>399.998069587059</v>
      </c>
      <c r="N32" s="681">
        <f>'F9-Year(n+3)'!U32</f>
        <v>399.997758726206</v>
      </c>
      <c r="O32" s="681">
        <f>'F9-Year(n+4)'!U32</f>
        <v>401.598222249516</v>
      </c>
      <c r="P32" s="681">
        <f>'F9-Year(n+5)'!U32</f>
        <v>399.998123920028</v>
      </c>
    </row>
    <row r="33" ht="15" spans="3:16">
      <c r="C33" s="683"/>
      <c r="D33" s="55" t="s">
        <v>365</v>
      </c>
      <c r="E33" s="147">
        <f>168.95*70.55/100</f>
        <v>119.194225</v>
      </c>
      <c r="F33" s="752">
        <f>'F9-Year(n-1)'!U33</f>
        <v>0</v>
      </c>
      <c r="G33" s="147"/>
      <c r="H33" s="147">
        <f>324.74*70.55/100</f>
        <v>229.10407</v>
      </c>
      <c r="I33" s="681">
        <f>SUM('F9-Year(n)'!I33:N33)</f>
        <v>0</v>
      </c>
      <c r="J33" s="681">
        <f>SUM('F9-Year(n)'!O33:T33)</f>
        <v>0</v>
      </c>
      <c r="K33" s="147">
        <f t="shared" si="1"/>
        <v>0</v>
      </c>
      <c r="L33" s="681">
        <f>'F9-Year(n+1)'!U33</f>
        <v>210.113122406643</v>
      </c>
      <c r="M33" s="681">
        <f>'F9-Year(n+2)'!U33</f>
        <v>199.999034793529</v>
      </c>
      <c r="N33" s="681">
        <f>'F9-Year(n+3)'!U33</f>
        <v>199.998879363103</v>
      </c>
      <c r="O33" s="681">
        <f>'F9-Year(n+4)'!U33</f>
        <v>200.799111124758</v>
      </c>
      <c r="P33" s="681">
        <f>'F9-Year(n+5)'!U33</f>
        <v>199.999061960014</v>
      </c>
    </row>
    <row r="34" ht="15" spans="3:16">
      <c r="C34" s="683"/>
      <c r="D34" s="55" t="s">
        <v>366</v>
      </c>
      <c r="E34" s="147">
        <f>18.26*70.55/100</f>
        <v>12.88243</v>
      </c>
      <c r="F34" s="752">
        <f>'F9-Year(n-1)'!U34</f>
        <v>0</v>
      </c>
      <c r="G34" s="147"/>
      <c r="H34" s="147">
        <f>17.38*70.55/100</f>
        <v>12.26159</v>
      </c>
      <c r="I34" s="681">
        <f>SUM('F9-Year(n)'!I34:N34)</f>
        <v>0</v>
      </c>
      <c r="J34" s="681">
        <f>SUM('F9-Year(n)'!O34:T34)</f>
        <v>0</v>
      </c>
      <c r="K34" s="147">
        <f t="shared" si="1"/>
        <v>0</v>
      </c>
      <c r="L34" s="681">
        <f>'F9-Year(n+1)'!U34</f>
        <v>31.5169683609965</v>
      </c>
      <c r="M34" s="681">
        <f>'F9-Year(n+2)'!U34</f>
        <v>29.9998552190294</v>
      </c>
      <c r="N34" s="681">
        <f>'F9-Year(n+3)'!U34</f>
        <v>29.9998319044654</v>
      </c>
      <c r="O34" s="681">
        <f>'F9-Year(n+4)'!U34</f>
        <v>30.1198666687137</v>
      </c>
      <c r="P34" s="681">
        <f>'F9-Year(n+5)'!U34</f>
        <v>29.9998592940021</v>
      </c>
    </row>
    <row r="35" ht="15" spans="3:16">
      <c r="C35" s="683"/>
      <c r="D35" s="55" t="s">
        <v>367</v>
      </c>
      <c r="E35" s="147">
        <f>93.12*70.55/100</f>
        <v>65.69616</v>
      </c>
      <c r="F35" s="752">
        <f>'F9-Year(n-1)'!U35</f>
        <v>0</v>
      </c>
      <c r="G35" s="147"/>
      <c r="H35" s="147">
        <f>130.53*70.55/100</f>
        <v>92.088915</v>
      </c>
      <c r="I35" s="681">
        <f>SUM('F9-Year(n)'!I35:N35)</f>
        <v>0</v>
      </c>
      <c r="J35" s="681">
        <f>SUM('F9-Year(n)'!O35:T35)</f>
        <v>0</v>
      </c>
      <c r="K35" s="147">
        <f t="shared" si="1"/>
        <v>0</v>
      </c>
      <c r="L35" s="681">
        <f>'F9-Year(n+1)'!U35</f>
        <v>105.056561203322</v>
      </c>
      <c r="M35" s="681">
        <f>'F9-Year(n+2)'!U35</f>
        <v>99.9995173967647</v>
      </c>
      <c r="N35" s="681">
        <f>'F9-Year(n+3)'!U35</f>
        <v>99.9994396815515</v>
      </c>
      <c r="O35" s="681">
        <f>'F9-Year(n+4)'!U35</f>
        <v>100.399555562379</v>
      </c>
      <c r="P35" s="681">
        <f>'F9-Year(n+5)'!U35</f>
        <v>99.999530980007</v>
      </c>
    </row>
    <row r="36" ht="15" spans="3:16">
      <c r="C36" s="683"/>
      <c r="D36" s="55" t="s">
        <v>368</v>
      </c>
      <c r="E36" s="147">
        <f>2.7*70.55/100</f>
        <v>1.90485</v>
      </c>
      <c r="F36" s="752">
        <f>'F9-Year(n-1)'!U36</f>
        <v>0</v>
      </c>
      <c r="G36" s="147"/>
      <c r="H36" s="147">
        <f>3.52*70.55/100</f>
        <v>2.48336</v>
      </c>
      <c r="I36" s="681">
        <f>SUM('F9-Year(n)'!I36:N36)</f>
        <v>0</v>
      </c>
      <c r="J36" s="681">
        <f>SUM('F9-Year(n)'!O36:T36)</f>
        <v>0</v>
      </c>
      <c r="K36" s="147">
        <f t="shared" si="1"/>
        <v>0</v>
      </c>
      <c r="L36" s="681">
        <f>'F9-Year(n+1)'!U36</f>
        <v>26.2641403008304</v>
      </c>
      <c r="M36" s="681">
        <f>'F9-Year(n+2)'!U36</f>
        <v>24.9998793491912</v>
      </c>
      <c r="N36" s="681">
        <f>'F9-Year(n+3)'!U36</f>
        <v>24.9998599203879</v>
      </c>
      <c r="O36" s="681">
        <f>'F9-Year(n+4)'!U36</f>
        <v>25.0998888905947</v>
      </c>
      <c r="P36" s="681">
        <f>'F9-Year(n+5)'!U36</f>
        <v>24.9998827450018</v>
      </c>
    </row>
    <row r="37" ht="15" spans="3:16">
      <c r="C37" s="683"/>
      <c r="D37" s="55"/>
      <c r="E37" s="147"/>
      <c r="F37" s="752">
        <f>'F9-Year(n-1)'!U37</f>
        <v>0</v>
      </c>
      <c r="G37" s="147"/>
      <c r="H37" s="147"/>
      <c r="I37" s="681">
        <f>SUM('F9-Year(n)'!I37:N37)</f>
        <v>499.7730644758</v>
      </c>
      <c r="J37" s="681">
        <f>SUM('F9-Year(n)'!O37:T37)</f>
        <v>333.1197145046</v>
      </c>
      <c r="K37" s="147">
        <f t="shared" si="1"/>
        <v>832.8927789804</v>
      </c>
      <c r="L37" s="681">
        <f>'F9-Year(n+1)'!U37</f>
        <v>0</v>
      </c>
      <c r="M37" s="681">
        <f>'F9-Year(n+2)'!U37</f>
        <v>0</v>
      </c>
      <c r="N37" s="681">
        <f>'F9-Year(n+3)'!U37</f>
        <v>0</v>
      </c>
      <c r="O37" s="681">
        <f>'F9-Year(n+4)'!U37</f>
        <v>0</v>
      </c>
      <c r="P37" s="681">
        <f>'F9-Year(n+5)'!U37</f>
        <v>0</v>
      </c>
    </row>
    <row r="38" ht="15" spans="3:16">
      <c r="C38" s="683"/>
      <c r="D38" s="55"/>
      <c r="E38" s="147"/>
      <c r="F38" s="752">
        <f>'F9-Year(n-1)'!U38</f>
        <v>0</v>
      </c>
      <c r="G38" s="147"/>
      <c r="H38" s="147"/>
      <c r="I38" s="681">
        <f>SUM('F9-Year(n)'!I38:N38)</f>
        <v>0</v>
      </c>
      <c r="J38" s="681">
        <f>SUM('F9-Year(n)'!O38:T38)</f>
        <v>0</v>
      </c>
      <c r="K38" s="147">
        <f t="shared" si="1"/>
        <v>0</v>
      </c>
      <c r="L38" s="681">
        <f>'F9-Year(n+1)'!U38</f>
        <v>31.5169683609965</v>
      </c>
      <c r="M38" s="681">
        <f>'F9-Year(n+2)'!U38</f>
        <v>29.9998552190294</v>
      </c>
      <c r="N38" s="681">
        <f>'F9-Year(n+3)'!U38</f>
        <v>29.9998319044654</v>
      </c>
      <c r="O38" s="681">
        <f>'F9-Year(n+4)'!U38</f>
        <v>30.1198666687137</v>
      </c>
      <c r="P38" s="681">
        <f>'F9-Year(n+5)'!U38</f>
        <v>29.9998592940021</v>
      </c>
    </row>
    <row r="39" ht="15" spans="3:16">
      <c r="C39" s="683"/>
      <c r="D39" s="55"/>
      <c r="E39" s="147"/>
      <c r="F39" s="752">
        <f>'F9-Year(n-1)'!U39</f>
        <v>0</v>
      </c>
      <c r="G39" s="147"/>
      <c r="H39" s="147"/>
      <c r="I39" s="681">
        <f>SUM('F9-Year(n)'!I39:N39)</f>
        <v>0</v>
      </c>
      <c r="J39" s="681">
        <f>SUM('F9-Year(n)'!O39:T39)</f>
        <v>0</v>
      </c>
      <c r="K39" s="147">
        <f t="shared" si="1"/>
        <v>0</v>
      </c>
      <c r="L39" s="681">
        <f>'F9-Year(n+1)'!U39</f>
        <v>17.5094268672203</v>
      </c>
      <c r="M39" s="681">
        <f>'F9-Year(n+2)'!U39</f>
        <v>16.6665862327941</v>
      </c>
      <c r="N39" s="681">
        <f>'F9-Year(n+3)'!U39</f>
        <v>16.6665732802586</v>
      </c>
      <c r="O39" s="681">
        <f>'F9-Year(n+4)'!U39</f>
        <v>16.7332592603965</v>
      </c>
      <c r="P39" s="681">
        <f>'F9-Year(n+5)'!U39</f>
        <v>16.6665884966679</v>
      </c>
    </row>
    <row r="40" ht="15" spans="3:16">
      <c r="C40" s="683"/>
      <c r="D40" s="55"/>
      <c r="E40" s="147"/>
      <c r="F40" s="752">
        <f>'F9-Year(n-1)'!U40</f>
        <v>0</v>
      </c>
      <c r="G40" s="147"/>
      <c r="H40" s="147"/>
      <c r="I40" s="681">
        <f>SUM('F9-Year(n)'!I40:N40)</f>
        <v>0</v>
      </c>
      <c r="J40" s="681">
        <f>SUM('F9-Year(n)'!O40:T40)</f>
        <v>0</v>
      </c>
      <c r="K40" s="147">
        <f t="shared" si="1"/>
        <v>0</v>
      </c>
      <c r="L40" s="681">
        <f>'F9-Year(n+1)'!U40</f>
        <v>0</v>
      </c>
      <c r="M40" s="681">
        <f>'F9-Year(n+2)'!U40</f>
        <v>0</v>
      </c>
      <c r="N40" s="681">
        <f>'F9-Year(n+3)'!U40</f>
        <v>0</v>
      </c>
      <c r="O40" s="681">
        <f>'F9-Year(n+4)'!U40</f>
        <v>0</v>
      </c>
      <c r="P40" s="681">
        <f>'F9-Year(n+5)'!U40</f>
        <v>0</v>
      </c>
    </row>
    <row r="41" ht="15" spans="3:16">
      <c r="C41" s="683"/>
      <c r="D41" s="55"/>
      <c r="E41" s="147"/>
      <c r="F41" s="752">
        <f>'F9-Year(n-1)'!U41</f>
        <v>0</v>
      </c>
      <c r="G41" s="147"/>
      <c r="H41" s="147"/>
      <c r="I41" s="681">
        <f>SUM('F9-Year(n)'!I41:N41)</f>
        <v>0</v>
      </c>
      <c r="J41" s="681">
        <f>SUM('F9-Year(n)'!O41:T41)</f>
        <v>0</v>
      </c>
      <c r="K41" s="147">
        <f t="shared" si="1"/>
        <v>0</v>
      </c>
      <c r="L41" s="681">
        <f>'F9-Year(n+1)'!U41</f>
        <v>0</v>
      </c>
      <c r="M41" s="681">
        <f>'F9-Year(n+2)'!U41</f>
        <v>0</v>
      </c>
      <c r="N41" s="681">
        <f>'F9-Year(n+3)'!U41</f>
        <v>0</v>
      </c>
      <c r="O41" s="681">
        <f>'F9-Year(n+4)'!U41</f>
        <v>0</v>
      </c>
      <c r="P41" s="681">
        <f>'F9-Year(n+5)'!U41</f>
        <v>0</v>
      </c>
    </row>
    <row r="42" ht="15" spans="3:16">
      <c r="C42" s="683"/>
      <c r="D42" s="55"/>
      <c r="E42" s="147"/>
      <c r="F42" s="752">
        <f>'F9-Year(n-1)'!U42</f>
        <v>0</v>
      </c>
      <c r="G42" s="147"/>
      <c r="H42" s="147"/>
      <c r="I42" s="681">
        <f>SUM('F9-Year(n)'!I42:N42)</f>
        <v>0</v>
      </c>
      <c r="J42" s="681">
        <f>SUM('F9-Year(n)'!O42:T42)</f>
        <v>0</v>
      </c>
      <c r="K42" s="147">
        <f t="shared" si="1"/>
        <v>0</v>
      </c>
      <c r="L42" s="681">
        <f>'F9-Year(n+1)'!U42</f>
        <v>0</v>
      </c>
      <c r="M42" s="681">
        <f>'F9-Year(n+2)'!U42</f>
        <v>0</v>
      </c>
      <c r="N42" s="681">
        <f>'F9-Year(n+3)'!U42</f>
        <v>0</v>
      </c>
      <c r="O42" s="681">
        <f>'F9-Year(n+4)'!U42</f>
        <v>0</v>
      </c>
      <c r="P42" s="681">
        <f>'F9-Year(n+5)'!U42</f>
        <v>0</v>
      </c>
    </row>
    <row r="43" ht="15" spans="3:16">
      <c r="C43" s="683"/>
      <c r="D43" s="55"/>
      <c r="E43" s="147"/>
      <c r="F43" s="752">
        <f>'F9-Year(n-1)'!U43</f>
        <v>0</v>
      </c>
      <c r="G43" s="147"/>
      <c r="H43" s="147"/>
      <c r="I43" s="681">
        <f>SUM('F9-Year(n)'!I43:N43)</f>
        <v>0</v>
      </c>
      <c r="J43" s="681">
        <f>SUM('F9-Year(n)'!O43:T43)</f>
        <v>0</v>
      </c>
      <c r="K43" s="147">
        <f t="shared" si="1"/>
        <v>0</v>
      </c>
      <c r="L43" s="681">
        <f>'F9-Year(n+1)'!U43</f>
        <v>0</v>
      </c>
      <c r="M43" s="681">
        <f>'F9-Year(n+2)'!U43</f>
        <v>0</v>
      </c>
      <c r="N43" s="681">
        <f>'F9-Year(n+3)'!U43</f>
        <v>0</v>
      </c>
      <c r="O43" s="681">
        <f>'F9-Year(n+4)'!U43</f>
        <v>0</v>
      </c>
      <c r="P43" s="681">
        <f>'F9-Year(n+5)'!U43</f>
        <v>0</v>
      </c>
    </row>
    <row r="44" ht="15" spans="3:16">
      <c r="C44" s="683"/>
      <c r="D44" s="55"/>
      <c r="E44" s="147"/>
      <c r="F44" s="752">
        <f>'F9-Year(n-1)'!U44</f>
        <v>0</v>
      </c>
      <c r="G44" s="147"/>
      <c r="H44" s="147"/>
      <c r="I44" s="681">
        <f>SUM('F9-Year(n)'!I44:N44)</f>
        <v>0</v>
      </c>
      <c r="J44" s="681">
        <f>SUM('F9-Year(n)'!O44:T44)</f>
        <v>0</v>
      </c>
      <c r="K44" s="147">
        <f t="shared" si="1"/>
        <v>0</v>
      </c>
      <c r="L44" s="681">
        <f>'F9-Year(n+1)'!U44</f>
        <v>0</v>
      </c>
      <c r="M44" s="681">
        <f>'F9-Year(n+2)'!U44</f>
        <v>0</v>
      </c>
      <c r="N44" s="681">
        <f>'F9-Year(n+3)'!U44</f>
        <v>0</v>
      </c>
      <c r="O44" s="681">
        <f>'F9-Year(n+4)'!U44</f>
        <v>0</v>
      </c>
      <c r="P44" s="681">
        <f>'F9-Year(n+5)'!U44</f>
        <v>0</v>
      </c>
    </row>
    <row r="45" ht="15" spans="3:16">
      <c r="C45" s="683"/>
      <c r="D45" s="55"/>
      <c r="E45" s="147"/>
      <c r="F45" s="752">
        <f>'F9-Year(n-1)'!U45</f>
        <v>0</v>
      </c>
      <c r="G45" s="147"/>
      <c r="H45" s="147"/>
      <c r="I45" s="681">
        <f>SUM('F9-Year(n)'!I45:N45)</f>
        <v>0</v>
      </c>
      <c r="J45" s="681">
        <f>SUM('F9-Year(n)'!O45:T45)</f>
        <v>0</v>
      </c>
      <c r="K45" s="147">
        <f t="shared" si="1"/>
        <v>0</v>
      </c>
      <c r="L45" s="681">
        <f>'F9-Year(n+1)'!U45</f>
        <v>0</v>
      </c>
      <c r="M45" s="681">
        <f>'F9-Year(n+2)'!U45</f>
        <v>0</v>
      </c>
      <c r="N45" s="681">
        <f>'F9-Year(n+3)'!U45</f>
        <v>0</v>
      </c>
      <c r="O45" s="681">
        <f>'F9-Year(n+4)'!U45</f>
        <v>0</v>
      </c>
      <c r="P45" s="681">
        <f>'F9-Year(n+5)'!U45</f>
        <v>0</v>
      </c>
    </row>
    <row r="46" ht="15" spans="3:16">
      <c r="C46" s="684"/>
      <c r="D46" s="67"/>
      <c r="E46" s="147"/>
      <c r="F46" s="752">
        <f>'F9-Year(n-1)'!U46</f>
        <v>0</v>
      </c>
      <c r="G46" s="147"/>
      <c r="H46" s="147"/>
      <c r="I46" s="681">
        <f>SUM('F9-Year(n)'!I46:N46)</f>
        <v>0</v>
      </c>
      <c r="J46" s="681">
        <f>SUM('F9-Year(n)'!O46:T46)</f>
        <v>0</v>
      </c>
      <c r="K46" s="147">
        <f t="shared" si="1"/>
        <v>0</v>
      </c>
      <c r="L46" s="681">
        <f>'F9-Year(n+1)'!U46</f>
        <v>0</v>
      </c>
      <c r="M46" s="681">
        <f>'F9-Year(n+2)'!U46</f>
        <v>0</v>
      </c>
      <c r="N46" s="681">
        <f>'F9-Year(n+3)'!U46</f>
        <v>0</v>
      </c>
      <c r="O46" s="681">
        <f>'F9-Year(n+4)'!U46</f>
        <v>0</v>
      </c>
      <c r="P46" s="681">
        <f>'F9-Year(n+5)'!U46</f>
        <v>0</v>
      </c>
    </row>
    <row r="47" ht="15" spans="3:16">
      <c r="C47" s="537" t="s">
        <v>211</v>
      </c>
      <c r="D47" s="540"/>
      <c r="E47" s="316">
        <f>SUM(E29:E45)</f>
        <v>2623.42997</v>
      </c>
      <c r="F47" s="316">
        <f>'F9-Year(n-1)'!U47</f>
        <v>0</v>
      </c>
      <c r="G47" s="316">
        <f t="shared" ref="G47:G48" si="2">F47-E47</f>
        <v>-2623.42997</v>
      </c>
      <c r="H47" s="316">
        <f>SUM(H29:H45)</f>
        <v>4004.86952</v>
      </c>
      <c r="I47" s="316">
        <f>SUM('F9-Year(n)'!I47:N47)</f>
        <v>499.7730644758</v>
      </c>
      <c r="J47" s="316">
        <f>SUM('F9-Year(n)'!O47:T47)</f>
        <v>333.1197145046</v>
      </c>
      <c r="K47" s="316">
        <f t="shared" si="1"/>
        <v>832.8927789804</v>
      </c>
      <c r="L47" s="316">
        <f>'F9-Year(n+1)'!U47</f>
        <v>4050.98100000009</v>
      </c>
      <c r="M47" s="316">
        <f>'F9-Year(n+2)'!U47</f>
        <v>4050.98044974294</v>
      </c>
      <c r="N47" s="316">
        <f>'F9-Year(n+3)'!U47</f>
        <v>4050.97730149965</v>
      </c>
      <c r="O47" s="316">
        <f>'F9-Year(n+4)'!U47</f>
        <v>4067.18599583197</v>
      </c>
      <c r="P47" s="316">
        <f>'F9-Year(n+5)'!U47</f>
        <v>4050.98100000009</v>
      </c>
    </row>
    <row r="48" ht="15" spans="3:16">
      <c r="C48" s="44" t="s">
        <v>369</v>
      </c>
      <c r="D48" s="45"/>
      <c r="E48" s="316">
        <f t="shared" ref="E48" si="3">SUM(E45:E47)</f>
        <v>2623.42997</v>
      </c>
      <c r="F48" s="316" t="e">
        <f>'F9-Year(n-1)'!U48</f>
        <v>#REF!</v>
      </c>
      <c r="G48" s="316" t="e">
        <f t="shared" si="2"/>
        <v>#REF!</v>
      </c>
      <c r="H48" s="316">
        <f t="shared" ref="H48" si="4">SUM(H45:H47)</f>
        <v>4004.86952</v>
      </c>
      <c r="I48" s="316">
        <f>SUM('F9-Year(n)'!I48:N48)</f>
        <v>11146.7987999758</v>
      </c>
      <c r="J48" s="316">
        <f>SUM('F9-Year(n)'!O48:T48)</f>
        <v>10921.9649815046</v>
      </c>
      <c r="K48" s="316">
        <f t="shared" si="1"/>
        <v>22068.7637814804</v>
      </c>
      <c r="L48" s="316">
        <f>'F9-Year(n+1)'!U48</f>
        <v>44921.3064466667</v>
      </c>
      <c r="M48" s="316">
        <f>'F9-Year(n+2)'!U48</f>
        <v>46363.7373242429</v>
      </c>
      <c r="N48" s="316">
        <f>'F9-Year(n+3)'!U48</f>
        <v>46363.7341759996</v>
      </c>
      <c r="O48" s="316">
        <f>'F9-Year(n+4)'!U48</f>
        <v>46379.942870332</v>
      </c>
      <c r="P48" s="316">
        <f>'F9-Year(n+5)'!U48</f>
        <v>46363.7378745001</v>
      </c>
    </row>
    <row r="49" ht="15" spans="3:16">
      <c r="C49" s="663" t="s">
        <v>370</v>
      </c>
      <c r="D49" s="676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</row>
    <row r="50" ht="15" spans="3:16">
      <c r="C50" s="44" t="s">
        <v>350</v>
      </c>
      <c r="D50" s="45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</row>
    <row r="51" ht="15" spans="3:16">
      <c r="C51" s="682" t="s">
        <v>371</v>
      </c>
      <c r="D51" s="55" t="s">
        <v>372</v>
      </c>
      <c r="E51" s="147">
        <f>2785.22*70.55/100</f>
        <v>1964.97271</v>
      </c>
      <c r="F51" s="752">
        <f>'F9-Year(n-1)'!U51</f>
        <v>1399.444581636</v>
      </c>
      <c r="G51" s="147"/>
      <c r="H51" s="147">
        <f>1978.22*70.55/100</f>
        <v>1395.63421</v>
      </c>
      <c r="I51" s="681">
        <f>SUM('F9-Year(n)'!I51:N51)</f>
        <v>928.4048415</v>
      </c>
      <c r="J51" s="681">
        <f>SUM('F9-Year(n)'!O51:T51)</f>
        <v>923.331591</v>
      </c>
      <c r="K51" s="147">
        <f>I51+J51</f>
        <v>1851.7364325</v>
      </c>
      <c r="L51" s="681">
        <f>'F9-Year(n+1)'!U51</f>
        <v>1854.41554053</v>
      </c>
      <c r="M51" s="681">
        <f>'F9-Year(n+2)'!U51</f>
        <v>1851.7364325</v>
      </c>
      <c r="N51" s="681">
        <f>'F9-Year(n+3)'!U51</f>
        <v>1851.7364325</v>
      </c>
      <c r="O51" s="681">
        <f>'F9-Year(n+4)'!U51</f>
        <v>1851.7364325</v>
      </c>
      <c r="P51" s="681">
        <f>'F9-Year(n+5)'!U51</f>
        <v>1851.7364325</v>
      </c>
    </row>
    <row r="52" ht="15" spans="3:16">
      <c r="C52" s="683"/>
      <c r="D52" s="55" t="s">
        <v>373</v>
      </c>
      <c r="E52" s="147">
        <f>747.77*70.55/100</f>
        <v>527.551735</v>
      </c>
      <c r="F52" s="752">
        <f>'F9-Year(n-1)'!U52</f>
        <v>333.7633829325</v>
      </c>
      <c r="G52" s="147"/>
      <c r="H52" s="147">
        <f>455.2*70.55/100</f>
        <v>321.1436</v>
      </c>
      <c r="I52" s="681">
        <f>SUM('F9-Year(n)'!I52:N52)</f>
        <v>233.0888751</v>
      </c>
      <c r="J52" s="681">
        <f>SUM('F9-Year(n)'!O52:T52)</f>
        <v>231.8151654</v>
      </c>
      <c r="K52" s="147">
        <f t="shared" ref="K52:K77" si="5">I52+J52</f>
        <v>464.9040405</v>
      </c>
      <c r="L52" s="681">
        <f>'F9-Year(n+1)'!U52</f>
        <v>462.277464</v>
      </c>
      <c r="M52" s="681">
        <f>'F9-Year(n+2)'!U52</f>
        <v>464.9040405</v>
      </c>
      <c r="N52" s="681">
        <f>'F9-Year(n+3)'!U52</f>
        <v>464.9040405</v>
      </c>
      <c r="O52" s="681">
        <f>'F9-Year(n+4)'!U52</f>
        <v>464.9040405</v>
      </c>
      <c r="P52" s="681">
        <f>'F9-Year(n+5)'!U52</f>
        <v>464.9040405</v>
      </c>
    </row>
    <row r="53" ht="15" spans="3:16">
      <c r="C53" s="683"/>
      <c r="D53" s="55" t="s">
        <v>374</v>
      </c>
      <c r="E53" s="147">
        <f>1638.93*70.55/100</f>
        <v>1156.265115</v>
      </c>
      <c r="F53" s="752">
        <f>'F9-Year(n-1)'!U53</f>
        <v>1207.2043336165</v>
      </c>
      <c r="G53" s="147"/>
      <c r="H53" s="147">
        <f>1597.26*70.55/100</f>
        <v>1126.86693</v>
      </c>
      <c r="I53" s="681">
        <f>SUM('F9-Year(n)'!I53:N53)</f>
        <v>572.58216324</v>
      </c>
      <c r="J53" s="681">
        <f>SUM('F9-Year(n)'!O53:T53)</f>
        <v>569.45329896</v>
      </c>
      <c r="K53" s="147">
        <f t="shared" si="5"/>
        <v>1142.0354622</v>
      </c>
      <c r="L53" s="681">
        <f>'F9-Year(n+1)'!U53</f>
        <v>1137.8329398</v>
      </c>
      <c r="M53" s="681">
        <f>'F9-Year(n+2)'!U53</f>
        <v>1142.0354622</v>
      </c>
      <c r="N53" s="681">
        <f>'F9-Year(n+3)'!U53</f>
        <v>1142.0354622</v>
      </c>
      <c r="O53" s="681">
        <f>'F9-Year(n+4)'!U53</f>
        <v>1142.0354622</v>
      </c>
      <c r="P53" s="681">
        <f>'F9-Year(n+5)'!U53</f>
        <v>1142.0354622</v>
      </c>
    </row>
    <row r="54" ht="15" spans="3:16">
      <c r="C54" s="683"/>
      <c r="D54" s="55" t="s">
        <v>375</v>
      </c>
      <c r="E54" s="147">
        <f>4170.55*70.55/100</f>
        <v>2942.323025</v>
      </c>
      <c r="F54" s="752">
        <f>'F9-Year(n-1)'!U54</f>
        <v>2271.887211723</v>
      </c>
      <c r="G54" s="147"/>
      <c r="H54" s="147">
        <f>2774.74*70.55/100</f>
        <v>1957.57907</v>
      </c>
      <c r="I54" s="681">
        <f>SUM('F9-Year(n)'!I54:N54)</f>
        <v>1419.34005414</v>
      </c>
      <c r="J54" s="681">
        <f>SUM('F9-Year(n)'!O54:T54)</f>
        <v>1411.58409756</v>
      </c>
      <c r="K54" s="147">
        <f t="shared" si="5"/>
        <v>2830.9241517</v>
      </c>
      <c r="L54" s="681">
        <f>'F9-Year(n+1)'!U54</f>
        <v>2830.9241517</v>
      </c>
      <c r="M54" s="681">
        <f>'F9-Year(n+2)'!U54</f>
        <v>2830.9241517</v>
      </c>
      <c r="N54" s="681">
        <f>'F9-Year(n+3)'!U54</f>
        <v>2830.9241517</v>
      </c>
      <c r="O54" s="681">
        <f>'F9-Year(n+4)'!U54</f>
        <v>2830.9241517</v>
      </c>
      <c r="P54" s="681">
        <f>'F9-Year(n+5)'!U54</f>
        <v>2830.9241517</v>
      </c>
    </row>
    <row r="55" ht="15" spans="3:16">
      <c r="C55" s="683"/>
      <c r="D55" s="55" t="s">
        <v>376</v>
      </c>
      <c r="E55" s="147">
        <f>1911.53*70.55/100</f>
        <v>1348.584415</v>
      </c>
      <c r="F55" s="752">
        <f>'F9-Year(n-1)'!U55</f>
        <v>1083.8761537615</v>
      </c>
      <c r="G55" s="147"/>
      <c r="H55" s="147">
        <f>1439.67*70.55/100</f>
        <v>1015.687185</v>
      </c>
      <c r="I55" s="681">
        <f>SUM('F9-Year(n)'!I55:N55)</f>
        <v>676.08942642</v>
      </c>
      <c r="J55" s="681">
        <f>SUM('F9-Year(n)'!O55:T55)</f>
        <v>672.39494868</v>
      </c>
      <c r="K55" s="147">
        <f t="shared" si="5"/>
        <v>1348.4843751</v>
      </c>
      <c r="L55" s="681">
        <f>'F9-Year(n+1)'!U55</f>
        <v>1346.9084292</v>
      </c>
      <c r="M55" s="681">
        <f>'F9-Year(n+2)'!U55</f>
        <v>1348.4843751</v>
      </c>
      <c r="N55" s="681">
        <f>'F9-Year(n+3)'!U55</f>
        <v>1348.4843751</v>
      </c>
      <c r="O55" s="681">
        <f>'F9-Year(n+4)'!U55</f>
        <v>1348.4843751</v>
      </c>
      <c r="P55" s="681">
        <f>'F9-Year(n+5)'!U55</f>
        <v>1348.4843751</v>
      </c>
    </row>
    <row r="56" ht="15" spans="3:16">
      <c r="C56" s="683"/>
      <c r="D56" s="55" t="s">
        <v>377</v>
      </c>
      <c r="E56" s="147">
        <f>2136.69*70.55/100</f>
        <v>1507.434795</v>
      </c>
      <c r="F56" s="752">
        <f>'F9-Year(n-1)'!U56</f>
        <v>800.617419083</v>
      </c>
      <c r="G56" s="147"/>
      <c r="H56" s="147">
        <f>1435.49*70.55/100</f>
        <v>1012.738195</v>
      </c>
      <c r="I56" s="681">
        <f>SUM('F9-Year(n)'!I56:N56)</f>
        <v>740.195451504</v>
      </c>
      <c r="J56" s="681">
        <f>SUM('F9-Year(n)'!O56:T56)</f>
        <v>736.150667616</v>
      </c>
      <c r="K56" s="147">
        <f t="shared" si="5"/>
        <v>1476.34611912</v>
      </c>
      <c r="L56" s="681">
        <f>'F9-Year(n+1)'!U56</f>
        <v>1464.99930864</v>
      </c>
      <c r="M56" s="681">
        <f>'F9-Year(n+2)'!U56</f>
        <v>1476.34611912</v>
      </c>
      <c r="N56" s="681">
        <f>'F9-Year(n+3)'!U56</f>
        <v>1476.34611912</v>
      </c>
      <c r="O56" s="681">
        <f>'F9-Year(n+4)'!U56</f>
        <v>1476.34611912</v>
      </c>
      <c r="P56" s="681">
        <f>'F9-Year(n+5)'!U56</f>
        <v>1476.34611912</v>
      </c>
    </row>
    <row r="57" ht="15" spans="3:16">
      <c r="C57" s="683"/>
      <c r="D57" s="55" t="s">
        <v>378</v>
      </c>
      <c r="E57" s="147">
        <f>336.36*70.55/100</f>
        <v>237.30198</v>
      </c>
      <c r="F57" s="752">
        <f>'F9-Year(n-1)'!U57</f>
        <v>178.0839150125</v>
      </c>
      <c r="G57" s="147"/>
      <c r="H57" s="147">
        <f>336.36*70.55/100</f>
        <v>237.30198</v>
      </c>
      <c r="I57" s="681">
        <f>SUM('F9-Year(n)'!I57:N57)</f>
        <v>120.653122806</v>
      </c>
      <c r="J57" s="681">
        <f>SUM('F9-Year(n)'!O57:T57)</f>
        <v>119.993816124</v>
      </c>
      <c r="K57" s="147">
        <f t="shared" si="5"/>
        <v>240.64693893</v>
      </c>
      <c r="L57" s="681">
        <f>'F9-Year(n+1)'!U57</f>
        <v>240.6285528945</v>
      </c>
      <c r="M57" s="681">
        <f>'F9-Year(n+2)'!U57</f>
        <v>240.64693893</v>
      </c>
      <c r="N57" s="681">
        <f>'F9-Year(n+3)'!U57</f>
        <v>240.64693893</v>
      </c>
      <c r="O57" s="681">
        <f>'F9-Year(n+4)'!U57</f>
        <v>240.64693893</v>
      </c>
      <c r="P57" s="681">
        <f>'F9-Year(n+5)'!U57</f>
        <v>240.64693893</v>
      </c>
    </row>
    <row r="58" ht="15" spans="3:16">
      <c r="C58" s="683"/>
      <c r="D58" s="55" t="s">
        <v>379</v>
      </c>
      <c r="E58" s="147">
        <f>1390.7*70.55/100</f>
        <v>981.13885</v>
      </c>
      <c r="F58" s="752">
        <f>'F9-Year(n-1)'!U58</f>
        <v>1069.80328376934</v>
      </c>
      <c r="G58" s="147"/>
      <c r="H58" s="147">
        <f>1394.71*70.55/100</f>
        <v>983.967905</v>
      </c>
      <c r="I58" s="681">
        <f>SUM('F9-Year(n)'!I58:N58)</f>
        <v>526.75452</v>
      </c>
      <c r="J58" s="681">
        <f>SUM('F9-Year(n)'!O58:T58)</f>
        <v>523.87608</v>
      </c>
      <c r="K58" s="147">
        <f t="shared" si="5"/>
        <v>1050.6306</v>
      </c>
      <c r="L58" s="681">
        <f>'F9-Year(n+1)'!U58</f>
        <v>1050.6306</v>
      </c>
      <c r="M58" s="681">
        <f>'F9-Year(n+2)'!U58</f>
        <v>1050.6306</v>
      </c>
      <c r="N58" s="681">
        <f>'F9-Year(n+3)'!U58</f>
        <v>1050.6306</v>
      </c>
      <c r="O58" s="681">
        <f>'F9-Year(n+4)'!U58</f>
        <v>1050.6306</v>
      </c>
      <c r="P58" s="681">
        <f>'F9-Year(n+5)'!U58</f>
        <v>1050.6306</v>
      </c>
    </row>
    <row r="59" ht="15" spans="3:16">
      <c r="C59" s="684"/>
      <c r="D59" s="55" t="s">
        <v>380</v>
      </c>
      <c r="E59" s="147">
        <f>3499.63*70.55/100</f>
        <v>2468.988965</v>
      </c>
      <c r="F59" s="752">
        <f>'F9-Year(n-1)'!U59</f>
        <v>0</v>
      </c>
      <c r="G59" s="147"/>
      <c r="H59" s="147">
        <f>7916.06*70.55/100</f>
        <v>5584.78033</v>
      </c>
      <c r="I59" s="681">
        <f>SUM('F9-Year(n)'!I59:N59)</f>
        <v>0</v>
      </c>
      <c r="J59" s="681">
        <f>SUM('F9-Year(n)'!O59:T59)</f>
        <v>2131.744887054</v>
      </c>
      <c r="K59" s="147">
        <f t="shared" si="5"/>
        <v>2131.744887054</v>
      </c>
      <c r="L59" s="681">
        <f>'F9-Year(n+1)'!U59</f>
        <v>3572.14404</v>
      </c>
      <c r="M59" s="681">
        <f>'F9-Year(n+2)'!U59</f>
        <v>7305.98012934</v>
      </c>
      <c r="N59" s="681">
        <f>'F9-Year(n+3)'!U59</f>
        <v>7305.98012934</v>
      </c>
      <c r="O59" s="681">
        <f>'F9-Year(n+4)'!U59</f>
        <v>7305.98012934</v>
      </c>
      <c r="P59" s="681">
        <f>'F9-Year(n+5)'!U59</f>
        <v>7305.98012934</v>
      </c>
    </row>
    <row r="60" ht="15" spans="3:16">
      <c r="C60" s="55"/>
      <c r="D60" s="55" t="s">
        <v>381</v>
      </c>
      <c r="E60" s="147">
        <f>395.74*70.55/100</f>
        <v>279.19457</v>
      </c>
      <c r="F60" s="752">
        <f>'F9-Year(n-1)'!U60</f>
        <v>48.101486672</v>
      </c>
      <c r="G60" s="147"/>
      <c r="H60" s="147">
        <f>34.91*70.55/100</f>
        <v>24.629005</v>
      </c>
      <c r="I60" s="681">
        <f>SUM('F9-Year(n)'!I60:N60)</f>
        <v>0</v>
      </c>
      <c r="J60" s="681">
        <f>SUM('F9-Year(n)'!O60:T60)</f>
        <v>0</v>
      </c>
      <c r="K60" s="147">
        <f t="shared" si="5"/>
        <v>0</v>
      </c>
      <c r="L60" s="681">
        <f>'F9-Year(n+1)'!U60</f>
        <v>3572.14404</v>
      </c>
      <c r="M60" s="681">
        <f>'F9-Year(n+2)'!U60</f>
        <v>0</v>
      </c>
      <c r="N60" s="681">
        <f>'F9-Year(n+3)'!U60</f>
        <v>0</v>
      </c>
      <c r="O60" s="681">
        <f>'F9-Year(n+4)'!U60</f>
        <v>0</v>
      </c>
      <c r="P60" s="681">
        <f>'F9-Year(n+5)'!U60</f>
        <v>0</v>
      </c>
    </row>
    <row r="61" ht="15" spans="3:16">
      <c r="C61" s="55"/>
      <c r="D61" s="55" t="s">
        <v>382</v>
      </c>
      <c r="E61" s="147">
        <f>710.26*70.55/100</f>
        <v>501.08843</v>
      </c>
      <c r="F61" s="752">
        <f>'F9-Year(n-1)'!U61</f>
        <v>72.3949100145</v>
      </c>
      <c r="G61" s="147"/>
      <c r="H61" s="147">
        <f>44.66*70.55/100</f>
        <v>31.50763</v>
      </c>
      <c r="I61" s="681">
        <f>SUM('F9-Year(n)'!I61:N61)</f>
        <v>13.774630698</v>
      </c>
      <c r="J61" s="681">
        <f>SUM('F9-Year(n)'!O61:T61)</f>
        <v>13.699359492</v>
      </c>
      <c r="K61" s="147">
        <f t="shared" si="5"/>
        <v>27.47399019</v>
      </c>
      <c r="L61" s="681">
        <f>'F9-Year(n+1)'!U61</f>
        <v>28.461582954</v>
      </c>
      <c r="M61" s="681">
        <f>'F9-Year(n+2)'!U61</f>
        <v>27.47399019</v>
      </c>
      <c r="N61" s="681">
        <f>'F9-Year(n+3)'!U61</f>
        <v>27.47399019</v>
      </c>
      <c r="O61" s="681">
        <f>'F9-Year(n+4)'!U61</f>
        <v>27.47399019</v>
      </c>
      <c r="P61" s="681">
        <f>'F9-Year(n+5)'!U61</f>
        <v>27.47399019</v>
      </c>
    </row>
    <row r="62" ht="15" spans="3:16">
      <c r="C62" s="55"/>
      <c r="D62" s="55" t="s">
        <v>383</v>
      </c>
      <c r="E62" s="147">
        <f>402.72*70.55/100</f>
        <v>284.11896</v>
      </c>
      <c r="F62" s="752">
        <f>'F9-Year(n-1)'!U62</f>
        <v>312.340040826</v>
      </c>
      <c r="G62" s="147"/>
      <c r="H62" s="147">
        <f>368.28*70.55/100</f>
        <v>259.82154</v>
      </c>
      <c r="I62" s="681">
        <f>SUM('F9-Year(n)'!I62:N62)</f>
        <v>18.146693214</v>
      </c>
      <c r="J62" s="681">
        <f>SUM('F9-Year(n)'!O62:T62)</f>
        <v>18.047530956</v>
      </c>
      <c r="K62" s="147">
        <f t="shared" si="5"/>
        <v>36.19422417</v>
      </c>
      <c r="L62" s="681">
        <f>'F9-Year(n+1)'!U62</f>
        <v>37.50751242</v>
      </c>
      <c r="M62" s="681">
        <f>'F9-Year(n+2)'!U62</f>
        <v>36.19422417</v>
      </c>
      <c r="N62" s="681">
        <f>'F9-Year(n+3)'!U62</f>
        <v>36.19422417</v>
      </c>
      <c r="O62" s="681">
        <f>'F9-Year(n+4)'!U62</f>
        <v>36.19422417</v>
      </c>
      <c r="P62" s="681">
        <f>'F9-Year(n+5)'!U62</f>
        <v>36.19422417</v>
      </c>
    </row>
    <row r="63" ht="15" spans="3:16">
      <c r="C63" s="55"/>
      <c r="D63" s="55" t="s">
        <v>384</v>
      </c>
      <c r="E63" s="147"/>
      <c r="F63" s="752">
        <f>'F9-Year(n-1)'!U63</f>
        <v>17.256442518</v>
      </c>
      <c r="G63" s="147"/>
      <c r="H63" s="147">
        <f>40.76*70.55/100</f>
        <v>28.75618</v>
      </c>
      <c r="I63" s="681">
        <f>SUM('F9-Year(n)'!I63:N63)</f>
        <v>174.48743475</v>
      </c>
      <c r="J63" s="681">
        <f>SUM('F9-Year(n)'!O64:T64)</f>
        <v>0</v>
      </c>
      <c r="K63" s="147">
        <f t="shared" si="5"/>
        <v>174.48743475</v>
      </c>
      <c r="L63" s="681">
        <f>'F9-Year(n+1)'!U63</f>
        <v>325.1701707</v>
      </c>
      <c r="M63" s="681">
        <f>'F9-Year(n+2)'!U63</f>
        <v>348.02138625</v>
      </c>
      <c r="N63" s="681">
        <f>'F9-Year(n+3)'!U63</f>
        <v>348.02138625</v>
      </c>
      <c r="O63" s="681">
        <f>'F9-Year(n+4)'!U63</f>
        <v>348.02138625</v>
      </c>
      <c r="P63" s="681">
        <f>'F9-Year(n+5)'!U63</f>
        <v>348.02138625</v>
      </c>
    </row>
    <row r="64" ht="15" spans="3:16">
      <c r="C64" s="55"/>
      <c r="D64" s="55" t="s">
        <v>385</v>
      </c>
      <c r="E64" s="147"/>
      <c r="F64" s="752">
        <f>'F9-Year(n-1)'!U64</f>
        <v>7.2135265555</v>
      </c>
      <c r="G64" s="147"/>
      <c r="H64" s="147">
        <f>30.02*70.55/100</f>
        <v>21.17911</v>
      </c>
      <c r="I64" s="681">
        <f>SUM('F9-Year(n)'!I64:N64)</f>
        <v>0</v>
      </c>
      <c r="J64" s="681">
        <f>SUM('F9-Year(n)'!O63:T63)</f>
        <v>173.5339515</v>
      </c>
      <c r="K64" s="147">
        <f t="shared" si="5"/>
        <v>173.5339515</v>
      </c>
      <c r="L64" s="681">
        <f>'F9-Year(n+1)'!U64</f>
        <v>0</v>
      </c>
      <c r="M64" s="681">
        <f>'F9-Year(n+2)'!U64</f>
        <v>0</v>
      </c>
      <c r="N64" s="681">
        <f>'F9-Year(n+3)'!U64</f>
        <v>0</v>
      </c>
      <c r="O64" s="681">
        <f>'F9-Year(n+4)'!U64</f>
        <v>0</v>
      </c>
      <c r="P64" s="681">
        <f>'F9-Year(n+5)'!U64</f>
        <v>0</v>
      </c>
    </row>
    <row r="65" ht="15" spans="3:16">
      <c r="C65" s="55"/>
      <c r="D65" s="55" t="s">
        <v>386</v>
      </c>
      <c r="E65" s="147">
        <f>0*70.55/100</f>
        <v>0</v>
      </c>
      <c r="F65" s="752">
        <f>'F9-Year(n-1)'!U65</f>
        <v>497.359841335</v>
      </c>
      <c r="G65" s="147"/>
      <c r="H65" s="147">
        <f>0*29.45/100</f>
        <v>0</v>
      </c>
      <c r="I65" s="681">
        <f>SUM('F9-Year(n)'!I65:N65)</f>
        <v>0</v>
      </c>
      <c r="J65" s="681">
        <f>SUM('F9-Year(n)'!O64:T64)</f>
        <v>0</v>
      </c>
      <c r="K65" s="147">
        <f t="shared" si="5"/>
        <v>0</v>
      </c>
      <c r="L65" s="681">
        <f>'F9-Year(n+1)'!U65</f>
        <v>0</v>
      </c>
      <c r="M65" s="681">
        <f>'F9-Year(n+2)'!U65</f>
        <v>0</v>
      </c>
      <c r="N65" s="681">
        <f>'F9-Year(n+3)'!U65</f>
        <v>0</v>
      </c>
      <c r="O65" s="681">
        <f>'F9-Year(n+4)'!U65</f>
        <v>0</v>
      </c>
      <c r="P65" s="681">
        <f>'F9-Year(n+5)'!U65</f>
        <v>0</v>
      </c>
    </row>
    <row r="66" ht="15" spans="3:16">
      <c r="C66" s="55"/>
      <c r="D66" s="55" t="s">
        <v>387</v>
      </c>
      <c r="E66" s="147">
        <f>0*70.55/100</f>
        <v>0</v>
      </c>
      <c r="F66" s="752">
        <f>'F9-Year(n-1)'!U66</f>
        <v>656.1094851065</v>
      </c>
      <c r="G66" s="147"/>
      <c r="H66" s="147">
        <f>0*29.45/100</f>
        <v>0</v>
      </c>
      <c r="I66" s="681">
        <f>SUM('F9-Year(n)'!I65:N65)</f>
        <v>0</v>
      </c>
      <c r="J66" s="681">
        <f>SUM('F9-Year(n)'!O65:T65)</f>
        <v>0</v>
      </c>
      <c r="K66" s="147">
        <f t="shared" si="5"/>
        <v>0</v>
      </c>
      <c r="L66" s="681">
        <f>'F9-Year(n+1)'!U66</f>
        <v>542.1253896</v>
      </c>
      <c r="M66" s="681">
        <f>'F9-Year(n+2)'!U66</f>
        <v>558.98801073</v>
      </c>
      <c r="N66" s="681">
        <f>'F9-Year(n+3)'!U66</f>
        <v>558.98801073</v>
      </c>
      <c r="O66" s="681">
        <f>'F9-Year(n+4)'!U66</f>
        <v>558.98801073</v>
      </c>
      <c r="P66" s="681">
        <f>'F9-Year(n+5)'!U66</f>
        <v>558.98801073</v>
      </c>
    </row>
    <row r="67" ht="15" spans="3:16">
      <c r="C67" s="55"/>
      <c r="D67" s="55"/>
      <c r="E67" s="147"/>
      <c r="F67" s="752">
        <f>'F9-Year(n-1)'!U67</f>
        <v>0</v>
      </c>
      <c r="G67" s="147"/>
      <c r="H67" s="147"/>
      <c r="I67" s="681">
        <f>SUM('F9-Year(n)'!I66:N66)</f>
        <v>280.259742366</v>
      </c>
      <c r="J67" s="681">
        <f>SUM('F9-Year(n)'!O66:T66)</f>
        <v>278.728268364</v>
      </c>
      <c r="K67" s="147">
        <f t="shared" si="5"/>
        <v>558.98801073</v>
      </c>
      <c r="L67" s="681">
        <f>'F9-Year(n+1)'!U67</f>
        <v>758.5552932</v>
      </c>
      <c r="M67" s="681">
        <f>'F9-Year(n+2)'!U67</f>
        <v>776.99386023</v>
      </c>
      <c r="N67" s="681">
        <f>'F9-Year(n+3)'!U67</f>
        <v>776.99386023</v>
      </c>
      <c r="O67" s="681">
        <f>'F9-Year(n+4)'!U67</f>
        <v>776.99386023</v>
      </c>
      <c r="P67" s="681">
        <f>'F9-Year(n+5)'!U67</f>
        <v>776.99386023</v>
      </c>
    </row>
    <row r="68" ht="15" spans="3:16">
      <c r="C68" s="55"/>
      <c r="D68" s="55"/>
      <c r="E68" s="147"/>
      <c r="F68" s="752">
        <f>'F9-Year(n-1)'!U68</f>
        <v>0</v>
      </c>
      <c r="G68" s="147"/>
      <c r="H68" s="147"/>
      <c r="I68" s="681">
        <f>SUM('F9-Year(n)'!I67:N67)</f>
        <v>389.561305266</v>
      </c>
      <c r="J68" s="681">
        <f>SUM('F9-Year(n)'!O67:T67)</f>
        <v>387.432554964</v>
      </c>
      <c r="K68" s="147">
        <f t="shared" si="5"/>
        <v>776.99386023</v>
      </c>
      <c r="L68" s="681">
        <f>'F9-Year(n+1)'!U68</f>
        <v>0</v>
      </c>
      <c r="M68" s="681">
        <f>'F9-Year(n+2)'!U68</f>
        <v>0</v>
      </c>
      <c r="N68" s="681">
        <f>'F9-Year(n+3)'!U68</f>
        <v>0</v>
      </c>
      <c r="O68" s="681">
        <f>'F9-Year(n+4)'!U68</f>
        <v>0</v>
      </c>
      <c r="P68" s="681">
        <f>'F9-Year(n+5)'!U68</f>
        <v>0</v>
      </c>
    </row>
    <row r="69" ht="15" spans="3:16">
      <c r="C69" s="55"/>
      <c r="D69" s="55"/>
      <c r="E69" s="147"/>
      <c r="F69" s="752">
        <f>'F9-Year(n-1)'!U69</f>
        <v>0</v>
      </c>
      <c r="G69" s="147"/>
      <c r="H69" s="147"/>
      <c r="I69" s="681">
        <f>SUM('F9-Year(n)'!I68:N68)</f>
        <v>0</v>
      </c>
      <c r="J69" s="681">
        <f>SUM('F9-Year(n)'!O68:T68)</f>
        <v>0</v>
      </c>
      <c r="K69" s="147">
        <f t="shared" si="5"/>
        <v>0</v>
      </c>
      <c r="L69" s="681">
        <f>'F9-Year(n+1)'!U69</f>
        <v>0</v>
      </c>
      <c r="M69" s="681">
        <f>'F9-Year(n+2)'!U69</f>
        <v>0</v>
      </c>
      <c r="N69" s="681">
        <f>'F9-Year(n+3)'!U69</f>
        <v>0</v>
      </c>
      <c r="O69" s="681">
        <f>'F9-Year(n+4)'!U69</f>
        <v>0</v>
      </c>
      <c r="P69" s="681">
        <f>'F9-Year(n+5)'!U69</f>
        <v>0</v>
      </c>
    </row>
    <row r="70" ht="15" spans="3:16">
      <c r="C70" s="55"/>
      <c r="D70" s="55"/>
      <c r="E70" s="147"/>
      <c r="F70" s="752">
        <f>'F9-Year(n-1)'!U70</f>
        <v>0</v>
      </c>
      <c r="G70" s="147"/>
      <c r="H70" s="147"/>
      <c r="I70" s="681">
        <f>SUM('F9-Year(n)'!I69:N69)</f>
        <v>0</v>
      </c>
      <c r="J70" s="681">
        <f>SUM('F9-Year(n)'!O69:T69)</f>
        <v>0</v>
      </c>
      <c r="K70" s="147">
        <f t="shared" si="5"/>
        <v>0</v>
      </c>
      <c r="L70" s="681">
        <f>'F9-Year(n+1)'!U70</f>
        <v>0</v>
      </c>
      <c r="M70" s="681">
        <f>'F9-Year(n+2)'!U70</f>
        <v>0</v>
      </c>
      <c r="N70" s="681">
        <f>'F9-Year(n+3)'!U70</f>
        <v>0</v>
      </c>
      <c r="O70" s="681">
        <f>'F9-Year(n+4)'!U70</f>
        <v>0</v>
      </c>
      <c r="P70" s="681">
        <f>'F9-Year(n+5)'!U70</f>
        <v>0</v>
      </c>
    </row>
    <row r="71" ht="15" spans="3:16">
      <c r="C71" s="55"/>
      <c r="D71" s="55"/>
      <c r="E71" s="147"/>
      <c r="F71" s="752">
        <f>'F9-Year(n-1)'!U71</f>
        <v>0</v>
      </c>
      <c r="G71" s="147"/>
      <c r="H71" s="147"/>
      <c r="I71" s="681">
        <f>SUM('F9-Year(n)'!I70:N70)</f>
        <v>0</v>
      </c>
      <c r="J71" s="681">
        <f>SUM('F9-Year(n)'!O70:T70)</f>
        <v>0</v>
      </c>
      <c r="K71" s="147">
        <f t="shared" si="5"/>
        <v>0</v>
      </c>
      <c r="L71" s="681">
        <f>'F9-Year(n+1)'!U71</f>
        <v>0</v>
      </c>
      <c r="M71" s="681">
        <f>'F9-Year(n+2)'!U71</f>
        <v>0</v>
      </c>
      <c r="N71" s="681">
        <f>'F9-Year(n+3)'!U71</f>
        <v>0</v>
      </c>
      <c r="O71" s="681">
        <f>'F9-Year(n+4)'!U71</f>
        <v>0</v>
      </c>
      <c r="P71" s="681">
        <f>'F9-Year(n+5)'!U71</f>
        <v>0</v>
      </c>
    </row>
    <row r="72" ht="15" spans="3:16">
      <c r="C72" s="55"/>
      <c r="D72" s="55"/>
      <c r="E72" s="147"/>
      <c r="F72" s="752">
        <f>'F9-Year(n-1)'!U72</f>
        <v>0</v>
      </c>
      <c r="G72" s="147"/>
      <c r="H72" s="147"/>
      <c r="I72" s="681">
        <f>SUM('F9-Year(n)'!I71:N71)</f>
        <v>0</v>
      </c>
      <c r="J72" s="681">
        <f>SUM('F9-Year(n)'!O71:T71)</f>
        <v>0</v>
      </c>
      <c r="K72" s="147">
        <f t="shared" si="5"/>
        <v>0</v>
      </c>
      <c r="L72" s="681">
        <f>'F9-Year(n+1)'!U72</f>
        <v>0</v>
      </c>
      <c r="M72" s="681">
        <f>'F9-Year(n+2)'!U72</f>
        <v>0</v>
      </c>
      <c r="N72" s="681">
        <f>'F9-Year(n+3)'!U72</f>
        <v>0</v>
      </c>
      <c r="O72" s="681">
        <f>'F9-Year(n+4)'!U72</f>
        <v>0</v>
      </c>
      <c r="P72" s="681">
        <f>'F9-Year(n+5)'!U72</f>
        <v>0</v>
      </c>
    </row>
    <row r="73" ht="15" spans="3:16">
      <c r="C73" s="55"/>
      <c r="D73" s="55"/>
      <c r="E73" s="147"/>
      <c r="F73" s="752">
        <f>'F9-Year(n-1)'!U73</f>
        <v>0</v>
      </c>
      <c r="G73" s="147"/>
      <c r="H73" s="147"/>
      <c r="I73" s="681">
        <f>SUM('F9-Year(n)'!I72:N72)</f>
        <v>0</v>
      </c>
      <c r="J73" s="681">
        <f>SUM('F9-Year(n)'!O72:T72)</f>
        <v>0</v>
      </c>
      <c r="K73" s="147">
        <f t="shared" si="5"/>
        <v>0</v>
      </c>
      <c r="L73" s="681">
        <f>'F9-Year(n+1)'!U73</f>
        <v>0</v>
      </c>
      <c r="M73" s="681">
        <f>'F9-Year(n+2)'!U73</f>
        <v>0</v>
      </c>
      <c r="N73" s="681">
        <f>'F9-Year(n+3)'!U73</f>
        <v>0</v>
      </c>
      <c r="O73" s="681">
        <f>'F9-Year(n+4)'!U73</f>
        <v>0</v>
      </c>
      <c r="P73" s="681">
        <f>'F9-Year(n+5)'!U73</f>
        <v>0</v>
      </c>
    </row>
    <row r="74" ht="15" spans="3:16">
      <c r="C74" s="55"/>
      <c r="D74" s="55"/>
      <c r="E74" s="147"/>
      <c r="F74" s="752">
        <f>'F9-Year(n-1)'!U74</f>
        <v>0</v>
      </c>
      <c r="G74" s="147"/>
      <c r="H74" s="147"/>
      <c r="I74" s="681">
        <f>SUM('F9-Year(n)'!I73:N73)</f>
        <v>0</v>
      </c>
      <c r="J74" s="681">
        <f>SUM('F9-Year(n)'!O73:T73)</f>
        <v>0</v>
      </c>
      <c r="K74" s="147">
        <f t="shared" si="5"/>
        <v>0</v>
      </c>
      <c r="L74" s="681">
        <f>'F9-Year(n+1)'!U74</f>
        <v>0</v>
      </c>
      <c r="M74" s="681">
        <f>'F9-Year(n+2)'!U74</f>
        <v>0</v>
      </c>
      <c r="N74" s="681">
        <f>'F9-Year(n+3)'!U74</f>
        <v>0</v>
      </c>
      <c r="O74" s="681">
        <f>'F9-Year(n+4)'!U74</f>
        <v>0</v>
      </c>
      <c r="P74" s="681">
        <f>'F9-Year(n+5)'!U74</f>
        <v>0</v>
      </c>
    </row>
    <row r="75" ht="15" spans="3:16">
      <c r="C75" s="55"/>
      <c r="D75" s="55"/>
      <c r="E75" s="147"/>
      <c r="F75" s="752">
        <f>'F9-Year(n-1)'!U75</f>
        <v>0</v>
      </c>
      <c r="G75" s="147"/>
      <c r="H75" s="147"/>
      <c r="I75" s="681">
        <f>SUM('F9-Year(n)'!I74:N74)</f>
        <v>0</v>
      </c>
      <c r="J75" s="681">
        <f>SUM('F9-Year(n)'!O74:T74)</f>
        <v>0</v>
      </c>
      <c r="K75" s="147">
        <f t="shared" si="5"/>
        <v>0</v>
      </c>
      <c r="L75" s="681">
        <f>'F9-Year(n+1)'!U75</f>
        <v>0</v>
      </c>
      <c r="M75" s="681">
        <f>'F9-Year(n+2)'!U75</f>
        <v>0</v>
      </c>
      <c r="N75" s="681">
        <f>'F9-Year(n+3)'!U75</f>
        <v>0</v>
      </c>
      <c r="O75" s="681">
        <f>'F9-Year(n+4)'!U75</f>
        <v>0</v>
      </c>
      <c r="P75" s="681">
        <f>'F9-Year(n+5)'!U75</f>
        <v>0</v>
      </c>
    </row>
    <row r="76" ht="15" spans="3:16">
      <c r="C76" s="55"/>
      <c r="D76" s="55"/>
      <c r="E76" s="147"/>
      <c r="F76" s="752">
        <f>'F9-Year(n-1)'!U76</f>
        <v>0</v>
      </c>
      <c r="G76" s="147"/>
      <c r="H76" s="147"/>
      <c r="I76" s="681">
        <f>SUM('F9-Year(n)'!I75:N75)</f>
        <v>0</v>
      </c>
      <c r="J76" s="681">
        <f>SUM('F9-Year(n)'!O75:T75)</f>
        <v>0</v>
      </c>
      <c r="K76" s="147">
        <f t="shared" si="5"/>
        <v>0</v>
      </c>
      <c r="L76" s="681">
        <f>'F9-Year(n+1)'!U76</f>
        <v>0</v>
      </c>
      <c r="M76" s="681">
        <f>'F9-Year(n+2)'!U76</f>
        <v>0</v>
      </c>
      <c r="N76" s="681">
        <f>'F9-Year(n+3)'!U76</f>
        <v>0</v>
      </c>
      <c r="O76" s="681">
        <f>'F9-Year(n+4)'!U76</f>
        <v>0</v>
      </c>
      <c r="P76" s="681">
        <f>'F9-Year(n+5)'!U76</f>
        <v>0</v>
      </c>
    </row>
    <row r="77" ht="15" spans="3:16">
      <c r="C77" s="537" t="s">
        <v>211</v>
      </c>
      <c r="D77" s="540"/>
      <c r="E77" s="316">
        <f>SUM(E51:E76)</f>
        <v>14198.96355</v>
      </c>
      <c r="F77" s="316">
        <f>'F9-Year(n-1)'!U77</f>
        <v>9955.45601456184</v>
      </c>
      <c r="G77" s="316">
        <f>F77-E77</f>
        <v>-4243.50753543816</v>
      </c>
      <c r="H77" s="316">
        <f>SUM(H51:H76)</f>
        <v>14001.59287</v>
      </c>
      <c r="I77" s="316">
        <f>SUM('F9-Year(n)'!I76:N76)</f>
        <v>6093.338261004</v>
      </c>
      <c r="J77" s="316">
        <f>SUM('F9-Year(n)'!O76:T76)</f>
        <v>8191.78621767</v>
      </c>
      <c r="K77" s="316">
        <f t="shared" si="5"/>
        <v>14285.124478674</v>
      </c>
      <c r="L77" s="316">
        <f>'F9-Year(n+1)'!U77</f>
        <v>19224.7250156385</v>
      </c>
      <c r="M77" s="316">
        <f>'F9-Year(n+2)'!U77</f>
        <v>19459.35972096</v>
      </c>
      <c r="N77" s="316">
        <f>'F9-Year(n+3)'!U77</f>
        <v>19459.35972096</v>
      </c>
      <c r="O77" s="316">
        <f>'F9-Year(n+4)'!U77</f>
        <v>19459.35972096</v>
      </c>
      <c r="P77" s="316">
        <f>'F9-Year(n+5)'!U77</f>
        <v>19459.35972096</v>
      </c>
    </row>
    <row r="78" ht="15" spans="3:16">
      <c r="C78" s="44" t="s">
        <v>388</v>
      </c>
      <c r="D78" s="45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</row>
    <row r="79" ht="15" spans="3:16">
      <c r="C79" s="803" t="s">
        <v>389</v>
      </c>
      <c r="D79" s="55" t="s">
        <v>390</v>
      </c>
      <c r="E79" s="147">
        <f>58.75*70.55/100</f>
        <v>41.448125</v>
      </c>
      <c r="F79" s="752">
        <f>'F9-Year(n-1)'!U79</f>
        <v>51.3092561885</v>
      </c>
      <c r="G79" s="147"/>
      <c r="H79" s="147">
        <f>56.44*70.55/100</f>
        <v>39.81842</v>
      </c>
      <c r="I79" s="681">
        <f>SUM('F9-Year(n)'!I78:N78)</f>
        <v>68.29217424</v>
      </c>
      <c r="J79" s="681">
        <f>SUM('F9-Year(n)'!O78:T78)</f>
        <v>67.91899296</v>
      </c>
      <c r="K79" s="147">
        <f t="shared" ref="K79:K94" si="6">I79+J79</f>
        <v>136.2111672</v>
      </c>
      <c r="L79" s="681">
        <f>'F9-Year(n+1)'!U79</f>
        <v>136.589394216</v>
      </c>
      <c r="M79" s="681">
        <f>'F9-Year(n+2)'!U79</f>
        <v>136.23588792</v>
      </c>
      <c r="N79" s="681">
        <f>'F9-Year(n+3)'!U79</f>
        <v>136.23588792</v>
      </c>
      <c r="O79" s="681">
        <f>'F9-Year(n+4)'!U79</f>
        <v>136.23588792</v>
      </c>
      <c r="P79" s="681">
        <f>'F9-Year(n+5)'!U79</f>
        <v>136.23588792</v>
      </c>
    </row>
    <row r="80" ht="15" spans="3:16">
      <c r="C80" s="804"/>
      <c r="D80" s="55" t="s">
        <v>391</v>
      </c>
      <c r="E80" s="147">
        <f>450.72*70.55/100</f>
        <v>317.98296</v>
      </c>
      <c r="F80" s="752">
        <f>'F9-Year(n-1)'!U80</f>
        <v>766.8560389965</v>
      </c>
      <c r="G80" s="147"/>
      <c r="H80" s="147">
        <f>426.86*70.55/100</f>
        <v>301.14973</v>
      </c>
      <c r="I80" s="681">
        <f>SUM('F9-Year(n)'!I79:N79)</f>
        <v>209.83421232</v>
      </c>
      <c r="J80" s="681">
        <f>SUM('F9-Year(n)'!O79:T79)</f>
        <v>208.68757728</v>
      </c>
      <c r="K80" s="147">
        <f t="shared" si="6"/>
        <v>418.5217896</v>
      </c>
      <c r="L80" s="681">
        <f>'F9-Year(n+1)'!U80</f>
        <v>419.58478056</v>
      </c>
      <c r="M80" s="681">
        <f>'F9-Year(n+2)'!U80</f>
        <v>418.49706888</v>
      </c>
      <c r="N80" s="681">
        <f>'F9-Year(n+3)'!U80</f>
        <v>418.49706888</v>
      </c>
      <c r="O80" s="681">
        <f>'F9-Year(n+4)'!U80</f>
        <v>418.49706888</v>
      </c>
      <c r="P80" s="681">
        <f>'F9-Year(n+5)'!U80</f>
        <v>418.49706888</v>
      </c>
    </row>
    <row r="81" ht="15" spans="3:16">
      <c r="C81" s="804"/>
      <c r="D81" s="55" t="s">
        <v>392</v>
      </c>
      <c r="E81" s="147">
        <f>448.3*70.55/100</f>
        <v>316.27565</v>
      </c>
      <c r="F81" s="752" t="e">
        <f>'F9-Year(n-1)'!U81</f>
        <v>#REF!</v>
      </c>
      <c r="G81" s="147"/>
      <c r="H81" s="147">
        <f>462.54*70.55/100</f>
        <v>326.32197</v>
      </c>
      <c r="I81" s="681">
        <f>SUM('F9-Year(n)'!I80:N80)</f>
        <v>223.18898868</v>
      </c>
      <c r="J81" s="681">
        <f>SUM('F9-Year(n)'!O80:T80)</f>
        <v>221.96937672</v>
      </c>
      <c r="K81" s="147">
        <f t="shared" si="6"/>
        <v>445.1583654</v>
      </c>
      <c r="L81" s="681">
        <f>'F9-Year(n+1)'!U81</f>
        <v>446.23371672</v>
      </c>
      <c r="M81" s="681">
        <f>'F9-Year(n+2)'!U81</f>
        <v>445.14600504</v>
      </c>
      <c r="N81" s="681">
        <f>'F9-Year(n+3)'!U81</f>
        <v>445.14600504</v>
      </c>
      <c r="O81" s="681">
        <f>'F9-Year(n+4)'!U81</f>
        <v>445.14600504</v>
      </c>
      <c r="P81" s="681">
        <f>'F9-Year(n+5)'!U81</f>
        <v>445.14600504</v>
      </c>
    </row>
    <row r="82" ht="15" spans="3:16">
      <c r="C82" s="804"/>
      <c r="D82" s="55" t="s">
        <v>393</v>
      </c>
      <c r="E82" s="147">
        <f>287.66*70.55/100</f>
        <v>202.94413</v>
      </c>
      <c r="F82" s="752" t="e">
        <f>'F9-Year(n-1)'!U82</f>
        <v>#REF!</v>
      </c>
      <c r="G82" s="147"/>
      <c r="H82" s="147">
        <f>334.8*70.55/100</f>
        <v>236.2014</v>
      </c>
      <c r="I82" s="681">
        <f>SUM('F9-Year(n)'!I81:N81)</f>
        <v>154.9278</v>
      </c>
      <c r="J82" s="681">
        <f>SUM('F9-Year(n)'!O81:T81)</f>
        <v>154.0812</v>
      </c>
      <c r="K82" s="147">
        <f t="shared" si="6"/>
        <v>309.009</v>
      </c>
      <c r="L82" s="681">
        <f>'F9-Year(n+1)'!U82</f>
        <v>336.81981</v>
      </c>
      <c r="M82" s="681">
        <f>'F9-Year(n+2)'!U82</f>
        <v>309.009</v>
      </c>
      <c r="N82" s="681">
        <f>'F9-Year(n+3)'!U82</f>
        <v>309.009</v>
      </c>
      <c r="O82" s="681">
        <f>'F9-Year(n+4)'!U82</f>
        <v>309.009</v>
      </c>
      <c r="P82" s="681">
        <f>'F9-Year(n+5)'!U82</f>
        <v>309.009</v>
      </c>
    </row>
    <row r="83" ht="15" spans="3:16">
      <c r="C83" s="310"/>
      <c r="D83" s="55" t="s">
        <v>394</v>
      </c>
      <c r="E83" s="147"/>
      <c r="F83" s="752">
        <f>'F9-Year(n-1)'!U83</f>
        <v>0</v>
      </c>
      <c r="G83" s="147"/>
      <c r="H83" s="147">
        <v>0</v>
      </c>
      <c r="I83" s="681">
        <f>SUM('F9-Year(n)'!I82:N82)</f>
        <v>14.03645868</v>
      </c>
      <c r="J83" s="681">
        <f>SUM('F9-Year(n)'!O82:T82)</f>
        <v>13.95975672</v>
      </c>
      <c r="K83" s="147">
        <f t="shared" si="6"/>
        <v>27.9962154</v>
      </c>
      <c r="L83" s="681">
        <f>'F9-Year(n+1)'!U83</f>
        <v>0</v>
      </c>
      <c r="M83" s="681">
        <f>'F9-Year(n+2)'!U83</f>
        <v>28</v>
      </c>
      <c r="N83" s="681">
        <f>'F9-Year(n+3)'!U83</f>
        <v>28</v>
      </c>
      <c r="O83" s="681">
        <f>'F9-Year(n+4)'!U83</f>
        <v>28</v>
      </c>
      <c r="P83" s="681">
        <f>'F9-Year(n+5)'!U83</f>
        <v>28</v>
      </c>
    </row>
    <row r="84" ht="15" spans="3:16">
      <c r="C84" s="55"/>
      <c r="D84" s="55"/>
      <c r="E84" s="147"/>
      <c r="F84" s="752">
        <f>'F9-Year(n-1)'!U84</f>
        <v>0</v>
      </c>
      <c r="G84" s="147"/>
      <c r="H84" s="147"/>
      <c r="I84" s="681">
        <f>SUM('F9-Year(n)'!I83:N83)</f>
        <v>0</v>
      </c>
      <c r="J84" s="681">
        <f>SUM('F9-Year(n)'!O83:T83)</f>
        <v>0</v>
      </c>
      <c r="K84" s="147">
        <f t="shared" si="6"/>
        <v>0</v>
      </c>
      <c r="L84" s="681">
        <f>'F9-Year(n+1)'!U84</f>
        <v>0</v>
      </c>
      <c r="M84" s="681">
        <f>'F9-Year(n+2)'!U84</f>
        <v>0</v>
      </c>
      <c r="N84" s="681">
        <f>'F9-Year(n+3)'!U84</f>
        <v>0</v>
      </c>
      <c r="O84" s="681">
        <f>'F9-Year(n+4)'!U84</f>
        <v>0</v>
      </c>
      <c r="P84" s="681">
        <f>'F9-Year(n+5)'!U84</f>
        <v>0</v>
      </c>
    </row>
    <row r="85" ht="15" spans="3:16">
      <c r="C85" s="55"/>
      <c r="D85" s="55"/>
      <c r="E85" s="147"/>
      <c r="F85" s="752">
        <f>'F9-Year(n-1)'!U85</f>
        <v>0</v>
      </c>
      <c r="G85" s="147"/>
      <c r="H85" s="147"/>
      <c r="I85" s="681">
        <f>SUM('F9-Year(n)'!I84:N84)</f>
        <v>0</v>
      </c>
      <c r="J85" s="681">
        <f>SUM('F9-Year(n)'!O84:T84)</f>
        <v>0</v>
      </c>
      <c r="K85" s="147">
        <f t="shared" si="6"/>
        <v>0</v>
      </c>
      <c r="L85" s="681">
        <f>'F9-Year(n+1)'!U85</f>
        <v>0</v>
      </c>
      <c r="M85" s="681">
        <f>'F9-Year(n+2)'!U85</f>
        <v>0</v>
      </c>
      <c r="N85" s="681">
        <f>'F9-Year(n+3)'!U85</f>
        <v>0</v>
      </c>
      <c r="O85" s="681">
        <f>'F9-Year(n+4)'!U85</f>
        <v>0</v>
      </c>
      <c r="P85" s="681">
        <f>'F9-Year(n+5)'!U85</f>
        <v>0</v>
      </c>
    </row>
    <row r="86" ht="15" spans="3:16">
      <c r="C86" s="55"/>
      <c r="D86" s="55"/>
      <c r="E86" s="147"/>
      <c r="F86" s="752">
        <f>'F9-Year(n-1)'!U86</f>
        <v>0</v>
      </c>
      <c r="G86" s="147"/>
      <c r="H86" s="147"/>
      <c r="I86" s="681">
        <f>SUM('F9-Year(n)'!I85:N85)</f>
        <v>0</v>
      </c>
      <c r="J86" s="681">
        <f>SUM('F9-Year(n)'!O85:T85)</f>
        <v>0</v>
      </c>
      <c r="K86" s="147">
        <f t="shared" si="6"/>
        <v>0</v>
      </c>
      <c r="L86" s="681">
        <f>'F9-Year(n+1)'!U86</f>
        <v>0</v>
      </c>
      <c r="M86" s="681">
        <f>'F9-Year(n+2)'!U86</f>
        <v>0</v>
      </c>
      <c r="N86" s="681">
        <f>'F9-Year(n+3)'!U86</f>
        <v>0</v>
      </c>
      <c r="O86" s="681">
        <f>'F9-Year(n+4)'!U86</f>
        <v>0</v>
      </c>
      <c r="P86" s="681">
        <f>'F9-Year(n+5)'!U86</f>
        <v>0</v>
      </c>
    </row>
    <row r="87" ht="15" spans="3:16">
      <c r="C87" s="55"/>
      <c r="D87" s="55"/>
      <c r="E87" s="147"/>
      <c r="F87" s="752">
        <f>'F9-Year(n-1)'!U87</f>
        <v>0</v>
      </c>
      <c r="G87" s="147"/>
      <c r="H87" s="147"/>
      <c r="I87" s="681">
        <f>SUM('F9-Year(n)'!I86:N86)</f>
        <v>0</v>
      </c>
      <c r="J87" s="681">
        <f>SUM('F9-Year(n)'!O86:T86)</f>
        <v>0</v>
      </c>
      <c r="K87" s="147">
        <f t="shared" si="6"/>
        <v>0</v>
      </c>
      <c r="L87" s="681">
        <f>'F9-Year(n+1)'!U87</f>
        <v>0</v>
      </c>
      <c r="M87" s="681">
        <f>'F9-Year(n+2)'!U87</f>
        <v>0</v>
      </c>
      <c r="N87" s="681">
        <f>'F9-Year(n+3)'!U87</f>
        <v>0</v>
      </c>
      <c r="O87" s="681">
        <f>'F9-Year(n+4)'!U87</f>
        <v>0</v>
      </c>
      <c r="P87" s="681">
        <f>'F9-Year(n+5)'!U87</f>
        <v>0</v>
      </c>
    </row>
    <row r="88" ht="15" spans="3:16">
      <c r="C88" s="55"/>
      <c r="D88" s="55"/>
      <c r="E88" s="147"/>
      <c r="F88" s="752">
        <f>'F9-Year(n-1)'!U88</f>
        <v>0</v>
      </c>
      <c r="G88" s="147"/>
      <c r="H88" s="147"/>
      <c r="I88" s="681">
        <f>SUM('F9-Year(n)'!I87:N87)</f>
        <v>0</v>
      </c>
      <c r="J88" s="681">
        <f>SUM('F9-Year(n)'!O87:T87)</f>
        <v>0</v>
      </c>
      <c r="K88" s="147">
        <f t="shared" si="6"/>
        <v>0</v>
      </c>
      <c r="L88" s="681">
        <f>'F9-Year(n+1)'!U88</f>
        <v>0</v>
      </c>
      <c r="M88" s="681">
        <f>'F9-Year(n+2)'!U88</f>
        <v>0</v>
      </c>
      <c r="N88" s="681">
        <f>'F9-Year(n+3)'!U88</f>
        <v>0</v>
      </c>
      <c r="O88" s="681">
        <f>'F9-Year(n+4)'!U88</f>
        <v>0</v>
      </c>
      <c r="P88" s="681">
        <f>'F9-Year(n+5)'!U88</f>
        <v>0</v>
      </c>
    </row>
    <row r="89" ht="15" spans="3:16">
      <c r="C89" s="55"/>
      <c r="D89" s="55"/>
      <c r="E89" s="147"/>
      <c r="F89" s="752">
        <f>'F9-Year(n-1)'!U89</f>
        <v>0</v>
      </c>
      <c r="G89" s="147"/>
      <c r="H89" s="147"/>
      <c r="I89" s="681">
        <f>SUM('F9-Year(n)'!I88:N88)</f>
        <v>0</v>
      </c>
      <c r="J89" s="681">
        <f>SUM('F9-Year(n)'!O88:T88)</f>
        <v>0</v>
      </c>
      <c r="K89" s="147">
        <f t="shared" si="6"/>
        <v>0</v>
      </c>
      <c r="L89" s="681">
        <f>'F9-Year(n+1)'!U89</f>
        <v>0</v>
      </c>
      <c r="M89" s="681">
        <f>'F9-Year(n+2)'!U89</f>
        <v>0</v>
      </c>
      <c r="N89" s="681">
        <f>'F9-Year(n+3)'!U89</f>
        <v>0</v>
      </c>
      <c r="O89" s="681">
        <f>'F9-Year(n+4)'!U89</f>
        <v>0</v>
      </c>
      <c r="P89" s="681">
        <f>'F9-Year(n+5)'!U89</f>
        <v>0</v>
      </c>
    </row>
    <row r="90" ht="15" spans="3:16">
      <c r="C90" s="55"/>
      <c r="D90" s="55"/>
      <c r="E90" s="147"/>
      <c r="F90" s="752">
        <f>'F9-Year(n-1)'!U90</f>
        <v>0</v>
      </c>
      <c r="G90" s="147"/>
      <c r="H90" s="147"/>
      <c r="I90" s="681">
        <f>SUM('F9-Year(n)'!I89:N89)</f>
        <v>0</v>
      </c>
      <c r="J90" s="681">
        <f>SUM('F9-Year(n)'!O89:T89)</f>
        <v>0</v>
      </c>
      <c r="K90" s="147">
        <f t="shared" si="6"/>
        <v>0</v>
      </c>
      <c r="L90" s="681">
        <f>'F9-Year(n+1)'!U90</f>
        <v>0</v>
      </c>
      <c r="M90" s="681">
        <f>'F9-Year(n+2)'!U90</f>
        <v>0</v>
      </c>
      <c r="N90" s="681">
        <f>'F9-Year(n+3)'!U90</f>
        <v>0</v>
      </c>
      <c r="O90" s="681">
        <f>'F9-Year(n+4)'!U90</f>
        <v>0</v>
      </c>
      <c r="P90" s="681">
        <f>'F9-Year(n+5)'!U90</f>
        <v>0</v>
      </c>
    </row>
    <row r="91" ht="15" spans="3:16">
      <c r="C91" s="55"/>
      <c r="D91" s="55"/>
      <c r="E91" s="147"/>
      <c r="F91" s="752">
        <f>'F9-Year(n-1)'!U91</f>
        <v>0</v>
      </c>
      <c r="G91" s="147"/>
      <c r="H91" s="147"/>
      <c r="I91" s="681">
        <f>SUM('F9-Year(n)'!I90:N90)</f>
        <v>0</v>
      </c>
      <c r="J91" s="681">
        <f>SUM('F9-Year(n)'!O90:T90)</f>
        <v>0</v>
      </c>
      <c r="K91" s="147">
        <f t="shared" si="6"/>
        <v>0</v>
      </c>
      <c r="L91" s="681">
        <f>'F9-Year(n+1)'!U91</f>
        <v>0</v>
      </c>
      <c r="M91" s="681">
        <f>'F9-Year(n+2)'!U91</f>
        <v>0</v>
      </c>
      <c r="N91" s="681">
        <f>'F9-Year(n+3)'!U91</f>
        <v>0</v>
      </c>
      <c r="O91" s="681">
        <f>'F9-Year(n+4)'!U91</f>
        <v>0</v>
      </c>
      <c r="P91" s="681">
        <f>'F9-Year(n+5)'!U91</f>
        <v>0</v>
      </c>
    </row>
    <row r="92" ht="15" spans="3:16">
      <c r="C92" s="55"/>
      <c r="D92" s="55"/>
      <c r="E92" s="147"/>
      <c r="F92" s="752">
        <f>'F9-Year(n-1)'!U92</f>
        <v>0</v>
      </c>
      <c r="G92" s="147"/>
      <c r="H92" s="147"/>
      <c r="I92" s="681">
        <f>SUM('F9-Year(n)'!I91:N91)</f>
        <v>0</v>
      </c>
      <c r="J92" s="681">
        <f>SUM('F9-Year(n)'!O91:T91)</f>
        <v>0</v>
      </c>
      <c r="K92" s="147">
        <f t="shared" si="6"/>
        <v>0</v>
      </c>
      <c r="L92" s="681">
        <f>'F9-Year(n+1)'!U92</f>
        <v>0</v>
      </c>
      <c r="M92" s="681">
        <f>'F9-Year(n+2)'!U92</f>
        <v>0</v>
      </c>
      <c r="N92" s="681">
        <f>'F9-Year(n+3)'!U92</f>
        <v>0</v>
      </c>
      <c r="O92" s="681">
        <f>'F9-Year(n+4)'!U92</f>
        <v>0</v>
      </c>
      <c r="P92" s="681">
        <f>'F9-Year(n+5)'!U92</f>
        <v>0</v>
      </c>
    </row>
    <row r="93" ht="15" spans="3:16">
      <c r="C93" s="537" t="s">
        <v>211</v>
      </c>
      <c r="D93" s="540"/>
      <c r="E93" s="316">
        <f>SUM(E79:E92)</f>
        <v>878.650865</v>
      </c>
      <c r="F93" s="316" t="e">
        <f>'F9-Year(n-1)'!U93</f>
        <v>#REF!</v>
      </c>
      <c r="G93" s="316" t="e">
        <f t="shared" ref="G93:G94" si="7">F93-E93</f>
        <v>#REF!</v>
      </c>
      <c r="H93" s="316">
        <f>SUM(H79:H92)</f>
        <v>903.49152</v>
      </c>
      <c r="I93" s="316">
        <f>SUM('F9-Year(n)'!I92:N92)</f>
        <v>670.27963392</v>
      </c>
      <c r="J93" s="316">
        <f>SUM('F9-Year(n)'!O92:T92)</f>
        <v>666.61690368</v>
      </c>
      <c r="K93" s="316">
        <f t="shared" si="6"/>
        <v>1336.8965376</v>
      </c>
      <c r="L93" s="316">
        <f>'F9-Year(n+1)'!U93</f>
        <v>1339.227701496</v>
      </c>
      <c r="M93" s="316">
        <f>'F9-Year(n+2)'!U93</f>
        <v>1336.88796184</v>
      </c>
      <c r="N93" s="316">
        <f>'F9-Year(n+3)'!U93</f>
        <v>1336.88796184</v>
      </c>
      <c r="O93" s="316">
        <f>'F9-Year(n+4)'!U93</f>
        <v>1336.88796184</v>
      </c>
      <c r="P93" s="316">
        <f>'F9-Year(n+5)'!U93</f>
        <v>1336.88796184</v>
      </c>
    </row>
    <row r="94" ht="15" spans="3:16">
      <c r="C94" s="44" t="s">
        <v>395</v>
      </c>
      <c r="D94" s="45"/>
      <c r="E94" s="316">
        <f>SUM(E93:E93)</f>
        <v>878.650865</v>
      </c>
      <c r="F94" s="316" t="e">
        <f>'F9-Year(n-1)'!U94</f>
        <v>#REF!</v>
      </c>
      <c r="G94" s="316" t="e">
        <f t="shared" si="7"/>
        <v>#REF!</v>
      </c>
      <c r="H94" s="316">
        <f>SUM(H93:H93)</f>
        <v>903.49152</v>
      </c>
      <c r="I94" s="316">
        <f>SUM('F9-Year(n)'!I93:N93)</f>
        <v>6763.617894924</v>
      </c>
      <c r="J94" s="316">
        <f>SUM('F9-Year(n)'!O93:T93)</f>
        <v>8858.40312135</v>
      </c>
      <c r="K94" s="316">
        <f t="shared" si="6"/>
        <v>15622.021016274</v>
      </c>
      <c r="L94" s="316">
        <f>'F9-Year(n+1)'!U94</f>
        <v>20563.9527171345</v>
      </c>
      <c r="M94" s="316">
        <f>'F9-Year(n+2)'!U94</f>
        <v>20796.2476828</v>
      </c>
      <c r="N94" s="316">
        <f>'F9-Year(n+3)'!U94</f>
        <v>20796.2476828</v>
      </c>
      <c r="O94" s="316">
        <f>'F9-Year(n+4)'!U94</f>
        <v>20796.2476828</v>
      </c>
      <c r="P94" s="316">
        <f>'F9-Year(n+5)'!U94</f>
        <v>20796.2476828</v>
      </c>
    </row>
    <row r="95" ht="15" spans="3:16">
      <c r="C95" s="663" t="s">
        <v>396</v>
      </c>
      <c r="D95" s="676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</row>
    <row r="96" ht="15" spans="3:16">
      <c r="C96" s="55" t="s">
        <v>397</v>
      </c>
      <c r="D96" s="55" t="s">
        <v>397</v>
      </c>
      <c r="E96" s="147">
        <f>2360.38*70.55/100</f>
        <v>1665.24809</v>
      </c>
      <c r="F96" s="752">
        <f>'F9-Year(n-1)'!U96</f>
        <v>2847.82669460575</v>
      </c>
      <c r="G96" s="147"/>
      <c r="H96" s="147">
        <f>2216.94*70.55/100</f>
        <v>1564.05117</v>
      </c>
      <c r="I96" s="681">
        <f>SUM('F9-Year(n)'!I95:N95)</f>
        <v>709.67002707</v>
      </c>
      <c r="J96" s="681">
        <f>SUM('F9-Year(n)'!O95:T95)</f>
        <v>705.79204878</v>
      </c>
      <c r="K96" s="147">
        <f t="shared" ref="K96:K103" si="8">I96+J96</f>
        <v>1415.46207585</v>
      </c>
      <c r="L96" s="681">
        <f>'F9-Year(n+1)'!U96</f>
        <v>1415.46207585</v>
      </c>
      <c r="M96" s="681">
        <f>'F9-Year(n+2)'!U96</f>
        <v>1415.46207585</v>
      </c>
      <c r="N96" s="681">
        <f>'F9-Year(n+3)'!U96</f>
        <v>1415.46207585</v>
      </c>
      <c r="O96" s="681">
        <f>'F9-Year(n+4)'!U96</f>
        <v>1415.46207585</v>
      </c>
      <c r="P96" s="681">
        <f>'F9-Year(n+5)'!U96</f>
        <v>1415.46207585</v>
      </c>
    </row>
    <row r="97" ht="15" spans="3:16">
      <c r="C97" s="55" t="s">
        <v>398</v>
      </c>
      <c r="D97" s="55" t="s">
        <v>398</v>
      </c>
      <c r="E97" s="147">
        <f>4993.2*70.5/100</f>
        <v>3520.206</v>
      </c>
      <c r="F97" s="752">
        <f>'F9-Year(n-1)'!U97</f>
        <v>1542.559753493</v>
      </c>
      <c r="G97" s="147"/>
      <c r="H97" s="147">
        <f>4510.17*70.55/100</f>
        <v>3181.924935</v>
      </c>
      <c r="I97" s="681">
        <f>SUM('F9-Year(n)'!I96:N96)</f>
        <v>1501.250382</v>
      </c>
      <c r="J97" s="681">
        <f>SUM('F9-Year(n)'!O96:T96)</f>
        <v>1493.046828</v>
      </c>
      <c r="K97" s="147">
        <f t="shared" si="8"/>
        <v>2994.29721</v>
      </c>
      <c r="L97" s="681">
        <f>'F9-Year(n+1)'!U97</f>
        <v>0</v>
      </c>
      <c r="M97" s="681">
        <f>'F9-Year(n+2)'!U97</f>
        <v>0</v>
      </c>
      <c r="N97" s="681">
        <f>'F9-Year(n+3)'!U97</f>
        <v>0</v>
      </c>
      <c r="O97" s="681">
        <f>'F9-Year(n+4)'!U97</f>
        <v>0</v>
      </c>
      <c r="P97" s="681">
        <f>'F9-Year(n+5)'!U97</f>
        <v>0</v>
      </c>
    </row>
    <row r="98" ht="15" spans="3:16">
      <c r="C98" s="55"/>
      <c r="D98" s="55"/>
      <c r="E98" s="147"/>
      <c r="F98" s="752">
        <f>'F9-Year(n-1)'!U98</f>
        <v>0</v>
      </c>
      <c r="G98" s="147"/>
      <c r="H98" s="147"/>
      <c r="I98" s="681">
        <f>SUM('F9-Year(n)'!I97:N97)</f>
        <v>0</v>
      </c>
      <c r="J98" s="681">
        <f>SUM('F9-Year(n)'!O97:T97)</f>
        <v>0</v>
      </c>
      <c r="K98" s="147">
        <f t="shared" si="8"/>
        <v>0</v>
      </c>
      <c r="L98" s="681">
        <f>'F9-Year(n+1)'!U98</f>
        <v>0</v>
      </c>
      <c r="M98" s="681">
        <f>'F9-Year(n+2)'!U98</f>
        <v>0</v>
      </c>
      <c r="N98" s="681">
        <f>'F9-Year(n+3)'!U98</f>
        <v>0</v>
      </c>
      <c r="O98" s="681">
        <f>'F9-Year(n+4)'!U98</f>
        <v>0</v>
      </c>
      <c r="P98" s="681">
        <f>'F9-Year(n+5)'!U98</f>
        <v>0</v>
      </c>
    </row>
    <row r="99" ht="15" spans="3:16">
      <c r="C99" s="55"/>
      <c r="D99" s="55"/>
      <c r="E99" s="147"/>
      <c r="F99" s="752">
        <f>'F9-Year(n-1)'!U99</f>
        <v>0</v>
      </c>
      <c r="G99" s="147"/>
      <c r="H99" s="147"/>
      <c r="I99" s="681">
        <f>SUM('F9-Year(n)'!I98:N98)</f>
        <v>0</v>
      </c>
      <c r="J99" s="681">
        <f>SUM('F9-Year(n)'!O98:T98)</f>
        <v>0</v>
      </c>
      <c r="K99" s="147">
        <f t="shared" si="8"/>
        <v>0</v>
      </c>
      <c r="L99" s="681">
        <f>'F9-Year(n+1)'!U99</f>
        <v>0</v>
      </c>
      <c r="M99" s="681">
        <f>'F9-Year(n+2)'!U99</f>
        <v>0</v>
      </c>
      <c r="N99" s="681">
        <f>'F9-Year(n+3)'!U99</f>
        <v>0</v>
      </c>
      <c r="O99" s="681">
        <f>'F9-Year(n+4)'!U99</f>
        <v>0</v>
      </c>
      <c r="P99" s="681">
        <f>'F9-Year(n+5)'!U99</f>
        <v>0</v>
      </c>
    </row>
    <row r="100" ht="15" spans="3:16">
      <c r="C100" s="55"/>
      <c r="D100" s="55"/>
      <c r="E100" s="147"/>
      <c r="F100" s="752">
        <f>'F9-Year(n-1)'!U100</f>
        <v>0</v>
      </c>
      <c r="G100" s="147"/>
      <c r="H100" s="147"/>
      <c r="I100" s="681">
        <f>SUM('F9-Year(n)'!I99:N99)</f>
        <v>0</v>
      </c>
      <c r="J100" s="681">
        <f>SUM('F9-Year(n)'!O99:T99)</f>
        <v>0</v>
      </c>
      <c r="K100" s="147">
        <f t="shared" si="8"/>
        <v>0</v>
      </c>
      <c r="L100" s="681">
        <f>'F9-Year(n+1)'!U100</f>
        <v>0</v>
      </c>
      <c r="M100" s="681">
        <f>'F9-Year(n+2)'!U100</f>
        <v>0</v>
      </c>
      <c r="N100" s="681">
        <f>'F9-Year(n+3)'!U100</f>
        <v>0</v>
      </c>
      <c r="O100" s="681">
        <f>'F9-Year(n+4)'!U100</f>
        <v>0</v>
      </c>
      <c r="P100" s="681">
        <f>'F9-Year(n+5)'!U100</f>
        <v>0</v>
      </c>
    </row>
    <row r="101" ht="15" spans="3:16">
      <c r="C101" s="55"/>
      <c r="D101" s="55"/>
      <c r="E101" s="147"/>
      <c r="F101" s="752">
        <f>'F9-Year(n-1)'!U101</f>
        <v>0</v>
      </c>
      <c r="G101" s="147"/>
      <c r="H101" s="147"/>
      <c r="I101" s="681">
        <f>SUM('F9-Year(n)'!I100:N100)</f>
        <v>0</v>
      </c>
      <c r="J101" s="681">
        <f>SUM('F9-Year(n)'!O100:T100)</f>
        <v>0</v>
      </c>
      <c r="K101" s="147">
        <f t="shared" si="8"/>
        <v>0</v>
      </c>
      <c r="L101" s="681">
        <f>'F9-Year(n+1)'!U101</f>
        <v>0</v>
      </c>
      <c r="M101" s="681">
        <f>'F9-Year(n+2)'!U101</f>
        <v>0</v>
      </c>
      <c r="N101" s="681">
        <f>'F9-Year(n+3)'!U101</f>
        <v>0</v>
      </c>
      <c r="O101" s="681">
        <f>'F9-Year(n+4)'!U101</f>
        <v>0</v>
      </c>
      <c r="P101" s="681">
        <f>'F9-Year(n+5)'!U101</f>
        <v>0</v>
      </c>
    </row>
    <row r="102" ht="15" spans="3:16">
      <c r="C102" s="55"/>
      <c r="D102" s="55"/>
      <c r="E102" s="147"/>
      <c r="F102" s="752">
        <f>'F9-Year(n-1)'!U102</f>
        <v>0</v>
      </c>
      <c r="G102" s="147"/>
      <c r="H102" s="147"/>
      <c r="I102" s="681">
        <f>SUM('F9-Year(n)'!I101:N101)</f>
        <v>0</v>
      </c>
      <c r="J102" s="681">
        <f>SUM('F9-Year(n)'!O101:T101)</f>
        <v>0</v>
      </c>
      <c r="K102" s="147">
        <f t="shared" si="8"/>
        <v>0</v>
      </c>
      <c r="L102" s="681">
        <f>'F9-Year(n+1)'!U102</f>
        <v>0</v>
      </c>
      <c r="M102" s="681">
        <f>'F9-Year(n+2)'!U102</f>
        <v>0</v>
      </c>
      <c r="N102" s="681">
        <f>'F9-Year(n+3)'!U102</f>
        <v>0</v>
      </c>
      <c r="O102" s="681">
        <f>'F9-Year(n+4)'!U102</f>
        <v>0</v>
      </c>
      <c r="P102" s="681">
        <f>'F9-Year(n+5)'!U102</f>
        <v>0</v>
      </c>
    </row>
    <row r="103" ht="15" spans="3:16">
      <c r="C103" s="44" t="s">
        <v>399</v>
      </c>
      <c r="D103" s="45"/>
      <c r="E103" s="316">
        <f>SUM(E96:E102)</f>
        <v>5185.45409</v>
      </c>
      <c r="F103" s="316">
        <f>'F9-Year(n-1)'!U103</f>
        <v>4390.38644809875</v>
      </c>
      <c r="G103" s="316">
        <f>F103-E103</f>
        <v>-795.06764190125</v>
      </c>
      <c r="H103" s="316">
        <f t="shared" ref="H103" si="9">SUM(H96:H102)</f>
        <v>4745.976105</v>
      </c>
      <c r="I103" s="316">
        <f>SUM('F9-Year(n)'!I102:N102)</f>
        <v>2210.92040907</v>
      </c>
      <c r="J103" s="316">
        <f>SUM('F9-Year(n)'!O102:T102)</f>
        <v>2198.83887678</v>
      </c>
      <c r="K103" s="316">
        <f t="shared" si="8"/>
        <v>4409.75928585</v>
      </c>
      <c r="L103" s="316">
        <f>'F9-Year(n+1)'!U103</f>
        <v>1415.46207585</v>
      </c>
      <c r="M103" s="316">
        <f>'F9-Year(n+2)'!U103</f>
        <v>1415.46207585</v>
      </c>
      <c r="N103" s="316">
        <f>'F9-Year(n+3)'!U103</f>
        <v>1415.46207585</v>
      </c>
      <c r="O103" s="316">
        <f>'F9-Year(n+4)'!U103</f>
        <v>1415.46207585</v>
      </c>
      <c r="P103" s="316">
        <f>'F9-Year(n+5)'!U103</f>
        <v>1415.46207585</v>
      </c>
    </row>
    <row r="104" ht="15" spans="3:16">
      <c r="C104" s="663" t="s">
        <v>400</v>
      </c>
      <c r="D104" s="676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</row>
    <row r="105" ht="15" spans="3:16">
      <c r="C105" s="55" t="s">
        <v>401</v>
      </c>
      <c r="D105" s="55" t="s">
        <v>401</v>
      </c>
      <c r="E105" s="147">
        <f>9044.38*70.55/100</f>
        <v>6380.81009</v>
      </c>
      <c r="F105" s="752">
        <f>'F9-Year(n-1)'!U105</f>
        <v>6152.998496</v>
      </c>
      <c r="G105" s="147"/>
      <c r="H105" s="147">
        <f>7912.21*70.55/100</f>
        <v>5582.064155</v>
      </c>
      <c r="I105" s="681">
        <f>SUM('F9-Year(n)'!I104:N104)</f>
        <v>3160.52712</v>
      </c>
      <c r="J105" s="681">
        <f>SUM('F9-Year(n)'!O104:T104)</f>
        <v>3143.25648</v>
      </c>
      <c r="K105" s="147">
        <f t="shared" ref="K105:K113" si="10">I105+J105</f>
        <v>6303.7836</v>
      </c>
      <c r="L105" s="681">
        <f>'F9-Year(n+1)'!U105</f>
        <v>6303.7836</v>
      </c>
      <c r="M105" s="681">
        <f>'F9-Year(n+2)'!U105</f>
        <v>6303.7836</v>
      </c>
      <c r="N105" s="681">
        <f>'F9-Year(n+3)'!U105</f>
        <v>6809.7036</v>
      </c>
      <c r="O105" s="681">
        <f>'F9-Year(n+4)'!U105</f>
        <v>10506.306</v>
      </c>
      <c r="P105" s="681">
        <f>'F9-Year(n+5)'!U105</f>
        <v>10506.306</v>
      </c>
    </row>
    <row r="106" ht="15" spans="3:16">
      <c r="C106" s="55" t="s">
        <v>402</v>
      </c>
      <c r="D106" s="55" t="s">
        <v>402</v>
      </c>
      <c r="E106" s="147">
        <f>6349.58*70.55/100</f>
        <v>4479.62869</v>
      </c>
      <c r="F106" s="752" t="e">
        <f>'F9-Year(n-1)'!U106</f>
        <v>#REF!</v>
      </c>
      <c r="G106" s="147"/>
      <c r="H106" s="147">
        <f>6824.73*70.55/100</f>
        <v>4814.847015</v>
      </c>
      <c r="I106" s="681">
        <f>SUM('F9-Year(n)'!I105:N105)</f>
        <v>0</v>
      </c>
      <c r="J106" s="681">
        <f>SUM('F9-Year(n)'!O105:T105)</f>
        <v>0</v>
      </c>
      <c r="K106" s="147">
        <f t="shared" si="10"/>
        <v>0</v>
      </c>
      <c r="L106" s="681">
        <f>'F9-Year(n+1)'!U106</f>
        <v>0</v>
      </c>
      <c r="M106" s="681">
        <f>'F9-Year(n+2)'!U106</f>
        <v>0</v>
      </c>
      <c r="N106" s="681">
        <f>'F9-Year(n+3)'!U106</f>
        <v>0</v>
      </c>
      <c r="O106" s="681">
        <f>'F9-Year(n+4)'!U106</f>
        <v>0</v>
      </c>
      <c r="P106" s="681">
        <f>'F9-Year(n+5)'!U106</f>
        <v>0</v>
      </c>
    </row>
    <row r="107" ht="15" spans="3:16">
      <c r="C107" s="55" t="s">
        <v>403</v>
      </c>
      <c r="D107" s="55" t="s">
        <v>403</v>
      </c>
      <c r="E107" s="147">
        <f>0*70.55/100</f>
        <v>0</v>
      </c>
      <c r="F107" s="752">
        <f>'F9-Year(n-1)'!U107</f>
        <v>0</v>
      </c>
      <c r="G107" s="147"/>
      <c r="H107" s="147"/>
      <c r="I107" s="681">
        <f>SUM('F9-Year(n)'!I106:N106)</f>
        <v>0</v>
      </c>
      <c r="J107" s="681">
        <f>SUM('F9-Year(n)'!O106:T106)</f>
        <v>0</v>
      </c>
      <c r="K107" s="147">
        <f t="shared" si="10"/>
        <v>0</v>
      </c>
      <c r="L107" s="681">
        <f>'F9-Year(n+1)'!U107</f>
        <v>0</v>
      </c>
      <c r="M107" s="681">
        <f>'F9-Year(n+2)'!U107</f>
        <v>0</v>
      </c>
      <c r="N107" s="681">
        <f>'F9-Year(n+3)'!U107</f>
        <v>0</v>
      </c>
      <c r="O107" s="681">
        <f>'F9-Year(n+4)'!U107</f>
        <v>0</v>
      </c>
      <c r="P107" s="681">
        <f>'F9-Year(n+5)'!U107</f>
        <v>0</v>
      </c>
    </row>
    <row r="108" ht="15" spans="3:16">
      <c r="C108" s="55"/>
      <c r="D108" s="55"/>
      <c r="E108" s="147"/>
      <c r="F108" s="752">
        <f>'F9-Year(n-1)'!U108</f>
        <v>0</v>
      </c>
      <c r="G108" s="147"/>
      <c r="H108" s="147"/>
      <c r="I108" s="681">
        <f>SUM('F9-Year(n)'!I107:N107)</f>
        <v>0</v>
      </c>
      <c r="J108" s="681">
        <f>SUM('F9-Year(n)'!O107:T107)</f>
        <v>0</v>
      </c>
      <c r="K108" s="147">
        <f t="shared" si="10"/>
        <v>0</v>
      </c>
      <c r="L108" s="681">
        <f>'F9-Year(n+1)'!U108</f>
        <v>0</v>
      </c>
      <c r="M108" s="681">
        <f>'F9-Year(n+2)'!U108</f>
        <v>0</v>
      </c>
      <c r="N108" s="681">
        <f>'F9-Year(n+3)'!U108</f>
        <v>0</v>
      </c>
      <c r="O108" s="681">
        <f>'F9-Year(n+4)'!U108</f>
        <v>0</v>
      </c>
      <c r="P108" s="681">
        <f>'F9-Year(n+5)'!U108</f>
        <v>0</v>
      </c>
    </row>
    <row r="109" ht="15" spans="3:16">
      <c r="C109" s="55"/>
      <c r="D109" s="55"/>
      <c r="E109" s="147"/>
      <c r="F109" s="752">
        <f>'F9-Year(n-1)'!U109</f>
        <v>0</v>
      </c>
      <c r="G109" s="147"/>
      <c r="H109" s="147"/>
      <c r="I109" s="681">
        <f>SUM('F9-Year(n)'!I108:N108)</f>
        <v>0</v>
      </c>
      <c r="J109" s="681">
        <f>SUM('F9-Year(n)'!O108:T108)</f>
        <v>0</v>
      </c>
      <c r="K109" s="147">
        <f t="shared" si="10"/>
        <v>0</v>
      </c>
      <c r="L109" s="681">
        <f>'F9-Year(n+1)'!U109</f>
        <v>0</v>
      </c>
      <c r="M109" s="681">
        <f>'F9-Year(n+2)'!U109</f>
        <v>0</v>
      </c>
      <c r="N109" s="681">
        <f>'F9-Year(n+3)'!U109</f>
        <v>0</v>
      </c>
      <c r="O109" s="681">
        <f>'F9-Year(n+4)'!U109</f>
        <v>0</v>
      </c>
      <c r="P109" s="681">
        <f>'F9-Year(n+5)'!U109</f>
        <v>0</v>
      </c>
    </row>
    <row r="110" ht="15" spans="3:16">
      <c r="C110" s="55"/>
      <c r="D110" s="55"/>
      <c r="E110" s="147"/>
      <c r="F110" s="752">
        <f>'F9-Year(n-1)'!U110</f>
        <v>0</v>
      </c>
      <c r="G110" s="147"/>
      <c r="H110" s="147"/>
      <c r="I110" s="681">
        <f>SUM('F9-Year(n)'!I109:N109)</f>
        <v>0</v>
      </c>
      <c r="J110" s="681">
        <f>SUM('F9-Year(n)'!O109:T109)</f>
        <v>0</v>
      </c>
      <c r="K110" s="147">
        <f t="shared" si="10"/>
        <v>0</v>
      </c>
      <c r="L110" s="681">
        <f>'F9-Year(n+1)'!U110</f>
        <v>0</v>
      </c>
      <c r="M110" s="681">
        <f>'F9-Year(n+2)'!U110</f>
        <v>0</v>
      </c>
      <c r="N110" s="681">
        <f>'F9-Year(n+3)'!U110</f>
        <v>0</v>
      </c>
      <c r="O110" s="681">
        <f>'F9-Year(n+4)'!U110</f>
        <v>0</v>
      </c>
      <c r="P110" s="681">
        <f>'F9-Year(n+5)'!U110</f>
        <v>0</v>
      </c>
    </row>
    <row r="111" ht="15" spans="3:16">
      <c r="C111" s="55"/>
      <c r="D111" s="55"/>
      <c r="E111" s="147"/>
      <c r="F111" s="752">
        <f>'F9-Year(n-1)'!U111</f>
        <v>0</v>
      </c>
      <c r="G111" s="147"/>
      <c r="H111" s="147"/>
      <c r="I111" s="681">
        <f>SUM('F9-Year(n)'!I110:N110)</f>
        <v>0</v>
      </c>
      <c r="J111" s="681">
        <f>SUM('F9-Year(n)'!O110:T110)</f>
        <v>0</v>
      </c>
      <c r="K111" s="147">
        <f t="shared" si="10"/>
        <v>0</v>
      </c>
      <c r="L111" s="681">
        <f>'F9-Year(n+1)'!U111</f>
        <v>0</v>
      </c>
      <c r="M111" s="681">
        <f>'F9-Year(n+2)'!U111</f>
        <v>0</v>
      </c>
      <c r="N111" s="681">
        <f>'F9-Year(n+3)'!U111</f>
        <v>0</v>
      </c>
      <c r="O111" s="681">
        <f>'F9-Year(n+4)'!U111</f>
        <v>0</v>
      </c>
      <c r="P111" s="681">
        <f>'F9-Year(n+5)'!U111</f>
        <v>0</v>
      </c>
    </row>
    <row r="112" ht="15" spans="3:16">
      <c r="C112" s="55"/>
      <c r="D112" s="55"/>
      <c r="E112" s="147"/>
      <c r="F112" s="752">
        <f>'F9-Year(n-1)'!U112</f>
        <v>0</v>
      </c>
      <c r="G112" s="147"/>
      <c r="H112" s="147"/>
      <c r="I112" s="681">
        <f>SUM('F9-Year(n)'!I111:N111)</f>
        <v>0</v>
      </c>
      <c r="J112" s="681">
        <f>SUM('F9-Year(n)'!O111:T111)</f>
        <v>0</v>
      </c>
      <c r="K112" s="147">
        <f t="shared" si="10"/>
        <v>0</v>
      </c>
      <c r="L112" s="681">
        <f>'F9-Year(n+1)'!U112</f>
        <v>0</v>
      </c>
      <c r="M112" s="681">
        <f>'F9-Year(n+2)'!U112</f>
        <v>0</v>
      </c>
      <c r="N112" s="681">
        <f>'F9-Year(n+3)'!U112</f>
        <v>0</v>
      </c>
      <c r="O112" s="681">
        <f>'F9-Year(n+4)'!U112</f>
        <v>0</v>
      </c>
      <c r="P112" s="681">
        <f>'F9-Year(n+5)'!U112</f>
        <v>0</v>
      </c>
    </row>
    <row r="113" ht="15" spans="3:16">
      <c r="C113" s="44" t="s">
        <v>404</v>
      </c>
      <c r="D113" s="45"/>
      <c r="E113" s="316">
        <f>SUM(E105:E112)</f>
        <v>10860.43878</v>
      </c>
      <c r="F113" s="316" t="e">
        <f>'F9-Year(n-1)'!U113</f>
        <v>#REF!</v>
      </c>
      <c r="G113" s="316" t="e">
        <f>F113-E113</f>
        <v>#REF!</v>
      </c>
      <c r="H113" s="316">
        <f>SUM(H105:H112)</f>
        <v>10396.91117</v>
      </c>
      <c r="I113" s="316">
        <f>SUM('F9-Year(n)'!I112:N112)</f>
        <v>3160.52712</v>
      </c>
      <c r="J113" s="316">
        <f>SUM('F9-Year(n)'!O112:T112)</f>
        <v>3143.25648</v>
      </c>
      <c r="K113" s="316">
        <f t="shared" si="10"/>
        <v>6303.7836</v>
      </c>
      <c r="L113" s="316">
        <f>'F9-Year(n+1)'!U113</f>
        <v>6303.7836</v>
      </c>
      <c r="M113" s="316">
        <f>'F9-Year(n+2)'!U113</f>
        <v>6303.7836</v>
      </c>
      <c r="N113" s="316">
        <f>'F9-Year(n+3)'!U113</f>
        <v>6809.7036</v>
      </c>
      <c r="O113" s="316">
        <f>'F9-Year(n+4)'!U113</f>
        <v>10506.306</v>
      </c>
      <c r="P113" s="316">
        <f>'F9-Year(n+5)'!U113</f>
        <v>10506.306</v>
      </c>
    </row>
    <row r="114" ht="15" spans="3:16">
      <c r="C114" s="663" t="s">
        <v>405</v>
      </c>
      <c r="D114" s="676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</row>
    <row r="115" ht="15" spans="3:16">
      <c r="C115" s="55"/>
      <c r="D115" s="55" t="s">
        <v>406</v>
      </c>
      <c r="E115" s="147">
        <v>54.51</v>
      </c>
      <c r="F115" s="752">
        <f>'F9-Year(n-1)'!U115</f>
        <v>3.58635</v>
      </c>
      <c r="G115" s="147"/>
      <c r="H115" s="147">
        <v>20.13</v>
      </c>
      <c r="I115" s="681">
        <f>SUM('F9-Year(n)'!I114:N114)</f>
        <v>0</v>
      </c>
      <c r="J115" s="681">
        <f>SUM('F9-Year(n)'!O114:T114)</f>
        <v>0</v>
      </c>
      <c r="K115" s="147">
        <f t="shared" ref="K115:K139" si="11">I115+J115</f>
        <v>0</v>
      </c>
      <c r="L115" s="681">
        <f>'F9-Year(n+1)'!U115</f>
        <v>0.26</v>
      </c>
      <c r="M115" s="681" t="e">
        <f>'F9-Year(n+2)'!U115</f>
        <v>#VALUE!</v>
      </c>
      <c r="N115" s="681">
        <f>'F9-Year(n+3)'!U115</f>
        <v>0.389581560892525</v>
      </c>
      <c r="O115" s="681">
        <f>'F9-Year(n+4)'!U115</f>
        <v>0.389581560892525</v>
      </c>
      <c r="P115" s="681">
        <f>'F9-Year(n+5)'!U115</f>
        <v>0.389581560892525</v>
      </c>
    </row>
    <row r="116" ht="15" spans="3:16">
      <c r="C116" s="55"/>
      <c r="D116" s="55" t="s">
        <v>407</v>
      </c>
      <c r="E116" s="147">
        <v>8.6</v>
      </c>
      <c r="F116" s="752">
        <f>'F9-Year(n-1)'!U116</f>
        <v>4.85191</v>
      </c>
      <c r="G116" s="147"/>
      <c r="H116" s="147">
        <v>0</v>
      </c>
      <c r="I116" s="681">
        <f>SUM('F9-Year(n)'!I115:N115)</f>
        <v>0</v>
      </c>
      <c r="J116" s="681">
        <f>SUM('F9-Year(n)'!O115:T115)</f>
        <v>0</v>
      </c>
      <c r="K116" s="147">
        <f t="shared" si="11"/>
        <v>0</v>
      </c>
      <c r="L116" s="681">
        <f>'F9-Year(n+1)'!U116</f>
        <v>0</v>
      </c>
      <c r="M116" s="681">
        <f>'F9-Year(n+2)'!U116</f>
        <v>0.389581560892525</v>
      </c>
      <c r="N116" s="681">
        <f>'F9-Year(n+3)'!U116</f>
        <v>0</v>
      </c>
      <c r="O116" s="681">
        <f>'F9-Year(n+4)'!U116</f>
        <v>0</v>
      </c>
      <c r="P116" s="681">
        <f>'F9-Year(n+5)'!U116</f>
        <v>0</v>
      </c>
    </row>
    <row r="117" ht="15" spans="3:16">
      <c r="C117" s="55"/>
      <c r="D117" s="55" t="s">
        <v>408</v>
      </c>
      <c r="E117" s="147">
        <v>142.05</v>
      </c>
      <c r="F117" s="752">
        <f>'F9-Year(n-1)'!U117</f>
        <v>120.2807236</v>
      </c>
      <c r="G117" s="147"/>
      <c r="H117" s="147">
        <v>118.28</v>
      </c>
      <c r="I117" s="681">
        <f>SUM('F9-Year(n)'!I116:N116)</f>
        <v>0</v>
      </c>
      <c r="J117" s="681">
        <f>SUM('F9-Year(n)'!O116:T116)</f>
        <v>0</v>
      </c>
      <c r="K117" s="147">
        <f t="shared" si="11"/>
        <v>0</v>
      </c>
      <c r="L117" s="681">
        <f>'F9-Year(n+1)'!U117</f>
        <v>97.3405185384004</v>
      </c>
      <c r="M117" s="681" t="e">
        <f>'F9-Year(n+2)'!U117</f>
        <v>#REF!</v>
      </c>
      <c r="N117" s="681">
        <f>'F9-Year(n+3)'!U117</f>
        <v>91.6939894289602</v>
      </c>
      <c r="O117" s="681">
        <f>'F9-Year(n+4)'!U117</f>
        <v>93.4238243326308</v>
      </c>
      <c r="P117" s="681">
        <f>'F9-Year(n+5)'!U117</f>
        <v>95.0332712181902</v>
      </c>
    </row>
    <row r="118" ht="15" spans="3:16">
      <c r="C118" s="55"/>
      <c r="D118" s="55" t="s">
        <v>409</v>
      </c>
      <c r="E118" s="147">
        <v>35.99</v>
      </c>
      <c r="F118" s="752">
        <f>'F9-Year(n-1)'!U118</f>
        <v>0.833320000000007</v>
      </c>
      <c r="G118" s="147"/>
      <c r="H118" s="147">
        <v>46.24</v>
      </c>
      <c r="I118" s="681">
        <f>SUM('F9-Year(n)'!I117:N117)</f>
        <v>0</v>
      </c>
      <c r="J118" s="681">
        <f>SUM('F9-Year(n)'!O117:T117)</f>
        <v>0</v>
      </c>
      <c r="K118" s="147">
        <f t="shared" si="11"/>
        <v>0</v>
      </c>
      <c r="L118" s="681">
        <f>'F9-Year(n+1)'!U118</f>
        <v>41.4332513642453</v>
      </c>
      <c r="M118" s="681" t="e">
        <f>'F9-Year(n+2)'!U118</f>
        <v>#REF!</v>
      </c>
      <c r="N118" s="681">
        <f>'F9-Year(n+3)'!U118</f>
        <v>39.0297911871284</v>
      </c>
      <c r="O118" s="681">
        <f>'F9-Year(n+4)'!U118</f>
        <v>39.7661000280778</v>
      </c>
      <c r="P118" s="681">
        <f>'F9-Year(n+5)'!U118</f>
        <v>40.4511653879924</v>
      </c>
    </row>
    <row r="119" ht="15" spans="3:16">
      <c r="C119" s="55"/>
      <c r="D119" s="55" t="s">
        <v>410</v>
      </c>
      <c r="E119" s="147">
        <v>243.67</v>
      </c>
      <c r="F119" s="752">
        <f>'F9-Year(n-1)'!U119</f>
        <v>239.41819938</v>
      </c>
      <c r="G119" s="147"/>
      <c r="H119" s="147">
        <v>235.65</v>
      </c>
      <c r="I119" s="681">
        <f>SUM('F9-Year(n)'!I118:N118)</f>
        <v>0</v>
      </c>
      <c r="J119" s="681">
        <f>SUM('F9-Year(n)'!O118:T118)</f>
        <v>0</v>
      </c>
      <c r="K119" s="147">
        <f t="shared" si="11"/>
        <v>0</v>
      </c>
      <c r="L119" s="681">
        <f>'F9-Year(n+1)'!U119</f>
        <v>282.179935118596</v>
      </c>
      <c r="M119" s="681" t="e">
        <f>'F9-Year(n+2)'!U119</f>
        <v>#VALUE!</v>
      </c>
      <c r="N119" s="681">
        <f>'F9-Year(n+3)'!U119</f>
        <v>265.811240543392</v>
      </c>
      <c r="O119" s="681">
        <f>'F9-Year(n+4)'!U119</f>
        <v>269.679147872883</v>
      </c>
      <c r="P119" s="681">
        <f>'F9-Year(n+5)'!U119</f>
        <v>275.49146757296</v>
      </c>
    </row>
    <row r="120" ht="15" spans="3:16">
      <c r="C120" s="55"/>
      <c r="D120" s="55" t="s">
        <v>368</v>
      </c>
      <c r="E120" s="147">
        <v>7.88</v>
      </c>
      <c r="F120" s="752">
        <f>'F9-Year(n-1)'!U120</f>
        <v>0</v>
      </c>
      <c r="G120" s="147"/>
      <c r="H120" s="147">
        <v>0</v>
      </c>
      <c r="I120" s="681">
        <f>SUM('F9-Year(n)'!I119:N119)</f>
        <v>0</v>
      </c>
      <c r="J120" s="681">
        <f>SUM('F9-Year(n)'!O119:T119)</f>
        <v>0</v>
      </c>
      <c r="K120" s="147">
        <f t="shared" si="11"/>
        <v>0</v>
      </c>
      <c r="L120" s="681">
        <f>'F9-Year(n+1)'!U120</f>
        <v>0.225557746478873</v>
      </c>
      <c r="M120" s="681">
        <f>'F9-Year(n+2)'!U120</f>
        <v>0.0947756331665592</v>
      </c>
      <c r="N120" s="681">
        <f>'F9-Year(n+3)'!U120</f>
        <v>0.0947756331665592</v>
      </c>
      <c r="O120" s="681">
        <f>'F9-Year(n+4)'!U120</f>
        <v>0.0943980161256857</v>
      </c>
      <c r="P120" s="681">
        <f>'F9-Year(n+5)'!U120</f>
        <v>0.0947756331665592</v>
      </c>
    </row>
    <row r="121" ht="15" spans="3:16">
      <c r="C121" s="55"/>
      <c r="D121" s="55" t="s">
        <v>411</v>
      </c>
      <c r="E121" s="147">
        <v>3691.14</v>
      </c>
      <c r="F121" s="752">
        <f>'F9-Year(n-1)'!U121</f>
        <v>3591.19178407</v>
      </c>
      <c r="G121" s="147"/>
      <c r="H121" s="147">
        <v>3424.5</v>
      </c>
      <c r="I121" s="681">
        <f>SUM('F9-Year(n)'!I120:N120)</f>
        <v>0</v>
      </c>
      <c r="J121" s="681">
        <f>SUM('F9-Year(n)'!O120:T120)</f>
        <v>0</v>
      </c>
      <c r="K121" s="147">
        <f t="shared" si="11"/>
        <v>0</v>
      </c>
      <c r="L121" s="681">
        <f>'F9-Year(n+1)'!U121</f>
        <v>4515.84554999585</v>
      </c>
      <c r="M121" s="681">
        <f>'F9-Year(n+2)'!U121</f>
        <v>4211.15253283983</v>
      </c>
      <c r="N121" s="681">
        <f>'F9-Year(n+3)'!U121</f>
        <v>5393.57053021246</v>
      </c>
      <c r="O121" s="681">
        <f>'F9-Year(n+4)'!U121</f>
        <v>5488.62448251917</v>
      </c>
      <c r="P121" s="681">
        <f>'F9-Year(n+5)'!U121</f>
        <v>5589.99182197466</v>
      </c>
    </row>
    <row r="122" ht="15" spans="3:16">
      <c r="C122" s="55"/>
      <c r="D122" s="55" t="s">
        <v>412</v>
      </c>
      <c r="E122" s="147">
        <v>60.32</v>
      </c>
      <c r="F122" s="752">
        <f>'F9-Year(n-1)'!U122</f>
        <v>577.539237644</v>
      </c>
      <c r="G122" s="147"/>
      <c r="H122" s="147">
        <v>26.26</v>
      </c>
      <c r="I122" s="681">
        <f>SUM('F9-Year(n)'!I121:N121)</f>
        <v>0</v>
      </c>
      <c r="J122" s="681">
        <f>SUM('F9-Year(n)'!O121:T121)</f>
        <v>0</v>
      </c>
      <c r="K122" s="147">
        <f t="shared" si="11"/>
        <v>0</v>
      </c>
      <c r="L122" s="681">
        <f>'F9-Year(n+1)'!U122</f>
        <v>74.7805179869581</v>
      </c>
      <c r="M122" s="681">
        <f>'F9-Year(n+2)'!U122</f>
        <v>69.3794538834826</v>
      </c>
      <c r="N122" s="681">
        <f>'F9-Year(n+3)'!U122</f>
        <v>88.8599914037878</v>
      </c>
      <c r="O122" s="681">
        <f>'F9-Year(n+4)'!U122</f>
        <v>90.4260214274163</v>
      </c>
      <c r="P122" s="681">
        <f>'F9-Year(n+5)'!U122</f>
        <v>92.0960655776101</v>
      </c>
    </row>
    <row r="123" ht="15" spans="3:16">
      <c r="C123" s="55"/>
      <c r="D123" s="55" t="s">
        <v>413</v>
      </c>
      <c r="E123" s="147">
        <v>579.3</v>
      </c>
      <c r="F123" s="752">
        <f>'F9-Year(n-1)'!U123</f>
        <v>1015.0091663415</v>
      </c>
      <c r="G123" s="147"/>
      <c r="H123" s="147">
        <v>564.32</v>
      </c>
      <c r="I123" s="681">
        <f>SUM('F9-Year(n)'!I122:N122)</f>
        <v>0</v>
      </c>
      <c r="J123" s="681">
        <f>SUM('F9-Year(n)'!O122:T122)</f>
        <v>0</v>
      </c>
      <c r="K123" s="147">
        <f t="shared" si="11"/>
        <v>0</v>
      </c>
      <c r="L123" s="681">
        <f>'F9-Year(n+1)'!U123</f>
        <v>652.941280195532</v>
      </c>
      <c r="M123" s="681">
        <f>'F9-Year(n+2)'!U123</f>
        <v>605.782236569269</v>
      </c>
      <c r="N123" s="681">
        <f>'F9-Year(n+3)'!U123</f>
        <v>775.875296229855</v>
      </c>
      <c r="O123" s="681">
        <f>'F9-Year(n+4)'!U123</f>
        <v>789.548986597057</v>
      </c>
      <c r="P123" s="681">
        <f>'F9-Year(n+5)'!U123</f>
        <v>804.130869616386</v>
      </c>
    </row>
    <row r="124" ht="15" spans="3:16">
      <c r="C124" s="55"/>
      <c r="D124" s="55" t="s">
        <v>414</v>
      </c>
      <c r="E124" s="147">
        <v>500.05</v>
      </c>
      <c r="F124" s="752">
        <f>'F9-Year(n-1)'!U124</f>
        <v>435.4115407325</v>
      </c>
      <c r="G124" s="147"/>
      <c r="H124" s="147">
        <v>558.75</v>
      </c>
      <c r="I124" s="681">
        <f>SUM('F9-Year(n)'!I123:N123)</f>
        <v>0</v>
      </c>
      <c r="J124" s="681">
        <f>SUM('F9-Year(n)'!O123:T123)</f>
        <v>0</v>
      </c>
      <c r="K124" s="147">
        <f t="shared" si="11"/>
        <v>0</v>
      </c>
      <c r="L124" s="681">
        <f>'F9-Year(n+1)'!U124</f>
        <v>652.941280195532</v>
      </c>
      <c r="M124" s="681">
        <f>'F9-Year(n+2)'!U124</f>
        <v>605.78223656927</v>
      </c>
      <c r="N124" s="681">
        <f>'F9-Year(n+3)'!U124</f>
        <v>775.875296229855</v>
      </c>
      <c r="O124" s="681">
        <f>'F9-Year(n+4)'!U124</f>
        <v>789.548986597057</v>
      </c>
      <c r="P124" s="681">
        <f>'F9-Year(n+5)'!U124</f>
        <v>804.130869616386</v>
      </c>
    </row>
    <row r="125" ht="15" spans="3:16">
      <c r="C125" s="55"/>
      <c r="D125" s="55" t="s">
        <v>415</v>
      </c>
      <c r="E125" s="147">
        <v>0</v>
      </c>
      <c r="F125" s="752">
        <f>'F9-Year(n-1)'!U125</f>
        <v>0</v>
      </c>
      <c r="G125" s="147"/>
      <c r="H125" s="147">
        <v>356.69</v>
      </c>
      <c r="I125" s="681">
        <f>SUM('F9-Year(n)'!I124:N124)</f>
        <v>0</v>
      </c>
      <c r="J125" s="681">
        <f>SUM('F9-Year(n)'!O124:T124)</f>
        <v>0</v>
      </c>
      <c r="K125" s="147">
        <f t="shared" si="11"/>
        <v>0</v>
      </c>
      <c r="L125" s="681">
        <f>'F9-Year(n+1)'!U125</f>
        <v>2521.98569475524</v>
      </c>
      <c r="M125" s="681">
        <f>'F9-Year(n+2)'!U125</f>
        <v>2339.83388874881</v>
      </c>
      <c r="N125" s="681">
        <f>'F9-Year(n+3)'!U125</f>
        <v>2996.81833168782</v>
      </c>
      <c r="O125" s="681">
        <f>'F9-Year(n+4)'!U125</f>
        <v>3049.63296073113</v>
      </c>
      <c r="P125" s="681">
        <f>'F9-Year(n+5)'!U125</f>
        <v>3105.95548389329</v>
      </c>
    </row>
    <row r="126" ht="15" spans="3:16">
      <c r="C126" s="55"/>
      <c r="D126" s="55" t="s">
        <v>416</v>
      </c>
      <c r="E126" s="147"/>
      <c r="F126" s="752">
        <f>'F9-Year(n-1)'!U126</f>
        <v>0</v>
      </c>
      <c r="G126" s="147"/>
      <c r="H126" s="119">
        <v>0</v>
      </c>
      <c r="I126" s="681">
        <f>SUM('F9-Year(n)'!I125:N125)</f>
        <v>0</v>
      </c>
      <c r="J126" s="681">
        <f>SUM('F9-Year(n)'!O125:T125)</f>
        <v>0</v>
      </c>
      <c r="K126" s="147">
        <f t="shared" si="11"/>
        <v>0</v>
      </c>
      <c r="L126" s="681">
        <f>'F9-Year(n+1)'!U126</f>
        <v>0</v>
      </c>
      <c r="M126" s="681">
        <f>'F9-Year(n+2)'!U126</f>
        <v>0</v>
      </c>
      <c r="N126" s="681">
        <f>'F9-Year(n+3)'!U126</f>
        <v>0</v>
      </c>
      <c r="O126" s="681">
        <f>'F9-Year(n+4)'!U126</f>
        <v>0</v>
      </c>
      <c r="P126" s="681">
        <f>'F9-Year(n+5)'!U126</f>
        <v>0</v>
      </c>
    </row>
    <row r="127" ht="15" spans="3:16">
      <c r="C127" s="55"/>
      <c r="D127" s="55" t="s">
        <v>417</v>
      </c>
      <c r="E127" s="147"/>
      <c r="F127" s="752">
        <f>'F9-Year(n-1)'!U127</f>
        <v>0</v>
      </c>
      <c r="G127" s="147"/>
      <c r="H127" s="147">
        <v>1984.81</v>
      </c>
      <c r="I127" s="681">
        <f>SUM('F9-Year(n)'!I126:N126)</f>
        <v>0</v>
      </c>
      <c r="J127" s="681">
        <f>SUM('F9-Year(n)'!O126:T126)</f>
        <v>0</v>
      </c>
      <c r="K127" s="147">
        <f t="shared" si="11"/>
        <v>0</v>
      </c>
      <c r="L127" s="681">
        <f>'F9-Year(n+1)'!U127</f>
        <v>2761.9416152271</v>
      </c>
      <c r="M127" s="681">
        <f>'F9-Year(n+2)'!U127</f>
        <v>2562.45886068801</v>
      </c>
      <c r="N127" s="681">
        <f>'F9-Year(n+3)'!U127</f>
        <v>3281.95250305229</v>
      </c>
      <c r="O127" s="681">
        <f>'F9-Year(n+4)'!U127</f>
        <v>3339.79221330555</v>
      </c>
      <c r="P127" s="681">
        <f>'F9-Year(n+5)'!U127</f>
        <v>3401.47357847731</v>
      </c>
    </row>
    <row r="128" ht="15" spans="3:16">
      <c r="C128" s="55"/>
      <c r="D128" s="55" t="s">
        <v>418</v>
      </c>
      <c r="E128" s="147"/>
      <c r="F128" s="752">
        <f>'F9-Year(n-1)'!U128</f>
        <v>0</v>
      </c>
      <c r="G128" s="147"/>
      <c r="H128" s="147">
        <v>607.89</v>
      </c>
      <c r="I128" s="681">
        <f>SUM('F9-Year(n)'!I127:N127)</f>
        <v>0</v>
      </c>
      <c r="J128" s="681">
        <f>SUM('F9-Year(n)'!O127:T127)</f>
        <v>0</v>
      </c>
      <c r="K128" s="147">
        <f t="shared" si="11"/>
        <v>0</v>
      </c>
      <c r="L128" s="681">
        <f>'F9-Year(n+1)'!U128</f>
        <v>1632.35320048883</v>
      </c>
      <c r="M128" s="681">
        <f>'F9-Year(n+2)'!U128</f>
        <v>1514.45559142317</v>
      </c>
      <c r="N128" s="681">
        <f>'F9-Year(n+3)'!U128</f>
        <v>1939.68824057464</v>
      </c>
      <c r="O128" s="681">
        <f>'F9-Year(n+4)'!U128</f>
        <v>1973.87246649264</v>
      </c>
      <c r="P128" s="681">
        <f>'F9-Year(n+5)'!U128</f>
        <v>2010.32717404097</v>
      </c>
    </row>
    <row r="129" ht="15" spans="3:16">
      <c r="C129" s="55"/>
      <c r="D129" s="767" t="s">
        <v>419</v>
      </c>
      <c r="E129" s="147"/>
      <c r="F129" s="752">
        <f>'F9-Year(n-1)'!U129</f>
        <v>29.18769237275</v>
      </c>
      <c r="G129" s="147"/>
      <c r="H129" s="147"/>
      <c r="I129" s="681">
        <f>SUM('F9-Year(n)'!I128:N128)</f>
        <v>0</v>
      </c>
      <c r="J129" s="681">
        <f>SUM('F9-Year(n)'!O128:T128)</f>
        <v>0</v>
      </c>
      <c r="K129" s="147">
        <f t="shared" si="11"/>
        <v>0</v>
      </c>
      <c r="L129" s="681">
        <f>'F9-Year(n+1)'!U129</f>
        <v>0</v>
      </c>
      <c r="M129" s="681">
        <f>'F9-Year(n+2)'!U129</f>
        <v>0</v>
      </c>
      <c r="N129" s="681">
        <f>'F9-Year(n+3)'!U129</f>
        <v>0</v>
      </c>
      <c r="O129" s="681">
        <f>'F9-Year(n+4)'!U129</f>
        <v>0</v>
      </c>
      <c r="P129" s="681">
        <f>'F9-Year(n+5)'!U129</f>
        <v>0</v>
      </c>
    </row>
    <row r="130" ht="15" spans="3:16">
      <c r="C130" s="55"/>
      <c r="D130" s="767" t="s">
        <v>420</v>
      </c>
      <c r="E130" s="147"/>
      <c r="F130" s="752">
        <f>'F9-Year(n-1)'!U130</f>
        <v>0</v>
      </c>
      <c r="G130" s="147"/>
      <c r="H130" s="147"/>
      <c r="I130" s="681">
        <f>SUM('F9-Year(n)'!I129:N129)</f>
        <v>0</v>
      </c>
      <c r="J130" s="681">
        <f>SUM('F9-Year(n)'!O129:T129)</f>
        <v>0</v>
      </c>
      <c r="K130" s="147">
        <f t="shared" si="11"/>
        <v>0</v>
      </c>
      <c r="L130" s="681">
        <f>'F9-Year(n+1)'!U130</f>
        <v>0</v>
      </c>
      <c r="M130" s="681">
        <f>'F9-Year(n+2)'!U130</f>
        <v>0</v>
      </c>
      <c r="N130" s="681">
        <f>'F9-Year(n+3)'!U130</f>
        <v>0</v>
      </c>
      <c r="O130" s="681">
        <f>'F9-Year(n+4)'!U130</f>
        <v>0</v>
      </c>
      <c r="P130" s="681">
        <f>'F9-Year(n+5)'!U130</f>
        <v>0</v>
      </c>
    </row>
    <row r="131" ht="15" spans="3:16">
      <c r="C131" s="55"/>
      <c r="D131" s="55"/>
      <c r="E131" s="147"/>
      <c r="F131" s="752">
        <f>'F9-Year(n-1)'!U131</f>
        <v>0</v>
      </c>
      <c r="G131" s="147"/>
      <c r="H131" s="147"/>
      <c r="I131" s="681">
        <f>SUM('F9-Year(n)'!I130:N130)</f>
        <v>0</v>
      </c>
      <c r="J131" s="681">
        <f>SUM('F9-Year(n)'!O130:T130)</f>
        <v>0</v>
      </c>
      <c r="K131" s="147">
        <f t="shared" si="11"/>
        <v>0</v>
      </c>
      <c r="L131" s="681">
        <f>'F9-Year(n+1)'!U131</f>
        <v>0</v>
      </c>
      <c r="M131" s="681">
        <f>'F9-Year(n+2)'!U131</f>
        <v>0</v>
      </c>
      <c r="N131" s="681">
        <f>'F9-Year(n+3)'!U131</f>
        <v>0</v>
      </c>
      <c r="O131" s="681">
        <f>'F9-Year(n+4)'!U131</f>
        <v>0</v>
      </c>
      <c r="P131" s="681">
        <f>'F9-Year(n+5)'!U131</f>
        <v>0</v>
      </c>
    </row>
    <row r="132" ht="15" spans="3:16">
      <c r="C132" s="55"/>
      <c r="D132" s="55"/>
      <c r="E132" s="147"/>
      <c r="F132" s="752">
        <f>'F9-Year(n-1)'!U132</f>
        <v>0</v>
      </c>
      <c r="G132" s="147"/>
      <c r="H132" s="147"/>
      <c r="I132" s="681">
        <f>SUM('F9-Year(n)'!I131:N131)</f>
        <v>3967.09733187647</v>
      </c>
      <c r="J132" s="681">
        <f>SUM('F9-Year(n)'!O131:T131)</f>
        <v>3801.145779687</v>
      </c>
      <c r="K132" s="147">
        <f t="shared" si="11"/>
        <v>7768.24311156347</v>
      </c>
      <c r="L132" s="681">
        <f>'F9-Year(n+1)'!U132</f>
        <v>0</v>
      </c>
      <c r="M132" s="681">
        <f>'F9-Year(n+2)'!U132</f>
        <v>0</v>
      </c>
      <c r="N132" s="681">
        <f>'F9-Year(n+3)'!U132</f>
        <v>0</v>
      </c>
      <c r="O132" s="681">
        <f>'F9-Year(n+4)'!U132</f>
        <v>0</v>
      </c>
      <c r="P132" s="681">
        <f>'F9-Year(n+5)'!U132</f>
        <v>0</v>
      </c>
    </row>
    <row r="133" ht="15" spans="3:16">
      <c r="C133" s="55"/>
      <c r="D133" s="55"/>
      <c r="E133" s="147"/>
      <c r="F133" s="752">
        <f>'F9-Year(n-1)'!U133</f>
        <v>0</v>
      </c>
      <c r="G133" s="147"/>
      <c r="H133" s="147"/>
      <c r="I133" s="681">
        <f>SUM('F9-Year(n)'!I132:N132)</f>
        <v>0</v>
      </c>
      <c r="J133" s="681">
        <f>SUM('F9-Year(n)'!O132:T132)</f>
        <v>0</v>
      </c>
      <c r="K133" s="147">
        <f t="shared" si="11"/>
        <v>0</v>
      </c>
      <c r="L133" s="681">
        <f>'F9-Year(n+1)'!U133</f>
        <v>0</v>
      </c>
      <c r="M133" s="681">
        <f>'F9-Year(n+2)'!U133</f>
        <v>0</v>
      </c>
      <c r="N133" s="681">
        <f>'F9-Year(n+3)'!U133</f>
        <v>0</v>
      </c>
      <c r="O133" s="681">
        <f>'F9-Year(n+4)'!U133</f>
        <v>0</v>
      </c>
      <c r="P133" s="681">
        <f>'F9-Year(n+5)'!U133</f>
        <v>0</v>
      </c>
    </row>
    <row r="134" ht="15" spans="3:16">
      <c r="C134" s="55"/>
      <c r="D134" s="55"/>
      <c r="E134" s="147"/>
      <c r="F134" s="752">
        <f>'F9-Year(n-1)'!U134</f>
        <v>0</v>
      </c>
      <c r="G134" s="147"/>
      <c r="H134" s="147"/>
      <c r="I134" s="681">
        <f>SUM('F9-Year(n)'!I133:N133)</f>
        <v>0</v>
      </c>
      <c r="J134" s="681">
        <f>SUM('F9-Year(n)'!O133:T133)</f>
        <v>0</v>
      </c>
      <c r="K134" s="147">
        <f t="shared" si="11"/>
        <v>0</v>
      </c>
      <c r="L134" s="681">
        <f>'F9-Year(n+1)'!U134</f>
        <v>0</v>
      </c>
      <c r="M134" s="681">
        <f>'F9-Year(n+2)'!U134</f>
        <v>0</v>
      </c>
      <c r="N134" s="681">
        <f>'F9-Year(n+3)'!U134</f>
        <v>0</v>
      </c>
      <c r="O134" s="681">
        <f>'F9-Year(n+4)'!U134</f>
        <v>0</v>
      </c>
      <c r="P134" s="681">
        <f>'F9-Year(n+5)'!U134</f>
        <v>0</v>
      </c>
    </row>
    <row r="135" ht="15" spans="3:16">
      <c r="C135" s="55"/>
      <c r="D135" s="55"/>
      <c r="E135" s="147"/>
      <c r="F135" s="752">
        <f>'F9-Year(n-1)'!U135</f>
        <v>0</v>
      </c>
      <c r="G135" s="147"/>
      <c r="H135" s="147"/>
      <c r="I135" s="681">
        <f>SUM('F9-Year(n)'!I134:N134)</f>
        <v>0</v>
      </c>
      <c r="J135" s="681">
        <f>SUM('F9-Year(n)'!O134:T134)</f>
        <v>0</v>
      </c>
      <c r="K135" s="147">
        <f t="shared" si="11"/>
        <v>0</v>
      </c>
      <c r="L135" s="681">
        <f>'F9-Year(n+1)'!U135</f>
        <v>0</v>
      </c>
      <c r="M135" s="681">
        <f>'F9-Year(n+2)'!U135</f>
        <v>0</v>
      </c>
      <c r="N135" s="681">
        <f>'F9-Year(n+3)'!U135</f>
        <v>0</v>
      </c>
      <c r="O135" s="681">
        <f>'F9-Year(n+4)'!U135</f>
        <v>0</v>
      </c>
      <c r="P135" s="681">
        <f>'F9-Year(n+5)'!U135</f>
        <v>0</v>
      </c>
    </row>
    <row r="136" ht="15" spans="3:16">
      <c r="C136" s="55"/>
      <c r="D136" s="55"/>
      <c r="E136" s="147"/>
      <c r="F136" s="752">
        <f>'F9-Year(n-1)'!U136</f>
        <v>0</v>
      </c>
      <c r="G136" s="147"/>
      <c r="H136" s="147"/>
      <c r="I136" s="681">
        <f>SUM('F9-Year(n)'!I135:N135)</f>
        <v>0</v>
      </c>
      <c r="J136" s="681">
        <f>SUM('F9-Year(n)'!O135:T135)</f>
        <v>0</v>
      </c>
      <c r="K136" s="147">
        <f t="shared" si="11"/>
        <v>0</v>
      </c>
      <c r="L136" s="681">
        <f>'F9-Year(n+1)'!U136</f>
        <v>0</v>
      </c>
      <c r="M136" s="681">
        <f>'F9-Year(n+2)'!U136</f>
        <v>0</v>
      </c>
      <c r="N136" s="681">
        <f>'F9-Year(n+3)'!U136</f>
        <v>0</v>
      </c>
      <c r="O136" s="681">
        <f>'F9-Year(n+4)'!U136</f>
        <v>0</v>
      </c>
      <c r="P136" s="681">
        <f>'F9-Year(n+5)'!U136</f>
        <v>0</v>
      </c>
    </row>
    <row r="137" ht="15" spans="3:16">
      <c r="C137" s="55"/>
      <c r="D137" s="55"/>
      <c r="E137" s="147"/>
      <c r="F137" s="752">
        <f>'F9-Year(n-1)'!U137</f>
        <v>0</v>
      </c>
      <c r="G137" s="147"/>
      <c r="H137" s="147"/>
      <c r="I137" s="681">
        <f>SUM('F9-Year(n)'!I136:N136)</f>
        <v>0</v>
      </c>
      <c r="J137" s="681">
        <f>SUM('F9-Year(n)'!O136:T136)</f>
        <v>0</v>
      </c>
      <c r="K137" s="147">
        <f t="shared" si="11"/>
        <v>0</v>
      </c>
      <c r="L137" s="681">
        <f>'F9-Year(n+1)'!U137</f>
        <v>0</v>
      </c>
      <c r="M137" s="681">
        <f>'F9-Year(n+2)'!U137</f>
        <v>0</v>
      </c>
      <c r="N137" s="681">
        <f>'F9-Year(n+3)'!U137</f>
        <v>0</v>
      </c>
      <c r="O137" s="681">
        <f>'F9-Year(n+4)'!U137</f>
        <v>0</v>
      </c>
      <c r="P137" s="681">
        <f>'F9-Year(n+5)'!U137</f>
        <v>0</v>
      </c>
    </row>
    <row r="138" ht="15" spans="3:16">
      <c r="C138" s="55"/>
      <c r="D138" s="55"/>
      <c r="E138" s="147"/>
      <c r="F138" s="752">
        <f>'F9-Year(n-1)'!U138</f>
        <v>0</v>
      </c>
      <c r="G138" s="147"/>
      <c r="H138" s="147"/>
      <c r="I138" s="681">
        <f>SUM('F9-Year(n)'!I137:N137)</f>
        <v>0</v>
      </c>
      <c r="J138" s="681">
        <f>SUM('F9-Year(n)'!O137:T137)</f>
        <v>0</v>
      </c>
      <c r="K138" s="147">
        <f t="shared" si="11"/>
        <v>0</v>
      </c>
      <c r="L138" s="681">
        <f>'F9-Year(n+1)'!U138</f>
        <v>0</v>
      </c>
      <c r="M138" s="681">
        <f>'F9-Year(n+2)'!U138</f>
        <v>0</v>
      </c>
      <c r="N138" s="681">
        <f>'F9-Year(n+3)'!U138</f>
        <v>0</v>
      </c>
      <c r="O138" s="681">
        <f>'F9-Year(n+4)'!U138</f>
        <v>0</v>
      </c>
      <c r="P138" s="681">
        <f>'F9-Year(n+5)'!U138</f>
        <v>0</v>
      </c>
    </row>
    <row r="139" ht="15" spans="3:16">
      <c r="C139" s="44" t="s">
        <v>421</v>
      </c>
      <c r="D139" s="45"/>
      <c r="E139" s="316">
        <f>SUM(E115:E138)</f>
        <v>5323.51</v>
      </c>
      <c r="F139" s="316">
        <f t="shared" ref="F139:H139" si="12">SUM(F115:F138)</f>
        <v>6017.30992414075</v>
      </c>
      <c r="G139" s="316">
        <f t="shared" si="12"/>
        <v>0</v>
      </c>
      <c r="H139" s="316">
        <f t="shared" si="12"/>
        <v>7943.52</v>
      </c>
      <c r="I139" s="316">
        <f>SUM('F9-Year(n)'!I138:N138)</f>
        <v>3967.09733187647</v>
      </c>
      <c r="J139" s="316">
        <f>SUM('F9-Year(n)'!O138:T138)</f>
        <v>3801.145779687</v>
      </c>
      <c r="K139" s="316">
        <f t="shared" si="11"/>
        <v>7768.24311156347</v>
      </c>
      <c r="L139" s="316">
        <f>'F9-Year(n+1)'!U139</f>
        <v>13234.2284016128</v>
      </c>
      <c r="M139" s="316" t="e">
        <f>'F9-Year(n+2)'!U139</f>
        <v>#VALUE!</v>
      </c>
      <c r="N139" s="316">
        <f>'F9-Year(n+3)'!U139</f>
        <v>15649.6595677442</v>
      </c>
      <c r="O139" s="316">
        <f>'F9-Year(n+4)'!U139</f>
        <v>15924.7991694806</v>
      </c>
      <c r="P139" s="316">
        <f>'F9-Year(n+5)'!U139</f>
        <v>16219.5661245698</v>
      </c>
    </row>
    <row r="140" ht="15" spans="3:16">
      <c r="C140" s="663" t="s">
        <v>422</v>
      </c>
      <c r="D140" s="676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</row>
    <row r="141" ht="15" spans="3:16">
      <c r="C141" s="55"/>
      <c r="D141" s="55" t="s">
        <v>423</v>
      </c>
      <c r="E141" s="119"/>
      <c r="F141" s="752">
        <f>'F9-Year(n-1)'!U141</f>
        <v>9404.397754</v>
      </c>
      <c r="G141" s="147"/>
      <c r="H141" s="147">
        <v>-2627.32</v>
      </c>
      <c r="I141" s="681">
        <f>SUM('F9-Year(n)'!I140:N140)</f>
        <v>4596.0088130725</v>
      </c>
      <c r="J141" s="681">
        <f>SUM('F9-Year(n)'!O140:T140)</f>
        <v>6899.36497681625</v>
      </c>
      <c r="K141" s="147">
        <f t="shared" ref="K141:K152" si="13">I141+J141</f>
        <v>11495.3737898888</v>
      </c>
      <c r="L141" s="681">
        <f>'F9-Year(n+1)'!U141</f>
        <v>626.216811067091</v>
      </c>
      <c r="M141" s="681" t="e">
        <f>'F9-Year(n+2)'!U141</f>
        <v>#REF!</v>
      </c>
      <c r="N141" s="681">
        <f>'F9-Year(n+3)'!U141</f>
        <v>1083.55918595442</v>
      </c>
      <c r="O141" s="681">
        <f>'F9-Year(n+4)'!U141</f>
        <v>2804.31237294256</v>
      </c>
      <c r="P141" s="681">
        <f>'F9-Year(n+5)'!U141</f>
        <v>5523.15009063733</v>
      </c>
    </row>
    <row r="142" ht="15" spans="3:16">
      <c r="C142" s="55"/>
      <c r="D142" s="55"/>
      <c r="E142" s="147"/>
      <c r="F142" s="752">
        <f>'F9-Year(n-1)'!U142</f>
        <v>0</v>
      </c>
      <c r="G142" s="147"/>
      <c r="H142" s="147"/>
      <c r="I142" s="681">
        <f>SUM('F9-Year(n)'!I141:N141)</f>
        <v>0</v>
      </c>
      <c r="J142" s="681">
        <f>SUM('F9-Year(n)'!O141:T141)</f>
        <v>0</v>
      </c>
      <c r="K142" s="147">
        <f t="shared" si="13"/>
        <v>0</v>
      </c>
      <c r="L142" s="681">
        <f>'F9-Year(n+1)'!U142</f>
        <v>0</v>
      </c>
      <c r="M142" s="681">
        <f>'F9-Year(n+2)'!U142</f>
        <v>0</v>
      </c>
      <c r="N142" s="681">
        <f>'F9-Year(n+3)'!U142</f>
        <v>0</v>
      </c>
      <c r="O142" s="681">
        <f>'F9-Year(n+4)'!U142</f>
        <v>0</v>
      </c>
      <c r="P142" s="681">
        <f>'F9-Year(n+5)'!U142</f>
        <v>0</v>
      </c>
    </row>
    <row r="143" ht="15" spans="3:16">
      <c r="C143" s="55"/>
      <c r="D143" s="55"/>
      <c r="E143" s="147"/>
      <c r="F143" s="752">
        <f>'F9-Year(n-1)'!U143</f>
        <v>0</v>
      </c>
      <c r="G143" s="147"/>
      <c r="H143" s="147"/>
      <c r="I143" s="681">
        <f>SUM('F9-Year(n)'!I142:N142)</f>
        <v>0</v>
      </c>
      <c r="J143" s="681">
        <f>SUM('F9-Year(n)'!O142:T142)</f>
        <v>0</v>
      </c>
      <c r="K143" s="147">
        <f t="shared" si="13"/>
        <v>0</v>
      </c>
      <c r="L143" s="681">
        <f>'F9-Year(n+1)'!U143</f>
        <v>0</v>
      </c>
      <c r="M143" s="681">
        <f>'F9-Year(n+2)'!U143</f>
        <v>0</v>
      </c>
      <c r="N143" s="681">
        <f>'F9-Year(n+3)'!U143</f>
        <v>0</v>
      </c>
      <c r="O143" s="681">
        <f>'F9-Year(n+4)'!U143</f>
        <v>0</v>
      </c>
      <c r="P143" s="681">
        <f>'F9-Year(n+5)'!U143</f>
        <v>0</v>
      </c>
    </row>
    <row r="144" ht="15" spans="3:16">
      <c r="C144" s="55"/>
      <c r="D144" s="55"/>
      <c r="E144" s="147"/>
      <c r="F144" s="752">
        <f>'F9-Year(n-1)'!U144</f>
        <v>0</v>
      </c>
      <c r="G144" s="147"/>
      <c r="H144" s="147"/>
      <c r="I144" s="681">
        <f>SUM('F9-Year(n)'!I143:N143)</f>
        <v>0</v>
      </c>
      <c r="J144" s="681">
        <f>SUM('F9-Year(n)'!O143:T143)</f>
        <v>0</v>
      </c>
      <c r="K144" s="147">
        <f t="shared" si="13"/>
        <v>0</v>
      </c>
      <c r="L144" s="681">
        <f>'F9-Year(n+1)'!U144</f>
        <v>0</v>
      </c>
      <c r="M144" s="681">
        <f>'F9-Year(n+2)'!U144</f>
        <v>0</v>
      </c>
      <c r="N144" s="681">
        <f>'F9-Year(n+3)'!U144</f>
        <v>0</v>
      </c>
      <c r="O144" s="681">
        <f>'F9-Year(n+4)'!U144</f>
        <v>0</v>
      </c>
      <c r="P144" s="681">
        <f>'F9-Year(n+5)'!U144</f>
        <v>0</v>
      </c>
    </row>
    <row r="145" ht="15" spans="3:16">
      <c r="C145" s="55"/>
      <c r="D145" s="55"/>
      <c r="E145" s="147"/>
      <c r="F145" s="752">
        <f>'F9-Year(n-1)'!U145</f>
        <v>0</v>
      </c>
      <c r="G145" s="147"/>
      <c r="H145" s="147"/>
      <c r="I145" s="681">
        <f>SUM('F9-Year(n)'!I144:N144)</f>
        <v>0</v>
      </c>
      <c r="J145" s="681">
        <f>SUM('F9-Year(n)'!O144:T144)</f>
        <v>0</v>
      </c>
      <c r="K145" s="147">
        <f t="shared" si="13"/>
        <v>0</v>
      </c>
      <c r="L145" s="681">
        <f>'F9-Year(n+1)'!U145</f>
        <v>0</v>
      </c>
      <c r="M145" s="681">
        <f>'F9-Year(n+2)'!U145</f>
        <v>0</v>
      </c>
      <c r="N145" s="681">
        <f>'F9-Year(n+3)'!U145</f>
        <v>0</v>
      </c>
      <c r="O145" s="681">
        <f>'F9-Year(n+4)'!U145</f>
        <v>0</v>
      </c>
      <c r="P145" s="681">
        <f>'F9-Year(n+5)'!U145</f>
        <v>0</v>
      </c>
    </row>
    <row r="146" ht="15" spans="3:16">
      <c r="C146" s="55"/>
      <c r="D146" s="55"/>
      <c r="E146" s="147"/>
      <c r="F146" s="752">
        <f>'F9-Year(n-1)'!U146</f>
        <v>0</v>
      </c>
      <c r="G146" s="147"/>
      <c r="H146" s="147"/>
      <c r="I146" s="681">
        <f>SUM('F9-Year(n)'!I145:N145)</f>
        <v>0</v>
      </c>
      <c r="J146" s="681">
        <f>SUM('F9-Year(n)'!O145:T145)</f>
        <v>0</v>
      </c>
      <c r="K146" s="147">
        <f t="shared" si="13"/>
        <v>0</v>
      </c>
      <c r="L146" s="681">
        <f>'F9-Year(n+1)'!U146</f>
        <v>0</v>
      </c>
      <c r="M146" s="681">
        <f>'F9-Year(n+2)'!U146</f>
        <v>0</v>
      </c>
      <c r="N146" s="681">
        <f>'F9-Year(n+3)'!U146</f>
        <v>0</v>
      </c>
      <c r="O146" s="681">
        <f>'F9-Year(n+4)'!U146</f>
        <v>0</v>
      </c>
      <c r="P146" s="681">
        <f>'F9-Year(n+5)'!U146</f>
        <v>0</v>
      </c>
    </row>
    <row r="147" ht="15" spans="3:16">
      <c r="C147" s="55"/>
      <c r="D147" s="55"/>
      <c r="E147" s="147"/>
      <c r="F147" s="752">
        <f>'F9-Year(n-1)'!U147</f>
        <v>0</v>
      </c>
      <c r="G147" s="147"/>
      <c r="H147" s="147"/>
      <c r="I147" s="681">
        <f>SUM('F9-Year(n)'!I146:N146)</f>
        <v>0</v>
      </c>
      <c r="J147" s="681">
        <f>SUM('F9-Year(n)'!O146:T146)</f>
        <v>0</v>
      </c>
      <c r="K147" s="147">
        <f t="shared" si="13"/>
        <v>0</v>
      </c>
      <c r="L147" s="681">
        <f>'F9-Year(n+1)'!U147</f>
        <v>0</v>
      </c>
      <c r="M147" s="681">
        <f>'F9-Year(n+2)'!U147</f>
        <v>0</v>
      </c>
      <c r="N147" s="681">
        <f>'F9-Year(n+3)'!U147</f>
        <v>0</v>
      </c>
      <c r="O147" s="681">
        <f>'F9-Year(n+4)'!U147</f>
        <v>0</v>
      </c>
      <c r="P147" s="681">
        <f>'F9-Year(n+5)'!U147</f>
        <v>0</v>
      </c>
    </row>
    <row r="148" ht="15" spans="3:16">
      <c r="C148" s="55"/>
      <c r="D148" s="55"/>
      <c r="E148" s="147"/>
      <c r="F148" s="752">
        <f>'F9-Year(n-1)'!U148</f>
        <v>0</v>
      </c>
      <c r="G148" s="147"/>
      <c r="H148" s="147"/>
      <c r="I148" s="681">
        <f>SUM('F9-Year(n)'!I147:N147)</f>
        <v>0</v>
      </c>
      <c r="J148" s="681">
        <f>SUM('F9-Year(n)'!O147:T147)</f>
        <v>0</v>
      </c>
      <c r="K148" s="147">
        <f t="shared" si="13"/>
        <v>0</v>
      </c>
      <c r="L148" s="681">
        <f>'F9-Year(n+1)'!U148</f>
        <v>0</v>
      </c>
      <c r="M148" s="681">
        <f>'F9-Year(n+2)'!U148</f>
        <v>0</v>
      </c>
      <c r="N148" s="681">
        <f>'F9-Year(n+3)'!U148</f>
        <v>0</v>
      </c>
      <c r="O148" s="681">
        <f>'F9-Year(n+4)'!U148</f>
        <v>0</v>
      </c>
      <c r="P148" s="681">
        <f>'F9-Year(n+5)'!U148</f>
        <v>0</v>
      </c>
    </row>
    <row r="149" ht="15" spans="3:16">
      <c r="C149" s="55"/>
      <c r="D149" s="55"/>
      <c r="E149" s="147"/>
      <c r="F149" s="752">
        <f>'F9-Year(n-1)'!U149</f>
        <v>0</v>
      </c>
      <c r="G149" s="147"/>
      <c r="H149" s="147"/>
      <c r="I149" s="681">
        <f>SUM('F9-Year(n)'!I148:N148)</f>
        <v>0</v>
      </c>
      <c r="J149" s="681">
        <f>SUM('F9-Year(n)'!O148:T148)</f>
        <v>0</v>
      </c>
      <c r="K149" s="147">
        <f t="shared" si="13"/>
        <v>0</v>
      </c>
      <c r="L149" s="681">
        <f>'F9-Year(n+1)'!U149</f>
        <v>0</v>
      </c>
      <c r="M149" s="681">
        <f>'F9-Year(n+2)'!U149</f>
        <v>0</v>
      </c>
      <c r="N149" s="681">
        <f>'F9-Year(n+3)'!U149</f>
        <v>0</v>
      </c>
      <c r="O149" s="681">
        <f>'F9-Year(n+4)'!U149</f>
        <v>0</v>
      </c>
      <c r="P149" s="681">
        <f>'F9-Year(n+5)'!U149</f>
        <v>0</v>
      </c>
    </row>
    <row r="150" ht="15" spans="3:16">
      <c r="C150" s="55"/>
      <c r="D150" s="55"/>
      <c r="E150" s="147"/>
      <c r="F150" s="752">
        <f>'F9-Year(n-1)'!U150</f>
        <v>0</v>
      </c>
      <c r="G150" s="147"/>
      <c r="H150" s="147"/>
      <c r="I150" s="681">
        <f>SUM('F9-Year(n)'!I149:N149)</f>
        <v>0</v>
      </c>
      <c r="J150" s="681">
        <f>SUM('F9-Year(n)'!O149:T149)</f>
        <v>0</v>
      </c>
      <c r="K150" s="147">
        <f t="shared" si="13"/>
        <v>0</v>
      </c>
      <c r="L150" s="681">
        <f>'F9-Year(n+1)'!U150</f>
        <v>0</v>
      </c>
      <c r="M150" s="681">
        <f>'F9-Year(n+2)'!U150</f>
        <v>0</v>
      </c>
      <c r="N150" s="681">
        <f>'F9-Year(n+3)'!U150</f>
        <v>0</v>
      </c>
      <c r="O150" s="681">
        <f>'F9-Year(n+4)'!U150</f>
        <v>0</v>
      </c>
      <c r="P150" s="681">
        <f>'F9-Year(n+5)'!U150</f>
        <v>0</v>
      </c>
    </row>
    <row r="151" ht="15" spans="3:16">
      <c r="C151" s="55"/>
      <c r="D151" s="55"/>
      <c r="E151" s="147"/>
      <c r="F151" s="752">
        <f>'F9-Year(n-1)'!U151</f>
        <v>0</v>
      </c>
      <c r="G151" s="147"/>
      <c r="H151" s="147"/>
      <c r="I151" s="681">
        <f>SUM('F9-Year(n)'!I150:N150)</f>
        <v>0</v>
      </c>
      <c r="J151" s="681">
        <f>SUM('F9-Year(n)'!O150:T150)</f>
        <v>0</v>
      </c>
      <c r="K151" s="147">
        <f t="shared" si="13"/>
        <v>0</v>
      </c>
      <c r="L151" s="681">
        <f>'F9-Year(n+1)'!U151</f>
        <v>0</v>
      </c>
      <c r="M151" s="681">
        <f>'F9-Year(n+2)'!U151</f>
        <v>0</v>
      </c>
      <c r="N151" s="681">
        <f>'F9-Year(n+3)'!U151</f>
        <v>0</v>
      </c>
      <c r="O151" s="681">
        <f>'F9-Year(n+4)'!U151</f>
        <v>0</v>
      </c>
      <c r="P151" s="681">
        <f>'F9-Year(n+5)'!U151</f>
        <v>0</v>
      </c>
    </row>
    <row r="152" ht="15" spans="3:16">
      <c r="C152" s="44" t="s">
        <v>424</v>
      </c>
      <c r="D152" s="45"/>
      <c r="E152" s="316">
        <f>SUM(E141:E151)</f>
        <v>0</v>
      </c>
      <c r="F152" s="316">
        <f>'F9-Year(n-1)'!U152</f>
        <v>9404.397754</v>
      </c>
      <c r="G152" s="316">
        <f>F152-E152</f>
        <v>9404.397754</v>
      </c>
      <c r="H152" s="316">
        <f>SUM(H141:H151)</f>
        <v>-2627.32</v>
      </c>
      <c r="I152" s="316">
        <f>SUM('F9-Year(n)'!I151:N151)</f>
        <v>4596.0088130725</v>
      </c>
      <c r="J152" s="316">
        <f>SUM('F9-Year(n)'!O151:T151)</f>
        <v>6899.36497681625</v>
      </c>
      <c r="K152" s="316">
        <f t="shared" si="13"/>
        <v>11495.3737898888</v>
      </c>
      <c r="L152" s="316">
        <f>'F9-Year(n+1)'!U152</f>
        <v>626.216811067091</v>
      </c>
      <c r="M152" s="316" t="e">
        <f>'F9-Year(n+2)'!U152</f>
        <v>#REF!</v>
      </c>
      <c r="N152" s="316">
        <f>'F9-Year(n+3)'!U152</f>
        <v>1083.55918595442</v>
      </c>
      <c r="O152" s="316">
        <f>'F9-Year(n+4)'!U152</f>
        <v>2804.31237294256</v>
      </c>
      <c r="P152" s="316">
        <f>'F9-Year(n+5)'!U152</f>
        <v>5523.15009063733</v>
      </c>
    </row>
    <row r="153" ht="15" spans="3:16">
      <c r="C153" s="663" t="s">
        <v>425</v>
      </c>
      <c r="D153" s="676"/>
      <c r="E153" s="147"/>
      <c r="F153" s="147"/>
      <c r="G153" s="147"/>
      <c r="H153" s="119"/>
      <c r="I153" s="147"/>
      <c r="J153" s="147"/>
      <c r="K153" s="147"/>
      <c r="L153" s="147"/>
      <c r="M153" s="147"/>
      <c r="N153" s="147"/>
      <c r="O153" s="147"/>
      <c r="P153" s="147"/>
    </row>
    <row r="154" ht="15" spans="3:16">
      <c r="C154" s="55" t="s">
        <v>426</v>
      </c>
      <c r="D154" s="55" t="s">
        <v>427</v>
      </c>
      <c r="E154" s="147">
        <v>655.47</v>
      </c>
      <c r="F154" s="752">
        <f>'F9-Year(n-1)'!U154</f>
        <v>0</v>
      </c>
      <c r="G154" s="147"/>
      <c r="H154" s="147">
        <v>1271.09</v>
      </c>
      <c r="I154" s="681">
        <f>SUM('F9-Year(n)'!I153:N153)</f>
        <v>0</v>
      </c>
      <c r="J154" s="681">
        <f>SUM('F9-Year(n)'!O153:T153)</f>
        <v>0</v>
      </c>
      <c r="K154" s="147">
        <f t="shared" ref="K154:K156" si="14">I154+J154</f>
        <v>0</v>
      </c>
      <c r="L154" s="681">
        <f>'F9-Year(n+1)'!U154</f>
        <v>1433.10427717261</v>
      </c>
      <c r="M154" s="681" t="e">
        <f>'F9-Year(n+2)'!U154</f>
        <v>#REF!</v>
      </c>
      <c r="N154" s="681">
        <f>'F9-Year(n+3)'!U154</f>
        <v>3452.02836499376</v>
      </c>
      <c r="O154" s="681">
        <f>'F9-Year(n+4)'!U154</f>
        <v>4755.07120066432</v>
      </c>
      <c r="P154" s="681">
        <f>'F9-Year(n+5)'!U154</f>
        <v>5917.72036534168</v>
      </c>
    </row>
    <row r="155" ht="15" spans="3:16">
      <c r="C155" s="55" t="s">
        <v>426</v>
      </c>
      <c r="D155" s="55" t="s">
        <v>428</v>
      </c>
      <c r="E155" s="147">
        <v>-470.13</v>
      </c>
      <c r="F155" s="752">
        <f>'F9-Year(n-1)'!U155</f>
        <v>0</v>
      </c>
      <c r="G155" s="147"/>
      <c r="H155" s="147">
        <v>-137.17</v>
      </c>
      <c r="I155" s="681">
        <f>SUM('F9-Year(n)'!I154:N154)</f>
        <v>0</v>
      </c>
      <c r="J155" s="681">
        <f>SUM('F9-Year(n)'!O154:T154)</f>
        <v>0</v>
      </c>
      <c r="K155" s="147">
        <f t="shared" si="14"/>
        <v>0</v>
      </c>
      <c r="L155" s="681">
        <f>'F9-Year(n+1)'!U155</f>
        <v>0</v>
      </c>
      <c r="M155" s="681">
        <f>'F9-Year(n+2)'!U155</f>
        <v>0</v>
      </c>
      <c r="N155" s="681">
        <f>'F9-Year(n+3)'!U155</f>
        <v>0</v>
      </c>
      <c r="O155" s="681" t="e">
        <f>'F9-Year(n+4)'!U155</f>
        <v>#REF!</v>
      </c>
      <c r="P155" s="681">
        <f>'F9-Year(n+5)'!U155</f>
        <v>0</v>
      </c>
    </row>
    <row r="156" ht="15" spans="3:16">
      <c r="C156" s="44" t="s">
        <v>429</v>
      </c>
      <c r="D156" s="45"/>
      <c r="E156" s="316">
        <f>SUM(E154:E155)</f>
        <v>185.34</v>
      </c>
      <c r="F156" s="316">
        <f>'F9-Year(n-1)'!U156</f>
        <v>0</v>
      </c>
      <c r="G156" s="316">
        <f>F156-E155</f>
        <v>470.13</v>
      </c>
      <c r="H156" s="316">
        <f>SUM(H154:H155)</f>
        <v>1133.92</v>
      </c>
      <c r="I156" s="316">
        <f>SUM('F9-Year(n)'!I155:N155)</f>
        <v>0</v>
      </c>
      <c r="J156" s="316">
        <f>SUM('F9-Year(n)'!O155:T155)</f>
        <v>0</v>
      </c>
      <c r="K156" s="316">
        <f t="shared" si="14"/>
        <v>0</v>
      </c>
      <c r="L156" s="316">
        <f>'F9-Year(n+1)'!U157</f>
        <v>1433.10427717261</v>
      </c>
      <c r="M156" s="316" t="e">
        <f>'F9-Year(n+2)'!U156</f>
        <v>#REF!</v>
      </c>
      <c r="N156" s="316">
        <f>'F9-Year(n+3)'!U156</f>
        <v>3452.02836499376</v>
      </c>
      <c r="O156" s="316" t="e">
        <f>'F9-Year(n+4)'!U156</f>
        <v>#REF!</v>
      </c>
      <c r="P156" s="316">
        <f>'F9-Year(n+5)'!U156</f>
        <v>5917.72036534168</v>
      </c>
    </row>
    <row r="157" ht="15" spans="3:17">
      <c r="C157" s="44" t="s">
        <v>224</v>
      </c>
      <c r="D157" s="45"/>
      <c r="E157" s="316">
        <f>E156+E152+E139+E113+E103+E94+E77+E48+E27</f>
        <v>58272.977165</v>
      </c>
      <c r="F157" s="316" t="e">
        <f t="shared" ref="F157:K157" si="15">F156+F152+F139+F113+F103+F94+F77+F48+F27</f>
        <v>#REF!</v>
      </c>
      <c r="G157" s="316" t="e">
        <f t="shared" si="15"/>
        <v>#REF!</v>
      </c>
      <c r="H157" s="316">
        <f t="shared" si="15"/>
        <v>58995.04039</v>
      </c>
      <c r="I157" s="316">
        <f t="shared" si="15"/>
        <v>48585.3343654228</v>
      </c>
      <c r="J157" s="316">
        <f t="shared" si="15"/>
        <v>54603.6057008078</v>
      </c>
      <c r="K157" s="316">
        <f t="shared" si="15"/>
        <v>103188.940066231</v>
      </c>
      <c r="L157" s="316">
        <f>L156+L152+L139+L113+L103+L94+L48</f>
        <v>88498.0543295037</v>
      </c>
      <c r="M157" s="316" t="e">
        <f>M156+M152+M139+M113+M103+M94+M48</f>
        <v>#REF!</v>
      </c>
      <c r="N157" s="316">
        <f>N156+N152+N139+N113+N103+N94+N48</f>
        <v>95570.3946533421</v>
      </c>
      <c r="O157" s="316" t="e">
        <f>O156+O152+O139+O113+O103+O94+O48</f>
        <v>#REF!</v>
      </c>
      <c r="P157" s="316">
        <f>P156+P152+P139+P113+P103+P94+P48</f>
        <v>106742.190213699</v>
      </c>
      <c r="Q157" s="119"/>
    </row>
    <row r="161" ht="15" spans="4:9">
      <c r="D161" s="11"/>
      <c r="E161" s="11"/>
      <c r="F161" s="11"/>
      <c r="G161" s="11"/>
      <c r="H161" s="11"/>
      <c r="I161" s="11"/>
    </row>
    <row r="162" spans="4:9">
      <c r="D162" s="13"/>
      <c r="E162" s="13"/>
      <c r="F162" s="13"/>
      <c r="G162" s="13"/>
      <c r="H162" s="13"/>
      <c r="I162" s="13"/>
    </row>
    <row r="163" spans="5:9">
      <c r="E163" s="13"/>
      <c r="F163" s="13"/>
      <c r="G163" s="13"/>
      <c r="H163" s="13"/>
      <c r="I163" s="13"/>
    </row>
    <row r="164" spans="5:9">
      <c r="E164" s="13"/>
      <c r="F164" s="13"/>
      <c r="G164" s="13"/>
      <c r="H164" s="13"/>
      <c r="I164" s="13"/>
    </row>
  </sheetData>
  <mergeCells count="32">
    <mergeCell ref="E4:G4"/>
    <mergeCell ref="H4:K4"/>
    <mergeCell ref="L4:P4"/>
    <mergeCell ref="C7:D7"/>
    <mergeCell ref="C8:D8"/>
    <mergeCell ref="C27:D27"/>
    <mergeCell ref="C28:D28"/>
    <mergeCell ref="C47:D47"/>
    <mergeCell ref="C48:D48"/>
    <mergeCell ref="C49:D49"/>
    <mergeCell ref="C50:D50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6:D156"/>
    <mergeCell ref="C157:D157"/>
    <mergeCell ref="C4:C6"/>
    <mergeCell ref="C9:C26"/>
    <mergeCell ref="C29:C46"/>
    <mergeCell ref="C51:C59"/>
    <mergeCell ref="C79:C83"/>
    <mergeCell ref="D4:D6"/>
  </mergeCells>
  <printOptions horizontalCentered="1"/>
  <pageMargins left="0.700694444444445" right="0.700694444444445" top="0.751388888888889" bottom="0.751388888888889" header="0.298611111111111" footer="0.298611111111111"/>
  <pageSetup paperSize="1" scale="94" orientation="portrait"/>
  <headerFooter/>
  <rowBreaks count="3" manualBreakCount="3">
    <brk id="48" max="15" man="1"/>
    <brk id="94" max="15" man="1"/>
    <brk id="139" max="15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B2:U163"/>
  <sheetViews>
    <sheetView showGridLines="0" zoomScale="79" zoomScaleNormal="79" topLeftCell="K1" workbookViewId="0">
      <selection activeCell="S12" sqref="S12"/>
    </sheetView>
  </sheetViews>
  <sheetFormatPr defaultColWidth="9.14285714285714" defaultRowHeight="14.25"/>
  <cols>
    <col min="1" max="1" width="3.14285714285714" style="12" hidden="1" customWidth="1"/>
    <col min="2" max="2" width="8.14285714285714" style="12" hidden="1" customWidth="1"/>
    <col min="3" max="3" width="22.8571428571429" style="12" customWidth="1"/>
    <col min="4" max="4" width="40.1428571428571" style="12" customWidth="1"/>
    <col min="5" max="5" width="24.4285714285714" style="12" customWidth="1"/>
    <col min="6" max="6" width="6.85714285714286" style="12" customWidth="1"/>
    <col min="7" max="7" width="16.4285714285714" style="12" customWidth="1"/>
    <col min="8" max="8" width="16.8571428571429" style="12" customWidth="1"/>
    <col min="9" max="9" width="17" style="12" customWidth="1"/>
    <col min="10" max="20" width="16.5714285714286" style="12" customWidth="1"/>
    <col min="21" max="21" width="17.8571428571429" style="12" customWidth="1"/>
    <col min="22" max="22" width="12.4285714285714" style="12" customWidth="1"/>
    <col min="23" max="23" width="12.8571428571429" style="12" customWidth="1"/>
    <col min="24" max="16384" width="9.14285714285714" style="12"/>
  </cols>
  <sheetData>
    <row r="2" customHeight="1" spans="4:21">
      <c r="D2" s="2" t="s">
        <v>156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customHeight="1" spans="3:21">
      <c r="C3" s="3" t="s">
        <v>430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ht="15" spans="3:21">
      <c r="C4" s="14"/>
      <c r="U4" s="3" t="s">
        <v>236</v>
      </c>
    </row>
    <row r="5" ht="14.1" customHeight="1" spans="3:21">
      <c r="C5" s="16" t="s">
        <v>345</v>
      </c>
      <c r="D5" s="658" t="s">
        <v>346</v>
      </c>
      <c r="E5" s="16" t="s">
        <v>431</v>
      </c>
      <c r="F5" s="16" t="s">
        <v>432</v>
      </c>
      <c r="G5" s="16" t="s">
        <v>433</v>
      </c>
      <c r="H5" s="16" t="s">
        <v>434</v>
      </c>
      <c r="I5" s="135" t="s">
        <v>262</v>
      </c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</row>
    <row r="6" ht="15" spans="3:21">
      <c r="C6" s="535"/>
      <c r="D6" s="660"/>
      <c r="E6" s="309"/>
      <c r="F6" s="309"/>
      <c r="G6" s="309"/>
      <c r="H6" s="309"/>
      <c r="I6" s="135" t="s">
        <v>246</v>
      </c>
      <c r="J6" s="135" t="s">
        <v>247</v>
      </c>
      <c r="K6" s="135" t="s">
        <v>248</v>
      </c>
      <c r="L6" s="135" t="s">
        <v>249</v>
      </c>
      <c r="M6" s="135" t="s">
        <v>250</v>
      </c>
      <c r="N6" s="135" t="s">
        <v>251</v>
      </c>
      <c r="O6" s="135" t="s">
        <v>252</v>
      </c>
      <c r="P6" s="135" t="s">
        <v>253</v>
      </c>
      <c r="Q6" s="135" t="s">
        <v>254</v>
      </c>
      <c r="R6" s="135" t="s">
        <v>255</v>
      </c>
      <c r="S6" s="135" t="s">
        <v>256</v>
      </c>
      <c r="T6" s="135" t="s">
        <v>257</v>
      </c>
      <c r="U6" s="135" t="s">
        <v>97</v>
      </c>
    </row>
    <row r="7" ht="15" spans="2:21">
      <c r="B7" s="656"/>
      <c r="C7" s="663" t="s">
        <v>349</v>
      </c>
      <c r="D7" s="676"/>
      <c r="E7" s="47"/>
      <c r="F7" s="47"/>
      <c r="G7" s="749"/>
      <c r="H7" s="47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</row>
    <row r="8" ht="15" spans="3:21">
      <c r="C8" s="44" t="s">
        <v>350</v>
      </c>
      <c r="D8" s="4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</row>
    <row r="9" customHeight="1" spans="2:21">
      <c r="B9" s="656"/>
      <c r="C9" s="677" t="s">
        <v>351</v>
      </c>
      <c r="D9" s="47" t="s">
        <v>352</v>
      </c>
      <c r="E9" s="752">
        <v>500</v>
      </c>
      <c r="F9" s="752"/>
      <c r="G9" s="752">
        <f t="shared" ref="G9:G16" si="0">E9</f>
        <v>500</v>
      </c>
      <c r="H9" s="752">
        <f t="shared" ref="H9:H16" si="1">G9*0.7055</f>
        <v>352.75</v>
      </c>
      <c r="I9" s="752">
        <f>'[43]F11-Year(n-1)'!E10</f>
        <v>0</v>
      </c>
      <c r="J9" s="752">
        <f>'[43]F11-Year(n-1)'!F10</f>
        <v>0</v>
      </c>
      <c r="K9" s="752">
        <f>'[43]F11-Year(n-1)'!G10</f>
        <v>0</v>
      </c>
      <c r="L9" s="752">
        <f>'[43]F11-Year(n-1)'!H10</f>
        <v>0</v>
      </c>
      <c r="M9" s="752">
        <f>'[43]F11-Year(n-1)'!I10</f>
        <v>0</v>
      </c>
      <c r="N9" s="752">
        <f>'[43]F11-Year(n-1)'!J10</f>
        <v>0</v>
      </c>
      <c r="O9" s="752">
        <f>'[43]F11-Year(n-1)'!K10</f>
        <v>0</v>
      </c>
      <c r="P9" s="752">
        <f>'[43]F11-Year(n-1)'!L10</f>
        <v>0</v>
      </c>
      <c r="Q9" s="752">
        <f>'[43]F11-Year(n-1)'!M10</f>
        <v>0</v>
      </c>
      <c r="R9" s="752">
        <f>'[43]F11-Year(n-1)'!N10</f>
        <v>0</v>
      </c>
      <c r="S9" s="752">
        <f>'[43]F11-Year(n-1)'!O10</f>
        <v>0</v>
      </c>
      <c r="T9" s="752">
        <f>'[43]F11-Year(n-1)'!P10</f>
        <v>0</v>
      </c>
      <c r="U9" s="147">
        <f t="shared" ref="U9:U26" si="2">+SUM(I9:T9)</f>
        <v>0</v>
      </c>
    </row>
    <row r="10" spans="2:21">
      <c r="B10" s="656"/>
      <c r="C10" s="678"/>
      <c r="D10" s="47" t="s">
        <v>353</v>
      </c>
      <c r="E10" s="752">
        <v>500</v>
      </c>
      <c r="F10" s="752"/>
      <c r="G10" s="752">
        <f t="shared" si="0"/>
        <v>500</v>
      </c>
      <c r="H10" s="752">
        <f t="shared" si="1"/>
        <v>352.75</v>
      </c>
      <c r="I10" s="752">
        <f>'[43]F11-Year(n-1)'!E11</f>
        <v>0</v>
      </c>
      <c r="J10" s="752">
        <f>'[43]F11-Year(n-1)'!F11</f>
        <v>0</v>
      </c>
      <c r="K10" s="752">
        <f>'[43]F11-Year(n-1)'!G11</f>
        <v>0</v>
      </c>
      <c r="L10" s="752">
        <f>'[43]F11-Year(n-1)'!H11</f>
        <v>0</v>
      </c>
      <c r="M10" s="752">
        <f>'[43]F11-Year(n-1)'!I11</f>
        <v>0</v>
      </c>
      <c r="N10" s="752">
        <f>'[43]F11-Year(n-1)'!J11</f>
        <v>0</v>
      </c>
      <c r="O10" s="752">
        <f>'[43]F11-Year(n-1)'!K11</f>
        <v>0</v>
      </c>
      <c r="P10" s="752">
        <f>'[43]F11-Year(n-1)'!L11</f>
        <v>0</v>
      </c>
      <c r="Q10" s="752">
        <f>'[43]F11-Year(n-1)'!M11</f>
        <v>0</v>
      </c>
      <c r="R10" s="752">
        <f>'[43]F11-Year(n-1)'!N11</f>
        <v>0</v>
      </c>
      <c r="S10" s="752">
        <f>'[43]F11-Year(n-1)'!O11</f>
        <v>0</v>
      </c>
      <c r="T10" s="752">
        <f>'[43]F11-Year(n-1)'!P11</f>
        <v>0</v>
      </c>
      <c r="U10" s="147">
        <f t="shared" si="2"/>
        <v>0</v>
      </c>
    </row>
    <row r="11" spans="2:21">
      <c r="B11" s="656"/>
      <c r="C11" s="678"/>
      <c r="D11" s="47" t="s">
        <v>354</v>
      </c>
      <c r="E11" s="752">
        <v>800</v>
      </c>
      <c r="F11" s="752"/>
      <c r="G11" s="752">
        <f t="shared" si="0"/>
        <v>800</v>
      </c>
      <c r="H11" s="752">
        <f t="shared" si="1"/>
        <v>564.4</v>
      </c>
      <c r="I11" s="752">
        <f>'[43]F11-Year(n-1)'!E12</f>
        <v>0</v>
      </c>
      <c r="J11" s="752">
        <f>'[43]F11-Year(n-1)'!F12</f>
        <v>0</v>
      </c>
      <c r="K11" s="752">
        <f>'[43]F11-Year(n-1)'!G12</f>
        <v>0</v>
      </c>
      <c r="L11" s="752">
        <f>'[43]F11-Year(n-1)'!H12</f>
        <v>0</v>
      </c>
      <c r="M11" s="752">
        <f>'[43]F11-Year(n-1)'!I12</f>
        <v>0</v>
      </c>
      <c r="N11" s="752">
        <f>'[43]F11-Year(n-1)'!J12</f>
        <v>0</v>
      </c>
      <c r="O11" s="752">
        <f>'[43]F11-Year(n-1)'!K12</f>
        <v>0</v>
      </c>
      <c r="P11" s="752">
        <f>'[43]F11-Year(n-1)'!L12</f>
        <v>0</v>
      </c>
      <c r="Q11" s="752">
        <f>'[43]F11-Year(n-1)'!M12</f>
        <v>0</v>
      </c>
      <c r="R11" s="752">
        <f>'[43]F11-Year(n-1)'!N12</f>
        <v>0</v>
      </c>
      <c r="S11" s="752">
        <f>'[43]F11-Year(n-1)'!O12</f>
        <v>0</v>
      </c>
      <c r="T11" s="752">
        <f>'[43]F11-Year(n-1)'!P12</f>
        <v>0</v>
      </c>
      <c r="U11" s="147">
        <f t="shared" si="2"/>
        <v>0</v>
      </c>
    </row>
    <row r="12" spans="2:21">
      <c r="B12" s="656"/>
      <c r="C12" s="678"/>
      <c r="D12" s="47" t="s">
        <v>355</v>
      </c>
      <c r="E12" s="752">
        <v>62.5</v>
      </c>
      <c r="F12" s="752"/>
      <c r="G12" s="752">
        <f t="shared" si="0"/>
        <v>62.5</v>
      </c>
      <c r="H12" s="752">
        <f t="shared" si="1"/>
        <v>44.09375</v>
      </c>
      <c r="I12" s="752">
        <f>'[43]F11-Year(n-1)'!E13</f>
        <v>0</v>
      </c>
      <c r="J12" s="752">
        <f>'[43]F11-Year(n-1)'!F13</f>
        <v>0</v>
      </c>
      <c r="K12" s="752">
        <f>'[43]F11-Year(n-1)'!G13</f>
        <v>0</v>
      </c>
      <c r="L12" s="752">
        <f>'[43]F11-Year(n-1)'!H13</f>
        <v>0</v>
      </c>
      <c r="M12" s="752">
        <f>'[43]F11-Year(n-1)'!I13</f>
        <v>0</v>
      </c>
      <c r="N12" s="752">
        <f>'[43]F11-Year(n-1)'!J13</f>
        <v>0</v>
      </c>
      <c r="O12" s="752">
        <f>'[43]F11-Year(n-1)'!K13</f>
        <v>0</v>
      </c>
      <c r="P12" s="752">
        <f>'[43]F11-Year(n-1)'!L13</f>
        <v>0</v>
      </c>
      <c r="Q12" s="752">
        <f>'[43]F11-Year(n-1)'!M13</f>
        <v>0</v>
      </c>
      <c r="R12" s="752">
        <f>'[43]F11-Year(n-1)'!N13</f>
        <v>0</v>
      </c>
      <c r="S12" s="752">
        <f>'[43]F11-Year(n-1)'!O13</f>
        <v>0</v>
      </c>
      <c r="T12" s="752">
        <f>'[43]F11-Year(n-1)'!P13</f>
        <v>0</v>
      </c>
      <c r="U12" s="147">
        <f t="shared" si="2"/>
        <v>0</v>
      </c>
    </row>
    <row r="13" spans="2:21">
      <c r="B13" s="656"/>
      <c r="C13" s="678"/>
      <c r="D13" s="47" t="s">
        <v>356</v>
      </c>
      <c r="E13" s="752">
        <v>500</v>
      </c>
      <c r="F13" s="752"/>
      <c r="G13" s="752">
        <f t="shared" si="0"/>
        <v>500</v>
      </c>
      <c r="H13" s="752">
        <f t="shared" si="1"/>
        <v>352.75</v>
      </c>
      <c r="I13" s="752">
        <f>'[43]F11-Year(n-1)'!E14</f>
        <v>0</v>
      </c>
      <c r="J13" s="752">
        <f>'[43]F11-Year(n-1)'!F14</f>
        <v>0</v>
      </c>
      <c r="K13" s="752">
        <f>'[43]F11-Year(n-1)'!G14</f>
        <v>0</v>
      </c>
      <c r="L13" s="752">
        <f>'[43]F11-Year(n-1)'!H14</f>
        <v>0</v>
      </c>
      <c r="M13" s="752">
        <f>'[43]F11-Year(n-1)'!I14</f>
        <v>0</v>
      </c>
      <c r="N13" s="752">
        <f>'[43]F11-Year(n-1)'!J14</f>
        <v>0</v>
      </c>
      <c r="O13" s="752">
        <f>'[43]F11-Year(n-1)'!K14</f>
        <v>0</v>
      </c>
      <c r="P13" s="752">
        <f>'[43]F11-Year(n-1)'!L14</f>
        <v>0</v>
      </c>
      <c r="Q13" s="752">
        <f>'[43]F11-Year(n-1)'!M14</f>
        <v>0</v>
      </c>
      <c r="R13" s="752">
        <f>'[43]F11-Year(n-1)'!N14</f>
        <v>0</v>
      </c>
      <c r="S13" s="752">
        <f>'[43]F11-Year(n-1)'!O14</f>
        <v>0</v>
      </c>
      <c r="T13" s="752">
        <f>'[43]F11-Year(n-1)'!P14</f>
        <v>0</v>
      </c>
      <c r="U13" s="147">
        <f t="shared" si="2"/>
        <v>0</v>
      </c>
    </row>
    <row r="14" spans="2:21">
      <c r="B14" s="656"/>
      <c r="C14" s="678"/>
      <c r="D14" s="47" t="s">
        <v>357</v>
      </c>
      <c r="E14" s="752">
        <v>600</v>
      </c>
      <c r="F14" s="752"/>
      <c r="G14" s="752">
        <f t="shared" si="0"/>
        <v>600</v>
      </c>
      <c r="H14" s="752">
        <f t="shared" si="1"/>
        <v>423.3</v>
      </c>
      <c r="I14" s="752">
        <f>'[43]F11-Year(n-1)'!E15</f>
        <v>0</v>
      </c>
      <c r="J14" s="752">
        <f>'[43]F11-Year(n-1)'!F15</f>
        <v>0</v>
      </c>
      <c r="K14" s="752">
        <f>'[43]F11-Year(n-1)'!G15</f>
        <v>0</v>
      </c>
      <c r="L14" s="752">
        <f>'[43]F11-Year(n-1)'!H15</f>
        <v>0</v>
      </c>
      <c r="M14" s="752">
        <f>'[43]F11-Year(n-1)'!I15</f>
        <v>0</v>
      </c>
      <c r="N14" s="752">
        <f>'[43]F11-Year(n-1)'!J15</f>
        <v>0</v>
      </c>
      <c r="O14" s="752">
        <f>'[43]F11-Year(n-1)'!K15</f>
        <v>0</v>
      </c>
      <c r="P14" s="752">
        <f>'[43]F11-Year(n-1)'!L15</f>
        <v>0</v>
      </c>
      <c r="Q14" s="752">
        <f>'[43]F11-Year(n-1)'!M15</f>
        <v>0</v>
      </c>
      <c r="R14" s="752">
        <f>'[43]F11-Year(n-1)'!N15</f>
        <v>0</v>
      </c>
      <c r="S14" s="752">
        <f>'[43]F11-Year(n-1)'!O15</f>
        <v>0</v>
      </c>
      <c r="T14" s="752">
        <f>'[43]F11-Year(n-1)'!P15</f>
        <v>0</v>
      </c>
      <c r="U14" s="147">
        <f t="shared" si="2"/>
        <v>0</v>
      </c>
    </row>
    <row r="15" spans="2:21">
      <c r="B15" s="656"/>
      <c r="C15" s="678"/>
      <c r="D15" s="47" t="s">
        <v>358</v>
      </c>
      <c r="E15" s="752">
        <v>1080</v>
      </c>
      <c r="F15" s="752"/>
      <c r="G15" s="752">
        <f t="shared" si="0"/>
        <v>1080</v>
      </c>
      <c r="H15" s="752">
        <f t="shared" si="1"/>
        <v>761.94</v>
      </c>
      <c r="I15" s="752">
        <f>'[43]F11-Year(n-1)'!E16</f>
        <v>0</v>
      </c>
      <c r="J15" s="752">
        <f>'[43]F11-Year(n-1)'!F16</f>
        <v>0</v>
      </c>
      <c r="K15" s="752">
        <f>'[43]F11-Year(n-1)'!G16</f>
        <v>0</v>
      </c>
      <c r="L15" s="752">
        <f>'[43]F11-Year(n-1)'!H16</f>
        <v>0</v>
      </c>
      <c r="M15" s="752">
        <f>'[43]F11-Year(n-1)'!I16</f>
        <v>0</v>
      </c>
      <c r="N15" s="752">
        <f>'[43]F11-Year(n-1)'!J16</f>
        <v>0</v>
      </c>
      <c r="O15" s="752">
        <f>'[43]F11-Year(n-1)'!K16</f>
        <v>0</v>
      </c>
      <c r="P15" s="752">
        <f>'[43]F11-Year(n-1)'!L16</f>
        <v>0</v>
      </c>
      <c r="Q15" s="752">
        <f>'[43]F11-Year(n-1)'!M16</f>
        <v>0</v>
      </c>
      <c r="R15" s="752">
        <f>'[43]F11-Year(n-1)'!N16</f>
        <v>0</v>
      </c>
      <c r="S15" s="752">
        <f>'[43]F11-Year(n-1)'!O16</f>
        <v>0</v>
      </c>
      <c r="T15" s="752">
        <f>'[43]F11-Year(n-1)'!P16</f>
        <v>0</v>
      </c>
      <c r="U15" s="147">
        <f t="shared" si="2"/>
        <v>0</v>
      </c>
    </row>
    <row r="16" spans="2:21">
      <c r="B16" s="656"/>
      <c r="C16" s="678"/>
      <c r="D16" s="47" t="s">
        <v>359</v>
      </c>
      <c r="E16" s="752">
        <v>1600</v>
      </c>
      <c r="F16" s="752"/>
      <c r="G16" s="752">
        <f t="shared" si="0"/>
        <v>1600</v>
      </c>
      <c r="H16" s="752">
        <f t="shared" si="1"/>
        <v>1128.8</v>
      </c>
      <c r="I16" s="752" t="e">
        <f>'[43]F11-Year(n-1)'!E17</f>
        <v>#REF!</v>
      </c>
      <c r="J16" s="752" t="e">
        <f>'[43]F11-Year(n-1)'!F17</f>
        <v>#REF!</v>
      </c>
      <c r="K16" s="752" t="e">
        <f>'[43]F11-Year(n-1)'!G17</f>
        <v>#REF!</v>
      </c>
      <c r="L16" s="752" t="e">
        <f>'[43]F11-Year(n-1)'!H17</f>
        <v>#REF!</v>
      </c>
      <c r="M16" s="752" t="e">
        <f>'[43]F11-Year(n-1)'!I17</f>
        <v>#REF!</v>
      </c>
      <c r="N16" s="752" t="e">
        <f>'[43]F11-Year(n-1)'!J17</f>
        <v>#REF!</v>
      </c>
      <c r="O16" s="752" t="e">
        <f>'[43]F11-Year(n-1)'!K17</f>
        <v>#REF!</v>
      </c>
      <c r="P16" s="752" t="e">
        <f>'[43]F11-Year(n-1)'!L17</f>
        <v>#REF!</v>
      </c>
      <c r="Q16" s="752" t="e">
        <f>'[43]F11-Year(n-1)'!M17</f>
        <v>#REF!</v>
      </c>
      <c r="R16" s="752" t="e">
        <f>'[43]F11-Year(n-1)'!N17</f>
        <v>#REF!</v>
      </c>
      <c r="S16" s="752" t="e">
        <f>'[43]F11-Year(n-1)'!O17</f>
        <v>#REF!</v>
      </c>
      <c r="T16" s="752" t="e">
        <f>'[43]F11-Year(n-1)'!P17</f>
        <v>#REF!</v>
      </c>
      <c r="U16" s="147" t="e">
        <f t="shared" si="2"/>
        <v>#REF!</v>
      </c>
    </row>
    <row r="17" spans="2:21">
      <c r="B17" s="656"/>
      <c r="C17" s="678"/>
      <c r="D17" s="47"/>
      <c r="E17" s="752"/>
      <c r="F17" s="752"/>
      <c r="G17" s="752"/>
      <c r="H17" s="752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>
        <f t="shared" si="2"/>
        <v>0</v>
      </c>
    </row>
    <row r="18" spans="2:21">
      <c r="B18" s="656"/>
      <c r="C18" s="678"/>
      <c r="D18" s="47"/>
      <c r="E18" s="752"/>
      <c r="F18" s="752"/>
      <c r="G18" s="752"/>
      <c r="H18" s="752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>
        <f t="shared" si="2"/>
        <v>0</v>
      </c>
    </row>
    <row r="19" spans="2:21">
      <c r="B19" s="656"/>
      <c r="C19" s="678"/>
      <c r="D19" s="47"/>
      <c r="E19" s="752"/>
      <c r="F19" s="752"/>
      <c r="G19" s="752"/>
      <c r="H19" s="752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>
        <f t="shared" si="2"/>
        <v>0</v>
      </c>
    </row>
    <row r="20" spans="2:21">
      <c r="B20" s="656"/>
      <c r="C20" s="678"/>
      <c r="D20" s="47"/>
      <c r="E20" s="752"/>
      <c r="F20" s="752"/>
      <c r="G20" s="752"/>
      <c r="H20" s="752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>
        <f t="shared" si="2"/>
        <v>0</v>
      </c>
    </row>
    <row r="21" spans="2:21">
      <c r="B21" s="656"/>
      <c r="C21" s="678"/>
      <c r="D21" s="47"/>
      <c r="E21" s="752"/>
      <c r="F21" s="752"/>
      <c r="G21" s="752"/>
      <c r="H21" s="752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>
        <f t="shared" si="2"/>
        <v>0</v>
      </c>
    </row>
    <row r="22" spans="2:21">
      <c r="B22" s="656"/>
      <c r="C22" s="678"/>
      <c r="D22" s="47"/>
      <c r="E22" s="752"/>
      <c r="F22" s="752"/>
      <c r="G22" s="752"/>
      <c r="H22" s="752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>
        <f t="shared" si="2"/>
        <v>0</v>
      </c>
    </row>
    <row r="23" spans="2:21">
      <c r="B23" s="656"/>
      <c r="C23" s="678"/>
      <c r="D23" s="47"/>
      <c r="E23" s="752"/>
      <c r="F23" s="752"/>
      <c r="G23" s="752"/>
      <c r="H23" s="752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>
        <f t="shared" si="2"/>
        <v>0</v>
      </c>
    </row>
    <row r="24" spans="2:21">
      <c r="B24" s="656"/>
      <c r="C24" s="678"/>
      <c r="D24" s="47"/>
      <c r="E24" s="752"/>
      <c r="F24" s="752"/>
      <c r="G24" s="752"/>
      <c r="H24" s="752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>
        <f t="shared" si="2"/>
        <v>0</v>
      </c>
    </row>
    <row r="25" spans="2:21">
      <c r="B25" s="656"/>
      <c r="C25" s="678"/>
      <c r="D25" s="47"/>
      <c r="E25" s="752"/>
      <c r="F25" s="752"/>
      <c r="G25" s="752"/>
      <c r="H25" s="752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>
        <f t="shared" si="2"/>
        <v>0</v>
      </c>
    </row>
    <row r="26" spans="2:21">
      <c r="B26" s="656"/>
      <c r="C26" s="680"/>
      <c r="D26" s="47"/>
      <c r="E26" s="752"/>
      <c r="F26" s="752"/>
      <c r="G26" s="752"/>
      <c r="H26" s="752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>
        <f t="shared" si="2"/>
        <v>0</v>
      </c>
    </row>
    <row r="27" ht="15" spans="3:21">
      <c r="C27" s="537" t="s">
        <v>211</v>
      </c>
      <c r="D27" s="540"/>
      <c r="E27" s="147">
        <f t="shared" ref="E27:T27" si="3">SUM(E9:E26)</f>
        <v>5642.5</v>
      </c>
      <c r="F27" s="147">
        <f t="shared" si="3"/>
        <v>0</v>
      </c>
      <c r="G27" s="147">
        <f t="shared" si="3"/>
        <v>5642.5</v>
      </c>
      <c r="H27" s="147">
        <f t="shared" si="3"/>
        <v>3980.78375</v>
      </c>
      <c r="I27" s="147" t="e">
        <f t="shared" si="3"/>
        <v>#REF!</v>
      </c>
      <c r="J27" s="147" t="e">
        <f t="shared" si="3"/>
        <v>#REF!</v>
      </c>
      <c r="K27" s="147" t="e">
        <f t="shared" si="3"/>
        <v>#REF!</v>
      </c>
      <c r="L27" s="147" t="e">
        <f t="shared" si="3"/>
        <v>#REF!</v>
      </c>
      <c r="M27" s="147" t="e">
        <f t="shared" si="3"/>
        <v>#REF!</v>
      </c>
      <c r="N27" s="147" t="e">
        <f t="shared" si="3"/>
        <v>#REF!</v>
      </c>
      <c r="O27" s="147" t="e">
        <f t="shared" si="3"/>
        <v>#REF!</v>
      </c>
      <c r="P27" s="147" t="e">
        <f t="shared" si="3"/>
        <v>#REF!</v>
      </c>
      <c r="Q27" s="147" t="e">
        <f t="shared" si="3"/>
        <v>#REF!</v>
      </c>
      <c r="R27" s="147" t="e">
        <f t="shared" si="3"/>
        <v>#REF!</v>
      </c>
      <c r="S27" s="147" t="e">
        <f t="shared" si="3"/>
        <v>#REF!</v>
      </c>
      <c r="T27" s="147" t="e">
        <f t="shared" si="3"/>
        <v>#REF!</v>
      </c>
      <c r="U27" s="316" t="e">
        <f>SUM(I27:T27)</f>
        <v>#REF!</v>
      </c>
    </row>
    <row r="28" ht="15" spans="3:21">
      <c r="C28" s="44" t="s">
        <v>360</v>
      </c>
      <c r="D28" s="45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</row>
    <row r="29" spans="3:21">
      <c r="C29" s="682" t="s">
        <v>351</v>
      </c>
      <c r="D29" s="55" t="s">
        <v>361</v>
      </c>
      <c r="E29" s="147">
        <f>[44]Capacity!F20</f>
        <v>234</v>
      </c>
      <c r="F29" s="147"/>
      <c r="G29" s="147">
        <f>[44]Capacity!$H$20</f>
        <v>117</v>
      </c>
      <c r="H29" s="147">
        <f t="shared" ref="H29:H36" si="4">G29*70.55/100</f>
        <v>82.5435</v>
      </c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>
        <f t="shared" ref="U29:U46" si="5">+SUM(I29:T29)</f>
        <v>0</v>
      </c>
    </row>
    <row r="30" spans="3:21">
      <c r="C30" s="683"/>
      <c r="D30" s="55" t="s">
        <v>362</v>
      </c>
      <c r="E30" s="147">
        <f>[44]Capacity!$F$21+[44]Capacity!$F$22</f>
        <v>875.6</v>
      </c>
      <c r="F30" s="147"/>
      <c r="G30" s="147">
        <f>[44]Capacity!$H$21+[44]Capacity!$H$22</f>
        <v>875.6</v>
      </c>
      <c r="H30" s="147">
        <f t="shared" si="4"/>
        <v>617.7358</v>
      </c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>
        <f t="shared" si="5"/>
        <v>0</v>
      </c>
    </row>
    <row r="31" spans="3:21">
      <c r="C31" s="683"/>
      <c r="D31" s="55" t="s">
        <v>363</v>
      </c>
      <c r="E31" s="147">
        <f>[44]Capacity!F23</f>
        <v>900</v>
      </c>
      <c r="F31" s="147"/>
      <c r="G31" s="147">
        <f>[44]Capacity!H23</f>
        <v>900</v>
      </c>
      <c r="H31" s="147">
        <f t="shared" si="4"/>
        <v>634.95</v>
      </c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>
        <f t="shared" si="5"/>
        <v>0</v>
      </c>
    </row>
    <row r="32" spans="3:21">
      <c r="C32" s="683"/>
      <c r="D32" s="55" t="s">
        <v>364</v>
      </c>
      <c r="E32" s="147">
        <f>[44]Capacity!F24</f>
        <v>240</v>
      </c>
      <c r="F32" s="147"/>
      <c r="G32" s="147">
        <f>[44]Capacity!H24</f>
        <v>240</v>
      </c>
      <c r="H32" s="147">
        <f t="shared" si="4"/>
        <v>169.32</v>
      </c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>
        <f t="shared" si="5"/>
        <v>0</v>
      </c>
    </row>
    <row r="33" spans="3:21">
      <c r="C33" s="683"/>
      <c r="D33" s="55" t="s">
        <v>365</v>
      </c>
      <c r="E33" s="147">
        <f>[44]Capacity!F25</f>
        <v>120</v>
      </c>
      <c r="F33" s="147"/>
      <c r="G33" s="147">
        <f>[44]Capacity!H25</f>
        <v>120</v>
      </c>
      <c r="H33" s="147">
        <f t="shared" si="4"/>
        <v>84.66</v>
      </c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>
        <f t="shared" si="5"/>
        <v>0</v>
      </c>
    </row>
    <row r="34" spans="3:21">
      <c r="C34" s="683"/>
      <c r="D34" s="55" t="s">
        <v>366</v>
      </c>
      <c r="E34" s="147">
        <f>[44]Capacity!F26</f>
        <v>9</v>
      </c>
      <c r="F34" s="147"/>
      <c r="G34" s="147">
        <f>[44]Capacity!H26</f>
        <v>9</v>
      </c>
      <c r="H34" s="147">
        <f t="shared" si="4"/>
        <v>6.3495</v>
      </c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>
        <f t="shared" si="5"/>
        <v>0</v>
      </c>
    </row>
    <row r="35" spans="3:21">
      <c r="C35" s="683"/>
      <c r="D35" s="55" t="s">
        <v>367</v>
      </c>
      <c r="E35" s="147">
        <f>[44]Capacity!F27</f>
        <v>54</v>
      </c>
      <c r="F35" s="147"/>
      <c r="G35" s="147">
        <f>[44]Capacity!H27</f>
        <v>54</v>
      </c>
      <c r="H35" s="147">
        <f t="shared" si="4"/>
        <v>38.097</v>
      </c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>
        <f t="shared" si="5"/>
        <v>0</v>
      </c>
    </row>
    <row r="36" spans="3:21">
      <c r="C36" s="683"/>
      <c r="D36" s="55" t="s">
        <v>368</v>
      </c>
      <c r="E36" s="147">
        <f>[44]Capacity!F28</f>
        <v>9.16</v>
      </c>
      <c r="F36" s="147"/>
      <c r="G36" s="147">
        <f>[44]Capacity!H28</f>
        <v>9.16</v>
      </c>
      <c r="H36" s="147">
        <f t="shared" si="4"/>
        <v>6.46238</v>
      </c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>
        <f t="shared" si="5"/>
        <v>0</v>
      </c>
    </row>
    <row r="37" spans="3:21">
      <c r="C37" s="683"/>
      <c r="D37" s="55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>
        <f t="shared" si="5"/>
        <v>0</v>
      </c>
    </row>
    <row r="38" spans="3:21">
      <c r="C38" s="683"/>
      <c r="D38" s="55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>
        <f t="shared" si="5"/>
        <v>0</v>
      </c>
    </row>
    <row r="39" spans="3:21">
      <c r="C39" s="683"/>
      <c r="D39" s="55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>
        <f t="shared" si="5"/>
        <v>0</v>
      </c>
    </row>
    <row r="40" spans="3:21">
      <c r="C40" s="683"/>
      <c r="D40" s="55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>
        <f t="shared" si="5"/>
        <v>0</v>
      </c>
    </row>
    <row r="41" spans="3:21">
      <c r="C41" s="683"/>
      <c r="D41" s="55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>
        <f t="shared" si="5"/>
        <v>0</v>
      </c>
    </row>
    <row r="42" spans="3:21">
      <c r="C42" s="683"/>
      <c r="D42" s="55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>
        <f t="shared" si="5"/>
        <v>0</v>
      </c>
    </row>
    <row r="43" spans="3:21">
      <c r="C43" s="683"/>
      <c r="D43" s="55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>
        <f t="shared" si="5"/>
        <v>0</v>
      </c>
    </row>
    <row r="44" spans="3:21">
      <c r="C44" s="683"/>
      <c r="D44" s="55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>
        <f t="shared" si="5"/>
        <v>0</v>
      </c>
    </row>
    <row r="45" spans="3:21">
      <c r="C45" s="683"/>
      <c r="D45" s="55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>
        <f t="shared" si="5"/>
        <v>0</v>
      </c>
    </row>
    <row r="46" spans="3:21">
      <c r="C46" s="684"/>
      <c r="D46" s="6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>
        <f t="shared" si="5"/>
        <v>0</v>
      </c>
    </row>
    <row r="47" ht="15" spans="3:21">
      <c r="C47" s="537" t="s">
        <v>211</v>
      </c>
      <c r="D47" s="540"/>
      <c r="E47" s="147">
        <f>SUM(E29:E46)</f>
        <v>2441.76</v>
      </c>
      <c r="F47" s="147">
        <f>SUM(F29:F46)</f>
        <v>0</v>
      </c>
      <c r="G47" s="147">
        <f>SUM(G29:G46)</f>
        <v>2324.76</v>
      </c>
      <c r="H47" s="147">
        <f>SUM(H29:H46)</f>
        <v>1640.11818</v>
      </c>
      <c r="I47" s="147">
        <f>'[43]F11-Year(n-1)'!E48</f>
        <v>0</v>
      </c>
      <c r="J47" s="147">
        <f>'[43]F11-Year(n-1)'!F48</f>
        <v>0</v>
      </c>
      <c r="K47" s="147">
        <f>'[43]F11-Year(n-1)'!G48</f>
        <v>0</v>
      </c>
      <c r="L47" s="147">
        <f>'[43]F11-Year(n-1)'!H48</f>
        <v>0</v>
      </c>
      <c r="M47" s="147">
        <f>'[43]F11-Year(n-1)'!I48</f>
        <v>0</v>
      </c>
      <c r="N47" s="147">
        <f>'[43]F11-Year(n-1)'!J48</f>
        <v>0</v>
      </c>
      <c r="O47" s="147">
        <f>'[43]F11-Year(n-1)'!K48</f>
        <v>0</v>
      </c>
      <c r="P47" s="147">
        <f>'[43]F11-Year(n-1)'!L48</f>
        <v>0</v>
      </c>
      <c r="Q47" s="147">
        <f>'[43]F11-Year(n-1)'!M48</f>
        <v>0</v>
      </c>
      <c r="R47" s="147">
        <f>'[43]F11-Year(n-1)'!N48</f>
        <v>0</v>
      </c>
      <c r="S47" s="147">
        <f>'[43]F11-Year(n-1)'!O48</f>
        <v>0</v>
      </c>
      <c r="T47" s="147">
        <f>'[43]F11-Year(n-1)'!P48</f>
        <v>0</v>
      </c>
      <c r="U47" s="316">
        <f>SUM(I47:T47)</f>
        <v>0</v>
      </c>
    </row>
    <row r="48" ht="15" spans="3:21">
      <c r="C48" s="44" t="s">
        <v>369</v>
      </c>
      <c r="D48" s="45"/>
      <c r="E48" s="147">
        <f t="shared" ref="E48:U48" si="6">E27+E47</f>
        <v>8084.26</v>
      </c>
      <c r="F48" s="147">
        <f t="shared" si="6"/>
        <v>0</v>
      </c>
      <c r="G48" s="147">
        <f t="shared" si="6"/>
        <v>7967.26</v>
      </c>
      <c r="H48" s="147">
        <f t="shared" si="6"/>
        <v>5620.90193</v>
      </c>
      <c r="I48" s="147" t="e">
        <f t="shared" si="6"/>
        <v>#REF!</v>
      </c>
      <c r="J48" s="147" t="e">
        <f t="shared" si="6"/>
        <v>#REF!</v>
      </c>
      <c r="K48" s="147" t="e">
        <f t="shared" si="6"/>
        <v>#REF!</v>
      </c>
      <c r="L48" s="147" t="e">
        <f t="shared" si="6"/>
        <v>#REF!</v>
      </c>
      <c r="M48" s="147" t="e">
        <f t="shared" si="6"/>
        <v>#REF!</v>
      </c>
      <c r="N48" s="147" t="e">
        <f t="shared" si="6"/>
        <v>#REF!</v>
      </c>
      <c r="O48" s="147" t="e">
        <f t="shared" si="6"/>
        <v>#REF!</v>
      </c>
      <c r="P48" s="147" t="e">
        <f t="shared" si="6"/>
        <v>#REF!</v>
      </c>
      <c r="Q48" s="147" t="e">
        <f t="shared" si="6"/>
        <v>#REF!</v>
      </c>
      <c r="R48" s="147" t="e">
        <f t="shared" si="6"/>
        <v>#REF!</v>
      </c>
      <c r="S48" s="147" t="e">
        <f t="shared" si="6"/>
        <v>#REF!</v>
      </c>
      <c r="T48" s="147" t="e">
        <f t="shared" si="6"/>
        <v>#REF!</v>
      </c>
      <c r="U48" s="316" t="e">
        <f t="shared" si="6"/>
        <v>#REF!</v>
      </c>
    </row>
    <row r="49" ht="15" spans="3:21">
      <c r="C49" s="663" t="s">
        <v>370</v>
      </c>
      <c r="D49" s="676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</row>
    <row r="50" ht="15" spans="3:21">
      <c r="C50" s="44" t="s">
        <v>350</v>
      </c>
      <c r="D50" s="45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</row>
    <row r="51" spans="3:21">
      <c r="C51" s="682" t="s">
        <v>371</v>
      </c>
      <c r="D51" s="55" t="s">
        <v>372</v>
      </c>
      <c r="E51" s="147">
        <f>[44]Capacity!F31</f>
        <v>2100</v>
      </c>
      <c r="F51" s="147"/>
      <c r="G51" s="147">
        <f>[44]Capacity!H31</f>
        <v>358.68</v>
      </c>
      <c r="H51" s="147">
        <f t="shared" ref="H51:H62" si="7">G51*70.55/100</f>
        <v>253.04874</v>
      </c>
      <c r="I51" s="147">
        <f>'[43]F11-Year(n-1)'!E52</f>
        <v>148.5699179545</v>
      </c>
      <c r="J51" s="147">
        <f>'[43]F11-Year(n-1)'!F52</f>
        <v>154.471634988</v>
      </c>
      <c r="K51" s="147">
        <f>'[43]F11-Year(n-1)'!G52</f>
        <v>162.578766892</v>
      </c>
      <c r="L51" s="147">
        <f>'[43]F11-Year(n-1)'!H52</f>
        <v>131.087429709</v>
      </c>
      <c r="M51" s="147">
        <f>'[43]F11-Year(n-1)'!I52</f>
        <v>87.5032009805</v>
      </c>
      <c r="N51" s="147">
        <f>'[43]F11-Year(n-1)'!J52</f>
        <v>76.676289677</v>
      </c>
      <c r="O51" s="147">
        <f>'[43]F11-Year(n-1)'!K52</f>
        <v>45.1976578435</v>
      </c>
      <c r="P51" s="147">
        <f>'[43]F11-Year(n-1)'!L52</f>
        <v>50.178288187</v>
      </c>
      <c r="Q51" s="147">
        <f>'[43]F11-Year(n-1)'!M52</f>
        <v>78.838364977</v>
      </c>
      <c r="R51" s="147">
        <f>'[43]F11-Year(n-1)'!N52</f>
        <v>120.2238394605</v>
      </c>
      <c r="S51" s="147">
        <f>'[43]F11-Year(n-1)'!O52</f>
        <v>167.5066230135</v>
      </c>
      <c r="T51" s="147">
        <f>'[43]F11-Year(n-1)'!P52</f>
        <v>176.6125679535</v>
      </c>
      <c r="U51" s="147">
        <f t="shared" ref="U51:U76" si="8">+SUM(I51:T51)</f>
        <v>1399.444581636</v>
      </c>
    </row>
    <row r="52" spans="3:21">
      <c r="C52" s="683"/>
      <c r="D52" s="55" t="s">
        <v>373</v>
      </c>
      <c r="E52" s="147">
        <f>[44]Capacity!F32</f>
        <v>500</v>
      </c>
      <c r="F52" s="147"/>
      <c r="G52" s="147">
        <f>[44]Capacity!H32</f>
        <v>89.85</v>
      </c>
      <c r="H52" s="147">
        <f t="shared" si="7"/>
        <v>63.389175</v>
      </c>
      <c r="I52" s="147">
        <f>'[43]F11-Year(n-1)'!E53</f>
        <v>42.0512788205</v>
      </c>
      <c r="J52" s="147">
        <f>'[43]F11-Year(n-1)'!F53</f>
        <v>42.27460414</v>
      </c>
      <c r="K52" s="147">
        <f>'[43]F11-Year(n-1)'!G53</f>
        <v>15.603495526</v>
      </c>
      <c r="L52" s="147">
        <f>'[43]F11-Year(n-1)'!H53</f>
        <v>0</v>
      </c>
      <c r="M52" s="147">
        <f>'[43]F11-Year(n-1)'!I53</f>
        <v>17.503212308</v>
      </c>
      <c r="N52" s="147">
        <f>'[43]F11-Year(n-1)'!J53</f>
        <v>26.207914</v>
      </c>
      <c r="O52" s="147">
        <f>'[43]F11-Year(n-1)'!K53</f>
        <v>17.506200806</v>
      </c>
      <c r="P52" s="147">
        <f>'[43]F11-Year(n-1)'!L53</f>
        <v>19.988972419</v>
      </c>
      <c r="Q52" s="147">
        <f>'[43]F11-Year(n-1)'!M53</f>
        <v>29.554020073</v>
      </c>
      <c r="R52" s="147">
        <f>'[43]F11-Year(n-1)'!N53</f>
        <v>37.6198456575</v>
      </c>
      <c r="S52" s="147">
        <f>'[43]F11-Year(n-1)'!O53</f>
        <v>43.740909696</v>
      </c>
      <c r="T52" s="147">
        <f>'[43]F11-Year(n-1)'!P53</f>
        <v>41.7129294865</v>
      </c>
      <c r="U52" s="147">
        <f t="shared" si="8"/>
        <v>333.7633829325</v>
      </c>
    </row>
    <row r="53" spans="3:21">
      <c r="C53" s="683"/>
      <c r="D53" s="55" t="s">
        <v>374</v>
      </c>
      <c r="E53" s="147">
        <f>[44]Capacity!F33</f>
        <v>2000</v>
      </c>
      <c r="F53" s="147"/>
      <c r="G53" s="147">
        <f>[44]Capacity!H33</f>
        <v>219.2</v>
      </c>
      <c r="H53" s="147">
        <f t="shared" si="7"/>
        <v>154.6456</v>
      </c>
      <c r="I53" s="147">
        <f>'[43]F11-Year(n-1)'!E54</f>
        <v>99.075872347</v>
      </c>
      <c r="J53" s="147">
        <f>'[43]F11-Year(n-1)'!F54</f>
        <v>116.2879763065</v>
      </c>
      <c r="K53" s="147">
        <f>'[43]F11-Year(n-1)'!G54</f>
        <v>110.761866062</v>
      </c>
      <c r="L53" s="147">
        <f>'[43]F11-Year(n-1)'!H54</f>
        <v>130.1447102725</v>
      </c>
      <c r="M53" s="147">
        <f>'[43]F11-Year(n-1)'!I54</f>
        <v>110.6141858635</v>
      </c>
      <c r="N53" s="147">
        <f>'[43]F11-Year(n-1)'!J54</f>
        <v>103.9369133855</v>
      </c>
      <c r="O53" s="147">
        <f>'[43]F11-Year(n-1)'!K54</f>
        <v>92.5435130965</v>
      </c>
      <c r="P53" s="147">
        <f>'[43]F11-Year(n-1)'!L54</f>
        <v>76.144383596</v>
      </c>
      <c r="Q53" s="147">
        <f>'[43]F11-Year(n-1)'!M54</f>
        <v>87.2588595215</v>
      </c>
      <c r="R53" s="147">
        <f>'[43]F11-Year(n-1)'!N54</f>
        <v>87.6373715595</v>
      </c>
      <c r="S53" s="147">
        <f>'[43]F11-Year(n-1)'!O54</f>
        <v>89.213373194</v>
      </c>
      <c r="T53" s="147">
        <f>'[43]F11-Year(n-1)'!P54</f>
        <v>103.585308412</v>
      </c>
      <c r="U53" s="147">
        <f t="shared" si="8"/>
        <v>1207.2043336165</v>
      </c>
    </row>
    <row r="54" spans="3:21">
      <c r="C54" s="683"/>
      <c r="D54" s="55" t="s">
        <v>375</v>
      </c>
      <c r="E54" s="147">
        <f>[44]Capacity!F34</f>
        <v>1000</v>
      </c>
      <c r="F54" s="147"/>
      <c r="G54" s="147">
        <f>[44]Capacity!H34</f>
        <v>538.9</v>
      </c>
      <c r="H54" s="147">
        <f t="shared" si="7"/>
        <v>380.19395</v>
      </c>
      <c r="I54" s="147">
        <f>'[43]F11-Year(n-1)'!E55</f>
        <v>246.1825861235</v>
      </c>
      <c r="J54" s="147">
        <f>'[43]F11-Year(n-1)'!F55</f>
        <v>232.7327125965</v>
      </c>
      <c r="K54" s="147">
        <f>'[43]F11-Year(n-1)'!G55</f>
        <v>232.3356854165</v>
      </c>
      <c r="L54" s="147">
        <f>'[43]F11-Year(n-1)'!H55</f>
        <v>202.3215354215</v>
      </c>
      <c r="M54" s="147">
        <f>'[43]F11-Year(n-1)'!I55</f>
        <v>174.12595066</v>
      </c>
      <c r="N54" s="147">
        <f>'[43]F11-Year(n-1)'!J55</f>
        <v>169.49003961</v>
      </c>
      <c r="O54" s="147">
        <f>'[43]F11-Year(n-1)'!K55</f>
        <v>19.9855542715</v>
      </c>
      <c r="P54" s="147">
        <f>'[43]F11-Year(n-1)'!L55</f>
        <v>27.7361716275</v>
      </c>
      <c r="Q54" s="147">
        <f>'[43]F11-Year(n-1)'!M55</f>
        <v>219.1578301135</v>
      </c>
      <c r="R54" s="147">
        <f>'[43]F11-Year(n-1)'!N55</f>
        <v>258.6100363515</v>
      </c>
      <c r="S54" s="147">
        <f>'[43]F11-Year(n-1)'!O55</f>
        <v>234.492638081</v>
      </c>
      <c r="T54" s="147">
        <f>'[43]F11-Year(n-1)'!P55</f>
        <v>254.71647145</v>
      </c>
      <c r="U54" s="147">
        <f t="shared" si="8"/>
        <v>2271.887211723</v>
      </c>
    </row>
    <row r="55" spans="3:21">
      <c r="C55" s="683"/>
      <c r="D55" s="55" t="s">
        <v>376</v>
      </c>
      <c r="E55" s="147">
        <f>[44]Capacity!F35</f>
        <v>1000</v>
      </c>
      <c r="F55" s="147"/>
      <c r="G55" s="147">
        <f>[44]Capacity!H35</f>
        <v>247</v>
      </c>
      <c r="H55" s="147">
        <f t="shared" si="7"/>
        <v>174.2585</v>
      </c>
      <c r="I55" s="147">
        <f>'[43]F11-Year(n-1)'!E56</f>
        <v>113.3320427755</v>
      </c>
      <c r="J55" s="147">
        <f>'[43]F11-Year(n-1)'!F56</f>
        <v>92.7786760005</v>
      </c>
      <c r="K55" s="147">
        <f>'[43]F11-Year(n-1)'!G56</f>
        <v>55.695893629</v>
      </c>
      <c r="L55" s="147">
        <f>'[43]F11-Year(n-1)'!H56</f>
        <v>77.308021186</v>
      </c>
      <c r="M55" s="147">
        <f>'[43]F11-Year(n-1)'!I56</f>
        <v>83.9169187205</v>
      </c>
      <c r="N55" s="147">
        <f>'[43]F11-Year(n-1)'!J56</f>
        <v>63.0921644385</v>
      </c>
      <c r="O55" s="147">
        <f>'[43]F11-Year(n-1)'!K56</f>
        <v>55.4765600285</v>
      </c>
      <c r="P55" s="147">
        <f>'[43]F11-Year(n-1)'!L56</f>
        <v>72.7007873</v>
      </c>
      <c r="Q55" s="147">
        <f>'[43]F11-Year(n-1)'!M56</f>
        <v>108.2624552315</v>
      </c>
      <c r="R55" s="147">
        <f>'[43]F11-Year(n-1)'!N56</f>
        <v>116.6587814625</v>
      </c>
      <c r="S55" s="147">
        <f>'[43]F11-Year(n-1)'!O56</f>
        <v>113.6276063565</v>
      </c>
      <c r="T55" s="147">
        <f>'[43]F11-Year(n-1)'!P56</f>
        <v>131.0262466325</v>
      </c>
      <c r="U55" s="147">
        <f t="shared" si="8"/>
        <v>1083.8761537615</v>
      </c>
    </row>
    <row r="56" spans="3:21">
      <c r="C56" s="683"/>
      <c r="D56" s="55" t="s">
        <v>377</v>
      </c>
      <c r="E56" s="147">
        <f>[44]Capacity!F36</f>
        <v>2400</v>
      </c>
      <c r="F56" s="147"/>
      <c r="G56" s="147">
        <f>[44]Capacity!H36</f>
        <v>289.44</v>
      </c>
      <c r="H56" s="147">
        <f t="shared" si="7"/>
        <v>204.19992</v>
      </c>
      <c r="I56" s="147">
        <f>'[43]F11-Year(n-1)'!E57</f>
        <v>95.9003145495</v>
      </c>
      <c r="J56" s="147">
        <f>'[43]F11-Year(n-1)'!F57</f>
        <v>84.0100969275</v>
      </c>
      <c r="K56" s="147">
        <f>'[43]F11-Year(n-1)'!G57</f>
        <v>109.951520296</v>
      </c>
      <c r="L56" s="147">
        <f>'[43]F11-Year(n-1)'!H57</f>
        <v>75.150441332</v>
      </c>
      <c r="M56" s="147">
        <f>'[43]F11-Year(n-1)'!I57</f>
        <v>69.3667953675</v>
      </c>
      <c r="N56" s="147">
        <f>'[43]F11-Year(n-1)'!J57</f>
        <v>72.8287896925</v>
      </c>
      <c r="O56" s="147">
        <f>'[43]F11-Year(n-1)'!K57</f>
        <v>2.9763782155</v>
      </c>
      <c r="P56" s="147">
        <f>'[43]F11-Year(n-1)'!L57</f>
        <v>0</v>
      </c>
      <c r="Q56" s="147">
        <f>'[43]F11-Year(n-1)'!M57</f>
        <v>47.19940333</v>
      </c>
      <c r="R56" s="147">
        <f>'[43]F11-Year(n-1)'!N57</f>
        <v>70.202618855</v>
      </c>
      <c r="S56" s="147">
        <f>'[43]F11-Year(n-1)'!O57</f>
        <v>104.79238787</v>
      </c>
      <c r="T56" s="147">
        <f>'[43]F11-Year(n-1)'!P57</f>
        <v>68.2386726475</v>
      </c>
      <c r="U56" s="147">
        <f t="shared" si="8"/>
        <v>800.617419083</v>
      </c>
    </row>
    <row r="57" spans="3:21">
      <c r="C57" s="683"/>
      <c r="D57" s="55" t="s">
        <v>378</v>
      </c>
      <c r="E57" s="147">
        <f>[44]Capacity!F49</f>
        <v>85</v>
      </c>
      <c r="F57" s="147"/>
      <c r="G57" s="147">
        <f>[44]Capacity!H49</f>
        <v>45.8065</v>
      </c>
      <c r="H57" s="147">
        <f t="shared" si="7"/>
        <v>32.31648575</v>
      </c>
      <c r="I57" s="147">
        <f>'[43]F11-Year(n-1)'!E58</f>
        <v>18.89241518</v>
      </c>
      <c r="J57" s="147">
        <f>'[43]F11-Year(n-1)'!F58</f>
        <v>16.969305429</v>
      </c>
      <c r="K57" s="147">
        <f>'[43]F11-Year(n-1)'!G58</f>
        <v>18.2066966945</v>
      </c>
      <c r="L57" s="147">
        <f>'[43]F11-Year(n-1)'!H58</f>
        <v>12.4062972215</v>
      </c>
      <c r="M57" s="147">
        <f>'[43]F11-Year(n-1)'!I58</f>
        <v>10.9299848535</v>
      </c>
      <c r="N57" s="147">
        <f>'[43]F11-Year(n-1)'!J58</f>
        <v>14.628404222</v>
      </c>
      <c r="O57" s="147">
        <f>'[43]F11-Year(n-1)'!K58</f>
        <v>10.3152093315</v>
      </c>
      <c r="P57" s="147">
        <f>'[43]F11-Year(n-1)'!L58</f>
        <v>12.9467596065</v>
      </c>
      <c r="Q57" s="147">
        <f>'[43]F11-Year(n-1)'!M58</f>
        <v>12.149916405</v>
      </c>
      <c r="R57" s="147">
        <f>'[43]F11-Year(n-1)'!N58</f>
        <v>21.6380440995</v>
      </c>
      <c r="S57" s="147">
        <f>'[43]F11-Year(n-1)'!O58</f>
        <v>10.630711048</v>
      </c>
      <c r="T57" s="147">
        <f>'[43]F11-Year(n-1)'!P58</f>
        <v>18.3701709215</v>
      </c>
      <c r="U57" s="147">
        <f t="shared" si="8"/>
        <v>178.0839150125</v>
      </c>
    </row>
    <row r="58" spans="3:21">
      <c r="C58" s="683"/>
      <c r="D58" s="55" t="s">
        <v>379</v>
      </c>
      <c r="E58" s="147">
        <f>[44]Capacity!F50</f>
        <v>200</v>
      </c>
      <c r="F58" s="147"/>
      <c r="G58" s="147">
        <f>[44]Capacity!H50</f>
        <v>200</v>
      </c>
      <c r="H58" s="147">
        <f t="shared" si="7"/>
        <v>141.1</v>
      </c>
      <c r="I58" s="147">
        <f>'[43]F11-Year(n-1)'!E59</f>
        <v>84.250615282</v>
      </c>
      <c r="J58" s="147">
        <f>'[43]F11-Year(n-1)'!F59</f>
        <v>86.2810409795545</v>
      </c>
      <c r="K58" s="147">
        <f>'[43]F11-Year(n-1)'!G59</f>
        <v>97.643989273266</v>
      </c>
      <c r="L58" s="147">
        <f>'[43]F11-Year(n-1)'!H59</f>
        <v>68.1775673742455</v>
      </c>
      <c r="M58" s="147">
        <f>'[43]F11-Year(n-1)'!I59</f>
        <v>92.7886043305635</v>
      </c>
      <c r="N58" s="147">
        <f>'[43]F11-Year(n-1)'!J59</f>
        <v>66.5421011794075</v>
      </c>
      <c r="O58" s="147">
        <f>'[43]F11-Year(n-1)'!K59</f>
        <v>57.469289833141</v>
      </c>
      <c r="P58" s="147">
        <f>'[43]F11-Year(n-1)'!L59</f>
        <v>59.975286874412</v>
      </c>
      <c r="Q58" s="147">
        <f>'[43]F11-Year(n-1)'!M59</f>
        <v>77.0967723848015</v>
      </c>
      <c r="R58" s="147">
        <f>'[43]F11-Year(n-1)'!N59</f>
        <v>80.736428116385</v>
      </c>
      <c r="S58" s="147">
        <f>'[43]F11-Year(n-1)'!O59</f>
        <v>136.855978680411</v>
      </c>
      <c r="T58" s="147">
        <f>'[43]F11-Year(n-1)'!P59</f>
        <v>161.985609461148</v>
      </c>
      <c r="U58" s="147">
        <f t="shared" si="8"/>
        <v>1069.80328376934</v>
      </c>
    </row>
    <row r="59" spans="3:21">
      <c r="C59" s="684"/>
      <c r="D59" s="55" t="s">
        <v>380</v>
      </c>
      <c r="E59" s="147">
        <f>[44]Capacity!$F$40</f>
        <v>800</v>
      </c>
      <c r="F59" s="147"/>
      <c r="G59" s="147">
        <f>[44]Capacity!$H$40</f>
        <v>680</v>
      </c>
      <c r="H59" s="147">
        <f t="shared" si="7"/>
        <v>479.74</v>
      </c>
      <c r="I59" s="147">
        <f>'[43]F11-Year(n-1)'!E60</f>
        <v>0</v>
      </c>
      <c r="J59" s="147">
        <f>'[43]F11-Year(n-1)'!F60</f>
        <v>0</v>
      </c>
      <c r="K59" s="147">
        <f>'[43]F11-Year(n-1)'!G60</f>
        <v>0</v>
      </c>
      <c r="L59" s="147">
        <f>'[43]F11-Year(n-1)'!H60</f>
        <v>0</v>
      </c>
      <c r="M59" s="147">
        <f>'[43]F11-Year(n-1)'!I60</f>
        <v>0</v>
      </c>
      <c r="N59" s="147">
        <f>'[43]F11-Year(n-1)'!J60</f>
        <v>0</v>
      </c>
      <c r="O59" s="147">
        <f>'[43]F11-Year(n-1)'!K60</f>
        <v>0</v>
      </c>
      <c r="P59" s="147">
        <f>'[43]F11-Year(n-1)'!L60</f>
        <v>0</v>
      </c>
      <c r="Q59" s="147">
        <f>'[43]F11-Year(n-1)'!M60</f>
        <v>0</v>
      </c>
      <c r="R59" s="147">
        <f>'[43]F11-Year(n-1)'!N60</f>
        <v>0</v>
      </c>
      <c r="S59" s="147">
        <f>'[43]F11-Year(n-1)'!O60</f>
        <v>0</v>
      </c>
      <c r="T59" s="147">
        <f>'[43]F11-Year(n-1)'!P60</f>
        <v>0</v>
      </c>
      <c r="U59" s="147">
        <f t="shared" si="8"/>
        <v>0</v>
      </c>
    </row>
    <row r="60" spans="3:21">
      <c r="C60" s="55"/>
      <c r="D60" s="55" t="s">
        <v>381</v>
      </c>
      <c r="E60" s="147">
        <f>[44]Capacity!F37</f>
        <v>630</v>
      </c>
      <c r="F60" s="147"/>
      <c r="G60" s="147">
        <f>[44]Capacity!H37</f>
        <v>59.031</v>
      </c>
      <c r="H60" s="147">
        <f t="shared" si="7"/>
        <v>41.6463705</v>
      </c>
      <c r="I60" s="147">
        <f>'[43]F11-Year(n-1)'!E61</f>
        <v>4.5508510315</v>
      </c>
      <c r="J60" s="147">
        <f>'[43]F11-Year(n-1)'!F61</f>
        <v>9.315582854</v>
      </c>
      <c r="K60" s="147">
        <f>'[43]F11-Year(n-1)'!G61</f>
        <v>4.8763405115</v>
      </c>
      <c r="L60" s="147">
        <f>'[43]F11-Year(n-1)'!H61</f>
        <v>5.5305929915</v>
      </c>
      <c r="M60" s="147">
        <f>'[43]F11-Year(n-1)'!I61</f>
        <v>3.331208735</v>
      </c>
      <c r="N60" s="147">
        <f>'[43]F11-Year(n-1)'!J61</f>
        <v>2.0236526725</v>
      </c>
      <c r="O60" s="147">
        <f>'[43]F11-Year(n-1)'!K61</f>
        <v>1.6977963325</v>
      </c>
      <c r="P60" s="147">
        <f>'[43]F11-Year(n-1)'!L61</f>
        <v>2.5154412015</v>
      </c>
      <c r="Q60" s="147">
        <f>'[43]F11-Year(n-1)'!M61</f>
        <v>3.184971284</v>
      </c>
      <c r="R60" s="147">
        <f>'[43]F11-Year(n-1)'!N61</f>
        <v>4.5236977475</v>
      </c>
      <c r="S60" s="147">
        <f>'[43]F11-Year(n-1)'!O61</f>
        <v>3.6773432615</v>
      </c>
      <c r="T60" s="147">
        <f>'[43]F11-Year(n-1)'!P61</f>
        <v>2.874008049</v>
      </c>
      <c r="U60" s="147">
        <f t="shared" si="8"/>
        <v>48.101486672</v>
      </c>
    </row>
    <row r="61" spans="3:21">
      <c r="C61" s="55"/>
      <c r="D61" s="55" t="s">
        <v>382</v>
      </c>
      <c r="E61" s="147">
        <f>[44]Capacity!F38</f>
        <v>840</v>
      </c>
      <c r="F61" s="147"/>
      <c r="G61" s="147">
        <f>[44]Capacity!H38</f>
        <v>105.924</v>
      </c>
      <c r="H61" s="147">
        <f t="shared" si="7"/>
        <v>74.729382</v>
      </c>
      <c r="I61" s="147">
        <f>'[43]F11-Year(n-1)'!E62</f>
        <v>5.630262504</v>
      </c>
      <c r="J61" s="147">
        <f>'[43]F11-Year(n-1)'!F62</f>
        <v>16.6848654665</v>
      </c>
      <c r="K61" s="147">
        <f>'[43]F11-Year(n-1)'!G62</f>
        <v>5.9044247425</v>
      </c>
      <c r="L61" s="147">
        <f>'[43]F11-Year(n-1)'!H62</f>
        <v>11.4464658825</v>
      </c>
      <c r="M61" s="147">
        <f>'[43]F11-Year(n-1)'!I62</f>
        <v>9.2234763015</v>
      </c>
      <c r="N61" s="147">
        <f>'[43]F11-Year(n-1)'!J62</f>
        <v>6.881219829</v>
      </c>
      <c r="O61" s="147">
        <f>'[43]F11-Year(n-1)'!K62</f>
        <v>2.6199553825</v>
      </c>
      <c r="P61" s="147">
        <f>'[43]F11-Year(n-1)'!L62</f>
        <v>2.1063796025</v>
      </c>
      <c r="Q61" s="147">
        <f>'[43]F11-Year(n-1)'!M62</f>
        <v>2.3489290915</v>
      </c>
      <c r="R61" s="147">
        <f>'[43]F11-Year(n-1)'!N62</f>
        <v>1.7953952025</v>
      </c>
      <c r="S61" s="147">
        <f>'[43]F11-Year(n-1)'!O62</f>
        <v>4.023620299</v>
      </c>
      <c r="T61" s="147">
        <f>'[43]F11-Year(n-1)'!P62</f>
        <v>3.7299157105</v>
      </c>
      <c r="U61" s="147">
        <f t="shared" si="8"/>
        <v>72.3949100145</v>
      </c>
    </row>
    <row r="62" spans="3:21">
      <c r="C62" s="55"/>
      <c r="D62" s="55" t="s">
        <v>383</v>
      </c>
      <c r="E62" s="147">
        <f>[44]Capacity!F39</f>
        <v>1000</v>
      </c>
      <c r="F62" s="147"/>
      <c r="G62" s="147">
        <f>[44]Capacity!H39</f>
        <v>62.1</v>
      </c>
      <c r="H62" s="147">
        <f t="shared" si="7"/>
        <v>43.81155</v>
      </c>
      <c r="I62" s="147">
        <f>'[43]F11-Year(n-1)'!E63</f>
        <v>24.8573915765</v>
      </c>
      <c r="J62" s="147">
        <f>'[43]F11-Year(n-1)'!F63</f>
        <v>31.8271050925</v>
      </c>
      <c r="K62" s="147">
        <f>'[43]F11-Year(n-1)'!G63</f>
        <v>25.500056219</v>
      </c>
      <c r="L62" s="147">
        <f>'[43]F11-Year(n-1)'!H63</f>
        <v>32.1522206575</v>
      </c>
      <c r="M62" s="147">
        <f>'[43]F11-Year(n-1)'!I63</f>
        <v>28.011946639</v>
      </c>
      <c r="N62" s="147">
        <f>'[43]F11-Year(n-1)'!J63</f>
        <v>25.7875947375</v>
      </c>
      <c r="O62" s="147">
        <f>'[43]F11-Year(n-1)'!K63</f>
        <v>25.46821136</v>
      </c>
      <c r="P62" s="147">
        <f>'[43]F11-Year(n-1)'!L63</f>
        <v>24.6783356765</v>
      </c>
      <c r="Q62" s="147">
        <f>'[43]F11-Year(n-1)'!M63</f>
        <v>10.53126659</v>
      </c>
      <c r="R62" s="147">
        <f>'[43]F11-Year(n-1)'!N63</f>
        <v>26.2186270175</v>
      </c>
      <c r="S62" s="147">
        <f>'[43]F11-Year(n-1)'!O63</f>
        <v>26.24809928</v>
      </c>
      <c r="T62" s="147">
        <f>'[43]F11-Year(n-1)'!P63</f>
        <v>31.05918598</v>
      </c>
      <c r="U62" s="147">
        <f t="shared" si="8"/>
        <v>312.340040826</v>
      </c>
    </row>
    <row r="63" spans="3:21">
      <c r="C63" s="55"/>
      <c r="D63" s="55" t="s">
        <v>384</v>
      </c>
      <c r="E63" s="147"/>
      <c r="F63" s="147"/>
      <c r="G63" s="147"/>
      <c r="H63" s="147"/>
      <c r="I63" s="147">
        <f>'[43]F11-Year(n-1)'!E64</f>
        <v>0</v>
      </c>
      <c r="J63" s="147">
        <f>'[43]F11-Year(n-1)'!F64</f>
        <v>0</v>
      </c>
      <c r="K63" s="147">
        <f>'[43]F11-Year(n-1)'!G64</f>
        <v>0</v>
      </c>
      <c r="L63" s="147">
        <f>'[43]F11-Year(n-1)'!H64</f>
        <v>0</v>
      </c>
      <c r="M63" s="147">
        <f>'[43]F11-Year(n-1)'!I64</f>
        <v>0</v>
      </c>
      <c r="N63" s="147">
        <f>'[43]F11-Year(n-1)'!J64</f>
        <v>0</v>
      </c>
      <c r="O63" s="147">
        <f>'[43]F11-Year(n-1)'!K64</f>
        <v>2.29633195</v>
      </c>
      <c r="P63" s="147">
        <f>'[43]F11-Year(n-1)'!L64</f>
        <v>3.295198604</v>
      </c>
      <c r="Q63" s="147">
        <f>'[43]F11-Year(n-1)'!M64</f>
        <v>3.1342931025</v>
      </c>
      <c r="R63" s="147">
        <f>'[43]F11-Year(n-1)'!N64</f>
        <v>2.8213530565</v>
      </c>
      <c r="S63" s="147">
        <f>'[43]F11-Year(n-1)'!O64</f>
        <v>3.2776859775</v>
      </c>
      <c r="T63" s="147">
        <f>'[43]F11-Year(n-1)'!P64</f>
        <v>2.4315798275</v>
      </c>
      <c r="U63" s="147">
        <f t="shared" si="8"/>
        <v>17.256442518</v>
      </c>
    </row>
    <row r="64" spans="3:21">
      <c r="C64" s="55"/>
      <c r="D64" s="55" t="s">
        <v>385</v>
      </c>
      <c r="E64" s="147"/>
      <c r="F64" s="147"/>
      <c r="G64" s="147"/>
      <c r="H64" s="147"/>
      <c r="I64" s="147">
        <f>'[43]F11-Year(n-1)'!E65</f>
        <v>0</v>
      </c>
      <c r="J64" s="147">
        <f>'[43]F11-Year(n-1)'!F65</f>
        <v>0</v>
      </c>
      <c r="K64" s="147">
        <f>'[43]F11-Year(n-1)'!G65</f>
        <v>0</v>
      </c>
      <c r="L64" s="147">
        <f>'[43]F11-Year(n-1)'!H65</f>
        <v>0</v>
      </c>
      <c r="M64" s="147">
        <f>'[43]F11-Year(n-1)'!I65</f>
        <v>0</v>
      </c>
      <c r="N64" s="147">
        <f>'[43]F11-Year(n-1)'!J65</f>
        <v>0</v>
      </c>
      <c r="O64" s="147">
        <f>'[43]F11-Year(n-1)'!K65</f>
        <v>1.7864424075</v>
      </c>
      <c r="P64" s="147">
        <f>'[43]F11-Year(n-1)'!L65</f>
        <v>0.751878159</v>
      </c>
      <c r="Q64" s="147">
        <f>'[43]F11-Year(n-1)'!M65</f>
        <v>1.4919173225</v>
      </c>
      <c r="R64" s="147">
        <f>'[43]F11-Year(n-1)'!N65</f>
        <v>0.663247605</v>
      </c>
      <c r="S64" s="147">
        <f>'[43]F11-Year(n-1)'!O65</f>
        <v>1.686730565</v>
      </c>
      <c r="T64" s="147">
        <f>'[43]F11-Year(n-1)'!P65</f>
        <v>0.8333104965</v>
      </c>
      <c r="U64" s="147">
        <f t="shared" si="8"/>
        <v>7.2135265555</v>
      </c>
    </row>
    <row r="65" spans="3:21">
      <c r="C65" s="55"/>
      <c r="D65" s="55" t="s">
        <v>386</v>
      </c>
      <c r="E65" s="147" t="str">
        <f>[44]Capacity!F41</f>
        <v>-</v>
      </c>
      <c r="F65" s="147"/>
      <c r="G65" s="147" t="str">
        <f>[44]Capacity!H41</f>
        <v>-</v>
      </c>
      <c r="H65" s="147"/>
      <c r="I65" s="147">
        <f>'[43]F11-Year(n-1)'!E66</f>
        <v>60.247807849</v>
      </c>
      <c r="J65" s="147">
        <f>'[43]F11-Year(n-1)'!F66</f>
        <v>66.93792466</v>
      </c>
      <c r="K65" s="147">
        <f>'[43]F11-Year(n-1)'!G66</f>
        <v>54.78500988</v>
      </c>
      <c r="L65" s="147">
        <f>'[43]F11-Year(n-1)'!H66</f>
        <v>30.4016620965</v>
      </c>
      <c r="M65" s="147">
        <f>'[43]F11-Year(n-1)'!I66</f>
        <v>29.64121564</v>
      </c>
      <c r="N65" s="147">
        <f>'[43]F11-Year(n-1)'!J66</f>
        <v>36.4955382815</v>
      </c>
      <c r="O65" s="147">
        <f>'[43]F11-Year(n-1)'!K66</f>
        <v>21.39689785</v>
      </c>
      <c r="P65" s="147">
        <f>'[43]F11-Year(n-1)'!L66</f>
        <v>35.4654603075</v>
      </c>
      <c r="Q65" s="147">
        <f>'[43]F11-Year(n-1)'!M66</f>
        <v>36.052256405</v>
      </c>
      <c r="R65" s="147">
        <f>'[43]F11-Year(n-1)'!N66</f>
        <v>32.088036384</v>
      </c>
      <c r="S65" s="147">
        <f>'[43]F11-Year(n-1)'!O66</f>
        <v>44.4692488475</v>
      </c>
      <c r="T65" s="147">
        <f>'[43]F11-Year(n-1)'!P66</f>
        <v>49.378783134</v>
      </c>
      <c r="U65" s="147">
        <f t="shared" si="8"/>
        <v>497.359841335</v>
      </c>
    </row>
    <row r="66" spans="3:21">
      <c r="C66" s="55"/>
      <c r="D66" s="55" t="s">
        <v>387</v>
      </c>
      <c r="E66" s="147" t="str">
        <f>[44]Capacity!F42</f>
        <v>-</v>
      </c>
      <c r="F66" s="147"/>
      <c r="G66" s="147" t="str">
        <f>[44]Capacity!H42</f>
        <v>-</v>
      </c>
      <c r="H66" s="147"/>
      <c r="I66" s="147">
        <f>'[43]F11-Year(n-1)'!E67</f>
        <v>41.3926465965</v>
      </c>
      <c r="J66" s="147">
        <f>'[43]F11-Year(n-1)'!F67</f>
        <v>113.251466915</v>
      </c>
      <c r="K66" s="147">
        <f>'[43]F11-Year(n-1)'!G67</f>
        <v>64.674703236</v>
      </c>
      <c r="L66" s="147">
        <f>'[43]F11-Year(n-1)'!H67</f>
        <v>54.135920249</v>
      </c>
      <c r="M66" s="147">
        <f>'[43]F11-Year(n-1)'!I67</f>
        <v>56.539093119</v>
      </c>
      <c r="N66" s="147">
        <f>'[43]F11-Year(n-1)'!J67</f>
        <v>35.4316513365</v>
      </c>
      <c r="O66" s="147">
        <f>'[43]F11-Year(n-1)'!K67</f>
        <v>31.8356825615</v>
      </c>
      <c r="P66" s="147">
        <f>'[43]F11-Year(n-1)'!L67</f>
        <v>25.324691495</v>
      </c>
      <c r="Q66" s="147">
        <f>'[43]F11-Year(n-1)'!M67</f>
        <v>56.3655097825</v>
      </c>
      <c r="R66" s="147">
        <f>'[43]F11-Year(n-1)'!N67</f>
        <v>58.651303679</v>
      </c>
      <c r="S66" s="147">
        <f>'[43]F11-Year(n-1)'!O67</f>
        <v>62.3534114015</v>
      </c>
      <c r="T66" s="147">
        <f>'[43]F11-Year(n-1)'!P67</f>
        <v>56.153404735</v>
      </c>
      <c r="U66" s="147">
        <f t="shared" si="8"/>
        <v>656.1094851065</v>
      </c>
    </row>
    <row r="67" spans="3:21">
      <c r="C67" s="55"/>
      <c r="D67" s="76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>
        <f t="shared" si="8"/>
        <v>0</v>
      </c>
    </row>
    <row r="68" spans="3:21">
      <c r="C68" s="55"/>
      <c r="D68" s="55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>
        <f t="shared" si="8"/>
        <v>0</v>
      </c>
    </row>
    <row r="69" spans="3:21">
      <c r="C69" s="55"/>
      <c r="D69" s="55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>
        <f t="shared" si="8"/>
        <v>0</v>
      </c>
    </row>
    <row r="70" spans="3:21">
      <c r="C70" s="55"/>
      <c r="D70" s="55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>
        <f t="shared" si="8"/>
        <v>0</v>
      </c>
    </row>
    <row r="71" spans="3:21">
      <c r="C71" s="55"/>
      <c r="D71" s="55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>
        <f t="shared" si="8"/>
        <v>0</v>
      </c>
    </row>
    <row r="72" spans="3:21">
      <c r="C72" s="55"/>
      <c r="D72" s="55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>
        <f t="shared" si="8"/>
        <v>0</v>
      </c>
    </row>
    <row r="73" spans="3:21">
      <c r="C73" s="55"/>
      <c r="D73" s="55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>
        <f t="shared" si="8"/>
        <v>0</v>
      </c>
    </row>
    <row r="74" spans="3:21">
      <c r="C74" s="55"/>
      <c r="D74" s="55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>
        <f t="shared" si="8"/>
        <v>0</v>
      </c>
    </row>
    <row r="75" spans="3:21">
      <c r="C75" s="55"/>
      <c r="D75" s="55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>
        <f t="shared" si="8"/>
        <v>0</v>
      </c>
    </row>
    <row r="76" spans="3:21">
      <c r="C76" s="55"/>
      <c r="D76" s="55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>
        <f t="shared" si="8"/>
        <v>0</v>
      </c>
    </row>
    <row r="77" ht="15" spans="3:21">
      <c r="C77" s="537" t="s">
        <v>211</v>
      </c>
      <c r="D77" s="540"/>
      <c r="E77" s="147">
        <f t="shared" ref="E77:T77" si="9">SUM(E51:E76)</f>
        <v>12555</v>
      </c>
      <c r="F77" s="147">
        <f t="shared" si="9"/>
        <v>0</v>
      </c>
      <c r="G77" s="147">
        <f t="shared" si="9"/>
        <v>2895.9315</v>
      </c>
      <c r="H77" s="147">
        <f t="shared" si="9"/>
        <v>2043.07967325</v>
      </c>
      <c r="I77" s="147">
        <f t="shared" si="9"/>
        <v>984.93400259</v>
      </c>
      <c r="J77" s="147">
        <f t="shared" si="9"/>
        <v>1063.82299235555</v>
      </c>
      <c r="K77" s="147">
        <f t="shared" si="9"/>
        <v>958.518448378266</v>
      </c>
      <c r="L77" s="147">
        <f t="shared" si="9"/>
        <v>830.262864393746</v>
      </c>
      <c r="M77" s="147">
        <f t="shared" si="9"/>
        <v>773.495793518564</v>
      </c>
      <c r="N77" s="147">
        <f t="shared" si="9"/>
        <v>700.022273061907</v>
      </c>
      <c r="O77" s="147">
        <f t="shared" si="9"/>
        <v>388.571681270141</v>
      </c>
      <c r="P77" s="147">
        <f t="shared" si="9"/>
        <v>413.808034656412</v>
      </c>
      <c r="Q77" s="147">
        <f t="shared" si="9"/>
        <v>772.626765614301</v>
      </c>
      <c r="R77" s="147">
        <f t="shared" si="9"/>
        <v>920.088626254385</v>
      </c>
      <c r="S77" s="147">
        <f t="shared" si="9"/>
        <v>1046.59636757141</v>
      </c>
      <c r="T77" s="147">
        <f t="shared" si="9"/>
        <v>1102.70816489715</v>
      </c>
      <c r="U77" s="316">
        <f>SUM(I77:T77)</f>
        <v>9955.45601456184</v>
      </c>
    </row>
    <row r="78" ht="15" spans="3:21">
      <c r="C78" s="44" t="s">
        <v>388</v>
      </c>
      <c r="D78" s="45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</row>
    <row r="79" spans="3:21">
      <c r="C79" s="682" t="s">
        <v>389</v>
      </c>
      <c r="D79" s="55" t="s">
        <v>390</v>
      </c>
      <c r="E79" s="147">
        <f>[44]Capacity!F44</f>
        <v>440</v>
      </c>
      <c r="F79" s="147"/>
      <c r="G79" s="147">
        <f>[44]Capacity!H44</f>
        <v>22.484</v>
      </c>
      <c r="H79" s="147">
        <f>G79*70.55/100</f>
        <v>15.862462</v>
      </c>
      <c r="I79" s="802">
        <f>'[43]F11-Year(n-1)'!E79</f>
        <v>4.0544273675</v>
      </c>
      <c r="J79" s="802">
        <f>'[43]F11-Year(n-1)'!F79</f>
        <v>3.0483335715</v>
      </c>
      <c r="K79" s="802">
        <f>'[43]F11-Year(n-1)'!G79</f>
        <v>3.572536298</v>
      </c>
      <c r="L79" s="802">
        <f>'[43]F11-Year(n-1)'!H79</f>
        <v>5.087589082</v>
      </c>
      <c r="M79" s="802">
        <f>'[43]F11-Year(n-1)'!I79</f>
        <v>3.691727701</v>
      </c>
      <c r="N79" s="802">
        <f>'[43]F11-Year(n-1)'!J79</f>
        <v>4.5401076775</v>
      </c>
      <c r="O79" s="802">
        <f>'[43]F11-Year(n-1)'!K79</f>
        <v>4.357434679</v>
      </c>
      <c r="P79" s="802">
        <f>'[43]F11-Year(n-1)'!L79</f>
        <v>4.8229158185</v>
      </c>
      <c r="Q79" s="802">
        <f>'[43]F11-Year(n-1)'!M79</f>
        <v>5.027727407</v>
      </c>
      <c r="R79" s="802">
        <f>'[43]F11-Year(n-1)'!N79</f>
        <v>5.005566241</v>
      </c>
      <c r="S79" s="802">
        <f>'[43]F11-Year(n-1)'!O79</f>
        <v>3.404892566</v>
      </c>
      <c r="T79" s="802">
        <f>'[43]F11-Year(n-1)'!P79</f>
        <v>4.6959977795</v>
      </c>
      <c r="U79" s="147">
        <f t="shared" ref="U79:U92" si="10">+SUM(I79:T79)</f>
        <v>51.3092561885</v>
      </c>
    </row>
    <row r="80" spans="3:21">
      <c r="C80" s="683"/>
      <c r="D80" s="55" t="s">
        <v>391</v>
      </c>
      <c r="E80" s="147">
        <f>[44]Capacity!F45</f>
        <v>440</v>
      </c>
      <c r="F80" s="147"/>
      <c r="G80" s="147">
        <f>[44]Capacity!H45</f>
        <v>69.432</v>
      </c>
      <c r="H80" s="147">
        <f>G80*70.55/100</f>
        <v>48.984276</v>
      </c>
      <c r="I80" s="802">
        <f>'[43]F11-Year(n-1)'!E80</f>
        <v>67.298399885</v>
      </c>
      <c r="J80" s="802">
        <f>'[43]F11-Year(n-1)'!F80</f>
        <v>69.867853461</v>
      </c>
      <c r="K80" s="802">
        <f>'[43]F11-Year(n-1)'!G80</f>
        <v>65.0072794635</v>
      </c>
      <c r="L80" s="802">
        <f>'[43]F11-Year(n-1)'!H80</f>
        <v>69.7371927445</v>
      </c>
      <c r="M80" s="802">
        <f>'[43]F11-Year(n-1)'!I80</f>
        <v>68.602831288</v>
      </c>
      <c r="N80" s="802">
        <f>'[43]F11-Year(n-1)'!J80</f>
        <v>53.8831261945</v>
      </c>
      <c r="O80" s="802">
        <f>'[43]F11-Year(n-1)'!K80</f>
        <v>65.0581234375</v>
      </c>
      <c r="P80" s="802">
        <f>'[43]F11-Year(n-1)'!L80</f>
        <v>61.43529275</v>
      </c>
      <c r="Q80" s="802">
        <f>'[43]F11-Year(n-1)'!M80</f>
        <v>49.5160811945</v>
      </c>
      <c r="R80" s="802">
        <f>'[43]F11-Year(n-1)'!N80</f>
        <v>68.3512436385</v>
      </c>
      <c r="S80" s="802">
        <f>'[43]F11-Year(n-1)'!O80</f>
        <v>60.530752857</v>
      </c>
      <c r="T80" s="802">
        <f>'[43]F11-Year(n-1)'!P80</f>
        <v>67.5678620825</v>
      </c>
      <c r="U80" s="147">
        <f t="shared" si="10"/>
        <v>766.8560389965</v>
      </c>
    </row>
    <row r="81" spans="3:21">
      <c r="C81" s="683"/>
      <c r="D81" s="55" t="s">
        <v>392</v>
      </c>
      <c r="E81" s="147">
        <f>[44]Capacity!F46</f>
        <v>440</v>
      </c>
      <c r="F81" s="147"/>
      <c r="G81" s="147">
        <f>[44]Capacity!H46</f>
        <v>73.744</v>
      </c>
      <c r="H81" s="147">
        <f>G81*70.55/100</f>
        <v>52.026392</v>
      </c>
      <c r="I81" s="802" t="e">
        <f>'[43]F11-Year(n-1)'!E81</f>
        <v>#REF!</v>
      </c>
      <c r="J81" s="802" t="e">
        <f>'[43]F11-Year(n-1)'!F81</f>
        <v>#REF!</v>
      </c>
      <c r="K81" s="802" t="e">
        <f>'[43]F11-Year(n-1)'!G81</f>
        <v>#REF!</v>
      </c>
      <c r="L81" s="802" t="e">
        <f>'[43]F11-Year(n-1)'!H81</f>
        <v>#REF!</v>
      </c>
      <c r="M81" s="802" t="e">
        <f>'[43]F11-Year(n-1)'!I81</f>
        <v>#REF!</v>
      </c>
      <c r="N81" s="802" t="e">
        <f>'[43]F11-Year(n-1)'!J81</f>
        <v>#REF!</v>
      </c>
      <c r="O81" s="802" t="e">
        <f>'[43]F11-Year(n-1)'!K81</f>
        <v>#REF!</v>
      </c>
      <c r="P81" s="802" t="e">
        <f>'[43]F11-Year(n-1)'!L81</f>
        <v>#REF!</v>
      </c>
      <c r="Q81" s="802" t="e">
        <f>'[43]F11-Year(n-1)'!M81</f>
        <v>#REF!</v>
      </c>
      <c r="R81" s="802" t="e">
        <f>'[43]F11-Year(n-1)'!N81</f>
        <v>#REF!</v>
      </c>
      <c r="S81" s="802" t="e">
        <f>'[43]F11-Year(n-1)'!O81</f>
        <v>#REF!</v>
      </c>
      <c r="T81" s="802" t="e">
        <f>'[43]F11-Year(n-1)'!P81</f>
        <v>#REF!</v>
      </c>
      <c r="U81" s="147" t="e">
        <f t="shared" si="10"/>
        <v>#REF!</v>
      </c>
    </row>
    <row r="82" spans="3:21">
      <c r="C82" s="684"/>
      <c r="D82" s="55" t="s">
        <v>393</v>
      </c>
      <c r="E82" s="147">
        <f>[44]Capacity!F47</f>
        <v>1000</v>
      </c>
      <c r="F82" s="147"/>
      <c r="G82" s="147">
        <f>[44]Capacity!H47</f>
        <v>50</v>
      </c>
      <c r="H82" s="147">
        <f>G82*70.55/100</f>
        <v>35.275</v>
      </c>
      <c r="I82" s="802" t="e">
        <f>'[43]F11-Year(n-1)'!E82</f>
        <v>#REF!</v>
      </c>
      <c r="J82" s="802" t="e">
        <f>'[43]F11-Year(n-1)'!F82</f>
        <v>#REF!</v>
      </c>
      <c r="K82" s="802">
        <f>'[43]F11-Year(n-1)'!G82</f>
        <v>23.595214685</v>
      </c>
      <c r="L82" s="802">
        <f>'[43]F11-Year(n-1)'!H82</f>
        <v>23.875466094</v>
      </c>
      <c r="M82" s="802">
        <f>'[43]F11-Year(n-1)'!I82</f>
        <v>25.0483788925</v>
      </c>
      <c r="N82" s="802">
        <f>'[43]F11-Year(n-1)'!J82</f>
        <v>24.256203279</v>
      </c>
      <c r="O82" s="802">
        <f>'[43]F11-Year(n-1)'!K82</f>
        <v>25.1327496375</v>
      </c>
      <c r="P82" s="802">
        <f>'[43]F11-Year(n-1)'!L82</f>
        <v>25.2506090565</v>
      </c>
      <c r="Q82" s="802">
        <f>'[43]F11-Year(n-1)'!M82</f>
        <v>26.2580856325</v>
      </c>
      <c r="R82" s="802">
        <f>'[43]F11-Year(n-1)'!N82</f>
        <v>22.976038254</v>
      </c>
      <c r="S82" s="802">
        <f>'[43]F11-Year(n-1)'!O82</f>
        <v>24.404646123</v>
      </c>
      <c r="T82" s="802">
        <f>'[43]F11-Year(n-1)'!P82</f>
        <v>27.1547408575</v>
      </c>
      <c r="U82" s="147" t="e">
        <f t="shared" si="10"/>
        <v>#REF!</v>
      </c>
    </row>
    <row r="83" spans="3:21">
      <c r="C83" s="55"/>
      <c r="D83" s="55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>
        <f t="shared" si="10"/>
        <v>0</v>
      </c>
    </row>
    <row r="84" spans="3:21">
      <c r="C84" s="55"/>
      <c r="D84" s="55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>
        <f t="shared" si="10"/>
        <v>0</v>
      </c>
    </row>
    <row r="85" spans="3:21">
      <c r="C85" s="55"/>
      <c r="D85" s="55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>
        <f t="shared" si="10"/>
        <v>0</v>
      </c>
    </row>
    <row r="86" spans="3:21">
      <c r="C86" s="55"/>
      <c r="D86" s="55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>
        <f t="shared" si="10"/>
        <v>0</v>
      </c>
    </row>
    <row r="87" spans="3:21">
      <c r="C87" s="55"/>
      <c r="D87" s="55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>
        <f t="shared" si="10"/>
        <v>0</v>
      </c>
    </row>
    <row r="88" spans="3:21">
      <c r="C88" s="55"/>
      <c r="D88" s="55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>
        <f t="shared" si="10"/>
        <v>0</v>
      </c>
    </row>
    <row r="89" spans="3:21">
      <c r="C89" s="55"/>
      <c r="D89" s="55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>
        <f t="shared" si="10"/>
        <v>0</v>
      </c>
    </row>
    <row r="90" spans="3:21">
      <c r="C90" s="55"/>
      <c r="D90" s="55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>
        <f t="shared" si="10"/>
        <v>0</v>
      </c>
    </row>
    <row r="91" spans="3:21">
      <c r="C91" s="55"/>
      <c r="D91" s="55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>
        <f t="shared" si="10"/>
        <v>0</v>
      </c>
    </row>
    <row r="92" spans="3:21">
      <c r="C92" s="55"/>
      <c r="D92" s="55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>
        <f t="shared" si="10"/>
        <v>0</v>
      </c>
    </row>
    <row r="93" ht="15" spans="3:21">
      <c r="C93" s="537" t="s">
        <v>211</v>
      </c>
      <c r="D93" s="540"/>
      <c r="E93" s="147">
        <f t="shared" ref="E93:T93" si="11">SUM(E79:E92)</f>
        <v>2320</v>
      </c>
      <c r="F93" s="147">
        <f t="shared" si="11"/>
        <v>0</v>
      </c>
      <c r="G93" s="147">
        <f t="shared" si="11"/>
        <v>215.66</v>
      </c>
      <c r="H93" s="147">
        <f t="shared" si="11"/>
        <v>152.14813</v>
      </c>
      <c r="I93" s="147" t="e">
        <f t="shared" si="11"/>
        <v>#REF!</v>
      </c>
      <c r="J93" s="147" t="e">
        <f t="shared" si="11"/>
        <v>#REF!</v>
      </c>
      <c r="K93" s="147" t="e">
        <f t="shared" si="11"/>
        <v>#REF!</v>
      </c>
      <c r="L93" s="147" t="e">
        <f t="shared" si="11"/>
        <v>#REF!</v>
      </c>
      <c r="M93" s="147" t="e">
        <f t="shared" si="11"/>
        <v>#REF!</v>
      </c>
      <c r="N93" s="147" t="e">
        <f t="shared" si="11"/>
        <v>#REF!</v>
      </c>
      <c r="O93" s="147" t="e">
        <f t="shared" si="11"/>
        <v>#REF!</v>
      </c>
      <c r="P93" s="147" t="e">
        <f t="shared" si="11"/>
        <v>#REF!</v>
      </c>
      <c r="Q93" s="147" t="e">
        <f t="shared" si="11"/>
        <v>#REF!</v>
      </c>
      <c r="R93" s="147" t="e">
        <f t="shared" si="11"/>
        <v>#REF!</v>
      </c>
      <c r="S93" s="147" t="e">
        <f t="shared" si="11"/>
        <v>#REF!</v>
      </c>
      <c r="T93" s="147" t="e">
        <f t="shared" si="11"/>
        <v>#REF!</v>
      </c>
      <c r="U93" s="316" t="e">
        <f>SUM(I93:T93)</f>
        <v>#REF!</v>
      </c>
    </row>
    <row r="94" ht="15" spans="3:21">
      <c r="C94" s="44" t="s">
        <v>395</v>
      </c>
      <c r="D94" s="45"/>
      <c r="E94" s="147">
        <f t="shared" ref="E94:U94" si="12">E77+E93</f>
        <v>14875</v>
      </c>
      <c r="F94" s="147">
        <f t="shared" si="12"/>
        <v>0</v>
      </c>
      <c r="G94" s="147">
        <f t="shared" si="12"/>
        <v>3111.5915</v>
      </c>
      <c r="H94" s="147">
        <f t="shared" si="12"/>
        <v>2195.22780325</v>
      </c>
      <c r="I94" s="147" t="e">
        <f t="shared" si="12"/>
        <v>#REF!</v>
      </c>
      <c r="J94" s="147" t="e">
        <f t="shared" si="12"/>
        <v>#REF!</v>
      </c>
      <c r="K94" s="147" t="e">
        <f t="shared" si="12"/>
        <v>#REF!</v>
      </c>
      <c r="L94" s="147" t="e">
        <f t="shared" si="12"/>
        <v>#REF!</v>
      </c>
      <c r="M94" s="147" t="e">
        <f t="shared" si="12"/>
        <v>#REF!</v>
      </c>
      <c r="N94" s="147" t="e">
        <f t="shared" si="12"/>
        <v>#REF!</v>
      </c>
      <c r="O94" s="147" t="e">
        <f t="shared" si="12"/>
        <v>#REF!</v>
      </c>
      <c r="P94" s="147" t="e">
        <f t="shared" si="12"/>
        <v>#REF!</v>
      </c>
      <c r="Q94" s="147" t="e">
        <f t="shared" si="12"/>
        <v>#REF!</v>
      </c>
      <c r="R94" s="147" t="e">
        <f t="shared" si="12"/>
        <v>#REF!</v>
      </c>
      <c r="S94" s="147" t="e">
        <f t="shared" si="12"/>
        <v>#REF!</v>
      </c>
      <c r="T94" s="147" t="e">
        <f t="shared" si="12"/>
        <v>#REF!</v>
      </c>
      <c r="U94" s="316" t="e">
        <f t="shared" si="12"/>
        <v>#REF!</v>
      </c>
    </row>
    <row r="95" ht="15" spans="3:21">
      <c r="C95" s="663" t="s">
        <v>396</v>
      </c>
      <c r="D95" s="676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</row>
    <row r="96" spans="3:21">
      <c r="C96" s="55" t="s">
        <v>397</v>
      </c>
      <c r="D96" s="55" t="s">
        <v>397</v>
      </c>
      <c r="E96" s="147">
        <f>[44]Capacity!F67</f>
        <v>500</v>
      </c>
      <c r="F96" s="147"/>
      <c r="G96" s="147">
        <f>[44]Capacity!H67</f>
        <v>269.45</v>
      </c>
      <c r="H96" s="147">
        <f>G96*70.55/100</f>
        <v>190.096975</v>
      </c>
      <c r="I96" s="147">
        <f>'[43]F11-Year(n-1)'!E96</f>
        <v>266.2407610375</v>
      </c>
      <c r="J96" s="147">
        <f>'[43]F11-Year(n-1)'!F96</f>
        <v>229.4338157615</v>
      </c>
      <c r="K96" s="147">
        <f>'[43]F11-Year(n-1)'!G96</f>
        <v>178.03891645875</v>
      </c>
      <c r="L96" s="147">
        <f>'[43]F11-Year(n-1)'!H96</f>
        <v>261.0924947225</v>
      </c>
      <c r="M96" s="147">
        <f>'[43]F11-Year(n-1)'!I96</f>
        <v>271.4434002375</v>
      </c>
      <c r="N96" s="147">
        <f>'[43]F11-Year(n-1)'!J96</f>
        <v>206.8318124425</v>
      </c>
      <c r="O96" s="147">
        <f>'[43]F11-Year(n-1)'!K96</f>
        <v>176.1025450715</v>
      </c>
      <c r="P96" s="147">
        <f>'[43]F11-Year(n-1)'!L96</f>
        <v>247.83757306875</v>
      </c>
      <c r="Q96" s="147">
        <f>'[43]F11-Year(n-1)'!M96</f>
        <v>231.26201107</v>
      </c>
      <c r="R96" s="147">
        <f>'[43]F11-Year(n-1)'!N96</f>
        <v>239.492098925</v>
      </c>
      <c r="S96" s="147">
        <f>'[43]F11-Year(n-1)'!O96</f>
        <v>270.09585114375</v>
      </c>
      <c r="T96" s="147">
        <f>'[43]F11-Year(n-1)'!P96</f>
        <v>269.9554146665</v>
      </c>
      <c r="U96" s="147">
        <f t="shared" ref="U96:U102" si="13">+SUM(I96:T96)</f>
        <v>2847.82669460575</v>
      </c>
    </row>
    <row r="97" spans="3:21">
      <c r="C97" s="55" t="s">
        <v>398</v>
      </c>
      <c r="D97" s="55" t="s">
        <v>398</v>
      </c>
      <c r="E97" s="147">
        <f>[44]Capacity!F68</f>
        <v>570</v>
      </c>
      <c r="F97" s="147"/>
      <c r="G97" s="147">
        <f>[44]Capacity!H68</f>
        <v>570</v>
      </c>
      <c r="H97" s="147">
        <f>G97*70.55/100</f>
        <v>402.135</v>
      </c>
      <c r="I97" s="147">
        <f>'[43]F11-Year(n-1)'!E97</f>
        <v>125.8569620615</v>
      </c>
      <c r="J97" s="147">
        <f>'[43]F11-Year(n-1)'!F97</f>
        <v>134.8235778065</v>
      </c>
      <c r="K97" s="147">
        <f>'[43]F11-Year(n-1)'!G97</f>
        <v>85.6067492525</v>
      </c>
      <c r="L97" s="147">
        <f>'[43]F11-Year(n-1)'!H97</f>
        <v>136.5046728375</v>
      </c>
      <c r="M97" s="147">
        <f>'[43]F11-Year(n-1)'!I97</f>
        <v>141.0695104065</v>
      </c>
      <c r="N97" s="147">
        <f>'[43]F11-Year(n-1)'!J97</f>
        <v>123.576868605</v>
      </c>
      <c r="O97" s="147">
        <f>'[43]F11-Year(n-1)'!K97</f>
        <v>141.354339805</v>
      </c>
      <c r="P97" s="147">
        <f>'[43]F11-Year(n-1)'!L97</f>
        <v>126.189919259</v>
      </c>
      <c r="Q97" s="147">
        <f>'[43]F11-Year(n-1)'!M97</f>
        <v>133.048155309</v>
      </c>
      <c r="R97" s="147">
        <f>'[43]F11-Year(n-1)'!N97</f>
        <v>126.072143089</v>
      </c>
      <c r="S97" s="147">
        <f>'[43]F11-Year(n-1)'!O97</f>
        <v>127.6795225415</v>
      </c>
      <c r="T97" s="147">
        <f>'[43]F11-Year(n-1)'!P97</f>
        <v>140.77733252</v>
      </c>
      <c r="U97" s="147">
        <f t="shared" si="13"/>
        <v>1542.559753493</v>
      </c>
    </row>
    <row r="98" spans="3:21">
      <c r="C98" s="55"/>
      <c r="D98" s="55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>
        <f t="shared" si="13"/>
        <v>0</v>
      </c>
    </row>
    <row r="99" spans="3:21">
      <c r="C99" s="55"/>
      <c r="D99" s="55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>
        <f t="shared" si="13"/>
        <v>0</v>
      </c>
    </row>
    <row r="100" spans="3:21">
      <c r="C100" s="55"/>
      <c r="D100" s="55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>
        <f t="shared" si="13"/>
        <v>0</v>
      </c>
    </row>
    <row r="101" spans="3:21">
      <c r="C101" s="55"/>
      <c r="D101" s="55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>
        <f t="shared" si="13"/>
        <v>0</v>
      </c>
    </row>
    <row r="102" spans="3:21">
      <c r="C102" s="55"/>
      <c r="D102" s="55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>
        <f t="shared" si="13"/>
        <v>0</v>
      </c>
    </row>
    <row r="103" ht="15" spans="3:21">
      <c r="C103" s="44" t="s">
        <v>399</v>
      </c>
      <c r="D103" s="45"/>
      <c r="E103" s="147">
        <f t="shared" ref="E103:T103" si="14">SUM(E96:E102)</f>
        <v>1070</v>
      </c>
      <c r="F103" s="147">
        <f t="shared" si="14"/>
        <v>0</v>
      </c>
      <c r="G103" s="147">
        <f t="shared" si="14"/>
        <v>839.45</v>
      </c>
      <c r="H103" s="147">
        <f t="shared" si="14"/>
        <v>592.231975</v>
      </c>
      <c r="I103" s="147">
        <f t="shared" si="14"/>
        <v>392.097723099</v>
      </c>
      <c r="J103" s="147">
        <f t="shared" si="14"/>
        <v>364.257393568</v>
      </c>
      <c r="K103" s="147">
        <f t="shared" si="14"/>
        <v>263.64566571125</v>
      </c>
      <c r="L103" s="147">
        <f t="shared" si="14"/>
        <v>397.59716756</v>
      </c>
      <c r="M103" s="147">
        <f t="shared" si="14"/>
        <v>412.512910644</v>
      </c>
      <c r="N103" s="147">
        <f t="shared" si="14"/>
        <v>330.4086810475</v>
      </c>
      <c r="O103" s="147">
        <f t="shared" si="14"/>
        <v>317.4568848765</v>
      </c>
      <c r="P103" s="147">
        <f t="shared" si="14"/>
        <v>374.02749232775</v>
      </c>
      <c r="Q103" s="147">
        <f t="shared" si="14"/>
        <v>364.310166379</v>
      </c>
      <c r="R103" s="147">
        <f t="shared" si="14"/>
        <v>365.564242014</v>
      </c>
      <c r="S103" s="147">
        <f t="shared" si="14"/>
        <v>397.77537368525</v>
      </c>
      <c r="T103" s="147">
        <f t="shared" si="14"/>
        <v>410.7327471865</v>
      </c>
      <c r="U103" s="316">
        <f>SUM(I103:T103)</f>
        <v>4390.38644809875</v>
      </c>
    </row>
    <row r="104" ht="15" spans="3:21">
      <c r="C104" s="663" t="s">
        <v>400</v>
      </c>
      <c r="D104" s="676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</row>
    <row r="105" spans="3:21">
      <c r="C105" s="55" t="s">
        <v>401</v>
      </c>
      <c r="D105" s="55" t="s">
        <v>401</v>
      </c>
      <c r="E105" s="147">
        <f>[44]Capacity!F69</f>
        <v>1200</v>
      </c>
      <c r="F105" s="147"/>
      <c r="G105" s="147">
        <f>[44]Capacity!H69</f>
        <v>1200</v>
      </c>
      <c r="H105" s="147"/>
      <c r="I105" s="147">
        <f>'[43]F11-Year(n-1)'!E105</f>
        <v>545.83124</v>
      </c>
      <c r="J105" s="147">
        <f>'[43]F11-Year(n-1)'!F105</f>
        <v>466.397584</v>
      </c>
      <c r="K105" s="147">
        <f>'[43]F11-Year(n-1)'!G105</f>
        <v>507.258733</v>
      </c>
      <c r="L105" s="147">
        <f>'[43]F11-Year(n-1)'!H105</f>
        <v>545.955408</v>
      </c>
      <c r="M105" s="147">
        <f>'[43]F11-Year(n-1)'!I105</f>
        <v>507.5388165</v>
      </c>
      <c r="N105" s="147">
        <f>'[43]F11-Year(n-1)'!J105</f>
        <v>560.190987</v>
      </c>
      <c r="O105" s="147">
        <f>'[43]F11-Year(n-1)'!K105</f>
        <v>543.5560025</v>
      </c>
      <c r="P105" s="147">
        <f>'[43]F11-Year(n-1)'!L105</f>
        <v>549.9619425</v>
      </c>
      <c r="Q105" s="147">
        <f>'[43]F11-Year(n-1)'!M105</f>
        <v>547.2203695</v>
      </c>
      <c r="R105" s="147">
        <f>'[43]F11-Year(n-1)'!N105</f>
        <v>556.8617325</v>
      </c>
      <c r="S105" s="147">
        <f>'[43]F11-Year(n-1)'!O105</f>
        <v>236.449736</v>
      </c>
      <c r="T105" s="147">
        <f>'[43]F11-Year(n-1)'!P105</f>
        <v>585.7759445</v>
      </c>
      <c r="U105" s="147">
        <f t="shared" ref="U105:U112" si="15">+SUM(I105:T105)</f>
        <v>6152.998496</v>
      </c>
    </row>
    <row r="106" spans="3:21">
      <c r="C106" s="55" t="s">
        <v>402</v>
      </c>
      <c r="D106" s="55" t="s">
        <v>402</v>
      </c>
      <c r="E106" s="147">
        <f>[44]Capacity!F70</f>
        <v>1000</v>
      </c>
      <c r="F106" s="147"/>
      <c r="G106" s="147">
        <f>[44]Capacity!H70</f>
        <v>1000</v>
      </c>
      <c r="H106" s="147"/>
      <c r="I106" s="147" t="e">
        <f>'[43]F11-Year(n-1)'!E106</f>
        <v>#REF!</v>
      </c>
      <c r="J106" s="147" t="e">
        <f>'[43]F11-Year(n-1)'!F106</f>
        <v>#REF!</v>
      </c>
      <c r="K106" s="147" t="e">
        <f>'[43]F11-Year(n-1)'!G106</f>
        <v>#REF!</v>
      </c>
      <c r="L106" s="147" t="e">
        <f>'[43]F11-Year(n-1)'!H106</f>
        <v>#REF!</v>
      </c>
      <c r="M106" s="147" t="e">
        <f>'[43]F11-Year(n-1)'!I106</f>
        <v>#REF!</v>
      </c>
      <c r="N106" s="147" t="e">
        <f>'[43]F11-Year(n-1)'!J106</f>
        <v>#REF!</v>
      </c>
      <c r="O106" s="147" t="e">
        <f>'[43]F11-Year(n-1)'!K106</f>
        <v>#REF!</v>
      </c>
      <c r="P106" s="147" t="e">
        <f>'[43]F11-Year(n-1)'!L106</f>
        <v>#REF!</v>
      </c>
      <c r="Q106" s="147" t="e">
        <f>'[43]F11-Year(n-1)'!M106</f>
        <v>#REF!</v>
      </c>
      <c r="R106" s="147" t="e">
        <f>'[43]F11-Year(n-1)'!N106</f>
        <v>#REF!</v>
      </c>
      <c r="S106" s="147" t="e">
        <f>'[43]F11-Year(n-1)'!O106</f>
        <v>#REF!</v>
      </c>
      <c r="T106" s="147" t="e">
        <f>'[43]F11-Year(n-1)'!P106</f>
        <v>#REF!</v>
      </c>
      <c r="U106" s="147" t="e">
        <f t="shared" si="15"/>
        <v>#REF!</v>
      </c>
    </row>
    <row r="107" spans="3:21">
      <c r="C107" s="55" t="s">
        <v>403</v>
      </c>
      <c r="D107" s="55" t="s">
        <v>403</v>
      </c>
      <c r="E107" s="147" t="str">
        <f>[44]Capacity!F71</f>
        <v>-</v>
      </c>
      <c r="F107" s="147"/>
      <c r="G107" s="147" t="str">
        <f>[44]Capacity!H71</f>
        <v>-</v>
      </c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>
        <f t="shared" si="15"/>
        <v>0</v>
      </c>
    </row>
    <row r="108" spans="3:21">
      <c r="C108" s="55"/>
      <c r="D108" s="55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>
        <f t="shared" si="15"/>
        <v>0</v>
      </c>
    </row>
    <row r="109" spans="3:21">
      <c r="C109" s="55"/>
      <c r="D109" s="55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>
        <f t="shared" si="15"/>
        <v>0</v>
      </c>
    </row>
    <row r="110" spans="3:21">
      <c r="C110" s="55"/>
      <c r="D110" s="55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>
        <f t="shared" si="15"/>
        <v>0</v>
      </c>
    </row>
    <row r="111" spans="3:21">
      <c r="C111" s="55"/>
      <c r="D111" s="55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>
        <f t="shared" si="15"/>
        <v>0</v>
      </c>
    </row>
    <row r="112" spans="3:21">
      <c r="C112" s="55"/>
      <c r="D112" s="55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>
        <f t="shared" si="15"/>
        <v>0</v>
      </c>
    </row>
    <row r="113" ht="15" spans="3:21">
      <c r="C113" s="44" t="s">
        <v>404</v>
      </c>
      <c r="D113" s="45"/>
      <c r="E113" s="147">
        <f t="shared" ref="E113:T113" si="16">SUM(E105:E112)</f>
        <v>2200</v>
      </c>
      <c r="F113" s="147">
        <f t="shared" si="16"/>
        <v>0</v>
      </c>
      <c r="G113" s="147">
        <f t="shared" si="16"/>
        <v>2200</v>
      </c>
      <c r="H113" s="147">
        <f t="shared" si="16"/>
        <v>0</v>
      </c>
      <c r="I113" s="147" t="e">
        <f t="shared" si="16"/>
        <v>#REF!</v>
      </c>
      <c r="J113" s="147" t="e">
        <f t="shared" si="16"/>
        <v>#REF!</v>
      </c>
      <c r="K113" s="147" t="e">
        <f t="shared" si="16"/>
        <v>#REF!</v>
      </c>
      <c r="L113" s="147" t="e">
        <f t="shared" si="16"/>
        <v>#REF!</v>
      </c>
      <c r="M113" s="147" t="e">
        <f t="shared" si="16"/>
        <v>#REF!</v>
      </c>
      <c r="N113" s="147" t="e">
        <f t="shared" si="16"/>
        <v>#REF!</v>
      </c>
      <c r="O113" s="147" t="e">
        <f t="shared" si="16"/>
        <v>#REF!</v>
      </c>
      <c r="P113" s="147" t="e">
        <f t="shared" si="16"/>
        <v>#REF!</v>
      </c>
      <c r="Q113" s="147" t="e">
        <f t="shared" si="16"/>
        <v>#REF!</v>
      </c>
      <c r="R113" s="147" t="e">
        <f t="shared" si="16"/>
        <v>#REF!</v>
      </c>
      <c r="S113" s="147" t="e">
        <f t="shared" si="16"/>
        <v>#REF!</v>
      </c>
      <c r="T113" s="147" t="e">
        <f t="shared" si="16"/>
        <v>#REF!</v>
      </c>
      <c r="U113" s="316" t="e">
        <f>SUM(I113:T113)</f>
        <v>#REF!</v>
      </c>
    </row>
    <row r="114" ht="15" spans="3:21">
      <c r="C114" s="663" t="s">
        <v>405</v>
      </c>
      <c r="D114" s="676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</row>
    <row r="115" spans="3:21">
      <c r="C115" s="55"/>
      <c r="D115" s="55" t="s">
        <v>406</v>
      </c>
      <c r="E115" s="147">
        <f>[44]Capacity!F55</f>
        <v>24</v>
      </c>
      <c r="F115" s="147"/>
      <c r="G115" s="147">
        <f>[44]Capacity!H55</f>
        <v>24</v>
      </c>
      <c r="H115" s="147">
        <v>6</v>
      </c>
      <c r="I115" s="147">
        <f>'[43]F11-Year(n-1)'!E115</f>
        <v>1.93395</v>
      </c>
      <c r="J115" s="147">
        <f>'[43]F11-Year(n-1)'!F115</f>
        <v>0.775799999999996</v>
      </c>
      <c r="K115" s="147">
        <f>'[43]F11-Year(n-1)'!G115</f>
        <v>0</v>
      </c>
      <c r="L115" s="147">
        <f>'[43]F11-Year(n-1)'!H115</f>
        <v>0.876600000000002</v>
      </c>
      <c r="M115" s="147">
        <f>'[43]F11-Year(n-1)'!I115</f>
        <v>0</v>
      </c>
      <c r="N115" s="147">
        <f>'[43]F11-Year(n-1)'!J115</f>
        <v>0</v>
      </c>
      <c r="O115" s="147">
        <f>'[43]F11-Year(n-1)'!K115</f>
        <v>0</v>
      </c>
      <c r="P115" s="147">
        <f>'[43]F11-Year(n-1)'!L115</f>
        <v>0</v>
      </c>
      <c r="Q115" s="147">
        <f>'[43]F11-Year(n-1)'!M115</f>
        <v>0</v>
      </c>
      <c r="R115" s="147">
        <f>'[43]F11-Year(n-1)'!N115</f>
        <v>0</v>
      </c>
      <c r="S115" s="147">
        <f>'[43]F11-Year(n-1)'!O115</f>
        <v>0</v>
      </c>
      <c r="T115" s="147">
        <f>'[43]F11-Year(n-1)'!P115</f>
        <v>0</v>
      </c>
      <c r="U115" s="147">
        <f t="shared" ref="U115:U138" si="17">+SUM(I115:T115)</f>
        <v>3.58635</v>
      </c>
    </row>
    <row r="116" spans="3:21">
      <c r="C116" s="55"/>
      <c r="D116" s="55" t="s">
        <v>407</v>
      </c>
      <c r="E116" s="147">
        <f>[44]Capacity!F56</f>
        <v>35.2</v>
      </c>
      <c r="F116" s="147"/>
      <c r="G116" s="147">
        <f>[44]Capacity!H56</f>
        <v>35.2</v>
      </c>
      <c r="H116" s="147">
        <v>15</v>
      </c>
      <c r="I116" s="147">
        <f>'[43]F11-Year(n-1)'!E116</f>
        <v>0</v>
      </c>
      <c r="J116" s="147">
        <f>'[43]F11-Year(n-1)'!F116</f>
        <v>0</v>
      </c>
      <c r="K116" s="147">
        <f>'[43]F11-Year(n-1)'!G116</f>
        <v>0</v>
      </c>
      <c r="L116" s="147">
        <f>'[43]F11-Year(n-1)'!H116</f>
        <v>0</v>
      </c>
      <c r="M116" s="147">
        <f>'[43]F11-Year(n-1)'!I116</f>
        <v>0</v>
      </c>
      <c r="N116" s="147">
        <f>'[43]F11-Year(n-1)'!J116</f>
        <v>0</v>
      </c>
      <c r="O116" s="147">
        <f>'[43]F11-Year(n-1)'!K116</f>
        <v>0</v>
      </c>
      <c r="P116" s="147">
        <f>'[43]F11-Year(n-1)'!L116</f>
        <v>0</v>
      </c>
      <c r="Q116" s="147">
        <f>'[43]F11-Year(n-1)'!M116</f>
        <v>4.85191</v>
      </c>
      <c r="R116" s="147">
        <f>'[43]F11-Year(n-1)'!N116</f>
        <v>0</v>
      </c>
      <c r="S116" s="147">
        <f>'[43]F11-Year(n-1)'!O116</f>
        <v>0</v>
      </c>
      <c r="T116" s="147">
        <f>'[43]F11-Year(n-1)'!P116</f>
        <v>0</v>
      </c>
      <c r="U116" s="147">
        <f t="shared" si="17"/>
        <v>4.85191</v>
      </c>
    </row>
    <row r="117" spans="3:21">
      <c r="C117" s="55"/>
      <c r="D117" s="55" t="s">
        <v>408</v>
      </c>
      <c r="E117" s="147">
        <f>[44]Capacity!F57</f>
        <v>19.8</v>
      </c>
      <c r="F117" s="147"/>
      <c r="G117" s="147">
        <f>[44]Capacity!H57</f>
        <v>19.8</v>
      </c>
      <c r="H117" s="147">
        <v>19.8</v>
      </c>
      <c r="I117" s="147">
        <f>'[43]F11-Year(n-1)'!E117</f>
        <v>9.833076</v>
      </c>
      <c r="J117" s="147">
        <f>'[43]F11-Year(n-1)'!F117</f>
        <v>9.51588</v>
      </c>
      <c r="K117" s="147">
        <f>'[43]F11-Year(n-1)'!G117</f>
        <v>9.833076</v>
      </c>
      <c r="L117" s="147">
        <f>'[43]F11-Year(n-1)'!H117</f>
        <v>9.51588</v>
      </c>
      <c r="M117" s="147">
        <f>'[43]F11-Year(n-1)'!I117</f>
        <v>9.8542224</v>
      </c>
      <c r="N117" s="147">
        <f>'[43]F11-Year(n-1)'!J117</f>
        <v>6.13479999999999</v>
      </c>
      <c r="O117" s="147">
        <f>'[43]F11-Year(n-1)'!K117</f>
        <v>12.68784</v>
      </c>
      <c r="P117" s="147">
        <f>'[43]F11-Year(n-1)'!L117</f>
        <v>12.3048612</v>
      </c>
      <c r="Q117" s="147">
        <f>'[43]F11-Year(n-1)'!M117</f>
        <v>10.150272</v>
      </c>
      <c r="R117" s="147">
        <f>'[43]F11-Year(n-1)'!N117</f>
        <v>10.488615</v>
      </c>
      <c r="S117" s="147">
        <f>'[43]F11-Year(n-1)'!O117</f>
        <v>10.488614</v>
      </c>
      <c r="T117" s="147">
        <f>'[43]F11-Year(n-1)'!P117</f>
        <v>9.473587</v>
      </c>
      <c r="U117" s="147">
        <f t="shared" si="17"/>
        <v>120.2807236</v>
      </c>
    </row>
    <row r="118" spans="3:21">
      <c r="C118" s="55"/>
      <c r="D118" s="55" t="s">
        <v>409</v>
      </c>
      <c r="E118" s="147">
        <f>[44]Capacity!F58</f>
        <v>15</v>
      </c>
      <c r="F118" s="147"/>
      <c r="G118" s="147">
        <f>[44]Capacity!H58</f>
        <v>15</v>
      </c>
      <c r="H118" s="147">
        <f>[44]Capacity!H82</f>
        <v>7.5</v>
      </c>
      <c r="I118" s="147">
        <f>'[43]F11-Year(n-1)'!E118</f>
        <v>0</v>
      </c>
      <c r="J118" s="147">
        <f>'[43]F11-Year(n-1)'!F118</f>
        <v>0</v>
      </c>
      <c r="K118" s="147">
        <f>'[43]F11-Year(n-1)'!G118</f>
        <v>0</v>
      </c>
      <c r="L118" s="147">
        <f>'[43]F11-Year(n-1)'!H118</f>
        <v>0.833320000000007</v>
      </c>
      <c r="M118" s="147">
        <f>'[43]F11-Year(n-1)'!I118</f>
        <v>0</v>
      </c>
      <c r="N118" s="147">
        <f>'[43]F11-Year(n-1)'!J118</f>
        <v>0</v>
      </c>
      <c r="O118" s="147">
        <f>'[43]F11-Year(n-1)'!K118</f>
        <v>0</v>
      </c>
      <c r="P118" s="147">
        <f>'[43]F11-Year(n-1)'!L118</f>
        <v>0</v>
      </c>
      <c r="Q118" s="147">
        <f>'[43]F11-Year(n-1)'!M118</f>
        <v>0</v>
      </c>
      <c r="R118" s="147">
        <f>'[43]F11-Year(n-1)'!N118</f>
        <v>0</v>
      </c>
      <c r="S118" s="147">
        <f>'[43]F11-Year(n-1)'!O118</f>
        <v>0</v>
      </c>
      <c r="T118" s="147">
        <f>'[43]F11-Year(n-1)'!P118</f>
        <v>0</v>
      </c>
      <c r="U118" s="147">
        <f t="shared" si="17"/>
        <v>0.833320000000007</v>
      </c>
    </row>
    <row r="119" spans="3:21">
      <c r="C119" s="55"/>
      <c r="D119" s="55" t="s">
        <v>410</v>
      </c>
      <c r="E119" s="147">
        <f>[44]Capacity!F59</f>
        <v>128.1</v>
      </c>
      <c r="F119" s="147"/>
      <c r="G119" s="147">
        <f>[44]Capacity!H59</f>
        <v>128.1</v>
      </c>
      <c r="H119" s="147">
        <v>128.1</v>
      </c>
      <c r="I119" s="147">
        <f>'[43]F11-Year(n-1)'!E119</f>
        <v>14.9496000000001</v>
      </c>
      <c r="J119" s="147">
        <f>'[43]F11-Year(n-1)'!F119</f>
        <v>20.4507</v>
      </c>
      <c r="K119" s="147">
        <f>'[43]F11-Year(n-1)'!G119</f>
        <v>29.6814</v>
      </c>
      <c r="L119" s="147">
        <f>'[43]F11-Year(n-1)'!H119</f>
        <v>22.30538448</v>
      </c>
      <c r="M119" s="147">
        <f>'[43]F11-Year(n-1)'!I119</f>
        <v>23.1556749</v>
      </c>
      <c r="N119" s="147">
        <f>'[43]F11-Year(n-1)'!J119</f>
        <v>22.17744</v>
      </c>
      <c r="O119" s="147">
        <f>'[43]F11-Year(n-1)'!K119</f>
        <v>12.0731</v>
      </c>
      <c r="P119" s="147">
        <f>'[43]F11-Year(n-1)'!L119</f>
        <v>18.849</v>
      </c>
      <c r="Q119" s="147">
        <f>'[43]F11-Year(n-1)'!M119</f>
        <v>19.716</v>
      </c>
      <c r="R119" s="147">
        <f>'[43]F11-Year(n-1)'!N119</f>
        <v>17.9961</v>
      </c>
      <c r="S119" s="147">
        <f>'[43]F11-Year(n-1)'!O119</f>
        <v>18.5581</v>
      </c>
      <c r="T119" s="147">
        <f>'[43]F11-Year(n-1)'!P119</f>
        <v>19.5057</v>
      </c>
      <c r="U119" s="147">
        <f t="shared" si="17"/>
        <v>239.41819938</v>
      </c>
    </row>
    <row r="120" spans="3:21">
      <c r="C120" s="55"/>
      <c r="D120" s="55" t="s">
        <v>368</v>
      </c>
      <c r="E120" s="147">
        <f>[44]Capacity!F60</f>
        <v>4.2</v>
      </c>
      <c r="F120" s="147"/>
      <c r="G120" s="147">
        <f>[44]Capacity!H60</f>
        <v>4.2</v>
      </c>
      <c r="H120" s="147">
        <v>0</v>
      </c>
      <c r="I120" s="147">
        <f>'[43]F11-Year(n-1)'!E120</f>
        <v>0</v>
      </c>
      <c r="J120" s="147">
        <f>'[43]F11-Year(n-1)'!F120</f>
        <v>0</v>
      </c>
      <c r="K120" s="147">
        <f>'[43]F11-Year(n-1)'!G120</f>
        <v>0</v>
      </c>
      <c r="L120" s="147">
        <f>'[43]F11-Year(n-1)'!H120</f>
        <v>0</v>
      </c>
      <c r="M120" s="147">
        <f>'[43]F11-Year(n-1)'!I120</f>
        <v>0</v>
      </c>
      <c r="N120" s="147">
        <f>'[43]F11-Year(n-1)'!J120</f>
        <v>0</v>
      </c>
      <c r="O120" s="147">
        <f>'[43]F11-Year(n-1)'!K120</f>
        <v>0</v>
      </c>
      <c r="P120" s="147">
        <f>'[43]F11-Year(n-1)'!L120</f>
        <v>0</v>
      </c>
      <c r="Q120" s="147">
        <f>'[43]F11-Year(n-1)'!M120</f>
        <v>0</v>
      </c>
      <c r="R120" s="147">
        <f>'[43]F11-Year(n-1)'!N120</f>
        <v>0</v>
      </c>
      <c r="S120" s="147">
        <f>'[43]F11-Year(n-1)'!O120</f>
        <v>0</v>
      </c>
      <c r="T120" s="147">
        <f>'[43]F11-Year(n-1)'!P120</f>
        <v>0</v>
      </c>
      <c r="U120" s="147">
        <f t="shared" si="17"/>
        <v>0</v>
      </c>
    </row>
    <row r="121" spans="3:21">
      <c r="C121" s="55"/>
      <c r="D121" s="55" t="s">
        <v>411</v>
      </c>
      <c r="E121" s="147">
        <f>[44]Capacity!F61</f>
        <v>2764.71</v>
      </c>
      <c r="F121" s="147"/>
      <c r="G121" s="147">
        <f>[44]Capacity!H61</f>
        <v>2764.71</v>
      </c>
      <c r="H121" s="147">
        <v>1951.74</v>
      </c>
      <c r="I121" s="147">
        <f>'[43]F11-Year(n-1)'!E121</f>
        <v>428.07366865</v>
      </c>
      <c r="J121" s="147">
        <f>'[43]F11-Year(n-1)'!F121</f>
        <v>305.12937732</v>
      </c>
      <c r="K121" s="147">
        <f>'[43]F11-Year(n-1)'!G121</f>
        <v>323.82634593</v>
      </c>
      <c r="L121" s="147">
        <f>'[43]F11-Year(n-1)'!H121</f>
        <v>204.20170648</v>
      </c>
      <c r="M121" s="147">
        <f>'[43]F11-Year(n-1)'!I121</f>
        <v>255.86228024</v>
      </c>
      <c r="N121" s="147">
        <f>'[43]F11-Year(n-1)'!J121</f>
        <v>264.09524638</v>
      </c>
      <c r="O121" s="147">
        <f>'[43]F11-Year(n-1)'!K121</f>
        <v>247.75901632</v>
      </c>
      <c r="P121" s="147">
        <f>'[43]F11-Year(n-1)'!L121</f>
        <v>307.29421327</v>
      </c>
      <c r="Q121" s="147">
        <f>'[43]F11-Year(n-1)'!M121</f>
        <v>261.7963656</v>
      </c>
      <c r="R121" s="147">
        <f>'[43]F11-Year(n-1)'!N121</f>
        <v>307.5207667</v>
      </c>
      <c r="S121" s="147">
        <f>'[43]F11-Year(n-1)'!O121</f>
        <v>367.49057372</v>
      </c>
      <c r="T121" s="147">
        <f>'[43]F11-Year(n-1)'!P121</f>
        <v>318.14222346</v>
      </c>
      <c r="U121" s="147">
        <f t="shared" si="17"/>
        <v>3591.19178407</v>
      </c>
    </row>
    <row r="122" spans="3:21">
      <c r="C122" s="55"/>
      <c r="D122" s="55" t="s">
        <v>412</v>
      </c>
      <c r="E122" s="147">
        <f>[44]Capacity!F62</f>
        <v>45.81</v>
      </c>
      <c r="F122" s="147"/>
      <c r="G122" s="147">
        <f>[44]Capacity!H62</f>
        <v>45.81</v>
      </c>
      <c r="H122" s="147">
        <f>G122*0.7055</f>
        <v>32.318955</v>
      </c>
      <c r="I122" s="147">
        <f>'[43]F11-Year(n-1)'!E122</f>
        <v>44.163556403</v>
      </c>
      <c r="J122" s="147">
        <f>'[43]F11-Year(n-1)'!F122</f>
        <v>56.9064547295</v>
      </c>
      <c r="K122" s="147">
        <f>'[43]F11-Year(n-1)'!G122</f>
        <v>45.7826669095</v>
      </c>
      <c r="L122" s="147">
        <f>'[43]F11-Year(n-1)'!H122</f>
        <v>50.5282041935</v>
      </c>
      <c r="M122" s="147">
        <f>'[43]F11-Year(n-1)'!I122</f>
        <v>18.5380545235</v>
      </c>
      <c r="N122" s="147">
        <f>'[43]F11-Year(n-1)'!J122</f>
        <v>51.175873653</v>
      </c>
      <c r="O122" s="147">
        <f>'[43]F11-Year(n-1)'!K122</f>
        <v>46.8271751805</v>
      </c>
      <c r="P122" s="147">
        <f>'[43]F11-Year(n-1)'!L122</f>
        <v>42.78525915</v>
      </c>
      <c r="Q122" s="147">
        <f>'[43]F11-Year(n-1)'!M122</f>
        <v>53.9981368045</v>
      </c>
      <c r="R122" s="147">
        <f>'[43]F11-Year(n-1)'!N122</f>
        <v>42.239773605</v>
      </c>
      <c r="S122" s="147">
        <f>'[43]F11-Year(n-1)'!O122</f>
        <v>56.584573882</v>
      </c>
      <c r="T122" s="147">
        <f>'[43]F11-Year(n-1)'!P122</f>
        <v>68.00950861</v>
      </c>
      <c r="U122" s="147">
        <f t="shared" si="17"/>
        <v>577.539237644</v>
      </c>
    </row>
    <row r="123" spans="3:21">
      <c r="C123" s="55"/>
      <c r="D123" s="55" t="s">
        <v>413</v>
      </c>
      <c r="E123" s="147">
        <f>[44]Capacity!F63</f>
        <v>400</v>
      </c>
      <c r="F123" s="147"/>
      <c r="G123" s="147">
        <f>[44]Capacity!H63</f>
        <v>400</v>
      </c>
      <c r="H123" s="147">
        <f>G123*0.7055</f>
        <v>282.2</v>
      </c>
      <c r="I123" s="147">
        <f>'[43]F11-Year(n-1)'!E123</f>
        <v>30.82958806</v>
      </c>
      <c r="J123" s="147">
        <f>'[43]F11-Year(n-1)'!F123</f>
        <v>32.29177032125</v>
      </c>
      <c r="K123" s="147">
        <f>'[43]F11-Year(n-1)'!G123</f>
        <v>38.47977431625</v>
      </c>
      <c r="L123" s="147">
        <f>'[43]F11-Year(n-1)'!H123</f>
        <v>38.45204816625</v>
      </c>
      <c r="M123" s="147">
        <f>'[43]F11-Year(n-1)'!I123</f>
        <v>69.28944611125</v>
      </c>
      <c r="N123" s="147">
        <f>'[43]F11-Year(n-1)'!J123</f>
        <v>90.8591741765</v>
      </c>
      <c r="O123" s="147">
        <f>'[43]F11-Year(n-1)'!K123</f>
        <v>104.9195422515</v>
      </c>
      <c r="P123" s="147">
        <f>'[43]F11-Year(n-1)'!L123</f>
        <v>95.55883209</v>
      </c>
      <c r="Q123" s="147">
        <f>'[43]F11-Year(n-1)'!M123</f>
        <v>134.829434162</v>
      </c>
      <c r="R123" s="147">
        <f>'[43]F11-Year(n-1)'!N123</f>
        <v>182.8097349825</v>
      </c>
      <c r="S123" s="147">
        <f>'[43]F11-Year(n-1)'!O123</f>
        <v>187.2998756225</v>
      </c>
      <c r="T123" s="147">
        <f>'[43]F11-Year(n-1)'!P123</f>
        <v>9.3899460815</v>
      </c>
      <c r="U123" s="147">
        <f t="shared" si="17"/>
        <v>1015.0091663415</v>
      </c>
    </row>
    <row r="124" spans="3:21">
      <c r="C124" s="55"/>
      <c r="D124" s="55" t="s">
        <v>414</v>
      </c>
      <c r="E124" s="147">
        <f>[44]Capacity!F64</f>
        <v>400</v>
      </c>
      <c r="F124" s="147"/>
      <c r="G124" s="147">
        <f>[44]Capacity!H64</f>
        <v>400</v>
      </c>
      <c r="H124" s="147">
        <f>G124*0.7055</f>
        <v>282.2</v>
      </c>
      <c r="I124" s="147">
        <f>'[43]F11-Year(n-1)'!E124</f>
        <v>36.89636775375</v>
      </c>
      <c r="J124" s="147">
        <f>'[43]F11-Year(n-1)'!F124</f>
        <v>38.478383423</v>
      </c>
      <c r="K124" s="147">
        <f>'[43]F11-Year(n-1)'!G124</f>
        <v>33.12406630875</v>
      </c>
      <c r="L124" s="147">
        <f>'[43]F11-Year(n-1)'!H124</f>
        <v>30.36213787</v>
      </c>
      <c r="M124" s="147">
        <f>'[43]F11-Year(n-1)'!I124</f>
        <v>33.2399238715</v>
      </c>
      <c r="N124" s="147">
        <f>'[43]F11-Year(n-1)'!J124</f>
        <v>39.742106065</v>
      </c>
      <c r="O124" s="147">
        <f>'[43]F11-Year(n-1)'!K124</f>
        <v>40.8171914115</v>
      </c>
      <c r="P124" s="147">
        <f>'[43]F11-Year(n-1)'!L124</f>
        <v>34.1247704375</v>
      </c>
      <c r="Q124" s="147">
        <f>'[43]F11-Year(n-1)'!M124</f>
        <v>34.508437564</v>
      </c>
      <c r="R124" s="147">
        <f>'[43]F11-Year(n-1)'!N124</f>
        <v>37.728552625</v>
      </c>
      <c r="S124" s="147">
        <f>'[43]F11-Year(n-1)'!O124</f>
        <v>35.83957461125</v>
      </c>
      <c r="T124" s="147">
        <f>'[43]F11-Year(n-1)'!P124</f>
        <v>40.55002879125</v>
      </c>
      <c r="U124" s="147">
        <f t="shared" si="17"/>
        <v>435.4115407325</v>
      </c>
    </row>
    <row r="125" spans="3:21">
      <c r="C125" s="55"/>
      <c r="D125" s="55" t="s">
        <v>415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>
        <f t="shared" si="17"/>
        <v>0</v>
      </c>
    </row>
    <row r="126" spans="3:21">
      <c r="C126" s="55"/>
      <c r="D126" s="55" t="s">
        <v>416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>
        <f t="shared" si="17"/>
        <v>0</v>
      </c>
    </row>
    <row r="127" spans="3:21">
      <c r="C127" s="55"/>
      <c r="D127" s="55" t="s">
        <v>417</v>
      </c>
      <c r="E127" s="147" t="str">
        <f>[44]Capacity!$F$65</f>
        <v>-</v>
      </c>
      <c r="F127" s="147"/>
      <c r="G127" s="147" t="str">
        <f>[44]Capacity!$H$65</f>
        <v>-</v>
      </c>
      <c r="H127" s="147" t="str">
        <f>[44]Capacity!$H$89</f>
        <v>-</v>
      </c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>
        <f t="shared" si="17"/>
        <v>0</v>
      </c>
    </row>
    <row r="128" spans="3:21">
      <c r="C128" s="55"/>
      <c r="D128" s="55" t="s">
        <v>418</v>
      </c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>
        <f t="shared" si="17"/>
        <v>0</v>
      </c>
    </row>
    <row r="129" spans="3:21">
      <c r="C129" s="55"/>
      <c r="D129" s="767" t="s">
        <v>419</v>
      </c>
      <c r="E129" s="147"/>
      <c r="F129" s="147"/>
      <c r="G129" s="147"/>
      <c r="H129" s="147"/>
      <c r="I129" s="147">
        <f>'[43]F11-Year(n-1)'!E129</f>
        <v>2.6915354125</v>
      </c>
      <c r="J129" s="147">
        <f>'[43]F11-Year(n-1)'!F129</f>
        <v>2.260767695</v>
      </c>
      <c r="K129" s="147">
        <f>'[43]F11-Year(n-1)'!G129</f>
        <v>2.7854360515</v>
      </c>
      <c r="L129" s="147">
        <f>'[43]F11-Year(n-1)'!H129</f>
        <v>1.0050037985</v>
      </c>
      <c r="M129" s="147">
        <f>'[43]F11-Year(n-1)'!I129</f>
        <v>1.7829120855</v>
      </c>
      <c r="N129" s="147">
        <f>'[43]F11-Year(n-1)'!J129</f>
        <v>2.03230951025</v>
      </c>
      <c r="O129" s="147">
        <f>'[43]F11-Year(n-1)'!K129</f>
        <v>1.60807966125</v>
      </c>
      <c r="P129" s="147">
        <f>'[43]F11-Year(n-1)'!L129</f>
        <v>1.9714880025</v>
      </c>
      <c r="Q129" s="147">
        <f>'[43]F11-Year(n-1)'!M129</f>
        <v>1.58454418125</v>
      </c>
      <c r="R129" s="147">
        <f>'[43]F11-Year(n-1)'!N129</f>
        <v>3.866547779</v>
      </c>
      <c r="S129" s="147">
        <f>'[43]F11-Year(n-1)'!O129</f>
        <v>3.555951404</v>
      </c>
      <c r="T129" s="147">
        <f>'[43]F11-Year(n-1)'!P129</f>
        <v>4.0431167915</v>
      </c>
      <c r="U129" s="147">
        <f t="shared" si="17"/>
        <v>29.18769237275</v>
      </c>
    </row>
    <row r="130" spans="3:21">
      <c r="C130" s="55"/>
      <c r="D130" s="767" t="s">
        <v>420</v>
      </c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>
        <f t="shared" si="17"/>
        <v>0</v>
      </c>
    </row>
    <row r="131" spans="3:21">
      <c r="C131" s="55"/>
      <c r="D131" s="55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>
        <f t="shared" si="17"/>
        <v>0</v>
      </c>
    </row>
    <row r="132" spans="3:21">
      <c r="C132" s="55"/>
      <c r="D132" s="55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>
        <f t="shared" si="17"/>
        <v>0</v>
      </c>
    </row>
    <row r="133" spans="3:21">
      <c r="C133" s="55"/>
      <c r="D133" s="55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>
        <f t="shared" si="17"/>
        <v>0</v>
      </c>
    </row>
    <row r="134" spans="3:21">
      <c r="C134" s="55"/>
      <c r="D134" s="5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>
        <f t="shared" si="17"/>
        <v>0</v>
      </c>
    </row>
    <row r="135" spans="3:21">
      <c r="C135" s="55"/>
      <c r="D135" s="55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>
        <f t="shared" si="17"/>
        <v>0</v>
      </c>
    </row>
    <row r="136" spans="3:21">
      <c r="C136" s="55"/>
      <c r="D136" s="55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>
        <f t="shared" si="17"/>
        <v>0</v>
      </c>
    </row>
    <row r="137" spans="3:21">
      <c r="C137" s="55"/>
      <c r="D137" s="55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>
        <f t="shared" si="17"/>
        <v>0</v>
      </c>
    </row>
    <row r="138" spans="3:21">
      <c r="C138" s="55"/>
      <c r="D138" s="55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>
        <f t="shared" si="17"/>
        <v>0</v>
      </c>
    </row>
    <row r="139" ht="15" spans="3:21">
      <c r="C139" s="44" t="s">
        <v>421</v>
      </c>
      <c r="D139" s="45"/>
      <c r="E139" s="147">
        <f t="shared" ref="E139:T139" si="18">SUM(E115:E138)</f>
        <v>3836.82</v>
      </c>
      <c r="F139" s="147">
        <f t="shared" si="18"/>
        <v>0</v>
      </c>
      <c r="G139" s="147">
        <f t="shared" si="18"/>
        <v>3836.82</v>
      </c>
      <c r="H139" s="147">
        <f t="shared" si="18"/>
        <v>2724.858955</v>
      </c>
      <c r="I139" s="147">
        <f t="shared" si="18"/>
        <v>569.37134227925</v>
      </c>
      <c r="J139" s="147">
        <f t="shared" si="18"/>
        <v>465.80913348875</v>
      </c>
      <c r="K139" s="147">
        <f t="shared" si="18"/>
        <v>483.512765516</v>
      </c>
      <c r="L139" s="147">
        <f t="shared" si="18"/>
        <v>358.08028498825</v>
      </c>
      <c r="M139" s="147">
        <f t="shared" si="18"/>
        <v>411.72251413175</v>
      </c>
      <c r="N139" s="147">
        <f t="shared" si="18"/>
        <v>476.21694978475</v>
      </c>
      <c r="O139" s="147">
        <f t="shared" si="18"/>
        <v>466.69194482475</v>
      </c>
      <c r="P139" s="147">
        <f t="shared" si="18"/>
        <v>512.88842415</v>
      </c>
      <c r="Q139" s="147">
        <f t="shared" si="18"/>
        <v>521.43510031175</v>
      </c>
      <c r="R139" s="147">
        <f t="shared" si="18"/>
        <v>602.6500906915</v>
      </c>
      <c r="S139" s="147">
        <f t="shared" si="18"/>
        <v>679.81726323975</v>
      </c>
      <c r="T139" s="147">
        <f t="shared" si="18"/>
        <v>469.11411073425</v>
      </c>
      <c r="U139" s="316">
        <f>SUM(I139:T139)</f>
        <v>6017.30992414075</v>
      </c>
    </row>
    <row r="140" ht="15" spans="3:21">
      <c r="C140" s="663" t="s">
        <v>422</v>
      </c>
      <c r="D140" s="676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</row>
    <row r="141" spans="3:21">
      <c r="C141" s="55"/>
      <c r="D141" s="55" t="s">
        <v>435</v>
      </c>
      <c r="E141" s="147"/>
      <c r="F141" s="147"/>
      <c r="G141" s="147"/>
      <c r="H141" s="147"/>
      <c r="I141" s="147">
        <f>'[43]F11-Year(n-1)'!E141</f>
        <v>1544.7334325</v>
      </c>
      <c r="J141" s="147">
        <f>'[43]F11-Year(n-1)'!F141</f>
        <v>247.02434</v>
      </c>
      <c r="K141" s="147">
        <f>'[43]F11-Year(n-1)'!G141</f>
        <v>196.1750975</v>
      </c>
      <c r="L141" s="147">
        <f>'[43]F11-Year(n-1)'!H141</f>
        <v>500.418595</v>
      </c>
      <c r="M141" s="147">
        <f>'[43]F11-Year(n-1)'!I141</f>
        <v>728.55769</v>
      </c>
      <c r="N141" s="147">
        <f>'[43]F11-Year(n-1)'!J141</f>
        <v>748.147375</v>
      </c>
      <c r="O141" s="147">
        <f>'[43]F11-Year(n-1)'!K141</f>
        <v>151.9730315</v>
      </c>
      <c r="P141" s="147">
        <f>'[43]F11-Year(n-1)'!L141</f>
        <v>34.8206325</v>
      </c>
      <c r="Q141" s="147">
        <f>'[43]F11-Year(n-1)'!M141</f>
        <v>604.37437</v>
      </c>
      <c r="R141" s="147">
        <f>'[43]F11-Year(n-1)'!N141</f>
        <v>1051.7168675</v>
      </c>
      <c r="S141" s="147">
        <f>'[43]F11-Year(n-1)'!O141</f>
        <v>1519.8058425</v>
      </c>
      <c r="T141" s="147">
        <f>'[43]F11-Year(n-1)'!P141</f>
        <v>2076.65048</v>
      </c>
      <c r="U141" s="147">
        <f t="shared" ref="U141:U151" si="19">+SUM(I141:T141)</f>
        <v>9404.397754</v>
      </c>
    </row>
    <row r="142" spans="3:21">
      <c r="C142" s="55"/>
      <c r="D142" s="55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>
        <f t="shared" si="19"/>
        <v>0</v>
      </c>
    </row>
    <row r="143" spans="3:21">
      <c r="C143" s="55"/>
      <c r="D143" s="55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>
        <f t="shared" si="19"/>
        <v>0</v>
      </c>
    </row>
    <row r="144" spans="3:21">
      <c r="C144" s="55"/>
      <c r="D144" s="55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>
        <f t="shared" si="19"/>
        <v>0</v>
      </c>
    </row>
    <row r="145" spans="3:21">
      <c r="C145" s="55"/>
      <c r="D145" s="55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>
        <f t="shared" si="19"/>
        <v>0</v>
      </c>
    </row>
    <row r="146" spans="3:21">
      <c r="C146" s="55"/>
      <c r="D146" s="55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>
        <f t="shared" si="19"/>
        <v>0</v>
      </c>
    </row>
    <row r="147" spans="3:21">
      <c r="C147" s="55"/>
      <c r="D147" s="55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>
        <f t="shared" si="19"/>
        <v>0</v>
      </c>
    </row>
    <row r="148" spans="3:21">
      <c r="C148" s="55"/>
      <c r="D148" s="55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>
        <f t="shared" si="19"/>
        <v>0</v>
      </c>
    </row>
    <row r="149" spans="3:21">
      <c r="C149" s="55"/>
      <c r="D149" s="55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>
        <f t="shared" si="19"/>
        <v>0</v>
      </c>
    </row>
    <row r="150" spans="3:21">
      <c r="C150" s="55"/>
      <c r="D150" s="55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>
        <f t="shared" si="19"/>
        <v>0</v>
      </c>
    </row>
    <row r="151" spans="3:21">
      <c r="C151" s="55"/>
      <c r="D151" s="55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>
        <f t="shared" si="19"/>
        <v>0</v>
      </c>
    </row>
    <row r="152" ht="15" spans="3:21">
      <c r="C152" s="44" t="s">
        <v>424</v>
      </c>
      <c r="D152" s="45"/>
      <c r="E152" s="147">
        <f t="shared" ref="E152:T152" si="20">SUM(E141:E151)</f>
        <v>0</v>
      </c>
      <c r="F152" s="147">
        <f t="shared" si="20"/>
        <v>0</v>
      </c>
      <c r="G152" s="147">
        <f t="shared" si="20"/>
        <v>0</v>
      </c>
      <c r="H152" s="147">
        <f t="shared" si="20"/>
        <v>0</v>
      </c>
      <c r="I152" s="147">
        <f t="shared" si="20"/>
        <v>1544.7334325</v>
      </c>
      <c r="J152" s="147">
        <f t="shared" si="20"/>
        <v>247.02434</v>
      </c>
      <c r="K152" s="147">
        <f t="shared" si="20"/>
        <v>196.1750975</v>
      </c>
      <c r="L152" s="147">
        <f t="shared" si="20"/>
        <v>500.418595</v>
      </c>
      <c r="M152" s="147">
        <f t="shared" si="20"/>
        <v>728.55769</v>
      </c>
      <c r="N152" s="147">
        <f t="shared" si="20"/>
        <v>748.147375</v>
      </c>
      <c r="O152" s="147">
        <f t="shared" si="20"/>
        <v>151.9730315</v>
      </c>
      <c r="P152" s="147">
        <f t="shared" si="20"/>
        <v>34.8206325</v>
      </c>
      <c r="Q152" s="147">
        <f t="shared" si="20"/>
        <v>604.37437</v>
      </c>
      <c r="R152" s="147">
        <f t="shared" si="20"/>
        <v>1051.7168675</v>
      </c>
      <c r="S152" s="147">
        <f t="shared" si="20"/>
        <v>1519.8058425</v>
      </c>
      <c r="T152" s="147">
        <f t="shared" si="20"/>
        <v>2076.65048</v>
      </c>
      <c r="U152" s="316">
        <f>SUM(I152:T152)</f>
        <v>9404.397754</v>
      </c>
    </row>
    <row r="153" ht="15" spans="3:21">
      <c r="C153" s="663" t="s">
        <v>425</v>
      </c>
      <c r="D153" s="676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</row>
    <row r="154" spans="3:21">
      <c r="C154" s="55" t="s">
        <v>426</v>
      </c>
      <c r="D154" s="55" t="s">
        <v>427</v>
      </c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>
        <f>+SUM(I154:T154)</f>
        <v>0</v>
      </c>
    </row>
    <row r="155" spans="3:21">
      <c r="C155" s="55" t="s">
        <v>426</v>
      </c>
      <c r="D155" s="55" t="s">
        <v>428</v>
      </c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>
        <f>+SUM(I155:T155)</f>
        <v>0</v>
      </c>
    </row>
    <row r="156" ht="15" spans="3:21">
      <c r="C156" s="44" t="s">
        <v>429</v>
      </c>
      <c r="D156" s="45"/>
      <c r="E156" s="147">
        <f t="shared" ref="E156:T156" si="21">SUM(E154:E155)</f>
        <v>0</v>
      </c>
      <c r="F156" s="147">
        <f t="shared" si="21"/>
        <v>0</v>
      </c>
      <c r="G156" s="147">
        <f t="shared" si="21"/>
        <v>0</v>
      </c>
      <c r="H156" s="147">
        <f t="shared" si="21"/>
        <v>0</v>
      </c>
      <c r="I156" s="147">
        <f t="shared" si="21"/>
        <v>0</v>
      </c>
      <c r="J156" s="147">
        <f t="shared" si="21"/>
        <v>0</v>
      </c>
      <c r="K156" s="147">
        <f t="shared" si="21"/>
        <v>0</v>
      </c>
      <c r="L156" s="147">
        <f t="shared" si="21"/>
        <v>0</v>
      </c>
      <c r="M156" s="147">
        <f t="shared" si="21"/>
        <v>0</v>
      </c>
      <c r="N156" s="147">
        <f t="shared" si="21"/>
        <v>0</v>
      </c>
      <c r="O156" s="147">
        <f t="shared" si="21"/>
        <v>0</v>
      </c>
      <c r="P156" s="147">
        <f t="shared" si="21"/>
        <v>0</v>
      </c>
      <c r="Q156" s="147">
        <f t="shared" si="21"/>
        <v>0</v>
      </c>
      <c r="R156" s="147">
        <f t="shared" si="21"/>
        <v>0</v>
      </c>
      <c r="S156" s="147">
        <f t="shared" si="21"/>
        <v>0</v>
      </c>
      <c r="T156" s="147">
        <f t="shared" si="21"/>
        <v>0</v>
      </c>
      <c r="U156" s="316">
        <f>U154-U155</f>
        <v>0</v>
      </c>
    </row>
    <row r="157" ht="15" spans="3:21">
      <c r="C157" s="44" t="s">
        <v>224</v>
      </c>
      <c r="D157" s="45"/>
      <c r="E157" s="147">
        <f t="shared" ref="E157:U157" si="22">E48+E94+E103+E113+E139+E152+E156</f>
        <v>30066.08</v>
      </c>
      <c r="F157" s="147">
        <f t="shared" si="22"/>
        <v>0</v>
      </c>
      <c r="G157" s="147">
        <f t="shared" si="22"/>
        <v>17955.1215</v>
      </c>
      <c r="H157" s="147">
        <f t="shared" si="22"/>
        <v>11133.22066325</v>
      </c>
      <c r="I157" s="147" t="e">
        <f t="shared" si="22"/>
        <v>#REF!</v>
      </c>
      <c r="J157" s="147" t="e">
        <f t="shared" si="22"/>
        <v>#REF!</v>
      </c>
      <c r="K157" s="147" t="e">
        <f t="shared" si="22"/>
        <v>#REF!</v>
      </c>
      <c r="L157" s="147" t="e">
        <f t="shared" si="22"/>
        <v>#REF!</v>
      </c>
      <c r="M157" s="147" t="e">
        <f t="shared" si="22"/>
        <v>#REF!</v>
      </c>
      <c r="N157" s="147" t="e">
        <f t="shared" si="22"/>
        <v>#REF!</v>
      </c>
      <c r="O157" s="147" t="e">
        <f t="shared" si="22"/>
        <v>#REF!</v>
      </c>
      <c r="P157" s="147" t="e">
        <f t="shared" si="22"/>
        <v>#REF!</v>
      </c>
      <c r="Q157" s="147" t="e">
        <f t="shared" si="22"/>
        <v>#REF!</v>
      </c>
      <c r="R157" s="147" t="e">
        <f t="shared" si="22"/>
        <v>#REF!</v>
      </c>
      <c r="S157" s="147" t="e">
        <f t="shared" si="22"/>
        <v>#REF!</v>
      </c>
      <c r="T157" s="147" t="e">
        <f t="shared" si="22"/>
        <v>#REF!</v>
      </c>
      <c r="U157" s="316" t="e">
        <f t="shared" si="22"/>
        <v>#REF!</v>
      </c>
    </row>
    <row r="160" ht="15" spans="4:9">
      <c r="D160" s="11"/>
      <c r="E160" s="11"/>
      <c r="F160" s="11"/>
      <c r="G160" s="11"/>
      <c r="H160" s="11"/>
      <c r="I160" s="11"/>
    </row>
    <row r="161" spans="4:9">
      <c r="D161" s="13"/>
      <c r="E161" s="13"/>
      <c r="F161" s="13"/>
      <c r="G161" s="13"/>
      <c r="H161" s="13"/>
      <c r="I161" s="13"/>
    </row>
    <row r="162" spans="5:9">
      <c r="E162" s="13"/>
      <c r="F162" s="13"/>
      <c r="G162" s="13"/>
      <c r="H162" s="13"/>
      <c r="I162" s="13"/>
    </row>
    <row r="163" spans="5:9">
      <c r="E163" s="13"/>
      <c r="F163" s="13"/>
      <c r="G163" s="13"/>
      <c r="H163" s="13"/>
      <c r="I163" s="13"/>
    </row>
  </sheetData>
  <mergeCells count="36">
    <mergeCell ref="D2:U2"/>
    <mergeCell ref="C3:U3"/>
    <mergeCell ref="I5:U5"/>
    <mergeCell ref="C7:D7"/>
    <mergeCell ref="C8:D8"/>
    <mergeCell ref="C27:D27"/>
    <mergeCell ref="C28:D28"/>
    <mergeCell ref="C47:D47"/>
    <mergeCell ref="C48:D48"/>
    <mergeCell ref="C49:D49"/>
    <mergeCell ref="C50:D50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6:D156"/>
    <mergeCell ref="C157:D157"/>
    <mergeCell ref="C5:C6"/>
    <mergeCell ref="C9:C26"/>
    <mergeCell ref="C29:C46"/>
    <mergeCell ref="C51:C59"/>
    <mergeCell ref="C79:C82"/>
    <mergeCell ref="D5:D6"/>
    <mergeCell ref="E5:E6"/>
    <mergeCell ref="F5:F6"/>
    <mergeCell ref="G5:G6"/>
    <mergeCell ref="H5:H6"/>
  </mergeCells>
  <pageMargins left="0.7" right="0.7" top="0.75" bottom="0.75" header="0.3" footer="0.3"/>
  <pageSetup paperSize="1" orientation="portrait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B2:V162"/>
  <sheetViews>
    <sheetView showGridLines="0" zoomScale="65" zoomScaleNormal="65" workbookViewId="0">
      <pane ySplit="7" topLeftCell="A75" activePane="bottomLeft" state="frozen"/>
      <selection/>
      <selection pane="bottomLeft" activeCell="E81" sqref="E81"/>
    </sheetView>
  </sheetViews>
  <sheetFormatPr defaultColWidth="9.14285714285714" defaultRowHeight="14.25"/>
  <cols>
    <col min="1" max="1" width="3.14285714285714" style="12" hidden="1" customWidth="1"/>
    <col min="2" max="2" width="8.14285714285714" style="12" hidden="1" customWidth="1"/>
    <col min="3" max="3" width="22.1428571428571" style="12" customWidth="1"/>
    <col min="4" max="4" width="41.1428571428571" style="12" customWidth="1"/>
    <col min="5" max="7" width="16.4285714285714" style="12" customWidth="1"/>
    <col min="8" max="8" width="16.8571428571429" style="12" customWidth="1"/>
    <col min="9" max="9" width="13.8571428571429" style="12" customWidth="1"/>
    <col min="10" max="10" width="13.1428571428571" style="12" customWidth="1"/>
    <col min="11" max="11" width="13.5714285714286" style="12" customWidth="1"/>
    <col min="12" max="12" width="13.8571428571429" style="12" customWidth="1"/>
    <col min="13" max="13" width="13.1428571428571" style="12" customWidth="1"/>
    <col min="14" max="14" width="14.8571428571429" style="12" customWidth="1"/>
    <col min="15" max="15" width="12.5714285714286" style="12" customWidth="1"/>
    <col min="16" max="16" width="13.1428571428571" style="12" customWidth="1"/>
    <col min="17" max="17" width="14" style="12" customWidth="1"/>
    <col min="18" max="20" width="13.1428571428571" style="12" customWidth="1"/>
    <col min="21" max="21" width="13.8571428571429" style="12" customWidth="1"/>
    <col min="22" max="22" width="12.4285714285714" style="12" customWidth="1"/>
    <col min="23" max="23" width="12.8571428571429" style="12" customWidth="1"/>
    <col min="24" max="16384" width="9.14285714285714" style="12"/>
  </cols>
  <sheetData>
    <row r="2" customHeight="1" spans="3:21">
      <c r="C2" s="2" t="s">
        <v>156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customHeight="1" spans="3:21">
      <c r="C3" s="800" t="s">
        <v>436</v>
      </c>
      <c r="D3" s="800"/>
      <c r="E3" s="800"/>
      <c r="F3" s="800"/>
      <c r="G3" s="800"/>
      <c r="H3" s="800"/>
      <c r="I3" s="800"/>
      <c r="J3" s="800"/>
      <c r="K3" s="800"/>
      <c r="L3" s="800"/>
      <c r="M3" s="800"/>
      <c r="N3" s="800"/>
      <c r="O3" s="800"/>
      <c r="P3" s="800"/>
      <c r="Q3" s="800"/>
      <c r="R3" s="800"/>
      <c r="S3" s="800"/>
      <c r="T3" s="800"/>
      <c r="U3" s="800"/>
    </row>
    <row r="4" ht="14.1" customHeight="1" spans="3:21">
      <c r="C4" s="658" t="s">
        <v>345</v>
      </c>
      <c r="D4" s="658" t="s">
        <v>346</v>
      </c>
      <c r="E4" s="16" t="s">
        <v>431</v>
      </c>
      <c r="F4" s="16" t="s">
        <v>432</v>
      </c>
      <c r="G4" s="16" t="s">
        <v>433</v>
      </c>
      <c r="H4" s="16" t="s">
        <v>434</v>
      </c>
      <c r="I4" s="135" t="s">
        <v>164</v>
      </c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</row>
    <row r="5" ht="15" customHeight="1" spans="3:21">
      <c r="C5" s="660"/>
      <c r="D5" s="660"/>
      <c r="E5" s="309"/>
      <c r="F5" s="309"/>
      <c r="G5" s="309"/>
      <c r="H5" s="309"/>
      <c r="I5" s="135" t="s">
        <v>246</v>
      </c>
      <c r="J5" s="135" t="s">
        <v>247</v>
      </c>
      <c r="K5" s="135" t="s">
        <v>248</v>
      </c>
      <c r="L5" s="135" t="s">
        <v>249</v>
      </c>
      <c r="M5" s="135" t="s">
        <v>250</v>
      </c>
      <c r="N5" s="135" t="s">
        <v>251</v>
      </c>
      <c r="O5" s="135" t="s">
        <v>252</v>
      </c>
      <c r="P5" s="135" t="s">
        <v>253</v>
      </c>
      <c r="Q5" s="135" t="s">
        <v>254</v>
      </c>
      <c r="R5" s="135" t="s">
        <v>255</v>
      </c>
      <c r="S5" s="135" t="s">
        <v>256</v>
      </c>
      <c r="T5" s="135" t="s">
        <v>257</v>
      </c>
      <c r="U5" s="135" t="s">
        <v>97</v>
      </c>
    </row>
    <row r="6" ht="15" spans="3:21">
      <c r="C6" s="662"/>
      <c r="D6" s="662"/>
      <c r="E6" s="535"/>
      <c r="F6" s="535"/>
      <c r="G6" s="535"/>
      <c r="H6" s="535"/>
      <c r="I6" s="135" t="s">
        <v>130</v>
      </c>
      <c r="J6" s="135" t="s">
        <v>130</v>
      </c>
      <c r="K6" s="135" t="s">
        <v>130</v>
      </c>
      <c r="L6" s="135" t="s">
        <v>130</v>
      </c>
      <c r="M6" s="135" t="s">
        <v>130</v>
      </c>
      <c r="N6" s="135" t="s">
        <v>130</v>
      </c>
      <c r="O6" s="135" t="s">
        <v>131</v>
      </c>
      <c r="P6" s="135" t="s">
        <v>131</v>
      </c>
      <c r="Q6" s="135" t="s">
        <v>131</v>
      </c>
      <c r="R6" s="135" t="s">
        <v>131</v>
      </c>
      <c r="S6" s="135" t="s">
        <v>131</v>
      </c>
      <c r="T6" s="135" t="s">
        <v>131</v>
      </c>
      <c r="U6" s="135" t="s">
        <v>131</v>
      </c>
    </row>
    <row r="7" ht="15" spans="2:21">
      <c r="B7" s="656"/>
      <c r="C7" s="663" t="s">
        <v>349</v>
      </c>
      <c r="D7" s="676"/>
      <c r="E7" s="47"/>
      <c r="F7" s="47"/>
      <c r="G7" s="749"/>
      <c r="H7" s="47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</row>
    <row r="8" ht="15" spans="3:21">
      <c r="C8" s="44" t="s">
        <v>350</v>
      </c>
      <c r="D8" s="4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</row>
    <row r="9" spans="2:21">
      <c r="B9" s="656"/>
      <c r="C9" s="677" t="s">
        <v>351</v>
      </c>
      <c r="D9" s="47" t="s">
        <v>352</v>
      </c>
      <c r="E9" s="752">
        <v>500</v>
      </c>
      <c r="F9" s="752"/>
      <c r="G9" s="752">
        <f t="shared" ref="G9:G16" si="0">E9</f>
        <v>500</v>
      </c>
      <c r="H9" s="752">
        <f t="shared" ref="H9:H16" si="1">G9*0.7055</f>
        <v>352.75</v>
      </c>
      <c r="I9" s="147">
        <f t="shared" ref="I9:I15" si="2">$H9*0.85*30*24/1000</f>
        <v>215.883</v>
      </c>
      <c r="J9" s="147">
        <f t="shared" ref="J9:J15" si="3">$H9*0.85*31*24/1000</f>
        <v>223.0791</v>
      </c>
      <c r="K9" s="147">
        <f t="shared" ref="K9:K15" si="4">$H9*0.85*30*24/1000</f>
        <v>215.883</v>
      </c>
      <c r="L9" s="147">
        <f t="shared" ref="L9:M15" si="5">$H9*0.85*31*24/1000</f>
        <v>223.0791</v>
      </c>
      <c r="M9" s="147">
        <f t="shared" si="5"/>
        <v>223.0791</v>
      </c>
      <c r="N9" s="147">
        <f t="shared" ref="N9:N15" si="6">$H9*0.85*30*24/1000</f>
        <v>215.883</v>
      </c>
      <c r="O9" s="147">
        <f t="shared" ref="O9:O15" si="7">$H9*0.85*31*24/1000</f>
        <v>223.0791</v>
      </c>
      <c r="P9" s="147">
        <f t="shared" ref="P9:P15" si="8">$H9*0.85*30*24/1000</f>
        <v>215.883</v>
      </c>
      <c r="Q9" s="147">
        <f t="shared" ref="Q9:R15" si="9">$H9*0.85*31*24/1000</f>
        <v>223.0791</v>
      </c>
      <c r="R9" s="147">
        <f t="shared" si="9"/>
        <v>223.0791</v>
      </c>
      <c r="S9" s="147">
        <f t="shared" ref="S9:S15" si="10">$H9*0.85*28*24/1000</f>
        <v>201.4908</v>
      </c>
      <c r="T9" s="147">
        <f t="shared" ref="T9:T15" si="11">$H9*0.85*31*24/1000</f>
        <v>223.0791</v>
      </c>
      <c r="U9" s="147">
        <f t="shared" ref="U9:U26" si="12">+SUM(I9:T9)</f>
        <v>2626.5765</v>
      </c>
    </row>
    <row r="10" customHeight="1" spans="2:21">
      <c r="B10" s="656"/>
      <c r="C10" s="678"/>
      <c r="D10" s="47" t="s">
        <v>353</v>
      </c>
      <c r="E10" s="752">
        <v>500</v>
      </c>
      <c r="F10" s="752"/>
      <c r="G10" s="752">
        <f t="shared" si="0"/>
        <v>500</v>
      </c>
      <c r="H10" s="752">
        <f t="shared" si="1"/>
        <v>352.75</v>
      </c>
      <c r="I10" s="147">
        <f t="shared" si="2"/>
        <v>215.883</v>
      </c>
      <c r="J10" s="147">
        <f t="shared" si="3"/>
        <v>223.0791</v>
      </c>
      <c r="K10" s="147">
        <f t="shared" si="4"/>
        <v>215.883</v>
      </c>
      <c r="L10" s="147">
        <f t="shared" si="5"/>
        <v>223.0791</v>
      </c>
      <c r="M10" s="147">
        <f t="shared" si="5"/>
        <v>223.0791</v>
      </c>
      <c r="N10" s="147">
        <f t="shared" si="6"/>
        <v>215.883</v>
      </c>
      <c r="O10" s="147">
        <f t="shared" si="7"/>
        <v>223.0791</v>
      </c>
      <c r="P10" s="147">
        <f t="shared" si="8"/>
        <v>215.883</v>
      </c>
      <c r="Q10" s="147">
        <f t="shared" si="9"/>
        <v>223.0791</v>
      </c>
      <c r="R10" s="147">
        <f t="shared" si="9"/>
        <v>223.0791</v>
      </c>
      <c r="S10" s="147">
        <f t="shared" si="10"/>
        <v>201.4908</v>
      </c>
      <c r="T10" s="147">
        <f t="shared" si="11"/>
        <v>223.0791</v>
      </c>
      <c r="U10" s="147">
        <f t="shared" si="12"/>
        <v>2626.5765</v>
      </c>
    </row>
    <row r="11" spans="2:21">
      <c r="B11" s="656"/>
      <c r="C11" s="678"/>
      <c r="D11" s="47" t="s">
        <v>354</v>
      </c>
      <c r="E11" s="752">
        <v>800</v>
      </c>
      <c r="F11" s="752"/>
      <c r="G11" s="752">
        <f t="shared" si="0"/>
        <v>800</v>
      </c>
      <c r="H11" s="752">
        <f t="shared" si="1"/>
        <v>564.4</v>
      </c>
      <c r="I11" s="147">
        <f t="shared" si="2"/>
        <v>345.4128</v>
      </c>
      <c r="J11" s="147">
        <f t="shared" si="3"/>
        <v>356.92656</v>
      </c>
      <c r="K11" s="147">
        <f t="shared" si="4"/>
        <v>345.4128</v>
      </c>
      <c r="L11" s="147">
        <f t="shared" si="5"/>
        <v>356.92656</v>
      </c>
      <c r="M11" s="147">
        <f t="shared" si="5"/>
        <v>356.92656</v>
      </c>
      <c r="N11" s="147">
        <f t="shared" si="6"/>
        <v>345.4128</v>
      </c>
      <c r="O11" s="147">
        <f t="shared" si="7"/>
        <v>356.92656</v>
      </c>
      <c r="P11" s="147">
        <f t="shared" si="8"/>
        <v>345.4128</v>
      </c>
      <c r="Q11" s="147">
        <f t="shared" si="9"/>
        <v>356.92656</v>
      </c>
      <c r="R11" s="147">
        <f t="shared" si="9"/>
        <v>356.92656</v>
      </c>
      <c r="S11" s="147">
        <f t="shared" si="10"/>
        <v>322.38528</v>
      </c>
      <c r="T11" s="147">
        <f t="shared" si="11"/>
        <v>356.92656</v>
      </c>
      <c r="U11" s="147">
        <f t="shared" si="12"/>
        <v>4202.5224</v>
      </c>
    </row>
    <row r="12" spans="2:21">
      <c r="B12" s="656"/>
      <c r="C12" s="678"/>
      <c r="D12" s="47" t="s">
        <v>355</v>
      </c>
      <c r="E12" s="752">
        <v>62.5</v>
      </c>
      <c r="F12" s="752"/>
      <c r="G12" s="752">
        <f t="shared" si="0"/>
        <v>62.5</v>
      </c>
      <c r="H12" s="752">
        <f t="shared" si="1"/>
        <v>44.09375</v>
      </c>
      <c r="I12" s="147">
        <f t="shared" si="2"/>
        <v>26.985375</v>
      </c>
      <c r="J12" s="147">
        <f t="shared" si="3"/>
        <v>27.8848875</v>
      </c>
      <c r="K12" s="147">
        <f t="shared" si="4"/>
        <v>26.985375</v>
      </c>
      <c r="L12" s="147">
        <f t="shared" si="5"/>
        <v>27.8848875</v>
      </c>
      <c r="M12" s="147">
        <f t="shared" si="5"/>
        <v>27.8848875</v>
      </c>
      <c r="N12" s="147">
        <f t="shared" si="6"/>
        <v>26.985375</v>
      </c>
      <c r="O12" s="147">
        <f t="shared" si="7"/>
        <v>27.8848875</v>
      </c>
      <c r="P12" s="147">
        <f t="shared" si="8"/>
        <v>26.985375</v>
      </c>
      <c r="Q12" s="147">
        <f t="shared" si="9"/>
        <v>27.8848875</v>
      </c>
      <c r="R12" s="147">
        <f t="shared" si="9"/>
        <v>27.8848875</v>
      </c>
      <c r="S12" s="147">
        <f t="shared" si="10"/>
        <v>25.18635</v>
      </c>
      <c r="T12" s="147">
        <f t="shared" si="11"/>
        <v>27.8848875</v>
      </c>
      <c r="U12" s="147">
        <f t="shared" si="12"/>
        <v>328.3220625</v>
      </c>
    </row>
    <row r="13" spans="2:21">
      <c r="B13" s="656"/>
      <c r="C13" s="678"/>
      <c r="D13" s="47" t="s">
        <v>356</v>
      </c>
      <c r="E13" s="752">
        <v>500</v>
      </c>
      <c r="F13" s="752"/>
      <c r="G13" s="752">
        <f t="shared" si="0"/>
        <v>500</v>
      </c>
      <c r="H13" s="752">
        <f t="shared" si="1"/>
        <v>352.75</v>
      </c>
      <c r="I13" s="147">
        <f t="shared" si="2"/>
        <v>215.883</v>
      </c>
      <c r="J13" s="147">
        <f t="shared" si="3"/>
        <v>223.0791</v>
      </c>
      <c r="K13" s="147">
        <f t="shared" si="4"/>
        <v>215.883</v>
      </c>
      <c r="L13" s="147">
        <f t="shared" si="5"/>
        <v>223.0791</v>
      </c>
      <c r="M13" s="147">
        <f t="shared" si="5"/>
        <v>223.0791</v>
      </c>
      <c r="N13" s="147">
        <f t="shared" si="6"/>
        <v>215.883</v>
      </c>
      <c r="O13" s="147">
        <f t="shared" si="7"/>
        <v>223.0791</v>
      </c>
      <c r="P13" s="147">
        <f t="shared" si="8"/>
        <v>215.883</v>
      </c>
      <c r="Q13" s="147">
        <f t="shared" si="9"/>
        <v>223.0791</v>
      </c>
      <c r="R13" s="147">
        <f t="shared" si="9"/>
        <v>223.0791</v>
      </c>
      <c r="S13" s="147">
        <f t="shared" si="10"/>
        <v>201.4908</v>
      </c>
      <c r="T13" s="147">
        <f t="shared" si="11"/>
        <v>223.0791</v>
      </c>
      <c r="U13" s="147">
        <f t="shared" si="12"/>
        <v>2626.5765</v>
      </c>
    </row>
    <row r="14" spans="2:21">
      <c r="B14" s="656"/>
      <c r="C14" s="678"/>
      <c r="D14" s="47" t="s">
        <v>357</v>
      </c>
      <c r="E14" s="752">
        <v>600</v>
      </c>
      <c r="F14" s="752"/>
      <c r="G14" s="752">
        <f t="shared" si="0"/>
        <v>600</v>
      </c>
      <c r="H14" s="752">
        <f t="shared" si="1"/>
        <v>423.3</v>
      </c>
      <c r="I14" s="147">
        <f t="shared" si="2"/>
        <v>259.0596</v>
      </c>
      <c r="J14" s="147">
        <f t="shared" si="3"/>
        <v>267.69492</v>
      </c>
      <c r="K14" s="147">
        <f t="shared" si="4"/>
        <v>259.0596</v>
      </c>
      <c r="L14" s="147">
        <f t="shared" si="5"/>
        <v>267.69492</v>
      </c>
      <c r="M14" s="147">
        <f t="shared" si="5"/>
        <v>267.69492</v>
      </c>
      <c r="N14" s="147">
        <f t="shared" si="6"/>
        <v>259.0596</v>
      </c>
      <c r="O14" s="147">
        <f t="shared" si="7"/>
        <v>267.69492</v>
      </c>
      <c r="P14" s="147">
        <f t="shared" si="8"/>
        <v>259.0596</v>
      </c>
      <c r="Q14" s="147">
        <f t="shared" si="9"/>
        <v>267.69492</v>
      </c>
      <c r="R14" s="147">
        <f t="shared" si="9"/>
        <v>267.69492</v>
      </c>
      <c r="S14" s="147">
        <f t="shared" si="10"/>
        <v>241.78896</v>
      </c>
      <c r="T14" s="147">
        <f t="shared" si="11"/>
        <v>267.69492</v>
      </c>
      <c r="U14" s="147">
        <f t="shared" si="12"/>
        <v>3151.8918</v>
      </c>
    </row>
    <row r="15" spans="2:22">
      <c r="B15" s="656"/>
      <c r="C15" s="678"/>
      <c r="D15" s="47" t="s">
        <v>358</v>
      </c>
      <c r="E15" s="752">
        <v>1080</v>
      </c>
      <c r="F15" s="752"/>
      <c r="G15" s="752">
        <f t="shared" si="0"/>
        <v>1080</v>
      </c>
      <c r="H15" s="752">
        <f t="shared" si="1"/>
        <v>761.94</v>
      </c>
      <c r="I15" s="147">
        <f t="shared" si="2"/>
        <v>466.30728</v>
      </c>
      <c r="J15" s="147">
        <f t="shared" si="3"/>
        <v>481.850856</v>
      </c>
      <c r="K15" s="147">
        <f t="shared" si="4"/>
        <v>466.30728</v>
      </c>
      <c r="L15" s="147">
        <f t="shared" si="5"/>
        <v>481.850856</v>
      </c>
      <c r="M15" s="147">
        <f t="shared" si="5"/>
        <v>481.850856</v>
      </c>
      <c r="N15" s="147">
        <f t="shared" si="6"/>
        <v>466.30728</v>
      </c>
      <c r="O15" s="147">
        <f t="shared" si="7"/>
        <v>481.850856</v>
      </c>
      <c r="P15" s="147">
        <f t="shared" si="8"/>
        <v>466.30728</v>
      </c>
      <c r="Q15" s="147">
        <f t="shared" si="9"/>
        <v>481.850856</v>
      </c>
      <c r="R15" s="147">
        <f t="shared" si="9"/>
        <v>481.850856</v>
      </c>
      <c r="S15" s="147">
        <f t="shared" si="10"/>
        <v>435.220128</v>
      </c>
      <c r="T15" s="147">
        <f t="shared" si="11"/>
        <v>481.850856</v>
      </c>
      <c r="U15" s="147">
        <f t="shared" si="12"/>
        <v>5673.40524</v>
      </c>
      <c r="V15" s="119"/>
    </row>
    <row r="16" spans="2:21">
      <c r="B16" s="656"/>
      <c r="C16" s="678"/>
      <c r="D16" s="685" t="s">
        <v>359</v>
      </c>
      <c r="E16" s="752">
        <v>1600</v>
      </c>
      <c r="F16" s="752"/>
      <c r="G16" s="752">
        <f t="shared" si="0"/>
        <v>1600</v>
      </c>
      <c r="H16" s="752">
        <f t="shared" si="1"/>
        <v>1128.8</v>
      </c>
      <c r="I16" s="147">
        <v>0</v>
      </c>
      <c r="J16" s="147">
        <v>0</v>
      </c>
      <c r="K16" s="147">
        <v>0</v>
      </c>
      <c r="L16" s="147">
        <v>0</v>
      </c>
      <c r="M16" s="147">
        <v>0</v>
      </c>
      <c r="N16" s="147">
        <v>0</v>
      </c>
      <c r="O16" s="147">
        <v>0</v>
      </c>
      <c r="P16" s="147">
        <v>0</v>
      </c>
      <c r="Q16" s="147">
        <v>0</v>
      </c>
      <c r="R16" s="147">
        <v>0</v>
      </c>
      <c r="S16" s="147">
        <v>0</v>
      </c>
      <c r="T16" s="147">
        <v>0</v>
      </c>
      <c r="U16" s="147">
        <f t="shared" si="12"/>
        <v>0</v>
      </c>
    </row>
    <row r="17" spans="2:21">
      <c r="B17" s="656"/>
      <c r="C17" s="678"/>
      <c r="D17" s="47"/>
      <c r="E17" s="752"/>
      <c r="F17" s="752"/>
      <c r="G17" s="752"/>
      <c r="H17" s="752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>
        <f t="shared" si="12"/>
        <v>0</v>
      </c>
    </row>
    <row r="18" spans="2:21">
      <c r="B18" s="656"/>
      <c r="C18" s="678"/>
      <c r="D18" s="47"/>
      <c r="E18" s="752"/>
      <c r="F18" s="752"/>
      <c r="G18" s="752"/>
      <c r="H18" s="752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>
        <f t="shared" si="12"/>
        <v>0</v>
      </c>
    </row>
    <row r="19" spans="2:21">
      <c r="B19" s="656"/>
      <c r="C19" s="678"/>
      <c r="D19" s="47"/>
      <c r="E19" s="752"/>
      <c r="F19" s="752"/>
      <c r="G19" s="752"/>
      <c r="H19" s="752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>
        <f t="shared" si="12"/>
        <v>0</v>
      </c>
    </row>
    <row r="20" spans="2:21">
      <c r="B20" s="656"/>
      <c r="C20" s="678"/>
      <c r="D20" s="47"/>
      <c r="E20" s="752"/>
      <c r="F20" s="752"/>
      <c r="G20" s="752"/>
      <c r="H20" s="752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>
        <f t="shared" si="12"/>
        <v>0</v>
      </c>
    </row>
    <row r="21" spans="2:21">
      <c r="B21" s="656"/>
      <c r="C21" s="678"/>
      <c r="D21" s="47"/>
      <c r="E21" s="752"/>
      <c r="F21" s="752"/>
      <c r="G21" s="752"/>
      <c r="H21" s="752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>
        <f t="shared" si="12"/>
        <v>0</v>
      </c>
    </row>
    <row r="22" spans="2:21">
      <c r="B22" s="656"/>
      <c r="C22" s="678"/>
      <c r="D22" s="47"/>
      <c r="E22" s="752"/>
      <c r="F22" s="752"/>
      <c r="G22" s="752"/>
      <c r="H22" s="752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>
        <f t="shared" si="12"/>
        <v>0</v>
      </c>
    </row>
    <row r="23" spans="2:21">
      <c r="B23" s="656"/>
      <c r="C23" s="678"/>
      <c r="D23" s="47"/>
      <c r="E23" s="752"/>
      <c r="F23" s="752"/>
      <c r="G23" s="752"/>
      <c r="H23" s="752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>
        <f t="shared" si="12"/>
        <v>0</v>
      </c>
    </row>
    <row r="24" spans="2:21">
      <c r="B24" s="656"/>
      <c r="C24" s="678"/>
      <c r="D24" s="47"/>
      <c r="E24" s="752"/>
      <c r="F24" s="752"/>
      <c r="G24" s="752"/>
      <c r="H24" s="752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>
        <f t="shared" si="12"/>
        <v>0</v>
      </c>
    </row>
    <row r="25" spans="2:21">
      <c r="B25" s="656"/>
      <c r="C25" s="678"/>
      <c r="D25" s="47"/>
      <c r="E25" s="752"/>
      <c r="F25" s="752"/>
      <c r="G25" s="752"/>
      <c r="H25" s="752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>
        <f t="shared" si="12"/>
        <v>0</v>
      </c>
    </row>
    <row r="26" spans="2:21">
      <c r="B26" s="656"/>
      <c r="C26" s="680"/>
      <c r="D26" s="47"/>
      <c r="E26" s="752"/>
      <c r="F26" s="752"/>
      <c r="G26" s="752"/>
      <c r="H26" s="752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>
        <f t="shared" si="12"/>
        <v>0</v>
      </c>
    </row>
    <row r="27" ht="15" spans="3:21">
      <c r="C27" s="537" t="s">
        <v>211</v>
      </c>
      <c r="D27" s="540"/>
      <c r="E27" s="147">
        <f t="shared" ref="E27:T27" si="13">SUM(E9:E26)</f>
        <v>5642.5</v>
      </c>
      <c r="F27" s="147">
        <f t="shared" si="13"/>
        <v>0</v>
      </c>
      <c r="G27" s="147">
        <f t="shared" si="13"/>
        <v>5642.5</v>
      </c>
      <c r="H27" s="147">
        <f t="shared" si="13"/>
        <v>3980.78375</v>
      </c>
      <c r="I27" s="147">
        <f t="shared" si="13"/>
        <v>1745.414055</v>
      </c>
      <c r="J27" s="147">
        <f t="shared" si="13"/>
        <v>1803.5945235</v>
      </c>
      <c r="K27" s="147">
        <f t="shared" si="13"/>
        <v>1745.414055</v>
      </c>
      <c r="L27" s="147">
        <f t="shared" si="13"/>
        <v>1803.5945235</v>
      </c>
      <c r="M27" s="147">
        <f t="shared" si="13"/>
        <v>1803.5945235</v>
      </c>
      <c r="N27" s="147">
        <f t="shared" si="13"/>
        <v>1745.414055</v>
      </c>
      <c r="O27" s="147">
        <f t="shared" si="13"/>
        <v>1803.5945235</v>
      </c>
      <c r="P27" s="147">
        <f t="shared" si="13"/>
        <v>1745.414055</v>
      </c>
      <c r="Q27" s="147">
        <f t="shared" si="13"/>
        <v>1803.5945235</v>
      </c>
      <c r="R27" s="147">
        <f t="shared" si="13"/>
        <v>1803.5945235</v>
      </c>
      <c r="S27" s="147">
        <f t="shared" si="13"/>
        <v>1629.053118</v>
      </c>
      <c r="T27" s="147">
        <f t="shared" si="13"/>
        <v>1803.5945235</v>
      </c>
      <c r="U27" s="316">
        <f>SUM(I27:T27)</f>
        <v>21235.8710025</v>
      </c>
    </row>
    <row r="28" ht="15" spans="3:21">
      <c r="C28" s="44" t="s">
        <v>360</v>
      </c>
      <c r="D28" s="45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</row>
    <row r="29" spans="3:21">
      <c r="C29" s="682" t="s">
        <v>351</v>
      </c>
      <c r="D29" s="55" t="s">
        <v>361</v>
      </c>
      <c r="E29" s="147">
        <v>234</v>
      </c>
      <c r="F29" s="147"/>
      <c r="G29" s="147">
        <f>117</f>
        <v>117</v>
      </c>
      <c r="H29" s="147">
        <f t="shared" ref="H29:H46" si="14">G29*0.7055</f>
        <v>82.5435</v>
      </c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>
        <f t="shared" ref="U29:U46" si="15">+SUM(I29:T29)</f>
        <v>0</v>
      </c>
    </row>
    <row r="30" spans="3:21">
      <c r="C30" s="683"/>
      <c r="D30" s="55" t="s">
        <v>362</v>
      </c>
      <c r="E30" s="147">
        <v>875.6</v>
      </c>
      <c r="F30" s="147"/>
      <c r="G30" s="147">
        <v>875.6</v>
      </c>
      <c r="H30" s="147">
        <f t="shared" si="14"/>
        <v>617.7358</v>
      </c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>
        <f t="shared" si="15"/>
        <v>0</v>
      </c>
    </row>
    <row r="31" spans="3:21">
      <c r="C31" s="683"/>
      <c r="D31" s="55" t="s">
        <v>363</v>
      </c>
      <c r="E31" s="147">
        <v>900</v>
      </c>
      <c r="F31" s="147"/>
      <c r="G31" s="147">
        <v>900</v>
      </c>
      <c r="H31" s="147">
        <f t="shared" si="14"/>
        <v>634.95</v>
      </c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>
        <f t="shared" si="15"/>
        <v>0</v>
      </c>
    </row>
    <row r="32" spans="3:21">
      <c r="C32" s="683"/>
      <c r="D32" s="55" t="s">
        <v>364</v>
      </c>
      <c r="E32" s="147">
        <v>240</v>
      </c>
      <c r="F32" s="147"/>
      <c r="G32" s="147">
        <v>240</v>
      </c>
      <c r="H32" s="147">
        <f t="shared" si="14"/>
        <v>169.32</v>
      </c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>
        <f t="shared" si="15"/>
        <v>0</v>
      </c>
    </row>
    <row r="33" spans="3:21">
      <c r="C33" s="683"/>
      <c r="D33" s="55" t="s">
        <v>365</v>
      </c>
      <c r="E33" s="147">
        <v>120</v>
      </c>
      <c r="F33" s="147"/>
      <c r="G33" s="147">
        <v>120</v>
      </c>
      <c r="H33" s="147">
        <f t="shared" si="14"/>
        <v>84.66</v>
      </c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>
        <f t="shared" si="15"/>
        <v>0</v>
      </c>
    </row>
    <row r="34" spans="3:21">
      <c r="C34" s="683"/>
      <c r="D34" s="55" t="s">
        <v>366</v>
      </c>
      <c r="E34" s="147">
        <v>9</v>
      </c>
      <c r="F34" s="147"/>
      <c r="G34" s="147">
        <v>9</v>
      </c>
      <c r="H34" s="147">
        <f t="shared" si="14"/>
        <v>6.3495</v>
      </c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>
        <f t="shared" si="15"/>
        <v>0</v>
      </c>
    </row>
    <row r="35" spans="3:21">
      <c r="C35" s="683"/>
      <c r="D35" s="55" t="s">
        <v>367</v>
      </c>
      <c r="E35" s="147">
        <v>54</v>
      </c>
      <c r="F35" s="147"/>
      <c r="G35" s="147">
        <v>54</v>
      </c>
      <c r="H35" s="147">
        <f t="shared" si="14"/>
        <v>38.097</v>
      </c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>
        <f t="shared" si="15"/>
        <v>0</v>
      </c>
    </row>
    <row r="36" spans="3:21">
      <c r="C36" s="683"/>
      <c r="D36" s="55" t="s">
        <v>368</v>
      </c>
      <c r="E36" s="147">
        <v>9.16</v>
      </c>
      <c r="F36" s="147"/>
      <c r="G36" s="147">
        <v>9.16</v>
      </c>
      <c r="H36" s="147">
        <f t="shared" si="14"/>
        <v>6.46238</v>
      </c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>
        <f t="shared" si="15"/>
        <v>0</v>
      </c>
    </row>
    <row r="37" spans="3:21">
      <c r="C37" s="683"/>
      <c r="D37" s="55" t="s">
        <v>437</v>
      </c>
      <c r="E37" s="147"/>
      <c r="F37" s="147"/>
      <c r="G37" s="147"/>
      <c r="H37" s="147">
        <f t="shared" si="14"/>
        <v>0</v>
      </c>
      <c r="I37" s="147">
        <f>'F11-Year(n)'!E38</f>
        <v>36.525940393</v>
      </c>
      <c r="J37" s="147">
        <f>'F11-Year(n)'!F38</f>
        <v>36.0589470848</v>
      </c>
      <c r="K37" s="147">
        <f>'F11-Year(n)'!G38</f>
        <v>38.62869407825</v>
      </c>
      <c r="L37" s="147">
        <f>'F11-Year(n)'!H38</f>
        <v>80.8321717542</v>
      </c>
      <c r="M37" s="147">
        <f>'F11-Year(n)'!I38</f>
        <v>203.5694558512</v>
      </c>
      <c r="N37" s="147">
        <f>'F11-Year(n)'!J38</f>
        <v>104.15785531435</v>
      </c>
      <c r="O37" s="147">
        <f>'F11-Year(n)'!K38</f>
        <v>108.87955107245</v>
      </c>
      <c r="P37" s="147">
        <f>'F11-Year(n)'!L38</f>
        <v>39.7079059648</v>
      </c>
      <c r="Q37" s="147">
        <f>'F11-Year(n)'!M38</f>
        <v>65.4866187395</v>
      </c>
      <c r="R37" s="147">
        <f>'F11-Year(n)'!N38</f>
        <v>67.9632344417</v>
      </c>
      <c r="S37" s="147">
        <f>'F11-Year(n)'!O38</f>
        <v>31.96334412695</v>
      </c>
      <c r="T37" s="147">
        <f>'F11-Year(n)'!P38</f>
        <v>19.1190601592</v>
      </c>
      <c r="U37" s="147">
        <f t="shared" si="15"/>
        <v>832.8927789804</v>
      </c>
    </row>
    <row r="38" spans="3:21">
      <c r="C38" s="683"/>
      <c r="D38" s="55"/>
      <c r="E38" s="147"/>
      <c r="F38" s="147"/>
      <c r="G38" s="147"/>
      <c r="H38" s="147">
        <f t="shared" si="14"/>
        <v>0</v>
      </c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>
        <f t="shared" si="15"/>
        <v>0</v>
      </c>
    </row>
    <row r="39" spans="3:21">
      <c r="C39" s="683"/>
      <c r="D39" s="55"/>
      <c r="E39" s="147"/>
      <c r="F39" s="147"/>
      <c r="G39" s="147"/>
      <c r="H39" s="147">
        <f t="shared" si="14"/>
        <v>0</v>
      </c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>
        <f t="shared" si="15"/>
        <v>0</v>
      </c>
    </row>
    <row r="40" spans="3:21">
      <c r="C40" s="683"/>
      <c r="D40" s="55"/>
      <c r="E40" s="147"/>
      <c r="F40" s="147"/>
      <c r="G40" s="147"/>
      <c r="H40" s="147">
        <f t="shared" si="14"/>
        <v>0</v>
      </c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>
        <f t="shared" si="15"/>
        <v>0</v>
      </c>
    </row>
    <row r="41" spans="3:21">
      <c r="C41" s="683"/>
      <c r="D41" s="55"/>
      <c r="E41" s="147"/>
      <c r="F41" s="147"/>
      <c r="G41" s="147"/>
      <c r="H41" s="147">
        <f t="shared" si="14"/>
        <v>0</v>
      </c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>
        <f t="shared" si="15"/>
        <v>0</v>
      </c>
    </row>
    <row r="42" spans="3:21">
      <c r="C42" s="683"/>
      <c r="D42" s="55"/>
      <c r="E42" s="147"/>
      <c r="F42" s="147"/>
      <c r="G42" s="147"/>
      <c r="H42" s="147">
        <f t="shared" si="14"/>
        <v>0</v>
      </c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>
        <f t="shared" si="15"/>
        <v>0</v>
      </c>
    </row>
    <row r="43" spans="3:21">
      <c r="C43" s="683"/>
      <c r="D43" s="55"/>
      <c r="E43" s="147"/>
      <c r="F43" s="147"/>
      <c r="G43" s="147"/>
      <c r="H43" s="147">
        <f t="shared" si="14"/>
        <v>0</v>
      </c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>
        <f t="shared" si="15"/>
        <v>0</v>
      </c>
    </row>
    <row r="44" spans="3:21">
      <c r="C44" s="683"/>
      <c r="D44" s="55"/>
      <c r="E44" s="147"/>
      <c r="F44" s="147"/>
      <c r="G44" s="147"/>
      <c r="H44" s="147">
        <f t="shared" si="14"/>
        <v>0</v>
      </c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>
        <f t="shared" si="15"/>
        <v>0</v>
      </c>
    </row>
    <row r="45" spans="3:21">
      <c r="C45" s="683"/>
      <c r="D45" s="55"/>
      <c r="E45" s="147"/>
      <c r="F45" s="147"/>
      <c r="G45" s="147"/>
      <c r="H45" s="147">
        <f t="shared" si="14"/>
        <v>0</v>
      </c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>
        <f t="shared" si="15"/>
        <v>0</v>
      </c>
    </row>
    <row r="46" spans="3:21">
      <c r="C46" s="684"/>
      <c r="D46" s="67"/>
      <c r="E46" s="147"/>
      <c r="F46" s="147"/>
      <c r="G46" s="147"/>
      <c r="H46" s="147">
        <f t="shared" si="14"/>
        <v>0</v>
      </c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>
        <f t="shared" si="15"/>
        <v>0</v>
      </c>
    </row>
    <row r="47" ht="15" spans="3:21">
      <c r="C47" s="537" t="s">
        <v>211</v>
      </c>
      <c r="D47" s="540"/>
      <c r="E47" s="147">
        <f t="shared" ref="E47:T47" si="16">SUM(E29:E46)</f>
        <v>2441.76</v>
      </c>
      <c r="F47" s="147">
        <f t="shared" si="16"/>
        <v>0</v>
      </c>
      <c r="G47" s="147">
        <f t="shared" si="16"/>
        <v>2324.76</v>
      </c>
      <c r="H47" s="147">
        <f t="shared" si="16"/>
        <v>1640.11818</v>
      </c>
      <c r="I47" s="147">
        <f t="shared" si="16"/>
        <v>36.525940393</v>
      </c>
      <c r="J47" s="147">
        <f t="shared" si="16"/>
        <v>36.0589470848</v>
      </c>
      <c r="K47" s="147">
        <f t="shared" si="16"/>
        <v>38.62869407825</v>
      </c>
      <c r="L47" s="147">
        <f t="shared" si="16"/>
        <v>80.8321717542</v>
      </c>
      <c r="M47" s="147">
        <f t="shared" si="16"/>
        <v>203.5694558512</v>
      </c>
      <c r="N47" s="147">
        <f t="shared" si="16"/>
        <v>104.15785531435</v>
      </c>
      <c r="O47" s="147">
        <f t="shared" si="16"/>
        <v>108.87955107245</v>
      </c>
      <c r="P47" s="147">
        <f t="shared" si="16"/>
        <v>39.7079059648</v>
      </c>
      <c r="Q47" s="147">
        <f t="shared" si="16"/>
        <v>65.4866187395</v>
      </c>
      <c r="R47" s="147">
        <f t="shared" si="16"/>
        <v>67.9632344417</v>
      </c>
      <c r="S47" s="147">
        <f t="shared" si="16"/>
        <v>31.96334412695</v>
      </c>
      <c r="T47" s="147">
        <f t="shared" si="16"/>
        <v>19.1190601592</v>
      </c>
      <c r="U47" s="316">
        <f>SUM(I47:T47)</f>
        <v>832.8927789804</v>
      </c>
    </row>
    <row r="48" ht="15" spans="3:21">
      <c r="C48" s="44" t="s">
        <v>369</v>
      </c>
      <c r="D48" s="45"/>
      <c r="E48" s="147">
        <f t="shared" ref="E48:U48" si="17">E27+E47</f>
        <v>8084.26</v>
      </c>
      <c r="F48" s="147">
        <f t="shared" si="17"/>
        <v>0</v>
      </c>
      <c r="G48" s="147">
        <f t="shared" si="17"/>
        <v>7967.26</v>
      </c>
      <c r="H48" s="147">
        <f t="shared" si="17"/>
        <v>5620.90193</v>
      </c>
      <c r="I48" s="147">
        <f t="shared" si="17"/>
        <v>1781.939995393</v>
      </c>
      <c r="J48" s="147">
        <f t="shared" si="17"/>
        <v>1839.6534705848</v>
      </c>
      <c r="K48" s="147">
        <f t="shared" si="17"/>
        <v>1784.04274907825</v>
      </c>
      <c r="L48" s="147">
        <f t="shared" si="17"/>
        <v>1884.4266952542</v>
      </c>
      <c r="M48" s="147">
        <f t="shared" si="17"/>
        <v>2007.1639793512</v>
      </c>
      <c r="N48" s="147">
        <f t="shared" si="17"/>
        <v>1849.57191031435</v>
      </c>
      <c r="O48" s="147">
        <f t="shared" si="17"/>
        <v>1912.47407457245</v>
      </c>
      <c r="P48" s="147">
        <f t="shared" si="17"/>
        <v>1785.1219609648</v>
      </c>
      <c r="Q48" s="147">
        <f t="shared" si="17"/>
        <v>1869.0811422395</v>
      </c>
      <c r="R48" s="147">
        <f t="shared" si="17"/>
        <v>1871.5577579417</v>
      </c>
      <c r="S48" s="147">
        <f t="shared" si="17"/>
        <v>1661.01646212695</v>
      </c>
      <c r="T48" s="147">
        <f t="shared" si="17"/>
        <v>1822.7135836592</v>
      </c>
      <c r="U48" s="316">
        <f t="shared" si="17"/>
        <v>22068.7637814804</v>
      </c>
    </row>
    <row r="49" ht="15" spans="3:21">
      <c r="C49" s="663" t="s">
        <v>370</v>
      </c>
      <c r="D49" s="676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</row>
    <row r="50" ht="15" spans="3:21">
      <c r="C50" s="44" t="s">
        <v>350</v>
      </c>
      <c r="D50" s="45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</row>
    <row r="51" spans="3:21">
      <c r="C51" s="682" t="s">
        <v>371</v>
      </c>
      <c r="D51" s="780" t="s">
        <v>372</v>
      </c>
      <c r="E51" s="55">
        <v>2100</v>
      </c>
      <c r="F51" s="55"/>
      <c r="G51" s="55">
        <v>352.5</v>
      </c>
      <c r="H51" s="147">
        <f t="shared" ref="H51" si="18">G51*0.7055</f>
        <v>248.68875</v>
      </c>
      <c r="I51" s="147">
        <f t="shared" ref="I51:I58" si="19">$H51*0.85*30*24/1000</f>
        <v>152.197515</v>
      </c>
      <c r="J51" s="147">
        <f t="shared" ref="J51:J58" si="20">$H51*0.85*31*24/1000</f>
        <v>157.2707655</v>
      </c>
      <c r="K51" s="147">
        <f t="shared" ref="K51:K58" si="21">$H51*0.85*30*24/1000</f>
        <v>152.197515</v>
      </c>
      <c r="L51" s="147">
        <f t="shared" ref="L51:M58" si="22">$H51*0.85*31*24/1000</f>
        <v>157.2707655</v>
      </c>
      <c r="M51" s="147">
        <f t="shared" si="22"/>
        <v>157.2707655</v>
      </c>
      <c r="N51" s="147">
        <f t="shared" ref="N51:N58" si="23">$H51*0.85*30*24/1000</f>
        <v>152.197515</v>
      </c>
      <c r="O51" s="147">
        <f t="shared" ref="O51:O58" si="24">$H51*0.85*31*24/1000</f>
        <v>157.2707655</v>
      </c>
      <c r="P51" s="147">
        <f t="shared" ref="P51:P58" si="25">$H51*0.85*30*24/1000</f>
        <v>152.197515</v>
      </c>
      <c r="Q51" s="147">
        <f t="shared" ref="Q51:R58" si="26">$H51*0.85*31*24/1000</f>
        <v>157.2707655</v>
      </c>
      <c r="R51" s="147">
        <f t="shared" si="26"/>
        <v>157.2707655</v>
      </c>
      <c r="S51" s="147">
        <f t="shared" ref="S51:S58" si="27">$H51*0.85*28*24/1000</f>
        <v>142.051014</v>
      </c>
      <c r="T51" s="147">
        <f t="shared" ref="T51:T67" si="28">$H51*0.85*31*24/1000</f>
        <v>157.2707655</v>
      </c>
      <c r="U51" s="147">
        <f>+SUM(I51:T51)</f>
        <v>1851.7364325</v>
      </c>
    </row>
    <row r="52" spans="3:21">
      <c r="C52" s="683"/>
      <c r="D52" s="780" t="s">
        <v>373</v>
      </c>
      <c r="E52" s="55">
        <v>500</v>
      </c>
      <c r="F52" s="55"/>
      <c r="G52" s="55">
        <v>88.5</v>
      </c>
      <c r="H52" s="147">
        <f t="shared" ref="H52:H67" si="29">G52*0.7055</f>
        <v>62.43675</v>
      </c>
      <c r="I52" s="147">
        <f t="shared" si="19"/>
        <v>38.211291</v>
      </c>
      <c r="J52" s="147">
        <f t="shared" si="20"/>
        <v>39.4850007</v>
      </c>
      <c r="K52" s="147">
        <f t="shared" si="21"/>
        <v>38.211291</v>
      </c>
      <c r="L52" s="147">
        <f t="shared" si="22"/>
        <v>39.4850007</v>
      </c>
      <c r="M52" s="147">
        <f t="shared" si="22"/>
        <v>39.4850007</v>
      </c>
      <c r="N52" s="147">
        <f t="shared" si="23"/>
        <v>38.211291</v>
      </c>
      <c r="O52" s="147">
        <f t="shared" si="24"/>
        <v>39.4850007</v>
      </c>
      <c r="P52" s="147">
        <f t="shared" si="25"/>
        <v>38.211291</v>
      </c>
      <c r="Q52" s="147">
        <f t="shared" si="26"/>
        <v>39.4850007</v>
      </c>
      <c r="R52" s="147">
        <f t="shared" si="26"/>
        <v>39.4850007</v>
      </c>
      <c r="S52" s="147">
        <f t="shared" si="27"/>
        <v>35.6638716</v>
      </c>
      <c r="T52" s="147">
        <f t="shared" si="28"/>
        <v>39.4850007</v>
      </c>
      <c r="U52" s="147">
        <f t="shared" ref="U52:U75" si="30">+SUM(I52:T52)</f>
        <v>464.9040405</v>
      </c>
    </row>
    <row r="53" spans="3:21">
      <c r="C53" s="683"/>
      <c r="D53" s="780" t="s">
        <v>374</v>
      </c>
      <c r="E53" s="55">
        <v>2000</v>
      </c>
      <c r="F53" s="55"/>
      <c r="G53" s="55">
        <v>217.4</v>
      </c>
      <c r="H53" s="147">
        <f t="shared" si="29"/>
        <v>153.3757</v>
      </c>
      <c r="I53" s="147">
        <f t="shared" si="19"/>
        <v>93.8659284</v>
      </c>
      <c r="J53" s="147">
        <f t="shared" si="20"/>
        <v>96.99479268</v>
      </c>
      <c r="K53" s="147">
        <f t="shared" si="21"/>
        <v>93.8659284</v>
      </c>
      <c r="L53" s="147">
        <f t="shared" si="22"/>
        <v>96.99479268</v>
      </c>
      <c r="M53" s="147">
        <f t="shared" si="22"/>
        <v>96.99479268</v>
      </c>
      <c r="N53" s="147">
        <f t="shared" si="23"/>
        <v>93.8659284</v>
      </c>
      <c r="O53" s="147">
        <f t="shared" si="24"/>
        <v>96.99479268</v>
      </c>
      <c r="P53" s="147">
        <f t="shared" si="25"/>
        <v>93.8659284</v>
      </c>
      <c r="Q53" s="147">
        <f t="shared" si="26"/>
        <v>96.99479268</v>
      </c>
      <c r="R53" s="147">
        <f t="shared" si="26"/>
        <v>96.99479268</v>
      </c>
      <c r="S53" s="147">
        <f t="shared" si="27"/>
        <v>87.60819984</v>
      </c>
      <c r="T53" s="147">
        <f t="shared" si="28"/>
        <v>96.99479268</v>
      </c>
      <c r="U53" s="147">
        <f t="shared" si="30"/>
        <v>1142.0354622</v>
      </c>
    </row>
    <row r="54" spans="3:21">
      <c r="C54" s="683"/>
      <c r="D54" s="780" t="s">
        <v>375</v>
      </c>
      <c r="E54" s="55">
        <v>1000</v>
      </c>
      <c r="F54" s="55"/>
      <c r="G54" s="55">
        <v>538.9</v>
      </c>
      <c r="H54" s="147">
        <f t="shared" si="29"/>
        <v>380.19395</v>
      </c>
      <c r="I54" s="147">
        <f t="shared" si="19"/>
        <v>232.6786974</v>
      </c>
      <c r="J54" s="147">
        <f t="shared" si="20"/>
        <v>240.43465398</v>
      </c>
      <c r="K54" s="147">
        <f t="shared" si="21"/>
        <v>232.6786974</v>
      </c>
      <c r="L54" s="147">
        <f t="shared" si="22"/>
        <v>240.43465398</v>
      </c>
      <c r="M54" s="147">
        <f t="shared" si="22"/>
        <v>240.43465398</v>
      </c>
      <c r="N54" s="147">
        <f t="shared" si="23"/>
        <v>232.6786974</v>
      </c>
      <c r="O54" s="147">
        <f t="shared" si="24"/>
        <v>240.43465398</v>
      </c>
      <c r="P54" s="147">
        <f t="shared" si="25"/>
        <v>232.6786974</v>
      </c>
      <c r="Q54" s="147">
        <f t="shared" si="26"/>
        <v>240.43465398</v>
      </c>
      <c r="R54" s="147">
        <f t="shared" si="26"/>
        <v>240.43465398</v>
      </c>
      <c r="S54" s="147">
        <f t="shared" si="27"/>
        <v>217.16678424</v>
      </c>
      <c r="T54" s="147">
        <f t="shared" si="28"/>
        <v>240.43465398</v>
      </c>
      <c r="U54" s="147">
        <f t="shared" si="30"/>
        <v>2830.9241517</v>
      </c>
    </row>
    <row r="55" spans="3:21">
      <c r="C55" s="683"/>
      <c r="D55" s="780" t="s">
        <v>376</v>
      </c>
      <c r="E55" s="55">
        <v>1000</v>
      </c>
      <c r="F55" s="55"/>
      <c r="G55" s="55">
        <v>256.7</v>
      </c>
      <c r="H55" s="147">
        <f t="shared" si="29"/>
        <v>181.10185</v>
      </c>
      <c r="I55" s="147">
        <f t="shared" si="19"/>
        <v>110.8343322</v>
      </c>
      <c r="J55" s="147">
        <f t="shared" si="20"/>
        <v>114.52880994</v>
      </c>
      <c r="K55" s="147">
        <f t="shared" si="21"/>
        <v>110.8343322</v>
      </c>
      <c r="L55" s="147">
        <f t="shared" si="22"/>
        <v>114.52880994</v>
      </c>
      <c r="M55" s="147">
        <f t="shared" si="22"/>
        <v>114.52880994</v>
      </c>
      <c r="N55" s="147">
        <f t="shared" si="23"/>
        <v>110.8343322</v>
      </c>
      <c r="O55" s="147">
        <f t="shared" si="24"/>
        <v>114.52880994</v>
      </c>
      <c r="P55" s="147">
        <f t="shared" si="25"/>
        <v>110.8343322</v>
      </c>
      <c r="Q55" s="147">
        <f t="shared" si="26"/>
        <v>114.52880994</v>
      </c>
      <c r="R55" s="147">
        <f t="shared" si="26"/>
        <v>114.52880994</v>
      </c>
      <c r="S55" s="147">
        <f t="shared" si="27"/>
        <v>103.44537672</v>
      </c>
      <c r="T55" s="147">
        <f t="shared" si="28"/>
        <v>114.52880994</v>
      </c>
      <c r="U55" s="147">
        <f t="shared" si="30"/>
        <v>1348.4843751</v>
      </c>
    </row>
    <row r="56" spans="3:21">
      <c r="C56" s="683"/>
      <c r="D56" s="780" t="s">
        <v>377</v>
      </c>
      <c r="E56" s="55">
        <v>2400</v>
      </c>
      <c r="F56" s="55"/>
      <c r="G56" s="55">
        <v>281.04</v>
      </c>
      <c r="H56" s="147">
        <f t="shared" si="29"/>
        <v>198.27372</v>
      </c>
      <c r="I56" s="147">
        <f t="shared" si="19"/>
        <v>121.34351664</v>
      </c>
      <c r="J56" s="147">
        <f t="shared" si="20"/>
        <v>125.388300528</v>
      </c>
      <c r="K56" s="147">
        <f t="shared" si="21"/>
        <v>121.34351664</v>
      </c>
      <c r="L56" s="147">
        <f t="shared" si="22"/>
        <v>125.388300528</v>
      </c>
      <c r="M56" s="147">
        <f t="shared" si="22"/>
        <v>125.388300528</v>
      </c>
      <c r="N56" s="147">
        <f t="shared" si="23"/>
        <v>121.34351664</v>
      </c>
      <c r="O56" s="147">
        <f t="shared" si="24"/>
        <v>125.388300528</v>
      </c>
      <c r="P56" s="147">
        <f t="shared" si="25"/>
        <v>121.34351664</v>
      </c>
      <c r="Q56" s="147">
        <f t="shared" si="26"/>
        <v>125.388300528</v>
      </c>
      <c r="R56" s="147">
        <f t="shared" si="26"/>
        <v>125.388300528</v>
      </c>
      <c r="S56" s="147">
        <f t="shared" si="27"/>
        <v>113.253948864</v>
      </c>
      <c r="T56" s="147">
        <f t="shared" si="28"/>
        <v>125.388300528</v>
      </c>
      <c r="U56" s="147">
        <f t="shared" si="30"/>
        <v>1476.34611912</v>
      </c>
    </row>
    <row r="57" spans="3:21">
      <c r="C57" s="683"/>
      <c r="D57" s="780" t="s">
        <v>378</v>
      </c>
      <c r="E57" s="55">
        <v>85</v>
      </c>
      <c r="F57" s="55"/>
      <c r="G57" s="55">
        <v>45.81</v>
      </c>
      <c r="H57" s="147">
        <f t="shared" si="29"/>
        <v>32.318955</v>
      </c>
      <c r="I57" s="147">
        <f t="shared" si="19"/>
        <v>19.77920046</v>
      </c>
      <c r="J57" s="147">
        <f t="shared" si="20"/>
        <v>20.438507142</v>
      </c>
      <c r="K57" s="147">
        <f t="shared" si="21"/>
        <v>19.77920046</v>
      </c>
      <c r="L57" s="147">
        <f t="shared" si="22"/>
        <v>20.438507142</v>
      </c>
      <c r="M57" s="147">
        <f t="shared" si="22"/>
        <v>20.438507142</v>
      </c>
      <c r="N57" s="147">
        <f t="shared" si="23"/>
        <v>19.77920046</v>
      </c>
      <c r="O57" s="147">
        <f t="shared" si="24"/>
        <v>20.438507142</v>
      </c>
      <c r="P57" s="147">
        <f t="shared" si="25"/>
        <v>19.77920046</v>
      </c>
      <c r="Q57" s="147">
        <f t="shared" si="26"/>
        <v>20.438507142</v>
      </c>
      <c r="R57" s="147">
        <f t="shared" si="26"/>
        <v>20.438507142</v>
      </c>
      <c r="S57" s="147">
        <f t="shared" si="27"/>
        <v>18.460587096</v>
      </c>
      <c r="T57" s="147">
        <f t="shared" si="28"/>
        <v>20.438507142</v>
      </c>
      <c r="U57" s="147">
        <f t="shared" si="30"/>
        <v>240.64693893</v>
      </c>
    </row>
    <row r="58" spans="3:21">
      <c r="C58" s="683"/>
      <c r="D58" s="780" t="s">
        <v>379</v>
      </c>
      <c r="E58" s="55">
        <v>200</v>
      </c>
      <c r="F58" s="55"/>
      <c r="G58" s="55">
        <v>200</v>
      </c>
      <c r="H58" s="147">
        <f t="shared" si="29"/>
        <v>141.1</v>
      </c>
      <c r="I58" s="147">
        <f t="shared" si="19"/>
        <v>86.3532</v>
      </c>
      <c r="J58" s="147">
        <f t="shared" si="20"/>
        <v>89.23164</v>
      </c>
      <c r="K58" s="147">
        <f t="shared" si="21"/>
        <v>86.3532</v>
      </c>
      <c r="L58" s="147">
        <f t="shared" si="22"/>
        <v>89.23164</v>
      </c>
      <c r="M58" s="147">
        <f t="shared" si="22"/>
        <v>89.23164</v>
      </c>
      <c r="N58" s="147">
        <f t="shared" si="23"/>
        <v>86.3532</v>
      </c>
      <c r="O58" s="147">
        <f t="shared" si="24"/>
        <v>89.23164</v>
      </c>
      <c r="P58" s="147">
        <f t="shared" si="25"/>
        <v>86.3532</v>
      </c>
      <c r="Q58" s="147">
        <f t="shared" si="26"/>
        <v>89.23164</v>
      </c>
      <c r="R58" s="147">
        <f t="shared" si="26"/>
        <v>89.23164</v>
      </c>
      <c r="S58" s="147">
        <f t="shared" si="27"/>
        <v>80.59632</v>
      </c>
      <c r="T58" s="147">
        <f t="shared" si="28"/>
        <v>89.23164</v>
      </c>
      <c r="U58" s="147">
        <f t="shared" si="30"/>
        <v>1050.6306</v>
      </c>
    </row>
    <row r="59" spans="3:21">
      <c r="C59" s="684"/>
      <c r="D59" s="801" t="s">
        <v>380</v>
      </c>
      <c r="E59" s="55">
        <v>1600</v>
      </c>
      <c r="F59" s="55"/>
      <c r="G59" s="55">
        <v>1390.78</v>
      </c>
      <c r="H59" s="147">
        <f t="shared" si="29"/>
        <v>981.19529</v>
      </c>
      <c r="I59" s="147">
        <v>0</v>
      </c>
      <c r="J59" s="147">
        <v>0</v>
      </c>
      <c r="K59" s="147">
        <v>0</v>
      </c>
      <c r="L59" s="147">
        <v>0</v>
      </c>
      <c r="M59" s="147">
        <v>0</v>
      </c>
      <c r="N59" s="147">
        <v>0</v>
      </c>
      <c r="O59" s="147">
        <f>$H59/2*0.85*31*24/1000</f>
        <v>310.253950698</v>
      </c>
      <c r="P59" s="147">
        <f>$H59/2*0.85*30*24/1000</f>
        <v>300.24575874</v>
      </c>
      <c r="Q59" s="147">
        <f>$H59/2*0.85*31*24/1000</f>
        <v>310.253950698</v>
      </c>
      <c r="R59" s="147">
        <f>$H59/2*0.85*31*24/1000</f>
        <v>310.253950698</v>
      </c>
      <c r="S59" s="147">
        <f>$H59/2*0.85*28*24/1000</f>
        <v>280.229374824</v>
      </c>
      <c r="T59" s="147">
        <f t="shared" si="28"/>
        <v>620.507901396</v>
      </c>
      <c r="U59" s="147">
        <f t="shared" si="30"/>
        <v>2131.744887054</v>
      </c>
    </row>
    <row r="60" spans="3:21">
      <c r="C60" s="55"/>
      <c r="D60" s="780"/>
      <c r="E60" s="55"/>
      <c r="F60" s="55"/>
      <c r="G60" s="55"/>
      <c r="H60" s="147">
        <f t="shared" si="29"/>
        <v>0</v>
      </c>
      <c r="I60" s="147">
        <f t="shared" ref="I60:I67" si="31">$H60*0.85*30*24/1000</f>
        <v>0</v>
      </c>
      <c r="J60" s="147">
        <f t="shared" ref="J60:J67" si="32">$H60*0.85*31*24/1000</f>
        <v>0</v>
      </c>
      <c r="K60" s="147">
        <f t="shared" ref="K60:K67" si="33">$H60*0.85*30*24/1000</f>
        <v>0</v>
      </c>
      <c r="L60" s="147">
        <f t="shared" ref="L60:M67" si="34">$H60*0.85*31*24/1000</f>
        <v>0</v>
      </c>
      <c r="M60" s="147">
        <f t="shared" si="34"/>
        <v>0</v>
      </c>
      <c r="N60" s="147">
        <f t="shared" ref="N60:N67" si="35">$H60*0.85*30*24/1000</f>
        <v>0</v>
      </c>
      <c r="O60" s="147">
        <f t="shared" ref="O60:O67" si="36">$H60*0.85*31*24/1000</f>
        <v>0</v>
      </c>
      <c r="P60" s="147">
        <f t="shared" ref="P60:P67" si="37">$H60*0.85*30*24/1000</f>
        <v>0</v>
      </c>
      <c r="Q60" s="147">
        <f t="shared" ref="Q60:R67" si="38">$H60*0.85*31*24/1000</f>
        <v>0</v>
      </c>
      <c r="R60" s="147">
        <f t="shared" si="38"/>
        <v>0</v>
      </c>
      <c r="S60" s="147">
        <f t="shared" ref="S60:S67" si="39">$H60*0.85*28*24/1000</f>
        <v>0</v>
      </c>
      <c r="T60" s="147">
        <f t="shared" si="28"/>
        <v>0</v>
      </c>
      <c r="U60" s="147">
        <f t="shared" si="30"/>
        <v>0</v>
      </c>
    </row>
    <row r="61" spans="3:21">
      <c r="C61" s="55"/>
      <c r="D61" s="780" t="s">
        <v>381</v>
      </c>
      <c r="E61" s="55">
        <v>630</v>
      </c>
      <c r="F61" s="55"/>
      <c r="G61" s="147">
        <v>5.23</v>
      </c>
      <c r="H61" s="147">
        <f t="shared" si="29"/>
        <v>3.689765</v>
      </c>
      <c r="I61" s="147">
        <f t="shared" si="31"/>
        <v>2.25813618</v>
      </c>
      <c r="J61" s="147">
        <f t="shared" si="32"/>
        <v>2.333407386</v>
      </c>
      <c r="K61" s="147">
        <f t="shared" si="33"/>
        <v>2.25813618</v>
      </c>
      <c r="L61" s="147">
        <f t="shared" si="34"/>
        <v>2.333407386</v>
      </c>
      <c r="M61" s="147">
        <f t="shared" si="34"/>
        <v>2.333407386</v>
      </c>
      <c r="N61" s="147">
        <f t="shared" si="35"/>
        <v>2.25813618</v>
      </c>
      <c r="O61" s="147">
        <f t="shared" si="36"/>
        <v>2.333407386</v>
      </c>
      <c r="P61" s="147">
        <f t="shared" si="37"/>
        <v>2.25813618</v>
      </c>
      <c r="Q61" s="147">
        <f t="shared" si="38"/>
        <v>2.333407386</v>
      </c>
      <c r="R61" s="147">
        <f t="shared" si="38"/>
        <v>2.333407386</v>
      </c>
      <c r="S61" s="147">
        <f t="shared" si="39"/>
        <v>2.107593768</v>
      </c>
      <c r="T61" s="147">
        <f t="shared" si="28"/>
        <v>2.333407386</v>
      </c>
      <c r="U61" s="147">
        <f t="shared" si="30"/>
        <v>27.47399019</v>
      </c>
    </row>
    <row r="62" spans="3:21">
      <c r="C62" s="55"/>
      <c r="D62" s="780" t="s">
        <v>382</v>
      </c>
      <c r="E62" s="55">
        <v>840</v>
      </c>
      <c r="F62" s="55"/>
      <c r="G62" s="147">
        <v>6.89</v>
      </c>
      <c r="H62" s="147">
        <f t="shared" si="29"/>
        <v>4.860895</v>
      </c>
      <c r="I62" s="147">
        <f t="shared" si="31"/>
        <v>2.97486774</v>
      </c>
      <c r="J62" s="147">
        <f t="shared" si="32"/>
        <v>3.074029998</v>
      </c>
      <c r="K62" s="147">
        <f t="shared" si="33"/>
        <v>2.97486774</v>
      </c>
      <c r="L62" s="147">
        <f t="shared" si="34"/>
        <v>3.074029998</v>
      </c>
      <c r="M62" s="147">
        <f t="shared" si="34"/>
        <v>3.074029998</v>
      </c>
      <c r="N62" s="147">
        <f t="shared" si="35"/>
        <v>2.97486774</v>
      </c>
      <c r="O62" s="147">
        <f t="shared" si="36"/>
        <v>3.074029998</v>
      </c>
      <c r="P62" s="147">
        <f t="shared" si="37"/>
        <v>2.97486774</v>
      </c>
      <c r="Q62" s="147">
        <f t="shared" si="38"/>
        <v>3.074029998</v>
      </c>
      <c r="R62" s="147">
        <f t="shared" si="38"/>
        <v>3.074029998</v>
      </c>
      <c r="S62" s="147">
        <f t="shared" si="39"/>
        <v>2.776543224</v>
      </c>
      <c r="T62" s="147">
        <f t="shared" si="28"/>
        <v>3.074029998</v>
      </c>
      <c r="U62" s="147">
        <f t="shared" si="30"/>
        <v>36.19422417</v>
      </c>
    </row>
    <row r="63" spans="3:21">
      <c r="C63" s="55"/>
      <c r="D63" s="780" t="s">
        <v>383</v>
      </c>
      <c r="E63" s="55">
        <v>1000</v>
      </c>
      <c r="F63" s="55"/>
      <c r="G63" s="147">
        <v>66.25</v>
      </c>
      <c r="H63" s="147">
        <f t="shared" si="29"/>
        <v>46.739375</v>
      </c>
      <c r="I63" s="147">
        <f t="shared" si="31"/>
        <v>28.6044975</v>
      </c>
      <c r="J63" s="147">
        <f t="shared" si="32"/>
        <v>29.55798075</v>
      </c>
      <c r="K63" s="147">
        <f t="shared" si="33"/>
        <v>28.6044975</v>
      </c>
      <c r="L63" s="147">
        <f t="shared" si="34"/>
        <v>29.55798075</v>
      </c>
      <c r="M63" s="147">
        <f t="shared" si="34"/>
        <v>29.55798075</v>
      </c>
      <c r="N63" s="147">
        <f t="shared" si="35"/>
        <v>28.6044975</v>
      </c>
      <c r="O63" s="147">
        <f t="shared" si="36"/>
        <v>29.55798075</v>
      </c>
      <c r="P63" s="147">
        <f t="shared" si="37"/>
        <v>28.6044975</v>
      </c>
      <c r="Q63" s="147">
        <f t="shared" si="38"/>
        <v>29.55798075</v>
      </c>
      <c r="R63" s="147">
        <f t="shared" si="38"/>
        <v>29.55798075</v>
      </c>
      <c r="S63" s="147">
        <f t="shared" si="39"/>
        <v>26.697531</v>
      </c>
      <c r="T63" s="147">
        <f t="shared" si="28"/>
        <v>29.55798075</v>
      </c>
      <c r="U63" s="147">
        <f t="shared" si="30"/>
        <v>348.02138625</v>
      </c>
    </row>
    <row r="64" spans="3:21">
      <c r="C64" s="55"/>
      <c r="D64" s="780" t="s">
        <v>384</v>
      </c>
      <c r="E64" s="55">
        <v>0</v>
      </c>
      <c r="F64" s="55"/>
      <c r="G64" s="147"/>
      <c r="H64" s="147">
        <f t="shared" si="29"/>
        <v>0</v>
      </c>
      <c r="I64" s="147">
        <f t="shared" si="31"/>
        <v>0</v>
      </c>
      <c r="J64" s="147">
        <f t="shared" si="32"/>
        <v>0</v>
      </c>
      <c r="K64" s="147">
        <f t="shared" si="33"/>
        <v>0</v>
      </c>
      <c r="L64" s="147">
        <f t="shared" si="34"/>
        <v>0</v>
      </c>
      <c r="M64" s="147">
        <f t="shared" si="34"/>
        <v>0</v>
      </c>
      <c r="N64" s="147">
        <f t="shared" si="35"/>
        <v>0</v>
      </c>
      <c r="O64" s="147">
        <f t="shared" si="36"/>
        <v>0</v>
      </c>
      <c r="P64" s="147">
        <f t="shared" si="37"/>
        <v>0</v>
      </c>
      <c r="Q64" s="147">
        <f t="shared" si="38"/>
        <v>0</v>
      </c>
      <c r="R64" s="147">
        <f t="shared" si="38"/>
        <v>0</v>
      </c>
      <c r="S64" s="147">
        <f t="shared" si="39"/>
        <v>0</v>
      </c>
      <c r="T64" s="147">
        <f t="shared" si="28"/>
        <v>0</v>
      </c>
      <c r="U64" s="147">
        <f t="shared" si="30"/>
        <v>0</v>
      </c>
    </row>
    <row r="65" spans="3:21">
      <c r="C65" s="55"/>
      <c r="D65" s="780" t="s">
        <v>385</v>
      </c>
      <c r="E65" s="55">
        <v>920</v>
      </c>
      <c r="F65" s="55"/>
      <c r="G65" s="147">
        <v>0</v>
      </c>
      <c r="H65" s="147">
        <f t="shared" si="29"/>
        <v>0</v>
      </c>
      <c r="I65" s="147">
        <f t="shared" si="31"/>
        <v>0</v>
      </c>
      <c r="J65" s="147">
        <f t="shared" si="32"/>
        <v>0</v>
      </c>
      <c r="K65" s="147">
        <f t="shared" si="33"/>
        <v>0</v>
      </c>
      <c r="L65" s="147">
        <f t="shared" si="34"/>
        <v>0</v>
      </c>
      <c r="M65" s="147">
        <f t="shared" si="34"/>
        <v>0</v>
      </c>
      <c r="N65" s="147">
        <f t="shared" si="35"/>
        <v>0</v>
      </c>
      <c r="O65" s="147">
        <f t="shared" si="36"/>
        <v>0</v>
      </c>
      <c r="P65" s="147">
        <f t="shared" si="37"/>
        <v>0</v>
      </c>
      <c r="Q65" s="147">
        <f t="shared" si="38"/>
        <v>0</v>
      </c>
      <c r="R65" s="147">
        <f t="shared" si="38"/>
        <v>0</v>
      </c>
      <c r="S65" s="147">
        <f t="shared" si="39"/>
        <v>0</v>
      </c>
      <c r="T65" s="147">
        <f t="shared" si="28"/>
        <v>0</v>
      </c>
      <c r="U65" s="147">
        <f t="shared" si="30"/>
        <v>0</v>
      </c>
    </row>
    <row r="66" spans="3:21">
      <c r="C66" s="55"/>
      <c r="D66" s="780" t="s">
        <v>386</v>
      </c>
      <c r="E66" s="55">
        <v>1500</v>
      </c>
      <c r="F66" s="55"/>
      <c r="G66" s="147">
        <v>106.41</v>
      </c>
      <c r="H66" s="147">
        <f t="shared" si="29"/>
        <v>75.072255</v>
      </c>
      <c r="I66" s="147">
        <f t="shared" si="31"/>
        <v>45.94422006</v>
      </c>
      <c r="J66" s="147">
        <f t="shared" si="32"/>
        <v>47.475694062</v>
      </c>
      <c r="K66" s="147">
        <f t="shared" si="33"/>
        <v>45.94422006</v>
      </c>
      <c r="L66" s="147">
        <f t="shared" si="34"/>
        <v>47.475694062</v>
      </c>
      <c r="M66" s="147">
        <f t="shared" si="34"/>
        <v>47.475694062</v>
      </c>
      <c r="N66" s="147">
        <f t="shared" si="35"/>
        <v>45.94422006</v>
      </c>
      <c r="O66" s="147">
        <f t="shared" si="36"/>
        <v>47.475694062</v>
      </c>
      <c r="P66" s="147">
        <f t="shared" si="37"/>
        <v>45.94422006</v>
      </c>
      <c r="Q66" s="147">
        <f t="shared" si="38"/>
        <v>47.475694062</v>
      </c>
      <c r="R66" s="147">
        <f t="shared" si="38"/>
        <v>47.475694062</v>
      </c>
      <c r="S66" s="147">
        <f t="shared" si="39"/>
        <v>42.881272056</v>
      </c>
      <c r="T66" s="147">
        <f t="shared" si="28"/>
        <v>47.475694062</v>
      </c>
      <c r="U66" s="147">
        <f t="shared" si="30"/>
        <v>558.98801073</v>
      </c>
    </row>
    <row r="67" spans="3:21">
      <c r="C67" s="55"/>
      <c r="D67" s="780" t="s">
        <v>387</v>
      </c>
      <c r="E67" s="55">
        <v>1000</v>
      </c>
      <c r="F67" s="55"/>
      <c r="G67" s="147">
        <v>147.91</v>
      </c>
      <c r="H67" s="147">
        <f t="shared" si="29"/>
        <v>104.350505</v>
      </c>
      <c r="I67" s="147">
        <f t="shared" si="31"/>
        <v>63.86250906</v>
      </c>
      <c r="J67" s="147">
        <f t="shared" si="32"/>
        <v>65.991259362</v>
      </c>
      <c r="K67" s="147">
        <f t="shared" si="33"/>
        <v>63.86250906</v>
      </c>
      <c r="L67" s="147">
        <f t="shared" si="34"/>
        <v>65.991259362</v>
      </c>
      <c r="M67" s="147">
        <f t="shared" si="34"/>
        <v>65.991259362</v>
      </c>
      <c r="N67" s="147">
        <f t="shared" si="35"/>
        <v>63.86250906</v>
      </c>
      <c r="O67" s="147">
        <f t="shared" si="36"/>
        <v>65.991259362</v>
      </c>
      <c r="P67" s="147">
        <f t="shared" si="37"/>
        <v>63.86250906</v>
      </c>
      <c r="Q67" s="147">
        <f t="shared" si="38"/>
        <v>65.991259362</v>
      </c>
      <c r="R67" s="147">
        <f t="shared" si="38"/>
        <v>65.991259362</v>
      </c>
      <c r="S67" s="147">
        <f t="shared" si="39"/>
        <v>59.605008456</v>
      </c>
      <c r="T67" s="147">
        <f t="shared" si="28"/>
        <v>65.991259362</v>
      </c>
      <c r="U67" s="147">
        <f t="shared" si="30"/>
        <v>776.99386023</v>
      </c>
    </row>
    <row r="68" spans="3:21">
      <c r="C68" s="55"/>
      <c r="D68" s="766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>
        <f t="shared" si="30"/>
        <v>0</v>
      </c>
    </row>
    <row r="69" spans="3:21">
      <c r="C69" s="55"/>
      <c r="D69" s="766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>
        <f t="shared" si="30"/>
        <v>0</v>
      </c>
    </row>
    <row r="70" spans="3:21">
      <c r="C70" s="55"/>
      <c r="D70" s="76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>
        <f t="shared" si="30"/>
        <v>0</v>
      </c>
    </row>
    <row r="71" spans="3:21">
      <c r="C71" s="55"/>
      <c r="D71" s="76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>
        <f t="shared" si="30"/>
        <v>0</v>
      </c>
    </row>
    <row r="72" spans="3:21">
      <c r="C72" s="55"/>
      <c r="D72" s="766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>
        <f t="shared" si="30"/>
        <v>0</v>
      </c>
    </row>
    <row r="73" spans="3:21">
      <c r="C73" s="55"/>
      <c r="D73" s="766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>
        <f t="shared" si="30"/>
        <v>0</v>
      </c>
    </row>
    <row r="74" spans="3:21">
      <c r="C74" s="55"/>
      <c r="D74" s="55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>
        <f t="shared" si="30"/>
        <v>0</v>
      </c>
    </row>
    <row r="75" spans="3:21">
      <c r="C75" s="55"/>
      <c r="D75" s="55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>
        <f t="shared" si="30"/>
        <v>0</v>
      </c>
    </row>
    <row r="76" ht="15" spans="3:21">
      <c r="C76" s="537" t="s">
        <v>211</v>
      </c>
      <c r="D76" s="540"/>
      <c r="E76" s="147">
        <f t="shared" ref="E76:T76" si="40">SUM(E51:E75)</f>
        <v>16775</v>
      </c>
      <c r="F76" s="147">
        <f t="shared" si="40"/>
        <v>0</v>
      </c>
      <c r="G76" s="147">
        <f t="shared" si="40"/>
        <v>3704.32</v>
      </c>
      <c r="H76" s="147">
        <f t="shared" si="40"/>
        <v>2613.39776</v>
      </c>
      <c r="I76" s="147">
        <f t="shared" si="40"/>
        <v>998.90791164</v>
      </c>
      <c r="J76" s="147">
        <f t="shared" si="40"/>
        <v>1032.204842028</v>
      </c>
      <c r="K76" s="147">
        <f t="shared" si="40"/>
        <v>998.90791164</v>
      </c>
      <c r="L76" s="147">
        <f t="shared" si="40"/>
        <v>1032.204842028</v>
      </c>
      <c r="M76" s="147">
        <f t="shared" si="40"/>
        <v>1032.204842028</v>
      </c>
      <c r="N76" s="147">
        <f t="shared" si="40"/>
        <v>998.90791164</v>
      </c>
      <c r="O76" s="147">
        <f t="shared" si="40"/>
        <v>1342.458792726</v>
      </c>
      <c r="P76" s="147">
        <f t="shared" si="40"/>
        <v>1299.15367038</v>
      </c>
      <c r="Q76" s="147">
        <f t="shared" si="40"/>
        <v>1342.458792726</v>
      </c>
      <c r="R76" s="147">
        <f t="shared" si="40"/>
        <v>1342.458792726</v>
      </c>
      <c r="S76" s="147">
        <f t="shared" si="40"/>
        <v>1212.543425688</v>
      </c>
      <c r="T76" s="147">
        <f t="shared" si="40"/>
        <v>1652.712743424</v>
      </c>
      <c r="U76" s="316">
        <f>SUM(I76:T76)</f>
        <v>14285.124478674</v>
      </c>
    </row>
    <row r="77" ht="15" spans="3:21">
      <c r="C77" s="44" t="s">
        <v>388</v>
      </c>
      <c r="D77" s="45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</row>
    <row r="78" spans="3:21">
      <c r="C78" s="682" t="s">
        <v>389</v>
      </c>
      <c r="D78" s="55" t="s">
        <v>390</v>
      </c>
      <c r="E78" s="147">
        <v>440</v>
      </c>
      <c r="F78" s="147"/>
      <c r="G78" s="147">
        <v>22.04</v>
      </c>
      <c r="H78" s="147">
        <f>G78*0.7055</f>
        <v>15.54922</v>
      </c>
      <c r="I78" s="147">
        <f>$H78*30*24/1000</f>
        <v>11.1954384</v>
      </c>
      <c r="J78" s="147">
        <f>$H78*31*24/1000</f>
        <v>11.56861968</v>
      </c>
      <c r="K78" s="147">
        <f>$H78*30*24/1000</f>
        <v>11.1954384</v>
      </c>
      <c r="L78" s="147">
        <f t="shared" ref="L78:M82" si="41">$H78*31*24/1000</f>
        <v>11.56861968</v>
      </c>
      <c r="M78" s="147">
        <f t="shared" si="41"/>
        <v>11.56861968</v>
      </c>
      <c r="N78" s="147">
        <f>$H78*30*24/1000</f>
        <v>11.1954384</v>
      </c>
      <c r="O78" s="147">
        <f>$H78*31*24/1000</f>
        <v>11.56861968</v>
      </c>
      <c r="P78" s="147">
        <f>$H78*30*24/1000</f>
        <v>11.1954384</v>
      </c>
      <c r="Q78" s="147">
        <f t="shared" ref="Q78:R82" si="42">$H78*31*24/1000</f>
        <v>11.56861968</v>
      </c>
      <c r="R78" s="147">
        <f t="shared" si="42"/>
        <v>11.56861968</v>
      </c>
      <c r="S78" s="147">
        <f>$H78*28*24/1000</f>
        <v>10.44907584</v>
      </c>
      <c r="T78" s="147">
        <f>$H78*31*24/1000</f>
        <v>11.56861968</v>
      </c>
      <c r="U78" s="147">
        <f t="shared" ref="U78:U91" si="43">+SUM(I78:T78)</f>
        <v>136.2111672</v>
      </c>
    </row>
    <row r="79" spans="3:21">
      <c r="C79" s="683"/>
      <c r="D79" s="55" t="s">
        <v>391</v>
      </c>
      <c r="E79" s="147">
        <v>440</v>
      </c>
      <c r="F79" s="147"/>
      <c r="G79" s="147">
        <v>67.72</v>
      </c>
      <c r="H79" s="147">
        <f>G79*0.7055</f>
        <v>47.77646</v>
      </c>
      <c r="I79" s="147">
        <f>$H79*30*24/1000</f>
        <v>34.3990512</v>
      </c>
      <c r="J79" s="147">
        <f>$H79*31*24/1000</f>
        <v>35.54568624</v>
      </c>
      <c r="K79" s="147">
        <f>$H79*30*24/1000</f>
        <v>34.3990512</v>
      </c>
      <c r="L79" s="147">
        <f t="shared" si="41"/>
        <v>35.54568624</v>
      </c>
      <c r="M79" s="147">
        <f t="shared" si="41"/>
        <v>35.54568624</v>
      </c>
      <c r="N79" s="147">
        <f>$H79*30*24/1000</f>
        <v>34.3990512</v>
      </c>
      <c r="O79" s="147">
        <f>$H79*31*24/1000</f>
        <v>35.54568624</v>
      </c>
      <c r="P79" s="147">
        <f>$H79*30*24/1000</f>
        <v>34.3990512</v>
      </c>
      <c r="Q79" s="147">
        <f t="shared" si="42"/>
        <v>35.54568624</v>
      </c>
      <c r="R79" s="147">
        <f t="shared" si="42"/>
        <v>35.54568624</v>
      </c>
      <c r="S79" s="147">
        <f>$H79*28*24/1000</f>
        <v>32.10578112</v>
      </c>
      <c r="T79" s="147">
        <f>$H79*31*24/1000</f>
        <v>35.54568624</v>
      </c>
      <c r="U79" s="147">
        <f t="shared" si="43"/>
        <v>418.5217896</v>
      </c>
    </row>
    <row r="80" spans="3:21">
      <c r="C80" s="683"/>
      <c r="D80" s="55" t="s">
        <v>392</v>
      </c>
      <c r="E80" s="147">
        <v>440</v>
      </c>
      <c r="F80" s="147"/>
      <c r="G80" s="147">
        <v>72.03</v>
      </c>
      <c r="H80" s="147">
        <f>G80*0.7055</f>
        <v>50.817165</v>
      </c>
      <c r="I80" s="147">
        <f>$H80*30*24/1000</f>
        <v>36.5883588</v>
      </c>
      <c r="J80" s="147">
        <f>$H80*31*24/1000</f>
        <v>37.80797076</v>
      </c>
      <c r="K80" s="147">
        <f>$H80*30*24/1000</f>
        <v>36.5883588</v>
      </c>
      <c r="L80" s="147">
        <f t="shared" si="41"/>
        <v>37.80797076</v>
      </c>
      <c r="M80" s="147">
        <f t="shared" si="41"/>
        <v>37.80797076</v>
      </c>
      <c r="N80" s="147">
        <f>$H80*30*24/1000</f>
        <v>36.5883588</v>
      </c>
      <c r="O80" s="147">
        <f>$H80*31*24/1000</f>
        <v>37.80797076</v>
      </c>
      <c r="P80" s="147">
        <f>$H80*30*24/1000</f>
        <v>36.5883588</v>
      </c>
      <c r="Q80" s="147">
        <f t="shared" si="42"/>
        <v>37.80797076</v>
      </c>
      <c r="R80" s="147">
        <f t="shared" si="42"/>
        <v>37.80797076</v>
      </c>
      <c r="S80" s="147">
        <f>$H80*28*24/1000</f>
        <v>34.14913488</v>
      </c>
      <c r="T80" s="147">
        <f>$H80*31*24/1000</f>
        <v>37.80797076</v>
      </c>
      <c r="U80" s="147">
        <f t="shared" si="43"/>
        <v>445.1583654</v>
      </c>
    </row>
    <row r="81" spans="3:21">
      <c r="C81" s="684"/>
      <c r="D81" s="55" t="s">
        <v>393</v>
      </c>
      <c r="E81" s="147">
        <v>1000</v>
      </c>
      <c r="F81" s="147"/>
      <c r="G81" s="147">
        <v>50</v>
      </c>
      <c r="H81" s="147">
        <f>G81*0.7055</f>
        <v>35.275</v>
      </c>
      <c r="I81" s="147">
        <f>$H81*30*24/1000</f>
        <v>25.398</v>
      </c>
      <c r="J81" s="147">
        <f>$H81*31*24/1000</f>
        <v>26.2446</v>
      </c>
      <c r="K81" s="147">
        <f>$H81*30*24/1000</f>
        <v>25.398</v>
      </c>
      <c r="L81" s="147">
        <f t="shared" si="41"/>
        <v>26.2446</v>
      </c>
      <c r="M81" s="147">
        <f t="shared" si="41"/>
        <v>26.2446</v>
      </c>
      <c r="N81" s="147">
        <f>$H81*30*24/1000</f>
        <v>25.398</v>
      </c>
      <c r="O81" s="147">
        <f>$H81*31*24/1000</f>
        <v>26.2446</v>
      </c>
      <c r="P81" s="147">
        <f>$H81*30*24/1000</f>
        <v>25.398</v>
      </c>
      <c r="Q81" s="147">
        <f t="shared" si="42"/>
        <v>26.2446</v>
      </c>
      <c r="R81" s="147">
        <f t="shared" si="42"/>
        <v>26.2446</v>
      </c>
      <c r="S81" s="147">
        <f>$H81*28*24/1000</f>
        <v>23.7048</v>
      </c>
      <c r="T81" s="147">
        <f>$H81*31*24/1000</f>
        <v>26.2446</v>
      </c>
      <c r="U81" s="147">
        <f t="shared" si="43"/>
        <v>309.009</v>
      </c>
    </row>
    <row r="82" spans="3:21">
      <c r="C82" s="55"/>
      <c r="D82" s="55" t="s">
        <v>438</v>
      </c>
      <c r="E82" s="147"/>
      <c r="F82" s="147"/>
      <c r="G82" s="147">
        <v>4.53</v>
      </c>
      <c r="H82" s="147">
        <f>G82*0.7055</f>
        <v>3.195915</v>
      </c>
      <c r="I82" s="147">
        <f>$H82*30*24/1000</f>
        <v>2.3010588</v>
      </c>
      <c r="J82" s="147">
        <f>$H82*31*24/1000</f>
        <v>2.37776076</v>
      </c>
      <c r="K82" s="147">
        <f>$H82*30*24/1000</f>
        <v>2.3010588</v>
      </c>
      <c r="L82" s="147">
        <f t="shared" si="41"/>
        <v>2.37776076</v>
      </c>
      <c r="M82" s="147">
        <f t="shared" si="41"/>
        <v>2.37776076</v>
      </c>
      <c r="N82" s="147">
        <f>$H82*30*24/1000</f>
        <v>2.3010588</v>
      </c>
      <c r="O82" s="147">
        <f>$H82*31*24/1000</f>
        <v>2.37776076</v>
      </c>
      <c r="P82" s="147">
        <f>$H82*30*24/1000</f>
        <v>2.3010588</v>
      </c>
      <c r="Q82" s="147">
        <f t="shared" si="42"/>
        <v>2.37776076</v>
      </c>
      <c r="R82" s="147">
        <f t="shared" si="42"/>
        <v>2.37776076</v>
      </c>
      <c r="S82" s="147">
        <f>$H82*28*24/1000</f>
        <v>2.14765488</v>
      </c>
      <c r="T82" s="147">
        <f>$H82*31*24/1000</f>
        <v>2.37776076</v>
      </c>
      <c r="U82" s="147">
        <f t="shared" si="43"/>
        <v>27.9962154</v>
      </c>
    </row>
    <row r="83" spans="3:21">
      <c r="C83" s="55"/>
      <c r="D83" s="55"/>
      <c r="E83" s="147"/>
      <c r="F83" s="147"/>
      <c r="G83" s="147"/>
      <c r="H83" s="147">
        <f t="shared" ref="H83:H91" si="44">G83*0.7055</f>
        <v>0</v>
      </c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>
        <f t="shared" si="43"/>
        <v>0</v>
      </c>
    </row>
    <row r="84" spans="3:21">
      <c r="C84" s="55"/>
      <c r="D84" s="55"/>
      <c r="E84" s="147"/>
      <c r="F84" s="147"/>
      <c r="G84" s="147"/>
      <c r="H84" s="147">
        <f t="shared" si="44"/>
        <v>0</v>
      </c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>
        <f t="shared" si="43"/>
        <v>0</v>
      </c>
    </row>
    <row r="85" spans="3:21">
      <c r="C85" s="55"/>
      <c r="D85" s="55"/>
      <c r="E85" s="147"/>
      <c r="F85" s="147"/>
      <c r="G85" s="147"/>
      <c r="H85" s="147">
        <f t="shared" si="44"/>
        <v>0</v>
      </c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>
        <f t="shared" si="43"/>
        <v>0</v>
      </c>
    </row>
    <row r="86" spans="3:21">
      <c r="C86" s="55"/>
      <c r="D86" s="55"/>
      <c r="E86" s="147"/>
      <c r="F86" s="147"/>
      <c r="G86" s="147"/>
      <c r="H86" s="147">
        <f t="shared" si="44"/>
        <v>0</v>
      </c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>
        <f t="shared" si="43"/>
        <v>0</v>
      </c>
    </row>
    <row r="87" spans="3:21">
      <c r="C87" s="55"/>
      <c r="D87" s="55"/>
      <c r="E87" s="147"/>
      <c r="F87" s="147"/>
      <c r="G87" s="147"/>
      <c r="H87" s="147">
        <f t="shared" si="44"/>
        <v>0</v>
      </c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>
        <f t="shared" si="43"/>
        <v>0</v>
      </c>
    </row>
    <row r="88" spans="3:21">
      <c r="C88" s="55"/>
      <c r="D88" s="55"/>
      <c r="E88" s="147"/>
      <c r="F88" s="147"/>
      <c r="G88" s="147"/>
      <c r="H88" s="147">
        <f t="shared" si="44"/>
        <v>0</v>
      </c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>
        <f t="shared" si="43"/>
        <v>0</v>
      </c>
    </row>
    <row r="89" spans="3:21">
      <c r="C89" s="55"/>
      <c r="D89" s="55"/>
      <c r="E89" s="147"/>
      <c r="F89" s="147"/>
      <c r="G89" s="147"/>
      <c r="H89" s="147">
        <f t="shared" si="44"/>
        <v>0</v>
      </c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>
        <f t="shared" si="43"/>
        <v>0</v>
      </c>
    </row>
    <row r="90" spans="3:21">
      <c r="C90" s="55"/>
      <c r="D90" s="55"/>
      <c r="E90" s="147"/>
      <c r="F90" s="147"/>
      <c r="G90" s="147"/>
      <c r="H90" s="147">
        <f t="shared" si="44"/>
        <v>0</v>
      </c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>
        <f t="shared" si="43"/>
        <v>0</v>
      </c>
    </row>
    <row r="91" spans="3:21">
      <c r="C91" s="55"/>
      <c r="D91" s="55"/>
      <c r="E91" s="147"/>
      <c r="F91" s="147"/>
      <c r="G91" s="147"/>
      <c r="H91" s="147">
        <f t="shared" si="44"/>
        <v>0</v>
      </c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>
        <f t="shared" si="43"/>
        <v>0</v>
      </c>
    </row>
    <row r="92" ht="15" spans="3:21">
      <c r="C92" s="537" t="s">
        <v>211</v>
      </c>
      <c r="D92" s="540"/>
      <c r="E92" s="147">
        <f t="shared" ref="E92:T92" si="45">SUM(E78:E91)</f>
        <v>2320</v>
      </c>
      <c r="F92" s="147">
        <f t="shared" si="45"/>
        <v>0</v>
      </c>
      <c r="G92" s="147">
        <f t="shared" si="45"/>
        <v>216.32</v>
      </c>
      <c r="H92" s="147">
        <f t="shared" si="45"/>
        <v>152.61376</v>
      </c>
      <c r="I92" s="147">
        <f t="shared" si="45"/>
        <v>109.8819072</v>
      </c>
      <c r="J92" s="147">
        <f t="shared" si="45"/>
        <v>113.54463744</v>
      </c>
      <c r="K92" s="147">
        <f t="shared" si="45"/>
        <v>109.8819072</v>
      </c>
      <c r="L92" s="147">
        <f t="shared" si="45"/>
        <v>113.54463744</v>
      </c>
      <c r="M92" s="147">
        <f t="shared" si="45"/>
        <v>113.54463744</v>
      </c>
      <c r="N92" s="147">
        <f t="shared" si="45"/>
        <v>109.8819072</v>
      </c>
      <c r="O92" s="147">
        <f t="shared" si="45"/>
        <v>113.54463744</v>
      </c>
      <c r="P92" s="147">
        <f t="shared" si="45"/>
        <v>109.8819072</v>
      </c>
      <c r="Q92" s="147">
        <f t="shared" si="45"/>
        <v>113.54463744</v>
      </c>
      <c r="R92" s="147">
        <f t="shared" si="45"/>
        <v>113.54463744</v>
      </c>
      <c r="S92" s="147">
        <f t="shared" si="45"/>
        <v>102.55644672</v>
      </c>
      <c r="T92" s="147">
        <f t="shared" si="45"/>
        <v>113.54463744</v>
      </c>
      <c r="U92" s="316">
        <f>SUM(I92:T92)</f>
        <v>1336.8965376</v>
      </c>
    </row>
    <row r="93" ht="15" spans="3:21">
      <c r="C93" s="44" t="s">
        <v>395</v>
      </c>
      <c r="D93" s="45"/>
      <c r="E93" s="147">
        <f t="shared" ref="E93:U93" si="46">E76+E92</f>
        <v>19095</v>
      </c>
      <c r="F93" s="147">
        <f t="shared" si="46"/>
        <v>0</v>
      </c>
      <c r="G93" s="147">
        <f t="shared" si="46"/>
        <v>3920.64</v>
      </c>
      <c r="H93" s="147">
        <f t="shared" si="46"/>
        <v>2766.01152</v>
      </c>
      <c r="I93" s="147">
        <f t="shared" si="46"/>
        <v>1108.78981884</v>
      </c>
      <c r="J93" s="147">
        <f t="shared" si="46"/>
        <v>1145.749479468</v>
      </c>
      <c r="K93" s="147">
        <f t="shared" si="46"/>
        <v>1108.78981884</v>
      </c>
      <c r="L93" s="147">
        <f t="shared" si="46"/>
        <v>1145.749479468</v>
      </c>
      <c r="M93" s="147">
        <f t="shared" si="46"/>
        <v>1145.749479468</v>
      </c>
      <c r="N93" s="147">
        <f t="shared" si="46"/>
        <v>1108.78981884</v>
      </c>
      <c r="O93" s="147">
        <f t="shared" si="46"/>
        <v>1456.003430166</v>
      </c>
      <c r="P93" s="147">
        <f t="shared" si="46"/>
        <v>1409.03557758</v>
      </c>
      <c r="Q93" s="147">
        <f t="shared" si="46"/>
        <v>1456.003430166</v>
      </c>
      <c r="R93" s="147">
        <f t="shared" si="46"/>
        <v>1456.003430166</v>
      </c>
      <c r="S93" s="147">
        <f t="shared" si="46"/>
        <v>1315.099872408</v>
      </c>
      <c r="T93" s="147">
        <f t="shared" si="46"/>
        <v>1766.257380864</v>
      </c>
      <c r="U93" s="316">
        <f t="shared" si="46"/>
        <v>15622.021016274</v>
      </c>
    </row>
    <row r="94" ht="15" spans="3:21">
      <c r="C94" s="663" t="s">
        <v>396</v>
      </c>
      <c r="D94" s="676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</row>
    <row r="95" spans="3:21">
      <c r="C95" s="55" t="s">
        <v>397</v>
      </c>
      <c r="D95" s="55" t="s">
        <v>397</v>
      </c>
      <c r="E95" s="147">
        <f>'[43]F9-Year(n-1)'!E96</f>
        <v>500</v>
      </c>
      <c r="F95" s="147"/>
      <c r="G95" s="147">
        <v>269.45</v>
      </c>
      <c r="H95" s="147">
        <f t="shared" ref="H95:H101" si="47">G95*0.7055</f>
        <v>190.096975</v>
      </c>
      <c r="I95" s="147">
        <f>H95*0.85*30*24/1000</f>
        <v>116.3393487</v>
      </c>
      <c r="J95" s="147">
        <f>H95*0.85*31*24/1000</f>
        <v>120.21732699</v>
      </c>
      <c r="K95" s="147">
        <f>H95*0.85*30*24/1000</f>
        <v>116.3393487</v>
      </c>
      <c r="L95" s="147">
        <f>H95*0.85*31*24/1000</f>
        <v>120.21732699</v>
      </c>
      <c r="M95" s="147">
        <f>H95*0.85*31*24/1000</f>
        <v>120.21732699</v>
      </c>
      <c r="N95" s="147">
        <f>H95*0.85*30*24/1000</f>
        <v>116.3393487</v>
      </c>
      <c r="O95" s="147">
        <f>H95*0.85*31*24/1000</f>
        <v>120.21732699</v>
      </c>
      <c r="P95" s="147">
        <f>H95*0.85*30*24/1000</f>
        <v>116.3393487</v>
      </c>
      <c r="Q95" s="147">
        <f>H95*0.85*31*24/1000</f>
        <v>120.21732699</v>
      </c>
      <c r="R95" s="147">
        <f>H95*0.85*31*24/1000</f>
        <v>120.21732699</v>
      </c>
      <c r="S95" s="147">
        <f>H95*0.85*28*24/1000</f>
        <v>108.58339212</v>
      </c>
      <c r="T95" s="147">
        <f>H95*0.85*31*24/1000</f>
        <v>120.21732699</v>
      </c>
      <c r="U95" s="147">
        <f t="shared" ref="U95:U101" si="48">+SUM(I95:T95)</f>
        <v>1415.46207585</v>
      </c>
    </row>
    <row r="96" spans="3:21">
      <c r="C96" s="55" t="s">
        <v>398</v>
      </c>
      <c r="D96" s="685" t="s">
        <v>398</v>
      </c>
      <c r="E96" s="147">
        <f>'[43]F9-Year(n-1)'!E97</f>
        <v>570</v>
      </c>
      <c r="F96" s="147"/>
      <c r="G96" s="147">
        <v>570</v>
      </c>
      <c r="H96" s="147">
        <f t="shared" si="47"/>
        <v>402.135</v>
      </c>
      <c r="I96" s="147">
        <f>H96*0.85*30*24/1000</f>
        <v>246.10662</v>
      </c>
      <c r="J96" s="147">
        <f>H96*0.85*31*24/1000</f>
        <v>254.310174</v>
      </c>
      <c r="K96" s="147">
        <f>H96*0.85*30*24/1000</f>
        <v>246.10662</v>
      </c>
      <c r="L96" s="147">
        <f>H96*0.85*31*24/1000</f>
        <v>254.310174</v>
      </c>
      <c r="M96" s="147">
        <f>H96*0.85*31*24/1000</f>
        <v>254.310174</v>
      </c>
      <c r="N96" s="147">
        <f>H96*0.85*30*24/1000</f>
        <v>246.10662</v>
      </c>
      <c r="O96" s="147">
        <f>H96*0.85*31*24/1000</f>
        <v>254.310174</v>
      </c>
      <c r="P96" s="147">
        <f>H96*0.85*30*24/1000</f>
        <v>246.10662</v>
      </c>
      <c r="Q96" s="147">
        <f>H96*0.85*31*24/1000</f>
        <v>254.310174</v>
      </c>
      <c r="R96" s="147">
        <f>H96*0.85*31*24/1000</f>
        <v>254.310174</v>
      </c>
      <c r="S96" s="147">
        <f>H96*0.85*28*24/1000</f>
        <v>229.699512</v>
      </c>
      <c r="T96" s="147">
        <f>H96*0.85*31*24/1000</f>
        <v>254.310174</v>
      </c>
      <c r="U96" s="147">
        <f t="shared" si="48"/>
        <v>2994.29721</v>
      </c>
    </row>
    <row r="97" spans="3:21">
      <c r="C97" s="55"/>
      <c r="D97" s="55"/>
      <c r="E97" s="147"/>
      <c r="F97" s="147"/>
      <c r="G97" s="147"/>
      <c r="H97" s="147">
        <f t="shared" si="47"/>
        <v>0</v>
      </c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>
        <f t="shared" si="48"/>
        <v>0</v>
      </c>
    </row>
    <row r="98" spans="3:21">
      <c r="C98" s="55"/>
      <c r="D98" s="55"/>
      <c r="E98" s="147"/>
      <c r="F98" s="147"/>
      <c r="G98" s="147"/>
      <c r="H98" s="147">
        <f t="shared" si="47"/>
        <v>0</v>
      </c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>
        <f t="shared" si="48"/>
        <v>0</v>
      </c>
    </row>
    <row r="99" spans="3:21">
      <c r="C99" s="55"/>
      <c r="D99" s="55"/>
      <c r="E99" s="147"/>
      <c r="F99" s="147"/>
      <c r="G99" s="147"/>
      <c r="H99" s="147">
        <f t="shared" si="47"/>
        <v>0</v>
      </c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>
        <f t="shared" si="48"/>
        <v>0</v>
      </c>
    </row>
    <row r="100" spans="3:21">
      <c r="C100" s="55"/>
      <c r="D100" s="55"/>
      <c r="E100" s="147"/>
      <c r="F100" s="147"/>
      <c r="G100" s="147"/>
      <c r="H100" s="147">
        <f t="shared" si="47"/>
        <v>0</v>
      </c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>
        <f t="shared" si="48"/>
        <v>0</v>
      </c>
    </row>
    <row r="101" spans="3:21">
      <c r="C101" s="55"/>
      <c r="D101" s="55"/>
      <c r="E101" s="147"/>
      <c r="F101" s="147"/>
      <c r="G101" s="147"/>
      <c r="H101" s="147">
        <f t="shared" si="47"/>
        <v>0</v>
      </c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>
        <f t="shared" si="48"/>
        <v>0</v>
      </c>
    </row>
    <row r="102" ht="15" spans="3:21">
      <c r="C102" s="44" t="s">
        <v>399</v>
      </c>
      <c r="D102" s="45"/>
      <c r="E102" s="147">
        <f t="shared" ref="E102:T102" si="49">SUM(E95:E101)</f>
        <v>1070</v>
      </c>
      <c r="F102" s="147">
        <f t="shared" si="49"/>
        <v>0</v>
      </c>
      <c r="G102" s="147">
        <f t="shared" si="49"/>
        <v>839.45</v>
      </c>
      <c r="H102" s="147">
        <f t="shared" si="49"/>
        <v>592.231975</v>
      </c>
      <c r="I102" s="147">
        <f t="shared" si="49"/>
        <v>362.4459687</v>
      </c>
      <c r="J102" s="147">
        <f t="shared" si="49"/>
        <v>374.52750099</v>
      </c>
      <c r="K102" s="147">
        <f t="shared" si="49"/>
        <v>362.4459687</v>
      </c>
      <c r="L102" s="147">
        <f t="shared" si="49"/>
        <v>374.52750099</v>
      </c>
      <c r="M102" s="147">
        <f t="shared" si="49"/>
        <v>374.52750099</v>
      </c>
      <c r="N102" s="147">
        <f t="shared" si="49"/>
        <v>362.4459687</v>
      </c>
      <c r="O102" s="147">
        <f t="shared" si="49"/>
        <v>374.52750099</v>
      </c>
      <c r="P102" s="147">
        <f t="shared" si="49"/>
        <v>362.4459687</v>
      </c>
      <c r="Q102" s="147">
        <f t="shared" si="49"/>
        <v>374.52750099</v>
      </c>
      <c r="R102" s="147">
        <f t="shared" si="49"/>
        <v>374.52750099</v>
      </c>
      <c r="S102" s="147">
        <f t="shared" si="49"/>
        <v>338.28290412</v>
      </c>
      <c r="T102" s="147">
        <f t="shared" si="49"/>
        <v>374.52750099</v>
      </c>
      <c r="U102" s="316">
        <f>SUM(I102:T102)</f>
        <v>4409.75928585</v>
      </c>
    </row>
    <row r="103" ht="15" spans="3:21">
      <c r="C103" s="663" t="s">
        <v>400</v>
      </c>
      <c r="D103" s="676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</row>
    <row r="104" spans="3:21">
      <c r="C104" s="55" t="s">
        <v>401</v>
      </c>
      <c r="D104" s="55" t="s">
        <v>401</v>
      </c>
      <c r="E104" s="147">
        <v>1200</v>
      </c>
      <c r="F104" s="147"/>
      <c r="G104" s="147">
        <v>1200</v>
      </c>
      <c r="H104" s="147">
        <f t="shared" ref="H104:H111" si="50">G104*0.7055</f>
        <v>846.6</v>
      </c>
      <c r="I104" s="147">
        <f>H104*0.85*30*24/1000</f>
        <v>518.1192</v>
      </c>
      <c r="J104" s="147">
        <f>H104*0.85*31*24/1000</f>
        <v>535.38984</v>
      </c>
      <c r="K104" s="147">
        <f>H104*0.85*30*24/1000</f>
        <v>518.1192</v>
      </c>
      <c r="L104" s="147">
        <f>H104*0.85*31*24/1000</f>
        <v>535.38984</v>
      </c>
      <c r="M104" s="147">
        <f>H104*0.85*31*24/1000</f>
        <v>535.38984</v>
      </c>
      <c r="N104" s="147">
        <f>H104*0.85*30*24/1000</f>
        <v>518.1192</v>
      </c>
      <c r="O104" s="147">
        <f>H104*0.85*31*24/1000</f>
        <v>535.38984</v>
      </c>
      <c r="P104" s="147">
        <f>H104*0.85*30*24/1000</f>
        <v>518.1192</v>
      </c>
      <c r="Q104" s="147">
        <f>H104*0.85*31*24/1000</f>
        <v>535.38984</v>
      </c>
      <c r="R104" s="147">
        <f>H104*0.85*31*24/1000</f>
        <v>535.38984</v>
      </c>
      <c r="S104" s="147">
        <f>H104*0.85*28*24/1000</f>
        <v>483.57792</v>
      </c>
      <c r="T104" s="147">
        <f>H104*0.85*31*24/1000</f>
        <v>535.38984</v>
      </c>
      <c r="U104" s="147">
        <f t="shared" ref="U104:U111" si="51">+SUM(I104:T104)</f>
        <v>6303.7836</v>
      </c>
    </row>
    <row r="105" spans="3:21">
      <c r="C105" s="55" t="s">
        <v>402</v>
      </c>
      <c r="D105" s="55" t="s">
        <v>402</v>
      </c>
      <c r="E105" s="147">
        <v>1000</v>
      </c>
      <c r="F105" s="147"/>
      <c r="G105" s="147">
        <v>1000</v>
      </c>
      <c r="H105" s="147">
        <v>0</v>
      </c>
      <c r="I105" s="147">
        <v>0</v>
      </c>
      <c r="J105" s="147">
        <v>0</v>
      </c>
      <c r="K105" s="147">
        <v>0</v>
      </c>
      <c r="L105" s="147">
        <v>0</v>
      </c>
      <c r="M105" s="147">
        <v>0</v>
      </c>
      <c r="N105" s="147">
        <v>0</v>
      </c>
      <c r="O105" s="147">
        <v>0</v>
      </c>
      <c r="P105" s="147">
        <v>0</v>
      </c>
      <c r="Q105" s="147">
        <v>0</v>
      </c>
      <c r="R105" s="147">
        <v>0</v>
      </c>
      <c r="S105" s="147">
        <v>0</v>
      </c>
      <c r="T105" s="147">
        <v>0</v>
      </c>
      <c r="U105" s="147">
        <f t="shared" si="51"/>
        <v>0</v>
      </c>
    </row>
    <row r="106" spans="3:21">
      <c r="C106" s="55" t="s">
        <v>403</v>
      </c>
      <c r="D106" s="55" t="s">
        <v>403</v>
      </c>
      <c r="E106" s="147" t="str">
        <f>'[43]F9-Year(n-1)'!E107</f>
        <v>-</v>
      </c>
      <c r="F106" s="147"/>
      <c r="G106" s="147"/>
      <c r="H106" s="147">
        <f t="shared" si="50"/>
        <v>0</v>
      </c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>
        <f t="shared" si="51"/>
        <v>0</v>
      </c>
    </row>
    <row r="107" spans="3:21">
      <c r="C107" s="55"/>
      <c r="D107" s="55"/>
      <c r="E107" s="147"/>
      <c r="F107" s="147"/>
      <c r="G107" s="147"/>
      <c r="H107" s="147">
        <f t="shared" si="50"/>
        <v>0</v>
      </c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>
        <f t="shared" si="51"/>
        <v>0</v>
      </c>
    </row>
    <row r="108" spans="3:21">
      <c r="C108" s="55"/>
      <c r="D108" s="55"/>
      <c r="E108" s="147"/>
      <c r="F108" s="147"/>
      <c r="G108" s="147"/>
      <c r="H108" s="147">
        <f t="shared" si="50"/>
        <v>0</v>
      </c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>
        <f t="shared" si="51"/>
        <v>0</v>
      </c>
    </row>
    <row r="109" spans="3:21">
      <c r="C109" s="55"/>
      <c r="D109" s="55"/>
      <c r="E109" s="147"/>
      <c r="F109" s="147"/>
      <c r="G109" s="147"/>
      <c r="H109" s="147">
        <f t="shared" si="50"/>
        <v>0</v>
      </c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>
        <f t="shared" si="51"/>
        <v>0</v>
      </c>
    </row>
    <row r="110" spans="3:21">
      <c r="C110" s="55"/>
      <c r="D110" s="55"/>
      <c r="E110" s="147"/>
      <c r="F110" s="147"/>
      <c r="G110" s="147"/>
      <c r="H110" s="147">
        <f t="shared" si="50"/>
        <v>0</v>
      </c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>
        <f t="shared" si="51"/>
        <v>0</v>
      </c>
    </row>
    <row r="111" spans="3:21">
      <c r="C111" s="55"/>
      <c r="D111" s="55"/>
      <c r="E111" s="147"/>
      <c r="F111" s="147"/>
      <c r="G111" s="147"/>
      <c r="H111" s="147">
        <f t="shared" si="50"/>
        <v>0</v>
      </c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>
        <f t="shared" si="51"/>
        <v>0</v>
      </c>
    </row>
    <row r="112" ht="15" spans="3:21">
      <c r="C112" s="44" t="s">
        <v>404</v>
      </c>
      <c r="D112" s="45"/>
      <c r="E112" s="147">
        <f t="shared" ref="E112:T112" si="52">SUM(E104:E111)</f>
        <v>2200</v>
      </c>
      <c r="F112" s="147">
        <f t="shared" si="52"/>
        <v>0</v>
      </c>
      <c r="G112" s="147">
        <f t="shared" si="52"/>
        <v>2200</v>
      </c>
      <c r="H112" s="147">
        <f t="shared" si="52"/>
        <v>846.6</v>
      </c>
      <c r="I112" s="147">
        <f t="shared" si="52"/>
        <v>518.1192</v>
      </c>
      <c r="J112" s="147">
        <f t="shared" si="52"/>
        <v>535.38984</v>
      </c>
      <c r="K112" s="147">
        <f t="shared" si="52"/>
        <v>518.1192</v>
      </c>
      <c r="L112" s="147">
        <f t="shared" si="52"/>
        <v>535.38984</v>
      </c>
      <c r="M112" s="147">
        <f t="shared" si="52"/>
        <v>535.38984</v>
      </c>
      <c r="N112" s="147">
        <f t="shared" si="52"/>
        <v>518.1192</v>
      </c>
      <c r="O112" s="147">
        <f t="shared" si="52"/>
        <v>535.38984</v>
      </c>
      <c r="P112" s="147">
        <f t="shared" si="52"/>
        <v>518.1192</v>
      </c>
      <c r="Q112" s="147">
        <f t="shared" si="52"/>
        <v>535.38984</v>
      </c>
      <c r="R112" s="147">
        <f t="shared" si="52"/>
        <v>535.38984</v>
      </c>
      <c r="S112" s="147">
        <f t="shared" si="52"/>
        <v>483.57792</v>
      </c>
      <c r="T112" s="147">
        <f t="shared" si="52"/>
        <v>535.38984</v>
      </c>
      <c r="U112" s="316">
        <f>SUM(I112:T112)</f>
        <v>6303.7836</v>
      </c>
    </row>
    <row r="113" ht="15" spans="3:21">
      <c r="C113" s="663" t="s">
        <v>405</v>
      </c>
      <c r="D113" s="676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</row>
    <row r="114" spans="3:21">
      <c r="C114" s="55"/>
      <c r="D114" s="55" t="s">
        <v>406</v>
      </c>
      <c r="E114" s="147">
        <v>12</v>
      </c>
      <c r="F114" s="147"/>
      <c r="G114" s="147">
        <f t="shared" ref="G114:G124" si="53">E114</f>
        <v>12</v>
      </c>
      <c r="H114" s="147">
        <v>6</v>
      </c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>
        <f t="shared" ref="U114:U137" si="54">+SUM(I114:T114)</f>
        <v>0</v>
      </c>
    </row>
    <row r="115" spans="3:21">
      <c r="C115" s="55"/>
      <c r="D115" s="55" t="s">
        <v>407</v>
      </c>
      <c r="E115" s="147">
        <v>46.7</v>
      </c>
      <c r="F115" s="147"/>
      <c r="G115" s="147">
        <f t="shared" si="53"/>
        <v>46.7</v>
      </c>
      <c r="H115" s="147">
        <v>15</v>
      </c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>
        <f t="shared" si="54"/>
        <v>0</v>
      </c>
    </row>
    <row r="116" spans="3:21">
      <c r="C116" s="55"/>
      <c r="D116" s="55" t="s">
        <v>408</v>
      </c>
      <c r="E116" s="147">
        <v>19.8</v>
      </c>
      <c r="F116" s="147"/>
      <c r="G116" s="147">
        <f t="shared" si="53"/>
        <v>19.8</v>
      </c>
      <c r="H116" s="147">
        <v>19.8</v>
      </c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>
        <f t="shared" si="54"/>
        <v>0</v>
      </c>
    </row>
    <row r="117" spans="3:21">
      <c r="C117" s="55"/>
      <c r="D117" s="55" t="s">
        <v>409</v>
      </c>
      <c r="E117" s="147">
        <v>15</v>
      </c>
      <c r="F117" s="147"/>
      <c r="G117" s="147">
        <f t="shared" si="53"/>
        <v>15</v>
      </c>
      <c r="H117" s="147">
        <v>7.5</v>
      </c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>
        <f t="shared" si="54"/>
        <v>0</v>
      </c>
    </row>
    <row r="118" spans="3:21">
      <c r="C118" s="55"/>
      <c r="D118" s="55" t="s">
        <v>410</v>
      </c>
      <c r="E118" s="147">
        <v>128.1</v>
      </c>
      <c r="F118" s="147"/>
      <c r="G118" s="147">
        <f t="shared" si="53"/>
        <v>128.1</v>
      </c>
      <c r="H118" s="147">
        <v>128.1</v>
      </c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>
        <f t="shared" si="54"/>
        <v>0</v>
      </c>
    </row>
    <row r="119" spans="3:21">
      <c r="C119" s="55"/>
      <c r="D119" s="55" t="s">
        <v>368</v>
      </c>
      <c r="E119" s="147">
        <v>3.55</v>
      </c>
      <c r="F119" s="147"/>
      <c r="G119" s="147">
        <f t="shared" si="53"/>
        <v>3.55</v>
      </c>
      <c r="H119" s="147">
        <v>0</v>
      </c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>
        <f t="shared" si="54"/>
        <v>0</v>
      </c>
    </row>
    <row r="120" spans="3:21">
      <c r="C120" s="55"/>
      <c r="D120" s="55" t="s">
        <v>411</v>
      </c>
      <c r="E120" s="147">
        <v>2833.74</v>
      </c>
      <c r="F120" s="147"/>
      <c r="G120" s="147">
        <f t="shared" si="53"/>
        <v>2833.74</v>
      </c>
      <c r="H120" s="147">
        <v>1951.74</v>
      </c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753">
        <f t="shared" si="54"/>
        <v>0</v>
      </c>
    </row>
    <row r="121" spans="3:21">
      <c r="C121" s="55"/>
      <c r="D121" s="55" t="s">
        <v>412</v>
      </c>
      <c r="E121" s="147">
        <v>55.81</v>
      </c>
      <c r="F121" s="147"/>
      <c r="G121" s="147">
        <f t="shared" si="53"/>
        <v>55.81</v>
      </c>
      <c r="H121" s="147">
        <f t="shared" ref="H121:H129" si="55">G121*0.7055</f>
        <v>39.373955</v>
      </c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>
        <f t="shared" si="54"/>
        <v>0</v>
      </c>
    </row>
    <row r="122" spans="3:21">
      <c r="C122" s="55"/>
      <c r="D122" s="55" t="s">
        <v>413</v>
      </c>
      <c r="E122" s="147">
        <v>400</v>
      </c>
      <c r="F122" s="147"/>
      <c r="G122" s="147">
        <f t="shared" si="53"/>
        <v>400</v>
      </c>
      <c r="H122" s="147">
        <f t="shared" si="55"/>
        <v>282.2</v>
      </c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>
        <f t="shared" si="54"/>
        <v>0</v>
      </c>
    </row>
    <row r="123" spans="3:21">
      <c r="C123" s="55"/>
      <c r="D123" s="55" t="s">
        <v>414</v>
      </c>
      <c r="E123" s="147">
        <v>400</v>
      </c>
      <c r="F123" s="147"/>
      <c r="G123" s="147">
        <f t="shared" si="53"/>
        <v>400</v>
      </c>
      <c r="H123" s="147">
        <f t="shared" si="55"/>
        <v>282.2</v>
      </c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>
        <f t="shared" si="54"/>
        <v>0</v>
      </c>
    </row>
    <row r="124" spans="3:21">
      <c r="C124" s="55"/>
      <c r="D124" s="55" t="s">
        <v>415</v>
      </c>
      <c r="E124" s="147">
        <v>735</v>
      </c>
      <c r="F124" s="147"/>
      <c r="G124" s="147">
        <f t="shared" si="53"/>
        <v>735</v>
      </c>
      <c r="H124" s="147">
        <f t="shared" si="55"/>
        <v>518.5425</v>
      </c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>
        <f t="shared" si="54"/>
        <v>0</v>
      </c>
    </row>
    <row r="125" spans="3:21">
      <c r="C125" s="55"/>
      <c r="D125" s="55" t="s">
        <v>416</v>
      </c>
      <c r="E125" s="147"/>
      <c r="F125" s="147"/>
      <c r="G125" s="147"/>
      <c r="H125" s="147">
        <f t="shared" si="55"/>
        <v>0</v>
      </c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>
        <f t="shared" si="54"/>
        <v>0</v>
      </c>
    </row>
    <row r="126" spans="3:21">
      <c r="C126" s="55"/>
      <c r="D126" s="55" t="s">
        <v>417</v>
      </c>
      <c r="E126" s="147">
        <v>1692</v>
      </c>
      <c r="F126" s="147"/>
      <c r="G126" s="147">
        <f>E126</f>
        <v>1692</v>
      </c>
      <c r="H126" s="147">
        <f t="shared" si="55"/>
        <v>1193.706</v>
      </c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>
        <f t="shared" si="54"/>
        <v>0</v>
      </c>
    </row>
    <row r="127" spans="3:21">
      <c r="C127" s="55"/>
      <c r="D127" s="55" t="s">
        <v>418</v>
      </c>
      <c r="E127" s="147">
        <v>1000</v>
      </c>
      <c r="F127" s="147"/>
      <c r="G127" s="147">
        <f>E127</f>
        <v>1000</v>
      </c>
      <c r="H127" s="147">
        <f t="shared" si="55"/>
        <v>705.5</v>
      </c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>
        <f t="shared" si="54"/>
        <v>0</v>
      </c>
    </row>
    <row r="128" spans="3:21">
      <c r="C128" s="55"/>
      <c r="D128" s="767" t="s">
        <v>419</v>
      </c>
      <c r="E128" s="147"/>
      <c r="F128" s="147"/>
      <c r="G128" s="147"/>
      <c r="H128" s="147">
        <f t="shared" si="55"/>
        <v>0</v>
      </c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>
        <f t="shared" si="54"/>
        <v>0</v>
      </c>
    </row>
    <row r="129" spans="3:21">
      <c r="C129" s="55"/>
      <c r="D129" s="767" t="s">
        <v>439</v>
      </c>
      <c r="E129" s="147"/>
      <c r="F129" s="147"/>
      <c r="G129" s="147"/>
      <c r="H129" s="147">
        <f t="shared" si="55"/>
        <v>0</v>
      </c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>
        <f t="shared" si="54"/>
        <v>0</v>
      </c>
    </row>
    <row r="130" spans="3:21">
      <c r="C130" s="55"/>
      <c r="D130" s="55" t="s">
        <v>440</v>
      </c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>
        <f t="shared" si="54"/>
        <v>0</v>
      </c>
    </row>
    <row r="131" ht="15" spans="3:21">
      <c r="C131" s="55"/>
      <c r="D131" s="54" t="s">
        <v>441</v>
      </c>
      <c r="E131" s="147"/>
      <c r="F131" s="147"/>
      <c r="G131" s="147"/>
      <c r="H131" s="147"/>
      <c r="I131" s="147">
        <f>'F11-Year(n)'!E132</f>
        <v>787.22697398225</v>
      </c>
      <c r="J131" s="147">
        <f>'F11-Year(n)'!F132</f>
        <v>713.85246073725</v>
      </c>
      <c r="K131" s="147">
        <f>'F11-Year(n)'!G132</f>
        <v>680.12927465875</v>
      </c>
      <c r="L131" s="147">
        <f>'F11-Year(n)'!H132</f>
        <v>555.66760262525</v>
      </c>
      <c r="M131" s="147">
        <f>'F11-Year(n)'!I132</f>
        <v>623.48998496775</v>
      </c>
      <c r="N131" s="147">
        <f>'F11-Year(n)'!J132</f>
        <v>606.731034905223</v>
      </c>
      <c r="O131" s="147">
        <f>'F11-Year(n)'!K132</f>
        <v>658.642019872</v>
      </c>
      <c r="P131" s="147">
        <f>'F11-Year(n)'!L132</f>
        <v>552.47564872</v>
      </c>
      <c r="Q131" s="147">
        <f>'F11-Year(n)'!M132</f>
        <v>582.97086591075</v>
      </c>
      <c r="R131" s="147">
        <f>'F11-Year(n)'!N132</f>
        <v>607.6032325805</v>
      </c>
      <c r="S131" s="147">
        <f>'F11-Year(n)'!O132</f>
        <v>657.87614826325</v>
      </c>
      <c r="T131" s="147">
        <f>'F11-Year(n)'!P132</f>
        <v>741.5778643405</v>
      </c>
      <c r="U131" s="147">
        <f t="shared" si="54"/>
        <v>7768.24311156347</v>
      </c>
    </row>
    <row r="132" spans="3:21">
      <c r="C132" s="55"/>
      <c r="D132" s="55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>
        <f t="shared" si="54"/>
        <v>0</v>
      </c>
    </row>
    <row r="133" spans="3:21">
      <c r="C133" s="55"/>
      <c r="D133" s="55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>
        <f t="shared" si="54"/>
        <v>0</v>
      </c>
    </row>
    <row r="134" spans="3:21">
      <c r="C134" s="55"/>
      <c r="D134" s="5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>
        <f t="shared" si="54"/>
        <v>0</v>
      </c>
    </row>
    <row r="135" spans="3:21">
      <c r="C135" s="55"/>
      <c r="D135" s="55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>
        <f t="shared" si="54"/>
        <v>0</v>
      </c>
    </row>
    <row r="136" spans="3:21">
      <c r="C136" s="55"/>
      <c r="D136" s="55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>
        <f t="shared" si="54"/>
        <v>0</v>
      </c>
    </row>
    <row r="137" spans="3:21">
      <c r="C137" s="55"/>
      <c r="D137" s="55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>
        <f t="shared" si="54"/>
        <v>0</v>
      </c>
    </row>
    <row r="138" ht="15" spans="3:21">
      <c r="C138" s="44" t="s">
        <v>421</v>
      </c>
      <c r="D138" s="45"/>
      <c r="E138" s="147">
        <f t="shared" ref="E138:T138" si="56">SUM(E114:E137)</f>
        <v>7341.7</v>
      </c>
      <c r="F138" s="147">
        <f t="shared" si="56"/>
        <v>0</v>
      </c>
      <c r="G138" s="147">
        <f t="shared" si="56"/>
        <v>7341.7</v>
      </c>
      <c r="H138" s="147">
        <f t="shared" si="56"/>
        <v>5149.662455</v>
      </c>
      <c r="I138" s="147">
        <f t="shared" si="56"/>
        <v>787.22697398225</v>
      </c>
      <c r="J138" s="147">
        <f t="shared" si="56"/>
        <v>713.85246073725</v>
      </c>
      <c r="K138" s="147">
        <f t="shared" si="56"/>
        <v>680.12927465875</v>
      </c>
      <c r="L138" s="147">
        <f t="shared" si="56"/>
        <v>555.66760262525</v>
      </c>
      <c r="M138" s="147">
        <f t="shared" si="56"/>
        <v>623.48998496775</v>
      </c>
      <c r="N138" s="147">
        <f t="shared" si="56"/>
        <v>606.731034905223</v>
      </c>
      <c r="O138" s="147">
        <f t="shared" si="56"/>
        <v>658.642019872</v>
      </c>
      <c r="P138" s="147">
        <f t="shared" si="56"/>
        <v>552.47564872</v>
      </c>
      <c r="Q138" s="147">
        <f t="shared" si="56"/>
        <v>582.97086591075</v>
      </c>
      <c r="R138" s="147">
        <f t="shared" si="56"/>
        <v>607.6032325805</v>
      </c>
      <c r="S138" s="147">
        <f t="shared" si="56"/>
        <v>657.87614826325</v>
      </c>
      <c r="T138" s="147">
        <f t="shared" si="56"/>
        <v>741.5778643405</v>
      </c>
      <c r="U138" s="316">
        <f>SUM(I138:T138)</f>
        <v>7768.24311156347</v>
      </c>
    </row>
    <row r="139" ht="15" spans="3:21">
      <c r="C139" s="663" t="s">
        <v>422</v>
      </c>
      <c r="D139" s="676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</row>
    <row r="140" spans="3:21">
      <c r="C140" s="55"/>
      <c r="D140" s="55" t="s">
        <v>423</v>
      </c>
      <c r="E140" s="147"/>
      <c r="F140" s="147"/>
      <c r="G140" s="147"/>
      <c r="H140" s="147"/>
      <c r="I140" s="147">
        <f>'F11-Year(n)'!E141</f>
        <v>1093.99183816875</v>
      </c>
      <c r="J140" s="147">
        <f>'F11-Year(n)'!F141</f>
        <v>200.23350904875</v>
      </c>
      <c r="K140" s="147">
        <f>'F11-Year(n)'!G141</f>
        <v>425.483642435</v>
      </c>
      <c r="L140" s="147">
        <f>'F11-Year(n)'!H141</f>
        <v>732.41447225</v>
      </c>
      <c r="M140" s="147">
        <f>'F11-Year(n)'!I141</f>
        <v>1221.98289328375</v>
      </c>
      <c r="N140" s="147">
        <f>'F11-Year(n)'!J141</f>
        <v>921.90245788625</v>
      </c>
      <c r="O140" s="147">
        <f>'F11-Year(n)'!K141</f>
        <v>1142.7319141625</v>
      </c>
      <c r="P140" s="147">
        <f>'F11-Year(n)'!L141</f>
        <v>729.37306351375</v>
      </c>
      <c r="Q140" s="147">
        <f>'F11-Year(n)'!M141</f>
        <v>863.0946005825</v>
      </c>
      <c r="R140" s="147">
        <f>'F11-Year(n)'!N141</f>
        <v>915.06674845125</v>
      </c>
      <c r="S140" s="147">
        <f>'F11-Year(n)'!O141</f>
        <v>1391.23994151875</v>
      </c>
      <c r="T140" s="147">
        <f>'F11-Year(n)'!P141</f>
        <v>1857.8587085875</v>
      </c>
      <c r="U140" s="147">
        <f t="shared" ref="U140:U150" si="57">+SUM(I140:T140)</f>
        <v>11495.3737898888</v>
      </c>
    </row>
    <row r="141" spans="3:21">
      <c r="C141" s="55"/>
      <c r="D141" s="55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>
        <f t="shared" si="57"/>
        <v>0</v>
      </c>
    </row>
    <row r="142" spans="3:21">
      <c r="C142" s="55"/>
      <c r="D142" s="55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>
        <f t="shared" si="57"/>
        <v>0</v>
      </c>
    </row>
    <row r="143" spans="3:21">
      <c r="C143" s="55"/>
      <c r="D143" s="55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>
        <f t="shared" si="57"/>
        <v>0</v>
      </c>
    </row>
    <row r="144" spans="3:21">
      <c r="C144" s="55"/>
      <c r="D144" s="55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>
        <f t="shared" si="57"/>
        <v>0</v>
      </c>
    </row>
    <row r="145" spans="3:21">
      <c r="C145" s="55"/>
      <c r="D145" s="55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>
        <f t="shared" si="57"/>
        <v>0</v>
      </c>
    </row>
    <row r="146" spans="3:21">
      <c r="C146" s="55"/>
      <c r="D146" s="55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>
        <f t="shared" si="57"/>
        <v>0</v>
      </c>
    </row>
    <row r="147" spans="3:21">
      <c r="C147" s="55"/>
      <c r="D147" s="55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>
        <f t="shared" si="57"/>
        <v>0</v>
      </c>
    </row>
    <row r="148" spans="3:21">
      <c r="C148" s="55"/>
      <c r="D148" s="55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>
        <f t="shared" si="57"/>
        <v>0</v>
      </c>
    </row>
    <row r="149" spans="3:21">
      <c r="C149" s="55"/>
      <c r="D149" s="55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>
        <f t="shared" si="57"/>
        <v>0</v>
      </c>
    </row>
    <row r="150" spans="3:21">
      <c r="C150" s="55"/>
      <c r="D150" s="55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>
        <f t="shared" si="57"/>
        <v>0</v>
      </c>
    </row>
    <row r="151" ht="15" spans="3:21">
      <c r="C151" s="44" t="s">
        <v>424</v>
      </c>
      <c r="D151" s="45"/>
      <c r="E151" s="147">
        <f t="shared" ref="E151:T151" si="58">SUM(E140:E150)</f>
        <v>0</v>
      </c>
      <c r="F151" s="147">
        <f t="shared" si="58"/>
        <v>0</v>
      </c>
      <c r="G151" s="147">
        <f t="shared" si="58"/>
        <v>0</v>
      </c>
      <c r="H151" s="147">
        <f t="shared" si="58"/>
        <v>0</v>
      </c>
      <c r="I151" s="147">
        <f t="shared" si="58"/>
        <v>1093.99183816875</v>
      </c>
      <c r="J151" s="147">
        <f t="shared" si="58"/>
        <v>200.23350904875</v>
      </c>
      <c r="K151" s="147">
        <f t="shared" si="58"/>
        <v>425.483642435</v>
      </c>
      <c r="L151" s="147">
        <f t="shared" si="58"/>
        <v>732.41447225</v>
      </c>
      <c r="M151" s="147">
        <f t="shared" si="58"/>
        <v>1221.98289328375</v>
      </c>
      <c r="N151" s="147">
        <f t="shared" si="58"/>
        <v>921.90245788625</v>
      </c>
      <c r="O151" s="147">
        <f t="shared" si="58"/>
        <v>1142.7319141625</v>
      </c>
      <c r="P151" s="147">
        <f t="shared" si="58"/>
        <v>729.37306351375</v>
      </c>
      <c r="Q151" s="147">
        <f t="shared" si="58"/>
        <v>863.0946005825</v>
      </c>
      <c r="R151" s="147">
        <f t="shared" si="58"/>
        <v>915.06674845125</v>
      </c>
      <c r="S151" s="147">
        <f t="shared" si="58"/>
        <v>1391.23994151875</v>
      </c>
      <c r="T151" s="147">
        <f t="shared" si="58"/>
        <v>1857.8587085875</v>
      </c>
      <c r="U151" s="316">
        <f>SUM(I151:T151)</f>
        <v>11495.3737898888</v>
      </c>
    </row>
    <row r="152" ht="15" spans="3:21">
      <c r="C152" s="663" t="s">
        <v>425</v>
      </c>
      <c r="D152" s="676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</row>
    <row r="153" spans="3:21">
      <c r="C153" s="55" t="s">
        <v>426</v>
      </c>
      <c r="D153" s="55" t="s">
        <v>427</v>
      </c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>
        <f>+SUM(I153:T153)</f>
        <v>0</v>
      </c>
    </row>
    <row r="154" spans="3:21">
      <c r="C154" s="55" t="s">
        <v>426</v>
      </c>
      <c r="D154" s="55" t="s">
        <v>428</v>
      </c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>
        <f>+SUM(I154:T154)</f>
        <v>0</v>
      </c>
    </row>
    <row r="155" ht="15" spans="3:21">
      <c r="C155" s="44" t="s">
        <v>429</v>
      </c>
      <c r="D155" s="45"/>
      <c r="E155" s="147">
        <f t="shared" ref="E155:T155" si="59">SUM(E153:E154)</f>
        <v>0</v>
      </c>
      <c r="F155" s="147">
        <f t="shared" si="59"/>
        <v>0</v>
      </c>
      <c r="G155" s="147">
        <f t="shared" si="59"/>
        <v>0</v>
      </c>
      <c r="H155" s="147">
        <f t="shared" si="59"/>
        <v>0</v>
      </c>
      <c r="I155" s="147">
        <f t="shared" si="59"/>
        <v>0</v>
      </c>
      <c r="J155" s="147">
        <f t="shared" si="59"/>
        <v>0</v>
      </c>
      <c r="K155" s="147">
        <f t="shared" si="59"/>
        <v>0</v>
      </c>
      <c r="L155" s="147">
        <f t="shared" si="59"/>
        <v>0</v>
      </c>
      <c r="M155" s="147">
        <f t="shared" si="59"/>
        <v>0</v>
      </c>
      <c r="N155" s="147">
        <f t="shared" si="59"/>
        <v>0</v>
      </c>
      <c r="O155" s="147">
        <f t="shared" si="59"/>
        <v>0</v>
      </c>
      <c r="P155" s="147">
        <f t="shared" si="59"/>
        <v>0</v>
      </c>
      <c r="Q155" s="147">
        <f t="shared" si="59"/>
        <v>0</v>
      </c>
      <c r="R155" s="147">
        <f t="shared" si="59"/>
        <v>0</v>
      </c>
      <c r="S155" s="147">
        <f t="shared" si="59"/>
        <v>0</v>
      </c>
      <c r="T155" s="147">
        <f t="shared" si="59"/>
        <v>0</v>
      </c>
      <c r="U155" s="316">
        <f>U153-U154</f>
        <v>0</v>
      </c>
    </row>
    <row r="156" ht="15" spans="3:21">
      <c r="C156" s="44" t="s">
        <v>224</v>
      </c>
      <c r="D156" s="45"/>
      <c r="E156" s="147">
        <f t="shared" ref="E156:U156" si="60">E48+E93+E102+E112+E138+E151+E155</f>
        <v>37790.96</v>
      </c>
      <c r="F156" s="147">
        <f t="shared" si="60"/>
        <v>0</v>
      </c>
      <c r="G156" s="147">
        <f t="shared" si="60"/>
        <v>22269.05</v>
      </c>
      <c r="H156" s="147">
        <f t="shared" si="60"/>
        <v>14975.40788</v>
      </c>
      <c r="I156" s="147">
        <f t="shared" si="60"/>
        <v>5652.513795084</v>
      </c>
      <c r="J156" s="147">
        <f t="shared" si="60"/>
        <v>4809.4062608288</v>
      </c>
      <c r="K156" s="147">
        <f t="shared" si="60"/>
        <v>4879.010653712</v>
      </c>
      <c r="L156" s="147">
        <f t="shared" si="60"/>
        <v>5228.17559058745</v>
      </c>
      <c r="M156" s="147">
        <f t="shared" si="60"/>
        <v>5908.3036780607</v>
      </c>
      <c r="N156" s="147">
        <f t="shared" si="60"/>
        <v>5367.56039064582</v>
      </c>
      <c r="O156" s="147">
        <f t="shared" si="60"/>
        <v>6079.76877976295</v>
      </c>
      <c r="P156" s="147">
        <f t="shared" si="60"/>
        <v>5356.57141947855</v>
      </c>
      <c r="Q156" s="147">
        <f t="shared" si="60"/>
        <v>5681.06737988875</v>
      </c>
      <c r="R156" s="147">
        <f t="shared" si="60"/>
        <v>5760.14851012945</v>
      </c>
      <c r="S156" s="147">
        <f t="shared" si="60"/>
        <v>5847.09324843695</v>
      </c>
      <c r="T156" s="147">
        <f t="shared" si="60"/>
        <v>7098.3248784412</v>
      </c>
      <c r="U156" s="316">
        <f t="shared" si="60"/>
        <v>67667.9445850566</v>
      </c>
    </row>
    <row r="159" ht="15" spans="4:9">
      <c r="D159" s="11"/>
      <c r="E159" s="11"/>
      <c r="F159" s="11"/>
      <c r="G159" s="11"/>
      <c r="H159" s="11"/>
      <c r="I159" s="11"/>
    </row>
    <row r="160" spans="4:9">
      <c r="D160" s="13"/>
      <c r="E160" s="13"/>
      <c r="F160" s="13"/>
      <c r="G160" s="13"/>
      <c r="H160" s="13"/>
      <c r="I160" s="13"/>
    </row>
    <row r="161" spans="5:9">
      <c r="E161" s="13"/>
      <c r="F161" s="13"/>
      <c r="G161" s="13"/>
      <c r="H161" s="13"/>
      <c r="I161" s="13"/>
    </row>
    <row r="162" spans="5:9">
      <c r="E162" s="13"/>
      <c r="F162" s="13"/>
      <c r="G162" s="13"/>
      <c r="H162" s="13"/>
      <c r="I162" s="13"/>
    </row>
  </sheetData>
  <mergeCells count="36">
    <mergeCell ref="C2:U2"/>
    <mergeCell ref="C3:U3"/>
    <mergeCell ref="I4:U4"/>
    <mergeCell ref="C7:D7"/>
    <mergeCell ref="C8:D8"/>
    <mergeCell ref="C27:D27"/>
    <mergeCell ref="C28:D28"/>
    <mergeCell ref="C47:D47"/>
    <mergeCell ref="C48:D48"/>
    <mergeCell ref="C49:D49"/>
    <mergeCell ref="C50:D50"/>
    <mergeCell ref="C76:D76"/>
    <mergeCell ref="C77:D77"/>
    <mergeCell ref="C92:D92"/>
    <mergeCell ref="C93:D93"/>
    <mergeCell ref="C94:D94"/>
    <mergeCell ref="C102:D102"/>
    <mergeCell ref="C103:D103"/>
    <mergeCell ref="C112:D112"/>
    <mergeCell ref="C113:D113"/>
    <mergeCell ref="C138:D138"/>
    <mergeCell ref="C139:D139"/>
    <mergeCell ref="C151:D151"/>
    <mergeCell ref="C152:D152"/>
    <mergeCell ref="C155:D155"/>
    <mergeCell ref="C156:D156"/>
    <mergeCell ref="C4:C6"/>
    <mergeCell ref="C9:C26"/>
    <mergeCell ref="C29:C46"/>
    <mergeCell ref="C51:C59"/>
    <mergeCell ref="C78:C81"/>
    <mergeCell ref="D4:D6"/>
    <mergeCell ref="E4:E6"/>
    <mergeCell ref="F4:F6"/>
    <mergeCell ref="G4:G6"/>
    <mergeCell ref="H4:H6"/>
  </mergeCells>
  <pageMargins left="0.7" right="0.7" top="0.75" bottom="0.75" header="0.3" footer="0.3"/>
  <pageSetup paperSize="1" orientation="portrait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</sheetPr>
  <dimension ref="C2:W163"/>
  <sheetViews>
    <sheetView showGridLines="0" view="pageBreakPreview" zoomScale="85" zoomScaleNormal="59" topLeftCell="C1" workbookViewId="0">
      <pane xSplit="2" ySplit="8" topLeftCell="E121" activePane="bottomRight" state="frozen"/>
      <selection/>
      <selection pane="topRight"/>
      <selection pane="bottomLeft"/>
      <selection pane="bottomRight" activeCell="K160" sqref="K160"/>
    </sheetView>
  </sheetViews>
  <sheetFormatPr defaultColWidth="9.14285714285714" defaultRowHeight="14.25"/>
  <cols>
    <col min="1" max="1" width="3.14285714285714" style="368" hidden="1" customWidth="1"/>
    <col min="2" max="2" width="8.14285714285714" style="368" hidden="1" customWidth="1"/>
    <col min="3" max="3" width="12.7142857142857" style="368" customWidth="1"/>
    <col min="4" max="4" width="23.1428571428571" style="785" customWidth="1"/>
    <col min="5" max="5" width="10" style="368" customWidth="1"/>
    <col min="6" max="6" width="9.28571428571429" style="368" customWidth="1"/>
    <col min="7" max="7" width="16.4285714285714" style="368" customWidth="1"/>
    <col min="8" max="8" width="14" style="368" customWidth="1"/>
    <col min="9" max="9" width="13.8571428571429" style="368" customWidth="1"/>
    <col min="10" max="10" width="12.5714285714286" style="368" customWidth="1"/>
    <col min="11" max="11" width="13.4285714285714" style="368" customWidth="1"/>
    <col min="12" max="12" width="13.8571428571429" style="368" customWidth="1"/>
    <col min="13" max="13" width="12.5714285714286" style="368" customWidth="1"/>
    <col min="14" max="14" width="14.8571428571429" style="368" customWidth="1"/>
    <col min="15" max="15" width="12.5714285714286" style="368" customWidth="1"/>
    <col min="16" max="16" width="11.8571428571429" style="368" customWidth="1"/>
    <col min="17" max="17" width="13.8571428571429" style="368" customWidth="1"/>
    <col min="18" max="20" width="11.8571428571429" style="368" customWidth="1"/>
    <col min="21" max="21" width="13" style="368" customWidth="1"/>
    <col min="22" max="22" width="12.4285714285714" style="368" customWidth="1"/>
    <col min="23" max="23" width="15.7142857142857" style="368" customWidth="1"/>
    <col min="24" max="16384" width="9.14285714285714" style="368"/>
  </cols>
  <sheetData>
    <row r="2" customHeight="1" spans="3:21">
      <c r="C2" s="276" t="s">
        <v>0</v>
      </c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</row>
    <row r="3" customHeight="1" spans="3:21">
      <c r="C3" s="786" t="s">
        <v>442</v>
      </c>
      <c r="D3" s="786"/>
      <c r="E3" s="786"/>
      <c r="F3" s="786"/>
      <c r="G3" s="786"/>
      <c r="H3" s="786"/>
      <c r="I3" s="786"/>
      <c r="J3" s="786"/>
      <c r="K3" s="786"/>
      <c r="L3" s="786"/>
      <c r="M3" s="786"/>
      <c r="N3" s="786"/>
      <c r="O3" s="786"/>
      <c r="P3" s="786"/>
      <c r="Q3" s="786"/>
      <c r="R3" s="786"/>
      <c r="S3" s="786"/>
      <c r="T3" s="786"/>
      <c r="U3" s="786"/>
    </row>
    <row r="4" ht="14.1" customHeight="1" spans="3:21">
      <c r="C4" s="702" t="s">
        <v>345</v>
      </c>
      <c r="D4" s="702" t="s">
        <v>346</v>
      </c>
      <c r="E4" s="372" t="s">
        <v>431</v>
      </c>
      <c r="F4" s="372" t="s">
        <v>432</v>
      </c>
      <c r="G4" s="372" t="s">
        <v>433</v>
      </c>
      <c r="H4" s="372" t="s">
        <v>434</v>
      </c>
      <c r="I4" s="403" t="s">
        <v>443</v>
      </c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</row>
    <row r="5" ht="15" customHeight="1" spans="3:21">
      <c r="C5" s="704"/>
      <c r="D5" s="704"/>
      <c r="E5" s="377"/>
      <c r="F5" s="377"/>
      <c r="G5" s="377"/>
      <c r="H5" s="377"/>
      <c r="I5" s="403" t="s">
        <v>246</v>
      </c>
      <c r="J5" s="403" t="s">
        <v>247</v>
      </c>
      <c r="K5" s="403" t="s">
        <v>248</v>
      </c>
      <c r="L5" s="403" t="s">
        <v>249</v>
      </c>
      <c r="M5" s="403" t="s">
        <v>250</v>
      </c>
      <c r="N5" s="403" t="s">
        <v>251</v>
      </c>
      <c r="O5" s="403" t="s">
        <v>252</v>
      </c>
      <c r="P5" s="403" t="s">
        <v>253</v>
      </c>
      <c r="Q5" s="403" t="s">
        <v>254</v>
      </c>
      <c r="R5" s="403" t="s">
        <v>255</v>
      </c>
      <c r="S5" s="403" t="s">
        <v>256</v>
      </c>
      <c r="T5" s="403" t="s">
        <v>257</v>
      </c>
      <c r="U5" s="403" t="s">
        <v>97</v>
      </c>
    </row>
    <row r="6" spans="3:21">
      <c r="C6" s="706"/>
      <c r="D6" s="706"/>
      <c r="E6" s="380"/>
      <c r="F6" s="380"/>
      <c r="G6" s="380"/>
      <c r="H6" s="380"/>
      <c r="I6" s="384">
        <v>30</v>
      </c>
      <c r="J6" s="384">
        <v>31</v>
      </c>
      <c r="K6" s="384">
        <v>30</v>
      </c>
      <c r="L6" s="384">
        <v>31</v>
      </c>
      <c r="M6" s="384">
        <v>31</v>
      </c>
      <c r="N6" s="384">
        <v>30</v>
      </c>
      <c r="O6" s="384">
        <v>31</v>
      </c>
      <c r="P6" s="384">
        <v>30</v>
      </c>
      <c r="Q6" s="384">
        <v>31</v>
      </c>
      <c r="R6" s="384">
        <v>31</v>
      </c>
      <c r="S6" s="384">
        <v>28</v>
      </c>
      <c r="T6" s="384">
        <v>31</v>
      </c>
      <c r="U6" s="384"/>
    </row>
    <row r="7" customHeight="1" spans="3:21">
      <c r="C7" s="708" t="s">
        <v>349</v>
      </c>
      <c r="D7" s="709"/>
      <c r="E7" s="296"/>
      <c r="F7" s="296"/>
      <c r="G7" s="288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</row>
    <row r="8" ht="15" spans="3:21">
      <c r="C8" s="285" t="s">
        <v>350</v>
      </c>
      <c r="D8" s="28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</row>
    <row r="9" spans="3:21">
      <c r="C9" s="710" t="s">
        <v>444</v>
      </c>
      <c r="D9" s="288" t="s">
        <v>352</v>
      </c>
      <c r="E9" s="384">
        <v>500</v>
      </c>
      <c r="F9" s="384"/>
      <c r="G9" s="384">
        <f t="shared" ref="G9:G16" si="0">E9</f>
        <v>500</v>
      </c>
      <c r="H9" s="384">
        <f t="shared" ref="H9:H16" si="1">G9*0.7055</f>
        <v>352.75</v>
      </c>
      <c r="I9" s="384">
        <f t="shared" ref="I9:T15" si="2">$H9*0.85*I$6*24/1000</f>
        <v>215.883</v>
      </c>
      <c r="J9" s="384">
        <f t="shared" si="2"/>
        <v>223.0791</v>
      </c>
      <c r="K9" s="384">
        <f t="shared" si="2"/>
        <v>215.883</v>
      </c>
      <c r="L9" s="384">
        <f t="shared" si="2"/>
        <v>223.0791</v>
      </c>
      <c r="M9" s="384">
        <f t="shared" si="2"/>
        <v>223.0791</v>
      </c>
      <c r="N9" s="384">
        <f t="shared" si="2"/>
        <v>215.883</v>
      </c>
      <c r="O9" s="384">
        <f t="shared" si="2"/>
        <v>223.0791</v>
      </c>
      <c r="P9" s="384">
        <f t="shared" si="2"/>
        <v>215.883</v>
      </c>
      <c r="Q9" s="384">
        <f t="shared" si="2"/>
        <v>223.0791</v>
      </c>
      <c r="R9" s="384">
        <f t="shared" si="2"/>
        <v>223.0791</v>
      </c>
      <c r="S9" s="384">
        <f t="shared" si="2"/>
        <v>201.4908</v>
      </c>
      <c r="T9" s="384">
        <f t="shared" si="2"/>
        <v>223.0791</v>
      </c>
      <c r="U9" s="384">
        <f t="shared" ref="U9:U26" si="3">+SUM(I9:T9)</f>
        <v>2626.5765</v>
      </c>
    </row>
    <row r="10" customHeight="1" spans="3:21">
      <c r="C10" s="711"/>
      <c r="D10" s="288" t="s">
        <v>353</v>
      </c>
      <c r="E10" s="384">
        <v>500</v>
      </c>
      <c r="F10" s="384"/>
      <c r="G10" s="384">
        <f t="shared" si="0"/>
        <v>500</v>
      </c>
      <c r="H10" s="384">
        <f t="shared" si="1"/>
        <v>352.75</v>
      </c>
      <c r="I10" s="384">
        <f t="shared" si="2"/>
        <v>215.883</v>
      </c>
      <c r="J10" s="384">
        <f t="shared" si="2"/>
        <v>223.0791</v>
      </c>
      <c r="K10" s="384">
        <f t="shared" si="2"/>
        <v>215.883</v>
      </c>
      <c r="L10" s="384">
        <f t="shared" si="2"/>
        <v>223.0791</v>
      </c>
      <c r="M10" s="384">
        <f t="shared" si="2"/>
        <v>223.0791</v>
      </c>
      <c r="N10" s="384">
        <f t="shared" si="2"/>
        <v>215.883</v>
      </c>
      <c r="O10" s="384">
        <f t="shared" si="2"/>
        <v>223.0791</v>
      </c>
      <c r="P10" s="384">
        <f t="shared" si="2"/>
        <v>215.883</v>
      </c>
      <c r="Q10" s="384">
        <f t="shared" si="2"/>
        <v>223.0791</v>
      </c>
      <c r="R10" s="384">
        <f t="shared" si="2"/>
        <v>223.0791</v>
      </c>
      <c r="S10" s="384">
        <f t="shared" si="2"/>
        <v>201.4908</v>
      </c>
      <c r="T10" s="384">
        <f t="shared" si="2"/>
        <v>223.0791</v>
      </c>
      <c r="U10" s="384">
        <f t="shared" si="3"/>
        <v>2626.5765</v>
      </c>
    </row>
    <row r="11" spans="3:22">
      <c r="C11" s="711"/>
      <c r="D11" s="288" t="s">
        <v>354</v>
      </c>
      <c r="E11" s="384">
        <v>800</v>
      </c>
      <c r="F11" s="384"/>
      <c r="G11" s="384">
        <f t="shared" si="0"/>
        <v>800</v>
      </c>
      <c r="H11" s="384">
        <f t="shared" si="1"/>
        <v>564.4</v>
      </c>
      <c r="I11" s="384">
        <f t="shared" si="2"/>
        <v>345.4128</v>
      </c>
      <c r="J11" s="384">
        <f t="shared" si="2"/>
        <v>356.92656</v>
      </c>
      <c r="K11" s="384">
        <f t="shared" si="2"/>
        <v>345.4128</v>
      </c>
      <c r="L11" s="384">
        <f t="shared" si="2"/>
        <v>356.92656</v>
      </c>
      <c r="M11" s="384">
        <f t="shared" si="2"/>
        <v>356.92656</v>
      </c>
      <c r="N11" s="384">
        <f t="shared" si="2"/>
        <v>345.4128</v>
      </c>
      <c r="O11" s="384">
        <f t="shared" si="2"/>
        <v>356.92656</v>
      </c>
      <c r="P11" s="384">
        <f t="shared" si="2"/>
        <v>345.4128</v>
      </c>
      <c r="Q11" s="384">
        <f t="shared" si="2"/>
        <v>356.92656</v>
      </c>
      <c r="R11" s="384">
        <f t="shared" si="2"/>
        <v>356.92656</v>
      </c>
      <c r="S11" s="384">
        <f t="shared" si="2"/>
        <v>322.38528</v>
      </c>
      <c r="T11" s="384">
        <f t="shared" si="2"/>
        <v>356.92656</v>
      </c>
      <c r="U11" s="384">
        <f t="shared" si="3"/>
        <v>4202.5224</v>
      </c>
      <c r="V11" s="720"/>
    </row>
    <row r="12" spans="3:21">
      <c r="C12" s="711"/>
      <c r="D12" s="288" t="s">
        <v>355</v>
      </c>
      <c r="E12" s="384">
        <v>0</v>
      </c>
      <c r="F12" s="384"/>
      <c r="G12" s="384">
        <f t="shared" si="0"/>
        <v>0</v>
      </c>
      <c r="H12" s="384">
        <f t="shared" si="1"/>
        <v>0</v>
      </c>
      <c r="I12" s="384">
        <f t="shared" si="2"/>
        <v>0</v>
      </c>
      <c r="J12" s="384">
        <f t="shared" si="2"/>
        <v>0</v>
      </c>
      <c r="K12" s="384">
        <f t="shared" si="2"/>
        <v>0</v>
      </c>
      <c r="L12" s="384">
        <f t="shared" si="2"/>
        <v>0</v>
      </c>
      <c r="M12" s="384">
        <f t="shared" si="2"/>
        <v>0</v>
      </c>
      <c r="N12" s="384">
        <f t="shared" si="2"/>
        <v>0</v>
      </c>
      <c r="O12" s="384">
        <f t="shared" si="2"/>
        <v>0</v>
      </c>
      <c r="P12" s="384">
        <f t="shared" si="2"/>
        <v>0</v>
      </c>
      <c r="Q12" s="384">
        <f t="shared" si="2"/>
        <v>0</v>
      </c>
      <c r="R12" s="384">
        <f t="shared" si="2"/>
        <v>0</v>
      </c>
      <c r="S12" s="384">
        <f t="shared" si="2"/>
        <v>0</v>
      </c>
      <c r="T12" s="384">
        <f t="shared" si="2"/>
        <v>0</v>
      </c>
      <c r="U12" s="384">
        <f t="shared" si="3"/>
        <v>0</v>
      </c>
    </row>
    <row r="13" spans="3:21">
      <c r="C13" s="711"/>
      <c r="D13" s="288" t="s">
        <v>356</v>
      </c>
      <c r="E13" s="384">
        <v>500</v>
      </c>
      <c r="F13" s="384"/>
      <c r="G13" s="384">
        <f t="shared" si="0"/>
        <v>500</v>
      </c>
      <c r="H13" s="384">
        <f t="shared" si="1"/>
        <v>352.75</v>
      </c>
      <c r="I13" s="384">
        <f t="shared" si="2"/>
        <v>215.883</v>
      </c>
      <c r="J13" s="384">
        <f t="shared" si="2"/>
        <v>223.0791</v>
      </c>
      <c r="K13" s="384">
        <f t="shared" si="2"/>
        <v>215.883</v>
      </c>
      <c r="L13" s="384">
        <f t="shared" si="2"/>
        <v>223.0791</v>
      </c>
      <c r="M13" s="384">
        <f t="shared" si="2"/>
        <v>223.0791</v>
      </c>
      <c r="N13" s="384">
        <f t="shared" si="2"/>
        <v>215.883</v>
      </c>
      <c r="O13" s="384">
        <f t="shared" si="2"/>
        <v>223.0791</v>
      </c>
      <c r="P13" s="384">
        <f t="shared" si="2"/>
        <v>215.883</v>
      </c>
      <c r="Q13" s="384">
        <f t="shared" si="2"/>
        <v>223.0791</v>
      </c>
      <c r="R13" s="384">
        <f t="shared" si="2"/>
        <v>223.0791</v>
      </c>
      <c r="S13" s="384">
        <f t="shared" si="2"/>
        <v>201.4908</v>
      </c>
      <c r="T13" s="384">
        <f t="shared" si="2"/>
        <v>223.0791</v>
      </c>
      <c r="U13" s="384">
        <f t="shared" si="3"/>
        <v>2626.5765</v>
      </c>
    </row>
    <row r="14" spans="3:21">
      <c r="C14" s="711"/>
      <c r="D14" s="288" t="s">
        <v>357</v>
      </c>
      <c r="E14" s="384">
        <v>600</v>
      </c>
      <c r="F14" s="384"/>
      <c r="G14" s="384">
        <f t="shared" si="0"/>
        <v>600</v>
      </c>
      <c r="H14" s="384">
        <f t="shared" si="1"/>
        <v>423.3</v>
      </c>
      <c r="I14" s="384">
        <f t="shared" si="2"/>
        <v>259.0596</v>
      </c>
      <c r="J14" s="384">
        <f t="shared" si="2"/>
        <v>267.69492</v>
      </c>
      <c r="K14" s="384">
        <f t="shared" si="2"/>
        <v>259.0596</v>
      </c>
      <c r="L14" s="384">
        <f t="shared" si="2"/>
        <v>267.69492</v>
      </c>
      <c r="M14" s="384">
        <f t="shared" si="2"/>
        <v>267.69492</v>
      </c>
      <c r="N14" s="384">
        <f t="shared" si="2"/>
        <v>259.0596</v>
      </c>
      <c r="O14" s="384">
        <f t="shared" si="2"/>
        <v>267.69492</v>
      </c>
      <c r="P14" s="384">
        <f t="shared" si="2"/>
        <v>259.0596</v>
      </c>
      <c r="Q14" s="384">
        <f t="shared" si="2"/>
        <v>267.69492</v>
      </c>
      <c r="R14" s="384">
        <f t="shared" si="2"/>
        <v>267.69492</v>
      </c>
      <c r="S14" s="384">
        <f t="shared" si="2"/>
        <v>241.78896</v>
      </c>
      <c r="T14" s="384">
        <f t="shared" si="2"/>
        <v>267.69492</v>
      </c>
      <c r="U14" s="384">
        <f t="shared" si="3"/>
        <v>3151.8918</v>
      </c>
    </row>
    <row r="15" spans="3:21">
      <c r="C15" s="711"/>
      <c r="D15" s="288" t="s">
        <v>358</v>
      </c>
      <c r="E15" s="384">
        <v>1080</v>
      </c>
      <c r="F15" s="384"/>
      <c r="G15" s="384">
        <f t="shared" si="0"/>
        <v>1080</v>
      </c>
      <c r="H15" s="384">
        <f t="shared" si="1"/>
        <v>761.94</v>
      </c>
      <c r="I15" s="384">
        <f t="shared" si="2"/>
        <v>466.30728</v>
      </c>
      <c r="J15" s="384">
        <f t="shared" si="2"/>
        <v>481.850856</v>
      </c>
      <c r="K15" s="384">
        <f t="shared" si="2"/>
        <v>466.30728</v>
      </c>
      <c r="L15" s="384">
        <f t="shared" si="2"/>
        <v>481.850856</v>
      </c>
      <c r="M15" s="384">
        <f t="shared" si="2"/>
        <v>481.850856</v>
      </c>
      <c r="N15" s="384">
        <f t="shared" si="2"/>
        <v>466.30728</v>
      </c>
      <c r="O15" s="384">
        <f t="shared" si="2"/>
        <v>481.850856</v>
      </c>
      <c r="P15" s="384">
        <f t="shared" si="2"/>
        <v>466.30728</v>
      </c>
      <c r="Q15" s="384">
        <f t="shared" si="2"/>
        <v>481.850856</v>
      </c>
      <c r="R15" s="384">
        <f t="shared" si="2"/>
        <v>481.850856</v>
      </c>
      <c r="S15" s="384">
        <f t="shared" si="2"/>
        <v>435.220128</v>
      </c>
      <c r="T15" s="384">
        <f t="shared" si="2"/>
        <v>481.850856</v>
      </c>
      <c r="U15" s="384">
        <f t="shared" si="3"/>
        <v>5673.40524</v>
      </c>
    </row>
    <row r="16" spans="3:21">
      <c r="C16" s="711"/>
      <c r="D16" s="288" t="s">
        <v>359</v>
      </c>
      <c r="E16" s="384">
        <v>4000</v>
      </c>
      <c r="F16" s="384"/>
      <c r="G16" s="384">
        <f t="shared" si="0"/>
        <v>4000</v>
      </c>
      <c r="H16" s="384">
        <f t="shared" si="1"/>
        <v>2822</v>
      </c>
      <c r="I16" s="384">
        <f>$H16*0.85*I$6*24/1000-(2*800*0.7055*0.85*I$6*24/1000)</f>
        <v>1036.2384</v>
      </c>
      <c r="J16" s="384">
        <f>$H16*0.85*J$6*24/1000-(1*800*0.7055*0.85*J$6*24/1000)</f>
        <v>1427.70624</v>
      </c>
      <c r="K16" s="384">
        <f>$H16*0.85*K$6*24/1000-(2.5/12)</f>
        <v>1726.85566666667</v>
      </c>
      <c r="L16" s="384">
        <f t="shared" ref="L16:T16" si="4">$H16*0.85*L$6*24/1000-(2.5/12)</f>
        <v>1784.42446666667</v>
      </c>
      <c r="M16" s="384">
        <f t="shared" si="4"/>
        <v>1784.42446666667</v>
      </c>
      <c r="N16" s="384">
        <f t="shared" si="4"/>
        <v>1726.85566666667</v>
      </c>
      <c r="O16" s="384">
        <f t="shared" si="4"/>
        <v>1784.42446666667</v>
      </c>
      <c r="P16" s="384">
        <f t="shared" si="4"/>
        <v>1726.85566666667</v>
      </c>
      <c r="Q16" s="384">
        <f t="shared" si="4"/>
        <v>1784.42446666667</v>
      </c>
      <c r="R16" s="384">
        <f t="shared" si="4"/>
        <v>1784.42446666667</v>
      </c>
      <c r="S16" s="384">
        <f t="shared" si="4"/>
        <v>1611.71806666667</v>
      </c>
      <c r="T16" s="384">
        <f t="shared" si="4"/>
        <v>1784.42446666667</v>
      </c>
      <c r="U16" s="384">
        <f>+SUM(I16:T16)-2</f>
        <v>19960.7765066667</v>
      </c>
    </row>
    <row r="17" spans="3:21">
      <c r="C17" s="711"/>
      <c r="D17" s="288"/>
      <c r="E17" s="296"/>
      <c r="F17" s="296"/>
      <c r="G17" s="296"/>
      <c r="H17" s="384"/>
      <c r="I17" s="384"/>
      <c r="J17" s="384"/>
      <c r="K17" s="384"/>
      <c r="L17" s="384"/>
      <c r="M17" s="384"/>
      <c r="N17" s="384"/>
      <c r="O17" s="384"/>
      <c r="P17" s="384"/>
      <c r="Q17" s="384"/>
      <c r="R17" s="384"/>
      <c r="S17" s="384"/>
      <c r="T17" s="384"/>
      <c r="U17" s="384">
        <f t="shared" si="3"/>
        <v>0</v>
      </c>
    </row>
    <row r="18" spans="3:21">
      <c r="C18" s="711"/>
      <c r="D18" s="288"/>
      <c r="E18" s="296"/>
      <c r="F18" s="296"/>
      <c r="G18" s="296"/>
      <c r="H18" s="384"/>
      <c r="I18" s="384"/>
      <c r="J18" s="384"/>
      <c r="K18" s="384"/>
      <c r="L18" s="384"/>
      <c r="M18" s="384"/>
      <c r="N18" s="384"/>
      <c r="O18" s="384"/>
      <c r="P18" s="384"/>
      <c r="Q18" s="384"/>
      <c r="R18" s="384"/>
      <c r="S18" s="384"/>
      <c r="T18" s="384"/>
      <c r="U18" s="384">
        <f t="shared" si="3"/>
        <v>0</v>
      </c>
    </row>
    <row r="19" spans="3:21">
      <c r="C19" s="711"/>
      <c r="D19" s="288"/>
      <c r="E19" s="296"/>
      <c r="F19" s="296"/>
      <c r="G19" s="296"/>
      <c r="H19" s="384"/>
      <c r="I19" s="384"/>
      <c r="J19" s="384"/>
      <c r="K19" s="384"/>
      <c r="L19" s="384"/>
      <c r="M19" s="384"/>
      <c r="N19" s="384"/>
      <c r="O19" s="384"/>
      <c r="P19" s="384"/>
      <c r="Q19" s="384"/>
      <c r="R19" s="384"/>
      <c r="S19" s="384"/>
      <c r="T19" s="384"/>
      <c r="U19" s="384">
        <f t="shared" si="3"/>
        <v>0</v>
      </c>
    </row>
    <row r="20" spans="3:21">
      <c r="C20" s="711"/>
      <c r="D20" s="288"/>
      <c r="E20" s="296"/>
      <c r="F20" s="296"/>
      <c r="G20" s="296"/>
      <c r="H20" s="384"/>
      <c r="I20" s="384"/>
      <c r="J20" s="384"/>
      <c r="K20" s="384"/>
      <c r="L20" s="384"/>
      <c r="M20" s="384"/>
      <c r="N20" s="384"/>
      <c r="O20" s="384"/>
      <c r="P20" s="384"/>
      <c r="Q20" s="384"/>
      <c r="R20" s="384"/>
      <c r="S20" s="384"/>
      <c r="T20" s="384"/>
      <c r="U20" s="384">
        <f t="shared" si="3"/>
        <v>0</v>
      </c>
    </row>
    <row r="21" spans="3:21">
      <c r="C21" s="711"/>
      <c r="D21" s="288"/>
      <c r="E21" s="296"/>
      <c r="F21" s="296"/>
      <c r="G21" s="296"/>
      <c r="H21" s="384"/>
      <c r="I21" s="384"/>
      <c r="J21" s="384"/>
      <c r="K21" s="384"/>
      <c r="L21" s="384"/>
      <c r="M21" s="384"/>
      <c r="N21" s="384"/>
      <c r="O21" s="384"/>
      <c r="P21" s="384"/>
      <c r="Q21" s="384"/>
      <c r="R21" s="384"/>
      <c r="S21" s="384"/>
      <c r="T21" s="384"/>
      <c r="U21" s="384">
        <f t="shared" si="3"/>
        <v>0</v>
      </c>
    </row>
    <row r="22" spans="3:21">
      <c r="C22" s="711"/>
      <c r="D22" s="288"/>
      <c r="E22" s="296"/>
      <c r="F22" s="296"/>
      <c r="G22" s="296"/>
      <c r="H22" s="384"/>
      <c r="I22" s="384"/>
      <c r="J22" s="384"/>
      <c r="K22" s="384"/>
      <c r="L22" s="384"/>
      <c r="M22" s="384"/>
      <c r="N22" s="384"/>
      <c r="O22" s="384"/>
      <c r="P22" s="384"/>
      <c r="Q22" s="384"/>
      <c r="R22" s="384"/>
      <c r="S22" s="384"/>
      <c r="T22" s="384"/>
      <c r="U22" s="384">
        <f t="shared" si="3"/>
        <v>0</v>
      </c>
    </row>
    <row r="23" spans="3:21">
      <c r="C23" s="711"/>
      <c r="D23" s="288"/>
      <c r="E23" s="296"/>
      <c r="F23" s="296"/>
      <c r="G23" s="296"/>
      <c r="H23" s="384"/>
      <c r="I23" s="384"/>
      <c r="J23" s="384"/>
      <c r="K23" s="384"/>
      <c r="L23" s="384"/>
      <c r="M23" s="384"/>
      <c r="N23" s="384"/>
      <c r="O23" s="384"/>
      <c r="P23" s="384"/>
      <c r="Q23" s="384"/>
      <c r="R23" s="384"/>
      <c r="S23" s="384"/>
      <c r="T23" s="384"/>
      <c r="U23" s="384">
        <f t="shared" si="3"/>
        <v>0</v>
      </c>
    </row>
    <row r="24" spans="3:21">
      <c r="C24" s="711"/>
      <c r="D24" s="288"/>
      <c r="E24" s="296"/>
      <c r="F24" s="296"/>
      <c r="G24" s="296"/>
      <c r="H24" s="384"/>
      <c r="I24" s="384"/>
      <c r="J24" s="384"/>
      <c r="K24" s="384"/>
      <c r="L24" s="384"/>
      <c r="M24" s="384"/>
      <c r="N24" s="384"/>
      <c r="O24" s="384"/>
      <c r="P24" s="384"/>
      <c r="Q24" s="384"/>
      <c r="R24" s="384"/>
      <c r="S24" s="384"/>
      <c r="T24" s="384"/>
      <c r="U24" s="384">
        <f t="shared" si="3"/>
        <v>0</v>
      </c>
    </row>
    <row r="25" spans="3:21">
      <c r="C25" s="711"/>
      <c r="D25" s="288"/>
      <c r="E25" s="296"/>
      <c r="F25" s="296"/>
      <c r="G25" s="296"/>
      <c r="H25" s="384"/>
      <c r="I25" s="384"/>
      <c r="J25" s="384"/>
      <c r="K25" s="384"/>
      <c r="L25" s="384"/>
      <c r="M25" s="384"/>
      <c r="N25" s="384"/>
      <c r="O25" s="384"/>
      <c r="P25" s="384"/>
      <c r="Q25" s="384"/>
      <c r="R25" s="384"/>
      <c r="S25" s="384"/>
      <c r="T25" s="384"/>
      <c r="U25" s="384">
        <f t="shared" si="3"/>
        <v>0</v>
      </c>
    </row>
    <row r="26" spans="3:21">
      <c r="C26" s="713"/>
      <c r="D26" s="288"/>
      <c r="E26" s="296"/>
      <c r="F26" s="296"/>
      <c r="G26" s="296"/>
      <c r="H26" s="384"/>
      <c r="I26" s="384"/>
      <c r="J26" s="384"/>
      <c r="K26" s="384"/>
      <c r="L26" s="384"/>
      <c r="M26" s="384"/>
      <c r="N26" s="384"/>
      <c r="O26" s="384"/>
      <c r="P26" s="384"/>
      <c r="Q26" s="384"/>
      <c r="R26" s="384"/>
      <c r="S26" s="384"/>
      <c r="T26" s="384"/>
      <c r="U26" s="384">
        <f t="shared" si="3"/>
        <v>0</v>
      </c>
    </row>
    <row r="27" ht="15" spans="3:21">
      <c r="C27" s="285" t="s">
        <v>211</v>
      </c>
      <c r="D27" s="286"/>
      <c r="E27" s="296">
        <f t="shared" ref="E27:T27" si="5">SUM(E9:E26)</f>
        <v>7980</v>
      </c>
      <c r="F27" s="296">
        <f t="shared" si="5"/>
        <v>0</v>
      </c>
      <c r="G27" s="296">
        <f t="shared" si="5"/>
        <v>7980</v>
      </c>
      <c r="H27" s="384">
        <f t="shared" si="5"/>
        <v>5629.89</v>
      </c>
      <c r="I27" s="384">
        <f t="shared" si="5"/>
        <v>2754.66708</v>
      </c>
      <c r="J27" s="384">
        <f t="shared" si="5"/>
        <v>3203.415876</v>
      </c>
      <c r="K27" s="384">
        <f t="shared" si="5"/>
        <v>3445.28434666667</v>
      </c>
      <c r="L27" s="384">
        <f t="shared" si="5"/>
        <v>3560.13410266667</v>
      </c>
      <c r="M27" s="384">
        <f t="shared" si="5"/>
        <v>3560.13410266667</v>
      </c>
      <c r="N27" s="384">
        <f t="shared" si="5"/>
        <v>3445.28434666667</v>
      </c>
      <c r="O27" s="384">
        <f t="shared" si="5"/>
        <v>3560.13410266667</v>
      </c>
      <c r="P27" s="384">
        <f t="shared" si="5"/>
        <v>3445.28434666667</v>
      </c>
      <c r="Q27" s="384">
        <f t="shared" si="5"/>
        <v>3560.13410266667</v>
      </c>
      <c r="R27" s="384">
        <f t="shared" si="5"/>
        <v>3560.13410266667</v>
      </c>
      <c r="S27" s="384">
        <f t="shared" si="5"/>
        <v>3215.58483466667</v>
      </c>
      <c r="T27" s="384">
        <f t="shared" si="5"/>
        <v>3560.13410266667</v>
      </c>
      <c r="U27" s="722">
        <f>SUM(I27:T27)</f>
        <v>40870.3254466667</v>
      </c>
    </row>
    <row r="28" ht="15" spans="3:21">
      <c r="C28" s="285" t="s">
        <v>360</v>
      </c>
      <c r="D28" s="286"/>
      <c r="E28" s="296"/>
      <c r="F28" s="296"/>
      <c r="G28" s="296"/>
      <c r="H28" s="384"/>
      <c r="I28" s="384"/>
      <c r="J28" s="384"/>
      <c r="K28" s="384"/>
      <c r="L28" s="384"/>
      <c r="M28" s="384"/>
      <c r="N28" s="384"/>
      <c r="O28" s="384"/>
      <c r="P28" s="384"/>
      <c r="Q28" s="384"/>
      <c r="R28" s="384"/>
      <c r="S28" s="384"/>
      <c r="T28" s="384"/>
      <c r="U28" s="384"/>
    </row>
    <row r="29" spans="3:21">
      <c r="C29" s="710" t="s">
        <v>444</v>
      </c>
      <c r="D29" s="288" t="s">
        <v>361</v>
      </c>
      <c r="E29" s="787">
        <v>234</v>
      </c>
      <c r="F29" s="296"/>
      <c r="G29" s="787">
        <f>E29*50%</f>
        <v>117</v>
      </c>
      <c r="H29" s="384">
        <f t="shared" ref="H29:H39" si="6">G29*0.7055</f>
        <v>82.5435</v>
      </c>
      <c r="I29" s="384">
        <f>'F11-Year(n+1)'!E30</f>
        <v>7.17324218537892</v>
      </c>
      <c r="J29" s="384">
        <f>'F11-Year(n+1)'!F30</f>
        <v>7.68661953517926</v>
      </c>
      <c r="K29" s="384">
        <f>'F11-Year(n+1)'!G30</f>
        <v>7.96371005738892</v>
      </c>
      <c r="L29" s="384">
        <f>'F11-Year(n+1)'!H30</f>
        <v>17.4104693573241</v>
      </c>
      <c r="M29" s="384">
        <f>'F11-Year(n+1)'!I30</f>
        <v>40.8766037511461</v>
      </c>
      <c r="N29" s="384">
        <f>'F11-Year(n+1)'!J30</f>
        <v>20.6453977895917</v>
      </c>
      <c r="O29" s="384">
        <f>'F11-Year(n+1)'!K30</f>
        <v>22.7564506947039</v>
      </c>
      <c r="P29" s="384">
        <f>'F11-Year(n+1)'!L30</f>
        <v>7.80499221958212</v>
      </c>
      <c r="Q29" s="384">
        <f>'F11-Year(n+1)'!M30</f>
        <v>13.3895031006445</v>
      </c>
      <c r="R29" s="384">
        <f>'F11-Year(n+1)'!N30</f>
        <v>25.5490138073994</v>
      </c>
      <c r="S29" s="384">
        <f>'F11-Year(n+1)'!O30</f>
        <v>22.9458706540716</v>
      </c>
      <c r="T29" s="384">
        <f>'F11-Year(n+1)'!P30</f>
        <v>10.6584211940668</v>
      </c>
      <c r="U29" s="384">
        <f t="shared" ref="U29:U46" si="7">+SUM(I29:T29)</f>
        <v>204.860294346477</v>
      </c>
    </row>
    <row r="30" ht="28.5" spans="3:21">
      <c r="C30" s="711"/>
      <c r="D30" s="288" t="s">
        <v>362</v>
      </c>
      <c r="E30" s="384">
        <v>815.6</v>
      </c>
      <c r="F30" s="296"/>
      <c r="G30" s="384">
        <f>E30</f>
        <v>815.6</v>
      </c>
      <c r="H30" s="384">
        <f t="shared" si="6"/>
        <v>575.4058</v>
      </c>
      <c r="I30" s="384">
        <f>'F11-Year(n+1)'!E31</f>
        <v>50.0042421059406</v>
      </c>
      <c r="J30" s="384">
        <f>'F11-Year(n+1)'!F31</f>
        <v>53.5829648965145</v>
      </c>
      <c r="K30" s="384">
        <f>'F11-Year(n+1)'!G31</f>
        <v>55.5145463487728</v>
      </c>
      <c r="L30" s="384">
        <f>'F11-Year(n+1)'!H31</f>
        <v>121.367340237894</v>
      </c>
      <c r="M30" s="384">
        <f>'F11-Year(n+1)'!I31</f>
        <v>284.948359140468</v>
      </c>
      <c r="N30" s="384">
        <f>'F11-Year(n+1)'!J31</f>
        <v>143.917832796504</v>
      </c>
      <c r="O30" s="384">
        <f>'F11-Year(n+1)'!K31</f>
        <v>158.63385629573</v>
      </c>
      <c r="P30" s="384">
        <f>'F11-Year(n+1)'!L31</f>
        <v>54.4081337973605</v>
      </c>
      <c r="Q30" s="384">
        <f>'F11-Year(n+1)'!M31</f>
        <v>93.3374250332105</v>
      </c>
      <c r="R30" s="384">
        <f>'F11-Year(n+1)'!N31</f>
        <v>178.100646677906</v>
      </c>
      <c r="S30" s="384">
        <f>'F11-Year(n+1)'!O31</f>
        <v>159.954291499665</v>
      </c>
      <c r="T30" s="384">
        <f>'F11-Year(n+1)'!P31</f>
        <v>74.2992164605206</v>
      </c>
      <c r="U30" s="384">
        <f t="shared" si="7"/>
        <v>1428.06885529049</v>
      </c>
    </row>
    <row r="31" spans="3:21">
      <c r="C31" s="711"/>
      <c r="D31" s="288" t="s">
        <v>363</v>
      </c>
      <c r="E31" s="787">
        <v>900</v>
      </c>
      <c r="F31" s="296"/>
      <c r="G31" s="787">
        <f>E31</f>
        <v>900</v>
      </c>
      <c r="H31" s="384">
        <f t="shared" si="6"/>
        <v>634.95</v>
      </c>
      <c r="I31" s="384">
        <f>'F11-Year(n+1)'!E32</f>
        <v>55.1787860413763</v>
      </c>
      <c r="J31" s="384">
        <f>'F11-Year(n+1)'!F32</f>
        <v>59.127842578302</v>
      </c>
      <c r="K31" s="384">
        <f>'F11-Year(n+1)'!G32</f>
        <v>61.2593081337612</v>
      </c>
      <c r="L31" s="384">
        <f>'F11-Year(n+1)'!H32</f>
        <v>133.926687364032</v>
      </c>
      <c r="M31" s="384">
        <f>'F11-Year(n+1)'!I32</f>
        <v>314.435413470355</v>
      </c>
      <c r="N31" s="384">
        <f>'F11-Year(n+1)'!J32</f>
        <v>158.810752227628</v>
      </c>
      <c r="O31" s="384">
        <f>'F11-Year(n+1)'!K32</f>
        <v>175.049620728491</v>
      </c>
      <c r="P31" s="384">
        <f>'F11-Year(n+1)'!L32</f>
        <v>60.038401689093</v>
      </c>
      <c r="Q31" s="384">
        <f>'F11-Year(n+1)'!M32</f>
        <v>102.996177697265</v>
      </c>
      <c r="R31" s="384">
        <f>'F11-Year(n+1)'!N32</f>
        <v>196.530875441534</v>
      </c>
      <c r="S31" s="384">
        <f>'F11-Year(n+1)'!O32</f>
        <v>176.506697339012</v>
      </c>
      <c r="T31" s="384">
        <f>'F11-Year(n+1)'!P32</f>
        <v>81.9878553389754</v>
      </c>
      <c r="U31" s="384">
        <f t="shared" si="7"/>
        <v>1575.84841804983</v>
      </c>
    </row>
    <row r="32" spans="3:21">
      <c r="C32" s="711"/>
      <c r="D32" s="288" t="s">
        <v>364</v>
      </c>
      <c r="E32" s="787">
        <v>240</v>
      </c>
      <c r="F32" s="296"/>
      <c r="G32" s="787">
        <f t="shared" ref="G32:G39" si="8">E32</f>
        <v>240</v>
      </c>
      <c r="H32" s="384">
        <f t="shared" si="6"/>
        <v>169.32</v>
      </c>
      <c r="I32" s="384">
        <f>'F11-Year(n+1)'!E33</f>
        <v>14.714342944367</v>
      </c>
      <c r="J32" s="384">
        <f>'F11-Year(n+1)'!F33</f>
        <v>15.7674246875472</v>
      </c>
      <c r="K32" s="384">
        <f>'F11-Year(n+1)'!G33</f>
        <v>16.3358155023363</v>
      </c>
      <c r="L32" s="384">
        <f>'F11-Year(n+1)'!H33</f>
        <v>35.7137832970751</v>
      </c>
      <c r="M32" s="384">
        <f>'F11-Year(n+1)'!I33</f>
        <v>83.8494435920946</v>
      </c>
      <c r="N32" s="384">
        <f>'F11-Year(n+1)'!J33</f>
        <v>42.3495339273676</v>
      </c>
      <c r="O32" s="384">
        <f>'F11-Year(n+1)'!K33</f>
        <v>46.6798988609311</v>
      </c>
      <c r="P32" s="384">
        <f>'F11-Year(n+1)'!L33</f>
        <v>16.0102404504248</v>
      </c>
      <c r="Q32" s="384">
        <f>'F11-Year(n+1)'!M33</f>
        <v>27.4656473859374</v>
      </c>
      <c r="R32" s="384">
        <f>'F11-Year(n+1)'!N33</f>
        <v>52.4082334510757</v>
      </c>
      <c r="S32" s="384">
        <f>'F11-Year(n+1)'!O33</f>
        <v>47.0684526237365</v>
      </c>
      <c r="T32" s="384">
        <f>'F11-Year(n+1)'!P33</f>
        <v>21.8634280903935</v>
      </c>
      <c r="U32" s="384">
        <f t="shared" si="7"/>
        <v>420.226244813287</v>
      </c>
    </row>
    <row r="33" spans="3:21">
      <c r="C33" s="711"/>
      <c r="D33" s="288" t="s">
        <v>365</v>
      </c>
      <c r="E33" s="787">
        <v>120</v>
      </c>
      <c r="F33" s="296"/>
      <c r="G33" s="787">
        <f t="shared" si="8"/>
        <v>120</v>
      </c>
      <c r="H33" s="384">
        <f t="shared" si="6"/>
        <v>84.66</v>
      </c>
      <c r="I33" s="384">
        <f>'F11-Year(n+1)'!E34</f>
        <v>7.35717147218352</v>
      </c>
      <c r="J33" s="384">
        <f>'F11-Year(n+1)'!F34</f>
        <v>7.8837123437736</v>
      </c>
      <c r="K33" s="384">
        <f>'F11-Year(n+1)'!G34</f>
        <v>8.16790775116816</v>
      </c>
      <c r="L33" s="384">
        <f>'F11-Year(n+1)'!H34</f>
        <v>17.8568916485376</v>
      </c>
      <c r="M33" s="384">
        <f>'F11-Year(n+1)'!I34</f>
        <v>41.9247217960472</v>
      </c>
      <c r="N33" s="384">
        <f>'F11-Year(n+1)'!J34</f>
        <v>21.1747669636838</v>
      </c>
      <c r="O33" s="384">
        <f>'F11-Year(n+1)'!K34</f>
        <v>23.3399494304655</v>
      </c>
      <c r="P33" s="384">
        <f>'F11-Year(n+1)'!L34</f>
        <v>8.00512022521244</v>
      </c>
      <c r="Q33" s="384">
        <f>'F11-Year(n+1)'!M34</f>
        <v>13.7328236929687</v>
      </c>
      <c r="R33" s="384">
        <f>'F11-Year(n+1)'!N34</f>
        <v>26.2041167255378</v>
      </c>
      <c r="S33" s="384">
        <f>'F11-Year(n+1)'!O34</f>
        <v>23.5342263118683</v>
      </c>
      <c r="T33" s="384">
        <f>'F11-Year(n+1)'!P34</f>
        <v>10.9317140451968</v>
      </c>
      <c r="U33" s="384">
        <f t="shared" si="7"/>
        <v>210.113122406643</v>
      </c>
    </row>
    <row r="34" spans="3:21">
      <c r="C34" s="711"/>
      <c r="D34" s="288" t="s">
        <v>366</v>
      </c>
      <c r="E34" s="787">
        <v>18</v>
      </c>
      <c r="F34" s="296"/>
      <c r="G34" s="787">
        <f t="shared" si="8"/>
        <v>18</v>
      </c>
      <c r="H34" s="384">
        <f t="shared" si="6"/>
        <v>12.699</v>
      </c>
      <c r="I34" s="384">
        <f>'F11-Year(n+1)'!E35</f>
        <v>1.10357572082753</v>
      </c>
      <c r="J34" s="384">
        <f>'F11-Year(n+1)'!F35</f>
        <v>1.18255685156604</v>
      </c>
      <c r="K34" s="384">
        <f>'F11-Year(n+1)'!G35</f>
        <v>1.22518616267522</v>
      </c>
      <c r="L34" s="384">
        <f>'F11-Year(n+1)'!H35</f>
        <v>2.67853374728064</v>
      </c>
      <c r="M34" s="384">
        <f>'F11-Year(n+1)'!I35</f>
        <v>6.2887082694071</v>
      </c>
      <c r="N34" s="384">
        <f>'F11-Year(n+1)'!J35</f>
        <v>3.17621504455256</v>
      </c>
      <c r="O34" s="384">
        <f>'F11-Year(n+1)'!K35</f>
        <v>3.50099241456982</v>
      </c>
      <c r="P34" s="384">
        <f>'F11-Year(n+1)'!L35</f>
        <v>1.20076803378187</v>
      </c>
      <c r="Q34" s="384">
        <f>'F11-Year(n+1)'!M35</f>
        <v>2.0599235539453</v>
      </c>
      <c r="R34" s="384">
        <f>'F11-Year(n+1)'!N35</f>
        <v>3.93061750883068</v>
      </c>
      <c r="S34" s="384">
        <f>'F11-Year(n+1)'!O35</f>
        <v>3.53013394678024</v>
      </c>
      <c r="T34" s="384">
        <f>'F11-Year(n+1)'!P35</f>
        <v>1.63975710677951</v>
      </c>
      <c r="U34" s="384">
        <f t="shared" si="7"/>
        <v>31.5169683609965</v>
      </c>
    </row>
    <row r="35" spans="3:21">
      <c r="C35" s="711"/>
      <c r="D35" s="788" t="s">
        <v>445</v>
      </c>
      <c r="E35" s="787">
        <v>60</v>
      </c>
      <c r="F35" s="296"/>
      <c r="G35" s="787">
        <f t="shared" si="8"/>
        <v>60</v>
      </c>
      <c r="H35" s="384">
        <f t="shared" si="6"/>
        <v>42.33</v>
      </c>
      <c r="I35" s="384">
        <f>'F11-Year(n+1)'!E36</f>
        <v>3.67858573609176</v>
      </c>
      <c r="J35" s="384">
        <f>'F11-Year(n+1)'!F36</f>
        <v>3.9418561718868</v>
      </c>
      <c r="K35" s="384">
        <f>'F11-Year(n+1)'!G36</f>
        <v>4.08395387558408</v>
      </c>
      <c r="L35" s="384">
        <f>'F11-Year(n+1)'!H36</f>
        <v>8.92844582426878</v>
      </c>
      <c r="M35" s="384">
        <f>'F11-Year(n+1)'!I36</f>
        <v>20.9623608980236</v>
      </c>
      <c r="N35" s="384">
        <f>'F11-Year(n+1)'!J36</f>
        <v>10.5873834818419</v>
      </c>
      <c r="O35" s="384">
        <f>'F11-Year(n+1)'!K36</f>
        <v>11.6699747152328</v>
      </c>
      <c r="P35" s="384">
        <f>'F11-Year(n+1)'!L36</f>
        <v>4.00256011260622</v>
      </c>
      <c r="Q35" s="384">
        <f>'F11-Year(n+1)'!M36</f>
        <v>6.86641184648434</v>
      </c>
      <c r="R35" s="384">
        <f>'F11-Year(n+1)'!N36</f>
        <v>13.1020583627689</v>
      </c>
      <c r="S35" s="384">
        <f>'F11-Year(n+1)'!O36</f>
        <v>11.7671131559341</v>
      </c>
      <c r="T35" s="384">
        <f>'F11-Year(n+1)'!P36</f>
        <v>5.46585702259838</v>
      </c>
      <c r="U35" s="384">
        <f t="shared" si="7"/>
        <v>105.056561203322</v>
      </c>
    </row>
    <row r="36" spans="3:21">
      <c r="C36" s="711"/>
      <c r="D36" s="788" t="s">
        <v>446</v>
      </c>
      <c r="E36" s="384">
        <v>15</v>
      </c>
      <c r="F36" s="296"/>
      <c r="G36" s="787">
        <f t="shared" si="8"/>
        <v>15</v>
      </c>
      <c r="H36" s="384">
        <f t="shared" si="6"/>
        <v>10.5825</v>
      </c>
      <c r="I36" s="384">
        <f>'F11-Year(n+1)'!E37</f>
        <v>0.919646434022938</v>
      </c>
      <c r="J36" s="384">
        <f>'F11-Year(n+1)'!F37</f>
        <v>0.9854640429717</v>
      </c>
      <c r="K36" s="384">
        <f>'F11-Year(n+1)'!G37</f>
        <v>1.02098846889602</v>
      </c>
      <c r="L36" s="384">
        <f>'F11-Year(n+1)'!H37</f>
        <v>2.2321114560672</v>
      </c>
      <c r="M36" s="384">
        <f>'F11-Year(n+1)'!I37</f>
        <v>5.24059022450592</v>
      </c>
      <c r="N36" s="384">
        <f>'F11-Year(n+1)'!J37</f>
        <v>2.64684587046048</v>
      </c>
      <c r="O36" s="384">
        <f>'F11-Year(n+1)'!K37</f>
        <v>2.91749367880818</v>
      </c>
      <c r="P36" s="384">
        <f>'F11-Year(n+1)'!L37</f>
        <v>1.00064002815155</v>
      </c>
      <c r="Q36" s="384">
        <f>'F11-Year(n+1)'!M37</f>
        <v>1.71660296162109</v>
      </c>
      <c r="R36" s="384">
        <f>'F11-Year(n+1)'!N37</f>
        <v>3.27551459069222</v>
      </c>
      <c r="S36" s="384">
        <f>'F11-Year(n+1)'!O37</f>
        <v>2.94177828898354</v>
      </c>
      <c r="T36" s="384">
        <f>'F11-Year(n+1)'!P37</f>
        <v>1.36646425564959</v>
      </c>
      <c r="U36" s="384">
        <f t="shared" si="7"/>
        <v>26.2641403008304</v>
      </c>
    </row>
    <row r="37" spans="3:21">
      <c r="C37" s="789"/>
      <c r="D37" s="788" t="s">
        <v>447</v>
      </c>
      <c r="E37" s="296">
        <v>0</v>
      </c>
      <c r="F37" s="296"/>
      <c r="G37" s="787">
        <f t="shared" si="8"/>
        <v>0</v>
      </c>
      <c r="H37" s="384">
        <f t="shared" si="6"/>
        <v>0</v>
      </c>
      <c r="I37" s="384">
        <f>'F11-Year(n+1)'!E38</f>
        <v>0</v>
      </c>
      <c r="J37" s="384">
        <f>'F11-Year(n+1)'!F38</f>
        <v>0</v>
      </c>
      <c r="K37" s="384">
        <f>'F11-Year(n+1)'!G38</f>
        <v>0</v>
      </c>
      <c r="L37" s="384">
        <f>'F11-Year(n+1)'!H38</f>
        <v>0</v>
      </c>
      <c r="M37" s="384">
        <f>'F11-Year(n+1)'!I38</f>
        <v>0</v>
      </c>
      <c r="N37" s="384">
        <f>'F11-Year(n+1)'!J38</f>
        <v>0</v>
      </c>
      <c r="O37" s="384">
        <f>'F11-Year(n+1)'!K38</f>
        <v>0</v>
      </c>
      <c r="P37" s="384">
        <f>'F11-Year(n+1)'!L38</f>
        <v>0</v>
      </c>
      <c r="Q37" s="384">
        <f>'F11-Year(n+1)'!M38</f>
        <v>0</v>
      </c>
      <c r="R37" s="384">
        <f>'F11-Year(n+1)'!N38</f>
        <v>0</v>
      </c>
      <c r="S37" s="384">
        <f>'F11-Year(n+1)'!O38</f>
        <v>0</v>
      </c>
      <c r="T37" s="384">
        <f>'F11-Year(n+1)'!P38</f>
        <v>0</v>
      </c>
      <c r="U37" s="384">
        <f t="shared" si="7"/>
        <v>0</v>
      </c>
    </row>
    <row r="38" spans="3:21">
      <c r="C38" s="789"/>
      <c r="D38" s="288" t="s">
        <v>448</v>
      </c>
      <c r="E38" s="296">
        <v>18</v>
      </c>
      <c r="F38" s="296"/>
      <c r="G38" s="787">
        <f t="shared" si="8"/>
        <v>18</v>
      </c>
      <c r="H38" s="384">
        <f t="shared" si="6"/>
        <v>12.699</v>
      </c>
      <c r="I38" s="384">
        <f>'F11-Year(n+1)'!E39</f>
        <v>1.10357572082753</v>
      </c>
      <c r="J38" s="384">
        <f>'F11-Year(n+1)'!F39</f>
        <v>1.18255685156604</v>
      </c>
      <c r="K38" s="384">
        <f>'F11-Year(n+1)'!G39</f>
        <v>1.22518616267522</v>
      </c>
      <c r="L38" s="384">
        <f>'F11-Year(n+1)'!H39</f>
        <v>2.67853374728064</v>
      </c>
      <c r="M38" s="384">
        <f>'F11-Year(n+1)'!I39</f>
        <v>6.2887082694071</v>
      </c>
      <c r="N38" s="384">
        <f>'F11-Year(n+1)'!J39</f>
        <v>3.17621504455256</v>
      </c>
      <c r="O38" s="384">
        <f>'F11-Year(n+1)'!K39</f>
        <v>3.50099241456982</v>
      </c>
      <c r="P38" s="384">
        <f>'F11-Year(n+1)'!L39</f>
        <v>1.20076803378187</v>
      </c>
      <c r="Q38" s="384">
        <f>'F11-Year(n+1)'!M39</f>
        <v>2.0599235539453</v>
      </c>
      <c r="R38" s="384">
        <f>'F11-Year(n+1)'!N39</f>
        <v>3.93061750883068</v>
      </c>
      <c r="S38" s="384">
        <f>'F11-Year(n+1)'!O39</f>
        <v>3.53013394678024</v>
      </c>
      <c r="T38" s="384">
        <f>'F11-Year(n+1)'!P39</f>
        <v>1.63975710677951</v>
      </c>
      <c r="U38" s="384">
        <f t="shared" si="7"/>
        <v>31.5169683609965</v>
      </c>
    </row>
    <row r="39" spans="3:21">
      <c r="C39" s="789"/>
      <c r="D39" s="288" t="s">
        <v>449</v>
      </c>
      <c r="E39" s="296">
        <v>10</v>
      </c>
      <c r="F39" s="296"/>
      <c r="G39" s="787">
        <f t="shared" si="8"/>
        <v>10</v>
      </c>
      <c r="H39" s="384">
        <f t="shared" si="6"/>
        <v>7.055</v>
      </c>
      <c r="I39" s="384">
        <f>'F11-Year(n+1)'!E40</f>
        <v>0.61309762268196</v>
      </c>
      <c r="J39" s="384">
        <f>'F11-Year(n+1)'!F40</f>
        <v>0.6569760286478</v>
      </c>
      <c r="K39" s="384">
        <f>'F11-Year(n+1)'!G40</f>
        <v>0.680658979264012</v>
      </c>
      <c r="L39" s="384">
        <f>'F11-Year(n+1)'!H40</f>
        <v>1.4880743040448</v>
      </c>
      <c r="M39" s="384">
        <f>'F11-Year(n+1)'!I40</f>
        <v>3.49372681633728</v>
      </c>
      <c r="N39" s="384">
        <f>'F11-Year(n+1)'!J40</f>
        <v>1.76456391364031</v>
      </c>
      <c r="O39" s="384">
        <f>'F11-Year(n+1)'!K40</f>
        <v>1.94499578587213</v>
      </c>
      <c r="P39" s="384">
        <f>'F11-Year(n+1)'!L40</f>
        <v>0.667093352101036</v>
      </c>
      <c r="Q39" s="384">
        <f>'F11-Year(n+1)'!M40</f>
        <v>1.14440197441406</v>
      </c>
      <c r="R39" s="384">
        <f>'F11-Year(n+1)'!N40</f>
        <v>2.18367639379482</v>
      </c>
      <c r="S39" s="384">
        <f>'F11-Year(n+1)'!O40</f>
        <v>1.96118552598902</v>
      </c>
      <c r="T39" s="384">
        <f>'F11-Year(n+1)'!P40</f>
        <v>0.910976170433062</v>
      </c>
      <c r="U39" s="384">
        <f t="shared" si="7"/>
        <v>17.5094268672203</v>
      </c>
    </row>
    <row r="40" spans="3:21">
      <c r="C40" s="711"/>
      <c r="D40" s="288"/>
      <c r="E40" s="296"/>
      <c r="F40" s="296"/>
      <c r="G40" s="296"/>
      <c r="H40" s="384"/>
      <c r="I40" s="384"/>
      <c r="J40" s="384"/>
      <c r="K40" s="384"/>
      <c r="L40" s="384"/>
      <c r="M40" s="384"/>
      <c r="N40" s="384"/>
      <c r="O40" s="384"/>
      <c r="P40" s="384"/>
      <c r="Q40" s="384"/>
      <c r="R40" s="384"/>
      <c r="S40" s="384"/>
      <c r="T40" s="384"/>
      <c r="U40" s="384">
        <f t="shared" si="7"/>
        <v>0</v>
      </c>
    </row>
    <row r="41" spans="3:21">
      <c r="C41" s="711"/>
      <c r="D41" s="288"/>
      <c r="E41" s="296"/>
      <c r="F41" s="296"/>
      <c r="G41" s="296"/>
      <c r="H41" s="296"/>
      <c r="I41" s="296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>
        <f t="shared" si="7"/>
        <v>0</v>
      </c>
    </row>
    <row r="42" spans="3:21">
      <c r="C42" s="711"/>
      <c r="D42" s="288"/>
      <c r="E42" s="296"/>
      <c r="F42" s="296"/>
      <c r="G42" s="296"/>
      <c r="H42" s="296"/>
      <c r="I42" s="296"/>
      <c r="J42" s="384"/>
      <c r="K42" s="384"/>
      <c r="L42" s="384"/>
      <c r="M42" s="384"/>
      <c r="N42" s="384"/>
      <c r="O42" s="384"/>
      <c r="P42" s="384"/>
      <c r="Q42" s="384"/>
      <c r="R42" s="384"/>
      <c r="S42" s="384"/>
      <c r="T42" s="384"/>
      <c r="U42" s="384">
        <f t="shared" si="7"/>
        <v>0</v>
      </c>
    </row>
    <row r="43" spans="3:21">
      <c r="C43" s="711"/>
      <c r="D43" s="288"/>
      <c r="E43" s="296"/>
      <c r="F43" s="296"/>
      <c r="G43" s="296"/>
      <c r="H43" s="384"/>
      <c r="I43" s="384"/>
      <c r="J43" s="384"/>
      <c r="K43" s="384"/>
      <c r="L43" s="384"/>
      <c r="M43" s="384"/>
      <c r="N43" s="384"/>
      <c r="O43" s="384"/>
      <c r="P43" s="384"/>
      <c r="Q43" s="384"/>
      <c r="R43" s="384"/>
      <c r="S43" s="384"/>
      <c r="T43" s="384"/>
      <c r="U43" s="384">
        <f t="shared" si="7"/>
        <v>0</v>
      </c>
    </row>
    <row r="44" spans="3:21">
      <c r="C44" s="711"/>
      <c r="D44" s="288"/>
      <c r="E44" s="296"/>
      <c r="F44" s="296"/>
      <c r="G44" s="296"/>
      <c r="H44" s="384"/>
      <c r="I44" s="384"/>
      <c r="J44" s="384"/>
      <c r="K44" s="384"/>
      <c r="L44" s="384"/>
      <c r="M44" s="384"/>
      <c r="N44" s="384"/>
      <c r="O44" s="384"/>
      <c r="P44" s="384"/>
      <c r="Q44" s="384"/>
      <c r="R44" s="384"/>
      <c r="S44" s="384"/>
      <c r="T44" s="384"/>
      <c r="U44" s="384">
        <f t="shared" si="7"/>
        <v>0</v>
      </c>
    </row>
    <row r="45" spans="3:21">
      <c r="C45" s="711"/>
      <c r="D45" s="288"/>
      <c r="E45" s="296"/>
      <c r="F45" s="296"/>
      <c r="G45" s="296"/>
      <c r="H45" s="384"/>
      <c r="I45" s="384"/>
      <c r="J45" s="384"/>
      <c r="K45" s="384"/>
      <c r="L45" s="384"/>
      <c r="M45" s="384"/>
      <c r="N45" s="384"/>
      <c r="O45" s="384"/>
      <c r="P45" s="384"/>
      <c r="Q45" s="384"/>
      <c r="R45" s="384"/>
      <c r="S45" s="384"/>
      <c r="T45" s="384"/>
      <c r="U45" s="384">
        <f t="shared" si="7"/>
        <v>0</v>
      </c>
    </row>
    <row r="46" spans="3:21">
      <c r="C46" s="713"/>
      <c r="D46" s="290"/>
      <c r="E46" s="296"/>
      <c r="F46" s="296"/>
      <c r="G46" s="296"/>
      <c r="H46" s="384"/>
      <c r="I46" s="384"/>
      <c r="J46" s="384"/>
      <c r="K46" s="384"/>
      <c r="L46" s="384"/>
      <c r="M46" s="384"/>
      <c r="N46" s="384"/>
      <c r="O46" s="384"/>
      <c r="P46" s="384"/>
      <c r="Q46" s="384"/>
      <c r="R46" s="384"/>
      <c r="S46" s="384"/>
      <c r="T46" s="384"/>
      <c r="U46" s="384">
        <f t="shared" si="7"/>
        <v>0</v>
      </c>
    </row>
    <row r="47" ht="15" spans="3:21">
      <c r="C47" s="285" t="s">
        <v>211</v>
      </c>
      <c r="D47" s="286"/>
      <c r="E47" s="296">
        <f t="shared" ref="E47:T47" si="9">SUM(E29:E46)</f>
        <v>2430.6</v>
      </c>
      <c r="F47" s="296">
        <f t="shared" si="9"/>
        <v>0</v>
      </c>
      <c r="G47" s="296">
        <f t="shared" si="9"/>
        <v>2313.6</v>
      </c>
      <c r="H47" s="384">
        <f t="shared" si="9"/>
        <v>1632.2448</v>
      </c>
      <c r="I47" s="384">
        <f t="shared" si="9"/>
        <v>141.846265983698</v>
      </c>
      <c r="J47" s="384">
        <f t="shared" si="9"/>
        <v>151.997973987955</v>
      </c>
      <c r="K47" s="384">
        <f t="shared" si="9"/>
        <v>157.477261442522</v>
      </c>
      <c r="L47" s="384">
        <f t="shared" si="9"/>
        <v>344.280870983805</v>
      </c>
      <c r="M47" s="384">
        <f t="shared" si="9"/>
        <v>808.308636227791</v>
      </c>
      <c r="N47" s="384">
        <f t="shared" si="9"/>
        <v>408.249507059823</v>
      </c>
      <c r="O47" s="384">
        <f t="shared" si="9"/>
        <v>449.994225019375</v>
      </c>
      <c r="P47" s="384">
        <f t="shared" si="9"/>
        <v>154.338717942095</v>
      </c>
      <c r="Q47" s="384">
        <f t="shared" si="9"/>
        <v>264.768840800437</v>
      </c>
      <c r="R47" s="384">
        <f t="shared" si="9"/>
        <v>505.21537046837</v>
      </c>
      <c r="S47" s="384">
        <f t="shared" si="9"/>
        <v>453.739883292821</v>
      </c>
      <c r="T47" s="384">
        <f t="shared" si="9"/>
        <v>210.763446791393</v>
      </c>
      <c r="U47" s="722">
        <f>SUM(I47:T47)</f>
        <v>4050.98100000009</v>
      </c>
    </row>
    <row r="48" ht="15" spans="3:21">
      <c r="C48" s="285" t="s">
        <v>369</v>
      </c>
      <c r="D48" s="286"/>
      <c r="E48" s="296">
        <f t="shared" ref="E48:U48" si="10">E27+E47</f>
        <v>10410.6</v>
      </c>
      <c r="F48" s="296">
        <f t="shared" si="10"/>
        <v>0</v>
      </c>
      <c r="G48" s="296">
        <f t="shared" si="10"/>
        <v>10293.6</v>
      </c>
      <c r="H48" s="384">
        <f t="shared" si="10"/>
        <v>7262.1348</v>
      </c>
      <c r="I48" s="384">
        <f t="shared" si="10"/>
        <v>2896.5133459837</v>
      </c>
      <c r="J48" s="384">
        <f t="shared" si="10"/>
        <v>3355.41384998796</v>
      </c>
      <c r="K48" s="384">
        <f t="shared" si="10"/>
        <v>3602.76160810919</v>
      </c>
      <c r="L48" s="384">
        <f t="shared" si="10"/>
        <v>3904.41497365047</v>
      </c>
      <c r="M48" s="384">
        <f t="shared" si="10"/>
        <v>4368.44273889446</v>
      </c>
      <c r="N48" s="384">
        <f t="shared" si="10"/>
        <v>3853.53385372649</v>
      </c>
      <c r="O48" s="384">
        <f t="shared" si="10"/>
        <v>4010.12832768604</v>
      </c>
      <c r="P48" s="384">
        <f t="shared" si="10"/>
        <v>3599.62306460876</v>
      </c>
      <c r="Q48" s="384">
        <f t="shared" si="10"/>
        <v>3824.9029434671</v>
      </c>
      <c r="R48" s="384">
        <f t="shared" si="10"/>
        <v>4065.34947313504</v>
      </c>
      <c r="S48" s="384">
        <f t="shared" si="10"/>
        <v>3669.32471795949</v>
      </c>
      <c r="T48" s="384">
        <f t="shared" si="10"/>
        <v>3770.89754945806</v>
      </c>
      <c r="U48" s="722">
        <f t="shared" si="10"/>
        <v>44921.3064466667</v>
      </c>
    </row>
    <row r="49" ht="15" spans="3:21">
      <c r="C49" s="708" t="s">
        <v>370</v>
      </c>
      <c r="D49" s="709"/>
      <c r="E49" s="296"/>
      <c r="F49" s="296"/>
      <c r="G49" s="296"/>
      <c r="H49" s="384"/>
      <c r="I49" s="384"/>
      <c r="J49" s="384"/>
      <c r="K49" s="384"/>
      <c r="L49" s="384"/>
      <c r="M49" s="384"/>
      <c r="N49" s="384"/>
      <c r="O49" s="384"/>
      <c r="P49" s="384"/>
      <c r="Q49" s="384"/>
      <c r="R49" s="384"/>
      <c r="S49" s="384"/>
      <c r="T49" s="384"/>
      <c r="U49" s="384"/>
    </row>
    <row r="50" ht="15" spans="3:21">
      <c r="C50" s="285" t="s">
        <v>350</v>
      </c>
      <c r="D50" s="286"/>
      <c r="E50" s="296"/>
      <c r="F50" s="296"/>
      <c r="G50" s="296"/>
      <c r="H50" s="384"/>
      <c r="I50" s="384"/>
      <c r="J50" s="384"/>
      <c r="K50" s="384"/>
      <c r="L50" s="384"/>
      <c r="M50" s="384"/>
      <c r="N50" s="384"/>
      <c r="O50" s="384"/>
      <c r="P50" s="384"/>
      <c r="Q50" s="384"/>
      <c r="R50" s="384"/>
      <c r="S50" s="384"/>
      <c r="T50" s="384"/>
      <c r="U50" s="384"/>
    </row>
    <row r="51" spans="3:23">
      <c r="C51" s="710" t="s">
        <v>371</v>
      </c>
      <c r="D51" s="790" t="s">
        <v>372</v>
      </c>
      <c r="E51" s="296">
        <v>2100</v>
      </c>
      <c r="F51" s="296"/>
      <c r="G51" s="296">
        <f>E51*16.81%</f>
        <v>353.01</v>
      </c>
      <c r="H51" s="384">
        <f t="shared" ref="H51:H63" si="11">G51*0.7055</f>
        <v>249.048555</v>
      </c>
      <c r="I51" s="384">
        <f t="shared" ref="I51:I67" si="12">$H51*0.85*30*24/1000</f>
        <v>152.41771566</v>
      </c>
      <c r="J51" s="384">
        <f t="shared" ref="J51:J67" si="13">$H51*0.85*31*24/1000</f>
        <v>157.498306182</v>
      </c>
      <c r="K51" s="384">
        <f t="shared" ref="K51:K67" si="14">$H51*0.85*30*24/1000</f>
        <v>152.41771566</v>
      </c>
      <c r="L51" s="384">
        <f t="shared" ref="L51:M67" si="15">$H51*0.85*31*24/1000</f>
        <v>157.498306182</v>
      </c>
      <c r="M51" s="384">
        <f t="shared" si="15"/>
        <v>157.498306182</v>
      </c>
      <c r="N51" s="384">
        <f t="shared" ref="N51:N67" si="16">$H51*0.85*30*24/1000</f>
        <v>152.41771566</v>
      </c>
      <c r="O51" s="384">
        <f t="shared" ref="O51:O67" si="17">$H51*0.85*31*24/1000</f>
        <v>157.498306182</v>
      </c>
      <c r="P51" s="384">
        <f t="shared" ref="P51:P67" si="18">$H51*0.85*30*24/1000</f>
        <v>152.41771566</v>
      </c>
      <c r="Q51" s="384">
        <f t="shared" ref="Q51:R67" si="19">$H51*0.85*31*24/1000</f>
        <v>157.498306182</v>
      </c>
      <c r="R51" s="384">
        <f t="shared" si="19"/>
        <v>157.498306182</v>
      </c>
      <c r="S51" s="384">
        <f t="shared" ref="S51:S67" si="20">$H51*0.85*28*24/1000</f>
        <v>142.256534616</v>
      </c>
      <c r="T51" s="384">
        <f t="shared" ref="T51:T67" si="21">$H51*0.85*31*24/1000</f>
        <v>157.498306182</v>
      </c>
      <c r="U51" s="384">
        <f t="shared" ref="U51:U76" si="22">+SUM(I51:T51)</f>
        <v>1854.41554053</v>
      </c>
      <c r="W51" s="720"/>
    </row>
    <row r="52" spans="3:23">
      <c r="C52" s="711"/>
      <c r="D52" s="790" t="s">
        <v>373</v>
      </c>
      <c r="E52" s="296">
        <v>500</v>
      </c>
      <c r="F52" s="296"/>
      <c r="G52" s="296">
        <f>E52*17.6%</f>
        <v>88</v>
      </c>
      <c r="H52" s="384">
        <f t="shared" si="11"/>
        <v>62.084</v>
      </c>
      <c r="I52" s="384">
        <f t="shared" si="12"/>
        <v>37.995408</v>
      </c>
      <c r="J52" s="384">
        <f t="shared" si="13"/>
        <v>39.2619216</v>
      </c>
      <c r="K52" s="384">
        <f t="shared" si="14"/>
        <v>37.995408</v>
      </c>
      <c r="L52" s="384">
        <f t="shared" si="15"/>
        <v>39.2619216</v>
      </c>
      <c r="M52" s="384">
        <f t="shared" si="15"/>
        <v>39.2619216</v>
      </c>
      <c r="N52" s="384">
        <f t="shared" si="16"/>
        <v>37.995408</v>
      </c>
      <c r="O52" s="384">
        <f t="shared" si="17"/>
        <v>39.2619216</v>
      </c>
      <c r="P52" s="384">
        <f t="shared" si="18"/>
        <v>37.995408</v>
      </c>
      <c r="Q52" s="384">
        <f t="shared" si="19"/>
        <v>39.2619216</v>
      </c>
      <c r="R52" s="384">
        <f t="shared" si="19"/>
        <v>39.2619216</v>
      </c>
      <c r="S52" s="384">
        <f t="shared" si="20"/>
        <v>35.4623808</v>
      </c>
      <c r="T52" s="384">
        <f t="shared" si="21"/>
        <v>39.2619216</v>
      </c>
      <c r="U52" s="384">
        <f t="shared" si="22"/>
        <v>462.277464</v>
      </c>
      <c r="W52" s="720"/>
    </row>
    <row r="53" spans="3:23">
      <c r="C53" s="711"/>
      <c r="D53" s="790" t="s">
        <v>374</v>
      </c>
      <c r="E53" s="296">
        <v>2000</v>
      </c>
      <c r="F53" s="296"/>
      <c r="G53" s="296">
        <f>E53*10.83%</f>
        <v>216.6</v>
      </c>
      <c r="H53" s="384">
        <f t="shared" si="11"/>
        <v>152.8113</v>
      </c>
      <c r="I53" s="384">
        <f t="shared" si="12"/>
        <v>93.5205156</v>
      </c>
      <c r="J53" s="384">
        <f t="shared" si="13"/>
        <v>96.63786612</v>
      </c>
      <c r="K53" s="384">
        <f t="shared" si="14"/>
        <v>93.5205156</v>
      </c>
      <c r="L53" s="384">
        <f t="shared" si="15"/>
        <v>96.63786612</v>
      </c>
      <c r="M53" s="384">
        <f t="shared" si="15"/>
        <v>96.63786612</v>
      </c>
      <c r="N53" s="384">
        <f t="shared" si="16"/>
        <v>93.5205156</v>
      </c>
      <c r="O53" s="384">
        <f t="shared" si="17"/>
        <v>96.63786612</v>
      </c>
      <c r="P53" s="384">
        <f t="shared" si="18"/>
        <v>93.5205156</v>
      </c>
      <c r="Q53" s="384">
        <f t="shared" si="19"/>
        <v>96.63786612</v>
      </c>
      <c r="R53" s="384">
        <f t="shared" si="19"/>
        <v>96.63786612</v>
      </c>
      <c r="S53" s="384">
        <f t="shared" si="20"/>
        <v>87.28581456</v>
      </c>
      <c r="T53" s="384">
        <f t="shared" si="21"/>
        <v>96.63786612</v>
      </c>
      <c r="U53" s="384">
        <f t="shared" si="22"/>
        <v>1137.8329398</v>
      </c>
      <c r="W53" s="720"/>
    </row>
    <row r="54" spans="3:23">
      <c r="C54" s="711"/>
      <c r="D54" s="790" t="s">
        <v>375</v>
      </c>
      <c r="E54" s="296">
        <v>1000</v>
      </c>
      <c r="F54" s="296"/>
      <c r="G54" s="296">
        <f>E54*53.89%</f>
        <v>538.9</v>
      </c>
      <c r="H54" s="384">
        <f t="shared" si="11"/>
        <v>380.19395</v>
      </c>
      <c r="I54" s="384">
        <f t="shared" si="12"/>
        <v>232.6786974</v>
      </c>
      <c r="J54" s="384">
        <f t="shared" si="13"/>
        <v>240.43465398</v>
      </c>
      <c r="K54" s="384">
        <f t="shared" si="14"/>
        <v>232.6786974</v>
      </c>
      <c r="L54" s="384">
        <f t="shared" si="15"/>
        <v>240.43465398</v>
      </c>
      <c r="M54" s="384">
        <f t="shared" si="15"/>
        <v>240.43465398</v>
      </c>
      <c r="N54" s="384">
        <f t="shared" si="16"/>
        <v>232.6786974</v>
      </c>
      <c r="O54" s="384">
        <f t="shared" si="17"/>
        <v>240.43465398</v>
      </c>
      <c r="P54" s="384">
        <f t="shared" si="18"/>
        <v>232.6786974</v>
      </c>
      <c r="Q54" s="384">
        <f t="shared" si="19"/>
        <v>240.43465398</v>
      </c>
      <c r="R54" s="384">
        <f t="shared" si="19"/>
        <v>240.43465398</v>
      </c>
      <c r="S54" s="384">
        <f t="shared" si="20"/>
        <v>217.16678424</v>
      </c>
      <c r="T54" s="384">
        <f t="shared" si="21"/>
        <v>240.43465398</v>
      </c>
      <c r="U54" s="384">
        <f t="shared" si="22"/>
        <v>2830.9241517</v>
      </c>
      <c r="W54" s="720"/>
    </row>
    <row r="55" spans="3:23">
      <c r="C55" s="711"/>
      <c r="D55" s="790" t="s">
        <v>376</v>
      </c>
      <c r="E55" s="296">
        <v>1000</v>
      </c>
      <c r="F55" s="296"/>
      <c r="G55" s="296">
        <f>E55*25.64%</f>
        <v>256.4</v>
      </c>
      <c r="H55" s="384">
        <f t="shared" si="11"/>
        <v>180.8902</v>
      </c>
      <c r="I55" s="384">
        <f t="shared" si="12"/>
        <v>110.7048024</v>
      </c>
      <c r="J55" s="384">
        <f t="shared" si="13"/>
        <v>114.39496248</v>
      </c>
      <c r="K55" s="384">
        <f t="shared" si="14"/>
        <v>110.7048024</v>
      </c>
      <c r="L55" s="384">
        <f t="shared" si="15"/>
        <v>114.39496248</v>
      </c>
      <c r="M55" s="384">
        <f t="shared" si="15"/>
        <v>114.39496248</v>
      </c>
      <c r="N55" s="384">
        <f t="shared" si="16"/>
        <v>110.7048024</v>
      </c>
      <c r="O55" s="384">
        <f t="shared" si="17"/>
        <v>114.39496248</v>
      </c>
      <c r="P55" s="384">
        <f t="shared" si="18"/>
        <v>110.7048024</v>
      </c>
      <c r="Q55" s="384">
        <f t="shared" si="19"/>
        <v>114.39496248</v>
      </c>
      <c r="R55" s="384">
        <f t="shared" si="19"/>
        <v>114.39496248</v>
      </c>
      <c r="S55" s="384">
        <f t="shared" si="20"/>
        <v>103.32448224</v>
      </c>
      <c r="T55" s="384">
        <f t="shared" si="21"/>
        <v>114.39496248</v>
      </c>
      <c r="U55" s="384">
        <f t="shared" si="22"/>
        <v>1346.9084292</v>
      </c>
      <c r="W55" s="720"/>
    </row>
    <row r="56" spans="3:23">
      <c r="C56" s="711"/>
      <c r="D56" s="790" t="s">
        <v>377</v>
      </c>
      <c r="E56" s="296">
        <v>2400</v>
      </c>
      <c r="F56" s="296"/>
      <c r="G56" s="296">
        <f>E56*0.1162</f>
        <v>278.88</v>
      </c>
      <c r="H56" s="384">
        <f t="shared" si="11"/>
        <v>196.74984</v>
      </c>
      <c r="I56" s="384">
        <f t="shared" si="12"/>
        <v>120.41090208</v>
      </c>
      <c r="J56" s="384">
        <f t="shared" si="13"/>
        <v>124.424598816</v>
      </c>
      <c r="K56" s="384">
        <f t="shared" si="14"/>
        <v>120.41090208</v>
      </c>
      <c r="L56" s="384">
        <f t="shared" si="15"/>
        <v>124.424598816</v>
      </c>
      <c r="M56" s="384">
        <f t="shared" si="15"/>
        <v>124.424598816</v>
      </c>
      <c r="N56" s="384">
        <f t="shared" si="16"/>
        <v>120.41090208</v>
      </c>
      <c r="O56" s="384">
        <f t="shared" si="17"/>
        <v>124.424598816</v>
      </c>
      <c r="P56" s="384">
        <f t="shared" si="18"/>
        <v>120.41090208</v>
      </c>
      <c r="Q56" s="384">
        <f t="shared" si="19"/>
        <v>124.424598816</v>
      </c>
      <c r="R56" s="384">
        <f t="shared" si="19"/>
        <v>124.424598816</v>
      </c>
      <c r="S56" s="384">
        <f t="shared" si="20"/>
        <v>112.383508608</v>
      </c>
      <c r="T56" s="384">
        <f t="shared" si="21"/>
        <v>124.424598816</v>
      </c>
      <c r="U56" s="384">
        <f t="shared" si="22"/>
        <v>1464.99930864</v>
      </c>
      <c r="W56" s="720"/>
    </row>
    <row r="57" ht="25.5" spans="3:23">
      <c r="C57" s="711"/>
      <c r="D57" s="790" t="s">
        <v>378</v>
      </c>
      <c r="E57" s="296">
        <v>85</v>
      </c>
      <c r="F57" s="296"/>
      <c r="G57" s="296">
        <f>E57*0.5389</f>
        <v>45.8065</v>
      </c>
      <c r="H57" s="384">
        <f t="shared" si="11"/>
        <v>32.31648575</v>
      </c>
      <c r="I57" s="384">
        <f t="shared" si="12"/>
        <v>19.777689279</v>
      </c>
      <c r="J57" s="384">
        <f t="shared" si="13"/>
        <v>20.4369455883</v>
      </c>
      <c r="K57" s="384">
        <f t="shared" si="14"/>
        <v>19.777689279</v>
      </c>
      <c r="L57" s="384">
        <f t="shared" si="15"/>
        <v>20.4369455883</v>
      </c>
      <c r="M57" s="384">
        <f t="shared" si="15"/>
        <v>20.4369455883</v>
      </c>
      <c r="N57" s="384">
        <f t="shared" si="16"/>
        <v>19.777689279</v>
      </c>
      <c r="O57" s="384">
        <f t="shared" si="17"/>
        <v>20.4369455883</v>
      </c>
      <c r="P57" s="384">
        <f t="shared" si="18"/>
        <v>19.777689279</v>
      </c>
      <c r="Q57" s="384">
        <f t="shared" si="19"/>
        <v>20.4369455883</v>
      </c>
      <c r="R57" s="384">
        <f t="shared" si="19"/>
        <v>20.4369455883</v>
      </c>
      <c r="S57" s="384">
        <f t="shared" si="20"/>
        <v>18.4591766604</v>
      </c>
      <c r="T57" s="384">
        <f t="shared" si="21"/>
        <v>20.4369455883</v>
      </c>
      <c r="U57" s="384">
        <f t="shared" si="22"/>
        <v>240.6285528945</v>
      </c>
      <c r="W57" s="720"/>
    </row>
    <row r="58" ht="25.5" spans="3:23">
      <c r="C58" s="711"/>
      <c r="D58" s="790" t="s">
        <v>379</v>
      </c>
      <c r="E58" s="296">
        <v>200</v>
      </c>
      <c r="F58" s="296"/>
      <c r="G58" s="296">
        <v>200</v>
      </c>
      <c r="H58" s="384">
        <f t="shared" si="11"/>
        <v>141.1</v>
      </c>
      <c r="I58" s="384">
        <f t="shared" si="12"/>
        <v>86.3532</v>
      </c>
      <c r="J58" s="384">
        <f t="shared" si="13"/>
        <v>89.23164</v>
      </c>
      <c r="K58" s="384">
        <f t="shared" si="14"/>
        <v>86.3532</v>
      </c>
      <c r="L58" s="384">
        <f t="shared" si="15"/>
        <v>89.23164</v>
      </c>
      <c r="M58" s="384">
        <f t="shared" si="15"/>
        <v>89.23164</v>
      </c>
      <c r="N58" s="384">
        <f t="shared" si="16"/>
        <v>86.3532</v>
      </c>
      <c r="O58" s="384">
        <f t="shared" si="17"/>
        <v>89.23164</v>
      </c>
      <c r="P58" s="384">
        <f t="shared" si="18"/>
        <v>86.3532</v>
      </c>
      <c r="Q58" s="384">
        <f t="shared" si="19"/>
        <v>89.23164</v>
      </c>
      <c r="R58" s="384">
        <f t="shared" si="19"/>
        <v>89.23164</v>
      </c>
      <c r="S58" s="384">
        <f t="shared" si="20"/>
        <v>80.59632</v>
      </c>
      <c r="T58" s="384">
        <f t="shared" si="21"/>
        <v>89.23164</v>
      </c>
      <c r="U58" s="384">
        <f t="shared" si="22"/>
        <v>1050.6306</v>
      </c>
      <c r="W58" s="720"/>
    </row>
    <row r="59" spans="3:23">
      <c r="C59" s="713"/>
      <c r="D59" s="790" t="s">
        <v>380</v>
      </c>
      <c r="E59" s="296">
        <v>800</v>
      </c>
      <c r="F59" s="296"/>
      <c r="G59" s="296">
        <f>E59*0.85</f>
        <v>680</v>
      </c>
      <c r="H59" s="384">
        <f t="shared" si="11"/>
        <v>479.74</v>
      </c>
      <c r="I59" s="384">
        <f t="shared" si="12"/>
        <v>293.60088</v>
      </c>
      <c r="J59" s="384">
        <f t="shared" si="13"/>
        <v>303.387576</v>
      </c>
      <c r="K59" s="384">
        <f t="shared" si="14"/>
        <v>293.60088</v>
      </c>
      <c r="L59" s="384">
        <f t="shared" si="15"/>
        <v>303.387576</v>
      </c>
      <c r="M59" s="384">
        <f t="shared" si="15"/>
        <v>303.387576</v>
      </c>
      <c r="N59" s="384">
        <f t="shared" si="16"/>
        <v>293.60088</v>
      </c>
      <c r="O59" s="384">
        <f t="shared" si="17"/>
        <v>303.387576</v>
      </c>
      <c r="P59" s="384">
        <f t="shared" si="18"/>
        <v>293.60088</v>
      </c>
      <c r="Q59" s="384">
        <f t="shared" si="19"/>
        <v>303.387576</v>
      </c>
      <c r="R59" s="384">
        <f t="shared" si="19"/>
        <v>303.387576</v>
      </c>
      <c r="S59" s="384">
        <f t="shared" si="20"/>
        <v>274.027488</v>
      </c>
      <c r="T59" s="384">
        <f t="shared" si="21"/>
        <v>303.387576</v>
      </c>
      <c r="U59" s="384">
        <f t="shared" si="22"/>
        <v>3572.14404</v>
      </c>
      <c r="W59" s="720"/>
    </row>
    <row r="60" spans="3:23">
      <c r="C60" s="296"/>
      <c r="D60" s="790" t="s">
        <v>450</v>
      </c>
      <c r="E60" s="296">
        <v>800</v>
      </c>
      <c r="F60" s="296"/>
      <c r="G60" s="296">
        <f>E60*0.85</f>
        <v>680</v>
      </c>
      <c r="H60" s="384">
        <f t="shared" si="11"/>
        <v>479.74</v>
      </c>
      <c r="I60" s="384">
        <f t="shared" si="12"/>
        <v>293.60088</v>
      </c>
      <c r="J60" s="384">
        <f t="shared" si="13"/>
        <v>303.387576</v>
      </c>
      <c r="K60" s="384">
        <f t="shared" si="14"/>
        <v>293.60088</v>
      </c>
      <c r="L60" s="384">
        <f t="shared" si="15"/>
        <v>303.387576</v>
      </c>
      <c r="M60" s="384">
        <f t="shared" si="15"/>
        <v>303.387576</v>
      </c>
      <c r="N60" s="384">
        <f t="shared" si="16"/>
        <v>293.60088</v>
      </c>
      <c r="O60" s="384">
        <f t="shared" si="17"/>
        <v>303.387576</v>
      </c>
      <c r="P60" s="384">
        <f t="shared" si="18"/>
        <v>293.60088</v>
      </c>
      <c r="Q60" s="384">
        <f t="shared" si="19"/>
        <v>303.387576</v>
      </c>
      <c r="R60" s="384">
        <f t="shared" si="19"/>
        <v>303.387576</v>
      </c>
      <c r="S60" s="384">
        <f t="shared" si="20"/>
        <v>274.027488</v>
      </c>
      <c r="T60" s="384">
        <f t="shared" si="21"/>
        <v>303.387576</v>
      </c>
      <c r="U60" s="384">
        <f t="shared" si="22"/>
        <v>3572.14404</v>
      </c>
      <c r="W60" s="720"/>
    </row>
    <row r="61" spans="3:23">
      <c r="C61" s="296"/>
      <c r="D61" s="790" t="s">
        <v>381</v>
      </c>
      <c r="E61" s="296">
        <v>630</v>
      </c>
      <c r="F61" s="296"/>
      <c r="G61" s="384">
        <f>E61*0.0086</f>
        <v>5.418</v>
      </c>
      <c r="H61" s="384">
        <f t="shared" si="11"/>
        <v>3.822399</v>
      </c>
      <c r="I61" s="384">
        <f t="shared" si="12"/>
        <v>2.339308188</v>
      </c>
      <c r="J61" s="384">
        <f t="shared" si="13"/>
        <v>2.4172851276</v>
      </c>
      <c r="K61" s="384">
        <f t="shared" si="14"/>
        <v>2.339308188</v>
      </c>
      <c r="L61" s="384">
        <f t="shared" si="15"/>
        <v>2.4172851276</v>
      </c>
      <c r="M61" s="384">
        <f t="shared" si="15"/>
        <v>2.4172851276</v>
      </c>
      <c r="N61" s="384">
        <f t="shared" si="16"/>
        <v>2.339308188</v>
      </c>
      <c r="O61" s="384">
        <f t="shared" si="17"/>
        <v>2.4172851276</v>
      </c>
      <c r="P61" s="384">
        <f t="shared" si="18"/>
        <v>2.339308188</v>
      </c>
      <c r="Q61" s="384">
        <f t="shared" si="19"/>
        <v>2.4172851276</v>
      </c>
      <c r="R61" s="384">
        <f t="shared" si="19"/>
        <v>2.4172851276</v>
      </c>
      <c r="S61" s="384">
        <f t="shared" si="20"/>
        <v>2.1833543088</v>
      </c>
      <c r="T61" s="384">
        <f t="shared" si="21"/>
        <v>2.4172851276</v>
      </c>
      <c r="U61" s="384">
        <f t="shared" si="22"/>
        <v>28.461582954</v>
      </c>
      <c r="W61" s="720"/>
    </row>
    <row r="62" spans="3:23">
      <c r="C62" s="296"/>
      <c r="D62" s="790" t="s">
        <v>382</v>
      </c>
      <c r="E62" s="296">
        <v>840</v>
      </c>
      <c r="F62" s="296"/>
      <c r="G62" s="384">
        <f>E62*0.0085</f>
        <v>7.14</v>
      </c>
      <c r="H62" s="384">
        <f t="shared" si="11"/>
        <v>5.03727</v>
      </c>
      <c r="I62" s="384">
        <f t="shared" si="12"/>
        <v>3.08280924</v>
      </c>
      <c r="J62" s="384">
        <f t="shared" si="13"/>
        <v>3.185569548</v>
      </c>
      <c r="K62" s="384">
        <f t="shared" si="14"/>
        <v>3.08280924</v>
      </c>
      <c r="L62" s="384">
        <f t="shared" si="15"/>
        <v>3.185569548</v>
      </c>
      <c r="M62" s="384">
        <f t="shared" si="15"/>
        <v>3.185569548</v>
      </c>
      <c r="N62" s="384">
        <f t="shared" si="16"/>
        <v>3.08280924</v>
      </c>
      <c r="O62" s="384">
        <f t="shared" si="17"/>
        <v>3.185569548</v>
      </c>
      <c r="P62" s="384">
        <f t="shared" si="18"/>
        <v>3.08280924</v>
      </c>
      <c r="Q62" s="384">
        <f t="shared" si="19"/>
        <v>3.185569548</v>
      </c>
      <c r="R62" s="384">
        <f t="shared" si="19"/>
        <v>3.185569548</v>
      </c>
      <c r="S62" s="384">
        <f t="shared" si="20"/>
        <v>2.877288624</v>
      </c>
      <c r="T62" s="384">
        <f t="shared" si="21"/>
        <v>3.185569548</v>
      </c>
      <c r="U62" s="384">
        <f t="shared" si="22"/>
        <v>37.50751242</v>
      </c>
      <c r="W62" s="720"/>
    </row>
    <row r="63" spans="3:23">
      <c r="C63" s="296"/>
      <c r="D63" s="790" t="s">
        <v>383</v>
      </c>
      <c r="E63" s="296">
        <v>1000</v>
      </c>
      <c r="F63" s="296"/>
      <c r="G63" s="384">
        <f>0.0619*E63</f>
        <v>61.9</v>
      </c>
      <c r="H63" s="384">
        <f t="shared" si="11"/>
        <v>43.67045</v>
      </c>
      <c r="I63" s="384">
        <f t="shared" si="12"/>
        <v>26.7263154</v>
      </c>
      <c r="J63" s="384">
        <f t="shared" si="13"/>
        <v>27.61719258</v>
      </c>
      <c r="K63" s="384">
        <f t="shared" si="14"/>
        <v>26.7263154</v>
      </c>
      <c r="L63" s="384">
        <f t="shared" si="15"/>
        <v>27.61719258</v>
      </c>
      <c r="M63" s="384">
        <f t="shared" si="15"/>
        <v>27.61719258</v>
      </c>
      <c r="N63" s="384">
        <f t="shared" si="16"/>
        <v>26.7263154</v>
      </c>
      <c r="O63" s="384">
        <f t="shared" si="17"/>
        <v>27.61719258</v>
      </c>
      <c r="P63" s="384">
        <f t="shared" si="18"/>
        <v>26.7263154</v>
      </c>
      <c r="Q63" s="384">
        <f t="shared" si="19"/>
        <v>27.61719258</v>
      </c>
      <c r="R63" s="384">
        <f t="shared" si="19"/>
        <v>27.61719258</v>
      </c>
      <c r="S63" s="384">
        <f t="shared" si="20"/>
        <v>24.94456104</v>
      </c>
      <c r="T63" s="384">
        <f t="shared" si="21"/>
        <v>27.61719258</v>
      </c>
      <c r="U63" s="384">
        <f t="shared" si="22"/>
        <v>325.1701707</v>
      </c>
      <c r="W63" s="720"/>
    </row>
    <row r="64" spans="3:23">
      <c r="C64" s="296"/>
      <c r="D64" s="790" t="s">
        <v>384</v>
      </c>
      <c r="E64" s="296">
        <v>0</v>
      </c>
      <c r="F64" s="296"/>
      <c r="G64" s="384">
        <v>0</v>
      </c>
      <c r="H64" s="384"/>
      <c r="I64" s="384">
        <f t="shared" si="12"/>
        <v>0</v>
      </c>
      <c r="J64" s="384">
        <f t="shared" si="13"/>
        <v>0</v>
      </c>
      <c r="K64" s="384">
        <f t="shared" si="14"/>
        <v>0</v>
      </c>
      <c r="L64" s="384">
        <f t="shared" si="15"/>
        <v>0</v>
      </c>
      <c r="M64" s="384">
        <f t="shared" si="15"/>
        <v>0</v>
      </c>
      <c r="N64" s="384">
        <f t="shared" si="16"/>
        <v>0</v>
      </c>
      <c r="O64" s="384">
        <f t="shared" si="17"/>
        <v>0</v>
      </c>
      <c r="P64" s="384">
        <f t="shared" si="18"/>
        <v>0</v>
      </c>
      <c r="Q64" s="384">
        <f t="shared" si="19"/>
        <v>0</v>
      </c>
      <c r="R64" s="384">
        <f t="shared" si="19"/>
        <v>0</v>
      </c>
      <c r="S64" s="384">
        <f t="shared" si="20"/>
        <v>0</v>
      </c>
      <c r="T64" s="384">
        <f t="shared" si="21"/>
        <v>0</v>
      </c>
      <c r="U64" s="384">
        <f t="shared" si="22"/>
        <v>0</v>
      </c>
      <c r="W64" s="720"/>
    </row>
    <row r="65" spans="3:23">
      <c r="C65" s="296"/>
      <c r="D65" s="790" t="s">
        <v>385</v>
      </c>
      <c r="E65" s="296">
        <v>0</v>
      </c>
      <c r="F65" s="296"/>
      <c r="G65" s="384">
        <v>0</v>
      </c>
      <c r="H65" s="384">
        <f>G65*0.7055</f>
        <v>0</v>
      </c>
      <c r="I65" s="384">
        <f t="shared" si="12"/>
        <v>0</v>
      </c>
      <c r="J65" s="384">
        <f t="shared" si="13"/>
        <v>0</v>
      </c>
      <c r="K65" s="384">
        <f t="shared" si="14"/>
        <v>0</v>
      </c>
      <c r="L65" s="384">
        <f t="shared" si="15"/>
        <v>0</v>
      </c>
      <c r="M65" s="384">
        <f t="shared" si="15"/>
        <v>0</v>
      </c>
      <c r="N65" s="384">
        <f t="shared" si="16"/>
        <v>0</v>
      </c>
      <c r="O65" s="384">
        <f t="shared" si="17"/>
        <v>0</v>
      </c>
      <c r="P65" s="384">
        <f t="shared" si="18"/>
        <v>0</v>
      </c>
      <c r="Q65" s="384">
        <f t="shared" si="19"/>
        <v>0</v>
      </c>
      <c r="R65" s="384">
        <f t="shared" si="19"/>
        <v>0</v>
      </c>
      <c r="S65" s="384">
        <f t="shared" si="20"/>
        <v>0</v>
      </c>
      <c r="T65" s="384">
        <f t="shared" si="21"/>
        <v>0</v>
      </c>
      <c r="U65" s="384">
        <f t="shared" si="22"/>
        <v>0</v>
      </c>
      <c r="W65" s="720"/>
    </row>
    <row r="66" spans="3:23">
      <c r="C66" s="296"/>
      <c r="D66" s="790" t="s">
        <v>386</v>
      </c>
      <c r="E66" s="296">
        <v>1500</v>
      </c>
      <c r="F66" s="296"/>
      <c r="G66" s="384">
        <f>E66*0.0688</f>
        <v>103.2</v>
      </c>
      <c r="H66" s="384">
        <f>G66*0.7055</f>
        <v>72.8076</v>
      </c>
      <c r="I66" s="384">
        <f t="shared" si="12"/>
        <v>44.5582512</v>
      </c>
      <c r="J66" s="384">
        <f t="shared" si="13"/>
        <v>46.04352624</v>
      </c>
      <c r="K66" s="384">
        <f t="shared" si="14"/>
        <v>44.5582512</v>
      </c>
      <c r="L66" s="384">
        <f t="shared" si="15"/>
        <v>46.04352624</v>
      </c>
      <c r="M66" s="384">
        <f t="shared" si="15"/>
        <v>46.04352624</v>
      </c>
      <c r="N66" s="384">
        <f t="shared" si="16"/>
        <v>44.5582512</v>
      </c>
      <c r="O66" s="384">
        <f t="shared" si="17"/>
        <v>46.04352624</v>
      </c>
      <c r="P66" s="384">
        <f t="shared" si="18"/>
        <v>44.5582512</v>
      </c>
      <c r="Q66" s="384">
        <f t="shared" si="19"/>
        <v>46.04352624</v>
      </c>
      <c r="R66" s="384">
        <f t="shared" si="19"/>
        <v>46.04352624</v>
      </c>
      <c r="S66" s="384">
        <f t="shared" si="20"/>
        <v>41.58770112</v>
      </c>
      <c r="T66" s="384">
        <f t="shared" si="21"/>
        <v>46.04352624</v>
      </c>
      <c r="U66" s="384">
        <f t="shared" si="22"/>
        <v>542.1253896</v>
      </c>
      <c r="W66" s="720"/>
    </row>
    <row r="67" spans="3:23">
      <c r="C67" s="296"/>
      <c r="D67" s="790" t="s">
        <v>387</v>
      </c>
      <c r="E67" s="296">
        <v>1000</v>
      </c>
      <c r="F67" s="296"/>
      <c r="G67" s="384">
        <f>E67*0.1444</f>
        <v>144.4</v>
      </c>
      <c r="H67" s="384">
        <f>G67*0.7055</f>
        <v>101.8742</v>
      </c>
      <c r="I67" s="384">
        <f t="shared" si="12"/>
        <v>62.3470104</v>
      </c>
      <c r="J67" s="384">
        <f t="shared" si="13"/>
        <v>64.42524408</v>
      </c>
      <c r="K67" s="384">
        <f t="shared" si="14"/>
        <v>62.3470104</v>
      </c>
      <c r="L67" s="384">
        <f t="shared" si="15"/>
        <v>64.42524408</v>
      </c>
      <c r="M67" s="384">
        <f t="shared" si="15"/>
        <v>64.42524408</v>
      </c>
      <c r="N67" s="384">
        <f t="shared" si="16"/>
        <v>62.3470104</v>
      </c>
      <c r="O67" s="384">
        <f t="shared" si="17"/>
        <v>64.42524408</v>
      </c>
      <c r="P67" s="384">
        <f t="shared" si="18"/>
        <v>62.3470104</v>
      </c>
      <c r="Q67" s="384">
        <f t="shared" si="19"/>
        <v>64.42524408</v>
      </c>
      <c r="R67" s="384">
        <f t="shared" si="19"/>
        <v>64.42524408</v>
      </c>
      <c r="S67" s="384">
        <f t="shared" si="20"/>
        <v>58.19054304</v>
      </c>
      <c r="T67" s="384">
        <f t="shared" si="21"/>
        <v>64.42524408</v>
      </c>
      <c r="U67" s="384">
        <f t="shared" si="22"/>
        <v>758.5552932</v>
      </c>
      <c r="W67" s="720"/>
    </row>
    <row r="68" spans="3:21">
      <c r="C68" s="296"/>
      <c r="D68" s="790"/>
      <c r="E68" s="296"/>
      <c r="F68" s="296"/>
      <c r="G68" s="296"/>
      <c r="H68" s="384"/>
      <c r="I68" s="384"/>
      <c r="J68" s="384"/>
      <c r="K68" s="384"/>
      <c r="L68" s="384"/>
      <c r="M68" s="384"/>
      <c r="N68" s="384"/>
      <c r="O68" s="384"/>
      <c r="P68" s="384"/>
      <c r="Q68" s="384"/>
      <c r="R68" s="384"/>
      <c r="S68" s="384"/>
      <c r="T68" s="384"/>
      <c r="U68" s="384">
        <f t="shared" si="22"/>
        <v>0</v>
      </c>
    </row>
    <row r="69" spans="3:21">
      <c r="C69" s="296"/>
      <c r="D69" s="790"/>
      <c r="E69" s="296"/>
      <c r="F69" s="296"/>
      <c r="G69" s="296"/>
      <c r="H69" s="384"/>
      <c r="I69" s="384"/>
      <c r="J69" s="384"/>
      <c r="K69" s="384"/>
      <c r="L69" s="384"/>
      <c r="M69" s="384"/>
      <c r="N69" s="384"/>
      <c r="O69" s="384"/>
      <c r="P69" s="384"/>
      <c r="Q69" s="384"/>
      <c r="R69" s="384"/>
      <c r="S69" s="384"/>
      <c r="T69" s="384"/>
      <c r="U69" s="384">
        <f t="shared" si="22"/>
        <v>0</v>
      </c>
    </row>
    <row r="70" spans="3:21">
      <c r="C70" s="296"/>
      <c r="D70" s="791"/>
      <c r="E70" s="296"/>
      <c r="F70" s="296"/>
      <c r="G70" s="296"/>
      <c r="H70" s="384"/>
      <c r="I70" s="384"/>
      <c r="J70" s="384"/>
      <c r="K70" s="384"/>
      <c r="L70" s="384"/>
      <c r="M70" s="384"/>
      <c r="N70" s="384"/>
      <c r="O70" s="384"/>
      <c r="P70" s="384"/>
      <c r="Q70" s="384"/>
      <c r="R70" s="384"/>
      <c r="S70" s="384"/>
      <c r="T70" s="384"/>
      <c r="U70" s="384">
        <f t="shared" si="22"/>
        <v>0</v>
      </c>
    </row>
    <row r="71" spans="3:21">
      <c r="C71" s="296"/>
      <c r="D71" s="791"/>
      <c r="E71" s="296"/>
      <c r="F71" s="296"/>
      <c r="G71" s="296"/>
      <c r="H71" s="384"/>
      <c r="I71" s="384"/>
      <c r="J71" s="384"/>
      <c r="K71" s="384"/>
      <c r="L71" s="384"/>
      <c r="M71" s="384"/>
      <c r="N71" s="384"/>
      <c r="O71" s="384"/>
      <c r="P71" s="384"/>
      <c r="Q71" s="384"/>
      <c r="R71" s="384"/>
      <c r="S71" s="384"/>
      <c r="T71" s="384"/>
      <c r="U71" s="384">
        <f t="shared" si="22"/>
        <v>0</v>
      </c>
    </row>
    <row r="72" spans="3:21">
      <c r="C72" s="296"/>
      <c r="D72" s="790"/>
      <c r="E72" s="296"/>
      <c r="F72" s="296"/>
      <c r="G72" s="296"/>
      <c r="H72" s="384"/>
      <c r="I72" s="384"/>
      <c r="J72" s="384"/>
      <c r="K72" s="384"/>
      <c r="L72" s="384"/>
      <c r="M72" s="384"/>
      <c r="N72" s="384"/>
      <c r="O72" s="384"/>
      <c r="P72" s="384"/>
      <c r="Q72" s="384"/>
      <c r="R72" s="384"/>
      <c r="S72" s="384"/>
      <c r="T72" s="384"/>
      <c r="U72" s="384">
        <f t="shared" si="22"/>
        <v>0</v>
      </c>
    </row>
    <row r="73" spans="3:21">
      <c r="C73" s="296"/>
      <c r="D73" s="790"/>
      <c r="E73" s="296"/>
      <c r="F73" s="296"/>
      <c r="G73" s="296"/>
      <c r="H73" s="384"/>
      <c r="I73" s="384"/>
      <c r="J73" s="384"/>
      <c r="K73" s="384"/>
      <c r="L73" s="384"/>
      <c r="M73" s="384"/>
      <c r="N73" s="384"/>
      <c r="O73" s="384"/>
      <c r="P73" s="384"/>
      <c r="Q73" s="384"/>
      <c r="R73" s="384"/>
      <c r="S73" s="384"/>
      <c r="T73" s="384"/>
      <c r="U73" s="384">
        <f t="shared" si="22"/>
        <v>0</v>
      </c>
    </row>
    <row r="74" spans="3:21">
      <c r="C74" s="296"/>
      <c r="D74" s="288"/>
      <c r="E74" s="296"/>
      <c r="F74" s="296"/>
      <c r="G74" s="296"/>
      <c r="H74" s="384"/>
      <c r="I74" s="384"/>
      <c r="J74" s="384"/>
      <c r="K74" s="384"/>
      <c r="L74" s="384"/>
      <c r="M74" s="384"/>
      <c r="N74" s="384"/>
      <c r="O74" s="384"/>
      <c r="P74" s="384"/>
      <c r="Q74" s="384"/>
      <c r="R74" s="384"/>
      <c r="S74" s="384"/>
      <c r="T74" s="384"/>
      <c r="U74" s="384">
        <f t="shared" si="22"/>
        <v>0</v>
      </c>
    </row>
    <row r="75" spans="3:21">
      <c r="C75" s="296"/>
      <c r="D75" s="288"/>
      <c r="E75" s="296"/>
      <c r="F75" s="296"/>
      <c r="G75" s="296"/>
      <c r="H75" s="384"/>
      <c r="I75" s="384"/>
      <c r="J75" s="384"/>
      <c r="K75" s="384"/>
      <c r="L75" s="384"/>
      <c r="M75" s="384"/>
      <c r="N75" s="384"/>
      <c r="O75" s="384"/>
      <c r="P75" s="384"/>
      <c r="Q75" s="384"/>
      <c r="R75" s="384"/>
      <c r="S75" s="384"/>
      <c r="T75" s="384"/>
      <c r="U75" s="384">
        <f t="shared" si="22"/>
        <v>0</v>
      </c>
    </row>
    <row r="76" spans="3:21">
      <c r="C76" s="296"/>
      <c r="D76" s="288"/>
      <c r="E76" s="296"/>
      <c r="F76" s="296"/>
      <c r="G76" s="296"/>
      <c r="H76" s="384"/>
      <c r="I76" s="384"/>
      <c r="J76" s="384"/>
      <c r="K76" s="384"/>
      <c r="L76" s="384"/>
      <c r="M76" s="384"/>
      <c r="N76" s="384"/>
      <c r="O76" s="384"/>
      <c r="P76" s="384"/>
      <c r="Q76" s="384"/>
      <c r="R76" s="384"/>
      <c r="S76" s="384"/>
      <c r="T76" s="384"/>
      <c r="U76" s="384">
        <f t="shared" si="22"/>
        <v>0</v>
      </c>
    </row>
    <row r="77" ht="15" spans="3:21">
      <c r="C77" s="285" t="s">
        <v>211</v>
      </c>
      <c r="D77" s="286"/>
      <c r="E77" s="296">
        <f t="shared" ref="E77:T77" si="23">SUM(E51:E76)</f>
        <v>15855</v>
      </c>
      <c r="F77" s="296">
        <f t="shared" si="23"/>
        <v>0</v>
      </c>
      <c r="G77" s="296">
        <f t="shared" si="23"/>
        <v>3659.6545</v>
      </c>
      <c r="H77" s="384">
        <f t="shared" si="23"/>
        <v>2581.88624975</v>
      </c>
      <c r="I77" s="384">
        <f t="shared" si="23"/>
        <v>1580.114384847</v>
      </c>
      <c r="J77" s="384">
        <f t="shared" si="23"/>
        <v>1632.7848643419</v>
      </c>
      <c r="K77" s="384">
        <f t="shared" si="23"/>
        <v>1580.114384847</v>
      </c>
      <c r="L77" s="384">
        <f t="shared" si="23"/>
        <v>1632.7848643419</v>
      </c>
      <c r="M77" s="384">
        <f t="shared" si="23"/>
        <v>1632.7848643419</v>
      </c>
      <c r="N77" s="384">
        <f t="shared" si="23"/>
        <v>1580.114384847</v>
      </c>
      <c r="O77" s="384">
        <f t="shared" si="23"/>
        <v>1632.7848643419</v>
      </c>
      <c r="P77" s="384">
        <f t="shared" si="23"/>
        <v>1580.114384847</v>
      </c>
      <c r="Q77" s="384">
        <f t="shared" si="23"/>
        <v>1632.7848643419</v>
      </c>
      <c r="R77" s="384">
        <f t="shared" si="23"/>
        <v>1632.7848643419</v>
      </c>
      <c r="S77" s="384">
        <f t="shared" si="23"/>
        <v>1474.7734258572</v>
      </c>
      <c r="T77" s="384">
        <f t="shared" si="23"/>
        <v>1632.7848643419</v>
      </c>
      <c r="U77" s="722">
        <f>SUM(I77:T77)</f>
        <v>19224.7250156385</v>
      </c>
    </row>
    <row r="78" ht="15" spans="3:21">
      <c r="C78" s="285" t="s">
        <v>388</v>
      </c>
      <c r="D78" s="286"/>
      <c r="E78" s="296"/>
      <c r="F78" s="296"/>
      <c r="G78" s="296"/>
      <c r="H78" s="384"/>
      <c r="I78" s="384"/>
      <c r="J78" s="384"/>
      <c r="K78" s="384"/>
      <c r="L78" s="384"/>
      <c r="M78" s="384"/>
      <c r="N78" s="384"/>
      <c r="O78" s="384"/>
      <c r="P78" s="384"/>
      <c r="Q78" s="384"/>
      <c r="R78" s="384"/>
      <c r="S78" s="384"/>
      <c r="T78" s="384"/>
      <c r="U78" s="384"/>
    </row>
    <row r="79" spans="3:21">
      <c r="C79" s="710" t="s">
        <v>389</v>
      </c>
      <c r="D79" s="288" t="s">
        <v>390</v>
      </c>
      <c r="E79" s="296">
        <v>440</v>
      </c>
      <c r="F79" s="296"/>
      <c r="G79" s="384">
        <f>E79*0.05023</f>
        <v>22.1012</v>
      </c>
      <c r="H79" s="384">
        <f>G79*0.7055</f>
        <v>15.5923966</v>
      </c>
      <c r="I79" s="384">
        <f t="shared" ref="I79:T82" si="24">$H79*I$6*24/1000</f>
        <v>11.226525552</v>
      </c>
      <c r="J79" s="384">
        <f t="shared" si="24"/>
        <v>11.6007430704</v>
      </c>
      <c r="K79" s="384">
        <f t="shared" si="24"/>
        <v>11.226525552</v>
      </c>
      <c r="L79" s="384">
        <f t="shared" si="24"/>
        <v>11.6007430704</v>
      </c>
      <c r="M79" s="384">
        <f t="shared" si="24"/>
        <v>11.6007430704</v>
      </c>
      <c r="N79" s="384">
        <f t="shared" si="24"/>
        <v>11.226525552</v>
      </c>
      <c r="O79" s="384">
        <f t="shared" si="24"/>
        <v>11.6007430704</v>
      </c>
      <c r="P79" s="384">
        <f t="shared" si="24"/>
        <v>11.226525552</v>
      </c>
      <c r="Q79" s="384">
        <f t="shared" si="24"/>
        <v>11.6007430704</v>
      </c>
      <c r="R79" s="384">
        <f t="shared" si="24"/>
        <v>11.6007430704</v>
      </c>
      <c r="S79" s="384">
        <f t="shared" si="24"/>
        <v>10.4780905152</v>
      </c>
      <c r="T79" s="384">
        <f t="shared" si="24"/>
        <v>11.6007430704</v>
      </c>
      <c r="U79" s="384">
        <f t="shared" ref="U79:U92" si="25">+SUM(I79:T79)</f>
        <v>136.589394216</v>
      </c>
    </row>
    <row r="80" ht="28.5" spans="3:21">
      <c r="C80" s="711"/>
      <c r="D80" s="288" t="s">
        <v>391</v>
      </c>
      <c r="E80" s="296">
        <v>440</v>
      </c>
      <c r="F80" s="296"/>
      <c r="G80" s="384">
        <f>E80*0.1543</f>
        <v>67.892</v>
      </c>
      <c r="H80" s="384">
        <f>G80*0.7055</f>
        <v>47.897806</v>
      </c>
      <c r="I80" s="384">
        <f t="shared" si="24"/>
        <v>34.48642032</v>
      </c>
      <c r="J80" s="384">
        <f t="shared" si="24"/>
        <v>35.635967664</v>
      </c>
      <c r="K80" s="384">
        <f t="shared" si="24"/>
        <v>34.48642032</v>
      </c>
      <c r="L80" s="384">
        <f t="shared" si="24"/>
        <v>35.635967664</v>
      </c>
      <c r="M80" s="384">
        <f t="shared" si="24"/>
        <v>35.635967664</v>
      </c>
      <c r="N80" s="384">
        <f t="shared" si="24"/>
        <v>34.48642032</v>
      </c>
      <c r="O80" s="384">
        <f t="shared" si="24"/>
        <v>35.635967664</v>
      </c>
      <c r="P80" s="384">
        <f t="shared" si="24"/>
        <v>34.48642032</v>
      </c>
      <c r="Q80" s="384">
        <f t="shared" si="24"/>
        <v>35.635967664</v>
      </c>
      <c r="R80" s="384">
        <f t="shared" si="24"/>
        <v>35.635967664</v>
      </c>
      <c r="S80" s="384">
        <f t="shared" si="24"/>
        <v>32.187325632</v>
      </c>
      <c r="T80" s="384">
        <f t="shared" si="24"/>
        <v>35.635967664</v>
      </c>
      <c r="U80" s="384">
        <f t="shared" si="25"/>
        <v>419.58478056</v>
      </c>
    </row>
    <row r="81" ht="28.5" spans="3:21">
      <c r="C81" s="711"/>
      <c r="D81" s="288" t="s">
        <v>392</v>
      </c>
      <c r="E81" s="296">
        <v>440</v>
      </c>
      <c r="F81" s="296"/>
      <c r="G81" s="384">
        <f>E81*0.1641</f>
        <v>72.204</v>
      </c>
      <c r="H81" s="384">
        <f>G81*0.7055</f>
        <v>50.939922</v>
      </c>
      <c r="I81" s="384">
        <f t="shared" si="24"/>
        <v>36.67674384</v>
      </c>
      <c r="J81" s="384">
        <f t="shared" si="24"/>
        <v>37.899301968</v>
      </c>
      <c r="K81" s="384">
        <f t="shared" si="24"/>
        <v>36.67674384</v>
      </c>
      <c r="L81" s="384">
        <f t="shared" si="24"/>
        <v>37.899301968</v>
      </c>
      <c r="M81" s="384">
        <f t="shared" si="24"/>
        <v>37.899301968</v>
      </c>
      <c r="N81" s="384">
        <f t="shared" si="24"/>
        <v>36.67674384</v>
      </c>
      <c r="O81" s="384">
        <f t="shared" si="24"/>
        <v>37.899301968</v>
      </c>
      <c r="P81" s="384">
        <f t="shared" si="24"/>
        <v>36.67674384</v>
      </c>
      <c r="Q81" s="384">
        <f t="shared" si="24"/>
        <v>37.899301968</v>
      </c>
      <c r="R81" s="384">
        <f t="shared" si="24"/>
        <v>37.899301968</v>
      </c>
      <c r="S81" s="384">
        <f t="shared" si="24"/>
        <v>34.231627584</v>
      </c>
      <c r="T81" s="384">
        <f t="shared" si="24"/>
        <v>37.899301968</v>
      </c>
      <c r="U81" s="384">
        <f t="shared" si="25"/>
        <v>446.23371672</v>
      </c>
    </row>
    <row r="82" ht="28.5" spans="3:21">
      <c r="C82" s="713"/>
      <c r="D82" s="288" t="s">
        <v>393</v>
      </c>
      <c r="E82" s="296">
        <v>1000</v>
      </c>
      <c r="F82" s="296"/>
      <c r="G82" s="384">
        <f>E82*0.0545</f>
        <v>54.5</v>
      </c>
      <c r="H82" s="384">
        <f>G82*0.7055</f>
        <v>38.44975</v>
      </c>
      <c r="I82" s="384">
        <f t="shared" si="24"/>
        <v>27.68382</v>
      </c>
      <c r="J82" s="384">
        <f t="shared" si="24"/>
        <v>28.606614</v>
      </c>
      <c r="K82" s="384">
        <f t="shared" si="24"/>
        <v>27.68382</v>
      </c>
      <c r="L82" s="384">
        <f t="shared" si="24"/>
        <v>28.606614</v>
      </c>
      <c r="M82" s="384">
        <f t="shared" si="24"/>
        <v>28.606614</v>
      </c>
      <c r="N82" s="384">
        <f t="shared" si="24"/>
        <v>27.68382</v>
      </c>
      <c r="O82" s="384">
        <f t="shared" si="24"/>
        <v>28.606614</v>
      </c>
      <c r="P82" s="384">
        <f t="shared" si="24"/>
        <v>27.68382</v>
      </c>
      <c r="Q82" s="384">
        <f t="shared" si="24"/>
        <v>28.606614</v>
      </c>
      <c r="R82" s="384">
        <f t="shared" si="24"/>
        <v>28.606614</v>
      </c>
      <c r="S82" s="384">
        <f t="shared" si="24"/>
        <v>25.838232</v>
      </c>
      <c r="T82" s="384">
        <f t="shared" si="24"/>
        <v>28.606614</v>
      </c>
      <c r="U82" s="384">
        <f t="shared" si="25"/>
        <v>336.81981</v>
      </c>
    </row>
    <row r="83" spans="3:21">
      <c r="C83" s="296"/>
      <c r="D83" s="288"/>
      <c r="E83" s="296"/>
      <c r="F83" s="296"/>
      <c r="G83" s="384"/>
      <c r="H83" s="384"/>
      <c r="I83" s="384"/>
      <c r="J83" s="384"/>
      <c r="K83" s="384"/>
      <c r="L83" s="384"/>
      <c r="M83" s="384"/>
      <c r="N83" s="384"/>
      <c r="O83" s="384"/>
      <c r="P83" s="384"/>
      <c r="Q83" s="384"/>
      <c r="R83" s="384"/>
      <c r="S83" s="384"/>
      <c r="T83" s="384"/>
      <c r="U83" s="384">
        <f t="shared" si="25"/>
        <v>0</v>
      </c>
    </row>
    <row r="84" spans="3:21">
      <c r="C84" s="296"/>
      <c r="D84" s="288"/>
      <c r="E84" s="296"/>
      <c r="F84" s="296"/>
      <c r="G84" s="296"/>
      <c r="H84" s="384"/>
      <c r="I84" s="384"/>
      <c r="J84" s="384"/>
      <c r="K84" s="384"/>
      <c r="L84" s="384"/>
      <c r="M84" s="384"/>
      <c r="N84" s="384"/>
      <c r="O84" s="384"/>
      <c r="P84" s="384"/>
      <c r="Q84" s="384"/>
      <c r="R84" s="384"/>
      <c r="S84" s="384"/>
      <c r="T84" s="384"/>
      <c r="U84" s="384">
        <f t="shared" si="25"/>
        <v>0</v>
      </c>
    </row>
    <row r="85" spans="3:21">
      <c r="C85" s="296"/>
      <c r="D85" s="288"/>
      <c r="E85" s="296"/>
      <c r="F85" s="296"/>
      <c r="G85" s="296"/>
      <c r="H85" s="384"/>
      <c r="I85" s="384"/>
      <c r="J85" s="384"/>
      <c r="K85" s="384"/>
      <c r="L85" s="384"/>
      <c r="M85" s="384"/>
      <c r="N85" s="384"/>
      <c r="O85" s="384"/>
      <c r="P85" s="384"/>
      <c r="Q85" s="384"/>
      <c r="R85" s="384"/>
      <c r="S85" s="384"/>
      <c r="T85" s="384"/>
      <c r="U85" s="384">
        <f t="shared" si="25"/>
        <v>0</v>
      </c>
    </row>
    <row r="86" spans="3:21">
      <c r="C86" s="296"/>
      <c r="D86" s="288"/>
      <c r="E86" s="296"/>
      <c r="F86" s="296"/>
      <c r="G86" s="296"/>
      <c r="H86" s="384"/>
      <c r="I86" s="384"/>
      <c r="J86" s="384"/>
      <c r="K86" s="384"/>
      <c r="L86" s="384"/>
      <c r="M86" s="384"/>
      <c r="N86" s="384"/>
      <c r="O86" s="384"/>
      <c r="P86" s="384"/>
      <c r="Q86" s="384"/>
      <c r="R86" s="384"/>
      <c r="S86" s="384"/>
      <c r="T86" s="384"/>
      <c r="U86" s="384">
        <f t="shared" si="25"/>
        <v>0</v>
      </c>
    </row>
    <row r="87" spans="3:21">
      <c r="C87" s="296"/>
      <c r="D87" s="288"/>
      <c r="E87" s="296"/>
      <c r="F87" s="296"/>
      <c r="G87" s="296"/>
      <c r="H87" s="384"/>
      <c r="I87" s="384"/>
      <c r="J87" s="384"/>
      <c r="K87" s="384"/>
      <c r="L87" s="384"/>
      <c r="M87" s="384"/>
      <c r="N87" s="384"/>
      <c r="O87" s="384"/>
      <c r="P87" s="384"/>
      <c r="Q87" s="384"/>
      <c r="R87" s="384"/>
      <c r="S87" s="384"/>
      <c r="T87" s="384"/>
      <c r="U87" s="384">
        <f t="shared" si="25"/>
        <v>0</v>
      </c>
    </row>
    <row r="88" spans="3:21">
      <c r="C88" s="296"/>
      <c r="D88" s="288"/>
      <c r="E88" s="296"/>
      <c r="F88" s="296"/>
      <c r="G88" s="296"/>
      <c r="H88" s="384"/>
      <c r="I88" s="384"/>
      <c r="J88" s="384"/>
      <c r="K88" s="384"/>
      <c r="L88" s="384"/>
      <c r="M88" s="384"/>
      <c r="N88" s="384"/>
      <c r="O88" s="384"/>
      <c r="P88" s="384"/>
      <c r="Q88" s="384"/>
      <c r="R88" s="384"/>
      <c r="S88" s="384"/>
      <c r="T88" s="384"/>
      <c r="U88" s="384">
        <f t="shared" si="25"/>
        <v>0</v>
      </c>
    </row>
    <row r="89" spans="3:21">
      <c r="C89" s="296"/>
      <c r="D89" s="288"/>
      <c r="E89" s="296"/>
      <c r="F89" s="296"/>
      <c r="G89" s="296"/>
      <c r="H89" s="384"/>
      <c r="I89" s="384"/>
      <c r="J89" s="384"/>
      <c r="K89" s="384"/>
      <c r="L89" s="384"/>
      <c r="M89" s="384"/>
      <c r="N89" s="384"/>
      <c r="O89" s="384"/>
      <c r="P89" s="384"/>
      <c r="Q89" s="384"/>
      <c r="R89" s="384"/>
      <c r="S89" s="384"/>
      <c r="T89" s="384"/>
      <c r="U89" s="384">
        <f t="shared" si="25"/>
        <v>0</v>
      </c>
    </row>
    <row r="90" spans="3:21">
      <c r="C90" s="296"/>
      <c r="D90" s="288"/>
      <c r="E90" s="296"/>
      <c r="F90" s="296"/>
      <c r="G90" s="296"/>
      <c r="H90" s="384"/>
      <c r="I90" s="384"/>
      <c r="J90" s="384"/>
      <c r="K90" s="384"/>
      <c r="L90" s="384"/>
      <c r="M90" s="384"/>
      <c r="N90" s="384"/>
      <c r="O90" s="384"/>
      <c r="P90" s="384"/>
      <c r="Q90" s="384"/>
      <c r="R90" s="384"/>
      <c r="S90" s="384"/>
      <c r="T90" s="384"/>
      <c r="U90" s="384">
        <f t="shared" si="25"/>
        <v>0</v>
      </c>
    </row>
    <row r="91" spans="3:21">
      <c r="C91" s="296"/>
      <c r="D91" s="288"/>
      <c r="E91" s="296"/>
      <c r="F91" s="296"/>
      <c r="G91" s="296"/>
      <c r="H91" s="384"/>
      <c r="I91" s="384"/>
      <c r="J91" s="384"/>
      <c r="K91" s="384"/>
      <c r="L91" s="384"/>
      <c r="M91" s="384"/>
      <c r="N91" s="384"/>
      <c r="O91" s="384"/>
      <c r="P91" s="384"/>
      <c r="Q91" s="384"/>
      <c r="R91" s="384"/>
      <c r="S91" s="384"/>
      <c r="T91" s="384"/>
      <c r="U91" s="384">
        <f t="shared" si="25"/>
        <v>0</v>
      </c>
    </row>
    <row r="92" spans="3:21">
      <c r="C92" s="296"/>
      <c r="D92" s="288"/>
      <c r="E92" s="296"/>
      <c r="F92" s="296"/>
      <c r="G92" s="296"/>
      <c r="H92" s="384"/>
      <c r="I92" s="384"/>
      <c r="J92" s="384"/>
      <c r="K92" s="384"/>
      <c r="L92" s="384"/>
      <c r="M92" s="384"/>
      <c r="N92" s="384"/>
      <c r="O92" s="384"/>
      <c r="P92" s="384"/>
      <c r="Q92" s="384"/>
      <c r="R92" s="384"/>
      <c r="S92" s="384"/>
      <c r="T92" s="384"/>
      <c r="U92" s="384">
        <f t="shared" si="25"/>
        <v>0</v>
      </c>
    </row>
    <row r="93" ht="15" spans="3:21">
      <c r="C93" s="285" t="s">
        <v>211</v>
      </c>
      <c r="D93" s="286"/>
      <c r="E93" s="296">
        <f t="shared" ref="E93:T93" si="26">SUM(E79:E92)</f>
        <v>2320</v>
      </c>
      <c r="F93" s="296">
        <f t="shared" si="26"/>
        <v>0</v>
      </c>
      <c r="G93" s="296">
        <f t="shared" si="26"/>
        <v>216.6972</v>
      </c>
      <c r="H93" s="384">
        <f t="shared" si="26"/>
        <v>152.8798746</v>
      </c>
      <c r="I93" s="384">
        <f t="shared" si="26"/>
        <v>110.073509712</v>
      </c>
      <c r="J93" s="384">
        <f t="shared" si="26"/>
        <v>113.7426267024</v>
      </c>
      <c r="K93" s="384">
        <f t="shared" si="26"/>
        <v>110.073509712</v>
      </c>
      <c r="L93" s="384">
        <f t="shared" si="26"/>
        <v>113.7426267024</v>
      </c>
      <c r="M93" s="384">
        <f t="shared" si="26"/>
        <v>113.7426267024</v>
      </c>
      <c r="N93" s="384">
        <f t="shared" si="26"/>
        <v>110.073509712</v>
      </c>
      <c r="O93" s="384">
        <f t="shared" si="26"/>
        <v>113.7426267024</v>
      </c>
      <c r="P93" s="384">
        <f t="shared" si="26"/>
        <v>110.073509712</v>
      </c>
      <c r="Q93" s="384">
        <f t="shared" si="26"/>
        <v>113.7426267024</v>
      </c>
      <c r="R93" s="384">
        <f t="shared" si="26"/>
        <v>113.7426267024</v>
      </c>
      <c r="S93" s="384">
        <f t="shared" si="26"/>
        <v>102.7352757312</v>
      </c>
      <c r="T93" s="384">
        <f t="shared" si="26"/>
        <v>113.7426267024</v>
      </c>
      <c r="U93" s="722">
        <f>SUM(I93:T93)</f>
        <v>1339.227701496</v>
      </c>
    </row>
    <row r="94" ht="15" spans="3:23">
      <c r="C94" s="285" t="s">
        <v>395</v>
      </c>
      <c r="D94" s="286"/>
      <c r="E94" s="296">
        <f t="shared" ref="E94:U94" si="27">E77+E93</f>
        <v>18175</v>
      </c>
      <c r="F94" s="296">
        <f t="shared" si="27"/>
        <v>0</v>
      </c>
      <c r="G94" s="296">
        <f t="shared" si="27"/>
        <v>3876.3517</v>
      </c>
      <c r="H94" s="384">
        <f t="shared" si="27"/>
        <v>2734.76612435</v>
      </c>
      <c r="I94" s="384">
        <f t="shared" si="27"/>
        <v>1690.187894559</v>
      </c>
      <c r="J94" s="384">
        <f t="shared" si="27"/>
        <v>1746.5274910443</v>
      </c>
      <c r="K94" s="384">
        <f t="shared" si="27"/>
        <v>1690.187894559</v>
      </c>
      <c r="L94" s="384">
        <f t="shared" si="27"/>
        <v>1746.5274910443</v>
      </c>
      <c r="M94" s="384">
        <f t="shared" si="27"/>
        <v>1746.5274910443</v>
      </c>
      <c r="N94" s="384">
        <f t="shared" si="27"/>
        <v>1690.187894559</v>
      </c>
      <c r="O94" s="384">
        <f t="shared" si="27"/>
        <v>1746.5274910443</v>
      </c>
      <c r="P94" s="384">
        <f t="shared" si="27"/>
        <v>1690.187894559</v>
      </c>
      <c r="Q94" s="384">
        <f t="shared" si="27"/>
        <v>1746.5274910443</v>
      </c>
      <c r="R94" s="384">
        <f t="shared" si="27"/>
        <v>1746.5274910443</v>
      </c>
      <c r="S94" s="384">
        <f t="shared" si="27"/>
        <v>1577.5087015884</v>
      </c>
      <c r="T94" s="384">
        <f t="shared" si="27"/>
        <v>1746.5274910443</v>
      </c>
      <c r="U94" s="722">
        <f t="shared" si="27"/>
        <v>20563.9527171345</v>
      </c>
      <c r="W94" s="720"/>
    </row>
    <row r="95" ht="15" spans="3:21">
      <c r="C95" s="792" t="s">
        <v>396</v>
      </c>
      <c r="D95" s="793"/>
      <c r="E95" s="296"/>
      <c r="F95" s="296"/>
      <c r="G95" s="296"/>
      <c r="H95" s="384"/>
      <c r="I95" s="384"/>
      <c r="J95" s="384"/>
      <c r="K95" s="384"/>
      <c r="L95" s="384"/>
      <c r="M95" s="384"/>
      <c r="N95" s="384"/>
      <c r="O95" s="384"/>
      <c r="P95" s="384"/>
      <c r="Q95" s="384"/>
      <c r="R95" s="384"/>
      <c r="S95" s="384"/>
      <c r="T95" s="384"/>
      <c r="U95" s="384"/>
    </row>
    <row r="96" spans="3:21">
      <c r="C96" s="296" t="s">
        <v>397</v>
      </c>
      <c r="D96" s="288" t="s">
        <v>397</v>
      </c>
      <c r="E96" s="787">
        <v>500</v>
      </c>
      <c r="F96" s="296"/>
      <c r="G96" s="384">
        <f>E96*0.5389</f>
        <v>269.45</v>
      </c>
      <c r="H96" s="384">
        <f>G96*0.7055</f>
        <v>190.096975</v>
      </c>
      <c r="I96" s="384">
        <f>H96*0.85*30*24/1000</f>
        <v>116.3393487</v>
      </c>
      <c r="J96" s="384">
        <f>H96*0.85*31*24/1000</f>
        <v>120.21732699</v>
      </c>
      <c r="K96" s="384">
        <f>H96*0.85*30*24/1000</f>
        <v>116.3393487</v>
      </c>
      <c r="L96" s="384">
        <f>H96*0.85*31*24/1000</f>
        <v>120.21732699</v>
      </c>
      <c r="M96" s="384">
        <f>H96*0.85*31*24/1000</f>
        <v>120.21732699</v>
      </c>
      <c r="N96" s="384">
        <f>H96*0.85*30*24/1000</f>
        <v>116.3393487</v>
      </c>
      <c r="O96" s="384">
        <f>H96*0.85*31*24/1000</f>
        <v>120.21732699</v>
      </c>
      <c r="P96" s="384">
        <f>H96*0.85*30*24/1000</f>
        <v>116.3393487</v>
      </c>
      <c r="Q96" s="384">
        <f>H96*0.85*31*24/1000</f>
        <v>120.21732699</v>
      </c>
      <c r="R96" s="384">
        <f>H96*0.85*31*24/1000</f>
        <v>120.21732699</v>
      </c>
      <c r="S96" s="384">
        <f>H96*0.85*28*24/1000</f>
        <v>108.58339212</v>
      </c>
      <c r="T96" s="384">
        <f>H96*0.85*31*24/1000</f>
        <v>120.21732699</v>
      </c>
      <c r="U96" s="384">
        <f t="shared" ref="U96:U102" si="28">+SUM(I96:T96)</f>
        <v>1415.46207585</v>
      </c>
    </row>
    <row r="97" spans="3:21">
      <c r="C97" s="296" t="s">
        <v>398</v>
      </c>
      <c r="D97" s="288" t="s">
        <v>398</v>
      </c>
      <c r="E97" s="787">
        <v>0</v>
      </c>
      <c r="F97" s="296"/>
      <c r="G97" s="787">
        <f>E97</f>
        <v>0</v>
      </c>
      <c r="H97" s="384">
        <v>0</v>
      </c>
      <c r="I97" s="384">
        <v>0</v>
      </c>
      <c r="J97" s="384">
        <v>0</v>
      </c>
      <c r="K97" s="384">
        <v>0</v>
      </c>
      <c r="L97" s="384">
        <v>0</v>
      </c>
      <c r="M97" s="384">
        <v>0</v>
      </c>
      <c r="N97" s="384">
        <v>0</v>
      </c>
      <c r="O97" s="384">
        <v>0</v>
      </c>
      <c r="P97" s="384">
        <v>0</v>
      </c>
      <c r="Q97" s="384">
        <v>0</v>
      </c>
      <c r="R97" s="384">
        <v>0</v>
      </c>
      <c r="S97" s="384">
        <v>0</v>
      </c>
      <c r="T97" s="384">
        <v>0</v>
      </c>
      <c r="U97" s="384">
        <f t="shared" si="28"/>
        <v>0</v>
      </c>
    </row>
    <row r="98" spans="3:21">
      <c r="C98" s="296"/>
      <c r="D98" s="288"/>
      <c r="E98" s="296"/>
      <c r="F98" s="296"/>
      <c r="G98" s="296"/>
      <c r="H98" s="384"/>
      <c r="I98" s="384"/>
      <c r="J98" s="384"/>
      <c r="K98" s="384"/>
      <c r="L98" s="384"/>
      <c r="M98" s="384"/>
      <c r="N98" s="384"/>
      <c r="O98" s="384"/>
      <c r="P98" s="384"/>
      <c r="Q98" s="384"/>
      <c r="R98" s="384"/>
      <c r="S98" s="384"/>
      <c r="T98" s="384"/>
      <c r="U98" s="384">
        <f t="shared" si="28"/>
        <v>0</v>
      </c>
    </row>
    <row r="99" spans="3:21">
      <c r="C99" s="296"/>
      <c r="D99" s="288"/>
      <c r="E99" s="296"/>
      <c r="F99" s="296"/>
      <c r="G99" s="296"/>
      <c r="H99" s="384"/>
      <c r="I99" s="384"/>
      <c r="J99" s="384"/>
      <c r="K99" s="384"/>
      <c r="L99" s="384"/>
      <c r="M99" s="384"/>
      <c r="N99" s="384"/>
      <c r="O99" s="384"/>
      <c r="P99" s="384"/>
      <c r="Q99" s="384"/>
      <c r="R99" s="384"/>
      <c r="S99" s="384"/>
      <c r="T99" s="384"/>
      <c r="U99" s="384">
        <f t="shared" si="28"/>
        <v>0</v>
      </c>
    </row>
    <row r="100" spans="3:21">
      <c r="C100" s="296"/>
      <c r="D100" s="288"/>
      <c r="E100" s="296"/>
      <c r="F100" s="296"/>
      <c r="G100" s="296"/>
      <c r="H100" s="384"/>
      <c r="I100" s="384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384"/>
      <c r="U100" s="384">
        <f t="shared" si="28"/>
        <v>0</v>
      </c>
    </row>
    <row r="101" spans="3:21">
      <c r="C101" s="296"/>
      <c r="D101" s="288"/>
      <c r="E101" s="296"/>
      <c r="F101" s="296"/>
      <c r="G101" s="296"/>
      <c r="H101" s="384"/>
      <c r="I101" s="384"/>
      <c r="J101" s="384"/>
      <c r="K101" s="384"/>
      <c r="L101" s="384"/>
      <c r="M101" s="384"/>
      <c r="N101" s="384"/>
      <c r="O101" s="384"/>
      <c r="P101" s="384"/>
      <c r="Q101" s="384"/>
      <c r="R101" s="384"/>
      <c r="S101" s="384"/>
      <c r="T101" s="384"/>
      <c r="U101" s="384">
        <f t="shared" si="28"/>
        <v>0</v>
      </c>
    </row>
    <row r="102" spans="3:21">
      <c r="C102" s="296"/>
      <c r="D102" s="288"/>
      <c r="E102" s="296"/>
      <c r="F102" s="296"/>
      <c r="G102" s="296"/>
      <c r="H102" s="384"/>
      <c r="I102" s="384"/>
      <c r="J102" s="384"/>
      <c r="K102" s="384"/>
      <c r="L102" s="384"/>
      <c r="M102" s="384"/>
      <c r="N102" s="384"/>
      <c r="O102" s="384"/>
      <c r="P102" s="384"/>
      <c r="Q102" s="384"/>
      <c r="R102" s="384"/>
      <c r="S102" s="384"/>
      <c r="T102" s="384"/>
      <c r="U102" s="384">
        <f t="shared" si="28"/>
        <v>0</v>
      </c>
    </row>
    <row r="103" ht="15" spans="3:21">
      <c r="C103" s="285" t="s">
        <v>399</v>
      </c>
      <c r="D103" s="286"/>
      <c r="E103" s="296">
        <f t="shared" ref="E103:T103" si="29">SUM(E96:E102)</f>
        <v>500</v>
      </c>
      <c r="F103" s="296">
        <f t="shared" si="29"/>
        <v>0</v>
      </c>
      <c r="G103" s="296">
        <f t="shared" si="29"/>
        <v>269.45</v>
      </c>
      <c r="H103" s="384">
        <f t="shared" si="29"/>
        <v>190.096975</v>
      </c>
      <c r="I103" s="384">
        <f t="shared" si="29"/>
        <v>116.3393487</v>
      </c>
      <c r="J103" s="384">
        <f t="shared" si="29"/>
        <v>120.21732699</v>
      </c>
      <c r="K103" s="384">
        <f t="shared" si="29"/>
        <v>116.3393487</v>
      </c>
      <c r="L103" s="384">
        <f t="shared" si="29"/>
        <v>120.21732699</v>
      </c>
      <c r="M103" s="384">
        <f t="shared" si="29"/>
        <v>120.21732699</v>
      </c>
      <c r="N103" s="384">
        <f t="shared" si="29"/>
        <v>116.3393487</v>
      </c>
      <c r="O103" s="384">
        <f t="shared" si="29"/>
        <v>120.21732699</v>
      </c>
      <c r="P103" s="384">
        <f t="shared" si="29"/>
        <v>116.3393487</v>
      </c>
      <c r="Q103" s="384">
        <f t="shared" si="29"/>
        <v>120.21732699</v>
      </c>
      <c r="R103" s="384">
        <f t="shared" si="29"/>
        <v>120.21732699</v>
      </c>
      <c r="S103" s="384">
        <f t="shared" si="29"/>
        <v>108.58339212</v>
      </c>
      <c r="T103" s="384">
        <f t="shared" si="29"/>
        <v>120.21732699</v>
      </c>
      <c r="U103" s="722">
        <f>SUM(I103:T103)</f>
        <v>1415.46207585</v>
      </c>
    </row>
    <row r="104" ht="15" spans="3:21">
      <c r="C104" s="708" t="s">
        <v>400</v>
      </c>
      <c r="D104" s="709"/>
      <c r="E104" s="296"/>
      <c r="F104" s="296"/>
      <c r="G104" s="296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384"/>
      <c r="S104" s="384"/>
      <c r="T104" s="384"/>
      <c r="U104" s="384"/>
    </row>
    <row r="105" spans="3:21">
      <c r="C105" s="296" t="s">
        <v>401</v>
      </c>
      <c r="D105" s="288" t="s">
        <v>401</v>
      </c>
      <c r="E105" s="787">
        <v>1200</v>
      </c>
      <c r="F105" s="296"/>
      <c r="G105" s="787">
        <f>E105</f>
        <v>1200</v>
      </c>
      <c r="H105" s="384">
        <f>G105*0.7055</f>
        <v>846.6</v>
      </c>
      <c r="I105" s="384">
        <f>H105*0.85*30*24/1000</f>
        <v>518.1192</v>
      </c>
      <c r="J105" s="384">
        <f>H105*0.85*31*24/1000</f>
        <v>535.38984</v>
      </c>
      <c r="K105" s="384">
        <f>H105*0.85*30*24/1000</f>
        <v>518.1192</v>
      </c>
      <c r="L105" s="384">
        <f>H105*0.85*31*24/1000</f>
        <v>535.38984</v>
      </c>
      <c r="M105" s="384">
        <f>H105*0.85*31*24/1000</f>
        <v>535.38984</v>
      </c>
      <c r="N105" s="384">
        <f>H105*0.85*30*24/1000</f>
        <v>518.1192</v>
      </c>
      <c r="O105" s="384">
        <f>H105*0.85*31*24/1000</f>
        <v>535.38984</v>
      </c>
      <c r="P105" s="384">
        <f>H105*0.85*30*24/1000</f>
        <v>518.1192</v>
      </c>
      <c r="Q105" s="384">
        <f>H105*0.85*31*24/1000</f>
        <v>535.38984</v>
      </c>
      <c r="R105" s="384">
        <f>H105*0.85*31*24/1000</f>
        <v>535.38984</v>
      </c>
      <c r="S105" s="384">
        <f>H105*0.85*28*24/1000</f>
        <v>483.57792</v>
      </c>
      <c r="T105" s="384">
        <f>H105*0.85*31*24/1000</f>
        <v>535.38984</v>
      </c>
      <c r="U105" s="384">
        <f t="shared" ref="U105:U112" si="30">+SUM(I105:T105)</f>
        <v>6303.7836</v>
      </c>
    </row>
    <row r="106" spans="3:21">
      <c r="C106" s="296" t="s">
        <v>402</v>
      </c>
      <c r="D106" s="288" t="s">
        <v>402</v>
      </c>
      <c r="E106" s="787">
        <v>0</v>
      </c>
      <c r="F106" s="296"/>
      <c r="G106" s="787">
        <v>0</v>
      </c>
      <c r="H106" s="384">
        <v>0</v>
      </c>
      <c r="I106" s="384">
        <v>0</v>
      </c>
      <c r="J106" s="384">
        <v>0</v>
      </c>
      <c r="K106" s="384">
        <v>0</v>
      </c>
      <c r="L106" s="384">
        <v>0</v>
      </c>
      <c r="M106" s="384">
        <v>0</v>
      </c>
      <c r="N106" s="384">
        <v>0</v>
      </c>
      <c r="O106" s="384">
        <v>0</v>
      </c>
      <c r="P106" s="384">
        <v>0</v>
      </c>
      <c r="Q106" s="384">
        <v>0</v>
      </c>
      <c r="R106" s="384">
        <v>0</v>
      </c>
      <c r="S106" s="384">
        <v>0</v>
      </c>
      <c r="T106" s="384">
        <v>0</v>
      </c>
      <c r="U106" s="384">
        <f t="shared" si="30"/>
        <v>0</v>
      </c>
    </row>
    <row r="107" spans="3:21">
      <c r="C107" s="296" t="s">
        <v>403</v>
      </c>
      <c r="D107" s="288" t="s">
        <v>403</v>
      </c>
      <c r="E107" s="296"/>
      <c r="F107" s="296"/>
      <c r="G107" s="296"/>
      <c r="H107" s="384"/>
      <c r="I107" s="384"/>
      <c r="J107" s="384"/>
      <c r="K107" s="384"/>
      <c r="L107" s="384"/>
      <c r="M107" s="384"/>
      <c r="N107" s="384"/>
      <c r="O107" s="384"/>
      <c r="P107" s="384"/>
      <c r="Q107" s="384"/>
      <c r="R107" s="384"/>
      <c r="S107" s="384"/>
      <c r="T107" s="384"/>
      <c r="U107" s="384">
        <f t="shared" si="30"/>
        <v>0</v>
      </c>
    </row>
    <row r="108" spans="3:21">
      <c r="C108" s="296"/>
      <c r="D108" s="288"/>
      <c r="E108" s="296"/>
      <c r="F108" s="296"/>
      <c r="G108" s="296"/>
      <c r="H108" s="384"/>
      <c r="I108" s="384"/>
      <c r="J108" s="384"/>
      <c r="K108" s="384"/>
      <c r="L108" s="384"/>
      <c r="M108" s="384"/>
      <c r="N108" s="384"/>
      <c r="O108" s="384"/>
      <c r="P108" s="384"/>
      <c r="Q108" s="384"/>
      <c r="R108" s="384"/>
      <c r="S108" s="384"/>
      <c r="T108" s="384"/>
      <c r="U108" s="384">
        <f t="shared" si="30"/>
        <v>0</v>
      </c>
    </row>
    <row r="109" spans="3:21">
      <c r="C109" s="296"/>
      <c r="D109" s="288"/>
      <c r="E109" s="296"/>
      <c r="F109" s="296"/>
      <c r="G109" s="296"/>
      <c r="H109" s="384"/>
      <c r="I109" s="384"/>
      <c r="J109" s="384"/>
      <c r="K109" s="384"/>
      <c r="L109" s="384"/>
      <c r="M109" s="384"/>
      <c r="N109" s="384"/>
      <c r="O109" s="384"/>
      <c r="P109" s="384"/>
      <c r="Q109" s="384"/>
      <c r="R109" s="384"/>
      <c r="S109" s="384"/>
      <c r="T109" s="384"/>
      <c r="U109" s="384">
        <f t="shared" si="30"/>
        <v>0</v>
      </c>
    </row>
    <row r="110" spans="3:21">
      <c r="C110" s="296"/>
      <c r="D110" s="288"/>
      <c r="E110" s="296"/>
      <c r="F110" s="296"/>
      <c r="G110" s="296"/>
      <c r="H110" s="384"/>
      <c r="I110" s="384"/>
      <c r="J110" s="384"/>
      <c r="K110" s="384"/>
      <c r="L110" s="384"/>
      <c r="M110" s="384"/>
      <c r="N110" s="384"/>
      <c r="O110" s="384"/>
      <c r="P110" s="384"/>
      <c r="Q110" s="384"/>
      <c r="R110" s="384"/>
      <c r="S110" s="384"/>
      <c r="T110" s="384"/>
      <c r="U110" s="384">
        <f t="shared" si="30"/>
        <v>0</v>
      </c>
    </row>
    <row r="111" spans="3:21">
      <c r="C111" s="296"/>
      <c r="D111" s="288"/>
      <c r="E111" s="296"/>
      <c r="F111" s="296"/>
      <c r="G111" s="296"/>
      <c r="H111" s="384"/>
      <c r="I111" s="384"/>
      <c r="J111" s="384"/>
      <c r="K111" s="384"/>
      <c r="L111" s="384"/>
      <c r="M111" s="384"/>
      <c r="N111" s="384"/>
      <c r="O111" s="384"/>
      <c r="P111" s="384"/>
      <c r="Q111" s="384"/>
      <c r="R111" s="384"/>
      <c r="S111" s="384"/>
      <c r="T111" s="384"/>
      <c r="U111" s="384">
        <f t="shared" si="30"/>
        <v>0</v>
      </c>
    </row>
    <row r="112" spans="3:21">
      <c r="C112" s="296"/>
      <c r="D112" s="288"/>
      <c r="E112" s="296"/>
      <c r="F112" s="296"/>
      <c r="G112" s="296"/>
      <c r="H112" s="384"/>
      <c r="I112" s="384"/>
      <c r="J112" s="384"/>
      <c r="K112" s="384"/>
      <c r="L112" s="384"/>
      <c r="M112" s="384"/>
      <c r="N112" s="384"/>
      <c r="O112" s="384"/>
      <c r="P112" s="384"/>
      <c r="Q112" s="384"/>
      <c r="R112" s="384"/>
      <c r="S112" s="384"/>
      <c r="T112" s="384"/>
      <c r="U112" s="384">
        <f t="shared" si="30"/>
        <v>0</v>
      </c>
    </row>
    <row r="113" ht="15" spans="3:21">
      <c r="C113" s="285" t="s">
        <v>404</v>
      </c>
      <c r="D113" s="286"/>
      <c r="E113" s="296">
        <f t="shared" ref="E113:T113" si="31">SUM(E105:E112)</f>
        <v>1200</v>
      </c>
      <c r="F113" s="296">
        <f t="shared" si="31"/>
        <v>0</v>
      </c>
      <c r="G113" s="296">
        <f t="shared" si="31"/>
        <v>1200</v>
      </c>
      <c r="H113" s="384">
        <f t="shared" si="31"/>
        <v>846.6</v>
      </c>
      <c r="I113" s="384">
        <f t="shared" si="31"/>
        <v>518.1192</v>
      </c>
      <c r="J113" s="384">
        <f t="shared" si="31"/>
        <v>535.38984</v>
      </c>
      <c r="K113" s="384">
        <f t="shared" si="31"/>
        <v>518.1192</v>
      </c>
      <c r="L113" s="384">
        <f t="shared" si="31"/>
        <v>535.38984</v>
      </c>
      <c r="M113" s="384">
        <f t="shared" si="31"/>
        <v>535.38984</v>
      </c>
      <c r="N113" s="384">
        <f t="shared" si="31"/>
        <v>518.1192</v>
      </c>
      <c r="O113" s="384">
        <f t="shared" si="31"/>
        <v>535.38984</v>
      </c>
      <c r="P113" s="384">
        <f t="shared" si="31"/>
        <v>518.1192</v>
      </c>
      <c r="Q113" s="384">
        <f t="shared" si="31"/>
        <v>535.38984</v>
      </c>
      <c r="R113" s="384">
        <f t="shared" si="31"/>
        <v>535.38984</v>
      </c>
      <c r="S113" s="384">
        <f t="shared" si="31"/>
        <v>483.57792</v>
      </c>
      <c r="T113" s="384">
        <f t="shared" si="31"/>
        <v>535.38984</v>
      </c>
      <c r="U113" s="722">
        <f>SUM(I113:T113)</f>
        <v>6303.7836</v>
      </c>
    </row>
    <row r="114" ht="15" spans="3:21">
      <c r="C114" s="708" t="s">
        <v>405</v>
      </c>
      <c r="D114" s="709"/>
      <c r="E114" s="296"/>
      <c r="F114" s="296"/>
      <c r="G114" s="296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84"/>
      <c r="U114" s="384"/>
    </row>
    <row r="115" spans="3:21">
      <c r="C115" s="296"/>
      <c r="D115" s="288" t="s">
        <v>406</v>
      </c>
      <c r="E115" s="787">
        <v>18</v>
      </c>
      <c r="F115" s="794"/>
      <c r="G115" s="787">
        <f>E115</f>
        <v>18</v>
      </c>
      <c r="H115" s="384">
        <v>6</v>
      </c>
      <c r="I115" s="384">
        <f>'F11-Year(n+1)'!E115</f>
        <v>0.0168818676386761</v>
      </c>
      <c r="J115" s="384">
        <f>'F11-Year(n+1)'!F115</f>
        <v>0.0144768107429294</v>
      </c>
      <c r="K115" s="384">
        <f>'F11-Year(n+1)'!G115</f>
        <v>0.0344354526346797</v>
      </c>
      <c r="L115" s="384">
        <f>'F11-Year(n+1)'!H115</f>
        <v>0.0500884954815853</v>
      </c>
      <c r="M115" s="384">
        <f>'F11-Year(n+1)'!I115</f>
        <v>0.0273322806907156</v>
      </c>
      <c r="N115" s="384">
        <f>'F11-Year(n+1)'!J115</f>
        <v>0.0200993590256807</v>
      </c>
      <c r="O115" s="384">
        <f>'F11-Year(n+1)'!K115</f>
        <v>0.0121888396910305</v>
      </c>
      <c r="P115" s="384">
        <f>'F11-Year(n+1)'!L115</f>
        <v>0.0169251687452999</v>
      </c>
      <c r="Q115" s="384">
        <f>'F11-Year(n+1)'!M115</f>
        <v>0.0193534167674023</v>
      </c>
      <c r="R115" s="384">
        <f>'F11-Year(n+1)'!N115</f>
        <v>0.0187174053998919</v>
      </c>
      <c r="S115" s="384">
        <f>'F11-Year(n+1)'!O115</f>
        <v>0.0128335030267957</v>
      </c>
      <c r="T115" s="384">
        <f>'F11-Year(n+1)'!P115</f>
        <v>0.0166674001553129</v>
      </c>
      <c r="U115" s="384">
        <f t="shared" ref="U115:U138" si="32">+SUM(I115:T115)</f>
        <v>0.26</v>
      </c>
    </row>
    <row r="116" spans="3:21">
      <c r="C116" s="296"/>
      <c r="D116" s="288" t="s">
        <v>407</v>
      </c>
      <c r="E116" s="787">
        <v>37.1</v>
      </c>
      <c r="F116" s="794"/>
      <c r="G116" s="787">
        <f t="shared" ref="G116:G128" si="33">E116</f>
        <v>37.1</v>
      </c>
      <c r="H116" s="384">
        <v>15</v>
      </c>
      <c r="I116" s="384">
        <f>'F11-Year(n+1)'!E116</f>
        <v>0</v>
      </c>
      <c r="J116" s="384">
        <f>'F11-Year(n+1)'!F116</f>
        <v>0</v>
      </c>
      <c r="K116" s="384">
        <f>'F11-Year(n+1)'!G116</f>
        <v>0</v>
      </c>
      <c r="L116" s="384">
        <f>'F11-Year(n+1)'!H116</f>
        <v>0</v>
      </c>
      <c r="M116" s="384">
        <f>'F11-Year(n+1)'!I116</f>
        <v>0</v>
      </c>
      <c r="N116" s="384">
        <f>'F11-Year(n+1)'!J116</f>
        <v>0</v>
      </c>
      <c r="O116" s="384">
        <f>'F11-Year(n+1)'!K116</f>
        <v>0</v>
      </c>
      <c r="P116" s="384">
        <f>'F11-Year(n+1)'!L116</f>
        <v>0</v>
      </c>
      <c r="Q116" s="384">
        <f>'F11-Year(n+1)'!M116</f>
        <v>0</v>
      </c>
      <c r="R116" s="384">
        <f>'F11-Year(n+1)'!N116</f>
        <v>0</v>
      </c>
      <c r="S116" s="384">
        <f>'F11-Year(n+1)'!O116</f>
        <v>0</v>
      </c>
      <c r="T116" s="384">
        <f>'F11-Year(n+1)'!P116</f>
        <v>0</v>
      </c>
      <c r="U116" s="384">
        <f t="shared" si="32"/>
        <v>0</v>
      </c>
    </row>
    <row r="117" spans="3:21">
      <c r="C117" s="296"/>
      <c r="D117" s="288" t="s">
        <v>408</v>
      </c>
      <c r="E117" s="787">
        <v>19.8</v>
      </c>
      <c r="F117" s="794"/>
      <c r="G117" s="787">
        <f t="shared" si="33"/>
        <v>19.8</v>
      </c>
      <c r="H117" s="384">
        <v>20</v>
      </c>
      <c r="I117" s="384">
        <f>'F11-Year(n+1)'!E117</f>
        <v>8.53708198811225</v>
      </c>
      <c r="J117" s="384">
        <f>'F11-Year(n+1)'!F117</f>
        <v>6.00277915708847</v>
      </c>
      <c r="K117" s="384">
        <f>'F11-Year(n+1)'!G117</f>
        <v>4.99098365680568</v>
      </c>
      <c r="L117" s="384">
        <f>'F11-Year(n+1)'!H117</f>
        <v>7.04736201175663</v>
      </c>
      <c r="M117" s="384">
        <f>'F11-Year(n+1)'!I117</f>
        <v>7.04736201175663</v>
      </c>
      <c r="N117" s="384">
        <f>'F11-Year(n+1)'!J117</f>
        <v>5.02375488361879</v>
      </c>
      <c r="O117" s="384">
        <f>'F11-Year(n+1)'!K117</f>
        <v>7.04736201175663</v>
      </c>
      <c r="P117" s="384">
        <f>'F11-Year(n+1)'!L117</f>
        <v>6.62181720242491</v>
      </c>
      <c r="Q117" s="384">
        <f>'F11-Year(n+1)'!M117</f>
        <v>10.8069678962308</v>
      </c>
      <c r="R117" s="384">
        <f>'F11-Year(n+1)'!N117</f>
        <v>10.9875483227203</v>
      </c>
      <c r="S117" s="384">
        <f>'F11-Year(n+1)'!O117</f>
        <v>11.5892411641012</v>
      </c>
      <c r="T117" s="384">
        <f>'F11-Year(n+1)'!P117</f>
        <v>11.6382582320281</v>
      </c>
      <c r="U117" s="384">
        <f t="shared" si="32"/>
        <v>97.3405185384004</v>
      </c>
    </row>
    <row r="118" spans="3:21">
      <c r="C118" s="296"/>
      <c r="D118" s="288" t="s">
        <v>409</v>
      </c>
      <c r="E118" s="787">
        <v>15</v>
      </c>
      <c r="F118" s="794"/>
      <c r="G118" s="787">
        <f t="shared" si="33"/>
        <v>15</v>
      </c>
      <c r="H118" s="384">
        <v>8</v>
      </c>
      <c r="I118" s="384">
        <f>'F11-Year(n+1)'!E118</f>
        <v>3.63383172025209</v>
      </c>
      <c r="J118" s="384">
        <f>'F11-Year(n+1)'!F118</f>
        <v>2.55509896016819</v>
      </c>
      <c r="K118" s="384">
        <f>'F11-Year(n+1)'!G118</f>
        <v>2.12442550658584</v>
      </c>
      <c r="L118" s="384">
        <f>'F11-Year(n+1)'!H118</f>
        <v>2.99972843860243</v>
      </c>
      <c r="M118" s="384">
        <f>'F11-Year(n+1)'!I118</f>
        <v>2.99972843860243</v>
      </c>
      <c r="N118" s="384">
        <f>'F11-Year(n+1)'!J118</f>
        <v>2.13837466669358</v>
      </c>
      <c r="O118" s="384">
        <f>'F11-Year(n+1)'!K118</f>
        <v>2.99972843860243</v>
      </c>
      <c r="P118" s="384">
        <f>'F11-Year(n+1)'!L118</f>
        <v>2.8185941554022</v>
      </c>
      <c r="Q118" s="384">
        <f>'F11-Year(n+1)'!M118</f>
        <v>4.60001471178952</v>
      </c>
      <c r="R118" s="384">
        <f>'F11-Year(n+1)'!N118</f>
        <v>4.67687925200919</v>
      </c>
      <c r="S118" s="384">
        <f>'F11-Year(n+1)'!O118</f>
        <v>4.93299141491255</v>
      </c>
      <c r="T118" s="384">
        <f>'F11-Year(n+1)'!P118</f>
        <v>4.95385566062488</v>
      </c>
      <c r="U118" s="384">
        <f t="shared" si="32"/>
        <v>41.4332513642453</v>
      </c>
    </row>
    <row r="119" spans="3:21">
      <c r="C119" s="296"/>
      <c r="D119" s="288" t="s">
        <v>410</v>
      </c>
      <c r="E119" s="787">
        <v>128.1</v>
      </c>
      <c r="F119" s="794"/>
      <c r="G119" s="787">
        <f t="shared" si="33"/>
        <v>128.1</v>
      </c>
      <c r="H119" s="384">
        <v>128</v>
      </c>
      <c r="I119" s="384">
        <f>'F11-Year(n+1)'!E119</f>
        <v>18.322016596009</v>
      </c>
      <c r="J119" s="384">
        <f>'F11-Year(n+1)'!F119</f>
        <v>15.7117904467846</v>
      </c>
      <c r="K119" s="384">
        <f>'F11-Year(n+1)'!G119</f>
        <v>37.3730530393592</v>
      </c>
      <c r="L119" s="384">
        <f>'F11-Year(n+1)'!H119</f>
        <v>54.361416943007</v>
      </c>
      <c r="M119" s="384">
        <f>'F11-Year(n+1)'!I119</f>
        <v>29.6639276613438</v>
      </c>
      <c r="N119" s="384">
        <f>'F11-Year(n+1)'!J119</f>
        <v>21.8139839453536</v>
      </c>
      <c r="O119" s="384">
        <f>'F11-Year(n+1)'!K119</f>
        <v>13.2286384353305</v>
      </c>
      <c r="P119" s="384">
        <f>'F11-Year(n+1)'!L119</f>
        <v>18.3690116093077</v>
      </c>
      <c r="Q119" s="384">
        <f>'F11-Year(n+1)'!M119</f>
        <v>21.004407260572</v>
      </c>
      <c r="R119" s="384">
        <f>'F11-Year(n+1)'!N119</f>
        <v>20.3141393897306</v>
      </c>
      <c r="S119" s="384">
        <f>'F11-Year(n+1)'!O119</f>
        <v>13.9282963517135</v>
      </c>
      <c r="T119" s="384">
        <f>'F11-Year(n+1)'!P119</f>
        <v>18.0892534400841</v>
      </c>
      <c r="U119" s="384">
        <f t="shared" si="32"/>
        <v>282.179935118596</v>
      </c>
    </row>
    <row r="120" spans="3:21">
      <c r="C120" s="296"/>
      <c r="D120" s="288" t="s">
        <v>368</v>
      </c>
      <c r="E120" s="787">
        <v>3.55</v>
      </c>
      <c r="F120" s="794"/>
      <c r="G120" s="787">
        <f t="shared" si="33"/>
        <v>3.55</v>
      </c>
      <c r="H120" s="384">
        <v>2</v>
      </c>
      <c r="I120" s="384">
        <f>'F11-Year(n+1)'!E120</f>
        <v>0.00789796943054661</v>
      </c>
      <c r="J120" s="384">
        <f>'F11-Year(n+1)'!F120</f>
        <v>0.00846321433797809</v>
      </c>
      <c r="K120" s="384">
        <f>'F11-Year(n+1)'!G120</f>
        <v>0.00876829987912529</v>
      </c>
      <c r="L120" s="384">
        <f>'F11-Year(n+1)'!H120</f>
        <v>0.0191694844816327</v>
      </c>
      <c r="M120" s="384">
        <f>'F11-Year(n+1)'!I120</f>
        <v>0.0450064501529255</v>
      </c>
      <c r="N120" s="384">
        <f>'F11-Year(n+1)'!J120</f>
        <v>0.0227312443118155</v>
      </c>
      <c r="O120" s="384">
        <f>'F11-Year(n+1)'!K120</f>
        <v>0.0250555811848723</v>
      </c>
      <c r="P120" s="384">
        <f>'F11-Year(n+1)'!L120</f>
        <v>0.00859354645540347</v>
      </c>
      <c r="Q120" s="384">
        <f>'F11-Year(n+1)'!M120</f>
        <v>0.0147422718271867</v>
      </c>
      <c r="R120" s="384">
        <f>'F11-Year(n+1)'!N120</f>
        <v>0.0281302826276727</v>
      </c>
      <c r="S120" s="384">
        <f>'F11-Year(n+1)'!O120</f>
        <v>0.0252641386279307</v>
      </c>
      <c r="T120" s="384">
        <f>'F11-Year(n+1)'!P120</f>
        <v>0.0117352631617837</v>
      </c>
      <c r="U120" s="384">
        <f t="shared" si="32"/>
        <v>0.225557746478873</v>
      </c>
    </row>
    <row r="121" spans="3:21">
      <c r="C121" s="296"/>
      <c r="D121" s="288" t="s">
        <v>411</v>
      </c>
      <c r="E121" s="787">
        <v>2833.74</v>
      </c>
      <c r="F121" s="794"/>
      <c r="G121" s="787">
        <f t="shared" si="33"/>
        <v>2833.74</v>
      </c>
      <c r="H121" s="384">
        <v>1952</v>
      </c>
      <c r="I121" s="384">
        <f>'F11-Year(n+1)'!E121</f>
        <v>411.878827976558</v>
      </c>
      <c r="J121" s="384">
        <f>'F11-Year(n+1)'!F121</f>
        <v>424.712701746823</v>
      </c>
      <c r="K121" s="384">
        <f>'F11-Year(n+1)'!G121</f>
        <v>397.637581420242</v>
      </c>
      <c r="L121" s="384">
        <f>'F11-Year(n+1)'!H121</f>
        <v>311.43507602306</v>
      </c>
      <c r="M121" s="384">
        <f>'F11-Year(n+1)'!I121</f>
        <v>383.043182939551</v>
      </c>
      <c r="N121" s="384">
        <f>'F11-Year(n+1)'!J121</f>
        <v>337.6402172917</v>
      </c>
      <c r="O121" s="384">
        <f>'F11-Year(n+1)'!K121</f>
        <v>413.939189723503</v>
      </c>
      <c r="P121" s="384">
        <f>'F11-Year(n+1)'!L121</f>
        <v>319.176641435345</v>
      </c>
      <c r="Q121" s="384">
        <f>'F11-Year(n+1)'!M121</f>
        <v>349.887899694085</v>
      </c>
      <c r="R121" s="384">
        <f>'F11-Year(n+1)'!N121</f>
        <v>373.031749678127</v>
      </c>
      <c r="S121" s="384">
        <f>'F11-Year(n+1)'!O121</f>
        <v>382.893229033489</v>
      </c>
      <c r="T121" s="384">
        <f>'F11-Year(n+1)'!P121</f>
        <v>410.569253033363</v>
      </c>
      <c r="U121" s="384">
        <f t="shared" si="32"/>
        <v>4515.84554999585</v>
      </c>
    </row>
    <row r="122" spans="3:21">
      <c r="C122" s="296"/>
      <c r="D122" s="288" t="s">
        <v>412</v>
      </c>
      <c r="E122" s="787">
        <v>56</v>
      </c>
      <c r="F122" s="794"/>
      <c r="G122" s="787">
        <f t="shared" si="33"/>
        <v>56</v>
      </c>
      <c r="H122" s="384">
        <f t="shared" ref="H122:H125" si="34">G122*0.7055</f>
        <v>39.508</v>
      </c>
      <c r="I122" s="384">
        <f>'F11-Year(n+1)'!E122</f>
        <v>6.82054152715133</v>
      </c>
      <c r="J122" s="384">
        <f>'F11-Year(n+1)'!F122</f>
        <v>7.03306512161318</v>
      </c>
      <c r="K122" s="384">
        <f>'F11-Year(n+1)'!G122</f>
        <v>6.58471242660509</v>
      </c>
      <c r="L122" s="384">
        <f>'F11-Year(n+1)'!H122</f>
        <v>5.15723490683456</v>
      </c>
      <c r="M122" s="384">
        <f>'F11-Year(n+1)'!I122</f>
        <v>6.34303527755044</v>
      </c>
      <c r="N122" s="384">
        <f>'F11-Year(n+1)'!J122</f>
        <v>5.59118111165819</v>
      </c>
      <c r="O122" s="384">
        <f>'F11-Year(n+1)'!K122</f>
        <v>6.8546602579563</v>
      </c>
      <c r="P122" s="384">
        <f>'F11-Year(n+1)'!L122</f>
        <v>5.28543199974912</v>
      </c>
      <c r="Q122" s="384">
        <f>'F11-Year(n+1)'!M122</f>
        <v>5.79399762166724</v>
      </c>
      <c r="R122" s="384">
        <f>'F11-Year(n+1)'!N122</f>
        <v>6.17725012019893</v>
      </c>
      <c r="S122" s="384">
        <f>'F11-Year(n+1)'!O122</f>
        <v>6.34055210343711</v>
      </c>
      <c r="T122" s="384">
        <f>'F11-Year(n+1)'!P122</f>
        <v>6.79885551253666</v>
      </c>
      <c r="U122" s="384">
        <f t="shared" si="32"/>
        <v>74.7805179869581</v>
      </c>
    </row>
    <row r="123" spans="3:21">
      <c r="C123" s="296"/>
      <c r="D123" s="288" t="s">
        <v>413</v>
      </c>
      <c r="E123" s="787">
        <v>400</v>
      </c>
      <c r="F123" s="794"/>
      <c r="G123" s="787">
        <f t="shared" si="33"/>
        <v>400</v>
      </c>
      <c r="H123" s="384">
        <f t="shared" si="34"/>
        <v>282.2</v>
      </c>
      <c r="I123" s="384">
        <f>'F11-Year(n+1)'!E123</f>
        <v>59.55311939858</v>
      </c>
      <c r="J123" s="384">
        <f>'F11-Year(n+1)'!F123</f>
        <v>61.4087554863626</v>
      </c>
      <c r="K123" s="384">
        <f>'F11-Year(n+1)'!G123</f>
        <v>57.4939927842808</v>
      </c>
      <c r="L123" s="384">
        <f>'F11-Year(n+1)'!H123</f>
        <v>45.0300646877696</v>
      </c>
      <c r="M123" s="384">
        <f>'F11-Year(n+1)'!I123</f>
        <v>55.3838043107901</v>
      </c>
      <c r="N123" s="384">
        <f>'F11-Year(n+1)'!J123</f>
        <v>48.8190380479561</v>
      </c>
      <c r="O123" s="384">
        <f>'F11-Year(n+1)'!K123</f>
        <v>59.8510249008437</v>
      </c>
      <c r="P123" s="384">
        <f>'F11-Year(n+1)'!L123</f>
        <v>46.1494093542451</v>
      </c>
      <c r="Q123" s="384">
        <f>'F11-Year(n+1)'!M123</f>
        <v>50.5899173525525</v>
      </c>
      <c r="R123" s="384">
        <f>'F11-Year(n+1)'!N123</f>
        <v>53.9362618787171</v>
      </c>
      <c r="S123" s="384">
        <f>'F11-Year(n+1)'!O123</f>
        <v>55.3621226358277</v>
      </c>
      <c r="T123" s="384">
        <f>'F11-Year(n+1)'!P123</f>
        <v>59.3637693576066</v>
      </c>
      <c r="U123" s="384">
        <f t="shared" si="32"/>
        <v>652.941280195532</v>
      </c>
    </row>
    <row r="124" spans="3:21">
      <c r="C124" s="296"/>
      <c r="D124" s="288" t="s">
        <v>414</v>
      </c>
      <c r="E124" s="787">
        <v>400</v>
      </c>
      <c r="F124" s="794"/>
      <c r="G124" s="787">
        <f t="shared" si="33"/>
        <v>400</v>
      </c>
      <c r="H124" s="384">
        <f t="shared" si="34"/>
        <v>282.2</v>
      </c>
      <c r="I124" s="384">
        <f>'F11-Year(n+1)'!E124</f>
        <v>59.55311939858</v>
      </c>
      <c r="J124" s="384">
        <f>'F11-Year(n+1)'!F124</f>
        <v>61.4087554863626</v>
      </c>
      <c r="K124" s="384">
        <f>'F11-Year(n+1)'!G124</f>
        <v>57.4939927842808</v>
      </c>
      <c r="L124" s="384">
        <f>'F11-Year(n+1)'!H124</f>
        <v>45.0300646877696</v>
      </c>
      <c r="M124" s="384">
        <f>'F11-Year(n+1)'!I124</f>
        <v>55.38380431079</v>
      </c>
      <c r="N124" s="384">
        <f>'F11-Year(n+1)'!J124</f>
        <v>48.8190380479561</v>
      </c>
      <c r="O124" s="384">
        <f>'F11-Year(n+1)'!K124</f>
        <v>59.8510249008437</v>
      </c>
      <c r="P124" s="384">
        <f>'F11-Year(n+1)'!L124</f>
        <v>46.1494093542451</v>
      </c>
      <c r="Q124" s="384">
        <f>'F11-Year(n+1)'!M124</f>
        <v>50.5899173525525</v>
      </c>
      <c r="R124" s="384">
        <f>'F11-Year(n+1)'!N124</f>
        <v>53.9362618787171</v>
      </c>
      <c r="S124" s="384">
        <f>'F11-Year(n+1)'!O124</f>
        <v>55.3621226358277</v>
      </c>
      <c r="T124" s="384">
        <f>'F11-Year(n+1)'!P124</f>
        <v>59.3637693576066</v>
      </c>
      <c r="U124" s="384">
        <f t="shared" si="32"/>
        <v>652.941280195532</v>
      </c>
    </row>
    <row r="125" ht="28.5" spans="3:21">
      <c r="C125" s="296"/>
      <c r="D125" s="288" t="s">
        <v>415</v>
      </c>
      <c r="E125" s="787">
        <v>1545</v>
      </c>
      <c r="F125" s="794"/>
      <c r="G125" s="787">
        <f t="shared" si="33"/>
        <v>1545</v>
      </c>
      <c r="H125" s="384">
        <f t="shared" si="34"/>
        <v>1089.9975</v>
      </c>
      <c r="I125" s="384">
        <f>'F11-Year(n+1)'!E125</f>
        <v>230.023923677015</v>
      </c>
      <c r="J125" s="384">
        <f>'F11-Year(n+1)'!F125</f>
        <v>237.191318066076</v>
      </c>
      <c r="K125" s="384">
        <f>'F11-Year(n+1)'!G125</f>
        <v>222.070547129285</v>
      </c>
      <c r="L125" s="384">
        <f>'F11-Year(n+1)'!H125</f>
        <v>173.92862485651</v>
      </c>
      <c r="M125" s="384">
        <f>'F11-Year(n+1)'!I125</f>
        <v>213.919944150427</v>
      </c>
      <c r="N125" s="384">
        <f>'F11-Year(n+1)'!J125</f>
        <v>188.56353446023</v>
      </c>
      <c r="O125" s="384">
        <f>'F11-Year(n+1)'!K125</f>
        <v>231.174583679509</v>
      </c>
      <c r="P125" s="384">
        <f>'F11-Year(n+1)'!L125</f>
        <v>178.252093630772</v>
      </c>
      <c r="Q125" s="384">
        <f>'F11-Year(n+1)'!M125</f>
        <v>195.403555774234</v>
      </c>
      <c r="R125" s="384">
        <f>'F11-Year(n+1)'!N125</f>
        <v>208.328811506545</v>
      </c>
      <c r="S125" s="384">
        <f>'F11-Year(n+1)'!O125</f>
        <v>213.836198680885</v>
      </c>
      <c r="T125" s="384">
        <f>'F11-Year(n+1)'!P125</f>
        <v>229.292559143755</v>
      </c>
      <c r="U125" s="384">
        <f t="shared" si="32"/>
        <v>2521.98569475524</v>
      </c>
    </row>
    <row r="126" spans="3:21">
      <c r="C126" s="296"/>
      <c r="D126" s="288" t="s">
        <v>416</v>
      </c>
      <c r="E126" s="787"/>
      <c r="F126" s="794"/>
      <c r="G126" s="787">
        <f t="shared" si="33"/>
        <v>0</v>
      </c>
      <c r="H126" s="384"/>
      <c r="I126" s="384">
        <f>'F11-Year(n+1)'!E126</f>
        <v>0</v>
      </c>
      <c r="J126" s="384">
        <f>'F11-Year(n+1)'!F126</f>
        <v>0</v>
      </c>
      <c r="K126" s="384">
        <f>'F11-Year(n+1)'!G126</f>
        <v>0</v>
      </c>
      <c r="L126" s="384">
        <f>'F11-Year(n+1)'!H126</f>
        <v>0</v>
      </c>
      <c r="M126" s="384">
        <f>'F11-Year(n+1)'!I126</f>
        <v>0</v>
      </c>
      <c r="N126" s="384">
        <f>'F11-Year(n+1)'!J126</f>
        <v>0</v>
      </c>
      <c r="O126" s="384">
        <f>'F11-Year(n+1)'!K126</f>
        <v>0</v>
      </c>
      <c r="P126" s="384">
        <f>'F11-Year(n+1)'!L126</f>
        <v>0</v>
      </c>
      <c r="Q126" s="384">
        <f>'F11-Year(n+1)'!M126</f>
        <v>0</v>
      </c>
      <c r="R126" s="384">
        <f>'F11-Year(n+1)'!N126</f>
        <v>0</v>
      </c>
      <c r="S126" s="384">
        <f>'F11-Year(n+1)'!O126</f>
        <v>0</v>
      </c>
      <c r="T126" s="384">
        <f>'F11-Year(n+1)'!P126</f>
        <v>0</v>
      </c>
      <c r="U126" s="384">
        <f t="shared" si="32"/>
        <v>0</v>
      </c>
    </row>
    <row r="127" ht="28.5" spans="3:21">
      <c r="C127" s="296"/>
      <c r="D127" s="288" t="s">
        <v>417</v>
      </c>
      <c r="E127" s="787">
        <v>1692</v>
      </c>
      <c r="F127" s="794"/>
      <c r="G127" s="787">
        <f t="shared" si="33"/>
        <v>1692</v>
      </c>
      <c r="H127" s="384">
        <f>G127*0.7055</f>
        <v>1193.706</v>
      </c>
      <c r="I127" s="384">
        <f>'F11-Year(n+1)'!E127</f>
        <v>251.909695055993</v>
      </c>
      <c r="J127" s="384">
        <f>'F11-Year(n+1)'!F127</f>
        <v>259.759035707314</v>
      </c>
      <c r="K127" s="384">
        <f>'F11-Year(n+1)'!G127</f>
        <v>243.199589477508</v>
      </c>
      <c r="L127" s="384">
        <f>'F11-Year(n+1)'!H127</f>
        <v>190.477173629265</v>
      </c>
      <c r="M127" s="384">
        <f>'F11-Year(n+1)'!I127</f>
        <v>234.273492234642</v>
      </c>
      <c r="N127" s="384">
        <f>'F11-Year(n+1)'!J127</f>
        <v>206.504530942854</v>
      </c>
      <c r="O127" s="384">
        <f>'F11-Year(n+1)'!K127</f>
        <v>253.169835330569</v>
      </c>
      <c r="P127" s="384">
        <f>'F11-Year(n+1)'!L127</f>
        <v>195.212001568457</v>
      </c>
      <c r="Q127" s="384">
        <f>'F11-Year(n+1)'!M127</f>
        <v>213.995350401297</v>
      </c>
      <c r="R127" s="384">
        <f>'F11-Year(n+1)'!N127</f>
        <v>228.150387746973</v>
      </c>
      <c r="S127" s="384">
        <f>'F11-Year(n+1)'!O127</f>
        <v>234.181778749551</v>
      </c>
      <c r="T127" s="384">
        <f>'F11-Year(n+1)'!P127</f>
        <v>251.108744382676</v>
      </c>
      <c r="U127" s="384">
        <f t="shared" si="32"/>
        <v>2761.9416152271</v>
      </c>
    </row>
    <row r="128" spans="3:21">
      <c r="C128" s="296"/>
      <c r="D128" s="288" t="s">
        <v>418</v>
      </c>
      <c r="E128" s="787">
        <v>1000</v>
      </c>
      <c r="F128" s="794"/>
      <c r="G128" s="787">
        <f t="shared" si="33"/>
        <v>1000</v>
      </c>
      <c r="H128" s="384">
        <f>G128*0.7055</f>
        <v>705.5</v>
      </c>
      <c r="I128" s="384">
        <f>'F11-Year(n+1)'!E128</f>
        <v>148.88279849645</v>
      </c>
      <c r="J128" s="384">
        <f>'F11-Year(n+1)'!F128</f>
        <v>153.521888715907</v>
      </c>
      <c r="K128" s="384">
        <f>'F11-Year(n+1)'!G128</f>
        <v>143.734981960702</v>
      </c>
      <c r="L128" s="384">
        <f>'F11-Year(n+1)'!H128</f>
        <v>112.575161719424</v>
      </c>
      <c r="M128" s="384">
        <f>'F11-Year(n+1)'!I128</f>
        <v>138.459510776975</v>
      </c>
      <c r="N128" s="384">
        <f>'F11-Year(n+1)'!J128</f>
        <v>122.04759511989</v>
      </c>
      <c r="O128" s="384">
        <f>'F11-Year(n+1)'!K128</f>
        <v>149.627562252109</v>
      </c>
      <c r="P128" s="384">
        <f>'F11-Year(n+1)'!L128</f>
        <v>115.373523385613</v>
      </c>
      <c r="Q128" s="384">
        <f>'F11-Year(n+1)'!M128</f>
        <v>126.474793381381</v>
      </c>
      <c r="R128" s="384">
        <f>'F11-Year(n+1)'!N128</f>
        <v>134.840654696793</v>
      </c>
      <c r="S128" s="384">
        <f>'F11-Year(n+1)'!O128</f>
        <v>138.405306589569</v>
      </c>
      <c r="T128" s="384">
        <f>'F11-Year(n+1)'!P128</f>
        <v>148.409423394017</v>
      </c>
      <c r="U128" s="384">
        <f t="shared" si="32"/>
        <v>1632.35320048883</v>
      </c>
    </row>
    <row r="129" spans="3:21">
      <c r="C129" s="296"/>
      <c r="D129" s="773" t="s">
        <v>419</v>
      </c>
      <c r="E129" s="787"/>
      <c r="F129" s="296"/>
      <c r="G129" s="787"/>
      <c r="H129" s="384"/>
      <c r="I129" s="384"/>
      <c r="J129" s="384"/>
      <c r="K129" s="384"/>
      <c r="L129" s="384"/>
      <c r="M129" s="384"/>
      <c r="N129" s="384"/>
      <c r="O129" s="384"/>
      <c r="P129" s="384"/>
      <c r="Q129" s="384"/>
      <c r="R129" s="384"/>
      <c r="S129" s="384"/>
      <c r="T129" s="384"/>
      <c r="U129" s="384">
        <f t="shared" si="32"/>
        <v>0</v>
      </c>
    </row>
    <row r="130" spans="3:21">
      <c r="C130" s="296"/>
      <c r="D130" s="773" t="s">
        <v>439</v>
      </c>
      <c r="E130" s="787"/>
      <c r="F130" s="296"/>
      <c r="G130" s="787"/>
      <c r="H130" s="384"/>
      <c r="I130" s="384"/>
      <c r="J130" s="384"/>
      <c r="K130" s="384"/>
      <c r="L130" s="384"/>
      <c r="M130" s="384"/>
      <c r="N130" s="384"/>
      <c r="O130" s="384"/>
      <c r="P130" s="384"/>
      <c r="Q130" s="384"/>
      <c r="R130" s="384"/>
      <c r="S130" s="384"/>
      <c r="T130" s="384"/>
      <c r="U130" s="384">
        <f t="shared" si="32"/>
        <v>0</v>
      </c>
    </row>
    <row r="131" spans="3:21">
      <c r="C131" s="296"/>
      <c r="D131" s="288"/>
      <c r="E131" s="296"/>
      <c r="F131" s="296"/>
      <c r="G131" s="296"/>
      <c r="H131" s="384"/>
      <c r="I131" s="384"/>
      <c r="J131" s="384"/>
      <c r="K131" s="384"/>
      <c r="L131" s="384"/>
      <c r="M131" s="384"/>
      <c r="N131" s="384"/>
      <c r="O131" s="384"/>
      <c r="P131" s="384"/>
      <c r="Q131" s="384"/>
      <c r="R131" s="384"/>
      <c r="S131" s="384"/>
      <c r="T131" s="384"/>
      <c r="U131" s="384">
        <f t="shared" si="32"/>
        <v>0</v>
      </c>
    </row>
    <row r="132" spans="3:21">
      <c r="C132" s="296"/>
      <c r="D132" s="288"/>
      <c r="E132" s="296"/>
      <c r="F132" s="296"/>
      <c r="G132" s="296"/>
      <c r="H132" s="384"/>
      <c r="I132" s="384"/>
      <c r="J132" s="384"/>
      <c r="K132" s="384"/>
      <c r="L132" s="384"/>
      <c r="M132" s="384"/>
      <c r="N132" s="384"/>
      <c r="O132" s="384"/>
      <c r="P132" s="384"/>
      <c r="Q132" s="384"/>
      <c r="R132" s="384"/>
      <c r="S132" s="384"/>
      <c r="T132" s="384"/>
      <c r="U132" s="384">
        <f t="shared" si="32"/>
        <v>0</v>
      </c>
    </row>
    <row r="133" spans="3:21">
      <c r="C133" s="296"/>
      <c r="D133" s="288"/>
      <c r="E133" s="296"/>
      <c r="F133" s="296"/>
      <c r="G133" s="296"/>
      <c r="H133" s="384"/>
      <c r="I133" s="384"/>
      <c r="J133" s="384"/>
      <c r="K133" s="384"/>
      <c r="L133" s="384"/>
      <c r="M133" s="384"/>
      <c r="N133" s="384"/>
      <c r="O133" s="384"/>
      <c r="P133" s="384"/>
      <c r="Q133" s="384"/>
      <c r="R133" s="384"/>
      <c r="S133" s="384"/>
      <c r="T133" s="384"/>
      <c r="U133" s="384">
        <f t="shared" si="32"/>
        <v>0</v>
      </c>
    </row>
    <row r="134" spans="3:21">
      <c r="C134" s="296"/>
      <c r="D134" s="288"/>
      <c r="E134" s="296"/>
      <c r="F134" s="296"/>
      <c r="G134" s="296"/>
      <c r="H134" s="384"/>
      <c r="I134" s="384"/>
      <c r="J134" s="384"/>
      <c r="K134" s="384"/>
      <c r="L134" s="384"/>
      <c r="M134" s="384"/>
      <c r="N134" s="384"/>
      <c r="O134" s="384"/>
      <c r="P134" s="384"/>
      <c r="Q134" s="384"/>
      <c r="R134" s="384"/>
      <c r="S134" s="384"/>
      <c r="T134" s="384"/>
      <c r="U134" s="384">
        <f t="shared" si="32"/>
        <v>0</v>
      </c>
    </row>
    <row r="135" spans="3:21">
      <c r="C135" s="296"/>
      <c r="D135" s="288"/>
      <c r="E135" s="296"/>
      <c r="F135" s="296"/>
      <c r="G135" s="296"/>
      <c r="H135" s="384"/>
      <c r="I135" s="384"/>
      <c r="J135" s="384"/>
      <c r="K135" s="384"/>
      <c r="L135" s="384"/>
      <c r="M135" s="384"/>
      <c r="N135" s="384"/>
      <c r="O135" s="384"/>
      <c r="P135" s="384"/>
      <c r="Q135" s="384"/>
      <c r="R135" s="384"/>
      <c r="S135" s="384"/>
      <c r="T135" s="384"/>
      <c r="U135" s="384">
        <f t="shared" si="32"/>
        <v>0</v>
      </c>
    </row>
    <row r="136" spans="3:21">
      <c r="C136" s="296"/>
      <c r="D136" s="288"/>
      <c r="E136" s="296"/>
      <c r="F136" s="296"/>
      <c r="G136" s="296"/>
      <c r="H136" s="384"/>
      <c r="I136" s="384"/>
      <c r="J136" s="384"/>
      <c r="K136" s="384"/>
      <c r="L136" s="384"/>
      <c r="M136" s="384"/>
      <c r="N136" s="384"/>
      <c r="O136" s="384"/>
      <c r="P136" s="384"/>
      <c r="Q136" s="384"/>
      <c r="R136" s="384"/>
      <c r="S136" s="384"/>
      <c r="T136" s="384"/>
      <c r="U136" s="384">
        <f t="shared" si="32"/>
        <v>0</v>
      </c>
    </row>
    <row r="137" spans="3:21">
      <c r="C137" s="296"/>
      <c r="D137" s="288"/>
      <c r="E137" s="296"/>
      <c r="F137" s="296"/>
      <c r="G137" s="296"/>
      <c r="H137" s="384"/>
      <c r="I137" s="384"/>
      <c r="J137" s="384"/>
      <c r="K137" s="384"/>
      <c r="L137" s="384"/>
      <c r="M137" s="384"/>
      <c r="N137" s="384"/>
      <c r="O137" s="384"/>
      <c r="P137" s="384"/>
      <c r="Q137" s="384"/>
      <c r="R137" s="384"/>
      <c r="S137" s="384"/>
      <c r="T137" s="384"/>
      <c r="U137" s="384">
        <f t="shared" si="32"/>
        <v>0</v>
      </c>
    </row>
    <row r="138" spans="3:21">
      <c r="C138" s="296"/>
      <c r="D138" s="288"/>
      <c r="E138" s="296"/>
      <c r="F138" s="296"/>
      <c r="G138" s="296"/>
      <c r="H138" s="384"/>
      <c r="I138" s="384"/>
      <c r="J138" s="384"/>
      <c r="K138" s="384"/>
      <c r="L138" s="384"/>
      <c r="M138" s="384"/>
      <c r="N138" s="384"/>
      <c r="O138" s="384"/>
      <c r="P138" s="384"/>
      <c r="Q138" s="384"/>
      <c r="R138" s="384"/>
      <c r="S138" s="384"/>
      <c r="T138" s="384"/>
      <c r="U138" s="384">
        <f t="shared" si="32"/>
        <v>0</v>
      </c>
    </row>
    <row r="139" ht="15" spans="3:21">
      <c r="C139" s="285" t="s">
        <v>421</v>
      </c>
      <c r="D139" s="286"/>
      <c r="E139" s="296">
        <f t="shared" ref="E139:T139" si="35">SUM(E115:E138)</f>
        <v>8148.29</v>
      </c>
      <c r="F139" s="296">
        <f t="shared" si="35"/>
        <v>0</v>
      </c>
      <c r="G139" s="296">
        <f t="shared" si="35"/>
        <v>8148.29</v>
      </c>
      <c r="H139" s="384">
        <f t="shared" si="35"/>
        <v>5724.1115</v>
      </c>
      <c r="I139" s="384">
        <f t="shared" si="35"/>
        <v>1199.13973567177</v>
      </c>
      <c r="J139" s="384">
        <f t="shared" si="35"/>
        <v>1229.32812891958</v>
      </c>
      <c r="K139" s="384">
        <f t="shared" si="35"/>
        <v>1172.74706393817</v>
      </c>
      <c r="L139" s="384">
        <f t="shared" si="35"/>
        <v>948.111165883962</v>
      </c>
      <c r="M139" s="384">
        <f t="shared" si="35"/>
        <v>1126.59013084327</v>
      </c>
      <c r="N139" s="384">
        <f t="shared" si="35"/>
        <v>987.004079121248</v>
      </c>
      <c r="O139" s="384">
        <f t="shared" si="35"/>
        <v>1197.7808543519</v>
      </c>
      <c r="P139" s="384">
        <f t="shared" si="35"/>
        <v>933.433452410762</v>
      </c>
      <c r="Q139" s="384">
        <f t="shared" si="35"/>
        <v>1029.18091713496</v>
      </c>
      <c r="R139" s="384">
        <f t="shared" si="35"/>
        <v>1094.42679215856</v>
      </c>
      <c r="S139" s="384">
        <f t="shared" si="35"/>
        <v>1116.86993700097</v>
      </c>
      <c r="T139" s="384">
        <f t="shared" si="35"/>
        <v>1199.61614417762</v>
      </c>
      <c r="U139" s="722">
        <f>SUM(I139:T139)</f>
        <v>13234.2284016128</v>
      </c>
    </row>
    <row r="140" ht="15" spans="3:21">
      <c r="C140" s="708" t="s">
        <v>422</v>
      </c>
      <c r="D140" s="709"/>
      <c r="E140" s="296"/>
      <c r="F140" s="296"/>
      <c r="G140" s="296"/>
      <c r="H140" s="384"/>
      <c r="I140" s="384"/>
      <c r="J140" s="384"/>
      <c r="K140" s="384"/>
      <c r="L140" s="384"/>
      <c r="M140" s="384"/>
      <c r="N140" s="384"/>
      <c r="O140" s="384"/>
      <c r="P140" s="384"/>
      <c r="Q140" s="384"/>
      <c r="R140" s="384"/>
      <c r="S140" s="384"/>
      <c r="T140" s="384"/>
      <c r="U140" s="384"/>
    </row>
    <row r="141" ht="28.5" spans="3:21">
      <c r="C141" s="296"/>
      <c r="D141" s="288" t="s">
        <v>451</v>
      </c>
      <c r="E141" s="296"/>
      <c r="F141" s="296"/>
      <c r="G141" s="296"/>
      <c r="H141" s="384"/>
      <c r="I141" s="384">
        <f>'F11-Year(n+1)'!E141</f>
        <v>0</v>
      </c>
      <c r="J141" s="384">
        <f>'F11-Year(n+1)'!F141</f>
        <v>0</v>
      </c>
      <c r="K141" s="384">
        <f>'F11-Year(n+1)'!G141</f>
        <v>0</v>
      </c>
      <c r="L141" s="384">
        <f>'F11-Year(n+1)'!H141</f>
        <v>0</v>
      </c>
      <c r="M141" s="384">
        <f>'F11-Year(n+1)'!I141</f>
        <v>3.41452953217458</v>
      </c>
      <c r="N141" s="384">
        <f>'F11-Year(n+1)'!J141</f>
        <v>0</v>
      </c>
      <c r="O141" s="384">
        <f>'F11-Year(n+1)'!K141</f>
        <v>74.1375190620661</v>
      </c>
      <c r="P141" s="384">
        <f>'F11-Year(n+1)'!L141</f>
        <v>205.729042625166</v>
      </c>
      <c r="Q141" s="384">
        <f>'F11-Year(n+1)'!M141</f>
        <v>0</v>
      </c>
      <c r="R141" s="384">
        <f>'F11-Year(n+1)'!N141</f>
        <v>0</v>
      </c>
      <c r="S141" s="384">
        <f>'F11-Year(n+1)'!O141</f>
        <v>16.4558373698555</v>
      </c>
      <c r="T141" s="384">
        <f>'F11-Year(n+1)'!P141</f>
        <v>326.479882477829</v>
      </c>
      <c r="U141" s="384">
        <f t="shared" ref="U141:U151" si="36">+SUM(I141:T141)</f>
        <v>626.216811067091</v>
      </c>
    </row>
    <row r="142" ht="28.5" spans="3:21">
      <c r="C142" s="296"/>
      <c r="D142" s="288" t="s">
        <v>423</v>
      </c>
      <c r="E142" s="296"/>
      <c r="F142" s="296"/>
      <c r="G142" s="296"/>
      <c r="H142" s="384"/>
      <c r="I142" s="384">
        <f>'F11-Year(n+1)'!E142</f>
        <v>0</v>
      </c>
      <c r="J142" s="384">
        <f>'F11-Year(n+1)'!F142</f>
        <v>0</v>
      </c>
      <c r="K142" s="384">
        <f>'F11-Year(n+1)'!G142</f>
        <v>0</v>
      </c>
      <c r="L142" s="384">
        <f>'F11-Year(n+1)'!H142</f>
        <v>0</v>
      </c>
      <c r="M142" s="384">
        <f>'F11-Year(n+1)'!I142</f>
        <v>0</v>
      </c>
      <c r="N142" s="384">
        <f>'F11-Year(n+1)'!J142</f>
        <v>0</v>
      </c>
      <c r="O142" s="384">
        <f>'F11-Year(n+1)'!K142</f>
        <v>0</v>
      </c>
      <c r="P142" s="384">
        <f>'F11-Year(n+1)'!L142</f>
        <v>0</v>
      </c>
      <c r="Q142" s="384">
        <f>'F11-Year(n+1)'!M142</f>
        <v>0</v>
      </c>
      <c r="R142" s="384">
        <f>'F11-Year(n+1)'!N142</f>
        <v>0</v>
      </c>
      <c r="S142" s="384">
        <f>'F11-Year(n+1)'!O142</f>
        <v>0</v>
      </c>
      <c r="T142" s="384">
        <f>'F11-Year(n+1)'!P142</f>
        <v>0</v>
      </c>
      <c r="U142" s="384">
        <f t="shared" si="36"/>
        <v>0</v>
      </c>
    </row>
    <row r="143" spans="3:21">
      <c r="C143" s="296"/>
      <c r="D143" s="288"/>
      <c r="E143" s="296"/>
      <c r="F143" s="296"/>
      <c r="G143" s="296"/>
      <c r="H143" s="384"/>
      <c r="I143" s="384"/>
      <c r="J143" s="384"/>
      <c r="K143" s="384"/>
      <c r="L143" s="384"/>
      <c r="M143" s="384"/>
      <c r="N143" s="384"/>
      <c r="O143" s="384"/>
      <c r="P143" s="384"/>
      <c r="Q143" s="384"/>
      <c r="R143" s="384"/>
      <c r="S143" s="384"/>
      <c r="T143" s="384"/>
      <c r="U143" s="384">
        <f t="shared" si="36"/>
        <v>0</v>
      </c>
    </row>
    <row r="144" spans="3:21">
      <c r="C144" s="296"/>
      <c r="D144" s="288"/>
      <c r="E144" s="296"/>
      <c r="F144" s="296"/>
      <c r="G144" s="296"/>
      <c r="H144" s="384"/>
      <c r="I144" s="384"/>
      <c r="J144" s="384"/>
      <c r="K144" s="384"/>
      <c r="L144" s="384"/>
      <c r="M144" s="384"/>
      <c r="N144" s="384"/>
      <c r="O144" s="384"/>
      <c r="P144" s="384"/>
      <c r="Q144" s="384"/>
      <c r="R144" s="384"/>
      <c r="S144" s="384"/>
      <c r="T144" s="384"/>
      <c r="U144" s="384">
        <f t="shared" si="36"/>
        <v>0</v>
      </c>
    </row>
    <row r="145" spans="3:21">
      <c r="C145" s="296"/>
      <c r="D145" s="288"/>
      <c r="E145" s="296"/>
      <c r="F145" s="296"/>
      <c r="G145" s="296"/>
      <c r="H145" s="384"/>
      <c r="I145" s="384"/>
      <c r="J145" s="384"/>
      <c r="K145" s="384"/>
      <c r="L145" s="384"/>
      <c r="M145" s="384"/>
      <c r="N145" s="384"/>
      <c r="O145" s="384"/>
      <c r="P145" s="384"/>
      <c r="Q145" s="384"/>
      <c r="R145" s="384"/>
      <c r="S145" s="384"/>
      <c r="T145" s="384"/>
      <c r="U145" s="384">
        <f t="shared" si="36"/>
        <v>0</v>
      </c>
    </row>
    <row r="146" spans="3:21">
      <c r="C146" s="296"/>
      <c r="D146" s="288"/>
      <c r="E146" s="296"/>
      <c r="F146" s="296"/>
      <c r="G146" s="296"/>
      <c r="H146" s="384"/>
      <c r="I146" s="384"/>
      <c r="J146" s="384"/>
      <c r="K146" s="384"/>
      <c r="L146" s="384"/>
      <c r="M146" s="384"/>
      <c r="N146" s="384"/>
      <c r="O146" s="384"/>
      <c r="P146" s="384"/>
      <c r="Q146" s="384"/>
      <c r="R146" s="384"/>
      <c r="S146" s="384"/>
      <c r="T146" s="384"/>
      <c r="U146" s="384">
        <f t="shared" si="36"/>
        <v>0</v>
      </c>
    </row>
    <row r="147" spans="3:21">
      <c r="C147" s="296"/>
      <c r="D147" s="288"/>
      <c r="E147" s="296"/>
      <c r="F147" s="296"/>
      <c r="G147" s="296"/>
      <c r="H147" s="384"/>
      <c r="I147" s="384"/>
      <c r="J147" s="384"/>
      <c r="K147" s="384"/>
      <c r="L147" s="384"/>
      <c r="M147" s="384"/>
      <c r="N147" s="384"/>
      <c r="O147" s="384"/>
      <c r="P147" s="384"/>
      <c r="Q147" s="384"/>
      <c r="R147" s="384"/>
      <c r="S147" s="384"/>
      <c r="T147" s="384"/>
      <c r="U147" s="384">
        <f t="shared" si="36"/>
        <v>0</v>
      </c>
    </row>
    <row r="148" spans="3:21">
      <c r="C148" s="296"/>
      <c r="D148" s="288"/>
      <c r="E148" s="296"/>
      <c r="F148" s="296"/>
      <c r="G148" s="296"/>
      <c r="H148" s="384"/>
      <c r="I148" s="384"/>
      <c r="J148" s="384"/>
      <c r="K148" s="384"/>
      <c r="L148" s="384"/>
      <c r="M148" s="384"/>
      <c r="N148" s="384"/>
      <c r="O148" s="384"/>
      <c r="P148" s="384"/>
      <c r="Q148" s="384"/>
      <c r="R148" s="384"/>
      <c r="S148" s="384"/>
      <c r="T148" s="384"/>
      <c r="U148" s="384">
        <f t="shared" si="36"/>
        <v>0</v>
      </c>
    </row>
    <row r="149" spans="3:21">
      <c r="C149" s="296"/>
      <c r="D149" s="288"/>
      <c r="E149" s="296"/>
      <c r="F149" s="296"/>
      <c r="G149" s="296"/>
      <c r="H149" s="384"/>
      <c r="I149" s="384"/>
      <c r="J149" s="384"/>
      <c r="K149" s="384"/>
      <c r="L149" s="384"/>
      <c r="M149" s="384"/>
      <c r="N149" s="384"/>
      <c r="O149" s="384"/>
      <c r="P149" s="384"/>
      <c r="Q149" s="384"/>
      <c r="R149" s="384"/>
      <c r="S149" s="384"/>
      <c r="T149" s="384"/>
      <c r="U149" s="384">
        <f t="shared" si="36"/>
        <v>0</v>
      </c>
    </row>
    <row r="150" spans="3:21">
      <c r="C150" s="296"/>
      <c r="D150" s="288"/>
      <c r="E150" s="296"/>
      <c r="F150" s="296"/>
      <c r="G150" s="296"/>
      <c r="H150" s="384"/>
      <c r="I150" s="384"/>
      <c r="J150" s="384"/>
      <c r="K150" s="384"/>
      <c r="L150" s="384"/>
      <c r="M150" s="384"/>
      <c r="N150" s="384"/>
      <c r="O150" s="384"/>
      <c r="P150" s="384"/>
      <c r="Q150" s="384"/>
      <c r="R150" s="384"/>
      <c r="S150" s="384"/>
      <c r="T150" s="384"/>
      <c r="U150" s="384">
        <f t="shared" si="36"/>
        <v>0</v>
      </c>
    </row>
    <row r="151" spans="3:21">
      <c r="C151" s="296"/>
      <c r="D151" s="288"/>
      <c r="E151" s="296"/>
      <c r="F151" s="296"/>
      <c r="G151" s="296"/>
      <c r="H151" s="384"/>
      <c r="I151" s="384"/>
      <c r="J151" s="384"/>
      <c r="K151" s="384"/>
      <c r="L151" s="384"/>
      <c r="M151" s="384"/>
      <c r="N151" s="384"/>
      <c r="O151" s="384"/>
      <c r="P151" s="384"/>
      <c r="Q151" s="384"/>
      <c r="R151" s="384"/>
      <c r="S151" s="384"/>
      <c r="T151" s="384"/>
      <c r="U151" s="384">
        <f t="shared" si="36"/>
        <v>0</v>
      </c>
    </row>
    <row r="152" ht="15" spans="3:21">
      <c r="C152" s="285" t="s">
        <v>424</v>
      </c>
      <c r="D152" s="286"/>
      <c r="E152" s="296">
        <f t="shared" ref="E152:T152" si="37">SUM(E141:E151)</f>
        <v>0</v>
      </c>
      <c r="F152" s="296">
        <f t="shared" si="37"/>
        <v>0</v>
      </c>
      <c r="G152" s="296">
        <f t="shared" si="37"/>
        <v>0</v>
      </c>
      <c r="H152" s="384">
        <f t="shared" si="37"/>
        <v>0</v>
      </c>
      <c r="I152" s="384">
        <f t="shared" si="37"/>
        <v>0</v>
      </c>
      <c r="J152" s="384">
        <f t="shared" si="37"/>
        <v>0</v>
      </c>
      <c r="K152" s="384">
        <f t="shared" si="37"/>
        <v>0</v>
      </c>
      <c r="L152" s="384">
        <f t="shared" si="37"/>
        <v>0</v>
      </c>
      <c r="M152" s="384">
        <f t="shared" si="37"/>
        <v>3.41452953217458</v>
      </c>
      <c r="N152" s="384">
        <f t="shared" si="37"/>
        <v>0</v>
      </c>
      <c r="O152" s="384">
        <f t="shared" si="37"/>
        <v>74.1375190620661</v>
      </c>
      <c r="P152" s="384">
        <f t="shared" si="37"/>
        <v>205.729042625166</v>
      </c>
      <c r="Q152" s="384">
        <f t="shared" si="37"/>
        <v>0</v>
      </c>
      <c r="R152" s="384">
        <f t="shared" si="37"/>
        <v>0</v>
      </c>
      <c r="S152" s="384">
        <f t="shared" si="37"/>
        <v>16.4558373698555</v>
      </c>
      <c r="T152" s="384">
        <f t="shared" si="37"/>
        <v>326.479882477829</v>
      </c>
      <c r="U152" s="722">
        <f>SUM(I152:T152)</f>
        <v>626.216811067091</v>
      </c>
    </row>
    <row r="153" ht="15" spans="3:21">
      <c r="C153" s="708" t="s">
        <v>425</v>
      </c>
      <c r="D153" s="709"/>
      <c r="E153" s="296"/>
      <c r="F153" s="296"/>
      <c r="G153" s="296"/>
      <c r="H153" s="384"/>
      <c r="I153" s="384"/>
      <c r="J153" s="384"/>
      <c r="K153" s="384"/>
      <c r="L153" s="384"/>
      <c r="M153" s="384"/>
      <c r="N153" s="384"/>
      <c r="O153" s="384"/>
      <c r="P153" s="384"/>
      <c r="Q153" s="384"/>
      <c r="R153" s="384"/>
      <c r="S153" s="384"/>
      <c r="T153" s="384"/>
      <c r="U153" s="384"/>
    </row>
    <row r="154" spans="3:21">
      <c r="C154" s="296" t="s">
        <v>426</v>
      </c>
      <c r="D154" s="288" t="s">
        <v>427</v>
      </c>
      <c r="E154" s="296"/>
      <c r="F154" s="296"/>
      <c r="G154" s="296"/>
      <c r="H154" s="384"/>
      <c r="I154" s="384">
        <f>'F11-Year(n+1)'!E154</f>
        <v>317.569280603394</v>
      </c>
      <c r="J154" s="384">
        <f>'F11-Year(n+1)'!F154</f>
        <v>242.662508102198</v>
      </c>
      <c r="K154" s="384">
        <f>'F11-Year(n+1)'!G154</f>
        <v>89.6801726723079</v>
      </c>
      <c r="L154" s="384">
        <f>'F11-Year(n+1)'!H154</f>
        <v>232.031564610988</v>
      </c>
      <c r="M154" s="384">
        <f>'F11-Year(n+1)'!I154</f>
        <v>1.58845618813712</v>
      </c>
      <c r="N154" s="384">
        <f>'F11-Year(n+1)'!J154</f>
        <v>158.649548191599</v>
      </c>
      <c r="O154" s="384">
        <f>'F11-Year(n+1)'!K154</f>
        <v>70.9309649138108</v>
      </c>
      <c r="P154" s="384">
        <f>'F11-Year(n+1)'!L154</f>
        <v>190.582686381791</v>
      </c>
      <c r="Q154" s="384">
        <f>'F11-Year(n+1)'!M154</f>
        <v>157.784460801427</v>
      </c>
      <c r="R154" s="384">
        <f>'F11-Year(n+1)'!N154</f>
        <v>-28.3753652930454</v>
      </c>
      <c r="S154" s="384">
        <f>'F11-Year(n+1)'!O154</f>
        <v>0</v>
      </c>
      <c r="T154" s="384">
        <f>'F11-Year(n+1)'!P154</f>
        <v>0</v>
      </c>
      <c r="U154" s="384">
        <f>+SUM(I154:T154)</f>
        <v>1433.10427717261</v>
      </c>
    </row>
    <row r="155" spans="3:21">
      <c r="C155" s="296" t="s">
        <v>426</v>
      </c>
      <c r="D155" s="288" t="s">
        <v>428</v>
      </c>
      <c r="E155" s="296"/>
      <c r="F155" s="296"/>
      <c r="G155" s="296"/>
      <c r="H155" s="384"/>
      <c r="I155" s="384">
        <f>'F11-Year(n+1)'!E155</f>
        <v>0</v>
      </c>
      <c r="J155" s="384">
        <f>'F11-Year(n+1)'!F155</f>
        <v>0</v>
      </c>
      <c r="K155" s="384">
        <f>'F11-Year(n+1)'!G155</f>
        <v>0</v>
      </c>
      <c r="L155" s="384">
        <f>'F11-Year(n+1)'!H155</f>
        <v>0</v>
      </c>
      <c r="M155" s="384">
        <f>'F11-Year(n+1)'!I155</f>
        <v>0</v>
      </c>
      <c r="N155" s="384">
        <f>'F11-Year(n+1)'!J155</f>
        <v>0</v>
      </c>
      <c r="O155" s="384">
        <f>'F11-Year(n+1)'!K155</f>
        <v>0</v>
      </c>
      <c r="P155" s="384">
        <f>'F11-Year(n+1)'!L155</f>
        <v>0</v>
      </c>
      <c r="Q155" s="384">
        <f>'F11-Year(n+1)'!M155</f>
        <v>0</v>
      </c>
      <c r="R155" s="384">
        <f>'F11-Year(n+1)'!N155</f>
        <v>0</v>
      </c>
      <c r="S155" s="384">
        <f>'F11-Year(n+1)'!O155</f>
        <v>0</v>
      </c>
      <c r="T155" s="384">
        <f>'F11-Year(n+1)'!P155</f>
        <v>0</v>
      </c>
      <c r="U155" s="384">
        <f>+SUM(I155:T155)</f>
        <v>0</v>
      </c>
    </row>
    <row r="156" spans="3:21">
      <c r="C156" s="775"/>
      <c r="D156" s="290"/>
      <c r="E156" s="296"/>
      <c r="F156" s="296"/>
      <c r="G156" s="296"/>
      <c r="H156" s="384"/>
      <c r="I156" s="384"/>
      <c r="J156" s="384"/>
      <c r="K156" s="384"/>
      <c r="L156" s="384"/>
      <c r="M156" s="384"/>
      <c r="N156" s="384"/>
      <c r="O156" s="384"/>
      <c r="P156" s="384"/>
      <c r="Q156" s="384"/>
      <c r="R156" s="384"/>
      <c r="S156" s="384"/>
      <c r="T156" s="384"/>
      <c r="U156" s="384"/>
    </row>
    <row r="157" ht="15" spans="3:21">
      <c r="C157" s="285" t="s">
        <v>429</v>
      </c>
      <c r="D157" s="286"/>
      <c r="E157" s="296">
        <f t="shared" ref="E157:T157" si="38">SUM(E154:E155)</f>
        <v>0</v>
      </c>
      <c r="F157" s="296">
        <f t="shared" si="38"/>
        <v>0</v>
      </c>
      <c r="G157" s="296">
        <f t="shared" si="38"/>
        <v>0</v>
      </c>
      <c r="H157" s="384">
        <f t="shared" si="38"/>
        <v>0</v>
      </c>
      <c r="I157" s="384">
        <f t="shared" si="38"/>
        <v>317.569280603394</v>
      </c>
      <c r="J157" s="384">
        <f t="shared" si="38"/>
        <v>242.662508102198</v>
      </c>
      <c r="K157" s="384">
        <f t="shared" si="38"/>
        <v>89.6801726723079</v>
      </c>
      <c r="L157" s="384">
        <f t="shared" si="38"/>
        <v>232.031564610988</v>
      </c>
      <c r="M157" s="384">
        <f t="shared" si="38"/>
        <v>1.58845618813712</v>
      </c>
      <c r="N157" s="384">
        <f t="shared" si="38"/>
        <v>158.649548191599</v>
      </c>
      <c r="O157" s="384">
        <f t="shared" si="38"/>
        <v>70.9309649138108</v>
      </c>
      <c r="P157" s="384">
        <f t="shared" si="38"/>
        <v>190.582686381791</v>
      </c>
      <c r="Q157" s="384">
        <f t="shared" si="38"/>
        <v>157.784460801427</v>
      </c>
      <c r="R157" s="384">
        <f t="shared" si="38"/>
        <v>-28.3753652930454</v>
      </c>
      <c r="S157" s="384">
        <f t="shared" si="38"/>
        <v>0</v>
      </c>
      <c r="T157" s="384">
        <f t="shared" si="38"/>
        <v>0</v>
      </c>
      <c r="U157" s="722">
        <f>U154-U155</f>
        <v>1433.10427717261</v>
      </c>
    </row>
    <row r="158" ht="15" spans="3:23">
      <c r="C158" s="285" t="s">
        <v>224</v>
      </c>
      <c r="D158" s="286"/>
      <c r="E158" s="296">
        <f t="shared" ref="E158:U158" si="39">E48+E94+E103+E113+E139+E152+E157</f>
        <v>38433.89</v>
      </c>
      <c r="F158" s="296">
        <f t="shared" si="39"/>
        <v>0</v>
      </c>
      <c r="G158" s="296">
        <f t="shared" si="39"/>
        <v>23787.6917</v>
      </c>
      <c r="H158" s="384">
        <f t="shared" si="39"/>
        <v>16757.70939935</v>
      </c>
      <c r="I158" s="384">
        <f t="shared" si="39"/>
        <v>6737.86880551786</v>
      </c>
      <c r="J158" s="384">
        <f t="shared" si="39"/>
        <v>7229.53914504403</v>
      </c>
      <c r="K158" s="384">
        <f t="shared" si="39"/>
        <v>7189.83528797867</v>
      </c>
      <c r="L158" s="384">
        <f t="shared" si="39"/>
        <v>7486.69236217972</v>
      </c>
      <c r="M158" s="384">
        <f t="shared" si="39"/>
        <v>7902.17051349234</v>
      </c>
      <c r="N158" s="384">
        <f t="shared" si="39"/>
        <v>7323.83392429834</v>
      </c>
      <c r="O158" s="384">
        <f t="shared" si="39"/>
        <v>7755.11232404812</v>
      </c>
      <c r="P158" s="384">
        <f t="shared" si="39"/>
        <v>7254.01468928548</v>
      </c>
      <c r="Q158" s="384">
        <f t="shared" si="39"/>
        <v>7414.00297943779</v>
      </c>
      <c r="R158" s="384">
        <f t="shared" si="39"/>
        <v>7533.53555803485</v>
      </c>
      <c r="S158" s="384">
        <f t="shared" si="39"/>
        <v>6972.32050603871</v>
      </c>
      <c r="T158" s="384">
        <f t="shared" si="39"/>
        <v>7699.1282341478</v>
      </c>
      <c r="U158" s="722">
        <f t="shared" si="39"/>
        <v>88498.0543295037</v>
      </c>
      <c r="V158" s="720"/>
      <c r="W158" s="720"/>
    </row>
    <row r="159" spans="21:23">
      <c r="U159" s="720"/>
      <c r="V159" s="797"/>
      <c r="W159" s="798"/>
    </row>
    <row r="160" ht="15" spans="4:9">
      <c r="D160" s="795"/>
      <c r="E160" s="367"/>
      <c r="F160" s="367"/>
      <c r="G160" s="367"/>
      <c r="H160" s="367"/>
      <c r="I160" s="367"/>
    </row>
    <row r="161" spans="4:9">
      <c r="D161" s="796"/>
      <c r="E161" s="728"/>
      <c r="F161" s="728"/>
      <c r="G161" s="728"/>
      <c r="H161" s="728"/>
      <c r="I161" s="728"/>
    </row>
    <row r="162" spans="5:21">
      <c r="E162" s="728"/>
      <c r="F162" s="728"/>
      <c r="G162" s="728"/>
      <c r="H162" s="728"/>
      <c r="I162" s="728"/>
      <c r="U162" s="799"/>
    </row>
    <row r="163" spans="5:9">
      <c r="E163" s="728"/>
      <c r="F163" s="728"/>
      <c r="G163" s="728"/>
      <c r="H163" s="728"/>
      <c r="I163" s="728"/>
    </row>
  </sheetData>
  <mergeCells count="35">
    <mergeCell ref="C2:U2"/>
    <mergeCell ref="C3:U3"/>
    <mergeCell ref="I4:U4"/>
    <mergeCell ref="C7:D7"/>
    <mergeCell ref="C8:D8"/>
    <mergeCell ref="C27:D27"/>
    <mergeCell ref="C28:D28"/>
    <mergeCell ref="C47:D47"/>
    <mergeCell ref="C48:D48"/>
    <mergeCell ref="C49:D49"/>
    <mergeCell ref="C50:D50"/>
    <mergeCell ref="C77:D77"/>
    <mergeCell ref="C78:D78"/>
    <mergeCell ref="C93:D93"/>
    <mergeCell ref="C94:D94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7:D157"/>
    <mergeCell ref="C158:D158"/>
    <mergeCell ref="C4:C6"/>
    <mergeCell ref="C9:C26"/>
    <mergeCell ref="C29:C46"/>
    <mergeCell ref="C51:C59"/>
    <mergeCell ref="C79:C82"/>
    <mergeCell ref="D4:D6"/>
    <mergeCell ref="E4:E6"/>
    <mergeCell ref="F4:F6"/>
    <mergeCell ref="G4:G6"/>
    <mergeCell ref="H4:H6"/>
  </mergeCells>
  <printOptions horizontalCentered="1"/>
  <pageMargins left="0.196527777777778" right="0.156944444444444" top="0.751388888888889" bottom="0.751388888888889" header="0.298611111111111" footer="0.298611111111111"/>
  <pageSetup paperSize="1" scale="50" orientation="landscape"/>
  <headerFooter/>
  <rowBreaks count="2" manualBreakCount="2">
    <brk id="48" max="20" man="1"/>
    <brk id="94" max="20" man="1"/>
  </rowBreaks>
  <colBreaks count="1" manualBreakCount="1">
    <brk id="21" max="1048575" man="1"/>
  </col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B2:U162"/>
  <sheetViews>
    <sheetView showGridLines="0" zoomScale="57" zoomScaleNormal="57" topLeftCell="C75" workbookViewId="0">
      <selection activeCell="E105" sqref="E105:P106"/>
    </sheetView>
  </sheetViews>
  <sheetFormatPr defaultColWidth="9.14285714285714" defaultRowHeight="14.25"/>
  <cols>
    <col min="1" max="1" width="3.14285714285714" style="12" customWidth="1"/>
    <col min="2" max="2" width="8.14285714285714" style="12" customWidth="1"/>
    <col min="3" max="3" width="22.1428571428571" style="12" customWidth="1"/>
    <col min="4" max="4" width="41.1428571428571" style="12" customWidth="1"/>
    <col min="5" max="7" width="16.4285714285714" style="12" customWidth="1"/>
    <col min="8" max="8" width="16.8571428571429" style="12" customWidth="1"/>
    <col min="9" max="9" width="13.8571428571429" style="12" customWidth="1"/>
    <col min="10" max="10" width="12.5714285714286" style="12" customWidth="1"/>
    <col min="11" max="11" width="13.4285714285714" style="12" customWidth="1"/>
    <col min="12" max="12" width="13.8571428571429" style="12" customWidth="1"/>
    <col min="13" max="13" width="12.5714285714286" style="12" customWidth="1"/>
    <col min="14" max="14" width="14.8571428571429" style="12" customWidth="1"/>
    <col min="15" max="15" width="12.5714285714286" style="12" customWidth="1"/>
    <col min="16" max="16" width="11.8571428571429" style="12" customWidth="1"/>
    <col min="17" max="17" width="13.8571428571429" style="12" customWidth="1"/>
    <col min="18" max="20" width="11.8571428571429" style="12" customWidth="1"/>
    <col min="21" max="21" width="19.7142857142857" style="12" customWidth="1"/>
    <col min="22" max="22" width="12.4285714285714" style="12" customWidth="1"/>
    <col min="23" max="23" width="12.8571428571429" style="12" customWidth="1"/>
    <col min="24" max="16384" width="9.14285714285714" style="12"/>
  </cols>
  <sheetData>
    <row r="2" ht="15" spans="9:14">
      <c r="I2" s="2" t="s">
        <v>0</v>
      </c>
      <c r="M2" s="12" t="s">
        <v>452</v>
      </c>
      <c r="N2" s="12" t="s">
        <v>453</v>
      </c>
    </row>
    <row r="3" ht="15" spans="9:14">
      <c r="I3" s="3" t="s">
        <v>454</v>
      </c>
      <c r="M3" s="12" t="s">
        <v>455</v>
      </c>
      <c r="N3" s="784">
        <v>0.85</v>
      </c>
    </row>
    <row r="4" ht="15" spans="3:21">
      <c r="C4" s="658" t="s">
        <v>345</v>
      </c>
      <c r="D4" s="658" t="s">
        <v>346</v>
      </c>
      <c r="E4" s="16" t="s">
        <v>431</v>
      </c>
      <c r="F4" s="16" t="s">
        <v>432</v>
      </c>
      <c r="G4" s="16" t="s">
        <v>433</v>
      </c>
      <c r="H4" s="16" t="s">
        <v>434</v>
      </c>
      <c r="I4" s="135" t="s">
        <v>443</v>
      </c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</row>
    <row r="5" ht="15" customHeight="1" spans="3:21">
      <c r="C5" s="660"/>
      <c r="D5" s="660"/>
      <c r="E5" s="309"/>
      <c r="F5" s="309"/>
      <c r="G5" s="309"/>
      <c r="H5" s="309"/>
      <c r="I5" s="135" t="s">
        <v>246</v>
      </c>
      <c r="J5" s="135" t="s">
        <v>247</v>
      </c>
      <c r="K5" s="135" t="s">
        <v>248</v>
      </c>
      <c r="L5" s="135" t="s">
        <v>249</v>
      </c>
      <c r="M5" s="135" t="s">
        <v>250</v>
      </c>
      <c r="N5" s="135" t="s">
        <v>251</v>
      </c>
      <c r="O5" s="135" t="s">
        <v>252</v>
      </c>
      <c r="P5" s="135" t="s">
        <v>253</v>
      </c>
      <c r="Q5" s="135" t="s">
        <v>254</v>
      </c>
      <c r="R5" s="135" t="s">
        <v>255</v>
      </c>
      <c r="S5" s="135" t="s">
        <v>256</v>
      </c>
      <c r="T5" s="135" t="s">
        <v>257</v>
      </c>
      <c r="U5" s="135" t="s">
        <v>97</v>
      </c>
    </row>
    <row r="6" spans="3:21">
      <c r="C6" s="662"/>
      <c r="D6" s="662"/>
      <c r="E6" s="535"/>
      <c r="F6" s="535"/>
      <c r="G6" s="535"/>
      <c r="H6" s="535"/>
      <c r="I6" s="147">
        <v>30</v>
      </c>
      <c r="J6" s="147">
        <v>31</v>
      </c>
      <c r="K6" s="147">
        <v>30</v>
      </c>
      <c r="L6" s="147">
        <v>31</v>
      </c>
      <c r="M6" s="147">
        <v>31</v>
      </c>
      <c r="N6" s="147">
        <v>30</v>
      </c>
      <c r="O6" s="147">
        <v>31</v>
      </c>
      <c r="P6" s="147">
        <v>30</v>
      </c>
      <c r="Q6" s="147">
        <v>31</v>
      </c>
      <c r="R6" s="147">
        <v>31</v>
      </c>
      <c r="S6" s="147">
        <v>28</v>
      </c>
      <c r="T6" s="147">
        <v>31</v>
      </c>
      <c r="U6" s="147"/>
    </row>
    <row r="7" customHeight="1" spans="2:21">
      <c r="B7" s="656"/>
      <c r="C7" s="663" t="s">
        <v>349</v>
      </c>
      <c r="D7" s="676"/>
      <c r="E7" s="47"/>
      <c r="F7" s="47"/>
      <c r="G7" s="749"/>
      <c r="H7" s="47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</row>
    <row r="8" ht="15" spans="3:21">
      <c r="C8" s="44" t="s">
        <v>350</v>
      </c>
      <c r="D8" s="4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</row>
    <row r="9" spans="2:21">
      <c r="B9" s="781" t="s">
        <v>456</v>
      </c>
      <c r="C9" s="677" t="s">
        <v>351</v>
      </c>
      <c r="D9" s="47" t="s">
        <v>352</v>
      </c>
      <c r="E9" s="752">
        <v>500</v>
      </c>
      <c r="F9" s="752"/>
      <c r="G9" s="752">
        <f t="shared" ref="G9:G16" si="0">E9</f>
        <v>500</v>
      </c>
      <c r="H9" s="752">
        <f t="shared" ref="H9:H16" si="1">G9*0.7055</f>
        <v>352.75</v>
      </c>
      <c r="I9" s="147">
        <f t="shared" ref="I9:T15" si="2">$H9*0.85*I$6*24/1000</f>
        <v>215.883</v>
      </c>
      <c r="J9" s="147">
        <f t="shared" si="2"/>
        <v>223.0791</v>
      </c>
      <c r="K9" s="147">
        <f t="shared" si="2"/>
        <v>215.883</v>
      </c>
      <c r="L9" s="147">
        <f t="shared" si="2"/>
        <v>223.0791</v>
      </c>
      <c r="M9" s="147">
        <f t="shared" si="2"/>
        <v>223.0791</v>
      </c>
      <c r="N9" s="147">
        <f t="shared" si="2"/>
        <v>215.883</v>
      </c>
      <c r="O9" s="147">
        <f t="shared" si="2"/>
        <v>223.0791</v>
      </c>
      <c r="P9" s="147">
        <f t="shared" si="2"/>
        <v>215.883</v>
      </c>
      <c r="Q9" s="147">
        <f t="shared" si="2"/>
        <v>223.0791</v>
      </c>
      <c r="R9" s="147">
        <f t="shared" si="2"/>
        <v>223.0791</v>
      </c>
      <c r="S9" s="147">
        <f t="shared" si="2"/>
        <v>201.4908</v>
      </c>
      <c r="T9" s="147">
        <f t="shared" si="2"/>
        <v>223.0791</v>
      </c>
      <c r="U9" s="147">
        <f t="shared" ref="U9:U16" si="3">+SUM(I9:T9)</f>
        <v>2626.5765</v>
      </c>
    </row>
    <row r="10" customHeight="1" spans="2:21">
      <c r="B10" s="781"/>
      <c r="C10" s="678"/>
      <c r="D10" s="47" t="s">
        <v>353</v>
      </c>
      <c r="E10" s="752">
        <v>500</v>
      </c>
      <c r="F10" s="752"/>
      <c r="G10" s="752">
        <f t="shared" si="0"/>
        <v>500</v>
      </c>
      <c r="H10" s="752">
        <f t="shared" si="1"/>
        <v>352.75</v>
      </c>
      <c r="I10" s="147">
        <f t="shared" si="2"/>
        <v>215.883</v>
      </c>
      <c r="J10" s="147">
        <f t="shared" si="2"/>
        <v>223.0791</v>
      </c>
      <c r="K10" s="147">
        <f t="shared" si="2"/>
        <v>215.883</v>
      </c>
      <c r="L10" s="147">
        <f t="shared" si="2"/>
        <v>223.0791</v>
      </c>
      <c r="M10" s="147">
        <f t="shared" si="2"/>
        <v>223.0791</v>
      </c>
      <c r="N10" s="147">
        <f t="shared" si="2"/>
        <v>215.883</v>
      </c>
      <c r="O10" s="147">
        <f t="shared" si="2"/>
        <v>223.0791</v>
      </c>
      <c r="P10" s="147">
        <f t="shared" si="2"/>
        <v>215.883</v>
      </c>
      <c r="Q10" s="147">
        <f t="shared" si="2"/>
        <v>223.0791</v>
      </c>
      <c r="R10" s="147">
        <f t="shared" si="2"/>
        <v>223.0791</v>
      </c>
      <c r="S10" s="147">
        <f t="shared" si="2"/>
        <v>201.4908</v>
      </c>
      <c r="T10" s="147">
        <f t="shared" si="2"/>
        <v>223.0791</v>
      </c>
      <c r="U10" s="147">
        <f t="shared" si="3"/>
        <v>2626.5765</v>
      </c>
    </row>
    <row r="11" spans="2:21">
      <c r="B11" s="781"/>
      <c r="C11" s="678"/>
      <c r="D11" s="47" t="s">
        <v>354</v>
      </c>
      <c r="E11" s="752">
        <v>800</v>
      </c>
      <c r="F11" s="752"/>
      <c r="G11" s="752">
        <f t="shared" si="0"/>
        <v>800</v>
      </c>
      <c r="H11" s="752">
        <f t="shared" si="1"/>
        <v>564.4</v>
      </c>
      <c r="I11" s="147">
        <f t="shared" si="2"/>
        <v>345.4128</v>
      </c>
      <c r="J11" s="147">
        <f t="shared" si="2"/>
        <v>356.92656</v>
      </c>
      <c r="K11" s="147">
        <f t="shared" si="2"/>
        <v>345.4128</v>
      </c>
      <c r="L11" s="147">
        <f t="shared" si="2"/>
        <v>356.92656</v>
      </c>
      <c r="M11" s="147">
        <f t="shared" si="2"/>
        <v>356.92656</v>
      </c>
      <c r="N11" s="147">
        <f t="shared" si="2"/>
        <v>345.4128</v>
      </c>
      <c r="O11" s="147">
        <f t="shared" si="2"/>
        <v>356.92656</v>
      </c>
      <c r="P11" s="147">
        <f t="shared" si="2"/>
        <v>345.4128</v>
      </c>
      <c r="Q11" s="147">
        <f t="shared" si="2"/>
        <v>356.92656</v>
      </c>
      <c r="R11" s="147">
        <f t="shared" si="2"/>
        <v>356.92656</v>
      </c>
      <c r="S11" s="147">
        <f t="shared" si="2"/>
        <v>322.38528</v>
      </c>
      <c r="T11" s="147">
        <f t="shared" si="2"/>
        <v>356.92656</v>
      </c>
      <c r="U11" s="147">
        <f t="shared" si="3"/>
        <v>4202.5224</v>
      </c>
    </row>
    <row r="12" spans="2:21">
      <c r="B12" s="781"/>
      <c r="C12" s="678"/>
      <c r="D12" s="47" t="s">
        <v>355</v>
      </c>
      <c r="E12" s="752">
        <v>62.5</v>
      </c>
      <c r="F12" s="752"/>
      <c r="G12" s="752">
        <f t="shared" si="0"/>
        <v>62.5</v>
      </c>
      <c r="H12" s="752">
        <f t="shared" si="1"/>
        <v>44.09375</v>
      </c>
      <c r="I12" s="147">
        <f t="shared" si="2"/>
        <v>26.985375</v>
      </c>
      <c r="J12" s="147">
        <f t="shared" si="2"/>
        <v>27.8848875</v>
      </c>
      <c r="K12" s="147">
        <f t="shared" si="2"/>
        <v>26.985375</v>
      </c>
      <c r="L12" s="147">
        <f t="shared" si="2"/>
        <v>27.8848875</v>
      </c>
      <c r="M12" s="147">
        <f t="shared" si="2"/>
        <v>27.8848875</v>
      </c>
      <c r="N12" s="147">
        <f t="shared" si="2"/>
        <v>26.985375</v>
      </c>
      <c r="O12" s="147">
        <f t="shared" si="2"/>
        <v>27.8848875</v>
      </c>
      <c r="P12" s="147">
        <f t="shared" si="2"/>
        <v>26.985375</v>
      </c>
      <c r="Q12" s="147">
        <f t="shared" si="2"/>
        <v>27.8848875</v>
      </c>
      <c r="R12" s="147">
        <f t="shared" si="2"/>
        <v>27.8848875</v>
      </c>
      <c r="S12" s="147">
        <f t="shared" si="2"/>
        <v>25.18635</v>
      </c>
      <c r="T12" s="147">
        <f t="shared" si="2"/>
        <v>27.8848875</v>
      </c>
      <c r="U12" s="147">
        <f t="shared" si="3"/>
        <v>328.3220625</v>
      </c>
    </row>
    <row r="13" spans="2:21">
      <c r="B13" s="781"/>
      <c r="C13" s="678"/>
      <c r="D13" s="47" t="s">
        <v>356</v>
      </c>
      <c r="E13" s="752">
        <v>500</v>
      </c>
      <c r="F13" s="752"/>
      <c r="G13" s="752">
        <f t="shared" si="0"/>
        <v>500</v>
      </c>
      <c r="H13" s="752">
        <f t="shared" si="1"/>
        <v>352.75</v>
      </c>
      <c r="I13" s="147">
        <f t="shared" si="2"/>
        <v>215.883</v>
      </c>
      <c r="J13" s="147">
        <f t="shared" si="2"/>
        <v>223.0791</v>
      </c>
      <c r="K13" s="147">
        <f t="shared" si="2"/>
        <v>215.883</v>
      </c>
      <c r="L13" s="147">
        <f t="shared" si="2"/>
        <v>223.0791</v>
      </c>
      <c r="M13" s="147">
        <f t="shared" si="2"/>
        <v>223.0791</v>
      </c>
      <c r="N13" s="147">
        <f t="shared" si="2"/>
        <v>215.883</v>
      </c>
      <c r="O13" s="147">
        <f t="shared" si="2"/>
        <v>223.0791</v>
      </c>
      <c r="P13" s="147">
        <f t="shared" si="2"/>
        <v>215.883</v>
      </c>
      <c r="Q13" s="147">
        <f t="shared" si="2"/>
        <v>223.0791</v>
      </c>
      <c r="R13" s="147">
        <f t="shared" si="2"/>
        <v>223.0791</v>
      </c>
      <c r="S13" s="147">
        <f t="shared" si="2"/>
        <v>201.4908</v>
      </c>
      <c r="T13" s="147">
        <f t="shared" si="2"/>
        <v>223.0791</v>
      </c>
      <c r="U13" s="147">
        <f t="shared" si="3"/>
        <v>2626.5765</v>
      </c>
    </row>
    <row r="14" spans="2:21">
      <c r="B14" s="781"/>
      <c r="C14" s="678"/>
      <c r="D14" s="47" t="s">
        <v>357</v>
      </c>
      <c r="E14" s="752">
        <v>600</v>
      </c>
      <c r="F14" s="752"/>
      <c r="G14" s="752">
        <f t="shared" si="0"/>
        <v>600</v>
      </c>
      <c r="H14" s="752">
        <f t="shared" si="1"/>
        <v>423.3</v>
      </c>
      <c r="I14" s="147">
        <f t="shared" si="2"/>
        <v>259.0596</v>
      </c>
      <c r="J14" s="147">
        <f t="shared" si="2"/>
        <v>267.69492</v>
      </c>
      <c r="K14" s="147">
        <f t="shared" si="2"/>
        <v>259.0596</v>
      </c>
      <c r="L14" s="147">
        <f t="shared" si="2"/>
        <v>267.69492</v>
      </c>
      <c r="M14" s="147">
        <f t="shared" si="2"/>
        <v>267.69492</v>
      </c>
      <c r="N14" s="147">
        <f t="shared" si="2"/>
        <v>259.0596</v>
      </c>
      <c r="O14" s="147">
        <f t="shared" si="2"/>
        <v>267.69492</v>
      </c>
      <c r="P14" s="147">
        <f t="shared" si="2"/>
        <v>259.0596</v>
      </c>
      <c r="Q14" s="147">
        <f t="shared" si="2"/>
        <v>267.69492</v>
      </c>
      <c r="R14" s="147">
        <f t="shared" si="2"/>
        <v>267.69492</v>
      </c>
      <c r="S14" s="147">
        <f t="shared" si="2"/>
        <v>241.78896</v>
      </c>
      <c r="T14" s="147">
        <f t="shared" si="2"/>
        <v>267.69492</v>
      </c>
      <c r="U14" s="147">
        <f t="shared" si="3"/>
        <v>3151.8918</v>
      </c>
    </row>
    <row r="15" spans="2:21">
      <c r="B15" s="781"/>
      <c r="C15" s="678"/>
      <c r="D15" s="47" t="s">
        <v>358</v>
      </c>
      <c r="E15" s="752">
        <v>1080</v>
      </c>
      <c r="F15" s="752"/>
      <c r="G15" s="752">
        <f t="shared" si="0"/>
        <v>1080</v>
      </c>
      <c r="H15" s="752">
        <f t="shared" si="1"/>
        <v>761.94</v>
      </c>
      <c r="I15" s="147">
        <f t="shared" si="2"/>
        <v>466.30728</v>
      </c>
      <c r="J15" s="147">
        <f t="shared" si="2"/>
        <v>481.850856</v>
      </c>
      <c r="K15" s="147">
        <f t="shared" si="2"/>
        <v>466.30728</v>
      </c>
      <c r="L15" s="147">
        <f t="shared" si="2"/>
        <v>481.850856</v>
      </c>
      <c r="M15" s="147">
        <f t="shared" si="2"/>
        <v>481.850856</v>
      </c>
      <c r="N15" s="147">
        <f t="shared" si="2"/>
        <v>466.30728</v>
      </c>
      <c r="O15" s="147">
        <f t="shared" si="2"/>
        <v>481.850856</v>
      </c>
      <c r="P15" s="147">
        <f t="shared" si="2"/>
        <v>466.30728</v>
      </c>
      <c r="Q15" s="147">
        <f t="shared" si="2"/>
        <v>481.850856</v>
      </c>
      <c r="R15" s="147">
        <f t="shared" si="2"/>
        <v>481.850856</v>
      </c>
      <c r="S15" s="147">
        <f t="shared" si="2"/>
        <v>435.220128</v>
      </c>
      <c r="T15" s="147">
        <f t="shared" si="2"/>
        <v>481.850856</v>
      </c>
      <c r="U15" s="147">
        <f t="shared" si="3"/>
        <v>5673.40524</v>
      </c>
    </row>
    <row r="16" spans="2:21">
      <c r="B16" s="781"/>
      <c r="C16" s="678"/>
      <c r="D16" s="47" t="s">
        <v>359</v>
      </c>
      <c r="E16" s="752">
        <v>4000</v>
      </c>
      <c r="F16" s="752"/>
      <c r="G16" s="752">
        <f t="shared" si="0"/>
        <v>4000</v>
      </c>
      <c r="H16" s="752">
        <f t="shared" si="1"/>
        <v>2822</v>
      </c>
      <c r="I16" s="147">
        <f>$H16*0.8526*I$6*24/1000</f>
        <v>1732.346784</v>
      </c>
      <c r="J16" s="147">
        <f t="shared" ref="J16:T16" si="4">$H16*0.8526*J$6*24/1000</f>
        <v>1790.0916768</v>
      </c>
      <c r="K16" s="147">
        <f t="shared" si="4"/>
        <v>1732.346784</v>
      </c>
      <c r="L16" s="147">
        <f t="shared" si="4"/>
        <v>1790.0916768</v>
      </c>
      <c r="M16" s="147">
        <f t="shared" si="4"/>
        <v>1790.0916768</v>
      </c>
      <c r="N16" s="147">
        <f t="shared" si="4"/>
        <v>1732.346784</v>
      </c>
      <c r="O16" s="147">
        <f t="shared" si="4"/>
        <v>1790.0916768</v>
      </c>
      <c r="P16" s="147">
        <f t="shared" si="4"/>
        <v>1732.346784</v>
      </c>
      <c r="Q16" s="147">
        <f t="shared" si="4"/>
        <v>1790.0916768</v>
      </c>
      <c r="R16" s="147">
        <f t="shared" si="4"/>
        <v>1790.0916768</v>
      </c>
      <c r="S16" s="147">
        <f t="shared" si="4"/>
        <v>1616.8569984</v>
      </c>
      <c r="T16" s="147">
        <f t="shared" si="4"/>
        <v>1790.0916768</v>
      </c>
      <c r="U16" s="147">
        <f t="shared" si="3"/>
        <v>21076.885872</v>
      </c>
    </row>
    <row r="17" spans="2:21">
      <c r="B17" s="781"/>
      <c r="C17" s="678"/>
      <c r="D17" s="47"/>
      <c r="E17" s="47"/>
      <c r="F17" s="47"/>
      <c r="G17" s="47"/>
      <c r="H17" s="47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>
        <f t="shared" ref="U17:U46" si="5">+SUM(I17:T17)</f>
        <v>0</v>
      </c>
    </row>
    <row r="18" spans="2:21">
      <c r="B18" s="781"/>
      <c r="C18" s="678"/>
      <c r="D18" s="47"/>
      <c r="E18" s="47"/>
      <c r="F18" s="47"/>
      <c r="G18" s="47"/>
      <c r="H18" s="47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>
        <f t="shared" si="5"/>
        <v>0</v>
      </c>
    </row>
    <row r="19" spans="2:21">
      <c r="B19" s="781"/>
      <c r="C19" s="678"/>
      <c r="D19" s="47"/>
      <c r="E19" s="47"/>
      <c r="F19" s="47"/>
      <c r="G19" s="47"/>
      <c r="H19" s="47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>
        <f t="shared" si="5"/>
        <v>0</v>
      </c>
    </row>
    <row r="20" spans="2:21">
      <c r="B20" s="781"/>
      <c r="C20" s="678"/>
      <c r="D20" s="47"/>
      <c r="E20" s="47"/>
      <c r="F20" s="47"/>
      <c r="G20" s="47"/>
      <c r="H20" s="47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>
        <f t="shared" si="5"/>
        <v>0</v>
      </c>
    </row>
    <row r="21" spans="2:21">
      <c r="B21" s="781"/>
      <c r="C21" s="678"/>
      <c r="D21" s="47"/>
      <c r="E21" s="47"/>
      <c r="F21" s="47"/>
      <c r="G21" s="47"/>
      <c r="H21" s="47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>
        <f t="shared" si="5"/>
        <v>0</v>
      </c>
    </row>
    <row r="22" spans="2:21">
      <c r="B22" s="781"/>
      <c r="C22" s="678"/>
      <c r="D22" s="47"/>
      <c r="E22" s="47"/>
      <c r="F22" s="47"/>
      <c r="G22" s="47"/>
      <c r="H22" s="47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>
        <f t="shared" si="5"/>
        <v>0</v>
      </c>
    </row>
    <row r="23" spans="2:21">
      <c r="B23" s="781"/>
      <c r="C23" s="678"/>
      <c r="D23" s="47"/>
      <c r="E23" s="47"/>
      <c r="F23" s="47"/>
      <c r="G23" s="47"/>
      <c r="H23" s="47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>
        <f t="shared" si="5"/>
        <v>0</v>
      </c>
    </row>
    <row r="24" spans="2:21">
      <c r="B24" s="781"/>
      <c r="C24" s="678"/>
      <c r="D24" s="47"/>
      <c r="E24" s="47"/>
      <c r="F24" s="47"/>
      <c r="G24" s="47"/>
      <c r="H24" s="47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>
        <f t="shared" si="5"/>
        <v>0</v>
      </c>
    </row>
    <row r="25" spans="2:21">
      <c r="B25" s="781"/>
      <c r="C25" s="678"/>
      <c r="D25" s="47"/>
      <c r="E25" s="47"/>
      <c r="F25" s="47"/>
      <c r="G25" s="47"/>
      <c r="H25" s="47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>
        <f t="shared" si="5"/>
        <v>0</v>
      </c>
    </row>
    <row r="26" spans="2:21">
      <c r="B26" s="781"/>
      <c r="C26" s="680"/>
      <c r="D26" s="47"/>
      <c r="E26" s="47"/>
      <c r="F26" s="47"/>
      <c r="G26" s="47"/>
      <c r="H26" s="47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>
        <f t="shared" si="5"/>
        <v>0</v>
      </c>
    </row>
    <row r="27" ht="15" spans="3:21">
      <c r="C27" s="537" t="s">
        <v>211</v>
      </c>
      <c r="D27" s="540"/>
      <c r="E27" s="55">
        <f>SUM(E9:E26)</f>
        <v>8042.5</v>
      </c>
      <c r="F27" s="55">
        <f t="shared" ref="F27:T27" si="6">SUM(F9:F26)</f>
        <v>0</v>
      </c>
      <c r="G27" s="55">
        <f t="shared" si="6"/>
        <v>8042.5</v>
      </c>
      <c r="H27" s="55">
        <f t="shared" si="6"/>
        <v>5673.98375</v>
      </c>
      <c r="I27" s="55">
        <f t="shared" si="6"/>
        <v>3477.760839</v>
      </c>
      <c r="J27" s="55">
        <f t="shared" si="6"/>
        <v>3593.6862003</v>
      </c>
      <c r="K27" s="55">
        <f t="shared" si="6"/>
        <v>3477.760839</v>
      </c>
      <c r="L27" s="55">
        <f t="shared" si="6"/>
        <v>3593.6862003</v>
      </c>
      <c r="M27" s="55">
        <f t="shared" si="6"/>
        <v>3593.6862003</v>
      </c>
      <c r="N27" s="55">
        <f t="shared" si="6"/>
        <v>3477.760839</v>
      </c>
      <c r="O27" s="55">
        <f t="shared" si="6"/>
        <v>3593.6862003</v>
      </c>
      <c r="P27" s="55">
        <f t="shared" si="6"/>
        <v>3477.760839</v>
      </c>
      <c r="Q27" s="55">
        <f t="shared" si="6"/>
        <v>3593.6862003</v>
      </c>
      <c r="R27" s="55">
        <f t="shared" si="6"/>
        <v>3593.6862003</v>
      </c>
      <c r="S27" s="55">
        <f t="shared" si="6"/>
        <v>3245.9101164</v>
      </c>
      <c r="T27" s="55">
        <f t="shared" si="6"/>
        <v>3593.6862003</v>
      </c>
      <c r="U27" s="316">
        <f>SUM(I27:T27)</f>
        <v>42312.7568745</v>
      </c>
    </row>
    <row r="28" ht="15" spans="3:21">
      <c r="C28" s="44" t="s">
        <v>360</v>
      </c>
      <c r="D28" s="4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</row>
    <row r="29" spans="2:21">
      <c r="B29" s="782" t="s">
        <v>457</v>
      </c>
      <c r="C29" s="689" t="s">
        <v>351</v>
      </c>
      <c r="D29" s="312" t="s">
        <v>361</v>
      </c>
      <c r="E29" s="55">
        <f>[45]Gen!$DB$38</f>
        <v>234</v>
      </c>
      <c r="F29" s="55"/>
      <c r="G29" s="55">
        <v>234</v>
      </c>
      <c r="H29" s="147">
        <f t="shared" ref="H29:H39" si="7">G29*0.7055</f>
        <v>165.087</v>
      </c>
      <c r="I29" s="147">
        <f>'F11-Year(n+2)'!E30</f>
        <v>13.6558963760433</v>
      </c>
      <c r="J29" s="147">
        <f>'F11-Year(n+2)'!F30</f>
        <v>14.6332268089918</v>
      </c>
      <c r="K29" s="147">
        <f>'F11-Year(n+2)'!G30</f>
        <v>15.1607315774481</v>
      </c>
      <c r="L29" s="147">
        <f>'F11-Year(n+2)'!H30</f>
        <v>33.1447843607606</v>
      </c>
      <c r="M29" s="147">
        <f>'F11-Year(n+2)'!I30</f>
        <v>77.8179030631386</v>
      </c>
      <c r="N29" s="147">
        <f>'F11-Year(n+2)'!J30</f>
        <v>39.3032056594315</v>
      </c>
      <c r="O29" s="147">
        <f>'F11-Year(n+2)'!K30</f>
        <v>43.3220745295384</v>
      </c>
      <c r="P29" s="147">
        <f>'F11-Year(n+2)'!L30</f>
        <v>14.8585761099334</v>
      </c>
      <c r="Q29" s="147">
        <f>'F11-Year(n+2)'!M30</f>
        <v>25.4899614628657</v>
      </c>
      <c r="R29" s="147">
        <f>'F11-Year(n+2)'!N30</f>
        <v>48.6383529298775</v>
      </c>
      <c r="S29" s="147">
        <f>'F11-Year(n+2)'!O30</f>
        <v>43.6826784614609</v>
      </c>
      <c r="T29" s="147">
        <f>'F11-Year(n+2)'!P30</f>
        <v>20.2907265078925</v>
      </c>
      <c r="U29" s="55">
        <f t="shared" si="5"/>
        <v>389.998117847382</v>
      </c>
    </row>
    <row r="30" spans="2:21">
      <c r="B30" s="782"/>
      <c r="C30" s="691"/>
      <c r="D30" s="312" t="s">
        <v>362</v>
      </c>
      <c r="E30" s="147">
        <v>875.6</v>
      </c>
      <c r="F30" s="55"/>
      <c r="G30" s="55"/>
      <c r="H30" s="147">
        <f t="shared" si="7"/>
        <v>0</v>
      </c>
      <c r="I30" s="147">
        <f>'F11-Year(n+2)'!E31</f>
        <v>47.5972183089783</v>
      </c>
      <c r="J30" s="147">
        <f>'F11-Year(n+2)'!F31</f>
        <v>51.0036742966399</v>
      </c>
      <c r="K30" s="147">
        <f>'F11-Year(n+2)'!G31</f>
        <v>52.8422763870372</v>
      </c>
      <c r="L30" s="147">
        <f>'F11-Year(n+2)'!H31</f>
        <v>115.525154378788</v>
      </c>
      <c r="M30" s="147">
        <f>'F11-Year(n+2)'!I31</f>
        <v>271.231973240581</v>
      </c>
      <c r="N30" s="147">
        <f>'F11-Year(n+2)'!J31</f>
        <v>136.990147589027</v>
      </c>
      <c r="O30" s="147">
        <f>'F11-Year(n+2)'!K31</f>
        <v>150.997794813212</v>
      </c>
      <c r="P30" s="147">
        <f>'F11-Year(n+2)'!L31</f>
        <v>51.7891225438534</v>
      </c>
      <c r="Q30" s="147">
        <f>'F11-Year(n+2)'!M31</f>
        <v>88.8444981586038</v>
      </c>
      <c r="R30" s="147">
        <f>'F11-Year(n+2)'!N31</f>
        <v>169.527524143624</v>
      </c>
      <c r="S30" s="147">
        <f>'F11-Year(n+2)'!O31</f>
        <v>152.25466903063</v>
      </c>
      <c r="T30" s="147">
        <f>'F11-Year(n+2)'!P31</f>
        <v>70.722720255714</v>
      </c>
      <c r="U30" s="55">
        <f t="shared" si="5"/>
        <v>1359.32677314669</v>
      </c>
    </row>
    <row r="31" spans="2:21">
      <c r="B31" s="782"/>
      <c r="C31" s="691"/>
      <c r="D31" s="312" t="s">
        <v>363</v>
      </c>
      <c r="E31" s="146">
        <v>900</v>
      </c>
      <c r="F31" s="55"/>
      <c r="G31" s="55"/>
      <c r="H31" s="147">
        <f t="shared" si="7"/>
        <v>0</v>
      </c>
      <c r="I31" s="147">
        <f>'F11-Year(n+2)'!E32</f>
        <v>52.5226783693973</v>
      </c>
      <c r="J31" s="147">
        <f>'F11-Year(n+2)'!F32</f>
        <v>56.2816415730455</v>
      </c>
      <c r="K31" s="147">
        <f>'F11-Year(n+2)'!G32</f>
        <v>58.3105060671082</v>
      </c>
      <c r="L31" s="147">
        <f>'F11-Year(n+2)'!H32</f>
        <v>127.479939849079</v>
      </c>
      <c r="M31" s="147">
        <f>'F11-Year(n+2)'!I32</f>
        <v>299.299627165918</v>
      </c>
      <c r="N31" s="147">
        <f>'F11-Year(n+2)'!J32</f>
        <v>151.166175613198</v>
      </c>
      <c r="O31" s="147">
        <f>'F11-Year(n+2)'!K32</f>
        <v>166.623363575148</v>
      </c>
      <c r="P31" s="147">
        <f>'F11-Year(n+2)'!L32</f>
        <v>57.14836965359</v>
      </c>
      <c r="Q31" s="147">
        <f>'F11-Year(n+2)'!M32</f>
        <v>98.0383133187144</v>
      </c>
      <c r="R31" s="147">
        <f>'F11-Year(n+2)'!N32</f>
        <v>187.070588191837</v>
      </c>
      <c r="S31" s="147">
        <f>'F11-Year(n+2)'!O32</f>
        <v>168.010301774849</v>
      </c>
      <c r="T31" s="147">
        <f>'F11-Year(n+2)'!P32</f>
        <v>78.0412557995862</v>
      </c>
      <c r="U31" s="55">
        <f t="shared" si="5"/>
        <v>1499.99276095147</v>
      </c>
    </row>
    <row r="32" spans="2:21">
      <c r="B32" s="782"/>
      <c r="C32" s="691"/>
      <c r="D32" s="312" t="s">
        <v>364</v>
      </c>
      <c r="E32" s="55">
        <f>[45]Gen!$DB$39</f>
        <v>240</v>
      </c>
      <c r="F32" s="55"/>
      <c r="G32" s="55">
        <v>240</v>
      </c>
      <c r="H32" s="147">
        <f t="shared" si="7"/>
        <v>169.32</v>
      </c>
      <c r="I32" s="147">
        <f>'F11-Year(n+2)'!E33</f>
        <v>14.0060475651726</v>
      </c>
      <c r="J32" s="147">
        <f>'F11-Year(n+2)'!F33</f>
        <v>15.0084377528122</v>
      </c>
      <c r="K32" s="147">
        <f>'F11-Year(n+2)'!G33</f>
        <v>15.5494682845622</v>
      </c>
      <c r="L32" s="147">
        <f>'F11-Year(n+2)'!H33</f>
        <v>33.9946506264211</v>
      </c>
      <c r="M32" s="147">
        <f>'F11-Year(n+2)'!I33</f>
        <v>79.8132339109116</v>
      </c>
      <c r="N32" s="147">
        <f>'F11-Year(n+2)'!J33</f>
        <v>40.3109801635195</v>
      </c>
      <c r="O32" s="147">
        <f>'F11-Year(n+2)'!K33</f>
        <v>44.4328969533728</v>
      </c>
      <c r="P32" s="147">
        <f>'F11-Year(n+2)'!L33</f>
        <v>15.2395652409574</v>
      </c>
      <c r="Q32" s="147">
        <f>'F11-Year(n+2)'!M33</f>
        <v>26.1435502183238</v>
      </c>
      <c r="R32" s="147">
        <f>'F11-Year(n+2)'!N33</f>
        <v>49.8854901844897</v>
      </c>
      <c r="S32" s="147">
        <f>'F11-Year(n+2)'!O33</f>
        <v>44.8027471399599</v>
      </c>
      <c r="T32" s="147">
        <f>'F11-Year(n+2)'!P33</f>
        <v>20.8110015465563</v>
      </c>
      <c r="U32" s="55">
        <f t="shared" si="5"/>
        <v>399.998069587059</v>
      </c>
    </row>
    <row r="33" spans="2:21">
      <c r="B33" s="782"/>
      <c r="C33" s="691"/>
      <c r="D33" s="312" t="s">
        <v>365</v>
      </c>
      <c r="E33" s="55">
        <f>[45]Gen!$DB$41</f>
        <v>120</v>
      </c>
      <c r="F33" s="55"/>
      <c r="G33" s="55">
        <v>120</v>
      </c>
      <c r="H33" s="147">
        <f t="shared" si="7"/>
        <v>84.66</v>
      </c>
      <c r="I33" s="147">
        <f>'F11-Year(n+2)'!E34</f>
        <v>7.00302378258632</v>
      </c>
      <c r="J33" s="147">
        <f>'F11-Year(n+2)'!F34</f>
        <v>7.50421887640608</v>
      </c>
      <c r="K33" s="147">
        <f>'F11-Year(n+2)'!G34</f>
        <v>7.77473414228108</v>
      </c>
      <c r="L33" s="147">
        <f>'F11-Year(n+2)'!H34</f>
        <v>16.9973253132106</v>
      </c>
      <c r="M33" s="147">
        <f>'F11-Year(n+2)'!I34</f>
        <v>39.9066169554558</v>
      </c>
      <c r="N33" s="147">
        <f>'F11-Year(n+2)'!J34</f>
        <v>20.1554900817597</v>
      </c>
      <c r="O33" s="147">
        <f>'F11-Year(n+2)'!K34</f>
        <v>22.2164484766864</v>
      </c>
      <c r="P33" s="147">
        <f>'F11-Year(n+2)'!L34</f>
        <v>7.61978262047868</v>
      </c>
      <c r="Q33" s="147">
        <f>'F11-Year(n+2)'!M34</f>
        <v>13.0717751091619</v>
      </c>
      <c r="R33" s="147">
        <f>'F11-Year(n+2)'!N34</f>
        <v>24.9427450922448</v>
      </c>
      <c r="S33" s="147">
        <f>'F11-Year(n+2)'!O34</f>
        <v>22.4013735699799</v>
      </c>
      <c r="T33" s="147">
        <f>'F11-Year(n+2)'!P34</f>
        <v>10.4055007732782</v>
      </c>
      <c r="U33" s="55">
        <f t="shared" si="5"/>
        <v>199.999034793529</v>
      </c>
    </row>
    <row r="34" spans="2:21">
      <c r="B34" s="782"/>
      <c r="C34" s="691"/>
      <c r="D34" s="312" t="s">
        <v>366</v>
      </c>
      <c r="E34" s="55">
        <f>[45]Gen!$DB$40</f>
        <v>9</v>
      </c>
      <c r="F34" s="55"/>
      <c r="G34" s="55">
        <v>9</v>
      </c>
      <c r="H34" s="147">
        <f t="shared" si="7"/>
        <v>6.3495</v>
      </c>
      <c r="I34" s="147">
        <f>'F11-Year(n+2)'!E35</f>
        <v>1.05045356738795</v>
      </c>
      <c r="J34" s="147">
        <f>'F11-Year(n+2)'!F35</f>
        <v>1.12563283146091</v>
      </c>
      <c r="K34" s="147">
        <f>'F11-Year(n+2)'!G35</f>
        <v>1.16621012134216</v>
      </c>
      <c r="L34" s="147">
        <f>'F11-Year(n+2)'!H35</f>
        <v>2.54959879698158</v>
      </c>
      <c r="M34" s="147">
        <f>'F11-Year(n+2)'!I35</f>
        <v>5.98599254331836</v>
      </c>
      <c r="N34" s="147">
        <f>'F11-Year(n+2)'!J35</f>
        <v>3.02332351226396</v>
      </c>
      <c r="O34" s="147">
        <f>'F11-Year(n+2)'!K35</f>
        <v>3.33246727150296</v>
      </c>
      <c r="P34" s="147">
        <f>'F11-Year(n+2)'!L35</f>
        <v>1.1429673930718</v>
      </c>
      <c r="Q34" s="147">
        <f>'F11-Year(n+2)'!M35</f>
        <v>1.96076626637429</v>
      </c>
      <c r="R34" s="147">
        <f>'F11-Year(n+2)'!N35</f>
        <v>3.74141176383672</v>
      </c>
      <c r="S34" s="147">
        <f>'F11-Year(n+2)'!O35</f>
        <v>3.360206035497</v>
      </c>
      <c r="T34" s="147">
        <f>'F11-Year(n+2)'!P35</f>
        <v>1.56082511599173</v>
      </c>
      <c r="U34" s="55">
        <f t="shared" si="5"/>
        <v>29.9998552190294</v>
      </c>
    </row>
    <row r="35" spans="2:21">
      <c r="B35" s="782"/>
      <c r="C35" s="691"/>
      <c r="D35" s="779" t="s">
        <v>445</v>
      </c>
      <c r="E35" s="55">
        <f>[45]Gen!$DB$32</f>
        <v>815.6</v>
      </c>
      <c r="F35" s="55"/>
      <c r="G35" s="55">
        <v>815.6</v>
      </c>
      <c r="H35" s="147">
        <f t="shared" si="7"/>
        <v>575.4058</v>
      </c>
      <c r="I35" s="147">
        <f>'F11-Year(n+2)'!E36</f>
        <v>3.50151189129316</v>
      </c>
      <c r="J35" s="147">
        <f>'F11-Year(n+2)'!F36</f>
        <v>3.75210943820304</v>
      </c>
      <c r="K35" s="147">
        <f>'F11-Year(n+2)'!G36</f>
        <v>3.88736707114054</v>
      </c>
      <c r="L35" s="147">
        <f>'F11-Year(n+2)'!H36</f>
        <v>8.49866265660528</v>
      </c>
      <c r="M35" s="147">
        <f>'F11-Year(n+2)'!I36</f>
        <v>19.9533084777279</v>
      </c>
      <c r="N35" s="147">
        <f>'F11-Year(n+2)'!J36</f>
        <v>10.0777450408799</v>
      </c>
      <c r="O35" s="147">
        <f>'F11-Year(n+2)'!K36</f>
        <v>11.1082242383432</v>
      </c>
      <c r="P35" s="147">
        <f>'F11-Year(n+2)'!L36</f>
        <v>3.80989131023934</v>
      </c>
      <c r="Q35" s="147">
        <f>'F11-Year(n+2)'!M36</f>
        <v>6.53588755458096</v>
      </c>
      <c r="R35" s="147">
        <f>'F11-Year(n+2)'!N36</f>
        <v>12.4713725461224</v>
      </c>
      <c r="S35" s="147">
        <f>'F11-Year(n+2)'!O36</f>
        <v>11.20068678499</v>
      </c>
      <c r="T35" s="147">
        <f>'F11-Year(n+2)'!P36</f>
        <v>5.20275038663908</v>
      </c>
      <c r="U35" s="55">
        <f t="shared" si="5"/>
        <v>99.9995173967647</v>
      </c>
    </row>
    <row r="36" spans="2:21">
      <c r="B36" s="782"/>
      <c r="C36" s="691"/>
      <c r="D36" s="779" t="s">
        <v>446</v>
      </c>
      <c r="E36" s="55">
        <f>[45]Gen!$DB$36</f>
        <v>15</v>
      </c>
      <c r="F36" s="55"/>
      <c r="G36" s="55">
        <v>15</v>
      </c>
      <c r="H36" s="147">
        <f t="shared" si="7"/>
        <v>10.5825</v>
      </c>
      <c r="I36" s="147">
        <f>'F11-Year(n+2)'!E37</f>
        <v>0.875377972823288</v>
      </c>
      <c r="J36" s="147">
        <f>'F11-Year(n+2)'!F37</f>
        <v>0.93802735955076</v>
      </c>
      <c r="K36" s="147">
        <f>'F11-Year(n+2)'!G37</f>
        <v>0.971841767785136</v>
      </c>
      <c r="L36" s="147">
        <f>'F11-Year(n+2)'!H37</f>
        <v>2.12466566415132</v>
      </c>
      <c r="M36" s="147">
        <f>'F11-Year(n+2)'!I37</f>
        <v>4.98832711943196</v>
      </c>
      <c r="N36" s="147">
        <f>'F11-Year(n+2)'!J37</f>
        <v>2.51943626021996</v>
      </c>
      <c r="O36" s="147">
        <f>'F11-Year(n+2)'!K37</f>
        <v>2.7770560595858</v>
      </c>
      <c r="P36" s="147">
        <f>'F11-Year(n+2)'!L37</f>
        <v>0.952472827559834</v>
      </c>
      <c r="Q36" s="147">
        <f>'F11-Year(n+2)'!M37</f>
        <v>1.63397188864524</v>
      </c>
      <c r="R36" s="147">
        <f>'F11-Year(n+2)'!N37</f>
        <v>3.1178431365306</v>
      </c>
      <c r="S36" s="147">
        <f>'F11-Year(n+2)'!O37</f>
        <v>2.8001716962475</v>
      </c>
      <c r="T36" s="147">
        <f>'F11-Year(n+2)'!P37</f>
        <v>1.30068759665977</v>
      </c>
      <c r="U36" s="55">
        <f t="shared" si="5"/>
        <v>24.9998793491912</v>
      </c>
    </row>
    <row r="37" spans="2:21">
      <c r="B37" s="782"/>
      <c r="C37" s="691"/>
      <c r="D37" s="779" t="s">
        <v>447</v>
      </c>
      <c r="E37" s="55">
        <f>[45]Gen!$DB$37</f>
        <v>900</v>
      </c>
      <c r="F37" s="55"/>
      <c r="G37" s="55">
        <v>900</v>
      </c>
      <c r="H37" s="147">
        <f t="shared" si="7"/>
        <v>634.95</v>
      </c>
      <c r="I37" s="147">
        <f>'F11-Year(n+2)'!E38</f>
        <v>0</v>
      </c>
      <c r="J37" s="147">
        <f>'F11-Year(n+2)'!F38</f>
        <v>0</v>
      </c>
      <c r="K37" s="147">
        <f>'F11-Year(n+2)'!G38</f>
        <v>0</v>
      </c>
      <c r="L37" s="147">
        <f>'F11-Year(n+2)'!H38</f>
        <v>0</v>
      </c>
      <c r="M37" s="147">
        <f>'F11-Year(n+2)'!I38</f>
        <v>0</v>
      </c>
      <c r="N37" s="147">
        <f>'F11-Year(n+2)'!J38</f>
        <v>0</v>
      </c>
      <c r="O37" s="147">
        <f>'F11-Year(n+2)'!K38</f>
        <v>0</v>
      </c>
      <c r="P37" s="147">
        <f>'F11-Year(n+2)'!L38</f>
        <v>0</v>
      </c>
      <c r="Q37" s="147">
        <f>'F11-Year(n+2)'!M38</f>
        <v>0</v>
      </c>
      <c r="R37" s="147">
        <f>'F11-Year(n+2)'!N38</f>
        <v>0</v>
      </c>
      <c r="S37" s="147">
        <f>'F11-Year(n+2)'!O38</f>
        <v>0</v>
      </c>
      <c r="T37" s="147">
        <f>'F11-Year(n+2)'!P38</f>
        <v>0</v>
      </c>
      <c r="U37" s="55">
        <f t="shared" si="5"/>
        <v>0</v>
      </c>
    </row>
    <row r="38" spans="2:21">
      <c r="B38" s="782"/>
      <c r="C38" s="691"/>
      <c r="D38" s="312" t="s">
        <v>448</v>
      </c>
      <c r="E38" s="55"/>
      <c r="F38" s="55"/>
      <c r="G38" s="55">
        <v>27</v>
      </c>
      <c r="H38" s="147">
        <f t="shared" si="7"/>
        <v>19.0485</v>
      </c>
      <c r="I38" s="147">
        <f>'F11-Year(n+2)'!E39</f>
        <v>1.05045356738795</v>
      </c>
      <c r="J38" s="147">
        <f>'F11-Year(n+2)'!F39</f>
        <v>1.12563283146091</v>
      </c>
      <c r="K38" s="147">
        <f>'F11-Year(n+2)'!G39</f>
        <v>1.16621012134216</v>
      </c>
      <c r="L38" s="147">
        <f>'F11-Year(n+2)'!H39</f>
        <v>2.54959879698158</v>
      </c>
      <c r="M38" s="147">
        <f>'F11-Year(n+2)'!I39</f>
        <v>5.98599254331836</v>
      </c>
      <c r="N38" s="147">
        <f>'F11-Year(n+2)'!J39</f>
        <v>3.02332351226396</v>
      </c>
      <c r="O38" s="147">
        <f>'F11-Year(n+2)'!K39</f>
        <v>3.33246727150296</v>
      </c>
      <c r="P38" s="147">
        <f>'F11-Year(n+2)'!L39</f>
        <v>1.1429673930718</v>
      </c>
      <c r="Q38" s="147">
        <f>'F11-Year(n+2)'!M39</f>
        <v>1.96076626637429</v>
      </c>
      <c r="R38" s="147">
        <f>'F11-Year(n+2)'!N39</f>
        <v>3.74141176383672</v>
      </c>
      <c r="S38" s="147">
        <f>'F11-Year(n+2)'!O39</f>
        <v>3.360206035497</v>
      </c>
      <c r="T38" s="147">
        <f>'F11-Year(n+2)'!P39</f>
        <v>1.56082511599173</v>
      </c>
      <c r="U38" s="55">
        <f t="shared" si="5"/>
        <v>29.9998552190294</v>
      </c>
    </row>
    <row r="39" spans="2:21">
      <c r="B39" s="782"/>
      <c r="C39" s="691"/>
      <c r="D39" s="312" t="s">
        <v>449</v>
      </c>
      <c r="E39" s="55"/>
      <c r="F39" s="55"/>
      <c r="G39" s="55">
        <v>10</v>
      </c>
      <c r="H39" s="147">
        <f t="shared" si="7"/>
        <v>7.055</v>
      </c>
      <c r="I39" s="147">
        <f>'F11-Year(n+2)'!E40</f>
        <v>0.583585315215526</v>
      </c>
      <c r="J39" s="147">
        <f>'F11-Year(n+2)'!F40</f>
        <v>0.62535157303384</v>
      </c>
      <c r="K39" s="147">
        <f>'F11-Year(n+2)'!G40</f>
        <v>0.647894511856758</v>
      </c>
      <c r="L39" s="147">
        <f>'F11-Year(n+2)'!H40</f>
        <v>1.41644377610088</v>
      </c>
      <c r="M39" s="147">
        <f>'F11-Year(n+2)'!I40</f>
        <v>3.32555141295464</v>
      </c>
      <c r="N39" s="147">
        <f>'F11-Year(n+2)'!J40</f>
        <v>1.67962417347998</v>
      </c>
      <c r="O39" s="147">
        <f>'F11-Year(n+2)'!K40</f>
        <v>1.85137070639053</v>
      </c>
      <c r="P39" s="147">
        <f>'F11-Year(n+2)'!L40</f>
        <v>0.634981885039888</v>
      </c>
      <c r="Q39" s="147">
        <f>'F11-Year(n+2)'!M40</f>
        <v>1.08931459243016</v>
      </c>
      <c r="R39" s="147">
        <f>'F11-Year(n+2)'!N40</f>
        <v>2.0785620910204</v>
      </c>
      <c r="S39" s="147">
        <f>'F11-Year(n+2)'!O40</f>
        <v>1.86678113083166</v>
      </c>
      <c r="T39" s="147">
        <f>'F11-Year(n+2)'!P40</f>
        <v>0.867125064439848</v>
      </c>
      <c r="U39" s="55">
        <f t="shared" si="5"/>
        <v>16.6665862327941</v>
      </c>
    </row>
    <row r="40" spans="2:21">
      <c r="B40" s="782"/>
      <c r="C40" s="691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>
        <f t="shared" si="5"/>
        <v>0</v>
      </c>
    </row>
    <row r="41" spans="2:21">
      <c r="B41" s="782"/>
      <c r="C41" s="691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>
        <f t="shared" si="5"/>
        <v>0</v>
      </c>
    </row>
    <row r="42" spans="2:21">
      <c r="B42" s="782"/>
      <c r="C42" s="691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>
        <f t="shared" si="5"/>
        <v>0</v>
      </c>
    </row>
    <row r="43" spans="2:21">
      <c r="B43" s="782"/>
      <c r="C43" s="691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>
        <f t="shared" si="5"/>
        <v>0</v>
      </c>
    </row>
    <row r="44" spans="2:21">
      <c r="B44" s="782"/>
      <c r="C44" s="691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>
        <f t="shared" si="5"/>
        <v>0</v>
      </c>
    </row>
    <row r="45" spans="2:21">
      <c r="B45" s="782"/>
      <c r="C45" s="691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>
        <f t="shared" si="5"/>
        <v>0</v>
      </c>
    </row>
    <row r="46" spans="2:21">
      <c r="B46" s="782"/>
      <c r="C46" s="692"/>
      <c r="D46" s="67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>
        <f t="shared" si="5"/>
        <v>0</v>
      </c>
    </row>
    <row r="47" ht="15" spans="3:21">
      <c r="C47" s="537" t="s">
        <v>211</v>
      </c>
      <c r="D47" s="540"/>
      <c r="E47" s="55">
        <f>SUM(E29:E46)</f>
        <v>4109.2</v>
      </c>
      <c r="F47" s="55">
        <f t="shared" ref="F47:T47" si="8">SUM(F29:F46)</f>
        <v>0</v>
      </c>
      <c r="G47" s="55">
        <f t="shared" si="8"/>
        <v>2370.6</v>
      </c>
      <c r="H47" s="55">
        <f t="shared" si="8"/>
        <v>1672.4583</v>
      </c>
      <c r="I47" s="55">
        <f t="shared" si="8"/>
        <v>141.846246716286</v>
      </c>
      <c r="J47" s="55">
        <f t="shared" si="8"/>
        <v>151.997953341605</v>
      </c>
      <c r="K47" s="55">
        <f t="shared" si="8"/>
        <v>157.477240051903</v>
      </c>
      <c r="L47" s="55">
        <f t="shared" si="8"/>
        <v>344.28082421908</v>
      </c>
      <c r="M47" s="55">
        <f t="shared" si="8"/>
        <v>808.308526432756</v>
      </c>
      <c r="N47" s="55">
        <f t="shared" si="8"/>
        <v>408.249451606043</v>
      </c>
      <c r="O47" s="55">
        <f t="shared" si="8"/>
        <v>449.994163895283</v>
      </c>
      <c r="P47" s="55">
        <f t="shared" si="8"/>
        <v>154.338696977795</v>
      </c>
      <c r="Q47" s="55">
        <f t="shared" si="8"/>
        <v>264.768804836075</v>
      </c>
      <c r="R47" s="55">
        <f t="shared" si="8"/>
        <v>505.21530184342</v>
      </c>
      <c r="S47" s="55">
        <f t="shared" si="8"/>
        <v>453.739821659943</v>
      </c>
      <c r="T47" s="55">
        <f t="shared" si="8"/>
        <v>210.763418162749</v>
      </c>
      <c r="U47" s="316">
        <f>SUM(I47:T47)</f>
        <v>4050.98044974294</v>
      </c>
    </row>
    <row r="48" ht="15" spans="3:21">
      <c r="C48" s="44" t="s">
        <v>369</v>
      </c>
      <c r="D48" s="45"/>
      <c r="E48" s="55">
        <f>E27+E47</f>
        <v>12151.7</v>
      </c>
      <c r="F48" s="55">
        <f t="shared" ref="F48:U48" si="9">F27+F47</f>
        <v>0</v>
      </c>
      <c r="G48" s="55">
        <f t="shared" si="9"/>
        <v>10413.1</v>
      </c>
      <c r="H48" s="55">
        <f t="shared" si="9"/>
        <v>7346.44205</v>
      </c>
      <c r="I48" s="55">
        <f t="shared" si="9"/>
        <v>3619.60708571629</v>
      </c>
      <c r="J48" s="55">
        <f t="shared" si="9"/>
        <v>3745.6841536416</v>
      </c>
      <c r="K48" s="55">
        <f t="shared" si="9"/>
        <v>3635.2380790519</v>
      </c>
      <c r="L48" s="55">
        <f t="shared" si="9"/>
        <v>3937.96702451908</v>
      </c>
      <c r="M48" s="55">
        <f t="shared" si="9"/>
        <v>4401.99472673276</v>
      </c>
      <c r="N48" s="55">
        <f t="shared" si="9"/>
        <v>3886.01029060604</v>
      </c>
      <c r="O48" s="55">
        <f t="shared" si="9"/>
        <v>4043.68036419528</v>
      </c>
      <c r="P48" s="55">
        <f t="shared" si="9"/>
        <v>3632.0995359778</v>
      </c>
      <c r="Q48" s="55">
        <f t="shared" si="9"/>
        <v>3858.45500513607</v>
      </c>
      <c r="R48" s="55">
        <f t="shared" si="9"/>
        <v>4098.90150214342</v>
      </c>
      <c r="S48" s="55">
        <f t="shared" si="9"/>
        <v>3699.64993805994</v>
      </c>
      <c r="T48" s="55">
        <f t="shared" si="9"/>
        <v>3804.44961846275</v>
      </c>
      <c r="U48" s="316">
        <f t="shared" si="9"/>
        <v>46363.7373242429</v>
      </c>
    </row>
    <row r="49" ht="15" spans="3:21">
      <c r="C49" s="663" t="s">
        <v>370</v>
      </c>
      <c r="D49" s="676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</row>
    <row r="50" ht="15" spans="3:21">
      <c r="C50" s="44" t="s">
        <v>350</v>
      </c>
      <c r="D50" s="4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</row>
    <row r="51" spans="2:21">
      <c r="B51" s="783" t="s">
        <v>456</v>
      </c>
      <c r="C51" s="689" t="s">
        <v>371</v>
      </c>
      <c r="D51" s="55" t="s">
        <v>372</v>
      </c>
      <c r="E51" s="55">
        <v>2100</v>
      </c>
      <c r="F51" s="55"/>
      <c r="G51" s="55">
        <v>352.5</v>
      </c>
      <c r="H51" s="147">
        <f t="shared" ref="H51:H59" si="10">G51*0.7055</f>
        <v>248.68875</v>
      </c>
      <c r="I51" s="147">
        <f t="shared" ref="I51:I67" si="11">$H51*0.85*30*24/1000</f>
        <v>152.197515</v>
      </c>
      <c r="J51" s="147">
        <f t="shared" ref="J51:J67" si="12">$H51*0.85*31*24/1000</f>
        <v>157.2707655</v>
      </c>
      <c r="K51" s="147">
        <f t="shared" ref="K51:K67" si="13">$H51*0.85*30*24/1000</f>
        <v>152.197515</v>
      </c>
      <c r="L51" s="147">
        <f t="shared" ref="L51:M67" si="14">$H51*0.85*31*24/1000</f>
        <v>157.2707655</v>
      </c>
      <c r="M51" s="147">
        <f t="shared" si="14"/>
        <v>157.2707655</v>
      </c>
      <c r="N51" s="147">
        <f t="shared" ref="N51:N67" si="15">$H51*0.85*30*24/1000</f>
        <v>152.197515</v>
      </c>
      <c r="O51" s="147">
        <f t="shared" ref="O51:O67" si="16">$H51*0.85*31*24/1000</f>
        <v>157.2707655</v>
      </c>
      <c r="P51" s="147">
        <f t="shared" ref="P51:P67" si="17">$H51*0.85*30*24/1000</f>
        <v>152.197515</v>
      </c>
      <c r="Q51" s="147">
        <f t="shared" ref="Q51:R67" si="18">$H51*0.85*31*24/1000</f>
        <v>157.2707655</v>
      </c>
      <c r="R51" s="147">
        <f t="shared" si="18"/>
        <v>157.2707655</v>
      </c>
      <c r="S51" s="147">
        <f t="shared" ref="S51:S67" si="19">$H51*0.85*28*24/1000</f>
        <v>142.051014</v>
      </c>
      <c r="T51" s="147">
        <f t="shared" ref="T51:T67" si="20">$H51*0.85*31*24/1000</f>
        <v>157.2707655</v>
      </c>
      <c r="U51" s="147">
        <f t="shared" ref="U51:U76" si="21">+SUM(I51:T51)</f>
        <v>1851.7364325</v>
      </c>
    </row>
    <row r="52" spans="2:21">
      <c r="B52" s="783"/>
      <c r="C52" s="691"/>
      <c r="D52" s="55" t="s">
        <v>373</v>
      </c>
      <c r="E52" s="55">
        <v>500</v>
      </c>
      <c r="F52" s="55"/>
      <c r="G52" s="55">
        <v>88.5</v>
      </c>
      <c r="H52" s="147">
        <f t="shared" si="10"/>
        <v>62.43675</v>
      </c>
      <c r="I52" s="147">
        <f t="shared" si="11"/>
        <v>38.211291</v>
      </c>
      <c r="J52" s="147">
        <f t="shared" si="12"/>
        <v>39.4850007</v>
      </c>
      <c r="K52" s="147">
        <f t="shared" si="13"/>
        <v>38.211291</v>
      </c>
      <c r="L52" s="147">
        <f t="shared" si="14"/>
        <v>39.4850007</v>
      </c>
      <c r="M52" s="147">
        <f t="shared" si="14"/>
        <v>39.4850007</v>
      </c>
      <c r="N52" s="147">
        <f t="shared" si="15"/>
        <v>38.211291</v>
      </c>
      <c r="O52" s="147">
        <f t="shared" si="16"/>
        <v>39.4850007</v>
      </c>
      <c r="P52" s="147">
        <f t="shared" si="17"/>
        <v>38.211291</v>
      </c>
      <c r="Q52" s="147">
        <f t="shared" si="18"/>
        <v>39.4850007</v>
      </c>
      <c r="R52" s="147">
        <f t="shared" si="18"/>
        <v>39.4850007</v>
      </c>
      <c r="S52" s="147">
        <f t="shared" si="19"/>
        <v>35.6638716</v>
      </c>
      <c r="T52" s="147">
        <f t="shared" si="20"/>
        <v>39.4850007</v>
      </c>
      <c r="U52" s="147">
        <f t="shared" si="21"/>
        <v>464.9040405</v>
      </c>
    </row>
    <row r="53" spans="2:21">
      <c r="B53" s="783"/>
      <c r="C53" s="691"/>
      <c r="D53" s="55" t="s">
        <v>374</v>
      </c>
      <c r="E53" s="55">
        <v>2000</v>
      </c>
      <c r="F53" s="55"/>
      <c r="G53" s="55">
        <v>217.4</v>
      </c>
      <c r="H53" s="147">
        <f t="shared" si="10"/>
        <v>153.3757</v>
      </c>
      <c r="I53" s="147">
        <f t="shared" si="11"/>
        <v>93.8659284</v>
      </c>
      <c r="J53" s="147">
        <f t="shared" si="12"/>
        <v>96.99479268</v>
      </c>
      <c r="K53" s="147">
        <f t="shared" si="13"/>
        <v>93.8659284</v>
      </c>
      <c r="L53" s="147">
        <f t="shared" si="14"/>
        <v>96.99479268</v>
      </c>
      <c r="M53" s="147">
        <f t="shared" si="14"/>
        <v>96.99479268</v>
      </c>
      <c r="N53" s="147">
        <f t="shared" si="15"/>
        <v>93.8659284</v>
      </c>
      <c r="O53" s="147">
        <f t="shared" si="16"/>
        <v>96.99479268</v>
      </c>
      <c r="P53" s="147">
        <f t="shared" si="17"/>
        <v>93.8659284</v>
      </c>
      <c r="Q53" s="147">
        <f t="shared" si="18"/>
        <v>96.99479268</v>
      </c>
      <c r="R53" s="147">
        <f t="shared" si="18"/>
        <v>96.99479268</v>
      </c>
      <c r="S53" s="147">
        <f t="shared" si="19"/>
        <v>87.60819984</v>
      </c>
      <c r="T53" s="147">
        <f t="shared" si="20"/>
        <v>96.99479268</v>
      </c>
      <c r="U53" s="147">
        <f t="shared" si="21"/>
        <v>1142.0354622</v>
      </c>
    </row>
    <row r="54" spans="2:21">
      <c r="B54" s="783"/>
      <c r="C54" s="691"/>
      <c r="D54" s="55" t="s">
        <v>375</v>
      </c>
      <c r="E54" s="55">
        <v>1000</v>
      </c>
      <c r="F54" s="55"/>
      <c r="G54" s="55">
        <v>538.9</v>
      </c>
      <c r="H54" s="147">
        <f t="shared" si="10"/>
        <v>380.19395</v>
      </c>
      <c r="I54" s="147">
        <f t="shared" si="11"/>
        <v>232.6786974</v>
      </c>
      <c r="J54" s="147">
        <f t="shared" si="12"/>
        <v>240.43465398</v>
      </c>
      <c r="K54" s="147">
        <f t="shared" si="13"/>
        <v>232.6786974</v>
      </c>
      <c r="L54" s="147">
        <f t="shared" si="14"/>
        <v>240.43465398</v>
      </c>
      <c r="M54" s="147">
        <f t="shared" si="14"/>
        <v>240.43465398</v>
      </c>
      <c r="N54" s="147">
        <f t="shared" si="15"/>
        <v>232.6786974</v>
      </c>
      <c r="O54" s="147">
        <f t="shared" si="16"/>
        <v>240.43465398</v>
      </c>
      <c r="P54" s="147">
        <f t="shared" si="17"/>
        <v>232.6786974</v>
      </c>
      <c r="Q54" s="147">
        <f t="shared" si="18"/>
        <v>240.43465398</v>
      </c>
      <c r="R54" s="147">
        <f t="shared" si="18"/>
        <v>240.43465398</v>
      </c>
      <c r="S54" s="147">
        <f t="shared" si="19"/>
        <v>217.16678424</v>
      </c>
      <c r="T54" s="147">
        <f t="shared" si="20"/>
        <v>240.43465398</v>
      </c>
      <c r="U54" s="147">
        <f t="shared" si="21"/>
        <v>2830.9241517</v>
      </c>
    </row>
    <row r="55" spans="2:21">
      <c r="B55" s="783"/>
      <c r="C55" s="691"/>
      <c r="D55" s="55" t="s">
        <v>376</v>
      </c>
      <c r="E55" s="55">
        <v>1000</v>
      </c>
      <c r="F55" s="55"/>
      <c r="G55" s="55">
        <v>256.7</v>
      </c>
      <c r="H55" s="147">
        <f t="shared" si="10"/>
        <v>181.10185</v>
      </c>
      <c r="I55" s="147">
        <f t="shared" si="11"/>
        <v>110.8343322</v>
      </c>
      <c r="J55" s="147">
        <f t="shared" si="12"/>
        <v>114.52880994</v>
      </c>
      <c r="K55" s="147">
        <f t="shared" si="13"/>
        <v>110.8343322</v>
      </c>
      <c r="L55" s="147">
        <f t="shared" si="14"/>
        <v>114.52880994</v>
      </c>
      <c r="M55" s="147">
        <f t="shared" si="14"/>
        <v>114.52880994</v>
      </c>
      <c r="N55" s="147">
        <f t="shared" si="15"/>
        <v>110.8343322</v>
      </c>
      <c r="O55" s="147">
        <f t="shared" si="16"/>
        <v>114.52880994</v>
      </c>
      <c r="P55" s="147">
        <f t="shared" si="17"/>
        <v>110.8343322</v>
      </c>
      <c r="Q55" s="147">
        <f t="shared" si="18"/>
        <v>114.52880994</v>
      </c>
      <c r="R55" s="147">
        <f t="shared" si="18"/>
        <v>114.52880994</v>
      </c>
      <c r="S55" s="147">
        <f t="shared" si="19"/>
        <v>103.44537672</v>
      </c>
      <c r="T55" s="147">
        <f t="shared" si="20"/>
        <v>114.52880994</v>
      </c>
      <c r="U55" s="147">
        <f t="shared" si="21"/>
        <v>1348.4843751</v>
      </c>
    </row>
    <row r="56" spans="2:21">
      <c r="B56" s="783"/>
      <c r="C56" s="691"/>
      <c r="D56" s="55" t="s">
        <v>377</v>
      </c>
      <c r="E56" s="55">
        <v>2400</v>
      </c>
      <c r="F56" s="55"/>
      <c r="G56" s="55">
        <v>281.04</v>
      </c>
      <c r="H56" s="147">
        <f t="shared" si="10"/>
        <v>198.27372</v>
      </c>
      <c r="I56" s="147">
        <f t="shared" si="11"/>
        <v>121.34351664</v>
      </c>
      <c r="J56" s="147">
        <f t="shared" si="12"/>
        <v>125.388300528</v>
      </c>
      <c r="K56" s="147">
        <f t="shared" si="13"/>
        <v>121.34351664</v>
      </c>
      <c r="L56" s="147">
        <f t="shared" si="14"/>
        <v>125.388300528</v>
      </c>
      <c r="M56" s="147">
        <f t="shared" si="14"/>
        <v>125.388300528</v>
      </c>
      <c r="N56" s="147">
        <f t="shared" si="15"/>
        <v>121.34351664</v>
      </c>
      <c r="O56" s="147">
        <f t="shared" si="16"/>
        <v>125.388300528</v>
      </c>
      <c r="P56" s="147">
        <f t="shared" si="17"/>
        <v>121.34351664</v>
      </c>
      <c r="Q56" s="147">
        <f t="shared" si="18"/>
        <v>125.388300528</v>
      </c>
      <c r="R56" s="147">
        <f t="shared" si="18"/>
        <v>125.388300528</v>
      </c>
      <c r="S56" s="147">
        <f t="shared" si="19"/>
        <v>113.253948864</v>
      </c>
      <c r="T56" s="147">
        <f t="shared" si="20"/>
        <v>125.388300528</v>
      </c>
      <c r="U56" s="147">
        <f t="shared" si="21"/>
        <v>1476.34611912</v>
      </c>
    </row>
    <row r="57" spans="2:21">
      <c r="B57" s="783"/>
      <c r="C57" s="691"/>
      <c r="D57" s="55" t="s">
        <v>378</v>
      </c>
      <c r="E57" s="55">
        <v>85</v>
      </c>
      <c r="F57" s="55"/>
      <c r="G57" s="55">
        <v>45.81</v>
      </c>
      <c r="H57" s="147">
        <f t="shared" si="10"/>
        <v>32.318955</v>
      </c>
      <c r="I57" s="147">
        <f t="shared" si="11"/>
        <v>19.77920046</v>
      </c>
      <c r="J57" s="147">
        <f t="shared" si="12"/>
        <v>20.438507142</v>
      </c>
      <c r="K57" s="147">
        <f t="shared" si="13"/>
        <v>19.77920046</v>
      </c>
      <c r="L57" s="147">
        <f t="shared" si="14"/>
        <v>20.438507142</v>
      </c>
      <c r="M57" s="147">
        <f t="shared" si="14"/>
        <v>20.438507142</v>
      </c>
      <c r="N57" s="147">
        <f t="shared" si="15"/>
        <v>19.77920046</v>
      </c>
      <c r="O57" s="147">
        <f t="shared" si="16"/>
        <v>20.438507142</v>
      </c>
      <c r="P57" s="147">
        <f t="shared" si="17"/>
        <v>19.77920046</v>
      </c>
      <c r="Q57" s="147">
        <f t="shared" si="18"/>
        <v>20.438507142</v>
      </c>
      <c r="R57" s="147">
        <f t="shared" si="18"/>
        <v>20.438507142</v>
      </c>
      <c r="S57" s="147">
        <f t="shared" si="19"/>
        <v>18.460587096</v>
      </c>
      <c r="T57" s="147">
        <f t="shared" si="20"/>
        <v>20.438507142</v>
      </c>
      <c r="U57" s="147">
        <f t="shared" si="21"/>
        <v>240.64693893</v>
      </c>
    </row>
    <row r="58" spans="2:21">
      <c r="B58" s="783"/>
      <c r="C58" s="691"/>
      <c r="D58" s="55" t="s">
        <v>379</v>
      </c>
      <c r="E58" s="55">
        <v>200</v>
      </c>
      <c r="F58" s="55"/>
      <c r="G58" s="55">
        <v>200</v>
      </c>
      <c r="H58" s="147">
        <f t="shared" si="10"/>
        <v>141.1</v>
      </c>
      <c r="I58" s="147">
        <f t="shared" si="11"/>
        <v>86.3532</v>
      </c>
      <c r="J58" s="147">
        <f t="shared" si="12"/>
        <v>89.23164</v>
      </c>
      <c r="K58" s="147">
        <f t="shared" si="13"/>
        <v>86.3532</v>
      </c>
      <c r="L58" s="147">
        <f t="shared" si="14"/>
        <v>89.23164</v>
      </c>
      <c r="M58" s="147">
        <f t="shared" si="14"/>
        <v>89.23164</v>
      </c>
      <c r="N58" s="147">
        <f t="shared" si="15"/>
        <v>86.3532</v>
      </c>
      <c r="O58" s="147">
        <f t="shared" si="16"/>
        <v>89.23164</v>
      </c>
      <c r="P58" s="147">
        <f t="shared" si="17"/>
        <v>86.3532</v>
      </c>
      <c r="Q58" s="147">
        <f t="shared" si="18"/>
        <v>89.23164</v>
      </c>
      <c r="R58" s="147">
        <f t="shared" si="18"/>
        <v>89.23164</v>
      </c>
      <c r="S58" s="147">
        <f t="shared" si="19"/>
        <v>80.59632</v>
      </c>
      <c r="T58" s="147">
        <f t="shared" si="20"/>
        <v>89.23164</v>
      </c>
      <c r="U58" s="147">
        <f t="shared" si="21"/>
        <v>1050.6306</v>
      </c>
    </row>
    <row r="59" spans="2:21">
      <c r="B59" s="783"/>
      <c r="C59" s="692"/>
      <c r="D59" s="55" t="s">
        <v>380</v>
      </c>
      <c r="E59" s="55">
        <v>1600</v>
      </c>
      <c r="F59" s="55"/>
      <c r="G59" s="55">
        <v>1390.78</v>
      </c>
      <c r="H59" s="147">
        <f t="shared" si="10"/>
        <v>981.19529</v>
      </c>
      <c r="I59" s="147">
        <f t="shared" si="11"/>
        <v>600.49151748</v>
      </c>
      <c r="J59" s="147">
        <f t="shared" si="12"/>
        <v>620.507901396</v>
      </c>
      <c r="K59" s="147">
        <f t="shared" si="13"/>
        <v>600.49151748</v>
      </c>
      <c r="L59" s="147">
        <f t="shared" si="14"/>
        <v>620.507901396</v>
      </c>
      <c r="M59" s="147">
        <f t="shared" si="14"/>
        <v>620.507901396</v>
      </c>
      <c r="N59" s="147">
        <f t="shared" si="15"/>
        <v>600.49151748</v>
      </c>
      <c r="O59" s="147">
        <f t="shared" si="16"/>
        <v>620.507901396</v>
      </c>
      <c r="P59" s="147">
        <f t="shared" si="17"/>
        <v>600.49151748</v>
      </c>
      <c r="Q59" s="147">
        <f t="shared" si="18"/>
        <v>620.507901396</v>
      </c>
      <c r="R59" s="147">
        <f t="shared" si="18"/>
        <v>620.507901396</v>
      </c>
      <c r="S59" s="147">
        <f t="shared" si="19"/>
        <v>560.458749648</v>
      </c>
      <c r="T59" s="147">
        <f t="shared" si="20"/>
        <v>620.507901396</v>
      </c>
      <c r="U59" s="147">
        <f t="shared" si="21"/>
        <v>7305.98012934</v>
      </c>
    </row>
    <row r="60" spans="2:21">
      <c r="B60" s="783"/>
      <c r="C60" s="55"/>
      <c r="D60" s="55" t="s">
        <v>381</v>
      </c>
      <c r="E60" s="55"/>
      <c r="F60" s="55"/>
      <c r="G60" s="55"/>
      <c r="H60" s="147"/>
      <c r="I60" s="147">
        <f t="shared" si="11"/>
        <v>0</v>
      </c>
      <c r="J60" s="147">
        <f t="shared" si="12"/>
        <v>0</v>
      </c>
      <c r="K60" s="147">
        <f t="shared" si="13"/>
        <v>0</v>
      </c>
      <c r="L60" s="147">
        <f t="shared" si="14"/>
        <v>0</v>
      </c>
      <c r="M60" s="147">
        <f t="shared" si="14"/>
        <v>0</v>
      </c>
      <c r="N60" s="147">
        <f t="shared" si="15"/>
        <v>0</v>
      </c>
      <c r="O60" s="147">
        <f t="shared" si="16"/>
        <v>0</v>
      </c>
      <c r="P60" s="147">
        <f t="shared" si="17"/>
        <v>0</v>
      </c>
      <c r="Q60" s="147">
        <f t="shared" si="18"/>
        <v>0</v>
      </c>
      <c r="R60" s="147">
        <f t="shared" si="18"/>
        <v>0</v>
      </c>
      <c r="S60" s="147">
        <f t="shared" si="19"/>
        <v>0</v>
      </c>
      <c r="T60" s="147">
        <f t="shared" si="20"/>
        <v>0</v>
      </c>
      <c r="U60" s="147">
        <f t="shared" si="21"/>
        <v>0</v>
      </c>
    </row>
    <row r="61" spans="2:21">
      <c r="B61" s="783"/>
      <c r="C61" s="55"/>
      <c r="D61" s="55" t="s">
        <v>382</v>
      </c>
      <c r="E61" s="55">
        <v>630</v>
      </c>
      <c r="F61" s="55"/>
      <c r="G61" s="147">
        <v>5.23</v>
      </c>
      <c r="H61" s="147">
        <f>G61*0.7055</f>
        <v>3.689765</v>
      </c>
      <c r="I61" s="147">
        <f t="shared" si="11"/>
        <v>2.25813618</v>
      </c>
      <c r="J61" s="147">
        <f t="shared" si="12"/>
        <v>2.333407386</v>
      </c>
      <c r="K61" s="147">
        <f t="shared" si="13"/>
        <v>2.25813618</v>
      </c>
      <c r="L61" s="147">
        <f t="shared" si="14"/>
        <v>2.333407386</v>
      </c>
      <c r="M61" s="147">
        <f t="shared" si="14"/>
        <v>2.333407386</v>
      </c>
      <c r="N61" s="147">
        <f t="shared" si="15"/>
        <v>2.25813618</v>
      </c>
      <c r="O61" s="147">
        <f t="shared" si="16"/>
        <v>2.333407386</v>
      </c>
      <c r="P61" s="147">
        <f t="shared" si="17"/>
        <v>2.25813618</v>
      </c>
      <c r="Q61" s="147">
        <f t="shared" si="18"/>
        <v>2.333407386</v>
      </c>
      <c r="R61" s="147">
        <f t="shared" si="18"/>
        <v>2.333407386</v>
      </c>
      <c r="S61" s="147">
        <f t="shared" si="19"/>
        <v>2.107593768</v>
      </c>
      <c r="T61" s="147">
        <f t="shared" si="20"/>
        <v>2.333407386</v>
      </c>
      <c r="U61" s="147">
        <f t="shared" si="21"/>
        <v>27.47399019</v>
      </c>
    </row>
    <row r="62" spans="2:21">
      <c r="B62" s="783"/>
      <c r="C62" s="55"/>
      <c r="D62" s="55" t="s">
        <v>383</v>
      </c>
      <c r="E62" s="55">
        <v>840</v>
      </c>
      <c r="F62" s="55"/>
      <c r="G62" s="147">
        <v>6.89</v>
      </c>
      <c r="H62" s="147">
        <f>G62*0.7055</f>
        <v>4.860895</v>
      </c>
      <c r="I62" s="147">
        <f t="shared" si="11"/>
        <v>2.97486774</v>
      </c>
      <c r="J62" s="147">
        <f t="shared" si="12"/>
        <v>3.074029998</v>
      </c>
      <c r="K62" s="147">
        <f t="shared" si="13"/>
        <v>2.97486774</v>
      </c>
      <c r="L62" s="147">
        <f t="shared" si="14"/>
        <v>3.074029998</v>
      </c>
      <c r="M62" s="147">
        <f t="shared" si="14"/>
        <v>3.074029998</v>
      </c>
      <c r="N62" s="147">
        <f t="shared" si="15"/>
        <v>2.97486774</v>
      </c>
      <c r="O62" s="147">
        <f t="shared" si="16"/>
        <v>3.074029998</v>
      </c>
      <c r="P62" s="147">
        <f t="shared" si="17"/>
        <v>2.97486774</v>
      </c>
      <c r="Q62" s="147">
        <f t="shared" si="18"/>
        <v>3.074029998</v>
      </c>
      <c r="R62" s="147">
        <f t="shared" si="18"/>
        <v>3.074029998</v>
      </c>
      <c r="S62" s="147">
        <f t="shared" si="19"/>
        <v>2.776543224</v>
      </c>
      <c r="T62" s="147">
        <f t="shared" si="20"/>
        <v>3.074029998</v>
      </c>
      <c r="U62" s="147">
        <f t="shared" si="21"/>
        <v>36.19422417</v>
      </c>
    </row>
    <row r="63" spans="2:21">
      <c r="B63" s="783"/>
      <c r="C63" s="55"/>
      <c r="D63" s="55" t="s">
        <v>384</v>
      </c>
      <c r="E63" s="55">
        <v>1000</v>
      </c>
      <c r="F63" s="55"/>
      <c r="G63" s="147">
        <v>66.25</v>
      </c>
      <c r="H63" s="147">
        <f>G63*0.7055</f>
        <v>46.739375</v>
      </c>
      <c r="I63" s="147">
        <f t="shared" si="11"/>
        <v>28.6044975</v>
      </c>
      <c r="J63" s="147">
        <f t="shared" si="12"/>
        <v>29.55798075</v>
      </c>
      <c r="K63" s="147">
        <f t="shared" si="13"/>
        <v>28.6044975</v>
      </c>
      <c r="L63" s="147">
        <f t="shared" si="14"/>
        <v>29.55798075</v>
      </c>
      <c r="M63" s="147">
        <f t="shared" si="14"/>
        <v>29.55798075</v>
      </c>
      <c r="N63" s="147">
        <f t="shared" si="15"/>
        <v>28.6044975</v>
      </c>
      <c r="O63" s="147">
        <f t="shared" si="16"/>
        <v>29.55798075</v>
      </c>
      <c r="P63" s="147">
        <f t="shared" si="17"/>
        <v>28.6044975</v>
      </c>
      <c r="Q63" s="147">
        <f t="shared" si="18"/>
        <v>29.55798075</v>
      </c>
      <c r="R63" s="147">
        <f t="shared" si="18"/>
        <v>29.55798075</v>
      </c>
      <c r="S63" s="147">
        <f t="shared" si="19"/>
        <v>26.697531</v>
      </c>
      <c r="T63" s="147">
        <f t="shared" si="20"/>
        <v>29.55798075</v>
      </c>
      <c r="U63" s="147">
        <f t="shared" si="21"/>
        <v>348.02138625</v>
      </c>
    </row>
    <row r="64" spans="2:21">
      <c r="B64" s="783"/>
      <c r="C64" s="55"/>
      <c r="D64" s="55" t="s">
        <v>385</v>
      </c>
      <c r="E64" s="55">
        <v>0</v>
      </c>
      <c r="F64" s="55"/>
      <c r="G64" s="147"/>
      <c r="H64" s="147"/>
      <c r="I64" s="147">
        <f t="shared" si="11"/>
        <v>0</v>
      </c>
      <c r="J64" s="147">
        <f t="shared" si="12"/>
        <v>0</v>
      </c>
      <c r="K64" s="147">
        <f t="shared" si="13"/>
        <v>0</v>
      </c>
      <c r="L64" s="147">
        <f t="shared" si="14"/>
        <v>0</v>
      </c>
      <c r="M64" s="147">
        <f t="shared" si="14"/>
        <v>0</v>
      </c>
      <c r="N64" s="147">
        <f t="shared" si="15"/>
        <v>0</v>
      </c>
      <c r="O64" s="147">
        <f t="shared" si="16"/>
        <v>0</v>
      </c>
      <c r="P64" s="147">
        <f t="shared" si="17"/>
        <v>0</v>
      </c>
      <c r="Q64" s="147">
        <f t="shared" si="18"/>
        <v>0</v>
      </c>
      <c r="R64" s="147">
        <f t="shared" si="18"/>
        <v>0</v>
      </c>
      <c r="S64" s="147">
        <f t="shared" si="19"/>
        <v>0</v>
      </c>
      <c r="T64" s="147">
        <f t="shared" si="20"/>
        <v>0</v>
      </c>
      <c r="U64" s="147">
        <f t="shared" si="21"/>
        <v>0</v>
      </c>
    </row>
    <row r="65" spans="2:21">
      <c r="B65" s="783"/>
      <c r="C65" s="55"/>
      <c r="D65" s="55" t="s">
        <v>380</v>
      </c>
      <c r="E65" s="55">
        <v>920</v>
      </c>
      <c r="F65" s="55"/>
      <c r="G65" s="147">
        <v>0</v>
      </c>
      <c r="H65" s="147">
        <f>G65*0.7055</f>
        <v>0</v>
      </c>
      <c r="I65" s="147">
        <f t="shared" si="11"/>
        <v>0</v>
      </c>
      <c r="J65" s="147">
        <f t="shared" si="12"/>
        <v>0</v>
      </c>
      <c r="K65" s="147">
        <f t="shared" si="13"/>
        <v>0</v>
      </c>
      <c r="L65" s="147">
        <f t="shared" si="14"/>
        <v>0</v>
      </c>
      <c r="M65" s="147">
        <f t="shared" si="14"/>
        <v>0</v>
      </c>
      <c r="N65" s="147">
        <f t="shared" si="15"/>
        <v>0</v>
      </c>
      <c r="O65" s="147">
        <f t="shared" si="16"/>
        <v>0</v>
      </c>
      <c r="P65" s="147">
        <f t="shared" si="17"/>
        <v>0</v>
      </c>
      <c r="Q65" s="147">
        <f t="shared" si="18"/>
        <v>0</v>
      </c>
      <c r="R65" s="147">
        <f t="shared" si="18"/>
        <v>0</v>
      </c>
      <c r="S65" s="147">
        <f t="shared" si="19"/>
        <v>0</v>
      </c>
      <c r="T65" s="147">
        <f t="shared" si="20"/>
        <v>0</v>
      </c>
      <c r="U65" s="147">
        <f t="shared" si="21"/>
        <v>0</v>
      </c>
    </row>
    <row r="66" spans="2:21">
      <c r="B66" s="783"/>
      <c r="C66" s="55"/>
      <c r="D66" s="55" t="s">
        <v>386</v>
      </c>
      <c r="E66" s="55">
        <v>1500</v>
      </c>
      <c r="F66" s="55"/>
      <c r="G66" s="147">
        <v>106.41</v>
      </c>
      <c r="H66" s="147">
        <f>G66*0.7055</f>
        <v>75.072255</v>
      </c>
      <c r="I66" s="147">
        <f t="shared" si="11"/>
        <v>45.94422006</v>
      </c>
      <c r="J66" s="147">
        <f t="shared" si="12"/>
        <v>47.475694062</v>
      </c>
      <c r="K66" s="147">
        <f t="shared" si="13"/>
        <v>45.94422006</v>
      </c>
      <c r="L66" s="147">
        <f t="shared" si="14"/>
        <v>47.475694062</v>
      </c>
      <c r="M66" s="147">
        <f t="shared" si="14"/>
        <v>47.475694062</v>
      </c>
      <c r="N66" s="147">
        <f t="shared" si="15"/>
        <v>45.94422006</v>
      </c>
      <c r="O66" s="147">
        <f t="shared" si="16"/>
        <v>47.475694062</v>
      </c>
      <c r="P66" s="147">
        <f t="shared" si="17"/>
        <v>45.94422006</v>
      </c>
      <c r="Q66" s="147">
        <f t="shared" si="18"/>
        <v>47.475694062</v>
      </c>
      <c r="R66" s="147">
        <f t="shared" si="18"/>
        <v>47.475694062</v>
      </c>
      <c r="S66" s="147">
        <f t="shared" si="19"/>
        <v>42.881272056</v>
      </c>
      <c r="T66" s="147">
        <f t="shared" si="20"/>
        <v>47.475694062</v>
      </c>
      <c r="U66" s="147">
        <f t="shared" si="21"/>
        <v>558.98801073</v>
      </c>
    </row>
    <row r="67" spans="2:21">
      <c r="B67" s="783"/>
      <c r="C67" s="55"/>
      <c r="D67" s="55" t="s">
        <v>387</v>
      </c>
      <c r="E67" s="55">
        <v>1000</v>
      </c>
      <c r="F67" s="55"/>
      <c r="G67" s="147">
        <v>147.91</v>
      </c>
      <c r="H67" s="147">
        <f>G67*0.7055</f>
        <v>104.350505</v>
      </c>
      <c r="I67" s="147">
        <f t="shared" si="11"/>
        <v>63.86250906</v>
      </c>
      <c r="J67" s="147">
        <f t="shared" si="12"/>
        <v>65.991259362</v>
      </c>
      <c r="K67" s="147">
        <f t="shared" si="13"/>
        <v>63.86250906</v>
      </c>
      <c r="L67" s="147">
        <f t="shared" si="14"/>
        <v>65.991259362</v>
      </c>
      <c r="M67" s="147">
        <f t="shared" si="14"/>
        <v>65.991259362</v>
      </c>
      <c r="N67" s="147">
        <f t="shared" si="15"/>
        <v>63.86250906</v>
      </c>
      <c r="O67" s="147">
        <f t="shared" si="16"/>
        <v>65.991259362</v>
      </c>
      <c r="P67" s="147">
        <f t="shared" si="17"/>
        <v>63.86250906</v>
      </c>
      <c r="Q67" s="147">
        <f t="shared" si="18"/>
        <v>65.991259362</v>
      </c>
      <c r="R67" s="147">
        <f t="shared" si="18"/>
        <v>65.991259362</v>
      </c>
      <c r="S67" s="147">
        <f t="shared" si="19"/>
        <v>59.605008456</v>
      </c>
      <c r="T67" s="147">
        <f t="shared" si="20"/>
        <v>65.991259362</v>
      </c>
      <c r="U67" s="147">
        <f t="shared" si="21"/>
        <v>776.99386023</v>
      </c>
    </row>
    <row r="68" spans="3:21">
      <c r="C68" s="55"/>
      <c r="D68" s="55"/>
      <c r="E68" s="55"/>
      <c r="F68" s="55"/>
      <c r="G68" s="55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>
        <f t="shared" si="21"/>
        <v>0</v>
      </c>
    </row>
    <row r="69" spans="3:21">
      <c r="C69" s="55"/>
      <c r="D69" s="55"/>
      <c r="E69" s="55"/>
      <c r="F69" s="55"/>
      <c r="G69" s="55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>
        <f t="shared" si="21"/>
        <v>0</v>
      </c>
    </row>
    <row r="70" spans="3:21">
      <c r="C70" s="55"/>
      <c r="D70" s="55"/>
      <c r="E70" s="55"/>
      <c r="F70" s="55"/>
      <c r="G70" s="55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>
        <f t="shared" si="21"/>
        <v>0</v>
      </c>
    </row>
    <row r="71" spans="3:21">
      <c r="C71" s="55"/>
      <c r="D71" s="55"/>
      <c r="E71" s="55"/>
      <c r="F71" s="55"/>
      <c r="G71" s="55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>
        <f t="shared" si="21"/>
        <v>0</v>
      </c>
    </row>
    <row r="72" spans="3:21">
      <c r="C72" s="55"/>
      <c r="D72" s="55"/>
      <c r="E72" s="55"/>
      <c r="F72" s="55"/>
      <c r="G72" s="55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>
        <f t="shared" si="21"/>
        <v>0</v>
      </c>
    </row>
    <row r="73" spans="3:21">
      <c r="C73" s="55"/>
      <c r="D73" s="55"/>
      <c r="E73" s="55"/>
      <c r="F73" s="55"/>
      <c r="G73" s="55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>
        <f t="shared" si="21"/>
        <v>0</v>
      </c>
    </row>
    <row r="74" spans="3:21">
      <c r="C74" s="55"/>
      <c r="D74" s="55"/>
      <c r="E74" s="55"/>
      <c r="F74" s="55"/>
      <c r="G74" s="55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>
        <f t="shared" si="21"/>
        <v>0</v>
      </c>
    </row>
    <row r="75" spans="3:21">
      <c r="C75" s="55"/>
      <c r="D75" s="55"/>
      <c r="E75" s="55"/>
      <c r="F75" s="55"/>
      <c r="G75" s="55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>
        <f t="shared" si="21"/>
        <v>0</v>
      </c>
    </row>
    <row r="76" spans="3:21">
      <c r="C76" s="55"/>
      <c r="D76" s="55"/>
      <c r="E76" s="55"/>
      <c r="F76" s="55"/>
      <c r="G76" s="55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>
        <f t="shared" si="21"/>
        <v>0</v>
      </c>
    </row>
    <row r="77" ht="15" spans="3:21">
      <c r="C77" s="537" t="s">
        <v>211</v>
      </c>
      <c r="D77" s="540"/>
      <c r="E77" s="55">
        <f t="shared" ref="E77:T77" si="22">SUM(E51:E76)</f>
        <v>16775</v>
      </c>
      <c r="F77" s="55">
        <f t="shared" si="22"/>
        <v>0</v>
      </c>
      <c r="G77" s="55">
        <f t="shared" si="22"/>
        <v>3704.32</v>
      </c>
      <c r="H77" s="147">
        <f t="shared" si="22"/>
        <v>2613.39776</v>
      </c>
      <c r="I77" s="147">
        <f t="shared" si="22"/>
        <v>1599.39942912</v>
      </c>
      <c r="J77" s="147">
        <f t="shared" si="22"/>
        <v>1652.712743424</v>
      </c>
      <c r="K77" s="147">
        <f t="shared" si="22"/>
        <v>1599.39942912</v>
      </c>
      <c r="L77" s="147">
        <f t="shared" si="22"/>
        <v>1652.712743424</v>
      </c>
      <c r="M77" s="147">
        <f t="shared" si="22"/>
        <v>1652.712743424</v>
      </c>
      <c r="N77" s="147">
        <f t="shared" si="22"/>
        <v>1599.39942912</v>
      </c>
      <c r="O77" s="147">
        <f t="shared" si="22"/>
        <v>1652.712743424</v>
      </c>
      <c r="P77" s="147">
        <f t="shared" si="22"/>
        <v>1599.39942912</v>
      </c>
      <c r="Q77" s="147">
        <f t="shared" si="22"/>
        <v>1652.712743424</v>
      </c>
      <c r="R77" s="147">
        <f t="shared" si="22"/>
        <v>1652.712743424</v>
      </c>
      <c r="S77" s="147">
        <f t="shared" si="22"/>
        <v>1492.772800512</v>
      </c>
      <c r="T77" s="147">
        <f t="shared" si="22"/>
        <v>1652.712743424</v>
      </c>
      <c r="U77" s="316">
        <f>SUM(I77:T77)</f>
        <v>19459.35972096</v>
      </c>
    </row>
    <row r="78" ht="15" spans="3:21">
      <c r="C78" s="44" t="s">
        <v>388</v>
      </c>
      <c r="D78" s="4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</row>
    <row r="79" spans="2:21">
      <c r="B79" s="782" t="s">
        <v>457</v>
      </c>
      <c r="C79" s="682" t="s">
        <v>389</v>
      </c>
      <c r="D79" s="55" t="s">
        <v>390</v>
      </c>
      <c r="E79" s="55">
        <f>[45]Gen!DB68</f>
        <v>440</v>
      </c>
      <c r="F79" s="55"/>
      <c r="G79" s="55">
        <f>[45]Gen!DD68</f>
        <v>22.044</v>
      </c>
      <c r="H79" s="147">
        <f>G79*0.7055</f>
        <v>15.552042</v>
      </c>
      <c r="I79" s="147">
        <f t="shared" ref="I79:T83" si="23">$H79*I$6*24/1000</f>
        <v>11.19747024</v>
      </c>
      <c r="J79" s="147">
        <f t="shared" si="23"/>
        <v>11.570719248</v>
      </c>
      <c r="K79" s="147">
        <f t="shared" si="23"/>
        <v>11.19747024</v>
      </c>
      <c r="L79" s="147">
        <f t="shared" si="23"/>
        <v>11.570719248</v>
      </c>
      <c r="M79" s="147">
        <f t="shared" si="23"/>
        <v>11.570719248</v>
      </c>
      <c r="N79" s="147">
        <f t="shared" si="23"/>
        <v>11.19747024</v>
      </c>
      <c r="O79" s="147">
        <f t="shared" si="23"/>
        <v>11.570719248</v>
      </c>
      <c r="P79" s="147">
        <f t="shared" si="23"/>
        <v>11.19747024</v>
      </c>
      <c r="Q79" s="147">
        <f t="shared" si="23"/>
        <v>11.570719248</v>
      </c>
      <c r="R79" s="147">
        <f t="shared" si="23"/>
        <v>11.570719248</v>
      </c>
      <c r="S79" s="147">
        <f t="shared" si="23"/>
        <v>10.450972224</v>
      </c>
      <c r="T79" s="147">
        <f t="shared" si="23"/>
        <v>11.570719248</v>
      </c>
      <c r="U79" s="147">
        <f t="shared" ref="U79:U92" si="24">+SUM(I79:T79)</f>
        <v>136.23588792</v>
      </c>
    </row>
    <row r="80" spans="2:21">
      <c r="B80" s="782"/>
      <c r="C80" s="683"/>
      <c r="D80" s="55" t="s">
        <v>391</v>
      </c>
      <c r="E80" s="55">
        <f>[45]Gen!DB69</f>
        <v>440</v>
      </c>
      <c r="F80" s="55"/>
      <c r="G80" s="55">
        <f>[45]Gen!DD69</f>
        <v>67.716</v>
      </c>
      <c r="H80" s="147">
        <f>G80*0.7055</f>
        <v>47.773638</v>
      </c>
      <c r="I80" s="147">
        <f t="shared" si="23"/>
        <v>34.39701936</v>
      </c>
      <c r="J80" s="147">
        <f t="shared" si="23"/>
        <v>35.543586672</v>
      </c>
      <c r="K80" s="147">
        <f t="shared" si="23"/>
        <v>34.39701936</v>
      </c>
      <c r="L80" s="147">
        <f t="shared" si="23"/>
        <v>35.543586672</v>
      </c>
      <c r="M80" s="147">
        <f t="shared" si="23"/>
        <v>35.543586672</v>
      </c>
      <c r="N80" s="147">
        <f t="shared" si="23"/>
        <v>34.39701936</v>
      </c>
      <c r="O80" s="147">
        <f t="shared" si="23"/>
        <v>35.543586672</v>
      </c>
      <c r="P80" s="147">
        <f t="shared" si="23"/>
        <v>34.39701936</v>
      </c>
      <c r="Q80" s="147">
        <f t="shared" si="23"/>
        <v>35.543586672</v>
      </c>
      <c r="R80" s="147">
        <f t="shared" si="23"/>
        <v>35.543586672</v>
      </c>
      <c r="S80" s="147">
        <f t="shared" si="23"/>
        <v>32.103884736</v>
      </c>
      <c r="T80" s="147">
        <f t="shared" si="23"/>
        <v>35.543586672</v>
      </c>
      <c r="U80" s="147">
        <f t="shared" si="24"/>
        <v>418.49706888</v>
      </c>
    </row>
    <row r="81" spans="2:21">
      <c r="B81" s="782"/>
      <c r="C81" s="683"/>
      <c r="D81" s="55" t="s">
        <v>392</v>
      </c>
      <c r="E81" s="55">
        <f>[45]Gen!DB70</f>
        <v>440</v>
      </c>
      <c r="F81" s="55"/>
      <c r="G81" s="55">
        <f>[45]Gen!DD70</f>
        <v>72.028</v>
      </c>
      <c r="H81" s="147">
        <f>G81*0.7055</f>
        <v>50.815754</v>
      </c>
      <c r="I81" s="147">
        <f t="shared" si="23"/>
        <v>36.58734288</v>
      </c>
      <c r="J81" s="147">
        <f t="shared" si="23"/>
        <v>37.806920976</v>
      </c>
      <c r="K81" s="147">
        <f t="shared" si="23"/>
        <v>36.58734288</v>
      </c>
      <c r="L81" s="147">
        <f t="shared" si="23"/>
        <v>37.806920976</v>
      </c>
      <c r="M81" s="147">
        <f t="shared" si="23"/>
        <v>37.806920976</v>
      </c>
      <c r="N81" s="147">
        <f t="shared" si="23"/>
        <v>36.58734288</v>
      </c>
      <c r="O81" s="147">
        <f t="shared" si="23"/>
        <v>37.806920976</v>
      </c>
      <c r="P81" s="147">
        <f t="shared" si="23"/>
        <v>36.58734288</v>
      </c>
      <c r="Q81" s="147">
        <f t="shared" si="23"/>
        <v>37.806920976</v>
      </c>
      <c r="R81" s="147">
        <f t="shared" si="23"/>
        <v>37.806920976</v>
      </c>
      <c r="S81" s="147">
        <f t="shared" si="23"/>
        <v>34.148186688</v>
      </c>
      <c r="T81" s="147">
        <f t="shared" si="23"/>
        <v>37.806920976</v>
      </c>
      <c r="U81" s="147">
        <f t="shared" si="24"/>
        <v>445.14600504</v>
      </c>
    </row>
    <row r="82" spans="2:21">
      <c r="B82" s="782"/>
      <c r="C82" s="684"/>
      <c r="D82" s="55" t="s">
        <v>393</v>
      </c>
      <c r="E82" s="55">
        <f>[45]Gen!$DB$72</f>
        <v>1000</v>
      </c>
      <c r="F82" s="55"/>
      <c r="G82" s="55">
        <f>[45]Gen!$DD$72</f>
        <v>50</v>
      </c>
      <c r="H82" s="147">
        <f>G82*0.7055</f>
        <v>35.275</v>
      </c>
      <c r="I82" s="147">
        <f t="shared" si="23"/>
        <v>25.398</v>
      </c>
      <c r="J82" s="147">
        <f t="shared" si="23"/>
        <v>26.2446</v>
      </c>
      <c r="K82" s="147">
        <f t="shared" si="23"/>
        <v>25.398</v>
      </c>
      <c r="L82" s="147">
        <f t="shared" si="23"/>
        <v>26.2446</v>
      </c>
      <c r="M82" s="147">
        <f t="shared" si="23"/>
        <v>26.2446</v>
      </c>
      <c r="N82" s="147">
        <f t="shared" si="23"/>
        <v>25.398</v>
      </c>
      <c r="O82" s="147">
        <f t="shared" si="23"/>
        <v>26.2446</v>
      </c>
      <c r="P82" s="147">
        <f t="shared" si="23"/>
        <v>25.398</v>
      </c>
      <c r="Q82" s="147">
        <f t="shared" si="23"/>
        <v>26.2446</v>
      </c>
      <c r="R82" s="147">
        <f t="shared" si="23"/>
        <v>26.2446</v>
      </c>
      <c r="S82" s="147">
        <f t="shared" si="23"/>
        <v>23.7048</v>
      </c>
      <c r="T82" s="147">
        <f t="shared" si="23"/>
        <v>26.2446</v>
      </c>
      <c r="U82" s="147">
        <f t="shared" si="24"/>
        <v>309.009</v>
      </c>
    </row>
    <row r="83" spans="3:21">
      <c r="C83" s="55"/>
      <c r="D83" s="55"/>
      <c r="E83" s="55"/>
      <c r="F83" s="55"/>
      <c r="G83" s="147">
        <v>4.53061237698578</v>
      </c>
      <c r="H83" s="147">
        <f>G83*0.7055</f>
        <v>3.19634703196347</v>
      </c>
      <c r="I83" s="147">
        <f t="shared" si="23"/>
        <v>2.3013698630137</v>
      </c>
      <c r="J83" s="147">
        <f t="shared" si="23"/>
        <v>2.37808219178082</v>
      </c>
      <c r="K83" s="147">
        <f t="shared" si="23"/>
        <v>2.3013698630137</v>
      </c>
      <c r="L83" s="147">
        <f t="shared" si="23"/>
        <v>2.37808219178082</v>
      </c>
      <c r="M83" s="147">
        <f t="shared" si="23"/>
        <v>2.37808219178082</v>
      </c>
      <c r="N83" s="147">
        <f t="shared" si="23"/>
        <v>2.3013698630137</v>
      </c>
      <c r="O83" s="147">
        <f t="shared" si="23"/>
        <v>2.37808219178082</v>
      </c>
      <c r="P83" s="147">
        <f t="shared" si="23"/>
        <v>2.3013698630137</v>
      </c>
      <c r="Q83" s="147">
        <f t="shared" si="23"/>
        <v>2.37808219178082</v>
      </c>
      <c r="R83" s="147">
        <f t="shared" si="23"/>
        <v>2.37808219178082</v>
      </c>
      <c r="S83" s="147">
        <f t="shared" si="23"/>
        <v>2.14794520547945</v>
      </c>
      <c r="T83" s="147">
        <f t="shared" si="23"/>
        <v>2.37808219178082</v>
      </c>
      <c r="U83" s="147">
        <f t="shared" si="24"/>
        <v>28</v>
      </c>
    </row>
    <row r="84" spans="3:21">
      <c r="C84" s="55"/>
      <c r="D84" s="55"/>
      <c r="E84" s="55"/>
      <c r="F84" s="55"/>
      <c r="G84" s="55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>
        <f t="shared" si="24"/>
        <v>0</v>
      </c>
    </row>
    <row r="85" spans="3:21">
      <c r="C85" s="55"/>
      <c r="D85" s="55"/>
      <c r="E85" s="55"/>
      <c r="F85" s="55"/>
      <c r="G85" s="55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>
        <f t="shared" si="24"/>
        <v>0</v>
      </c>
    </row>
    <row r="86" spans="3:21">
      <c r="C86" s="55"/>
      <c r="D86" s="55"/>
      <c r="E86" s="55"/>
      <c r="F86" s="55"/>
      <c r="G86" s="55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>
        <f t="shared" si="24"/>
        <v>0</v>
      </c>
    </row>
    <row r="87" spans="3:21">
      <c r="C87" s="55"/>
      <c r="D87" s="55"/>
      <c r="E87" s="55"/>
      <c r="F87" s="55"/>
      <c r="G87" s="55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>
        <f t="shared" si="24"/>
        <v>0</v>
      </c>
    </row>
    <row r="88" spans="3:21">
      <c r="C88" s="55"/>
      <c r="D88" s="55"/>
      <c r="E88" s="55"/>
      <c r="F88" s="55"/>
      <c r="G88" s="55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>
        <f t="shared" si="24"/>
        <v>0</v>
      </c>
    </row>
    <row r="89" spans="3:21">
      <c r="C89" s="55"/>
      <c r="D89" s="55"/>
      <c r="E89" s="55"/>
      <c r="F89" s="55"/>
      <c r="G89" s="55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>
        <f t="shared" si="24"/>
        <v>0</v>
      </c>
    </row>
    <row r="90" spans="3:21">
      <c r="C90" s="55"/>
      <c r="D90" s="55"/>
      <c r="E90" s="55"/>
      <c r="F90" s="55"/>
      <c r="G90" s="55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>
        <f t="shared" si="24"/>
        <v>0</v>
      </c>
    </row>
    <row r="91" spans="3:21">
      <c r="C91" s="55"/>
      <c r="D91" s="55"/>
      <c r="E91" s="55"/>
      <c r="F91" s="55"/>
      <c r="G91" s="55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>
        <f t="shared" si="24"/>
        <v>0</v>
      </c>
    </row>
    <row r="92" spans="3:21">
      <c r="C92" s="55"/>
      <c r="D92" s="55"/>
      <c r="E92" s="55"/>
      <c r="F92" s="55"/>
      <c r="G92" s="55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>
        <f t="shared" si="24"/>
        <v>0</v>
      </c>
    </row>
    <row r="93" ht="15" spans="3:21">
      <c r="C93" s="537" t="s">
        <v>211</v>
      </c>
      <c r="D93" s="540"/>
      <c r="E93" s="55">
        <f t="shared" ref="E93:T93" si="25">SUM(E79:E92)</f>
        <v>2320</v>
      </c>
      <c r="F93" s="55">
        <f t="shared" si="25"/>
        <v>0</v>
      </c>
      <c r="G93" s="55">
        <f t="shared" si="25"/>
        <v>216.318612376986</v>
      </c>
      <c r="H93" s="147">
        <f t="shared" si="25"/>
        <v>152.612781031963</v>
      </c>
      <c r="I93" s="147">
        <f t="shared" si="25"/>
        <v>109.881202343014</v>
      </c>
      <c r="J93" s="147">
        <f t="shared" si="25"/>
        <v>113.543909087781</v>
      </c>
      <c r="K93" s="147">
        <f t="shared" si="25"/>
        <v>109.881202343014</v>
      </c>
      <c r="L93" s="147">
        <f t="shared" si="25"/>
        <v>113.543909087781</v>
      </c>
      <c r="M93" s="147">
        <f t="shared" si="25"/>
        <v>113.543909087781</v>
      </c>
      <c r="N93" s="147">
        <f t="shared" si="25"/>
        <v>109.881202343014</v>
      </c>
      <c r="O93" s="147">
        <f t="shared" si="25"/>
        <v>113.543909087781</v>
      </c>
      <c r="P93" s="147">
        <f t="shared" si="25"/>
        <v>109.881202343014</v>
      </c>
      <c r="Q93" s="147">
        <f t="shared" si="25"/>
        <v>113.543909087781</v>
      </c>
      <c r="R93" s="147">
        <f t="shared" si="25"/>
        <v>113.543909087781</v>
      </c>
      <c r="S93" s="147">
        <f t="shared" si="25"/>
        <v>102.555788853479</v>
      </c>
      <c r="T93" s="147">
        <f t="shared" si="25"/>
        <v>113.543909087781</v>
      </c>
      <c r="U93" s="316">
        <f>SUM(I93:T93)</f>
        <v>1336.88796184</v>
      </c>
    </row>
    <row r="94" ht="15" spans="3:21">
      <c r="C94" s="44" t="s">
        <v>395</v>
      </c>
      <c r="D94" s="45"/>
      <c r="E94" s="55">
        <f t="shared" ref="E94:U94" si="26">E77+E93</f>
        <v>19095</v>
      </c>
      <c r="F94" s="55">
        <f t="shared" si="26"/>
        <v>0</v>
      </c>
      <c r="G94" s="55">
        <f t="shared" si="26"/>
        <v>3920.63861237699</v>
      </c>
      <c r="H94" s="147">
        <f t="shared" si="26"/>
        <v>2766.01054103196</v>
      </c>
      <c r="I94" s="147">
        <f t="shared" si="26"/>
        <v>1709.28063146301</v>
      </c>
      <c r="J94" s="147">
        <f t="shared" si="26"/>
        <v>1766.25665251178</v>
      </c>
      <c r="K94" s="147">
        <f t="shared" si="26"/>
        <v>1709.28063146301</v>
      </c>
      <c r="L94" s="147">
        <f t="shared" si="26"/>
        <v>1766.25665251178</v>
      </c>
      <c r="M94" s="147">
        <f t="shared" si="26"/>
        <v>1766.25665251178</v>
      </c>
      <c r="N94" s="147">
        <f t="shared" si="26"/>
        <v>1709.28063146301</v>
      </c>
      <c r="O94" s="147">
        <f t="shared" si="26"/>
        <v>1766.25665251178</v>
      </c>
      <c r="P94" s="147">
        <f t="shared" si="26"/>
        <v>1709.28063146301</v>
      </c>
      <c r="Q94" s="147">
        <f t="shared" si="26"/>
        <v>1766.25665251178</v>
      </c>
      <c r="R94" s="147">
        <f t="shared" si="26"/>
        <v>1766.25665251178</v>
      </c>
      <c r="S94" s="147">
        <f t="shared" si="26"/>
        <v>1595.32858936548</v>
      </c>
      <c r="T94" s="147">
        <f t="shared" si="26"/>
        <v>1766.25665251178</v>
      </c>
      <c r="U94" s="316">
        <f t="shared" si="26"/>
        <v>20796.2476828</v>
      </c>
    </row>
    <row r="95" ht="15" spans="3:21">
      <c r="C95" s="663" t="s">
        <v>396</v>
      </c>
      <c r="D95" s="676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</row>
    <row r="96" spans="3:21">
      <c r="C96" s="685" t="s">
        <v>397</v>
      </c>
      <c r="D96" s="55" t="s">
        <v>397</v>
      </c>
      <c r="E96" s="55">
        <v>500</v>
      </c>
      <c r="F96" s="55"/>
      <c r="G96" s="55">
        <v>269.45</v>
      </c>
      <c r="H96" s="147">
        <f>G96*0.7055</f>
        <v>190.096975</v>
      </c>
      <c r="I96" s="147">
        <f>H96*0.85*30*24/1000</f>
        <v>116.3393487</v>
      </c>
      <c r="J96" s="147">
        <f>H96*0.85*31*24/1000</f>
        <v>120.21732699</v>
      </c>
      <c r="K96" s="147">
        <f>H96*0.85*30*24/1000</f>
        <v>116.3393487</v>
      </c>
      <c r="L96" s="147">
        <f>H96*0.85*31*24/1000</f>
        <v>120.21732699</v>
      </c>
      <c r="M96" s="147">
        <f>H96*0.85*31*24/1000</f>
        <v>120.21732699</v>
      </c>
      <c r="N96" s="147">
        <f>H96*0.85*30*24/1000</f>
        <v>116.3393487</v>
      </c>
      <c r="O96" s="147">
        <f>H96*0.85*31*24/1000</f>
        <v>120.21732699</v>
      </c>
      <c r="P96" s="147">
        <f>H96*0.85*30*24/1000</f>
        <v>116.3393487</v>
      </c>
      <c r="Q96" s="147">
        <f>H96*0.85*31*24/1000</f>
        <v>120.21732699</v>
      </c>
      <c r="R96" s="147">
        <f>H96*0.85*31*24/1000</f>
        <v>120.21732699</v>
      </c>
      <c r="S96" s="147">
        <f>H96*0.85*28*24/1000</f>
        <v>108.58339212</v>
      </c>
      <c r="T96" s="147">
        <f>H96*0.85*31*24/1000</f>
        <v>120.21732699</v>
      </c>
      <c r="U96" s="147">
        <f t="shared" ref="U96:U102" si="27">+SUM(I96:T96)</f>
        <v>1415.46207585</v>
      </c>
    </row>
    <row r="97" spans="3:21">
      <c r="C97" s="685" t="s">
        <v>398</v>
      </c>
      <c r="D97" s="55" t="s">
        <v>398</v>
      </c>
      <c r="E97" s="55">
        <v>570</v>
      </c>
      <c r="F97" s="55"/>
      <c r="G97" s="55">
        <v>570</v>
      </c>
      <c r="H97" s="147">
        <v>0</v>
      </c>
      <c r="I97" s="147">
        <v>0</v>
      </c>
      <c r="J97" s="147">
        <v>0</v>
      </c>
      <c r="K97" s="147">
        <v>0</v>
      </c>
      <c r="L97" s="147">
        <v>0</v>
      </c>
      <c r="M97" s="147">
        <v>0</v>
      </c>
      <c r="N97" s="147">
        <v>0</v>
      </c>
      <c r="O97" s="147">
        <v>0</v>
      </c>
      <c r="P97" s="147">
        <v>0</v>
      </c>
      <c r="Q97" s="147">
        <v>0</v>
      </c>
      <c r="R97" s="147">
        <v>0</v>
      </c>
      <c r="S97" s="147">
        <v>0</v>
      </c>
      <c r="T97" s="147">
        <v>0</v>
      </c>
      <c r="U97" s="147">
        <f t="shared" si="27"/>
        <v>0</v>
      </c>
    </row>
    <row r="98" spans="3:21">
      <c r="C98" s="55"/>
      <c r="D98" s="55"/>
      <c r="E98" s="55"/>
      <c r="F98" s="55"/>
      <c r="G98" s="55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>
        <f t="shared" si="27"/>
        <v>0</v>
      </c>
    </row>
    <row r="99" spans="3:21">
      <c r="C99" s="55"/>
      <c r="D99" s="55"/>
      <c r="E99" s="55"/>
      <c r="F99" s="55"/>
      <c r="G99" s="55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>
        <f t="shared" si="27"/>
        <v>0</v>
      </c>
    </row>
    <row r="100" spans="3:21">
      <c r="C100" s="55"/>
      <c r="D100" s="55"/>
      <c r="E100" s="55"/>
      <c r="F100" s="55"/>
      <c r="G100" s="55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>
        <f t="shared" si="27"/>
        <v>0</v>
      </c>
    </row>
    <row r="101" spans="3:21">
      <c r="C101" s="55"/>
      <c r="D101" s="55"/>
      <c r="E101" s="55"/>
      <c r="F101" s="55"/>
      <c r="G101" s="55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>
        <f t="shared" si="27"/>
        <v>0</v>
      </c>
    </row>
    <row r="102" spans="3:21">
      <c r="C102" s="55"/>
      <c r="D102" s="55"/>
      <c r="E102" s="55"/>
      <c r="F102" s="55"/>
      <c r="G102" s="55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>
        <f t="shared" si="27"/>
        <v>0</v>
      </c>
    </row>
    <row r="103" ht="15" spans="3:21">
      <c r="C103" s="44" t="s">
        <v>399</v>
      </c>
      <c r="D103" s="45"/>
      <c r="E103" s="55">
        <f t="shared" ref="E103:T103" si="28">SUM(E96:E102)</f>
        <v>1070</v>
      </c>
      <c r="F103" s="55">
        <f t="shared" si="28"/>
        <v>0</v>
      </c>
      <c r="G103" s="55">
        <f t="shared" si="28"/>
        <v>839.45</v>
      </c>
      <c r="H103" s="147">
        <f t="shared" si="28"/>
        <v>190.096975</v>
      </c>
      <c r="I103" s="147">
        <f t="shared" si="28"/>
        <v>116.3393487</v>
      </c>
      <c r="J103" s="147">
        <f t="shared" si="28"/>
        <v>120.21732699</v>
      </c>
      <c r="K103" s="147">
        <f t="shared" si="28"/>
        <v>116.3393487</v>
      </c>
      <c r="L103" s="147">
        <f t="shared" si="28"/>
        <v>120.21732699</v>
      </c>
      <c r="M103" s="147">
        <f t="shared" si="28"/>
        <v>120.21732699</v>
      </c>
      <c r="N103" s="147">
        <f t="shared" si="28"/>
        <v>116.3393487</v>
      </c>
      <c r="O103" s="147">
        <f t="shared" si="28"/>
        <v>120.21732699</v>
      </c>
      <c r="P103" s="147">
        <f t="shared" si="28"/>
        <v>116.3393487</v>
      </c>
      <c r="Q103" s="147">
        <f t="shared" si="28"/>
        <v>120.21732699</v>
      </c>
      <c r="R103" s="147">
        <f t="shared" si="28"/>
        <v>120.21732699</v>
      </c>
      <c r="S103" s="147">
        <f t="shared" si="28"/>
        <v>108.58339212</v>
      </c>
      <c r="T103" s="147">
        <f t="shared" si="28"/>
        <v>120.21732699</v>
      </c>
      <c r="U103" s="316">
        <f>SUM(I103:T103)</f>
        <v>1415.46207585</v>
      </c>
    </row>
    <row r="104" ht="15" spans="3:21">
      <c r="C104" s="663" t="s">
        <v>400</v>
      </c>
      <c r="D104" s="676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</row>
    <row r="105" spans="3:21">
      <c r="C105" s="685" t="s">
        <v>401</v>
      </c>
      <c r="D105" s="55" t="s">
        <v>401</v>
      </c>
      <c r="E105" s="55">
        <v>1200</v>
      </c>
      <c r="F105" s="55"/>
      <c r="G105" s="55">
        <v>1200</v>
      </c>
      <c r="H105" s="147">
        <f>G105*0.7055</f>
        <v>846.6</v>
      </c>
      <c r="I105" s="147">
        <f>H105*0.85*30*24/1000</f>
        <v>518.1192</v>
      </c>
      <c r="J105" s="147">
        <f>H105*0.85*31*24/1000</f>
        <v>535.38984</v>
      </c>
      <c r="K105" s="147">
        <f>H105*0.85*30*24/1000</f>
        <v>518.1192</v>
      </c>
      <c r="L105" s="147">
        <f>H105*0.85*31*24/1000</f>
        <v>535.38984</v>
      </c>
      <c r="M105" s="147">
        <f>H105*0.85*31*24/1000</f>
        <v>535.38984</v>
      </c>
      <c r="N105" s="147">
        <f>H105*0.85*30*24/1000</f>
        <v>518.1192</v>
      </c>
      <c r="O105" s="147">
        <f>H105*0.85*31*24/1000</f>
        <v>535.38984</v>
      </c>
      <c r="P105" s="147">
        <f>H105*0.85*30*24/1000</f>
        <v>518.1192</v>
      </c>
      <c r="Q105" s="147">
        <f>H105*0.85*31*24/1000</f>
        <v>535.38984</v>
      </c>
      <c r="R105" s="147">
        <f>H105*0.85*31*24/1000</f>
        <v>535.38984</v>
      </c>
      <c r="S105" s="147">
        <f>H105*0.85*28*24/1000</f>
        <v>483.57792</v>
      </c>
      <c r="T105" s="147">
        <f>H105*0.85*31*24/1000</f>
        <v>535.38984</v>
      </c>
      <c r="U105" s="147">
        <f t="shared" ref="U105:U112" si="29">+SUM(I105:T105)</f>
        <v>6303.7836</v>
      </c>
    </row>
    <row r="106" spans="3:21">
      <c r="C106" s="55" t="s">
        <v>402</v>
      </c>
      <c r="D106" s="55" t="s">
        <v>402</v>
      </c>
      <c r="E106" s="55">
        <v>1000</v>
      </c>
      <c r="F106" s="55"/>
      <c r="G106" s="55">
        <v>1000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147">
        <v>0</v>
      </c>
      <c r="R106" s="147">
        <v>0</v>
      </c>
      <c r="S106" s="147">
        <v>0</v>
      </c>
      <c r="T106" s="147">
        <v>0</v>
      </c>
      <c r="U106" s="147">
        <f t="shared" si="29"/>
        <v>0</v>
      </c>
    </row>
    <row r="107" spans="3:21">
      <c r="C107" s="55" t="s">
        <v>403</v>
      </c>
      <c r="D107" s="55" t="s">
        <v>403</v>
      </c>
      <c r="E107" s="55"/>
      <c r="F107" s="55"/>
      <c r="G107" s="55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>
        <f t="shared" si="29"/>
        <v>0</v>
      </c>
    </row>
    <row r="108" spans="3:21">
      <c r="C108" s="55"/>
      <c r="D108" s="55"/>
      <c r="E108" s="55"/>
      <c r="F108" s="55"/>
      <c r="G108" s="55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>
        <f t="shared" si="29"/>
        <v>0</v>
      </c>
    </row>
    <row r="109" spans="3:21">
      <c r="C109" s="55"/>
      <c r="D109" s="55"/>
      <c r="E109" s="55"/>
      <c r="F109" s="55"/>
      <c r="G109" s="55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>
        <f t="shared" si="29"/>
        <v>0</v>
      </c>
    </row>
    <row r="110" spans="3:21">
      <c r="C110" s="55"/>
      <c r="D110" s="55"/>
      <c r="E110" s="55"/>
      <c r="F110" s="55"/>
      <c r="G110" s="55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>
        <f t="shared" si="29"/>
        <v>0</v>
      </c>
    </row>
    <row r="111" spans="3:21">
      <c r="C111" s="55"/>
      <c r="D111" s="55"/>
      <c r="E111" s="55"/>
      <c r="F111" s="55"/>
      <c r="G111" s="55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>
        <f t="shared" si="29"/>
        <v>0</v>
      </c>
    </row>
    <row r="112" spans="3:21">
      <c r="C112" s="55"/>
      <c r="D112" s="55"/>
      <c r="E112" s="55"/>
      <c r="F112" s="55"/>
      <c r="G112" s="55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>
        <f t="shared" si="29"/>
        <v>0</v>
      </c>
    </row>
    <row r="113" ht="15" spans="3:21">
      <c r="C113" s="44" t="s">
        <v>404</v>
      </c>
      <c r="D113" s="45"/>
      <c r="E113" s="55">
        <f t="shared" ref="E113:T113" si="30">SUM(E105:E112)</f>
        <v>2200</v>
      </c>
      <c r="F113" s="55">
        <f t="shared" si="30"/>
        <v>0</v>
      </c>
      <c r="G113" s="55">
        <f t="shared" si="30"/>
        <v>2200</v>
      </c>
      <c r="H113" s="147">
        <f t="shared" si="30"/>
        <v>846.6</v>
      </c>
      <c r="I113" s="147">
        <f t="shared" si="30"/>
        <v>518.1192</v>
      </c>
      <c r="J113" s="147">
        <f t="shared" si="30"/>
        <v>535.38984</v>
      </c>
      <c r="K113" s="147">
        <f t="shared" si="30"/>
        <v>518.1192</v>
      </c>
      <c r="L113" s="147">
        <f t="shared" si="30"/>
        <v>535.38984</v>
      </c>
      <c r="M113" s="147">
        <f t="shared" si="30"/>
        <v>535.38984</v>
      </c>
      <c r="N113" s="147">
        <f t="shared" si="30"/>
        <v>518.1192</v>
      </c>
      <c r="O113" s="147">
        <f t="shared" si="30"/>
        <v>535.38984</v>
      </c>
      <c r="P113" s="147">
        <f t="shared" si="30"/>
        <v>518.1192</v>
      </c>
      <c r="Q113" s="147">
        <f t="shared" si="30"/>
        <v>535.38984</v>
      </c>
      <c r="R113" s="147">
        <f t="shared" si="30"/>
        <v>535.38984</v>
      </c>
      <c r="S113" s="147">
        <f t="shared" si="30"/>
        <v>483.57792</v>
      </c>
      <c r="T113" s="147">
        <f t="shared" si="30"/>
        <v>535.38984</v>
      </c>
      <c r="U113" s="316">
        <f>SUM(I113:T113)</f>
        <v>6303.7836</v>
      </c>
    </row>
    <row r="114" ht="15" spans="3:21">
      <c r="C114" s="663" t="s">
        <v>405</v>
      </c>
      <c r="D114" s="676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</row>
    <row r="115" spans="2:21">
      <c r="B115" s="782" t="s">
        <v>457</v>
      </c>
      <c r="C115" s="55"/>
      <c r="D115" s="55" t="s">
        <v>406</v>
      </c>
      <c r="E115" s="146">
        <f>'[43]F9-Year(n)'!E114</f>
        <v>12</v>
      </c>
      <c r="F115" s="55"/>
      <c r="G115" s="146">
        <f>'[43]F9-Year(n)'!G114</f>
        <v>12</v>
      </c>
      <c r="H115" s="147">
        <f t="shared" ref="H115:H125" si="31">G115*0.7055</f>
        <v>8.466</v>
      </c>
      <c r="I115" s="147" t="e">
        <f>'F11-Year(n+2)'!E115</f>
        <v>#VALUE!</v>
      </c>
      <c r="J115" s="147" t="e">
        <f>'F11-Year(n+2)'!F115</f>
        <v>#VALUE!</v>
      </c>
      <c r="K115" s="147" t="e">
        <f>'F11-Year(n+2)'!G115</f>
        <v>#VALUE!</v>
      </c>
      <c r="L115" s="147" t="e">
        <f>'F11-Year(n+2)'!H115</f>
        <v>#VALUE!</v>
      </c>
      <c r="M115" s="147" t="e">
        <f>'F11-Year(n+2)'!I115</f>
        <v>#VALUE!</v>
      </c>
      <c r="N115" s="147" t="e">
        <f>'F11-Year(n+2)'!J115</f>
        <v>#VALUE!</v>
      </c>
      <c r="O115" s="147" t="e">
        <f>'F11-Year(n+2)'!K115</f>
        <v>#VALUE!</v>
      </c>
      <c r="P115" s="147" t="e">
        <f>'F11-Year(n+2)'!L115</f>
        <v>#VALUE!</v>
      </c>
      <c r="Q115" s="147" t="e">
        <f>'F11-Year(n+2)'!M115</f>
        <v>#VALUE!</v>
      </c>
      <c r="R115" s="147" t="e">
        <f>'F11-Year(n+2)'!N115</f>
        <v>#VALUE!</v>
      </c>
      <c r="S115" s="147" t="e">
        <f>'F11-Year(n+2)'!O115</f>
        <v>#VALUE!</v>
      </c>
      <c r="T115" s="147" t="e">
        <f>'F11-Year(n+2)'!P115</f>
        <v>#VALUE!</v>
      </c>
      <c r="U115" s="55" t="e">
        <f t="shared" ref="U115:U138" si="32">+SUM(I115:T115)</f>
        <v>#VALUE!</v>
      </c>
    </row>
    <row r="116" spans="2:21">
      <c r="B116" s="782"/>
      <c r="C116" s="55"/>
      <c r="D116" s="55" t="s">
        <v>407</v>
      </c>
      <c r="E116" s="146">
        <f>'[43]F9-Year(n)'!E115</f>
        <v>46.7</v>
      </c>
      <c r="F116" s="55"/>
      <c r="G116" s="146">
        <f>'[43]F9-Year(n)'!G115</f>
        <v>46.7</v>
      </c>
      <c r="H116" s="147">
        <f t="shared" si="31"/>
        <v>32.94685</v>
      </c>
      <c r="I116" s="147">
        <f>'F11-Year(n+2)'!E116</f>
        <v>0.0324651300743771</v>
      </c>
      <c r="J116" s="147">
        <f>'F11-Year(n+2)'!F116</f>
        <v>0.0324651300743771</v>
      </c>
      <c r="K116" s="147">
        <f>'F11-Year(n+2)'!G116</f>
        <v>0.0324651300743771</v>
      </c>
      <c r="L116" s="147">
        <f>'F11-Year(n+2)'!H116</f>
        <v>0.0324651300743771</v>
      </c>
      <c r="M116" s="147">
        <f>'F11-Year(n+2)'!I116</f>
        <v>0.0324651300743771</v>
      </c>
      <c r="N116" s="147">
        <f>'F11-Year(n+2)'!J116</f>
        <v>0.0324651300743771</v>
      </c>
      <c r="O116" s="147">
        <f>'F11-Year(n+2)'!K116</f>
        <v>0.0324651300743771</v>
      </c>
      <c r="P116" s="147">
        <f>'F11-Year(n+2)'!L116</f>
        <v>0.0324651300743771</v>
      </c>
      <c r="Q116" s="147">
        <f>'F11-Year(n+2)'!M116</f>
        <v>0.0324651300743771</v>
      </c>
      <c r="R116" s="147">
        <f>'F11-Year(n+2)'!N116</f>
        <v>0.0324651300743771</v>
      </c>
      <c r="S116" s="147">
        <f>'F11-Year(n+2)'!O116</f>
        <v>0.0324651300743771</v>
      </c>
      <c r="T116" s="147">
        <f>'F11-Year(n+2)'!P116</f>
        <v>0.0324651300743771</v>
      </c>
      <c r="U116" s="55">
        <f t="shared" si="32"/>
        <v>0.389581560892525</v>
      </c>
    </row>
    <row r="117" spans="2:21">
      <c r="B117" s="782"/>
      <c r="C117" s="55"/>
      <c r="D117" s="55" t="s">
        <v>408</v>
      </c>
      <c r="E117" s="146">
        <f>'[43]F9-Year(n)'!E116</f>
        <v>19.8</v>
      </c>
      <c r="F117" s="55"/>
      <c r="G117" s="146">
        <f>'[43]F9-Year(n)'!G116</f>
        <v>19.8</v>
      </c>
      <c r="H117" s="147">
        <f t="shared" si="31"/>
        <v>13.9689</v>
      </c>
      <c r="I117" s="147" t="e">
        <f>'F11-Year(n+2)'!E117</f>
        <v>#REF!</v>
      </c>
      <c r="J117" s="147" t="e">
        <f>'F11-Year(n+2)'!F117</f>
        <v>#REF!</v>
      </c>
      <c r="K117" s="147" t="e">
        <f>'F11-Year(n+2)'!G117</f>
        <v>#REF!</v>
      </c>
      <c r="L117" s="147" t="e">
        <f>'F11-Year(n+2)'!H117</f>
        <v>#REF!</v>
      </c>
      <c r="M117" s="147" t="e">
        <f>'F11-Year(n+2)'!I117</f>
        <v>#REF!</v>
      </c>
      <c r="N117" s="147" t="e">
        <f>'F11-Year(n+2)'!J117</f>
        <v>#REF!</v>
      </c>
      <c r="O117" s="147" t="e">
        <f>'F11-Year(n+2)'!K117</f>
        <v>#REF!</v>
      </c>
      <c r="P117" s="147" t="e">
        <f>'F11-Year(n+2)'!L117</f>
        <v>#REF!</v>
      </c>
      <c r="Q117" s="147" t="e">
        <f>'F11-Year(n+2)'!M117</f>
        <v>#REF!</v>
      </c>
      <c r="R117" s="147" t="e">
        <f>'F11-Year(n+2)'!N117</f>
        <v>#REF!</v>
      </c>
      <c r="S117" s="147" t="e">
        <f>'F11-Year(n+2)'!O117</f>
        <v>#REF!</v>
      </c>
      <c r="T117" s="147" t="e">
        <f>'F11-Year(n+2)'!P117</f>
        <v>#REF!</v>
      </c>
      <c r="U117" s="55" t="e">
        <f t="shared" si="32"/>
        <v>#REF!</v>
      </c>
    </row>
    <row r="118" spans="2:21">
      <c r="B118" s="782"/>
      <c r="C118" s="55"/>
      <c r="D118" s="55" t="s">
        <v>409</v>
      </c>
      <c r="E118" s="146">
        <f>'[43]F9-Year(n)'!E117</f>
        <v>15</v>
      </c>
      <c r="F118" s="55"/>
      <c r="G118" s="146">
        <f>'[43]F9-Year(n)'!G117</f>
        <v>15</v>
      </c>
      <c r="H118" s="147">
        <f t="shared" si="31"/>
        <v>10.5825</v>
      </c>
      <c r="I118" s="147" t="e">
        <f>'F11-Year(n+2)'!E118</f>
        <v>#REF!</v>
      </c>
      <c r="J118" s="147" t="e">
        <f>'F11-Year(n+2)'!F118</f>
        <v>#REF!</v>
      </c>
      <c r="K118" s="147" t="e">
        <f>'F11-Year(n+2)'!G118</f>
        <v>#REF!</v>
      </c>
      <c r="L118" s="147" t="e">
        <f>'F11-Year(n+2)'!H118</f>
        <v>#REF!</v>
      </c>
      <c r="M118" s="147" t="e">
        <f>'F11-Year(n+2)'!I118</f>
        <v>#REF!</v>
      </c>
      <c r="N118" s="147" t="e">
        <f>'F11-Year(n+2)'!J118</f>
        <v>#REF!</v>
      </c>
      <c r="O118" s="147" t="e">
        <f>'F11-Year(n+2)'!K118</f>
        <v>#REF!</v>
      </c>
      <c r="P118" s="147" t="e">
        <f>'F11-Year(n+2)'!L118</f>
        <v>#REF!</v>
      </c>
      <c r="Q118" s="147" t="e">
        <f>'F11-Year(n+2)'!M118</f>
        <v>#REF!</v>
      </c>
      <c r="R118" s="147" t="e">
        <f>'F11-Year(n+2)'!N118</f>
        <v>#REF!</v>
      </c>
      <c r="S118" s="147" t="e">
        <f>'F11-Year(n+2)'!O118</f>
        <v>#REF!</v>
      </c>
      <c r="T118" s="147" t="e">
        <f>'F11-Year(n+2)'!P118</f>
        <v>#REF!</v>
      </c>
      <c r="U118" s="55" t="e">
        <f t="shared" si="32"/>
        <v>#REF!</v>
      </c>
    </row>
    <row r="119" spans="2:21">
      <c r="B119" s="782"/>
      <c r="C119" s="55"/>
      <c r="D119" s="55" t="s">
        <v>410</v>
      </c>
      <c r="E119" s="146">
        <f>'[43]F9-Year(n)'!E118</f>
        <v>128.1</v>
      </c>
      <c r="F119" s="55"/>
      <c r="G119" s="146">
        <f>'[43]F9-Year(n)'!G118</f>
        <v>128.1</v>
      </c>
      <c r="H119" s="147">
        <f t="shared" si="31"/>
        <v>90.37455</v>
      </c>
      <c r="I119" s="147" t="e">
        <f>'F11-Year(n+2)'!E119</f>
        <v>#VALUE!</v>
      </c>
      <c r="J119" s="147" t="e">
        <f>'F11-Year(n+2)'!F119</f>
        <v>#VALUE!</v>
      </c>
      <c r="K119" s="147" t="e">
        <f>'F11-Year(n+2)'!G119</f>
        <v>#VALUE!</v>
      </c>
      <c r="L119" s="147" t="e">
        <f>'F11-Year(n+2)'!H119</f>
        <v>#VALUE!</v>
      </c>
      <c r="M119" s="147" t="e">
        <f>'F11-Year(n+2)'!I119</f>
        <v>#VALUE!</v>
      </c>
      <c r="N119" s="147" t="e">
        <f>'F11-Year(n+2)'!J119</f>
        <v>#VALUE!</v>
      </c>
      <c r="O119" s="147" t="e">
        <f>'F11-Year(n+2)'!K119</f>
        <v>#VALUE!</v>
      </c>
      <c r="P119" s="147" t="e">
        <f>'F11-Year(n+2)'!L119</f>
        <v>#VALUE!</v>
      </c>
      <c r="Q119" s="147" t="e">
        <f>'F11-Year(n+2)'!M119</f>
        <v>#VALUE!</v>
      </c>
      <c r="R119" s="147" t="e">
        <f>'F11-Year(n+2)'!N119</f>
        <v>#VALUE!</v>
      </c>
      <c r="S119" s="147" t="e">
        <f>'F11-Year(n+2)'!O119</f>
        <v>#VALUE!</v>
      </c>
      <c r="T119" s="147" t="e">
        <f>'F11-Year(n+2)'!P119</f>
        <v>#VALUE!</v>
      </c>
      <c r="U119" s="55" t="e">
        <f t="shared" si="32"/>
        <v>#VALUE!</v>
      </c>
    </row>
    <row r="120" spans="2:21">
      <c r="B120" s="782"/>
      <c r="C120" s="55"/>
      <c r="D120" s="55" t="s">
        <v>368</v>
      </c>
      <c r="E120" s="146">
        <f>'[43]F9-Year(n)'!E119</f>
        <v>3.55</v>
      </c>
      <c r="F120" s="55"/>
      <c r="G120" s="146">
        <f>'[43]F9-Year(n)'!G119</f>
        <v>3.55</v>
      </c>
      <c r="H120" s="147">
        <f t="shared" si="31"/>
        <v>2.504525</v>
      </c>
      <c r="I120" s="147">
        <f>'F11-Year(n+2)'!E120</f>
        <v>0.0078979694305466</v>
      </c>
      <c r="J120" s="147">
        <f>'F11-Year(n+2)'!F120</f>
        <v>0.0078979694305466</v>
      </c>
      <c r="K120" s="147">
        <f>'F11-Year(n+2)'!G120</f>
        <v>0.0078979694305466</v>
      </c>
      <c r="L120" s="147">
        <f>'F11-Year(n+2)'!H120</f>
        <v>0.0078979694305466</v>
      </c>
      <c r="M120" s="147">
        <f>'F11-Year(n+2)'!I120</f>
        <v>0.0078979694305466</v>
      </c>
      <c r="N120" s="147">
        <f>'F11-Year(n+2)'!J120</f>
        <v>0.0078979694305466</v>
      </c>
      <c r="O120" s="147">
        <f>'F11-Year(n+2)'!K120</f>
        <v>0.0078979694305466</v>
      </c>
      <c r="P120" s="147">
        <f>'F11-Year(n+2)'!L120</f>
        <v>0.0078979694305466</v>
      </c>
      <c r="Q120" s="147">
        <f>'F11-Year(n+2)'!M120</f>
        <v>0.0078979694305466</v>
      </c>
      <c r="R120" s="147">
        <f>'F11-Year(n+2)'!N120</f>
        <v>0.0078979694305466</v>
      </c>
      <c r="S120" s="147">
        <f>'F11-Year(n+2)'!O120</f>
        <v>0.0078979694305466</v>
      </c>
      <c r="T120" s="147">
        <f>'F11-Year(n+2)'!P120</f>
        <v>0.0078979694305466</v>
      </c>
      <c r="U120" s="55">
        <f t="shared" si="32"/>
        <v>0.0947756331665592</v>
      </c>
    </row>
    <row r="121" spans="2:21">
      <c r="B121" s="782"/>
      <c r="C121" s="55"/>
      <c r="D121" s="55" t="s">
        <v>411</v>
      </c>
      <c r="E121" s="146">
        <f>'[43]F9-Year(n)'!E120</f>
        <v>2833.74</v>
      </c>
      <c r="F121" s="55"/>
      <c r="G121" s="146">
        <f>'[43]F9-Year(n)'!G120</f>
        <v>2833.74</v>
      </c>
      <c r="H121" s="147">
        <f t="shared" si="31"/>
        <v>1999.20357</v>
      </c>
      <c r="I121" s="147">
        <f>'F11-Year(n+2)'!E121</f>
        <v>384.088550074122</v>
      </c>
      <c r="J121" s="147">
        <f>'F11-Year(n+2)'!F121</f>
        <v>396.056497036756</v>
      </c>
      <c r="K121" s="147">
        <f>'F11-Year(n+2)'!G121</f>
        <v>370.808188546593</v>
      </c>
      <c r="L121" s="147">
        <f>'F11-Year(n+2)'!H121</f>
        <v>290.421936421382</v>
      </c>
      <c r="M121" s="147">
        <f>'F11-Year(n+2)'!I121</f>
        <v>357.198502952433</v>
      </c>
      <c r="N121" s="147">
        <f>'F11-Year(n+2)'!J121</f>
        <v>314.858965058679</v>
      </c>
      <c r="O121" s="147">
        <f>'F11-Year(n+2)'!K121</f>
        <v>386.009895145196</v>
      </c>
      <c r="P121" s="147">
        <f>'F11-Year(n+2)'!L121</f>
        <v>297.641163127246</v>
      </c>
      <c r="Q121" s="147">
        <f>'F11-Year(n+2)'!M121</f>
        <v>326.280272142635</v>
      </c>
      <c r="R121" s="147">
        <f>'F11-Year(n+2)'!N121</f>
        <v>347.862560863748</v>
      </c>
      <c r="S121" s="147">
        <f>'F11-Year(n+2)'!O121</f>
        <v>357.058666732541</v>
      </c>
      <c r="T121" s="147">
        <f>'F11-Year(n+2)'!P121</f>
        <v>382.867334738495</v>
      </c>
      <c r="U121" s="55">
        <f t="shared" si="32"/>
        <v>4211.15253283983</v>
      </c>
    </row>
    <row r="122" spans="2:21">
      <c r="B122" s="782"/>
      <c r="C122" s="55"/>
      <c r="D122" s="55" t="s">
        <v>412</v>
      </c>
      <c r="E122" s="146">
        <f>'[43]F9-Year(n)'!E121</f>
        <v>55.81</v>
      </c>
      <c r="F122" s="55"/>
      <c r="G122" s="146">
        <f>'[43]F9-Year(n)'!G121</f>
        <v>55.81</v>
      </c>
      <c r="H122" s="147">
        <f t="shared" si="31"/>
        <v>39.373955</v>
      </c>
      <c r="I122" s="147">
        <f>'F11-Year(n+2)'!E122</f>
        <v>6.32792415834699</v>
      </c>
      <c r="J122" s="147">
        <f>'F11-Year(n+2)'!F122</f>
        <v>6.52509811913299</v>
      </c>
      <c r="K122" s="147">
        <f>'F11-Year(n+2)'!G122</f>
        <v>6.10912794449106</v>
      </c>
      <c r="L122" s="147">
        <f>'F11-Year(n+2)'!H122</f>
        <v>4.78475077489323</v>
      </c>
      <c r="M122" s="147">
        <f>'F11-Year(n+2)'!I122</f>
        <v>5.88490606065158</v>
      </c>
      <c r="N122" s="147">
        <f>'F11-Year(n+2)'!J122</f>
        <v>5.1873549760399</v>
      </c>
      <c r="O122" s="147">
        <f>'F11-Year(n+2)'!K122</f>
        <v>6.35957864502571</v>
      </c>
      <c r="P122" s="147">
        <f>'F11-Year(n+2)'!L122</f>
        <v>4.90368876215635</v>
      </c>
      <c r="Q122" s="147">
        <f>'F11-Year(n+2)'!M122</f>
        <v>5.37552295189473</v>
      </c>
      <c r="R122" s="147">
        <f>'F11-Year(n+2)'!N122</f>
        <v>5.73109482761035</v>
      </c>
      <c r="S122" s="147">
        <f>'F11-Year(n+2)'!O122</f>
        <v>5.8826022351564</v>
      </c>
      <c r="T122" s="147">
        <f>'F11-Year(n+2)'!P122</f>
        <v>6.30780442808331</v>
      </c>
      <c r="U122" s="55">
        <f t="shared" si="32"/>
        <v>69.3794538834826</v>
      </c>
    </row>
    <row r="123" spans="2:21">
      <c r="B123" s="782"/>
      <c r="C123" s="55"/>
      <c r="D123" s="55" t="s">
        <v>413</v>
      </c>
      <c r="E123" s="146">
        <f>'[43]F9-Year(n)'!E122</f>
        <v>400</v>
      </c>
      <c r="F123" s="55"/>
      <c r="G123" s="146">
        <f>'[43]F9-Year(n)'!G122</f>
        <v>400</v>
      </c>
      <c r="H123" s="147">
        <f t="shared" si="31"/>
        <v>282.2</v>
      </c>
      <c r="I123" s="147">
        <f>'F11-Year(n+2)'!E123</f>
        <v>55.2518625459629</v>
      </c>
      <c r="J123" s="147">
        <f>'F11-Year(n+2)'!F123</f>
        <v>56.9734742951525</v>
      </c>
      <c r="K123" s="147">
        <f>'F11-Year(n+2)'!G123</f>
        <v>53.3414574856243</v>
      </c>
      <c r="L123" s="147">
        <f>'F11-Year(n+2)'!H123</f>
        <v>41.7777434614749</v>
      </c>
      <c r="M123" s="147">
        <f>'F11-Year(n+2)'!I123</f>
        <v>51.3836785370011</v>
      </c>
      <c r="N123" s="147">
        <f>'F11-Year(n+2)'!J123</f>
        <v>45.2930561336157</v>
      </c>
      <c r="O123" s="147">
        <f>'F11-Year(n+2)'!K123</f>
        <v>55.5282516592282</v>
      </c>
      <c r="P123" s="147">
        <f>'F11-Year(n+2)'!L123</f>
        <v>42.8162428428379</v>
      </c>
      <c r="Q123" s="147">
        <f>'F11-Year(n+2)'!M123</f>
        <v>46.936032704972</v>
      </c>
      <c r="R123" s="147">
        <f>'F11-Year(n+2)'!N123</f>
        <v>50.0406856544443</v>
      </c>
      <c r="S123" s="147">
        <f>'F11-Year(n+2)'!O123</f>
        <v>51.363562832956</v>
      </c>
      <c r="T123" s="147">
        <f>'F11-Year(n+2)'!P123</f>
        <v>55.0761884159997</v>
      </c>
      <c r="U123" s="55">
        <f t="shared" si="32"/>
        <v>605.782236569269</v>
      </c>
    </row>
    <row r="124" spans="2:21">
      <c r="B124" s="782"/>
      <c r="C124" s="55"/>
      <c r="D124" s="55" t="s">
        <v>414</v>
      </c>
      <c r="E124" s="146">
        <f>'[43]F9-Year(n)'!E123</f>
        <v>400</v>
      </c>
      <c r="F124" s="55"/>
      <c r="G124" s="146">
        <f>'[43]F9-Year(n)'!G123</f>
        <v>400</v>
      </c>
      <c r="H124" s="147">
        <f t="shared" si="31"/>
        <v>282.2</v>
      </c>
      <c r="I124" s="147">
        <f>'F11-Year(n+2)'!E124</f>
        <v>55.2518625459629</v>
      </c>
      <c r="J124" s="147">
        <f>'F11-Year(n+2)'!F124</f>
        <v>56.9734742951526</v>
      </c>
      <c r="K124" s="147">
        <f>'F11-Year(n+2)'!G124</f>
        <v>53.3414574856243</v>
      </c>
      <c r="L124" s="147">
        <f>'F11-Year(n+2)'!H124</f>
        <v>41.777743461475</v>
      </c>
      <c r="M124" s="147">
        <f>'F11-Year(n+2)'!I124</f>
        <v>51.3836785370011</v>
      </c>
      <c r="N124" s="147">
        <f>'F11-Year(n+2)'!J124</f>
        <v>45.2930561336157</v>
      </c>
      <c r="O124" s="147">
        <f>'F11-Year(n+2)'!K124</f>
        <v>55.5282516592282</v>
      </c>
      <c r="P124" s="147">
        <f>'F11-Year(n+2)'!L124</f>
        <v>42.8162428428379</v>
      </c>
      <c r="Q124" s="147">
        <f>'F11-Year(n+2)'!M124</f>
        <v>46.936032704972</v>
      </c>
      <c r="R124" s="147">
        <f>'F11-Year(n+2)'!N124</f>
        <v>50.0406856544444</v>
      </c>
      <c r="S124" s="147">
        <f>'F11-Year(n+2)'!O124</f>
        <v>51.363562832956</v>
      </c>
      <c r="T124" s="147">
        <f>'F11-Year(n+2)'!P124</f>
        <v>55.0761884159997</v>
      </c>
      <c r="U124" s="55">
        <f t="shared" si="32"/>
        <v>605.78223656927</v>
      </c>
    </row>
    <row r="125" spans="2:21">
      <c r="B125" s="782"/>
      <c r="C125" s="55"/>
      <c r="D125" s="55" t="s">
        <v>415</v>
      </c>
      <c r="E125" s="146">
        <f>'[43]F9-Year(n)'!E124</f>
        <v>735</v>
      </c>
      <c r="F125" s="55"/>
      <c r="G125" s="146">
        <f>'[43]F9-Year(n)'!G124</f>
        <v>735</v>
      </c>
      <c r="H125" s="147">
        <f t="shared" si="31"/>
        <v>518.5425</v>
      </c>
      <c r="I125" s="147">
        <f>'F11-Year(n+2)'!E125</f>
        <v>213.410319083782</v>
      </c>
      <c r="J125" s="147">
        <f>'F11-Year(n+2)'!F125</f>
        <v>220.060044465027</v>
      </c>
      <c r="K125" s="147">
        <f>'F11-Year(n+2)'!G125</f>
        <v>206.031379538224</v>
      </c>
      <c r="L125" s="147">
        <f>'F11-Year(n+2)'!H125</f>
        <v>161.366534119947</v>
      </c>
      <c r="M125" s="147">
        <f>'F11-Year(n+2)'!I125</f>
        <v>198.469458349167</v>
      </c>
      <c r="N125" s="147">
        <f>'F11-Year(n+2)'!J125</f>
        <v>174.944429316091</v>
      </c>
      <c r="O125" s="147">
        <f>'F11-Year(n+2)'!K125</f>
        <v>214.477872033769</v>
      </c>
      <c r="P125" s="147">
        <f>'F11-Year(n+2)'!L125</f>
        <v>165.377737980462</v>
      </c>
      <c r="Q125" s="147">
        <f>'F11-Year(n+2)'!M125</f>
        <v>181.290426322954</v>
      </c>
      <c r="R125" s="147">
        <f>'F11-Year(n+2)'!N125</f>
        <v>193.282148340291</v>
      </c>
      <c r="S125" s="147">
        <f>'F11-Year(n+2)'!O125</f>
        <v>198.391761442293</v>
      </c>
      <c r="T125" s="147">
        <f>'F11-Year(n+2)'!P125</f>
        <v>212.731777756799</v>
      </c>
      <c r="U125" s="55">
        <f t="shared" si="32"/>
        <v>2339.83388874881</v>
      </c>
    </row>
    <row r="126" spans="2:21">
      <c r="B126" s="782"/>
      <c r="C126" s="55"/>
      <c r="D126" s="55" t="s">
        <v>416</v>
      </c>
      <c r="E126" s="146"/>
      <c r="F126" s="55"/>
      <c r="G126" s="146"/>
      <c r="H126" s="147"/>
      <c r="I126" s="147">
        <f>'F11-Year(n+2)'!E126</f>
        <v>0</v>
      </c>
      <c r="J126" s="147">
        <f>'F11-Year(n+2)'!F126</f>
        <v>0</v>
      </c>
      <c r="K126" s="147">
        <f>'F11-Year(n+2)'!G126</f>
        <v>0</v>
      </c>
      <c r="L126" s="147">
        <f>'F11-Year(n+2)'!H126</f>
        <v>0</v>
      </c>
      <c r="M126" s="147">
        <f>'F11-Year(n+2)'!I126</f>
        <v>0</v>
      </c>
      <c r="N126" s="147">
        <f>'F11-Year(n+2)'!J126</f>
        <v>0</v>
      </c>
      <c r="O126" s="147">
        <f>'F11-Year(n+2)'!K126</f>
        <v>0</v>
      </c>
      <c r="P126" s="147">
        <f>'F11-Year(n+2)'!L126</f>
        <v>0</v>
      </c>
      <c r="Q126" s="147">
        <f>'F11-Year(n+2)'!M126</f>
        <v>0</v>
      </c>
      <c r="R126" s="147">
        <f>'F11-Year(n+2)'!N126</f>
        <v>0</v>
      </c>
      <c r="S126" s="147">
        <f>'F11-Year(n+2)'!O126</f>
        <v>0</v>
      </c>
      <c r="T126" s="147">
        <f>'F11-Year(n+2)'!P126</f>
        <v>0</v>
      </c>
      <c r="U126" s="55">
        <f t="shared" si="32"/>
        <v>0</v>
      </c>
    </row>
    <row r="127" spans="2:21">
      <c r="B127" s="782"/>
      <c r="C127" s="55"/>
      <c r="D127" s="55" t="s">
        <v>417</v>
      </c>
      <c r="E127" s="146">
        <f>'[43]F9-Year(n)'!E126</f>
        <v>1692</v>
      </c>
      <c r="F127" s="55"/>
      <c r="G127" s="146">
        <f>'[43]F9-Year(n)'!G126</f>
        <v>1692</v>
      </c>
      <c r="H127" s="147">
        <f>G127*0.7055</f>
        <v>1193.706</v>
      </c>
      <c r="I127" s="147">
        <f>'F11-Year(n+2)'!E127</f>
        <v>233.715378569423</v>
      </c>
      <c r="J127" s="147">
        <f>'F11-Year(n+2)'!F127</f>
        <v>240.997796268495</v>
      </c>
      <c r="K127" s="147">
        <f>'F11-Year(n+2)'!G127</f>
        <v>225.634365164191</v>
      </c>
      <c r="L127" s="147">
        <f>'F11-Year(n+2)'!H127</f>
        <v>176.719854842039</v>
      </c>
      <c r="M127" s="147">
        <f>'F11-Year(n+2)'!I127</f>
        <v>217.352960211514</v>
      </c>
      <c r="N127" s="147">
        <f>'F11-Year(n+2)'!J127</f>
        <v>191.589627445194</v>
      </c>
      <c r="O127" s="147">
        <f>'F11-Year(n+2)'!K127</f>
        <v>234.884504518535</v>
      </c>
      <c r="P127" s="147">
        <f>'F11-Year(n+2)'!L127</f>
        <v>181.112707225204</v>
      </c>
      <c r="Q127" s="147">
        <f>'F11-Year(n+2)'!M127</f>
        <v>198.539418342031</v>
      </c>
      <c r="R127" s="147">
        <f>'F11-Year(n+2)'!N127</f>
        <v>211.6721003183</v>
      </c>
      <c r="S127" s="147">
        <f>'F11-Year(n+2)'!O127</f>
        <v>217.267870783404</v>
      </c>
      <c r="T127" s="147">
        <f>'F11-Year(n+2)'!P127</f>
        <v>232.972276999679</v>
      </c>
      <c r="U127" s="55">
        <f t="shared" si="32"/>
        <v>2562.45886068801</v>
      </c>
    </row>
    <row r="128" spans="2:21">
      <c r="B128" s="782"/>
      <c r="C128" s="55"/>
      <c r="D128" s="55" t="s">
        <v>418</v>
      </c>
      <c r="E128" s="146">
        <f>'[43]F9-Year(n)'!E127</f>
        <v>1000</v>
      </c>
      <c r="F128" s="55"/>
      <c r="G128" s="146">
        <f>'[43]F9-Year(n)'!G127</f>
        <v>1000</v>
      </c>
      <c r="H128" s="147">
        <f>G128*0.7055</f>
        <v>705.5</v>
      </c>
      <c r="I128" s="147">
        <f>'F11-Year(n+2)'!E128</f>
        <v>138.129656364907</v>
      </c>
      <c r="J128" s="147">
        <f>'F11-Year(n+2)'!F128</f>
        <v>142.433685737881</v>
      </c>
      <c r="K128" s="147">
        <f>'F11-Year(n+2)'!G128</f>
        <v>133.353643714061</v>
      </c>
      <c r="L128" s="147">
        <f>'F11-Year(n+2)'!H128</f>
        <v>104.444358653687</v>
      </c>
      <c r="M128" s="147">
        <f>'F11-Year(n+2)'!I128</f>
        <v>128.459196342503</v>
      </c>
      <c r="N128" s="147">
        <f>'F11-Year(n+2)'!J128</f>
        <v>113.232640334039</v>
      </c>
      <c r="O128" s="147">
        <f>'F11-Year(n+2)'!K128</f>
        <v>138.82062914807</v>
      </c>
      <c r="P128" s="147">
        <f>'F11-Year(n+2)'!L128</f>
        <v>107.040607107095</v>
      </c>
      <c r="Q128" s="147">
        <f>'F11-Year(n+2)'!M128</f>
        <v>117.34008176243</v>
      </c>
      <c r="R128" s="147">
        <f>'F11-Year(n+2)'!N128</f>
        <v>125.101714136111</v>
      </c>
      <c r="S128" s="147">
        <f>'F11-Year(n+2)'!O128</f>
        <v>128.40890708239</v>
      </c>
      <c r="T128" s="147">
        <f>'F11-Year(n+2)'!P128</f>
        <v>137.690471039999</v>
      </c>
      <c r="U128" s="55">
        <f t="shared" si="32"/>
        <v>1514.45559142317</v>
      </c>
    </row>
    <row r="129" spans="3:21"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>
        <f t="shared" si="32"/>
        <v>0</v>
      </c>
    </row>
    <row r="130" spans="3:21"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>
        <f t="shared" si="32"/>
        <v>0</v>
      </c>
    </row>
    <row r="131" spans="3:21"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>
        <f t="shared" si="32"/>
        <v>0</v>
      </c>
    </row>
    <row r="132" spans="3:21"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>
        <f t="shared" si="32"/>
        <v>0</v>
      </c>
    </row>
    <row r="133" spans="3:21"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>
        <f t="shared" si="32"/>
        <v>0</v>
      </c>
    </row>
    <row r="134" spans="3:21"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>
        <f t="shared" si="32"/>
        <v>0</v>
      </c>
    </row>
    <row r="135" spans="3:21"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>
        <f t="shared" si="32"/>
        <v>0</v>
      </c>
    </row>
    <row r="136" spans="3:21"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>
        <f t="shared" si="32"/>
        <v>0</v>
      </c>
    </row>
    <row r="137" spans="3:21"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>
        <f t="shared" si="32"/>
        <v>0</v>
      </c>
    </row>
    <row r="138" spans="3:21"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>
        <f t="shared" si="32"/>
        <v>0</v>
      </c>
    </row>
    <row r="139" ht="15" spans="3:21">
      <c r="C139" s="44" t="s">
        <v>421</v>
      </c>
      <c r="D139" s="45"/>
      <c r="E139" s="55">
        <f>SUM(E115:E138)</f>
        <v>7341.7</v>
      </c>
      <c r="F139" s="55">
        <f t="shared" ref="F139:T139" si="33">SUM(F115:F138)</f>
        <v>0</v>
      </c>
      <c r="G139" s="55">
        <f t="shared" si="33"/>
        <v>7341.7</v>
      </c>
      <c r="H139" s="55">
        <f t="shared" si="33"/>
        <v>5179.56935</v>
      </c>
      <c r="I139" s="55" t="e">
        <f t="shared" si="33"/>
        <v>#VALUE!</v>
      </c>
      <c r="J139" s="55" t="e">
        <f t="shared" si="33"/>
        <v>#VALUE!</v>
      </c>
      <c r="K139" s="55" t="e">
        <f t="shared" si="33"/>
        <v>#VALUE!</v>
      </c>
      <c r="L139" s="55" t="e">
        <f t="shared" si="33"/>
        <v>#VALUE!</v>
      </c>
      <c r="M139" s="55" t="e">
        <f t="shared" si="33"/>
        <v>#VALUE!</v>
      </c>
      <c r="N139" s="55" t="e">
        <f t="shared" si="33"/>
        <v>#VALUE!</v>
      </c>
      <c r="O139" s="55" t="e">
        <f t="shared" si="33"/>
        <v>#VALUE!</v>
      </c>
      <c r="P139" s="55" t="e">
        <f t="shared" si="33"/>
        <v>#VALUE!</v>
      </c>
      <c r="Q139" s="55" t="e">
        <f t="shared" si="33"/>
        <v>#VALUE!</v>
      </c>
      <c r="R139" s="55" t="e">
        <f t="shared" si="33"/>
        <v>#VALUE!</v>
      </c>
      <c r="S139" s="55" t="e">
        <f t="shared" si="33"/>
        <v>#VALUE!</v>
      </c>
      <c r="T139" s="55" t="e">
        <f t="shared" si="33"/>
        <v>#VALUE!</v>
      </c>
      <c r="U139" s="316" t="e">
        <f>SUM(I139:T139)</f>
        <v>#VALUE!</v>
      </c>
    </row>
    <row r="140" ht="15" spans="3:21">
      <c r="C140" s="663" t="s">
        <v>422</v>
      </c>
      <c r="D140" s="676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</row>
    <row r="141" spans="3:21">
      <c r="C141" s="55"/>
      <c r="D141" s="55" t="s">
        <v>423</v>
      </c>
      <c r="E141" s="55"/>
      <c r="F141" s="55"/>
      <c r="G141" s="55"/>
      <c r="H141" s="55"/>
      <c r="I141" s="147" t="e">
        <f>'F11-Year(n+2)'!E141</f>
        <v>#REF!</v>
      </c>
      <c r="J141" s="147" t="e">
        <f>'F11-Year(n+2)'!F141</f>
        <v>#REF!</v>
      </c>
      <c r="K141" s="147" t="e">
        <f>'F11-Year(n+2)'!G141</f>
        <v>#REF!</v>
      </c>
      <c r="L141" s="147" t="e">
        <f>'F11-Year(n+2)'!H141</f>
        <v>#REF!</v>
      </c>
      <c r="M141" s="147" t="e">
        <f>'F11-Year(n+2)'!I141</f>
        <v>#REF!</v>
      </c>
      <c r="N141" s="147" t="e">
        <f>'F11-Year(n+2)'!J141</f>
        <v>#REF!</v>
      </c>
      <c r="O141" s="147" t="e">
        <f>'F11-Year(n+2)'!K141</f>
        <v>#REF!</v>
      </c>
      <c r="P141" s="147" t="e">
        <f>'F11-Year(n+2)'!L141</f>
        <v>#REF!</v>
      </c>
      <c r="Q141" s="147" t="e">
        <f>'F11-Year(n+2)'!M141</f>
        <v>#REF!</v>
      </c>
      <c r="R141" s="147" t="e">
        <f>'F11-Year(n+2)'!N141</f>
        <v>#REF!</v>
      </c>
      <c r="S141" s="147">
        <f>'F11-Year(n+2)'!O141</f>
        <v>0</v>
      </c>
      <c r="T141" s="147" t="e">
        <f>'F11-Year(n+2)'!P141</f>
        <v>#REF!</v>
      </c>
      <c r="U141" s="55" t="e">
        <f t="shared" ref="U141:U151" si="34">+SUM(I141:T141)</f>
        <v>#REF!</v>
      </c>
    </row>
    <row r="142" spans="3:21"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>
        <f t="shared" si="34"/>
        <v>0</v>
      </c>
    </row>
    <row r="143" spans="3:21"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>
        <f t="shared" si="34"/>
        <v>0</v>
      </c>
    </row>
    <row r="144" spans="3:21"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>
        <f t="shared" si="34"/>
        <v>0</v>
      </c>
    </row>
    <row r="145" spans="3:21"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>
        <f t="shared" si="34"/>
        <v>0</v>
      </c>
    </row>
    <row r="146" spans="3:21"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>
        <f t="shared" si="34"/>
        <v>0</v>
      </c>
    </row>
    <row r="147" spans="3:21"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>
        <f t="shared" si="34"/>
        <v>0</v>
      </c>
    </row>
    <row r="148" spans="3:21"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>
        <f t="shared" si="34"/>
        <v>0</v>
      </c>
    </row>
    <row r="149" spans="3:21"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>
        <f t="shared" si="34"/>
        <v>0</v>
      </c>
    </row>
    <row r="150" spans="3:21"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>
        <f t="shared" si="34"/>
        <v>0</v>
      </c>
    </row>
    <row r="151" spans="3:21"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>
        <f t="shared" si="34"/>
        <v>0</v>
      </c>
    </row>
    <row r="152" ht="15" spans="3:21">
      <c r="C152" s="44" t="s">
        <v>424</v>
      </c>
      <c r="D152" s="45"/>
      <c r="E152" s="55">
        <f>SUM(E141:E151)</f>
        <v>0</v>
      </c>
      <c r="F152" s="55">
        <f t="shared" ref="F152:T152" si="35">SUM(F141:F151)</f>
        <v>0</v>
      </c>
      <c r="G152" s="55">
        <f t="shared" si="35"/>
        <v>0</v>
      </c>
      <c r="H152" s="55">
        <f t="shared" si="35"/>
        <v>0</v>
      </c>
      <c r="I152" s="55" t="e">
        <f t="shared" si="35"/>
        <v>#REF!</v>
      </c>
      <c r="J152" s="55" t="e">
        <f t="shared" si="35"/>
        <v>#REF!</v>
      </c>
      <c r="K152" s="55" t="e">
        <f t="shared" si="35"/>
        <v>#REF!</v>
      </c>
      <c r="L152" s="55" t="e">
        <f t="shared" si="35"/>
        <v>#REF!</v>
      </c>
      <c r="M152" s="55" t="e">
        <f t="shared" si="35"/>
        <v>#REF!</v>
      </c>
      <c r="N152" s="55" t="e">
        <f t="shared" si="35"/>
        <v>#REF!</v>
      </c>
      <c r="O152" s="55" t="e">
        <f t="shared" si="35"/>
        <v>#REF!</v>
      </c>
      <c r="P152" s="55" t="e">
        <f t="shared" si="35"/>
        <v>#REF!</v>
      </c>
      <c r="Q152" s="55" t="e">
        <f t="shared" si="35"/>
        <v>#REF!</v>
      </c>
      <c r="R152" s="55" t="e">
        <f t="shared" si="35"/>
        <v>#REF!</v>
      </c>
      <c r="S152" s="55">
        <f t="shared" si="35"/>
        <v>0</v>
      </c>
      <c r="T152" s="55" t="e">
        <f t="shared" si="35"/>
        <v>#REF!</v>
      </c>
      <c r="U152" s="316" t="e">
        <f>SUM(I152:T152)</f>
        <v>#REF!</v>
      </c>
    </row>
    <row r="153" ht="15" spans="3:21">
      <c r="C153" s="663" t="s">
        <v>425</v>
      </c>
      <c r="D153" s="676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3:21">
      <c r="C154" s="55" t="s">
        <v>426</v>
      </c>
      <c r="D154" s="55" t="s">
        <v>427</v>
      </c>
      <c r="E154" s="55"/>
      <c r="F154" s="55"/>
      <c r="G154" s="55"/>
      <c r="H154" s="55"/>
      <c r="I154" s="147" t="e">
        <f>'F11-Year(n+2)'!E154</f>
        <v>#REF!</v>
      </c>
      <c r="J154" s="147" t="e">
        <f>'F11-Year(n+2)'!F154</f>
        <v>#REF!</v>
      </c>
      <c r="K154" s="147" t="e">
        <f>'F11-Year(n+2)'!G154</f>
        <v>#REF!</v>
      </c>
      <c r="L154" s="147" t="e">
        <f>'F11-Year(n+2)'!H154</f>
        <v>#REF!</v>
      </c>
      <c r="M154" s="147" t="e">
        <f>'F11-Year(n+2)'!I154</f>
        <v>#REF!</v>
      </c>
      <c r="N154" s="147" t="e">
        <f>'F11-Year(n+2)'!J154</f>
        <v>#REF!</v>
      </c>
      <c r="O154" s="147" t="e">
        <f>'F11-Year(n+2)'!K154</f>
        <v>#REF!</v>
      </c>
      <c r="P154" s="147" t="e">
        <f>'F11-Year(n+2)'!L154</f>
        <v>#REF!</v>
      </c>
      <c r="Q154" s="147" t="e">
        <f>'F11-Year(n+2)'!M154</f>
        <v>#REF!</v>
      </c>
      <c r="R154" s="147" t="e">
        <f>'F11-Year(n+2)'!N154</f>
        <v>#REF!</v>
      </c>
      <c r="S154" s="147">
        <f>'F11-Year(n+2)'!O154</f>
        <v>0</v>
      </c>
      <c r="T154" s="147">
        <f>'F11-Year(n+2)'!P154</f>
        <v>0</v>
      </c>
      <c r="U154" s="55" t="e">
        <f t="shared" ref="U154:U155" si="36">+SUM(I154:T154)</f>
        <v>#REF!</v>
      </c>
    </row>
    <row r="155" spans="3:21">
      <c r="C155" s="55" t="s">
        <v>426</v>
      </c>
      <c r="D155" s="55" t="s">
        <v>428</v>
      </c>
      <c r="E155" s="55"/>
      <c r="F155" s="55"/>
      <c r="G155" s="55"/>
      <c r="H155" s="55"/>
      <c r="I155" s="147">
        <f>'F11-Year(n+2)'!E155</f>
        <v>0</v>
      </c>
      <c r="J155" s="147">
        <f>'F11-Year(n+2)'!F155</f>
        <v>0</v>
      </c>
      <c r="K155" s="147">
        <f>'F11-Year(n+2)'!G155</f>
        <v>0</v>
      </c>
      <c r="L155" s="147">
        <f>'F11-Year(n+2)'!H155</f>
        <v>0</v>
      </c>
      <c r="M155" s="147">
        <f>'F11-Year(n+2)'!I155</f>
        <v>0</v>
      </c>
      <c r="N155" s="147">
        <f>'F11-Year(n+2)'!J155</f>
        <v>0</v>
      </c>
      <c r="O155" s="147">
        <f>'F11-Year(n+2)'!K155</f>
        <v>0</v>
      </c>
      <c r="P155" s="147">
        <f>'F11-Year(n+2)'!L155</f>
        <v>0</v>
      </c>
      <c r="Q155" s="147">
        <f>'F11-Year(n+2)'!M155</f>
        <v>0</v>
      </c>
      <c r="R155" s="147">
        <f>'F11-Year(n+2)'!N155</f>
        <v>0</v>
      </c>
      <c r="S155" s="147">
        <f>'F11-Year(n+2)'!O155</f>
        <v>0</v>
      </c>
      <c r="T155" s="147">
        <f>'F11-Year(n+2)'!P155</f>
        <v>0</v>
      </c>
      <c r="U155" s="55">
        <f t="shared" si="36"/>
        <v>0</v>
      </c>
    </row>
    <row r="156" ht="15" spans="3:21">
      <c r="C156" s="44" t="s">
        <v>429</v>
      </c>
      <c r="D156" s="45"/>
      <c r="E156" s="55">
        <f>SUM(E154:E155)</f>
        <v>0</v>
      </c>
      <c r="F156" s="55">
        <f t="shared" ref="F156:T156" si="37">SUM(F154:F155)</f>
        <v>0</v>
      </c>
      <c r="G156" s="55">
        <f t="shared" si="37"/>
        <v>0</v>
      </c>
      <c r="H156" s="55">
        <f t="shared" si="37"/>
        <v>0</v>
      </c>
      <c r="I156" s="55" t="e">
        <f t="shared" si="37"/>
        <v>#REF!</v>
      </c>
      <c r="J156" s="55" t="e">
        <f t="shared" si="37"/>
        <v>#REF!</v>
      </c>
      <c r="K156" s="55" t="e">
        <f t="shared" si="37"/>
        <v>#REF!</v>
      </c>
      <c r="L156" s="55" t="e">
        <f t="shared" si="37"/>
        <v>#REF!</v>
      </c>
      <c r="M156" s="55" t="e">
        <f t="shared" si="37"/>
        <v>#REF!</v>
      </c>
      <c r="N156" s="55" t="e">
        <f t="shared" si="37"/>
        <v>#REF!</v>
      </c>
      <c r="O156" s="55" t="e">
        <f t="shared" si="37"/>
        <v>#REF!</v>
      </c>
      <c r="P156" s="55" t="e">
        <f t="shared" si="37"/>
        <v>#REF!</v>
      </c>
      <c r="Q156" s="55" t="e">
        <f t="shared" si="37"/>
        <v>#REF!</v>
      </c>
      <c r="R156" s="55" t="e">
        <f t="shared" si="37"/>
        <v>#REF!</v>
      </c>
      <c r="S156" s="55">
        <f t="shared" si="37"/>
        <v>0</v>
      </c>
      <c r="T156" s="55">
        <f t="shared" si="37"/>
        <v>0</v>
      </c>
      <c r="U156" s="316" t="e">
        <f>U154-U155</f>
        <v>#REF!</v>
      </c>
    </row>
    <row r="157" ht="15" spans="3:21">
      <c r="C157" s="44" t="s">
        <v>224</v>
      </c>
      <c r="D157" s="45"/>
      <c r="E157" s="55">
        <f>E48+E94+E103+E113+E139+E152+E156</f>
        <v>41858.4</v>
      </c>
      <c r="F157" s="55">
        <f t="shared" ref="F157:U157" si="38">F48+F94+F103+F113+F139+F152+F156</f>
        <v>0</v>
      </c>
      <c r="G157" s="55">
        <f t="shared" si="38"/>
        <v>24714.888612377</v>
      </c>
      <c r="H157" s="55">
        <f t="shared" si="38"/>
        <v>16328.718916032</v>
      </c>
      <c r="I157" s="55" t="e">
        <f t="shared" si="38"/>
        <v>#VALUE!</v>
      </c>
      <c r="J157" s="55" t="e">
        <f t="shared" si="38"/>
        <v>#VALUE!</v>
      </c>
      <c r="K157" s="55" t="e">
        <f t="shared" si="38"/>
        <v>#VALUE!</v>
      </c>
      <c r="L157" s="55" t="e">
        <f t="shared" si="38"/>
        <v>#VALUE!</v>
      </c>
      <c r="M157" s="55" t="e">
        <f t="shared" si="38"/>
        <v>#VALUE!</v>
      </c>
      <c r="N157" s="55" t="e">
        <f t="shared" si="38"/>
        <v>#VALUE!</v>
      </c>
      <c r="O157" s="55" t="e">
        <f t="shared" si="38"/>
        <v>#VALUE!</v>
      </c>
      <c r="P157" s="55" t="e">
        <f t="shared" si="38"/>
        <v>#VALUE!</v>
      </c>
      <c r="Q157" s="55" t="e">
        <f t="shared" si="38"/>
        <v>#VALUE!</v>
      </c>
      <c r="R157" s="55" t="e">
        <f t="shared" si="38"/>
        <v>#VALUE!</v>
      </c>
      <c r="S157" s="55" t="e">
        <f t="shared" si="38"/>
        <v>#VALUE!</v>
      </c>
      <c r="T157" s="55" t="e">
        <f t="shared" si="38"/>
        <v>#VALUE!</v>
      </c>
      <c r="U157" s="316" t="e">
        <f t="shared" si="38"/>
        <v>#VALUE!</v>
      </c>
    </row>
    <row r="159" ht="15" spans="4:9">
      <c r="D159" s="11"/>
      <c r="E159" s="11"/>
      <c r="F159" s="11"/>
      <c r="G159" s="11"/>
      <c r="H159" s="11"/>
      <c r="I159" s="11"/>
    </row>
    <row r="160" spans="4:9">
      <c r="D160" s="13"/>
      <c r="E160" s="13"/>
      <c r="F160" s="13"/>
      <c r="G160" s="13"/>
      <c r="H160" s="13"/>
      <c r="I160" s="13"/>
    </row>
    <row r="161" spans="5:9">
      <c r="E161" s="13"/>
      <c r="F161" s="13"/>
      <c r="G161" s="13"/>
      <c r="H161" s="13"/>
      <c r="I161" s="13"/>
    </row>
    <row r="162" spans="5:9">
      <c r="E162" s="13"/>
      <c r="F162" s="13"/>
      <c r="G162" s="13"/>
      <c r="H162" s="13"/>
      <c r="I162" s="13"/>
    </row>
  </sheetData>
  <mergeCells count="39">
    <mergeCell ref="I4:U4"/>
    <mergeCell ref="C7:D7"/>
    <mergeCell ref="C8:D8"/>
    <mergeCell ref="C27:D27"/>
    <mergeCell ref="C28:D28"/>
    <mergeCell ref="C47:D47"/>
    <mergeCell ref="C48:D48"/>
    <mergeCell ref="C49:D49"/>
    <mergeCell ref="C50:D50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6:D156"/>
    <mergeCell ref="C157:D157"/>
    <mergeCell ref="B9:B26"/>
    <mergeCell ref="B29:B46"/>
    <mergeCell ref="B51:B67"/>
    <mergeCell ref="B79:B82"/>
    <mergeCell ref="B115:B128"/>
    <mergeCell ref="C4:C6"/>
    <mergeCell ref="C9:C26"/>
    <mergeCell ref="C29:C46"/>
    <mergeCell ref="C51:C59"/>
    <mergeCell ref="C79:C82"/>
    <mergeCell ref="D4:D6"/>
    <mergeCell ref="E4:E6"/>
    <mergeCell ref="F4:F6"/>
    <mergeCell ref="G4:G6"/>
    <mergeCell ref="H4:H6"/>
  </mergeCells>
  <pageMargins left="0.7" right="0.7" top="0.75" bottom="0.75" header="0.3" footer="0.3"/>
  <pageSetup paperSize="1" orientation="portrait"/>
  <headerFooter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B2:U162"/>
  <sheetViews>
    <sheetView showGridLines="0" zoomScale="69" zoomScaleNormal="69" topLeftCell="D96" workbookViewId="0">
      <selection activeCell="E105" sqref="E105:P106"/>
    </sheetView>
  </sheetViews>
  <sheetFormatPr defaultColWidth="9.14285714285714" defaultRowHeight="14.25"/>
  <cols>
    <col min="1" max="1" width="3.14285714285714" style="12" customWidth="1"/>
    <col min="2" max="2" width="8.14285714285714" style="12" customWidth="1"/>
    <col min="3" max="3" width="22.1428571428571" style="12" customWidth="1"/>
    <col min="4" max="4" width="41.1428571428571" style="12" customWidth="1"/>
    <col min="5" max="7" width="16.4285714285714" style="12" customWidth="1"/>
    <col min="8" max="8" width="16.8571428571429" style="12" customWidth="1"/>
    <col min="9" max="9" width="13.8571428571429" style="12" customWidth="1"/>
    <col min="10" max="10" width="12.5714285714286" style="12" customWidth="1"/>
    <col min="11" max="11" width="13.4285714285714" style="12" customWidth="1"/>
    <col min="12" max="12" width="13.8571428571429" style="12" customWidth="1"/>
    <col min="13" max="13" width="12.5714285714286" style="12" customWidth="1"/>
    <col min="14" max="14" width="14.8571428571429" style="12" customWidth="1"/>
    <col min="15" max="15" width="12.5714285714286" style="12" customWidth="1"/>
    <col min="16" max="16" width="11.8571428571429" style="12" customWidth="1"/>
    <col min="17" max="17" width="13.8571428571429" style="12" customWidth="1"/>
    <col min="18" max="20" width="11.8571428571429" style="12" customWidth="1"/>
    <col min="21" max="21" width="11.4285714285714" style="12" customWidth="1"/>
    <col min="22" max="22" width="12.4285714285714" style="12" customWidth="1"/>
    <col min="23" max="23" width="12.8571428571429" style="12" customWidth="1"/>
    <col min="24" max="16384" width="9.14285714285714" style="12"/>
  </cols>
  <sheetData>
    <row r="2" ht="15" spans="9:9">
      <c r="I2" s="2" t="s">
        <v>0</v>
      </c>
    </row>
    <row r="3" ht="15" spans="9:9">
      <c r="I3" s="3" t="s">
        <v>458</v>
      </c>
    </row>
    <row r="4" ht="15" spans="3:21">
      <c r="C4" s="658" t="s">
        <v>345</v>
      </c>
      <c r="D4" s="658" t="s">
        <v>346</v>
      </c>
      <c r="E4" s="16" t="s">
        <v>431</v>
      </c>
      <c r="F4" s="16" t="s">
        <v>432</v>
      </c>
      <c r="G4" s="16" t="s">
        <v>433</v>
      </c>
      <c r="H4" s="16" t="s">
        <v>434</v>
      </c>
      <c r="I4" s="135" t="s">
        <v>459</v>
      </c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</row>
    <row r="5" ht="15" customHeight="1" spans="3:21">
      <c r="C5" s="660"/>
      <c r="D5" s="660"/>
      <c r="E5" s="309"/>
      <c r="F5" s="309"/>
      <c r="G5" s="309"/>
      <c r="H5" s="309"/>
      <c r="I5" s="135" t="s">
        <v>246</v>
      </c>
      <c r="J5" s="135" t="s">
        <v>247</v>
      </c>
      <c r="K5" s="135" t="s">
        <v>248</v>
      </c>
      <c r="L5" s="135" t="s">
        <v>249</v>
      </c>
      <c r="M5" s="135" t="s">
        <v>250</v>
      </c>
      <c r="N5" s="135" t="s">
        <v>251</v>
      </c>
      <c r="O5" s="135" t="s">
        <v>252</v>
      </c>
      <c r="P5" s="135" t="s">
        <v>253</v>
      </c>
      <c r="Q5" s="135" t="s">
        <v>254</v>
      </c>
      <c r="R5" s="135" t="s">
        <v>255</v>
      </c>
      <c r="S5" s="135" t="s">
        <v>256</v>
      </c>
      <c r="T5" s="135" t="s">
        <v>257</v>
      </c>
      <c r="U5" s="135" t="s">
        <v>97</v>
      </c>
    </row>
    <row r="6" spans="3:21">
      <c r="C6" s="662"/>
      <c r="D6" s="662"/>
      <c r="E6" s="535"/>
      <c r="F6" s="535"/>
      <c r="G6" s="535"/>
      <c r="H6" s="535"/>
      <c r="I6" s="147">
        <v>30</v>
      </c>
      <c r="J6" s="147">
        <v>31</v>
      </c>
      <c r="K6" s="147">
        <v>30</v>
      </c>
      <c r="L6" s="147">
        <v>31</v>
      </c>
      <c r="M6" s="147">
        <v>31</v>
      </c>
      <c r="N6" s="147">
        <v>30</v>
      </c>
      <c r="O6" s="147">
        <v>31</v>
      </c>
      <c r="P6" s="147">
        <v>30</v>
      </c>
      <c r="Q6" s="147">
        <v>31</v>
      </c>
      <c r="R6" s="147">
        <v>31</v>
      </c>
      <c r="S6" s="147">
        <v>28</v>
      </c>
      <c r="T6" s="147">
        <v>31</v>
      </c>
      <c r="U6" s="147"/>
    </row>
    <row r="7" customHeight="1" spans="2:21">
      <c r="B7" s="656"/>
      <c r="C7" s="663" t="s">
        <v>349</v>
      </c>
      <c r="D7" s="676"/>
      <c r="E7" s="47"/>
      <c r="F7" s="47"/>
      <c r="G7" s="749"/>
      <c r="H7" s="47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</row>
    <row r="8" ht="15" spans="3:21">
      <c r="C8" s="44" t="s">
        <v>350</v>
      </c>
      <c r="D8" s="4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</row>
    <row r="9" spans="2:21">
      <c r="B9" s="656"/>
      <c r="C9" s="677" t="s">
        <v>351</v>
      </c>
      <c r="D9" s="47" t="s">
        <v>352</v>
      </c>
      <c r="E9" s="752">
        <v>500</v>
      </c>
      <c r="F9" s="752"/>
      <c r="G9" s="752">
        <f t="shared" ref="G9:G16" si="0">E9</f>
        <v>500</v>
      </c>
      <c r="H9" s="752">
        <f t="shared" ref="H9:H16" si="1">G9*0.7055</f>
        <v>352.75</v>
      </c>
      <c r="I9" s="147">
        <f t="shared" ref="I9:T15" si="2">$H9*0.85*I$6*24/1000</f>
        <v>215.883</v>
      </c>
      <c r="J9" s="147">
        <f t="shared" si="2"/>
        <v>223.0791</v>
      </c>
      <c r="K9" s="147">
        <f t="shared" si="2"/>
        <v>215.883</v>
      </c>
      <c r="L9" s="147">
        <f t="shared" si="2"/>
        <v>223.0791</v>
      </c>
      <c r="M9" s="147">
        <f t="shared" si="2"/>
        <v>223.0791</v>
      </c>
      <c r="N9" s="147">
        <f t="shared" si="2"/>
        <v>215.883</v>
      </c>
      <c r="O9" s="147">
        <f t="shared" si="2"/>
        <v>223.0791</v>
      </c>
      <c r="P9" s="147">
        <f t="shared" si="2"/>
        <v>215.883</v>
      </c>
      <c r="Q9" s="147">
        <f t="shared" si="2"/>
        <v>223.0791</v>
      </c>
      <c r="R9" s="147">
        <f t="shared" si="2"/>
        <v>223.0791</v>
      </c>
      <c r="S9" s="147">
        <f t="shared" si="2"/>
        <v>201.4908</v>
      </c>
      <c r="T9" s="147">
        <f t="shared" si="2"/>
        <v>223.0791</v>
      </c>
      <c r="U9" s="147">
        <f t="shared" ref="U9:U16" si="3">+SUM(I9:T9)</f>
        <v>2626.5765</v>
      </c>
    </row>
    <row r="10" customHeight="1" spans="2:21">
      <c r="B10" s="656"/>
      <c r="C10" s="678"/>
      <c r="D10" s="47" t="s">
        <v>353</v>
      </c>
      <c r="E10" s="752">
        <v>500</v>
      </c>
      <c r="F10" s="752"/>
      <c r="G10" s="752">
        <f t="shared" si="0"/>
        <v>500</v>
      </c>
      <c r="H10" s="752">
        <f t="shared" si="1"/>
        <v>352.75</v>
      </c>
      <c r="I10" s="147">
        <f t="shared" si="2"/>
        <v>215.883</v>
      </c>
      <c r="J10" s="147">
        <f t="shared" si="2"/>
        <v>223.0791</v>
      </c>
      <c r="K10" s="147">
        <f t="shared" si="2"/>
        <v>215.883</v>
      </c>
      <c r="L10" s="147">
        <f t="shared" si="2"/>
        <v>223.0791</v>
      </c>
      <c r="M10" s="147">
        <f t="shared" si="2"/>
        <v>223.0791</v>
      </c>
      <c r="N10" s="147">
        <f t="shared" si="2"/>
        <v>215.883</v>
      </c>
      <c r="O10" s="147">
        <f t="shared" si="2"/>
        <v>223.0791</v>
      </c>
      <c r="P10" s="147">
        <f t="shared" si="2"/>
        <v>215.883</v>
      </c>
      <c r="Q10" s="147">
        <f t="shared" si="2"/>
        <v>223.0791</v>
      </c>
      <c r="R10" s="147">
        <f t="shared" si="2"/>
        <v>223.0791</v>
      </c>
      <c r="S10" s="147">
        <f t="shared" si="2"/>
        <v>201.4908</v>
      </c>
      <c r="T10" s="147">
        <f t="shared" si="2"/>
        <v>223.0791</v>
      </c>
      <c r="U10" s="147">
        <f t="shared" si="3"/>
        <v>2626.5765</v>
      </c>
    </row>
    <row r="11" spans="2:21">
      <c r="B11" s="656"/>
      <c r="C11" s="678"/>
      <c r="D11" s="47" t="s">
        <v>354</v>
      </c>
      <c r="E11" s="752">
        <v>800</v>
      </c>
      <c r="F11" s="752"/>
      <c r="G11" s="752">
        <f t="shared" si="0"/>
        <v>800</v>
      </c>
      <c r="H11" s="752">
        <f t="shared" si="1"/>
        <v>564.4</v>
      </c>
      <c r="I11" s="147">
        <f t="shared" si="2"/>
        <v>345.4128</v>
      </c>
      <c r="J11" s="147">
        <f t="shared" si="2"/>
        <v>356.92656</v>
      </c>
      <c r="K11" s="147">
        <f t="shared" si="2"/>
        <v>345.4128</v>
      </c>
      <c r="L11" s="147">
        <f t="shared" si="2"/>
        <v>356.92656</v>
      </c>
      <c r="M11" s="147">
        <f t="shared" si="2"/>
        <v>356.92656</v>
      </c>
      <c r="N11" s="147">
        <f t="shared" si="2"/>
        <v>345.4128</v>
      </c>
      <c r="O11" s="147">
        <f t="shared" si="2"/>
        <v>356.92656</v>
      </c>
      <c r="P11" s="147">
        <f t="shared" si="2"/>
        <v>345.4128</v>
      </c>
      <c r="Q11" s="147">
        <f t="shared" si="2"/>
        <v>356.92656</v>
      </c>
      <c r="R11" s="147">
        <f t="shared" si="2"/>
        <v>356.92656</v>
      </c>
      <c r="S11" s="147">
        <f t="shared" si="2"/>
        <v>322.38528</v>
      </c>
      <c r="T11" s="147">
        <f t="shared" si="2"/>
        <v>356.92656</v>
      </c>
      <c r="U11" s="147">
        <f t="shared" si="3"/>
        <v>4202.5224</v>
      </c>
    </row>
    <row r="12" spans="2:21">
      <c r="B12" s="656"/>
      <c r="C12" s="678"/>
      <c r="D12" s="47" t="s">
        <v>355</v>
      </c>
      <c r="E12" s="752">
        <v>62.5</v>
      </c>
      <c r="F12" s="752"/>
      <c r="G12" s="752">
        <f t="shared" si="0"/>
        <v>62.5</v>
      </c>
      <c r="H12" s="752">
        <f t="shared" si="1"/>
        <v>44.09375</v>
      </c>
      <c r="I12" s="147">
        <f t="shared" si="2"/>
        <v>26.985375</v>
      </c>
      <c r="J12" s="147">
        <f t="shared" si="2"/>
        <v>27.8848875</v>
      </c>
      <c r="K12" s="147">
        <f t="shared" si="2"/>
        <v>26.985375</v>
      </c>
      <c r="L12" s="147">
        <f t="shared" si="2"/>
        <v>27.8848875</v>
      </c>
      <c r="M12" s="147">
        <f t="shared" si="2"/>
        <v>27.8848875</v>
      </c>
      <c r="N12" s="147">
        <f t="shared" si="2"/>
        <v>26.985375</v>
      </c>
      <c r="O12" s="147">
        <f t="shared" si="2"/>
        <v>27.8848875</v>
      </c>
      <c r="P12" s="147">
        <f t="shared" si="2"/>
        <v>26.985375</v>
      </c>
      <c r="Q12" s="147">
        <f t="shared" si="2"/>
        <v>27.8848875</v>
      </c>
      <c r="R12" s="147">
        <f t="shared" si="2"/>
        <v>27.8848875</v>
      </c>
      <c r="S12" s="147">
        <f t="shared" si="2"/>
        <v>25.18635</v>
      </c>
      <c r="T12" s="147">
        <f t="shared" si="2"/>
        <v>27.8848875</v>
      </c>
      <c r="U12" s="147">
        <f t="shared" si="3"/>
        <v>328.3220625</v>
      </c>
    </row>
    <row r="13" spans="2:21">
      <c r="B13" s="656"/>
      <c r="C13" s="678"/>
      <c r="D13" s="47" t="s">
        <v>356</v>
      </c>
      <c r="E13" s="752">
        <v>500</v>
      </c>
      <c r="F13" s="752"/>
      <c r="G13" s="752">
        <f t="shared" si="0"/>
        <v>500</v>
      </c>
      <c r="H13" s="752">
        <f t="shared" si="1"/>
        <v>352.75</v>
      </c>
      <c r="I13" s="147">
        <f t="shared" si="2"/>
        <v>215.883</v>
      </c>
      <c r="J13" s="147">
        <f t="shared" si="2"/>
        <v>223.0791</v>
      </c>
      <c r="K13" s="147">
        <f t="shared" si="2"/>
        <v>215.883</v>
      </c>
      <c r="L13" s="147">
        <f t="shared" si="2"/>
        <v>223.0791</v>
      </c>
      <c r="M13" s="147">
        <f t="shared" si="2"/>
        <v>223.0791</v>
      </c>
      <c r="N13" s="147">
        <f t="shared" si="2"/>
        <v>215.883</v>
      </c>
      <c r="O13" s="147">
        <f t="shared" si="2"/>
        <v>223.0791</v>
      </c>
      <c r="P13" s="147">
        <f t="shared" si="2"/>
        <v>215.883</v>
      </c>
      <c r="Q13" s="147">
        <f t="shared" si="2"/>
        <v>223.0791</v>
      </c>
      <c r="R13" s="147">
        <f t="shared" si="2"/>
        <v>223.0791</v>
      </c>
      <c r="S13" s="147">
        <f t="shared" si="2"/>
        <v>201.4908</v>
      </c>
      <c r="T13" s="147">
        <f t="shared" si="2"/>
        <v>223.0791</v>
      </c>
      <c r="U13" s="147">
        <f t="shared" si="3"/>
        <v>2626.5765</v>
      </c>
    </row>
    <row r="14" spans="2:21">
      <c r="B14" s="656"/>
      <c r="C14" s="678"/>
      <c r="D14" s="47" t="s">
        <v>357</v>
      </c>
      <c r="E14" s="752">
        <v>600</v>
      </c>
      <c r="F14" s="752"/>
      <c r="G14" s="752">
        <f t="shared" si="0"/>
        <v>600</v>
      </c>
      <c r="H14" s="752">
        <f t="shared" si="1"/>
        <v>423.3</v>
      </c>
      <c r="I14" s="147">
        <f t="shared" si="2"/>
        <v>259.0596</v>
      </c>
      <c r="J14" s="147">
        <f t="shared" si="2"/>
        <v>267.69492</v>
      </c>
      <c r="K14" s="147">
        <f t="shared" si="2"/>
        <v>259.0596</v>
      </c>
      <c r="L14" s="147">
        <f t="shared" si="2"/>
        <v>267.69492</v>
      </c>
      <c r="M14" s="147">
        <f t="shared" si="2"/>
        <v>267.69492</v>
      </c>
      <c r="N14" s="147">
        <f t="shared" si="2"/>
        <v>259.0596</v>
      </c>
      <c r="O14" s="147">
        <f t="shared" si="2"/>
        <v>267.69492</v>
      </c>
      <c r="P14" s="147">
        <f t="shared" si="2"/>
        <v>259.0596</v>
      </c>
      <c r="Q14" s="147">
        <f t="shared" si="2"/>
        <v>267.69492</v>
      </c>
      <c r="R14" s="147">
        <f t="shared" si="2"/>
        <v>267.69492</v>
      </c>
      <c r="S14" s="147">
        <f t="shared" si="2"/>
        <v>241.78896</v>
      </c>
      <c r="T14" s="147">
        <f t="shared" si="2"/>
        <v>267.69492</v>
      </c>
      <c r="U14" s="147">
        <f t="shared" si="3"/>
        <v>3151.8918</v>
      </c>
    </row>
    <row r="15" spans="2:21">
      <c r="B15" s="656"/>
      <c r="C15" s="678"/>
      <c r="D15" s="47" t="s">
        <v>358</v>
      </c>
      <c r="E15" s="752">
        <v>1080</v>
      </c>
      <c r="F15" s="752"/>
      <c r="G15" s="752">
        <f t="shared" si="0"/>
        <v>1080</v>
      </c>
      <c r="H15" s="752">
        <f t="shared" si="1"/>
        <v>761.94</v>
      </c>
      <c r="I15" s="147">
        <f t="shared" si="2"/>
        <v>466.30728</v>
      </c>
      <c r="J15" s="147">
        <f t="shared" si="2"/>
        <v>481.850856</v>
      </c>
      <c r="K15" s="147">
        <f t="shared" si="2"/>
        <v>466.30728</v>
      </c>
      <c r="L15" s="147">
        <f t="shared" si="2"/>
        <v>481.850856</v>
      </c>
      <c r="M15" s="147">
        <f t="shared" si="2"/>
        <v>481.850856</v>
      </c>
      <c r="N15" s="147">
        <f t="shared" si="2"/>
        <v>466.30728</v>
      </c>
      <c r="O15" s="147">
        <f t="shared" si="2"/>
        <v>481.850856</v>
      </c>
      <c r="P15" s="147">
        <f t="shared" si="2"/>
        <v>466.30728</v>
      </c>
      <c r="Q15" s="147">
        <f t="shared" si="2"/>
        <v>481.850856</v>
      </c>
      <c r="R15" s="147">
        <f t="shared" si="2"/>
        <v>481.850856</v>
      </c>
      <c r="S15" s="147">
        <f t="shared" si="2"/>
        <v>435.220128</v>
      </c>
      <c r="T15" s="147">
        <f t="shared" si="2"/>
        <v>481.850856</v>
      </c>
      <c r="U15" s="147">
        <f t="shared" si="3"/>
        <v>5673.40524</v>
      </c>
    </row>
    <row r="16" spans="2:21">
      <c r="B16" s="656"/>
      <c r="C16" s="678"/>
      <c r="D16" s="47" t="s">
        <v>359</v>
      </c>
      <c r="E16" s="752">
        <v>4000</v>
      </c>
      <c r="F16" s="752"/>
      <c r="G16" s="752">
        <f t="shared" si="0"/>
        <v>4000</v>
      </c>
      <c r="H16" s="752">
        <f t="shared" si="1"/>
        <v>2822</v>
      </c>
      <c r="I16" s="147">
        <f>$H16*0.8526*I$6*24/1000</f>
        <v>1732.346784</v>
      </c>
      <c r="J16" s="147">
        <f t="shared" ref="J16:T16" si="4">$H16*0.8526*J$6*24/1000</f>
        <v>1790.0916768</v>
      </c>
      <c r="K16" s="147">
        <f t="shared" si="4"/>
        <v>1732.346784</v>
      </c>
      <c r="L16" s="147">
        <f t="shared" si="4"/>
        <v>1790.0916768</v>
      </c>
      <c r="M16" s="147">
        <f t="shared" si="4"/>
        <v>1790.0916768</v>
      </c>
      <c r="N16" s="147">
        <f t="shared" si="4"/>
        <v>1732.346784</v>
      </c>
      <c r="O16" s="147">
        <f t="shared" si="4"/>
        <v>1790.0916768</v>
      </c>
      <c r="P16" s="147">
        <f t="shared" si="4"/>
        <v>1732.346784</v>
      </c>
      <c r="Q16" s="147">
        <f t="shared" si="4"/>
        <v>1790.0916768</v>
      </c>
      <c r="R16" s="147">
        <f t="shared" si="4"/>
        <v>1790.0916768</v>
      </c>
      <c r="S16" s="147">
        <f t="shared" si="4"/>
        <v>1616.8569984</v>
      </c>
      <c r="T16" s="147">
        <f t="shared" si="4"/>
        <v>1790.0916768</v>
      </c>
      <c r="U16" s="147">
        <f t="shared" si="3"/>
        <v>21076.885872</v>
      </c>
    </row>
    <row r="17" spans="2:21">
      <c r="B17" s="656"/>
      <c r="C17" s="678"/>
      <c r="D17" s="47"/>
      <c r="E17" s="47"/>
      <c r="F17" s="47"/>
      <c r="G17" s="47"/>
      <c r="H17" s="47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>
        <f t="shared" ref="U17:U46" si="5">+SUM(I17:T17)</f>
        <v>0</v>
      </c>
    </row>
    <row r="18" spans="2:21">
      <c r="B18" s="656"/>
      <c r="C18" s="678"/>
      <c r="D18" s="47"/>
      <c r="E18" s="47"/>
      <c r="F18" s="47"/>
      <c r="G18" s="47"/>
      <c r="H18" s="47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>
        <f t="shared" si="5"/>
        <v>0</v>
      </c>
    </row>
    <row r="19" spans="2:21">
      <c r="B19" s="656"/>
      <c r="C19" s="678"/>
      <c r="D19" s="47"/>
      <c r="E19" s="47"/>
      <c r="F19" s="47"/>
      <c r="G19" s="47"/>
      <c r="H19" s="47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>
        <f t="shared" si="5"/>
        <v>0</v>
      </c>
    </row>
    <row r="20" spans="2:21">
      <c r="B20" s="656"/>
      <c r="C20" s="678"/>
      <c r="D20" s="47"/>
      <c r="E20" s="47"/>
      <c r="F20" s="47"/>
      <c r="G20" s="47"/>
      <c r="H20" s="47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>
        <f t="shared" si="5"/>
        <v>0</v>
      </c>
    </row>
    <row r="21" spans="2:21">
      <c r="B21" s="656"/>
      <c r="C21" s="678"/>
      <c r="D21" s="47"/>
      <c r="E21" s="47"/>
      <c r="F21" s="47"/>
      <c r="G21" s="47"/>
      <c r="H21" s="47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>
        <f t="shared" si="5"/>
        <v>0</v>
      </c>
    </row>
    <row r="22" spans="2:21">
      <c r="B22" s="656"/>
      <c r="C22" s="678"/>
      <c r="D22" s="47"/>
      <c r="E22" s="47"/>
      <c r="F22" s="47"/>
      <c r="G22" s="47"/>
      <c r="H22" s="47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>
        <f t="shared" si="5"/>
        <v>0</v>
      </c>
    </row>
    <row r="23" spans="2:21">
      <c r="B23" s="656"/>
      <c r="C23" s="678"/>
      <c r="D23" s="47"/>
      <c r="E23" s="47"/>
      <c r="F23" s="47"/>
      <c r="G23" s="47"/>
      <c r="H23" s="47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>
        <f t="shared" si="5"/>
        <v>0</v>
      </c>
    </row>
    <row r="24" spans="2:21">
      <c r="B24" s="656"/>
      <c r="C24" s="678"/>
      <c r="D24" s="47"/>
      <c r="E24" s="47"/>
      <c r="F24" s="47"/>
      <c r="G24" s="47"/>
      <c r="H24" s="47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>
        <f t="shared" si="5"/>
        <v>0</v>
      </c>
    </row>
    <row r="25" spans="2:21">
      <c r="B25" s="656"/>
      <c r="C25" s="678"/>
      <c r="D25" s="47"/>
      <c r="E25" s="47"/>
      <c r="F25" s="47"/>
      <c r="G25" s="47"/>
      <c r="H25" s="47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>
        <f t="shared" si="5"/>
        <v>0</v>
      </c>
    </row>
    <row r="26" spans="2:21">
      <c r="B26" s="656"/>
      <c r="C26" s="680"/>
      <c r="D26" s="47"/>
      <c r="E26" s="47"/>
      <c r="F26" s="47"/>
      <c r="G26" s="47"/>
      <c r="H26" s="47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>
        <f t="shared" si="5"/>
        <v>0</v>
      </c>
    </row>
    <row r="27" ht="15" spans="3:21">
      <c r="C27" s="537" t="s">
        <v>211</v>
      </c>
      <c r="D27" s="540"/>
      <c r="E27" s="55">
        <f>SUM(E9:E26)</f>
        <v>8042.5</v>
      </c>
      <c r="F27" s="55">
        <f t="shared" ref="F27:T27" si="6">SUM(F9:F26)</f>
        <v>0</v>
      </c>
      <c r="G27" s="55">
        <f t="shared" si="6"/>
        <v>8042.5</v>
      </c>
      <c r="H27" s="55">
        <f t="shared" si="6"/>
        <v>5673.98375</v>
      </c>
      <c r="I27" s="55">
        <f t="shared" si="6"/>
        <v>3477.760839</v>
      </c>
      <c r="J27" s="55">
        <f t="shared" si="6"/>
        <v>3593.6862003</v>
      </c>
      <c r="K27" s="55">
        <f t="shared" si="6"/>
        <v>3477.760839</v>
      </c>
      <c r="L27" s="55">
        <f t="shared" si="6"/>
        <v>3593.6862003</v>
      </c>
      <c r="M27" s="55">
        <f t="shared" si="6"/>
        <v>3593.6862003</v>
      </c>
      <c r="N27" s="55">
        <f t="shared" si="6"/>
        <v>3477.760839</v>
      </c>
      <c r="O27" s="55">
        <f t="shared" si="6"/>
        <v>3593.6862003</v>
      </c>
      <c r="P27" s="55">
        <f t="shared" si="6"/>
        <v>3477.760839</v>
      </c>
      <c r="Q27" s="55">
        <f t="shared" si="6"/>
        <v>3593.6862003</v>
      </c>
      <c r="R27" s="55">
        <f t="shared" si="6"/>
        <v>3593.6862003</v>
      </c>
      <c r="S27" s="55">
        <f t="shared" si="6"/>
        <v>3245.9101164</v>
      </c>
      <c r="T27" s="55">
        <f t="shared" si="6"/>
        <v>3593.6862003</v>
      </c>
      <c r="U27" s="316">
        <f>SUM(I27:T27)</f>
        <v>42312.7568745</v>
      </c>
    </row>
    <row r="28" ht="15" spans="3:21">
      <c r="C28" s="44" t="s">
        <v>360</v>
      </c>
      <c r="D28" s="4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</row>
    <row r="29" spans="3:21">
      <c r="C29" s="682" t="s">
        <v>351</v>
      </c>
      <c r="D29" s="312" t="s">
        <v>361</v>
      </c>
      <c r="E29" s="55">
        <f>[45]Gen!$DB$38</f>
        <v>234</v>
      </c>
      <c r="F29" s="55"/>
      <c r="G29" s="55">
        <v>234</v>
      </c>
      <c r="H29" s="147">
        <f t="shared" ref="H29:H39" si="7">G29*0.7055</f>
        <v>165.087</v>
      </c>
      <c r="I29" s="147">
        <f>'F11-Year(n+3) '!E30</f>
        <v>13.6558857632831</v>
      </c>
      <c r="J29" s="147">
        <f>'F11-Year(n+3) '!F30</f>
        <v>14.6332154366935</v>
      </c>
      <c r="K29" s="147">
        <f>'F11-Year(n+3) '!G30</f>
        <v>15.1607197951964</v>
      </c>
      <c r="L29" s="147">
        <f>'F11-Year(n+3) '!H30</f>
        <v>33.1447586020964</v>
      </c>
      <c r="M29" s="147">
        <f>'F11-Year(n+3) '!I30</f>
        <v>77.8178425864974</v>
      </c>
      <c r="N29" s="147">
        <f>'F11-Year(n+3) '!J30</f>
        <v>39.303175114714</v>
      </c>
      <c r="O29" s="147">
        <f>'F11-Year(n+3) '!K30</f>
        <v>43.3220408615333</v>
      </c>
      <c r="P29" s="147">
        <f>'F11-Year(n+3) '!L30</f>
        <v>14.8585645625036</v>
      </c>
      <c r="Q29" s="147">
        <f>'F11-Year(n+3) '!M30</f>
        <v>25.4899416531922</v>
      </c>
      <c r="R29" s="147">
        <f>'F11-Year(n+3) '!N30</f>
        <v>48.6383151302953</v>
      </c>
      <c r="S29" s="147">
        <f>'F11-Year(n+3) '!O30</f>
        <v>43.6826445132103</v>
      </c>
      <c r="T29" s="147">
        <f>'F11-Year(n+3) '!P30</f>
        <v>20.290710738835</v>
      </c>
      <c r="U29" s="55">
        <f t="shared" si="5"/>
        <v>389.99781475805</v>
      </c>
    </row>
    <row r="30" spans="3:21">
      <c r="C30" s="683"/>
      <c r="D30" s="312" t="s">
        <v>362</v>
      </c>
      <c r="E30" s="147">
        <v>875.6</v>
      </c>
      <c r="F30" s="55"/>
      <c r="G30" s="55"/>
      <c r="H30" s="147">
        <f t="shared" si="7"/>
        <v>0</v>
      </c>
      <c r="I30" s="147">
        <f>'F11-Year(n+3) '!E31</f>
        <v>47.5971813185201</v>
      </c>
      <c r="J30" s="147">
        <f>'F11-Year(n+3) '!F31</f>
        <v>51.0036346588344</v>
      </c>
      <c r="K30" s="147">
        <f>'F11-Year(n+3) '!G31</f>
        <v>52.8422353203512</v>
      </c>
      <c r="L30" s="147">
        <f>'F11-Year(n+3) '!H31</f>
        <v>115.525064597734</v>
      </c>
      <c r="M30" s="147">
        <f>'F11-Year(n+3) '!I31</f>
        <v>271.231762451057</v>
      </c>
      <c r="N30" s="147">
        <f>'F11-Year(n+3) '!J31</f>
        <v>136.990041126328</v>
      </c>
      <c r="O30" s="147">
        <f>'F11-Year(n+3) '!K31</f>
        <v>150.997677464387</v>
      </c>
      <c r="P30" s="147">
        <f>'F11-Year(n+3) '!L31</f>
        <v>51.7890822956321</v>
      </c>
      <c r="Q30" s="147">
        <f>'F11-Year(n+3) '!M31</f>
        <v>88.8444291125795</v>
      </c>
      <c r="R30" s="147">
        <f>'F11-Year(n+3) '!N31</f>
        <v>169.527392394312</v>
      </c>
      <c r="S30" s="147">
        <f>'F11-Year(n+3) '!O31</f>
        <v>152.254550705019</v>
      </c>
      <c r="T30" s="147">
        <f>'F11-Year(n+3) '!P31</f>
        <v>70.7226652931358</v>
      </c>
      <c r="U30" s="55">
        <f t="shared" si="5"/>
        <v>1359.32571673789</v>
      </c>
    </row>
    <row r="31" spans="3:21">
      <c r="C31" s="683"/>
      <c r="D31" s="312" t="s">
        <v>363</v>
      </c>
      <c r="E31" s="146">
        <v>900</v>
      </c>
      <c r="F31" s="55"/>
      <c r="G31" s="55"/>
      <c r="H31" s="147">
        <f t="shared" si="7"/>
        <v>0</v>
      </c>
      <c r="I31" s="147">
        <f>'F11-Year(n+3) '!E32</f>
        <v>52.5226375510888</v>
      </c>
      <c r="J31" s="147">
        <f>'F11-Year(n+3) '!F32</f>
        <v>56.2815978334367</v>
      </c>
      <c r="K31" s="147">
        <f>'F11-Year(n+3) '!G32</f>
        <v>58.3104607507553</v>
      </c>
      <c r="L31" s="147">
        <f>'F11-Year(n+3) '!H32</f>
        <v>127.479840777294</v>
      </c>
      <c r="M31" s="147">
        <f>'F11-Year(n+3) '!I32</f>
        <v>299.299394563452</v>
      </c>
      <c r="N31" s="147">
        <f>'F11-Year(n+3) '!J32</f>
        <v>151.166058133515</v>
      </c>
      <c r="O31" s="147">
        <f>'F11-Year(n+3) '!K32</f>
        <v>166.62323408282</v>
      </c>
      <c r="P31" s="147">
        <f>'F11-Year(n+3) '!L32</f>
        <v>57.1483252403983</v>
      </c>
      <c r="Q31" s="147">
        <f>'F11-Year(n+3) '!M32</f>
        <v>98.0382371276622</v>
      </c>
      <c r="R31" s="147">
        <f>'F11-Year(n+3) '!N32</f>
        <v>187.070442808828</v>
      </c>
      <c r="S31" s="147">
        <f>'F11-Year(n+3) '!O32</f>
        <v>168.010171204655</v>
      </c>
      <c r="T31" s="147">
        <f>'F11-Year(n+3) '!P32</f>
        <v>78.041195149365</v>
      </c>
      <c r="U31" s="55">
        <f t="shared" si="5"/>
        <v>1499.99159522327</v>
      </c>
    </row>
    <row r="32" spans="3:21">
      <c r="C32" s="683"/>
      <c r="D32" s="312" t="s">
        <v>364</v>
      </c>
      <c r="E32" s="55">
        <f>[45]Gen!$DB$39</f>
        <v>240</v>
      </c>
      <c r="F32" s="55"/>
      <c r="G32" s="55">
        <v>240</v>
      </c>
      <c r="H32" s="147">
        <f t="shared" si="7"/>
        <v>169.32</v>
      </c>
      <c r="I32" s="147">
        <f>'F11-Year(n+3) '!E33</f>
        <v>14.0060366802904</v>
      </c>
      <c r="J32" s="147">
        <f>'F11-Year(n+3) '!F33</f>
        <v>15.0084260889164</v>
      </c>
      <c r="K32" s="147">
        <f>'F11-Year(n+3) '!G33</f>
        <v>15.5494562002014</v>
      </c>
      <c r="L32" s="147">
        <f>'F11-Year(n+3) '!H33</f>
        <v>33.9946242072784</v>
      </c>
      <c r="M32" s="147">
        <f>'F11-Year(n+3) '!I33</f>
        <v>79.8131718835872</v>
      </c>
      <c r="N32" s="147">
        <f>'F11-Year(n+3) '!J33</f>
        <v>40.310948835604</v>
      </c>
      <c r="O32" s="147">
        <f>'F11-Year(n+3) '!K33</f>
        <v>44.4328624220855</v>
      </c>
      <c r="P32" s="147">
        <f>'F11-Year(n+3) '!L33</f>
        <v>15.2395533974395</v>
      </c>
      <c r="Q32" s="147">
        <f>'F11-Year(n+3) '!M33</f>
        <v>26.14352990071</v>
      </c>
      <c r="R32" s="147">
        <f>'F11-Year(n+3) '!N33</f>
        <v>49.8854514156875</v>
      </c>
      <c r="S32" s="147">
        <f>'F11-Year(n+3) '!O33</f>
        <v>44.8027123212413</v>
      </c>
      <c r="T32" s="147">
        <f>'F11-Year(n+3) '!P33</f>
        <v>20.8109853731641</v>
      </c>
      <c r="U32" s="55">
        <f t="shared" si="5"/>
        <v>399.997758726206</v>
      </c>
    </row>
    <row r="33" spans="3:21">
      <c r="C33" s="683"/>
      <c r="D33" s="312" t="s">
        <v>365</v>
      </c>
      <c r="E33" s="55">
        <f>[45]Gen!$DB$41</f>
        <v>120</v>
      </c>
      <c r="F33" s="55"/>
      <c r="G33" s="55">
        <v>120</v>
      </c>
      <c r="H33" s="147">
        <f t="shared" si="7"/>
        <v>84.66</v>
      </c>
      <c r="I33" s="147">
        <f>'F11-Year(n+3) '!E34</f>
        <v>7.00301834014516</v>
      </c>
      <c r="J33" s="147">
        <f>'F11-Year(n+3) '!F34</f>
        <v>7.50421304445824</v>
      </c>
      <c r="K33" s="147">
        <f>'F11-Year(n+3) '!G34</f>
        <v>7.77472810010072</v>
      </c>
      <c r="L33" s="147">
        <f>'F11-Year(n+3) '!H34</f>
        <v>16.9973121036392</v>
      </c>
      <c r="M33" s="147">
        <f>'F11-Year(n+3) '!I34</f>
        <v>39.9065859417936</v>
      </c>
      <c r="N33" s="147">
        <f>'F11-Year(n+3) '!J34</f>
        <v>20.155474417802</v>
      </c>
      <c r="O33" s="147">
        <f>'F11-Year(n+3) '!K34</f>
        <v>22.2164312110428</v>
      </c>
      <c r="P33" s="147">
        <f>'F11-Year(n+3) '!L34</f>
        <v>7.61977669871976</v>
      </c>
      <c r="Q33" s="147">
        <f>'F11-Year(n+3) '!M34</f>
        <v>13.071764950355</v>
      </c>
      <c r="R33" s="147">
        <f>'F11-Year(n+3) '!N34</f>
        <v>24.9427257078438</v>
      </c>
      <c r="S33" s="147">
        <f>'F11-Year(n+3) '!O34</f>
        <v>22.4013561606207</v>
      </c>
      <c r="T33" s="147">
        <f>'F11-Year(n+3) '!P34</f>
        <v>10.405492686582</v>
      </c>
      <c r="U33" s="55">
        <f t="shared" si="5"/>
        <v>199.998879363103</v>
      </c>
    </row>
    <row r="34" spans="3:21">
      <c r="C34" s="683"/>
      <c r="D34" s="312" t="s">
        <v>366</v>
      </c>
      <c r="E34" s="55">
        <f>[45]Gen!$DB$40</f>
        <v>9</v>
      </c>
      <c r="F34" s="55"/>
      <c r="G34" s="55">
        <v>9</v>
      </c>
      <c r="H34" s="147">
        <f t="shared" si="7"/>
        <v>6.3495</v>
      </c>
      <c r="I34" s="147">
        <f>'F11-Year(n+3) '!E35</f>
        <v>1.05045275102178</v>
      </c>
      <c r="J34" s="147">
        <f>'F11-Year(n+3) '!F35</f>
        <v>1.12563195666873</v>
      </c>
      <c r="K34" s="147">
        <f>'F11-Year(n+3) '!G35</f>
        <v>1.16620921501511</v>
      </c>
      <c r="L34" s="147">
        <f>'F11-Year(n+3) '!H35</f>
        <v>2.54959681554588</v>
      </c>
      <c r="M34" s="147">
        <f>'F11-Year(n+3) '!I35</f>
        <v>5.98598789126904</v>
      </c>
      <c r="N34" s="147">
        <f>'F11-Year(n+3) '!J35</f>
        <v>3.0233211626703</v>
      </c>
      <c r="O34" s="147">
        <f>'F11-Year(n+3) '!K35</f>
        <v>3.33246468165642</v>
      </c>
      <c r="P34" s="147">
        <f>'F11-Year(n+3) '!L35</f>
        <v>1.14296650480797</v>
      </c>
      <c r="Q34" s="147">
        <f>'F11-Year(n+3) '!M35</f>
        <v>1.96076474255325</v>
      </c>
      <c r="R34" s="147">
        <f>'F11-Year(n+3) '!N35</f>
        <v>3.74140885617656</v>
      </c>
      <c r="S34" s="147">
        <f>'F11-Year(n+3) '!O35</f>
        <v>3.3602034240931</v>
      </c>
      <c r="T34" s="147">
        <f>'F11-Year(n+3) '!P35</f>
        <v>1.5608239029873</v>
      </c>
      <c r="U34" s="55">
        <f t="shared" si="5"/>
        <v>29.9998319044654</v>
      </c>
    </row>
    <row r="35" spans="3:21">
      <c r="C35" s="683"/>
      <c r="D35" s="779" t="s">
        <v>445</v>
      </c>
      <c r="E35" s="55">
        <f>[45]Gen!$DB$32</f>
        <v>815.6</v>
      </c>
      <c r="F35" s="55"/>
      <c r="G35" s="55">
        <v>815.6</v>
      </c>
      <c r="H35" s="147">
        <f t="shared" si="7"/>
        <v>575.4058</v>
      </c>
      <c r="I35" s="147">
        <f>'F11-Year(n+3) '!E36</f>
        <v>3.50150917007258</v>
      </c>
      <c r="J35" s="147">
        <f>'F11-Year(n+3) '!F36</f>
        <v>3.75210652222912</v>
      </c>
      <c r="K35" s="147">
        <f>'F11-Year(n+3) '!G36</f>
        <v>3.88736405005036</v>
      </c>
      <c r="L35" s="147">
        <f>'F11-Year(n+3) '!H36</f>
        <v>8.4986560518196</v>
      </c>
      <c r="M35" s="147">
        <f>'F11-Year(n+3) '!I36</f>
        <v>19.9532929708968</v>
      </c>
      <c r="N35" s="147">
        <f>'F11-Year(n+3) '!J36</f>
        <v>10.077737208901</v>
      </c>
      <c r="O35" s="147">
        <f>'F11-Year(n+3) '!K36</f>
        <v>11.1082156055214</v>
      </c>
      <c r="P35" s="147">
        <f>'F11-Year(n+3) '!L36</f>
        <v>3.80988834935988</v>
      </c>
      <c r="Q35" s="147">
        <f>'F11-Year(n+3) '!M36</f>
        <v>6.5358824751775</v>
      </c>
      <c r="R35" s="147">
        <f>'F11-Year(n+3) '!N36</f>
        <v>12.4713628539219</v>
      </c>
      <c r="S35" s="147">
        <f>'F11-Year(n+3) '!O36</f>
        <v>11.2006780803103</v>
      </c>
      <c r="T35" s="147">
        <f>'F11-Year(n+3) '!P36</f>
        <v>5.20274634329102</v>
      </c>
      <c r="U35" s="55">
        <f t="shared" si="5"/>
        <v>99.9994396815515</v>
      </c>
    </row>
    <row r="36" spans="3:21">
      <c r="C36" s="683"/>
      <c r="D36" s="779" t="s">
        <v>446</v>
      </c>
      <c r="E36" s="55">
        <f>[45]Gen!$DB$36</f>
        <v>15</v>
      </c>
      <c r="F36" s="55"/>
      <c r="G36" s="55">
        <v>15</v>
      </c>
      <c r="H36" s="147">
        <f t="shared" si="7"/>
        <v>10.5825</v>
      </c>
      <c r="I36" s="147">
        <f>'F11-Year(n+3) '!E37</f>
        <v>0.875377292518146</v>
      </c>
      <c r="J36" s="147">
        <f>'F11-Year(n+3) '!F37</f>
        <v>0.938026630557278</v>
      </c>
      <c r="K36" s="147">
        <f>'F11-Year(n+3) '!G37</f>
        <v>0.971841012512588</v>
      </c>
      <c r="L36" s="147">
        <f>'F11-Year(n+3) '!H37</f>
        <v>2.1246640129549</v>
      </c>
      <c r="M36" s="147">
        <f>'F11-Year(n+3) '!I37</f>
        <v>4.9883232427242</v>
      </c>
      <c r="N36" s="147">
        <f>'F11-Year(n+3) '!J37</f>
        <v>2.51943430222526</v>
      </c>
      <c r="O36" s="147">
        <f>'F11-Year(n+3) '!K37</f>
        <v>2.77705390138034</v>
      </c>
      <c r="P36" s="147">
        <f>'F11-Year(n+3) '!L37</f>
        <v>0.952472087339972</v>
      </c>
      <c r="Q36" s="147">
        <f>'F11-Year(n+3) '!M37</f>
        <v>1.63397061879437</v>
      </c>
      <c r="R36" s="147">
        <f>'F11-Year(n+3) '!N37</f>
        <v>3.11784071348046</v>
      </c>
      <c r="S36" s="147">
        <f>'F11-Year(n+3) '!O37</f>
        <v>2.80016952007758</v>
      </c>
      <c r="T36" s="147">
        <f>'F11-Year(n+3) '!P37</f>
        <v>1.30068658582275</v>
      </c>
      <c r="U36" s="55">
        <f t="shared" si="5"/>
        <v>24.9998599203879</v>
      </c>
    </row>
    <row r="37" spans="3:21">
      <c r="C37" s="683"/>
      <c r="D37" s="779" t="s">
        <v>447</v>
      </c>
      <c r="E37" s="55">
        <f>[45]Gen!$DB$37</f>
        <v>900</v>
      </c>
      <c r="F37" s="55"/>
      <c r="G37" s="55">
        <v>900</v>
      </c>
      <c r="H37" s="147">
        <f t="shared" si="7"/>
        <v>634.95</v>
      </c>
      <c r="I37" s="147">
        <f>'F11-Year(n+3) '!E38</f>
        <v>0</v>
      </c>
      <c r="J37" s="147">
        <f>'F11-Year(n+3) '!F38</f>
        <v>0</v>
      </c>
      <c r="K37" s="147">
        <f>'F11-Year(n+3) '!G38</f>
        <v>0</v>
      </c>
      <c r="L37" s="147">
        <f>'F11-Year(n+3) '!H38</f>
        <v>0</v>
      </c>
      <c r="M37" s="147">
        <f>'F11-Year(n+3) '!I38</f>
        <v>0</v>
      </c>
      <c r="N37" s="147">
        <f>'F11-Year(n+3) '!J38</f>
        <v>0</v>
      </c>
      <c r="O37" s="147">
        <f>'F11-Year(n+3) '!K38</f>
        <v>0</v>
      </c>
      <c r="P37" s="147">
        <f>'F11-Year(n+3) '!L38</f>
        <v>0</v>
      </c>
      <c r="Q37" s="147">
        <f>'F11-Year(n+3) '!M38</f>
        <v>0</v>
      </c>
      <c r="R37" s="147">
        <f>'F11-Year(n+3) '!N38</f>
        <v>0</v>
      </c>
      <c r="S37" s="147">
        <f>'F11-Year(n+3) '!O38</f>
        <v>0</v>
      </c>
      <c r="T37" s="147">
        <f>'F11-Year(n+3) '!P38</f>
        <v>0</v>
      </c>
      <c r="U37" s="55">
        <f t="shared" si="5"/>
        <v>0</v>
      </c>
    </row>
    <row r="38" spans="3:21">
      <c r="C38" s="683"/>
      <c r="D38" s="312" t="s">
        <v>448</v>
      </c>
      <c r="E38" s="55"/>
      <c r="F38" s="55"/>
      <c r="G38" s="55">
        <v>27</v>
      </c>
      <c r="H38" s="147">
        <f t="shared" si="7"/>
        <v>19.0485</v>
      </c>
      <c r="I38" s="147">
        <f>'F11-Year(n+3) '!E39</f>
        <v>1.05045275102178</v>
      </c>
      <c r="J38" s="147">
        <f>'F11-Year(n+3) '!F39</f>
        <v>1.12563195666873</v>
      </c>
      <c r="K38" s="147">
        <f>'F11-Year(n+3) '!G39</f>
        <v>1.16620921501511</v>
      </c>
      <c r="L38" s="147">
        <f>'F11-Year(n+3) '!H39</f>
        <v>2.54959681554588</v>
      </c>
      <c r="M38" s="147">
        <f>'F11-Year(n+3) '!I39</f>
        <v>5.98598789126904</v>
      </c>
      <c r="N38" s="147">
        <f>'F11-Year(n+3) '!J39</f>
        <v>3.0233211626703</v>
      </c>
      <c r="O38" s="147">
        <f>'F11-Year(n+3) '!K39</f>
        <v>3.33246468165642</v>
      </c>
      <c r="P38" s="147">
        <f>'F11-Year(n+3) '!L39</f>
        <v>1.14296650480797</v>
      </c>
      <c r="Q38" s="147">
        <f>'F11-Year(n+3) '!M39</f>
        <v>1.96076474255325</v>
      </c>
      <c r="R38" s="147">
        <f>'F11-Year(n+3) '!N39</f>
        <v>3.74140885617656</v>
      </c>
      <c r="S38" s="147">
        <f>'F11-Year(n+3) '!O39</f>
        <v>3.3602034240931</v>
      </c>
      <c r="T38" s="147">
        <f>'F11-Year(n+3) '!P39</f>
        <v>1.5608239029873</v>
      </c>
      <c r="U38" s="55">
        <f t="shared" si="5"/>
        <v>29.9998319044654</v>
      </c>
    </row>
    <row r="39" spans="3:21">
      <c r="C39" s="683"/>
      <c r="D39" s="312" t="s">
        <v>449</v>
      </c>
      <c r="E39" s="55"/>
      <c r="F39" s="55"/>
      <c r="G39" s="55">
        <v>10</v>
      </c>
      <c r="H39" s="147">
        <f t="shared" si="7"/>
        <v>7.055</v>
      </c>
      <c r="I39" s="147">
        <f>'F11-Year(n+3) '!E40</f>
        <v>0.583584861678764</v>
      </c>
      <c r="J39" s="147">
        <f>'F11-Year(n+3) '!F40</f>
        <v>0.625351087038186</v>
      </c>
      <c r="K39" s="147">
        <f>'F11-Year(n+3) '!G40</f>
        <v>0.647894008341726</v>
      </c>
      <c r="L39" s="147">
        <f>'F11-Year(n+3) '!H40</f>
        <v>1.41644267530327</v>
      </c>
      <c r="M39" s="147">
        <f>'F11-Year(n+3) '!I40</f>
        <v>3.3255488284828</v>
      </c>
      <c r="N39" s="147">
        <f>'F11-Year(n+3) '!J40</f>
        <v>1.67962286815017</v>
      </c>
      <c r="O39" s="147">
        <f>'F11-Year(n+3) '!K40</f>
        <v>1.8513692675869</v>
      </c>
      <c r="P39" s="147">
        <f>'F11-Year(n+3) '!L40</f>
        <v>0.634981391559982</v>
      </c>
      <c r="Q39" s="147">
        <f>'F11-Year(n+3) '!M40</f>
        <v>1.08931374586292</v>
      </c>
      <c r="R39" s="147">
        <f>'F11-Year(n+3) '!N40</f>
        <v>2.07856047565364</v>
      </c>
      <c r="S39" s="147">
        <f>'F11-Year(n+3) '!O40</f>
        <v>1.86677968005172</v>
      </c>
      <c r="T39" s="147">
        <f>'F11-Year(n+3) '!P40</f>
        <v>0.867124390548502</v>
      </c>
      <c r="U39" s="55">
        <f t="shared" si="5"/>
        <v>16.6665732802586</v>
      </c>
    </row>
    <row r="40" spans="3:21">
      <c r="C40" s="683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>
        <f t="shared" si="5"/>
        <v>0</v>
      </c>
    </row>
    <row r="41" spans="3:21">
      <c r="C41" s="683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>
        <f t="shared" si="5"/>
        <v>0</v>
      </c>
    </row>
    <row r="42" spans="3:21">
      <c r="C42" s="683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>
        <f t="shared" si="5"/>
        <v>0</v>
      </c>
    </row>
    <row r="43" spans="3:21">
      <c r="C43" s="683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>
        <f t="shared" si="5"/>
        <v>0</v>
      </c>
    </row>
    <row r="44" spans="3:21">
      <c r="C44" s="683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>
        <f t="shared" si="5"/>
        <v>0</v>
      </c>
    </row>
    <row r="45" spans="3:21">
      <c r="C45" s="683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>
        <f t="shared" si="5"/>
        <v>0</v>
      </c>
    </row>
    <row r="46" spans="3:21">
      <c r="C46" s="684"/>
      <c r="D46" s="67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>
        <f t="shared" si="5"/>
        <v>0</v>
      </c>
    </row>
    <row r="47" ht="15" spans="3:21">
      <c r="C47" s="537" t="s">
        <v>211</v>
      </c>
      <c r="D47" s="540"/>
      <c r="E47" s="55">
        <f>SUM(E29:E46)</f>
        <v>4109.2</v>
      </c>
      <c r="F47" s="55">
        <f t="shared" ref="F47:T47" si="8">SUM(F29:F46)</f>
        <v>0</v>
      </c>
      <c r="G47" s="55">
        <f t="shared" si="8"/>
        <v>2370.6</v>
      </c>
      <c r="H47" s="55">
        <f t="shared" si="8"/>
        <v>1672.4583</v>
      </c>
      <c r="I47" s="55">
        <f t="shared" si="8"/>
        <v>141.846136479641</v>
      </c>
      <c r="J47" s="55">
        <f t="shared" si="8"/>
        <v>151.997835215501</v>
      </c>
      <c r="K47" s="55">
        <f t="shared" si="8"/>
        <v>157.47711766754</v>
      </c>
      <c r="L47" s="55">
        <f t="shared" si="8"/>
        <v>344.280556659212</v>
      </c>
      <c r="M47" s="55">
        <f t="shared" si="8"/>
        <v>808.307898251029</v>
      </c>
      <c r="N47" s="55">
        <f t="shared" si="8"/>
        <v>408.24913433258</v>
      </c>
      <c r="O47" s="55">
        <f t="shared" si="8"/>
        <v>449.99381417967</v>
      </c>
      <c r="P47" s="55">
        <f t="shared" si="8"/>
        <v>154.338577032569</v>
      </c>
      <c r="Q47" s="55">
        <f t="shared" si="8"/>
        <v>264.76859906944</v>
      </c>
      <c r="R47" s="55">
        <f t="shared" si="8"/>
        <v>505.214909212376</v>
      </c>
      <c r="S47" s="55">
        <f t="shared" si="8"/>
        <v>453.739469033372</v>
      </c>
      <c r="T47" s="55">
        <f t="shared" si="8"/>
        <v>210.763254366719</v>
      </c>
      <c r="U47" s="316">
        <f>SUM(I47:T47)</f>
        <v>4050.97730149965</v>
      </c>
    </row>
    <row r="48" ht="15" spans="3:21">
      <c r="C48" s="44" t="s">
        <v>369</v>
      </c>
      <c r="D48" s="45"/>
      <c r="E48" s="55">
        <f>E27+E47</f>
        <v>12151.7</v>
      </c>
      <c r="F48" s="55">
        <f t="shared" ref="F48:U48" si="9">F27+F47</f>
        <v>0</v>
      </c>
      <c r="G48" s="55">
        <f t="shared" si="9"/>
        <v>10413.1</v>
      </c>
      <c r="H48" s="55">
        <f t="shared" si="9"/>
        <v>7346.44205</v>
      </c>
      <c r="I48" s="55">
        <f t="shared" si="9"/>
        <v>3619.60697547964</v>
      </c>
      <c r="J48" s="55">
        <f t="shared" si="9"/>
        <v>3745.6840355155</v>
      </c>
      <c r="K48" s="55">
        <f t="shared" si="9"/>
        <v>3635.23795666754</v>
      </c>
      <c r="L48" s="55">
        <f t="shared" si="9"/>
        <v>3937.96675695921</v>
      </c>
      <c r="M48" s="55">
        <f t="shared" si="9"/>
        <v>4401.99409855103</v>
      </c>
      <c r="N48" s="55">
        <f t="shared" si="9"/>
        <v>3886.00997333258</v>
      </c>
      <c r="O48" s="55">
        <f t="shared" si="9"/>
        <v>4043.68001447967</v>
      </c>
      <c r="P48" s="55">
        <f t="shared" si="9"/>
        <v>3632.09941603257</v>
      </c>
      <c r="Q48" s="55">
        <f t="shared" si="9"/>
        <v>3858.45479936944</v>
      </c>
      <c r="R48" s="55">
        <f t="shared" si="9"/>
        <v>4098.90110951238</v>
      </c>
      <c r="S48" s="55">
        <f t="shared" si="9"/>
        <v>3699.64958543337</v>
      </c>
      <c r="T48" s="55">
        <f t="shared" si="9"/>
        <v>3804.44945466672</v>
      </c>
      <c r="U48" s="316">
        <f t="shared" si="9"/>
        <v>46363.7341759996</v>
      </c>
    </row>
    <row r="49" ht="15" spans="3:21">
      <c r="C49" s="663" t="s">
        <v>370</v>
      </c>
      <c r="D49" s="676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</row>
    <row r="50" ht="15" spans="3:21">
      <c r="C50" s="44" t="s">
        <v>350</v>
      </c>
      <c r="D50" s="4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</row>
    <row r="51" spans="3:21">
      <c r="C51" s="682" t="s">
        <v>371</v>
      </c>
      <c r="D51" s="780" t="s">
        <v>372</v>
      </c>
      <c r="E51" s="55">
        <v>2100</v>
      </c>
      <c r="F51" s="55"/>
      <c r="G51" s="55">
        <v>352.5</v>
      </c>
      <c r="H51" s="147">
        <f t="shared" ref="H51:H59" si="10">G51*0.7055</f>
        <v>248.68875</v>
      </c>
      <c r="I51" s="147">
        <f t="shared" ref="I51:I67" si="11">$H51*0.85*30*24/1000</f>
        <v>152.197515</v>
      </c>
      <c r="J51" s="147">
        <f t="shared" ref="J51:J67" si="12">$H51*0.85*31*24/1000</f>
        <v>157.2707655</v>
      </c>
      <c r="K51" s="147">
        <f t="shared" ref="K51:K67" si="13">$H51*0.85*30*24/1000</f>
        <v>152.197515</v>
      </c>
      <c r="L51" s="147">
        <f t="shared" ref="L51:M67" si="14">$H51*0.85*31*24/1000</f>
        <v>157.2707655</v>
      </c>
      <c r="M51" s="147">
        <f t="shared" si="14"/>
        <v>157.2707655</v>
      </c>
      <c r="N51" s="147">
        <f t="shared" ref="N51:N67" si="15">$H51*0.85*30*24/1000</f>
        <v>152.197515</v>
      </c>
      <c r="O51" s="147">
        <f t="shared" ref="O51:O67" si="16">$H51*0.85*31*24/1000</f>
        <v>157.2707655</v>
      </c>
      <c r="P51" s="147">
        <f t="shared" ref="P51:P67" si="17">$H51*0.85*30*24/1000</f>
        <v>152.197515</v>
      </c>
      <c r="Q51" s="147">
        <f t="shared" ref="Q51:R67" si="18">$H51*0.85*31*24/1000</f>
        <v>157.2707655</v>
      </c>
      <c r="R51" s="147">
        <f t="shared" si="18"/>
        <v>157.2707655</v>
      </c>
      <c r="S51" s="147">
        <f t="shared" ref="S51:S67" si="19">$H51*0.85*28*24/1000</f>
        <v>142.051014</v>
      </c>
      <c r="T51" s="147">
        <f t="shared" ref="T51:T67" si="20">$H51*0.85*31*24/1000</f>
        <v>157.2707655</v>
      </c>
      <c r="U51" s="147">
        <f t="shared" ref="U51:U76" si="21">+SUM(I51:T51)</f>
        <v>1851.7364325</v>
      </c>
    </row>
    <row r="52" spans="3:21">
      <c r="C52" s="683"/>
      <c r="D52" s="780" t="s">
        <v>373</v>
      </c>
      <c r="E52" s="55">
        <v>500</v>
      </c>
      <c r="F52" s="55"/>
      <c r="G52" s="55">
        <v>88.5</v>
      </c>
      <c r="H52" s="147">
        <f t="shared" si="10"/>
        <v>62.43675</v>
      </c>
      <c r="I52" s="147">
        <f t="shared" si="11"/>
        <v>38.211291</v>
      </c>
      <c r="J52" s="147">
        <f t="shared" si="12"/>
        <v>39.4850007</v>
      </c>
      <c r="K52" s="147">
        <f t="shared" si="13"/>
        <v>38.211291</v>
      </c>
      <c r="L52" s="147">
        <f t="shared" si="14"/>
        <v>39.4850007</v>
      </c>
      <c r="M52" s="147">
        <f t="shared" si="14"/>
        <v>39.4850007</v>
      </c>
      <c r="N52" s="147">
        <f t="shared" si="15"/>
        <v>38.211291</v>
      </c>
      <c r="O52" s="147">
        <f t="shared" si="16"/>
        <v>39.4850007</v>
      </c>
      <c r="P52" s="147">
        <f t="shared" si="17"/>
        <v>38.211291</v>
      </c>
      <c r="Q52" s="147">
        <f t="shared" si="18"/>
        <v>39.4850007</v>
      </c>
      <c r="R52" s="147">
        <f t="shared" si="18"/>
        <v>39.4850007</v>
      </c>
      <c r="S52" s="147">
        <f t="shared" si="19"/>
        <v>35.6638716</v>
      </c>
      <c r="T52" s="147">
        <f t="shared" si="20"/>
        <v>39.4850007</v>
      </c>
      <c r="U52" s="147">
        <f t="shared" si="21"/>
        <v>464.9040405</v>
      </c>
    </row>
    <row r="53" spans="3:21">
      <c r="C53" s="683"/>
      <c r="D53" s="780" t="s">
        <v>374</v>
      </c>
      <c r="E53" s="55">
        <v>2000</v>
      </c>
      <c r="F53" s="55"/>
      <c r="G53" s="55">
        <v>217.4</v>
      </c>
      <c r="H53" s="147">
        <f t="shared" si="10"/>
        <v>153.3757</v>
      </c>
      <c r="I53" s="147">
        <f t="shared" si="11"/>
        <v>93.8659284</v>
      </c>
      <c r="J53" s="147">
        <f t="shared" si="12"/>
        <v>96.99479268</v>
      </c>
      <c r="K53" s="147">
        <f t="shared" si="13"/>
        <v>93.8659284</v>
      </c>
      <c r="L53" s="147">
        <f t="shared" si="14"/>
        <v>96.99479268</v>
      </c>
      <c r="M53" s="147">
        <f t="shared" si="14"/>
        <v>96.99479268</v>
      </c>
      <c r="N53" s="147">
        <f t="shared" si="15"/>
        <v>93.8659284</v>
      </c>
      <c r="O53" s="147">
        <f t="shared" si="16"/>
        <v>96.99479268</v>
      </c>
      <c r="P53" s="147">
        <f t="shared" si="17"/>
        <v>93.8659284</v>
      </c>
      <c r="Q53" s="147">
        <f t="shared" si="18"/>
        <v>96.99479268</v>
      </c>
      <c r="R53" s="147">
        <f t="shared" si="18"/>
        <v>96.99479268</v>
      </c>
      <c r="S53" s="147">
        <f t="shared" si="19"/>
        <v>87.60819984</v>
      </c>
      <c r="T53" s="147">
        <f t="shared" si="20"/>
        <v>96.99479268</v>
      </c>
      <c r="U53" s="147">
        <f t="shared" si="21"/>
        <v>1142.0354622</v>
      </c>
    </row>
    <row r="54" spans="3:21">
      <c r="C54" s="683"/>
      <c r="D54" s="780" t="s">
        <v>375</v>
      </c>
      <c r="E54" s="55">
        <v>1000</v>
      </c>
      <c r="F54" s="55"/>
      <c r="G54" s="55">
        <v>538.9</v>
      </c>
      <c r="H54" s="147">
        <f t="shared" si="10"/>
        <v>380.19395</v>
      </c>
      <c r="I54" s="147">
        <f t="shared" si="11"/>
        <v>232.6786974</v>
      </c>
      <c r="J54" s="147">
        <f t="shared" si="12"/>
        <v>240.43465398</v>
      </c>
      <c r="K54" s="147">
        <f t="shared" si="13"/>
        <v>232.6786974</v>
      </c>
      <c r="L54" s="147">
        <f t="shared" si="14"/>
        <v>240.43465398</v>
      </c>
      <c r="M54" s="147">
        <f t="shared" si="14"/>
        <v>240.43465398</v>
      </c>
      <c r="N54" s="147">
        <f t="shared" si="15"/>
        <v>232.6786974</v>
      </c>
      <c r="O54" s="147">
        <f t="shared" si="16"/>
        <v>240.43465398</v>
      </c>
      <c r="P54" s="147">
        <f t="shared" si="17"/>
        <v>232.6786974</v>
      </c>
      <c r="Q54" s="147">
        <f t="shared" si="18"/>
        <v>240.43465398</v>
      </c>
      <c r="R54" s="147">
        <f t="shared" si="18"/>
        <v>240.43465398</v>
      </c>
      <c r="S54" s="147">
        <f t="shared" si="19"/>
        <v>217.16678424</v>
      </c>
      <c r="T54" s="147">
        <f t="shared" si="20"/>
        <v>240.43465398</v>
      </c>
      <c r="U54" s="147">
        <f t="shared" si="21"/>
        <v>2830.9241517</v>
      </c>
    </row>
    <row r="55" spans="3:21">
      <c r="C55" s="683"/>
      <c r="D55" s="780" t="s">
        <v>376</v>
      </c>
      <c r="E55" s="55">
        <v>1000</v>
      </c>
      <c r="F55" s="55"/>
      <c r="G55" s="55">
        <v>256.7</v>
      </c>
      <c r="H55" s="147">
        <f t="shared" si="10"/>
        <v>181.10185</v>
      </c>
      <c r="I55" s="147">
        <f t="shared" si="11"/>
        <v>110.8343322</v>
      </c>
      <c r="J55" s="147">
        <f t="shared" si="12"/>
        <v>114.52880994</v>
      </c>
      <c r="K55" s="147">
        <f t="shared" si="13"/>
        <v>110.8343322</v>
      </c>
      <c r="L55" s="147">
        <f t="shared" si="14"/>
        <v>114.52880994</v>
      </c>
      <c r="M55" s="147">
        <f t="shared" si="14"/>
        <v>114.52880994</v>
      </c>
      <c r="N55" s="147">
        <f t="shared" si="15"/>
        <v>110.8343322</v>
      </c>
      <c r="O55" s="147">
        <f t="shared" si="16"/>
        <v>114.52880994</v>
      </c>
      <c r="P55" s="147">
        <f t="shared" si="17"/>
        <v>110.8343322</v>
      </c>
      <c r="Q55" s="147">
        <f t="shared" si="18"/>
        <v>114.52880994</v>
      </c>
      <c r="R55" s="147">
        <f t="shared" si="18"/>
        <v>114.52880994</v>
      </c>
      <c r="S55" s="147">
        <f t="shared" si="19"/>
        <v>103.44537672</v>
      </c>
      <c r="T55" s="147">
        <f t="shared" si="20"/>
        <v>114.52880994</v>
      </c>
      <c r="U55" s="147">
        <f t="shared" si="21"/>
        <v>1348.4843751</v>
      </c>
    </row>
    <row r="56" spans="3:21">
      <c r="C56" s="683"/>
      <c r="D56" s="780" t="s">
        <v>377</v>
      </c>
      <c r="E56" s="55">
        <v>2400</v>
      </c>
      <c r="F56" s="55"/>
      <c r="G56" s="55">
        <v>281.04</v>
      </c>
      <c r="H56" s="147">
        <f t="shared" si="10"/>
        <v>198.27372</v>
      </c>
      <c r="I56" s="147">
        <f t="shared" si="11"/>
        <v>121.34351664</v>
      </c>
      <c r="J56" s="147">
        <f t="shared" si="12"/>
        <v>125.388300528</v>
      </c>
      <c r="K56" s="147">
        <f t="shared" si="13"/>
        <v>121.34351664</v>
      </c>
      <c r="L56" s="147">
        <f t="shared" si="14"/>
        <v>125.388300528</v>
      </c>
      <c r="M56" s="147">
        <f t="shared" si="14"/>
        <v>125.388300528</v>
      </c>
      <c r="N56" s="147">
        <f t="shared" si="15"/>
        <v>121.34351664</v>
      </c>
      <c r="O56" s="147">
        <f t="shared" si="16"/>
        <v>125.388300528</v>
      </c>
      <c r="P56" s="147">
        <f t="shared" si="17"/>
        <v>121.34351664</v>
      </c>
      <c r="Q56" s="147">
        <f t="shared" si="18"/>
        <v>125.388300528</v>
      </c>
      <c r="R56" s="147">
        <f t="shared" si="18"/>
        <v>125.388300528</v>
      </c>
      <c r="S56" s="147">
        <f t="shared" si="19"/>
        <v>113.253948864</v>
      </c>
      <c r="T56" s="147">
        <f t="shared" si="20"/>
        <v>125.388300528</v>
      </c>
      <c r="U56" s="147">
        <f t="shared" si="21"/>
        <v>1476.34611912</v>
      </c>
    </row>
    <row r="57" spans="3:21">
      <c r="C57" s="683"/>
      <c r="D57" s="780" t="s">
        <v>378</v>
      </c>
      <c r="E57" s="55">
        <v>85</v>
      </c>
      <c r="F57" s="55"/>
      <c r="G57" s="55">
        <v>45.81</v>
      </c>
      <c r="H57" s="147">
        <f t="shared" si="10"/>
        <v>32.318955</v>
      </c>
      <c r="I57" s="147">
        <f t="shared" si="11"/>
        <v>19.77920046</v>
      </c>
      <c r="J57" s="147">
        <f t="shared" si="12"/>
        <v>20.438507142</v>
      </c>
      <c r="K57" s="147">
        <f t="shared" si="13"/>
        <v>19.77920046</v>
      </c>
      <c r="L57" s="147">
        <f t="shared" si="14"/>
        <v>20.438507142</v>
      </c>
      <c r="M57" s="147">
        <f t="shared" si="14"/>
        <v>20.438507142</v>
      </c>
      <c r="N57" s="147">
        <f t="shared" si="15"/>
        <v>19.77920046</v>
      </c>
      <c r="O57" s="147">
        <f t="shared" si="16"/>
        <v>20.438507142</v>
      </c>
      <c r="P57" s="147">
        <f t="shared" si="17"/>
        <v>19.77920046</v>
      </c>
      <c r="Q57" s="147">
        <f t="shared" si="18"/>
        <v>20.438507142</v>
      </c>
      <c r="R57" s="147">
        <f t="shared" si="18"/>
        <v>20.438507142</v>
      </c>
      <c r="S57" s="147">
        <f t="shared" si="19"/>
        <v>18.460587096</v>
      </c>
      <c r="T57" s="147">
        <f t="shared" si="20"/>
        <v>20.438507142</v>
      </c>
      <c r="U57" s="147">
        <f t="shared" si="21"/>
        <v>240.64693893</v>
      </c>
    </row>
    <row r="58" spans="3:21">
      <c r="C58" s="683"/>
      <c r="D58" s="780" t="s">
        <v>379</v>
      </c>
      <c r="E58" s="55">
        <v>200</v>
      </c>
      <c r="F58" s="55"/>
      <c r="G58" s="55">
        <v>200</v>
      </c>
      <c r="H58" s="147">
        <f t="shared" si="10"/>
        <v>141.1</v>
      </c>
      <c r="I58" s="147">
        <f t="shared" si="11"/>
        <v>86.3532</v>
      </c>
      <c r="J58" s="147">
        <f t="shared" si="12"/>
        <v>89.23164</v>
      </c>
      <c r="K58" s="147">
        <f t="shared" si="13"/>
        <v>86.3532</v>
      </c>
      <c r="L58" s="147">
        <f t="shared" si="14"/>
        <v>89.23164</v>
      </c>
      <c r="M58" s="147">
        <f t="shared" si="14"/>
        <v>89.23164</v>
      </c>
      <c r="N58" s="147">
        <f t="shared" si="15"/>
        <v>86.3532</v>
      </c>
      <c r="O58" s="147">
        <f t="shared" si="16"/>
        <v>89.23164</v>
      </c>
      <c r="P58" s="147">
        <f t="shared" si="17"/>
        <v>86.3532</v>
      </c>
      <c r="Q58" s="147">
        <f t="shared" si="18"/>
        <v>89.23164</v>
      </c>
      <c r="R58" s="147">
        <f t="shared" si="18"/>
        <v>89.23164</v>
      </c>
      <c r="S58" s="147">
        <f t="shared" si="19"/>
        <v>80.59632</v>
      </c>
      <c r="T58" s="147">
        <f t="shared" si="20"/>
        <v>89.23164</v>
      </c>
      <c r="U58" s="147">
        <f t="shared" si="21"/>
        <v>1050.6306</v>
      </c>
    </row>
    <row r="59" spans="3:21">
      <c r="C59" s="684"/>
      <c r="D59" s="780" t="s">
        <v>380</v>
      </c>
      <c r="E59" s="55">
        <v>1600</v>
      </c>
      <c r="F59" s="55"/>
      <c r="G59" s="55">
        <v>1390.78</v>
      </c>
      <c r="H59" s="147">
        <f t="shared" si="10"/>
        <v>981.19529</v>
      </c>
      <c r="I59" s="147">
        <f t="shared" si="11"/>
        <v>600.49151748</v>
      </c>
      <c r="J59" s="147">
        <f t="shared" si="12"/>
        <v>620.507901396</v>
      </c>
      <c r="K59" s="147">
        <f t="shared" si="13"/>
        <v>600.49151748</v>
      </c>
      <c r="L59" s="147">
        <f t="shared" si="14"/>
        <v>620.507901396</v>
      </c>
      <c r="M59" s="147">
        <f t="shared" si="14"/>
        <v>620.507901396</v>
      </c>
      <c r="N59" s="147">
        <f t="shared" si="15"/>
        <v>600.49151748</v>
      </c>
      <c r="O59" s="147">
        <f t="shared" si="16"/>
        <v>620.507901396</v>
      </c>
      <c r="P59" s="147">
        <f t="shared" si="17"/>
        <v>600.49151748</v>
      </c>
      <c r="Q59" s="147">
        <f t="shared" si="18"/>
        <v>620.507901396</v>
      </c>
      <c r="R59" s="147">
        <f t="shared" si="18"/>
        <v>620.507901396</v>
      </c>
      <c r="S59" s="147">
        <f t="shared" si="19"/>
        <v>560.458749648</v>
      </c>
      <c r="T59" s="147">
        <f t="shared" si="20"/>
        <v>620.507901396</v>
      </c>
      <c r="U59" s="147">
        <f t="shared" si="21"/>
        <v>7305.98012934</v>
      </c>
    </row>
    <row r="60" spans="3:21">
      <c r="C60" s="55"/>
      <c r="D60" s="780" t="s">
        <v>450</v>
      </c>
      <c r="E60" s="55"/>
      <c r="F60" s="55"/>
      <c r="G60" s="55"/>
      <c r="H60" s="147"/>
      <c r="I60" s="147">
        <f t="shared" si="11"/>
        <v>0</v>
      </c>
      <c r="J60" s="147">
        <f t="shared" si="12"/>
        <v>0</v>
      </c>
      <c r="K60" s="147">
        <f t="shared" si="13"/>
        <v>0</v>
      </c>
      <c r="L60" s="147">
        <f t="shared" si="14"/>
        <v>0</v>
      </c>
      <c r="M60" s="147">
        <f t="shared" si="14"/>
        <v>0</v>
      </c>
      <c r="N60" s="147">
        <f t="shared" si="15"/>
        <v>0</v>
      </c>
      <c r="O60" s="147">
        <f t="shared" si="16"/>
        <v>0</v>
      </c>
      <c r="P60" s="147">
        <f t="shared" si="17"/>
        <v>0</v>
      </c>
      <c r="Q60" s="147">
        <f t="shared" si="18"/>
        <v>0</v>
      </c>
      <c r="R60" s="147">
        <f t="shared" si="18"/>
        <v>0</v>
      </c>
      <c r="S60" s="147">
        <f t="shared" si="19"/>
        <v>0</v>
      </c>
      <c r="T60" s="147">
        <f t="shared" si="20"/>
        <v>0</v>
      </c>
      <c r="U60" s="147">
        <f t="shared" si="21"/>
        <v>0</v>
      </c>
    </row>
    <row r="61" spans="3:21">
      <c r="C61" s="55"/>
      <c r="D61" s="780" t="s">
        <v>381</v>
      </c>
      <c r="E61" s="55">
        <v>630</v>
      </c>
      <c r="F61" s="55"/>
      <c r="G61" s="147">
        <v>5.23</v>
      </c>
      <c r="H61" s="147">
        <f>G61*0.7055</f>
        <v>3.689765</v>
      </c>
      <c r="I61" s="147">
        <f t="shared" si="11"/>
        <v>2.25813618</v>
      </c>
      <c r="J61" s="147">
        <f t="shared" si="12"/>
        <v>2.333407386</v>
      </c>
      <c r="K61" s="147">
        <f t="shared" si="13"/>
        <v>2.25813618</v>
      </c>
      <c r="L61" s="147">
        <f t="shared" si="14"/>
        <v>2.333407386</v>
      </c>
      <c r="M61" s="147">
        <f t="shared" si="14"/>
        <v>2.333407386</v>
      </c>
      <c r="N61" s="147">
        <f t="shared" si="15"/>
        <v>2.25813618</v>
      </c>
      <c r="O61" s="147">
        <f t="shared" si="16"/>
        <v>2.333407386</v>
      </c>
      <c r="P61" s="147">
        <f t="shared" si="17"/>
        <v>2.25813618</v>
      </c>
      <c r="Q61" s="147">
        <f t="shared" si="18"/>
        <v>2.333407386</v>
      </c>
      <c r="R61" s="147">
        <f t="shared" si="18"/>
        <v>2.333407386</v>
      </c>
      <c r="S61" s="147">
        <f t="shared" si="19"/>
        <v>2.107593768</v>
      </c>
      <c r="T61" s="147">
        <f t="shared" si="20"/>
        <v>2.333407386</v>
      </c>
      <c r="U61" s="147">
        <f t="shared" si="21"/>
        <v>27.47399019</v>
      </c>
    </row>
    <row r="62" spans="3:21">
      <c r="C62" s="55"/>
      <c r="D62" s="780" t="s">
        <v>382</v>
      </c>
      <c r="E62" s="55">
        <v>840</v>
      </c>
      <c r="F62" s="55"/>
      <c r="G62" s="147">
        <v>6.89</v>
      </c>
      <c r="H62" s="147">
        <f>G62*0.7055</f>
        <v>4.860895</v>
      </c>
      <c r="I62" s="147">
        <f t="shared" si="11"/>
        <v>2.97486774</v>
      </c>
      <c r="J62" s="147">
        <f t="shared" si="12"/>
        <v>3.074029998</v>
      </c>
      <c r="K62" s="147">
        <f t="shared" si="13"/>
        <v>2.97486774</v>
      </c>
      <c r="L62" s="147">
        <f t="shared" si="14"/>
        <v>3.074029998</v>
      </c>
      <c r="M62" s="147">
        <f t="shared" si="14"/>
        <v>3.074029998</v>
      </c>
      <c r="N62" s="147">
        <f t="shared" si="15"/>
        <v>2.97486774</v>
      </c>
      <c r="O62" s="147">
        <f t="shared" si="16"/>
        <v>3.074029998</v>
      </c>
      <c r="P62" s="147">
        <f t="shared" si="17"/>
        <v>2.97486774</v>
      </c>
      <c r="Q62" s="147">
        <f t="shared" si="18"/>
        <v>3.074029998</v>
      </c>
      <c r="R62" s="147">
        <f t="shared" si="18"/>
        <v>3.074029998</v>
      </c>
      <c r="S62" s="147">
        <f t="shared" si="19"/>
        <v>2.776543224</v>
      </c>
      <c r="T62" s="147">
        <f t="shared" si="20"/>
        <v>3.074029998</v>
      </c>
      <c r="U62" s="147">
        <f t="shared" si="21"/>
        <v>36.19422417</v>
      </c>
    </row>
    <row r="63" spans="3:21">
      <c r="C63" s="55"/>
      <c r="D63" s="780" t="s">
        <v>383</v>
      </c>
      <c r="E63" s="55">
        <v>1000</v>
      </c>
      <c r="F63" s="55"/>
      <c r="G63" s="147">
        <v>66.25</v>
      </c>
      <c r="H63" s="147">
        <f>G63*0.7055</f>
        <v>46.739375</v>
      </c>
      <c r="I63" s="147">
        <f t="shared" si="11"/>
        <v>28.6044975</v>
      </c>
      <c r="J63" s="147">
        <f t="shared" si="12"/>
        <v>29.55798075</v>
      </c>
      <c r="K63" s="147">
        <f t="shared" si="13"/>
        <v>28.6044975</v>
      </c>
      <c r="L63" s="147">
        <f t="shared" si="14"/>
        <v>29.55798075</v>
      </c>
      <c r="M63" s="147">
        <f t="shared" si="14"/>
        <v>29.55798075</v>
      </c>
      <c r="N63" s="147">
        <f t="shared" si="15"/>
        <v>28.6044975</v>
      </c>
      <c r="O63" s="147">
        <f t="shared" si="16"/>
        <v>29.55798075</v>
      </c>
      <c r="P63" s="147">
        <f t="shared" si="17"/>
        <v>28.6044975</v>
      </c>
      <c r="Q63" s="147">
        <f t="shared" si="18"/>
        <v>29.55798075</v>
      </c>
      <c r="R63" s="147">
        <f t="shared" si="18"/>
        <v>29.55798075</v>
      </c>
      <c r="S63" s="147">
        <f t="shared" si="19"/>
        <v>26.697531</v>
      </c>
      <c r="T63" s="147">
        <f t="shared" si="20"/>
        <v>29.55798075</v>
      </c>
      <c r="U63" s="147">
        <f t="shared" si="21"/>
        <v>348.02138625</v>
      </c>
    </row>
    <row r="64" spans="3:21">
      <c r="C64" s="55"/>
      <c r="D64" s="780" t="s">
        <v>384</v>
      </c>
      <c r="E64" s="55">
        <v>0</v>
      </c>
      <c r="F64" s="55"/>
      <c r="G64" s="147"/>
      <c r="H64" s="147"/>
      <c r="I64" s="147">
        <f t="shared" si="11"/>
        <v>0</v>
      </c>
      <c r="J64" s="147">
        <f t="shared" si="12"/>
        <v>0</v>
      </c>
      <c r="K64" s="147">
        <f t="shared" si="13"/>
        <v>0</v>
      </c>
      <c r="L64" s="147">
        <f t="shared" si="14"/>
        <v>0</v>
      </c>
      <c r="M64" s="147">
        <f t="shared" si="14"/>
        <v>0</v>
      </c>
      <c r="N64" s="147">
        <f t="shared" si="15"/>
        <v>0</v>
      </c>
      <c r="O64" s="147">
        <f t="shared" si="16"/>
        <v>0</v>
      </c>
      <c r="P64" s="147">
        <f t="shared" si="17"/>
        <v>0</v>
      </c>
      <c r="Q64" s="147">
        <f t="shared" si="18"/>
        <v>0</v>
      </c>
      <c r="R64" s="147">
        <f t="shared" si="18"/>
        <v>0</v>
      </c>
      <c r="S64" s="147">
        <f t="shared" si="19"/>
        <v>0</v>
      </c>
      <c r="T64" s="147">
        <f t="shared" si="20"/>
        <v>0</v>
      </c>
      <c r="U64" s="147">
        <f t="shared" si="21"/>
        <v>0</v>
      </c>
    </row>
    <row r="65" spans="3:21">
      <c r="C65" s="55"/>
      <c r="D65" s="780" t="s">
        <v>385</v>
      </c>
      <c r="E65" s="55">
        <v>920</v>
      </c>
      <c r="F65" s="55"/>
      <c r="G65" s="147">
        <v>0</v>
      </c>
      <c r="H65" s="147">
        <f>G65*0.7055</f>
        <v>0</v>
      </c>
      <c r="I65" s="147">
        <f t="shared" si="11"/>
        <v>0</v>
      </c>
      <c r="J65" s="147">
        <f t="shared" si="12"/>
        <v>0</v>
      </c>
      <c r="K65" s="147">
        <f t="shared" si="13"/>
        <v>0</v>
      </c>
      <c r="L65" s="147">
        <f t="shared" si="14"/>
        <v>0</v>
      </c>
      <c r="M65" s="147">
        <f t="shared" si="14"/>
        <v>0</v>
      </c>
      <c r="N65" s="147">
        <f t="shared" si="15"/>
        <v>0</v>
      </c>
      <c r="O65" s="147">
        <f t="shared" si="16"/>
        <v>0</v>
      </c>
      <c r="P65" s="147">
        <f t="shared" si="17"/>
        <v>0</v>
      </c>
      <c r="Q65" s="147">
        <f t="shared" si="18"/>
        <v>0</v>
      </c>
      <c r="R65" s="147">
        <f t="shared" si="18"/>
        <v>0</v>
      </c>
      <c r="S65" s="147">
        <f t="shared" si="19"/>
        <v>0</v>
      </c>
      <c r="T65" s="147">
        <f t="shared" si="20"/>
        <v>0</v>
      </c>
      <c r="U65" s="147">
        <f t="shared" si="21"/>
        <v>0</v>
      </c>
    </row>
    <row r="66" spans="3:21">
      <c r="C66" s="55"/>
      <c r="D66" s="780" t="s">
        <v>386</v>
      </c>
      <c r="E66" s="55">
        <v>1500</v>
      </c>
      <c r="F66" s="55"/>
      <c r="G66" s="147">
        <v>106.41</v>
      </c>
      <c r="H66" s="147">
        <f>G66*0.7055</f>
        <v>75.072255</v>
      </c>
      <c r="I66" s="147">
        <f t="shared" si="11"/>
        <v>45.94422006</v>
      </c>
      <c r="J66" s="147">
        <f t="shared" si="12"/>
        <v>47.475694062</v>
      </c>
      <c r="K66" s="147">
        <f t="shared" si="13"/>
        <v>45.94422006</v>
      </c>
      <c r="L66" s="147">
        <f t="shared" si="14"/>
        <v>47.475694062</v>
      </c>
      <c r="M66" s="147">
        <f t="shared" si="14"/>
        <v>47.475694062</v>
      </c>
      <c r="N66" s="147">
        <f t="shared" si="15"/>
        <v>45.94422006</v>
      </c>
      <c r="O66" s="147">
        <f t="shared" si="16"/>
        <v>47.475694062</v>
      </c>
      <c r="P66" s="147">
        <f t="shared" si="17"/>
        <v>45.94422006</v>
      </c>
      <c r="Q66" s="147">
        <f t="shared" si="18"/>
        <v>47.475694062</v>
      </c>
      <c r="R66" s="147">
        <f t="shared" si="18"/>
        <v>47.475694062</v>
      </c>
      <c r="S66" s="147">
        <f t="shared" si="19"/>
        <v>42.881272056</v>
      </c>
      <c r="T66" s="147">
        <f t="shared" si="20"/>
        <v>47.475694062</v>
      </c>
      <c r="U66" s="147">
        <f t="shared" si="21"/>
        <v>558.98801073</v>
      </c>
    </row>
    <row r="67" spans="3:21">
      <c r="C67" s="55"/>
      <c r="D67" s="780" t="s">
        <v>387</v>
      </c>
      <c r="E67" s="55">
        <v>1000</v>
      </c>
      <c r="F67" s="55"/>
      <c r="G67" s="147">
        <v>147.91</v>
      </c>
      <c r="H67" s="147">
        <f>G67*0.7055</f>
        <v>104.350505</v>
      </c>
      <c r="I67" s="147">
        <f t="shared" si="11"/>
        <v>63.86250906</v>
      </c>
      <c r="J67" s="147">
        <f t="shared" si="12"/>
        <v>65.991259362</v>
      </c>
      <c r="K67" s="147">
        <f t="shared" si="13"/>
        <v>63.86250906</v>
      </c>
      <c r="L67" s="147">
        <f t="shared" si="14"/>
        <v>65.991259362</v>
      </c>
      <c r="M67" s="147">
        <f t="shared" si="14"/>
        <v>65.991259362</v>
      </c>
      <c r="N67" s="147">
        <f t="shared" si="15"/>
        <v>63.86250906</v>
      </c>
      <c r="O67" s="147">
        <f t="shared" si="16"/>
        <v>65.991259362</v>
      </c>
      <c r="P67" s="147">
        <f t="shared" si="17"/>
        <v>63.86250906</v>
      </c>
      <c r="Q67" s="147">
        <f t="shared" si="18"/>
        <v>65.991259362</v>
      </c>
      <c r="R67" s="147">
        <f t="shared" si="18"/>
        <v>65.991259362</v>
      </c>
      <c r="S67" s="147">
        <f t="shared" si="19"/>
        <v>59.605008456</v>
      </c>
      <c r="T67" s="147">
        <f t="shared" si="20"/>
        <v>65.991259362</v>
      </c>
      <c r="U67" s="147">
        <f t="shared" si="21"/>
        <v>776.99386023</v>
      </c>
    </row>
    <row r="68" spans="3:21">
      <c r="C68" s="55"/>
      <c r="D68" s="55"/>
      <c r="E68" s="55"/>
      <c r="F68" s="55"/>
      <c r="G68" s="55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>
        <f t="shared" si="21"/>
        <v>0</v>
      </c>
    </row>
    <row r="69" spans="3:21">
      <c r="C69" s="55"/>
      <c r="D69" s="55"/>
      <c r="E69" s="55"/>
      <c r="F69" s="55"/>
      <c r="G69" s="55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>
        <f t="shared" si="21"/>
        <v>0</v>
      </c>
    </row>
    <row r="70" spans="3:21">
      <c r="C70" s="55"/>
      <c r="D70" s="55"/>
      <c r="E70" s="55"/>
      <c r="F70" s="55"/>
      <c r="G70" s="55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>
        <f t="shared" si="21"/>
        <v>0</v>
      </c>
    </row>
    <row r="71" spans="3:21">
      <c r="C71" s="55"/>
      <c r="D71" s="55"/>
      <c r="E71" s="55"/>
      <c r="F71" s="55"/>
      <c r="G71" s="55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>
        <f t="shared" si="21"/>
        <v>0</v>
      </c>
    </row>
    <row r="72" spans="3:21">
      <c r="C72" s="55"/>
      <c r="D72" s="55"/>
      <c r="E72" s="55"/>
      <c r="F72" s="55"/>
      <c r="G72" s="55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>
        <f t="shared" si="21"/>
        <v>0</v>
      </c>
    </row>
    <row r="73" spans="3:21">
      <c r="C73" s="55"/>
      <c r="D73" s="55"/>
      <c r="E73" s="55"/>
      <c r="F73" s="55"/>
      <c r="G73" s="55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>
        <f t="shared" si="21"/>
        <v>0</v>
      </c>
    </row>
    <row r="74" spans="3:21">
      <c r="C74" s="55"/>
      <c r="D74" s="55"/>
      <c r="E74" s="55"/>
      <c r="F74" s="55"/>
      <c r="G74" s="55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>
        <f t="shared" si="21"/>
        <v>0</v>
      </c>
    </row>
    <row r="75" spans="3:21">
      <c r="C75" s="55"/>
      <c r="D75" s="55"/>
      <c r="E75" s="55"/>
      <c r="F75" s="55"/>
      <c r="G75" s="55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>
        <f t="shared" si="21"/>
        <v>0</v>
      </c>
    </row>
    <row r="76" spans="3:21">
      <c r="C76" s="55"/>
      <c r="D76" s="55"/>
      <c r="E76" s="55"/>
      <c r="F76" s="55"/>
      <c r="G76" s="55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>
        <f t="shared" si="21"/>
        <v>0</v>
      </c>
    </row>
    <row r="77" ht="15" spans="3:21">
      <c r="C77" s="537" t="s">
        <v>211</v>
      </c>
      <c r="D77" s="540"/>
      <c r="E77" s="55">
        <f t="shared" ref="E77:T77" si="22">SUM(E51:E76)</f>
        <v>16775</v>
      </c>
      <c r="F77" s="55">
        <f t="shared" si="22"/>
        <v>0</v>
      </c>
      <c r="G77" s="55">
        <f t="shared" si="22"/>
        <v>3704.32</v>
      </c>
      <c r="H77" s="147">
        <f t="shared" si="22"/>
        <v>2613.39776</v>
      </c>
      <c r="I77" s="147">
        <f t="shared" si="22"/>
        <v>1599.39942912</v>
      </c>
      <c r="J77" s="147">
        <f t="shared" si="22"/>
        <v>1652.712743424</v>
      </c>
      <c r="K77" s="147">
        <f t="shared" si="22"/>
        <v>1599.39942912</v>
      </c>
      <c r="L77" s="147">
        <f t="shared" si="22"/>
        <v>1652.712743424</v>
      </c>
      <c r="M77" s="147">
        <f t="shared" si="22"/>
        <v>1652.712743424</v>
      </c>
      <c r="N77" s="147">
        <f t="shared" si="22"/>
        <v>1599.39942912</v>
      </c>
      <c r="O77" s="147">
        <f t="shared" si="22"/>
        <v>1652.712743424</v>
      </c>
      <c r="P77" s="147">
        <f t="shared" si="22"/>
        <v>1599.39942912</v>
      </c>
      <c r="Q77" s="147">
        <f t="shared" si="22"/>
        <v>1652.712743424</v>
      </c>
      <c r="R77" s="147">
        <f t="shared" si="22"/>
        <v>1652.712743424</v>
      </c>
      <c r="S77" s="147">
        <f t="shared" si="22"/>
        <v>1492.772800512</v>
      </c>
      <c r="T77" s="147">
        <f t="shared" si="22"/>
        <v>1652.712743424</v>
      </c>
      <c r="U77" s="316">
        <f>SUM(I77:T77)</f>
        <v>19459.35972096</v>
      </c>
    </row>
    <row r="78" ht="15" spans="3:21">
      <c r="C78" s="44" t="s">
        <v>388</v>
      </c>
      <c r="D78" s="4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</row>
    <row r="79" spans="3:21">
      <c r="C79" s="682" t="s">
        <v>389</v>
      </c>
      <c r="D79" s="55" t="s">
        <v>390</v>
      </c>
      <c r="E79" s="55">
        <f>[45]Gen!DB68</f>
        <v>440</v>
      </c>
      <c r="F79" s="55"/>
      <c r="G79" s="55">
        <f>[45]Gen!DD68</f>
        <v>22.044</v>
      </c>
      <c r="H79" s="147">
        <f>G79*0.7055</f>
        <v>15.552042</v>
      </c>
      <c r="I79" s="147">
        <f t="shared" ref="I79:T83" si="23">$H79*I$6*24/1000</f>
        <v>11.19747024</v>
      </c>
      <c r="J79" s="147">
        <f t="shared" si="23"/>
        <v>11.570719248</v>
      </c>
      <c r="K79" s="147">
        <f t="shared" si="23"/>
        <v>11.19747024</v>
      </c>
      <c r="L79" s="147">
        <f t="shared" si="23"/>
        <v>11.570719248</v>
      </c>
      <c r="M79" s="147">
        <f t="shared" si="23"/>
        <v>11.570719248</v>
      </c>
      <c r="N79" s="147">
        <f t="shared" si="23"/>
        <v>11.19747024</v>
      </c>
      <c r="O79" s="147">
        <f t="shared" si="23"/>
        <v>11.570719248</v>
      </c>
      <c r="P79" s="147">
        <f t="shared" si="23"/>
        <v>11.19747024</v>
      </c>
      <c r="Q79" s="147">
        <f t="shared" si="23"/>
        <v>11.570719248</v>
      </c>
      <c r="R79" s="147">
        <f t="shared" si="23"/>
        <v>11.570719248</v>
      </c>
      <c r="S79" s="147">
        <f t="shared" si="23"/>
        <v>10.450972224</v>
      </c>
      <c r="T79" s="147">
        <f t="shared" si="23"/>
        <v>11.570719248</v>
      </c>
      <c r="U79" s="147">
        <f t="shared" ref="U79:U92" si="24">+SUM(I79:T79)</f>
        <v>136.23588792</v>
      </c>
    </row>
    <row r="80" spans="3:21">
      <c r="C80" s="683"/>
      <c r="D80" s="55" t="s">
        <v>391</v>
      </c>
      <c r="E80" s="55">
        <f>[45]Gen!DB69</f>
        <v>440</v>
      </c>
      <c r="F80" s="55"/>
      <c r="G80" s="55">
        <f>[45]Gen!DD69</f>
        <v>67.716</v>
      </c>
      <c r="H80" s="147">
        <f>G80*0.7055</f>
        <v>47.773638</v>
      </c>
      <c r="I80" s="147">
        <f t="shared" si="23"/>
        <v>34.39701936</v>
      </c>
      <c r="J80" s="147">
        <f t="shared" si="23"/>
        <v>35.543586672</v>
      </c>
      <c r="K80" s="147">
        <f t="shared" si="23"/>
        <v>34.39701936</v>
      </c>
      <c r="L80" s="147">
        <f t="shared" si="23"/>
        <v>35.543586672</v>
      </c>
      <c r="M80" s="147">
        <f t="shared" si="23"/>
        <v>35.543586672</v>
      </c>
      <c r="N80" s="147">
        <f t="shared" si="23"/>
        <v>34.39701936</v>
      </c>
      <c r="O80" s="147">
        <f t="shared" si="23"/>
        <v>35.543586672</v>
      </c>
      <c r="P80" s="147">
        <f t="shared" si="23"/>
        <v>34.39701936</v>
      </c>
      <c r="Q80" s="147">
        <f t="shared" si="23"/>
        <v>35.543586672</v>
      </c>
      <c r="R80" s="147">
        <f t="shared" si="23"/>
        <v>35.543586672</v>
      </c>
      <c r="S80" s="147">
        <f t="shared" si="23"/>
        <v>32.103884736</v>
      </c>
      <c r="T80" s="147">
        <f t="shared" si="23"/>
        <v>35.543586672</v>
      </c>
      <c r="U80" s="147">
        <f t="shared" si="24"/>
        <v>418.49706888</v>
      </c>
    </row>
    <row r="81" spans="3:21">
      <c r="C81" s="683"/>
      <c r="D81" s="55" t="s">
        <v>392</v>
      </c>
      <c r="E81" s="55">
        <f>[45]Gen!DB70</f>
        <v>440</v>
      </c>
      <c r="F81" s="55"/>
      <c r="G81" s="55">
        <f>[45]Gen!DD70</f>
        <v>72.028</v>
      </c>
      <c r="H81" s="147">
        <f>G81*0.7055</f>
        <v>50.815754</v>
      </c>
      <c r="I81" s="147">
        <f t="shared" si="23"/>
        <v>36.58734288</v>
      </c>
      <c r="J81" s="147">
        <f t="shared" si="23"/>
        <v>37.806920976</v>
      </c>
      <c r="K81" s="147">
        <f t="shared" si="23"/>
        <v>36.58734288</v>
      </c>
      <c r="L81" s="147">
        <f t="shared" si="23"/>
        <v>37.806920976</v>
      </c>
      <c r="M81" s="147">
        <f t="shared" si="23"/>
        <v>37.806920976</v>
      </c>
      <c r="N81" s="147">
        <f t="shared" si="23"/>
        <v>36.58734288</v>
      </c>
      <c r="O81" s="147">
        <f t="shared" si="23"/>
        <v>37.806920976</v>
      </c>
      <c r="P81" s="147">
        <f t="shared" si="23"/>
        <v>36.58734288</v>
      </c>
      <c r="Q81" s="147">
        <f t="shared" si="23"/>
        <v>37.806920976</v>
      </c>
      <c r="R81" s="147">
        <f t="shared" si="23"/>
        <v>37.806920976</v>
      </c>
      <c r="S81" s="147">
        <f t="shared" si="23"/>
        <v>34.148186688</v>
      </c>
      <c r="T81" s="147">
        <f t="shared" si="23"/>
        <v>37.806920976</v>
      </c>
      <c r="U81" s="147">
        <f t="shared" si="24"/>
        <v>445.14600504</v>
      </c>
    </row>
    <row r="82" spans="3:21">
      <c r="C82" s="684"/>
      <c r="D82" s="55" t="s">
        <v>393</v>
      </c>
      <c r="E82" s="55">
        <f>[45]Gen!$DB$72</f>
        <v>1000</v>
      </c>
      <c r="F82" s="55"/>
      <c r="G82" s="55">
        <f>[45]Gen!$DD$72</f>
        <v>50</v>
      </c>
      <c r="H82" s="147">
        <f>G82*0.7055</f>
        <v>35.275</v>
      </c>
      <c r="I82" s="147">
        <f t="shared" si="23"/>
        <v>25.398</v>
      </c>
      <c r="J82" s="147">
        <f t="shared" si="23"/>
        <v>26.2446</v>
      </c>
      <c r="K82" s="147">
        <f t="shared" si="23"/>
        <v>25.398</v>
      </c>
      <c r="L82" s="147">
        <f t="shared" si="23"/>
        <v>26.2446</v>
      </c>
      <c r="M82" s="147">
        <f t="shared" si="23"/>
        <v>26.2446</v>
      </c>
      <c r="N82" s="147">
        <f t="shared" si="23"/>
        <v>25.398</v>
      </c>
      <c r="O82" s="147">
        <f t="shared" si="23"/>
        <v>26.2446</v>
      </c>
      <c r="P82" s="147">
        <f t="shared" si="23"/>
        <v>25.398</v>
      </c>
      <c r="Q82" s="147">
        <f t="shared" si="23"/>
        <v>26.2446</v>
      </c>
      <c r="R82" s="147">
        <f t="shared" si="23"/>
        <v>26.2446</v>
      </c>
      <c r="S82" s="147">
        <f t="shared" si="23"/>
        <v>23.7048</v>
      </c>
      <c r="T82" s="147">
        <f t="shared" si="23"/>
        <v>26.2446</v>
      </c>
      <c r="U82" s="147">
        <f t="shared" si="24"/>
        <v>309.009</v>
      </c>
    </row>
    <row r="83" spans="3:21">
      <c r="C83" s="55"/>
      <c r="D83" s="55"/>
      <c r="E83" s="55"/>
      <c r="F83" s="55"/>
      <c r="G83" s="147">
        <v>4.53061237698578</v>
      </c>
      <c r="H83" s="147">
        <f>G83*0.7055</f>
        <v>3.19634703196347</v>
      </c>
      <c r="I83" s="147">
        <f t="shared" si="23"/>
        <v>2.3013698630137</v>
      </c>
      <c r="J83" s="147">
        <f t="shared" si="23"/>
        <v>2.37808219178082</v>
      </c>
      <c r="K83" s="147">
        <f t="shared" si="23"/>
        <v>2.3013698630137</v>
      </c>
      <c r="L83" s="147">
        <f t="shared" si="23"/>
        <v>2.37808219178082</v>
      </c>
      <c r="M83" s="147">
        <f t="shared" si="23"/>
        <v>2.37808219178082</v>
      </c>
      <c r="N83" s="147">
        <f t="shared" si="23"/>
        <v>2.3013698630137</v>
      </c>
      <c r="O83" s="147">
        <f t="shared" si="23"/>
        <v>2.37808219178082</v>
      </c>
      <c r="P83" s="147">
        <f t="shared" si="23"/>
        <v>2.3013698630137</v>
      </c>
      <c r="Q83" s="147">
        <f t="shared" si="23"/>
        <v>2.37808219178082</v>
      </c>
      <c r="R83" s="147">
        <f t="shared" si="23"/>
        <v>2.37808219178082</v>
      </c>
      <c r="S83" s="147">
        <f t="shared" si="23"/>
        <v>2.14794520547945</v>
      </c>
      <c r="T83" s="147">
        <f t="shared" si="23"/>
        <v>2.37808219178082</v>
      </c>
      <c r="U83" s="147">
        <f t="shared" si="24"/>
        <v>28</v>
      </c>
    </row>
    <row r="84" spans="3:21">
      <c r="C84" s="55"/>
      <c r="D84" s="55"/>
      <c r="E84" s="55"/>
      <c r="F84" s="55"/>
      <c r="G84" s="55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>
        <f t="shared" si="24"/>
        <v>0</v>
      </c>
    </row>
    <row r="85" spans="3:21">
      <c r="C85" s="55"/>
      <c r="D85" s="55"/>
      <c r="E85" s="55"/>
      <c r="F85" s="55"/>
      <c r="G85" s="55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>
        <f t="shared" si="24"/>
        <v>0</v>
      </c>
    </row>
    <row r="86" spans="3:21">
      <c r="C86" s="55"/>
      <c r="D86" s="55"/>
      <c r="E86" s="55"/>
      <c r="F86" s="55"/>
      <c r="G86" s="55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>
        <f t="shared" si="24"/>
        <v>0</v>
      </c>
    </row>
    <row r="87" spans="3:21">
      <c r="C87" s="55"/>
      <c r="D87" s="55"/>
      <c r="E87" s="55"/>
      <c r="F87" s="55"/>
      <c r="G87" s="55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>
        <f t="shared" si="24"/>
        <v>0</v>
      </c>
    </row>
    <row r="88" spans="3:21">
      <c r="C88" s="55"/>
      <c r="D88" s="55"/>
      <c r="E88" s="55"/>
      <c r="F88" s="55"/>
      <c r="G88" s="55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>
        <f t="shared" si="24"/>
        <v>0</v>
      </c>
    </row>
    <row r="89" spans="3:21">
      <c r="C89" s="55"/>
      <c r="D89" s="55"/>
      <c r="E89" s="55"/>
      <c r="F89" s="55"/>
      <c r="G89" s="55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>
        <f t="shared" si="24"/>
        <v>0</v>
      </c>
    </row>
    <row r="90" spans="3:21">
      <c r="C90" s="55"/>
      <c r="D90" s="55"/>
      <c r="E90" s="55"/>
      <c r="F90" s="55"/>
      <c r="G90" s="55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>
        <f t="shared" si="24"/>
        <v>0</v>
      </c>
    </row>
    <row r="91" spans="3:21">
      <c r="C91" s="55"/>
      <c r="D91" s="55"/>
      <c r="E91" s="55"/>
      <c r="F91" s="55"/>
      <c r="G91" s="55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>
        <f t="shared" si="24"/>
        <v>0</v>
      </c>
    </row>
    <row r="92" spans="3:21">
      <c r="C92" s="55"/>
      <c r="D92" s="55"/>
      <c r="E92" s="55"/>
      <c r="F92" s="55"/>
      <c r="G92" s="55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>
        <f t="shared" si="24"/>
        <v>0</v>
      </c>
    </row>
    <row r="93" ht="15" spans="3:21">
      <c r="C93" s="537" t="s">
        <v>211</v>
      </c>
      <c r="D93" s="540"/>
      <c r="E93" s="55">
        <f t="shared" ref="E93:T93" si="25">SUM(E79:E92)</f>
        <v>2320</v>
      </c>
      <c r="F93" s="55">
        <f t="shared" si="25"/>
        <v>0</v>
      </c>
      <c r="G93" s="55">
        <f t="shared" si="25"/>
        <v>216.318612376986</v>
      </c>
      <c r="H93" s="147">
        <f t="shared" si="25"/>
        <v>152.612781031963</v>
      </c>
      <c r="I93" s="147">
        <f t="shared" si="25"/>
        <v>109.881202343014</v>
      </c>
      <c r="J93" s="147">
        <f t="shared" si="25"/>
        <v>113.543909087781</v>
      </c>
      <c r="K93" s="147">
        <f t="shared" si="25"/>
        <v>109.881202343014</v>
      </c>
      <c r="L93" s="147">
        <f t="shared" si="25"/>
        <v>113.543909087781</v>
      </c>
      <c r="M93" s="147">
        <f t="shared" si="25"/>
        <v>113.543909087781</v>
      </c>
      <c r="N93" s="147">
        <f t="shared" si="25"/>
        <v>109.881202343014</v>
      </c>
      <c r="O93" s="147">
        <f t="shared" si="25"/>
        <v>113.543909087781</v>
      </c>
      <c r="P93" s="147">
        <f t="shared" si="25"/>
        <v>109.881202343014</v>
      </c>
      <c r="Q93" s="147">
        <f t="shared" si="25"/>
        <v>113.543909087781</v>
      </c>
      <c r="R93" s="147">
        <f t="shared" si="25"/>
        <v>113.543909087781</v>
      </c>
      <c r="S93" s="147">
        <f t="shared" si="25"/>
        <v>102.555788853479</v>
      </c>
      <c r="T93" s="147">
        <f t="shared" si="25"/>
        <v>113.543909087781</v>
      </c>
      <c r="U93" s="316">
        <f>SUM(I93:T93)</f>
        <v>1336.88796184</v>
      </c>
    </row>
    <row r="94" ht="15" spans="3:21">
      <c r="C94" s="44" t="s">
        <v>395</v>
      </c>
      <c r="D94" s="45"/>
      <c r="E94" s="55">
        <f t="shared" ref="E94:U94" si="26">E77+E93</f>
        <v>19095</v>
      </c>
      <c r="F94" s="55">
        <f t="shared" si="26"/>
        <v>0</v>
      </c>
      <c r="G94" s="55">
        <f t="shared" si="26"/>
        <v>3920.63861237699</v>
      </c>
      <c r="H94" s="147">
        <f t="shared" si="26"/>
        <v>2766.01054103196</v>
      </c>
      <c r="I94" s="147">
        <f t="shared" si="26"/>
        <v>1709.28063146301</v>
      </c>
      <c r="J94" s="147">
        <f t="shared" si="26"/>
        <v>1766.25665251178</v>
      </c>
      <c r="K94" s="147">
        <f t="shared" si="26"/>
        <v>1709.28063146301</v>
      </c>
      <c r="L94" s="147">
        <f t="shared" si="26"/>
        <v>1766.25665251178</v>
      </c>
      <c r="M94" s="147">
        <f t="shared" si="26"/>
        <v>1766.25665251178</v>
      </c>
      <c r="N94" s="147">
        <f t="shared" si="26"/>
        <v>1709.28063146301</v>
      </c>
      <c r="O94" s="147">
        <f t="shared" si="26"/>
        <v>1766.25665251178</v>
      </c>
      <c r="P94" s="147">
        <f t="shared" si="26"/>
        <v>1709.28063146301</v>
      </c>
      <c r="Q94" s="147">
        <f t="shared" si="26"/>
        <v>1766.25665251178</v>
      </c>
      <c r="R94" s="147">
        <f t="shared" si="26"/>
        <v>1766.25665251178</v>
      </c>
      <c r="S94" s="147">
        <f t="shared" si="26"/>
        <v>1595.32858936548</v>
      </c>
      <c r="T94" s="147">
        <f t="shared" si="26"/>
        <v>1766.25665251178</v>
      </c>
      <c r="U94" s="316">
        <f t="shared" si="26"/>
        <v>20796.2476828</v>
      </c>
    </row>
    <row r="95" ht="15" spans="3:21">
      <c r="C95" s="663" t="s">
        <v>396</v>
      </c>
      <c r="D95" s="676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</row>
    <row r="96" spans="3:21">
      <c r="C96" s="55" t="s">
        <v>397</v>
      </c>
      <c r="D96" s="55" t="s">
        <v>397</v>
      </c>
      <c r="E96" s="55">
        <v>500</v>
      </c>
      <c r="F96" s="55"/>
      <c r="G96" s="55">
        <v>269.45</v>
      </c>
      <c r="H96" s="147">
        <f>G96*0.7055</f>
        <v>190.096975</v>
      </c>
      <c r="I96" s="147">
        <f>H96*0.85*30*24/1000</f>
        <v>116.3393487</v>
      </c>
      <c r="J96" s="147">
        <f>H96*0.85*31*24/1000</f>
        <v>120.21732699</v>
      </c>
      <c r="K96" s="147">
        <f>H96*0.85*30*24/1000</f>
        <v>116.3393487</v>
      </c>
      <c r="L96" s="147">
        <f>H96*0.85*31*24/1000</f>
        <v>120.21732699</v>
      </c>
      <c r="M96" s="147">
        <f>H96*0.85*31*24/1000</f>
        <v>120.21732699</v>
      </c>
      <c r="N96" s="147">
        <f>H96*0.85*30*24/1000</f>
        <v>116.3393487</v>
      </c>
      <c r="O96" s="147">
        <f>H96*0.85*31*24/1000</f>
        <v>120.21732699</v>
      </c>
      <c r="P96" s="147">
        <f>H96*0.85*30*24/1000</f>
        <v>116.3393487</v>
      </c>
      <c r="Q96" s="147">
        <f>H96*0.85*31*24/1000</f>
        <v>120.21732699</v>
      </c>
      <c r="R96" s="147">
        <f>H96*0.85*31*24/1000</f>
        <v>120.21732699</v>
      </c>
      <c r="S96" s="147">
        <f>H96*0.85*28*24/1000</f>
        <v>108.58339212</v>
      </c>
      <c r="T96" s="147">
        <f>H96*0.85*31*24/1000</f>
        <v>120.21732699</v>
      </c>
      <c r="U96" s="147">
        <f t="shared" ref="U96:U102" si="27">+SUM(I96:T96)</f>
        <v>1415.46207585</v>
      </c>
    </row>
    <row r="97" spans="3:21">
      <c r="C97" s="55" t="s">
        <v>398</v>
      </c>
      <c r="D97" s="55" t="s">
        <v>398</v>
      </c>
      <c r="E97" s="55">
        <v>570</v>
      </c>
      <c r="F97" s="55"/>
      <c r="G97" s="55">
        <v>570</v>
      </c>
      <c r="H97" s="147">
        <v>0</v>
      </c>
      <c r="I97" s="147">
        <v>0</v>
      </c>
      <c r="J97" s="147">
        <v>0</v>
      </c>
      <c r="K97" s="147">
        <v>0</v>
      </c>
      <c r="L97" s="147">
        <v>0</v>
      </c>
      <c r="M97" s="147">
        <v>0</v>
      </c>
      <c r="N97" s="147">
        <v>0</v>
      </c>
      <c r="O97" s="147">
        <v>0</v>
      </c>
      <c r="P97" s="147">
        <v>0</v>
      </c>
      <c r="Q97" s="147">
        <v>0</v>
      </c>
      <c r="R97" s="147">
        <v>0</v>
      </c>
      <c r="S97" s="147">
        <v>0</v>
      </c>
      <c r="T97" s="147">
        <v>0</v>
      </c>
      <c r="U97" s="147">
        <f t="shared" si="27"/>
        <v>0</v>
      </c>
    </row>
    <row r="98" spans="3:21">
      <c r="C98" s="55"/>
      <c r="D98" s="55"/>
      <c r="E98" s="55"/>
      <c r="F98" s="55"/>
      <c r="G98" s="55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>
        <f t="shared" si="27"/>
        <v>0</v>
      </c>
    </row>
    <row r="99" spans="3:21">
      <c r="C99" s="55"/>
      <c r="D99" s="55"/>
      <c r="E99" s="55"/>
      <c r="F99" s="55"/>
      <c r="G99" s="55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>
        <f t="shared" si="27"/>
        <v>0</v>
      </c>
    </row>
    <row r="100" spans="3:21">
      <c r="C100" s="55"/>
      <c r="D100" s="55"/>
      <c r="E100" s="55"/>
      <c r="F100" s="55"/>
      <c r="G100" s="55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>
        <f t="shared" si="27"/>
        <v>0</v>
      </c>
    </row>
    <row r="101" spans="3:21">
      <c r="C101" s="55"/>
      <c r="D101" s="55"/>
      <c r="E101" s="55"/>
      <c r="F101" s="55"/>
      <c r="G101" s="55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>
        <f t="shared" si="27"/>
        <v>0</v>
      </c>
    </row>
    <row r="102" spans="3:21">
      <c r="C102" s="55"/>
      <c r="D102" s="55"/>
      <c r="E102" s="55"/>
      <c r="F102" s="55"/>
      <c r="G102" s="55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>
        <f t="shared" si="27"/>
        <v>0</v>
      </c>
    </row>
    <row r="103" ht="15" spans="3:21">
      <c r="C103" s="44" t="s">
        <v>399</v>
      </c>
      <c r="D103" s="45"/>
      <c r="E103" s="55">
        <f t="shared" ref="E103:T103" si="28">SUM(E96:E102)</f>
        <v>1070</v>
      </c>
      <c r="F103" s="55">
        <f t="shared" si="28"/>
        <v>0</v>
      </c>
      <c r="G103" s="55">
        <f t="shared" si="28"/>
        <v>839.45</v>
      </c>
      <c r="H103" s="147">
        <f t="shared" si="28"/>
        <v>190.096975</v>
      </c>
      <c r="I103" s="147">
        <f t="shared" si="28"/>
        <v>116.3393487</v>
      </c>
      <c r="J103" s="147">
        <f t="shared" si="28"/>
        <v>120.21732699</v>
      </c>
      <c r="K103" s="147">
        <f t="shared" si="28"/>
        <v>116.3393487</v>
      </c>
      <c r="L103" s="147">
        <f t="shared" si="28"/>
        <v>120.21732699</v>
      </c>
      <c r="M103" s="147">
        <f t="shared" si="28"/>
        <v>120.21732699</v>
      </c>
      <c r="N103" s="147">
        <f t="shared" si="28"/>
        <v>116.3393487</v>
      </c>
      <c r="O103" s="147">
        <f t="shared" si="28"/>
        <v>120.21732699</v>
      </c>
      <c r="P103" s="147">
        <f t="shared" si="28"/>
        <v>116.3393487</v>
      </c>
      <c r="Q103" s="147">
        <f t="shared" si="28"/>
        <v>120.21732699</v>
      </c>
      <c r="R103" s="147">
        <f t="shared" si="28"/>
        <v>120.21732699</v>
      </c>
      <c r="S103" s="147">
        <f t="shared" si="28"/>
        <v>108.58339212</v>
      </c>
      <c r="T103" s="147">
        <f t="shared" si="28"/>
        <v>120.21732699</v>
      </c>
      <c r="U103" s="316">
        <f>SUM(I103:T103)</f>
        <v>1415.46207585</v>
      </c>
    </row>
    <row r="104" ht="15" spans="3:21">
      <c r="C104" s="663" t="s">
        <v>400</v>
      </c>
      <c r="D104" s="676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</row>
    <row r="105" spans="3:21">
      <c r="C105" s="55" t="s">
        <v>401</v>
      </c>
      <c r="D105" s="55" t="s">
        <v>401</v>
      </c>
      <c r="E105" s="55">
        <v>1200</v>
      </c>
      <c r="F105" s="55"/>
      <c r="G105" s="55">
        <v>1200</v>
      </c>
      <c r="H105" s="147">
        <f>G105*0.7055</f>
        <v>846.6</v>
      </c>
      <c r="I105" s="147">
        <f>H105*0.85*30*24/1000</f>
        <v>518.1192</v>
      </c>
      <c r="J105" s="147">
        <f>H105*0.85*31*24/1000</f>
        <v>535.38984</v>
      </c>
      <c r="K105" s="147">
        <f>H105*0.85*30*24/1000</f>
        <v>518.1192</v>
      </c>
      <c r="L105" s="147">
        <f>H105*0.85*31*24/1000</f>
        <v>535.38984</v>
      </c>
      <c r="M105" s="147">
        <f>H105*0.85*31*24/1000</f>
        <v>535.38984</v>
      </c>
      <c r="N105" s="147">
        <f>H105*0.85*30*24/1000</f>
        <v>518.1192</v>
      </c>
      <c r="O105" s="147">
        <f>H105*0.85*31*24/1000</f>
        <v>535.38984</v>
      </c>
      <c r="P105" s="147">
        <f>H105*0.85*30*24/1000</f>
        <v>518.1192</v>
      </c>
      <c r="Q105" s="147">
        <f>H105*0.85*31*24/1000</f>
        <v>535.38984</v>
      </c>
      <c r="R105" s="147">
        <f>H105*0.85*31*24/1000</f>
        <v>535.38984</v>
      </c>
      <c r="S105" s="147">
        <f>H105*0.85*28*24/1000</f>
        <v>483.57792</v>
      </c>
      <c r="T105" s="147">
        <f>H105*0.85*31*24/1000+800*0.85*31*24/1000</f>
        <v>1041.30984</v>
      </c>
      <c r="U105" s="147">
        <f t="shared" ref="U105:U112" si="29">+SUM(I105:T105)</f>
        <v>6809.7036</v>
      </c>
    </row>
    <row r="106" spans="3:21">
      <c r="C106" s="55" t="s">
        <v>402</v>
      </c>
      <c r="D106" s="55" t="s">
        <v>402</v>
      </c>
      <c r="E106" s="55">
        <v>1000</v>
      </c>
      <c r="F106" s="55"/>
      <c r="G106" s="55">
        <v>1000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147">
        <v>0</v>
      </c>
      <c r="R106" s="147">
        <v>0</v>
      </c>
      <c r="S106" s="147">
        <v>0</v>
      </c>
      <c r="T106" s="147">
        <v>0</v>
      </c>
      <c r="U106" s="147">
        <f t="shared" si="29"/>
        <v>0</v>
      </c>
    </row>
    <row r="107" spans="3:21">
      <c r="C107" s="55" t="s">
        <v>403</v>
      </c>
      <c r="D107" s="55" t="s">
        <v>403</v>
      </c>
      <c r="E107" s="55"/>
      <c r="F107" s="55"/>
      <c r="G107" s="55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>
        <f t="shared" si="29"/>
        <v>0</v>
      </c>
    </row>
    <row r="108" spans="3:21">
      <c r="C108" s="55"/>
      <c r="D108" s="55"/>
      <c r="E108" s="55"/>
      <c r="F108" s="55"/>
      <c r="G108" s="55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>
        <f t="shared" si="29"/>
        <v>0</v>
      </c>
    </row>
    <row r="109" spans="3:21">
      <c r="C109" s="55"/>
      <c r="D109" s="55"/>
      <c r="E109" s="55"/>
      <c r="F109" s="55"/>
      <c r="G109" s="55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>
        <f t="shared" si="29"/>
        <v>0</v>
      </c>
    </row>
    <row r="110" spans="3:21">
      <c r="C110" s="55"/>
      <c r="D110" s="55"/>
      <c r="E110" s="55"/>
      <c r="F110" s="55"/>
      <c r="G110" s="55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>
        <f t="shared" si="29"/>
        <v>0</v>
      </c>
    </row>
    <row r="111" spans="3:21">
      <c r="C111" s="55"/>
      <c r="D111" s="55"/>
      <c r="E111" s="55"/>
      <c r="F111" s="55"/>
      <c r="G111" s="55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>
        <f t="shared" si="29"/>
        <v>0</v>
      </c>
    </row>
    <row r="112" spans="3:21">
      <c r="C112" s="55"/>
      <c r="D112" s="55"/>
      <c r="E112" s="55"/>
      <c r="F112" s="55"/>
      <c r="G112" s="55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>
        <f t="shared" si="29"/>
        <v>0</v>
      </c>
    </row>
    <row r="113" ht="15" spans="3:21">
      <c r="C113" s="44" t="s">
        <v>404</v>
      </c>
      <c r="D113" s="45"/>
      <c r="E113" s="55">
        <f t="shared" ref="E113:T113" si="30">SUM(E105:E112)</f>
        <v>2200</v>
      </c>
      <c r="F113" s="55">
        <f t="shared" si="30"/>
        <v>0</v>
      </c>
      <c r="G113" s="55">
        <f t="shared" si="30"/>
        <v>2200</v>
      </c>
      <c r="H113" s="147">
        <f t="shared" si="30"/>
        <v>846.6</v>
      </c>
      <c r="I113" s="147">
        <f t="shared" si="30"/>
        <v>518.1192</v>
      </c>
      <c r="J113" s="147">
        <f t="shared" si="30"/>
        <v>535.38984</v>
      </c>
      <c r="K113" s="147">
        <f t="shared" si="30"/>
        <v>518.1192</v>
      </c>
      <c r="L113" s="147">
        <f t="shared" si="30"/>
        <v>535.38984</v>
      </c>
      <c r="M113" s="147">
        <f t="shared" si="30"/>
        <v>535.38984</v>
      </c>
      <c r="N113" s="147">
        <f t="shared" si="30"/>
        <v>518.1192</v>
      </c>
      <c r="O113" s="147">
        <f t="shared" si="30"/>
        <v>535.38984</v>
      </c>
      <c r="P113" s="147">
        <f t="shared" si="30"/>
        <v>518.1192</v>
      </c>
      <c r="Q113" s="147">
        <f t="shared" si="30"/>
        <v>535.38984</v>
      </c>
      <c r="R113" s="147">
        <f t="shared" si="30"/>
        <v>535.38984</v>
      </c>
      <c r="S113" s="147">
        <f t="shared" si="30"/>
        <v>483.57792</v>
      </c>
      <c r="T113" s="147">
        <f t="shared" si="30"/>
        <v>1041.30984</v>
      </c>
      <c r="U113" s="316">
        <f>SUM(I113:T113)</f>
        <v>6809.7036</v>
      </c>
    </row>
    <row r="114" ht="15" spans="3:21">
      <c r="C114" s="663" t="s">
        <v>405</v>
      </c>
      <c r="D114" s="676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</row>
    <row r="115" spans="3:21">
      <c r="C115" s="55"/>
      <c r="D115" s="55" t="s">
        <v>406</v>
      </c>
      <c r="E115" s="146">
        <f>'[43]F9-Year(n)'!E114</f>
        <v>12</v>
      </c>
      <c r="F115" s="55"/>
      <c r="G115" s="146">
        <f>'[43]F9-Year(n)'!G114</f>
        <v>12</v>
      </c>
      <c r="H115" s="147">
        <f t="shared" ref="H115:H125" si="31">G115*0.7055</f>
        <v>8.466</v>
      </c>
      <c r="I115" s="147">
        <f>'F11-Year(n+3) '!E115</f>
        <v>0.0324651300743771</v>
      </c>
      <c r="J115" s="147">
        <f>'F11-Year(n+3) '!F115</f>
        <v>0.0324651300743771</v>
      </c>
      <c r="K115" s="147">
        <f>'F11-Year(n+3) '!G115</f>
        <v>0.0324651300743771</v>
      </c>
      <c r="L115" s="147">
        <f>'F11-Year(n+3) '!H115</f>
        <v>0.0324651300743771</v>
      </c>
      <c r="M115" s="147">
        <f>'F11-Year(n+3) '!I115</f>
        <v>0.0324651300743771</v>
      </c>
      <c r="N115" s="147">
        <f>'F11-Year(n+3) '!J115</f>
        <v>0.0324651300743771</v>
      </c>
      <c r="O115" s="147">
        <f>'F11-Year(n+3) '!K115</f>
        <v>0.0324651300743771</v>
      </c>
      <c r="P115" s="147">
        <f>'F11-Year(n+3) '!L115</f>
        <v>0.0324651300743771</v>
      </c>
      <c r="Q115" s="147">
        <f>'F11-Year(n+3) '!M115</f>
        <v>0.0324651300743771</v>
      </c>
      <c r="R115" s="147">
        <f>'F11-Year(n+3) '!N115</f>
        <v>0.0324651300743771</v>
      </c>
      <c r="S115" s="147">
        <f>'F11-Year(n+3) '!O115</f>
        <v>0.0324651300743771</v>
      </c>
      <c r="T115" s="147">
        <f>'F11-Year(n+3) '!P115</f>
        <v>0.0324651300743771</v>
      </c>
      <c r="U115" s="55">
        <f t="shared" ref="U115:U138" si="32">+SUM(I115:T115)</f>
        <v>0.389581560892525</v>
      </c>
    </row>
    <row r="116" spans="3:21">
      <c r="C116" s="55"/>
      <c r="D116" s="55" t="s">
        <v>407</v>
      </c>
      <c r="E116" s="146">
        <f>'[43]F9-Year(n)'!E115</f>
        <v>46.7</v>
      </c>
      <c r="F116" s="55"/>
      <c r="G116" s="146">
        <f>'[43]F9-Year(n)'!G115</f>
        <v>46.7</v>
      </c>
      <c r="H116" s="147">
        <f t="shared" si="31"/>
        <v>32.94685</v>
      </c>
      <c r="I116" s="147">
        <f>'F11-Year(n+3) '!E116</f>
        <v>0</v>
      </c>
      <c r="J116" s="147">
        <f>'F11-Year(n+3) '!F116</f>
        <v>0</v>
      </c>
      <c r="K116" s="147">
        <f>'F11-Year(n+3) '!G116</f>
        <v>0</v>
      </c>
      <c r="L116" s="147">
        <f>'F11-Year(n+3) '!H116</f>
        <v>0</v>
      </c>
      <c r="M116" s="147">
        <f>'F11-Year(n+3) '!I116</f>
        <v>0</v>
      </c>
      <c r="N116" s="147">
        <f>'F11-Year(n+3) '!J116</f>
        <v>0</v>
      </c>
      <c r="O116" s="147">
        <f>'F11-Year(n+3) '!K116</f>
        <v>0</v>
      </c>
      <c r="P116" s="147">
        <f>'F11-Year(n+3) '!L116</f>
        <v>0</v>
      </c>
      <c r="Q116" s="147">
        <f>'F11-Year(n+3) '!M116</f>
        <v>0</v>
      </c>
      <c r="R116" s="147">
        <f>'F11-Year(n+3) '!N116</f>
        <v>0</v>
      </c>
      <c r="S116" s="147">
        <f>'F11-Year(n+3) '!O116</f>
        <v>0</v>
      </c>
      <c r="T116" s="147">
        <f>'F11-Year(n+3) '!P116</f>
        <v>0</v>
      </c>
      <c r="U116" s="55">
        <f t="shared" si="32"/>
        <v>0</v>
      </c>
    </row>
    <row r="117" spans="3:21">
      <c r="C117" s="55"/>
      <c r="D117" s="55" t="s">
        <v>408</v>
      </c>
      <c r="E117" s="146">
        <f>'[43]F9-Year(n)'!E116</f>
        <v>19.8</v>
      </c>
      <c r="F117" s="55"/>
      <c r="G117" s="146">
        <f>'[43]F9-Year(n)'!G116</f>
        <v>19.8</v>
      </c>
      <c r="H117" s="147">
        <f t="shared" si="31"/>
        <v>13.9689</v>
      </c>
      <c r="I117" s="147">
        <f>'F11-Year(n+3) '!E117</f>
        <v>8.04186290895216</v>
      </c>
      <c r="J117" s="147">
        <f>'F11-Year(n+3) '!F117</f>
        <v>5.65456992462307</v>
      </c>
      <c r="K117" s="147">
        <f>'F11-Year(n+3) '!G117</f>
        <v>4.70146666094361</v>
      </c>
      <c r="L117" s="147">
        <f>'F11-Year(n+3) '!H117</f>
        <v>6.63855861373027</v>
      </c>
      <c r="M117" s="147">
        <f>'F11-Year(n+3) '!I117</f>
        <v>6.63855861373027</v>
      </c>
      <c r="N117" s="147">
        <f>'F11-Year(n+3) '!J117</f>
        <v>4.73233689432737</v>
      </c>
      <c r="O117" s="147">
        <f>'F11-Year(n+3) '!K117</f>
        <v>6.63855861373027</v>
      </c>
      <c r="P117" s="147">
        <f>'F11-Year(n+3) '!L117</f>
        <v>6.23769880905377</v>
      </c>
      <c r="Q117" s="147">
        <f>'F11-Year(n+3) '!M117</f>
        <v>10.1800772680822</v>
      </c>
      <c r="R117" s="147">
        <f>'F11-Year(n+3) '!N117</f>
        <v>10.3501825846166</v>
      </c>
      <c r="S117" s="147">
        <f>'F11-Year(n+3) '!O117</f>
        <v>10.9169724257381</v>
      </c>
      <c r="T117" s="147">
        <f>'F11-Year(n+3) '!P117</f>
        <v>10.9631461114325</v>
      </c>
      <c r="U117" s="55">
        <f t="shared" si="32"/>
        <v>91.6939894289602</v>
      </c>
    </row>
    <row r="118" spans="3:21">
      <c r="C118" s="55"/>
      <c r="D118" s="55" t="s">
        <v>409</v>
      </c>
      <c r="E118" s="146">
        <f>'[43]F9-Year(n)'!E117</f>
        <v>15</v>
      </c>
      <c r="F118" s="55"/>
      <c r="G118" s="146">
        <f>'[43]F9-Year(n)'!G117</f>
        <v>15</v>
      </c>
      <c r="H118" s="147">
        <f t="shared" si="31"/>
        <v>10.5825</v>
      </c>
      <c r="I118" s="147">
        <f>'F11-Year(n+3) '!E118</f>
        <v>3.42304039824865</v>
      </c>
      <c r="J118" s="147">
        <f>'F11-Year(n+3) '!F118</f>
        <v>2.40688277154785</v>
      </c>
      <c r="K118" s="147">
        <f>'F11-Year(n+3) '!G118</f>
        <v>2.00119182503275</v>
      </c>
      <c r="L118" s="147">
        <f>'F11-Year(n+3) '!H118</f>
        <v>2.82572018178076</v>
      </c>
      <c r="M118" s="147">
        <f>'F11-Year(n+3) '!I118</f>
        <v>2.82572018178076</v>
      </c>
      <c r="N118" s="147">
        <f>'F11-Year(n+3) '!J118</f>
        <v>2.01433182221653</v>
      </c>
      <c r="O118" s="147">
        <f>'F11-Year(n+3) '!K118</f>
        <v>2.82572018178076</v>
      </c>
      <c r="P118" s="147">
        <f>'F11-Year(n+3) '!L118</f>
        <v>2.65509313665739</v>
      </c>
      <c r="Q118" s="147">
        <f>'F11-Year(n+3) '!M118</f>
        <v>4.33317704373533</v>
      </c>
      <c r="R118" s="147">
        <f>'F11-Year(n+3) '!N118</f>
        <v>4.4055828254611</v>
      </c>
      <c r="S118" s="147">
        <f>'F11-Year(n+3) '!O118</f>
        <v>4.64683843320295</v>
      </c>
      <c r="T118" s="147">
        <f>'F11-Year(n+3) '!P118</f>
        <v>4.66649238568354</v>
      </c>
      <c r="U118" s="55">
        <f t="shared" si="32"/>
        <v>39.0297911871284</v>
      </c>
    </row>
    <row r="119" spans="3:21">
      <c r="C119" s="55"/>
      <c r="D119" s="55" t="s">
        <v>410</v>
      </c>
      <c r="E119" s="146">
        <f>'[43]F9-Year(n)'!E118</f>
        <v>128.1</v>
      </c>
      <c r="F119" s="55"/>
      <c r="G119" s="146">
        <f>'[43]F9-Year(n)'!G118</f>
        <v>128.1</v>
      </c>
      <c r="H119" s="147">
        <f t="shared" si="31"/>
        <v>90.37455</v>
      </c>
      <c r="I119" s="147">
        <f>'F11-Year(n+3) '!E119</f>
        <v>17.2591929989455</v>
      </c>
      <c r="J119" s="147">
        <f>'F11-Year(n+3) '!F119</f>
        <v>14.8003808564998</v>
      </c>
      <c r="K119" s="147">
        <f>'F11-Year(n+3) '!G119</f>
        <v>35.2051168596055</v>
      </c>
      <c r="L119" s="147">
        <f>'F11-Year(n+3) '!H119</f>
        <v>51.2080196958164</v>
      </c>
      <c r="M119" s="147">
        <f>'F11-Year(n+3) '!I119</f>
        <v>27.9431824510743</v>
      </c>
      <c r="N119" s="147">
        <f>'F11-Year(n+3) '!J119</f>
        <v>20.5485982951661</v>
      </c>
      <c r="O119" s="147">
        <f>'F11-Year(n+3) '!K119</f>
        <v>12.4612715348359</v>
      </c>
      <c r="P119" s="147">
        <f>'F11-Year(n+3) '!L119</f>
        <v>17.3034619253631</v>
      </c>
      <c r="Q119" s="147">
        <f>'F11-Year(n+3) '!M119</f>
        <v>19.7859835372942</v>
      </c>
      <c r="R119" s="147">
        <f>'F11-Year(n+3) '!N119</f>
        <v>19.1357567273033</v>
      </c>
      <c r="S119" s="147">
        <f>'F11-Year(n+3) '!O119</f>
        <v>13.1203436925768</v>
      </c>
      <c r="T119" s="147">
        <f>'F11-Year(n+3) '!P119</f>
        <v>17.0399319689109</v>
      </c>
      <c r="U119" s="55">
        <f t="shared" si="32"/>
        <v>265.811240543392</v>
      </c>
    </row>
    <row r="120" spans="3:21">
      <c r="C120" s="55"/>
      <c r="D120" s="55" t="s">
        <v>368</v>
      </c>
      <c r="E120" s="146">
        <f>'[43]F9-Year(n)'!E119</f>
        <v>3.55</v>
      </c>
      <c r="F120" s="55"/>
      <c r="G120" s="146">
        <f>'[43]F9-Year(n)'!G119</f>
        <v>3.55</v>
      </c>
      <c r="H120" s="147">
        <f t="shared" si="31"/>
        <v>2.504525</v>
      </c>
      <c r="I120" s="147">
        <f>'F11-Year(n+3) '!E120</f>
        <v>0.0078979694305466</v>
      </c>
      <c r="J120" s="147">
        <f>'F11-Year(n+3) '!F120</f>
        <v>0.0078979694305466</v>
      </c>
      <c r="K120" s="147">
        <f>'F11-Year(n+3) '!G120</f>
        <v>0.0078979694305466</v>
      </c>
      <c r="L120" s="147">
        <f>'F11-Year(n+3) '!H120</f>
        <v>0.0078979694305466</v>
      </c>
      <c r="M120" s="147">
        <f>'F11-Year(n+3) '!I120</f>
        <v>0.0078979694305466</v>
      </c>
      <c r="N120" s="147">
        <f>'F11-Year(n+3) '!J120</f>
        <v>0.0078979694305466</v>
      </c>
      <c r="O120" s="147">
        <f>'F11-Year(n+3) '!K120</f>
        <v>0.0078979694305466</v>
      </c>
      <c r="P120" s="147">
        <f>'F11-Year(n+3) '!L120</f>
        <v>0.0078979694305466</v>
      </c>
      <c r="Q120" s="147">
        <f>'F11-Year(n+3) '!M120</f>
        <v>0.0078979694305466</v>
      </c>
      <c r="R120" s="147">
        <f>'F11-Year(n+3) '!N120</f>
        <v>0.0078979694305466</v>
      </c>
      <c r="S120" s="147">
        <f>'F11-Year(n+3) '!O120</f>
        <v>0.0078979694305466</v>
      </c>
      <c r="T120" s="147">
        <f>'F11-Year(n+3) '!P120</f>
        <v>0.0078979694305466</v>
      </c>
      <c r="U120" s="55">
        <f t="shared" si="32"/>
        <v>0.0947756331665592</v>
      </c>
    </row>
    <row r="121" spans="3:21">
      <c r="C121" s="55"/>
      <c r="D121" s="55" t="s">
        <v>411</v>
      </c>
      <c r="E121" s="146">
        <f>'[43]F9-Year(n)'!E120</f>
        <v>2833.74</v>
      </c>
      <c r="F121" s="55"/>
      <c r="G121" s="146">
        <f>'[43]F9-Year(n)'!G120</f>
        <v>2833.74</v>
      </c>
      <c r="H121" s="147">
        <f t="shared" si="31"/>
        <v>1999.20357</v>
      </c>
      <c r="I121" s="147">
        <f>'F11-Year(n+3) '!E121</f>
        <v>491.9338989782</v>
      </c>
      <c r="J121" s="147">
        <f>'F11-Year(n+3) '!F121</f>
        <v>507.262236183141</v>
      </c>
      <c r="K121" s="147">
        <f>'F11-Year(n+3) '!G121</f>
        <v>474.924644146686</v>
      </c>
      <c r="L121" s="147">
        <f>'F11-Year(n+3) '!H121</f>
        <v>371.967338013586</v>
      </c>
      <c r="M121" s="147">
        <f>'F11-Year(n+3) '!I121</f>
        <v>457.493596809006</v>
      </c>
      <c r="N121" s="147">
        <f>'F11-Year(n+3) '!J121</f>
        <v>403.265857000074</v>
      </c>
      <c r="O121" s="147">
        <f>'F11-Year(n+3) '!K121</f>
        <v>494.39472414967</v>
      </c>
      <c r="P121" s="147">
        <f>'F11-Year(n+3) '!L121</f>
        <v>381.213597347113</v>
      </c>
      <c r="Q121" s="147">
        <f>'F11-Year(n+3) '!M121</f>
        <v>417.894067406642</v>
      </c>
      <c r="R121" s="147">
        <f>'F11-Year(n+3) '!N121</f>
        <v>445.53628542486</v>
      </c>
      <c r="S121" s="147">
        <f>'F11-Year(n+3) '!O121</f>
        <v>457.314497023667</v>
      </c>
      <c r="T121" s="147">
        <f>'F11-Year(n+3) '!P121</f>
        <v>490.369787729815</v>
      </c>
      <c r="U121" s="55">
        <f t="shared" si="32"/>
        <v>5393.57053021246</v>
      </c>
    </row>
    <row r="122" spans="3:21">
      <c r="C122" s="55"/>
      <c r="D122" s="55" t="s">
        <v>412</v>
      </c>
      <c r="E122" s="146">
        <f>'[43]F9-Year(n)'!E121</f>
        <v>55.81</v>
      </c>
      <c r="F122" s="55"/>
      <c r="G122" s="146">
        <f>'[43]F9-Year(n)'!G121</f>
        <v>55.81</v>
      </c>
      <c r="H122" s="147">
        <f t="shared" si="31"/>
        <v>39.373955</v>
      </c>
      <c r="I122" s="147">
        <f>'F11-Year(n+3) '!E122</f>
        <v>8.10469461548187</v>
      </c>
      <c r="J122" s="147">
        <f>'F11-Year(n+3) '!F122</f>
        <v>8.35723157678342</v>
      </c>
      <c r="K122" s="147">
        <f>'F11-Year(n+3) '!G122</f>
        <v>7.82446425052296</v>
      </c>
      <c r="L122" s="147">
        <f>'F11-Year(n+3) '!H122</f>
        <v>6.12822512901766</v>
      </c>
      <c r="M122" s="147">
        <f>'F11-Year(n+3) '!I122</f>
        <v>7.53728478231931</v>
      </c>
      <c r="N122" s="147">
        <f>'F11-Year(n+3) '!J122</f>
        <v>6.64387355013529</v>
      </c>
      <c r="O122" s="147">
        <f>'F11-Year(n+3) '!K122</f>
        <v>8.1452371285274</v>
      </c>
      <c r="P122" s="147">
        <f>'F11-Year(n+3) '!L122</f>
        <v>6.28055882342139</v>
      </c>
      <c r="Q122" s="147">
        <f>'F11-Year(n+3) '!M122</f>
        <v>6.88487580341059</v>
      </c>
      <c r="R122" s="147">
        <f>'F11-Year(n+3) '!N122</f>
        <v>7.34028604449697</v>
      </c>
      <c r="S122" s="147">
        <f>'F11-Year(n+3) '!O122</f>
        <v>7.53433408290849</v>
      </c>
      <c r="T122" s="147">
        <f>'F11-Year(n+3) '!P122</f>
        <v>8.07892561676247</v>
      </c>
      <c r="U122" s="55">
        <f t="shared" si="32"/>
        <v>88.8599914037878</v>
      </c>
    </row>
    <row r="123" spans="3:21">
      <c r="C123" s="55"/>
      <c r="D123" s="55" t="s">
        <v>413</v>
      </c>
      <c r="E123" s="146">
        <f>'[43]F9-Year(n)'!E122</f>
        <v>400</v>
      </c>
      <c r="F123" s="55"/>
      <c r="G123" s="146">
        <f>'[43]F9-Year(n)'!G122</f>
        <v>400</v>
      </c>
      <c r="H123" s="147">
        <f t="shared" si="31"/>
        <v>282.2</v>
      </c>
      <c r="I123" s="147">
        <f>'F11-Year(n+3) '!E123</f>
        <v>70.7656194458225</v>
      </c>
      <c r="J123" s="147">
        <f>'F11-Year(n+3) '!F123</f>
        <v>72.9706296710483</v>
      </c>
      <c r="K123" s="147">
        <f>'F11-Year(n+3) '!G123</f>
        <v>68.3188060488112</v>
      </c>
      <c r="L123" s="147">
        <f>'F11-Year(n+3) '!H123</f>
        <v>53.5082033232916</v>
      </c>
      <c r="M123" s="147">
        <f>'F11-Year(n+3) '!I123</f>
        <v>65.811317004038</v>
      </c>
      <c r="N123" s="147">
        <f>'F11-Year(n+3) '!J123</f>
        <v>58.0105543269857</v>
      </c>
      <c r="O123" s="147">
        <f>'F11-Year(n+3) '!K123</f>
        <v>71.1196137893079</v>
      </c>
      <c r="P123" s="147">
        <f>'F11-Year(n+3) '!L123</f>
        <v>54.8382951723242</v>
      </c>
      <c r="Q123" s="147">
        <f>'F11-Year(n+3) '!M123</f>
        <v>60.114849991413</v>
      </c>
      <c r="R123" s="147">
        <f>'F11-Year(n+3) '!N123</f>
        <v>64.0912352028789</v>
      </c>
      <c r="S123" s="147">
        <f>'F11-Year(n+3) '!O123</f>
        <v>65.785553162029</v>
      </c>
      <c r="T123" s="147">
        <f>'F11-Year(n+3) '!P123</f>
        <v>70.540619091905</v>
      </c>
      <c r="U123" s="55">
        <f t="shared" si="32"/>
        <v>775.875296229855</v>
      </c>
    </row>
    <row r="124" spans="3:21">
      <c r="C124" s="55"/>
      <c r="D124" s="55" t="s">
        <v>414</v>
      </c>
      <c r="E124" s="146">
        <f>'[43]F9-Year(n)'!E123</f>
        <v>400</v>
      </c>
      <c r="F124" s="55"/>
      <c r="G124" s="146">
        <f>'[43]F9-Year(n)'!G123</f>
        <v>400</v>
      </c>
      <c r="H124" s="147">
        <f t="shared" si="31"/>
        <v>282.2</v>
      </c>
      <c r="I124" s="147">
        <f>'F11-Year(n+3) '!E124</f>
        <v>70.7656194458225</v>
      </c>
      <c r="J124" s="147">
        <f>'F11-Year(n+3) '!F124</f>
        <v>72.9706296710483</v>
      </c>
      <c r="K124" s="147">
        <f>'F11-Year(n+3) '!G124</f>
        <v>68.3188060488112</v>
      </c>
      <c r="L124" s="147">
        <f>'F11-Year(n+3) '!H124</f>
        <v>53.5082033232916</v>
      </c>
      <c r="M124" s="147">
        <f>'F11-Year(n+3) '!I124</f>
        <v>65.811317004038</v>
      </c>
      <c r="N124" s="147">
        <f>'F11-Year(n+3) '!J124</f>
        <v>58.0105543269857</v>
      </c>
      <c r="O124" s="147">
        <f>'F11-Year(n+3) '!K124</f>
        <v>71.1196137893079</v>
      </c>
      <c r="P124" s="147">
        <f>'F11-Year(n+3) '!L124</f>
        <v>54.8382951723242</v>
      </c>
      <c r="Q124" s="147">
        <f>'F11-Year(n+3) '!M124</f>
        <v>60.114849991413</v>
      </c>
      <c r="R124" s="147">
        <f>'F11-Year(n+3) '!N124</f>
        <v>64.0912352028789</v>
      </c>
      <c r="S124" s="147">
        <f>'F11-Year(n+3) '!O124</f>
        <v>65.785553162029</v>
      </c>
      <c r="T124" s="147">
        <f>'F11-Year(n+3) '!P124</f>
        <v>70.540619091905</v>
      </c>
      <c r="U124" s="55">
        <f t="shared" si="32"/>
        <v>775.875296229855</v>
      </c>
    </row>
    <row r="125" spans="3:21">
      <c r="C125" s="55"/>
      <c r="D125" s="55" t="s">
        <v>415</v>
      </c>
      <c r="E125" s="146">
        <f>'[43]F9-Year(n)'!E124</f>
        <v>735</v>
      </c>
      <c r="F125" s="55"/>
      <c r="G125" s="146">
        <f>'[43]F9-Year(n)'!G124</f>
        <v>735</v>
      </c>
      <c r="H125" s="147">
        <f t="shared" si="31"/>
        <v>518.5425</v>
      </c>
      <c r="I125" s="147">
        <f>'F11-Year(n+3) '!E125</f>
        <v>273.33220510949</v>
      </c>
      <c r="J125" s="147">
        <f>'F11-Year(n+3) '!F125</f>
        <v>281.849057104424</v>
      </c>
      <c r="K125" s="147">
        <f>'F11-Year(n+3) '!G125</f>
        <v>263.881388363533</v>
      </c>
      <c r="L125" s="147">
        <f>'F11-Year(n+3) '!H125</f>
        <v>206.675435336214</v>
      </c>
      <c r="M125" s="147">
        <f>'F11-Year(n+3) '!I125</f>
        <v>254.196211928097</v>
      </c>
      <c r="N125" s="147">
        <f>'F11-Year(n+3) '!J125</f>
        <v>224.065766087982</v>
      </c>
      <c r="O125" s="147">
        <f>'F11-Year(n+3) '!K125</f>
        <v>274.699508261202</v>
      </c>
      <c r="P125" s="147">
        <f>'F11-Year(n+3) '!L125</f>
        <v>211.812915103102</v>
      </c>
      <c r="Q125" s="147">
        <f>'F11-Year(n+3) '!M125</f>
        <v>232.193608091833</v>
      </c>
      <c r="R125" s="147">
        <f>'F11-Year(n+3) '!N125</f>
        <v>247.55239597112</v>
      </c>
      <c r="S125" s="147">
        <f>'F11-Year(n+3) '!O125</f>
        <v>254.096699088337</v>
      </c>
      <c r="T125" s="147">
        <f>'F11-Year(n+3) '!P125</f>
        <v>272.463141242483</v>
      </c>
      <c r="U125" s="55">
        <f t="shared" si="32"/>
        <v>2996.81833168782</v>
      </c>
    </row>
    <row r="126" spans="3:21">
      <c r="C126" s="55"/>
      <c r="D126" s="55" t="s">
        <v>416</v>
      </c>
      <c r="E126" s="146"/>
      <c r="F126" s="55"/>
      <c r="G126" s="146"/>
      <c r="H126" s="147"/>
      <c r="I126" s="147">
        <f>'F11-Year(n+3) '!E126</f>
        <v>0</v>
      </c>
      <c r="J126" s="147">
        <f>'F11-Year(n+3) '!F126</f>
        <v>0</v>
      </c>
      <c r="K126" s="147">
        <f>'F11-Year(n+3) '!G126</f>
        <v>0</v>
      </c>
      <c r="L126" s="147">
        <f>'F11-Year(n+3) '!H126</f>
        <v>0</v>
      </c>
      <c r="M126" s="147">
        <f>'F11-Year(n+3) '!I126</f>
        <v>0</v>
      </c>
      <c r="N126" s="147">
        <f>'F11-Year(n+3) '!J126</f>
        <v>0</v>
      </c>
      <c r="O126" s="147">
        <f>'F11-Year(n+3) '!K126</f>
        <v>0</v>
      </c>
      <c r="P126" s="147">
        <f>'F11-Year(n+3) '!L126</f>
        <v>0</v>
      </c>
      <c r="Q126" s="147">
        <f>'F11-Year(n+3) '!M126</f>
        <v>0</v>
      </c>
      <c r="R126" s="147">
        <f>'F11-Year(n+3) '!N126</f>
        <v>0</v>
      </c>
      <c r="S126" s="147">
        <f>'F11-Year(n+3) '!O126</f>
        <v>0</v>
      </c>
      <c r="T126" s="147">
        <f>'F11-Year(n+3) '!P126</f>
        <v>0</v>
      </c>
      <c r="U126" s="55">
        <f t="shared" si="32"/>
        <v>0</v>
      </c>
    </row>
    <row r="127" spans="3:21">
      <c r="C127" s="55"/>
      <c r="D127" s="55" t="s">
        <v>417</v>
      </c>
      <c r="E127" s="146">
        <f>'[43]F9-Year(n)'!E126</f>
        <v>1692</v>
      </c>
      <c r="F127" s="55"/>
      <c r="G127" s="146">
        <f>'[43]F9-Year(n)'!G126</f>
        <v>1692</v>
      </c>
      <c r="H127" s="147">
        <f>G127*0.7055</f>
        <v>1193.706</v>
      </c>
      <c r="I127" s="147">
        <f>'F11-Year(n+3) '!E127</f>
        <v>299.338570255829</v>
      </c>
      <c r="J127" s="147">
        <f>'F11-Year(n+3) '!F127</f>
        <v>308.665763508534</v>
      </c>
      <c r="K127" s="147">
        <f>'F11-Year(n+3) '!G127</f>
        <v>288.988549586472</v>
      </c>
      <c r="L127" s="147">
        <f>'F11-Year(n+3) '!H127</f>
        <v>226.339700057523</v>
      </c>
      <c r="M127" s="147">
        <f>'F11-Year(n+3) '!I127</f>
        <v>278.381870927081</v>
      </c>
      <c r="N127" s="147">
        <f>'F11-Year(n+3) '!J127</f>
        <v>245.38464480315</v>
      </c>
      <c r="O127" s="147">
        <f>'F11-Year(n+3) '!K127</f>
        <v>300.835966328772</v>
      </c>
      <c r="P127" s="147">
        <f>'F11-Year(n+3) '!L127</f>
        <v>231.965988578931</v>
      </c>
      <c r="Q127" s="147">
        <f>'F11-Year(n+3) '!M127</f>
        <v>254.285815463677</v>
      </c>
      <c r="R127" s="147">
        <f>'F11-Year(n+3) '!N127</f>
        <v>271.105924908178</v>
      </c>
      <c r="S127" s="147">
        <f>'F11-Year(n+3) '!O127</f>
        <v>278.272889875383</v>
      </c>
      <c r="T127" s="147">
        <f>'F11-Year(n+3) '!P127</f>
        <v>298.386818758758</v>
      </c>
      <c r="U127" s="55">
        <f t="shared" si="32"/>
        <v>3281.95250305229</v>
      </c>
    </row>
    <row r="128" spans="3:21">
      <c r="C128" s="55"/>
      <c r="D128" s="55" t="s">
        <v>418</v>
      </c>
      <c r="E128" s="146">
        <f>'[43]F9-Year(n)'!E127</f>
        <v>1000</v>
      </c>
      <c r="F128" s="55"/>
      <c r="G128" s="146">
        <f>'[43]F9-Year(n)'!G127</f>
        <v>1000</v>
      </c>
      <c r="H128" s="147">
        <f>G128*0.7055</f>
        <v>705.5</v>
      </c>
      <c r="I128" s="147">
        <f>'F11-Year(n+3) '!E128</f>
        <v>176.914048614556</v>
      </c>
      <c r="J128" s="147">
        <f>'F11-Year(n+3) '!F128</f>
        <v>182.426574177621</v>
      </c>
      <c r="K128" s="147">
        <f>'F11-Year(n+3) '!G128</f>
        <v>170.797015122028</v>
      </c>
      <c r="L128" s="147">
        <f>'F11-Year(n+3) '!H128</f>
        <v>133.770508308229</v>
      </c>
      <c r="M128" s="147">
        <f>'F11-Year(n+3) '!I128</f>
        <v>164.528292510095</v>
      </c>
      <c r="N128" s="147">
        <f>'F11-Year(n+3) '!J128</f>
        <v>145.026385817464</v>
      </c>
      <c r="O128" s="147">
        <f>'F11-Year(n+3) '!K128</f>
        <v>177.79903447327</v>
      </c>
      <c r="P128" s="147">
        <f>'F11-Year(n+3) '!L128</f>
        <v>137.09573793081</v>
      </c>
      <c r="Q128" s="147">
        <f>'F11-Year(n+3) '!M128</f>
        <v>150.287124978532</v>
      </c>
      <c r="R128" s="147">
        <f>'F11-Year(n+3) '!N128</f>
        <v>160.228088007197</v>
      </c>
      <c r="S128" s="147">
        <f>'F11-Year(n+3) '!O128</f>
        <v>164.463882905073</v>
      </c>
      <c r="T128" s="147">
        <f>'F11-Year(n+3) '!P128</f>
        <v>176.351547729763</v>
      </c>
      <c r="U128" s="55">
        <f t="shared" si="32"/>
        <v>1939.68824057464</v>
      </c>
    </row>
    <row r="129" spans="3:21"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>
        <f t="shared" si="32"/>
        <v>0</v>
      </c>
    </row>
    <row r="130" spans="3:21"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>
        <f t="shared" si="32"/>
        <v>0</v>
      </c>
    </row>
    <row r="131" spans="3:21"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>
        <f t="shared" si="32"/>
        <v>0</v>
      </c>
    </row>
    <row r="132" spans="3:21"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>
        <f t="shared" si="32"/>
        <v>0</v>
      </c>
    </row>
    <row r="133" spans="3:21"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>
        <f t="shared" si="32"/>
        <v>0</v>
      </c>
    </row>
    <row r="134" spans="3:21"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>
        <f t="shared" si="32"/>
        <v>0</v>
      </c>
    </row>
    <row r="135" spans="3:21"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>
        <f t="shared" si="32"/>
        <v>0</v>
      </c>
    </row>
    <row r="136" spans="3:21"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>
        <f t="shared" si="32"/>
        <v>0</v>
      </c>
    </row>
    <row r="137" spans="3:21"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>
        <f t="shared" si="32"/>
        <v>0</v>
      </c>
    </row>
    <row r="138" spans="3:21"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>
        <f t="shared" si="32"/>
        <v>0</v>
      </c>
    </row>
    <row r="139" ht="15" spans="3:21">
      <c r="C139" s="44" t="s">
        <v>421</v>
      </c>
      <c r="D139" s="45"/>
      <c r="E139" s="55">
        <f>SUM(E115:E138)</f>
        <v>7341.7</v>
      </c>
      <c r="F139" s="55">
        <f t="shared" ref="F139:T139" si="33">SUM(F115:F138)</f>
        <v>0</v>
      </c>
      <c r="G139" s="55">
        <f t="shared" si="33"/>
        <v>7341.7</v>
      </c>
      <c r="H139" s="55">
        <f t="shared" si="33"/>
        <v>5179.56935</v>
      </c>
      <c r="I139" s="55">
        <f t="shared" si="33"/>
        <v>1419.91911587085</v>
      </c>
      <c r="J139" s="55">
        <f t="shared" si="33"/>
        <v>1457.40431854478</v>
      </c>
      <c r="K139" s="55">
        <f t="shared" si="33"/>
        <v>1385.00181201195</v>
      </c>
      <c r="L139" s="55">
        <f t="shared" si="33"/>
        <v>1112.61027508199</v>
      </c>
      <c r="M139" s="55">
        <f t="shared" si="33"/>
        <v>1331.20771531076</v>
      </c>
      <c r="N139" s="55">
        <f t="shared" si="33"/>
        <v>1167.74326602399</v>
      </c>
      <c r="O139" s="55">
        <f t="shared" si="33"/>
        <v>1420.07961134991</v>
      </c>
      <c r="P139" s="55">
        <f t="shared" si="33"/>
        <v>1104.2820050986</v>
      </c>
      <c r="Q139" s="55">
        <f t="shared" si="33"/>
        <v>1216.11479267554</v>
      </c>
      <c r="R139" s="55">
        <f t="shared" si="33"/>
        <v>1293.8773359985</v>
      </c>
      <c r="S139" s="55">
        <f t="shared" si="33"/>
        <v>1321.97792695045</v>
      </c>
      <c r="T139" s="55">
        <f t="shared" si="33"/>
        <v>1419.44139282692</v>
      </c>
      <c r="U139" s="316">
        <f>SUM(I139:T139)</f>
        <v>15649.6595677442</v>
      </c>
    </row>
    <row r="140" ht="15" spans="3:21">
      <c r="C140" s="663" t="s">
        <v>422</v>
      </c>
      <c r="D140" s="676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</row>
    <row r="141" spans="3:21">
      <c r="C141" s="55"/>
      <c r="D141" s="55" t="s">
        <v>423</v>
      </c>
      <c r="E141" s="55"/>
      <c r="F141" s="55"/>
      <c r="G141" s="55"/>
      <c r="H141" s="55"/>
      <c r="I141" s="147">
        <f>'F11-Year(n+3) '!E141</f>
        <v>0</v>
      </c>
      <c r="J141" s="147">
        <f>'F11-Year(n+3) '!F141</f>
        <v>377.294863788821</v>
      </c>
      <c r="K141" s="147">
        <f>'F11-Year(n+3) '!G141</f>
        <v>118.232079155099</v>
      </c>
      <c r="L141" s="147">
        <f>'F11-Year(n+3) '!H141</f>
        <v>15.6059273031888</v>
      </c>
      <c r="M141" s="147">
        <f>'F11-Year(n+3) '!I141</f>
        <v>0</v>
      </c>
      <c r="N141" s="147">
        <f>'F11-Year(n+3) '!J141</f>
        <v>0</v>
      </c>
      <c r="O141" s="147">
        <f>'F11-Year(n+3) '!K141</f>
        <v>0</v>
      </c>
      <c r="P141" s="147">
        <f>'F11-Year(n+3) '!L141</f>
        <v>0</v>
      </c>
      <c r="Q141" s="147">
        <f>'F11-Year(n+3) '!M141</f>
        <v>0</v>
      </c>
      <c r="R141" s="147">
        <f>'F11-Year(n+3) '!N141</f>
        <v>0</v>
      </c>
      <c r="S141" s="147">
        <f>'F11-Year(n+3) '!O141</f>
        <v>88.3077831698074</v>
      </c>
      <c r="T141" s="147">
        <f>'F11-Year(n+3) '!P141</f>
        <v>484.118532537505</v>
      </c>
      <c r="U141" s="55">
        <f t="shared" ref="U141:U151" si="34">+SUM(I141:T141)</f>
        <v>1083.55918595442</v>
      </c>
    </row>
    <row r="142" spans="3:21"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>
        <f t="shared" si="34"/>
        <v>0</v>
      </c>
    </row>
    <row r="143" spans="3:21"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>
        <f t="shared" si="34"/>
        <v>0</v>
      </c>
    </row>
    <row r="144" spans="3:21"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>
        <f t="shared" si="34"/>
        <v>0</v>
      </c>
    </row>
    <row r="145" spans="3:21"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>
        <f t="shared" si="34"/>
        <v>0</v>
      </c>
    </row>
    <row r="146" spans="3:21"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>
        <f t="shared" si="34"/>
        <v>0</v>
      </c>
    </row>
    <row r="147" spans="3:21"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>
        <f t="shared" si="34"/>
        <v>0</v>
      </c>
    </row>
    <row r="148" spans="3:21"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>
        <f t="shared" si="34"/>
        <v>0</v>
      </c>
    </row>
    <row r="149" spans="3:21"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>
        <f t="shared" si="34"/>
        <v>0</v>
      </c>
    </row>
    <row r="150" spans="3:21"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>
        <f t="shared" si="34"/>
        <v>0</v>
      </c>
    </row>
    <row r="151" spans="3:21"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>
        <f t="shared" si="34"/>
        <v>0</v>
      </c>
    </row>
    <row r="152" ht="15" spans="3:21">
      <c r="C152" s="44" t="s">
        <v>424</v>
      </c>
      <c r="D152" s="45"/>
      <c r="E152" s="55">
        <f>SUM(E141:E151)</f>
        <v>0</v>
      </c>
      <c r="F152" s="55">
        <f t="shared" ref="F152:T152" si="35">SUM(F141:F151)</f>
        <v>0</v>
      </c>
      <c r="G152" s="55">
        <f t="shared" si="35"/>
        <v>0</v>
      </c>
      <c r="H152" s="55">
        <f t="shared" si="35"/>
        <v>0</v>
      </c>
      <c r="I152" s="55">
        <f t="shared" si="35"/>
        <v>0</v>
      </c>
      <c r="J152" s="55">
        <f t="shared" si="35"/>
        <v>377.294863788821</v>
      </c>
      <c r="K152" s="55">
        <f t="shared" si="35"/>
        <v>118.232079155099</v>
      </c>
      <c r="L152" s="55">
        <f t="shared" si="35"/>
        <v>15.6059273031888</v>
      </c>
      <c r="M152" s="55">
        <f t="shared" si="35"/>
        <v>0</v>
      </c>
      <c r="N152" s="55">
        <f t="shared" si="35"/>
        <v>0</v>
      </c>
      <c r="O152" s="55">
        <f t="shared" si="35"/>
        <v>0</v>
      </c>
      <c r="P152" s="55">
        <f t="shared" si="35"/>
        <v>0</v>
      </c>
      <c r="Q152" s="55">
        <f t="shared" si="35"/>
        <v>0</v>
      </c>
      <c r="R152" s="55">
        <f t="shared" si="35"/>
        <v>0</v>
      </c>
      <c r="S152" s="55">
        <f t="shared" si="35"/>
        <v>88.3077831698074</v>
      </c>
      <c r="T152" s="55">
        <f t="shared" si="35"/>
        <v>484.118532537505</v>
      </c>
      <c r="U152" s="316">
        <f>SUM(I152:T152)</f>
        <v>1083.55918595442</v>
      </c>
    </row>
    <row r="153" ht="15" spans="3:21">
      <c r="C153" s="663" t="s">
        <v>425</v>
      </c>
      <c r="D153" s="676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3:21">
      <c r="C154" s="55" t="s">
        <v>426</v>
      </c>
      <c r="D154" s="55" t="s">
        <v>427</v>
      </c>
      <c r="E154" s="55"/>
      <c r="F154" s="55"/>
      <c r="G154" s="55"/>
      <c r="H154" s="55"/>
      <c r="I154" s="147">
        <f>'F11-Year(n+3) '!E154</f>
        <v>174.360438968557</v>
      </c>
      <c r="J154" s="147">
        <f>'F11-Year(n+3) '!F154</f>
        <v>636.333120923747</v>
      </c>
      <c r="K154" s="147">
        <f>'F11-Year(n+3) '!G154</f>
        <v>601.001741975017</v>
      </c>
      <c r="L154" s="147">
        <f>'F11-Year(n+3) '!H154</f>
        <v>340.717270137928</v>
      </c>
      <c r="M154" s="147">
        <f>'F11-Year(n+3) '!I154</f>
        <v>309.834562169865</v>
      </c>
      <c r="N154" s="147">
        <f>'F11-Year(n+3) '!J154</f>
        <v>425.257044339776</v>
      </c>
      <c r="O154" s="147">
        <f>'F11-Year(n+3) '!K154</f>
        <v>193.883845892791</v>
      </c>
      <c r="P154" s="147">
        <f>'F11-Year(n+3) '!L154</f>
        <v>414.640383888004</v>
      </c>
      <c r="Q154" s="147">
        <f>'F11-Year(n+3) '!M154</f>
        <v>199.718091203398</v>
      </c>
      <c r="R154" s="147">
        <f>'F11-Year(n+3) '!N154</f>
        <v>156.281865494673</v>
      </c>
      <c r="S154" s="147">
        <f>'F11-Year(n+3) '!O154</f>
        <v>0</v>
      </c>
      <c r="T154" s="147">
        <f>'F11-Year(n+3) '!P154</f>
        <v>0</v>
      </c>
      <c r="U154" s="55">
        <f t="shared" ref="U154:U155" si="36">+SUM(I154:T154)</f>
        <v>3452.02836499376</v>
      </c>
    </row>
    <row r="155" spans="3:21">
      <c r="C155" s="55" t="s">
        <v>426</v>
      </c>
      <c r="D155" s="55" t="s">
        <v>428</v>
      </c>
      <c r="E155" s="55"/>
      <c r="F155" s="55"/>
      <c r="G155" s="55"/>
      <c r="H155" s="55"/>
      <c r="I155" s="147">
        <f>'F11-Year(n+3) '!E155</f>
        <v>0</v>
      </c>
      <c r="J155" s="147">
        <f>'F11-Year(n+3) '!F155</f>
        <v>0</v>
      </c>
      <c r="K155" s="147">
        <f>'F11-Year(n+3) '!G155</f>
        <v>0</v>
      </c>
      <c r="L155" s="147">
        <f>'F11-Year(n+3) '!H155</f>
        <v>0</v>
      </c>
      <c r="M155" s="147">
        <f>'F11-Year(n+3) '!I155</f>
        <v>0</v>
      </c>
      <c r="N155" s="147">
        <f>'F11-Year(n+3) '!J155</f>
        <v>0</v>
      </c>
      <c r="O155" s="147">
        <f>'F11-Year(n+3) '!K155</f>
        <v>0</v>
      </c>
      <c r="P155" s="147">
        <f>'F11-Year(n+3) '!L155</f>
        <v>0</v>
      </c>
      <c r="Q155" s="147">
        <f>'F11-Year(n+3) '!M155</f>
        <v>0</v>
      </c>
      <c r="R155" s="147">
        <f>'F11-Year(n+3) '!N155</f>
        <v>0</v>
      </c>
      <c r="S155" s="147">
        <f>'F11-Year(n+3) '!O155</f>
        <v>0</v>
      </c>
      <c r="T155" s="147">
        <f>'F11-Year(n+3) '!P155</f>
        <v>0</v>
      </c>
      <c r="U155" s="55">
        <f t="shared" si="36"/>
        <v>0</v>
      </c>
    </row>
    <row r="156" ht="15" spans="3:21">
      <c r="C156" s="44" t="s">
        <v>429</v>
      </c>
      <c r="D156" s="45"/>
      <c r="E156" s="55">
        <f>SUM(E154:E155)</f>
        <v>0</v>
      </c>
      <c r="F156" s="55">
        <f t="shared" ref="F156:T156" si="37">SUM(F154:F155)</f>
        <v>0</v>
      </c>
      <c r="G156" s="55">
        <f t="shared" si="37"/>
        <v>0</v>
      </c>
      <c r="H156" s="55">
        <f t="shared" si="37"/>
        <v>0</v>
      </c>
      <c r="I156" s="55">
        <f t="shared" si="37"/>
        <v>174.360438968557</v>
      </c>
      <c r="J156" s="55">
        <f t="shared" si="37"/>
        <v>636.333120923747</v>
      </c>
      <c r="K156" s="55">
        <f t="shared" si="37"/>
        <v>601.001741975017</v>
      </c>
      <c r="L156" s="55">
        <f t="shared" si="37"/>
        <v>340.717270137928</v>
      </c>
      <c r="M156" s="55">
        <f t="shared" si="37"/>
        <v>309.834562169865</v>
      </c>
      <c r="N156" s="55">
        <f t="shared" si="37"/>
        <v>425.257044339776</v>
      </c>
      <c r="O156" s="55">
        <f t="shared" si="37"/>
        <v>193.883845892791</v>
      </c>
      <c r="P156" s="55">
        <f t="shared" si="37"/>
        <v>414.640383888004</v>
      </c>
      <c r="Q156" s="55">
        <f t="shared" si="37"/>
        <v>199.718091203398</v>
      </c>
      <c r="R156" s="55">
        <f t="shared" si="37"/>
        <v>156.281865494673</v>
      </c>
      <c r="S156" s="55">
        <f t="shared" si="37"/>
        <v>0</v>
      </c>
      <c r="T156" s="55">
        <f t="shared" si="37"/>
        <v>0</v>
      </c>
      <c r="U156" s="316">
        <f>U154-U155</f>
        <v>3452.02836499376</v>
      </c>
    </row>
    <row r="157" ht="15" spans="3:21">
      <c r="C157" s="44" t="s">
        <v>224</v>
      </c>
      <c r="D157" s="45"/>
      <c r="E157" s="55">
        <f>E48+E94+E103+E113+E139+E152+E156</f>
        <v>41858.4</v>
      </c>
      <c r="F157" s="55">
        <f t="shared" ref="F157:U157" si="38">F48+F94+F103+F113+F139+F152+F156</f>
        <v>0</v>
      </c>
      <c r="G157" s="55">
        <f t="shared" si="38"/>
        <v>24714.888612377</v>
      </c>
      <c r="H157" s="55">
        <f t="shared" si="38"/>
        <v>16328.718916032</v>
      </c>
      <c r="I157" s="55">
        <f t="shared" si="38"/>
        <v>7557.62571048207</v>
      </c>
      <c r="J157" s="55">
        <f t="shared" si="38"/>
        <v>8638.58015827463</v>
      </c>
      <c r="K157" s="55">
        <f t="shared" si="38"/>
        <v>8083.21276997262</v>
      </c>
      <c r="L157" s="55">
        <f t="shared" si="38"/>
        <v>7828.7640489841</v>
      </c>
      <c r="M157" s="55">
        <f t="shared" si="38"/>
        <v>8464.90019553344</v>
      </c>
      <c r="N157" s="55">
        <f t="shared" si="38"/>
        <v>7822.74946385936</v>
      </c>
      <c r="O157" s="55">
        <f t="shared" si="38"/>
        <v>8079.50729122415</v>
      </c>
      <c r="P157" s="55">
        <f t="shared" si="38"/>
        <v>7494.76098518219</v>
      </c>
      <c r="Q157" s="55">
        <f t="shared" si="38"/>
        <v>7696.15150275016</v>
      </c>
      <c r="R157" s="55">
        <f t="shared" si="38"/>
        <v>7970.92413050732</v>
      </c>
      <c r="S157" s="55">
        <f t="shared" si="38"/>
        <v>7297.42519703911</v>
      </c>
      <c r="T157" s="55">
        <f t="shared" si="38"/>
        <v>8635.79319953293</v>
      </c>
      <c r="U157" s="316">
        <f t="shared" si="38"/>
        <v>95570.3946533421</v>
      </c>
    </row>
    <row r="159" ht="15" spans="4:9">
      <c r="D159" s="11"/>
      <c r="E159" s="11"/>
      <c r="F159" s="11"/>
      <c r="G159" s="11"/>
      <c r="H159" s="11"/>
      <c r="I159" s="11"/>
    </row>
    <row r="160" spans="4:9">
      <c r="D160" s="13"/>
      <c r="E160" s="13"/>
      <c r="F160" s="13"/>
      <c r="G160" s="13"/>
      <c r="H160" s="13"/>
      <c r="I160" s="13"/>
    </row>
    <row r="161" spans="5:9">
      <c r="E161" s="13"/>
      <c r="F161" s="13"/>
      <c r="G161" s="13"/>
      <c r="H161" s="13"/>
      <c r="I161" s="13"/>
    </row>
    <row r="162" spans="5:9">
      <c r="E162" s="13"/>
      <c r="F162" s="13"/>
      <c r="G162" s="13"/>
      <c r="H162" s="13"/>
      <c r="I162" s="13"/>
    </row>
  </sheetData>
  <mergeCells count="34">
    <mergeCell ref="I4:U4"/>
    <mergeCell ref="C7:D7"/>
    <mergeCell ref="C8:D8"/>
    <mergeCell ref="C27:D27"/>
    <mergeCell ref="C28:D28"/>
    <mergeCell ref="C47:D47"/>
    <mergeCell ref="C48:D48"/>
    <mergeCell ref="C49:D49"/>
    <mergeCell ref="C50:D50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6:D156"/>
    <mergeCell ref="C157:D157"/>
    <mergeCell ref="C4:C6"/>
    <mergeCell ref="C9:C26"/>
    <mergeCell ref="C29:C46"/>
    <mergeCell ref="C51:C59"/>
    <mergeCell ref="C79:C82"/>
    <mergeCell ref="D4:D6"/>
    <mergeCell ref="E4:E6"/>
    <mergeCell ref="F4:F6"/>
    <mergeCell ref="G4:G6"/>
    <mergeCell ref="H4:H6"/>
  </mergeCells>
  <pageMargins left="0.7" right="0.7" top="0.75" bottom="0.75" header="0.3" footer="0.3"/>
  <pageSetup paperSize="1" orientation="portrait"/>
  <headerFooter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B2:U162"/>
  <sheetViews>
    <sheetView showGridLines="0" zoomScale="55" zoomScaleNormal="55" topLeftCell="A82" workbookViewId="0">
      <selection activeCell="E105" sqref="E105:P106"/>
    </sheetView>
  </sheetViews>
  <sheetFormatPr defaultColWidth="9.14285714285714" defaultRowHeight="14.25"/>
  <cols>
    <col min="1" max="1" width="3.14285714285714" style="12" customWidth="1"/>
    <col min="2" max="2" width="8.14285714285714" style="12" customWidth="1"/>
    <col min="3" max="3" width="22.1428571428571" style="12" customWidth="1"/>
    <col min="4" max="4" width="41.1428571428571" style="12" customWidth="1"/>
    <col min="5" max="7" width="16.4285714285714" style="12" customWidth="1"/>
    <col min="8" max="8" width="16.8571428571429" style="12" customWidth="1"/>
    <col min="9" max="9" width="13.8571428571429" style="12" customWidth="1"/>
    <col min="10" max="10" width="12.5714285714286" style="12" customWidth="1"/>
    <col min="11" max="11" width="13.4285714285714" style="12" customWidth="1"/>
    <col min="12" max="12" width="13.8571428571429" style="12" customWidth="1"/>
    <col min="13" max="13" width="12.5714285714286" style="12" customWidth="1"/>
    <col min="14" max="14" width="14.8571428571429" style="12" customWidth="1"/>
    <col min="15" max="15" width="12.5714285714286" style="12" customWidth="1"/>
    <col min="16" max="16" width="11.8571428571429" style="12" customWidth="1"/>
    <col min="17" max="17" width="13.8571428571429" style="12" customWidth="1"/>
    <col min="18" max="20" width="11.8571428571429" style="12" customWidth="1"/>
    <col min="21" max="21" width="14" style="12" customWidth="1"/>
    <col min="22" max="22" width="12.4285714285714" style="12" customWidth="1"/>
    <col min="23" max="23" width="12.8571428571429" style="12" customWidth="1"/>
    <col min="24" max="16384" width="9.14285714285714" style="12"/>
  </cols>
  <sheetData>
    <row r="2" ht="15" spans="9:9">
      <c r="I2" s="2" t="s">
        <v>0</v>
      </c>
    </row>
    <row r="3" ht="15" spans="9:9">
      <c r="I3" s="3" t="s">
        <v>460</v>
      </c>
    </row>
    <row r="4" ht="15" spans="3:21">
      <c r="C4" s="658" t="s">
        <v>345</v>
      </c>
      <c r="D4" s="658" t="s">
        <v>346</v>
      </c>
      <c r="E4" s="16" t="s">
        <v>431</v>
      </c>
      <c r="F4" s="16" t="s">
        <v>432</v>
      </c>
      <c r="G4" s="16" t="s">
        <v>433</v>
      </c>
      <c r="H4" s="16" t="s">
        <v>434</v>
      </c>
      <c r="I4" s="135" t="s">
        <v>461</v>
      </c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</row>
    <row r="5" ht="15" customHeight="1" spans="3:21">
      <c r="C5" s="660"/>
      <c r="D5" s="660"/>
      <c r="E5" s="309"/>
      <c r="F5" s="309"/>
      <c r="G5" s="309"/>
      <c r="H5" s="309"/>
      <c r="I5" s="135" t="s">
        <v>246</v>
      </c>
      <c r="J5" s="135" t="s">
        <v>247</v>
      </c>
      <c r="K5" s="135" t="s">
        <v>248</v>
      </c>
      <c r="L5" s="135" t="s">
        <v>249</v>
      </c>
      <c r="M5" s="135" t="s">
        <v>250</v>
      </c>
      <c r="N5" s="135" t="s">
        <v>251</v>
      </c>
      <c r="O5" s="135" t="s">
        <v>252</v>
      </c>
      <c r="P5" s="135" t="s">
        <v>253</v>
      </c>
      <c r="Q5" s="135" t="s">
        <v>254</v>
      </c>
      <c r="R5" s="135" t="s">
        <v>255</v>
      </c>
      <c r="S5" s="135" t="s">
        <v>256</v>
      </c>
      <c r="T5" s="135" t="s">
        <v>257</v>
      </c>
      <c r="U5" s="135" t="s">
        <v>97</v>
      </c>
    </row>
    <row r="6" spans="3:21">
      <c r="C6" s="662"/>
      <c r="D6" s="662"/>
      <c r="E6" s="535"/>
      <c r="F6" s="535"/>
      <c r="G6" s="535"/>
      <c r="H6" s="535"/>
      <c r="I6" s="147">
        <v>30</v>
      </c>
      <c r="J6" s="147">
        <v>31</v>
      </c>
      <c r="K6" s="147">
        <v>30</v>
      </c>
      <c r="L6" s="147">
        <v>31</v>
      </c>
      <c r="M6" s="147">
        <v>31</v>
      </c>
      <c r="N6" s="147">
        <v>30</v>
      </c>
      <c r="O6" s="147">
        <v>31</v>
      </c>
      <c r="P6" s="147">
        <v>30</v>
      </c>
      <c r="Q6" s="147">
        <v>31</v>
      </c>
      <c r="R6" s="147">
        <v>31</v>
      </c>
      <c r="S6" s="147">
        <v>28</v>
      </c>
      <c r="T6" s="147">
        <v>31</v>
      </c>
      <c r="U6" s="147"/>
    </row>
    <row r="7" customHeight="1" spans="2:21">
      <c r="B7" s="656"/>
      <c r="C7" s="663" t="s">
        <v>349</v>
      </c>
      <c r="D7" s="676"/>
      <c r="E7" s="47"/>
      <c r="F7" s="47"/>
      <c r="G7" s="749"/>
      <c r="H7" s="47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</row>
    <row r="8" ht="15" spans="3:21">
      <c r="C8" s="44" t="s">
        <v>350</v>
      </c>
      <c r="D8" s="4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</row>
    <row r="9" spans="2:21">
      <c r="B9" s="656"/>
      <c r="C9" s="677" t="s">
        <v>351</v>
      </c>
      <c r="D9" s="47" t="s">
        <v>352</v>
      </c>
      <c r="E9" s="752">
        <v>500</v>
      </c>
      <c r="F9" s="752"/>
      <c r="G9" s="752">
        <f t="shared" ref="G9:G16" si="0">E9</f>
        <v>500</v>
      </c>
      <c r="H9" s="752">
        <f t="shared" ref="H9:H16" si="1">G9*0.7055</f>
        <v>352.75</v>
      </c>
      <c r="I9" s="147">
        <f t="shared" ref="I9:T15" si="2">$H9*0.85*I$6*24/1000</f>
        <v>215.883</v>
      </c>
      <c r="J9" s="147">
        <f t="shared" si="2"/>
        <v>223.0791</v>
      </c>
      <c r="K9" s="147">
        <f t="shared" si="2"/>
        <v>215.883</v>
      </c>
      <c r="L9" s="147">
        <f t="shared" si="2"/>
        <v>223.0791</v>
      </c>
      <c r="M9" s="147">
        <f t="shared" si="2"/>
        <v>223.0791</v>
      </c>
      <c r="N9" s="147">
        <f t="shared" si="2"/>
        <v>215.883</v>
      </c>
      <c r="O9" s="147">
        <f t="shared" si="2"/>
        <v>223.0791</v>
      </c>
      <c r="P9" s="147">
        <f t="shared" si="2"/>
        <v>215.883</v>
      </c>
      <c r="Q9" s="147">
        <f t="shared" si="2"/>
        <v>223.0791</v>
      </c>
      <c r="R9" s="147">
        <f t="shared" si="2"/>
        <v>223.0791</v>
      </c>
      <c r="S9" s="147">
        <f t="shared" si="2"/>
        <v>201.4908</v>
      </c>
      <c r="T9" s="147">
        <f t="shared" si="2"/>
        <v>223.0791</v>
      </c>
      <c r="U9" s="55">
        <f>+SUM(I9:T9)</f>
        <v>2626.5765</v>
      </c>
    </row>
    <row r="10" customHeight="1" spans="2:21">
      <c r="B10" s="656"/>
      <c r="C10" s="678"/>
      <c r="D10" s="47" t="s">
        <v>353</v>
      </c>
      <c r="E10" s="752">
        <v>500</v>
      </c>
      <c r="F10" s="752"/>
      <c r="G10" s="752">
        <f t="shared" si="0"/>
        <v>500</v>
      </c>
      <c r="H10" s="752">
        <f t="shared" si="1"/>
        <v>352.75</v>
      </c>
      <c r="I10" s="147">
        <f t="shared" si="2"/>
        <v>215.883</v>
      </c>
      <c r="J10" s="147">
        <f t="shared" si="2"/>
        <v>223.0791</v>
      </c>
      <c r="K10" s="147">
        <f t="shared" si="2"/>
        <v>215.883</v>
      </c>
      <c r="L10" s="147">
        <f t="shared" si="2"/>
        <v>223.0791</v>
      </c>
      <c r="M10" s="147">
        <f t="shared" si="2"/>
        <v>223.0791</v>
      </c>
      <c r="N10" s="147">
        <f t="shared" si="2"/>
        <v>215.883</v>
      </c>
      <c r="O10" s="147">
        <f t="shared" si="2"/>
        <v>223.0791</v>
      </c>
      <c r="P10" s="147">
        <f t="shared" si="2"/>
        <v>215.883</v>
      </c>
      <c r="Q10" s="147">
        <f t="shared" si="2"/>
        <v>223.0791</v>
      </c>
      <c r="R10" s="147">
        <f t="shared" si="2"/>
        <v>223.0791</v>
      </c>
      <c r="S10" s="147">
        <f t="shared" si="2"/>
        <v>201.4908</v>
      </c>
      <c r="T10" s="147">
        <f t="shared" si="2"/>
        <v>223.0791</v>
      </c>
      <c r="U10" s="55">
        <f t="shared" ref="U10:U46" si="3">+SUM(I10:T10)</f>
        <v>2626.5765</v>
      </c>
    </row>
    <row r="11" spans="2:21">
      <c r="B11" s="656"/>
      <c r="C11" s="678"/>
      <c r="D11" s="47" t="s">
        <v>354</v>
      </c>
      <c r="E11" s="752">
        <v>800</v>
      </c>
      <c r="F11" s="752"/>
      <c r="G11" s="752">
        <f t="shared" si="0"/>
        <v>800</v>
      </c>
      <c r="H11" s="752">
        <f t="shared" si="1"/>
        <v>564.4</v>
      </c>
      <c r="I11" s="147">
        <f t="shared" si="2"/>
        <v>345.4128</v>
      </c>
      <c r="J11" s="147">
        <f t="shared" si="2"/>
        <v>356.92656</v>
      </c>
      <c r="K11" s="147">
        <f t="shared" si="2"/>
        <v>345.4128</v>
      </c>
      <c r="L11" s="147">
        <f t="shared" si="2"/>
        <v>356.92656</v>
      </c>
      <c r="M11" s="147">
        <f t="shared" si="2"/>
        <v>356.92656</v>
      </c>
      <c r="N11" s="147">
        <f t="shared" si="2"/>
        <v>345.4128</v>
      </c>
      <c r="O11" s="147">
        <f t="shared" si="2"/>
        <v>356.92656</v>
      </c>
      <c r="P11" s="147">
        <f t="shared" si="2"/>
        <v>345.4128</v>
      </c>
      <c r="Q11" s="147">
        <f t="shared" si="2"/>
        <v>356.92656</v>
      </c>
      <c r="R11" s="147">
        <f t="shared" si="2"/>
        <v>356.92656</v>
      </c>
      <c r="S11" s="147">
        <f t="shared" si="2"/>
        <v>322.38528</v>
      </c>
      <c r="T11" s="147">
        <f t="shared" si="2"/>
        <v>356.92656</v>
      </c>
      <c r="U11" s="55">
        <f t="shared" si="3"/>
        <v>4202.5224</v>
      </c>
    </row>
    <row r="12" spans="2:21">
      <c r="B12" s="656"/>
      <c r="C12" s="678"/>
      <c r="D12" s="47" t="s">
        <v>355</v>
      </c>
      <c r="E12" s="752">
        <v>62.5</v>
      </c>
      <c r="F12" s="752"/>
      <c r="G12" s="752">
        <f t="shared" si="0"/>
        <v>62.5</v>
      </c>
      <c r="H12" s="752">
        <f t="shared" si="1"/>
        <v>44.09375</v>
      </c>
      <c r="I12" s="147">
        <f t="shared" si="2"/>
        <v>26.985375</v>
      </c>
      <c r="J12" s="147">
        <f t="shared" si="2"/>
        <v>27.8848875</v>
      </c>
      <c r="K12" s="147">
        <f t="shared" si="2"/>
        <v>26.985375</v>
      </c>
      <c r="L12" s="147">
        <f t="shared" si="2"/>
        <v>27.8848875</v>
      </c>
      <c r="M12" s="147">
        <f t="shared" si="2"/>
        <v>27.8848875</v>
      </c>
      <c r="N12" s="147">
        <f t="shared" si="2"/>
        <v>26.985375</v>
      </c>
      <c r="O12" s="147">
        <f t="shared" si="2"/>
        <v>27.8848875</v>
      </c>
      <c r="P12" s="147">
        <f t="shared" si="2"/>
        <v>26.985375</v>
      </c>
      <c r="Q12" s="147">
        <f t="shared" si="2"/>
        <v>27.8848875</v>
      </c>
      <c r="R12" s="147">
        <f t="shared" si="2"/>
        <v>27.8848875</v>
      </c>
      <c r="S12" s="147">
        <f t="shared" si="2"/>
        <v>25.18635</v>
      </c>
      <c r="T12" s="147">
        <f t="shared" si="2"/>
        <v>27.8848875</v>
      </c>
      <c r="U12" s="55">
        <f t="shared" si="3"/>
        <v>328.3220625</v>
      </c>
    </row>
    <row r="13" spans="2:21">
      <c r="B13" s="656"/>
      <c r="C13" s="678"/>
      <c r="D13" s="47" t="s">
        <v>356</v>
      </c>
      <c r="E13" s="752">
        <v>500</v>
      </c>
      <c r="F13" s="752"/>
      <c r="G13" s="752">
        <f t="shared" si="0"/>
        <v>500</v>
      </c>
      <c r="H13" s="752">
        <f t="shared" si="1"/>
        <v>352.75</v>
      </c>
      <c r="I13" s="147">
        <f t="shared" si="2"/>
        <v>215.883</v>
      </c>
      <c r="J13" s="147">
        <f t="shared" si="2"/>
        <v>223.0791</v>
      </c>
      <c r="K13" s="147">
        <f t="shared" si="2"/>
        <v>215.883</v>
      </c>
      <c r="L13" s="147">
        <f t="shared" si="2"/>
        <v>223.0791</v>
      </c>
      <c r="M13" s="147">
        <f t="shared" si="2"/>
        <v>223.0791</v>
      </c>
      <c r="N13" s="147">
        <f t="shared" si="2"/>
        <v>215.883</v>
      </c>
      <c r="O13" s="147">
        <f t="shared" si="2"/>
        <v>223.0791</v>
      </c>
      <c r="P13" s="147">
        <f t="shared" si="2"/>
        <v>215.883</v>
      </c>
      <c r="Q13" s="147">
        <f t="shared" si="2"/>
        <v>223.0791</v>
      </c>
      <c r="R13" s="147">
        <f t="shared" si="2"/>
        <v>223.0791</v>
      </c>
      <c r="S13" s="147">
        <f t="shared" si="2"/>
        <v>201.4908</v>
      </c>
      <c r="T13" s="147">
        <f t="shared" si="2"/>
        <v>223.0791</v>
      </c>
      <c r="U13" s="55">
        <f t="shared" si="3"/>
        <v>2626.5765</v>
      </c>
    </row>
    <row r="14" spans="2:21">
      <c r="B14" s="656"/>
      <c r="C14" s="678"/>
      <c r="D14" s="47" t="s">
        <v>357</v>
      </c>
      <c r="E14" s="752">
        <v>600</v>
      </c>
      <c r="F14" s="752"/>
      <c r="G14" s="752">
        <f t="shared" si="0"/>
        <v>600</v>
      </c>
      <c r="H14" s="752">
        <f t="shared" si="1"/>
        <v>423.3</v>
      </c>
      <c r="I14" s="147">
        <f t="shared" si="2"/>
        <v>259.0596</v>
      </c>
      <c r="J14" s="147">
        <f t="shared" si="2"/>
        <v>267.69492</v>
      </c>
      <c r="K14" s="147">
        <f t="shared" si="2"/>
        <v>259.0596</v>
      </c>
      <c r="L14" s="147">
        <f t="shared" si="2"/>
        <v>267.69492</v>
      </c>
      <c r="M14" s="147">
        <f t="shared" si="2"/>
        <v>267.69492</v>
      </c>
      <c r="N14" s="147">
        <f t="shared" si="2"/>
        <v>259.0596</v>
      </c>
      <c r="O14" s="147">
        <f t="shared" si="2"/>
        <v>267.69492</v>
      </c>
      <c r="P14" s="147">
        <f t="shared" si="2"/>
        <v>259.0596</v>
      </c>
      <c r="Q14" s="147">
        <f t="shared" si="2"/>
        <v>267.69492</v>
      </c>
      <c r="R14" s="147">
        <f t="shared" si="2"/>
        <v>267.69492</v>
      </c>
      <c r="S14" s="147">
        <f t="shared" si="2"/>
        <v>241.78896</v>
      </c>
      <c r="T14" s="147">
        <f t="shared" si="2"/>
        <v>267.69492</v>
      </c>
      <c r="U14" s="55">
        <f t="shared" si="3"/>
        <v>3151.8918</v>
      </c>
    </row>
    <row r="15" spans="2:21">
      <c r="B15" s="656"/>
      <c r="C15" s="678"/>
      <c r="D15" s="47" t="s">
        <v>358</v>
      </c>
      <c r="E15" s="752">
        <v>1080</v>
      </c>
      <c r="F15" s="752"/>
      <c r="G15" s="752">
        <f t="shared" si="0"/>
        <v>1080</v>
      </c>
      <c r="H15" s="752">
        <f t="shared" si="1"/>
        <v>761.94</v>
      </c>
      <c r="I15" s="147">
        <f t="shared" si="2"/>
        <v>466.30728</v>
      </c>
      <c r="J15" s="147">
        <f t="shared" si="2"/>
        <v>481.850856</v>
      </c>
      <c r="K15" s="147">
        <f t="shared" si="2"/>
        <v>466.30728</v>
      </c>
      <c r="L15" s="147">
        <f t="shared" si="2"/>
        <v>481.850856</v>
      </c>
      <c r="M15" s="147">
        <f t="shared" si="2"/>
        <v>481.850856</v>
      </c>
      <c r="N15" s="147">
        <f t="shared" si="2"/>
        <v>466.30728</v>
      </c>
      <c r="O15" s="147">
        <f t="shared" si="2"/>
        <v>481.850856</v>
      </c>
      <c r="P15" s="147">
        <f t="shared" si="2"/>
        <v>466.30728</v>
      </c>
      <c r="Q15" s="147">
        <f t="shared" si="2"/>
        <v>481.850856</v>
      </c>
      <c r="R15" s="147">
        <f t="shared" si="2"/>
        <v>481.850856</v>
      </c>
      <c r="S15" s="147">
        <f t="shared" si="2"/>
        <v>435.220128</v>
      </c>
      <c r="T15" s="147">
        <f t="shared" si="2"/>
        <v>481.850856</v>
      </c>
      <c r="U15" s="55">
        <f t="shared" si="3"/>
        <v>5673.40524</v>
      </c>
    </row>
    <row r="16" spans="2:21">
      <c r="B16" s="656"/>
      <c r="C16" s="678"/>
      <c r="D16" s="47" t="s">
        <v>359</v>
      </c>
      <c r="E16" s="752">
        <v>4000</v>
      </c>
      <c r="F16" s="752"/>
      <c r="G16" s="752">
        <f t="shared" si="0"/>
        <v>4000</v>
      </c>
      <c r="H16" s="752">
        <f t="shared" si="1"/>
        <v>2822</v>
      </c>
      <c r="I16" s="147">
        <f>$H16*0.8526*I$6*24/1000</f>
        <v>1732.346784</v>
      </c>
      <c r="J16" s="147">
        <f t="shared" ref="J16:T16" si="4">$H16*0.8526*J$6*24/1000</f>
        <v>1790.0916768</v>
      </c>
      <c r="K16" s="147">
        <f t="shared" si="4"/>
        <v>1732.346784</v>
      </c>
      <c r="L16" s="147">
        <f t="shared" si="4"/>
        <v>1790.0916768</v>
      </c>
      <c r="M16" s="147">
        <f t="shared" si="4"/>
        <v>1790.0916768</v>
      </c>
      <c r="N16" s="147">
        <f t="shared" si="4"/>
        <v>1732.346784</v>
      </c>
      <c r="O16" s="147">
        <f t="shared" si="4"/>
        <v>1790.0916768</v>
      </c>
      <c r="P16" s="147">
        <f t="shared" si="4"/>
        <v>1732.346784</v>
      </c>
      <c r="Q16" s="147">
        <f t="shared" si="4"/>
        <v>1790.0916768</v>
      </c>
      <c r="R16" s="147">
        <f t="shared" si="4"/>
        <v>1790.0916768</v>
      </c>
      <c r="S16" s="147">
        <f t="shared" si="4"/>
        <v>1616.8569984</v>
      </c>
      <c r="T16" s="147">
        <f t="shared" si="4"/>
        <v>1790.0916768</v>
      </c>
      <c r="U16" s="55">
        <f t="shared" si="3"/>
        <v>21076.885872</v>
      </c>
    </row>
    <row r="17" spans="2:21">
      <c r="B17" s="656"/>
      <c r="C17" s="678"/>
      <c r="D17" s="47"/>
      <c r="E17" s="47"/>
      <c r="F17" s="47"/>
      <c r="G17" s="47"/>
      <c r="H17" s="47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>
        <f t="shared" si="3"/>
        <v>0</v>
      </c>
    </row>
    <row r="18" spans="2:21">
      <c r="B18" s="656"/>
      <c r="C18" s="678"/>
      <c r="D18" s="47"/>
      <c r="E18" s="47"/>
      <c r="F18" s="47"/>
      <c r="G18" s="47"/>
      <c r="H18" s="47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>
        <f t="shared" si="3"/>
        <v>0</v>
      </c>
    </row>
    <row r="19" spans="2:21">
      <c r="B19" s="656"/>
      <c r="C19" s="678"/>
      <c r="D19" s="47"/>
      <c r="E19" s="47"/>
      <c r="F19" s="47"/>
      <c r="G19" s="47"/>
      <c r="H19" s="47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>
        <f t="shared" si="3"/>
        <v>0</v>
      </c>
    </row>
    <row r="20" spans="2:21">
      <c r="B20" s="656"/>
      <c r="C20" s="678"/>
      <c r="D20" s="47"/>
      <c r="E20" s="47"/>
      <c r="F20" s="47"/>
      <c r="G20" s="47"/>
      <c r="H20" s="47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>
        <f t="shared" si="3"/>
        <v>0</v>
      </c>
    </row>
    <row r="21" spans="2:21">
      <c r="B21" s="656"/>
      <c r="C21" s="678"/>
      <c r="D21" s="47"/>
      <c r="E21" s="47"/>
      <c r="F21" s="47"/>
      <c r="G21" s="47"/>
      <c r="H21" s="47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>
        <f t="shared" si="3"/>
        <v>0</v>
      </c>
    </row>
    <row r="22" spans="2:21">
      <c r="B22" s="656"/>
      <c r="C22" s="678"/>
      <c r="D22" s="47"/>
      <c r="E22" s="47"/>
      <c r="F22" s="47"/>
      <c r="G22" s="47"/>
      <c r="H22" s="47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>
        <f t="shared" si="3"/>
        <v>0</v>
      </c>
    </row>
    <row r="23" spans="2:21">
      <c r="B23" s="656"/>
      <c r="C23" s="678"/>
      <c r="D23" s="47"/>
      <c r="E23" s="47"/>
      <c r="F23" s="47"/>
      <c r="G23" s="47"/>
      <c r="H23" s="47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>
        <f t="shared" si="3"/>
        <v>0</v>
      </c>
    </row>
    <row r="24" spans="2:21">
      <c r="B24" s="656"/>
      <c r="C24" s="678"/>
      <c r="D24" s="47"/>
      <c r="E24" s="47"/>
      <c r="F24" s="47"/>
      <c r="G24" s="47"/>
      <c r="H24" s="47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>
        <f t="shared" si="3"/>
        <v>0</v>
      </c>
    </row>
    <row r="25" spans="2:21">
      <c r="B25" s="656"/>
      <c r="C25" s="678"/>
      <c r="D25" s="47"/>
      <c r="E25" s="47"/>
      <c r="F25" s="47"/>
      <c r="G25" s="47"/>
      <c r="H25" s="47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>
        <f t="shared" si="3"/>
        <v>0</v>
      </c>
    </row>
    <row r="26" spans="2:21">
      <c r="B26" s="656"/>
      <c r="C26" s="680"/>
      <c r="D26" s="47"/>
      <c r="E26" s="47"/>
      <c r="F26" s="47"/>
      <c r="G26" s="47"/>
      <c r="H26" s="47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>
        <f t="shared" si="3"/>
        <v>0</v>
      </c>
    </row>
    <row r="27" ht="15" spans="3:21">
      <c r="C27" s="537" t="s">
        <v>211</v>
      </c>
      <c r="D27" s="540"/>
      <c r="E27" s="55">
        <f>SUM(E9:E26)</f>
        <v>8042.5</v>
      </c>
      <c r="F27" s="55">
        <f t="shared" ref="F27:T27" si="5">SUM(F9:F26)</f>
        <v>0</v>
      </c>
      <c r="G27" s="55">
        <f t="shared" si="5"/>
        <v>8042.5</v>
      </c>
      <c r="H27" s="55">
        <f t="shared" si="5"/>
        <v>5673.98375</v>
      </c>
      <c r="I27" s="55">
        <f t="shared" si="5"/>
        <v>3477.760839</v>
      </c>
      <c r="J27" s="55">
        <f t="shared" si="5"/>
        <v>3593.6862003</v>
      </c>
      <c r="K27" s="55">
        <f t="shared" si="5"/>
        <v>3477.760839</v>
      </c>
      <c r="L27" s="55">
        <f t="shared" si="5"/>
        <v>3593.6862003</v>
      </c>
      <c r="M27" s="55">
        <f t="shared" si="5"/>
        <v>3593.6862003</v>
      </c>
      <c r="N27" s="55">
        <f t="shared" si="5"/>
        <v>3477.760839</v>
      </c>
      <c r="O27" s="55">
        <f t="shared" si="5"/>
        <v>3593.6862003</v>
      </c>
      <c r="P27" s="55">
        <f t="shared" si="5"/>
        <v>3477.760839</v>
      </c>
      <c r="Q27" s="55">
        <f t="shared" si="5"/>
        <v>3593.6862003</v>
      </c>
      <c r="R27" s="55">
        <f t="shared" si="5"/>
        <v>3593.6862003</v>
      </c>
      <c r="S27" s="55">
        <f t="shared" si="5"/>
        <v>3245.9101164</v>
      </c>
      <c r="T27" s="55">
        <f t="shared" si="5"/>
        <v>3593.6862003</v>
      </c>
      <c r="U27" s="316">
        <f>SUM(I27:T27)</f>
        <v>42312.7568745</v>
      </c>
    </row>
    <row r="28" ht="15" spans="3:21">
      <c r="C28" s="44" t="s">
        <v>360</v>
      </c>
      <c r="D28" s="4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</row>
    <row r="29" spans="3:21">
      <c r="C29" s="682" t="s">
        <v>351</v>
      </c>
      <c r="D29" s="312" t="s">
        <v>361</v>
      </c>
      <c r="E29" s="55">
        <f>[45]Gen!$DB$38</f>
        <v>234</v>
      </c>
      <c r="F29" s="55"/>
      <c r="G29" s="55">
        <v>234</v>
      </c>
      <c r="H29" s="147">
        <f t="shared" ref="H29:H39" si="6">G29*0.7055</f>
        <v>165.087</v>
      </c>
      <c r="I29" s="147">
        <f>'F11-Year(n+4)'!E30</f>
        <v>13.6558982309657</v>
      </c>
      <c r="J29" s="147">
        <f>'F11-Year(n+4)'!F30</f>
        <v>14.6332287966681</v>
      </c>
      <c r="K29" s="147">
        <f>'F11-Year(n+4)'!G30</f>
        <v>15.160733636777</v>
      </c>
      <c r="L29" s="147">
        <f>'F11-Year(n+4)'!H30</f>
        <v>33.1447888629187</v>
      </c>
      <c r="M29" s="147">
        <f>'F11-Year(n+4)'!I30</f>
        <v>77.8179136333842</v>
      </c>
      <c r="N29" s="147">
        <f>'F11-Year(n+4)'!J30</f>
        <v>39.3032109981068</v>
      </c>
      <c r="O29" s="147">
        <f>'F11-Year(n+4)'!K30</f>
        <v>43.3220804141092</v>
      </c>
      <c r="P29" s="147">
        <f>'F11-Year(n+4)'!L30</f>
        <v>14.8585781282195</v>
      </c>
      <c r="Q29" s="147">
        <f>'F11-Year(n+4)'!M30</f>
        <v>25.4899649252457</v>
      </c>
      <c r="R29" s="147">
        <f>'F11-Year(n+4)'!N30</f>
        <v>48.6383595365747</v>
      </c>
      <c r="S29" s="147">
        <f>'F11-Year(n+4)'!O30</f>
        <v>45.242780266264</v>
      </c>
      <c r="T29" s="147">
        <f>'F11-Year(n+4)'!P30</f>
        <v>20.2907292640443</v>
      </c>
      <c r="U29" s="55">
        <f t="shared" si="3"/>
        <v>391.558266693278</v>
      </c>
    </row>
    <row r="30" spans="3:21">
      <c r="C30" s="683"/>
      <c r="D30" s="312" t="s">
        <v>362</v>
      </c>
      <c r="E30" s="147">
        <v>875.6</v>
      </c>
      <c r="F30" s="55"/>
      <c r="G30" s="55"/>
      <c r="H30" s="147">
        <f t="shared" si="6"/>
        <v>0</v>
      </c>
      <c r="I30" s="147">
        <f>'F11-Year(n+4)'!E31</f>
        <v>47.5972247742549</v>
      </c>
      <c r="J30" s="147">
        <f>'F11-Year(n+4)'!F31</f>
        <v>51.003681224626</v>
      </c>
      <c r="K30" s="147">
        <f>'F11-Year(n+4)'!G31</f>
        <v>52.8422835647662</v>
      </c>
      <c r="L30" s="147">
        <f>'F11-Year(n+4)'!H31</f>
        <v>115.525170070925</v>
      </c>
      <c r="M30" s="147">
        <f>'F11-Year(n+4)'!I31</f>
        <v>271.232010082855</v>
      </c>
      <c r="N30" s="147">
        <f>'F11-Year(n+4)'!J31</f>
        <v>136.990166196821</v>
      </c>
      <c r="O30" s="147">
        <f>'F11-Year(n+4)'!K31</f>
        <v>150.997815323707</v>
      </c>
      <c r="P30" s="147">
        <f>'F11-Year(n+4)'!L31</f>
        <v>51.7891295785292</v>
      </c>
      <c r="Q30" s="147">
        <f>'F11-Year(n+4)'!M31</f>
        <v>88.8445102266252</v>
      </c>
      <c r="R30" s="147">
        <f>'F11-Year(n+4)'!N31</f>
        <v>169.527547171069</v>
      </c>
      <c r="S30" s="147">
        <f>'F11-Year(n+4)'!O31</f>
        <v>157.69235720156</v>
      </c>
      <c r="T30" s="147">
        <f>'F11-Year(n+4)'!P31</f>
        <v>70.7227298621988</v>
      </c>
      <c r="U30" s="55">
        <f t="shared" si="3"/>
        <v>1364.76462527794</v>
      </c>
    </row>
    <row r="31" spans="3:21">
      <c r="C31" s="683"/>
      <c r="D31" s="312" t="s">
        <v>363</v>
      </c>
      <c r="E31" s="146">
        <v>900</v>
      </c>
      <c r="F31" s="55"/>
      <c r="G31" s="55"/>
      <c r="H31" s="147">
        <f t="shared" si="6"/>
        <v>0</v>
      </c>
      <c r="I31" s="147">
        <f>'F11-Year(n+4)'!E32</f>
        <v>52.5226855037144</v>
      </c>
      <c r="J31" s="147">
        <f>'F11-Year(n+4)'!F32</f>
        <v>56.2816492179542</v>
      </c>
      <c r="K31" s="147">
        <f>'F11-Year(n+4)'!G32</f>
        <v>58.3105139876037</v>
      </c>
      <c r="L31" s="147">
        <f>'F11-Year(n+4)'!H32</f>
        <v>127.479957165072</v>
      </c>
      <c r="M31" s="147">
        <f>'F11-Year(n+4)'!I32</f>
        <v>299.299667820708</v>
      </c>
      <c r="N31" s="147">
        <f>'F11-Year(n+4)'!J32</f>
        <v>151.166196146565</v>
      </c>
      <c r="O31" s="147">
        <f>'F11-Year(n+4)'!K32</f>
        <v>166.623386208112</v>
      </c>
      <c r="P31" s="147">
        <f>'F11-Year(n+4)'!L32</f>
        <v>57.1483774162289</v>
      </c>
      <c r="Q31" s="147">
        <f>'F11-Year(n+4)'!M32</f>
        <v>98.0383266355602</v>
      </c>
      <c r="R31" s="147">
        <f>'F11-Year(n+4)'!N32</f>
        <v>187.07061360221</v>
      </c>
      <c r="S31" s="147">
        <f>'F11-Year(n+4)'!O32</f>
        <v>174.010693331785</v>
      </c>
      <c r="T31" s="147">
        <f>'F11-Year(n+4)'!P32</f>
        <v>78.0412664001702</v>
      </c>
      <c r="U31" s="55">
        <f t="shared" si="3"/>
        <v>1505.99333343568</v>
      </c>
    </row>
    <row r="32" spans="3:21">
      <c r="C32" s="683"/>
      <c r="D32" s="312" t="s">
        <v>364</v>
      </c>
      <c r="E32" s="55">
        <f>[45]Gen!$DB$39</f>
        <v>240</v>
      </c>
      <c r="F32" s="55"/>
      <c r="G32" s="55">
        <v>240</v>
      </c>
      <c r="H32" s="147">
        <f t="shared" si="6"/>
        <v>169.32</v>
      </c>
      <c r="I32" s="147">
        <f>'F11-Year(n+4)'!E33</f>
        <v>14.0060494676572</v>
      </c>
      <c r="J32" s="147">
        <f>'F11-Year(n+4)'!F33</f>
        <v>15.0084397914544</v>
      </c>
      <c r="K32" s="147">
        <f>'F11-Year(n+4)'!G33</f>
        <v>15.5494703966943</v>
      </c>
      <c r="L32" s="147">
        <f>'F11-Year(n+4)'!H33</f>
        <v>33.9946552440192</v>
      </c>
      <c r="M32" s="147">
        <f>'F11-Year(n+4)'!I33</f>
        <v>79.8132447521886</v>
      </c>
      <c r="N32" s="147">
        <f>'F11-Year(n+4)'!J33</f>
        <v>40.3109856390839</v>
      </c>
      <c r="O32" s="147">
        <f>'F11-Year(n+4)'!K33</f>
        <v>44.43290298883</v>
      </c>
      <c r="P32" s="147">
        <f>'F11-Year(n+4)'!L33</f>
        <v>15.2395673109944</v>
      </c>
      <c r="Q32" s="147">
        <f>'F11-Year(n+4)'!M33</f>
        <v>26.1435537694828</v>
      </c>
      <c r="R32" s="147">
        <f>'F11-Year(n+4)'!N33</f>
        <v>49.8854969605894</v>
      </c>
      <c r="S32" s="147">
        <f>'F11-Year(n+4)'!O33</f>
        <v>46.4028515551426</v>
      </c>
      <c r="T32" s="147">
        <f>'F11-Year(n+4)'!P33</f>
        <v>20.8110043733788</v>
      </c>
      <c r="U32" s="55">
        <f t="shared" si="3"/>
        <v>401.598222249516</v>
      </c>
    </row>
    <row r="33" spans="3:21">
      <c r="C33" s="683"/>
      <c r="D33" s="312" t="s">
        <v>365</v>
      </c>
      <c r="E33" s="55">
        <f>[45]Gen!$DB$41</f>
        <v>120</v>
      </c>
      <c r="F33" s="55"/>
      <c r="G33" s="55">
        <v>120</v>
      </c>
      <c r="H33" s="147">
        <f t="shared" si="6"/>
        <v>84.66</v>
      </c>
      <c r="I33" s="147">
        <f>'F11-Year(n+4)'!E34</f>
        <v>7.0030247338286</v>
      </c>
      <c r="J33" s="147">
        <f>'F11-Year(n+4)'!F34</f>
        <v>7.50421989572724</v>
      </c>
      <c r="K33" s="147">
        <f>'F11-Year(n+4)'!G34</f>
        <v>7.77473519834716</v>
      </c>
      <c r="L33" s="147">
        <f>'F11-Year(n+4)'!H34</f>
        <v>16.9973276220096</v>
      </c>
      <c r="M33" s="147">
        <f>'F11-Year(n+4)'!I34</f>
        <v>39.9066223760944</v>
      </c>
      <c r="N33" s="147">
        <f>'F11-Year(n+4)'!J34</f>
        <v>20.155492819542</v>
      </c>
      <c r="O33" s="147">
        <f>'F11-Year(n+4)'!K34</f>
        <v>22.216451494415</v>
      </c>
      <c r="P33" s="147">
        <f>'F11-Year(n+4)'!L34</f>
        <v>7.6197836554972</v>
      </c>
      <c r="Q33" s="147">
        <f>'F11-Year(n+4)'!M34</f>
        <v>13.0717768847414</v>
      </c>
      <c r="R33" s="147">
        <f>'F11-Year(n+4)'!N34</f>
        <v>24.9427484802947</v>
      </c>
      <c r="S33" s="147">
        <f>'F11-Year(n+4)'!O34</f>
        <v>23.2014257775713</v>
      </c>
      <c r="T33" s="147">
        <f>'F11-Year(n+4)'!P34</f>
        <v>10.4055021866894</v>
      </c>
      <c r="U33" s="55">
        <f t="shared" si="3"/>
        <v>200.799111124758</v>
      </c>
    </row>
    <row r="34" spans="3:21">
      <c r="C34" s="683"/>
      <c r="D34" s="312" t="s">
        <v>366</v>
      </c>
      <c r="E34" s="55">
        <f>[45]Gen!$DB$40</f>
        <v>9</v>
      </c>
      <c r="F34" s="55"/>
      <c r="G34" s="55">
        <v>9</v>
      </c>
      <c r="H34" s="147">
        <f t="shared" si="6"/>
        <v>6.3495</v>
      </c>
      <c r="I34" s="147">
        <f>'F11-Year(n+4)'!E35</f>
        <v>1.05045371007429</v>
      </c>
      <c r="J34" s="147">
        <f>'F11-Year(n+4)'!F35</f>
        <v>1.12563298435908</v>
      </c>
      <c r="K34" s="147">
        <f>'F11-Year(n+4)'!G35</f>
        <v>1.16621027975207</v>
      </c>
      <c r="L34" s="147">
        <f>'F11-Year(n+4)'!H35</f>
        <v>2.54959914330144</v>
      </c>
      <c r="M34" s="147">
        <f>'F11-Year(n+4)'!I35</f>
        <v>5.98599335641416</v>
      </c>
      <c r="N34" s="147">
        <f>'F11-Year(n+4)'!J35</f>
        <v>3.0233239229313</v>
      </c>
      <c r="O34" s="147">
        <f>'F11-Year(n+4)'!K35</f>
        <v>3.33246772416224</v>
      </c>
      <c r="P34" s="147">
        <f>'F11-Year(n+4)'!L35</f>
        <v>1.14296754832458</v>
      </c>
      <c r="Q34" s="147">
        <f>'F11-Year(n+4)'!M35</f>
        <v>1.96076653271121</v>
      </c>
      <c r="R34" s="147">
        <f>'F11-Year(n+4)'!N35</f>
        <v>3.7414122720442</v>
      </c>
      <c r="S34" s="147">
        <f>'F11-Year(n+4)'!O35</f>
        <v>3.4802138666357</v>
      </c>
      <c r="T34" s="147">
        <f>'F11-Year(n+4)'!P35</f>
        <v>1.56082532800341</v>
      </c>
      <c r="U34" s="55">
        <f t="shared" si="3"/>
        <v>30.1198666687137</v>
      </c>
    </row>
    <row r="35" spans="3:21">
      <c r="C35" s="683"/>
      <c r="D35" s="779" t="s">
        <v>445</v>
      </c>
      <c r="E35" s="55">
        <f>[45]Gen!$DB$32</f>
        <v>815.6</v>
      </c>
      <c r="F35" s="55"/>
      <c r="G35" s="55">
        <v>815.6</v>
      </c>
      <c r="H35" s="147">
        <f t="shared" si="6"/>
        <v>575.4058</v>
      </c>
      <c r="I35" s="147">
        <f>'F11-Year(n+4)'!E36</f>
        <v>3.5015123669143</v>
      </c>
      <c r="J35" s="147">
        <f>'F11-Year(n+4)'!F36</f>
        <v>3.75210994786362</v>
      </c>
      <c r="K35" s="147">
        <f>'F11-Year(n+4)'!G36</f>
        <v>3.88736759917358</v>
      </c>
      <c r="L35" s="147">
        <f>'F11-Year(n+4)'!H36</f>
        <v>8.4986638110048</v>
      </c>
      <c r="M35" s="147">
        <f>'F11-Year(n+4)'!I36</f>
        <v>19.9533111880472</v>
      </c>
      <c r="N35" s="147">
        <f>'F11-Year(n+4)'!J36</f>
        <v>10.077746409771</v>
      </c>
      <c r="O35" s="147">
        <f>'F11-Year(n+4)'!K36</f>
        <v>11.1082257472075</v>
      </c>
      <c r="P35" s="147">
        <f>'F11-Year(n+4)'!L36</f>
        <v>3.8098918277486</v>
      </c>
      <c r="Q35" s="147">
        <f>'F11-Year(n+4)'!M36</f>
        <v>6.53588844237068</v>
      </c>
      <c r="R35" s="147">
        <f>'F11-Year(n+4)'!N36</f>
        <v>12.4713742401473</v>
      </c>
      <c r="S35" s="147">
        <f>'F11-Year(n+4)'!O36</f>
        <v>11.6007128887857</v>
      </c>
      <c r="T35" s="147">
        <f>'F11-Year(n+4)'!P36</f>
        <v>5.20275109334468</v>
      </c>
      <c r="U35" s="55">
        <f t="shared" si="3"/>
        <v>100.399555562379</v>
      </c>
    </row>
    <row r="36" spans="3:21">
      <c r="C36" s="683"/>
      <c r="D36" s="779" t="s">
        <v>446</v>
      </c>
      <c r="E36" s="55">
        <f>[45]Gen!$DB$36</f>
        <v>15</v>
      </c>
      <c r="F36" s="55"/>
      <c r="G36" s="55">
        <v>15</v>
      </c>
      <c r="H36" s="147">
        <f t="shared" si="6"/>
        <v>10.5825</v>
      </c>
      <c r="I36" s="147">
        <f>'F11-Year(n+4)'!E37</f>
        <v>0.875378091728572</v>
      </c>
      <c r="J36" s="147">
        <f>'F11-Year(n+4)'!F37</f>
        <v>0.938027486965904</v>
      </c>
      <c r="K36" s="147">
        <f>'F11-Year(n+4)'!G37</f>
        <v>0.971841899793396</v>
      </c>
      <c r="L36" s="147">
        <f>'F11-Year(n+4)'!H37</f>
        <v>2.1246659527512</v>
      </c>
      <c r="M36" s="147">
        <f>'F11-Year(n+4)'!I37</f>
        <v>4.9883277970118</v>
      </c>
      <c r="N36" s="147">
        <f>'F11-Year(n+4)'!J37</f>
        <v>2.51943660244274</v>
      </c>
      <c r="O36" s="147">
        <f>'F11-Year(n+4)'!K37</f>
        <v>2.77705643680188</v>
      </c>
      <c r="P36" s="147">
        <f>'F11-Year(n+4)'!L37</f>
        <v>0.95247295693715</v>
      </c>
      <c r="Q36" s="147">
        <f>'F11-Year(n+4)'!M37</f>
        <v>1.63397211059267</v>
      </c>
      <c r="R36" s="147">
        <f>'F11-Year(n+4)'!N37</f>
        <v>3.11784356003684</v>
      </c>
      <c r="S36" s="147">
        <f>'F11-Year(n+4)'!O37</f>
        <v>2.90017822219642</v>
      </c>
      <c r="T36" s="147">
        <f>'F11-Year(n+4)'!P37</f>
        <v>1.30068777333617</v>
      </c>
      <c r="U36" s="55">
        <f t="shared" si="3"/>
        <v>25.0998888905947</v>
      </c>
    </row>
    <row r="37" spans="3:21">
      <c r="C37" s="683"/>
      <c r="D37" s="779" t="s">
        <v>447</v>
      </c>
      <c r="E37" s="55">
        <f>[45]Gen!$DB$37</f>
        <v>900</v>
      </c>
      <c r="F37" s="55"/>
      <c r="G37" s="55">
        <v>900</v>
      </c>
      <c r="H37" s="147">
        <f t="shared" si="6"/>
        <v>634.95</v>
      </c>
      <c r="I37" s="147">
        <f>'F11-Year(n+4)'!E38</f>
        <v>0</v>
      </c>
      <c r="J37" s="147">
        <f>'F11-Year(n+4)'!F38</f>
        <v>0</v>
      </c>
      <c r="K37" s="147">
        <f>'F11-Year(n+4)'!G38</f>
        <v>0</v>
      </c>
      <c r="L37" s="147">
        <f>'F11-Year(n+4)'!H38</f>
        <v>0</v>
      </c>
      <c r="M37" s="147">
        <f>'F11-Year(n+4)'!I38</f>
        <v>0</v>
      </c>
      <c r="N37" s="147">
        <f>'F11-Year(n+4)'!J38</f>
        <v>0</v>
      </c>
      <c r="O37" s="147">
        <f>'F11-Year(n+4)'!K38</f>
        <v>0</v>
      </c>
      <c r="P37" s="147">
        <f>'F11-Year(n+4)'!L38</f>
        <v>0</v>
      </c>
      <c r="Q37" s="147">
        <f>'F11-Year(n+4)'!M38</f>
        <v>0</v>
      </c>
      <c r="R37" s="147">
        <f>'F11-Year(n+4)'!N38</f>
        <v>0</v>
      </c>
      <c r="S37" s="147">
        <f>'F11-Year(n+4)'!O38</f>
        <v>0</v>
      </c>
      <c r="T37" s="147">
        <f>'F11-Year(n+4)'!P38</f>
        <v>0</v>
      </c>
      <c r="U37" s="55">
        <f t="shared" si="3"/>
        <v>0</v>
      </c>
    </row>
    <row r="38" spans="3:21">
      <c r="C38" s="683"/>
      <c r="D38" s="312" t="s">
        <v>448</v>
      </c>
      <c r="E38" s="55"/>
      <c r="F38" s="55"/>
      <c r="G38" s="55">
        <v>27</v>
      </c>
      <c r="H38" s="147">
        <f t="shared" si="6"/>
        <v>19.0485</v>
      </c>
      <c r="I38" s="147">
        <f>'F11-Year(n+4)'!E39</f>
        <v>1.05045371007429</v>
      </c>
      <c r="J38" s="147">
        <f>'F11-Year(n+4)'!F39</f>
        <v>1.12563298435908</v>
      </c>
      <c r="K38" s="147">
        <f>'F11-Year(n+4)'!G39</f>
        <v>1.16621027975207</v>
      </c>
      <c r="L38" s="147">
        <f>'F11-Year(n+4)'!H39</f>
        <v>2.54959914330144</v>
      </c>
      <c r="M38" s="147">
        <f>'F11-Year(n+4)'!I39</f>
        <v>5.98599335641416</v>
      </c>
      <c r="N38" s="147">
        <f>'F11-Year(n+4)'!J39</f>
        <v>3.0233239229313</v>
      </c>
      <c r="O38" s="147">
        <f>'F11-Year(n+4)'!K39</f>
        <v>3.33246772416224</v>
      </c>
      <c r="P38" s="147">
        <f>'F11-Year(n+4)'!L39</f>
        <v>1.14296754832458</v>
      </c>
      <c r="Q38" s="147">
        <f>'F11-Year(n+4)'!M39</f>
        <v>1.96076653271121</v>
      </c>
      <c r="R38" s="147">
        <f>'F11-Year(n+4)'!N39</f>
        <v>3.7414122720442</v>
      </c>
      <c r="S38" s="147">
        <f>'F11-Year(n+4)'!O39</f>
        <v>3.4802138666357</v>
      </c>
      <c r="T38" s="147">
        <f>'F11-Year(n+4)'!P39</f>
        <v>1.56082532800341</v>
      </c>
      <c r="U38" s="55">
        <f t="shared" si="3"/>
        <v>30.1198666687137</v>
      </c>
    </row>
    <row r="39" spans="3:21">
      <c r="C39" s="683"/>
      <c r="D39" s="312" t="s">
        <v>449</v>
      </c>
      <c r="E39" s="55"/>
      <c r="F39" s="55"/>
      <c r="G39" s="55">
        <v>10</v>
      </c>
      <c r="H39" s="147">
        <f t="shared" si="6"/>
        <v>7.055</v>
      </c>
      <c r="I39" s="147">
        <f>'F11-Year(n+4)'!E40</f>
        <v>0.583585394485716</v>
      </c>
      <c r="J39" s="147">
        <f>'F11-Year(n+4)'!F40</f>
        <v>0.625351657977268</v>
      </c>
      <c r="K39" s="147">
        <f>'F11-Year(n+4)'!G40</f>
        <v>0.647894599862264</v>
      </c>
      <c r="L39" s="147">
        <f>'F11-Year(n+4)'!H40</f>
        <v>1.4164439685008</v>
      </c>
      <c r="M39" s="147">
        <f>'F11-Year(n+4)'!I40</f>
        <v>3.32555186467454</v>
      </c>
      <c r="N39" s="147">
        <f>'F11-Year(n+4)'!J40</f>
        <v>1.6796244016285</v>
      </c>
      <c r="O39" s="147">
        <f>'F11-Year(n+4)'!K40</f>
        <v>1.85137095786791</v>
      </c>
      <c r="P39" s="147">
        <f>'F11-Year(n+4)'!L40</f>
        <v>0.634981971291432</v>
      </c>
      <c r="Q39" s="147">
        <f>'F11-Year(n+4)'!M40</f>
        <v>1.08931474039511</v>
      </c>
      <c r="R39" s="147">
        <f>'F11-Year(n+4)'!N40</f>
        <v>2.0785623733579</v>
      </c>
      <c r="S39" s="147">
        <f>'F11-Year(n+4)'!O40</f>
        <v>1.93345214813094</v>
      </c>
      <c r="T39" s="147">
        <f>'F11-Year(n+4)'!P40</f>
        <v>0.867125182224114</v>
      </c>
      <c r="U39" s="55">
        <f t="shared" si="3"/>
        <v>16.7332592603965</v>
      </c>
    </row>
    <row r="40" spans="3:21">
      <c r="C40" s="683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>
        <f t="shared" si="3"/>
        <v>0</v>
      </c>
    </row>
    <row r="41" spans="3:21">
      <c r="C41" s="683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>
        <f t="shared" si="3"/>
        <v>0</v>
      </c>
    </row>
    <row r="42" spans="3:21">
      <c r="C42" s="683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>
        <f t="shared" si="3"/>
        <v>0</v>
      </c>
    </row>
    <row r="43" spans="3:21">
      <c r="C43" s="683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>
        <f t="shared" si="3"/>
        <v>0</v>
      </c>
    </row>
    <row r="44" spans="3:21">
      <c r="C44" s="683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>
        <f t="shared" si="3"/>
        <v>0</v>
      </c>
    </row>
    <row r="45" spans="3:21">
      <c r="C45" s="683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>
        <f t="shared" si="3"/>
        <v>0</v>
      </c>
    </row>
    <row r="46" spans="3:21">
      <c r="C46" s="684"/>
      <c r="D46" s="67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>
        <f t="shared" si="3"/>
        <v>0</v>
      </c>
    </row>
    <row r="47" ht="15" spans="3:21">
      <c r="C47" s="537" t="s">
        <v>211</v>
      </c>
      <c r="D47" s="540"/>
      <c r="E47" s="55">
        <f>SUM(E29:E46)</f>
        <v>4109.2</v>
      </c>
      <c r="F47" s="55">
        <f t="shared" ref="F47:T47" si="7">SUM(F29:F46)</f>
        <v>0</v>
      </c>
      <c r="G47" s="55">
        <f t="shared" si="7"/>
        <v>2370.6</v>
      </c>
      <c r="H47" s="55">
        <f t="shared" si="7"/>
        <v>1672.4583</v>
      </c>
      <c r="I47" s="55">
        <f t="shared" si="7"/>
        <v>141.846265983698</v>
      </c>
      <c r="J47" s="55">
        <f t="shared" si="7"/>
        <v>151.997973987955</v>
      </c>
      <c r="K47" s="55">
        <f t="shared" si="7"/>
        <v>157.477261442522</v>
      </c>
      <c r="L47" s="55">
        <f t="shared" si="7"/>
        <v>344.280870983805</v>
      </c>
      <c r="M47" s="55">
        <f t="shared" si="7"/>
        <v>808.308636227792</v>
      </c>
      <c r="N47" s="55">
        <f t="shared" si="7"/>
        <v>408.249507059823</v>
      </c>
      <c r="O47" s="55">
        <f t="shared" si="7"/>
        <v>449.994225019375</v>
      </c>
      <c r="P47" s="55">
        <f t="shared" si="7"/>
        <v>154.338717942096</v>
      </c>
      <c r="Q47" s="55">
        <f t="shared" si="7"/>
        <v>264.768840800436</v>
      </c>
      <c r="R47" s="55">
        <f t="shared" si="7"/>
        <v>505.215370468369</v>
      </c>
      <c r="S47" s="55">
        <f t="shared" si="7"/>
        <v>469.944879124707</v>
      </c>
      <c r="T47" s="55">
        <f t="shared" si="7"/>
        <v>210.763446791393</v>
      </c>
      <c r="U47" s="316">
        <f>SUM(I47:T47)</f>
        <v>4067.18599583197</v>
      </c>
    </row>
    <row r="48" ht="15" spans="3:21">
      <c r="C48" s="44" t="s">
        <v>369</v>
      </c>
      <c r="D48" s="45"/>
      <c r="E48" s="55">
        <f>E27+E47</f>
        <v>12151.7</v>
      </c>
      <c r="F48" s="55">
        <f t="shared" ref="F48:U48" si="8">F27+F47</f>
        <v>0</v>
      </c>
      <c r="G48" s="55">
        <f t="shared" si="8"/>
        <v>10413.1</v>
      </c>
      <c r="H48" s="55">
        <f t="shared" si="8"/>
        <v>7346.44205</v>
      </c>
      <c r="I48" s="55">
        <f t="shared" si="8"/>
        <v>3619.6071049837</v>
      </c>
      <c r="J48" s="55">
        <f t="shared" si="8"/>
        <v>3745.68417428795</v>
      </c>
      <c r="K48" s="55">
        <f t="shared" si="8"/>
        <v>3635.23810044252</v>
      </c>
      <c r="L48" s="55">
        <f t="shared" si="8"/>
        <v>3937.9670712838</v>
      </c>
      <c r="M48" s="55">
        <f t="shared" si="8"/>
        <v>4401.99483652779</v>
      </c>
      <c r="N48" s="55">
        <f t="shared" si="8"/>
        <v>3886.01034605982</v>
      </c>
      <c r="O48" s="55">
        <f t="shared" si="8"/>
        <v>4043.68042531937</v>
      </c>
      <c r="P48" s="55">
        <f t="shared" si="8"/>
        <v>3632.0995569421</v>
      </c>
      <c r="Q48" s="55">
        <f t="shared" si="8"/>
        <v>3858.45504110044</v>
      </c>
      <c r="R48" s="55">
        <f t="shared" si="8"/>
        <v>4098.90157076837</v>
      </c>
      <c r="S48" s="55">
        <f t="shared" si="8"/>
        <v>3715.85499552471</v>
      </c>
      <c r="T48" s="55">
        <f t="shared" si="8"/>
        <v>3804.44964709139</v>
      </c>
      <c r="U48" s="316">
        <f t="shared" si="8"/>
        <v>46379.942870332</v>
      </c>
    </row>
    <row r="49" ht="15" spans="3:21">
      <c r="C49" s="663" t="s">
        <v>370</v>
      </c>
      <c r="D49" s="676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</row>
    <row r="50" ht="15" spans="3:21">
      <c r="C50" s="44" t="s">
        <v>350</v>
      </c>
      <c r="D50" s="4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</row>
    <row r="51" spans="3:21">
      <c r="C51" s="682" t="s">
        <v>371</v>
      </c>
      <c r="D51" s="780" t="s">
        <v>372</v>
      </c>
      <c r="E51" s="55">
        <v>2100</v>
      </c>
      <c r="F51" s="55"/>
      <c r="G51" s="55">
        <v>352.5</v>
      </c>
      <c r="H51" s="147">
        <f t="shared" ref="H51:H59" si="9">G51*0.7055</f>
        <v>248.68875</v>
      </c>
      <c r="I51" s="147">
        <f t="shared" ref="I51:I67" si="10">$H51*0.85*30*24/1000</f>
        <v>152.197515</v>
      </c>
      <c r="J51" s="147">
        <f t="shared" ref="J51:J67" si="11">$H51*0.85*31*24/1000</f>
        <v>157.2707655</v>
      </c>
      <c r="K51" s="147">
        <f t="shared" ref="K51:K67" si="12">$H51*0.85*30*24/1000</f>
        <v>152.197515</v>
      </c>
      <c r="L51" s="147">
        <f t="shared" ref="L51:M67" si="13">$H51*0.85*31*24/1000</f>
        <v>157.2707655</v>
      </c>
      <c r="M51" s="147">
        <f t="shared" si="13"/>
        <v>157.2707655</v>
      </c>
      <c r="N51" s="147">
        <f t="shared" ref="N51:N67" si="14">$H51*0.85*30*24/1000</f>
        <v>152.197515</v>
      </c>
      <c r="O51" s="147">
        <f t="shared" ref="O51:O67" si="15">$H51*0.85*31*24/1000</f>
        <v>157.2707655</v>
      </c>
      <c r="P51" s="147">
        <f t="shared" ref="P51:P67" si="16">$H51*0.85*30*24/1000</f>
        <v>152.197515</v>
      </c>
      <c r="Q51" s="147">
        <f t="shared" ref="Q51:R67" si="17">$H51*0.85*31*24/1000</f>
        <v>157.2707655</v>
      </c>
      <c r="R51" s="147">
        <f t="shared" si="17"/>
        <v>157.2707655</v>
      </c>
      <c r="S51" s="147">
        <f t="shared" ref="S51:S67" si="18">$H51*0.85*28*24/1000</f>
        <v>142.051014</v>
      </c>
      <c r="T51" s="147">
        <f t="shared" ref="T51:T67" si="19">$H51*0.85*31*24/1000</f>
        <v>157.2707655</v>
      </c>
      <c r="U51" s="147">
        <f t="shared" ref="U51:U76" si="20">+SUM(I51:T51)</f>
        <v>1851.7364325</v>
      </c>
    </row>
    <row r="52" spans="3:21">
      <c r="C52" s="683"/>
      <c r="D52" s="780" t="s">
        <v>373</v>
      </c>
      <c r="E52" s="55">
        <v>500</v>
      </c>
      <c r="F52" s="55"/>
      <c r="G52" s="55">
        <v>88.5</v>
      </c>
      <c r="H52" s="147">
        <f t="shared" si="9"/>
        <v>62.43675</v>
      </c>
      <c r="I52" s="147">
        <f t="shared" si="10"/>
        <v>38.211291</v>
      </c>
      <c r="J52" s="147">
        <f t="shared" si="11"/>
        <v>39.4850007</v>
      </c>
      <c r="K52" s="147">
        <f t="shared" si="12"/>
        <v>38.211291</v>
      </c>
      <c r="L52" s="147">
        <f t="shared" si="13"/>
        <v>39.4850007</v>
      </c>
      <c r="M52" s="147">
        <f t="shared" si="13"/>
        <v>39.4850007</v>
      </c>
      <c r="N52" s="147">
        <f t="shared" si="14"/>
        <v>38.211291</v>
      </c>
      <c r="O52" s="147">
        <f t="shared" si="15"/>
        <v>39.4850007</v>
      </c>
      <c r="P52" s="147">
        <f t="shared" si="16"/>
        <v>38.211291</v>
      </c>
      <c r="Q52" s="147">
        <f t="shared" si="17"/>
        <v>39.4850007</v>
      </c>
      <c r="R52" s="147">
        <f t="shared" si="17"/>
        <v>39.4850007</v>
      </c>
      <c r="S52" s="147">
        <f t="shared" si="18"/>
        <v>35.6638716</v>
      </c>
      <c r="T52" s="147">
        <f t="shared" si="19"/>
        <v>39.4850007</v>
      </c>
      <c r="U52" s="147">
        <f t="shared" si="20"/>
        <v>464.9040405</v>
      </c>
    </row>
    <row r="53" spans="3:21">
      <c r="C53" s="683"/>
      <c r="D53" s="780" t="s">
        <v>374</v>
      </c>
      <c r="E53" s="55">
        <v>2000</v>
      </c>
      <c r="F53" s="55"/>
      <c r="G53" s="55">
        <v>217.4</v>
      </c>
      <c r="H53" s="147">
        <f t="shared" si="9"/>
        <v>153.3757</v>
      </c>
      <c r="I53" s="147">
        <f t="shared" si="10"/>
        <v>93.8659284</v>
      </c>
      <c r="J53" s="147">
        <f t="shared" si="11"/>
        <v>96.99479268</v>
      </c>
      <c r="K53" s="147">
        <f t="shared" si="12"/>
        <v>93.8659284</v>
      </c>
      <c r="L53" s="147">
        <f t="shared" si="13"/>
        <v>96.99479268</v>
      </c>
      <c r="M53" s="147">
        <f t="shared" si="13"/>
        <v>96.99479268</v>
      </c>
      <c r="N53" s="147">
        <f t="shared" si="14"/>
        <v>93.8659284</v>
      </c>
      <c r="O53" s="147">
        <f t="shared" si="15"/>
        <v>96.99479268</v>
      </c>
      <c r="P53" s="147">
        <f t="shared" si="16"/>
        <v>93.8659284</v>
      </c>
      <c r="Q53" s="147">
        <f t="shared" si="17"/>
        <v>96.99479268</v>
      </c>
      <c r="R53" s="147">
        <f t="shared" si="17"/>
        <v>96.99479268</v>
      </c>
      <c r="S53" s="147">
        <f t="shared" si="18"/>
        <v>87.60819984</v>
      </c>
      <c r="T53" s="147">
        <f t="shared" si="19"/>
        <v>96.99479268</v>
      </c>
      <c r="U53" s="147">
        <f t="shared" si="20"/>
        <v>1142.0354622</v>
      </c>
    </row>
    <row r="54" spans="3:21">
      <c r="C54" s="683"/>
      <c r="D54" s="780" t="s">
        <v>375</v>
      </c>
      <c r="E54" s="55">
        <v>1000</v>
      </c>
      <c r="F54" s="55"/>
      <c r="G54" s="55">
        <v>538.9</v>
      </c>
      <c r="H54" s="147">
        <f t="shared" si="9"/>
        <v>380.19395</v>
      </c>
      <c r="I54" s="147">
        <f t="shared" si="10"/>
        <v>232.6786974</v>
      </c>
      <c r="J54" s="147">
        <f t="shared" si="11"/>
        <v>240.43465398</v>
      </c>
      <c r="K54" s="147">
        <f t="shared" si="12"/>
        <v>232.6786974</v>
      </c>
      <c r="L54" s="147">
        <f t="shared" si="13"/>
        <v>240.43465398</v>
      </c>
      <c r="M54" s="147">
        <f t="shared" si="13"/>
        <v>240.43465398</v>
      </c>
      <c r="N54" s="147">
        <f t="shared" si="14"/>
        <v>232.6786974</v>
      </c>
      <c r="O54" s="147">
        <f t="shared" si="15"/>
        <v>240.43465398</v>
      </c>
      <c r="P54" s="147">
        <f t="shared" si="16"/>
        <v>232.6786974</v>
      </c>
      <c r="Q54" s="147">
        <f t="shared" si="17"/>
        <v>240.43465398</v>
      </c>
      <c r="R54" s="147">
        <f t="shared" si="17"/>
        <v>240.43465398</v>
      </c>
      <c r="S54" s="147">
        <f t="shared" si="18"/>
        <v>217.16678424</v>
      </c>
      <c r="T54" s="147">
        <f t="shared" si="19"/>
        <v>240.43465398</v>
      </c>
      <c r="U54" s="147">
        <f t="shared" si="20"/>
        <v>2830.9241517</v>
      </c>
    </row>
    <row r="55" spans="3:21">
      <c r="C55" s="683"/>
      <c r="D55" s="780" t="s">
        <v>376</v>
      </c>
      <c r="E55" s="55">
        <v>1000</v>
      </c>
      <c r="F55" s="55"/>
      <c r="G55" s="55">
        <v>256.7</v>
      </c>
      <c r="H55" s="147">
        <f t="shared" si="9"/>
        <v>181.10185</v>
      </c>
      <c r="I55" s="147">
        <f t="shared" si="10"/>
        <v>110.8343322</v>
      </c>
      <c r="J55" s="147">
        <f t="shared" si="11"/>
        <v>114.52880994</v>
      </c>
      <c r="K55" s="147">
        <f t="shared" si="12"/>
        <v>110.8343322</v>
      </c>
      <c r="L55" s="147">
        <f t="shared" si="13"/>
        <v>114.52880994</v>
      </c>
      <c r="M55" s="147">
        <f t="shared" si="13"/>
        <v>114.52880994</v>
      </c>
      <c r="N55" s="147">
        <f t="shared" si="14"/>
        <v>110.8343322</v>
      </c>
      <c r="O55" s="147">
        <f t="shared" si="15"/>
        <v>114.52880994</v>
      </c>
      <c r="P55" s="147">
        <f t="shared" si="16"/>
        <v>110.8343322</v>
      </c>
      <c r="Q55" s="147">
        <f t="shared" si="17"/>
        <v>114.52880994</v>
      </c>
      <c r="R55" s="147">
        <f t="shared" si="17"/>
        <v>114.52880994</v>
      </c>
      <c r="S55" s="147">
        <f t="shared" si="18"/>
        <v>103.44537672</v>
      </c>
      <c r="T55" s="147">
        <f t="shared" si="19"/>
        <v>114.52880994</v>
      </c>
      <c r="U55" s="147">
        <f t="shared" si="20"/>
        <v>1348.4843751</v>
      </c>
    </row>
    <row r="56" spans="3:21">
      <c r="C56" s="683"/>
      <c r="D56" s="780" t="s">
        <v>377</v>
      </c>
      <c r="E56" s="55">
        <v>2400</v>
      </c>
      <c r="F56" s="55"/>
      <c r="G56" s="55">
        <v>281.04</v>
      </c>
      <c r="H56" s="147">
        <f t="shared" si="9"/>
        <v>198.27372</v>
      </c>
      <c r="I56" s="147">
        <f t="shared" si="10"/>
        <v>121.34351664</v>
      </c>
      <c r="J56" s="147">
        <f t="shared" si="11"/>
        <v>125.388300528</v>
      </c>
      <c r="K56" s="147">
        <f t="shared" si="12"/>
        <v>121.34351664</v>
      </c>
      <c r="L56" s="147">
        <f t="shared" si="13"/>
        <v>125.388300528</v>
      </c>
      <c r="M56" s="147">
        <f t="shared" si="13"/>
        <v>125.388300528</v>
      </c>
      <c r="N56" s="147">
        <f t="shared" si="14"/>
        <v>121.34351664</v>
      </c>
      <c r="O56" s="147">
        <f t="shared" si="15"/>
        <v>125.388300528</v>
      </c>
      <c r="P56" s="147">
        <f t="shared" si="16"/>
        <v>121.34351664</v>
      </c>
      <c r="Q56" s="147">
        <f t="shared" si="17"/>
        <v>125.388300528</v>
      </c>
      <c r="R56" s="147">
        <f t="shared" si="17"/>
        <v>125.388300528</v>
      </c>
      <c r="S56" s="147">
        <f t="shared" si="18"/>
        <v>113.253948864</v>
      </c>
      <c r="T56" s="147">
        <f t="shared" si="19"/>
        <v>125.388300528</v>
      </c>
      <c r="U56" s="147">
        <f t="shared" si="20"/>
        <v>1476.34611912</v>
      </c>
    </row>
    <row r="57" spans="3:21">
      <c r="C57" s="683"/>
      <c r="D57" s="780" t="s">
        <v>378</v>
      </c>
      <c r="E57" s="55">
        <v>85</v>
      </c>
      <c r="F57" s="55"/>
      <c r="G57" s="55">
        <v>45.81</v>
      </c>
      <c r="H57" s="147">
        <f t="shared" si="9"/>
        <v>32.318955</v>
      </c>
      <c r="I57" s="147">
        <f t="shared" si="10"/>
        <v>19.77920046</v>
      </c>
      <c r="J57" s="147">
        <f t="shared" si="11"/>
        <v>20.438507142</v>
      </c>
      <c r="K57" s="147">
        <f t="shared" si="12"/>
        <v>19.77920046</v>
      </c>
      <c r="L57" s="147">
        <f t="shared" si="13"/>
        <v>20.438507142</v>
      </c>
      <c r="M57" s="147">
        <f t="shared" si="13"/>
        <v>20.438507142</v>
      </c>
      <c r="N57" s="147">
        <f t="shared" si="14"/>
        <v>19.77920046</v>
      </c>
      <c r="O57" s="147">
        <f t="shared" si="15"/>
        <v>20.438507142</v>
      </c>
      <c r="P57" s="147">
        <f t="shared" si="16"/>
        <v>19.77920046</v>
      </c>
      <c r="Q57" s="147">
        <f t="shared" si="17"/>
        <v>20.438507142</v>
      </c>
      <c r="R57" s="147">
        <f t="shared" si="17"/>
        <v>20.438507142</v>
      </c>
      <c r="S57" s="147">
        <f t="shared" si="18"/>
        <v>18.460587096</v>
      </c>
      <c r="T57" s="147">
        <f t="shared" si="19"/>
        <v>20.438507142</v>
      </c>
      <c r="U57" s="147">
        <f t="shared" si="20"/>
        <v>240.64693893</v>
      </c>
    </row>
    <row r="58" spans="3:21">
      <c r="C58" s="683"/>
      <c r="D58" s="780" t="s">
        <v>379</v>
      </c>
      <c r="E58" s="55">
        <v>200</v>
      </c>
      <c r="F58" s="55"/>
      <c r="G58" s="55">
        <v>200</v>
      </c>
      <c r="H58" s="147">
        <f t="shared" si="9"/>
        <v>141.1</v>
      </c>
      <c r="I58" s="147">
        <f t="shared" si="10"/>
        <v>86.3532</v>
      </c>
      <c r="J58" s="147">
        <f t="shared" si="11"/>
        <v>89.23164</v>
      </c>
      <c r="K58" s="147">
        <f t="shared" si="12"/>
        <v>86.3532</v>
      </c>
      <c r="L58" s="147">
        <f t="shared" si="13"/>
        <v>89.23164</v>
      </c>
      <c r="M58" s="147">
        <f t="shared" si="13"/>
        <v>89.23164</v>
      </c>
      <c r="N58" s="147">
        <f t="shared" si="14"/>
        <v>86.3532</v>
      </c>
      <c r="O58" s="147">
        <f t="shared" si="15"/>
        <v>89.23164</v>
      </c>
      <c r="P58" s="147">
        <f t="shared" si="16"/>
        <v>86.3532</v>
      </c>
      <c r="Q58" s="147">
        <f t="shared" si="17"/>
        <v>89.23164</v>
      </c>
      <c r="R58" s="147">
        <f t="shared" si="17"/>
        <v>89.23164</v>
      </c>
      <c r="S58" s="147">
        <f t="shared" si="18"/>
        <v>80.59632</v>
      </c>
      <c r="T58" s="147">
        <f t="shared" si="19"/>
        <v>89.23164</v>
      </c>
      <c r="U58" s="147">
        <f t="shared" si="20"/>
        <v>1050.6306</v>
      </c>
    </row>
    <row r="59" spans="3:21">
      <c r="C59" s="684"/>
      <c r="D59" s="780" t="s">
        <v>380</v>
      </c>
      <c r="E59" s="55">
        <v>1600</v>
      </c>
      <c r="F59" s="55"/>
      <c r="G59" s="55">
        <v>1390.78</v>
      </c>
      <c r="H59" s="147">
        <f t="shared" si="9"/>
        <v>981.19529</v>
      </c>
      <c r="I59" s="147">
        <f t="shared" si="10"/>
        <v>600.49151748</v>
      </c>
      <c r="J59" s="147">
        <f t="shared" si="11"/>
        <v>620.507901396</v>
      </c>
      <c r="K59" s="147">
        <f t="shared" si="12"/>
        <v>600.49151748</v>
      </c>
      <c r="L59" s="147">
        <f t="shared" si="13"/>
        <v>620.507901396</v>
      </c>
      <c r="M59" s="147">
        <f t="shared" si="13"/>
        <v>620.507901396</v>
      </c>
      <c r="N59" s="147">
        <f t="shared" si="14"/>
        <v>600.49151748</v>
      </c>
      <c r="O59" s="147">
        <f t="shared" si="15"/>
        <v>620.507901396</v>
      </c>
      <c r="P59" s="147">
        <f t="shared" si="16"/>
        <v>600.49151748</v>
      </c>
      <c r="Q59" s="147">
        <f t="shared" si="17"/>
        <v>620.507901396</v>
      </c>
      <c r="R59" s="147">
        <f t="shared" si="17"/>
        <v>620.507901396</v>
      </c>
      <c r="S59" s="147">
        <f t="shared" si="18"/>
        <v>560.458749648</v>
      </c>
      <c r="T59" s="147">
        <f t="shared" si="19"/>
        <v>620.507901396</v>
      </c>
      <c r="U59" s="147">
        <f t="shared" si="20"/>
        <v>7305.98012934</v>
      </c>
    </row>
    <row r="60" spans="3:21">
      <c r="C60" s="55"/>
      <c r="D60" s="780" t="s">
        <v>450</v>
      </c>
      <c r="E60" s="55"/>
      <c r="F60" s="55"/>
      <c r="G60" s="55"/>
      <c r="H60" s="147"/>
      <c r="I60" s="147">
        <f t="shared" si="10"/>
        <v>0</v>
      </c>
      <c r="J60" s="147">
        <f t="shared" si="11"/>
        <v>0</v>
      </c>
      <c r="K60" s="147">
        <f t="shared" si="12"/>
        <v>0</v>
      </c>
      <c r="L60" s="147">
        <f t="shared" si="13"/>
        <v>0</v>
      </c>
      <c r="M60" s="147">
        <f t="shared" si="13"/>
        <v>0</v>
      </c>
      <c r="N60" s="147">
        <f t="shared" si="14"/>
        <v>0</v>
      </c>
      <c r="O60" s="147">
        <f t="shared" si="15"/>
        <v>0</v>
      </c>
      <c r="P60" s="147">
        <f t="shared" si="16"/>
        <v>0</v>
      </c>
      <c r="Q60" s="147">
        <f t="shared" si="17"/>
        <v>0</v>
      </c>
      <c r="R60" s="147">
        <f t="shared" si="17"/>
        <v>0</v>
      </c>
      <c r="S60" s="147">
        <f t="shared" si="18"/>
        <v>0</v>
      </c>
      <c r="T60" s="147">
        <f t="shared" si="19"/>
        <v>0</v>
      </c>
      <c r="U60" s="147">
        <f t="shared" si="20"/>
        <v>0</v>
      </c>
    </row>
    <row r="61" spans="3:21">
      <c r="C61" s="55"/>
      <c r="D61" s="780" t="s">
        <v>381</v>
      </c>
      <c r="E61" s="55">
        <v>630</v>
      </c>
      <c r="F61" s="55"/>
      <c r="G61" s="147">
        <v>5.23</v>
      </c>
      <c r="H61" s="147">
        <f>G61*0.7055</f>
        <v>3.689765</v>
      </c>
      <c r="I61" s="147">
        <f t="shared" si="10"/>
        <v>2.25813618</v>
      </c>
      <c r="J61" s="147">
        <f t="shared" si="11"/>
        <v>2.333407386</v>
      </c>
      <c r="K61" s="147">
        <f t="shared" si="12"/>
        <v>2.25813618</v>
      </c>
      <c r="L61" s="147">
        <f t="shared" si="13"/>
        <v>2.333407386</v>
      </c>
      <c r="M61" s="147">
        <f t="shared" si="13"/>
        <v>2.333407386</v>
      </c>
      <c r="N61" s="147">
        <f t="shared" si="14"/>
        <v>2.25813618</v>
      </c>
      <c r="O61" s="147">
        <f t="shared" si="15"/>
        <v>2.333407386</v>
      </c>
      <c r="P61" s="147">
        <f t="shared" si="16"/>
        <v>2.25813618</v>
      </c>
      <c r="Q61" s="147">
        <f t="shared" si="17"/>
        <v>2.333407386</v>
      </c>
      <c r="R61" s="147">
        <f t="shared" si="17"/>
        <v>2.333407386</v>
      </c>
      <c r="S61" s="147">
        <f t="shared" si="18"/>
        <v>2.107593768</v>
      </c>
      <c r="T61" s="147">
        <f t="shared" si="19"/>
        <v>2.333407386</v>
      </c>
      <c r="U61" s="147">
        <f t="shared" si="20"/>
        <v>27.47399019</v>
      </c>
    </row>
    <row r="62" spans="3:21">
      <c r="C62" s="55"/>
      <c r="D62" s="780" t="s">
        <v>382</v>
      </c>
      <c r="E62" s="55">
        <v>840</v>
      </c>
      <c r="F62" s="55"/>
      <c r="G62" s="147">
        <v>6.89</v>
      </c>
      <c r="H62" s="147">
        <f>G62*0.7055</f>
        <v>4.860895</v>
      </c>
      <c r="I62" s="147">
        <f t="shared" si="10"/>
        <v>2.97486774</v>
      </c>
      <c r="J62" s="147">
        <f t="shared" si="11"/>
        <v>3.074029998</v>
      </c>
      <c r="K62" s="147">
        <f t="shared" si="12"/>
        <v>2.97486774</v>
      </c>
      <c r="L62" s="147">
        <f t="shared" si="13"/>
        <v>3.074029998</v>
      </c>
      <c r="M62" s="147">
        <f t="shared" si="13"/>
        <v>3.074029998</v>
      </c>
      <c r="N62" s="147">
        <f t="shared" si="14"/>
        <v>2.97486774</v>
      </c>
      <c r="O62" s="147">
        <f t="shared" si="15"/>
        <v>3.074029998</v>
      </c>
      <c r="P62" s="147">
        <f t="shared" si="16"/>
        <v>2.97486774</v>
      </c>
      <c r="Q62" s="147">
        <f t="shared" si="17"/>
        <v>3.074029998</v>
      </c>
      <c r="R62" s="147">
        <f t="shared" si="17"/>
        <v>3.074029998</v>
      </c>
      <c r="S62" s="147">
        <f t="shared" si="18"/>
        <v>2.776543224</v>
      </c>
      <c r="T62" s="147">
        <f t="shared" si="19"/>
        <v>3.074029998</v>
      </c>
      <c r="U62" s="147">
        <f t="shared" si="20"/>
        <v>36.19422417</v>
      </c>
    </row>
    <row r="63" spans="3:21">
      <c r="C63" s="55"/>
      <c r="D63" s="780" t="s">
        <v>383</v>
      </c>
      <c r="E63" s="55">
        <v>1000</v>
      </c>
      <c r="F63" s="55"/>
      <c r="G63" s="147">
        <v>66.25</v>
      </c>
      <c r="H63" s="147">
        <f>G63*0.7055</f>
        <v>46.739375</v>
      </c>
      <c r="I63" s="147">
        <f t="shared" si="10"/>
        <v>28.6044975</v>
      </c>
      <c r="J63" s="147">
        <f t="shared" si="11"/>
        <v>29.55798075</v>
      </c>
      <c r="K63" s="147">
        <f t="shared" si="12"/>
        <v>28.6044975</v>
      </c>
      <c r="L63" s="147">
        <f t="shared" si="13"/>
        <v>29.55798075</v>
      </c>
      <c r="M63" s="147">
        <f t="shared" si="13"/>
        <v>29.55798075</v>
      </c>
      <c r="N63" s="147">
        <f t="shared" si="14"/>
        <v>28.6044975</v>
      </c>
      <c r="O63" s="147">
        <f t="shared" si="15"/>
        <v>29.55798075</v>
      </c>
      <c r="P63" s="147">
        <f t="shared" si="16"/>
        <v>28.6044975</v>
      </c>
      <c r="Q63" s="147">
        <f t="shared" si="17"/>
        <v>29.55798075</v>
      </c>
      <c r="R63" s="147">
        <f t="shared" si="17"/>
        <v>29.55798075</v>
      </c>
      <c r="S63" s="147">
        <f t="shared" si="18"/>
        <v>26.697531</v>
      </c>
      <c r="T63" s="147">
        <f t="shared" si="19"/>
        <v>29.55798075</v>
      </c>
      <c r="U63" s="147">
        <f t="shared" si="20"/>
        <v>348.02138625</v>
      </c>
    </row>
    <row r="64" spans="3:21">
      <c r="C64" s="55"/>
      <c r="D64" s="780" t="s">
        <v>384</v>
      </c>
      <c r="E64" s="55">
        <v>0</v>
      </c>
      <c r="F64" s="55"/>
      <c r="G64" s="147"/>
      <c r="H64" s="147"/>
      <c r="I64" s="147">
        <f t="shared" si="10"/>
        <v>0</v>
      </c>
      <c r="J64" s="147">
        <f t="shared" si="11"/>
        <v>0</v>
      </c>
      <c r="K64" s="147">
        <f t="shared" si="12"/>
        <v>0</v>
      </c>
      <c r="L64" s="147">
        <f t="shared" si="13"/>
        <v>0</v>
      </c>
      <c r="M64" s="147">
        <f t="shared" si="13"/>
        <v>0</v>
      </c>
      <c r="N64" s="147">
        <f t="shared" si="14"/>
        <v>0</v>
      </c>
      <c r="O64" s="147">
        <f t="shared" si="15"/>
        <v>0</v>
      </c>
      <c r="P64" s="147">
        <f t="shared" si="16"/>
        <v>0</v>
      </c>
      <c r="Q64" s="147">
        <f t="shared" si="17"/>
        <v>0</v>
      </c>
      <c r="R64" s="147">
        <f t="shared" si="17"/>
        <v>0</v>
      </c>
      <c r="S64" s="147">
        <f t="shared" si="18"/>
        <v>0</v>
      </c>
      <c r="T64" s="147">
        <f t="shared" si="19"/>
        <v>0</v>
      </c>
      <c r="U64" s="147">
        <f t="shared" si="20"/>
        <v>0</v>
      </c>
    </row>
    <row r="65" spans="3:21">
      <c r="C65" s="55"/>
      <c r="D65" s="780" t="s">
        <v>385</v>
      </c>
      <c r="E65" s="55">
        <v>920</v>
      </c>
      <c r="F65" s="55"/>
      <c r="G65" s="147">
        <v>0</v>
      </c>
      <c r="H65" s="147">
        <f>G65*0.7055</f>
        <v>0</v>
      </c>
      <c r="I65" s="147">
        <f t="shared" si="10"/>
        <v>0</v>
      </c>
      <c r="J65" s="147">
        <f t="shared" si="11"/>
        <v>0</v>
      </c>
      <c r="K65" s="147">
        <f t="shared" si="12"/>
        <v>0</v>
      </c>
      <c r="L65" s="147">
        <f t="shared" si="13"/>
        <v>0</v>
      </c>
      <c r="M65" s="147">
        <f t="shared" si="13"/>
        <v>0</v>
      </c>
      <c r="N65" s="147">
        <f t="shared" si="14"/>
        <v>0</v>
      </c>
      <c r="O65" s="147">
        <f t="shared" si="15"/>
        <v>0</v>
      </c>
      <c r="P65" s="147">
        <f t="shared" si="16"/>
        <v>0</v>
      </c>
      <c r="Q65" s="147">
        <f t="shared" si="17"/>
        <v>0</v>
      </c>
      <c r="R65" s="147">
        <f t="shared" si="17"/>
        <v>0</v>
      </c>
      <c r="S65" s="147">
        <f t="shared" si="18"/>
        <v>0</v>
      </c>
      <c r="T65" s="147">
        <f t="shared" si="19"/>
        <v>0</v>
      </c>
      <c r="U65" s="147">
        <f t="shared" si="20"/>
        <v>0</v>
      </c>
    </row>
    <row r="66" spans="3:21">
      <c r="C66" s="55"/>
      <c r="D66" s="780" t="s">
        <v>386</v>
      </c>
      <c r="E66" s="55">
        <v>1500</v>
      </c>
      <c r="F66" s="55"/>
      <c r="G66" s="147">
        <v>106.41</v>
      </c>
      <c r="H66" s="147">
        <f>G66*0.7055</f>
        <v>75.072255</v>
      </c>
      <c r="I66" s="147">
        <f t="shared" si="10"/>
        <v>45.94422006</v>
      </c>
      <c r="J66" s="147">
        <f t="shared" si="11"/>
        <v>47.475694062</v>
      </c>
      <c r="K66" s="147">
        <f t="shared" si="12"/>
        <v>45.94422006</v>
      </c>
      <c r="L66" s="147">
        <f t="shared" si="13"/>
        <v>47.475694062</v>
      </c>
      <c r="M66" s="147">
        <f t="shared" si="13"/>
        <v>47.475694062</v>
      </c>
      <c r="N66" s="147">
        <f t="shared" si="14"/>
        <v>45.94422006</v>
      </c>
      <c r="O66" s="147">
        <f t="shared" si="15"/>
        <v>47.475694062</v>
      </c>
      <c r="P66" s="147">
        <f t="shared" si="16"/>
        <v>45.94422006</v>
      </c>
      <c r="Q66" s="147">
        <f t="shared" si="17"/>
        <v>47.475694062</v>
      </c>
      <c r="R66" s="147">
        <f t="shared" si="17"/>
        <v>47.475694062</v>
      </c>
      <c r="S66" s="147">
        <f t="shared" si="18"/>
        <v>42.881272056</v>
      </c>
      <c r="T66" s="147">
        <f t="shared" si="19"/>
        <v>47.475694062</v>
      </c>
      <c r="U66" s="147">
        <f t="shared" si="20"/>
        <v>558.98801073</v>
      </c>
    </row>
    <row r="67" spans="3:21">
      <c r="C67" s="55"/>
      <c r="D67" s="780" t="s">
        <v>387</v>
      </c>
      <c r="E67" s="55">
        <v>1000</v>
      </c>
      <c r="F67" s="55"/>
      <c r="G67" s="147">
        <v>147.91</v>
      </c>
      <c r="H67" s="147">
        <f>G67*0.7055</f>
        <v>104.350505</v>
      </c>
      <c r="I67" s="147">
        <f t="shared" si="10"/>
        <v>63.86250906</v>
      </c>
      <c r="J67" s="147">
        <f t="shared" si="11"/>
        <v>65.991259362</v>
      </c>
      <c r="K67" s="147">
        <f t="shared" si="12"/>
        <v>63.86250906</v>
      </c>
      <c r="L67" s="147">
        <f t="shared" si="13"/>
        <v>65.991259362</v>
      </c>
      <c r="M67" s="147">
        <f t="shared" si="13"/>
        <v>65.991259362</v>
      </c>
      <c r="N67" s="147">
        <f t="shared" si="14"/>
        <v>63.86250906</v>
      </c>
      <c r="O67" s="147">
        <f t="shared" si="15"/>
        <v>65.991259362</v>
      </c>
      <c r="P67" s="147">
        <f t="shared" si="16"/>
        <v>63.86250906</v>
      </c>
      <c r="Q67" s="147">
        <f t="shared" si="17"/>
        <v>65.991259362</v>
      </c>
      <c r="R67" s="147">
        <f t="shared" si="17"/>
        <v>65.991259362</v>
      </c>
      <c r="S67" s="147">
        <f t="shared" si="18"/>
        <v>59.605008456</v>
      </c>
      <c r="T67" s="147">
        <f t="shared" si="19"/>
        <v>65.991259362</v>
      </c>
      <c r="U67" s="147">
        <f t="shared" si="20"/>
        <v>776.99386023</v>
      </c>
    </row>
    <row r="68" spans="3:21">
      <c r="C68" s="55"/>
      <c r="D68" s="55"/>
      <c r="E68" s="55"/>
      <c r="F68" s="55"/>
      <c r="G68" s="55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>
        <f t="shared" si="20"/>
        <v>0</v>
      </c>
    </row>
    <row r="69" spans="3:21">
      <c r="C69" s="55"/>
      <c r="D69" s="55"/>
      <c r="E69" s="55"/>
      <c r="F69" s="55"/>
      <c r="G69" s="55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>
        <f t="shared" si="20"/>
        <v>0</v>
      </c>
    </row>
    <row r="70" spans="3:21">
      <c r="C70" s="55"/>
      <c r="D70" s="55"/>
      <c r="E70" s="55"/>
      <c r="F70" s="55"/>
      <c r="G70" s="55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>
        <f t="shared" si="20"/>
        <v>0</v>
      </c>
    </row>
    <row r="71" spans="3:21">
      <c r="C71" s="55"/>
      <c r="D71" s="55"/>
      <c r="E71" s="55"/>
      <c r="F71" s="55"/>
      <c r="G71" s="55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>
        <f t="shared" si="20"/>
        <v>0</v>
      </c>
    </row>
    <row r="72" spans="3:21">
      <c r="C72" s="55"/>
      <c r="D72" s="55"/>
      <c r="E72" s="55"/>
      <c r="F72" s="55"/>
      <c r="G72" s="55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>
        <f t="shared" si="20"/>
        <v>0</v>
      </c>
    </row>
    <row r="73" spans="3:21">
      <c r="C73" s="55"/>
      <c r="D73" s="55"/>
      <c r="E73" s="55"/>
      <c r="F73" s="55"/>
      <c r="G73" s="55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>
        <f t="shared" si="20"/>
        <v>0</v>
      </c>
    </row>
    <row r="74" spans="3:21">
      <c r="C74" s="55"/>
      <c r="D74" s="55"/>
      <c r="E74" s="55"/>
      <c r="F74" s="55"/>
      <c r="G74" s="55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>
        <f t="shared" si="20"/>
        <v>0</v>
      </c>
    </row>
    <row r="75" spans="3:21">
      <c r="C75" s="55"/>
      <c r="D75" s="55"/>
      <c r="E75" s="55"/>
      <c r="F75" s="55"/>
      <c r="G75" s="55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>
        <f t="shared" si="20"/>
        <v>0</v>
      </c>
    </row>
    <row r="76" spans="3:21">
      <c r="C76" s="55"/>
      <c r="D76" s="55"/>
      <c r="E76" s="55"/>
      <c r="F76" s="55"/>
      <c r="G76" s="55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>
        <f t="shared" si="20"/>
        <v>0</v>
      </c>
    </row>
    <row r="77" ht="15" spans="3:21">
      <c r="C77" s="537" t="s">
        <v>211</v>
      </c>
      <c r="D77" s="540"/>
      <c r="E77" s="55">
        <f t="shared" ref="E77:T77" si="21">SUM(E51:E76)</f>
        <v>16775</v>
      </c>
      <c r="F77" s="55">
        <f t="shared" si="21"/>
        <v>0</v>
      </c>
      <c r="G77" s="55">
        <f t="shared" si="21"/>
        <v>3704.32</v>
      </c>
      <c r="H77" s="147">
        <f t="shared" si="21"/>
        <v>2613.39776</v>
      </c>
      <c r="I77" s="147">
        <f t="shared" si="21"/>
        <v>1599.39942912</v>
      </c>
      <c r="J77" s="147">
        <f t="shared" si="21"/>
        <v>1652.712743424</v>
      </c>
      <c r="K77" s="147">
        <f t="shared" si="21"/>
        <v>1599.39942912</v>
      </c>
      <c r="L77" s="147">
        <f t="shared" si="21"/>
        <v>1652.712743424</v>
      </c>
      <c r="M77" s="147">
        <f t="shared" si="21"/>
        <v>1652.712743424</v>
      </c>
      <c r="N77" s="147">
        <f t="shared" si="21"/>
        <v>1599.39942912</v>
      </c>
      <c r="O77" s="147">
        <f t="shared" si="21"/>
        <v>1652.712743424</v>
      </c>
      <c r="P77" s="147">
        <f t="shared" si="21"/>
        <v>1599.39942912</v>
      </c>
      <c r="Q77" s="147">
        <f t="shared" si="21"/>
        <v>1652.712743424</v>
      </c>
      <c r="R77" s="147">
        <f t="shared" si="21"/>
        <v>1652.712743424</v>
      </c>
      <c r="S77" s="147">
        <f t="shared" si="21"/>
        <v>1492.772800512</v>
      </c>
      <c r="T77" s="147">
        <f t="shared" si="21"/>
        <v>1652.712743424</v>
      </c>
      <c r="U77" s="316">
        <f>SUM(I77:T77)</f>
        <v>19459.35972096</v>
      </c>
    </row>
    <row r="78" ht="15" spans="3:21">
      <c r="C78" s="44" t="s">
        <v>388</v>
      </c>
      <c r="D78" s="4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</row>
    <row r="79" spans="3:21">
      <c r="C79" s="682" t="s">
        <v>389</v>
      </c>
      <c r="D79" s="55" t="s">
        <v>390</v>
      </c>
      <c r="E79" s="55">
        <f>[45]Gen!DB68</f>
        <v>440</v>
      </c>
      <c r="F79" s="55"/>
      <c r="G79" s="55">
        <f>[45]Gen!DD68</f>
        <v>22.044</v>
      </c>
      <c r="H79" s="147">
        <f>G79*0.7055</f>
        <v>15.552042</v>
      </c>
      <c r="I79" s="147">
        <f t="shared" ref="I79:T83" si="22">$H79*I$6*24/1000</f>
        <v>11.19747024</v>
      </c>
      <c r="J79" s="147">
        <f t="shared" si="22"/>
        <v>11.570719248</v>
      </c>
      <c r="K79" s="147">
        <f t="shared" si="22"/>
        <v>11.19747024</v>
      </c>
      <c r="L79" s="147">
        <f t="shared" si="22"/>
        <v>11.570719248</v>
      </c>
      <c r="M79" s="147">
        <f t="shared" si="22"/>
        <v>11.570719248</v>
      </c>
      <c r="N79" s="147">
        <f t="shared" si="22"/>
        <v>11.19747024</v>
      </c>
      <c r="O79" s="147">
        <f t="shared" si="22"/>
        <v>11.570719248</v>
      </c>
      <c r="P79" s="147">
        <f t="shared" si="22"/>
        <v>11.19747024</v>
      </c>
      <c r="Q79" s="147">
        <f t="shared" si="22"/>
        <v>11.570719248</v>
      </c>
      <c r="R79" s="147">
        <f t="shared" si="22"/>
        <v>11.570719248</v>
      </c>
      <c r="S79" s="147">
        <f t="shared" si="22"/>
        <v>10.450972224</v>
      </c>
      <c r="T79" s="147">
        <f t="shared" si="22"/>
        <v>11.570719248</v>
      </c>
      <c r="U79" s="147">
        <f t="shared" ref="U79:U92" si="23">+SUM(I79:T79)</f>
        <v>136.23588792</v>
      </c>
    </row>
    <row r="80" spans="3:21">
      <c r="C80" s="683"/>
      <c r="D80" s="55" t="s">
        <v>391</v>
      </c>
      <c r="E80" s="55">
        <f>[45]Gen!DB69</f>
        <v>440</v>
      </c>
      <c r="F80" s="55"/>
      <c r="G80" s="55">
        <f>[45]Gen!DD69</f>
        <v>67.716</v>
      </c>
      <c r="H80" s="147">
        <f>G80*0.7055</f>
        <v>47.773638</v>
      </c>
      <c r="I80" s="147">
        <f t="shared" si="22"/>
        <v>34.39701936</v>
      </c>
      <c r="J80" s="147">
        <f t="shared" si="22"/>
        <v>35.543586672</v>
      </c>
      <c r="K80" s="147">
        <f t="shared" si="22"/>
        <v>34.39701936</v>
      </c>
      <c r="L80" s="147">
        <f t="shared" si="22"/>
        <v>35.543586672</v>
      </c>
      <c r="M80" s="147">
        <f t="shared" si="22"/>
        <v>35.543586672</v>
      </c>
      <c r="N80" s="147">
        <f t="shared" si="22"/>
        <v>34.39701936</v>
      </c>
      <c r="O80" s="147">
        <f t="shared" si="22"/>
        <v>35.543586672</v>
      </c>
      <c r="P80" s="147">
        <f t="shared" si="22"/>
        <v>34.39701936</v>
      </c>
      <c r="Q80" s="147">
        <f t="shared" si="22"/>
        <v>35.543586672</v>
      </c>
      <c r="R80" s="147">
        <f t="shared" si="22"/>
        <v>35.543586672</v>
      </c>
      <c r="S80" s="147">
        <f t="shared" si="22"/>
        <v>32.103884736</v>
      </c>
      <c r="T80" s="147">
        <f t="shared" si="22"/>
        <v>35.543586672</v>
      </c>
      <c r="U80" s="147">
        <f t="shared" si="23"/>
        <v>418.49706888</v>
      </c>
    </row>
    <row r="81" spans="3:21">
      <c r="C81" s="683"/>
      <c r="D81" s="55" t="s">
        <v>392</v>
      </c>
      <c r="E81" s="55">
        <f>[45]Gen!DB70</f>
        <v>440</v>
      </c>
      <c r="F81" s="55"/>
      <c r="G81" s="55">
        <f>[45]Gen!DD70</f>
        <v>72.028</v>
      </c>
      <c r="H81" s="147">
        <f>G81*0.7055</f>
        <v>50.815754</v>
      </c>
      <c r="I81" s="147">
        <f t="shared" si="22"/>
        <v>36.58734288</v>
      </c>
      <c r="J81" s="147">
        <f t="shared" si="22"/>
        <v>37.806920976</v>
      </c>
      <c r="K81" s="147">
        <f t="shared" si="22"/>
        <v>36.58734288</v>
      </c>
      <c r="L81" s="147">
        <f t="shared" si="22"/>
        <v>37.806920976</v>
      </c>
      <c r="M81" s="147">
        <f t="shared" si="22"/>
        <v>37.806920976</v>
      </c>
      <c r="N81" s="147">
        <f t="shared" si="22"/>
        <v>36.58734288</v>
      </c>
      <c r="O81" s="147">
        <f t="shared" si="22"/>
        <v>37.806920976</v>
      </c>
      <c r="P81" s="147">
        <f t="shared" si="22"/>
        <v>36.58734288</v>
      </c>
      <c r="Q81" s="147">
        <f t="shared" si="22"/>
        <v>37.806920976</v>
      </c>
      <c r="R81" s="147">
        <f t="shared" si="22"/>
        <v>37.806920976</v>
      </c>
      <c r="S81" s="147">
        <f t="shared" si="22"/>
        <v>34.148186688</v>
      </c>
      <c r="T81" s="147">
        <f t="shared" si="22"/>
        <v>37.806920976</v>
      </c>
      <c r="U81" s="147">
        <f t="shared" si="23"/>
        <v>445.14600504</v>
      </c>
    </row>
    <row r="82" spans="3:21">
      <c r="C82" s="684"/>
      <c r="D82" s="55" t="s">
        <v>393</v>
      </c>
      <c r="E82" s="55">
        <f>[45]Gen!$DB$72</f>
        <v>1000</v>
      </c>
      <c r="F82" s="55"/>
      <c r="G82" s="55">
        <f>[45]Gen!$DD$72</f>
        <v>50</v>
      </c>
      <c r="H82" s="147">
        <f>G82*0.7055</f>
        <v>35.275</v>
      </c>
      <c r="I82" s="147">
        <f t="shared" si="22"/>
        <v>25.398</v>
      </c>
      <c r="J82" s="147">
        <f t="shared" si="22"/>
        <v>26.2446</v>
      </c>
      <c r="K82" s="147">
        <f t="shared" si="22"/>
        <v>25.398</v>
      </c>
      <c r="L82" s="147">
        <f t="shared" si="22"/>
        <v>26.2446</v>
      </c>
      <c r="M82" s="147">
        <f t="shared" si="22"/>
        <v>26.2446</v>
      </c>
      <c r="N82" s="147">
        <f t="shared" si="22"/>
        <v>25.398</v>
      </c>
      <c r="O82" s="147">
        <f t="shared" si="22"/>
        <v>26.2446</v>
      </c>
      <c r="P82" s="147">
        <f t="shared" si="22"/>
        <v>25.398</v>
      </c>
      <c r="Q82" s="147">
        <f t="shared" si="22"/>
        <v>26.2446</v>
      </c>
      <c r="R82" s="147">
        <f t="shared" si="22"/>
        <v>26.2446</v>
      </c>
      <c r="S82" s="147">
        <f t="shared" si="22"/>
        <v>23.7048</v>
      </c>
      <c r="T82" s="147">
        <f t="shared" si="22"/>
        <v>26.2446</v>
      </c>
      <c r="U82" s="147">
        <f t="shared" si="23"/>
        <v>309.009</v>
      </c>
    </row>
    <row r="83" spans="3:21">
      <c r="C83" s="55"/>
      <c r="D83" s="55"/>
      <c r="E83" s="55"/>
      <c r="F83" s="55"/>
      <c r="G83" s="147">
        <v>4.53061237698578</v>
      </c>
      <c r="H83" s="147">
        <f>G83*0.7055</f>
        <v>3.19634703196347</v>
      </c>
      <c r="I83" s="147">
        <f t="shared" si="22"/>
        <v>2.3013698630137</v>
      </c>
      <c r="J83" s="147">
        <f t="shared" si="22"/>
        <v>2.37808219178082</v>
      </c>
      <c r="K83" s="147">
        <f t="shared" si="22"/>
        <v>2.3013698630137</v>
      </c>
      <c r="L83" s="147">
        <f t="shared" si="22"/>
        <v>2.37808219178082</v>
      </c>
      <c r="M83" s="147">
        <f t="shared" si="22"/>
        <v>2.37808219178082</v>
      </c>
      <c r="N83" s="147">
        <f t="shared" si="22"/>
        <v>2.3013698630137</v>
      </c>
      <c r="O83" s="147">
        <f t="shared" si="22"/>
        <v>2.37808219178082</v>
      </c>
      <c r="P83" s="147">
        <f t="shared" si="22"/>
        <v>2.3013698630137</v>
      </c>
      <c r="Q83" s="147">
        <f t="shared" si="22"/>
        <v>2.37808219178082</v>
      </c>
      <c r="R83" s="147">
        <f t="shared" si="22"/>
        <v>2.37808219178082</v>
      </c>
      <c r="S83" s="147">
        <f t="shared" si="22"/>
        <v>2.14794520547945</v>
      </c>
      <c r="T83" s="147">
        <f t="shared" si="22"/>
        <v>2.37808219178082</v>
      </c>
      <c r="U83" s="147">
        <f t="shared" si="23"/>
        <v>28</v>
      </c>
    </row>
    <row r="84" spans="3:21">
      <c r="C84" s="55"/>
      <c r="D84" s="55"/>
      <c r="E84" s="55"/>
      <c r="F84" s="55"/>
      <c r="G84" s="55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>
        <f t="shared" si="23"/>
        <v>0</v>
      </c>
    </row>
    <row r="85" spans="3:21">
      <c r="C85" s="55"/>
      <c r="D85" s="55"/>
      <c r="E85" s="55"/>
      <c r="F85" s="55"/>
      <c r="G85" s="55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>
        <f t="shared" si="23"/>
        <v>0</v>
      </c>
    </row>
    <row r="86" spans="3:21">
      <c r="C86" s="55"/>
      <c r="D86" s="55"/>
      <c r="E86" s="55"/>
      <c r="F86" s="55"/>
      <c r="G86" s="55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>
        <f t="shared" si="23"/>
        <v>0</v>
      </c>
    </row>
    <row r="87" spans="3:21">
      <c r="C87" s="55"/>
      <c r="D87" s="55"/>
      <c r="E87" s="55"/>
      <c r="F87" s="55"/>
      <c r="G87" s="55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>
        <f t="shared" si="23"/>
        <v>0</v>
      </c>
    </row>
    <row r="88" spans="3:21">
      <c r="C88" s="55"/>
      <c r="D88" s="55"/>
      <c r="E88" s="55"/>
      <c r="F88" s="55"/>
      <c r="G88" s="55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>
        <f t="shared" si="23"/>
        <v>0</v>
      </c>
    </row>
    <row r="89" spans="3:21">
      <c r="C89" s="55"/>
      <c r="D89" s="55"/>
      <c r="E89" s="55"/>
      <c r="F89" s="55"/>
      <c r="G89" s="55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>
        <f t="shared" si="23"/>
        <v>0</v>
      </c>
    </row>
    <row r="90" spans="3:21">
      <c r="C90" s="55"/>
      <c r="D90" s="55"/>
      <c r="E90" s="55"/>
      <c r="F90" s="55"/>
      <c r="G90" s="55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>
        <f t="shared" si="23"/>
        <v>0</v>
      </c>
    </row>
    <row r="91" spans="3:21">
      <c r="C91" s="55"/>
      <c r="D91" s="55"/>
      <c r="E91" s="55"/>
      <c r="F91" s="55"/>
      <c r="G91" s="55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>
        <f t="shared" si="23"/>
        <v>0</v>
      </c>
    </row>
    <row r="92" spans="3:21">
      <c r="C92" s="55"/>
      <c r="D92" s="55"/>
      <c r="E92" s="55"/>
      <c r="F92" s="55"/>
      <c r="G92" s="55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>
        <f t="shared" si="23"/>
        <v>0</v>
      </c>
    </row>
    <row r="93" ht="15" spans="3:21">
      <c r="C93" s="537" t="s">
        <v>211</v>
      </c>
      <c r="D93" s="540"/>
      <c r="E93" s="55">
        <f t="shared" ref="E93:T93" si="24">SUM(E79:E92)</f>
        <v>2320</v>
      </c>
      <c r="F93" s="55">
        <f t="shared" si="24"/>
        <v>0</v>
      </c>
      <c r="G93" s="55">
        <f t="shared" si="24"/>
        <v>216.318612376986</v>
      </c>
      <c r="H93" s="147">
        <f t="shared" si="24"/>
        <v>152.612781031963</v>
      </c>
      <c r="I93" s="147">
        <f t="shared" si="24"/>
        <v>109.881202343014</v>
      </c>
      <c r="J93" s="147">
        <f t="shared" si="24"/>
        <v>113.543909087781</v>
      </c>
      <c r="K93" s="147">
        <f t="shared" si="24"/>
        <v>109.881202343014</v>
      </c>
      <c r="L93" s="147">
        <f t="shared" si="24"/>
        <v>113.543909087781</v>
      </c>
      <c r="M93" s="147">
        <f t="shared" si="24"/>
        <v>113.543909087781</v>
      </c>
      <c r="N93" s="147">
        <f t="shared" si="24"/>
        <v>109.881202343014</v>
      </c>
      <c r="O93" s="147">
        <f t="shared" si="24"/>
        <v>113.543909087781</v>
      </c>
      <c r="P93" s="147">
        <f t="shared" si="24"/>
        <v>109.881202343014</v>
      </c>
      <c r="Q93" s="147">
        <f t="shared" si="24"/>
        <v>113.543909087781</v>
      </c>
      <c r="R93" s="147">
        <f t="shared" si="24"/>
        <v>113.543909087781</v>
      </c>
      <c r="S93" s="147">
        <f t="shared" si="24"/>
        <v>102.555788853479</v>
      </c>
      <c r="T93" s="147">
        <f t="shared" si="24"/>
        <v>113.543909087781</v>
      </c>
      <c r="U93" s="316">
        <f>SUM(I93:T93)</f>
        <v>1336.88796184</v>
      </c>
    </row>
    <row r="94" ht="15" spans="3:21">
      <c r="C94" s="44" t="s">
        <v>395</v>
      </c>
      <c r="D94" s="45"/>
      <c r="E94" s="55">
        <f t="shared" ref="E94:U94" si="25">E77+E93</f>
        <v>19095</v>
      </c>
      <c r="F94" s="55">
        <f t="shared" si="25"/>
        <v>0</v>
      </c>
      <c r="G94" s="55">
        <f t="shared" si="25"/>
        <v>3920.63861237699</v>
      </c>
      <c r="H94" s="147">
        <f t="shared" si="25"/>
        <v>2766.01054103196</v>
      </c>
      <c r="I94" s="147">
        <f t="shared" si="25"/>
        <v>1709.28063146301</v>
      </c>
      <c r="J94" s="147">
        <f t="shared" si="25"/>
        <v>1766.25665251178</v>
      </c>
      <c r="K94" s="147">
        <f t="shared" si="25"/>
        <v>1709.28063146301</v>
      </c>
      <c r="L94" s="147">
        <f t="shared" si="25"/>
        <v>1766.25665251178</v>
      </c>
      <c r="M94" s="147">
        <f t="shared" si="25"/>
        <v>1766.25665251178</v>
      </c>
      <c r="N94" s="147">
        <f t="shared" si="25"/>
        <v>1709.28063146301</v>
      </c>
      <c r="O94" s="147">
        <f t="shared" si="25"/>
        <v>1766.25665251178</v>
      </c>
      <c r="P94" s="147">
        <f t="shared" si="25"/>
        <v>1709.28063146301</v>
      </c>
      <c r="Q94" s="147">
        <f t="shared" si="25"/>
        <v>1766.25665251178</v>
      </c>
      <c r="R94" s="147">
        <f t="shared" si="25"/>
        <v>1766.25665251178</v>
      </c>
      <c r="S94" s="147">
        <f t="shared" si="25"/>
        <v>1595.32858936548</v>
      </c>
      <c r="T94" s="147">
        <f t="shared" si="25"/>
        <v>1766.25665251178</v>
      </c>
      <c r="U94" s="316">
        <f t="shared" si="25"/>
        <v>20796.2476828</v>
      </c>
    </row>
    <row r="95" ht="15" spans="3:21">
      <c r="C95" s="663" t="s">
        <v>396</v>
      </c>
      <c r="D95" s="676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</row>
    <row r="96" spans="3:21">
      <c r="C96" s="55" t="s">
        <v>397</v>
      </c>
      <c r="D96" s="55" t="s">
        <v>397</v>
      </c>
      <c r="E96" s="55">
        <v>500</v>
      </c>
      <c r="F96" s="55"/>
      <c r="G96" s="55">
        <v>269.45</v>
      </c>
      <c r="H96" s="147">
        <f>G96*0.7055</f>
        <v>190.096975</v>
      </c>
      <c r="I96" s="147">
        <f>H96*0.85*30*24/1000</f>
        <v>116.3393487</v>
      </c>
      <c r="J96" s="147">
        <f>H96*0.85*31*24/1000</f>
        <v>120.21732699</v>
      </c>
      <c r="K96" s="147">
        <f>H96*0.85*30*24/1000</f>
        <v>116.3393487</v>
      </c>
      <c r="L96" s="147">
        <f>H96*0.85*31*24/1000</f>
        <v>120.21732699</v>
      </c>
      <c r="M96" s="147">
        <f>H96*0.85*31*24/1000</f>
        <v>120.21732699</v>
      </c>
      <c r="N96" s="147">
        <f>H96*0.85*30*24/1000</f>
        <v>116.3393487</v>
      </c>
      <c r="O96" s="147">
        <f>H96*0.85*31*24/1000</f>
        <v>120.21732699</v>
      </c>
      <c r="P96" s="147">
        <f>H96*0.85*30*24/1000</f>
        <v>116.3393487</v>
      </c>
      <c r="Q96" s="147">
        <f>H96*0.85*31*24/1000</f>
        <v>120.21732699</v>
      </c>
      <c r="R96" s="147">
        <f>H96*0.85*31*24/1000</f>
        <v>120.21732699</v>
      </c>
      <c r="S96" s="147">
        <f>H96*0.85*28*24/1000</f>
        <v>108.58339212</v>
      </c>
      <c r="T96" s="147">
        <f>H96*0.85*31*24/1000</f>
        <v>120.21732699</v>
      </c>
      <c r="U96" s="147">
        <f t="shared" ref="U96:U102" si="26">+SUM(I96:T96)</f>
        <v>1415.46207585</v>
      </c>
    </row>
    <row r="97" spans="3:21">
      <c r="C97" s="55" t="s">
        <v>398</v>
      </c>
      <c r="D97" s="55" t="s">
        <v>398</v>
      </c>
      <c r="E97" s="55">
        <v>570</v>
      </c>
      <c r="F97" s="55"/>
      <c r="G97" s="55">
        <v>570</v>
      </c>
      <c r="H97" s="147">
        <v>0</v>
      </c>
      <c r="I97" s="147">
        <v>0</v>
      </c>
      <c r="J97" s="147">
        <v>0</v>
      </c>
      <c r="K97" s="147">
        <v>0</v>
      </c>
      <c r="L97" s="147">
        <v>0</v>
      </c>
      <c r="M97" s="147">
        <v>0</v>
      </c>
      <c r="N97" s="147">
        <v>0</v>
      </c>
      <c r="O97" s="147">
        <v>0</v>
      </c>
      <c r="P97" s="147">
        <v>0</v>
      </c>
      <c r="Q97" s="147">
        <v>0</v>
      </c>
      <c r="R97" s="147">
        <v>0</v>
      </c>
      <c r="S97" s="147">
        <v>0</v>
      </c>
      <c r="T97" s="147">
        <v>0</v>
      </c>
      <c r="U97" s="147">
        <f t="shared" si="26"/>
        <v>0</v>
      </c>
    </row>
    <row r="98" spans="3:21">
      <c r="C98" s="55"/>
      <c r="D98" s="55"/>
      <c r="E98" s="55"/>
      <c r="F98" s="55"/>
      <c r="G98" s="55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>
        <f t="shared" si="26"/>
        <v>0</v>
      </c>
    </row>
    <row r="99" spans="3:21">
      <c r="C99" s="55"/>
      <c r="D99" s="55"/>
      <c r="E99" s="55"/>
      <c r="F99" s="55"/>
      <c r="G99" s="55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>
        <f t="shared" si="26"/>
        <v>0</v>
      </c>
    </row>
    <row r="100" spans="3:21">
      <c r="C100" s="55"/>
      <c r="D100" s="55"/>
      <c r="E100" s="55"/>
      <c r="F100" s="55"/>
      <c r="G100" s="55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>
        <f t="shared" si="26"/>
        <v>0</v>
      </c>
    </row>
    <row r="101" spans="3:21">
      <c r="C101" s="55"/>
      <c r="D101" s="55"/>
      <c r="E101" s="55"/>
      <c r="F101" s="55"/>
      <c r="G101" s="55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>
        <f t="shared" si="26"/>
        <v>0</v>
      </c>
    </row>
    <row r="102" spans="3:21">
      <c r="C102" s="55"/>
      <c r="D102" s="55"/>
      <c r="E102" s="55"/>
      <c r="F102" s="55"/>
      <c r="G102" s="55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>
        <f t="shared" si="26"/>
        <v>0</v>
      </c>
    </row>
    <row r="103" ht="15" spans="3:21">
      <c r="C103" s="44" t="s">
        <v>399</v>
      </c>
      <c r="D103" s="45"/>
      <c r="E103" s="55">
        <f t="shared" ref="E103:T103" si="27">SUM(E96:E102)</f>
        <v>1070</v>
      </c>
      <c r="F103" s="55">
        <f t="shared" si="27"/>
        <v>0</v>
      </c>
      <c r="G103" s="55">
        <f t="shared" si="27"/>
        <v>839.45</v>
      </c>
      <c r="H103" s="147">
        <f t="shared" si="27"/>
        <v>190.096975</v>
      </c>
      <c r="I103" s="147">
        <f t="shared" si="27"/>
        <v>116.3393487</v>
      </c>
      <c r="J103" s="147">
        <f t="shared" si="27"/>
        <v>120.21732699</v>
      </c>
      <c r="K103" s="147">
        <f t="shared" si="27"/>
        <v>116.3393487</v>
      </c>
      <c r="L103" s="147">
        <f t="shared" si="27"/>
        <v>120.21732699</v>
      </c>
      <c r="M103" s="147">
        <f t="shared" si="27"/>
        <v>120.21732699</v>
      </c>
      <c r="N103" s="147">
        <f t="shared" si="27"/>
        <v>116.3393487</v>
      </c>
      <c r="O103" s="147">
        <f t="shared" si="27"/>
        <v>120.21732699</v>
      </c>
      <c r="P103" s="147">
        <f t="shared" si="27"/>
        <v>116.3393487</v>
      </c>
      <c r="Q103" s="147">
        <f t="shared" si="27"/>
        <v>120.21732699</v>
      </c>
      <c r="R103" s="147">
        <f t="shared" si="27"/>
        <v>120.21732699</v>
      </c>
      <c r="S103" s="147">
        <f t="shared" si="27"/>
        <v>108.58339212</v>
      </c>
      <c r="T103" s="147">
        <f t="shared" si="27"/>
        <v>120.21732699</v>
      </c>
      <c r="U103" s="316">
        <f>SUM(I103:T103)</f>
        <v>1415.46207585</v>
      </c>
    </row>
    <row r="104" ht="15" spans="3:21">
      <c r="C104" s="663" t="s">
        <v>400</v>
      </c>
      <c r="D104" s="676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</row>
    <row r="105" spans="3:21">
      <c r="C105" s="55" t="s">
        <v>401</v>
      </c>
      <c r="D105" s="55" t="s">
        <v>401</v>
      </c>
      <c r="E105" s="55">
        <v>2000</v>
      </c>
      <c r="F105" s="55"/>
      <c r="G105" s="55">
        <f>E105</f>
        <v>2000</v>
      </c>
      <c r="H105" s="147">
        <f>G105*0.7055</f>
        <v>1411</v>
      </c>
      <c r="I105" s="147">
        <f>H105*0.85*30*24/1000</f>
        <v>863.532</v>
      </c>
      <c r="J105" s="147">
        <f>H105*0.85*31*24/1000</f>
        <v>892.3164</v>
      </c>
      <c r="K105" s="147">
        <f>H105*0.85*30*24/1000</f>
        <v>863.532</v>
      </c>
      <c r="L105" s="147">
        <f>H105*0.85*31*24/1000</f>
        <v>892.3164</v>
      </c>
      <c r="M105" s="147">
        <f>H105*0.85*31*24/1000</f>
        <v>892.3164</v>
      </c>
      <c r="N105" s="147">
        <f>H105*0.85*30*24/1000</f>
        <v>863.532</v>
      </c>
      <c r="O105" s="147">
        <f>H105*0.85*31*24/1000</f>
        <v>892.3164</v>
      </c>
      <c r="P105" s="147">
        <f>H105*0.85*30*24/1000</f>
        <v>863.532</v>
      </c>
      <c r="Q105" s="147">
        <f>H105*0.85*31*24/1000</f>
        <v>892.3164</v>
      </c>
      <c r="R105" s="147">
        <f>H105*0.85*31*24/1000</f>
        <v>892.3164</v>
      </c>
      <c r="S105" s="147">
        <f>H105*0.85*28*24/1000</f>
        <v>805.9632</v>
      </c>
      <c r="T105" s="147">
        <f>H105*0.85*31*24/1000</f>
        <v>892.3164</v>
      </c>
      <c r="U105" s="147">
        <f t="shared" ref="U105:U112" si="28">+SUM(I105:T105)</f>
        <v>10506.306</v>
      </c>
    </row>
    <row r="106" spans="3:21">
      <c r="C106" s="55" t="s">
        <v>402</v>
      </c>
      <c r="D106" s="55" t="s">
        <v>402</v>
      </c>
      <c r="E106" s="55">
        <v>1000</v>
      </c>
      <c r="F106" s="55"/>
      <c r="G106" s="55">
        <v>1000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147">
        <v>0</v>
      </c>
      <c r="R106" s="147">
        <v>0</v>
      </c>
      <c r="S106" s="147">
        <v>0</v>
      </c>
      <c r="T106" s="147">
        <v>0</v>
      </c>
      <c r="U106" s="147">
        <f t="shared" si="28"/>
        <v>0</v>
      </c>
    </row>
    <row r="107" spans="3:21">
      <c r="C107" s="55" t="s">
        <v>403</v>
      </c>
      <c r="D107" s="55" t="s">
        <v>403</v>
      </c>
      <c r="E107" s="55"/>
      <c r="F107" s="55"/>
      <c r="G107" s="55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>
        <f t="shared" si="28"/>
        <v>0</v>
      </c>
    </row>
    <row r="108" spans="3:21">
      <c r="C108" s="55"/>
      <c r="D108" s="55"/>
      <c r="E108" s="55"/>
      <c r="F108" s="55"/>
      <c r="G108" s="55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>
        <f t="shared" si="28"/>
        <v>0</v>
      </c>
    </row>
    <row r="109" spans="3:21">
      <c r="C109" s="55"/>
      <c r="D109" s="55"/>
      <c r="E109" s="55"/>
      <c r="F109" s="55"/>
      <c r="G109" s="55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>
        <f t="shared" si="28"/>
        <v>0</v>
      </c>
    </row>
    <row r="110" spans="3:21">
      <c r="C110" s="55"/>
      <c r="D110" s="55"/>
      <c r="E110" s="55"/>
      <c r="F110" s="55"/>
      <c r="G110" s="55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>
        <f t="shared" si="28"/>
        <v>0</v>
      </c>
    </row>
    <row r="111" spans="3:21">
      <c r="C111" s="55"/>
      <c r="D111" s="55"/>
      <c r="E111" s="55"/>
      <c r="F111" s="55"/>
      <c r="G111" s="55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>
        <f t="shared" si="28"/>
        <v>0</v>
      </c>
    </row>
    <row r="112" spans="3:21">
      <c r="C112" s="55"/>
      <c r="D112" s="55"/>
      <c r="E112" s="55"/>
      <c r="F112" s="55"/>
      <c r="G112" s="55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>
        <f t="shared" si="28"/>
        <v>0</v>
      </c>
    </row>
    <row r="113" ht="15" spans="3:21">
      <c r="C113" s="44" t="s">
        <v>404</v>
      </c>
      <c r="D113" s="45"/>
      <c r="E113" s="55">
        <f t="shared" ref="E113:T113" si="29">SUM(E105:E112)</f>
        <v>3000</v>
      </c>
      <c r="F113" s="55">
        <f t="shared" si="29"/>
        <v>0</v>
      </c>
      <c r="G113" s="55">
        <f t="shared" si="29"/>
        <v>3000</v>
      </c>
      <c r="H113" s="147">
        <f t="shared" si="29"/>
        <v>1411</v>
      </c>
      <c r="I113" s="147">
        <f t="shared" si="29"/>
        <v>863.532</v>
      </c>
      <c r="J113" s="147">
        <f t="shared" si="29"/>
        <v>892.3164</v>
      </c>
      <c r="K113" s="147">
        <f t="shared" si="29"/>
        <v>863.532</v>
      </c>
      <c r="L113" s="147">
        <f t="shared" si="29"/>
        <v>892.3164</v>
      </c>
      <c r="M113" s="147">
        <f t="shared" si="29"/>
        <v>892.3164</v>
      </c>
      <c r="N113" s="147">
        <f t="shared" si="29"/>
        <v>863.532</v>
      </c>
      <c r="O113" s="147">
        <f t="shared" si="29"/>
        <v>892.3164</v>
      </c>
      <c r="P113" s="147">
        <f t="shared" si="29"/>
        <v>863.532</v>
      </c>
      <c r="Q113" s="147">
        <f t="shared" si="29"/>
        <v>892.3164</v>
      </c>
      <c r="R113" s="147">
        <f t="shared" si="29"/>
        <v>892.3164</v>
      </c>
      <c r="S113" s="147">
        <f t="shared" si="29"/>
        <v>805.9632</v>
      </c>
      <c r="T113" s="147">
        <f t="shared" si="29"/>
        <v>892.3164</v>
      </c>
      <c r="U113" s="316">
        <f>SUM(I113:T113)</f>
        <v>10506.306</v>
      </c>
    </row>
    <row r="114" ht="15" spans="3:21">
      <c r="C114" s="663" t="s">
        <v>405</v>
      </c>
      <c r="D114" s="676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</row>
    <row r="115" spans="3:21">
      <c r="C115" s="55"/>
      <c r="D115" s="55" t="s">
        <v>406</v>
      </c>
      <c r="E115" s="146">
        <f>'[43]F9-Year(n)'!E114</f>
        <v>12</v>
      </c>
      <c r="F115" s="55"/>
      <c r="G115" s="146">
        <f>'[43]F9-Year(n)'!G114</f>
        <v>12</v>
      </c>
      <c r="H115" s="147">
        <f t="shared" ref="H115:H125" si="30">G115*0.7055</f>
        <v>8.466</v>
      </c>
      <c r="I115" s="147">
        <f>'F11-Year(n+4)'!E115</f>
        <v>0.0324651300743771</v>
      </c>
      <c r="J115" s="147">
        <f>'F11-Year(n+4)'!F115</f>
        <v>0.0324651300743771</v>
      </c>
      <c r="K115" s="147">
        <f>'F11-Year(n+4)'!G115</f>
        <v>0.0324651300743771</v>
      </c>
      <c r="L115" s="147">
        <f>'F11-Year(n+4)'!H115</f>
        <v>0.0324651300743771</v>
      </c>
      <c r="M115" s="147">
        <f>'F11-Year(n+4)'!I115</f>
        <v>0.0324651300743771</v>
      </c>
      <c r="N115" s="147">
        <f>'F11-Year(n+4)'!J115</f>
        <v>0.0324651300743771</v>
      </c>
      <c r="O115" s="147">
        <f>'F11-Year(n+4)'!K115</f>
        <v>0.0324651300743771</v>
      </c>
      <c r="P115" s="147">
        <f>'F11-Year(n+4)'!L115</f>
        <v>0.0324651300743771</v>
      </c>
      <c r="Q115" s="147">
        <f>'F11-Year(n+4)'!M115</f>
        <v>0.0324651300743771</v>
      </c>
      <c r="R115" s="147">
        <f>'F11-Year(n+4)'!N115</f>
        <v>0.0324651300743771</v>
      </c>
      <c r="S115" s="147">
        <f>'F11-Year(n+4)'!O115</f>
        <v>0.0324651300743771</v>
      </c>
      <c r="T115" s="147">
        <f>'F11-Year(n+4)'!P115</f>
        <v>0.0324651300743771</v>
      </c>
      <c r="U115" s="55">
        <f t="shared" ref="U115:U138" si="31">+SUM(I115:T115)</f>
        <v>0.389581560892525</v>
      </c>
    </row>
    <row r="116" spans="3:21">
      <c r="C116" s="55"/>
      <c r="D116" s="55" t="s">
        <v>407</v>
      </c>
      <c r="E116" s="146">
        <f>'[43]F9-Year(n)'!E115</f>
        <v>46.7</v>
      </c>
      <c r="F116" s="55"/>
      <c r="G116" s="146">
        <f>'[43]F9-Year(n)'!G115</f>
        <v>46.7</v>
      </c>
      <c r="H116" s="147">
        <f t="shared" si="30"/>
        <v>32.94685</v>
      </c>
      <c r="I116" s="147">
        <f>'F11-Year(n+4)'!E116</f>
        <v>0</v>
      </c>
      <c r="J116" s="147">
        <f>'F11-Year(n+4)'!F116</f>
        <v>0</v>
      </c>
      <c r="K116" s="147">
        <f>'F11-Year(n+4)'!G116</f>
        <v>0</v>
      </c>
      <c r="L116" s="147">
        <f>'F11-Year(n+4)'!H116</f>
        <v>0</v>
      </c>
      <c r="M116" s="147">
        <f>'F11-Year(n+4)'!I116</f>
        <v>0</v>
      </c>
      <c r="N116" s="147">
        <f>'F11-Year(n+4)'!J116</f>
        <v>0</v>
      </c>
      <c r="O116" s="147">
        <f>'F11-Year(n+4)'!K116</f>
        <v>0</v>
      </c>
      <c r="P116" s="147">
        <f>'F11-Year(n+4)'!L116</f>
        <v>0</v>
      </c>
      <c r="Q116" s="147">
        <f>'F11-Year(n+4)'!M116</f>
        <v>0</v>
      </c>
      <c r="R116" s="147">
        <f>'F11-Year(n+4)'!N116</f>
        <v>0</v>
      </c>
      <c r="S116" s="147">
        <f>'F11-Year(n+4)'!O116</f>
        <v>0</v>
      </c>
      <c r="T116" s="147">
        <f>'F11-Year(n+4)'!P116</f>
        <v>0</v>
      </c>
      <c r="U116" s="55">
        <f t="shared" si="31"/>
        <v>0</v>
      </c>
    </row>
    <row r="117" spans="3:21">
      <c r="C117" s="55"/>
      <c r="D117" s="55" t="s">
        <v>408</v>
      </c>
      <c r="E117" s="146">
        <f>'[43]F9-Year(n)'!E116</f>
        <v>19.8</v>
      </c>
      <c r="F117" s="55"/>
      <c r="G117" s="146">
        <f>'[43]F9-Year(n)'!G116</f>
        <v>19.8</v>
      </c>
      <c r="H117" s="147">
        <f t="shared" si="30"/>
        <v>13.9689</v>
      </c>
      <c r="I117" s="147">
        <f>'F11-Year(n+4)'!E117</f>
        <v>8.15888271753782</v>
      </c>
      <c r="J117" s="147">
        <f>'F11-Year(n+4)'!F117</f>
        <v>5.73685144293608</v>
      </c>
      <c r="K117" s="147">
        <f>'F11-Year(n+4)'!G117</f>
        <v>4.76987925824405</v>
      </c>
      <c r="L117" s="147">
        <f>'F11-Year(n+4)'!H117</f>
        <v>6.73515847710255</v>
      </c>
      <c r="M117" s="147">
        <f>'F11-Year(n+4)'!I117</f>
        <v>6.73515847710255</v>
      </c>
      <c r="N117" s="147">
        <f>'F11-Year(n+4)'!J117</f>
        <v>4.80119869461006</v>
      </c>
      <c r="O117" s="147">
        <f>'F11-Year(n+4)'!K117</f>
        <v>6.73515847710255</v>
      </c>
      <c r="P117" s="147">
        <f>'F11-Year(n+4)'!L117</f>
        <v>6.3284656287465</v>
      </c>
      <c r="Q117" s="147">
        <f>'F11-Year(n+4)'!M117</f>
        <v>10.3282109414344</v>
      </c>
      <c r="R117" s="147">
        <f>'F11-Year(n+4)'!N117</f>
        <v>10.5007915167249</v>
      </c>
      <c r="S117" s="147">
        <f>'F11-Year(n+4)'!O117</f>
        <v>11.4713942224139</v>
      </c>
      <c r="T117" s="147">
        <f>'F11-Year(n+4)'!P117</f>
        <v>11.1226744786754</v>
      </c>
      <c r="U117" s="55">
        <f t="shared" si="31"/>
        <v>93.4238243326308</v>
      </c>
    </row>
    <row r="118" spans="3:21">
      <c r="C118" s="55"/>
      <c r="D118" s="55" t="s">
        <v>409</v>
      </c>
      <c r="E118" s="146">
        <f>'[43]F9-Year(n)'!E117</f>
        <v>15</v>
      </c>
      <c r="F118" s="55"/>
      <c r="G118" s="146">
        <f>'[43]F9-Year(n)'!G117</f>
        <v>15</v>
      </c>
      <c r="H118" s="147">
        <f t="shared" si="30"/>
        <v>10.5825</v>
      </c>
      <c r="I118" s="147">
        <f>'F11-Year(n+4)'!E118</f>
        <v>3.47285019191451</v>
      </c>
      <c r="J118" s="147">
        <f>'F11-Year(n+4)'!F118</f>
        <v>2.44190611929742</v>
      </c>
      <c r="K118" s="147">
        <f>'F11-Year(n+4)'!G118</f>
        <v>2.03031182955905</v>
      </c>
      <c r="L118" s="147">
        <f>'F11-Year(n+4)'!H118</f>
        <v>2.86683817129791</v>
      </c>
      <c r="M118" s="147">
        <f>'F11-Year(n+4)'!I118</f>
        <v>2.86683817129791</v>
      </c>
      <c r="N118" s="147">
        <f>'F11-Year(n+4)'!J118</f>
        <v>2.04364303119043</v>
      </c>
      <c r="O118" s="147">
        <f>'F11-Year(n+4)'!K118</f>
        <v>2.86683817129791</v>
      </c>
      <c r="P118" s="147">
        <f>'F11-Year(n+4)'!L118</f>
        <v>2.69372827557314</v>
      </c>
      <c r="Q118" s="147">
        <f>'F11-Year(n+4)'!M118</f>
        <v>4.39623053693294</v>
      </c>
      <c r="R118" s="147">
        <f>'F11-Year(n+4)'!N118</f>
        <v>4.46968991915077</v>
      </c>
      <c r="S118" s="147">
        <f>'F11-Year(n+4)'!O118</f>
        <v>4.88282954983567</v>
      </c>
      <c r="T118" s="147">
        <f>'F11-Year(n+4)'!P118</f>
        <v>4.73439606073018</v>
      </c>
      <c r="U118" s="55">
        <f t="shared" si="31"/>
        <v>39.7661000280778</v>
      </c>
    </row>
    <row r="119" spans="3:21">
      <c r="C119" s="55"/>
      <c r="D119" s="55" t="s">
        <v>410</v>
      </c>
      <c r="E119" s="146">
        <f>'[43]F9-Year(n)'!E118</f>
        <v>128.1</v>
      </c>
      <c r="F119" s="55"/>
      <c r="G119" s="146">
        <f>'[43]F9-Year(n)'!G118</f>
        <v>128.1</v>
      </c>
      <c r="H119" s="147">
        <f t="shared" si="30"/>
        <v>90.37455</v>
      </c>
      <c r="I119" s="147">
        <f>'F11-Year(n+4)'!E119</f>
        <v>17.5103372280807</v>
      </c>
      <c r="J119" s="147">
        <f>'F11-Year(n+4)'!F119</f>
        <v>15.0157460964238</v>
      </c>
      <c r="K119" s="147">
        <f>'F11-Year(n+4)'!G119</f>
        <v>35.7173981659134</v>
      </c>
      <c r="L119" s="147">
        <f>'F11-Year(n+4)'!H119</f>
        <v>51.9531645373411</v>
      </c>
      <c r="M119" s="147">
        <f>'F11-Year(n+4)'!I119</f>
        <v>28.3497929465179</v>
      </c>
      <c r="N119" s="147">
        <f>'F11-Year(n+4)'!J119</f>
        <v>20.847607749372</v>
      </c>
      <c r="O119" s="147">
        <f>'F11-Year(n+4)'!K119</f>
        <v>12.6425996209088</v>
      </c>
      <c r="P119" s="147">
        <f>'F11-Year(n+4)'!L119</f>
        <v>17.5552503262971</v>
      </c>
      <c r="Q119" s="147">
        <f>'F11-Year(n+4)'!M119</f>
        <v>20.0738959317763</v>
      </c>
      <c r="R119" s="147">
        <f>'F11-Year(n+4)'!N119</f>
        <v>19.4142074562852</v>
      </c>
      <c r="S119" s="147">
        <f>'F11-Year(n+4)'!O119</f>
        <v>13.3112621557321</v>
      </c>
      <c r="T119" s="147">
        <f>'F11-Year(n+4)'!P119</f>
        <v>17.2878856582352</v>
      </c>
      <c r="U119" s="55">
        <f t="shared" si="31"/>
        <v>269.679147872883</v>
      </c>
    </row>
    <row r="120" spans="3:21">
      <c r="C120" s="55"/>
      <c r="D120" s="55" t="s">
        <v>368</v>
      </c>
      <c r="E120" s="146">
        <f>'[43]F9-Year(n)'!E119</f>
        <v>3.55</v>
      </c>
      <c r="F120" s="55"/>
      <c r="G120" s="146">
        <f>'[43]F9-Year(n)'!G119</f>
        <v>3.55</v>
      </c>
      <c r="H120" s="147">
        <f t="shared" si="30"/>
        <v>2.504525</v>
      </c>
      <c r="I120" s="147">
        <f>'F11-Year(n+4)'!E120</f>
        <v>0.00786650134380714</v>
      </c>
      <c r="J120" s="147">
        <f>'F11-Year(n+4)'!F120</f>
        <v>0.00786650134380714</v>
      </c>
      <c r="K120" s="147">
        <f>'F11-Year(n+4)'!G120</f>
        <v>0.00786650134380714</v>
      </c>
      <c r="L120" s="147">
        <f>'F11-Year(n+4)'!H120</f>
        <v>0.00786650134380714</v>
      </c>
      <c r="M120" s="147">
        <f>'F11-Year(n+4)'!I120</f>
        <v>0.00786650134380714</v>
      </c>
      <c r="N120" s="147">
        <f>'F11-Year(n+4)'!J120</f>
        <v>0.00786650134380714</v>
      </c>
      <c r="O120" s="147">
        <f>'F11-Year(n+4)'!K120</f>
        <v>0.00786650134380714</v>
      </c>
      <c r="P120" s="147">
        <f>'F11-Year(n+4)'!L120</f>
        <v>0.00786650134380714</v>
      </c>
      <c r="Q120" s="147">
        <f>'F11-Year(n+4)'!M120</f>
        <v>0.00786650134380714</v>
      </c>
      <c r="R120" s="147">
        <f>'F11-Year(n+4)'!N120</f>
        <v>0.00786650134380714</v>
      </c>
      <c r="S120" s="147">
        <f>'F11-Year(n+4)'!O120</f>
        <v>0.00786650134380714</v>
      </c>
      <c r="T120" s="147">
        <f>'F11-Year(n+4)'!P120</f>
        <v>0.00786650134380714</v>
      </c>
      <c r="U120" s="55">
        <f t="shared" si="31"/>
        <v>0.0943980161256857</v>
      </c>
    </row>
    <row r="121" spans="3:21">
      <c r="C121" s="55"/>
      <c r="D121" s="55" t="s">
        <v>411</v>
      </c>
      <c r="E121" s="146">
        <f>'[43]F9-Year(n)'!E120</f>
        <v>2833.74</v>
      </c>
      <c r="F121" s="55"/>
      <c r="G121" s="146">
        <f>'[43]F9-Year(n)'!G120</f>
        <v>2833.74</v>
      </c>
      <c r="H121" s="147">
        <f t="shared" si="30"/>
        <v>1999.20357</v>
      </c>
      <c r="I121" s="147">
        <f>'F11-Year(n+4)'!E121</f>
        <v>499.092191944266</v>
      </c>
      <c r="J121" s="147">
        <f>'F11-Year(n+4)'!F121</f>
        <v>514.643576856681</v>
      </c>
      <c r="K121" s="147">
        <f>'F11-Year(n+4)'!G121</f>
        <v>481.835429816608</v>
      </c>
      <c r="L121" s="147">
        <f>'F11-Year(n+4)'!H121</f>
        <v>377.379957848974</v>
      </c>
      <c r="M121" s="147">
        <f>'F11-Year(n+4)'!I121</f>
        <v>464.150737540435</v>
      </c>
      <c r="N121" s="147">
        <f>'F11-Year(n+4)'!J121</f>
        <v>409.133911943258</v>
      </c>
      <c r="O121" s="147">
        <f>'F11-Year(n+4)'!K121</f>
        <v>501.5888253972</v>
      </c>
      <c r="P121" s="147">
        <f>'F11-Year(n+4)'!L121</f>
        <v>386.760762562047</v>
      </c>
      <c r="Q121" s="147">
        <f>'F11-Year(n+4)'!M121</f>
        <v>423.974982280554</v>
      </c>
      <c r="R121" s="147">
        <f>'F11-Year(n+4)'!N121</f>
        <v>452.019431361151</v>
      </c>
      <c r="S121" s="147">
        <f>'F11-Year(n+4)'!O121</f>
        <v>480.539354172521</v>
      </c>
      <c r="T121" s="147">
        <f>'F11-Year(n+4)'!P121</f>
        <v>497.505320795475</v>
      </c>
      <c r="U121" s="55">
        <f t="shared" si="31"/>
        <v>5488.62448251917</v>
      </c>
    </row>
    <row r="122" spans="3:21">
      <c r="C122" s="55"/>
      <c r="D122" s="55" t="s">
        <v>412</v>
      </c>
      <c r="E122" s="146">
        <f>'[43]F9-Year(n)'!E121</f>
        <v>55.81</v>
      </c>
      <c r="F122" s="55"/>
      <c r="G122" s="146">
        <f>'[43]F9-Year(n)'!G121</f>
        <v>55.81</v>
      </c>
      <c r="H122" s="147">
        <f t="shared" si="30"/>
        <v>39.373955</v>
      </c>
      <c r="I122" s="147">
        <f>'F11-Year(n+4)'!E122</f>
        <v>8.22262870902295</v>
      </c>
      <c r="J122" s="147">
        <f>'F11-Year(n+4)'!F122</f>
        <v>8.47884041922372</v>
      </c>
      <c r="K122" s="147">
        <f>'F11-Year(n+4)'!G122</f>
        <v>7.93832061928327</v>
      </c>
      <c r="L122" s="147">
        <f>'F11-Year(n+4)'!H122</f>
        <v>6.21739896096264</v>
      </c>
      <c r="M122" s="147">
        <f>'F11-Year(n+4)'!I122</f>
        <v>7.64696230759778</v>
      </c>
      <c r="N122" s="147">
        <f>'F11-Year(n+4)'!J122</f>
        <v>6.74055075290614</v>
      </c>
      <c r="O122" s="147">
        <f>'F11-Year(n+4)'!K122</f>
        <v>8.26376116959306</v>
      </c>
      <c r="P122" s="147">
        <f>'F11-Year(n+4)'!L122</f>
        <v>6.3719493133674</v>
      </c>
      <c r="Q122" s="147">
        <f>'F11-Year(n+4)'!M122</f>
        <v>6.98505990972683</v>
      </c>
      <c r="R122" s="147">
        <f>'F11-Year(n+4)'!N122</f>
        <v>7.44709697594605</v>
      </c>
      <c r="S122" s="147">
        <f>'F11-Year(n+4)'!O122</f>
        <v>7.9169675527113</v>
      </c>
      <c r="T122" s="147">
        <f>'F11-Year(n+4)'!P122</f>
        <v>8.19648473707512</v>
      </c>
      <c r="U122" s="55">
        <f t="shared" si="31"/>
        <v>90.4260214274163</v>
      </c>
    </row>
    <row r="123" spans="3:21">
      <c r="C123" s="55"/>
      <c r="D123" s="55" t="s">
        <v>413</v>
      </c>
      <c r="E123" s="146">
        <f>'[43]F9-Year(n)'!E122</f>
        <v>400</v>
      </c>
      <c r="F123" s="55"/>
      <c r="G123" s="146">
        <f>'[43]F9-Year(n)'!G122</f>
        <v>400</v>
      </c>
      <c r="H123" s="147">
        <f t="shared" si="30"/>
        <v>282.2</v>
      </c>
      <c r="I123" s="147">
        <f>'F11-Year(n+4)'!E123</f>
        <v>71.7953533937586</v>
      </c>
      <c r="J123" s="147">
        <f>'F11-Year(n+4)'!F123</f>
        <v>74.0324494525041</v>
      </c>
      <c r="K123" s="147">
        <f>'F11-Year(n+4)'!G123</f>
        <v>69.3129356052518</v>
      </c>
      <c r="L123" s="147">
        <f>'F11-Year(n+4)'!H123</f>
        <v>54.2868188980092</v>
      </c>
      <c r="M123" s="147">
        <f>'F11-Year(n+4)'!I123</f>
        <v>66.7689592575524</v>
      </c>
      <c r="N123" s="147">
        <f>'F11-Year(n+4)'!J123</f>
        <v>58.8546851011792</v>
      </c>
      <c r="O123" s="147">
        <f>'F11-Year(n+4)'!K123</f>
        <v>72.1544988260879</v>
      </c>
      <c r="P123" s="147">
        <f>'F11-Year(n+4)'!L123</f>
        <v>55.6362653537215</v>
      </c>
      <c r="Q123" s="147">
        <f>'F11-Year(n+4)'!M123</f>
        <v>60.9896010682213</v>
      </c>
      <c r="R123" s="147">
        <f>'F11-Year(n+4)'!N123</f>
        <v>65.0238479768557</v>
      </c>
      <c r="S123" s="147">
        <f>'F11-Year(n+4)'!O123</f>
        <v>69.1264926786859</v>
      </c>
      <c r="T123" s="147">
        <f>'F11-Year(n+4)'!P123</f>
        <v>71.5670789852289</v>
      </c>
      <c r="U123" s="55">
        <f t="shared" si="31"/>
        <v>789.548986597057</v>
      </c>
    </row>
    <row r="124" spans="3:21">
      <c r="C124" s="55"/>
      <c r="D124" s="55" t="s">
        <v>414</v>
      </c>
      <c r="E124" s="146">
        <f>'[43]F9-Year(n)'!E123</f>
        <v>400</v>
      </c>
      <c r="F124" s="55"/>
      <c r="G124" s="146">
        <f>'[43]F9-Year(n)'!G123</f>
        <v>400</v>
      </c>
      <c r="H124" s="147">
        <f t="shared" si="30"/>
        <v>282.2</v>
      </c>
      <c r="I124" s="147">
        <f>'F11-Year(n+4)'!E124</f>
        <v>71.7953533937586</v>
      </c>
      <c r="J124" s="147">
        <f>'F11-Year(n+4)'!F124</f>
        <v>74.0324494525041</v>
      </c>
      <c r="K124" s="147">
        <f>'F11-Year(n+4)'!G124</f>
        <v>69.3129356052518</v>
      </c>
      <c r="L124" s="147">
        <f>'F11-Year(n+4)'!H124</f>
        <v>54.2868188980092</v>
      </c>
      <c r="M124" s="147">
        <f>'F11-Year(n+4)'!I124</f>
        <v>66.7689592575524</v>
      </c>
      <c r="N124" s="147">
        <f>'F11-Year(n+4)'!J124</f>
        <v>58.8546851011792</v>
      </c>
      <c r="O124" s="147">
        <f>'F11-Year(n+4)'!K124</f>
        <v>72.1544988260879</v>
      </c>
      <c r="P124" s="147">
        <f>'F11-Year(n+4)'!L124</f>
        <v>55.6362653537215</v>
      </c>
      <c r="Q124" s="147">
        <f>'F11-Year(n+4)'!M124</f>
        <v>60.9896010682213</v>
      </c>
      <c r="R124" s="147">
        <f>'F11-Year(n+4)'!N124</f>
        <v>65.0238479768557</v>
      </c>
      <c r="S124" s="147">
        <f>'F11-Year(n+4)'!O124</f>
        <v>69.1264926786859</v>
      </c>
      <c r="T124" s="147">
        <f>'F11-Year(n+4)'!P124</f>
        <v>71.5670789852289</v>
      </c>
      <c r="U124" s="55">
        <f t="shared" si="31"/>
        <v>789.548986597057</v>
      </c>
    </row>
    <row r="125" spans="3:21">
      <c r="C125" s="55"/>
      <c r="D125" s="55" t="s">
        <v>415</v>
      </c>
      <c r="E125" s="146">
        <f>'[43]F9-Year(n)'!E124</f>
        <v>735</v>
      </c>
      <c r="F125" s="55"/>
      <c r="G125" s="146">
        <f>'[43]F9-Year(n)'!G124</f>
        <v>735</v>
      </c>
      <c r="H125" s="147">
        <f t="shared" si="30"/>
        <v>518.5425</v>
      </c>
      <c r="I125" s="147">
        <f>'F11-Year(n+4)'!E125</f>
        <v>277.309552483393</v>
      </c>
      <c r="J125" s="147">
        <f>'F11-Year(n+4)'!F125</f>
        <v>285.950336010297</v>
      </c>
      <c r="K125" s="147">
        <f>'F11-Year(n+4)'!G125</f>
        <v>267.721213775285</v>
      </c>
      <c r="L125" s="147">
        <f>'F11-Year(n+4)'!H125</f>
        <v>209.68283799356</v>
      </c>
      <c r="M125" s="147">
        <f>'F11-Year(n+4)'!I125</f>
        <v>257.895105132296</v>
      </c>
      <c r="N125" s="147">
        <f>'F11-Year(n+4)'!J125</f>
        <v>227.326221203305</v>
      </c>
      <c r="O125" s="147">
        <f>'F11-Year(n+4)'!K125</f>
        <v>278.696751715765</v>
      </c>
      <c r="P125" s="147">
        <f>'F11-Year(n+4)'!L125</f>
        <v>214.895074928749</v>
      </c>
      <c r="Q125" s="147">
        <f>'F11-Year(n+4)'!M125</f>
        <v>235.572334126005</v>
      </c>
      <c r="R125" s="147">
        <f>'F11-Year(n+4)'!N125</f>
        <v>251.154612810605</v>
      </c>
      <c r="S125" s="147">
        <f>'F11-Year(n+4)'!O125</f>
        <v>267.001077971424</v>
      </c>
      <c r="T125" s="147">
        <f>'F11-Year(n+4)'!P125</f>
        <v>276.427842580447</v>
      </c>
      <c r="U125" s="55">
        <f t="shared" si="31"/>
        <v>3049.63296073113</v>
      </c>
    </row>
    <row r="126" spans="3:21">
      <c r="C126" s="55"/>
      <c r="D126" s="55" t="s">
        <v>416</v>
      </c>
      <c r="E126" s="146"/>
      <c r="F126" s="55"/>
      <c r="G126" s="146"/>
      <c r="H126" s="147"/>
      <c r="I126" s="147">
        <f>'F11-Year(n+4)'!E126</f>
        <v>0</v>
      </c>
      <c r="J126" s="147">
        <f>'F11-Year(n+4)'!F126</f>
        <v>0</v>
      </c>
      <c r="K126" s="147">
        <f>'F11-Year(n+4)'!G126</f>
        <v>0</v>
      </c>
      <c r="L126" s="147">
        <f>'F11-Year(n+4)'!H126</f>
        <v>0</v>
      </c>
      <c r="M126" s="147">
        <f>'F11-Year(n+4)'!I126</f>
        <v>0</v>
      </c>
      <c r="N126" s="147">
        <f>'F11-Year(n+4)'!J126</f>
        <v>0</v>
      </c>
      <c r="O126" s="147">
        <f>'F11-Year(n+4)'!K126</f>
        <v>0</v>
      </c>
      <c r="P126" s="147">
        <f>'F11-Year(n+4)'!L126</f>
        <v>0</v>
      </c>
      <c r="Q126" s="147">
        <f>'F11-Year(n+4)'!M126</f>
        <v>0</v>
      </c>
      <c r="R126" s="147">
        <f>'F11-Year(n+4)'!N126</f>
        <v>0</v>
      </c>
      <c r="S126" s="147">
        <f>'F11-Year(n+4)'!O126</f>
        <v>0</v>
      </c>
      <c r="T126" s="147">
        <f>'F11-Year(n+4)'!P126</f>
        <v>0</v>
      </c>
      <c r="U126" s="55">
        <f t="shared" si="31"/>
        <v>0</v>
      </c>
    </row>
    <row r="127" spans="3:21">
      <c r="C127" s="55"/>
      <c r="D127" s="55" t="s">
        <v>417</v>
      </c>
      <c r="E127" s="146">
        <f>'[43]F9-Year(n)'!E126</f>
        <v>1692</v>
      </c>
      <c r="F127" s="55"/>
      <c r="G127" s="146">
        <f>'[43]F9-Year(n)'!G126</f>
        <v>1692</v>
      </c>
      <c r="H127" s="147">
        <f>G127*0.7055</f>
        <v>1193.706</v>
      </c>
      <c r="I127" s="147">
        <f>'F11-Year(n+4)'!E127</f>
        <v>303.694344855599</v>
      </c>
      <c r="J127" s="147">
        <f>'F11-Year(n+4)'!F127</f>
        <v>313.157261184092</v>
      </c>
      <c r="K127" s="147">
        <f>'F11-Year(n+4)'!G127</f>
        <v>293.193717610215</v>
      </c>
      <c r="L127" s="147">
        <f>'F11-Year(n+4)'!H127</f>
        <v>229.633243938579</v>
      </c>
      <c r="M127" s="147">
        <f>'F11-Year(n+4)'!I127</f>
        <v>282.432697659447</v>
      </c>
      <c r="N127" s="147">
        <f>'F11-Year(n+4)'!J127</f>
        <v>248.955317977988</v>
      </c>
      <c r="O127" s="147">
        <f>'F11-Year(n+4)'!K127</f>
        <v>305.213530034352</v>
      </c>
      <c r="P127" s="147">
        <f>'F11-Year(n+4)'!L127</f>
        <v>235.341402446242</v>
      </c>
      <c r="Q127" s="147">
        <f>'F11-Year(n+4)'!M127</f>
        <v>257.986012518576</v>
      </c>
      <c r="R127" s="147">
        <f>'F11-Year(n+4)'!N127</f>
        <v>275.0508769421</v>
      </c>
      <c r="S127" s="147">
        <f>'F11-Year(n+4)'!O127</f>
        <v>292.405064030841</v>
      </c>
      <c r="T127" s="147">
        <f>'F11-Year(n+4)'!P127</f>
        <v>302.728744107518</v>
      </c>
      <c r="U127" s="55">
        <f t="shared" si="31"/>
        <v>3339.79221330555</v>
      </c>
    </row>
    <row r="128" spans="3:21">
      <c r="C128" s="55"/>
      <c r="D128" s="55" t="s">
        <v>418</v>
      </c>
      <c r="E128" s="146">
        <f>'[43]F9-Year(n)'!E127</f>
        <v>1000</v>
      </c>
      <c r="F128" s="55"/>
      <c r="G128" s="146">
        <f>'[43]F9-Year(n)'!G127</f>
        <v>1000</v>
      </c>
      <c r="H128" s="147">
        <f>G128*0.7055</f>
        <v>705.5</v>
      </c>
      <c r="I128" s="147">
        <f>'F11-Year(n+4)'!E128</f>
        <v>179.488383484396</v>
      </c>
      <c r="J128" s="147">
        <f>'F11-Year(n+4)'!F128</f>
        <v>185.08112363126</v>
      </c>
      <c r="K128" s="147">
        <f>'F11-Year(n+4)'!G128</f>
        <v>173.28233901313</v>
      </c>
      <c r="L128" s="147">
        <f>'F11-Year(n+4)'!H128</f>
        <v>135.717047245023</v>
      </c>
      <c r="M128" s="147">
        <f>'F11-Year(n+4)'!I128</f>
        <v>166.922398143881</v>
      </c>
      <c r="N128" s="147">
        <f>'F11-Year(n+4)'!J128</f>
        <v>147.136712752948</v>
      </c>
      <c r="O128" s="147">
        <f>'F11-Year(n+4)'!K128</f>
        <v>180.38624706522</v>
      </c>
      <c r="P128" s="147">
        <f>'F11-Year(n+4)'!L128</f>
        <v>139.090663384304</v>
      </c>
      <c r="Q128" s="147">
        <f>'F11-Year(n+4)'!M128</f>
        <v>152.474002670553</v>
      </c>
      <c r="R128" s="147">
        <f>'F11-Year(n+4)'!N128</f>
        <v>162.559619942139</v>
      </c>
      <c r="S128" s="147">
        <f>'F11-Year(n+4)'!O128</f>
        <v>172.816231696715</v>
      </c>
      <c r="T128" s="147">
        <f>'F11-Year(n+4)'!P128</f>
        <v>178.917697463072</v>
      </c>
      <c r="U128" s="55">
        <f t="shared" si="31"/>
        <v>1973.87246649264</v>
      </c>
    </row>
    <row r="129" spans="3:21"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>
        <f t="shared" si="31"/>
        <v>0</v>
      </c>
    </row>
    <row r="130" spans="3:21"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>
        <f t="shared" si="31"/>
        <v>0</v>
      </c>
    </row>
    <row r="131" spans="3:21"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>
        <f t="shared" si="31"/>
        <v>0</v>
      </c>
    </row>
    <row r="132" spans="3:21"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>
        <f t="shared" si="31"/>
        <v>0</v>
      </c>
    </row>
    <row r="133" spans="3:21"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>
        <f t="shared" si="31"/>
        <v>0</v>
      </c>
    </row>
    <row r="134" spans="3:21"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>
        <f t="shared" si="31"/>
        <v>0</v>
      </c>
    </row>
    <row r="135" spans="3:21"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>
        <f t="shared" si="31"/>
        <v>0</v>
      </c>
    </row>
    <row r="136" spans="3:21"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>
        <f t="shared" si="31"/>
        <v>0</v>
      </c>
    </row>
    <row r="137" spans="3:21"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>
        <f t="shared" si="31"/>
        <v>0</v>
      </c>
    </row>
    <row r="138" spans="3:21"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>
        <f t="shared" si="31"/>
        <v>0</v>
      </c>
    </row>
    <row r="139" ht="15" spans="3:21">
      <c r="C139" s="44" t="s">
        <v>421</v>
      </c>
      <c r="D139" s="45"/>
      <c r="E139" s="55">
        <f>SUM(E115:E138)</f>
        <v>7341.7</v>
      </c>
      <c r="F139" s="55">
        <f t="shared" ref="F139:T139" si="32">SUM(F115:F138)</f>
        <v>0</v>
      </c>
      <c r="G139" s="55">
        <f t="shared" si="32"/>
        <v>7341.7</v>
      </c>
      <c r="H139" s="55">
        <f t="shared" si="32"/>
        <v>5179.56935</v>
      </c>
      <c r="I139" s="55">
        <f t="shared" si="32"/>
        <v>1440.58021003315</v>
      </c>
      <c r="J139" s="55">
        <f t="shared" si="32"/>
        <v>1478.61087229664</v>
      </c>
      <c r="K139" s="55">
        <f t="shared" si="32"/>
        <v>1405.15481293016</v>
      </c>
      <c r="L139" s="55">
        <f t="shared" si="32"/>
        <v>1128.79961660028</v>
      </c>
      <c r="M139" s="55">
        <f t="shared" si="32"/>
        <v>1350.5779405251</v>
      </c>
      <c r="N139" s="55">
        <f t="shared" si="32"/>
        <v>1184.73486593935</v>
      </c>
      <c r="O139" s="55">
        <f t="shared" si="32"/>
        <v>1440.74304093503</v>
      </c>
      <c r="P139" s="55">
        <f t="shared" si="32"/>
        <v>1120.35015920419</v>
      </c>
      <c r="Q139" s="55">
        <f t="shared" si="32"/>
        <v>1233.81026268342</v>
      </c>
      <c r="R139" s="55">
        <f t="shared" si="32"/>
        <v>1312.70435450923</v>
      </c>
      <c r="S139" s="55">
        <f t="shared" si="32"/>
        <v>1388.63749834098</v>
      </c>
      <c r="T139" s="55">
        <f t="shared" si="32"/>
        <v>1440.0955354831</v>
      </c>
      <c r="U139" s="316">
        <f>SUM(I139:T139)</f>
        <v>15924.7991694806</v>
      </c>
    </row>
    <row r="140" ht="15" spans="3:21">
      <c r="C140" s="663" t="s">
        <v>422</v>
      </c>
      <c r="D140" s="676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</row>
    <row r="141" spans="3:21">
      <c r="C141" s="55"/>
      <c r="D141" s="55" t="s">
        <v>423</v>
      </c>
      <c r="E141" s="55"/>
      <c r="F141" s="55"/>
      <c r="G141" s="55"/>
      <c r="H141" s="55"/>
      <c r="I141" s="147">
        <f>'F11-Year(n+4)'!E141</f>
        <v>89.0429917508127</v>
      </c>
      <c r="J141" s="147">
        <f>'F11-Year(n+4)'!F141</f>
        <v>939.624058669067</v>
      </c>
      <c r="K141" s="147">
        <f>'F11-Year(n+4)'!G141</f>
        <v>466.368976999001</v>
      </c>
      <c r="L141" s="147">
        <f>'F11-Year(n+4)'!H141</f>
        <v>41.1884644010834</v>
      </c>
      <c r="M141" s="147">
        <f>'F11-Year(n+4)'!I141</f>
        <v>0</v>
      </c>
      <c r="N141" s="147">
        <f>'F11-Year(n+4)'!J141</f>
        <v>6.19913149912418</v>
      </c>
      <c r="O141" s="147">
        <f>'F11-Year(n+4)'!K141</f>
        <v>0</v>
      </c>
      <c r="P141" s="147">
        <f>'F11-Year(n+4)'!L141</f>
        <v>58.9505083267943</v>
      </c>
      <c r="Q141" s="147">
        <f>'F11-Year(n+4)'!M141</f>
        <v>46.2131650965853</v>
      </c>
      <c r="R141" s="147">
        <f>'F11-Year(n+4)'!N141</f>
        <v>36.470702368003</v>
      </c>
      <c r="S141" s="147">
        <f>'F11-Year(n+4)'!O141</f>
        <v>249.241102821647</v>
      </c>
      <c r="T141" s="147">
        <f>'F11-Year(n+4)'!P141</f>
        <v>871.013271010437</v>
      </c>
      <c r="U141" s="55">
        <f t="shared" ref="U141:U151" si="33">+SUM(I141:T141)</f>
        <v>2804.31237294256</v>
      </c>
    </row>
    <row r="142" spans="3:21"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>
        <f t="shared" si="33"/>
        <v>0</v>
      </c>
    </row>
    <row r="143" spans="3:21"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>
        <f t="shared" si="33"/>
        <v>0</v>
      </c>
    </row>
    <row r="144" spans="3:21"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>
        <f t="shared" si="33"/>
        <v>0</v>
      </c>
    </row>
    <row r="145" spans="3:21"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>
        <f t="shared" si="33"/>
        <v>0</v>
      </c>
    </row>
    <row r="146" spans="3:21"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>
        <f t="shared" si="33"/>
        <v>0</v>
      </c>
    </row>
    <row r="147" spans="3:21"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>
        <f t="shared" si="33"/>
        <v>0</v>
      </c>
    </row>
    <row r="148" spans="3:21"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>
        <f t="shared" si="33"/>
        <v>0</v>
      </c>
    </row>
    <row r="149" spans="3:21"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>
        <f t="shared" si="33"/>
        <v>0</v>
      </c>
    </row>
    <row r="150" spans="3:21"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>
        <f t="shared" si="33"/>
        <v>0</v>
      </c>
    </row>
    <row r="151" spans="3:21"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>
        <f t="shared" si="33"/>
        <v>0</v>
      </c>
    </row>
    <row r="152" ht="15" spans="3:21">
      <c r="C152" s="44" t="s">
        <v>424</v>
      </c>
      <c r="D152" s="45"/>
      <c r="E152" s="55">
        <f>SUM(E141:E151)</f>
        <v>0</v>
      </c>
      <c r="F152" s="55">
        <f t="shared" ref="F152:T152" si="34">SUM(F141:F151)</f>
        <v>0</v>
      </c>
      <c r="G152" s="55">
        <f t="shared" si="34"/>
        <v>0</v>
      </c>
      <c r="H152" s="55">
        <f t="shared" si="34"/>
        <v>0</v>
      </c>
      <c r="I152" s="55">
        <f t="shared" si="34"/>
        <v>89.0429917508127</v>
      </c>
      <c r="J152" s="55">
        <f t="shared" si="34"/>
        <v>939.624058669067</v>
      </c>
      <c r="K152" s="55">
        <f t="shared" si="34"/>
        <v>466.368976999001</v>
      </c>
      <c r="L152" s="55">
        <f t="shared" si="34"/>
        <v>41.1884644010834</v>
      </c>
      <c r="M152" s="55">
        <f t="shared" si="34"/>
        <v>0</v>
      </c>
      <c r="N152" s="55">
        <f t="shared" si="34"/>
        <v>6.19913149912418</v>
      </c>
      <c r="O152" s="55">
        <f t="shared" si="34"/>
        <v>0</v>
      </c>
      <c r="P152" s="55">
        <f t="shared" si="34"/>
        <v>58.9505083267943</v>
      </c>
      <c r="Q152" s="55">
        <f t="shared" si="34"/>
        <v>46.2131650965853</v>
      </c>
      <c r="R152" s="55">
        <f t="shared" si="34"/>
        <v>36.470702368003</v>
      </c>
      <c r="S152" s="55">
        <f t="shared" si="34"/>
        <v>249.241102821647</v>
      </c>
      <c r="T152" s="55">
        <f t="shared" si="34"/>
        <v>871.013271010437</v>
      </c>
      <c r="U152" s="316">
        <f>SUM(I152:T152)</f>
        <v>2804.31237294256</v>
      </c>
    </row>
    <row r="153" ht="15" spans="3:21">
      <c r="C153" s="663" t="s">
        <v>425</v>
      </c>
      <c r="D153" s="676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3:21">
      <c r="C154" s="55" t="s">
        <v>426</v>
      </c>
      <c r="D154" s="55" t="s">
        <v>427</v>
      </c>
      <c r="E154" s="55"/>
      <c r="F154" s="55"/>
      <c r="G154" s="55"/>
      <c r="H154" s="55"/>
      <c r="I154" s="147">
        <f>'F11-Year(n+4)'!E154</f>
        <v>283.168471386211</v>
      </c>
      <c r="J154" s="147">
        <f>'F11-Year(n+4)'!F154</f>
        <v>624.454155887153</v>
      </c>
      <c r="K154" s="147">
        <f>'F11-Year(n+4)'!G154</f>
        <v>642.553189084422</v>
      </c>
      <c r="L154" s="147">
        <f>'F11-Year(n+4)'!H154</f>
        <v>457.309611254451</v>
      </c>
      <c r="M154" s="147">
        <f>'F11-Year(n+4)'!I154</f>
        <v>515.128510495546</v>
      </c>
      <c r="N154" s="147">
        <f>'F11-Year(n+4)'!J154</f>
        <v>551.330472793987</v>
      </c>
      <c r="O154" s="147">
        <f>'F11-Year(n+4)'!K154</f>
        <v>416.152453486428</v>
      </c>
      <c r="P154" s="147">
        <f>'F11-Year(n+4)'!L154</f>
        <v>565.60893668346</v>
      </c>
      <c r="Q154" s="147">
        <f>'F11-Year(n+4)'!M154</f>
        <v>334.460462093045</v>
      </c>
      <c r="R154" s="147">
        <f>'F11-Year(n+4)'!N154</f>
        <v>310.625536203007</v>
      </c>
      <c r="S154" s="147">
        <f>'F11-Year(n+4)'!O154</f>
        <v>46.6529973965926</v>
      </c>
      <c r="T154" s="147">
        <f>'F11-Year(n+4)'!P154</f>
        <v>7.6264039000207</v>
      </c>
      <c r="U154" s="55">
        <f t="shared" ref="U154:U155" si="35">+SUM(I154:T154)</f>
        <v>4755.07120066432</v>
      </c>
    </row>
    <row r="155" spans="3:21">
      <c r="C155" s="55" t="s">
        <v>426</v>
      </c>
      <c r="D155" s="55" t="s">
        <v>428</v>
      </c>
      <c r="E155" s="55"/>
      <c r="F155" s="55"/>
      <c r="G155" s="55"/>
      <c r="H155" s="55"/>
      <c r="I155" s="147" t="e">
        <f>'F11-Year(n+4)'!E155</f>
        <v>#REF!</v>
      </c>
      <c r="J155" s="147" t="e">
        <f>'F11-Year(n+4)'!F155</f>
        <v>#REF!</v>
      </c>
      <c r="K155" s="147" t="e">
        <f>'F11-Year(n+4)'!G155</f>
        <v>#REF!</v>
      </c>
      <c r="L155" s="147" t="e">
        <f>'F11-Year(n+4)'!H155</f>
        <v>#REF!</v>
      </c>
      <c r="M155" s="147" t="e">
        <f>'F11-Year(n+4)'!I155</f>
        <v>#REF!</v>
      </c>
      <c r="N155" s="147" t="e">
        <f>'F11-Year(n+4)'!J155</f>
        <v>#REF!</v>
      </c>
      <c r="O155" s="147" t="e">
        <f>'F11-Year(n+4)'!K155</f>
        <v>#REF!</v>
      </c>
      <c r="P155" s="147" t="e">
        <f>'F11-Year(n+4)'!L155</f>
        <v>#REF!</v>
      </c>
      <c r="Q155" s="147" t="e">
        <f>'F11-Year(n+4)'!M155</f>
        <v>#REF!</v>
      </c>
      <c r="R155" s="147" t="e">
        <f>'F11-Year(n+4)'!N155</f>
        <v>#REF!</v>
      </c>
      <c r="S155" s="147">
        <f>'F11-Year(n+4)'!O155</f>
        <v>0</v>
      </c>
      <c r="T155" s="147" t="e">
        <f>'F11-Year(n+4)'!P155</f>
        <v>#REF!</v>
      </c>
      <c r="U155" s="55" t="e">
        <f t="shared" si="35"/>
        <v>#REF!</v>
      </c>
    </row>
    <row r="156" ht="15" spans="3:21">
      <c r="C156" s="44" t="s">
        <v>429</v>
      </c>
      <c r="D156" s="45"/>
      <c r="E156" s="55">
        <f>SUM(E154:E155)</f>
        <v>0</v>
      </c>
      <c r="F156" s="55">
        <f t="shared" ref="F156:T156" si="36">SUM(F154:F155)</f>
        <v>0</v>
      </c>
      <c r="G156" s="55">
        <f t="shared" si="36"/>
        <v>0</v>
      </c>
      <c r="H156" s="55">
        <f t="shared" si="36"/>
        <v>0</v>
      </c>
      <c r="I156" s="55" t="e">
        <f t="shared" si="36"/>
        <v>#REF!</v>
      </c>
      <c r="J156" s="55" t="e">
        <f t="shared" si="36"/>
        <v>#REF!</v>
      </c>
      <c r="K156" s="55" t="e">
        <f t="shared" si="36"/>
        <v>#REF!</v>
      </c>
      <c r="L156" s="55" t="e">
        <f t="shared" si="36"/>
        <v>#REF!</v>
      </c>
      <c r="M156" s="55" t="e">
        <f t="shared" si="36"/>
        <v>#REF!</v>
      </c>
      <c r="N156" s="55" t="e">
        <f t="shared" si="36"/>
        <v>#REF!</v>
      </c>
      <c r="O156" s="55" t="e">
        <f t="shared" si="36"/>
        <v>#REF!</v>
      </c>
      <c r="P156" s="55" t="e">
        <f t="shared" si="36"/>
        <v>#REF!</v>
      </c>
      <c r="Q156" s="55" t="e">
        <f t="shared" si="36"/>
        <v>#REF!</v>
      </c>
      <c r="R156" s="55" t="e">
        <f t="shared" si="36"/>
        <v>#REF!</v>
      </c>
      <c r="S156" s="55">
        <f t="shared" si="36"/>
        <v>46.6529973965926</v>
      </c>
      <c r="T156" s="55" t="e">
        <f t="shared" si="36"/>
        <v>#REF!</v>
      </c>
      <c r="U156" s="316" t="e">
        <f>U154-U155</f>
        <v>#REF!</v>
      </c>
    </row>
    <row r="157" ht="15" spans="3:21">
      <c r="C157" s="44" t="s">
        <v>224</v>
      </c>
      <c r="D157" s="45"/>
      <c r="E157" s="55">
        <f>E48+E94+E103+E113+E139+E152+E156</f>
        <v>42658.4</v>
      </c>
      <c r="F157" s="55">
        <f t="shared" ref="F157:U157" si="37">F48+F94+F103+F113+F139+F152+F156</f>
        <v>0</v>
      </c>
      <c r="G157" s="55">
        <f t="shared" si="37"/>
        <v>25514.888612377</v>
      </c>
      <c r="H157" s="55">
        <f t="shared" si="37"/>
        <v>16893.118916032</v>
      </c>
      <c r="I157" s="55" t="e">
        <f t="shared" si="37"/>
        <v>#REF!</v>
      </c>
      <c r="J157" s="55" t="e">
        <f t="shared" si="37"/>
        <v>#REF!</v>
      </c>
      <c r="K157" s="55" t="e">
        <f t="shared" si="37"/>
        <v>#REF!</v>
      </c>
      <c r="L157" s="55" t="e">
        <f t="shared" si="37"/>
        <v>#REF!</v>
      </c>
      <c r="M157" s="55" t="e">
        <f t="shared" si="37"/>
        <v>#REF!</v>
      </c>
      <c r="N157" s="55" t="e">
        <f t="shared" si="37"/>
        <v>#REF!</v>
      </c>
      <c r="O157" s="55" t="e">
        <f t="shared" si="37"/>
        <v>#REF!</v>
      </c>
      <c r="P157" s="55" t="e">
        <f t="shared" si="37"/>
        <v>#REF!</v>
      </c>
      <c r="Q157" s="55" t="e">
        <f t="shared" si="37"/>
        <v>#REF!</v>
      </c>
      <c r="R157" s="55" t="e">
        <f t="shared" si="37"/>
        <v>#REF!</v>
      </c>
      <c r="S157" s="55">
        <f t="shared" si="37"/>
        <v>7910.26177556941</v>
      </c>
      <c r="T157" s="55" t="e">
        <f t="shared" si="37"/>
        <v>#REF!</v>
      </c>
      <c r="U157" s="316" t="e">
        <f t="shared" si="37"/>
        <v>#REF!</v>
      </c>
    </row>
    <row r="159" ht="15" spans="4:9">
      <c r="D159" s="11"/>
      <c r="E159" s="11"/>
      <c r="F159" s="11"/>
      <c r="G159" s="11"/>
      <c r="H159" s="11"/>
      <c r="I159" s="11"/>
    </row>
    <row r="160" spans="4:9">
      <c r="D160" s="13"/>
      <c r="E160" s="13"/>
      <c r="F160" s="13"/>
      <c r="G160" s="13"/>
      <c r="H160" s="13"/>
      <c r="I160" s="13"/>
    </row>
    <row r="161" spans="5:9">
      <c r="E161" s="13"/>
      <c r="F161" s="13"/>
      <c r="G161" s="13"/>
      <c r="H161" s="13"/>
      <c r="I161" s="13"/>
    </row>
    <row r="162" spans="5:9">
      <c r="E162" s="13"/>
      <c r="F162" s="13"/>
      <c r="G162" s="13"/>
      <c r="H162" s="13"/>
      <c r="I162" s="13"/>
    </row>
  </sheetData>
  <mergeCells count="34">
    <mergeCell ref="I4:U4"/>
    <mergeCell ref="C7:D7"/>
    <mergeCell ref="C8:D8"/>
    <mergeCell ref="C27:D27"/>
    <mergeCell ref="C28:D28"/>
    <mergeCell ref="C47:D47"/>
    <mergeCell ref="C48:D48"/>
    <mergeCell ref="C49:D49"/>
    <mergeCell ref="C50:D50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6:D156"/>
    <mergeCell ref="C157:D157"/>
    <mergeCell ref="C4:C6"/>
    <mergeCell ref="C9:C26"/>
    <mergeCell ref="C29:C46"/>
    <mergeCell ref="C51:C59"/>
    <mergeCell ref="C79:C82"/>
    <mergeCell ref="D4:D6"/>
    <mergeCell ref="E4:E6"/>
    <mergeCell ref="F4:F6"/>
    <mergeCell ref="G4:G6"/>
    <mergeCell ref="H4:H6"/>
  </mergeCells>
  <pageMargins left="0.7" right="0.7" top="0.75" bottom="0.75" header="0.3" footer="0.3"/>
  <pageSetup paperSize="1" orientation="portrait"/>
  <headerFooter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B2:U162"/>
  <sheetViews>
    <sheetView showGridLines="0" zoomScale="55" zoomScaleNormal="55" topLeftCell="A85" workbookViewId="0">
      <selection activeCell="E105" sqref="E105:P106"/>
    </sheetView>
  </sheetViews>
  <sheetFormatPr defaultColWidth="9.14285714285714" defaultRowHeight="14.25"/>
  <cols>
    <col min="1" max="1" width="3.14285714285714" style="12" customWidth="1"/>
    <col min="2" max="2" width="8.14285714285714" style="12" customWidth="1"/>
    <col min="3" max="3" width="22.1428571428571" style="12" customWidth="1"/>
    <col min="4" max="4" width="41.1428571428571" style="12" customWidth="1"/>
    <col min="5" max="7" width="16.4285714285714" style="12" customWidth="1"/>
    <col min="8" max="8" width="16.8571428571429" style="12" customWidth="1"/>
    <col min="9" max="9" width="13.8571428571429" style="12" customWidth="1"/>
    <col min="10" max="10" width="12.5714285714286" style="12" customWidth="1"/>
    <col min="11" max="11" width="13.4285714285714" style="12" customWidth="1"/>
    <col min="12" max="12" width="13.8571428571429" style="12" customWidth="1"/>
    <col min="13" max="13" width="12.5714285714286" style="12" customWidth="1"/>
    <col min="14" max="14" width="14.8571428571429" style="12" customWidth="1"/>
    <col min="15" max="15" width="12.5714285714286" style="12" customWidth="1"/>
    <col min="16" max="16" width="11.8571428571429" style="12" customWidth="1"/>
    <col min="17" max="17" width="13.8571428571429" style="12" customWidth="1"/>
    <col min="18" max="20" width="11.8571428571429" style="12" customWidth="1"/>
    <col min="21" max="21" width="16.2857142857143" style="12" customWidth="1"/>
    <col min="22" max="22" width="12.4285714285714" style="12" customWidth="1"/>
    <col min="23" max="23" width="12.8571428571429" style="12" customWidth="1"/>
    <col min="24" max="16384" width="9.14285714285714" style="12"/>
  </cols>
  <sheetData>
    <row r="2" ht="15" spans="9:9">
      <c r="I2" s="2" t="s">
        <v>0</v>
      </c>
    </row>
    <row r="3" ht="15" spans="9:9">
      <c r="I3" s="3" t="s">
        <v>462</v>
      </c>
    </row>
    <row r="4" ht="15" spans="3:21">
      <c r="C4" s="658" t="s">
        <v>345</v>
      </c>
      <c r="D4" s="658" t="s">
        <v>346</v>
      </c>
      <c r="E4" s="16" t="s">
        <v>431</v>
      </c>
      <c r="F4" s="16" t="s">
        <v>432</v>
      </c>
      <c r="G4" s="16" t="s">
        <v>433</v>
      </c>
      <c r="H4" s="16" t="s">
        <v>434</v>
      </c>
      <c r="I4" s="135" t="s">
        <v>463</v>
      </c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</row>
    <row r="5" ht="15" customHeight="1" spans="3:21">
      <c r="C5" s="660"/>
      <c r="D5" s="660"/>
      <c r="E5" s="309"/>
      <c r="F5" s="309"/>
      <c r="G5" s="309"/>
      <c r="H5" s="309"/>
      <c r="I5" s="135" t="s">
        <v>246</v>
      </c>
      <c r="J5" s="135" t="s">
        <v>247</v>
      </c>
      <c r="K5" s="135" t="s">
        <v>248</v>
      </c>
      <c r="L5" s="135" t="s">
        <v>249</v>
      </c>
      <c r="M5" s="135" t="s">
        <v>250</v>
      </c>
      <c r="N5" s="135" t="s">
        <v>251</v>
      </c>
      <c r="O5" s="135" t="s">
        <v>252</v>
      </c>
      <c r="P5" s="135" t="s">
        <v>253</v>
      </c>
      <c r="Q5" s="135" t="s">
        <v>254</v>
      </c>
      <c r="R5" s="135" t="s">
        <v>255</v>
      </c>
      <c r="S5" s="135" t="s">
        <v>256</v>
      </c>
      <c r="T5" s="135" t="s">
        <v>257</v>
      </c>
      <c r="U5" s="135" t="s">
        <v>97</v>
      </c>
    </row>
    <row r="6" spans="3:21">
      <c r="C6" s="662"/>
      <c r="D6" s="662"/>
      <c r="E6" s="535"/>
      <c r="F6" s="535"/>
      <c r="G6" s="535"/>
      <c r="H6" s="535"/>
      <c r="I6" s="147">
        <v>30</v>
      </c>
      <c r="J6" s="147">
        <v>31</v>
      </c>
      <c r="K6" s="147">
        <v>30</v>
      </c>
      <c r="L6" s="147">
        <v>31</v>
      </c>
      <c r="M6" s="147">
        <v>31</v>
      </c>
      <c r="N6" s="147">
        <v>30</v>
      </c>
      <c r="O6" s="147">
        <v>31</v>
      </c>
      <c r="P6" s="147">
        <v>30</v>
      </c>
      <c r="Q6" s="147">
        <v>31</v>
      </c>
      <c r="R6" s="147">
        <v>31</v>
      </c>
      <c r="S6" s="147">
        <v>28</v>
      </c>
      <c r="T6" s="147">
        <v>31</v>
      </c>
      <c r="U6" s="147"/>
    </row>
    <row r="7" customHeight="1" spans="2:21">
      <c r="B7" s="656"/>
      <c r="C7" s="663" t="s">
        <v>349</v>
      </c>
      <c r="D7" s="676"/>
      <c r="E7" s="47"/>
      <c r="F7" s="47"/>
      <c r="G7" s="749"/>
      <c r="H7" s="47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</row>
    <row r="8" ht="15" spans="3:21">
      <c r="C8" s="44" t="s">
        <v>350</v>
      </c>
      <c r="D8" s="4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</row>
    <row r="9" spans="2:21">
      <c r="B9" s="656"/>
      <c r="C9" s="677" t="s">
        <v>351</v>
      </c>
      <c r="D9" s="47" t="s">
        <v>352</v>
      </c>
      <c r="E9" s="752">
        <v>500</v>
      </c>
      <c r="F9" s="752"/>
      <c r="G9" s="752">
        <f t="shared" ref="G9:G16" si="0">E9</f>
        <v>500</v>
      </c>
      <c r="H9" s="752">
        <f t="shared" ref="H9:H16" si="1">G9*0.7055</f>
        <v>352.75</v>
      </c>
      <c r="I9" s="147">
        <f t="shared" ref="I9:T15" si="2">$H9*0.85*I$6*24/1000</f>
        <v>215.883</v>
      </c>
      <c r="J9" s="147">
        <f t="shared" si="2"/>
        <v>223.0791</v>
      </c>
      <c r="K9" s="147">
        <f t="shared" si="2"/>
        <v>215.883</v>
      </c>
      <c r="L9" s="147">
        <f t="shared" si="2"/>
        <v>223.0791</v>
      </c>
      <c r="M9" s="147">
        <f t="shared" si="2"/>
        <v>223.0791</v>
      </c>
      <c r="N9" s="147">
        <f t="shared" si="2"/>
        <v>215.883</v>
      </c>
      <c r="O9" s="147">
        <f t="shared" si="2"/>
        <v>223.0791</v>
      </c>
      <c r="P9" s="147">
        <f t="shared" si="2"/>
        <v>215.883</v>
      </c>
      <c r="Q9" s="147">
        <f t="shared" si="2"/>
        <v>223.0791</v>
      </c>
      <c r="R9" s="147">
        <f t="shared" si="2"/>
        <v>223.0791</v>
      </c>
      <c r="S9" s="147">
        <f t="shared" si="2"/>
        <v>201.4908</v>
      </c>
      <c r="T9" s="147">
        <f t="shared" si="2"/>
        <v>223.0791</v>
      </c>
      <c r="U9" s="55">
        <f>+SUM(I9:T9)</f>
        <v>2626.5765</v>
      </c>
    </row>
    <row r="10" customHeight="1" spans="2:21">
      <c r="B10" s="656"/>
      <c r="C10" s="678"/>
      <c r="D10" s="47" t="s">
        <v>353</v>
      </c>
      <c r="E10" s="752">
        <v>500</v>
      </c>
      <c r="F10" s="752"/>
      <c r="G10" s="752">
        <f t="shared" si="0"/>
        <v>500</v>
      </c>
      <c r="H10" s="752">
        <f t="shared" si="1"/>
        <v>352.75</v>
      </c>
      <c r="I10" s="147">
        <f t="shared" si="2"/>
        <v>215.883</v>
      </c>
      <c r="J10" s="147">
        <f t="shared" si="2"/>
        <v>223.0791</v>
      </c>
      <c r="K10" s="147">
        <f t="shared" si="2"/>
        <v>215.883</v>
      </c>
      <c r="L10" s="147">
        <f t="shared" si="2"/>
        <v>223.0791</v>
      </c>
      <c r="M10" s="147">
        <f t="shared" si="2"/>
        <v>223.0791</v>
      </c>
      <c r="N10" s="147">
        <f t="shared" si="2"/>
        <v>215.883</v>
      </c>
      <c r="O10" s="147">
        <f t="shared" si="2"/>
        <v>223.0791</v>
      </c>
      <c r="P10" s="147">
        <f t="shared" si="2"/>
        <v>215.883</v>
      </c>
      <c r="Q10" s="147">
        <f t="shared" si="2"/>
        <v>223.0791</v>
      </c>
      <c r="R10" s="147">
        <f t="shared" si="2"/>
        <v>223.0791</v>
      </c>
      <c r="S10" s="147">
        <f t="shared" si="2"/>
        <v>201.4908</v>
      </c>
      <c r="T10" s="147">
        <f t="shared" si="2"/>
        <v>223.0791</v>
      </c>
      <c r="U10" s="55">
        <f t="shared" ref="U10:U46" si="3">+SUM(I10:T10)</f>
        <v>2626.5765</v>
      </c>
    </row>
    <row r="11" spans="2:21">
      <c r="B11" s="656"/>
      <c r="C11" s="678"/>
      <c r="D11" s="47" t="s">
        <v>354</v>
      </c>
      <c r="E11" s="752">
        <v>800</v>
      </c>
      <c r="F11" s="752"/>
      <c r="G11" s="752">
        <f t="shared" si="0"/>
        <v>800</v>
      </c>
      <c r="H11" s="752">
        <f t="shared" si="1"/>
        <v>564.4</v>
      </c>
      <c r="I11" s="147">
        <f t="shared" si="2"/>
        <v>345.4128</v>
      </c>
      <c r="J11" s="147">
        <f t="shared" si="2"/>
        <v>356.92656</v>
      </c>
      <c r="K11" s="147">
        <f t="shared" si="2"/>
        <v>345.4128</v>
      </c>
      <c r="L11" s="147">
        <f t="shared" si="2"/>
        <v>356.92656</v>
      </c>
      <c r="M11" s="147">
        <f t="shared" si="2"/>
        <v>356.92656</v>
      </c>
      <c r="N11" s="147">
        <f t="shared" si="2"/>
        <v>345.4128</v>
      </c>
      <c r="O11" s="147">
        <f t="shared" si="2"/>
        <v>356.92656</v>
      </c>
      <c r="P11" s="147">
        <f t="shared" si="2"/>
        <v>345.4128</v>
      </c>
      <c r="Q11" s="147">
        <f t="shared" si="2"/>
        <v>356.92656</v>
      </c>
      <c r="R11" s="147">
        <f t="shared" si="2"/>
        <v>356.92656</v>
      </c>
      <c r="S11" s="147">
        <f t="shared" si="2"/>
        <v>322.38528</v>
      </c>
      <c r="T11" s="147">
        <f t="shared" si="2"/>
        <v>356.92656</v>
      </c>
      <c r="U11" s="55">
        <f t="shared" si="3"/>
        <v>4202.5224</v>
      </c>
    </row>
    <row r="12" spans="2:21">
      <c r="B12" s="656"/>
      <c r="C12" s="678"/>
      <c r="D12" s="47" t="s">
        <v>355</v>
      </c>
      <c r="E12" s="752">
        <v>62.5</v>
      </c>
      <c r="F12" s="752"/>
      <c r="G12" s="752">
        <f t="shared" si="0"/>
        <v>62.5</v>
      </c>
      <c r="H12" s="752">
        <f t="shared" si="1"/>
        <v>44.09375</v>
      </c>
      <c r="I12" s="147">
        <f t="shared" si="2"/>
        <v>26.985375</v>
      </c>
      <c r="J12" s="147">
        <f t="shared" si="2"/>
        <v>27.8848875</v>
      </c>
      <c r="K12" s="147">
        <f t="shared" si="2"/>
        <v>26.985375</v>
      </c>
      <c r="L12" s="147">
        <f t="shared" si="2"/>
        <v>27.8848875</v>
      </c>
      <c r="M12" s="147">
        <f t="shared" si="2"/>
        <v>27.8848875</v>
      </c>
      <c r="N12" s="147">
        <f t="shared" si="2"/>
        <v>26.985375</v>
      </c>
      <c r="O12" s="147">
        <f t="shared" si="2"/>
        <v>27.8848875</v>
      </c>
      <c r="P12" s="147">
        <f t="shared" si="2"/>
        <v>26.985375</v>
      </c>
      <c r="Q12" s="147">
        <f t="shared" si="2"/>
        <v>27.8848875</v>
      </c>
      <c r="R12" s="147">
        <f t="shared" si="2"/>
        <v>27.8848875</v>
      </c>
      <c r="S12" s="147">
        <f t="shared" si="2"/>
        <v>25.18635</v>
      </c>
      <c r="T12" s="147">
        <f t="shared" si="2"/>
        <v>27.8848875</v>
      </c>
      <c r="U12" s="55">
        <f t="shared" si="3"/>
        <v>328.3220625</v>
      </c>
    </row>
    <row r="13" spans="2:21">
      <c r="B13" s="656"/>
      <c r="C13" s="678"/>
      <c r="D13" s="47" t="s">
        <v>356</v>
      </c>
      <c r="E13" s="752">
        <v>500</v>
      </c>
      <c r="F13" s="752"/>
      <c r="G13" s="752">
        <f t="shared" si="0"/>
        <v>500</v>
      </c>
      <c r="H13" s="752">
        <f t="shared" si="1"/>
        <v>352.75</v>
      </c>
      <c r="I13" s="147">
        <f t="shared" si="2"/>
        <v>215.883</v>
      </c>
      <c r="J13" s="147">
        <f t="shared" si="2"/>
        <v>223.0791</v>
      </c>
      <c r="K13" s="147">
        <f t="shared" si="2"/>
        <v>215.883</v>
      </c>
      <c r="L13" s="147">
        <f t="shared" si="2"/>
        <v>223.0791</v>
      </c>
      <c r="M13" s="147">
        <f t="shared" si="2"/>
        <v>223.0791</v>
      </c>
      <c r="N13" s="147">
        <f t="shared" si="2"/>
        <v>215.883</v>
      </c>
      <c r="O13" s="147">
        <f t="shared" si="2"/>
        <v>223.0791</v>
      </c>
      <c r="P13" s="147">
        <f t="shared" si="2"/>
        <v>215.883</v>
      </c>
      <c r="Q13" s="147">
        <f t="shared" si="2"/>
        <v>223.0791</v>
      </c>
      <c r="R13" s="147">
        <f t="shared" si="2"/>
        <v>223.0791</v>
      </c>
      <c r="S13" s="147">
        <f t="shared" si="2"/>
        <v>201.4908</v>
      </c>
      <c r="T13" s="147">
        <f t="shared" si="2"/>
        <v>223.0791</v>
      </c>
      <c r="U13" s="55">
        <f t="shared" si="3"/>
        <v>2626.5765</v>
      </c>
    </row>
    <row r="14" spans="2:21">
      <c r="B14" s="656"/>
      <c r="C14" s="678"/>
      <c r="D14" s="47" t="s">
        <v>357</v>
      </c>
      <c r="E14" s="752">
        <v>600</v>
      </c>
      <c r="F14" s="752"/>
      <c r="G14" s="752">
        <f t="shared" si="0"/>
        <v>600</v>
      </c>
      <c r="H14" s="752">
        <f t="shared" si="1"/>
        <v>423.3</v>
      </c>
      <c r="I14" s="147">
        <f t="shared" si="2"/>
        <v>259.0596</v>
      </c>
      <c r="J14" s="147">
        <f t="shared" si="2"/>
        <v>267.69492</v>
      </c>
      <c r="K14" s="147">
        <f t="shared" si="2"/>
        <v>259.0596</v>
      </c>
      <c r="L14" s="147">
        <f t="shared" si="2"/>
        <v>267.69492</v>
      </c>
      <c r="M14" s="147">
        <f t="shared" si="2"/>
        <v>267.69492</v>
      </c>
      <c r="N14" s="147">
        <f t="shared" si="2"/>
        <v>259.0596</v>
      </c>
      <c r="O14" s="147">
        <f t="shared" si="2"/>
        <v>267.69492</v>
      </c>
      <c r="P14" s="147">
        <f t="shared" si="2"/>
        <v>259.0596</v>
      </c>
      <c r="Q14" s="147">
        <f t="shared" si="2"/>
        <v>267.69492</v>
      </c>
      <c r="R14" s="147">
        <f t="shared" si="2"/>
        <v>267.69492</v>
      </c>
      <c r="S14" s="147">
        <f t="shared" si="2"/>
        <v>241.78896</v>
      </c>
      <c r="T14" s="147">
        <f t="shared" si="2"/>
        <v>267.69492</v>
      </c>
      <c r="U14" s="55">
        <f t="shared" si="3"/>
        <v>3151.8918</v>
      </c>
    </row>
    <row r="15" spans="2:21">
      <c r="B15" s="656"/>
      <c r="C15" s="678"/>
      <c r="D15" s="47" t="s">
        <v>358</v>
      </c>
      <c r="E15" s="752">
        <v>1080</v>
      </c>
      <c r="F15" s="752"/>
      <c r="G15" s="752">
        <f t="shared" si="0"/>
        <v>1080</v>
      </c>
      <c r="H15" s="752">
        <f t="shared" si="1"/>
        <v>761.94</v>
      </c>
      <c r="I15" s="147">
        <f t="shared" si="2"/>
        <v>466.30728</v>
      </c>
      <c r="J15" s="147">
        <f t="shared" si="2"/>
        <v>481.850856</v>
      </c>
      <c r="K15" s="147">
        <f t="shared" si="2"/>
        <v>466.30728</v>
      </c>
      <c r="L15" s="147">
        <f t="shared" si="2"/>
        <v>481.850856</v>
      </c>
      <c r="M15" s="147">
        <f t="shared" si="2"/>
        <v>481.850856</v>
      </c>
      <c r="N15" s="147">
        <f t="shared" si="2"/>
        <v>466.30728</v>
      </c>
      <c r="O15" s="147">
        <f t="shared" si="2"/>
        <v>481.850856</v>
      </c>
      <c r="P15" s="147">
        <f t="shared" si="2"/>
        <v>466.30728</v>
      </c>
      <c r="Q15" s="147">
        <f t="shared" si="2"/>
        <v>481.850856</v>
      </c>
      <c r="R15" s="147">
        <f t="shared" si="2"/>
        <v>481.850856</v>
      </c>
      <c r="S15" s="147">
        <f t="shared" si="2"/>
        <v>435.220128</v>
      </c>
      <c r="T15" s="147">
        <f t="shared" si="2"/>
        <v>481.850856</v>
      </c>
      <c r="U15" s="55">
        <f t="shared" si="3"/>
        <v>5673.40524</v>
      </c>
    </row>
    <row r="16" spans="2:21">
      <c r="B16" s="656"/>
      <c r="C16" s="678"/>
      <c r="D16" s="47" t="s">
        <v>359</v>
      </c>
      <c r="E16" s="752">
        <v>4000</v>
      </c>
      <c r="F16" s="752"/>
      <c r="G16" s="752">
        <f t="shared" si="0"/>
        <v>4000</v>
      </c>
      <c r="H16" s="752">
        <f t="shared" si="1"/>
        <v>2822</v>
      </c>
      <c r="I16" s="147">
        <f>$H16*0.8526*I$6*24/1000</f>
        <v>1732.346784</v>
      </c>
      <c r="J16" s="147">
        <f t="shared" ref="J16:T16" si="4">$H16*0.8526*J$6*24/1000</f>
        <v>1790.0916768</v>
      </c>
      <c r="K16" s="147">
        <f t="shared" si="4"/>
        <v>1732.346784</v>
      </c>
      <c r="L16" s="147">
        <f t="shared" si="4"/>
        <v>1790.0916768</v>
      </c>
      <c r="M16" s="147">
        <f t="shared" si="4"/>
        <v>1790.0916768</v>
      </c>
      <c r="N16" s="147">
        <f t="shared" si="4"/>
        <v>1732.346784</v>
      </c>
      <c r="O16" s="147">
        <f t="shared" si="4"/>
        <v>1790.0916768</v>
      </c>
      <c r="P16" s="147">
        <f t="shared" si="4"/>
        <v>1732.346784</v>
      </c>
      <c r="Q16" s="147">
        <f t="shared" si="4"/>
        <v>1790.0916768</v>
      </c>
      <c r="R16" s="147">
        <f t="shared" si="4"/>
        <v>1790.0916768</v>
      </c>
      <c r="S16" s="147">
        <f t="shared" si="4"/>
        <v>1616.8569984</v>
      </c>
      <c r="T16" s="147">
        <f t="shared" si="4"/>
        <v>1790.0916768</v>
      </c>
      <c r="U16" s="147">
        <f t="shared" si="3"/>
        <v>21076.885872</v>
      </c>
    </row>
    <row r="17" spans="2:21">
      <c r="B17" s="656"/>
      <c r="C17" s="678"/>
      <c r="D17" s="47"/>
      <c r="E17" s="47"/>
      <c r="F17" s="47"/>
      <c r="G17" s="47"/>
      <c r="H17" s="47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>
        <f t="shared" si="3"/>
        <v>0</v>
      </c>
    </row>
    <row r="18" spans="2:21">
      <c r="B18" s="656"/>
      <c r="C18" s="678"/>
      <c r="D18" s="47"/>
      <c r="E18" s="47"/>
      <c r="F18" s="47"/>
      <c r="G18" s="47"/>
      <c r="H18" s="47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>
        <f t="shared" si="3"/>
        <v>0</v>
      </c>
    </row>
    <row r="19" spans="2:21">
      <c r="B19" s="656"/>
      <c r="C19" s="678"/>
      <c r="D19" s="47"/>
      <c r="E19" s="47"/>
      <c r="F19" s="47"/>
      <c r="G19" s="47"/>
      <c r="H19" s="47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>
        <f t="shared" si="3"/>
        <v>0</v>
      </c>
    </row>
    <row r="20" spans="2:21">
      <c r="B20" s="656"/>
      <c r="C20" s="678"/>
      <c r="D20" s="47"/>
      <c r="E20" s="47"/>
      <c r="F20" s="47"/>
      <c r="G20" s="47"/>
      <c r="H20" s="47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>
        <f t="shared" si="3"/>
        <v>0</v>
      </c>
    </row>
    <row r="21" spans="2:21">
      <c r="B21" s="656"/>
      <c r="C21" s="678"/>
      <c r="D21" s="47"/>
      <c r="E21" s="47"/>
      <c r="F21" s="47"/>
      <c r="G21" s="47"/>
      <c r="H21" s="47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>
        <f t="shared" si="3"/>
        <v>0</v>
      </c>
    </row>
    <row r="22" spans="2:21">
      <c r="B22" s="656"/>
      <c r="C22" s="678"/>
      <c r="D22" s="47"/>
      <c r="E22" s="47"/>
      <c r="F22" s="47"/>
      <c r="G22" s="47"/>
      <c r="H22" s="47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>
        <f t="shared" si="3"/>
        <v>0</v>
      </c>
    </row>
    <row r="23" spans="2:21">
      <c r="B23" s="656"/>
      <c r="C23" s="678"/>
      <c r="D23" s="47"/>
      <c r="E23" s="47"/>
      <c r="F23" s="47"/>
      <c r="G23" s="47"/>
      <c r="H23" s="47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>
        <f t="shared" si="3"/>
        <v>0</v>
      </c>
    </row>
    <row r="24" spans="2:21">
      <c r="B24" s="656"/>
      <c r="C24" s="678"/>
      <c r="D24" s="47"/>
      <c r="E24" s="47"/>
      <c r="F24" s="47"/>
      <c r="G24" s="47"/>
      <c r="H24" s="47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>
        <f t="shared" si="3"/>
        <v>0</v>
      </c>
    </row>
    <row r="25" spans="2:21">
      <c r="B25" s="656"/>
      <c r="C25" s="678"/>
      <c r="D25" s="47"/>
      <c r="E25" s="47"/>
      <c r="F25" s="47"/>
      <c r="G25" s="47"/>
      <c r="H25" s="47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>
        <f t="shared" si="3"/>
        <v>0</v>
      </c>
    </row>
    <row r="26" spans="2:21">
      <c r="B26" s="656"/>
      <c r="C26" s="680"/>
      <c r="D26" s="47"/>
      <c r="E26" s="47"/>
      <c r="F26" s="47"/>
      <c r="G26" s="47"/>
      <c r="H26" s="47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>
        <f t="shared" si="3"/>
        <v>0</v>
      </c>
    </row>
    <row r="27" ht="15" spans="3:21">
      <c r="C27" s="537" t="s">
        <v>211</v>
      </c>
      <c r="D27" s="540"/>
      <c r="E27" s="55">
        <f>SUM(E9:E26)</f>
        <v>8042.5</v>
      </c>
      <c r="F27" s="55">
        <f t="shared" ref="F27:T27" si="5">SUM(F9:F26)</f>
        <v>0</v>
      </c>
      <c r="G27" s="55">
        <f t="shared" si="5"/>
        <v>8042.5</v>
      </c>
      <c r="H27" s="55">
        <f t="shared" si="5"/>
        <v>5673.98375</v>
      </c>
      <c r="I27" s="55">
        <f t="shared" si="5"/>
        <v>3477.760839</v>
      </c>
      <c r="J27" s="55">
        <f t="shared" si="5"/>
        <v>3593.6862003</v>
      </c>
      <c r="K27" s="55">
        <f t="shared" si="5"/>
        <v>3477.760839</v>
      </c>
      <c r="L27" s="55">
        <f t="shared" si="5"/>
        <v>3593.6862003</v>
      </c>
      <c r="M27" s="55">
        <f t="shared" si="5"/>
        <v>3593.6862003</v>
      </c>
      <c r="N27" s="55">
        <f t="shared" si="5"/>
        <v>3477.760839</v>
      </c>
      <c r="O27" s="55">
        <f t="shared" si="5"/>
        <v>3593.6862003</v>
      </c>
      <c r="P27" s="55">
        <f t="shared" si="5"/>
        <v>3477.760839</v>
      </c>
      <c r="Q27" s="55">
        <f t="shared" si="5"/>
        <v>3593.6862003</v>
      </c>
      <c r="R27" s="55">
        <f t="shared" si="5"/>
        <v>3593.6862003</v>
      </c>
      <c r="S27" s="55">
        <f t="shared" si="5"/>
        <v>3245.9101164</v>
      </c>
      <c r="T27" s="55">
        <f t="shared" si="5"/>
        <v>3593.6862003</v>
      </c>
      <c r="U27" s="316">
        <f>SUM(I27:T27)</f>
        <v>42312.7568745</v>
      </c>
    </row>
    <row r="28" ht="15" spans="3:21">
      <c r="C28" s="44" t="s">
        <v>360</v>
      </c>
      <c r="D28" s="4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</row>
    <row r="29" spans="3:21">
      <c r="C29" s="682" t="s">
        <v>351</v>
      </c>
      <c r="D29" s="312" t="s">
        <v>361</v>
      </c>
      <c r="E29" s="55">
        <f>[45]Gen!$DB$38</f>
        <v>234</v>
      </c>
      <c r="F29" s="55"/>
      <c r="G29" s="55">
        <v>234</v>
      </c>
      <c r="H29" s="147">
        <f t="shared" ref="H29:H39" si="6">G29*0.7055</f>
        <v>165.087</v>
      </c>
      <c r="I29" s="147">
        <f>'F11-Year(n+5)'!E30</f>
        <v>13.6558982309657</v>
      </c>
      <c r="J29" s="147">
        <f>'F11-Year(n+5)'!F30</f>
        <v>14.6332287966681</v>
      </c>
      <c r="K29" s="147">
        <f>'F11-Year(n+5)'!G30</f>
        <v>15.160733636777</v>
      </c>
      <c r="L29" s="147">
        <f>'F11-Year(n+5)'!H30</f>
        <v>33.1447888629187</v>
      </c>
      <c r="M29" s="147">
        <f>'F11-Year(n+5)'!I30</f>
        <v>77.8179136333842</v>
      </c>
      <c r="N29" s="147">
        <f>'F11-Year(n+5)'!J30</f>
        <v>39.3032109981069</v>
      </c>
      <c r="O29" s="147">
        <f>'F11-Year(n+5)'!K30</f>
        <v>43.3220804141092</v>
      </c>
      <c r="P29" s="147">
        <f>'F11-Year(n+5)'!L30</f>
        <v>14.8585781282195</v>
      </c>
      <c r="Q29" s="147">
        <f>'F11-Year(n+5)'!M30</f>
        <v>25.4899649252457</v>
      </c>
      <c r="R29" s="147">
        <f>'F11-Year(n+5)'!N30</f>
        <v>48.6383595365747</v>
      </c>
      <c r="S29" s="147">
        <f>'F11-Year(n+5)'!O30</f>
        <v>43.6826843950136</v>
      </c>
      <c r="T29" s="147">
        <f>'F11-Year(n+5)'!P30</f>
        <v>20.2907292640443</v>
      </c>
      <c r="U29" s="55">
        <f t="shared" si="3"/>
        <v>389.998170822028</v>
      </c>
    </row>
    <row r="30" spans="3:21">
      <c r="C30" s="683"/>
      <c r="D30" s="312" t="s">
        <v>362</v>
      </c>
      <c r="E30" s="147">
        <v>875.6</v>
      </c>
      <c r="F30" s="55"/>
      <c r="G30" s="55"/>
      <c r="H30" s="147">
        <f t="shared" si="6"/>
        <v>0</v>
      </c>
      <c r="I30" s="147">
        <f>'F11-Year(n+5)'!E31</f>
        <v>47.5972247742549</v>
      </c>
      <c r="J30" s="147">
        <f>'F11-Year(n+5)'!F31</f>
        <v>51.003681224626</v>
      </c>
      <c r="K30" s="147">
        <f>'F11-Year(n+5)'!G31</f>
        <v>52.8422835647662</v>
      </c>
      <c r="L30" s="147">
        <f>'F11-Year(n+5)'!H31</f>
        <v>115.525170070925</v>
      </c>
      <c r="M30" s="147">
        <f>'F11-Year(n+5)'!I31</f>
        <v>271.232010082855</v>
      </c>
      <c r="N30" s="147">
        <f>'F11-Year(n+5)'!J31</f>
        <v>136.990166196821</v>
      </c>
      <c r="O30" s="147">
        <f>'F11-Year(n+5)'!K31</f>
        <v>150.997815323707</v>
      </c>
      <c r="P30" s="147">
        <f>'F11-Year(n+5)'!L31</f>
        <v>51.7891295785292</v>
      </c>
      <c r="Q30" s="147">
        <f>'F11-Year(n+5)'!M31</f>
        <v>88.8445102266252</v>
      </c>
      <c r="R30" s="147">
        <f>'F11-Year(n+5)'!N31</f>
        <v>169.52754717107</v>
      </c>
      <c r="S30" s="147">
        <f>'F11-Year(n+5)'!O31</f>
        <v>152.254689711851</v>
      </c>
      <c r="T30" s="147">
        <f>'F11-Year(n+5)'!P31</f>
        <v>70.7227298621988</v>
      </c>
      <c r="U30" s="55">
        <f t="shared" si="3"/>
        <v>1359.32695778823</v>
      </c>
    </row>
    <row r="31" spans="3:21">
      <c r="C31" s="683"/>
      <c r="D31" s="312" t="s">
        <v>363</v>
      </c>
      <c r="E31" s="146">
        <v>900</v>
      </c>
      <c r="F31" s="55"/>
      <c r="G31" s="55"/>
      <c r="H31" s="147">
        <f t="shared" si="6"/>
        <v>0</v>
      </c>
      <c r="I31" s="147">
        <f>'F11-Year(n+5)'!E32</f>
        <v>52.5226855037144</v>
      </c>
      <c r="J31" s="147">
        <f>'F11-Year(n+5)'!F32</f>
        <v>56.2816492179542</v>
      </c>
      <c r="K31" s="147">
        <f>'F11-Year(n+5)'!G32</f>
        <v>58.3105139876037</v>
      </c>
      <c r="L31" s="147">
        <f>'F11-Year(n+5)'!H32</f>
        <v>127.479957165072</v>
      </c>
      <c r="M31" s="147">
        <f>'F11-Year(n+5)'!I32</f>
        <v>299.299667820708</v>
      </c>
      <c r="N31" s="147">
        <f>'F11-Year(n+5)'!J32</f>
        <v>151.166196146565</v>
      </c>
      <c r="O31" s="147">
        <f>'F11-Year(n+5)'!K32</f>
        <v>166.623386208112</v>
      </c>
      <c r="P31" s="147">
        <f>'F11-Year(n+5)'!L32</f>
        <v>57.1483774162289</v>
      </c>
      <c r="Q31" s="147">
        <f>'F11-Year(n+5)'!M32</f>
        <v>98.0383266355602</v>
      </c>
      <c r="R31" s="147">
        <f>'F11-Year(n+5)'!N32</f>
        <v>187.07061360221</v>
      </c>
      <c r="S31" s="147">
        <f>'F11-Year(n+5)'!O32</f>
        <v>168.010324596206</v>
      </c>
      <c r="T31" s="147">
        <f>'F11-Year(n+5)'!P32</f>
        <v>78.0412664001702</v>
      </c>
      <c r="U31" s="55">
        <f t="shared" si="3"/>
        <v>1499.9929647001</v>
      </c>
    </row>
    <row r="32" spans="3:21">
      <c r="C32" s="683"/>
      <c r="D32" s="312" t="s">
        <v>364</v>
      </c>
      <c r="E32" s="55">
        <f>[45]Gen!$DB$39</f>
        <v>240</v>
      </c>
      <c r="F32" s="55"/>
      <c r="G32" s="55">
        <v>240</v>
      </c>
      <c r="H32" s="147">
        <f t="shared" si="6"/>
        <v>169.32</v>
      </c>
      <c r="I32" s="147">
        <f>'F11-Year(n+5)'!E33</f>
        <v>14.0060494676572</v>
      </c>
      <c r="J32" s="147">
        <f>'F11-Year(n+5)'!F33</f>
        <v>15.0084397914545</v>
      </c>
      <c r="K32" s="147">
        <f>'F11-Year(n+5)'!G33</f>
        <v>15.5494703966943</v>
      </c>
      <c r="L32" s="147">
        <f>'F11-Year(n+5)'!H33</f>
        <v>33.9946552440192</v>
      </c>
      <c r="M32" s="147">
        <f>'F11-Year(n+5)'!I33</f>
        <v>79.8132447521886</v>
      </c>
      <c r="N32" s="147">
        <f>'F11-Year(n+5)'!J33</f>
        <v>40.310985639084</v>
      </c>
      <c r="O32" s="147">
        <f>'F11-Year(n+5)'!K33</f>
        <v>44.43290298883</v>
      </c>
      <c r="P32" s="147">
        <f>'F11-Year(n+5)'!L33</f>
        <v>15.2395673109944</v>
      </c>
      <c r="Q32" s="147">
        <f>'F11-Year(n+5)'!M33</f>
        <v>26.1435537694828</v>
      </c>
      <c r="R32" s="147">
        <f>'F11-Year(n+5)'!N33</f>
        <v>49.8854969605894</v>
      </c>
      <c r="S32" s="147">
        <f>'F11-Year(n+5)'!O33</f>
        <v>44.802753225655</v>
      </c>
      <c r="T32" s="147">
        <f>'F11-Year(n+5)'!P33</f>
        <v>20.8110043733788</v>
      </c>
      <c r="U32" s="55">
        <f t="shared" si="3"/>
        <v>399.998123920028</v>
      </c>
    </row>
    <row r="33" spans="3:21">
      <c r="C33" s="683"/>
      <c r="D33" s="312" t="s">
        <v>365</v>
      </c>
      <c r="E33" s="55">
        <f>[45]Gen!$DB$41</f>
        <v>120</v>
      </c>
      <c r="F33" s="55"/>
      <c r="G33" s="55">
        <v>120</v>
      </c>
      <c r="H33" s="147">
        <f t="shared" si="6"/>
        <v>84.66</v>
      </c>
      <c r="I33" s="147">
        <f>'F11-Year(n+5)'!E34</f>
        <v>7.0030247338286</v>
      </c>
      <c r="J33" s="147">
        <f>'F11-Year(n+5)'!F34</f>
        <v>7.50421989572724</v>
      </c>
      <c r="K33" s="147">
        <f>'F11-Year(n+5)'!G34</f>
        <v>7.77473519834716</v>
      </c>
      <c r="L33" s="147">
        <f>'F11-Year(n+5)'!H34</f>
        <v>16.9973276220096</v>
      </c>
      <c r="M33" s="147">
        <f>'F11-Year(n+5)'!I34</f>
        <v>39.9066223760944</v>
      </c>
      <c r="N33" s="147">
        <f>'F11-Year(n+5)'!J34</f>
        <v>20.155492819542</v>
      </c>
      <c r="O33" s="147">
        <f>'F11-Year(n+5)'!K34</f>
        <v>22.216451494415</v>
      </c>
      <c r="P33" s="147">
        <f>'F11-Year(n+5)'!L34</f>
        <v>7.6197836554972</v>
      </c>
      <c r="Q33" s="147">
        <f>'F11-Year(n+5)'!M34</f>
        <v>13.0717768847414</v>
      </c>
      <c r="R33" s="147">
        <f>'F11-Year(n+5)'!N34</f>
        <v>24.9427484802947</v>
      </c>
      <c r="S33" s="147">
        <f>'F11-Year(n+5)'!O34</f>
        <v>22.4013766128275</v>
      </c>
      <c r="T33" s="147">
        <f>'F11-Year(n+5)'!P34</f>
        <v>10.4055021866894</v>
      </c>
      <c r="U33" s="55">
        <f t="shared" si="3"/>
        <v>199.999061960014</v>
      </c>
    </row>
    <row r="34" spans="3:21">
      <c r="C34" s="683"/>
      <c r="D34" s="312" t="s">
        <v>366</v>
      </c>
      <c r="E34" s="55">
        <f>[45]Gen!$DB$40</f>
        <v>9</v>
      </c>
      <c r="F34" s="55"/>
      <c r="G34" s="55">
        <v>9</v>
      </c>
      <c r="H34" s="147">
        <f t="shared" si="6"/>
        <v>6.3495</v>
      </c>
      <c r="I34" s="147">
        <f>'F11-Year(n+5)'!E35</f>
        <v>1.05045371007429</v>
      </c>
      <c r="J34" s="147">
        <f>'F11-Year(n+5)'!F35</f>
        <v>1.12563298435908</v>
      </c>
      <c r="K34" s="147">
        <f>'F11-Year(n+5)'!G35</f>
        <v>1.16621027975207</v>
      </c>
      <c r="L34" s="147">
        <f>'F11-Year(n+5)'!H35</f>
        <v>2.54959914330144</v>
      </c>
      <c r="M34" s="147">
        <f>'F11-Year(n+5)'!I35</f>
        <v>5.98599335641416</v>
      </c>
      <c r="N34" s="147">
        <f>'F11-Year(n+5)'!J35</f>
        <v>3.0233239229313</v>
      </c>
      <c r="O34" s="147">
        <f>'F11-Year(n+5)'!K35</f>
        <v>3.33246772416224</v>
      </c>
      <c r="P34" s="147">
        <f>'F11-Year(n+5)'!L35</f>
        <v>1.14296754832458</v>
      </c>
      <c r="Q34" s="147">
        <f>'F11-Year(n+5)'!M35</f>
        <v>1.96076653271121</v>
      </c>
      <c r="R34" s="147">
        <f>'F11-Year(n+5)'!N35</f>
        <v>3.7414122720442</v>
      </c>
      <c r="S34" s="147">
        <f>'F11-Year(n+5)'!O35</f>
        <v>3.36020649192412</v>
      </c>
      <c r="T34" s="147">
        <f>'F11-Year(n+5)'!P35</f>
        <v>1.56082532800341</v>
      </c>
      <c r="U34" s="55">
        <f t="shared" si="3"/>
        <v>29.9998592940021</v>
      </c>
    </row>
    <row r="35" spans="3:21">
      <c r="C35" s="683"/>
      <c r="D35" s="779" t="s">
        <v>445</v>
      </c>
      <c r="E35" s="55">
        <f>[45]Gen!$DB$32</f>
        <v>815.6</v>
      </c>
      <c r="F35" s="55"/>
      <c r="G35" s="55">
        <v>815.6</v>
      </c>
      <c r="H35" s="147">
        <f t="shared" si="6"/>
        <v>575.4058</v>
      </c>
      <c r="I35" s="147">
        <f>'F11-Year(n+5)'!E36</f>
        <v>3.5015123669143</v>
      </c>
      <c r="J35" s="147">
        <f>'F11-Year(n+5)'!F36</f>
        <v>3.75210994786362</v>
      </c>
      <c r="K35" s="147">
        <f>'F11-Year(n+5)'!G36</f>
        <v>3.88736759917358</v>
      </c>
      <c r="L35" s="147">
        <f>'F11-Year(n+5)'!H36</f>
        <v>8.4986638110048</v>
      </c>
      <c r="M35" s="147">
        <f>'F11-Year(n+5)'!I36</f>
        <v>19.9533111880472</v>
      </c>
      <c r="N35" s="147">
        <f>'F11-Year(n+5)'!J36</f>
        <v>10.077746409771</v>
      </c>
      <c r="O35" s="147">
        <f>'F11-Year(n+5)'!K36</f>
        <v>11.1082257472075</v>
      </c>
      <c r="P35" s="147">
        <f>'F11-Year(n+5)'!L36</f>
        <v>3.8098918277486</v>
      </c>
      <c r="Q35" s="147">
        <f>'F11-Year(n+5)'!M36</f>
        <v>6.53588844237068</v>
      </c>
      <c r="R35" s="147">
        <f>'F11-Year(n+5)'!N36</f>
        <v>12.4713742401474</v>
      </c>
      <c r="S35" s="147">
        <f>'F11-Year(n+5)'!O36</f>
        <v>11.2006883064137</v>
      </c>
      <c r="T35" s="147">
        <f>'F11-Year(n+5)'!P36</f>
        <v>5.20275109334468</v>
      </c>
      <c r="U35" s="55">
        <f t="shared" si="3"/>
        <v>99.999530980007</v>
      </c>
    </row>
    <row r="36" spans="3:21">
      <c r="C36" s="683"/>
      <c r="D36" s="779" t="s">
        <v>446</v>
      </c>
      <c r="E36" s="55">
        <f>[45]Gen!$DB$36</f>
        <v>15</v>
      </c>
      <c r="F36" s="55"/>
      <c r="G36" s="55">
        <v>15</v>
      </c>
      <c r="H36" s="147">
        <f t="shared" si="6"/>
        <v>10.5825</v>
      </c>
      <c r="I36" s="147">
        <f>'F11-Year(n+5)'!E37</f>
        <v>0.875378091728574</v>
      </c>
      <c r="J36" s="147">
        <f>'F11-Year(n+5)'!F37</f>
        <v>0.938027486965904</v>
      </c>
      <c r="K36" s="147">
        <f>'F11-Year(n+5)'!G37</f>
        <v>0.971841899793396</v>
      </c>
      <c r="L36" s="147">
        <f>'F11-Year(n+5)'!H37</f>
        <v>2.1246659527512</v>
      </c>
      <c r="M36" s="147">
        <f>'F11-Year(n+5)'!I37</f>
        <v>4.9883277970118</v>
      </c>
      <c r="N36" s="147">
        <f>'F11-Year(n+5)'!J37</f>
        <v>2.51943660244274</v>
      </c>
      <c r="O36" s="147">
        <f>'F11-Year(n+5)'!K37</f>
        <v>2.77705643680188</v>
      </c>
      <c r="P36" s="147">
        <f>'F11-Year(n+5)'!L37</f>
        <v>0.95247295693715</v>
      </c>
      <c r="Q36" s="147">
        <f>'F11-Year(n+5)'!M37</f>
        <v>1.63397211059267</v>
      </c>
      <c r="R36" s="147">
        <f>'F11-Year(n+5)'!N37</f>
        <v>3.11784356003684</v>
      </c>
      <c r="S36" s="147">
        <f>'F11-Year(n+5)'!O37</f>
        <v>2.80017207660344</v>
      </c>
      <c r="T36" s="147">
        <f>'F11-Year(n+5)'!P37</f>
        <v>1.30068777333617</v>
      </c>
      <c r="U36" s="55">
        <f t="shared" si="3"/>
        <v>24.9998827450018</v>
      </c>
    </row>
    <row r="37" spans="3:21">
      <c r="C37" s="683"/>
      <c r="D37" s="779" t="s">
        <v>447</v>
      </c>
      <c r="E37" s="55">
        <f>[45]Gen!$DB$37</f>
        <v>900</v>
      </c>
      <c r="F37" s="55"/>
      <c r="G37" s="55">
        <v>900</v>
      </c>
      <c r="H37" s="147">
        <f t="shared" si="6"/>
        <v>634.95</v>
      </c>
      <c r="I37" s="147">
        <f>'F11-Year(n+5)'!E38</f>
        <v>0</v>
      </c>
      <c r="J37" s="147">
        <f>'F11-Year(n+5)'!F38</f>
        <v>0</v>
      </c>
      <c r="K37" s="147">
        <f>'F11-Year(n+5)'!G38</f>
        <v>0</v>
      </c>
      <c r="L37" s="147">
        <f>'F11-Year(n+5)'!H38</f>
        <v>0</v>
      </c>
      <c r="M37" s="147">
        <f>'F11-Year(n+5)'!I38</f>
        <v>0</v>
      </c>
      <c r="N37" s="147">
        <f>'F11-Year(n+5)'!J38</f>
        <v>0</v>
      </c>
      <c r="O37" s="147">
        <f>'F11-Year(n+5)'!K38</f>
        <v>0</v>
      </c>
      <c r="P37" s="147">
        <f>'F11-Year(n+5)'!L38</f>
        <v>0</v>
      </c>
      <c r="Q37" s="147">
        <f>'F11-Year(n+5)'!M38</f>
        <v>0</v>
      </c>
      <c r="R37" s="147">
        <f>'F11-Year(n+5)'!N38</f>
        <v>0</v>
      </c>
      <c r="S37" s="147">
        <f>'F11-Year(n+5)'!O38</f>
        <v>0</v>
      </c>
      <c r="T37" s="147">
        <f>'F11-Year(n+5)'!P38</f>
        <v>0</v>
      </c>
      <c r="U37" s="55">
        <f t="shared" si="3"/>
        <v>0</v>
      </c>
    </row>
    <row r="38" spans="3:21">
      <c r="C38" s="683"/>
      <c r="D38" s="312" t="s">
        <v>448</v>
      </c>
      <c r="E38" s="55"/>
      <c r="F38" s="55"/>
      <c r="G38" s="55">
        <v>27</v>
      </c>
      <c r="H38" s="147">
        <f t="shared" si="6"/>
        <v>19.0485</v>
      </c>
      <c r="I38" s="147">
        <f>'F11-Year(n+5)'!E39</f>
        <v>1.05045371007429</v>
      </c>
      <c r="J38" s="147">
        <f>'F11-Year(n+5)'!F39</f>
        <v>1.12563298435908</v>
      </c>
      <c r="K38" s="147">
        <f>'F11-Year(n+5)'!G39</f>
        <v>1.16621027975207</v>
      </c>
      <c r="L38" s="147">
        <f>'F11-Year(n+5)'!H39</f>
        <v>2.54959914330144</v>
      </c>
      <c r="M38" s="147">
        <f>'F11-Year(n+5)'!I39</f>
        <v>5.98599335641416</v>
      </c>
      <c r="N38" s="147">
        <f>'F11-Year(n+5)'!J39</f>
        <v>3.0233239229313</v>
      </c>
      <c r="O38" s="147">
        <f>'F11-Year(n+5)'!K39</f>
        <v>3.33246772416224</v>
      </c>
      <c r="P38" s="147">
        <f>'F11-Year(n+5)'!L39</f>
        <v>1.14296754832458</v>
      </c>
      <c r="Q38" s="147">
        <f>'F11-Year(n+5)'!M39</f>
        <v>1.96076653271121</v>
      </c>
      <c r="R38" s="147">
        <f>'F11-Year(n+5)'!N39</f>
        <v>3.7414122720442</v>
      </c>
      <c r="S38" s="147">
        <f>'F11-Year(n+5)'!O39</f>
        <v>3.36020649192412</v>
      </c>
      <c r="T38" s="147">
        <f>'F11-Year(n+5)'!P39</f>
        <v>1.56082532800341</v>
      </c>
      <c r="U38" s="55">
        <f t="shared" si="3"/>
        <v>29.9998592940021</v>
      </c>
    </row>
    <row r="39" spans="3:21">
      <c r="C39" s="683"/>
      <c r="D39" s="312" t="s">
        <v>449</v>
      </c>
      <c r="E39" s="55"/>
      <c r="F39" s="55"/>
      <c r="G39" s="55">
        <v>10</v>
      </c>
      <c r="H39" s="147">
        <f t="shared" si="6"/>
        <v>7.055</v>
      </c>
      <c r="I39" s="147">
        <f>'F11-Year(n+5)'!E40</f>
        <v>0.583585394485716</v>
      </c>
      <c r="J39" s="147">
        <f>'F11-Year(n+5)'!F40</f>
        <v>0.625351657977268</v>
      </c>
      <c r="K39" s="147">
        <f>'F11-Year(n+5)'!G40</f>
        <v>0.647894599862264</v>
      </c>
      <c r="L39" s="147">
        <f>'F11-Year(n+5)'!H40</f>
        <v>1.4164439685008</v>
      </c>
      <c r="M39" s="147">
        <f>'F11-Year(n+5)'!I40</f>
        <v>3.32555186467454</v>
      </c>
      <c r="N39" s="147">
        <f>'F11-Year(n+5)'!J40</f>
        <v>1.6796244016285</v>
      </c>
      <c r="O39" s="147">
        <f>'F11-Year(n+5)'!K40</f>
        <v>1.85137095786791</v>
      </c>
      <c r="P39" s="147">
        <f>'F11-Year(n+5)'!L40</f>
        <v>0.634981971291432</v>
      </c>
      <c r="Q39" s="147">
        <f>'F11-Year(n+5)'!M40</f>
        <v>1.08931474039511</v>
      </c>
      <c r="R39" s="147">
        <f>'F11-Year(n+5)'!N40</f>
        <v>2.0785623733579</v>
      </c>
      <c r="S39" s="147">
        <f>'F11-Year(n+5)'!O40</f>
        <v>1.86678138440229</v>
      </c>
      <c r="T39" s="147">
        <f>'F11-Year(n+5)'!P40</f>
        <v>0.867125182224114</v>
      </c>
      <c r="U39" s="55">
        <f t="shared" si="3"/>
        <v>16.6665884966679</v>
      </c>
    </row>
    <row r="40" spans="3:21">
      <c r="C40" s="683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>
        <f t="shared" si="3"/>
        <v>0</v>
      </c>
    </row>
    <row r="41" spans="3:21">
      <c r="C41" s="683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>
        <f t="shared" si="3"/>
        <v>0</v>
      </c>
    </row>
    <row r="42" spans="3:21">
      <c r="C42" s="683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>
        <f t="shared" si="3"/>
        <v>0</v>
      </c>
    </row>
    <row r="43" spans="3:21">
      <c r="C43" s="683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>
        <f t="shared" si="3"/>
        <v>0</v>
      </c>
    </row>
    <row r="44" spans="3:21">
      <c r="C44" s="683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>
        <f t="shared" si="3"/>
        <v>0</v>
      </c>
    </row>
    <row r="45" spans="3:21">
      <c r="C45" s="683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>
        <f t="shared" si="3"/>
        <v>0</v>
      </c>
    </row>
    <row r="46" spans="3:21">
      <c r="C46" s="684"/>
      <c r="D46" s="67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>
        <f t="shared" si="3"/>
        <v>0</v>
      </c>
    </row>
    <row r="47" ht="15" spans="3:21">
      <c r="C47" s="537" t="s">
        <v>211</v>
      </c>
      <c r="D47" s="540"/>
      <c r="E47" s="55">
        <f>SUM(E29:E46)</f>
        <v>4109.2</v>
      </c>
      <c r="F47" s="55">
        <f t="shared" ref="F47:T47" si="7">SUM(F29:F46)</f>
        <v>0</v>
      </c>
      <c r="G47" s="55">
        <f t="shared" si="7"/>
        <v>2370.6</v>
      </c>
      <c r="H47" s="55">
        <f t="shared" si="7"/>
        <v>1672.4583</v>
      </c>
      <c r="I47" s="55">
        <f t="shared" si="7"/>
        <v>141.846265983698</v>
      </c>
      <c r="J47" s="55">
        <f t="shared" si="7"/>
        <v>151.997973987955</v>
      </c>
      <c r="K47" s="55">
        <f t="shared" si="7"/>
        <v>157.477261442522</v>
      </c>
      <c r="L47" s="55">
        <f t="shared" si="7"/>
        <v>344.280870983805</v>
      </c>
      <c r="M47" s="55">
        <f t="shared" si="7"/>
        <v>808.308636227792</v>
      </c>
      <c r="N47" s="55">
        <f t="shared" si="7"/>
        <v>408.249507059823</v>
      </c>
      <c r="O47" s="55">
        <f t="shared" si="7"/>
        <v>449.994225019375</v>
      </c>
      <c r="P47" s="55">
        <f t="shared" si="7"/>
        <v>154.338717942096</v>
      </c>
      <c r="Q47" s="55">
        <f t="shared" si="7"/>
        <v>264.768840800436</v>
      </c>
      <c r="R47" s="55">
        <f t="shared" si="7"/>
        <v>505.21537046837</v>
      </c>
      <c r="S47" s="55">
        <f t="shared" si="7"/>
        <v>453.73988329282</v>
      </c>
      <c r="T47" s="55">
        <f t="shared" si="7"/>
        <v>210.763446791393</v>
      </c>
      <c r="U47" s="316">
        <f>SUM(I47:T47)</f>
        <v>4050.98100000009</v>
      </c>
    </row>
    <row r="48" ht="15" spans="3:21">
      <c r="C48" s="44" t="s">
        <v>369</v>
      </c>
      <c r="D48" s="45"/>
      <c r="E48" s="55">
        <f>E27+E47</f>
        <v>12151.7</v>
      </c>
      <c r="F48" s="55">
        <f t="shared" ref="F48:U48" si="8">F27+F47</f>
        <v>0</v>
      </c>
      <c r="G48" s="55">
        <f t="shared" si="8"/>
        <v>10413.1</v>
      </c>
      <c r="H48" s="55">
        <f t="shared" si="8"/>
        <v>7346.44205</v>
      </c>
      <c r="I48" s="55">
        <f t="shared" si="8"/>
        <v>3619.6071049837</v>
      </c>
      <c r="J48" s="55">
        <f t="shared" si="8"/>
        <v>3745.68417428795</v>
      </c>
      <c r="K48" s="55">
        <f t="shared" si="8"/>
        <v>3635.23810044252</v>
      </c>
      <c r="L48" s="55">
        <f t="shared" si="8"/>
        <v>3937.9670712838</v>
      </c>
      <c r="M48" s="55">
        <f t="shared" si="8"/>
        <v>4401.99483652779</v>
      </c>
      <c r="N48" s="55">
        <f t="shared" si="8"/>
        <v>3886.01034605982</v>
      </c>
      <c r="O48" s="55">
        <f t="shared" si="8"/>
        <v>4043.68042531937</v>
      </c>
      <c r="P48" s="55">
        <f t="shared" si="8"/>
        <v>3632.0995569421</v>
      </c>
      <c r="Q48" s="55">
        <f t="shared" si="8"/>
        <v>3858.45504110044</v>
      </c>
      <c r="R48" s="55">
        <f t="shared" si="8"/>
        <v>4098.90157076837</v>
      </c>
      <c r="S48" s="55">
        <f t="shared" si="8"/>
        <v>3699.64999969282</v>
      </c>
      <c r="T48" s="55">
        <f t="shared" si="8"/>
        <v>3804.44964709139</v>
      </c>
      <c r="U48" s="316">
        <f t="shared" si="8"/>
        <v>46363.7378745001</v>
      </c>
    </row>
    <row r="49" ht="15" spans="3:21">
      <c r="C49" s="663" t="s">
        <v>370</v>
      </c>
      <c r="D49" s="676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</row>
    <row r="50" ht="15" spans="3:21">
      <c r="C50" s="44" t="s">
        <v>350</v>
      </c>
      <c r="D50" s="4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</row>
    <row r="51" spans="3:21">
      <c r="C51" s="682" t="s">
        <v>371</v>
      </c>
      <c r="D51" s="780" t="s">
        <v>372</v>
      </c>
      <c r="E51" s="55">
        <v>2100</v>
      </c>
      <c r="F51" s="55"/>
      <c r="G51" s="55">
        <v>352.5</v>
      </c>
      <c r="H51" s="147">
        <f t="shared" ref="H51:H59" si="9">G51*0.7055</f>
        <v>248.68875</v>
      </c>
      <c r="I51" s="147">
        <f t="shared" ref="I51:I67" si="10">$H51*0.85*30*24/1000</f>
        <v>152.197515</v>
      </c>
      <c r="J51" s="147">
        <f t="shared" ref="J51:J67" si="11">$H51*0.85*31*24/1000</f>
        <v>157.2707655</v>
      </c>
      <c r="K51" s="147">
        <f t="shared" ref="K51:K67" si="12">$H51*0.85*30*24/1000</f>
        <v>152.197515</v>
      </c>
      <c r="L51" s="147">
        <f t="shared" ref="L51:M67" si="13">$H51*0.85*31*24/1000</f>
        <v>157.2707655</v>
      </c>
      <c r="M51" s="147">
        <f t="shared" si="13"/>
        <v>157.2707655</v>
      </c>
      <c r="N51" s="147">
        <f t="shared" ref="N51:N67" si="14">$H51*0.85*30*24/1000</f>
        <v>152.197515</v>
      </c>
      <c r="O51" s="147">
        <f t="shared" ref="O51:O67" si="15">$H51*0.85*31*24/1000</f>
        <v>157.2707655</v>
      </c>
      <c r="P51" s="147">
        <f t="shared" ref="P51:P67" si="16">$H51*0.85*30*24/1000</f>
        <v>152.197515</v>
      </c>
      <c r="Q51" s="147">
        <f t="shared" ref="Q51:R67" si="17">$H51*0.85*31*24/1000</f>
        <v>157.2707655</v>
      </c>
      <c r="R51" s="147">
        <f t="shared" si="17"/>
        <v>157.2707655</v>
      </c>
      <c r="S51" s="147">
        <f t="shared" ref="S51:S67" si="18">$H51*0.85*28*24/1000</f>
        <v>142.051014</v>
      </c>
      <c r="T51" s="147">
        <f t="shared" ref="T51:T67" si="19">$H51*0.85*31*24/1000</f>
        <v>157.2707655</v>
      </c>
      <c r="U51" s="147">
        <f t="shared" ref="U51:U76" si="20">+SUM(I51:T51)</f>
        <v>1851.7364325</v>
      </c>
    </row>
    <row r="52" spans="3:21">
      <c r="C52" s="683"/>
      <c r="D52" s="780" t="s">
        <v>373</v>
      </c>
      <c r="E52" s="55">
        <v>500</v>
      </c>
      <c r="F52" s="55"/>
      <c r="G52" s="55">
        <v>88.5</v>
      </c>
      <c r="H52" s="147">
        <f t="shared" si="9"/>
        <v>62.43675</v>
      </c>
      <c r="I52" s="147">
        <f t="shared" si="10"/>
        <v>38.211291</v>
      </c>
      <c r="J52" s="147">
        <f t="shared" si="11"/>
        <v>39.4850007</v>
      </c>
      <c r="K52" s="147">
        <f t="shared" si="12"/>
        <v>38.211291</v>
      </c>
      <c r="L52" s="147">
        <f t="shared" si="13"/>
        <v>39.4850007</v>
      </c>
      <c r="M52" s="147">
        <f t="shared" si="13"/>
        <v>39.4850007</v>
      </c>
      <c r="N52" s="147">
        <f t="shared" si="14"/>
        <v>38.211291</v>
      </c>
      <c r="O52" s="147">
        <f t="shared" si="15"/>
        <v>39.4850007</v>
      </c>
      <c r="P52" s="147">
        <f t="shared" si="16"/>
        <v>38.211291</v>
      </c>
      <c r="Q52" s="147">
        <f t="shared" si="17"/>
        <v>39.4850007</v>
      </c>
      <c r="R52" s="147">
        <f t="shared" si="17"/>
        <v>39.4850007</v>
      </c>
      <c r="S52" s="147">
        <f t="shared" si="18"/>
        <v>35.6638716</v>
      </c>
      <c r="T52" s="147">
        <f t="shared" si="19"/>
        <v>39.4850007</v>
      </c>
      <c r="U52" s="147">
        <f t="shared" si="20"/>
        <v>464.9040405</v>
      </c>
    </row>
    <row r="53" spans="3:21">
      <c r="C53" s="683"/>
      <c r="D53" s="780" t="s">
        <v>374</v>
      </c>
      <c r="E53" s="55">
        <v>2000</v>
      </c>
      <c r="F53" s="55"/>
      <c r="G53" s="55">
        <v>217.4</v>
      </c>
      <c r="H53" s="147">
        <f t="shared" si="9"/>
        <v>153.3757</v>
      </c>
      <c r="I53" s="147">
        <f t="shared" si="10"/>
        <v>93.8659284</v>
      </c>
      <c r="J53" s="147">
        <f t="shared" si="11"/>
        <v>96.99479268</v>
      </c>
      <c r="K53" s="147">
        <f t="shared" si="12"/>
        <v>93.8659284</v>
      </c>
      <c r="L53" s="147">
        <f t="shared" si="13"/>
        <v>96.99479268</v>
      </c>
      <c r="M53" s="147">
        <f t="shared" si="13"/>
        <v>96.99479268</v>
      </c>
      <c r="N53" s="147">
        <f t="shared" si="14"/>
        <v>93.8659284</v>
      </c>
      <c r="O53" s="147">
        <f t="shared" si="15"/>
        <v>96.99479268</v>
      </c>
      <c r="P53" s="147">
        <f t="shared" si="16"/>
        <v>93.8659284</v>
      </c>
      <c r="Q53" s="147">
        <f t="shared" si="17"/>
        <v>96.99479268</v>
      </c>
      <c r="R53" s="147">
        <f t="shared" si="17"/>
        <v>96.99479268</v>
      </c>
      <c r="S53" s="147">
        <f t="shared" si="18"/>
        <v>87.60819984</v>
      </c>
      <c r="T53" s="147">
        <f t="shared" si="19"/>
        <v>96.99479268</v>
      </c>
      <c r="U53" s="147">
        <f t="shared" si="20"/>
        <v>1142.0354622</v>
      </c>
    </row>
    <row r="54" spans="3:21">
      <c r="C54" s="683"/>
      <c r="D54" s="780" t="s">
        <v>375</v>
      </c>
      <c r="E54" s="55">
        <v>1000</v>
      </c>
      <c r="F54" s="55"/>
      <c r="G54" s="55">
        <v>538.9</v>
      </c>
      <c r="H54" s="147">
        <f t="shared" si="9"/>
        <v>380.19395</v>
      </c>
      <c r="I54" s="147">
        <f t="shared" si="10"/>
        <v>232.6786974</v>
      </c>
      <c r="J54" s="147">
        <f t="shared" si="11"/>
        <v>240.43465398</v>
      </c>
      <c r="K54" s="147">
        <f t="shared" si="12"/>
        <v>232.6786974</v>
      </c>
      <c r="L54" s="147">
        <f t="shared" si="13"/>
        <v>240.43465398</v>
      </c>
      <c r="M54" s="147">
        <f t="shared" si="13"/>
        <v>240.43465398</v>
      </c>
      <c r="N54" s="147">
        <f t="shared" si="14"/>
        <v>232.6786974</v>
      </c>
      <c r="O54" s="147">
        <f t="shared" si="15"/>
        <v>240.43465398</v>
      </c>
      <c r="P54" s="147">
        <f t="shared" si="16"/>
        <v>232.6786974</v>
      </c>
      <c r="Q54" s="147">
        <f t="shared" si="17"/>
        <v>240.43465398</v>
      </c>
      <c r="R54" s="147">
        <f t="shared" si="17"/>
        <v>240.43465398</v>
      </c>
      <c r="S54" s="147">
        <f t="shared" si="18"/>
        <v>217.16678424</v>
      </c>
      <c r="T54" s="147">
        <f t="shared" si="19"/>
        <v>240.43465398</v>
      </c>
      <c r="U54" s="147">
        <f t="shared" si="20"/>
        <v>2830.9241517</v>
      </c>
    </row>
    <row r="55" spans="3:21">
      <c r="C55" s="683"/>
      <c r="D55" s="780" t="s">
        <v>376</v>
      </c>
      <c r="E55" s="55">
        <v>1000</v>
      </c>
      <c r="F55" s="55"/>
      <c r="G55" s="55">
        <v>256.7</v>
      </c>
      <c r="H55" s="147">
        <f t="shared" si="9"/>
        <v>181.10185</v>
      </c>
      <c r="I55" s="147">
        <f t="shared" si="10"/>
        <v>110.8343322</v>
      </c>
      <c r="J55" s="147">
        <f t="shared" si="11"/>
        <v>114.52880994</v>
      </c>
      <c r="K55" s="147">
        <f t="shared" si="12"/>
        <v>110.8343322</v>
      </c>
      <c r="L55" s="147">
        <f t="shared" si="13"/>
        <v>114.52880994</v>
      </c>
      <c r="M55" s="147">
        <f t="shared" si="13"/>
        <v>114.52880994</v>
      </c>
      <c r="N55" s="147">
        <f t="shared" si="14"/>
        <v>110.8343322</v>
      </c>
      <c r="O55" s="147">
        <f t="shared" si="15"/>
        <v>114.52880994</v>
      </c>
      <c r="P55" s="147">
        <f t="shared" si="16"/>
        <v>110.8343322</v>
      </c>
      <c r="Q55" s="147">
        <f t="shared" si="17"/>
        <v>114.52880994</v>
      </c>
      <c r="R55" s="147">
        <f t="shared" si="17"/>
        <v>114.52880994</v>
      </c>
      <c r="S55" s="147">
        <f t="shared" si="18"/>
        <v>103.44537672</v>
      </c>
      <c r="T55" s="147">
        <f t="shared" si="19"/>
        <v>114.52880994</v>
      </c>
      <c r="U55" s="147">
        <f t="shared" si="20"/>
        <v>1348.4843751</v>
      </c>
    </row>
    <row r="56" spans="3:21">
      <c r="C56" s="683"/>
      <c r="D56" s="780" t="s">
        <v>377</v>
      </c>
      <c r="E56" s="55">
        <v>2400</v>
      </c>
      <c r="F56" s="55"/>
      <c r="G56" s="55">
        <v>281.04</v>
      </c>
      <c r="H56" s="147">
        <f t="shared" si="9"/>
        <v>198.27372</v>
      </c>
      <c r="I56" s="147">
        <f t="shared" si="10"/>
        <v>121.34351664</v>
      </c>
      <c r="J56" s="147">
        <f t="shared" si="11"/>
        <v>125.388300528</v>
      </c>
      <c r="K56" s="147">
        <f t="shared" si="12"/>
        <v>121.34351664</v>
      </c>
      <c r="L56" s="147">
        <f t="shared" si="13"/>
        <v>125.388300528</v>
      </c>
      <c r="M56" s="147">
        <f t="shared" si="13"/>
        <v>125.388300528</v>
      </c>
      <c r="N56" s="147">
        <f t="shared" si="14"/>
        <v>121.34351664</v>
      </c>
      <c r="O56" s="147">
        <f t="shared" si="15"/>
        <v>125.388300528</v>
      </c>
      <c r="P56" s="147">
        <f t="shared" si="16"/>
        <v>121.34351664</v>
      </c>
      <c r="Q56" s="147">
        <f t="shared" si="17"/>
        <v>125.388300528</v>
      </c>
      <c r="R56" s="147">
        <f t="shared" si="17"/>
        <v>125.388300528</v>
      </c>
      <c r="S56" s="147">
        <f t="shared" si="18"/>
        <v>113.253948864</v>
      </c>
      <c r="T56" s="147">
        <f t="shared" si="19"/>
        <v>125.388300528</v>
      </c>
      <c r="U56" s="147">
        <f t="shared" si="20"/>
        <v>1476.34611912</v>
      </c>
    </row>
    <row r="57" spans="3:21">
      <c r="C57" s="683"/>
      <c r="D57" s="780" t="s">
        <v>378</v>
      </c>
      <c r="E57" s="55">
        <v>85</v>
      </c>
      <c r="F57" s="55"/>
      <c r="G57" s="55">
        <v>45.81</v>
      </c>
      <c r="H57" s="147">
        <f t="shared" si="9"/>
        <v>32.318955</v>
      </c>
      <c r="I57" s="147">
        <f t="shared" si="10"/>
        <v>19.77920046</v>
      </c>
      <c r="J57" s="147">
        <f t="shared" si="11"/>
        <v>20.438507142</v>
      </c>
      <c r="K57" s="147">
        <f t="shared" si="12"/>
        <v>19.77920046</v>
      </c>
      <c r="L57" s="147">
        <f t="shared" si="13"/>
        <v>20.438507142</v>
      </c>
      <c r="M57" s="147">
        <f t="shared" si="13"/>
        <v>20.438507142</v>
      </c>
      <c r="N57" s="147">
        <f t="shared" si="14"/>
        <v>19.77920046</v>
      </c>
      <c r="O57" s="147">
        <f t="shared" si="15"/>
        <v>20.438507142</v>
      </c>
      <c r="P57" s="147">
        <f t="shared" si="16"/>
        <v>19.77920046</v>
      </c>
      <c r="Q57" s="147">
        <f t="shared" si="17"/>
        <v>20.438507142</v>
      </c>
      <c r="R57" s="147">
        <f t="shared" si="17"/>
        <v>20.438507142</v>
      </c>
      <c r="S57" s="147">
        <f t="shared" si="18"/>
        <v>18.460587096</v>
      </c>
      <c r="T57" s="147">
        <f t="shared" si="19"/>
        <v>20.438507142</v>
      </c>
      <c r="U57" s="147">
        <f t="shared" si="20"/>
        <v>240.64693893</v>
      </c>
    </row>
    <row r="58" spans="3:21">
      <c r="C58" s="683"/>
      <c r="D58" s="780" t="s">
        <v>379</v>
      </c>
      <c r="E58" s="55">
        <v>200</v>
      </c>
      <c r="F58" s="55"/>
      <c r="G58" s="55">
        <v>200</v>
      </c>
      <c r="H58" s="147">
        <f t="shared" si="9"/>
        <v>141.1</v>
      </c>
      <c r="I58" s="147">
        <f t="shared" si="10"/>
        <v>86.3532</v>
      </c>
      <c r="J58" s="147">
        <f t="shared" si="11"/>
        <v>89.23164</v>
      </c>
      <c r="K58" s="147">
        <f t="shared" si="12"/>
        <v>86.3532</v>
      </c>
      <c r="L58" s="147">
        <f t="shared" si="13"/>
        <v>89.23164</v>
      </c>
      <c r="M58" s="147">
        <f t="shared" si="13"/>
        <v>89.23164</v>
      </c>
      <c r="N58" s="147">
        <f t="shared" si="14"/>
        <v>86.3532</v>
      </c>
      <c r="O58" s="147">
        <f t="shared" si="15"/>
        <v>89.23164</v>
      </c>
      <c r="P58" s="147">
        <f t="shared" si="16"/>
        <v>86.3532</v>
      </c>
      <c r="Q58" s="147">
        <f t="shared" si="17"/>
        <v>89.23164</v>
      </c>
      <c r="R58" s="147">
        <f t="shared" si="17"/>
        <v>89.23164</v>
      </c>
      <c r="S58" s="147">
        <f t="shared" si="18"/>
        <v>80.59632</v>
      </c>
      <c r="T58" s="147">
        <f t="shared" si="19"/>
        <v>89.23164</v>
      </c>
      <c r="U58" s="147">
        <f t="shared" si="20"/>
        <v>1050.6306</v>
      </c>
    </row>
    <row r="59" spans="3:21">
      <c r="C59" s="684"/>
      <c r="D59" s="780" t="s">
        <v>380</v>
      </c>
      <c r="E59" s="55">
        <v>1600</v>
      </c>
      <c r="F59" s="55"/>
      <c r="G59" s="55">
        <v>1390.78</v>
      </c>
      <c r="H59" s="147">
        <f t="shared" si="9"/>
        <v>981.19529</v>
      </c>
      <c r="I59" s="147">
        <f t="shared" si="10"/>
        <v>600.49151748</v>
      </c>
      <c r="J59" s="147">
        <f t="shared" si="11"/>
        <v>620.507901396</v>
      </c>
      <c r="K59" s="147">
        <f t="shared" si="12"/>
        <v>600.49151748</v>
      </c>
      <c r="L59" s="147">
        <f t="shared" si="13"/>
        <v>620.507901396</v>
      </c>
      <c r="M59" s="147">
        <f t="shared" si="13"/>
        <v>620.507901396</v>
      </c>
      <c r="N59" s="147">
        <f t="shared" si="14"/>
        <v>600.49151748</v>
      </c>
      <c r="O59" s="147">
        <f t="shared" si="15"/>
        <v>620.507901396</v>
      </c>
      <c r="P59" s="147">
        <f t="shared" si="16"/>
        <v>600.49151748</v>
      </c>
      <c r="Q59" s="147">
        <f t="shared" si="17"/>
        <v>620.507901396</v>
      </c>
      <c r="R59" s="147">
        <f t="shared" si="17"/>
        <v>620.507901396</v>
      </c>
      <c r="S59" s="147">
        <f t="shared" si="18"/>
        <v>560.458749648</v>
      </c>
      <c r="T59" s="147">
        <f t="shared" si="19"/>
        <v>620.507901396</v>
      </c>
      <c r="U59" s="147">
        <f t="shared" si="20"/>
        <v>7305.98012934</v>
      </c>
    </row>
    <row r="60" spans="3:21">
      <c r="C60" s="55"/>
      <c r="D60" s="780" t="s">
        <v>450</v>
      </c>
      <c r="E60" s="55"/>
      <c r="F60" s="55"/>
      <c r="G60" s="55"/>
      <c r="H60" s="147"/>
      <c r="I60" s="147">
        <f t="shared" si="10"/>
        <v>0</v>
      </c>
      <c r="J60" s="147">
        <f t="shared" si="11"/>
        <v>0</v>
      </c>
      <c r="K60" s="147">
        <f t="shared" si="12"/>
        <v>0</v>
      </c>
      <c r="L60" s="147">
        <f t="shared" si="13"/>
        <v>0</v>
      </c>
      <c r="M60" s="147">
        <f t="shared" si="13"/>
        <v>0</v>
      </c>
      <c r="N60" s="147">
        <f t="shared" si="14"/>
        <v>0</v>
      </c>
      <c r="O60" s="147">
        <f t="shared" si="15"/>
        <v>0</v>
      </c>
      <c r="P60" s="147">
        <f t="shared" si="16"/>
        <v>0</v>
      </c>
      <c r="Q60" s="147">
        <f t="shared" si="17"/>
        <v>0</v>
      </c>
      <c r="R60" s="147">
        <f t="shared" si="17"/>
        <v>0</v>
      </c>
      <c r="S60" s="147">
        <f t="shared" si="18"/>
        <v>0</v>
      </c>
      <c r="T60" s="147">
        <f t="shared" si="19"/>
        <v>0</v>
      </c>
      <c r="U60" s="147">
        <f t="shared" si="20"/>
        <v>0</v>
      </c>
    </row>
    <row r="61" spans="3:21">
      <c r="C61" s="55"/>
      <c r="D61" s="780" t="s">
        <v>381</v>
      </c>
      <c r="E61" s="55">
        <v>630</v>
      </c>
      <c r="F61" s="55"/>
      <c r="G61" s="147">
        <v>5.23</v>
      </c>
      <c r="H61" s="147">
        <f>G61*0.7055</f>
        <v>3.689765</v>
      </c>
      <c r="I61" s="147">
        <f t="shared" si="10"/>
        <v>2.25813618</v>
      </c>
      <c r="J61" s="147">
        <f t="shared" si="11"/>
        <v>2.333407386</v>
      </c>
      <c r="K61" s="147">
        <f t="shared" si="12"/>
        <v>2.25813618</v>
      </c>
      <c r="L61" s="147">
        <f t="shared" si="13"/>
        <v>2.333407386</v>
      </c>
      <c r="M61" s="147">
        <f t="shared" si="13"/>
        <v>2.333407386</v>
      </c>
      <c r="N61" s="147">
        <f t="shared" si="14"/>
        <v>2.25813618</v>
      </c>
      <c r="O61" s="147">
        <f t="shared" si="15"/>
        <v>2.333407386</v>
      </c>
      <c r="P61" s="147">
        <f t="shared" si="16"/>
        <v>2.25813618</v>
      </c>
      <c r="Q61" s="147">
        <f t="shared" si="17"/>
        <v>2.333407386</v>
      </c>
      <c r="R61" s="147">
        <f t="shared" si="17"/>
        <v>2.333407386</v>
      </c>
      <c r="S61" s="147">
        <f t="shared" si="18"/>
        <v>2.107593768</v>
      </c>
      <c r="T61" s="147">
        <f t="shared" si="19"/>
        <v>2.333407386</v>
      </c>
      <c r="U61" s="147">
        <f t="shared" si="20"/>
        <v>27.47399019</v>
      </c>
    </row>
    <row r="62" spans="3:21">
      <c r="C62" s="55"/>
      <c r="D62" s="780" t="s">
        <v>382</v>
      </c>
      <c r="E62" s="55">
        <v>840</v>
      </c>
      <c r="F62" s="55"/>
      <c r="G62" s="147">
        <v>6.89</v>
      </c>
      <c r="H62" s="147">
        <f>G62*0.7055</f>
        <v>4.860895</v>
      </c>
      <c r="I62" s="147">
        <f t="shared" si="10"/>
        <v>2.97486774</v>
      </c>
      <c r="J62" s="147">
        <f t="shared" si="11"/>
        <v>3.074029998</v>
      </c>
      <c r="K62" s="147">
        <f t="shared" si="12"/>
        <v>2.97486774</v>
      </c>
      <c r="L62" s="147">
        <f t="shared" si="13"/>
        <v>3.074029998</v>
      </c>
      <c r="M62" s="147">
        <f t="shared" si="13"/>
        <v>3.074029998</v>
      </c>
      <c r="N62" s="147">
        <f t="shared" si="14"/>
        <v>2.97486774</v>
      </c>
      <c r="O62" s="147">
        <f t="shared" si="15"/>
        <v>3.074029998</v>
      </c>
      <c r="P62" s="147">
        <f t="shared" si="16"/>
        <v>2.97486774</v>
      </c>
      <c r="Q62" s="147">
        <f t="shared" si="17"/>
        <v>3.074029998</v>
      </c>
      <c r="R62" s="147">
        <f t="shared" si="17"/>
        <v>3.074029998</v>
      </c>
      <c r="S62" s="147">
        <f t="shared" si="18"/>
        <v>2.776543224</v>
      </c>
      <c r="T62" s="147">
        <f t="shared" si="19"/>
        <v>3.074029998</v>
      </c>
      <c r="U62" s="147">
        <f t="shared" si="20"/>
        <v>36.19422417</v>
      </c>
    </row>
    <row r="63" spans="3:21">
      <c r="C63" s="55"/>
      <c r="D63" s="780" t="s">
        <v>383</v>
      </c>
      <c r="E63" s="55">
        <v>1000</v>
      </c>
      <c r="F63" s="55"/>
      <c r="G63" s="147">
        <v>66.25</v>
      </c>
      <c r="H63" s="147">
        <f>G63*0.7055</f>
        <v>46.739375</v>
      </c>
      <c r="I63" s="147">
        <f t="shared" si="10"/>
        <v>28.6044975</v>
      </c>
      <c r="J63" s="147">
        <f t="shared" si="11"/>
        <v>29.55798075</v>
      </c>
      <c r="K63" s="147">
        <f t="shared" si="12"/>
        <v>28.6044975</v>
      </c>
      <c r="L63" s="147">
        <f t="shared" si="13"/>
        <v>29.55798075</v>
      </c>
      <c r="M63" s="147">
        <f t="shared" si="13"/>
        <v>29.55798075</v>
      </c>
      <c r="N63" s="147">
        <f t="shared" si="14"/>
        <v>28.6044975</v>
      </c>
      <c r="O63" s="147">
        <f t="shared" si="15"/>
        <v>29.55798075</v>
      </c>
      <c r="P63" s="147">
        <f t="shared" si="16"/>
        <v>28.6044975</v>
      </c>
      <c r="Q63" s="147">
        <f t="shared" si="17"/>
        <v>29.55798075</v>
      </c>
      <c r="R63" s="147">
        <f t="shared" si="17"/>
        <v>29.55798075</v>
      </c>
      <c r="S63" s="147">
        <f t="shared" si="18"/>
        <v>26.697531</v>
      </c>
      <c r="T63" s="147">
        <f t="shared" si="19"/>
        <v>29.55798075</v>
      </c>
      <c r="U63" s="147">
        <f t="shared" si="20"/>
        <v>348.02138625</v>
      </c>
    </row>
    <row r="64" spans="3:21">
      <c r="C64" s="55"/>
      <c r="D64" s="780" t="s">
        <v>384</v>
      </c>
      <c r="E64" s="55">
        <v>0</v>
      </c>
      <c r="F64" s="55"/>
      <c r="G64" s="147"/>
      <c r="H64" s="147"/>
      <c r="I64" s="147">
        <f t="shared" si="10"/>
        <v>0</v>
      </c>
      <c r="J64" s="147">
        <f t="shared" si="11"/>
        <v>0</v>
      </c>
      <c r="K64" s="147">
        <f t="shared" si="12"/>
        <v>0</v>
      </c>
      <c r="L64" s="147">
        <f t="shared" si="13"/>
        <v>0</v>
      </c>
      <c r="M64" s="147">
        <f t="shared" si="13"/>
        <v>0</v>
      </c>
      <c r="N64" s="147">
        <f t="shared" si="14"/>
        <v>0</v>
      </c>
      <c r="O64" s="147">
        <f t="shared" si="15"/>
        <v>0</v>
      </c>
      <c r="P64" s="147">
        <f t="shared" si="16"/>
        <v>0</v>
      </c>
      <c r="Q64" s="147">
        <f t="shared" si="17"/>
        <v>0</v>
      </c>
      <c r="R64" s="147">
        <f t="shared" si="17"/>
        <v>0</v>
      </c>
      <c r="S64" s="147">
        <f t="shared" si="18"/>
        <v>0</v>
      </c>
      <c r="T64" s="147">
        <f t="shared" si="19"/>
        <v>0</v>
      </c>
      <c r="U64" s="147">
        <f t="shared" si="20"/>
        <v>0</v>
      </c>
    </row>
    <row r="65" spans="3:21">
      <c r="C65" s="55"/>
      <c r="D65" s="780" t="s">
        <v>385</v>
      </c>
      <c r="E65" s="55">
        <v>920</v>
      </c>
      <c r="F65" s="55"/>
      <c r="G65" s="147">
        <v>0</v>
      </c>
      <c r="H65" s="147">
        <f>G65*0.7055</f>
        <v>0</v>
      </c>
      <c r="I65" s="147">
        <f t="shared" si="10"/>
        <v>0</v>
      </c>
      <c r="J65" s="147">
        <f t="shared" si="11"/>
        <v>0</v>
      </c>
      <c r="K65" s="147">
        <f t="shared" si="12"/>
        <v>0</v>
      </c>
      <c r="L65" s="147">
        <f t="shared" si="13"/>
        <v>0</v>
      </c>
      <c r="M65" s="147">
        <f t="shared" si="13"/>
        <v>0</v>
      </c>
      <c r="N65" s="147">
        <f t="shared" si="14"/>
        <v>0</v>
      </c>
      <c r="O65" s="147">
        <f t="shared" si="15"/>
        <v>0</v>
      </c>
      <c r="P65" s="147">
        <f t="shared" si="16"/>
        <v>0</v>
      </c>
      <c r="Q65" s="147">
        <f t="shared" si="17"/>
        <v>0</v>
      </c>
      <c r="R65" s="147">
        <f t="shared" si="17"/>
        <v>0</v>
      </c>
      <c r="S65" s="147">
        <f t="shared" si="18"/>
        <v>0</v>
      </c>
      <c r="T65" s="147">
        <f t="shared" si="19"/>
        <v>0</v>
      </c>
      <c r="U65" s="147">
        <f t="shared" si="20"/>
        <v>0</v>
      </c>
    </row>
    <row r="66" spans="3:21">
      <c r="C66" s="55"/>
      <c r="D66" s="780" t="s">
        <v>386</v>
      </c>
      <c r="E66" s="55">
        <v>1500</v>
      </c>
      <c r="F66" s="55"/>
      <c r="G66" s="147">
        <v>106.41</v>
      </c>
      <c r="H66" s="147">
        <f>G66*0.7055</f>
        <v>75.072255</v>
      </c>
      <c r="I66" s="147">
        <f t="shared" si="10"/>
        <v>45.94422006</v>
      </c>
      <c r="J66" s="147">
        <f t="shared" si="11"/>
        <v>47.475694062</v>
      </c>
      <c r="K66" s="147">
        <f t="shared" si="12"/>
        <v>45.94422006</v>
      </c>
      <c r="L66" s="147">
        <f t="shared" si="13"/>
        <v>47.475694062</v>
      </c>
      <c r="M66" s="147">
        <f t="shared" si="13"/>
        <v>47.475694062</v>
      </c>
      <c r="N66" s="147">
        <f t="shared" si="14"/>
        <v>45.94422006</v>
      </c>
      <c r="O66" s="147">
        <f t="shared" si="15"/>
        <v>47.475694062</v>
      </c>
      <c r="P66" s="147">
        <f t="shared" si="16"/>
        <v>45.94422006</v>
      </c>
      <c r="Q66" s="147">
        <f t="shared" si="17"/>
        <v>47.475694062</v>
      </c>
      <c r="R66" s="147">
        <f t="shared" si="17"/>
        <v>47.475694062</v>
      </c>
      <c r="S66" s="147">
        <f t="shared" si="18"/>
        <v>42.881272056</v>
      </c>
      <c r="T66" s="147">
        <f t="shared" si="19"/>
        <v>47.475694062</v>
      </c>
      <c r="U66" s="147">
        <f t="shared" si="20"/>
        <v>558.98801073</v>
      </c>
    </row>
    <row r="67" spans="3:21">
      <c r="C67" s="55"/>
      <c r="D67" s="780" t="s">
        <v>387</v>
      </c>
      <c r="E67" s="55">
        <v>1000</v>
      </c>
      <c r="F67" s="55"/>
      <c r="G67" s="147">
        <v>147.91</v>
      </c>
      <c r="H67" s="147">
        <f>G67*0.7055</f>
        <v>104.350505</v>
      </c>
      <c r="I67" s="147">
        <f t="shared" si="10"/>
        <v>63.86250906</v>
      </c>
      <c r="J67" s="147">
        <f t="shared" si="11"/>
        <v>65.991259362</v>
      </c>
      <c r="K67" s="147">
        <f t="shared" si="12"/>
        <v>63.86250906</v>
      </c>
      <c r="L67" s="147">
        <f t="shared" si="13"/>
        <v>65.991259362</v>
      </c>
      <c r="M67" s="147">
        <f t="shared" si="13"/>
        <v>65.991259362</v>
      </c>
      <c r="N67" s="147">
        <f t="shared" si="14"/>
        <v>63.86250906</v>
      </c>
      <c r="O67" s="147">
        <f t="shared" si="15"/>
        <v>65.991259362</v>
      </c>
      <c r="P67" s="147">
        <f t="shared" si="16"/>
        <v>63.86250906</v>
      </c>
      <c r="Q67" s="147">
        <f t="shared" si="17"/>
        <v>65.991259362</v>
      </c>
      <c r="R67" s="147">
        <f t="shared" si="17"/>
        <v>65.991259362</v>
      </c>
      <c r="S67" s="147">
        <f t="shared" si="18"/>
        <v>59.605008456</v>
      </c>
      <c r="T67" s="147">
        <f t="shared" si="19"/>
        <v>65.991259362</v>
      </c>
      <c r="U67" s="147">
        <f t="shared" si="20"/>
        <v>776.99386023</v>
      </c>
    </row>
    <row r="68" spans="3:21">
      <c r="C68" s="55"/>
      <c r="D68" s="55"/>
      <c r="E68" s="55"/>
      <c r="F68" s="55"/>
      <c r="G68" s="55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>
        <f t="shared" si="20"/>
        <v>0</v>
      </c>
    </row>
    <row r="69" spans="3:21">
      <c r="C69" s="55"/>
      <c r="D69" s="55"/>
      <c r="E69" s="55"/>
      <c r="F69" s="55"/>
      <c r="G69" s="55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>
        <f t="shared" si="20"/>
        <v>0</v>
      </c>
    </row>
    <row r="70" spans="3:21">
      <c r="C70" s="55"/>
      <c r="D70" s="55"/>
      <c r="E70" s="55"/>
      <c r="F70" s="55"/>
      <c r="G70" s="55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>
        <f t="shared" si="20"/>
        <v>0</v>
      </c>
    </row>
    <row r="71" spans="3:21">
      <c r="C71" s="55"/>
      <c r="D71" s="55"/>
      <c r="E71" s="55"/>
      <c r="F71" s="55"/>
      <c r="G71" s="55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>
        <f t="shared" si="20"/>
        <v>0</v>
      </c>
    </row>
    <row r="72" spans="3:21">
      <c r="C72" s="55"/>
      <c r="D72" s="55"/>
      <c r="E72" s="55"/>
      <c r="F72" s="55"/>
      <c r="G72" s="55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>
        <f t="shared" si="20"/>
        <v>0</v>
      </c>
    </row>
    <row r="73" spans="3:21">
      <c r="C73" s="55"/>
      <c r="D73" s="55"/>
      <c r="E73" s="55"/>
      <c r="F73" s="55"/>
      <c r="G73" s="55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>
        <f t="shared" si="20"/>
        <v>0</v>
      </c>
    </row>
    <row r="74" spans="3:21">
      <c r="C74" s="55"/>
      <c r="D74" s="55"/>
      <c r="E74" s="55"/>
      <c r="F74" s="55"/>
      <c r="G74" s="55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>
        <f t="shared" si="20"/>
        <v>0</v>
      </c>
    </row>
    <row r="75" spans="3:21">
      <c r="C75" s="55"/>
      <c r="D75" s="55"/>
      <c r="E75" s="55"/>
      <c r="F75" s="55"/>
      <c r="G75" s="55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>
        <f t="shared" si="20"/>
        <v>0</v>
      </c>
    </row>
    <row r="76" spans="3:21">
      <c r="C76" s="55"/>
      <c r="D76" s="55"/>
      <c r="E76" s="55"/>
      <c r="F76" s="55"/>
      <c r="G76" s="55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>
        <f t="shared" si="20"/>
        <v>0</v>
      </c>
    </row>
    <row r="77" ht="15" spans="3:21">
      <c r="C77" s="537" t="s">
        <v>211</v>
      </c>
      <c r="D77" s="540"/>
      <c r="E77" s="55">
        <f t="shared" ref="E77:T77" si="21">SUM(E51:E76)</f>
        <v>16775</v>
      </c>
      <c r="F77" s="55">
        <f t="shared" si="21"/>
        <v>0</v>
      </c>
      <c r="G77" s="55">
        <f t="shared" si="21"/>
        <v>3704.32</v>
      </c>
      <c r="H77" s="147">
        <f t="shared" si="21"/>
        <v>2613.39776</v>
      </c>
      <c r="I77" s="147">
        <f t="shared" si="21"/>
        <v>1599.39942912</v>
      </c>
      <c r="J77" s="147">
        <f t="shared" si="21"/>
        <v>1652.712743424</v>
      </c>
      <c r="K77" s="147">
        <f t="shared" si="21"/>
        <v>1599.39942912</v>
      </c>
      <c r="L77" s="147">
        <f t="shared" si="21"/>
        <v>1652.712743424</v>
      </c>
      <c r="M77" s="147">
        <f t="shared" si="21"/>
        <v>1652.712743424</v>
      </c>
      <c r="N77" s="147">
        <f t="shared" si="21"/>
        <v>1599.39942912</v>
      </c>
      <c r="O77" s="147">
        <f t="shared" si="21"/>
        <v>1652.712743424</v>
      </c>
      <c r="P77" s="147">
        <f t="shared" si="21"/>
        <v>1599.39942912</v>
      </c>
      <c r="Q77" s="147">
        <f t="shared" si="21"/>
        <v>1652.712743424</v>
      </c>
      <c r="R77" s="147">
        <f t="shared" si="21"/>
        <v>1652.712743424</v>
      </c>
      <c r="S77" s="147">
        <f t="shared" si="21"/>
        <v>1492.772800512</v>
      </c>
      <c r="T77" s="147">
        <f t="shared" si="21"/>
        <v>1652.712743424</v>
      </c>
      <c r="U77" s="316">
        <f>SUM(I77:T77)</f>
        <v>19459.35972096</v>
      </c>
    </row>
    <row r="78" ht="15" spans="3:21">
      <c r="C78" s="44" t="s">
        <v>388</v>
      </c>
      <c r="D78" s="4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</row>
    <row r="79" spans="3:21">
      <c r="C79" s="682" t="s">
        <v>389</v>
      </c>
      <c r="D79" s="55" t="s">
        <v>390</v>
      </c>
      <c r="E79" s="55">
        <f>[45]Gen!DB68</f>
        <v>440</v>
      </c>
      <c r="F79" s="55"/>
      <c r="G79" s="55">
        <f>[45]Gen!DD68</f>
        <v>22.044</v>
      </c>
      <c r="H79" s="147">
        <f>G79*0.7055</f>
        <v>15.552042</v>
      </c>
      <c r="I79" s="147">
        <f t="shared" ref="I79:T83" si="22">$H79*I$6*24/1000</f>
        <v>11.19747024</v>
      </c>
      <c r="J79" s="147">
        <f t="shared" si="22"/>
        <v>11.570719248</v>
      </c>
      <c r="K79" s="147">
        <f t="shared" si="22"/>
        <v>11.19747024</v>
      </c>
      <c r="L79" s="147">
        <f t="shared" si="22"/>
        <v>11.570719248</v>
      </c>
      <c r="M79" s="147">
        <f t="shared" si="22"/>
        <v>11.570719248</v>
      </c>
      <c r="N79" s="147">
        <f t="shared" si="22"/>
        <v>11.19747024</v>
      </c>
      <c r="O79" s="147">
        <f t="shared" si="22"/>
        <v>11.570719248</v>
      </c>
      <c r="P79" s="147">
        <f t="shared" si="22"/>
        <v>11.19747024</v>
      </c>
      <c r="Q79" s="147">
        <f t="shared" si="22"/>
        <v>11.570719248</v>
      </c>
      <c r="R79" s="147">
        <f t="shared" si="22"/>
        <v>11.570719248</v>
      </c>
      <c r="S79" s="147">
        <f t="shared" si="22"/>
        <v>10.450972224</v>
      </c>
      <c r="T79" s="147">
        <f t="shared" si="22"/>
        <v>11.570719248</v>
      </c>
      <c r="U79" s="147">
        <f t="shared" ref="U79:U92" si="23">+SUM(I79:T79)</f>
        <v>136.23588792</v>
      </c>
    </row>
    <row r="80" spans="3:21">
      <c r="C80" s="683"/>
      <c r="D80" s="55" t="s">
        <v>391</v>
      </c>
      <c r="E80" s="55">
        <f>[45]Gen!DB69</f>
        <v>440</v>
      </c>
      <c r="F80" s="55"/>
      <c r="G80" s="55">
        <f>[45]Gen!DD69</f>
        <v>67.716</v>
      </c>
      <c r="H80" s="147">
        <f>G80*0.7055</f>
        <v>47.773638</v>
      </c>
      <c r="I80" s="147">
        <f t="shared" si="22"/>
        <v>34.39701936</v>
      </c>
      <c r="J80" s="147">
        <f t="shared" si="22"/>
        <v>35.543586672</v>
      </c>
      <c r="K80" s="147">
        <f t="shared" si="22"/>
        <v>34.39701936</v>
      </c>
      <c r="L80" s="147">
        <f t="shared" si="22"/>
        <v>35.543586672</v>
      </c>
      <c r="M80" s="147">
        <f t="shared" si="22"/>
        <v>35.543586672</v>
      </c>
      <c r="N80" s="147">
        <f t="shared" si="22"/>
        <v>34.39701936</v>
      </c>
      <c r="O80" s="147">
        <f t="shared" si="22"/>
        <v>35.543586672</v>
      </c>
      <c r="P80" s="147">
        <f t="shared" si="22"/>
        <v>34.39701936</v>
      </c>
      <c r="Q80" s="147">
        <f t="shared" si="22"/>
        <v>35.543586672</v>
      </c>
      <c r="R80" s="147">
        <f t="shared" si="22"/>
        <v>35.543586672</v>
      </c>
      <c r="S80" s="147">
        <f t="shared" si="22"/>
        <v>32.103884736</v>
      </c>
      <c r="T80" s="147">
        <f t="shared" si="22"/>
        <v>35.543586672</v>
      </c>
      <c r="U80" s="147">
        <f t="shared" si="23"/>
        <v>418.49706888</v>
      </c>
    </row>
    <row r="81" spans="3:21">
      <c r="C81" s="683"/>
      <c r="D81" s="55" t="s">
        <v>392</v>
      </c>
      <c r="E81" s="55">
        <f>[45]Gen!DB70</f>
        <v>440</v>
      </c>
      <c r="F81" s="55"/>
      <c r="G81" s="55">
        <f>[45]Gen!DD70</f>
        <v>72.028</v>
      </c>
      <c r="H81" s="147">
        <f>G81*0.7055</f>
        <v>50.815754</v>
      </c>
      <c r="I81" s="147">
        <f t="shared" si="22"/>
        <v>36.58734288</v>
      </c>
      <c r="J81" s="147">
        <f t="shared" si="22"/>
        <v>37.806920976</v>
      </c>
      <c r="K81" s="147">
        <f t="shared" si="22"/>
        <v>36.58734288</v>
      </c>
      <c r="L81" s="147">
        <f t="shared" si="22"/>
        <v>37.806920976</v>
      </c>
      <c r="M81" s="147">
        <f t="shared" si="22"/>
        <v>37.806920976</v>
      </c>
      <c r="N81" s="147">
        <f t="shared" si="22"/>
        <v>36.58734288</v>
      </c>
      <c r="O81" s="147">
        <f t="shared" si="22"/>
        <v>37.806920976</v>
      </c>
      <c r="P81" s="147">
        <f t="shared" si="22"/>
        <v>36.58734288</v>
      </c>
      <c r="Q81" s="147">
        <f t="shared" si="22"/>
        <v>37.806920976</v>
      </c>
      <c r="R81" s="147">
        <f t="shared" si="22"/>
        <v>37.806920976</v>
      </c>
      <c r="S81" s="147">
        <f t="shared" si="22"/>
        <v>34.148186688</v>
      </c>
      <c r="T81" s="147">
        <f t="shared" si="22"/>
        <v>37.806920976</v>
      </c>
      <c r="U81" s="147">
        <f t="shared" si="23"/>
        <v>445.14600504</v>
      </c>
    </row>
    <row r="82" spans="3:21">
      <c r="C82" s="684"/>
      <c r="D82" s="55" t="s">
        <v>393</v>
      </c>
      <c r="E82" s="55">
        <f>[45]Gen!$DB$72</f>
        <v>1000</v>
      </c>
      <c r="F82" s="55"/>
      <c r="G82" s="55">
        <f>[45]Gen!$DD$72</f>
        <v>50</v>
      </c>
      <c r="H82" s="147">
        <f>G82*0.7055</f>
        <v>35.275</v>
      </c>
      <c r="I82" s="147">
        <f t="shared" si="22"/>
        <v>25.398</v>
      </c>
      <c r="J82" s="147">
        <f t="shared" si="22"/>
        <v>26.2446</v>
      </c>
      <c r="K82" s="147">
        <f t="shared" si="22"/>
        <v>25.398</v>
      </c>
      <c r="L82" s="147">
        <f t="shared" si="22"/>
        <v>26.2446</v>
      </c>
      <c r="M82" s="147">
        <f t="shared" si="22"/>
        <v>26.2446</v>
      </c>
      <c r="N82" s="147">
        <f t="shared" si="22"/>
        <v>25.398</v>
      </c>
      <c r="O82" s="147">
        <f t="shared" si="22"/>
        <v>26.2446</v>
      </c>
      <c r="P82" s="147">
        <f t="shared" si="22"/>
        <v>25.398</v>
      </c>
      <c r="Q82" s="147">
        <f t="shared" si="22"/>
        <v>26.2446</v>
      </c>
      <c r="R82" s="147">
        <f t="shared" si="22"/>
        <v>26.2446</v>
      </c>
      <c r="S82" s="147">
        <f t="shared" si="22"/>
        <v>23.7048</v>
      </c>
      <c r="T82" s="147">
        <f t="shared" si="22"/>
        <v>26.2446</v>
      </c>
      <c r="U82" s="147">
        <f t="shared" si="23"/>
        <v>309.009</v>
      </c>
    </row>
    <row r="83" spans="3:21">
      <c r="C83" s="55"/>
      <c r="D83" s="55"/>
      <c r="E83" s="55"/>
      <c r="F83" s="55"/>
      <c r="G83" s="147">
        <v>4.53061237698578</v>
      </c>
      <c r="H83" s="147">
        <f>G83*0.7055</f>
        <v>3.19634703196347</v>
      </c>
      <c r="I83" s="147">
        <f t="shared" si="22"/>
        <v>2.3013698630137</v>
      </c>
      <c r="J83" s="147">
        <f t="shared" si="22"/>
        <v>2.37808219178082</v>
      </c>
      <c r="K83" s="147">
        <f t="shared" si="22"/>
        <v>2.3013698630137</v>
      </c>
      <c r="L83" s="147">
        <f t="shared" si="22"/>
        <v>2.37808219178082</v>
      </c>
      <c r="M83" s="147">
        <f t="shared" si="22"/>
        <v>2.37808219178082</v>
      </c>
      <c r="N83" s="147">
        <f t="shared" si="22"/>
        <v>2.3013698630137</v>
      </c>
      <c r="O83" s="147">
        <f t="shared" si="22"/>
        <v>2.37808219178082</v>
      </c>
      <c r="P83" s="147">
        <f t="shared" si="22"/>
        <v>2.3013698630137</v>
      </c>
      <c r="Q83" s="147">
        <f t="shared" si="22"/>
        <v>2.37808219178082</v>
      </c>
      <c r="R83" s="147">
        <f t="shared" si="22"/>
        <v>2.37808219178082</v>
      </c>
      <c r="S83" s="147">
        <f t="shared" si="22"/>
        <v>2.14794520547945</v>
      </c>
      <c r="T83" s="147">
        <f t="shared" si="22"/>
        <v>2.37808219178082</v>
      </c>
      <c r="U83" s="147">
        <f t="shared" si="23"/>
        <v>28</v>
      </c>
    </row>
    <row r="84" spans="3:21">
      <c r="C84" s="55"/>
      <c r="D84" s="55"/>
      <c r="E84" s="55"/>
      <c r="F84" s="55"/>
      <c r="G84" s="55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>
        <f t="shared" si="23"/>
        <v>0</v>
      </c>
    </row>
    <row r="85" spans="3:21">
      <c r="C85" s="55"/>
      <c r="D85" s="55"/>
      <c r="E85" s="55"/>
      <c r="F85" s="55"/>
      <c r="G85" s="55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>
        <f t="shared" si="23"/>
        <v>0</v>
      </c>
    </row>
    <row r="86" spans="3:21">
      <c r="C86" s="55"/>
      <c r="D86" s="55"/>
      <c r="E86" s="55"/>
      <c r="F86" s="55"/>
      <c r="G86" s="55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>
        <f t="shared" si="23"/>
        <v>0</v>
      </c>
    </row>
    <row r="87" spans="3:21">
      <c r="C87" s="55"/>
      <c r="D87" s="55"/>
      <c r="E87" s="55"/>
      <c r="F87" s="55"/>
      <c r="G87" s="55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>
        <f t="shared" si="23"/>
        <v>0</v>
      </c>
    </row>
    <row r="88" spans="3:21">
      <c r="C88" s="55"/>
      <c r="D88" s="55"/>
      <c r="E88" s="55"/>
      <c r="F88" s="55"/>
      <c r="G88" s="55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>
        <f t="shared" si="23"/>
        <v>0</v>
      </c>
    </row>
    <row r="89" spans="3:21">
      <c r="C89" s="55"/>
      <c r="D89" s="55"/>
      <c r="E89" s="55"/>
      <c r="F89" s="55"/>
      <c r="G89" s="55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>
        <f t="shared" si="23"/>
        <v>0</v>
      </c>
    </row>
    <row r="90" spans="3:21">
      <c r="C90" s="55"/>
      <c r="D90" s="55"/>
      <c r="E90" s="55"/>
      <c r="F90" s="55"/>
      <c r="G90" s="55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>
        <f t="shared" si="23"/>
        <v>0</v>
      </c>
    </row>
    <row r="91" spans="3:21">
      <c r="C91" s="55"/>
      <c r="D91" s="55"/>
      <c r="E91" s="55"/>
      <c r="F91" s="55"/>
      <c r="G91" s="55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>
        <f t="shared" si="23"/>
        <v>0</v>
      </c>
    </row>
    <row r="92" spans="3:21">
      <c r="C92" s="55"/>
      <c r="D92" s="55"/>
      <c r="E92" s="55"/>
      <c r="F92" s="55"/>
      <c r="G92" s="55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>
        <f t="shared" si="23"/>
        <v>0</v>
      </c>
    </row>
    <row r="93" ht="15" spans="3:21">
      <c r="C93" s="537" t="s">
        <v>211</v>
      </c>
      <c r="D93" s="540"/>
      <c r="E93" s="55">
        <f t="shared" ref="E93:T93" si="24">SUM(E79:E92)</f>
        <v>2320</v>
      </c>
      <c r="F93" s="55">
        <f t="shared" si="24"/>
        <v>0</v>
      </c>
      <c r="G93" s="55">
        <f t="shared" si="24"/>
        <v>216.318612376986</v>
      </c>
      <c r="H93" s="147">
        <f t="shared" si="24"/>
        <v>152.612781031963</v>
      </c>
      <c r="I93" s="147">
        <f t="shared" si="24"/>
        <v>109.881202343014</v>
      </c>
      <c r="J93" s="147">
        <f t="shared" si="24"/>
        <v>113.543909087781</v>
      </c>
      <c r="K93" s="147">
        <f t="shared" si="24"/>
        <v>109.881202343014</v>
      </c>
      <c r="L93" s="147">
        <f t="shared" si="24"/>
        <v>113.543909087781</v>
      </c>
      <c r="M93" s="147">
        <f t="shared" si="24"/>
        <v>113.543909087781</v>
      </c>
      <c r="N93" s="147">
        <f t="shared" si="24"/>
        <v>109.881202343014</v>
      </c>
      <c r="O93" s="147">
        <f t="shared" si="24"/>
        <v>113.543909087781</v>
      </c>
      <c r="P93" s="147">
        <f t="shared" si="24"/>
        <v>109.881202343014</v>
      </c>
      <c r="Q93" s="147">
        <f t="shared" si="24"/>
        <v>113.543909087781</v>
      </c>
      <c r="R93" s="147">
        <f t="shared" si="24"/>
        <v>113.543909087781</v>
      </c>
      <c r="S93" s="147">
        <f t="shared" si="24"/>
        <v>102.555788853479</v>
      </c>
      <c r="T93" s="147">
        <f t="shared" si="24"/>
        <v>113.543909087781</v>
      </c>
      <c r="U93" s="316">
        <f>SUM(I93:T93)</f>
        <v>1336.88796184</v>
      </c>
    </row>
    <row r="94" ht="15" spans="3:21">
      <c r="C94" s="44" t="s">
        <v>395</v>
      </c>
      <c r="D94" s="45"/>
      <c r="E94" s="55">
        <f t="shared" ref="E94:U94" si="25">E77+E93</f>
        <v>19095</v>
      </c>
      <c r="F94" s="55">
        <f t="shared" si="25"/>
        <v>0</v>
      </c>
      <c r="G94" s="55">
        <f t="shared" si="25"/>
        <v>3920.63861237699</v>
      </c>
      <c r="H94" s="147">
        <f t="shared" si="25"/>
        <v>2766.01054103196</v>
      </c>
      <c r="I94" s="147">
        <f t="shared" si="25"/>
        <v>1709.28063146301</v>
      </c>
      <c r="J94" s="147">
        <f t="shared" si="25"/>
        <v>1766.25665251178</v>
      </c>
      <c r="K94" s="147">
        <f t="shared" si="25"/>
        <v>1709.28063146301</v>
      </c>
      <c r="L94" s="147">
        <f t="shared" si="25"/>
        <v>1766.25665251178</v>
      </c>
      <c r="M94" s="147">
        <f t="shared" si="25"/>
        <v>1766.25665251178</v>
      </c>
      <c r="N94" s="147">
        <f t="shared" si="25"/>
        <v>1709.28063146301</v>
      </c>
      <c r="O94" s="147">
        <f t="shared" si="25"/>
        <v>1766.25665251178</v>
      </c>
      <c r="P94" s="147">
        <f t="shared" si="25"/>
        <v>1709.28063146301</v>
      </c>
      <c r="Q94" s="147">
        <f t="shared" si="25"/>
        <v>1766.25665251178</v>
      </c>
      <c r="R94" s="147">
        <f t="shared" si="25"/>
        <v>1766.25665251178</v>
      </c>
      <c r="S94" s="147">
        <f t="shared" si="25"/>
        <v>1595.32858936548</v>
      </c>
      <c r="T94" s="147">
        <f t="shared" si="25"/>
        <v>1766.25665251178</v>
      </c>
      <c r="U94" s="316">
        <f t="shared" si="25"/>
        <v>20796.2476828</v>
      </c>
    </row>
    <row r="95" ht="15" spans="3:21">
      <c r="C95" s="663" t="s">
        <v>396</v>
      </c>
      <c r="D95" s="676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</row>
    <row r="96" spans="3:21">
      <c r="C96" s="55" t="s">
        <v>397</v>
      </c>
      <c r="D96" s="55" t="s">
        <v>397</v>
      </c>
      <c r="E96" s="55">
        <v>500</v>
      </c>
      <c r="F96" s="55"/>
      <c r="G96" s="55">
        <v>269.45</v>
      </c>
      <c r="H96" s="147">
        <f>G96*0.7055</f>
        <v>190.096975</v>
      </c>
      <c r="I96" s="147">
        <f>H96*0.85*30*24/1000</f>
        <v>116.3393487</v>
      </c>
      <c r="J96" s="147">
        <f>H96*0.85*31*24/1000</f>
        <v>120.21732699</v>
      </c>
      <c r="K96" s="147">
        <f>H96*0.85*30*24/1000</f>
        <v>116.3393487</v>
      </c>
      <c r="L96" s="147">
        <f>H96*0.85*31*24/1000</f>
        <v>120.21732699</v>
      </c>
      <c r="M96" s="147">
        <f>H96*0.85*31*24/1000</f>
        <v>120.21732699</v>
      </c>
      <c r="N96" s="147">
        <f>H96*0.85*30*24/1000</f>
        <v>116.3393487</v>
      </c>
      <c r="O96" s="147">
        <f>H96*0.85*31*24/1000</f>
        <v>120.21732699</v>
      </c>
      <c r="P96" s="147">
        <f>H96*0.85*30*24/1000</f>
        <v>116.3393487</v>
      </c>
      <c r="Q96" s="147">
        <f>H96*0.85*31*24/1000</f>
        <v>120.21732699</v>
      </c>
      <c r="R96" s="147">
        <f>H96*0.85*31*24/1000</f>
        <v>120.21732699</v>
      </c>
      <c r="S96" s="147">
        <f>H96*0.85*28*24/1000</f>
        <v>108.58339212</v>
      </c>
      <c r="T96" s="147">
        <f>H96*0.85*31*24/1000</f>
        <v>120.21732699</v>
      </c>
      <c r="U96" s="147">
        <f t="shared" ref="U96:U102" si="26">+SUM(I96:T96)</f>
        <v>1415.46207585</v>
      </c>
    </row>
    <row r="97" spans="3:21">
      <c r="C97" s="55" t="s">
        <v>398</v>
      </c>
      <c r="D97" s="55" t="s">
        <v>398</v>
      </c>
      <c r="E97" s="55">
        <v>570</v>
      </c>
      <c r="F97" s="55"/>
      <c r="G97" s="55">
        <v>570</v>
      </c>
      <c r="H97" s="147">
        <v>0</v>
      </c>
      <c r="I97" s="147">
        <v>0</v>
      </c>
      <c r="J97" s="147">
        <v>0</v>
      </c>
      <c r="K97" s="147">
        <v>0</v>
      </c>
      <c r="L97" s="147">
        <v>0</v>
      </c>
      <c r="M97" s="147">
        <v>0</v>
      </c>
      <c r="N97" s="147">
        <v>0</v>
      </c>
      <c r="O97" s="147">
        <v>0</v>
      </c>
      <c r="P97" s="147">
        <v>0</v>
      </c>
      <c r="Q97" s="147">
        <v>0</v>
      </c>
      <c r="R97" s="147">
        <v>0</v>
      </c>
      <c r="S97" s="147">
        <v>0</v>
      </c>
      <c r="T97" s="147">
        <v>0</v>
      </c>
      <c r="U97" s="147">
        <f t="shared" si="26"/>
        <v>0</v>
      </c>
    </row>
    <row r="98" spans="3:21">
      <c r="C98" s="55"/>
      <c r="D98" s="55"/>
      <c r="E98" s="55"/>
      <c r="F98" s="55"/>
      <c r="G98" s="55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>
        <f t="shared" si="26"/>
        <v>0</v>
      </c>
    </row>
    <row r="99" spans="3:21">
      <c r="C99" s="55"/>
      <c r="D99" s="55"/>
      <c r="E99" s="55"/>
      <c r="F99" s="55"/>
      <c r="G99" s="55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>
        <f t="shared" si="26"/>
        <v>0</v>
      </c>
    </row>
    <row r="100" spans="3:21">
      <c r="C100" s="55"/>
      <c r="D100" s="55"/>
      <c r="E100" s="55"/>
      <c r="F100" s="55"/>
      <c r="G100" s="55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>
        <f t="shared" si="26"/>
        <v>0</v>
      </c>
    </row>
    <row r="101" spans="3:21">
      <c r="C101" s="55"/>
      <c r="D101" s="55"/>
      <c r="E101" s="55"/>
      <c r="F101" s="55"/>
      <c r="G101" s="55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>
        <f t="shared" si="26"/>
        <v>0</v>
      </c>
    </row>
    <row r="102" spans="3:21">
      <c r="C102" s="55"/>
      <c r="D102" s="55"/>
      <c r="E102" s="55"/>
      <c r="F102" s="55"/>
      <c r="G102" s="55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>
        <f t="shared" si="26"/>
        <v>0</v>
      </c>
    </row>
    <row r="103" ht="15" spans="3:21">
      <c r="C103" s="44" t="s">
        <v>399</v>
      </c>
      <c r="D103" s="45"/>
      <c r="E103" s="55">
        <f t="shared" ref="E103:T103" si="27">SUM(E96:E102)</f>
        <v>1070</v>
      </c>
      <c r="F103" s="55">
        <f t="shared" si="27"/>
        <v>0</v>
      </c>
      <c r="G103" s="55">
        <f t="shared" si="27"/>
        <v>839.45</v>
      </c>
      <c r="H103" s="147">
        <f t="shared" si="27"/>
        <v>190.096975</v>
      </c>
      <c r="I103" s="147">
        <f t="shared" si="27"/>
        <v>116.3393487</v>
      </c>
      <c r="J103" s="147">
        <f t="shared" si="27"/>
        <v>120.21732699</v>
      </c>
      <c r="K103" s="147">
        <f t="shared" si="27"/>
        <v>116.3393487</v>
      </c>
      <c r="L103" s="147">
        <f t="shared" si="27"/>
        <v>120.21732699</v>
      </c>
      <c r="M103" s="147">
        <f t="shared" si="27"/>
        <v>120.21732699</v>
      </c>
      <c r="N103" s="147">
        <f t="shared" si="27"/>
        <v>116.3393487</v>
      </c>
      <c r="O103" s="147">
        <f t="shared" si="27"/>
        <v>120.21732699</v>
      </c>
      <c r="P103" s="147">
        <f t="shared" si="27"/>
        <v>116.3393487</v>
      </c>
      <c r="Q103" s="147">
        <f t="shared" si="27"/>
        <v>120.21732699</v>
      </c>
      <c r="R103" s="147">
        <f t="shared" si="27"/>
        <v>120.21732699</v>
      </c>
      <c r="S103" s="147">
        <f t="shared" si="27"/>
        <v>108.58339212</v>
      </c>
      <c r="T103" s="147">
        <f t="shared" si="27"/>
        <v>120.21732699</v>
      </c>
      <c r="U103" s="316">
        <f>SUM(I103:T103)</f>
        <v>1415.46207585</v>
      </c>
    </row>
    <row r="104" ht="15" spans="3:21">
      <c r="C104" s="663" t="s">
        <v>400</v>
      </c>
      <c r="D104" s="676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</row>
    <row r="105" spans="3:21">
      <c r="C105" s="55" t="s">
        <v>401</v>
      </c>
      <c r="D105" s="55" t="s">
        <v>401</v>
      </c>
      <c r="E105" s="55">
        <v>2000</v>
      </c>
      <c r="F105" s="55"/>
      <c r="G105" s="55">
        <f>E105</f>
        <v>2000</v>
      </c>
      <c r="H105" s="147">
        <f>G105*0.7055</f>
        <v>1411</v>
      </c>
      <c r="I105" s="147">
        <f>H105*0.85*30*24/1000</f>
        <v>863.532</v>
      </c>
      <c r="J105" s="147">
        <f>H105*0.85*31*24/1000</f>
        <v>892.3164</v>
      </c>
      <c r="K105" s="147">
        <f>H105*0.85*30*24/1000</f>
        <v>863.532</v>
      </c>
      <c r="L105" s="147">
        <f>H105*0.85*31*24/1000</f>
        <v>892.3164</v>
      </c>
      <c r="M105" s="147">
        <f>H105*0.85*31*24/1000</f>
        <v>892.3164</v>
      </c>
      <c r="N105" s="147">
        <f>H105*0.85*30*24/1000</f>
        <v>863.532</v>
      </c>
      <c r="O105" s="147">
        <f>H105*0.85*31*24/1000</f>
        <v>892.3164</v>
      </c>
      <c r="P105" s="147">
        <f>H105*0.85*30*24/1000</f>
        <v>863.532</v>
      </c>
      <c r="Q105" s="147">
        <f>H105*0.85*31*24/1000</f>
        <v>892.3164</v>
      </c>
      <c r="R105" s="147">
        <f>H105*0.85*31*24/1000</f>
        <v>892.3164</v>
      </c>
      <c r="S105" s="147">
        <f>H105*0.85*28*24/1000</f>
        <v>805.9632</v>
      </c>
      <c r="T105" s="147">
        <f>H105*0.85*31*24/1000</f>
        <v>892.3164</v>
      </c>
      <c r="U105" s="147">
        <f t="shared" ref="U105:U112" si="28">+SUM(I105:T105)</f>
        <v>10506.306</v>
      </c>
    </row>
    <row r="106" spans="3:21">
      <c r="C106" s="55" t="s">
        <v>402</v>
      </c>
      <c r="D106" s="55" t="s">
        <v>402</v>
      </c>
      <c r="E106" s="55">
        <v>1000</v>
      </c>
      <c r="F106" s="55"/>
      <c r="G106" s="55">
        <v>1000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147">
        <v>0</v>
      </c>
      <c r="R106" s="147">
        <v>0</v>
      </c>
      <c r="S106" s="147">
        <v>0</v>
      </c>
      <c r="T106" s="147">
        <v>0</v>
      </c>
      <c r="U106" s="147">
        <f t="shared" si="28"/>
        <v>0</v>
      </c>
    </row>
    <row r="107" spans="3:21">
      <c r="C107" s="55" t="s">
        <v>403</v>
      </c>
      <c r="D107" s="55" t="s">
        <v>403</v>
      </c>
      <c r="E107" s="55"/>
      <c r="F107" s="55"/>
      <c r="G107" s="55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>
        <f t="shared" si="28"/>
        <v>0</v>
      </c>
    </row>
    <row r="108" spans="3:21">
      <c r="C108" s="55"/>
      <c r="D108" s="55"/>
      <c r="E108" s="55"/>
      <c r="F108" s="55"/>
      <c r="G108" s="55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>
        <f t="shared" si="28"/>
        <v>0</v>
      </c>
    </row>
    <row r="109" spans="3:21">
      <c r="C109" s="55"/>
      <c r="D109" s="55"/>
      <c r="E109" s="55"/>
      <c r="F109" s="55"/>
      <c r="G109" s="55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>
        <f t="shared" si="28"/>
        <v>0</v>
      </c>
    </row>
    <row r="110" spans="3:21">
      <c r="C110" s="55"/>
      <c r="D110" s="55"/>
      <c r="E110" s="55"/>
      <c r="F110" s="55"/>
      <c r="G110" s="55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>
        <f t="shared" si="28"/>
        <v>0</v>
      </c>
    </row>
    <row r="111" spans="3:21">
      <c r="C111" s="55"/>
      <c r="D111" s="55"/>
      <c r="E111" s="55"/>
      <c r="F111" s="55"/>
      <c r="G111" s="55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>
        <f t="shared" si="28"/>
        <v>0</v>
      </c>
    </row>
    <row r="112" spans="3:21">
      <c r="C112" s="55"/>
      <c r="D112" s="55"/>
      <c r="E112" s="55"/>
      <c r="F112" s="55"/>
      <c r="G112" s="55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>
        <f t="shared" si="28"/>
        <v>0</v>
      </c>
    </row>
    <row r="113" ht="15" spans="3:21">
      <c r="C113" s="44" t="s">
        <v>404</v>
      </c>
      <c r="D113" s="45"/>
      <c r="E113" s="55">
        <f t="shared" ref="E113:T113" si="29">SUM(E105:E112)</f>
        <v>3000</v>
      </c>
      <c r="F113" s="55">
        <f t="shared" si="29"/>
        <v>0</v>
      </c>
      <c r="G113" s="55">
        <f t="shared" si="29"/>
        <v>3000</v>
      </c>
      <c r="H113" s="147">
        <f t="shared" si="29"/>
        <v>1411</v>
      </c>
      <c r="I113" s="147">
        <f t="shared" si="29"/>
        <v>863.532</v>
      </c>
      <c r="J113" s="147">
        <f t="shared" si="29"/>
        <v>892.3164</v>
      </c>
      <c r="K113" s="147">
        <f t="shared" si="29"/>
        <v>863.532</v>
      </c>
      <c r="L113" s="147">
        <f t="shared" si="29"/>
        <v>892.3164</v>
      </c>
      <c r="M113" s="147">
        <f t="shared" si="29"/>
        <v>892.3164</v>
      </c>
      <c r="N113" s="147">
        <f t="shared" si="29"/>
        <v>863.532</v>
      </c>
      <c r="O113" s="147">
        <f t="shared" si="29"/>
        <v>892.3164</v>
      </c>
      <c r="P113" s="147">
        <f t="shared" si="29"/>
        <v>863.532</v>
      </c>
      <c r="Q113" s="147">
        <f t="shared" si="29"/>
        <v>892.3164</v>
      </c>
      <c r="R113" s="147">
        <f t="shared" si="29"/>
        <v>892.3164</v>
      </c>
      <c r="S113" s="147">
        <f t="shared" si="29"/>
        <v>805.9632</v>
      </c>
      <c r="T113" s="147">
        <f t="shared" si="29"/>
        <v>892.3164</v>
      </c>
      <c r="U113" s="316">
        <f>SUM(I113:T113)</f>
        <v>10506.306</v>
      </c>
    </row>
    <row r="114" ht="15" spans="3:21">
      <c r="C114" s="663" t="s">
        <v>405</v>
      </c>
      <c r="D114" s="676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</row>
    <row r="115" spans="3:21">
      <c r="C115" s="55"/>
      <c r="D115" s="55" t="s">
        <v>406</v>
      </c>
      <c r="E115" s="146">
        <f>'[43]F9-Year(n)'!E114</f>
        <v>12</v>
      </c>
      <c r="F115" s="55"/>
      <c r="G115" s="146">
        <f>'[43]F9-Year(n)'!G114</f>
        <v>12</v>
      </c>
      <c r="H115" s="147">
        <f t="shared" ref="H115:H125" si="30">G115*0.7055</f>
        <v>8.466</v>
      </c>
      <c r="I115" s="147">
        <f>'F11-Year(n+5)'!E115</f>
        <v>0.0324651300743771</v>
      </c>
      <c r="J115" s="147">
        <f>'F11-Year(n+5)'!F115</f>
        <v>0.0324651300743771</v>
      </c>
      <c r="K115" s="147">
        <f>'F11-Year(n+5)'!G115</f>
        <v>0.0324651300743771</v>
      </c>
      <c r="L115" s="147">
        <f>'F11-Year(n+5)'!H115</f>
        <v>0.0324651300743771</v>
      </c>
      <c r="M115" s="147">
        <f>'F11-Year(n+5)'!I115</f>
        <v>0.0324651300743771</v>
      </c>
      <c r="N115" s="147">
        <f>'F11-Year(n+5)'!J115</f>
        <v>0.0324651300743771</v>
      </c>
      <c r="O115" s="147">
        <f>'F11-Year(n+5)'!K115</f>
        <v>0.0324651300743771</v>
      </c>
      <c r="P115" s="147">
        <f>'F11-Year(n+5)'!L115</f>
        <v>0.0324651300743771</v>
      </c>
      <c r="Q115" s="147">
        <f>'F11-Year(n+5)'!M115</f>
        <v>0.0324651300743771</v>
      </c>
      <c r="R115" s="147">
        <f>'F11-Year(n+5)'!N115</f>
        <v>0.0324651300743771</v>
      </c>
      <c r="S115" s="147">
        <f>'F11-Year(n+5)'!O115</f>
        <v>0.0324651300743771</v>
      </c>
      <c r="T115" s="147">
        <f>'F11-Year(n+5)'!P115</f>
        <v>0.0324651300743771</v>
      </c>
      <c r="U115" s="55">
        <f t="shared" ref="U115:U138" si="31">+SUM(I115:T115)</f>
        <v>0.389581560892525</v>
      </c>
    </row>
    <row r="116" spans="3:21">
      <c r="C116" s="55"/>
      <c r="D116" s="55" t="s">
        <v>407</v>
      </c>
      <c r="E116" s="146">
        <f>'[43]F9-Year(n)'!E115</f>
        <v>46.7</v>
      </c>
      <c r="F116" s="55"/>
      <c r="G116" s="146">
        <f>'[43]F9-Year(n)'!G115</f>
        <v>46.7</v>
      </c>
      <c r="H116" s="147">
        <f t="shared" si="30"/>
        <v>32.94685</v>
      </c>
      <c r="I116" s="147">
        <f>'F11-Year(n+5)'!E116</f>
        <v>0</v>
      </c>
      <c r="J116" s="147">
        <f>'F11-Year(n+5)'!F116</f>
        <v>0</v>
      </c>
      <c r="K116" s="147">
        <f>'F11-Year(n+5)'!G116</f>
        <v>0</v>
      </c>
      <c r="L116" s="147">
        <f>'F11-Year(n+5)'!H116</f>
        <v>0</v>
      </c>
      <c r="M116" s="147">
        <f>'F11-Year(n+5)'!I116</f>
        <v>0</v>
      </c>
      <c r="N116" s="147">
        <f>'F11-Year(n+5)'!J116</f>
        <v>0</v>
      </c>
      <c r="O116" s="147">
        <f>'F11-Year(n+5)'!K116</f>
        <v>0</v>
      </c>
      <c r="P116" s="147">
        <f>'F11-Year(n+5)'!L116</f>
        <v>0</v>
      </c>
      <c r="Q116" s="147">
        <f>'F11-Year(n+5)'!M116</f>
        <v>0</v>
      </c>
      <c r="R116" s="147">
        <f>'F11-Year(n+5)'!N116</f>
        <v>0</v>
      </c>
      <c r="S116" s="147">
        <f>'F11-Year(n+5)'!O116</f>
        <v>0</v>
      </c>
      <c r="T116" s="147">
        <f>'F11-Year(n+5)'!P116</f>
        <v>0</v>
      </c>
      <c r="U116" s="55">
        <f t="shared" si="31"/>
        <v>0</v>
      </c>
    </row>
    <row r="117" spans="3:21">
      <c r="C117" s="55"/>
      <c r="D117" s="55" t="s">
        <v>408</v>
      </c>
      <c r="E117" s="146">
        <f>'[43]F9-Year(n)'!E116</f>
        <v>19.8</v>
      </c>
      <c r="F117" s="55"/>
      <c r="G117" s="146">
        <f>'[43]F9-Year(n)'!G116</f>
        <v>19.8</v>
      </c>
      <c r="H117" s="147">
        <f t="shared" si="30"/>
        <v>13.9689</v>
      </c>
      <c r="I117" s="147">
        <f>'F11-Year(n+5)'!E117</f>
        <v>8.33472884848195</v>
      </c>
      <c r="J117" s="147">
        <f>'F11-Year(n+5)'!F117</f>
        <v>5.86049620717238</v>
      </c>
      <c r="K117" s="147">
        <f>'F11-Year(n+5)'!G117</f>
        <v>4.87268313981352</v>
      </c>
      <c r="L117" s="147">
        <f>'F11-Year(n+5)'!H117</f>
        <v>6.88031947530495</v>
      </c>
      <c r="M117" s="147">
        <f>'F11-Year(n+5)'!I117</f>
        <v>6.88031947530495</v>
      </c>
      <c r="N117" s="147">
        <f>'F11-Year(n+5)'!J117</f>
        <v>4.90467759528434</v>
      </c>
      <c r="O117" s="147">
        <f>'F11-Year(n+5)'!K117</f>
        <v>6.88031947530495</v>
      </c>
      <c r="P117" s="147">
        <f>'F11-Year(n+5)'!L117</f>
        <v>6.46486128905375</v>
      </c>
      <c r="Q117" s="147">
        <f>'F11-Year(n+5)'!M117</f>
        <v>10.550812000489</v>
      </c>
      <c r="R117" s="147">
        <f>'F11-Year(n+5)'!N117</f>
        <v>10.7271121569393</v>
      </c>
      <c r="S117" s="147">
        <f>'F11-Year(n+5)'!O117</f>
        <v>11.3145431655633</v>
      </c>
      <c r="T117" s="147">
        <f>'F11-Year(n+5)'!P117</f>
        <v>11.3623983894778</v>
      </c>
      <c r="U117" s="55">
        <f t="shared" si="31"/>
        <v>95.0332712181902</v>
      </c>
    </row>
    <row r="118" spans="3:21">
      <c r="C118" s="55"/>
      <c r="D118" s="55" t="s">
        <v>409</v>
      </c>
      <c r="E118" s="146">
        <f>'[43]F9-Year(n)'!E117</f>
        <v>15</v>
      </c>
      <c r="F118" s="55"/>
      <c r="G118" s="146">
        <f>'[43]F9-Year(n)'!G117</f>
        <v>15</v>
      </c>
      <c r="H118" s="147">
        <f t="shared" si="30"/>
        <v>10.5825</v>
      </c>
      <c r="I118" s="147">
        <f>'F11-Year(n+5)'!E118</f>
        <v>3.54769956660696</v>
      </c>
      <c r="J118" s="147">
        <f>'F11-Year(n+5)'!F118</f>
        <v>2.49453584300754</v>
      </c>
      <c r="K118" s="147">
        <f>'F11-Year(n+5)'!G118</f>
        <v>2.07407057597057</v>
      </c>
      <c r="L118" s="147">
        <f>'F11-Year(n+5)'!H118</f>
        <v>2.9286263373886</v>
      </c>
      <c r="M118" s="147">
        <f>'F11-Year(n+5)'!I118</f>
        <v>2.9286263373886</v>
      </c>
      <c r="N118" s="147">
        <f>'F11-Year(n+5)'!J118</f>
        <v>2.08768910128448</v>
      </c>
      <c r="O118" s="147">
        <f>'F11-Year(n+5)'!K118</f>
        <v>2.9286263373886</v>
      </c>
      <c r="P118" s="147">
        <f>'F11-Year(n+5)'!L118</f>
        <v>2.7517854522079</v>
      </c>
      <c r="Q118" s="147">
        <f>'F11-Year(n+5)'!M118</f>
        <v>4.49098127149079</v>
      </c>
      <c r="R118" s="147">
        <f>'F11-Year(n+5)'!N118</f>
        <v>4.56602390335099</v>
      </c>
      <c r="S118" s="147">
        <f>'F11-Year(n+5)'!O118</f>
        <v>4.81606547909902</v>
      </c>
      <c r="T118" s="147">
        <f>'F11-Year(n+5)'!P118</f>
        <v>4.83643518280839</v>
      </c>
      <c r="U118" s="55">
        <f t="shared" si="31"/>
        <v>40.4511653879924</v>
      </c>
    </row>
    <row r="119" spans="3:21">
      <c r="C119" s="55"/>
      <c r="D119" s="55" t="s">
        <v>410</v>
      </c>
      <c r="E119" s="146">
        <f>'[43]F9-Year(n)'!E118</f>
        <v>128.1</v>
      </c>
      <c r="F119" s="55"/>
      <c r="G119" s="146">
        <f>'[43]F9-Year(n)'!G118</f>
        <v>128.1</v>
      </c>
      <c r="H119" s="147">
        <f t="shared" si="30"/>
        <v>90.37455</v>
      </c>
      <c r="I119" s="147">
        <f>'F11-Year(n+5)'!E119</f>
        <v>17.8877326582744</v>
      </c>
      <c r="J119" s="147">
        <f>'F11-Year(n+5)'!F119</f>
        <v>15.3393762974831</v>
      </c>
      <c r="K119" s="147">
        <f>'F11-Year(n+5)'!G119</f>
        <v>36.4872053187195</v>
      </c>
      <c r="L119" s="147">
        <f>'F11-Year(n+5)'!H119</f>
        <v>53.0728966490135</v>
      </c>
      <c r="M119" s="147">
        <f>'F11-Year(n+5)'!I119</f>
        <v>28.9608081523128</v>
      </c>
      <c r="N119" s="147">
        <f>'F11-Year(n+5)'!J119</f>
        <v>21.2969304433099</v>
      </c>
      <c r="O119" s="147">
        <f>'F11-Year(n+5)'!K119</f>
        <v>12.9150820557443</v>
      </c>
      <c r="P119" s="147">
        <f>'F11-Year(n+5)'!L119</f>
        <v>17.9336137560102</v>
      </c>
      <c r="Q119" s="147">
        <f>'F11-Year(n+5)'!M119</f>
        <v>20.5065430300108</v>
      </c>
      <c r="R119" s="147">
        <f>'F11-Year(n+5)'!N119</f>
        <v>19.8326364722087</v>
      </c>
      <c r="S119" s="147">
        <f>'F11-Year(n+5)'!O119</f>
        <v>13.5981560882846</v>
      </c>
      <c r="T119" s="147">
        <f>'F11-Year(n+5)'!P119</f>
        <v>17.6604866515882</v>
      </c>
      <c r="U119" s="55">
        <f t="shared" si="31"/>
        <v>275.49146757296</v>
      </c>
    </row>
    <row r="120" spans="3:21">
      <c r="C120" s="55"/>
      <c r="D120" s="55" t="s">
        <v>368</v>
      </c>
      <c r="E120" s="146">
        <f>'[43]F9-Year(n)'!E119</f>
        <v>3.55</v>
      </c>
      <c r="F120" s="55"/>
      <c r="G120" s="146">
        <f>'[43]F9-Year(n)'!G119</f>
        <v>3.55</v>
      </c>
      <c r="H120" s="147">
        <f t="shared" si="30"/>
        <v>2.504525</v>
      </c>
      <c r="I120" s="147">
        <f>'F11-Year(n+5)'!E120</f>
        <v>0.0078979694305466</v>
      </c>
      <c r="J120" s="147">
        <f>'F11-Year(n+5)'!F120</f>
        <v>0.0078979694305466</v>
      </c>
      <c r="K120" s="147">
        <f>'F11-Year(n+5)'!G120</f>
        <v>0.0078979694305466</v>
      </c>
      <c r="L120" s="147">
        <f>'F11-Year(n+5)'!H120</f>
        <v>0.0078979694305466</v>
      </c>
      <c r="M120" s="147">
        <f>'F11-Year(n+5)'!I120</f>
        <v>0.0078979694305466</v>
      </c>
      <c r="N120" s="147">
        <f>'F11-Year(n+5)'!J120</f>
        <v>0.0078979694305466</v>
      </c>
      <c r="O120" s="147">
        <f>'F11-Year(n+5)'!K120</f>
        <v>0.0078979694305466</v>
      </c>
      <c r="P120" s="147">
        <f>'F11-Year(n+5)'!L120</f>
        <v>0.0078979694305466</v>
      </c>
      <c r="Q120" s="147">
        <f>'F11-Year(n+5)'!M120</f>
        <v>0.0078979694305466</v>
      </c>
      <c r="R120" s="147">
        <f>'F11-Year(n+5)'!N120</f>
        <v>0.0078979694305466</v>
      </c>
      <c r="S120" s="147">
        <f>'F11-Year(n+5)'!O120</f>
        <v>0.0078979694305466</v>
      </c>
      <c r="T120" s="147">
        <f>'F11-Year(n+5)'!P120</f>
        <v>0.0078979694305466</v>
      </c>
      <c r="U120" s="55">
        <f t="shared" si="31"/>
        <v>0.0947756331665592</v>
      </c>
    </row>
    <row r="121" spans="3:21">
      <c r="C121" s="55"/>
      <c r="D121" s="55" t="s">
        <v>411</v>
      </c>
      <c r="E121" s="146">
        <f>'[43]F9-Year(n)'!E120</f>
        <v>2833.74</v>
      </c>
      <c r="F121" s="55"/>
      <c r="G121" s="146">
        <f>'[43]F9-Year(n)'!G120</f>
        <v>2833.74</v>
      </c>
      <c r="H121" s="147">
        <f t="shared" si="30"/>
        <v>1999.20357</v>
      </c>
      <c r="I121" s="147">
        <f>'F11-Year(n+5)'!E121</f>
        <v>509.848987203644</v>
      </c>
      <c r="J121" s="147">
        <f>'F11-Year(n+5)'!F121</f>
        <v>525.735546791605</v>
      </c>
      <c r="K121" s="147">
        <f>'F11-Year(n+5)'!G121</f>
        <v>492.220294879434</v>
      </c>
      <c r="L121" s="147">
        <f>'F11-Year(n+5)'!H121</f>
        <v>385.513523164352</v>
      </c>
      <c r="M121" s="147">
        <f>'F11-Year(n+5)'!I121</f>
        <v>474.154449347189</v>
      </c>
      <c r="N121" s="147">
        <f>'F11-Year(n+5)'!J121</f>
        <v>417.951861403251</v>
      </c>
      <c r="O121" s="147">
        <f>'F11-Year(n+5)'!K121</f>
        <v>512.399429903294</v>
      </c>
      <c r="P121" s="147">
        <f>'F11-Year(n+5)'!L121</f>
        <v>395.09650975343</v>
      </c>
      <c r="Q121" s="147">
        <f>'F11-Year(n+5)'!M121</f>
        <v>433.112797203532</v>
      </c>
      <c r="R121" s="147">
        <f>'F11-Year(n+5)'!N121</f>
        <v>461.761680498471</v>
      </c>
      <c r="S121" s="147">
        <f>'F11-Year(n+5)'!O121</f>
        <v>473.968827164304</v>
      </c>
      <c r="T121" s="147">
        <f>'F11-Year(n+5)'!P121</f>
        <v>508.227914662151</v>
      </c>
      <c r="U121" s="55">
        <f t="shared" si="31"/>
        <v>5589.99182197466</v>
      </c>
    </row>
    <row r="122" spans="3:21">
      <c r="C122" s="55"/>
      <c r="D122" s="55" t="s">
        <v>412</v>
      </c>
      <c r="E122" s="146">
        <f>'[43]F9-Year(n)'!E121</f>
        <v>55.81</v>
      </c>
      <c r="F122" s="55"/>
      <c r="G122" s="146">
        <f>'[43]F9-Year(n)'!G121</f>
        <v>55.81</v>
      </c>
      <c r="H122" s="147">
        <f t="shared" si="30"/>
        <v>39.373955</v>
      </c>
      <c r="I122" s="147">
        <f>'F11-Year(n+5)'!E122</f>
        <v>8.39984873959942</v>
      </c>
      <c r="J122" s="147">
        <f>'F11-Year(n+5)'!F122</f>
        <v>8.66158250956022</v>
      </c>
      <c r="K122" s="147">
        <f>'F11-Year(n+5)'!G122</f>
        <v>8.10941303664263</v>
      </c>
      <c r="L122" s="147">
        <f>'F11-Year(n+5)'!H122</f>
        <v>6.35140083225701</v>
      </c>
      <c r="M122" s="147">
        <f>'F11-Year(n+5)'!I122</f>
        <v>7.81177516026648</v>
      </c>
      <c r="N122" s="147">
        <f>'F11-Year(n+5)'!J122</f>
        <v>6.88582796932982</v>
      </c>
      <c r="O122" s="147">
        <f>'F11-Year(n+5)'!K122</f>
        <v>8.44186771665688</v>
      </c>
      <c r="P122" s="147">
        <f>'F11-Year(n+5)'!L122</f>
        <v>6.5092821654403</v>
      </c>
      <c r="Q122" s="147">
        <f>'F11-Year(n+5)'!M122</f>
        <v>7.13560696403099</v>
      </c>
      <c r="R122" s="147">
        <f>'F11-Year(n+5)'!N122</f>
        <v>7.60760218668661</v>
      </c>
      <c r="S122" s="147">
        <f>'F11-Year(n+5)'!O122</f>
        <v>7.80871700324727</v>
      </c>
      <c r="T122" s="147">
        <f>'F11-Year(n+5)'!P122</f>
        <v>8.37314129389253</v>
      </c>
      <c r="U122" s="55">
        <f t="shared" si="31"/>
        <v>92.0960655776101</v>
      </c>
    </row>
    <row r="123" spans="3:21">
      <c r="C123" s="55"/>
      <c r="D123" s="55" t="s">
        <v>413</v>
      </c>
      <c r="E123" s="146">
        <f>'[43]F9-Year(n)'!E122</f>
        <v>400</v>
      </c>
      <c r="F123" s="55"/>
      <c r="G123" s="146">
        <f>'[43]F9-Year(n)'!G122</f>
        <v>400</v>
      </c>
      <c r="H123" s="147">
        <f t="shared" si="30"/>
        <v>282.2</v>
      </c>
      <c r="I123" s="147">
        <f>'F11-Year(n+5)'!E123</f>
        <v>73.3427386854875</v>
      </c>
      <c r="J123" s="147">
        <f>'F11-Year(n+5)'!F123</f>
        <v>75.6280502536477</v>
      </c>
      <c r="K123" s="147">
        <f>'F11-Year(n+5)'!G123</f>
        <v>70.8068180365269</v>
      </c>
      <c r="L123" s="147">
        <f>'F11-Year(n+5)'!H123</f>
        <v>55.4568476133332</v>
      </c>
      <c r="M123" s="147">
        <f>'F11-Year(n+5)'!I123</f>
        <v>68.2080120738614</v>
      </c>
      <c r="N123" s="147">
        <f>'F11-Year(n+5)'!J123</f>
        <v>60.1231637668587</v>
      </c>
      <c r="O123" s="147">
        <f>'F11-Year(n+5)'!K123</f>
        <v>73.7096246794732</v>
      </c>
      <c r="P123" s="147">
        <f>'F11-Year(n+5)'!L123</f>
        <v>56.8353783133432</v>
      </c>
      <c r="Q123" s="147">
        <f>'F11-Year(n+5)'!M123</f>
        <v>62.3040929842063</v>
      </c>
      <c r="R123" s="147">
        <f>'F11-Year(n+5)'!N123</f>
        <v>66.4252888948936</v>
      </c>
      <c r="S123" s="147">
        <f>'F11-Year(n+5)'!O123</f>
        <v>68.1813099726602</v>
      </c>
      <c r="T123" s="147">
        <f>'F11-Year(n+5)'!P123</f>
        <v>73.1095443420938</v>
      </c>
      <c r="U123" s="55">
        <f t="shared" si="31"/>
        <v>804.130869616386</v>
      </c>
    </row>
    <row r="124" spans="3:21">
      <c r="C124" s="55"/>
      <c r="D124" s="55" t="s">
        <v>414</v>
      </c>
      <c r="E124" s="146">
        <f>'[43]F9-Year(n)'!E123</f>
        <v>400</v>
      </c>
      <c r="F124" s="55"/>
      <c r="G124" s="146">
        <f>'[43]F9-Year(n)'!G123</f>
        <v>400</v>
      </c>
      <c r="H124" s="147">
        <f t="shared" si="30"/>
        <v>282.2</v>
      </c>
      <c r="I124" s="147">
        <f>'F11-Year(n+5)'!E124</f>
        <v>73.3427386854875</v>
      </c>
      <c r="J124" s="147">
        <f>'F11-Year(n+5)'!F124</f>
        <v>75.6280502536477</v>
      </c>
      <c r="K124" s="147">
        <f>'F11-Year(n+5)'!G124</f>
        <v>70.8068180365269</v>
      </c>
      <c r="L124" s="147">
        <f>'F11-Year(n+5)'!H124</f>
        <v>55.4568476133332</v>
      </c>
      <c r="M124" s="147">
        <f>'F11-Year(n+5)'!I124</f>
        <v>68.2080120738614</v>
      </c>
      <c r="N124" s="147">
        <f>'F11-Year(n+5)'!J124</f>
        <v>60.1231637668587</v>
      </c>
      <c r="O124" s="147">
        <f>'F11-Year(n+5)'!K124</f>
        <v>73.7096246794731</v>
      </c>
      <c r="P124" s="147">
        <f>'F11-Year(n+5)'!L124</f>
        <v>56.8353783133432</v>
      </c>
      <c r="Q124" s="147">
        <f>'F11-Year(n+5)'!M124</f>
        <v>62.3040929842063</v>
      </c>
      <c r="R124" s="147">
        <f>'F11-Year(n+5)'!N124</f>
        <v>66.4252888948936</v>
      </c>
      <c r="S124" s="147">
        <f>'F11-Year(n+5)'!O124</f>
        <v>68.1813099726602</v>
      </c>
      <c r="T124" s="147">
        <f>'F11-Year(n+5)'!P124</f>
        <v>73.1095443420938</v>
      </c>
      <c r="U124" s="55">
        <f t="shared" si="31"/>
        <v>804.130869616386</v>
      </c>
    </row>
    <row r="125" spans="3:21">
      <c r="C125" s="55"/>
      <c r="D125" s="55" t="s">
        <v>415</v>
      </c>
      <c r="E125" s="146">
        <f>'[43]F9-Year(n)'!E124</f>
        <v>735</v>
      </c>
      <c r="F125" s="55"/>
      <c r="G125" s="146">
        <f>'[43]F9-Year(n)'!G124</f>
        <v>735</v>
      </c>
      <c r="H125" s="147">
        <f t="shared" si="30"/>
        <v>518.5425</v>
      </c>
      <c r="I125" s="147">
        <f>'F11-Year(n+5)'!E125</f>
        <v>283.286328172696</v>
      </c>
      <c r="J125" s="147">
        <f>'F11-Year(n+5)'!F125</f>
        <v>292.113344104714</v>
      </c>
      <c r="K125" s="147">
        <f>'F11-Year(n+5)'!G125</f>
        <v>273.491334666085</v>
      </c>
      <c r="L125" s="147">
        <f>'F11-Year(n+5)'!H125</f>
        <v>214.202073906499</v>
      </c>
      <c r="M125" s="147">
        <f>'F11-Year(n+5)'!I125</f>
        <v>263.45344663529</v>
      </c>
      <c r="N125" s="147">
        <f>'F11-Year(n+5)'!J125</f>
        <v>232.225720049492</v>
      </c>
      <c r="O125" s="147">
        <f>'F11-Year(n+5)'!K125</f>
        <v>284.703425324465</v>
      </c>
      <c r="P125" s="147">
        <f>'F11-Year(n+5)'!L125</f>
        <v>219.526648735288</v>
      </c>
      <c r="Q125" s="147">
        <f>'F11-Year(n+5)'!M125</f>
        <v>240.649559151497</v>
      </c>
      <c r="R125" s="147">
        <f>'F11-Year(n+5)'!N125</f>
        <v>256.567678356527</v>
      </c>
      <c r="S125" s="147">
        <f>'F11-Year(n+5)'!O125</f>
        <v>263.3503097694</v>
      </c>
      <c r="T125" s="147">
        <f>'F11-Year(n+5)'!P125</f>
        <v>282.385615021337</v>
      </c>
      <c r="U125" s="55">
        <f t="shared" si="31"/>
        <v>3105.95548389329</v>
      </c>
    </row>
    <row r="126" spans="3:21">
      <c r="C126" s="55"/>
      <c r="D126" s="55" t="s">
        <v>416</v>
      </c>
      <c r="E126" s="146"/>
      <c r="F126" s="55"/>
      <c r="G126" s="146"/>
      <c r="H126" s="147"/>
      <c r="I126" s="147">
        <f>'F11-Year(n+5)'!E126</f>
        <v>0</v>
      </c>
      <c r="J126" s="147">
        <f>'F11-Year(n+5)'!F126</f>
        <v>0</v>
      </c>
      <c r="K126" s="147">
        <f>'F11-Year(n+5)'!G126</f>
        <v>0</v>
      </c>
      <c r="L126" s="147">
        <f>'F11-Year(n+5)'!H126</f>
        <v>0</v>
      </c>
      <c r="M126" s="147">
        <f>'F11-Year(n+5)'!I126</f>
        <v>0</v>
      </c>
      <c r="N126" s="147">
        <f>'F11-Year(n+5)'!J126</f>
        <v>0</v>
      </c>
      <c r="O126" s="147">
        <f>'F11-Year(n+5)'!K126</f>
        <v>0</v>
      </c>
      <c r="P126" s="147">
        <f>'F11-Year(n+5)'!L126</f>
        <v>0</v>
      </c>
      <c r="Q126" s="147">
        <f>'F11-Year(n+5)'!M126</f>
        <v>0</v>
      </c>
      <c r="R126" s="147">
        <f>'F11-Year(n+5)'!N126</f>
        <v>0</v>
      </c>
      <c r="S126" s="147">
        <f>'F11-Year(n+5)'!O126</f>
        <v>0</v>
      </c>
      <c r="T126" s="147">
        <f>'F11-Year(n+5)'!P126</f>
        <v>0</v>
      </c>
      <c r="U126" s="55">
        <f t="shared" si="31"/>
        <v>0</v>
      </c>
    </row>
    <row r="127" spans="3:21">
      <c r="C127" s="55"/>
      <c r="D127" s="55" t="s">
        <v>417</v>
      </c>
      <c r="E127" s="146">
        <f>'[43]F9-Year(n)'!E126</f>
        <v>1692</v>
      </c>
      <c r="F127" s="55"/>
      <c r="G127" s="146">
        <f>'[43]F9-Year(n)'!G126</f>
        <v>1692</v>
      </c>
      <c r="H127" s="147">
        <f>G127*0.7055</f>
        <v>1193.706</v>
      </c>
      <c r="I127" s="147">
        <f>'F11-Year(n+5)'!E127</f>
        <v>310.239784639612</v>
      </c>
      <c r="J127" s="147">
        <f>'F11-Year(n+5)'!F127</f>
        <v>319.90665257293</v>
      </c>
      <c r="K127" s="147">
        <f>'F11-Year(n+5)'!G127</f>
        <v>299.512840294509</v>
      </c>
      <c r="L127" s="147">
        <f>'F11-Year(n+5)'!H127</f>
        <v>234.582465404399</v>
      </c>
      <c r="M127" s="147">
        <f>'F11-Year(n+5)'!I127</f>
        <v>288.519891072434</v>
      </c>
      <c r="N127" s="147">
        <f>'F11-Year(n+5)'!J127</f>
        <v>254.320982733812</v>
      </c>
      <c r="O127" s="147">
        <f>'F11-Year(n+5)'!K127</f>
        <v>311.791712394171</v>
      </c>
      <c r="P127" s="147">
        <f>'F11-Year(n+5)'!L127</f>
        <v>240.413650265442</v>
      </c>
      <c r="Q127" s="147">
        <f>'F11-Year(n+5)'!M127</f>
        <v>263.546313323193</v>
      </c>
      <c r="R127" s="147">
        <f>'F11-Year(n+5)'!N127</f>
        <v>280.9789720254</v>
      </c>
      <c r="S127" s="147">
        <f>'F11-Year(n+5)'!O127</f>
        <v>288.406941184353</v>
      </c>
      <c r="T127" s="147">
        <f>'F11-Year(n+5)'!P127</f>
        <v>309.253372567057</v>
      </c>
      <c r="U127" s="55">
        <f t="shared" si="31"/>
        <v>3401.47357847731</v>
      </c>
    </row>
    <row r="128" spans="3:21">
      <c r="C128" s="55"/>
      <c r="D128" s="55" t="s">
        <v>418</v>
      </c>
      <c r="E128" s="146">
        <f>'[43]F9-Year(n)'!E127</f>
        <v>1000</v>
      </c>
      <c r="F128" s="55"/>
      <c r="G128" s="146">
        <f>'[43]F9-Year(n)'!G127</f>
        <v>1000</v>
      </c>
      <c r="H128" s="147">
        <f>G128*0.7055</f>
        <v>705.5</v>
      </c>
      <c r="I128" s="147">
        <f>'F11-Year(n+5)'!E128</f>
        <v>183.356846713719</v>
      </c>
      <c r="J128" s="147">
        <f>'F11-Year(n+5)'!F128</f>
        <v>189.070125634119</v>
      </c>
      <c r="K128" s="147">
        <f>'F11-Year(n+5)'!G128</f>
        <v>177.017045091317</v>
      </c>
      <c r="L128" s="147">
        <f>'F11-Year(n+5)'!H128</f>
        <v>138.642119033333</v>
      </c>
      <c r="M128" s="147">
        <f>'F11-Year(n+5)'!I128</f>
        <v>170.520030184653</v>
      </c>
      <c r="N128" s="147">
        <f>'F11-Year(n+5)'!J128</f>
        <v>150.307909417147</v>
      </c>
      <c r="O128" s="147">
        <f>'F11-Year(n+5)'!K128</f>
        <v>184.274061698683</v>
      </c>
      <c r="P128" s="147">
        <f>'F11-Year(n+5)'!L128</f>
        <v>142.088445783358</v>
      </c>
      <c r="Q128" s="147">
        <f>'F11-Year(n+5)'!M128</f>
        <v>155.760232460516</v>
      </c>
      <c r="R128" s="147">
        <f>'F11-Year(n+5)'!N128</f>
        <v>166.063222237234</v>
      </c>
      <c r="S128" s="147">
        <f>'F11-Year(n+5)'!O128</f>
        <v>170.453274931651</v>
      </c>
      <c r="T128" s="147">
        <f>'F11-Year(n+5)'!P128</f>
        <v>182.773860855235</v>
      </c>
      <c r="U128" s="55">
        <f t="shared" si="31"/>
        <v>2010.32717404097</v>
      </c>
    </row>
    <row r="129" spans="3:21"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>
        <f t="shared" si="31"/>
        <v>0</v>
      </c>
    </row>
    <row r="130" spans="3:21"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>
        <f t="shared" si="31"/>
        <v>0</v>
      </c>
    </row>
    <row r="131" spans="3:21"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>
        <f t="shared" si="31"/>
        <v>0</v>
      </c>
    </row>
    <row r="132" spans="3:21"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>
        <f t="shared" si="31"/>
        <v>0</v>
      </c>
    </row>
    <row r="133" spans="3:21"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>
        <f t="shared" si="31"/>
        <v>0</v>
      </c>
    </row>
    <row r="134" spans="3:21"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>
        <f t="shared" si="31"/>
        <v>0</v>
      </c>
    </row>
    <row r="135" spans="3:21"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>
        <f t="shared" si="31"/>
        <v>0</v>
      </c>
    </row>
    <row r="136" spans="3:21"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>
        <f t="shared" si="31"/>
        <v>0</v>
      </c>
    </row>
    <row r="137" spans="3:21"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>
        <f t="shared" si="31"/>
        <v>0</v>
      </c>
    </row>
    <row r="138" spans="3:21"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>
        <f t="shared" si="31"/>
        <v>0</v>
      </c>
    </row>
    <row r="139" ht="15" spans="3:21">
      <c r="C139" s="44" t="s">
        <v>421</v>
      </c>
      <c r="D139" s="45"/>
      <c r="E139" s="55">
        <f>SUM(E115:E138)</f>
        <v>7341.7</v>
      </c>
      <c r="F139" s="55">
        <f t="shared" ref="F139:T139" si="32">SUM(F115:F138)</f>
        <v>0</v>
      </c>
      <c r="G139" s="55">
        <f t="shared" si="32"/>
        <v>7341.7</v>
      </c>
      <c r="H139" s="55">
        <f t="shared" si="32"/>
        <v>5179.56935</v>
      </c>
      <c r="I139" s="55">
        <f t="shared" si="32"/>
        <v>1471.62779701311</v>
      </c>
      <c r="J139" s="55">
        <f t="shared" si="32"/>
        <v>1510.47812356739</v>
      </c>
      <c r="K139" s="55">
        <f t="shared" si="32"/>
        <v>1435.43888617505</v>
      </c>
      <c r="L139" s="55">
        <f t="shared" si="32"/>
        <v>1153.12748312872</v>
      </c>
      <c r="M139" s="55">
        <f t="shared" si="32"/>
        <v>1379.68573361207</v>
      </c>
      <c r="N139" s="55">
        <f t="shared" si="32"/>
        <v>1210.26828934613</v>
      </c>
      <c r="O139" s="55">
        <f t="shared" si="32"/>
        <v>1471.79413736416</v>
      </c>
      <c r="P139" s="55">
        <f t="shared" si="32"/>
        <v>1144.49591692642</v>
      </c>
      <c r="Q139" s="55">
        <f t="shared" si="32"/>
        <v>1260.40139447268</v>
      </c>
      <c r="R139" s="55">
        <f t="shared" si="32"/>
        <v>1340.99586872611</v>
      </c>
      <c r="S139" s="55">
        <f t="shared" si="32"/>
        <v>1370.11981783073</v>
      </c>
      <c r="T139" s="55">
        <f t="shared" si="32"/>
        <v>1471.13267640724</v>
      </c>
      <c r="U139" s="316">
        <f>SUM(I139:T139)</f>
        <v>16219.5661245698</v>
      </c>
    </row>
    <row r="140" ht="15" spans="3:21">
      <c r="C140" s="663" t="s">
        <v>422</v>
      </c>
      <c r="D140" s="676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</row>
    <row r="141" spans="3:21">
      <c r="C141" s="55"/>
      <c r="D141" s="55" t="s">
        <v>423</v>
      </c>
      <c r="E141" s="55"/>
      <c r="F141" s="55"/>
      <c r="G141" s="55"/>
      <c r="H141" s="55"/>
      <c r="I141" s="147">
        <f>'F11-Year(n+5)'!E141</f>
        <v>305.642743063911</v>
      </c>
      <c r="J141" s="147">
        <f>'F11-Year(n+5)'!F141</f>
        <v>1474.90393227482</v>
      </c>
      <c r="K141" s="147">
        <f>'F11-Year(n+5)'!G141</f>
        <v>950.115724163643</v>
      </c>
      <c r="L141" s="147">
        <f>'F11-Year(n+5)'!H141</f>
        <v>126.672663594045</v>
      </c>
      <c r="M141" s="147">
        <f>'F11-Year(n+5)'!I141</f>
        <v>5.39092557874847</v>
      </c>
      <c r="N141" s="147">
        <f>'F11-Year(n+5)'!J141</f>
        <v>62.190507379185</v>
      </c>
      <c r="O141" s="147">
        <f>'F11-Year(n+5)'!K141</f>
        <v>0</v>
      </c>
      <c r="P141" s="147">
        <f>'F11-Year(n+5)'!L141</f>
        <v>389.956468615001</v>
      </c>
      <c r="Q141" s="147">
        <f>'F11-Year(n+5)'!M141</f>
        <v>158.435393028083</v>
      </c>
      <c r="R141" s="147">
        <f>'F11-Year(n+5)'!N141</f>
        <v>134.841341330226</v>
      </c>
      <c r="S141" s="147">
        <f>'F11-Year(n+5)'!O141</f>
        <v>661.420146745556</v>
      </c>
      <c r="T141" s="147">
        <f>'F11-Year(n+5)'!P141</f>
        <v>1253.58024486411</v>
      </c>
      <c r="U141" s="55">
        <f t="shared" ref="U141:U151" si="33">+SUM(I141:T141)</f>
        <v>5523.15009063733</v>
      </c>
    </row>
    <row r="142" spans="3:21"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>
        <f t="shared" si="33"/>
        <v>0</v>
      </c>
    </row>
    <row r="143" spans="3:21"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>
        <f t="shared" si="33"/>
        <v>0</v>
      </c>
    </row>
    <row r="144" spans="3:21"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>
        <f t="shared" si="33"/>
        <v>0</v>
      </c>
    </row>
    <row r="145" spans="3:21"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>
        <f t="shared" si="33"/>
        <v>0</v>
      </c>
    </row>
    <row r="146" spans="3:21"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>
        <f t="shared" si="33"/>
        <v>0</v>
      </c>
    </row>
    <row r="147" spans="3:21"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>
        <f t="shared" si="33"/>
        <v>0</v>
      </c>
    </row>
    <row r="148" spans="3:21"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>
        <f t="shared" si="33"/>
        <v>0</v>
      </c>
    </row>
    <row r="149" spans="3:21"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>
        <f t="shared" si="33"/>
        <v>0</v>
      </c>
    </row>
    <row r="150" spans="3:21"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>
        <f t="shared" si="33"/>
        <v>0</v>
      </c>
    </row>
    <row r="151" spans="3:21"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>
        <f t="shared" si="33"/>
        <v>0</v>
      </c>
    </row>
    <row r="152" ht="15" spans="3:21">
      <c r="C152" s="44" t="s">
        <v>424</v>
      </c>
      <c r="D152" s="45"/>
      <c r="E152" s="55">
        <f>SUM(E141:E151)</f>
        <v>0</v>
      </c>
      <c r="F152" s="55">
        <f t="shared" ref="F152:T152" si="34">SUM(F141:F151)</f>
        <v>0</v>
      </c>
      <c r="G152" s="55">
        <f t="shared" si="34"/>
        <v>0</v>
      </c>
      <c r="H152" s="55">
        <f t="shared" si="34"/>
        <v>0</v>
      </c>
      <c r="I152" s="55">
        <f t="shared" si="34"/>
        <v>305.642743063911</v>
      </c>
      <c r="J152" s="55">
        <f t="shared" si="34"/>
        <v>1474.90393227482</v>
      </c>
      <c r="K152" s="55">
        <f t="shared" si="34"/>
        <v>950.115724163643</v>
      </c>
      <c r="L152" s="55">
        <f t="shared" si="34"/>
        <v>126.672663594045</v>
      </c>
      <c r="M152" s="55">
        <f t="shared" si="34"/>
        <v>5.39092557874847</v>
      </c>
      <c r="N152" s="55">
        <f t="shared" si="34"/>
        <v>62.190507379185</v>
      </c>
      <c r="O152" s="55">
        <f t="shared" si="34"/>
        <v>0</v>
      </c>
      <c r="P152" s="55">
        <f t="shared" si="34"/>
        <v>389.956468615001</v>
      </c>
      <c r="Q152" s="55">
        <f t="shared" si="34"/>
        <v>158.435393028083</v>
      </c>
      <c r="R152" s="55">
        <f t="shared" si="34"/>
        <v>134.841341330226</v>
      </c>
      <c r="S152" s="55">
        <f t="shared" si="34"/>
        <v>661.420146745556</v>
      </c>
      <c r="T152" s="55">
        <f t="shared" si="34"/>
        <v>1253.58024486411</v>
      </c>
      <c r="U152" s="316">
        <f>SUM(I152:T152)</f>
        <v>5523.15009063733</v>
      </c>
    </row>
    <row r="153" ht="15" spans="3:21">
      <c r="C153" s="663" t="s">
        <v>425</v>
      </c>
      <c r="D153" s="676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3:21">
      <c r="C154" s="55" t="s">
        <v>426</v>
      </c>
      <c r="D154" s="55" t="s">
        <v>427</v>
      </c>
      <c r="E154" s="55"/>
      <c r="F154" s="55"/>
      <c r="G154" s="55"/>
      <c r="H154" s="55"/>
      <c r="I154" s="147">
        <f>'F11-Year(n+5)'!E154</f>
        <v>361.255859286046</v>
      </c>
      <c r="J154" s="147">
        <f>'F11-Year(n+5)'!F154</f>
        <v>638.220090507092</v>
      </c>
      <c r="K154" s="147">
        <f>'F11-Year(n+5)'!G154</f>
        <v>660.96766373913</v>
      </c>
      <c r="L154" s="147">
        <f>'F11-Year(n+5)'!H154</f>
        <v>572.234380074791</v>
      </c>
      <c r="M154" s="147">
        <f>'F11-Year(n+5)'!I154</f>
        <v>706.415135610559</v>
      </c>
      <c r="N154" s="147">
        <f>'F11-Year(n+5)'!J154</f>
        <v>681.549168524583</v>
      </c>
      <c r="O154" s="147">
        <f>'F11-Year(n+5)'!K154</f>
        <v>685.257135232333</v>
      </c>
      <c r="P154" s="147">
        <f>'F11-Year(n+5)'!L154</f>
        <v>622.451147678284</v>
      </c>
      <c r="Q154" s="147">
        <f>'F11-Year(n+5)'!M154</f>
        <v>443.511971351129</v>
      </c>
      <c r="R154" s="147">
        <f>'F11-Year(n+5)'!N154</f>
        <v>426.176589383515</v>
      </c>
      <c r="S154" s="147">
        <f>'F11-Year(n+5)'!O154</f>
        <v>59.7484760477141</v>
      </c>
      <c r="T154" s="147">
        <f>'F11-Year(n+5)'!P154</f>
        <v>59.9327479065005</v>
      </c>
      <c r="U154" s="55">
        <f t="shared" ref="U154:U155" si="35">+SUM(I154:T154)</f>
        <v>5917.72036534168</v>
      </c>
    </row>
    <row r="155" spans="3:21">
      <c r="C155" s="55" t="s">
        <v>426</v>
      </c>
      <c r="D155" s="55" t="s">
        <v>428</v>
      </c>
      <c r="E155" s="55"/>
      <c r="F155" s="55"/>
      <c r="G155" s="55"/>
      <c r="H155" s="55"/>
      <c r="I155" s="147">
        <f>'F11-Year(n+5)'!E155</f>
        <v>0</v>
      </c>
      <c r="J155" s="147">
        <f>'F11-Year(n+5)'!F155</f>
        <v>0</v>
      </c>
      <c r="K155" s="147">
        <f>'F11-Year(n+5)'!G155</f>
        <v>0</v>
      </c>
      <c r="L155" s="147">
        <f>'F11-Year(n+5)'!H155</f>
        <v>0</v>
      </c>
      <c r="M155" s="147">
        <f>'F11-Year(n+5)'!I155</f>
        <v>0</v>
      </c>
      <c r="N155" s="147">
        <f>'F11-Year(n+5)'!J155</f>
        <v>0</v>
      </c>
      <c r="O155" s="147">
        <f>'F11-Year(n+5)'!K155</f>
        <v>0</v>
      </c>
      <c r="P155" s="147">
        <f>'F11-Year(n+5)'!L155</f>
        <v>0</v>
      </c>
      <c r="Q155" s="147">
        <f>'F11-Year(n+5)'!M155</f>
        <v>0</v>
      </c>
      <c r="R155" s="147">
        <f>'F11-Year(n+5)'!N155</f>
        <v>0</v>
      </c>
      <c r="S155" s="147">
        <f>'F11-Year(n+5)'!O155</f>
        <v>0</v>
      </c>
      <c r="T155" s="147">
        <f>'F11-Year(n+5)'!P155</f>
        <v>0</v>
      </c>
      <c r="U155" s="55">
        <f t="shared" si="35"/>
        <v>0</v>
      </c>
    </row>
    <row r="156" ht="15" spans="3:21">
      <c r="C156" s="44" t="s">
        <v>429</v>
      </c>
      <c r="D156" s="45"/>
      <c r="E156" s="55">
        <f>SUM(E154:E155)</f>
        <v>0</v>
      </c>
      <c r="F156" s="55">
        <f t="shared" ref="F156:T156" si="36">SUM(F154:F155)</f>
        <v>0</v>
      </c>
      <c r="G156" s="55">
        <f t="shared" si="36"/>
        <v>0</v>
      </c>
      <c r="H156" s="55">
        <f t="shared" si="36"/>
        <v>0</v>
      </c>
      <c r="I156" s="55">
        <f t="shared" si="36"/>
        <v>361.255859286046</v>
      </c>
      <c r="J156" s="55">
        <f t="shared" si="36"/>
        <v>638.220090507092</v>
      </c>
      <c r="K156" s="55">
        <f t="shared" si="36"/>
        <v>660.96766373913</v>
      </c>
      <c r="L156" s="55">
        <f t="shared" si="36"/>
        <v>572.234380074791</v>
      </c>
      <c r="M156" s="55">
        <f t="shared" si="36"/>
        <v>706.415135610559</v>
      </c>
      <c r="N156" s="55">
        <f t="shared" si="36"/>
        <v>681.549168524583</v>
      </c>
      <c r="O156" s="55">
        <f t="shared" si="36"/>
        <v>685.257135232333</v>
      </c>
      <c r="P156" s="55">
        <f t="shared" si="36"/>
        <v>622.451147678284</v>
      </c>
      <c r="Q156" s="55">
        <f t="shared" si="36"/>
        <v>443.511971351129</v>
      </c>
      <c r="R156" s="55">
        <f t="shared" si="36"/>
        <v>426.176589383515</v>
      </c>
      <c r="S156" s="55">
        <f t="shared" si="36"/>
        <v>59.7484760477141</v>
      </c>
      <c r="T156" s="55">
        <f t="shared" si="36"/>
        <v>59.9327479065005</v>
      </c>
      <c r="U156" s="316">
        <f>U154-U155</f>
        <v>5917.72036534168</v>
      </c>
    </row>
    <row r="157" ht="15" spans="3:21">
      <c r="C157" s="44" t="s">
        <v>224</v>
      </c>
      <c r="D157" s="45"/>
      <c r="E157" s="55">
        <f>E48+E94+E103+E113+E139+E152+E156</f>
        <v>42658.4</v>
      </c>
      <c r="F157" s="55">
        <f t="shared" ref="F157:U157" si="37">F48+F94+F103+F113+F139+F152+F156</f>
        <v>0</v>
      </c>
      <c r="G157" s="55">
        <f t="shared" si="37"/>
        <v>25514.888612377</v>
      </c>
      <c r="H157" s="55">
        <f t="shared" si="37"/>
        <v>16893.118916032</v>
      </c>
      <c r="I157" s="55">
        <f t="shared" si="37"/>
        <v>8447.28548450978</v>
      </c>
      <c r="J157" s="55">
        <f t="shared" si="37"/>
        <v>10148.076700139</v>
      </c>
      <c r="K157" s="55">
        <f t="shared" si="37"/>
        <v>9370.91235468336</v>
      </c>
      <c r="L157" s="55">
        <f t="shared" si="37"/>
        <v>8568.79197758314</v>
      </c>
      <c r="M157" s="55">
        <f t="shared" si="37"/>
        <v>9272.27701083095</v>
      </c>
      <c r="N157" s="55">
        <f t="shared" si="37"/>
        <v>8529.17029147274</v>
      </c>
      <c r="O157" s="55">
        <f t="shared" si="37"/>
        <v>8979.52207741765</v>
      </c>
      <c r="P157" s="55">
        <f t="shared" si="37"/>
        <v>8478.15507032482</v>
      </c>
      <c r="Q157" s="55">
        <f t="shared" si="37"/>
        <v>8499.5941794541</v>
      </c>
      <c r="R157" s="55">
        <f t="shared" si="37"/>
        <v>8779.70574971</v>
      </c>
      <c r="S157" s="55">
        <f t="shared" si="37"/>
        <v>8300.8136218023</v>
      </c>
      <c r="T157" s="55">
        <f t="shared" si="37"/>
        <v>9367.88569577102</v>
      </c>
      <c r="U157" s="316">
        <f t="shared" si="37"/>
        <v>106742.190213699</v>
      </c>
    </row>
    <row r="159" ht="15" spans="4:9">
      <c r="D159" s="11"/>
      <c r="E159" s="11"/>
      <c r="F159" s="11"/>
      <c r="G159" s="11"/>
      <c r="H159" s="11"/>
      <c r="I159" s="11"/>
    </row>
    <row r="160" spans="4:9">
      <c r="D160" s="13"/>
      <c r="E160" s="13"/>
      <c r="F160" s="13"/>
      <c r="G160" s="13"/>
      <c r="H160" s="13"/>
      <c r="I160" s="13"/>
    </row>
    <row r="161" spans="5:9">
      <c r="E161" s="13"/>
      <c r="F161" s="13"/>
      <c r="G161" s="13"/>
      <c r="H161" s="13"/>
      <c r="I161" s="13"/>
    </row>
    <row r="162" spans="5:9">
      <c r="E162" s="13"/>
      <c r="F162" s="13"/>
      <c r="G162" s="13"/>
      <c r="H162" s="13"/>
      <c r="I162" s="13"/>
    </row>
  </sheetData>
  <mergeCells count="34">
    <mergeCell ref="I4:U4"/>
    <mergeCell ref="C7:D7"/>
    <mergeCell ref="C8:D8"/>
    <mergeCell ref="C27:D27"/>
    <mergeCell ref="C28:D28"/>
    <mergeCell ref="C47:D47"/>
    <mergeCell ref="C48:D48"/>
    <mergeCell ref="C49:D49"/>
    <mergeCell ref="C50:D50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6:D156"/>
    <mergeCell ref="C157:D157"/>
    <mergeCell ref="C4:C6"/>
    <mergeCell ref="C9:C26"/>
    <mergeCell ref="C29:C46"/>
    <mergeCell ref="C51:C59"/>
    <mergeCell ref="C79:C82"/>
    <mergeCell ref="D4:D6"/>
    <mergeCell ref="E4:E6"/>
    <mergeCell ref="F4:F6"/>
    <mergeCell ref="G4:G6"/>
    <mergeCell ref="H4:H6"/>
  </mergeCells>
  <pageMargins left="0.7" right="0.7" top="0.75" bottom="0.75" header="0.3" footer="0.3"/>
  <pageSetup paperSize="1" orientation="portrait"/>
  <headerFooter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</sheetPr>
  <dimension ref="B2:W165"/>
  <sheetViews>
    <sheetView showGridLines="0" view="pageBreakPreview" zoomScaleNormal="60" topLeftCell="A8" workbookViewId="0">
      <selection activeCell="Q8" sqref="Q8"/>
    </sheetView>
  </sheetViews>
  <sheetFormatPr defaultColWidth="9.14285714285714" defaultRowHeight="14.25"/>
  <cols>
    <col min="1" max="1" width="3.14285714285714" style="368" customWidth="1"/>
    <col min="2" max="2" width="8.14285714285714" style="368" customWidth="1"/>
    <col min="3" max="3" width="22.1428571428571" style="368" customWidth="1"/>
    <col min="4" max="4" width="42.8571428571429" style="368" customWidth="1"/>
    <col min="5" max="7" width="16.4285714285714" style="368" hidden="1" customWidth="1"/>
    <col min="8" max="8" width="16.8571428571429" style="368" hidden="1" customWidth="1"/>
    <col min="9" max="9" width="13.8571428571429" style="368" hidden="1" customWidth="1"/>
    <col min="10" max="10" width="12.5714285714286" style="368" hidden="1" customWidth="1"/>
    <col min="11" max="11" width="13.4285714285714" style="368" hidden="1" customWidth="1"/>
    <col min="12" max="12" width="22.1428571428571" style="368" customWidth="1"/>
    <col min="13" max="13" width="11.8571428571429" style="368" hidden="1" customWidth="1"/>
    <col min="14" max="14" width="14.8571428571429" style="368" hidden="1" customWidth="1"/>
    <col min="15" max="15" width="12.5714285714286" style="368" hidden="1" customWidth="1"/>
    <col min="16" max="16" width="11.8571428571429" style="368" hidden="1" customWidth="1"/>
    <col min="17" max="17" width="13.8571428571429" style="368" customWidth="1"/>
    <col min="18" max="20" width="11.8571428571429" style="368" customWidth="1"/>
    <col min="21" max="21" width="11.4285714285714" style="368" customWidth="1"/>
    <col min="22" max="22" width="12.4285714285714" style="368" customWidth="1"/>
    <col min="23" max="23" width="12.8571428571429" style="368" customWidth="1"/>
    <col min="24" max="16384" width="9.14285714285714" style="368"/>
  </cols>
  <sheetData>
    <row r="2" customHeight="1" spans="3:16">
      <c r="C2" s="276" t="s">
        <v>0</v>
      </c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</row>
    <row r="3" customHeight="1" spans="3:16">
      <c r="C3" s="370" t="s">
        <v>464</v>
      </c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</row>
    <row r="4" ht="15" spans="2:23">
      <c r="B4" s="369"/>
      <c r="C4" s="369"/>
      <c r="D4" s="770"/>
      <c r="E4" s="770"/>
      <c r="F4" s="770"/>
      <c r="G4" s="770"/>
      <c r="H4" s="770"/>
      <c r="I4" s="770"/>
      <c r="J4" s="770"/>
      <c r="K4" s="770"/>
      <c r="L4" s="370" t="s">
        <v>236</v>
      </c>
      <c r="P4" s="371" t="s">
        <v>236</v>
      </c>
      <c r="W4" s="370" t="s">
        <v>236</v>
      </c>
    </row>
    <row r="5" ht="15" spans="3:16">
      <c r="C5" s="703" t="s">
        <v>345</v>
      </c>
      <c r="D5" s="703" t="s">
        <v>346</v>
      </c>
      <c r="E5" s="374" t="s">
        <v>163</v>
      </c>
      <c r="F5" s="375"/>
      <c r="G5" s="376"/>
      <c r="H5" s="374" t="s">
        <v>164</v>
      </c>
      <c r="I5" s="375"/>
      <c r="J5" s="375"/>
      <c r="K5" s="375"/>
      <c r="L5" s="403" t="s">
        <v>114</v>
      </c>
      <c r="M5" s="403"/>
      <c r="N5" s="403"/>
      <c r="O5" s="403"/>
      <c r="P5" s="403"/>
    </row>
    <row r="6" ht="30" spans="3:16">
      <c r="C6" s="705"/>
      <c r="D6" s="705"/>
      <c r="E6" s="379" t="s">
        <v>116</v>
      </c>
      <c r="F6" s="379" t="s">
        <v>237</v>
      </c>
      <c r="G6" s="379" t="s">
        <v>118</v>
      </c>
      <c r="H6" s="379" t="s">
        <v>116</v>
      </c>
      <c r="I6" s="379" t="s">
        <v>119</v>
      </c>
      <c r="J6" s="379" t="s">
        <v>120</v>
      </c>
      <c r="K6" s="379" t="s">
        <v>238</v>
      </c>
      <c r="L6" s="379" t="s">
        <v>465</v>
      </c>
      <c r="M6" s="379" t="s">
        <v>299</v>
      </c>
      <c r="N6" s="379" t="s">
        <v>300</v>
      </c>
      <c r="O6" s="379" t="s">
        <v>301</v>
      </c>
      <c r="P6" s="379" t="s">
        <v>302</v>
      </c>
    </row>
    <row r="7" ht="15" customHeight="1" spans="3:16">
      <c r="C7" s="707"/>
      <c r="D7" s="707"/>
      <c r="E7" s="379" t="s">
        <v>127</v>
      </c>
      <c r="F7" s="379" t="s">
        <v>128</v>
      </c>
      <c r="G7" s="379" t="s">
        <v>129</v>
      </c>
      <c r="H7" s="379" t="s">
        <v>127</v>
      </c>
      <c r="I7" s="379" t="s">
        <v>130</v>
      </c>
      <c r="J7" s="379" t="s">
        <v>131</v>
      </c>
      <c r="K7" s="379" t="s">
        <v>131</v>
      </c>
      <c r="L7" s="379" t="s">
        <v>132</v>
      </c>
      <c r="M7" s="379" t="s">
        <v>132</v>
      </c>
      <c r="N7" s="379" t="s">
        <v>132</v>
      </c>
      <c r="O7" s="379" t="s">
        <v>132</v>
      </c>
      <c r="P7" s="379" t="s">
        <v>132</v>
      </c>
    </row>
    <row r="8" ht="15" spans="3:16">
      <c r="C8" s="708" t="s">
        <v>349</v>
      </c>
      <c r="D8" s="709"/>
      <c r="E8" s="296"/>
      <c r="F8" s="296"/>
      <c r="G8" s="288"/>
      <c r="H8" s="296"/>
      <c r="I8" s="296"/>
      <c r="J8" s="296"/>
      <c r="K8" s="296"/>
      <c r="L8" s="296"/>
      <c r="M8" s="296"/>
      <c r="N8" s="296"/>
      <c r="O8" s="296"/>
      <c r="P8" s="296"/>
    </row>
    <row r="9" ht="15" spans="3:16">
      <c r="C9" s="285" t="s">
        <v>350</v>
      </c>
      <c r="D9" s="28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</row>
    <row r="10" customHeight="1" spans="3:16">
      <c r="C10" s="710" t="s">
        <v>444</v>
      </c>
      <c r="D10" s="296" t="s">
        <v>352</v>
      </c>
      <c r="E10" s="384">
        <f>'F8'!E9</f>
        <v>2249.084615</v>
      </c>
      <c r="F10" s="384">
        <f>'F11-Year(n-1)'!Q10</f>
        <v>0</v>
      </c>
      <c r="G10" s="384"/>
      <c r="H10" s="384">
        <f>'F8'!H9</f>
        <v>2150.568595</v>
      </c>
      <c r="I10" s="384">
        <f>SUM('F11-Year(n)'!E10:J10)</f>
        <v>1094.37449255</v>
      </c>
      <c r="J10" s="384">
        <f ca="1">SUM('F11-Year(n)'!K10:'F11-Year(n)'!P10)</f>
        <v>1093.71936525</v>
      </c>
      <c r="K10" s="384">
        <f ca="1">I10+J10</f>
        <v>2188.0938578</v>
      </c>
      <c r="L10" s="384">
        <f>'F11-Year(n+1)'!Q10</f>
        <v>1534.55111039756</v>
      </c>
      <c r="M10" s="384">
        <f>'F11-Year(n+2)'!Q10</f>
        <v>1439.79365401857</v>
      </c>
      <c r="N10" s="384">
        <f>'F11-Year(n+3) '!Q10</f>
        <v>1543.16042173044</v>
      </c>
      <c r="O10" s="384">
        <f>'F11-Year(n+4)'!Q10</f>
        <v>1595.13551475099</v>
      </c>
      <c r="P10" s="384">
        <f>'F11-Year(n+5)'!Q10</f>
        <v>1752.98576860532</v>
      </c>
    </row>
    <row r="11" customHeight="1" spans="3:16">
      <c r="C11" s="711"/>
      <c r="D11" s="296" t="s">
        <v>353</v>
      </c>
      <c r="E11" s="384">
        <f>'F8'!E10</f>
        <v>2286.6666</v>
      </c>
      <c r="F11" s="384">
        <f>'F11-Year(n-1)'!Q11</f>
        <v>0</v>
      </c>
      <c r="G11" s="384"/>
      <c r="H11" s="384">
        <f>'F8'!H10</f>
        <v>2151.45047</v>
      </c>
      <c r="I11" s="384">
        <f>SUM('F11-Year(n)'!E11:J11)</f>
        <v>1199.4652787</v>
      </c>
      <c r="J11" s="384">
        <f ca="1">SUM('F11-Year(n)'!K11:'F11-Year(n)'!P11)</f>
        <v>1039.81182805</v>
      </c>
      <c r="K11" s="384">
        <f ca="1" t="shared" ref="K11:K27" si="0">I11+J11</f>
        <v>2239.27710675</v>
      </c>
      <c r="L11" s="384">
        <f>'F11-Year(n+1)'!Q11</f>
        <v>1789.30561874294</v>
      </c>
      <c r="M11" s="384">
        <f>'F11-Year(n+2)'!Q11</f>
        <v>1433.48678448596</v>
      </c>
      <c r="N11" s="384">
        <f>'F11-Year(n+3) '!Q11</f>
        <v>1530.47586856205</v>
      </c>
      <c r="O11" s="384">
        <f>'F11-Year(n+4)'!Q11</f>
        <v>1607.19023465759</v>
      </c>
      <c r="P11" s="384">
        <f>'F11-Year(n+5)'!Q11</f>
        <v>1771.31871878338</v>
      </c>
    </row>
    <row r="12" customHeight="1" spans="3:16">
      <c r="C12" s="711"/>
      <c r="D12" s="296" t="s">
        <v>354</v>
      </c>
      <c r="E12" s="384">
        <f>'F8'!E11</f>
        <v>3981.891385</v>
      </c>
      <c r="F12" s="384">
        <f>'F11-Year(n-1)'!Q12</f>
        <v>0</v>
      </c>
      <c r="G12" s="384"/>
      <c r="H12" s="384">
        <f>'F8'!H11</f>
        <v>3777.987775</v>
      </c>
      <c r="I12" s="384">
        <f>SUM('F11-Year(n)'!E12:J12)</f>
        <v>2087.77357799</v>
      </c>
      <c r="J12" s="384">
        <f ca="1">SUM('F11-Year(n)'!K12:'F11-Year(n)'!P12)</f>
        <v>1973.5196738855</v>
      </c>
      <c r="K12" s="384">
        <f ca="1" t="shared" si="0"/>
        <v>4061.2932518755</v>
      </c>
      <c r="L12" s="384">
        <f>'F11-Year(n+1)'!Q12</f>
        <v>2816.57281924193</v>
      </c>
      <c r="M12" s="384">
        <f>'F11-Year(n+2)'!Q12</f>
        <v>2494.67727952579</v>
      </c>
      <c r="N12" s="384">
        <f>'F11-Year(n+3) '!Q12</f>
        <v>2546.68877674066</v>
      </c>
      <c r="O12" s="384">
        <f>'F11-Year(n+4)'!Q12</f>
        <v>2658.54096579853</v>
      </c>
      <c r="P12" s="384">
        <f>'F11-Year(n+5)'!Q12</f>
        <v>2940.36626132755</v>
      </c>
    </row>
    <row r="13" customHeight="1" spans="3:16">
      <c r="C13" s="711"/>
      <c r="D13" s="296" t="s">
        <v>355</v>
      </c>
      <c r="E13" s="384">
        <f>'F8'!E12</f>
        <v>260.79513</v>
      </c>
      <c r="F13" s="384">
        <f>'F11-Year(n-1)'!Q13</f>
        <v>0</v>
      </c>
      <c r="G13" s="384"/>
      <c r="H13" s="384">
        <f>'F8'!H12</f>
        <v>213.6254</v>
      </c>
      <c r="I13" s="384">
        <f>SUM('F11-Year(n)'!E13:J13)</f>
        <v>82.965071525</v>
      </c>
      <c r="J13" s="384">
        <f ca="1">SUM('F11-Year(n)'!K13:'F11-Year(n)'!P13)</f>
        <v>71.580418025</v>
      </c>
      <c r="K13" s="384">
        <f ca="1" t="shared" si="0"/>
        <v>154.54548955</v>
      </c>
      <c r="L13" s="384">
        <f>'F11-Year(n+1)'!Q13</f>
        <v>0</v>
      </c>
      <c r="M13" s="384">
        <f>'F11-Year(n+2)'!Q13</f>
        <v>170.009436449981</v>
      </c>
      <c r="N13" s="384">
        <f>'F11-Year(n+3) '!Q13</f>
        <v>180.758328168167</v>
      </c>
      <c r="O13" s="384">
        <f>'F11-Year(n+4)'!Q13</f>
        <v>187.846454318883</v>
      </c>
      <c r="P13" s="384">
        <f>'F11-Year(n+5)'!Q13</f>
        <v>208.537436867646</v>
      </c>
    </row>
    <row r="14" customHeight="1" spans="3:16">
      <c r="C14" s="711"/>
      <c r="D14" s="296" t="s">
        <v>356</v>
      </c>
      <c r="E14" s="384">
        <f>'F8'!E13</f>
        <v>2286.6666</v>
      </c>
      <c r="F14" s="384">
        <f>'F11-Year(n-1)'!Q14</f>
        <v>0</v>
      </c>
      <c r="G14" s="384"/>
      <c r="H14" s="384">
        <f>'F8'!H13</f>
        <v>1876.12204</v>
      </c>
      <c r="I14" s="384">
        <f>SUM('F11-Year(n)'!E14:J14)</f>
        <v>1220.402238524</v>
      </c>
      <c r="J14" s="384">
        <f ca="1">SUM('F11-Year(n)'!K14:'F11-Year(n)'!P14)</f>
        <v>1263.883218033</v>
      </c>
      <c r="K14" s="384">
        <f ca="1" t="shared" si="0"/>
        <v>2484.285456557</v>
      </c>
      <c r="L14" s="384">
        <f>'F11-Year(n+1)'!Q14</f>
        <v>1890.99079802415</v>
      </c>
      <c r="M14" s="384">
        <f>'F11-Year(n+2)'!Q14</f>
        <v>1766.80615503561</v>
      </c>
      <c r="N14" s="384">
        <f>'F11-Year(n+3) '!Q14</f>
        <v>1875.64572472658</v>
      </c>
      <c r="O14" s="384">
        <f>'F11-Year(n+4)'!Q14</f>
        <v>1986.85783143769</v>
      </c>
      <c r="P14" s="384">
        <f>'F11-Year(n+5)'!Q14</f>
        <v>2037.12789220805</v>
      </c>
    </row>
    <row r="15" customHeight="1" spans="3:16">
      <c r="C15" s="711"/>
      <c r="D15" s="296" t="s">
        <v>357</v>
      </c>
      <c r="E15" s="384">
        <f>'F8'!E14</f>
        <v>2758.82953</v>
      </c>
      <c r="F15" s="384">
        <f>'F11-Year(n-1)'!Q15</f>
        <v>0</v>
      </c>
      <c r="G15" s="384"/>
      <c r="H15" s="384">
        <f>'F8'!H14</f>
        <v>2565.078065</v>
      </c>
      <c r="I15" s="384">
        <f>SUM('F11-Year(n)'!E15:J15)</f>
        <v>1460.337591811</v>
      </c>
      <c r="J15" s="384">
        <f ca="1">SUM('F11-Year(n)'!K15:'F11-Year(n)'!P15)</f>
        <v>1516.1674224985</v>
      </c>
      <c r="K15" s="384">
        <f ca="1" t="shared" si="0"/>
        <v>2976.5050143095</v>
      </c>
      <c r="L15" s="384">
        <f>'F11-Year(n+1)'!Q15</f>
        <v>2748.8639652844</v>
      </c>
      <c r="M15" s="384">
        <f>'F11-Year(n+2)'!Q15</f>
        <v>2245.96040957685</v>
      </c>
      <c r="N15" s="384">
        <f>'F11-Year(n+3) '!Q15</f>
        <v>2301.8167326406</v>
      </c>
      <c r="O15" s="384">
        <f>'F11-Year(n+4)'!Q15</f>
        <v>2413.95207221349</v>
      </c>
      <c r="P15" s="384">
        <f>'F11-Year(n+5)'!Q15</f>
        <v>2638.26808657371</v>
      </c>
    </row>
    <row r="16" customHeight="1" spans="3:16">
      <c r="C16" s="711"/>
      <c r="D16" s="296" t="s">
        <v>358</v>
      </c>
      <c r="E16" s="384">
        <f>'F8'!E15</f>
        <v>5193.25605</v>
      </c>
      <c r="F16" s="384">
        <f>'F11-Year(n-1)'!Q16</f>
        <v>0</v>
      </c>
      <c r="G16" s="384"/>
      <c r="H16" s="384">
        <f>'F8'!H15</f>
        <v>5118.41661</v>
      </c>
      <c r="I16" s="384">
        <f>SUM('F11-Year(n)'!E16:J16)</f>
        <v>2015.531662</v>
      </c>
      <c r="J16" s="384">
        <f ca="1">SUM('F11-Year(n)'!K16:'F11-Year(n)'!P16)</f>
        <v>2447.0316885</v>
      </c>
      <c r="K16" s="384">
        <f ca="1" t="shared" si="0"/>
        <v>4462.5633505</v>
      </c>
      <c r="L16" s="384">
        <f>'F11-Year(n+1)'!Q16</f>
        <v>5121.57156640255</v>
      </c>
      <c r="M16" s="384">
        <f>'F11-Year(n+2)'!Q16</f>
        <v>3913.96173891875</v>
      </c>
      <c r="N16" s="384">
        <f>'F11-Year(n+3) '!Q16</f>
        <v>4063.59226289267</v>
      </c>
      <c r="O16" s="384">
        <f>'F11-Year(n+4)'!Q16</f>
        <v>4274.50981379753</v>
      </c>
      <c r="P16" s="384">
        <f>'F11-Year(n+5)'!Q16</f>
        <v>4621.84800165526</v>
      </c>
    </row>
    <row r="17" spans="3:16">
      <c r="C17" s="711"/>
      <c r="D17" s="296" t="s">
        <v>359</v>
      </c>
      <c r="E17" s="384">
        <f>'F8'!E16</f>
        <v>0</v>
      </c>
      <c r="F17" s="384">
        <f>'F11-Year(n-1)'!Q17</f>
        <v>0</v>
      </c>
      <c r="G17" s="384"/>
      <c r="H17" s="384">
        <f>'F8'!H16</f>
        <v>638.83025</v>
      </c>
      <c r="I17" s="384">
        <f>SUM('F11-Year(n)'!E17:J17)</f>
        <v>0</v>
      </c>
      <c r="J17" s="384">
        <f ca="1">SUM('F11-Year(n)'!K17:'F11-Year(n)'!P17)</f>
        <v>0</v>
      </c>
      <c r="K17" s="384">
        <f ca="1" t="shared" si="0"/>
        <v>0</v>
      </c>
      <c r="L17" s="384">
        <f>'F11-Year(n+1)'!Q17</f>
        <v>16800.3068837929</v>
      </c>
      <c r="M17" s="384">
        <f>'F11-Year(n+2)'!Q17</f>
        <v>15988.6083947596</v>
      </c>
      <c r="N17" s="384">
        <f>'F11-Year(n+3) '!Q17</f>
        <v>16191.6809495477</v>
      </c>
      <c r="O17" s="384">
        <f>'F11-Year(n+4)'!Q17</f>
        <v>17063.156910534</v>
      </c>
      <c r="P17" s="384">
        <f>'F11-Year(n+5)'!Q17</f>
        <v>18273.1890687159</v>
      </c>
    </row>
    <row r="18" spans="3:16">
      <c r="C18" s="711"/>
      <c r="D18" s="296"/>
      <c r="E18" s="384"/>
      <c r="F18" s="384">
        <f>'F11-Year(n-1)'!Q18</f>
        <v>0</v>
      </c>
      <c r="G18" s="384"/>
      <c r="H18" s="384"/>
      <c r="I18" s="384">
        <f>SUM('F11-Year(n)'!E18:J18)</f>
        <v>0</v>
      </c>
      <c r="J18" s="384">
        <f ca="1">SUM('F11-Year(n)'!K18:'F11-Year(n)'!P18)</f>
        <v>0</v>
      </c>
      <c r="K18" s="384">
        <f ca="1" t="shared" si="0"/>
        <v>0</v>
      </c>
      <c r="L18" s="384">
        <f>'F11-Year(n+1)'!Q18</f>
        <v>0</v>
      </c>
      <c r="M18" s="384">
        <f>'F11-Year(n+2)'!Q18</f>
        <v>0</v>
      </c>
      <c r="N18" s="384">
        <f>'F11-Year(n+3) '!Q18</f>
        <v>0</v>
      </c>
      <c r="O18" s="384">
        <f>'F11-Year(n+4)'!Q18</f>
        <v>0</v>
      </c>
      <c r="P18" s="384">
        <f>'F11-Year(n+5)'!Q18</f>
        <v>0</v>
      </c>
    </row>
    <row r="19" spans="3:16">
      <c r="C19" s="711"/>
      <c r="D19" s="296"/>
      <c r="E19" s="384"/>
      <c r="F19" s="384">
        <f>'F11-Year(n-1)'!Q19</f>
        <v>0</v>
      </c>
      <c r="G19" s="384"/>
      <c r="H19" s="384"/>
      <c r="I19" s="384">
        <f>SUM('F11-Year(n)'!E19:J19)</f>
        <v>0</v>
      </c>
      <c r="J19" s="384">
        <f ca="1">SUM('F11-Year(n)'!K19:'F11-Year(n)'!P19)</f>
        <v>0</v>
      </c>
      <c r="K19" s="384">
        <f ca="1" t="shared" si="0"/>
        <v>0</v>
      </c>
      <c r="L19" s="384">
        <f>'F11-Year(n+1)'!Q19</f>
        <v>0</v>
      </c>
      <c r="M19" s="384">
        <f>'F11-Year(n+2)'!Q19</f>
        <v>0</v>
      </c>
      <c r="N19" s="384">
        <f>'F11-Year(n+3) '!Q19</f>
        <v>0</v>
      </c>
      <c r="O19" s="384">
        <f>'F11-Year(n+4)'!Q19</f>
        <v>0</v>
      </c>
      <c r="P19" s="384">
        <f>'F11-Year(n+5)'!Q19</f>
        <v>0</v>
      </c>
    </row>
    <row r="20" spans="3:16">
      <c r="C20" s="711"/>
      <c r="D20" s="296"/>
      <c r="E20" s="384"/>
      <c r="F20" s="384">
        <f>'F11-Year(n-1)'!Q20</f>
        <v>0</v>
      </c>
      <c r="G20" s="384"/>
      <c r="H20" s="384"/>
      <c r="I20" s="384">
        <f>SUM('F11-Year(n)'!E20:J20)</f>
        <v>0</v>
      </c>
      <c r="J20" s="384">
        <f ca="1">SUM('F11-Year(n)'!K20:'F11-Year(n)'!P20)</f>
        <v>0</v>
      </c>
      <c r="K20" s="384">
        <f ca="1" t="shared" si="0"/>
        <v>0</v>
      </c>
      <c r="L20" s="384">
        <f>'F11-Year(n+1)'!Q20</f>
        <v>0</v>
      </c>
      <c r="M20" s="384">
        <f>'F11-Year(n+2)'!Q20</f>
        <v>0</v>
      </c>
      <c r="N20" s="384">
        <f>'F11-Year(n+3) '!Q20</f>
        <v>0</v>
      </c>
      <c r="O20" s="384">
        <f>'F11-Year(n+4)'!Q20</f>
        <v>0</v>
      </c>
      <c r="P20" s="384">
        <f>'F11-Year(n+5)'!Q20</f>
        <v>0</v>
      </c>
    </row>
    <row r="21" spans="3:16">
      <c r="C21" s="711"/>
      <c r="D21" s="296"/>
      <c r="E21" s="384"/>
      <c r="F21" s="384">
        <f>'F11-Year(n-1)'!Q21</f>
        <v>0</v>
      </c>
      <c r="G21" s="384"/>
      <c r="H21" s="384"/>
      <c r="I21" s="384">
        <f>SUM('F11-Year(n)'!E21:J21)</f>
        <v>0</v>
      </c>
      <c r="J21" s="384">
        <f ca="1">SUM('F11-Year(n)'!K21:'F11-Year(n)'!P21)</f>
        <v>0</v>
      </c>
      <c r="K21" s="384">
        <f ca="1" t="shared" si="0"/>
        <v>0</v>
      </c>
      <c r="L21" s="384">
        <f>'F11-Year(n+1)'!Q21</f>
        <v>0</v>
      </c>
      <c r="M21" s="384">
        <f>'F11-Year(n+2)'!Q21</f>
        <v>0</v>
      </c>
      <c r="N21" s="384">
        <f>'F11-Year(n+3) '!Q21</f>
        <v>0</v>
      </c>
      <c r="O21" s="384">
        <f>'F11-Year(n+4)'!Q21</f>
        <v>0</v>
      </c>
      <c r="P21" s="384">
        <f>'F11-Year(n+5)'!Q21</f>
        <v>0</v>
      </c>
    </row>
    <row r="22" spans="3:16">
      <c r="C22" s="711"/>
      <c r="D22" s="296"/>
      <c r="E22" s="384"/>
      <c r="F22" s="384">
        <f>'F11-Year(n-1)'!Q22</f>
        <v>0</v>
      </c>
      <c r="G22" s="384"/>
      <c r="H22" s="384"/>
      <c r="I22" s="384">
        <f>SUM('F11-Year(n)'!E22:J22)</f>
        <v>0</v>
      </c>
      <c r="J22" s="384">
        <f ca="1">SUM('F11-Year(n)'!K22:'F11-Year(n)'!P22)</f>
        <v>0</v>
      </c>
      <c r="K22" s="384">
        <f ca="1" t="shared" si="0"/>
        <v>0</v>
      </c>
      <c r="L22" s="384">
        <f>'F11-Year(n+1)'!Q22</f>
        <v>0</v>
      </c>
      <c r="M22" s="384">
        <f>'F11-Year(n+2)'!Q22</f>
        <v>0</v>
      </c>
      <c r="N22" s="384">
        <f>'F11-Year(n+3) '!Q22</f>
        <v>0</v>
      </c>
      <c r="O22" s="384">
        <f>'F11-Year(n+4)'!Q22</f>
        <v>0</v>
      </c>
      <c r="P22" s="384">
        <f>'F11-Year(n+5)'!Q22</f>
        <v>0</v>
      </c>
    </row>
    <row r="23" spans="3:16">
      <c r="C23" s="711"/>
      <c r="D23" s="296"/>
      <c r="E23" s="384"/>
      <c r="F23" s="384">
        <f>'F11-Year(n-1)'!Q23</f>
        <v>0</v>
      </c>
      <c r="G23" s="384"/>
      <c r="H23" s="384"/>
      <c r="I23" s="384">
        <f>SUM('F11-Year(n)'!E23:J23)</f>
        <v>0</v>
      </c>
      <c r="J23" s="384">
        <f ca="1">SUM('F11-Year(n)'!K23:'F11-Year(n)'!P23)</f>
        <v>0</v>
      </c>
      <c r="K23" s="384">
        <f ca="1" t="shared" si="0"/>
        <v>0</v>
      </c>
      <c r="L23" s="384">
        <f>'F11-Year(n+1)'!Q23</f>
        <v>0</v>
      </c>
      <c r="M23" s="384">
        <f>'F11-Year(n+2)'!Q23</f>
        <v>0</v>
      </c>
      <c r="N23" s="384">
        <f>'F11-Year(n+3) '!Q23</f>
        <v>0</v>
      </c>
      <c r="O23" s="384">
        <f>'F11-Year(n+4)'!Q23</f>
        <v>0</v>
      </c>
      <c r="P23" s="384">
        <f>'F11-Year(n+5)'!Q23</f>
        <v>0</v>
      </c>
    </row>
    <row r="24" spans="3:16">
      <c r="C24" s="711"/>
      <c r="D24" s="296"/>
      <c r="E24" s="384"/>
      <c r="F24" s="384">
        <f>'F11-Year(n-1)'!Q24</f>
        <v>0</v>
      </c>
      <c r="G24" s="384"/>
      <c r="H24" s="384"/>
      <c r="I24" s="384">
        <f>SUM('F11-Year(n)'!E24:J24)</f>
        <v>0</v>
      </c>
      <c r="J24" s="384">
        <f ca="1">SUM('F11-Year(n)'!K24:'F11-Year(n)'!P24)</f>
        <v>0</v>
      </c>
      <c r="K24" s="384">
        <f ca="1" t="shared" si="0"/>
        <v>0</v>
      </c>
      <c r="L24" s="384">
        <f>'F11-Year(n+1)'!Q24</f>
        <v>0</v>
      </c>
      <c r="M24" s="384">
        <f>'F11-Year(n+2)'!Q24</f>
        <v>0</v>
      </c>
      <c r="N24" s="384">
        <f>'F11-Year(n+3) '!Q24</f>
        <v>0</v>
      </c>
      <c r="O24" s="384">
        <f>'F11-Year(n+4)'!Q24</f>
        <v>0</v>
      </c>
      <c r="P24" s="384">
        <f>'F11-Year(n+5)'!Q24</f>
        <v>0</v>
      </c>
    </row>
    <row r="25" spans="3:16">
      <c r="C25" s="711"/>
      <c r="D25" s="296"/>
      <c r="E25" s="384"/>
      <c r="F25" s="384">
        <f>'F11-Year(n-1)'!Q25</f>
        <v>0</v>
      </c>
      <c r="G25" s="384"/>
      <c r="H25" s="384"/>
      <c r="I25" s="384">
        <f>SUM('F11-Year(n)'!E25:J25)</f>
        <v>0</v>
      </c>
      <c r="J25" s="384">
        <f ca="1">SUM('F11-Year(n)'!K25:'F11-Year(n)'!P25)</f>
        <v>0</v>
      </c>
      <c r="K25" s="384">
        <f ca="1" t="shared" si="0"/>
        <v>0</v>
      </c>
      <c r="L25" s="384">
        <f>'F11-Year(n+1)'!Q25</f>
        <v>0</v>
      </c>
      <c r="M25" s="384">
        <f>'F11-Year(n+2)'!Q25</f>
        <v>0</v>
      </c>
      <c r="N25" s="384">
        <f>'F11-Year(n+3) '!Q25</f>
        <v>0</v>
      </c>
      <c r="O25" s="384">
        <f>'F11-Year(n+4)'!Q25</f>
        <v>0</v>
      </c>
      <c r="P25" s="384">
        <f>'F11-Year(n+5)'!Q25</f>
        <v>0</v>
      </c>
    </row>
    <row r="26" spans="3:16">
      <c r="C26" s="711"/>
      <c r="D26" s="296"/>
      <c r="E26" s="384"/>
      <c r="F26" s="384">
        <f>'F11-Year(n-1)'!Q26</f>
        <v>0</v>
      </c>
      <c r="G26" s="384"/>
      <c r="H26" s="384"/>
      <c r="I26" s="384">
        <f>SUM('F11-Year(n)'!E26:J26)</f>
        <v>0</v>
      </c>
      <c r="J26" s="384">
        <f ca="1">SUM('F11-Year(n)'!K26:'F11-Year(n)'!P26)</f>
        <v>0</v>
      </c>
      <c r="K26" s="384">
        <f ca="1" t="shared" si="0"/>
        <v>0</v>
      </c>
      <c r="L26" s="384">
        <f>'F11-Year(n+1)'!Q26</f>
        <v>0</v>
      </c>
      <c r="M26" s="384">
        <f>'F11-Year(n+2)'!Q26</f>
        <v>0</v>
      </c>
      <c r="N26" s="384">
        <f>'F11-Year(n+3) '!Q26</f>
        <v>0</v>
      </c>
      <c r="O26" s="384">
        <f>'F11-Year(n+4)'!Q26</f>
        <v>0</v>
      </c>
      <c r="P26" s="384">
        <f>'F11-Year(n+5)'!Q26</f>
        <v>0</v>
      </c>
    </row>
    <row r="27" spans="3:16">
      <c r="C27" s="713"/>
      <c r="D27" s="296"/>
      <c r="E27" s="384"/>
      <c r="F27" s="384">
        <f>'F11-Year(n-1)'!Q27</f>
        <v>0</v>
      </c>
      <c r="G27" s="384"/>
      <c r="H27" s="384"/>
      <c r="I27" s="384">
        <f>SUM('F11-Year(n)'!E27:J27)</f>
        <v>0</v>
      </c>
      <c r="J27" s="384">
        <f ca="1">SUM('F11-Year(n)'!K27:'F11-Year(n)'!P27)</f>
        <v>0</v>
      </c>
      <c r="K27" s="384">
        <f ca="1" t="shared" si="0"/>
        <v>0</v>
      </c>
      <c r="L27" s="384">
        <f>'F11-Year(n+1)'!Q27</f>
        <v>0</v>
      </c>
      <c r="M27" s="384">
        <f>'F11-Year(n+2)'!Q27</f>
        <v>0</v>
      </c>
      <c r="N27" s="384">
        <f>'F11-Year(n+3) '!Q27</f>
        <v>0</v>
      </c>
      <c r="O27" s="384">
        <f>'F11-Year(n+4)'!Q27</f>
        <v>0</v>
      </c>
      <c r="P27" s="384">
        <f>'F11-Year(n+5)'!Q27</f>
        <v>0</v>
      </c>
    </row>
    <row r="28" ht="15" spans="3:16">
      <c r="C28" s="285" t="s">
        <v>211</v>
      </c>
      <c r="D28" s="286"/>
      <c r="E28" s="722">
        <f>SUM(E10:E27)</f>
        <v>19017.18991</v>
      </c>
      <c r="F28" s="722">
        <f>SUM(F10:F27)</f>
        <v>0</v>
      </c>
      <c r="G28" s="722">
        <f>F28-E28</f>
        <v>-19017.18991</v>
      </c>
      <c r="H28" s="722">
        <f>SUM(H10:H27)</f>
        <v>18492.079205</v>
      </c>
      <c r="I28" s="722">
        <f t="shared" ref="I28:L28" si="1">SUM(I10:I27)</f>
        <v>9160.8499131</v>
      </c>
      <c r="J28" s="722">
        <f ca="1" t="shared" si="1"/>
        <v>9405.713614242</v>
      </c>
      <c r="K28" s="722">
        <f ca="1" t="shared" si="1"/>
        <v>18566.563527342</v>
      </c>
      <c r="L28" s="722">
        <f t="shared" si="1"/>
        <v>32702.1627618864</v>
      </c>
      <c r="M28" s="722">
        <f>'F11-Year(n+2)'!Q28</f>
        <v>29453.3038527711</v>
      </c>
      <c r="N28" s="722">
        <f>'F11-Year(n+3) '!Q28</f>
        <v>30233.8190650089</v>
      </c>
      <c r="O28" s="722">
        <f>'F11-Year(n+4)'!Q28</f>
        <v>31787.1897975087</v>
      </c>
      <c r="P28" s="722">
        <f>'F11-Year(n+5)'!Q28</f>
        <v>34243.6412347368</v>
      </c>
    </row>
    <row r="29" ht="15" spans="3:16">
      <c r="C29" s="285" t="s">
        <v>360</v>
      </c>
      <c r="D29" s="286"/>
      <c r="E29" s="384"/>
      <c r="F29" s="384"/>
      <c r="G29" s="384"/>
      <c r="H29" s="384"/>
      <c r="I29" s="384"/>
      <c r="J29" s="384"/>
      <c r="K29" s="384"/>
      <c r="L29" s="384"/>
      <c r="M29" s="384"/>
      <c r="N29" s="384"/>
      <c r="O29" s="384"/>
      <c r="P29" s="384"/>
    </row>
    <row r="30" spans="3:16">
      <c r="C30" s="710" t="s">
        <v>444</v>
      </c>
      <c r="D30" s="296" t="s">
        <v>361</v>
      </c>
      <c r="E30" s="384">
        <f>'F8'!E29</f>
        <v>111.109195</v>
      </c>
      <c r="F30" s="384">
        <f>'F11-Year(n-1)'!Q30</f>
        <v>0</v>
      </c>
      <c r="G30" s="384"/>
      <c r="H30" s="384">
        <f>'F8'!H29</f>
        <v>119.73746</v>
      </c>
      <c r="I30" s="384">
        <f>SUM('F11-Year(n)'!E30:J30)</f>
        <v>0</v>
      </c>
      <c r="J30" s="384">
        <f>SUM('F11-Year(n)'!K30:P30)</f>
        <v>0</v>
      </c>
      <c r="K30" s="384">
        <f t="shared" ref="K30:K49" si="2">I30+J30</f>
        <v>0</v>
      </c>
      <c r="L30" s="384">
        <f>'F11-Year(n+1)'!Q30</f>
        <v>204.860294346477</v>
      </c>
      <c r="M30" s="771">
        <f>'F11-Year(n+2)'!Q30</f>
        <v>389.998117847382</v>
      </c>
      <c r="N30" s="771">
        <f>'F11-Year(n+3) '!Q30</f>
        <v>389.99781475805</v>
      </c>
      <c r="O30" s="771">
        <f>'F11-Year(n+4)'!Q30</f>
        <v>391.558266693278</v>
      </c>
      <c r="P30" s="771">
        <f>'F11-Year(n+5)'!Q30</f>
        <v>389.998170822028</v>
      </c>
    </row>
    <row r="31" spans="3:16">
      <c r="C31" s="711"/>
      <c r="D31" s="296" t="s">
        <v>362</v>
      </c>
      <c r="E31" s="384">
        <f>'F8'!E30</f>
        <v>1095.47218</v>
      </c>
      <c r="F31" s="384">
        <f>'F11-Year(n-1)'!Q31</f>
        <v>0</v>
      </c>
      <c r="G31" s="384"/>
      <c r="H31" s="384">
        <f>'F8'!H30</f>
        <v>1760.469425</v>
      </c>
      <c r="I31" s="384">
        <f>SUM('F11-Year(n)'!E31:J31)</f>
        <v>0</v>
      </c>
      <c r="J31" s="384">
        <f>SUM('F11-Year(n)'!K31:P31)</f>
        <v>0</v>
      </c>
      <c r="K31" s="384">
        <f t="shared" si="2"/>
        <v>0</v>
      </c>
      <c r="L31" s="384">
        <f>'F11-Year(n+1)'!Q31</f>
        <v>1428.06885529049</v>
      </c>
      <c r="M31" s="771">
        <f>'F11-Year(n+2)'!Q31</f>
        <v>1359.32677314669</v>
      </c>
      <c r="N31" s="771">
        <f>'F11-Year(n+3) '!Q31</f>
        <v>1359.32571673789</v>
      </c>
      <c r="O31" s="771">
        <f>'F11-Year(n+4)'!Q31</f>
        <v>1364.76462527794</v>
      </c>
      <c r="P31" s="771">
        <f>'F11-Year(n+5)'!Q31</f>
        <v>1359.32695778823</v>
      </c>
    </row>
    <row r="32" spans="3:16">
      <c r="C32" s="711"/>
      <c r="D32" s="296" t="s">
        <v>363</v>
      </c>
      <c r="E32" s="384">
        <f>'F8'!E31</f>
        <v>993.7673</v>
      </c>
      <c r="F32" s="384">
        <f>'F11-Year(n-1)'!Q32</f>
        <v>0</v>
      </c>
      <c r="G32" s="384"/>
      <c r="H32" s="384">
        <f>'F8'!H31</f>
        <v>1523.266215</v>
      </c>
      <c r="I32" s="384">
        <f>SUM('F11-Year(n)'!E32:J32)</f>
        <v>0</v>
      </c>
      <c r="J32" s="384">
        <f>SUM('F11-Year(n)'!K32:P32)</f>
        <v>0</v>
      </c>
      <c r="K32" s="384">
        <f t="shared" si="2"/>
        <v>0</v>
      </c>
      <c r="L32" s="384">
        <f>'F11-Year(n+1)'!Q32</f>
        <v>1575.84841804983</v>
      </c>
      <c r="M32" s="771">
        <f>'F11-Year(n+2)'!Q32</f>
        <v>1499.99276095147</v>
      </c>
      <c r="N32" s="771">
        <f>'F11-Year(n+3) '!Q32</f>
        <v>1499.99159522327</v>
      </c>
      <c r="O32" s="771">
        <f>'F11-Year(n+4)'!Q32</f>
        <v>1505.99333343568</v>
      </c>
      <c r="P32" s="771">
        <f>'F11-Year(n+5)'!Q32</f>
        <v>1499.9929647001</v>
      </c>
    </row>
    <row r="33" spans="3:16">
      <c r="C33" s="711"/>
      <c r="D33" s="296" t="s">
        <v>364</v>
      </c>
      <c r="E33" s="384">
        <f>'F8'!E32</f>
        <v>223.40363</v>
      </c>
      <c r="F33" s="384">
        <f>'F11-Year(n-1)'!Q33</f>
        <v>0</v>
      </c>
      <c r="G33" s="384"/>
      <c r="H33" s="384">
        <f>'F8'!H32</f>
        <v>265.458485</v>
      </c>
      <c r="I33" s="384">
        <f>SUM('F11-Year(n)'!E33:J33)</f>
        <v>0</v>
      </c>
      <c r="J33" s="384">
        <f>SUM('F11-Year(n)'!K33:P33)</f>
        <v>0</v>
      </c>
      <c r="K33" s="384">
        <f t="shared" si="2"/>
        <v>0</v>
      </c>
      <c r="L33" s="384">
        <f>'F11-Year(n+1)'!Q33</f>
        <v>420.226244813287</v>
      </c>
      <c r="M33" s="771">
        <f>'F11-Year(n+2)'!Q33</f>
        <v>399.998069587059</v>
      </c>
      <c r="N33" s="771">
        <f>'F11-Year(n+3) '!Q33</f>
        <v>399.997758726206</v>
      </c>
      <c r="O33" s="771">
        <f>'F11-Year(n+4)'!Q33</f>
        <v>401.598222249516</v>
      </c>
      <c r="P33" s="771">
        <f>'F11-Year(n+5)'!Q33</f>
        <v>399.998123920028</v>
      </c>
    </row>
    <row r="34" spans="3:16">
      <c r="C34" s="711"/>
      <c r="D34" s="296" t="s">
        <v>365</v>
      </c>
      <c r="E34" s="384">
        <f>'F8'!E33</f>
        <v>119.194225</v>
      </c>
      <c r="F34" s="384">
        <f>'F11-Year(n-1)'!Q34</f>
        <v>0</v>
      </c>
      <c r="G34" s="384"/>
      <c r="H34" s="384">
        <f>'F8'!H33</f>
        <v>229.10407</v>
      </c>
      <c r="I34" s="384">
        <f>SUM('F11-Year(n)'!E34:J34)</f>
        <v>0</v>
      </c>
      <c r="J34" s="384">
        <f>SUM('F11-Year(n)'!K34:P34)</f>
        <v>0</v>
      </c>
      <c r="K34" s="384">
        <f t="shared" si="2"/>
        <v>0</v>
      </c>
      <c r="L34" s="384">
        <f>'F11-Year(n+1)'!Q34</f>
        <v>210.113122406643</v>
      </c>
      <c r="M34" s="771">
        <f>'F11-Year(n+2)'!Q34</f>
        <v>199.999034793529</v>
      </c>
      <c r="N34" s="771">
        <f>'F11-Year(n+3) '!Q34</f>
        <v>199.998879363103</v>
      </c>
      <c r="O34" s="771">
        <f>'F11-Year(n+4)'!Q34</f>
        <v>200.799111124758</v>
      </c>
      <c r="P34" s="771">
        <f>'F11-Year(n+5)'!Q34</f>
        <v>199.999061960014</v>
      </c>
    </row>
    <row r="35" spans="3:16">
      <c r="C35" s="711"/>
      <c r="D35" s="296" t="s">
        <v>366</v>
      </c>
      <c r="E35" s="384">
        <f>'F8'!E34</f>
        <v>12.88243</v>
      </c>
      <c r="F35" s="384">
        <f>'F11-Year(n-1)'!Q35</f>
        <v>0</v>
      </c>
      <c r="G35" s="384"/>
      <c r="H35" s="384">
        <f>'F8'!H34</f>
        <v>12.26159</v>
      </c>
      <c r="I35" s="384">
        <f>SUM('F11-Year(n)'!E35:J35)</f>
        <v>0</v>
      </c>
      <c r="J35" s="384">
        <f>SUM('F11-Year(n)'!K35:P35)</f>
        <v>0</v>
      </c>
      <c r="K35" s="384">
        <f t="shared" si="2"/>
        <v>0</v>
      </c>
      <c r="L35" s="384">
        <f>'F11-Year(n+1)'!Q35</f>
        <v>31.5169683609965</v>
      </c>
      <c r="M35" s="771">
        <f>'F11-Year(n+2)'!Q35</f>
        <v>29.9998552190294</v>
      </c>
      <c r="N35" s="771">
        <f>'F11-Year(n+3) '!Q35</f>
        <v>29.9998319044654</v>
      </c>
      <c r="O35" s="771">
        <f>'F11-Year(n+4)'!Q35</f>
        <v>30.1198666687137</v>
      </c>
      <c r="P35" s="771">
        <f>'F11-Year(n+5)'!Q35</f>
        <v>29.9998592940021</v>
      </c>
    </row>
    <row r="36" spans="3:16">
      <c r="C36" s="711"/>
      <c r="D36" s="296" t="s">
        <v>367</v>
      </c>
      <c r="E36" s="384">
        <f>'F8'!E35</f>
        <v>65.69616</v>
      </c>
      <c r="F36" s="384">
        <f>'F11-Year(n-1)'!Q36</f>
        <v>0</v>
      </c>
      <c r="G36" s="384"/>
      <c r="H36" s="384">
        <f>'F8'!H35</f>
        <v>92.088915</v>
      </c>
      <c r="I36" s="384">
        <f>SUM('F11-Year(n)'!E36:J36)</f>
        <v>0</v>
      </c>
      <c r="J36" s="384">
        <f>SUM('F11-Year(n)'!K36:P36)</f>
        <v>0</v>
      </c>
      <c r="K36" s="384">
        <f t="shared" si="2"/>
        <v>0</v>
      </c>
      <c r="L36" s="384">
        <v>0</v>
      </c>
      <c r="M36" s="771">
        <f>'F11-Year(n+2)'!Q36</f>
        <v>99.9995173967647</v>
      </c>
      <c r="N36" s="771">
        <f>'F11-Year(n+3) '!Q36</f>
        <v>99.9994396815515</v>
      </c>
      <c r="O36" s="771">
        <f>'F11-Year(n+4)'!Q36</f>
        <v>100.399555562379</v>
      </c>
      <c r="P36" s="771">
        <f>'F11-Year(n+5)'!Q36</f>
        <v>99.999530980007</v>
      </c>
    </row>
    <row r="37" spans="3:16">
      <c r="C37" s="711"/>
      <c r="D37" s="296" t="s">
        <v>368</v>
      </c>
      <c r="E37" s="384">
        <f>'F8'!E36</f>
        <v>1.90485</v>
      </c>
      <c r="F37" s="384">
        <f>'F11-Year(n-1)'!Q37</f>
        <v>0</v>
      </c>
      <c r="G37" s="384"/>
      <c r="H37" s="384">
        <f>'F8'!H36</f>
        <v>2.48336</v>
      </c>
      <c r="I37" s="384">
        <f>SUM('F11-Year(n)'!E37:J37)</f>
        <v>0</v>
      </c>
      <c r="J37" s="384">
        <f>SUM('F11-Year(n)'!K37:P37)</f>
        <v>0</v>
      </c>
      <c r="K37" s="384">
        <f t="shared" si="2"/>
        <v>0</v>
      </c>
      <c r="L37" s="384">
        <v>0</v>
      </c>
      <c r="M37" s="771">
        <f>'F11-Year(n+2)'!Q37</f>
        <v>24.9998793491912</v>
      </c>
      <c r="N37" s="771">
        <f>'F11-Year(n+3) '!Q37</f>
        <v>24.9998599203879</v>
      </c>
      <c r="O37" s="771">
        <f>'F11-Year(n+4)'!Q37</f>
        <v>25.0998888905947</v>
      </c>
      <c r="P37" s="771">
        <f>'F11-Year(n+5)'!Q37</f>
        <v>24.9998827450018</v>
      </c>
    </row>
    <row r="38" spans="3:16">
      <c r="C38" s="711"/>
      <c r="D38" s="296" t="s">
        <v>445</v>
      </c>
      <c r="E38" s="384">
        <f>'F8'!E37</f>
        <v>0</v>
      </c>
      <c r="F38" s="384">
        <v>0</v>
      </c>
      <c r="G38" s="384"/>
      <c r="H38" s="384">
        <f>'F8'!H37</f>
        <v>0</v>
      </c>
      <c r="I38" s="384">
        <v>0</v>
      </c>
      <c r="J38" s="384">
        <v>0</v>
      </c>
      <c r="K38" s="384">
        <f t="shared" si="2"/>
        <v>0</v>
      </c>
      <c r="L38" s="384">
        <f>'F11-Year(n+1)'!Q36</f>
        <v>105.056561203322</v>
      </c>
      <c r="M38" s="771">
        <f>'F11-Year(n+2)'!Q38</f>
        <v>0</v>
      </c>
      <c r="N38" s="771">
        <f>'F11-Year(n+3) '!Q38</f>
        <v>0</v>
      </c>
      <c r="O38" s="771">
        <f>'F11-Year(n+4)'!Q38</f>
        <v>0</v>
      </c>
      <c r="P38" s="771">
        <f>'F11-Year(n+5)'!Q38</f>
        <v>0</v>
      </c>
    </row>
    <row r="39" spans="3:16">
      <c r="C39" s="711"/>
      <c r="D39" s="296" t="s">
        <v>446</v>
      </c>
      <c r="E39" s="384"/>
      <c r="F39" s="384">
        <f>'F11-Year(n-1)'!Q39</f>
        <v>0</v>
      </c>
      <c r="G39" s="384"/>
      <c r="H39" s="384">
        <f>'F8'!H38</f>
        <v>0</v>
      </c>
      <c r="I39" s="384">
        <f>SUM('F11-Year(n)'!E39:J39)</f>
        <v>0</v>
      </c>
      <c r="J39" s="384">
        <f>SUM('F11-Year(n)'!K39:P39)</f>
        <v>0</v>
      </c>
      <c r="K39" s="384">
        <f t="shared" si="2"/>
        <v>0</v>
      </c>
      <c r="L39" s="384">
        <f>'F11-Year(n+1)'!Q37</f>
        <v>26.2641403008304</v>
      </c>
      <c r="M39" s="771">
        <f>'F11-Year(n+2)'!Q39</f>
        <v>29.9998552190294</v>
      </c>
      <c r="N39" s="771">
        <f>'F11-Year(n+3) '!Q39</f>
        <v>29.9998319044654</v>
      </c>
      <c r="O39" s="771">
        <f>'F11-Year(n+4)'!Q39</f>
        <v>30.1198666687137</v>
      </c>
      <c r="P39" s="771">
        <f>'F11-Year(n+5)'!Q39</f>
        <v>29.9998592940021</v>
      </c>
    </row>
    <row r="40" spans="3:16">
      <c r="C40" s="711"/>
      <c r="D40" s="296" t="s">
        <v>447</v>
      </c>
      <c r="E40" s="384"/>
      <c r="F40" s="384">
        <f>'F11-Year(n-1)'!Q40</f>
        <v>0</v>
      </c>
      <c r="G40" s="384"/>
      <c r="H40" s="384">
        <f>'F8'!H39</f>
        <v>0</v>
      </c>
      <c r="I40" s="384">
        <f>SUM('F11-Year(n)'!E40:J40)</f>
        <v>0</v>
      </c>
      <c r="J40" s="384">
        <f>SUM('F11-Year(n)'!K40:P40)</f>
        <v>0</v>
      </c>
      <c r="K40" s="384">
        <f t="shared" si="2"/>
        <v>0</v>
      </c>
      <c r="L40" s="384">
        <f>'F11-Year(n+1)'!Q38</f>
        <v>0</v>
      </c>
      <c r="M40" s="771">
        <f>'F11-Year(n+2)'!Q40</f>
        <v>16.6665862327941</v>
      </c>
      <c r="N40" s="771">
        <f>'F11-Year(n+3) '!Q40</f>
        <v>16.6665732802586</v>
      </c>
      <c r="O40" s="771">
        <f>'F11-Year(n+4)'!Q40</f>
        <v>16.7332592603965</v>
      </c>
      <c r="P40" s="771">
        <f>'F11-Year(n+5)'!Q40</f>
        <v>16.6665884966679</v>
      </c>
    </row>
    <row r="41" spans="3:16">
      <c r="C41" s="711"/>
      <c r="D41" s="296" t="s">
        <v>448</v>
      </c>
      <c r="E41" s="384"/>
      <c r="F41" s="384">
        <f>'F11-Year(n-1)'!Q41</f>
        <v>0</v>
      </c>
      <c r="G41" s="384"/>
      <c r="H41" s="384">
        <f>'F8'!H40</f>
        <v>0</v>
      </c>
      <c r="I41" s="384">
        <f>SUM('F11-Year(n)'!E41:J41)</f>
        <v>0</v>
      </c>
      <c r="J41" s="384">
        <f>SUM('F11-Year(n)'!K41:P41)</f>
        <v>0</v>
      </c>
      <c r="K41" s="384">
        <f t="shared" si="2"/>
        <v>0</v>
      </c>
      <c r="L41" s="384">
        <f>'F11-Year(n+1)'!Q39</f>
        <v>31.5169683609965</v>
      </c>
      <c r="M41" s="771">
        <f>'F11-Year(n+2)'!Q41</f>
        <v>0</v>
      </c>
      <c r="N41" s="771">
        <f>'F11-Year(n+3) '!Q41</f>
        <v>0</v>
      </c>
      <c r="O41" s="771">
        <f>'F11-Year(n+4)'!Q41</f>
        <v>0</v>
      </c>
      <c r="P41" s="771">
        <f>'F11-Year(n+5)'!Q41</f>
        <v>0</v>
      </c>
    </row>
    <row r="42" spans="3:16">
      <c r="C42" s="711"/>
      <c r="D42" s="296" t="s">
        <v>449</v>
      </c>
      <c r="E42" s="384"/>
      <c r="F42" s="384">
        <f>'F11-Year(n-1)'!Q42</f>
        <v>0</v>
      </c>
      <c r="G42" s="384"/>
      <c r="H42" s="384">
        <f>'F8'!H41</f>
        <v>0</v>
      </c>
      <c r="I42" s="384">
        <f>SUM('F11-Year(n)'!E42:J42)</f>
        <v>0</v>
      </c>
      <c r="J42" s="384">
        <f>SUM('F11-Year(n)'!K42:P42)</f>
        <v>0</v>
      </c>
      <c r="K42" s="384">
        <f t="shared" si="2"/>
        <v>0</v>
      </c>
      <c r="L42" s="384">
        <f>'F11-Year(n+1)'!Q40</f>
        <v>17.5094268672203</v>
      </c>
      <c r="M42" s="771">
        <f>'F11-Year(n+2)'!Q42</f>
        <v>0</v>
      </c>
      <c r="N42" s="771">
        <f>'F11-Year(n+3) '!Q42</f>
        <v>0</v>
      </c>
      <c r="O42" s="771">
        <f>'F11-Year(n+4)'!Q42</f>
        <v>0</v>
      </c>
      <c r="P42" s="771">
        <f>'F11-Year(n+5)'!Q42</f>
        <v>0</v>
      </c>
    </row>
    <row r="43" spans="3:16">
      <c r="C43" s="711"/>
      <c r="D43" s="296" t="s">
        <v>466</v>
      </c>
      <c r="E43" s="384"/>
      <c r="F43" s="384">
        <f>'F11-Year(n-1)'!Q38</f>
        <v>0</v>
      </c>
      <c r="G43" s="384"/>
      <c r="H43" s="384"/>
      <c r="I43" s="384">
        <f>SUM('F11-Year(n)'!E38:J38)</f>
        <v>499.7730644758</v>
      </c>
      <c r="J43" s="384">
        <f>SUM('F11-Year(n)'!K38:P38)</f>
        <v>333.1197145046</v>
      </c>
      <c r="K43" s="384">
        <f t="shared" si="2"/>
        <v>832.8927789804</v>
      </c>
      <c r="L43" s="384">
        <f>'F11-Year(n+1)'!Q43</f>
        <v>0</v>
      </c>
      <c r="M43" s="771">
        <f>'F11-Year(n+2)'!Q43</f>
        <v>0</v>
      </c>
      <c r="N43" s="771">
        <f>'F11-Year(n+3) '!Q43</f>
        <v>0</v>
      </c>
      <c r="O43" s="771">
        <f>'F11-Year(n+4)'!Q43</f>
        <v>0</v>
      </c>
      <c r="P43" s="771">
        <f>'F11-Year(n+5)'!Q43</f>
        <v>0</v>
      </c>
    </row>
    <row r="44" spans="3:16">
      <c r="C44" s="711"/>
      <c r="D44" s="296"/>
      <c r="E44" s="384"/>
      <c r="F44" s="384">
        <f>'F11-Year(n-1)'!Q44</f>
        <v>0</v>
      </c>
      <c r="G44" s="384"/>
      <c r="H44" s="384"/>
      <c r="I44" s="384">
        <f>SUM('F11-Year(n)'!E44:J44)</f>
        <v>0</v>
      </c>
      <c r="J44" s="384">
        <f>SUM('F11-Year(n)'!K44:P44)</f>
        <v>0</v>
      </c>
      <c r="K44" s="384">
        <f t="shared" si="2"/>
        <v>0</v>
      </c>
      <c r="L44" s="384">
        <f>'F11-Year(n+1)'!Q44</f>
        <v>0</v>
      </c>
      <c r="M44" s="771">
        <f>'F11-Year(n+2)'!Q44</f>
        <v>0</v>
      </c>
      <c r="N44" s="771">
        <f>'F11-Year(n+3) '!Q44</f>
        <v>0</v>
      </c>
      <c r="O44" s="771">
        <f>'F11-Year(n+4)'!Q44</f>
        <v>0</v>
      </c>
      <c r="P44" s="771">
        <f>'F11-Year(n+5)'!Q44</f>
        <v>0</v>
      </c>
    </row>
    <row r="45" spans="3:16">
      <c r="C45" s="711"/>
      <c r="D45" s="296"/>
      <c r="E45" s="384"/>
      <c r="F45" s="384">
        <f>'F11-Year(n-1)'!Q45</f>
        <v>0</v>
      </c>
      <c r="G45" s="384"/>
      <c r="H45" s="384"/>
      <c r="I45" s="384">
        <f>SUM('F11-Year(n)'!E45:J45)</f>
        <v>0</v>
      </c>
      <c r="J45" s="384">
        <f>SUM('F11-Year(n)'!K45:P45)</f>
        <v>0</v>
      </c>
      <c r="K45" s="384">
        <f t="shared" si="2"/>
        <v>0</v>
      </c>
      <c r="L45" s="384">
        <f>'F11-Year(n+1)'!Q45</f>
        <v>0</v>
      </c>
      <c r="M45" s="771">
        <f>'F11-Year(n+2)'!Q45</f>
        <v>0</v>
      </c>
      <c r="N45" s="771">
        <f>'F11-Year(n+3) '!Q45</f>
        <v>0</v>
      </c>
      <c r="O45" s="771">
        <f>'F11-Year(n+4)'!Q45</f>
        <v>0</v>
      </c>
      <c r="P45" s="771">
        <f>'F11-Year(n+5)'!Q45</f>
        <v>0</v>
      </c>
    </row>
    <row r="46" spans="3:16">
      <c r="C46" s="711"/>
      <c r="D46" s="296"/>
      <c r="E46" s="384"/>
      <c r="F46" s="384">
        <f>'F11-Year(n-1)'!Q46</f>
        <v>0</v>
      </c>
      <c r="G46" s="384"/>
      <c r="H46" s="384"/>
      <c r="I46" s="384">
        <f>SUM('F11-Year(n)'!E46:J46)</f>
        <v>0</v>
      </c>
      <c r="J46" s="384">
        <f>SUM('F11-Year(n)'!K46:P46)</f>
        <v>0</v>
      </c>
      <c r="K46" s="384">
        <f t="shared" si="2"/>
        <v>0</v>
      </c>
      <c r="L46" s="384">
        <f>'F11-Year(n+1)'!Q46</f>
        <v>0</v>
      </c>
      <c r="M46" s="771">
        <f>'F11-Year(n+2)'!Q46</f>
        <v>0</v>
      </c>
      <c r="N46" s="771">
        <f>'F11-Year(n+3) '!Q46</f>
        <v>0</v>
      </c>
      <c r="O46" s="771">
        <f>'F11-Year(n+4)'!Q46</f>
        <v>0</v>
      </c>
      <c r="P46" s="771">
        <f>'F11-Year(n+5)'!Q46</f>
        <v>0</v>
      </c>
    </row>
    <row r="47" spans="3:16">
      <c r="C47" s="713"/>
      <c r="D47" s="716"/>
      <c r="E47" s="384"/>
      <c r="F47" s="384">
        <f>'F11-Year(n-1)'!Q47</f>
        <v>0</v>
      </c>
      <c r="G47" s="384"/>
      <c r="H47" s="384"/>
      <c r="I47" s="384">
        <f>SUM('F11-Year(n)'!E47:J47)</f>
        <v>0</v>
      </c>
      <c r="J47" s="384">
        <f>SUM('F11-Year(n)'!K47:P47)</f>
        <v>0</v>
      </c>
      <c r="K47" s="384">
        <f t="shared" si="2"/>
        <v>0</v>
      </c>
      <c r="L47" s="384">
        <f>'F11-Year(n+1)'!Q47</f>
        <v>0</v>
      </c>
      <c r="M47" s="771">
        <f>'F11-Year(n+2)'!Q47</f>
        <v>0</v>
      </c>
      <c r="N47" s="771">
        <f>'F11-Year(n+3) '!Q47</f>
        <v>0</v>
      </c>
      <c r="O47" s="771">
        <f>'F11-Year(n+4)'!Q47</f>
        <v>0</v>
      </c>
      <c r="P47" s="771">
        <f>'F11-Year(n+5)'!Q47</f>
        <v>0</v>
      </c>
    </row>
    <row r="48" ht="15" spans="3:16">
      <c r="C48" s="285" t="s">
        <v>211</v>
      </c>
      <c r="D48" s="286"/>
      <c r="E48" s="722">
        <f>SUM(E30:E47)</f>
        <v>2623.42997</v>
      </c>
      <c r="F48" s="722">
        <f>'F11-Year(n-1)'!Q48</f>
        <v>0</v>
      </c>
      <c r="G48" s="722">
        <f>F48-E48</f>
        <v>-2623.42997</v>
      </c>
      <c r="H48" s="722">
        <f>SUM(H30:H47)</f>
        <v>4004.86952</v>
      </c>
      <c r="I48" s="722">
        <f t="shared" ref="I48:J48" si="3">SUM(I30:I47)</f>
        <v>499.7730644758</v>
      </c>
      <c r="J48" s="722">
        <f t="shared" si="3"/>
        <v>333.1197145046</v>
      </c>
      <c r="K48" s="722">
        <f t="shared" si="2"/>
        <v>832.8927789804</v>
      </c>
      <c r="L48" s="722">
        <f>'F11-Year(n+1)'!Q48</f>
        <v>4050.98100000009</v>
      </c>
      <c r="M48" s="722">
        <f>'F11-Year(n+2)'!Q48</f>
        <v>4050.98044974294</v>
      </c>
      <c r="N48" s="722">
        <f>'F11-Year(n+3) '!Q48</f>
        <v>4050.97730149965</v>
      </c>
      <c r="O48" s="722">
        <f>'F11-Year(n+4)'!Q48</f>
        <v>4067.18599583197</v>
      </c>
      <c r="P48" s="722">
        <f>'F11-Year(n+5)'!Q48</f>
        <v>4050.98100000009</v>
      </c>
    </row>
    <row r="49" ht="15" spans="3:16">
      <c r="C49" s="285" t="s">
        <v>369</v>
      </c>
      <c r="D49" s="286"/>
      <c r="E49" s="722">
        <f>E28+E48</f>
        <v>21640.61988</v>
      </c>
      <c r="F49" s="722">
        <f>F28+F48</f>
        <v>0</v>
      </c>
      <c r="G49" s="722">
        <f>F49-E49</f>
        <v>-21640.61988</v>
      </c>
      <c r="H49" s="722">
        <f>H28+H48</f>
        <v>22496.948725</v>
      </c>
      <c r="I49" s="722">
        <f>I28+I48</f>
        <v>9660.6229775758</v>
      </c>
      <c r="J49" s="722">
        <f>SUM('F11-Year(n)'!K49:P49)</f>
        <v>9738.8333287466</v>
      </c>
      <c r="K49" s="722">
        <f t="shared" si="2"/>
        <v>19399.4563063224</v>
      </c>
      <c r="L49" s="722">
        <f>'F11-Year(n+1)'!Q49</f>
        <v>36753.1437618865</v>
      </c>
      <c r="M49" s="722">
        <f>'F11-Year(n+2)'!Q49</f>
        <v>33504.284302514</v>
      </c>
      <c r="N49" s="722">
        <f>'F11-Year(n+3) '!Q49</f>
        <v>34284.7963665085</v>
      </c>
      <c r="O49" s="722">
        <f>'F11-Year(n+4)'!Q49</f>
        <v>35854.3757933407</v>
      </c>
      <c r="P49" s="722">
        <f>'F11-Year(n+5)'!Q49</f>
        <v>38294.6222347369</v>
      </c>
    </row>
    <row r="50" ht="15" spans="3:16">
      <c r="C50" s="708" t="s">
        <v>370</v>
      </c>
      <c r="D50" s="709"/>
      <c r="E50" s="384"/>
      <c r="F50" s="384"/>
      <c r="G50" s="384"/>
      <c r="H50" s="384"/>
      <c r="I50" s="384"/>
      <c r="J50" s="384"/>
      <c r="K50" s="384"/>
      <c r="L50" s="384"/>
      <c r="M50" s="384"/>
      <c r="N50" s="384"/>
      <c r="O50" s="384"/>
      <c r="P50" s="384"/>
    </row>
    <row r="51" ht="15" spans="3:16">
      <c r="C51" s="285" t="s">
        <v>350</v>
      </c>
      <c r="D51" s="286"/>
      <c r="E51" s="384"/>
      <c r="F51" s="384"/>
      <c r="G51" s="384"/>
      <c r="H51" s="384"/>
      <c r="I51" s="384"/>
      <c r="J51" s="384"/>
      <c r="K51" s="384"/>
      <c r="L51" s="384"/>
      <c r="M51" s="384"/>
      <c r="N51" s="384"/>
      <c r="O51" s="384"/>
      <c r="P51" s="384"/>
    </row>
    <row r="52" spans="3:16">
      <c r="C52" s="710" t="s">
        <v>371</v>
      </c>
      <c r="D52" s="296" t="s">
        <v>372</v>
      </c>
      <c r="E52" s="384">
        <f>'F8'!E51</f>
        <v>1964.97271</v>
      </c>
      <c r="F52" s="384">
        <f>'F11-Year(n-1)'!Q52</f>
        <v>1399.444581636</v>
      </c>
      <c r="G52" s="384"/>
      <c r="H52" s="384">
        <f>'F8'!H51</f>
        <v>1395.63421</v>
      </c>
      <c r="I52" s="384">
        <f>SUM('F11-Year(n)'!E52:J52)</f>
        <v>730.826422792</v>
      </c>
      <c r="J52" s="384">
        <f>SUM('F11-Year(n)'!K52:P52)</f>
        <v>698.890475276</v>
      </c>
      <c r="K52" s="384">
        <f t="shared" ref="K52:K77" si="4">I52+J52</f>
        <v>1429.716898068</v>
      </c>
      <c r="L52" s="384">
        <f>'F11-Year(n+1)'!Q52</f>
        <v>1187.06193572374</v>
      </c>
      <c r="M52" s="771">
        <f>'F11-Year(n+2)'!Q52</f>
        <v>1137.6573769499</v>
      </c>
      <c r="N52" s="771">
        <f>'F11-Year(n+3) '!Q52</f>
        <v>1153.61836960163</v>
      </c>
      <c r="O52" s="771">
        <f>'F11-Year(n+4)'!Q52</f>
        <v>1190.57282816485</v>
      </c>
      <c r="P52" s="771">
        <f>'F11-Year(n+5)'!Q52</f>
        <v>1331.25946522582</v>
      </c>
    </row>
    <row r="53" spans="3:16">
      <c r="C53" s="711"/>
      <c r="D53" s="296" t="s">
        <v>373</v>
      </c>
      <c r="E53" s="384">
        <f>'F8'!E52</f>
        <v>527.551735</v>
      </c>
      <c r="F53" s="384">
        <f>'F11-Year(n-1)'!Q53</f>
        <v>333.7633829325</v>
      </c>
      <c r="G53" s="384"/>
      <c r="H53" s="384">
        <f>'F8'!H52</f>
        <v>321.1436</v>
      </c>
      <c r="I53" s="384">
        <f>SUM('F11-Year(n)'!E53:J53)</f>
        <v>201.1891006855</v>
      </c>
      <c r="J53" s="384">
        <f>SUM('F11-Year(n)'!K53:P53)</f>
        <v>176.777136411</v>
      </c>
      <c r="K53" s="384">
        <f t="shared" si="4"/>
        <v>377.9662370965</v>
      </c>
      <c r="L53" s="384">
        <f>'F11-Year(n+1)'!Q53</f>
        <v>276.036837148591</v>
      </c>
      <c r="M53" s="771">
        <f>'F11-Year(n+2)'!Q53</f>
        <v>267.738060691049</v>
      </c>
      <c r="N53" s="771">
        <f>'F11-Year(n+3) '!Q53</f>
        <v>285.438111429717</v>
      </c>
      <c r="O53" s="771">
        <f>'F11-Year(n+4)'!Q53</f>
        <v>285.486878910483</v>
      </c>
      <c r="P53" s="771">
        <f>'F11-Year(n+5)'!Q53</f>
        <v>314.027899401989</v>
      </c>
    </row>
    <row r="54" spans="3:16">
      <c r="C54" s="711"/>
      <c r="D54" s="296" t="s">
        <v>374</v>
      </c>
      <c r="E54" s="384">
        <f>'F8'!E53</f>
        <v>1156.265115</v>
      </c>
      <c r="F54" s="384">
        <f>'F11-Year(n-1)'!Q54</f>
        <v>1207.2043336165</v>
      </c>
      <c r="G54" s="384"/>
      <c r="H54" s="384">
        <f>'F8'!H53</f>
        <v>1126.86693</v>
      </c>
      <c r="I54" s="384">
        <f>SUM('F11-Year(n)'!E54:J54)</f>
        <v>510.9186207805</v>
      </c>
      <c r="J54" s="384">
        <f>SUM('F11-Year(n)'!K54:P54)</f>
        <v>628.3599237945</v>
      </c>
      <c r="K54" s="384">
        <f t="shared" si="4"/>
        <v>1139.278544575</v>
      </c>
      <c r="L54" s="384">
        <f>'F11-Year(n+1)'!Q54</f>
        <v>1040.68700507599</v>
      </c>
      <c r="M54" s="771">
        <f>'F11-Year(n+2)'!Q54</f>
        <v>976.133516971735</v>
      </c>
      <c r="N54" s="771">
        <f>'F11-Year(n+3) '!Q54</f>
        <v>972.903209187253</v>
      </c>
      <c r="O54" s="771">
        <f>'F11-Year(n+4)'!Q54</f>
        <v>1023.80235398327</v>
      </c>
      <c r="P54" s="771">
        <f>'F11-Year(n+5)'!Q54</f>
        <v>1083.48961362022</v>
      </c>
    </row>
    <row r="55" spans="3:16">
      <c r="C55" s="711"/>
      <c r="D55" s="296" t="s">
        <v>375</v>
      </c>
      <c r="E55" s="384">
        <f>'F8'!E54</f>
        <v>2942.323025</v>
      </c>
      <c r="F55" s="384">
        <f>'F11-Year(n-1)'!Q55</f>
        <v>2271.887211723</v>
      </c>
      <c r="G55" s="384"/>
      <c r="H55" s="384">
        <f>'F8'!H54</f>
        <v>1957.57907</v>
      </c>
      <c r="I55" s="384">
        <f>SUM('F11-Year(n)'!E55:J55)</f>
        <v>995.6578600975</v>
      </c>
      <c r="J55" s="384">
        <f>SUM('F11-Year(n)'!K55:P55)</f>
        <v>1191.18124553501</v>
      </c>
      <c r="K55" s="384">
        <f t="shared" si="4"/>
        <v>2186.83910563251</v>
      </c>
      <c r="L55" s="384">
        <f>'F11-Year(n+1)'!Q55</f>
        <v>1702.73927801251</v>
      </c>
      <c r="M55" s="771">
        <f>'F11-Year(n+2)'!Q55</f>
        <v>1461.79770693394</v>
      </c>
      <c r="N55" s="771">
        <f>'F11-Year(n+3) '!Q55</f>
        <v>1544.15170911173</v>
      </c>
      <c r="O55" s="771">
        <f>'F11-Year(n+4)'!Q55</f>
        <v>1586.55562631452</v>
      </c>
      <c r="P55" s="771">
        <f>'F11-Year(n+5)'!Q55</f>
        <v>1770.26737792759</v>
      </c>
    </row>
    <row r="56" spans="3:16">
      <c r="C56" s="711"/>
      <c r="D56" s="296" t="s">
        <v>376</v>
      </c>
      <c r="E56" s="384">
        <f>'F8'!E55</f>
        <v>1348.584415</v>
      </c>
      <c r="F56" s="384">
        <f>'F11-Year(n-1)'!Q56</f>
        <v>1083.8761537615</v>
      </c>
      <c r="G56" s="384"/>
      <c r="H56" s="384">
        <f>'F8'!H55</f>
        <v>1015.687185</v>
      </c>
      <c r="I56" s="384">
        <f>SUM('F11-Year(n)'!E56:J56)</f>
        <v>411.940470766</v>
      </c>
      <c r="J56" s="384">
        <f>SUM('F11-Year(n)'!K56:P56)</f>
        <v>632.453231267</v>
      </c>
      <c r="K56" s="384">
        <f t="shared" si="4"/>
        <v>1044.393702033</v>
      </c>
      <c r="L56" s="384">
        <f>'F11-Year(n+1)'!Q56</f>
        <v>852.666592686928</v>
      </c>
      <c r="M56" s="771">
        <f>'F11-Year(n+2)'!Q56</f>
        <v>692.074553282591</v>
      </c>
      <c r="N56" s="771">
        <f>'F11-Year(n+3) '!Q56</f>
        <v>727.383736420113</v>
      </c>
      <c r="O56" s="771">
        <f>'F11-Year(n+4)'!Q56</f>
        <v>752.999541962367</v>
      </c>
      <c r="P56" s="771">
        <f>'F11-Year(n+5)'!Q56</f>
        <v>855.658668164604</v>
      </c>
    </row>
    <row r="57" spans="3:16">
      <c r="C57" s="711"/>
      <c r="D57" s="296" t="s">
        <v>377</v>
      </c>
      <c r="E57" s="384">
        <f>'F8'!E56</f>
        <v>1507.434795</v>
      </c>
      <c r="F57" s="384">
        <f>'F11-Year(n-1)'!Q57</f>
        <v>800.617419083</v>
      </c>
      <c r="G57" s="384"/>
      <c r="H57" s="384">
        <f>'F8'!H56</f>
        <v>1012.738195</v>
      </c>
      <c r="I57" s="384">
        <f>SUM('F11-Year(n)'!E57:J57)</f>
        <v>313.2412147785</v>
      </c>
      <c r="J57" s="384">
        <f>SUM('F11-Year(n)'!K57:P57)</f>
        <v>278.1799389485</v>
      </c>
      <c r="K57" s="384">
        <f t="shared" si="4"/>
        <v>591.421153727</v>
      </c>
      <c r="L57" s="384">
        <f>'F11-Year(n+1)'!Q57</f>
        <v>791.366626725294</v>
      </c>
      <c r="M57" s="771">
        <f>'F11-Year(n+2)'!Q57</f>
        <v>761.144495372686</v>
      </c>
      <c r="N57" s="771">
        <f>'F11-Year(n+3) '!Q57</f>
        <v>817.28529366925</v>
      </c>
      <c r="O57" s="771">
        <f>'F11-Year(n+4)'!Q57</f>
        <v>849.156688836534</v>
      </c>
      <c r="P57" s="771">
        <f>'F11-Year(n+5)'!Q57</f>
        <v>932.360318158575</v>
      </c>
    </row>
    <row r="58" spans="3:16">
      <c r="C58" s="711"/>
      <c r="D58" s="296" t="s">
        <v>378</v>
      </c>
      <c r="E58" s="384">
        <f>'F8'!E57</f>
        <v>237.30198</v>
      </c>
      <c r="F58" s="384">
        <f>'F11-Year(n-1)'!Q58</f>
        <v>178.0839150125</v>
      </c>
      <c r="G58" s="384"/>
      <c r="H58" s="384">
        <f>'F8'!H57</f>
        <v>237.30198</v>
      </c>
      <c r="I58" s="384">
        <f>SUM('F11-Year(n)'!E58:J58)</f>
        <v>643.898067458609</v>
      </c>
      <c r="J58" s="384">
        <f>SUM('F11-Year(n)'!K58:P58)</f>
        <v>694.827180877608</v>
      </c>
      <c r="K58" s="384">
        <f t="shared" si="4"/>
        <v>1338.72524833622</v>
      </c>
      <c r="L58" s="384">
        <f>'F11-Year(n+1)'!Q58</f>
        <v>148.241796449549</v>
      </c>
      <c r="M58" s="771">
        <f>'F11-Year(n+2)'!Q58</f>
        <v>136.957331457251</v>
      </c>
      <c r="N58" s="771">
        <f>'F11-Year(n+3) '!Q58</f>
        <v>147.442571351714</v>
      </c>
      <c r="O58" s="771">
        <f>'F11-Year(n+4)'!Q58</f>
        <v>153.521704474041</v>
      </c>
      <c r="P58" s="771">
        <f>'F11-Year(n+5)'!Q58</f>
        <v>170.777196279117</v>
      </c>
    </row>
    <row r="59" spans="3:16">
      <c r="C59" s="711"/>
      <c r="D59" s="296" t="s">
        <v>379</v>
      </c>
      <c r="E59" s="384">
        <f>'F8'!E58</f>
        <v>981.13885</v>
      </c>
      <c r="F59" s="384">
        <f>'F11-Year(n-1)'!Q59</f>
        <v>1069.80328376934</v>
      </c>
      <c r="G59" s="384"/>
      <c r="H59" s="384">
        <f>'F8'!H58</f>
        <v>983.967905</v>
      </c>
      <c r="I59" s="384">
        <f>SUM('F11-Year(n)'!E59:J59)</f>
        <v>97.5901140395</v>
      </c>
      <c r="J59" s="384">
        <f>SUM('F11-Year(n)'!K59:P59)</f>
        <v>120.6123103365</v>
      </c>
      <c r="K59" s="384">
        <f t="shared" si="4"/>
        <v>218.202424376</v>
      </c>
      <c r="L59" s="384">
        <f>'F11-Year(n+1)'!Q59</f>
        <v>637.933678058379</v>
      </c>
      <c r="M59" s="771">
        <f>'F11-Year(n+2)'!Q59</f>
        <v>587.651756563128</v>
      </c>
      <c r="N59" s="771">
        <f>'F11-Year(n+3) '!Q59</f>
        <v>636.393147765366</v>
      </c>
      <c r="O59" s="771">
        <f>'F11-Year(n+4)'!Q59</f>
        <v>658.371376829934</v>
      </c>
      <c r="P59" s="771">
        <f>'F11-Year(n+5)'!Q59</f>
        <v>722.096527157285</v>
      </c>
    </row>
    <row r="60" spans="3:16">
      <c r="C60" s="713"/>
      <c r="D60" s="296" t="s">
        <v>380</v>
      </c>
      <c r="E60" s="384">
        <f>'F8'!E59</f>
        <v>2468.988965</v>
      </c>
      <c r="F60" s="384">
        <f>'F11-Year(n-1)'!Q60</f>
        <v>0</v>
      </c>
      <c r="G60" s="384"/>
      <c r="H60" s="384">
        <f>'F8'!H59</f>
        <v>5584.78033</v>
      </c>
      <c r="I60" s="384">
        <f>SUM('F11-Year(n)'!E60:J60)</f>
        <v>6.08835035625</v>
      </c>
      <c r="J60" s="384">
        <f>SUM('F11-Year(n)'!K60:P60)</f>
        <v>1860.0708235915</v>
      </c>
      <c r="K60" s="384">
        <f t="shared" si="4"/>
        <v>1866.15917394775</v>
      </c>
      <c r="L60" s="384">
        <f>'F11-Year(n+1)'!Q60+'F11-Year(n+1)'!Q61</f>
        <v>5086.86189140489</v>
      </c>
      <c r="M60" s="771">
        <f>'F11-Year(n+2)'!Q60</f>
        <v>2650.01117590623</v>
      </c>
      <c r="N60" s="771">
        <f>'F11-Year(n+3) '!Q60</f>
        <v>2869.74241721098</v>
      </c>
      <c r="O60" s="771">
        <f>'F11-Year(n+4)'!Q60</f>
        <v>3058.19098227636</v>
      </c>
      <c r="P60" s="771">
        <f>'F11-Year(n+5)'!Q60</f>
        <v>3139.61977409715</v>
      </c>
    </row>
    <row r="61" spans="3:16">
      <c r="C61" s="296"/>
      <c r="D61" s="296" t="s">
        <v>381</v>
      </c>
      <c r="E61" s="384">
        <f>'F8'!E60</f>
        <v>279.19457</v>
      </c>
      <c r="F61" s="384">
        <f>'F11-Year(n-1)'!Q61</f>
        <v>48.101486672</v>
      </c>
      <c r="G61" s="384"/>
      <c r="H61" s="384">
        <f>'F8'!H60</f>
        <v>24.629005</v>
      </c>
      <c r="I61" s="384">
        <f>SUM('F11-Year(n)'!E61:J61)</f>
        <v>9.567522548</v>
      </c>
      <c r="J61" s="384">
        <f>SUM('F11-Year(n)'!K61:P61)</f>
        <v>7.9547911725</v>
      </c>
      <c r="K61" s="384">
        <f t="shared" si="4"/>
        <v>17.5223137205</v>
      </c>
      <c r="L61" s="384">
        <f>'F11-Year(n+1)'!Q62</f>
        <v>26.2178466041349</v>
      </c>
      <c r="M61" s="771">
        <f>'F11-Year(n+2)'!Q61</f>
        <v>2603.12987654268</v>
      </c>
      <c r="N61" s="771">
        <f>'F11-Year(n+3) '!Q61</f>
        <v>2788.66630889417</v>
      </c>
      <c r="O61" s="771">
        <f>'F11-Year(n+4)'!Q61</f>
        <v>2981.29401271461</v>
      </c>
      <c r="P61" s="771">
        <f>'F11-Year(n+5)'!Q61</f>
        <v>3089.78618782908</v>
      </c>
    </row>
    <row r="62" spans="3:16">
      <c r="C62" s="296"/>
      <c r="D62" s="296" t="s">
        <v>382</v>
      </c>
      <c r="E62" s="384">
        <f>'F8'!E61</f>
        <v>501.08843</v>
      </c>
      <c r="F62" s="384">
        <f>'F11-Year(n-1)'!Q62</f>
        <v>72.3949100145</v>
      </c>
      <c r="G62" s="384"/>
      <c r="H62" s="384">
        <f>'F8'!H61</f>
        <v>31.50763</v>
      </c>
      <c r="I62" s="384">
        <f>SUM('F11-Year(n)'!E62:J62)</f>
        <v>9.2945328505</v>
      </c>
      <c r="J62" s="384">
        <f>SUM('F11-Year(n)'!K62:P62)</f>
        <v>9.961500557</v>
      </c>
      <c r="K62" s="384">
        <f t="shared" si="4"/>
        <v>19.2560334075</v>
      </c>
      <c r="L62" s="384">
        <f>'F11-Year(n+1)'!Q63</f>
        <v>34.5506505635884</v>
      </c>
      <c r="M62" s="771">
        <f>'F11-Year(n+2)'!Q62</f>
        <v>17.2726129142085</v>
      </c>
      <c r="N62" s="771">
        <f>'F11-Year(n+3) '!Q62</f>
        <v>18.7471345758337</v>
      </c>
      <c r="O62" s="771">
        <f>'F11-Year(n+4)'!Q62</f>
        <v>19.3984188132162</v>
      </c>
      <c r="P62" s="771">
        <f>'F11-Year(n+5)'!Q62</f>
        <v>21.1209858819455</v>
      </c>
    </row>
    <row r="63" spans="3:16">
      <c r="C63" s="296"/>
      <c r="D63" s="296" t="s">
        <v>383</v>
      </c>
      <c r="E63" s="384">
        <f>'F8'!E62</f>
        <v>284.11896</v>
      </c>
      <c r="F63" s="384">
        <f>'F11-Year(n-1)'!Q63</f>
        <v>312.340040826</v>
      </c>
      <c r="G63" s="384"/>
      <c r="H63" s="384">
        <f>'F8'!H62</f>
        <v>259.82154</v>
      </c>
      <c r="I63" s="384">
        <f>SUM('F11-Year(n)'!E63:J63)</f>
        <v>141.158165653</v>
      </c>
      <c r="J63" s="384">
        <f>SUM('F11-Year(n)'!K63:P63)</f>
        <v>161.8097415555</v>
      </c>
      <c r="K63" s="384">
        <f t="shared" si="4"/>
        <v>302.9679072085</v>
      </c>
      <c r="L63" s="384">
        <f>'F11-Year(n+1)'!Q64</f>
        <v>303.007251970138</v>
      </c>
      <c r="M63" s="771">
        <f>'F11-Year(n+2)'!Q63</f>
        <v>32.1424988742656</v>
      </c>
      <c r="N63" s="771">
        <f>'F11-Year(n+3) '!Q63</f>
        <v>33.0783867254698</v>
      </c>
      <c r="O63" s="771">
        <f>'F11-Year(n+4)'!Q63</f>
        <v>34.462376642646</v>
      </c>
      <c r="P63" s="771">
        <f>'F11-Year(n+5)'!Q63</f>
        <v>37.4570116204447</v>
      </c>
    </row>
    <row r="64" spans="3:16">
      <c r="C64" s="296"/>
      <c r="D64" s="296" t="s">
        <v>384</v>
      </c>
      <c r="E64" s="384">
        <f>'F8'!E63</f>
        <v>0</v>
      </c>
      <c r="F64" s="384">
        <f>'F11-Year(n-1)'!Q64</f>
        <v>17.256442518</v>
      </c>
      <c r="G64" s="384"/>
      <c r="H64" s="384">
        <f>'F8'!H63</f>
        <v>28.75618</v>
      </c>
      <c r="I64" s="384">
        <f>SUM('F11-Year(n)'!E64:J64)</f>
        <v>15.6698880145</v>
      </c>
      <c r="J64" s="384">
        <f>SUM('F11-Year(n)'!K64:P64)</f>
        <v>13.8263233885</v>
      </c>
      <c r="K64" s="384">
        <f t="shared" si="4"/>
        <v>29.496211403</v>
      </c>
      <c r="L64" s="384">
        <f>'F11-Year(n+1)'!Q65</f>
        <v>0</v>
      </c>
      <c r="M64" s="771">
        <f>'F11-Year(n+2)'!Q64</f>
        <v>285.868279493873</v>
      </c>
      <c r="N64" s="771">
        <f>'F11-Year(n+3) '!Q64</f>
        <v>293.524706863565</v>
      </c>
      <c r="O64" s="771">
        <f>'F11-Year(n+4)'!Q64</f>
        <v>306.033952452678</v>
      </c>
      <c r="P64" s="771">
        <f>'F11-Year(n+5)'!Q64</f>
        <v>333.310985271396</v>
      </c>
    </row>
    <row r="65" spans="3:16">
      <c r="C65" s="296"/>
      <c r="D65" s="296" t="s">
        <v>385</v>
      </c>
      <c r="E65" s="384">
        <f>'F8'!E64</f>
        <v>0</v>
      </c>
      <c r="F65" s="384">
        <f>'F11-Year(n-1)'!Q65</f>
        <v>7.2135265555</v>
      </c>
      <c r="G65" s="384"/>
      <c r="H65" s="384">
        <f>'F8'!H64</f>
        <v>21.17911</v>
      </c>
      <c r="I65" s="384">
        <f>SUM('F11-Year(n)'!E65:J65)</f>
        <v>9.6940631445</v>
      </c>
      <c r="J65" s="384">
        <f>SUM('F11-Year(n)'!K65:P65)</f>
        <v>8.070911534</v>
      </c>
      <c r="K65" s="384">
        <f t="shared" si="4"/>
        <v>17.7649746785</v>
      </c>
      <c r="L65" s="384">
        <f>'F11-Year(n+1)'!Q66</f>
        <v>0</v>
      </c>
      <c r="M65" s="771">
        <f>'F11-Year(n+2)'!Q65</f>
        <v>0</v>
      </c>
      <c r="N65" s="771">
        <f>'F11-Year(n+3) '!Q65</f>
        <v>0</v>
      </c>
      <c r="O65" s="771">
        <f>'F11-Year(n+4)'!Q65</f>
        <v>0</v>
      </c>
      <c r="P65" s="771">
        <f>'F11-Year(n+5)'!Q65</f>
        <v>0</v>
      </c>
    </row>
    <row r="66" spans="3:16">
      <c r="C66" s="296"/>
      <c r="D66" s="296" t="s">
        <v>386</v>
      </c>
      <c r="E66" s="384">
        <f>'F8'!E65</f>
        <v>0</v>
      </c>
      <c r="F66" s="384">
        <f>'F11-Year(n-1)'!Q66</f>
        <v>497.359841335</v>
      </c>
      <c r="G66" s="384"/>
      <c r="H66" s="384">
        <f>'F8'!H65</f>
        <v>0</v>
      </c>
      <c r="I66" s="384">
        <f>SUM('F11-Year(n)'!E66:J66)</f>
        <v>209.856857459</v>
      </c>
      <c r="J66" s="384">
        <f>SUM('F11-Year(n)'!K66:P66)</f>
        <v>88.6247470295</v>
      </c>
      <c r="K66" s="384">
        <f t="shared" si="4"/>
        <v>298.4816044885</v>
      </c>
      <c r="L66" s="384">
        <f>'F11-Year(n+1)'!Q67</f>
        <v>367.91422925076</v>
      </c>
      <c r="M66" s="771">
        <f>'F11-Year(n+2)'!Q66</f>
        <v>0</v>
      </c>
      <c r="N66" s="771">
        <f>'F11-Year(n+3) '!Q66</f>
        <v>0</v>
      </c>
      <c r="O66" s="771">
        <f>'F11-Year(n+4)'!Q66</f>
        <v>0</v>
      </c>
      <c r="P66" s="771">
        <f>'F11-Year(n+5)'!Q66</f>
        <v>0</v>
      </c>
    </row>
    <row r="67" spans="3:16">
      <c r="C67" s="296"/>
      <c r="D67" s="296" t="s">
        <v>387</v>
      </c>
      <c r="E67" s="384">
        <f>'F8'!E66</f>
        <v>0</v>
      </c>
      <c r="F67" s="384">
        <f>'F11-Year(n-1)'!Q67</f>
        <v>656.1094851065</v>
      </c>
      <c r="G67" s="384"/>
      <c r="H67" s="384">
        <f>'F8'!H66</f>
        <v>0</v>
      </c>
      <c r="I67" s="384">
        <f>SUM('F11-Year(n)'!E67:J67)</f>
        <v>268.994894054</v>
      </c>
      <c r="J67" s="384">
        <f>SUM('F11-Year(n)'!K67:P67)</f>
        <v>264.9142644165</v>
      </c>
      <c r="K67" s="384">
        <f t="shared" si="4"/>
        <v>533.9091584705</v>
      </c>
      <c r="L67" s="384">
        <f>'F11-Year(n+1)'!Q68</f>
        <v>440.722256766232</v>
      </c>
      <c r="M67" s="771">
        <f>'F11-Year(n+2)'!Q67</f>
        <v>331.335306642856</v>
      </c>
      <c r="N67" s="771">
        <f>'F11-Year(n+3) '!Q67</f>
        <v>350.139210729128</v>
      </c>
      <c r="O67" s="771">
        <f>'F11-Year(n+4)'!Q67</f>
        <v>360.949905813115</v>
      </c>
      <c r="P67" s="771">
        <f>'F11-Year(n+5)'!Q67</f>
        <v>409.366158025776</v>
      </c>
    </row>
    <row r="68" spans="3:16">
      <c r="C68" s="296"/>
      <c r="D68" s="772" t="s">
        <v>467</v>
      </c>
      <c r="E68" s="384">
        <f>'F8'!E67</f>
        <v>0</v>
      </c>
      <c r="F68" s="384">
        <f>'F11-Year(n-1)'!Q68</f>
        <v>0</v>
      </c>
      <c r="G68" s="384"/>
      <c r="H68" s="384">
        <f>'F8'!H67</f>
        <v>0</v>
      </c>
      <c r="I68" s="384">
        <f>SUM('F11-Year(n)'!E68:J68)</f>
        <v>0.1313210645</v>
      </c>
      <c r="J68" s="384">
        <f>SUM('F11-Year(n)'!K68:P68)</f>
        <v>0</v>
      </c>
      <c r="K68" s="384">
        <f t="shared" si="4"/>
        <v>0.1313210645</v>
      </c>
      <c r="L68" s="384">
        <f>'F11-Year(n+1)'!Q69</f>
        <v>0</v>
      </c>
      <c r="M68" s="771">
        <f>'F11-Year(n+2)'!Q68</f>
        <v>467.653139616956</v>
      </c>
      <c r="N68" s="771">
        <f>'F11-Year(n+3) '!Q68</f>
        <v>501.229232839164</v>
      </c>
      <c r="O68" s="771">
        <f>'F11-Year(n+4)'!Q68</f>
        <v>492.842351665974</v>
      </c>
      <c r="P68" s="771">
        <f>'F11-Year(n+5)'!Q68</f>
        <v>553.520508750664</v>
      </c>
    </row>
    <row r="69" spans="3:16">
      <c r="C69" s="296"/>
      <c r="D69" s="772" t="s">
        <v>468</v>
      </c>
      <c r="E69" s="384">
        <f>'F8'!E68</f>
        <v>0</v>
      </c>
      <c r="F69" s="384">
        <f>'F11-Year(n-1)'!Q69</f>
        <v>0</v>
      </c>
      <c r="G69" s="384"/>
      <c r="H69" s="384">
        <f>'F8'!H68</f>
        <v>0</v>
      </c>
      <c r="I69" s="384">
        <f>SUM('F11-Year(n)'!E69:J69)</f>
        <v>0.995879567</v>
      </c>
      <c r="J69" s="384">
        <f>SUM('F11-Year(n)'!K69:P69)</f>
        <v>0</v>
      </c>
      <c r="K69" s="384">
        <f t="shared" si="4"/>
        <v>0.995879567</v>
      </c>
      <c r="L69" s="384"/>
      <c r="M69" s="384"/>
      <c r="N69" s="384"/>
      <c r="O69" s="384"/>
      <c r="P69" s="384"/>
    </row>
    <row r="70" spans="3:16">
      <c r="C70" s="296"/>
      <c r="D70" s="772" t="s">
        <v>469</v>
      </c>
      <c r="E70" s="384">
        <f>'F8'!E69</f>
        <v>0</v>
      </c>
      <c r="F70" s="384">
        <f>'F11-Year(n-1)'!Q70</f>
        <v>0</v>
      </c>
      <c r="G70" s="384"/>
      <c r="H70" s="384">
        <f>'F8'!H69</f>
        <v>0</v>
      </c>
      <c r="I70" s="384">
        <f>SUM('F11-Year(n)'!E70:J70)</f>
        <v>0</v>
      </c>
      <c r="J70" s="384">
        <f>SUM('F11-Year(n)'!K70:P70)</f>
        <v>0</v>
      </c>
      <c r="K70" s="384">
        <f t="shared" si="4"/>
        <v>0</v>
      </c>
      <c r="L70" s="384"/>
      <c r="M70" s="384"/>
      <c r="N70" s="384"/>
      <c r="O70" s="384"/>
      <c r="P70" s="384"/>
    </row>
    <row r="71" spans="3:16">
      <c r="C71" s="296"/>
      <c r="D71" s="773" t="s">
        <v>470</v>
      </c>
      <c r="E71" s="384">
        <f>'F8'!E70</f>
        <v>0</v>
      </c>
      <c r="F71" s="384">
        <f>'F11-Year(n-1)'!Q71</f>
        <v>0</v>
      </c>
      <c r="G71" s="384"/>
      <c r="H71" s="384">
        <f>'F8'!H70</f>
        <v>0</v>
      </c>
      <c r="I71" s="384">
        <f>SUM('F11-Year(n)'!E71:J71)</f>
        <v>0.164051326</v>
      </c>
      <c r="J71" s="384">
        <f>SUM('F11-Year(n)'!K71:P71)</f>
        <v>0</v>
      </c>
      <c r="K71" s="384">
        <f t="shared" si="4"/>
        <v>0.164051326</v>
      </c>
      <c r="L71" s="384"/>
      <c r="M71" s="384"/>
      <c r="N71" s="384"/>
      <c r="O71" s="384"/>
      <c r="P71" s="384"/>
    </row>
    <row r="72" spans="3:16">
      <c r="C72" s="296"/>
      <c r="D72" s="773" t="s">
        <v>471</v>
      </c>
      <c r="E72" s="384">
        <f>'F8'!E71</f>
        <v>0</v>
      </c>
      <c r="F72" s="384">
        <f>'F11-Year(n-1)'!Q72</f>
        <v>0</v>
      </c>
      <c r="G72" s="384"/>
      <c r="H72" s="384">
        <f>'F8'!H71</f>
        <v>0</v>
      </c>
      <c r="I72" s="384">
        <f>SUM('F11-Year(n)'!E72:J72)</f>
        <v>0.414719709</v>
      </c>
      <c r="J72" s="384">
        <f>SUM('F11-Year(n)'!K72:P72)</f>
        <v>0</v>
      </c>
      <c r="K72" s="384">
        <f t="shared" si="4"/>
        <v>0.414719709</v>
      </c>
      <c r="L72" s="384"/>
      <c r="M72" s="384"/>
      <c r="N72" s="384"/>
      <c r="O72" s="384"/>
      <c r="P72" s="384"/>
    </row>
    <row r="73" spans="3:16">
      <c r="C73" s="296"/>
      <c r="D73" s="772" t="s">
        <v>472</v>
      </c>
      <c r="E73" s="384">
        <f>'F8'!E72</f>
        <v>0</v>
      </c>
      <c r="F73" s="384">
        <f>'F11-Year(n-1)'!Q73</f>
        <v>0</v>
      </c>
      <c r="G73" s="384"/>
      <c r="H73" s="384">
        <f>'F8'!H72</f>
        <v>0</v>
      </c>
      <c r="I73" s="384">
        <f>SUM('F11-Year(n)'!E73:J73)</f>
        <v>0</v>
      </c>
      <c r="J73" s="384">
        <f>SUM('F11-Year(n)'!K73:P73)</f>
        <v>0.0410840859030837</v>
      </c>
      <c r="K73" s="384">
        <f t="shared" si="4"/>
        <v>0.0410840859030837</v>
      </c>
      <c r="L73" s="384"/>
      <c r="M73" s="384"/>
      <c r="N73" s="384"/>
      <c r="O73" s="384"/>
      <c r="P73" s="384"/>
    </row>
    <row r="74" spans="3:16">
      <c r="C74" s="296"/>
      <c r="D74" s="772" t="s">
        <v>473</v>
      </c>
      <c r="E74" s="384">
        <f>'F8'!E73</f>
        <v>0</v>
      </c>
      <c r="F74" s="384">
        <f>'F11-Year(n-1)'!Q74</f>
        <v>0</v>
      </c>
      <c r="G74" s="384"/>
      <c r="H74" s="384">
        <f>'F8'!H73</f>
        <v>0</v>
      </c>
      <c r="I74" s="384">
        <f>SUM('F11-Year(n)'!E74:J74)</f>
        <v>0</v>
      </c>
      <c r="J74" s="384">
        <f>SUM('F11-Year(n)'!K74:P74)</f>
        <v>0</v>
      </c>
      <c r="K74" s="384">
        <f t="shared" si="4"/>
        <v>0</v>
      </c>
      <c r="L74" s="384"/>
      <c r="M74" s="384"/>
      <c r="N74" s="384"/>
      <c r="O74" s="384"/>
      <c r="P74" s="384"/>
    </row>
    <row r="75" spans="3:16">
      <c r="C75" s="296"/>
      <c r="D75" s="296"/>
      <c r="E75" s="384"/>
      <c r="F75" s="384">
        <f>'F11-Year(n-1)'!Q75</f>
        <v>0</v>
      </c>
      <c r="G75" s="384"/>
      <c r="H75" s="384"/>
      <c r="I75" s="384">
        <f>SUM('F11-Year(n)'!E75:J75)</f>
        <v>0</v>
      </c>
      <c r="J75" s="384">
        <f>SUM('F11-Year(n)'!K75:P75)</f>
        <v>0</v>
      </c>
      <c r="K75" s="384">
        <f t="shared" si="4"/>
        <v>0</v>
      </c>
      <c r="L75" s="384"/>
      <c r="M75" s="384"/>
      <c r="N75" s="384"/>
      <c r="O75" s="384"/>
      <c r="P75" s="384"/>
    </row>
    <row r="76" spans="3:16">
      <c r="C76" s="296"/>
      <c r="D76" s="296"/>
      <c r="E76" s="384"/>
      <c r="F76" s="384">
        <f>'F11-Year(n-1)'!Q76</f>
        <v>0</v>
      </c>
      <c r="G76" s="384"/>
      <c r="H76" s="384"/>
      <c r="I76" s="384">
        <f>SUM('F11-Year(n)'!E76:J76)</f>
        <v>0</v>
      </c>
      <c r="J76" s="384">
        <f>SUM('F11-Year(n)'!K76:P76)</f>
        <v>0</v>
      </c>
      <c r="K76" s="384">
        <f t="shared" si="4"/>
        <v>0</v>
      </c>
      <c r="L76" s="384"/>
      <c r="M76" s="384"/>
      <c r="N76" s="384"/>
      <c r="O76" s="384"/>
      <c r="P76" s="384"/>
    </row>
    <row r="77" ht="15" spans="3:16">
      <c r="C77" s="285" t="s">
        <v>211</v>
      </c>
      <c r="D77" s="286"/>
      <c r="E77" s="722">
        <f>SUM(E52:E76)</f>
        <v>14198.96355</v>
      </c>
      <c r="F77" s="722">
        <f>SUM(F52:F76)</f>
        <v>9955.45601456184</v>
      </c>
      <c r="G77" s="722">
        <f>F77-E77</f>
        <v>-4243.50753543816</v>
      </c>
      <c r="H77" s="722">
        <f>SUM(H52:H76)</f>
        <v>14001.59287</v>
      </c>
      <c r="I77" s="722">
        <f>SUM(I52:I76)</f>
        <v>4577.29211714436</v>
      </c>
      <c r="J77" s="722">
        <f>SUM(J52:J76)</f>
        <v>6836.55562977703</v>
      </c>
      <c r="K77" s="722">
        <f t="shared" si="4"/>
        <v>11413.8477469214</v>
      </c>
      <c r="L77" s="722">
        <f>SUM(L52:L76)</f>
        <v>12896.0078764407</v>
      </c>
      <c r="M77" s="722">
        <f t="shared" ref="M77:P77" si="5">SUM(M52:M76)</f>
        <v>12408.5676882134</v>
      </c>
      <c r="N77" s="722">
        <f t="shared" si="5"/>
        <v>13139.7435463751</v>
      </c>
      <c r="O77" s="722">
        <f t="shared" si="5"/>
        <v>13753.6389998546</v>
      </c>
      <c r="P77" s="722">
        <f t="shared" si="5"/>
        <v>14764.1186774117</v>
      </c>
    </row>
    <row r="78" ht="15" spans="3:16">
      <c r="C78" s="285" t="s">
        <v>388</v>
      </c>
      <c r="D78" s="286"/>
      <c r="E78" s="384"/>
      <c r="F78" s="384"/>
      <c r="G78" s="384"/>
      <c r="H78" s="384"/>
      <c r="I78" s="384"/>
      <c r="J78" s="384"/>
      <c r="K78" s="384"/>
      <c r="L78" s="384"/>
      <c r="M78" s="384"/>
      <c r="N78" s="384"/>
      <c r="O78" s="384"/>
      <c r="P78" s="384"/>
    </row>
    <row r="79" spans="3:16">
      <c r="C79" s="710" t="s">
        <v>389</v>
      </c>
      <c r="D79" s="296" t="s">
        <v>390</v>
      </c>
      <c r="E79" s="384">
        <f>'F8'!E79</f>
        <v>41.448125</v>
      </c>
      <c r="F79" s="384">
        <f>'F11-Year(n-1)'!Q79</f>
        <v>51.3092561885</v>
      </c>
      <c r="G79" s="384"/>
      <c r="H79" s="384">
        <f>'F8'!H79</f>
        <v>39.81842</v>
      </c>
      <c r="I79" s="384">
        <f>SUM('F11-Year(n)'!E79:J79)</f>
        <v>15.9638755085</v>
      </c>
      <c r="J79" s="384">
        <f>SUM('F11-Year(n)'!K79:P79)</f>
        <v>27.498826612</v>
      </c>
      <c r="K79" s="384">
        <f t="shared" ref="K79:K93" si="6">I79+J79</f>
        <v>43.4627021205</v>
      </c>
      <c r="L79" s="384">
        <f>'F11-Year(n+1)'!Q79</f>
        <v>133.219821891007</v>
      </c>
      <c r="M79" s="771" t="e">
        <f>'F11-Year(n+2)'!Q79</f>
        <v>#REF!</v>
      </c>
      <c r="N79" s="771">
        <f>'F11-Year(n+3) '!Q79</f>
        <v>125.4920060384</v>
      </c>
      <c r="O79" s="771">
        <f>'F11-Year(n+4)'!Q79</f>
        <v>127.666898411281</v>
      </c>
      <c r="P79" s="771">
        <f>'F11-Year(n+5)'!Q79</f>
        <v>130.062132968941</v>
      </c>
    </row>
    <row r="80" spans="3:16">
      <c r="C80" s="711"/>
      <c r="D80" s="296" t="s">
        <v>391</v>
      </c>
      <c r="E80" s="384">
        <f>'F8'!E80</f>
        <v>317.98296</v>
      </c>
      <c r="F80" s="384">
        <f>'F11-Year(n-1)'!Q80</f>
        <v>766.8560389965</v>
      </c>
      <c r="G80" s="384"/>
      <c r="H80" s="384">
        <f>'F8'!H80</f>
        <v>301.14973</v>
      </c>
      <c r="I80" s="384">
        <f>SUM('F11-Year(n)'!E80:J80)</f>
        <v>380.3857606345</v>
      </c>
      <c r="J80" s="384">
        <f>SUM('F11-Year(n)'!K80:P80)</f>
        <v>381.165448898</v>
      </c>
      <c r="K80" s="384">
        <f t="shared" si="6"/>
        <v>761.5512095325</v>
      </c>
      <c r="L80" s="384">
        <f>'F11-Year(n+1)'!Q80</f>
        <v>409.233894441218</v>
      </c>
      <c r="M80" s="771" t="e">
        <f>'F11-Year(n+2)'!Q80</f>
        <v>#REF!</v>
      </c>
      <c r="N80" s="771">
        <f>'F11-Year(n+3) '!Q80</f>
        <v>397.786924177465</v>
      </c>
      <c r="O80" s="771">
        <f>'F11-Year(n+4)'!Q80</f>
        <v>404.680938981567</v>
      </c>
      <c r="P80" s="771">
        <f>'F11-Year(n+5)'!Q80</f>
        <v>412.273398592768</v>
      </c>
    </row>
    <row r="81" spans="3:16">
      <c r="C81" s="711"/>
      <c r="D81" s="296" t="s">
        <v>392</v>
      </c>
      <c r="E81" s="384">
        <f>'F8'!E81</f>
        <v>316.27565</v>
      </c>
      <c r="F81" s="384">
        <f>'F11-Year(n-1)'!Q81</f>
        <v>0</v>
      </c>
      <c r="G81" s="384"/>
      <c r="H81" s="384">
        <f>'F8'!H81</f>
        <v>326.32197</v>
      </c>
      <c r="I81" s="384">
        <f>SUM('F11-Year(n)'!E81:J81)</f>
        <v>0</v>
      </c>
      <c r="J81" s="384">
        <f>SUM('F11-Year(n)'!K81:P81)</f>
        <v>0</v>
      </c>
      <c r="K81" s="384">
        <f t="shared" si="6"/>
        <v>0</v>
      </c>
      <c r="L81" s="384">
        <f>'F11-Year(n+1)'!Q81</f>
        <v>435.225418521087</v>
      </c>
      <c r="M81" s="771" t="e">
        <f>'F11-Year(n+2)'!Q81</f>
        <v>#REF!</v>
      </c>
      <c r="N81" s="771">
        <f>'F11-Year(n+3) '!Q81</f>
        <v>397.786924177465</v>
      </c>
      <c r="O81" s="771">
        <f>'F11-Year(n+4)'!Q81</f>
        <v>404.680938981567</v>
      </c>
      <c r="P81" s="771">
        <f>'F11-Year(n+5)'!Q81</f>
        <v>412.273398592768</v>
      </c>
    </row>
    <row r="82" spans="3:16">
      <c r="C82" s="713"/>
      <c r="D82" s="296" t="s">
        <v>393</v>
      </c>
      <c r="E82" s="384">
        <f>'F8'!E82</f>
        <v>202.94413</v>
      </c>
      <c r="F82" s="384">
        <f>'F11-Year(n-1)'!Q82</f>
        <v>247.9521325115</v>
      </c>
      <c r="G82" s="384"/>
      <c r="H82" s="384">
        <f>'F8'!H82</f>
        <v>236.2014</v>
      </c>
      <c r="I82" s="384">
        <f>SUM('F11-Year(n)'!E82:J82)</f>
        <v>86.3094046765</v>
      </c>
      <c r="J82" s="384">
        <f>SUM('F11-Year(n)'!K82:P82)</f>
        <v>148.384843434</v>
      </c>
      <c r="K82" s="384">
        <f t="shared" si="6"/>
        <v>234.6942481105</v>
      </c>
      <c r="L82" s="384">
        <f>'F11-Year(n+1)'!Q82</f>
        <v>328.450405174423</v>
      </c>
      <c r="M82" s="771" t="e">
        <f>'F11-Year(n+2)'!Q82</f>
        <v>#REF!</v>
      </c>
      <c r="N82" s="771">
        <f>'F11-Year(n+3) '!Q82</f>
        <v>309.397653024833</v>
      </c>
      <c r="O82" s="771">
        <f>'F11-Year(n+4)'!Q82</f>
        <v>314.759800120838</v>
      </c>
      <c r="P82" s="771">
        <f>'F11-Year(n+5)'!Q82</f>
        <v>320.665195802833</v>
      </c>
    </row>
    <row r="83" spans="3:16">
      <c r="C83" s="296"/>
      <c r="D83" s="296" t="s">
        <v>438</v>
      </c>
      <c r="E83" s="384">
        <f>'F8'!E83</f>
        <v>0</v>
      </c>
      <c r="F83" s="384">
        <f>'F11-Year(n-1)'!Q84</f>
        <v>0</v>
      </c>
      <c r="G83" s="384"/>
      <c r="H83" s="384">
        <f>'F8'!H83</f>
        <v>0</v>
      </c>
      <c r="I83" s="384">
        <f>SUM('F11-Year(n)'!E83:J83)</f>
        <v>0</v>
      </c>
      <c r="J83" s="384">
        <f>SUM('F11-Year(n)'!K83:P83)</f>
        <v>0</v>
      </c>
      <c r="K83" s="384">
        <f t="shared" si="6"/>
        <v>0</v>
      </c>
      <c r="L83" s="384">
        <f>'F11-Year(n+1)'!Q83</f>
        <v>0</v>
      </c>
      <c r="M83" s="771">
        <f>'F11-Year(n+2)'!Q83</f>
        <v>0</v>
      </c>
      <c r="N83" s="771">
        <f>'F11-Year(n+3) '!Q83</f>
        <v>0</v>
      </c>
      <c r="O83" s="771">
        <f>'F11-Year(n+4)'!Q83</f>
        <v>0</v>
      </c>
      <c r="P83" s="771">
        <f>'F11-Year(n+5)'!Q83</f>
        <v>0</v>
      </c>
    </row>
    <row r="84" spans="3:16">
      <c r="C84" s="296"/>
      <c r="D84" s="296"/>
      <c r="E84" s="384"/>
      <c r="F84" s="384">
        <f>'F11-Year(n-1)'!Q85</f>
        <v>0</v>
      </c>
      <c r="G84" s="384"/>
      <c r="H84" s="384"/>
      <c r="I84" s="384">
        <f>SUM('F11-Year(n)'!E84:J84)</f>
        <v>0</v>
      </c>
      <c r="J84" s="384">
        <f>SUM('F11-Year(n)'!K84:P84)</f>
        <v>0</v>
      </c>
      <c r="K84" s="384">
        <f t="shared" si="6"/>
        <v>0</v>
      </c>
      <c r="L84" s="384">
        <f>'F11-Year(n+1)'!Q84</f>
        <v>0</v>
      </c>
      <c r="M84" s="384"/>
      <c r="N84" s="384"/>
      <c r="O84" s="384"/>
      <c r="P84" s="384"/>
    </row>
    <row r="85" spans="3:16">
      <c r="C85" s="296"/>
      <c r="D85" s="296"/>
      <c r="E85" s="384"/>
      <c r="F85" s="384">
        <f>'F11-Year(n-1)'!Q86</f>
        <v>0</v>
      </c>
      <c r="G85" s="384"/>
      <c r="H85" s="384"/>
      <c r="I85" s="384">
        <f>SUM('F11-Year(n)'!E85:J85)</f>
        <v>0</v>
      </c>
      <c r="J85" s="384">
        <f>SUM('F11-Year(n)'!K85:P85)</f>
        <v>0</v>
      </c>
      <c r="K85" s="384">
        <f t="shared" si="6"/>
        <v>0</v>
      </c>
      <c r="L85" s="384">
        <f>'F11-Year(n+1)'!Q85</f>
        <v>0</v>
      </c>
      <c r="M85" s="384"/>
      <c r="N85" s="384"/>
      <c r="O85" s="384"/>
      <c r="P85" s="384"/>
    </row>
    <row r="86" spans="3:16">
      <c r="C86" s="296"/>
      <c r="D86" s="296"/>
      <c r="E86" s="384"/>
      <c r="F86" s="384">
        <f>'F11-Year(n-1)'!Q87</f>
        <v>0</v>
      </c>
      <c r="G86" s="384"/>
      <c r="H86" s="384"/>
      <c r="I86" s="384">
        <f>SUM('F11-Year(n)'!E86:J86)</f>
        <v>0</v>
      </c>
      <c r="J86" s="384">
        <f>SUM('F11-Year(n)'!K86:P86)</f>
        <v>0</v>
      </c>
      <c r="K86" s="384">
        <f t="shared" si="6"/>
        <v>0</v>
      </c>
      <c r="L86" s="384">
        <f>'F11-Year(n+1)'!Q86</f>
        <v>0</v>
      </c>
      <c r="M86" s="384"/>
      <c r="N86" s="384"/>
      <c r="O86" s="384"/>
      <c r="P86" s="384"/>
    </row>
    <row r="87" spans="3:16">
      <c r="C87" s="296"/>
      <c r="D87" s="296"/>
      <c r="E87" s="384"/>
      <c r="F87" s="384">
        <f>'F11-Year(n-1)'!Q88</f>
        <v>0</v>
      </c>
      <c r="G87" s="384"/>
      <c r="H87" s="384"/>
      <c r="I87" s="384">
        <f>SUM('F11-Year(n)'!E87:J87)</f>
        <v>0</v>
      </c>
      <c r="J87" s="384">
        <f>SUM('F11-Year(n)'!K87:P87)</f>
        <v>0</v>
      </c>
      <c r="K87" s="384">
        <f t="shared" si="6"/>
        <v>0</v>
      </c>
      <c r="L87" s="384">
        <f>'F11-Year(n+1)'!Q87</f>
        <v>0</v>
      </c>
      <c r="M87" s="384"/>
      <c r="N87" s="384"/>
      <c r="O87" s="384"/>
      <c r="P87" s="384"/>
    </row>
    <row r="88" spans="3:16">
      <c r="C88" s="296"/>
      <c r="D88" s="296"/>
      <c r="E88" s="384"/>
      <c r="F88" s="384">
        <f>'F11-Year(n-1)'!Q89</f>
        <v>0</v>
      </c>
      <c r="G88" s="384"/>
      <c r="H88" s="384"/>
      <c r="I88" s="384">
        <f>SUM('F11-Year(n)'!E88:J88)</f>
        <v>0</v>
      </c>
      <c r="J88" s="384">
        <f>SUM('F11-Year(n)'!K88:P88)</f>
        <v>0</v>
      </c>
      <c r="K88" s="384">
        <f t="shared" si="6"/>
        <v>0</v>
      </c>
      <c r="L88" s="384">
        <f>'F11-Year(n+1)'!Q88</f>
        <v>0</v>
      </c>
      <c r="M88" s="384"/>
      <c r="N88" s="384"/>
      <c r="O88" s="384"/>
      <c r="P88" s="384"/>
    </row>
    <row r="89" spans="3:16">
      <c r="C89" s="296"/>
      <c r="D89" s="296"/>
      <c r="E89" s="384"/>
      <c r="F89" s="384">
        <f>'F11-Year(n-1)'!Q90</f>
        <v>0</v>
      </c>
      <c r="G89" s="384"/>
      <c r="H89" s="384"/>
      <c r="I89" s="384">
        <f>SUM('F11-Year(n)'!E89:J89)</f>
        <v>0</v>
      </c>
      <c r="J89" s="384">
        <f>SUM('F11-Year(n)'!K89:P89)</f>
        <v>0</v>
      </c>
      <c r="K89" s="384">
        <f t="shared" si="6"/>
        <v>0</v>
      </c>
      <c r="L89" s="384">
        <f>'F11-Year(n+1)'!Q89</f>
        <v>0</v>
      </c>
      <c r="M89" s="384"/>
      <c r="N89" s="384"/>
      <c r="O89" s="384"/>
      <c r="P89" s="384"/>
    </row>
    <row r="90" spans="3:16">
      <c r="C90" s="296"/>
      <c r="D90" s="296"/>
      <c r="E90" s="384"/>
      <c r="F90" s="384">
        <f>'F11-Year(n-1)'!Q91</f>
        <v>0</v>
      </c>
      <c r="G90" s="384"/>
      <c r="H90" s="384"/>
      <c r="I90" s="384">
        <f>SUM('F11-Year(n)'!E90:J90)</f>
        <v>0</v>
      </c>
      <c r="J90" s="384">
        <f>SUM('F11-Year(n)'!K90:P90)</f>
        <v>0</v>
      </c>
      <c r="K90" s="384">
        <f t="shared" si="6"/>
        <v>0</v>
      </c>
      <c r="L90" s="384">
        <f>'F11-Year(n+1)'!Q90</f>
        <v>0</v>
      </c>
      <c r="M90" s="384"/>
      <c r="N90" s="384"/>
      <c r="O90" s="384"/>
      <c r="P90" s="384"/>
    </row>
    <row r="91" spans="3:16">
      <c r="C91" s="296"/>
      <c r="D91" s="296"/>
      <c r="E91" s="384"/>
      <c r="F91" s="384">
        <f>'F11-Year(n-1)'!Q92</f>
        <v>0</v>
      </c>
      <c r="G91" s="384"/>
      <c r="H91" s="384"/>
      <c r="I91" s="384">
        <f>SUM('F11-Year(n)'!E91:J91)</f>
        <v>0</v>
      </c>
      <c r="J91" s="384">
        <f>SUM('F11-Year(n)'!K91:P91)</f>
        <v>0</v>
      </c>
      <c r="K91" s="384">
        <f t="shared" si="6"/>
        <v>0</v>
      </c>
      <c r="L91" s="384">
        <f>'F11-Year(n+1)'!Q91</f>
        <v>0</v>
      </c>
      <c r="M91" s="384"/>
      <c r="N91" s="384"/>
      <c r="O91" s="384"/>
      <c r="P91" s="384"/>
    </row>
    <row r="92" spans="3:16">
      <c r="C92" s="296"/>
      <c r="D92" s="296"/>
      <c r="E92" s="384"/>
      <c r="F92" s="384">
        <f>'F11-Year(n-1)'!Q93</f>
        <v>1066.1174276965</v>
      </c>
      <c r="G92" s="384"/>
      <c r="H92" s="384"/>
      <c r="I92" s="384">
        <f>SUM('F11-Year(n)'!E92:J92)</f>
        <v>0</v>
      </c>
      <c r="J92" s="384">
        <f>SUM('F11-Year(n)'!K92:P92)</f>
        <v>0</v>
      </c>
      <c r="K92" s="384">
        <f t="shared" si="6"/>
        <v>0</v>
      </c>
      <c r="L92" s="384">
        <f>'F11-Year(n+1)'!Q92</f>
        <v>0</v>
      </c>
      <c r="M92" s="384"/>
      <c r="N92" s="384"/>
      <c r="O92" s="384"/>
      <c r="P92" s="384"/>
    </row>
    <row r="93" ht="15" spans="3:16">
      <c r="C93" s="285" t="s">
        <v>211</v>
      </c>
      <c r="D93" s="286"/>
      <c r="E93" s="722">
        <f>SUM(E79:E92)</f>
        <v>878.650865</v>
      </c>
      <c r="F93" s="722">
        <f>SUM(F79:F92)</f>
        <v>2132.234855393</v>
      </c>
      <c r="G93" s="722">
        <f>F93-E93</f>
        <v>1253.583990393</v>
      </c>
      <c r="H93" s="722">
        <f>SUM(H79:H92)</f>
        <v>903.49152</v>
      </c>
      <c r="I93" s="722">
        <f>SUM(I79:I92)</f>
        <v>482.6590408195</v>
      </c>
      <c r="J93" s="722">
        <f>SUM(J79:J92)</f>
        <v>557.049118944</v>
      </c>
      <c r="K93" s="722">
        <f t="shared" si="6"/>
        <v>1039.7081597635</v>
      </c>
      <c r="L93" s="722">
        <f>SUM(L79:L92)</f>
        <v>1306.12954002774</v>
      </c>
      <c r="M93" s="722" t="e">
        <f t="shared" ref="M93:P93" si="7">SUM(M79:M92)</f>
        <v>#REF!</v>
      </c>
      <c r="N93" s="722">
        <f t="shared" si="7"/>
        <v>1230.46350741816</v>
      </c>
      <c r="O93" s="722">
        <f t="shared" si="7"/>
        <v>1251.78857649525</v>
      </c>
      <c r="P93" s="722">
        <f t="shared" si="7"/>
        <v>1275.27412595731</v>
      </c>
    </row>
    <row r="94" ht="15" spans="3:16">
      <c r="C94" s="285" t="s">
        <v>395</v>
      </c>
      <c r="D94" s="286"/>
      <c r="E94" s="722">
        <f>E77+E93</f>
        <v>15077.614415</v>
      </c>
      <c r="F94" s="722">
        <f t="shared" ref="F94:P94" si="8">F77+F93</f>
        <v>12087.6908699548</v>
      </c>
      <c r="G94" s="722">
        <f t="shared" si="8"/>
        <v>-2989.92354504516</v>
      </c>
      <c r="H94" s="722">
        <f t="shared" si="8"/>
        <v>14905.08439</v>
      </c>
      <c r="I94" s="722">
        <f t="shared" si="8"/>
        <v>5059.95115796386</v>
      </c>
      <c r="J94" s="722">
        <f t="shared" si="8"/>
        <v>7393.60474872103</v>
      </c>
      <c r="K94" s="722">
        <f t="shared" si="8"/>
        <v>12453.5559066849</v>
      </c>
      <c r="L94" s="722">
        <f t="shared" si="8"/>
        <v>14202.1374164685</v>
      </c>
      <c r="M94" s="722" t="e">
        <f t="shared" si="8"/>
        <v>#REF!</v>
      </c>
      <c r="N94" s="722">
        <f t="shared" si="8"/>
        <v>14370.2070537933</v>
      </c>
      <c r="O94" s="722">
        <f t="shared" si="8"/>
        <v>15005.4275763498</v>
      </c>
      <c r="P94" s="722">
        <f t="shared" si="8"/>
        <v>16039.392803369</v>
      </c>
    </row>
    <row r="95" ht="15" spans="3:16">
      <c r="C95" s="708" t="s">
        <v>396</v>
      </c>
      <c r="D95" s="709"/>
      <c r="E95" s="384"/>
      <c r="F95" s="384"/>
      <c r="G95" s="384"/>
      <c r="H95" s="384"/>
      <c r="I95" s="384"/>
      <c r="J95" s="384"/>
      <c r="K95" s="384"/>
      <c r="L95" s="384"/>
      <c r="M95" s="384"/>
      <c r="N95" s="384"/>
      <c r="O95" s="384"/>
      <c r="P95" s="384"/>
    </row>
    <row r="96" spans="3:16">
      <c r="C96" s="296" t="s">
        <v>397</v>
      </c>
      <c r="D96" s="296" t="s">
        <v>397</v>
      </c>
      <c r="E96" s="384">
        <f>'F8'!E96</f>
        <v>1665.24809</v>
      </c>
      <c r="F96" s="384">
        <f>'F11-Year(n-1)'!Q96</f>
        <v>2847.82669460575</v>
      </c>
      <c r="G96" s="384"/>
      <c r="H96" s="384">
        <f>'F8'!H96</f>
        <v>1564.05117</v>
      </c>
      <c r="I96" s="384">
        <f>SUM('F11-Year(n)'!E96:J96)</f>
        <v>1574.3649485775</v>
      </c>
      <c r="J96" s="384">
        <f>SUM('F11-Year(n)'!K96:P96)</f>
        <v>1444.34217516125</v>
      </c>
      <c r="K96" s="384">
        <f t="shared" ref="K96:K102" si="9">I96+J96</f>
        <v>3018.70712373875</v>
      </c>
      <c r="L96" s="384">
        <f>'F11-Year(n+1)'!Q96</f>
        <v>1262.92371800933</v>
      </c>
      <c r="M96" s="771">
        <f>'F11-Year(n+2)'!Q96</f>
        <v>1158.03261796145</v>
      </c>
      <c r="N96" s="771">
        <f>'F11-Year(n+3) '!Q96</f>
        <v>1189.52383173011</v>
      </c>
      <c r="O96" s="771">
        <f>'F11-Year(n+4)'!Q96</f>
        <v>1239.88906913429</v>
      </c>
      <c r="P96" s="771">
        <f>'F11-Year(n+5)'!Q96</f>
        <v>1354.61002988503</v>
      </c>
    </row>
    <row r="97" spans="3:16">
      <c r="C97" s="296" t="s">
        <v>398</v>
      </c>
      <c r="D97" s="296" t="s">
        <v>398</v>
      </c>
      <c r="E97" s="384">
        <f>'F8'!E97</f>
        <v>3520.206</v>
      </c>
      <c r="F97" s="384">
        <f>'F11-Year(n-1)'!Q97</f>
        <v>1542.559753493</v>
      </c>
      <c r="G97" s="384"/>
      <c r="H97" s="384">
        <f>'F8'!H97</f>
        <v>3181.924935</v>
      </c>
      <c r="I97" s="384">
        <f>SUM('F11-Year(n)'!E97:J97)</f>
        <v>797.5178774995</v>
      </c>
      <c r="J97" s="384">
        <f>SUM('F11-Year(n)'!K97:P97)</f>
        <v>681.454137313</v>
      </c>
      <c r="K97" s="384">
        <f t="shared" si="9"/>
        <v>1478.9720148125</v>
      </c>
      <c r="L97" s="384">
        <f>'F11-Year(n+1)'!Q97</f>
        <v>0</v>
      </c>
      <c r="M97" s="771">
        <f>'F11-Year(n+2)'!Q97</f>
        <v>0</v>
      </c>
      <c r="N97" s="771">
        <f>'F11-Year(n+3) '!Q97</f>
        <v>0</v>
      </c>
      <c r="O97" s="771">
        <f>'F11-Year(n+4)'!Q97</f>
        <v>0</v>
      </c>
      <c r="P97" s="771">
        <f>'F11-Year(n+5)'!Q97</f>
        <v>0</v>
      </c>
    </row>
    <row r="98" spans="3:16">
      <c r="C98" s="296"/>
      <c r="D98" s="296"/>
      <c r="E98" s="384"/>
      <c r="F98" s="384">
        <f>'F11-Year(n-1)'!Q99</f>
        <v>0</v>
      </c>
      <c r="G98" s="384"/>
      <c r="H98" s="384"/>
      <c r="I98" s="384">
        <f>SUM('F11-Year(n)'!E98:J98)</f>
        <v>0</v>
      </c>
      <c r="J98" s="384">
        <f>SUM('F11-Year(n)'!K98:P98)</f>
        <v>0</v>
      </c>
      <c r="K98" s="384">
        <f t="shared" si="9"/>
        <v>0</v>
      </c>
      <c r="L98" s="384">
        <f>'F11-Year(n+1)'!Q98</f>
        <v>0</v>
      </c>
      <c r="M98" s="384"/>
      <c r="N98" s="384"/>
      <c r="O98" s="384"/>
      <c r="P98" s="384"/>
    </row>
    <row r="99" spans="3:16">
      <c r="C99" s="296"/>
      <c r="D99" s="296"/>
      <c r="E99" s="384"/>
      <c r="F99" s="384">
        <f>'F11-Year(n-1)'!Q100</f>
        <v>0</v>
      </c>
      <c r="G99" s="384"/>
      <c r="H99" s="384"/>
      <c r="I99" s="384">
        <f>SUM('F11-Year(n)'!E99:J99)</f>
        <v>0</v>
      </c>
      <c r="J99" s="384">
        <f>SUM('F11-Year(n)'!K99:P99)</f>
        <v>0</v>
      </c>
      <c r="K99" s="384">
        <f t="shared" si="9"/>
        <v>0</v>
      </c>
      <c r="L99" s="384">
        <f>'F11-Year(n+1)'!Q99</f>
        <v>0</v>
      </c>
      <c r="M99" s="384"/>
      <c r="N99" s="384"/>
      <c r="O99" s="384"/>
      <c r="P99" s="384"/>
    </row>
    <row r="100" spans="3:16">
      <c r="C100" s="296"/>
      <c r="D100" s="296"/>
      <c r="E100" s="384"/>
      <c r="F100" s="384">
        <f>'F11-Year(n-1)'!Q101</f>
        <v>0</v>
      </c>
      <c r="G100" s="384"/>
      <c r="H100" s="384"/>
      <c r="I100" s="384">
        <f>SUM('F11-Year(n)'!E100:J100)</f>
        <v>0</v>
      </c>
      <c r="J100" s="384">
        <f>SUM('F11-Year(n)'!K100:P100)</f>
        <v>0</v>
      </c>
      <c r="K100" s="384">
        <f t="shared" si="9"/>
        <v>0</v>
      </c>
      <c r="L100" s="384">
        <f>'F11-Year(n+1)'!Q100</f>
        <v>0</v>
      </c>
      <c r="M100" s="384"/>
      <c r="N100" s="384"/>
      <c r="O100" s="384"/>
      <c r="P100" s="384"/>
    </row>
    <row r="101" spans="3:16">
      <c r="C101" s="296"/>
      <c r="D101" s="296"/>
      <c r="E101" s="384"/>
      <c r="F101" s="384">
        <f>'F11-Year(n-1)'!Q102</f>
        <v>0</v>
      </c>
      <c r="G101" s="384"/>
      <c r="H101" s="384"/>
      <c r="I101" s="384">
        <f>SUM('F11-Year(n)'!E101:J101)</f>
        <v>0</v>
      </c>
      <c r="J101" s="384">
        <f>SUM('F11-Year(n)'!K101:P101)</f>
        <v>0</v>
      </c>
      <c r="K101" s="384">
        <f t="shared" si="9"/>
        <v>0</v>
      </c>
      <c r="L101" s="384">
        <f>'F11-Year(n+1)'!Q101</f>
        <v>0</v>
      </c>
      <c r="M101" s="384"/>
      <c r="N101" s="384"/>
      <c r="O101" s="384"/>
      <c r="P101" s="384"/>
    </row>
    <row r="102" spans="3:16">
      <c r="C102" s="296"/>
      <c r="D102" s="296"/>
      <c r="E102" s="384"/>
      <c r="F102" s="384">
        <f>'F11-Year(n-1)'!Q103</f>
        <v>4390.38644809875</v>
      </c>
      <c r="G102" s="384"/>
      <c r="H102" s="384"/>
      <c r="I102" s="384">
        <f>SUM('F11-Year(n)'!E102:J102)</f>
        <v>0</v>
      </c>
      <c r="J102" s="384">
        <f>SUM('F11-Year(n)'!K102:P102)</f>
        <v>0</v>
      </c>
      <c r="K102" s="384">
        <f t="shared" si="9"/>
        <v>0</v>
      </c>
      <c r="L102" s="384">
        <f>'F11-Year(n+1)'!Q102</f>
        <v>0</v>
      </c>
      <c r="M102" s="384"/>
      <c r="N102" s="384"/>
      <c r="O102" s="384"/>
      <c r="P102" s="384"/>
    </row>
    <row r="103" ht="15" spans="3:16">
      <c r="C103" s="285" t="s">
        <v>399</v>
      </c>
      <c r="D103" s="286"/>
      <c r="E103" s="722">
        <f>SUM(E96:E102)</f>
        <v>5185.45409</v>
      </c>
      <c r="F103" s="722">
        <f>SUM(F96:F102)</f>
        <v>8780.7728961975</v>
      </c>
      <c r="G103" s="722">
        <f>F103-E103</f>
        <v>3595.3188061975</v>
      </c>
      <c r="H103" s="722">
        <f t="shared" ref="H103:P103" si="10">SUM(H96:H102)</f>
        <v>4745.976105</v>
      </c>
      <c r="I103" s="722">
        <f t="shared" si="10"/>
        <v>2371.882826077</v>
      </c>
      <c r="J103" s="722">
        <f t="shared" si="10"/>
        <v>2125.79631247425</v>
      </c>
      <c r="K103" s="722">
        <f t="shared" si="10"/>
        <v>4497.67913855125</v>
      </c>
      <c r="L103" s="722">
        <f t="shared" si="10"/>
        <v>1262.92371800933</v>
      </c>
      <c r="M103" s="722">
        <f t="shared" si="10"/>
        <v>1158.03261796145</v>
      </c>
      <c r="N103" s="722">
        <f t="shared" si="10"/>
        <v>1189.52383173011</v>
      </c>
      <c r="O103" s="722">
        <f t="shared" si="10"/>
        <v>1239.88906913429</v>
      </c>
      <c r="P103" s="722">
        <f t="shared" si="10"/>
        <v>1354.61002988503</v>
      </c>
    </row>
    <row r="104" ht="15" spans="3:16">
      <c r="C104" s="708" t="s">
        <v>400</v>
      </c>
      <c r="D104" s="709"/>
      <c r="E104" s="384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</row>
    <row r="105" spans="3:16">
      <c r="C105" s="296" t="s">
        <v>401</v>
      </c>
      <c r="D105" s="296" t="s">
        <v>401</v>
      </c>
      <c r="E105" s="384">
        <f>'F8'!E105</f>
        <v>6380.81009</v>
      </c>
      <c r="F105" s="384">
        <f>'F11-Year(n-1)'!Q105</f>
        <v>6152.998496</v>
      </c>
      <c r="G105" s="384"/>
      <c r="H105" s="384">
        <f>'F8'!H105</f>
        <v>5582.064155</v>
      </c>
      <c r="I105" s="384">
        <f>SUM('F11-Year(n)'!E105:J105)</f>
        <v>0</v>
      </c>
      <c r="J105" s="384">
        <f>SUM('F11-Year(n)'!K105:P105)</f>
        <v>0</v>
      </c>
      <c r="K105" s="384">
        <f t="shared" ref="K105:K113" si="11">I105+J105</f>
        <v>0</v>
      </c>
      <c r="L105" s="774">
        <f>'F11-Year(n+1)'!Q105</f>
        <v>3664.67960204428</v>
      </c>
      <c r="M105" s="774">
        <f>'F11-Year(n+2)'!Q105</f>
        <v>3593.06786303564</v>
      </c>
      <c r="N105" s="774">
        <f>'F11-Year(n+3) '!Q105</f>
        <v>4512.28183703928</v>
      </c>
      <c r="O105" s="774">
        <f>'F11-Year(n+4)'!Q105</f>
        <v>7062.63675618904</v>
      </c>
      <c r="P105" s="774">
        <f>'F11-Year(n+5)'!Q105</f>
        <v>8191.84003235087</v>
      </c>
    </row>
    <row r="106" spans="3:16">
      <c r="C106" s="296" t="s">
        <v>402</v>
      </c>
      <c r="D106" s="296" t="s">
        <v>402</v>
      </c>
      <c r="E106" s="384">
        <f>'F8'!E106</f>
        <v>4479.62869</v>
      </c>
      <c r="F106" s="384">
        <f>'F11-Year(n-1)'!Q106</f>
        <v>0</v>
      </c>
      <c r="G106" s="384"/>
      <c r="H106" s="384">
        <f>'F8'!H106</f>
        <v>4814.847015</v>
      </c>
      <c r="I106" s="384">
        <f>SUM('F11-Year(n)'!E106:J106)</f>
        <v>2929.3862715</v>
      </c>
      <c r="J106" s="384">
        <f>SUM('F11-Year(n)'!K106:P106)</f>
        <v>2916.630126</v>
      </c>
      <c r="K106" s="384">
        <f t="shared" si="11"/>
        <v>5846.0163975</v>
      </c>
      <c r="L106" s="774">
        <f>'F11-Year(n+1)'!Q106</f>
        <v>0</v>
      </c>
      <c r="M106" s="774">
        <f>'F11-Year(n+2)'!Q106</f>
        <v>0</v>
      </c>
      <c r="N106" s="774">
        <f>'F11-Year(n+3) '!Q106</f>
        <v>0</v>
      </c>
      <c r="O106" s="774">
        <f>'F11-Year(n+4)'!Q106</f>
        <v>0</v>
      </c>
      <c r="P106" s="774">
        <f>'F11-Year(n+5)'!Q106</f>
        <v>0</v>
      </c>
    </row>
    <row r="107" spans="3:17">
      <c r="C107" s="296" t="s">
        <v>403</v>
      </c>
      <c r="D107" s="296" t="s">
        <v>403</v>
      </c>
      <c r="E107" s="384">
        <f>'F8'!E107</f>
        <v>0</v>
      </c>
      <c r="F107" s="384">
        <f>'F11-Year(n-1)'!Q107</f>
        <v>0</v>
      </c>
      <c r="G107" s="384"/>
      <c r="H107" s="384">
        <f>'F8'!H107</f>
        <v>0</v>
      </c>
      <c r="I107" s="384">
        <f>SUM('F11-Year(n)'!E107:J107)</f>
        <v>0</v>
      </c>
      <c r="J107" s="384">
        <f>SUM('F11-Year(n)'!K107:P107)</f>
        <v>0</v>
      </c>
      <c r="K107" s="384">
        <f t="shared" si="11"/>
        <v>0</v>
      </c>
      <c r="L107" s="774">
        <v>0</v>
      </c>
      <c r="M107" s="774" t="e">
        <f>'F11-Year(n+2)'!Q107</f>
        <v>#REF!</v>
      </c>
      <c r="N107" s="774" t="e">
        <f>'F11-Year(n+3) '!Q107</f>
        <v>#REF!</v>
      </c>
      <c r="O107" s="774" t="e">
        <f>'F11-Year(n+4)'!Q107</f>
        <v>#REF!</v>
      </c>
      <c r="P107" s="774">
        <f>'F11-Year(n+5)'!Q107</f>
        <v>0</v>
      </c>
      <c r="Q107" s="720">
        <f>H103+H113+H141</f>
        <v>15584.4871778</v>
      </c>
    </row>
    <row r="108" spans="3:16">
      <c r="C108" s="296"/>
      <c r="D108" s="296"/>
      <c r="E108" s="384"/>
      <c r="F108" s="384">
        <f>'F11-Year(n-1)'!Q109</f>
        <v>0</v>
      </c>
      <c r="G108" s="384"/>
      <c r="H108" s="384"/>
      <c r="I108" s="384">
        <f>SUM('F11-Year(n)'!E108:J108)</f>
        <v>0</v>
      </c>
      <c r="J108" s="384">
        <f>SUM('F11-Year(n)'!K108:P108)</f>
        <v>0</v>
      </c>
      <c r="K108" s="384">
        <f t="shared" si="11"/>
        <v>0</v>
      </c>
      <c r="L108" s="384">
        <f>'F11-Year(n+1)'!Q108</f>
        <v>0</v>
      </c>
      <c r="M108" s="384"/>
      <c r="N108" s="384"/>
      <c r="O108" s="384"/>
      <c r="P108" s="384"/>
    </row>
    <row r="109" spans="3:16">
      <c r="C109" s="296"/>
      <c r="D109" s="296"/>
      <c r="E109" s="384"/>
      <c r="F109" s="384">
        <f>'F11-Year(n-1)'!Q110</f>
        <v>0</v>
      </c>
      <c r="G109" s="384"/>
      <c r="H109" s="384"/>
      <c r="I109" s="384">
        <f>SUM('F11-Year(n)'!E109:J109)</f>
        <v>0</v>
      </c>
      <c r="J109" s="384">
        <f>SUM('F11-Year(n)'!K109:P109)</f>
        <v>0</v>
      </c>
      <c r="K109" s="384">
        <f t="shared" si="11"/>
        <v>0</v>
      </c>
      <c r="L109" s="384">
        <f>'F11-Year(n+1)'!Q109</f>
        <v>0</v>
      </c>
      <c r="M109" s="384"/>
      <c r="N109" s="384"/>
      <c r="O109" s="384"/>
      <c r="P109" s="384"/>
    </row>
    <row r="110" spans="3:16">
      <c r="C110" s="296"/>
      <c r="D110" s="296"/>
      <c r="E110" s="384"/>
      <c r="F110" s="384">
        <f>'F11-Year(n-1)'!Q111</f>
        <v>0</v>
      </c>
      <c r="G110" s="384"/>
      <c r="H110" s="384"/>
      <c r="I110" s="384">
        <f>SUM('F11-Year(n)'!E110:J110)</f>
        <v>0</v>
      </c>
      <c r="J110" s="384">
        <f>SUM('F11-Year(n)'!K110:P110)</f>
        <v>0</v>
      </c>
      <c r="K110" s="384">
        <f t="shared" si="11"/>
        <v>0</v>
      </c>
      <c r="L110" s="384">
        <f>'F11-Year(n+1)'!Q110</f>
        <v>0</v>
      </c>
      <c r="M110" s="384"/>
      <c r="N110" s="384"/>
      <c r="O110" s="384"/>
      <c r="P110" s="384"/>
    </row>
    <row r="111" spans="3:16">
      <c r="C111" s="296"/>
      <c r="D111" s="296"/>
      <c r="E111" s="384"/>
      <c r="F111" s="384">
        <f>'F11-Year(n-1)'!Q112</f>
        <v>0</v>
      </c>
      <c r="G111" s="384"/>
      <c r="H111" s="384"/>
      <c r="I111" s="384">
        <f>SUM('F11-Year(n)'!E111:J111)</f>
        <v>0</v>
      </c>
      <c r="J111" s="384">
        <f>SUM('F11-Year(n)'!K111:P111)</f>
        <v>0</v>
      </c>
      <c r="K111" s="384">
        <f t="shared" si="11"/>
        <v>0</v>
      </c>
      <c r="L111" s="384">
        <f>'F11-Year(n+1)'!Q111</f>
        <v>0</v>
      </c>
      <c r="M111" s="384"/>
      <c r="N111" s="384"/>
      <c r="O111" s="384"/>
      <c r="P111" s="384"/>
    </row>
    <row r="112" spans="3:16">
      <c r="C112" s="296"/>
      <c r="D112" s="296"/>
      <c r="E112" s="384"/>
      <c r="F112" s="384">
        <f>'F11-Year(n-1)'!Q113</f>
        <v>6152.998496</v>
      </c>
      <c r="G112" s="384"/>
      <c r="H112" s="384"/>
      <c r="I112" s="384">
        <f>SUM('F11-Year(n)'!E112:J112)</f>
        <v>0</v>
      </c>
      <c r="J112" s="384">
        <f>SUM('F11-Year(n)'!K112:P112)</f>
        <v>0</v>
      </c>
      <c r="K112" s="384">
        <f t="shared" si="11"/>
        <v>0</v>
      </c>
      <c r="L112" s="384">
        <f>'F11-Year(n+1)'!Q112</f>
        <v>0</v>
      </c>
      <c r="M112" s="384"/>
      <c r="N112" s="384"/>
      <c r="O112" s="384"/>
      <c r="P112" s="384"/>
    </row>
    <row r="113" ht="15" spans="3:16">
      <c r="C113" s="285" t="s">
        <v>404</v>
      </c>
      <c r="D113" s="286"/>
      <c r="E113" s="722">
        <f>SUM(E105:E112)</f>
        <v>10860.43878</v>
      </c>
      <c r="F113" s="722">
        <f>SUM(F105:F112)</f>
        <v>12305.996992</v>
      </c>
      <c r="G113" s="722">
        <f>F113-E113</f>
        <v>1445.558212</v>
      </c>
      <c r="H113" s="722">
        <f>SUM(H105:H112)</f>
        <v>10396.91117</v>
      </c>
      <c r="I113" s="722">
        <f>SUM(I105:I112)</f>
        <v>2929.3862715</v>
      </c>
      <c r="J113" s="722">
        <f>SUM(J105:J112)</f>
        <v>2916.630126</v>
      </c>
      <c r="K113" s="722">
        <f t="shared" si="11"/>
        <v>5846.0163975</v>
      </c>
      <c r="L113" s="722">
        <f>SUM(L105:L112)</f>
        <v>3664.67960204428</v>
      </c>
      <c r="M113" s="722" t="e">
        <f t="shared" ref="M113:P113" si="12">SUM(M105:M112)</f>
        <v>#REF!</v>
      </c>
      <c r="N113" s="722" t="e">
        <f t="shared" si="12"/>
        <v>#REF!</v>
      </c>
      <c r="O113" s="722" t="e">
        <f t="shared" si="12"/>
        <v>#REF!</v>
      </c>
      <c r="P113" s="722">
        <f t="shared" si="12"/>
        <v>8191.84003235087</v>
      </c>
    </row>
    <row r="114" ht="15" spans="3:16">
      <c r="C114" s="708" t="s">
        <v>405</v>
      </c>
      <c r="D114" s="709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</row>
    <row r="115" spans="3:16">
      <c r="C115" s="296"/>
      <c r="D115" s="296" t="s">
        <v>406</v>
      </c>
      <c r="E115" s="384">
        <f>'F8'!E115</f>
        <v>54.51</v>
      </c>
      <c r="F115" s="384">
        <f>'F11-Year(n-1)'!Q115</f>
        <v>3.58635</v>
      </c>
      <c r="G115" s="384"/>
      <c r="H115" s="384">
        <f>'F8'!H115</f>
        <v>20.13</v>
      </c>
      <c r="I115" s="384">
        <f>SUM('F11-Year(n)'!E115:G115)</f>
        <v>0</v>
      </c>
      <c r="J115" s="384">
        <f>SUM('F11-Year(n)'!H115:K115)</f>
        <v>0</v>
      </c>
      <c r="K115" s="384">
        <f t="shared" ref="K115:K128" si="13">I115+J115</f>
        <v>0</v>
      </c>
      <c r="L115" s="384">
        <f>'F11-Year(n+1)'!Q115</f>
        <v>0.26</v>
      </c>
      <c r="M115" s="384" t="e">
        <f>'F11-Year(n+2)'!Q115</f>
        <v>#VALUE!</v>
      </c>
      <c r="N115" s="771">
        <f>'F11-Year(n+3) '!Q115</f>
        <v>0.389581560892525</v>
      </c>
      <c r="O115" s="771">
        <f>'F11-Year(n+4)'!Q115</f>
        <v>0.389581560892525</v>
      </c>
      <c r="P115" s="771">
        <f>'F11-Year(n+5)'!Q115</f>
        <v>0.389581560892525</v>
      </c>
    </row>
    <row r="116" spans="3:16">
      <c r="C116" s="296"/>
      <c r="D116" s="296" t="s">
        <v>407</v>
      </c>
      <c r="E116" s="384">
        <f>'F8'!E116</f>
        <v>8.6</v>
      </c>
      <c r="F116" s="384">
        <f>'F11-Year(n-1)'!Q116</f>
        <v>4.85191</v>
      </c>
      <c r="G116" s="384"/>
      <c r="H116" s="384">
        <f>'F8'!H116</f>
        <v>0</v>
      </c>
      <c r="I116" s="384">
        <f>SUM('F11-Year(n)'!E116:J116)</f>
        <v>0</v>
      </c>
      <c r="J116" s="384">
        <f>SUM('F11-Year(n)'!K116:P116)</f>
        <v>0</v>
      </c>
      <c r="K116" s="384">
        <f t="shared" si="13"/>
        <v>0</v>
      </c>
      <c r="L116" s="384">
        <f>'F11-Year(n+1)'!Q116</f>
        <v>0</v>
      </c>
      <c r="M116" s="384">
        <f>'F11-Year(n+2)'!Q116</f>
        <v>0.389581560892525</v>
      </c>
      <c r="N116" s="771">
        <f>'F11-Year(n+3) '!Q116</f>
        <v>0</v>
      </c>
      <c r="O116" s="771">
        <f>'F11-Year(n+4)'!Q116</f>
        <v>0</v>
      </c>
      <c r="P116" s="771">
        <f>'F11-Year(n+5)'!Q116</f>
        <v>0</v>
      </c>
    </row>
    <row r="117" spans="3:16">
      <c r="C117" s="296"/>
      <c r="D117" s="296" t="s">
        <v>408</v>
      </c>
      <c r="E117" s="384">
        <f>'F8'!E117</f>
        <v>142.05</v>
      </c>
      <c r="F117" s="384">
        <f>'F11-Year(n-1)'!Q117</f>
        <v>120.2807236</v>
      </c>
      <c r="G117" s="384"/>
      <c r="H117" s="384">
        <f>'F8'!H117</f>
        <v>118.28</v>
      </c>
      <c r="I117" s="384">
        <f>SUM('F11-Year(n)'!E117:J117)</f>
        <v>0</v>
      </c>
      <c r="J117" s="384">
        <f>SUM('F11-Year(n)'!K117:P117)</f>
        <v>0</v>
      </c>
      <c r="K117" s="384">
        <f t="shared" si="13"/>
        <v>0</v>
      </c>
      <c r="L117" s="384">
        <f>'F11-Year(n+1)'!Q117</f>
        <v>97.3405185384004</v>
      </c>
      <c r="M117" s="384" t="e">
        <f>'F11-Year(n+2)'!Q117</f>
        <v>#REF!</v>
      </c>
      <c r="N117" s="771">
        <f>'F11-Year(n+3) '!Q117</f>
        <v>91.6939894289602</v>
      </c>
      <c r="O117" s="771">
        <f>'F11-Year(n+4)'!Q117</f>
        <v>93.4238243326308</v>
      </c>
      <c r="P117" s="771">
        <f>'F11-Year(n+5)'!Q117</f>
        <v>95.0332712181902</v>
      </c>
    </row>
    <row r="118" spans="3:16">
      <c r="C118" s="296"/>
      <c r="D118" s="296" t="s">
        <v>409</v>
      </c>
      <c r="E118" s="384">
        <f>'F8'!E118</f>
        <v>35.99</v>
      </c>
      <c r="F118" s="384">
        <f>'F11-Year(n-1)'!Q118</f>
        <v>0.833320000000007</v>
      </c>
      <c r="G118" s="384"/>
      <c r="H118" s="384">
        <f>'F8'!H118</f>
        <v>46.24</v>
      </c>
      <c r="I118" s="384">
        <f>SUM('F11-Year(n)'!E118:J118)</f>
        <v>0</v>
      </c>
      <c r="J118" s="384">
        <f>SUM('F11-Year(n)'!K118:P118)</f>
        <v>0</v>
      </c>
      <c r="K118" s="384">
        <f t="shared" si="13"/>
        <v>0</v>
      </c>
      <c r="L118" s="384">
        <f>'F11-Year(n+1)'!Q118</f>
        <v>41.4332513642453</v>
      </c>
      <c r="M118" s="384" t="e">
        <f>'F11-Year(n+2)'!Q118</f>
        <v>#REF!</v>
      </c>
      <c r="N118" s="771">
        <f>'F11-Year(n+3) '!Q118</f>
        <v>39.0297911871284</v>
      </c>
      <c r="O118" s="771">
        <f>'F11-Year(n+4)'!Q118</f>
        <v>39.7661000280778</v>
      </c>
      <c r="P118" s="771">
        <f>'F11-Year(n+5)'!Q118</f>
        <v>40.4511653879924</v>
      </c>
    </row>
    <row r="119" spans="3:16">
      <c r="C119" s="296"/>
      <c r="D119" s="296" t="s">
        <v>410</v>
      </c>
      <c r="E119" s="384">
        <f>'F8'!E119</f>
        <v>243.67</v>
      </c>
      <c r="F119" s="384">
        <f>'F11-Year(n-1)'!Q119</f>
        <v>239.41819938</v>
      </c>
      <c r="G119" s="384"/>
      <c r="H119" s="384">
        <f>'F8'!H119</f>
        <v>235.65</v>
      </c>
      <c r="I119" s="384">
        <f>SUM('F11-Year(n)'!E119:J119)</f>
        <v>0</v>
      </c>
      <c r="J119" s="384">
        <f>SUM('F11-Year(n)'!K119:P119)</f>
        <v>0</v>
      </c>
      <c r="K119" s="384">
        <f t="shared" si="13"/>
        <v>0</v>
      </c>
      <c r="L119" s="384">
        <f>'F11-Year(n+1)'!Q119</f>
        <v>282.179935118596</v>
      </c>
      <c r="M119" s="384" t="e">
        <f>'F11-Year(n+2)'!Q119</f>
        <v>#VALUE!</v>
      </c>
      <c r="N119" s="771">
        <f>'F11-Year(n+3) '!Q119</f>
        <v>265.811240543392</v>
      </c>
      <c r="O119" s="771">
        <f>'F11-Year(n+4)'!Q119</f>
        <v>269.679147872883</v>
      </c>
      <c r="P119" s="771">
        <f>'F11-Year(n+5)'!Q119</f>
        <v>275.49146757296</v>
      </c>
    </row>
    <row r="120" spans="3:16">
      <c r="C120" s="296"/>
      <c r="D120" s="296" t="s">
        <v>368</v>
      </c>
      <c r="E120" s="384">
        <f>'F8'!E120</f>
        <v>7.88</v>
      </c>
      <c r="F120" s="384">
        <f>'F11-Year(n-1)'!Q120</f>
        <v>0</v>
      </c>
      <c r="G120" s="384"/>
      <c r="H120" s="384">
        <f>'F8'!H120</f>
        <v>0</v>
      </c>
      <c r="I120" s="384">
        <f>SUM('F11-Year(n)'!E120:J120)</f>
        <v>0</v>
      </c>
      <c r="J120" s="384">
        <f>SUM('F11-Year(n)'!K120:P120)</f>
        <v>0</v>
      </c>
      <c r="K120" s="384">
        <f t="shared" si="13"/>
        <v>0</v>
      </c>
      <c r="L120" s="384">
        <f>'F11-Year(n+1)'!Q120</f>
        <v>0.225557746478873</v>
      </c>
      <c r="M120" s="384">
        <f>'F11-Year(n+2)'!Q120</f>
        <v>0.0947756331665592</v>
      </c>
      <c r="N120" s="771">
        <f>'F11-Year(n+3) '!Q120</f>
        <v>0.0947756331665592</v>
      </c>
      <c r="O120" s="771">
        <f>'F11-Year(n+4)'!Q120</f>
        <v>0.0943980161256857</v>
      </c>
      <c r="P120" s="771">
        <f>'F11-Year(n+5)'!Q120</f>
        <v>0.0947756331665592</v>
      </c>
    </row>
    <row r="121" spans="3:16">
      <c r="C121" s="296"/>
      <c r="D121" s="296" t="s">
        <v>411</v>
      </c>
      <c r="E121" s="384">
        <f>'F8'!E121</f>
        <v>3691.14</v>
      </c>
      <c r="F121" s="384">
        <f>'F11-Year(n-1)'!Q121</f>
        <v>3591.19178407</v>
      </c>
      <c r="G121" s="384"/>
      <c r="H121" s="384">
        <f>'F8'!H121</f>
        <v>3424.5</v>
      </c>
      <c r="I121" s="384">
        <f>SUM('F11-Year(n)'!E121:J121)</f>
        <v>0</v>
      </c>
      <c r="J121" s="384">
        <f>SUM('F11-Year(n)'!K121:P121)</f>
        <v>0</v>
      </c>
      <c r="K121" s="384">
        <f t="shared" si="13"/>
        <v>0</v>
      </c>
      <c r="L121" s="384">
        <f>'F11-Year(n+1)'!Q121</f>
        <v>4515.84554999585</v>
      </c>
      <c r="M121" s="384">
        <f>'F11-Year(n+2)'!Q121</f>
        <v>4211.15253283983</v>
      </c>
      <c r="N121" s="771">
        <f>'F11-Year(n+3) '!Q121</f>
        <v>5393.57053021246</v>
      </c>
      <c r="O121" s="771">
        <f>'F11-Year(n+4)'!Q121</f>
        <v>5488.62448251917</v>
      </c>
      <c r="P121" s="771">
        <f>'F11-Year(n+5)'!Q121</f>
        <v>5589.99182197466</v>
      </c>
    </row>
    <row r="122" spans="3:16">
      <c r="C122" s="296"/>
      <c r="D122" s="296" t="s">
        <v>412</v>
      </c>
      <c r="E122" s="384">
        <f>'F8'!E122</f>
        <v>60.32</v>
      </c>
      <c r="F122" s="384">
        <f>'F11-Year(n-1)'!Q122</f>
        <v>577.539237644</v>
      </c>
      <c r="G122" s="384"/>
      <c r="H122" s="384">
        <f>'F8'!H122</f>
        <v>26.26</v>
      </c>
      <c r="I122" s="384">
        <f>SUM('F11-Year(n)'!E122:J122)</f>
        <v>0</v>
      </c>
      <c r="J122" s="384">
        <f>SUM('F11-Year(n)'!K122:P122)</f>
        <v>0</v>
      </c>
      <c r="K122" s="384">
        <f t="shared" si="13"/>
        <v>0</v>
      </c>
      <c r="L122" s="384">
        <f>'F11-Year(n+1)'!Q122</f>
        <v>74.7805179869581</v>
      </c>
      <c r="M122" s="384">
        <f>'F11-Year(n+2)'!Q122</f>
        <v>69.3794538834826</v>
      </c>
      <c r="N122" s="771">
        <f>'F11-Year(n+3) '!Q122</f>
        <v>88.8599914037878</v>
      </c>
      <c r="O122" s="771">
        <f>'F11-Year(n+4)'!Q122</f>
        <v>90.4260214274163</v>
      </c>
      <c r="P122" s="771">
        <f>'F11-Year(n+5)'!Q122</f>
        <v>92.0960655776101</v>
      </c>
    </row>
    <row r="123" spans="3:16">
      <c r="C123" s="296"/>
      <c r="D123" s="296" t="s">
        <v>413</v>
      </c>
      <c r="E123" s="384">
        <f>'F8'!E123</f>
        <v>579.3</v>
      </c>
      <c r="F123" s="384">
        <f>'F11-Year(n-1)'!Q123</f>
        <v>1015.0091663415</v>
      </c>
      <c r="G123" s="384"/>
      <c r="H123" s="384">
        <f>'F8'!H123</f>
        <v>564.32</v>
      </c>
      <c r="I123" s="384">
        <f>SUM('F11-Year(n)'!E123:J123)</f>
        <v>0</v>
      </c>
      <c r="J123" s="384">
        <f>SUM('F11-Year(n)'!K123:P123)</f>
        <v>0</v>
      </c>
      <c r="K123" s="384">
        <f t="shared" si="13"/>
        <v>0</v>
      </c>
      <c r="L123" s="384">
        <f>'F11-Year(n+1)'!Q123</f>
        <v>652.941280195532</v>
      </c>
      <c r="M123" s="384">
        <f>'F11-Year(n+2)'!Q123</f>
        <v>605.782236569269</v>
      </c>
      <c r="N123" s="771">
        <f>'F11-Year(n+3) '!Q123</f>
        <v>775.875296229855</v>
      </c>
      <c r="O123" s="771">
        <f>'F11-Year(n+4)'!Q123</f>
        <v>789.548986597057</v>
      </c>
      <c r="P123" s="771">
        <f>'F11-Year(n+5)'!Q123</f>
        <v>804.130869616386</v>
      </c>
    </row>
    <row r="124" spans="3:16">
      <c r="C124" s="296"/>
      <c r="D124" s="296" t="s">
        <v>414</v>
      </c>
      <c r="E124" s="384">
        <f>'F8'!E124</f>
        <v>500.05</v>
      </c>
      <c r="F124" s="384">
        <f>'F11-Year(n-1)'!Q124</f>
        <v>435.4115407325</v>
      </c>
      <c r="G124" s="384"/>
      <c r="H124" s="384">
        <f>'F8'!H124</f>
        <v>558.75</v>
      </c>
      <c r="I124" s="384">
        <f>SUM('F11-Year(n)'!E124:J124)</f>
        <v>0</v>
      </c>
      <c r="J124" s="384">
        <f>SUM('F11-Year(n)'!K124:P124)</f>
        <v>0</v>
      </c>
      <c r="K124" s="384">
        <f t="shared" si="13"/>
        <v>0</v>
      </c>
      <c r="L124" s="384">
        <f>'F11-Year(n+1)'!Q124</f>
        <v>652.941280195532</v>
      </c>
      <c r="M124" s="384">
        <f>'F11-Year(n+2)'!Q124</f>
        <v>605.78223656927</v>
      </c>
      <c r="N124" s="771">
        <f>'F11-Year(n+3) '!Q124</f>
        <v>775.875296229855</v>
      </c>
      <c r="O124" s="771">
        <f>'F11-Year(n+4)'!Q124</f>
        <v>789.548986597057</v>
      </c>
      <c r="P124" s="771">
        <f>'F11-Year(n+5)'!Q124</f>
        <v>804.130869616386</v>
      </c>
    </row>
    <row r="125" spans="3:16">
      <c r="C125" s="296"/>
      <c r="D125" s="296" t="s">
        <v>415</v>
      </c>
      <c r="E125" s="384">
        <f>'F8'!E125</f>
        <v>0</v>
      </c>
      <c r="F125" s="384">
        <f>'F11-Year(n-1)'!Q125</f>
        <v>0</v>
      </c>
      <c r="G125" s="384"/>
      <c r="H125" s="384">
        <f>'F8'!H125</f>
        <v>356.69</v>
      </c>
      <c r="I125" s="384">
        <f>SUM('F11-Year(n)'!E125:J125)</f>
        <v>0</v>
      </c>
      <c r="J125" s="384">
        <f>SUM('F11-Year(n)'!K125:P125)</f>
        <v>0</v>
      </c>
      <c r="K125" s="384">
        <f t="shared" si="13"/>
        <v>0</v>
      </c>
      <c r="L125" s="384">
        <f>'F11-Year(n+1)'!Q125</f>
        <v>2521.98569475524</v>
      </c>
      <c r="M125" s="384">
        <f>'F11-Year(n+2)'!Q125</f>
        <v>2339.83388874881</v>
      </c>
      <c r="N125" s="771">
        <f>'F11-Year(n+3) '!Q125</f>
        <v>2996.81833168782</v>
      </c>
      <c r="O125" s="771">
        <f>'F11-Year(n+4)'!Q125</f>
        <v>3049.63296073113</v>
      </c>
      <c r="P125" s="771">
        <f>'F11-Year(n+5)'!Q125</f>
        <v>3105.95548389329</v>
      </c>
    </row>
    <row r="126" spans="3:16">
      <c r="C126" s="296"/>
      <c r="D126" s="296" t="s">
        <v>416</v>
      </c>
      <c r="E126" s="384">
        <f>'F8'!E126</f>
        <v>0</v>
      </c>
      <c r="F126" s="384">
        <f>'F11-Year(n-1)'!Q126</f>
        <v>0</v>
      </c>
      <c r="G126" s="384"/>
      <c r="H126" s="384">
        <f>'F8'!H126</f>
        <v>0</v>
      </c>
      <c r="I126" s="384">
        <f>SUM('F11-Year(n)'!E126:J126)</f>
        <v>0</v>
      </c>
      <c r="J126" s="384">
        <f>SUM('F11-Year(n)'!K126:P126)</f>
        <v>0</v>
      </c>
      <c r="K126" s="384">
        <f t="shared" si="13"/>
        <v>0</v>
      </c>
      <c r="L126" s="384">
        <f>'F11-Year(n+1)'!Q126</f>
        <v>0</v>
      </c>
      <c r="M126" s="384">
        <f>'F11-Year(n+2)'!Q126</f>
        <v>0</v>
      </c>
      <c r="N126" s="771">
        <f>'F11-Year(n+3) '!Q126</f>
        <v>0</v>
      </c>
      <c r="O126" s="771">
        <f>'F11-Year(n+4)'!Q126</f>
        <v>0</v>
      </c>
      <c r="P126" s="771">
        <f>'F11-Year(n+5)'!Q126</f>
        <v>0</v>
      </c>
    </row>
    <row r="127" spans="3:16">
      <c r="C127" s="296"/>
      <c r="D127" s="296" t="s">
        <v>417</v>
      </c>
      <c r="E127" s="384">
        <f>'F8'!E127</f>
        <v>0</v>
      </c>
      <c r="F127" s="384">
        <f>'F11-Year(n-1)'!Q127</f>
        <v>0</v>
      </c>
      <c r="G127" s="384"/>
      <c r="H127" s="384">
        <f>'F8'!H127</f>
        <v>1984.81</v>
      </c>
      <c r="I127" s="384">
        <f>SUM('F11-Year(n)'!E127:J127)</f>
        <v>0</v>
      </c>
      <c r="J127" s="384">
        <f>SUM('F11-Year(n)'!K127:P127)</f>
        <v>0</v>
      </c>
      <c r="K127" s="384">
        <f t="shared" si="13"/>
        <v>0</v>
      </c>
      <c r="L127" s="384">
        <f>'F11-Year(n+1)'!Q127</f>
        <v>2761.9416152271</v>
      </c>
      <c r="M127" s="384">
        <f>'F11-Year(n+2)'!Q127</f>
        <v>2562.45886068801</v>
      </c>
      <c r="N127" s="771">
        <f>'F11-Year(n+3) '!Q127</f>
        <v>3281.95250305229</v>
      </c>
      <c r="O127" s="771">
        <f>'F11-Year(n+4)'!Q127</f>
        <v>3339.79221330555</v>
      </c>
      <c r="P127" s="771">
        <f>'F11-Year(n+5)'!Q127</f>
        <v>3401.47357847731</v>
      </c>
    </row>
    <row r="128" spans="3:16">
      <c r="C128" s="296"/>
      <c r="D128" s="296" t="s">
        <v>418</v>
      </c>
      <c r="E128" s="384">
        <f>'F8'!E128</f>
        <v>0</v>
      </c>
      <c r="F128" s="384">
        <f>'F11-Year(n-1)'!Q128</f>
        <v>0</v>
      </c>
      <c r="G128" s="384"/>
      <c r="H128" s="384">
        <f>'F8'!H128</f>
        <v>607.89</v>
      </c>
      <c r="I128" s="384">
        <f>SUM('F11-Year(n)'!E128:J128)</f>
        <v>0</v>
      </c>
      <c r="J128" s="384">
        <f>SUM('F11-Year(n)'!K128:P128)</f>
        <v>0</v>
      </c>
      <c r="K128" s="384">
        <f t="shared" si="13"/>
        <v>0</v>
      </c>
      <c r="L128" s="384">
        <f>'F11-Year(n+1)'!Q128</f>
        <v>1632.35320048883</v>
      </c>
      <c r="M128" s="384">
        <f>'F11-Year(n+2)'!Q128</f>
        <v>1514.45559142317</v>
      </c>
      <c r="N128" s="771">
        <f>'F11-Year(n+3) '!Q128</f>
        <v>1939.68824057464</v>
      </c>
      <c r="O128" s="771">
        <f>'F11-Year(n+4)'!Q128</f>
        <v>1973.87246649264</v>
      </c>
      <c r="P128" s="771">
        <f>'F11-Year(n+5)'!Q128</f>
        <v>2010.32717404097</v>
      </c>
    </row>
    <row r="129" spans="3:16">
      <c r="C129" s="296"/>
      <c r="D129" s="773" t="s">
        <v>419</v>
      </c>
      <c r="E129" s="384">
        <f>'F8'!E129</f>
        <v>0</v>
      </c>
      <c r="F129" s="384">
        <f>'F11-Year(n-1)'!Q129</f>
        <v>29.18769237275</v>
      </c>
      <c r="G129" s="384"/>
      <c r="H129" s="384">
        <f>'F8'!H129</f>
        <v>0</v>
      </c>
      <c r="I129" s="384">
        <f>SUM('F11-Year(n)'!E129:J129)</f>
        <v>0</v>
      </c>
      <c r="J129" s="384">
        <f>SUM('F11-Year(n)'!K129:P129)</f>
        <v>0</v>
      </c>
      <c r="K129" s="384">
        <f t="shared" ref="K129:K139" si="14">I129+J129</f>
        <v>0</v>
      </c>
      <c r="L129" s="384">
        <f>'F11-Year(n+1)'!Q129</f>
        <v>0</v>
      </c>
      <c r="M129" s="384">
        <f>'F11-Year(n+2)'!Q129</f>
        <v>0</v>
      </c>
      <c r="N129" s="771">
        <f>'F11-Year(n+3) '!Q129</f>
        <v>0</v>
      </c>
      <c r="O129" s="771">
        <f>'F11-Year(n+4)'!Q129</f>
        <v>0</v>
      </c>
      <c r="P129" s="771">
        <f>'F11-Year(n+5)'!Q129</f>
        <v>0</v>
      </c>
    </row>
    <row r="130" spans="3:16">
      <c r="C130" s="296"/>
      <c r="D130" s="773" t="s">
        <v>420</v>
      </c>
      <c r="E130" s="384">
        <f>'F8'!E130</f>
        <v>0</v>
      </c>
      <c r="F130" s="384">
        <f>'F11-Year(n-1)'!Q130</f>
        <v>0</v>
      </c>
      <c r="G130" s="384"/>
      <c r="H130" s="384">
        <f>'F8'!H130</f>
        <v>0</v>
      </c>
      <c r="I130" s="384">
        <f>SUM('F11-Year(n)'!E130:J130)</f>
        <v>0</v>
      </c>
      <c r="J130" s="384">
        <f>SUM('F11-Year(n)'!K130:P130)</f>
        <v>0</v>
      </c>
      <c r="K130" s="384">
        <f t="shared" si="14"/>
        <v>0</v>
      </c>
      <c r="L130" s="384">
        <f>'F11-Year(n+1)'!Q130</f>
        <v>0</v>
      </c>
      <c r="M130" s="384">
        <f>'F11-Year(n+2)'!Q130</f>
        <v>0</v>
      </c>
      <c r="N130" s="771">
        <f>'F11-Year(n+3) '!Q130</f>
        <v>0</v>
      </c>
      <c r="O130" s="771">
        <f>'F11-Year(n+4)'!Q130</f>
        <v>0</v>
      </c>
      <c r="P130" s="771">
        <f>'F11-Year(n+5)'!Q130</f>
        <v>0</v>
      </c>
    </row>
    <row r="131" spans="3:16">
      <c r="C131" s="296"/>
      <c r="D131" s="296"/>
      <c r="E131" s="384"/>
      <c r="F131" s="384">
        <f>'F11-Year(n-1)'!Q131</f>
        <v>0</v>
      </c>
      <c r="G131" s="384"/>
      <c r="H131" s="384"/>
      <c r="I131" s="384">
        <f>SUM('F11-Year(n)'!E131:J131)</f>
        <v>0</v>
      </c>
      <c r="J131" s="384">
        <f>SUM('F11-Year(n)'!K131:P131)</f>
        <v>0</v>
      </c>
      <c r="K131" s="384">
        <f t="shared" si="14"/>
        <v>0</v>
      </c>
      <c r="L131" s="384">
        <f>'F11-Year(n+1)'!Q131</f>
        <v>0</v>
      </c>
      <c r="M131" s="384">
        <f>'F11-Year(n+2)'!Q131</f>
        <v>0</v>
      </c>
      <c r="N131" s="771">
        <f>'F11-Year(n+3) '!Q131</f>
        <v>0</v>
      </c>
      <c r="O131" s="771">
        <f>'F11-Year(n+4)'!Q131</f>
        <v>0</v>
      </c>
      <c r="P131" s="771">
        <f>'F11-Year(n+5)'!Q131</f>
        <v>0</v>
      </c>
    </row>
    <row r="132" spans="3:16">
      <c r="C132" s="296"/>
      <c r="D132" s="296"/>
      <c r="E132" s="384"/>
      <c r="F132" s="384">
        <f>'F11-Year(n-1)'!Q133</f>
        <v>0</v>
      </c>
      <c r="G132" s="384"/>
      <c r="H132" s="384"/>
      <c r="I132" s="384">
        <f>SUM('F11-Year(n)'!E132:J132)</f>
        <v>3967.09733187647</v>
      </c>
      <c r="J132" s="384">
        <f>SUM('F11-Year(n)'!K132:P132)</f>
        <v>3801.145779687</v>
      </c>
      <c r="K132" s="384">
        <f t="shared" si="14"/>
        <v>7768.24311156347</v>
      </c>
      <c r="L132" s="384">
        <f>'F11-Year(n+1)'!Q132</f>
        <v>0</v>
      </c>
      <c r="M132" s="384">
        <f>'F11-Year(n+2)'!Q132</f>
        <v>0</v>
      </c>
      <c r="N132" s="771">
        <f>'F11-Year(n+3) '!Q132</f>
        <v>0</v>
      </c>
      <c r="O132" s="771">
        <f>'F11-Year(n+4)'!Q132</f>
        <v>0</v>
      </c>
      <c r="P132" s="771">
        <f>'F11-Year(n+5)'!Q132</f>
        <v>0</v>
      </c>
    </row>
    <row r="133" spans="3:16">
      <c r="C133" s="296"/>
      <c r="D133" s="296"/>
      <c r="E133" s="384"/>
      <c r="F133" s="384">
        <f>'F11-Year(n-1)'!Q134</f>
        <v>0</v>
      </c>
      <c r="G133" s="384"/>
      <c r="H133" s="384"/>
      <c r="I133" s="384">
        <f>SUM('F11-Year(n)'!E133:J133)</f>
        <v>0</v>
      </c>
      <c r="J133" s="384">
        <f>SUM('F11-Year(n)'!K133:P133)</f>
        <v>0</v>
      </c>
      <c r="K133" s="384">
        <f t="shared" si="14"/>
        <v>0</v>
      </c>
      <c r="L133" s="384">
        <f>'F11-Year(n+1)'!Q133</f>
        <v>0</v>
      </c>
      <c r="M133" s="384">
        <f>'F11-Year(n+2)'!Q133</f>
        <v>0</v>
      </c>
      <c r="N133" s="771">
        <f>'F11-Year(n+3) '!Q133</f>
        <v>0</v>
      </c>
      <c r="O133" s="771">
        <f>'F11-Year(n+4)'!Q133</f>
        <v>0</v>
      </c>
      <c r="P133" s="771">
        <f>'F11-Year(n+5)'!Q133</f>
        <v>0</v>
      </c>
    </row>
    <row r="134" spans="3:16">
      <c r="C134" s="296"/>
      <c r="D134" s="296"/>
      <c r="E134" s="384"/>
      <c r="F134" s="384">
        <f>'F11-Year(n-1)'!Q135</f>
        <v>0</v>
      </c>
      <c r="G134" s="384"/>
      <c r="H134" s="384"/>
      <c r="I134" s="384">
        <f>SUM('F11-Year(n)'!E134:J134)</f>
        <v>0</v>
      </c>
      <c r="J134" s="384">
        <f>SUM('F11-Year(n)'!K134:P134)</f>
        <v>0</v>
      </c>
      <c r="K134" s="384">
        <f t="shared" si="14"/>
        <v>0</v>
      </c>
      <c r="L134" s="384">
        <f>'F11-Year(n+1)'!Q134</f>
        <v>0</v>
      </c>
      <c r="M134" s="384">
        <f>'F11-Year(n+2)'!Q134</f>
        <v>0</v>
      </c>
      <c r="N134" s="771">
        <f>'F11-Year(n+3) '!Q134</f>
        <v>0</v>
      </c>
      <c r="O134" s="771">
        <f>'F11-Year(n+4)'!Q134</f>
        <v>0</v>
      </c>
      <c r="P134" s="771">
        <f>'F11-Year(n+5)'!Q134</f>
        <v>0</v>
      </c>
    </row>
    <row r="135" spans="3:16">
      <c r="C135" s="296"/>
      <c r="D135" s="296"/>
      <c r="E135" s="384"/>
      <c r="F135" s="384">
        <f>'F11-Year(n-1)'!Q136</f>
        <v>0</v>
      </c>
      <c r="G135" s="384"/>
      <c r="H135" s="384"/>
      <c r="I135" s="384">
        <f>SUM('F11-Year(n)'!E135:J135)</f>
        <v>0</v>
      </c>
      <c r="J135" s="384">
        <f>SUM('F11-Year(n)'!K135:P135)</f>
        <v>0</v>
      </c>
      <c r="K135" s="384">
        <f t="shared" si="14"/>
        <v>0</v>
      </c>
      <c r="L135" s="384">
        <f>'F11-Year(n+1)'!Q135</f>
        <v>0</v>
      </c>
      <c r="M135" s="384">
        <f>'F11-Year(n+2)'!Q135</f>
        <v>0</v>
      </c>
      <c r="N135" s="771">
        <f>'F11-Year(n+3) '!Q135</f>
        <v>0</v>
      </c>
      <c r="O135" s="771">
        <f>'F11-Year(n+4)'!Q135</f>
        <v>0</v>
      </c>
      <c r="P135" s="771">
        <f>'F11-Year(n+5)'!Q135</f>
        <v>0</v>
      </c>
    </row>
    <row r="136" spans="3:16">
      <c r="C136" s="296"/>
      <c r="D136" s="296"/>
      <c r="E136" s="384"/>
      <c r="F136" s="384">
        <f>'F11-Year(n-1)'!Q137</f>
        <v>0</v>
      </c>
      <c r="G136" s="384"/>
      <c r="H136" s="384"/>
      <c r="I136" s="384">
        <f>SUM('F11-Year(n)'!E136:J136)</f>
        <v>0</v>
      </c>
      <c r="J136" s="384">
        <f>SUM('F11-Year(n)'!K136:P136)</f>
        <v>0</v>
      </c>
      <c r="K136" s="384">
        <f t="shared" si="14"/>
        <v>0</v>
      </c>
      <c r="L136" s="384">
        <f>'F11-Year(n+1)'!Q136</f>
        <v>0</v>
      </c>
      <c r="M136" s="384">
        <f>'F11-Year(n+2)'!Q136</f>
        <v>0</v>
      </c>
      <c r="N136" s="771">
        <f>'F11-Year(n+3) '!Q136</f>
        <v>0</v>
      </c>
      <c r="O136" s="771">
        <f>'F11-Year(n+4)'!Q136</f>
        <v>0</v>
      </c>
      <c r="P136" s="771">
        <f>'F11-Year(n+5)'!Q136</f>
        <v>0</v>
      </c>
    </row>
    <row r="137" spans="3:16">
      <c r="C137" s="296"/>
      <c r="D137" s="296"/>
      <c r="E137" s="384"/>
      <c r="F137" s="384">
        <f>'F11-Year(n-1)'!Q138</f>
        <v>0</v>
      </c>
      <c r="G137" s="384"/>
      <c r="H137" s="384"/>
      <c r="I137" s="384">
        <f>SUM('F11-Year(n)'!E137:J137)</f>
        <v>0</v>
      </c>
      <c r="J137" s="384">
        <f>SUM('F11-Year(n)'!K137:P137)</f>
        <v>0</v>
      </c>
      <c r="K137" s="384">
        <f t="shared" si="14"/>
        <v>0</v>
      </c>
      <c r="L137" s="384">
        <f>'F11-Year(n+1)'!Q137</f>
        <v>0</v>
      </c>
      <c r="M137" s="384">
        <f>'F11-Year(n+2)'!Q137</f>
        <v>0</v>
      </c>
      <c r="N137" s="771">
        <f>'F11-Year(n+3) '!Q137</f>
        <v>0</v>
      </c>
      <c r="O137" s="771">
        <f>'F11-Year(n+4)'!Q137</f>
        <v>0</v>
      </c>
      <c r="P137" s="771">
        <f>'F11-Year(n+5)'!Q137</f>
        <v>0</v>
      </c>
    </row>
    <row r="138" spans="3:16">
      <c r="C138" s="296"/>
      <c r="D138" s="296"/>
      <c r="E138" s="384"/>
      <c r="F138" s="384">
        <f>'F11-Year(n-1)'!Q139</f>
        <v>6017.30992414075</v>
      </c>
      <c r="G138" s="384"/>
      <c r="H138" s="384"/>
      <c r="I138" s="384">
        <f>SUM('F11-Year(n)'!E138:J138)</f>
        <v>0</v>
      </c>
      <c r="J138" s="384">
        <f>SUM('F11-Year(n)'!K138:P138)</f>
        <v>0</v>
      </c>
      <c r="K138" s="384">
        <f t="shared" si="14"/>
        <v>0</v>
      </c>
      <c r="L138" s="384">
        <f>'F11-Year(n+1)'!Q138</f>
        <v>0</v>
      </c>
      <c r="M138" s="384">
        <f>'F11-Year(n+2)'!Q138</f>
        <v>0</v>
      </c>
      <c r="N138" s="771">
        <f>'F11-Year(n+3) '!Q138</f>
        <v>0</v>
      </c>
      <c r="O138" s="771">
        <f>'F11-Year(n+4)'!Q138</f>
        <v>0</v>
      </c>
      <c r="P138" s="771">
        <f>'F11-Year(n+5)'!Q138</f>
        <v>0</v>
      </c>
    </row>
    <row r="139" ht="15" spans="3:16">
      <c r="C139" s="285" t="s">
        <v>421</v>
      </c>
      <c r="D139" s="286"/>
      <c r="E139" s="722">
        <f>SUM(E115:E138)</f>
        <v>5323.51</v>
      </c>
      <c r="F139" s="722">
        <f>SUM(F115:F138)</f>
        <v>12034.6198482815</v>
      </c>
      <c r="G139" s="722">
        <f>F139-E139</f>
        <v>6711.1098482815</v>
      </c>
      <c r="H139" s="722">
        <f>SUM(H115:H138)</f>
        <v>7943.52</v>
      </c>
      <c r="I139" s="722">
        <f>SUM(I115:I138)</f>
        <v>3967.09733187647</v>
      </c>
      <c r="J139" s="722">
        <f>SUM(J115:J138)</f>
        <v>3801.145779687</v>
      </c>
      <c r="K139" s="722">
        <f t="shared" si="14"/>
        <v>7768.24311156347</v>
      </c>
      <c r="L139" s="722">
        <f>SUM(L115:L138)</f>
        <v>13234.2284016128</v>
      </c>
      <c r="M139" s="722" t="e">
        <f>SUM(M115:M138)</f>
        <v>#VALUE!</v>
      </c>
      <c r="N139" s="722">
        <f>SUM(N115:N138)</f>
        <v>15649.6595677442</v>
      </c>
      <c r="O139" s="722">
        <f>SUM(O115:O138)</f>
        <v>15924.7991694806</v>
      </c>
      <c r="P139" s="722">
        <f>SUM(P115:P138)</f>
        <v>16219.5661245698</v>
      </c>
    </row>
    <row r="140" ht="15" spans="3:16">
      <c r="C140" s="708" t="s">
        <v>422</v>
      </c>
      <c r="D140" s="709"/>
      <c r="E140" s="384"/>
      <c r="F140" s="384"/>
      <c r="G140" s="384"/>
      <c r="H140" s="384"/>
      <c r="I140" s="384"/>
      <c r="J140" s="384"/>
      <c r="K140" s="384"/>
      <c r="L140" s="384"/>
      <c r="M140" s="384"/>
      <c r="N140" s="384"/>
      <c r="O140" s="384"/>
      <c r="P140" s="384"/>
    </row>
    <row r="141" spans="3:16">
      <c r="C141" s="296"/>
      <c r="D141" s="296" t="s">
        <v>451</v>
      </c>
      <c r="E141" s="384">
        <f>'[44]PP Cost'!$I$136+373.61</f>
        <v>1013.225715</v>
      </c>
      <c r="F141" s="384">
        <f>'F11-Year(n-1)'!Q141</f>
        <v>9404.397754</v>
      </c>
      <c r="G141" s="384"/>
      <c r="H141" s="384">
        <f>'[22]PP Cost'!$I$141</f>
        <v>441.5999028</v>
      </c>
      <c r="I141" s="384">
        <f>SUM('F11-Year(n)'!E141:J141)</f>
        <v>4596.0088130725</v>
      </c>
      <c r="J141" s="384">
        <f>SUM('F11-Year(n)'!K141:P141)</f>
        <v>6899.36497681625</v>
      </c>
      <c r="K141" s="384">
        <f t="shared" ref="K141:K152" si="15">I141+J141</f>
        <v>11495.3737898888</v>
      </c>
      <c r="L141" s="384">
        <f>'F11-Year(n+1)'!Q141</f>
        <v>626.216811067091</v>
      </c>
      <c r="M141" s="771" t="e">
        <f>'F11-Year(n+2)'!Q141</f>
        <v>#REF!</v>
      </c>
      <c r="N141" s="771">
        <f>'F11-Year(n+3) '!Q141</f>
        <v>1083.55918595442</v>
      </c>
      <c r="O141" s="771">
        <f>'F11-Year(n+4)'!Q141</f>
        <v>2804.31237294256</v>
      </c>
      <c r="P141" s="771">
        <f>'F11-Year(n+5)'!Q141</f>
        <v>5523.15009063733</v>
      </c>
    </row>
    <row r="142" spans="3:16">
      <c r="C142" s="296"/>
      <c r="D142" s="296" t="s">
        <v>474</v>
      </c>
      <c r="E142" s="384"/>
      <c r="F142" s="384">
        <f>'F11-Year(n-1)'!Q143</f>
        <v>0</v>
      </c>
      <c r="G142" s="384"/>
      <c r="H142" s="384"/>
      <c r="I142" s="384">
        <f>SUM('F11-Year(n)'!E142:J142)</f>
        <v>0</v>
      </c>
      <c r="J142" s="384">
        <f>SUM('F11-Year(n)'!K142:P142)</f>
        <v>0</v>
      </c>
      <c r="K142" s="384">
        <f t="shared" si="15"/>
        <v>0</v>
      </c>
      <c r="L142" s="384">
        <f>'F11-Year(n+1)'!Q142</f>
        <v>0</v>
      </c>
      <c r="M142" s="771" t="e">
        <f>'F11-Year(n+2)'!Q142</f>
        <v>#REF!</v>
      </c>
      <c r="N142" s="771">
        <f>'F11-Year(n+3) '!Q142</f>
        <v>0</v>
      </c>
      <c r="O142" s="771">
        <f>'F11-Year(n+4)'!Q142</f>
        <v>0</v>
      </c>
      <c r="P142" s="771">
        <f>'F11-Year(n+5)'!Q142</f>
        <v>0</v>
      </c>
    </row>
    <row r="143" spans="3:16">
      <c r="C143" s="296"/>
      <c r="D143" s="296"/>
      <c r="E143" s="384"/>
      <c r="F143" s="384">
        <f>'F11-Year(n-1)'!Q144</f>
        <v>0</v>
      </c>
      <c r="G143" s="384"/>
      <c r="H143" s="384"/>
      <c r="I143" s="384">
        <f>SUM('F11-Year(n)'!E143:J143)</f>
        <v>0</v>
      </c>
      <c r="J143" s="384">
        <f>SUM('F11-Year(n)'!K143:P143)</f>
        <v>0</v>
      </c>
      <c r="K143" s="384">
        <f t="shared" si="15"/>
        <v>0</v>
      </c>
      <c r="L143" s="384">
        <f>'F11-Year(n+1)'!Q143</f>
        <v>0</v>
      </c>
      <c r="M143" s="771">
        <f>'F11-Year(n+2)'!Q143</f>
        <v>0</v>
      </c>
      <c r="N143" s="771">
        <f>'F11-Year(n+3) '!Q143</f>
        <v>0</v>
      </c>
      <c r="O143" s="771">
        <f>'F11-Year(n+4)'!Q143</f>
        <v>0</v>
      </c>
      <c r="P143" s="771">
        <f>'F11-Year(n+5)'!Q143</f>
        <v>0</v>
      </c>
    </row>
    <row r="144" spans="3:16">
      <c r="C144" s="296"/>
      <c r="D144" s="296"/>
      <c r="E144" s="384"/>
      <c r="F144" s="384">
        <f>'F11-Year(n-1)'!Q145</f>
        <v>0</v>
      </c>
      <c r="G144" s="384"/>
      <c r="H144" s="384"/>
      <c r="I144" s="384">
        <f>SUM('F11-Year(n)'!E144:J144)</f>
        <v>0</v>
      </c>
      <c r="J144" s="384">
        <f>SUM('F11-Year(n)'!K144:P144)</f>
        <v>0</v>
      </c>
      <c r="K144" s="384">
        <f t="shared" si="15"/>
        <v>0</v>
      </c>
      <c r="L144" s="384">
        <f>'F11-Year(n+1)'!Q144</f>
        <v>0</v>
      </c>
      <c r="M144" s="771">
        <f>'F11-Year(n+2)'!Q144</f>
        <v>0</v>
      </c>
      <c r="N144" s="771">
        <f>'F11-Year(n+3) '!Q144</f>
        <v>0</v>
      </c>
      <c r="O144" s="771">
        <f>'F11-Year(n+4)'!Q144</f>
        <v>0</v>
      </c>
      <c r="P144" s="771">
        <f>'F11-Year(n+5)'!Q144</f>
        <v>0</v>
      </c>
    </row>
    <row r="145" spans="3:16">
      <c r="C145" s="296"/>
      <c r="D145" s="296"/>
      <c r="E145" s="384"/>
      <c r="F145" s="384">
        <f>'F11-Year(n-1)'!Q146</f>
        <v>0</v>
      </c>
      <c r="G145" s="384"/>
      <c r="H145" s="384"/>
      <c r="I145" s="384">
        <f>SUM('F11-Year(n)'!E145:J145)</f>
        <v>0</v>
      </c>
      <c r="J145" s="384">
        <f>SUM('F11-Year(n)'!K145:P145)</f>
        <v>0</v>
      </c>
      <c r="K145" s="384">
        <f t="shared" si="15"/>
        <v>0</v>
      </c>
      <c r="L145" s="384">
        <f>'F11-Year(n+1)'!Q145</f>
        <v>0</v>
      </c>
      <c r="M145" s="771">
        <f>'F11-Year(n+2)'!Q145</f>
        <v>0</v>
      </c>
      <c r="N145" s="771">
        <f>'F11-Year(n+3) '!Q145</f>
        <v>0</v>
      </c>
      <c r="O145" s="771">
        <f>'F11-Year(n+4)'!Q145</f>
        <v>0</v>
      </c>
      <c r="P145" s="771">
        <f>'F11-Year(n+5)'!Q145</f>
        <v>0</v>
      </c>
    </row>
    <row r="146" spans="3:16">
      <c r="C146" s="296"/>
      <c r="D146" s="296"/>
      <c r="E146" s="384"/>
      <c r="F146" s="384">
        <f>'F11-Year(n-1)'!Q147</f>
        <v>0</v>
      </c>
      <c r="G146" s="384"/>
      <c r="H146" s="384"/>
      <c r="I146" s="384">
        <f>SUM('F11-Year(n)'!E146:J146)</f>
        <v>0</v>
      </c>
      <c r="J146" s="384">
        <f>SUM('F11-Year(n)'!K146:P146)</f>
        <v>0</v>
      </c>
      <c r="K146" s="384">
        <f t="shared" si="15"/>
        <v>0</v>
      </c>
      <c r="L146" s="384">
        <f>'F11-Year(n+1)'!Q146</f>
        <v>0</v>
      </c>
      <c r="M146" s="771">
        <f>'F11-Year(n+2)'!Q146</f>
        <v>0</v>
      </c>
      <c r="N146" s="771">
        <f>'F11-Year(n+3) '!Q146</f>
        <v>0</v>
      </c>
      <c r="O146" s="771">
        <f>'F11-Year(n+4)'!Q146</f>
        <v>0</v>
      </c>
      <c r="P146" s="771">
        <f>'F11-Year(n+5)'!Q146</f>
        <v>0</v>
      </c>
    </row>
    <row r="147" spans="3:16">
      <c r="C147" s="296"/>
      <c r="D147" s="296"/>
      <c r="E147" s="384"/>
      <c r="F147" s="384">
        <f>'F11-Year(n-1)'!Q148</f>
        <v>0</v>
      </c>
      <c r="G147" s="384"/>
      <c r="H147" s="384"/>
      <c r="I147" s="384">
        <f>SUM('F11-Year(n)'!E147:J147)</f>
        <v>0</v>
      </c>
      <c r="J147" s="384">
        <f>SUM('F11-Year(n)'!K147:P147)</f>
        <v>0</v>
      </c>
      <c r="K147" s="384">
        <f t="shared" si="15"/>
        <v>0</v>
      </c>
      <c r="L147" s="384">
        <f>'F11-Year(n+1)'!Q147</f>
        <v>0</v>
      </c>
      <c r="M147" s="771">
        <f>'F11-Year(n+2)'!Q147</f>
        <v>0</v>
      </c>
      <c r="N147" s="771">
        <f>'F11-Year(n+3) '!Q147</f>
        <v>0</v>
      </c>
      <c r="O147" s="771">
        <f>'F11-Year(n+4)'!Q147</f>
        <v>0</v>
      </c>
      <c r="P147" s="771">
        <f>'F11-Year(n+5)'!Q147</f>
        <v>0</v>
      </c>
    </row>
    <row r="148" spans="3:16">
      <c r="C148" s="296"/>
      <c r="D148" s="296"/>
      <c r="E148" s="384"/>
      <c r="F148" s="384">
        <f>'F11-Year(n-1)'!Q149</f>
        <v>0</v>
      </c>
      <c r="G148" s="384"/>
      <c r="H148" s="384"/>
      <c r="I148" s="384">
        <f>SUM('F11-Year(n)'!E148:J148)</f>
        <v>0</v>
      </c>
      <c r="J148" s="384">
        <f>SUM('F11-Year(n)'!K148:P148)</f>
        <v>0</v>
      </c>
      <c r="K148" s="384">
        <f t="shared" si="15"/>
        <v>0</v>
      </c>
      <c r="L148" s="384">
        <f>'F11-Year(n+1)'!Q148</f>
        <v>0</v>
      </c>
      <c r="M148" s="771">
        <f>'F11-Year(n+2)'!Q148</f>
        <v>0</v>
      </c>
      <c r="N148" s="771">
        <f>'F11-Year(n+3) '!Q148</f>
        <v>0</v>
      </c>
      <c r="O148" s="771">
        <f>'F11-Year(n+4)'!Q148</f>
        <v>0</v>
      </c>
      <c r="P148" s="771">
        <f>'F11-Year(n+5)'!Q148</f>
        <v>0</v>
      </c>
    </row>
    <row r="149" spans="3:16">
      <c r="C149" s="296"/>
      <c r="D149" s="296"/>
      <c r="E149" s="384"/>
      <c r="F149" s="384">
        <f>'F11-Year(n-1)'!Q150</f>
        <v>0</v>
      </c>
      <c r="G149" s="384"/>
      <c r="H149" s="384"/>
      <c r="I149" s="384">
        <f>SUM('F11-Year(n)'!E149:J149)</f>
        <v>0</v>
      </c>
      <c r="J149" s="384">
        <f>SUM('F11-Year(n)'!K149:P149)</f>
        <v>0</v>
      </c>
      <c r="K149" s="384">
        <f t="shared" si="15"/>
        <v>0</v>
      </c>
      <c r="L149" s="384">
        <f>'F11-Year(n+1)'!Q149</f>
        <v>0</v>
      </c>
      <c r="M149" s="771">
        <f>'F11-Year(n+2)'!Q149</f>
        <v>0</v>
      </c>
      <c r="N149" s="771">
        <f>'F11-Year(n+3) '!Q149</f>
        <v>0</v>
      </c>
      <c r="O149" s="771">
        <f>'F11-Year(n+4)'!Q149</f>
        <v>0</v>
      </c>
      <c r="P149" s="771">
        <f>'F11-Year(n+5)'!Q149</f>
        <v>0</v>
      </c>
    </row>
    <row r="150" spans="3:16">
      <c r="C150" s="296"/>
      <c r="D150" s="296"/>
      <c r="E150" s="384"/>
      <c r="F150" s="384">
        <f>'F11-Year(n-1)'!Q151</f>
        <v>0</v>
      </c>
      <c r="G150" s="384"/>
      <c r="H150" s="384"/>
      <c r="I150" s="384">
        <f>SUM('F11-Year(n)'!E150:J150)</f>
        <v>0</v>
      </c>
      <c r="J150" s="384">
        <f>SUM('F11-Year(n)'!K150:P150)</f>
        <v>0</v>
      </c>
      <c r="K150" s="384">
        <f t="shared" si="15"/>
        <v>0</v>
      </c>
      <c r="L150" s="384">
        <f>'F11-Year(n+1)'!Q150</f>
        <v>0</v>
      </c>
      <c r="M150" s="771">
        <f>'F11-Year(n+2)'!Q150</f>
        <v>0</v>
      </c>
      <c r="N150" s="771">
        <f>'F11-Year(n+3) '!Q150</f>
        <v>0</v>
      </c>
      <c r="O150" s="771">
        <f>'F11-Year(n+4)'!Q150</f>
        <v>0</v>
      </c>
      <c r="P150" s="771">
        <f>'F11-Year(n+5)'!Q150</f>
        <v>0</v>
      </c>
    </row>
    <row r="151" spans="3:16">
      <c r="C151" s="296"/>
      <c r="D151" s="296"/>
      <c r="E151" s="384"/>
      <c r="F151" s="384">
        <f>'F11-Year(n-1)'!Q152</f>
        <v>9404.397754</v>
      </c>
      <c r="G151" s="384"/>
      <c r="H151" s="384"/>
      <c r="I151" s="384">
        <f>SUM('F11-Year(n)'!E151:J151)</f>
        <v>0</v>
      </c>
      <c r="J151" s="384">
        <f>SUM('F11-Year(n)'!K151:P151)</f>
        <v>0</v>
      </c>
      <c r="K151" s="384">
        <f t="shared" si="15"/>
        <v>0</v>
      </c>
      <c r="L151" s="384">
        <f>'F11-Year(n+1)'!Q151</f>
        <v>0</v>
      </c>
      <c r="M151" s="771">
        <f>'F11-Year(n+2)'!Q151</f>
        <v>0</v>
      </c>
      <c r="N151" s="771">
        <f>'F11-Year(n+3) '!Q151</f>
        <v>0</v>
      </c>
      <c r="O151" s="771">
        <f>'F11-Year(n+4)'!Q151</f>
        <v>0</v>
      </c>
      <c r="P151" s="771">
        <f>'F11-Year(n+5)'!Q151</f>
        <v>0</v>
      </c>
    </row>
    <row r="152" ht="15" spans="3:16">
      <c r="C152" s="285" t="s">
        <v>424</v>
      </c>
      <c r="D152" s="286"/>
      <c r="E152" s="722">
        <f>SUM(E141:E151)</f>
        <v>1013.225715</v>
      </c>
      <c r="F152" s="722">
        <f>SUM(F141:F151)</f>
        <v>18808.795508</v>
      </c>
      <c r="G152" s="722">
        <f>F152-E152</f>
        <v>17795.569793</v>
      </c>
      <c r="H152" s="722">
        <f>SUM(H141:H151)</f>
        <v>441.5999028</v>
      </c>
      <c r="I152" s="722">
        <f>SUM(I141:I151)</f>
        <v>4596.0088130725</v>
      </c>
      <c r="J152" s="722">
        <f>SUM(J141:J151)</f>
        <v>6899.36497681625</v>
      </c>
      <c r="K152" s="722">
        <f t="shared" si="15"/>
        <v>11495.3737898888</v>
      </c>
      <c r="L152" s="722">
        <f>'F11-Year(n+1)'!Q152</f>
        <v>626.216811067091</v>
      </c>
      <c r="M152" s="722" t="e">
        <f>'F11-Year(n+2)'!Q152</f>
        <v>#REF!</v>
      </c>
      <c r="N152" s="722">
        <f>'F11-Year(n+3) '!Q152</f>
        <v>1083.55918595442</v>
      </c>
      <c r="O152" s="722">
        <f>'F11-Year(n+4)'!Q152</f>
        <v>2804.31237294256</v>
      </c>
      <c r="P152" s="722">
        <f>'F11-Year(n+5)'!Q152</f>
        <v>5523.15009063733</v>
      </c>
    </row>
    <row r="153" ht="15" spans="3:16">
      <c r="C153" s="708" t="s">
        <v>425</v>
      </c>
      <c r="D153" s="709"/>
      <c r="E153" s="384"/>
      <c r="F153" s="384"/>
      <c r="G153" s="384"/>
      <c r="H153" s="384"/>
      <c r="I153" s="384"/>
      <c r="J153" s="384"/>
      <c r="K153" s="384"/>
      <c r="L153" s="384"/>
      <c r="M153" s="384"/>
      <c r="N153" s="384"/>
      <c r="O153" s="384"/>
      <c r="P153" s="384"/>
    </row>
    <row r="154" spans="3:16">
      <c r="C154" s="296" t="s">
        <v>426</v>
      </c>
      <c r="D154" s="296" t="s">
        <v>427</v>
      </c>
      <c r="E154" s="384">
        <f>'[44]PP Cost'!I138</f>
        <v>470.13</v>
      </c>
      <c r="F154" s="384">
        <f>'F11-Year(n-1)'!Q154</f>
        <v>0</v>
      </c>
      <c r="G154" s="384"/>
      <c r="H154" s="384">
        <f>'[22]PP Cost'!I142</f>
        <v>137.17</v>
      </c>
      <c r="I154" s="384">
        <f>SUM('F11-Year(n)'!E154:J154)</f>
        <v>0</v>
      </c>
      <c r="J154" s="384">
        <f>SUM('F11-Year(n)'!K154:P154)</f>
        <v>0</v>
      </c>
      <c r="K154" s="384">
        <f t="shared" ref="K154:K155" si="16">I154+J154</f>
        <v>0</v>
      </c>
      <c r="L154" s="384">
        <f>'F11-Year(n+1)'!Q154</f>
        <v>1433.10427717261</v>
      </c>
      <c r="M154" s="384" t="e">
        <f>'F11-Year(n+2)'!Q154</f>
        <v>#REF!</v>
      </c>
      <c r="N154" s="771">
        <f>'F11-Year(n+3) '!Q154</f>
        <v>3452.02836499376</v>
      </c>
      <c r="O154" s="771">
        <f>'F11-Year(n+4)'!Q154</f>
        <v>4755.07120066432</v>
      </c>
      <c r="P154" s="771">
        <f>'F11-Year(n+5)'!Q154</f>
        <v>5917.72036534168</v>
      </c>
    </row>
    <row r="155" spans="3:16">
      <c r="C155" s="296" t="s">
        <v>426</v>
      </c>
      <c r="D155" s="296" t="s">
        <v>428</v>
      </c>
      <c r="E155" s="384">
        <f>'[44]PP Cost'!I139</f>
        <v>-655.47</v>
      </c>
      <c r="F155" s="384">
        <f>'F11-Year(n-1)'!Q155</f>
        <v>0</v>
      </c>
      <c r="G155" s="384"/>
      <c r="H155" s="384">
        <f>'[22]PP Cost'!I143</f>
        <v>-1271.09</v>
      </c>
      <c r="I155" s="384">
        <f>SUM('F11-Year(n)'!E155:J155)</f>
        <v>0</v>
      </c>
      <c r="J155" s="384">
        <f>SUM('F11-Year(n)'!K155:P155)</f>
        <v>0</v>
      </c>
      <c r="K155" s="384">
        <f t="shared" si="16"/>
        <v>0</v>
      </c>
      <c r="L155" s="384">
        <f>'F11-Year(n+1)'!Q155</f>
        <v>0</v>
      </c>
      <c r="M155" s="384">
        <f>'F11-Year(n+2)'!Q155</f>
        <v>0</v>
      </c>
      <c r="N155" s="771">
        <f>'F11-Year(n+3) '!Q155</f>
        <v>0</v>
      </c>
      <c r="O155" s="771" t="e">
        <f>'F11-Year(n+4)'!Q155</f>
        <v>#REF!</v>
      </c>
      <c r="P155" s="771">
        <f>'F11-Year(n+5)'!Q155</f>
        <v>0</v>
      </c>
    </row>
    <row r="156" spans="3:16">
      <c r="C156" s="775"/>
      <c r="D156" s="776"/>
      <c r="E156" s="384"/>
      <c r="F156" s="384"/>
      <c r="G156" s="384"/>
      <c r="H156" s="384"/>
      <c r="I156" s="384"/>
      <c r="J156" s="384"/>
      <c r="K156" s="384"/>
      <c r="L156" s="384"/>
      <c r="M156" s="384">
        <f>'F11-Year(n+2)'!Q156</f>
        <v>0</v>
      </c>
      <c r="N156" s="771">
        <f>'F11-Year(n+3) '!Q156</f>
        <v>0</v>
      </c>
      <c r="O156" s="771">
        <f>'F11-Year(n+4)'!Q156</f>
        <v>0</v>
      </c>
      <c r="P156" s="771">
        <f>'F11-Year(n+5)'!Q156</f>
        <v>0</v>
      </c>
    </row>
    <row r="157" ht="15" spans="3:16">
      <c r="C157" s="285" t="s">
        <v>429</v>
      </c>
      <c r="D157" s="286"/>
      <c r="E157" s="722">
        <f>SUM(E154:E156)</f>
        <v>-185.34</v>
      </c>
      <c r="F157" s="722">
        <f>SUM(F154:F155)</f>
        <v>0</v>
      </c>
      <c r="G157" s="722">
        <f>F157-E157</f>
        <v>185.34</v>
      </c>
      <c r="H157" s="722">
        <f>SUM(H154:H156)</f>
        <v>-1133.92</v>
      </c>
      <c r="I157" s="722">
        <f t="shared" ref="I157:P157" si="17">SUM(I154:I156)</f>
        <v>0</v>
      </c>
      <c r="J157" s="722">
        <f t="shared" si="17"/>
        <v>0</v>
      </c>
      <c r="K157" s="722">
        <f>I157+J157</f>
        <v>0</v>
      </c>
      <c r="L157" s="722">
        <f t="shared" si="17"/>
        <v>1433.10427717261</v>
      </c>
      <c r="M157" s="778" t="e">
        <f t="shared" si="17"/>
        <v>#REF!</v>
      </c>
      <c r="N157" s="778">
        <f t="shared" si="17"/>
        <v>3452.02836499376</v>
      </c>
      <c r="O157" s="778" t="e">
        <f t="shared" si="17"/>
        <v>#REF!</v>
      </c>
      <c r="P157" s="778">
        <f t="shared" si="17"/>
        <v>5917.72036534168</v>
      </c>
    </row>
    <row r="158" ht="15" spans="3:16">
      <c r="C158" s="285" t="s">
        <v>224</v>
      </c>
      <c r="D158" s="286"/>
      <c r="E158" s="722">
        <f t="shared" ref="E158:P158" si="18">SUM(E49,E94,E103,E113,E139,E152,E157)</f>
        <v>58915.52288</v>
      </c>
      <c r="F158" s="722">
        <f t="shared" si="18"/>
        <v>64017.8761144338</v>
      </c>
      <c r="G158" s="722">
        <f t="shared" si="18"/>
        <v>5102.35323443384</v>
      </c>
      <c r="H158" s="722">
        <f t="shared" si="18"/>
        <v>59796.1202928</v>
      </c>
      <c r="I158" s="722">
        <f t="shared" si="18"/>
        <v>28584.9493780656</v>
      </c>
      <c r="J158" s="722">
        <f t="shared" si="18"/>
        <v>32875.3752724451</v>
      </c>
      <c r="K158" s="722">
        <f t="shared" si="18"/>
        <v>61460.3246505108</v>
      </c>
      <c r="L158" s="722">
        <f t="shared" si="18"/>
        <v>71176.4339882611</v>
      </c>
      <c r="M158" s="722" t="e">
        <f t="shared" si="18"/>
        <v>#REF!</v>
      </c>
      <c r="N158" s="722" t="e">
        <f t="shared" si="18"/>
        <v>#REF!</v>
      </c>
      <c r="O158" s="722" t="e">
        <f t="shared" si="18"/>
        <v>#REF!</v>
      </c>
      <c r="P158" s="722">
        <f t="shared" si="18"/>
        <v>91540.9016808905</v>
      </c>
    </row>
    <row r="162" ht="15" spans="4:9">
      <c r="D162" s="367"/>
      <c r="E162" s="367"/>
      <c r="F162" s="367"/>
      <c r="G162" s="367"/>
      <c r="H162" s="367"/>
      <c r="I162" s="367"/>
    </row>
    <row r="163" spans="4:9">
      <c r="D163" s="728">
        <f>23585.67-23212.06</f>
        <v>373.609999999997</v>
      </c>
      <c r="E163" s="728"/>
      <c r="F163" s="728"/>
      <c r="G163" s="728"/>
      <c r="H163" s="728"/>
      <c r="I163" s="728"/>
    </row>
    <row r="164" spans="5:9">
      <c r="E164" s="728"/>
      <c r="F164" s="728"/>
      <c r="G164" s="728"/>
      <c r="H164" s="728"/>
      <c r="I164" s="728"/>
    </row>
    <row r="165" spans="5:9">
      <c r="E165" s="728"/>
      <c r="F165" s="777">
        <f>E158-'[44]PP Cost'!$I$141</f>
        <v>35329.841285</v>
      </c>
      <c r="G165" s="728"/>
      <c r="H165" s="728"/>
      <c r="I165" s="728"/>
    </row>
  </sheetData>
  <mergeCells count="34">
    <mergeCell ref="C2:P2"/>
    <mergeCell ref="C3:P3"/>
    <mergeCell ref="E5:G5"/>
    <mergeCell ref="H5:K5"/>
    <mergeCell ref="L5:P5"/>
    <mergeCell ref="C8:D8"/>
    <mergeCell ref="C9:D9"/>
    <mergeCell ref="C28:D28"/>
    <mergeCell ref="C29:D29"/>
    <mergeCell ref="C48:D48"/>
    <mergeCell ref="C49:D49"/>
    <mergeCell ref="C50:D50"/>
    <mergeCell ref="C51:D51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7:D157"/>
    <mergeCell ref="C158:D158"/>
    <mergeCell ref="C5:C7"/>
    <mergeCell ref="C10:C27"/>
    <mergeCell ref="C30:C47"/>
    <mergeCell ref="C52:C60"/>
    <mergeCell ref="C79:C82"/>
    <mergeCell ref="D5:D7"/>
  </mergeCells>
  <printOptions horizontalCentered="1"/>
  <pageMargins left="0.700694444444445" right="0.700694444444445" top="0.751388888888889" bottom="0.751388888888889" header="0.298611111111111" footer="0.298611111111111"/>
  <pageSetup paperSize="1" scale="93" orientation="portrait"/>
  <headerFooter/>
  <rowBreaks count="3" manualBreakCount="3">
    <brk id="49" max="15" man="1"/>
    <brk id="94" max="15" man="1"/>
    <brk id="139" max="15" man="1"/>
  </rowBreaks>
  <colBreaks count="1" manualBreakCount="1">
    <brk id="12" max="162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Q164"/>
  <sheetViews>
    <sheetView showGridLines="0" zoomScale="59" zoomScaleNormal="59" workbookViewId="0">
      <selection activeCell="E13" sqref="E13"/>
    </sheetView>
  </sheetViews>
  <sheetFormatPr defaultColWidth="9.14285714285714" defaultRowHeight="14.25"/>
  <cols>
    <col min="1" max="1" width="3.14285714285714" style="12" customWidth="1"/>
    <col min="2" max="2" width="8.14285714285714" style="12" customWidth="1"/>
    <col min="3" max="3" width="26.8571428571429" style="12" customWidth="1"/>
    <col min="4" max="4" width="38.1428571428571" style="12" customWidth="1"/>
    <col min="5" max="9" width="14.1428571428571" style="12" customWidth="1"/>
    <col min="10" max="10" width="18.5714285714286" style="12" customWidth="1"/>
    <col min="11" max="12" width="14.1428571428571" style="12" customWidth="1"/>
    <col min="13" max="13" width="13.8571428571429" style="12" customWidth="1"/>
    <col min="14" max="16" width="14.1428571428571" style="12" customWidth="1"/>
    <col min="17" max="17" width="13.1428571428571" style="12" customWidth="1"/>
    <col min="18" max="18" width="12.4285714285714" style="12" customWidth="1"/>
    <col min="19" max="19" width="12.8571428571429" style="12" customWidth="1"/>
    <col min="20" max="16384" width="9.14285714285714" style="12"/>
  </cols>
  <sheetData>
    <row r="2" ht="15" spans="3:16">
      <c r="C2" s="2" t="s">
        <v>156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customHeight="1" spans="3:17">
      <c r="C3" s="3" t="s">
        <v>475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ht="15" spans="10:10">
      <c r="J4" s="3"/>
    </row>
    <row r="5" ht="15" spans="3:17">
      <c r="C5" s="14"/>
      <c r="Q5" s="3" t="s">
        <v>236</v>
      </c>
    </row>
    <row r="6" ht="15" spans="3:17">
      <c r="C6" s="658" t="s">
        <v>345</v>
      </c>
      <c r="D6" s="658" t="s">
        <v>346</v>
      </c>
      <c r="E6" s="135" t="s">
        <v>476</v>
      </c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</row>
    <row r="7" ht="15" spans="3:17">
      <c r="C7" s="660"/>
      <c r="D7" s="660"/>
      <c r="E7" s="135" t="s">
        <v>246</v>
      </c>
      <c r="F7" s="135" t="s">
        <v>247</v>
      </c>
      <c r="G7" s="135" t="s">
        <v>248</v>
      </c>
      <c r="H7" s="135" t="s">
        <v>249</v>
      </c>
      <c r="I7" s="135" t="s">
        <v>250</v>
      </c>
      <c r="J7" s="135" t="s">
        <v>251</v>
      </c>
      <c r="K7" s="135" t="s">
        <v>252</v>
      </c>
      <c r="L7" s="135" t="s">
        <v>253</v>
      </c>
      <c r="M7" s="135" t="s">
        <v>254</v>
      </c>
      <c r="N7" s="135" t="s">
        <v>255</v>
      </c>
      <c r="O7" s="135" t="s">
        <v>256</v>
      </c>
      <c r="P7" s="135" t="s">
        <v>257</v>
      </c>
      <c r="Q7" s="135" t="s">
        <v>97</v>
      </c>
    </row>
    <row r="8" ht="15" spans="2:17">
      <c r="B8" s="656"/>
      <c r="C8" s="663" t="s">
        <v>349</v>
      </c>
      <c r="D8" s="676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customHeight="1" spans="3:17">
      <c r="C9" s="44" t="s">
        <v>350</v>
      </c>
      <c r="D9" s="4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spans="2:17">
      <c r="B10" s="656"/>
      <c r="C10" s="677" t="s">
        <v>351</v>
      </c>
      <c r="D10" s="47" t="s">
        <v>352</v>
      </c>
      <c r="E10" s="147">
        <f>'F9-Year(n-1)'!I9</f>
        <v>0</v>
      </c>
      <c r="F10" s="147">
        <f>'F9-Year(n-1)'!J9</f>
        <v>0</v>
      </c>
      <c r="G10" s="147">
        <f>'F9-Year(n-1)'!K9</f>
        <v>0</v>
      </c>
      <c r="H10" s="147">
        <f>'F9-Year(n-1)'!L9</f>
        <v>0</v>
      </c>
      <c r="I10" s="147">
        <f>'F9-Year(n-1)'!M9</f>
        <v>0</v>
      </c>
      <c r="J10" s="147">
        <f>'F9-Year(n-1)'!N9</f>
        <v>0</v>
      </c>
      <c r="K10" s="147">
        <f>'F9-Year(n-1)'!O9</f>
        <v>0</v>
      </c>
      <c r="L10" s="147">
        <f>'F9-Year(n-1)'!P9</f>
        <v>0</v>
      </c>
      <c r="M10" s="147">
        <f>'F9-Year(n-1)'!Q9</f>
        <v>0</v>
      </c>
      <c r="N10" s="147">
        <f>'F9-Year(n-1)'!R9</f>
        <v>0</v>
      </c>
      <c r="O10" s="147">
        <f>'F9-Year(n-1)'!S9</f>
        <v>0</v>
      </c>
      <c r="P10" s="147">
        <f>'F9-Year(n-1)'!T9</f>
        <v>0</v>
      </c>
      <c r="Q10" s="147">
        <f>SUM(E10:P10)</f>
        <v>0</v>
      </c>
    </row>
    <row r="11" spans="2:17">
      <c r="B11" s="656"/>
      <c r="C11" s="678"/>
      <c r="D11" s="47" t="s">
        <v>353</v>
      </c>
      <c r="E11" s="147">
        <f>'F9-Year(n-1)'!I10</f>
        <v>0</v>
      </c>
      <c r="F11" s="147">
        <f>'F9-Year(n-1)'!J10</f>
        <v>0</v>
      </c>
      <c r="G11" s="147">
        <f>'F9-Year(n-1)'!K10</f>
        <v>0</v>
      </c>
      <c r="H11" s="147">
        <f>'F9-Year(n-1)'!L10</f>
        <v>0</v>
      </c>
      <c r="I11" s="147">
        <f>'F9-Year(n-1)'!M10</f>
        <v>0</v>
      </c>
      <c r="J11" s="147">
        <f>'F9-Year(n-1)'!N10</f>
        <v>0</v>
      </c>
      <c r="K11" s="147">
        <f>'F9-Year(n-1)'!O10</f>
        <v>0</v>
      </c>
      <c r="L11" s="147">
        <f>'F9-Year(n-1)'!P10</f>
        <v>0</v>
      </c>
      <c r="M11" s="147">
        <f>'F9-Year(n-1)'!Q10</f>
        <v>0</v>
      </c>
      <c r="N11" s="147">
        <f>'F9-Year(n-1)'!R10</f>
        <v>0</v>
      </c>
      <c r="O11" s="147">
        <f>'F9-Year(n-1)'!S10</f>
        <v>0</v>
      </c>
      <c r="P11" s="147">
        <f>'F9-Year(n-1)'!T10</f>
        <v>0</v>
      </c>
      <c r="Q11" s="147">
        <f t="shared" ref="Q11:Q28" si="0">SUM(E11:P11)</f>
        <v>0</v>
      </c>
    </row>
    <row r="12" spans="2:17">
      <c r="B12" s="656"/>
      <c r="C12" s="678"/>
      <c r="D12" s="47" t="s">
        <v>354</v>
      </c>
      <c r="E12" s="147">
        <f>'F9-Year(n-1)'!I11</f>
        <v>0</v>
      </c>
      <c r="F12" s="147">
        <f>'F9-Year(n-1)'!J11</f>
        <v>0</v>
      </c>
      <c r="G12" s="147">
        <f>'F9-Year(n-1)'!K11</f>
        <v>0</v>
      </c>
      <c r="H12" s="147">
        <f>'F9-Year(n-1)'!L11</f>
        <v>0</v>
      </c>
      <c r="I12" s="147">
        <f>'F9-Year(n-1)'!M11</f>
        <v>0</v>
      </c>
      <c r="J12" s="147">
        <f>'F9-Year(n-1)'!N11</f>
        <v>0</v>
      </c>
      <c r="K12" s="147">
        <f>'F9-Year(n-1)'!O11</f>
        <v>0</v>
      </c>
      <c r="L12" s="147">
        <f>'F9-Year(n-1)'!P11</f>
        <v>0</v>
      </c>
      <c r="M12" s="147">
        <f>'F9-Year(n-1)'!Q11</f>
        <v>0</v>
      </c>
      <c r="N12" s="147">
        <f>'F9-Year(n-1)'!R11</f>
        <v>0</v>
      </c>
      <c r="O12" s="147">
        <f>'F9-Year(n-1)'!S11</f>
        <v>0</v>
      </c>
      <c r="P12" s="147">
        <f>'F9-Year(n-1)'!T11</f>
        <v>0</v>
      </c>
      <c r="Q12" s="147">
        <f t="shared" si="0"/>
        <v>0</v>
      </c>
    </row>
    <row r="13" spans="2:17">
      <c r="B13" s="656"/>
      <c r="C13" s="678"/>
      <c r="D13" s="47" t="s">
        <v>355</v>
      </c>
      <c r="E13" s="147">
        <f>'F9-Year(n-1)'!I12</f>
        <v>0</v>
      </c>
      <c r="F13" s="147">
        <f>'F9-Year(n-1)'!J12</f>
        <v>0</v>
      </c>
      <c r="G13" s="147">
        <f>'F9-Year(n-1)'!K12</f>
        <v>0</v>
      </c>
      <c r="H13" s="147">
        <f>'F9-Year(n-1)'!L12</f>
        <v>0</v>
      </c>
      <c r="I13" s="147">
        <f>'F9-Year(n-1)'!M12</f>
        <v>0</v>
      </c>
      <c r="J13" s="147">
        <f>'F9-Year(n-1)'!N12</f>
        <v>0</v>
      </c>
      <c r="K13" s="147">
        <f>'F9-Year(n-1)'!O12</f>
        <v>0</v>
      </c>
      <c r="L13" s="147">
        <f>'F9-Year(n-1)'!P12</f>
        <v>0</v>
      </c>
      <c r="M13" s="147">
        <f>'F9-Year(n-1)'!Q12</f>
        <v>0</v>
      </c>
      <c r="N13" s="147">
        <f>'F9-Year(n-1)'!R12</f>
        <v>0</v>
      </c>
      <c r="O13" s="147">
        <f>'F9-Year(n-1)'!S12</f>
        <v>0</v>
      </c>
      <c r="P13" s="147">
        <f>'F9-Year(n-1)'!T12</f>
        <v>0</v>
      </c>
      <c r="Q13" s="147">
        <f t="shared" si="0"/>
        <v>0</v>
      </c>
    </row>
    <row r="14" spans="2:17">
      <c r="B14" s="656"/>
      <c r="C14" s="678"/>
      <c r="D14" s="47" t="s">
        <v>356</v>
      </c>
      <c r="E14" s="147">
        <f>'F9-Year(n-1)'!I13</f>
        <v>0</v>
      </c>
      <c r="F14" s="147">
        <f>'F9-Year(n-1)'!J13</f>
        <v>0</v>
      </c>
      <c r="G14" s="147">
        <f>'F9-Year(n-1)'!K13</f>
        <v>0</v>
      </c>
      <c r="H14" s="147">
        <f>'F9-Year(n-1)'!L13</f>
        <v>0</v>
      </c>
      <c r="I14" s="147">
        <f>'F9-Year(n-1)'!M13</f>
        <v>0</v>
      </c>
      <c r="J14" s="147">
        <f>'F9-Year(n-1)'!N13</f>
        <v>0</v>
      </c>
      <c r="K14" s="147">
        <f>'F9-Year(n-1)'!O13</f>
        <v>0</v>
      </c>
      <c r="L14" s="147">
        <f>'F9-Year(n-1)'!P13</f>
        <v>0</v>
      </c>
      <c r="M14" s="147">
        <f>'F9-Year(n-1)'!Q13</f>
        <v>0</v>
      </c>
      <c r="N14" s="147">
        <f>'F9-Year(n-1)'!R13</f>
        <v>0</v>
      </c>
      <c r="O14" s="147">
        <f>'F9-Year(n-1)'!S13</f>
        <v>0</v>
      </c>
      <c r="P14" s="147">
        <f>'F9-Year(n-1)'!T13</f>
        <v>0</v>
      </c>
      <c r="Q14" s="147">
        <f t="shared" si="0"/>
        <v>0</v>
      </c>
    </row>
    <row r="15" spans="2:17">
      <c r="B15" s="656"/>
      <c r="C15" s="678"/>
      <c r="D15" s="47" t="s">
        <v>357</v>
      </c>
      <c r="E15" s="147">
        <f>'F9-Year(n-1)'!I14</f>
        <v>0</v>
      </c>
      <c r="F15" s="147">
        <f>'F9-Year(n-1)'!J14</f>
        <v>0</v>
      </c>
      <c r="G15" s="147">
        <f>'F9-Year(n-1)'!K14</f>
        <v>0</v>
      </c>
      <c r="H15" s="147">
        <f>'F9-Year(n-1)'!L14</f>
        <v>0</v>
      </c>
      <c r="I15" s="147">
        <f>'F9-Year(n-1)'!M14</f>
        <v>0</v>
      </c>
      <c r="J15" s="147">
        <f>'F9-Year(n-1)'!N14</f>
        <v>0</v>
      </c>
      <c r="K15" s="147">
        <f>'F9-Year(n-1)'!O14</f>
        <v>0</v>
      </c>
      <c r="L15" s="147">
        <f>'F9-Year(n-1)'!P14</f>
        <v>0</v>
      </c>
      <c r="M15" s="147">
        <f>'F9-Year(n-1)'!Q14</f>
        <v>0</v>
      </c>
      <c r="N15" s="147">
        <f>'F9-Year(n-1)'!R14</f>
        <v>0</v>
      </c>
      <c r="O15" s="147">
        <f>'F9-Year(n-1)'!S14</f>
        <v>0</v>
      </c>
      <c r="P15" s="147">
        <f>'F9-Year(n-1)'!T14</f>
        <v>0</v>
      </c>
      <c r="Q15" s="147">
        <f t="shared" si="0"/>
        <v>0</v>
      </c>
    </row>
    <row r="16" spans="2:17">
      <c r="B16" s="656"/>
      <c r="C16" s="678"/>
      <c r="D16" s="47" t="s">
        <v>358</v>
      </c>
      <c r="E16" s="147">
        <f>'F9-Year(n-1)'!I15</f>
        <v>0</v>
      </c>
      <c r="F16" s="147">
        <f>'F9-Year(n-1)'!J15</f>
        <v>0</v>
      </c>
      <c r="G16" s="147">
        <f>'F9-Year(n-1)'!K15</f>
        <v>0</v>
      </c>
      <c r="H16" s="147">
        <f>'F9-Year(n-1)'!L15</f>
        <v>0</v>
      </c>
      <c r="I16" s="147">
        <f>'F9-Year(n-1)'!M15</f>
        <v>0</v>
      </c>
      <c r="J16" s="147">
        <f>'F9-Year(n-1)'!N15</f>
        <v>0</v>
      </c>
      <c r="K16" s="147">
        <f>'F9-Year(n-1)'!O15</f>
        <v>0</v>
      </c>
      <c r="L16" s="147">
        <f>'F9-Year(n-1)'!P15</f>
        <v>0</v>
      </c>
      <c r="M16" s="147">
        <f>'F9-Year(n-1)'!Q15</f>
        <v>0</v>
      </c>
      <c r="N16" s="147">
        <f>'F9-Year(n-1)'!R15</f>
        <v>0</v>
      </c>
      <c r="O16" s="147">
        <f>'F9-Year(n-1)'!S15</f>
        <v>0</v>
      </c>
      <c r="P16" s="147">
        <f>'F9-Year(n-1)'!T15</f>
        <v>0</v>
      </c>
      <c r="Q16" s="147">
        <f t="shared" si="0"/>
        <v>0</v>
      </c>
    </row>
    <row r="17" spans="2:17">
      <c r="B17" s="656"/>
      <c r="C17" s="678"/>
      <c r="D17" s="47" t="s">
        <v>359</v>
      </c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>
        <f t="shared" si="0"/>
        <v>0</v>
      </c>
    </row>
    <row r="18" spans="2:17">
      <c r="B18" s="656"/>
      <c r="C18" s="678"/>
      <c r="D18" s="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>
        <f t="shared" si="0"/>
        <v>0</v>
      </c>
    </row>
    <row r="19" spans="2:17">
      <c r="B19" s="656"/>
      <c r="C19" s="678"/>
      <c r="D19" s="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>
        <f t="shared" si="0"/>
        <v>0</v>
      </c>
    </row>
    <row r="20" spans="2:17">
      <c r="B20" s="656"/>
      <c r="C20" s="678"/>
      <c r="D20" s="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>
        <f t="shared" si="0"/>
        <v>0</v>
      </c>
    </row>
    <row r="21" spans="2:17">
      <c r="B21" s="656"/>
      <c r="C21" s="678"/>
      <c r="D21" s="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>
        <f t="shared" si="0"/>
        <v>0</v>
      </c>
    </row>
    <row r="22" spans="2:17">
      <c r="B22" s="656"/>
      <c r="C22" s="678"/>
      <c r="D22" s="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>
        <f t="shared" si="0"/>
        <v>0</v>
      </c>
    </row>
    <row r="23" spans="2:17">
      <c r="B23" s="656"/>
      <c r="C23" s="678"/>
      <c r="D23" s="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>
        <f t="shared" si="0"/>
        <v>0</v>
      </c>
    </row>
    <row r="24" spans="2:17">
      <c r="B24" s="656"/>
      <c r="C24" s="678"/>
      <c r="D24" s="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>
        <f t="shared" si="0"/>
        <v>0</v>
      </c>
    </row>
    <row r="25" spans="2:17">
      <c r="B25" s="656"/>
      <c r="C25" s="678"/>
      <c r="D25" s="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>
        <f t="shared" si="0"/>
        <v>0</v>
      </c>
    </row>
    <row r="26" spans="2:17">
      <c r="B26" s="656"/>
      <c r="C26" s="678"/>
      <c r="D26" s="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>
        <f t="shared" si="0"/>
        <v>0</v>
      </c>
    </row>
    <row r="27" spans="2:17">
      <c r="B27" s="656"/>
      <c r="C27" s="680"/>
      <c r="D27" s="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>
        <f t="shared" si="0"/>
        <v>0</v>
      </c>
    </row>
    <row r="28" ht="15" spans="3:17">
      <c r="C28" s="537" t="s">
        <v>211</v>
      </c>
      <c r="D28" s="540"/>
      <c r="E28" s="147">
        <f>SUM(E10:E27)</f>
        <v>0</v>
      </c>
      <c r="F28" s="147">
        <f t="shared" ref="F28:P28" si="1">SUM(F10:F27)</f>
        <v>0</v>
      </c>
      <c r="G28" s="147">
        <f t="shared" si="1"/>
        <v>0</v>
      </c>
      <c r="H28" s="147">
        <f t="shared" si="1"/>
        <v>0</v>
      </c>
      <c r="I28" s="147">
        <f t="shared" si="1"/>
        <v>0</v>
      </c>
      <c r="J28" s="147">
        <f t="shared" si="1"/>
        <v>0</v>
      </c>
      <c r="K28" s="147">
        <f t="shared" si="1"/>
        <v>0</v>
      </c>
      <c r="L28" s="147">
        <f t="shared" si="1"/>
        <v>0</v>
      </c>
      <c r="M28" s="147">
        <f t="shared" si="1"/>
        <v>0</v>
      </c>
      <c r="N28" s="147">
        <f t="shared" si="1"/>
        <v>0</v>
      </c>
      <c r="O28" s="147">
        <f t="shared" si="1"/>
        <v>0</v>
      </c>
      <c r="P28" s="147">
        <f t="shared" si="1"/>
        <v>0</v>
      </c>
      <c r="Q28" s="316">
        <f t="shared" si="0"/>
        <v>0</v>
      </c>
    </row>
    <row r="29" ht="15" spans="3:17">
      <c r="C29" s="44" t="s">
        <v>360</v>
      </c>
      <c r="D29" s="45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</row>
    <row r="30" spans="3:17">
      <c r="C30" s="682" t="s">
        <v>351</v>
      </c>
      <c r="D30" s="55" t="s">
        <v>361</v>
      </c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>
        <f t="shared" ref="Q30:Q48" si="2">SUM(E30:P30)</f>
        <v>0</v>
      </c>
    </row>
    <row r="31" spans="3:17">
      <c r="C31" s="683"/>
      <c r="D31" s="55" t="s">
        <v>362</v>
      </c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>
        <f t="shared" si="2"/>
        <v>0</v>
      </c>
    </row>
    <row r="32" spans="3:17">
      <c r="C32" s="683"/>
      <c r="D32" s="55" t="s">
        <v>363</v>
      </c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>
        <f t="shared" si="2"/>
        <v>0</v>
      </c>
    </row>
    <row r="33" spans="3:17">
      <c r="C33" s="683"/>
      <c r="D33" s="55" t="s">
        <v>364</v>
      </c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>
        <f t="shared" si="2"/>
        <v>0</v>
      </c>
    </row>
    <row r="34" spans="3:17">
      <c r="C34" s="683"/>
      <c r="D34" s="55" t="s">
        <v>365</v>
      </c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>
        <f t="shared" si="2"/>
        <v>0</v>
      </c>
    </row>
    <row r="35" spans="3:17">
      <c r="C35" s="683"/>
      <c r="D35" s="55" t="s">
        <v>366</v>
      </c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>
        <f t="shared" si="2"/>
        <v>0</v>
      </c>
    </row>
    <row r="36" spans="3:17">
      <c r="C36" s="683"/>
      <c r="D36" s="55" t="s">
        <v>367</v>
      </c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>
        <f t="shared" si="2"/>
        <v>0</v>
      </c>
    </row>
    <row r="37" spans="3:17">
      <c r="C37" s="683"/>
      <c r="D37" s="55" t="s">
        <v>368</v>
      </c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>
        <f t="shared" si="2"/>
        <v>0</v>
      </c>
    </row>
    <row r="38" spans="3:17">
      <c r="C38" s="683"/>
      <c r="D38" s="55"/>
      <c r="E38" s="147">
        <f>'F9-Year(n-1)'!I37</f>
        <v>0</v>
      </c>
      <c r="F38" s="147">
        <f>'F9-Year(n-1)'!J37</f>
        <v>0</v>
      </c>
      <c r="G38" s="147">
        <f>'F9-Year(n-1)'!K37</f>
        <v>0</v>
      </c>
      <c r="H38" s="147">
        <f>'F9-Year(n-1)'!L37</f>
        <v>0</v>
      </c>
      <c r="I38" s="147">
        <f>'F9-Year(n-1)'!M37</f>
        <v>0</v>
      </c>
      <c r="J38" s="147">
        <f>'F9-Year(n-1)'!N37</f>
        <v>0</v>
      </c>
      <c r="K38" s="147">
        <f>'F9-Year(n-1)'!O37</f>
        <v>0</v>
      </c>
      <c r="L38" s="147">
        <f>'F9-Year(n-1)'!P37</f>
        <v>0</v>
      </c>
      <c r="M38" s="147">
        <f>'F9-Year(n-1)'!Q37</f>
        <v>0</v>
      </c>
      <c r="N38" s="147">
        <f>'F9-Year(n-1)'!R37</f>
        <v>0</v>
      </c>
      <c r="O38" s="147">
        <f>'F9-Year(n-1)'!S37</f>
        <v>0</v>
      </c>
      <c r="P38" s="147">
        <f>'F9-Year(n-1)'!T37</f>
        <v>0</v>
      </c>
      <c r="Q38" s="147">
        <f t="shared" si="2"/>
        <v>0</v>
      </c>
    </row>
    <row r="39" spans="3:17">
      <c r="C39" s="683"/>
      <c r="D39" s="55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>
        <f t="shared" si="2"/>
        <v>0</v>
      </c>
    </row>
    <row r="40" spans="3:17">
      <c r="C40" s="683"/>
      <c r="D40" s="55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>
        <f t="shared" si="2"/>
        <v>0</v>
      </c>
    </row>
    <row r="41" spans="3:17">
      <c r="C41" s="683"/>
      <c r="D41" s="55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>
        <f t="shared" si="2"/>
        <v>0</v>
      </c>
    </row>
    <row r="42" spans="3:17">
      <c r="C42" s="683"/>
      <c r="D42" s="55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>
        <f t="shared" si="2"/>
        <v>0</v>
      </c>
    </row>
    <row r="43" spans="3:17">
      <c r="C43" s="683"/>
      <c r="D43" s="55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>
        <f t="shared" si="2"/>
        <v>0</v>
      </c>
    </row>
    <row r="44" spans="3:17">
      <c r="C44" s="683"/>
      <c r="D44" s="55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>
        <f t="shared" si="2"/>
        <v>0</v>
      </c>
    </row>
    <row r="45" spans="3:17">
      <c r="C45" s="683"/>
      <c r="D45" s="55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>
        <f t="shared" si="2"/>
        <v>0</v>
      </c>
    </row>
    <row r="46" spans="3:17">
      <c r="C46" s="683"/>
      <c r="D46" s="55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>
        <f t="shared" si="2"/>
        <v>0</v>
      </c>
    </row>
    <row r="47" spans="3:17">
      <c r="C47" s="684"/>
      <c r="D47" s="6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>
        <f t="shared" si="2"/>
        <v>0</v>
      </c>
    </row>
    <row r="48" ht="15" spans="3:17">
      <c r="C48" s="537" t="s">
        <v>211</v>
      </c>
      <c r="D48" s="540"/>
      <c r="E48" s="147">
        <f>SUM(E30:E47)</f>
        <v>0</v>
      </c>
      <c r="F48" s="147">
        <f t="shared" ref="F48:P48" si="3">SUM(F30:F47)</f>
        <v>0</v>
      </c>
      <c r="G48" s="147">
        <f t="shared" si="3"/>
        <v>0</v>
      </c>
      <c r="H48" s="147">
        <f t="shared" si="3"/>
        <v>0</v>
      </c>
      <c r="I48" s="147">
        <f t="shared" si="3"/>
        <v>0</v>
      </c>
      <c r="J48" s="147">
        <f t="shared" si="3"/>
        <v>0</v>
      </c>
      <c r="K48" s="147">
        <f t="shared" si="3"/>
        <v>0</v>
      </c>
      <c r="L48" s="147">
        <f t="shared" si="3"/>
        <v>0</v>
      </c>
      <c r="M48" s="147">
        <f t="shared" si="3"/>
        <v>0</v>
      </c>
      <c r="N48" s="147">
        <f t="shared" si="3"/>
        <v>0</v>
      </c>
      <c r="O48" s="147">
        <f t="shared" si="3"/>
        <v>0</v>
      </c>
      <c r="P48" s="147">
        <f t="shared" si="3"/>
        <v>0</v>
      </c>
      <c r="Q48" s="316">
        <f t="shared" si="2"/>
        <v>0</v>
      </c>
    </row>
    <row r="49" ht="15" spans="3:17">
      <c r="C49" s="44" t="s">
        <v>369</v>
      </c>
      <c r="D49" s="45"/>
      <c r="E49" s="147">
        <f>E28+E48</f>
        <v>0</v>
      </c>
      <c r="F49" s="147">
        <f t="shared" ref="F49:Q49" si="4">F28+F48</f>
        <v>0</v>
      </c>
      <c r="G49" s="147">
        <f t="shared" si="4"/>
        <v>0</v>
      </c>
      <c r="H49" s="147">
        <f t="shared" si="4"/>
        <v>0</v>
      </c>
      <c r="I49" s="147">
        <f t="shared" si="4"/>
        <v>0</v>
      </c>
      <c r="J49" s="147">
        <f t="shared" si="4"/>
        <v>0</v>
      </c>
      <c r="K49" s="147">
        <f t="shared" si="4"/>
        <v>0</v>
      </c>
      <c r="L49" s="147">
        <f t="shared" si="4"/>
        <v>0</v>
      </c>
      <c r="M49" s="147">
        <f t="shared" si="4"/>
        <v>0</v>
      </c>
      <c r="N49" s="147">
        <f t="shared" si="4"/>
        <v>0</v>
      </c>
      <c r="O49" s="147">
        <f t="shared" si="4"/>
        <v>0</v>
      </c>
      <c r="P49" s="147">
        <f t="shared" si="4"/>
        <v>0</v>
      </c>
      <c r="Q49" s="316">
        <f t="shared" si="4"/>
        <v>0</v>
      </c>
    </row>
    <row r="50" ht="15" spans="3:17">
      <c r="C50" s="663" t="s">
        <v>370</v>
      </c>
      <c r="D50" s="676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</row>
    <row r="51" ht="15" spans="3:17">
      <c r="C51" s="44" t="s">
        <v>350</v>
      </c>
      <c r="D51" s="45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</row>
    <row r="52" spans="3:17">
      <c r="C52" s="682" t="s">
        <v>371</v>
      </c>
      <c r="D52" s="55" t="s">
        <v>372</v>
      </c>
      <c r="E52" s="147">
        <f>'F9-Year(n-1)'!I51</f>
        <v>148.5699179545</v>
      </c>
      <c r="F52" s="147">
        <f>'F9-Year(n-1)'!J51</f>
        <v>154.471634988</v>
      </c>
      <c r="G52" s="147">
        <f>'F9-Year(n-1)'!K51</f>
        <v>162.578766892</v>
      </c>
      <c r="H52" s="147">
        <f>'F9-Year(n-1)'!L51</f>
        <v>131.087429709</v>
      </c>
      <c r="I52" s="147">
        <f>'F9-Year(n-1)'!M51</f>
        <v>87.5032009805</v>
      </c>
      <c r="J52" s="147">
        <f>'F9-Year(n-1)'!N51</f>
        <v>76.676289677</v>
      </c>
      <c r="K52" s="147">
        <f>'F9-Year(n-1)'!O51</f>
        <v>45.1976578435</v>
      </c>
      <c r="L52" s="147">
        <f>'F9-Year(n-1)'!P51</f>
        <v>50.178288187</v>
      </c>
      <c r="M52" s="147">
        <f>'F9-Year(n-1)'!Q51</f>
        <v>78.838364977</v>
      </c>
      <c r="N52" s="147">
        <f>'F9-Year(n-1)'!R51</f>
        <v>120.2238394605</v>
      </c>
      <c r="O52" s="147">
        <f>'F9-Year(n-1)'!S51</f>
        <v>167.5066230135</v>
      </c>
      <c r="P52" s="147">
        <f>'F9-Year(n-1)'!T51</f>
        <v>176.6125679535</v>
      </c>
      <c r="Q52" s="147">
        <f t="shared" ref="Q52:Q77" si="5">SUM(E52:P52)</f>
        <v>1399.444581636</v>
      </c>
    </row>
    <row r="53" spans="3:17">
      <c r="C53" s="683"/>
      <c r="D53" s="55" t="s">
        <v>373</v>
      </c>
      <c r="E53" s="147">
        <f>'F9-Year(n-1)'!I52</f>
        <v>42.0512788205</v>
      </c>
      <c r="F53" s="147">
        <f>'F9-Year(n-1)'!J52</f>
        <v>42.27460414</v>
      </c>
      <c r="G53" s="147">
        <f>'F9-Year(n-1)'!K52</f>
        <v>15.603495526</v>
      </c>
      <c r="H53" s="147">
        <f>'F9-Year(n-1)'!L52</f>
        <v>0</v>
      </c>
      <c r="I53" s="147">
        <f>'F9-Year(n-1)'!M52</f>
        <v>17.503212308</v>
      </c>
      <c r="J53" s="147">
        <f>'F9-Year(n-1)'!N52</f>
        <v>26.207914</v>
      </c>
      <c r="K53" s="147">
        <f>'F9-Year(n-1)'!O52</f>
        <v>17.506200806</v>
      </c>
      <c r="L53" s="147">
        <f>'F9-Year(n-1)'!P52</f>
        <v>19.988972419</v>
      </c>
      <c r="M53" s="147">
        <f>'F9-Year(n-1)'!Q52</f>
        <v>29.554020073</v>
      </c>
      <c r="N53" s="147">
        <f>'F9-Year(n-1)'!R52</f>
        <v>37.6198456575</v>
      </c>
      <c r="O53" s="147">
        <f>'F9-Year(n-1)'!S52</f>
        <v>43.740909696</v>
      </c>
      <c r="P53" s="147">
        <f>'F9-Year(n-1)'!T52</f>
        <v>41.7129294865</v>
      </c>
      <c r="Q53" s="147">
        <f t="shared" si="5"/>
        <v>333.7633829325</v>
      </c>
    </row>
    <row r="54" spans="3:17">
      <c r="C54" s="683"/>
      <c r="D54" s="55" t="s">
        <v>374</v>
      </c>
      <c r="E54" s="147">
        <f>'F9-Year(n-1)'!I53</f>
        <v>99.075872347</v>
      </c>
      <c r="F54" s="147">
        <f>'F9-Year(n-1)'!J53</f>
        <v>116.2879763065</v>
      </c>
      <c r="G54" s="147">
        <f>'F9-Year(n-1)'!K53</f>
        <v>110.761866062</v>
      </c>
      <c r="H54" s="147">
        <f>'F9-Year(n-1)'!L53</f>
        <v>130.1447102725</v>
      </c>
      <c r="I54" s="147">
        <f>'F9-Year(n-1)'!M53</f>
        <v>110.6141858635</v>
      </c>
      <c r="J54" s="147">
        <f>'F9-Year(n-1)'!N53</f>
        <v>103.9369133855</v>
      </c>
      <c r="K54" s="147">
        <f>'F9-Year(n-1)'!O53</f>
        <v>92.5435130965</v>
      </c>
      <c r="L54" s="147">
        <f>'F9-Year(n-1)'!P53</f>
        <v>76.144383596</v>
      </c>
      <c r="M54" s="147">
        <f>'F9-Year(n-1)'!Q53</f>
        <v>87.2588595215</v>
      </c>
      <c r="N54" s="147">
        <f>'F9-Year(n-1)'!R53</f>
        <v>87.6373715595</v>
      </c>
      <c r="O54" s="147">
        <f>'F9-Year(n-1)'!S53</f>
        <v>89.213373194</v>
      </c>
      <c r="P54" s="147">
        <f>'F9-Year(n-1)'!T53</f>
        <v>103.585308412</v>
      </c>
      <c r="Q54" s="147">
        <f t="shared" si="5"/>
        <v>1207.2043336165</v>
      </c>
    </row>
    <row r="55" spans="3:17">
      <c r="C55" s="683"/>
      <c r="D55" s="55" t="s">
        <v>375</v>
      </c>
      <c r="E55" s="147">
        <f>'F9-Year(n-1)'!I54</f>
        <v>246.1825861235</v>
      </c>
      <c r="F55" s="147">
        <f>'F9-Year(n-1)'!J54</f>
        <v>232.7327125965</v>
      </c>
      <c r="G55" s="147">
        <f>'F9-Year(n-1)'!K54</f>
        <v>232.3356854165</v>
      </c>
      <c r="H55" s="147">
        <f>'F9-Year(n-1)'!L54</f>
        <v>202.3215354215</v>
      </c>
      <c r="I55" s="147">
        <f>'F9-Year(n-1)'!M54</f>
        <v>174.12595066</v>
      </c>
      <c r="J55" s="147">
        <f>'F9-Year(n-1)'!N54</f>
        <v>169.49003961</v>
      </c>
      <c r="K55" s="147">
        <f>'F9-Year(n-1)'!O54</f>
        <v>19.9855542715</v>
      </c>
      <c r="L55" s="147">
        <f>'F9-Year(n-1)'!P54</f>
        <v>27.7361716275</v>
      </c>
      <c r="M55" s="147">
        <f>'F9-Year(n-1)'!Q54</f>
        <v>219.1578301135</v>
      </c>
      <c r="N55" s="147">
        <f>'F9-Year(n-1)'!R54</f>
        <v>258.6100363515</v>
      </c>
      <c r="O55" s="147">
        <f>'F9-Year(n-1)'!S54</f>
        <v>234.492638081</v>
      </c>
      <c r="P55" s="147">
        <f>'F9-Year(n-1)'!T54</f>
        <v>254.71647145</v>
      </c>
      <c r="Q55" s="147">
        <f t="shared" si="5"/>
        <v>2271.887211723</v>
      </c>
    </row>
    <row r="56" spans="3:17">
      <c r="C56" s="683"/>
      <c r="D56" s="55" t="s">
        <v>376</v>
      </c>
      <c r="E56" s="147">
        <f>'F9-Year(n-1)'!I55</f>
        <v>113.3320427755</v>
      </c>
      <c r="F56" s="147">
        <f>'F9-Year(n-1)'!J55</f>
        <v>92.7786760005</v>
      </c>
      <c r="G56" s="147">
        <f>'F9-Year(n-1)'!K55</f>
        <v>55.695893629</v>
      </c>
      <c r="H56" s="147">
        <f>'F9-Year(n-1)'!L55</f>
        <v>77.308021186</v>
      </c>
      <c r="I56" s="147">
        <f>'F9-Year(n-1)'!M55</f>
        <v>83.9169187205</v>
      </c>
      <c r="J56" s="147">
        <f>'F9-Year(n-1)'!N55</f>
        <v>63.0921644385</v>
      </c>
      <c r="K56" s="147">
        <f>'F9-Year(n-1)'!O55</f>
        <v>55.4765600285</v>
      </c>
      <c r="L56" s="147">
        <f>'F9-Year(n-1)'!P55</f>
        <v>72.7007873</v>
      </c>
      <c r="M56" s="147">
        <f>'F9-Year(n-1)'!Q55</f>
        <v>108.2624552315</v>
      </c>
      <c r="N56" s="147">
        <f>'F9-Year(n-1)'!R55</f>
        <v>116.6587814625</v>
      </c>
      <c r="O56" s="147">
        <f>'F9-Year(n-1)'!S55</f>
        <v>113.6276063565</v>
      </c>
      <c r="P56" s="147">
        <f>'F9-Year(n-1)'!T55</f>
        <v>131.0262466325</v>
      </c>
      <c r="Q56" s="147">
        <f t="shared" si="5"/>
        <v>1083.8761537615</v>
      </c>
    </row>
    <row r="57" spans="3:17">
      <c r="C57" s="683"/>
      <c r="D57" s="55" t="s">
        <v>377</v>
      </c>
      <c r="E57" s="147">
        <f>'F9-Year(n-1)'!I56</f>
        <v>95.9003145495</v>
      </c>
      <c r="F57" s="147">
        <f>'F9-Year(n-1)'!J56</f>
        <v>84.0100969275</v>
      </c>
      <c r="G57" s="147">
        <f>'F9-Year(n-1)'!K56</f>
        <v>109.951520296</v>
      </c>
      <c r="H57" s="147">
        <f>'F9-Year(n-1)'!L56</f>
        <v>75.150441332</v>
      </c>
      <c r="I57" s="147">
        <f>'F9-Year(n-1)'!M56</f>
        <v>69.3667953675</v>
      </c>
      <c r="J57" s="147">
        <f>'F9-Year(n-1)'!N56</f>
        <v>72.8287896925</v>
      </c>
      <c r="K57" s="147">
        <f>'F9-Year(n-1)'!O56</f>
        <v>2.9763782155</v>
      </c>
      <c r="L57" s="147">
        <f>'F9-Year(n-1)'!P56</f>
        <v>0</v>
      </c>
      <c r="M57" s="147">
        <f>'F9-Year(n-1)'!Q56</f>
        <v>47.19940333</v>
      </c>
      <c r="N57" s="147">
        <f>'F9-Year(n-1)'!R56</f>
        <v>70.202618855</v>
      </c>
      <c r="O57" s="147">
        <f>'F9-Year(n-1)'!S56</f>
        <v>104.79238787</v>
      </c>
      <c r="P57" s="147">
        <f>'F9-Year(n-1)'!T56</f>
        <v>68.2386726475</v>
      </c>
      <c r="Q57" s="147">
        <f t="shared" si="5"/>
        <v>800.617419083</v>
      </c>
    </row>
    <row r="58" spans="3:17">
      <c r="C58" s="683"/>
      <c r="D58" s="55" t="s">
        <v>378</v>
      </c>
      <c r="E58" s="147">
        <f>'F9-Year(n-1)'!I57</f>
        <v>18.89241518</v>
      </c>
      <c r="F58" s="147">
        <f>'F9-Year(n-1)'!J57</f>
        <v>16.969305429</v>
      </c>
      <c r="G58" s="147">
        <f>'F9-Year(n-1)'!K57</f>
        <v>18.2066966945</v>
      </c>
      <c r="H58" s="147">
        <f>'F9-Year(n-1)'!L57</f>
        <v>12.4062972215</v>
      </c>
      <c r="I58" s="147">
        <f>'F9-Year(n-1)'!M57</f>
        <v>10.9299848535</v>
      </c>
      <c r="J58" s="147">
        <f>'F9-Year(n-1)'!N57</f>
        <v>14.628404222</v>
      </c>
      <c r="K58" s="147">
        <f>'F9-Year(n-1)'!O57</f>
        <v>10.3152093315</v>
      </c>
      <c r="L58" s="147">
        <f>'F9-Year(n-1)'!P57</f>
        <v>12.9467596065</v>
      </c>
      <c r="M58" s="147">
        <f>'F9-Year(n-1)'!Q57</f>
        <v>12.149916405</v>
      </c>
      <c r="N58" s="147">
        <f>'F9-Year(n-1)'!R57</f>
        <v>21.6380440995</v>
      </c>
      <c r="O58" s="147">
        <f>'F9-Year(n-1)'!S57</f>
        <v>10.630711048</v>
      </c>
      <c r="P58" s="147">
        <f>'F9-Year(n-1)'!T57</f>
        <v>18.3701709215</v>
      </c>
      <c r="Q58" s="147">
        <f t="shared" si="5"/>
        <v>178.0839150125</v>
      </c>
    </row>
    <row r="59" spans="3:17">
      <c r="C59" s="683"/>
      <c r="D59" s="55" t="s">
        <v>379</v>
      </c>
      <c r="E59" s="147">
        <f>'F9-Year(n-1)'!I58</f>
        <v>84.250615282</v>
      </c>
      <c r="F59" s="147">
        <f>'F9-Year(n-1)'!J58</f>
        <v>86.2810409795545</v>
      </c>
      <c r="G59" s="147">
        <f>'F9-Year(n-1)'!K58</f>
        <v>97.643989273266</v>
      </c>
      <c r="H59" s="147">
        <f>'F9-Year(n-1)'!L58</f>
        <v>68.1775673742455</v>
      </c>
      <c r="I59" s="147">
        <f>'F9-Year(n-1)'!M58</f>
        <v>92.7886043305635</v>
      </c>
      <c r="J59" s="147">
        <f>'F9-Year(n-1)'!N58</f>
        <v>66.5421011794075</v>
      </c>
      <c r="K59" s="147">
        <f>'F9-Year(n-1)'!O58</f>
        <v>57.469289833141</v>
      </c>
      <c r="L59" s="147">
        <f>'F9-Year(n-1)'!P58</f>
        <v>59.975286874412</v>
      </c>
      <c r="M59" s="147">
        <f>'F9-Year(n-1)'!Q58</f>
        <v>77.0967723848015</v>
      </c>
      <c r="N59" s="147">
        <f>'F9-Year(n-1)'!R58</f>
        <v>80.736428116385</v>
      </c>
      <c r="O59" s="147">
        <f>'F9-Year(n-1)'!S58</f>
        <v>136.855978680411</v>
      </c>
      <c r="P59" s="147">
        <f>'F9-Year(n-1)'!T58</f>
        <v>161.985609461148</v>
      </c>
      <c r="Q59" s="147">
        <f t="shared" si="5"/>
        <v>1069.80328376934</v>
      </c>
    </row>
    <row r="60" spans="3:17">
      <c r="C60" s="684"/>
      <c r="D60" s="55" t="s">
        <v>380</v>
      </c>
      <c r="E60" s="147">
        <f>'F9-Year(n-1)'!I59</f>
        <v>0</v>
      </c>
      <c r="F60" s="147">
        <f>'F9-Year(n-1)'!J59</f>
        <v>0</v>
      </c>
      <c r="G60" s="147">
        <f>'F9-Year(n-1)'!K59</f>
        <v>0</v>
      </c>
      <c r="H60" s="147">
        <f>'F9-Year(n-1)'!L59</f>
        <v>0</v>
      </c>
      <c r="I60" s="147">
        <f>'F9-Year(n-1)'!M59</f>
        <v>0</v>
      </c>
      <c r="J60" s="147">
        <f>'F9-Year(n-1)'!N59</f>
        <v>0</v>
      </c>
      <c r="K60" s="147">
        <f>'F9-Year(n-1)'!O59</f>
        <v>0</v>
      </c>
      <c r="L60" s="147">
        <f>'F9-Year(n-1)'!P59</f>
        <v>0</v>
      </c>
      <c r="M60" s="147">
        <f>'F9-Year(n-1)'!Q59</f>
        <v>0</v>
      </c>
      <c r="N60" s="147">
        <f>'F9-Year(n-1)'!R59</f>
        <v>0</v>
      </c>
      <c r="O60" s="147">
        <f>'F9-Year(n-1)'!S59</f>
        <v>0</v>
      </c>
      <c r="P60" s="147">
        <f>'F9-Year(n-1)'!T59</f>
        <v>0</v>
      </c>
      <c r="Q60" s="147">
        <f t="shared" si="5"/>
        <v>0</v>
      </c>
    </row>
    <row r="61" spans="3:17">
      <c r="C61" s="55"/>
      <c r="D61" s="55" t="s">
        <v>381</v>
      </c>
      <c r="E61" s="147">
        <f>'F9-Year(n-1)'!I60</f>
        <v>4.5508510315</v>
      </c>
      <c r="F61" s="147">
        <f>'F9-Year(n-1)'!J60</f>
        <v>9.315582854</v>
      </c>
      <c r="G61" s="147">
        <f>'F9-Year(n-1)'!K60</f>
        <v>4.8763405115</v>
      </c>
      <c r="H61" s="147">
        <f>'F9-Year(n-1)'!L60</f>
        <v>5.5305929915</v>
      </c>
      <c r="I61" s="147">
        <f>'F9-Year(n-1)'!M60</f>
        <v>3.331208735</v>
      </c>
      <c r="J61" s="147">
        <f>'F9-Year(n-1)'!N60</f>
        <v>2.0236526725</v>
      </c>
      <c r="K61" s="147">
        <f>'F9-Year(n-1)'!O60</f>
        <v>1.6977963325</v>
      </c>
      <c r="L61" s="147">
        <f>'F9-Year(n-1)'!P60</f>
        <v>2.5154412015</v>
      </c>
      <c r="M61" s="147">
        <f>'F9-Year(n-1)'!Q60</f>
        <v>3.184971284</v>
      </c>
      <c r="N61" s="147">
        <f>'F9-Year(n-1)'!R60</f>
        <v>4.5236977475</v>
      </c>
      <c r="O61" s="147">
        <f>'F9-Year(n-1)'!S60</f>
        <v>3.6773432615</v>
      </c>
      <c r="P61" s="147">
        <f>'F9-Year(n-1)'!T60</f>
        <v>2.874008049</v>
      </c>
      <c r="Q61" s="147">
        <f t="shared" si="5"/>
        <v>48.101486672</v>
      </c>
    </row>
    <row r="62" spans="3:17">
      <c r="C62" s="55"/>
      <c r="D62" s="55" t="s">
        <v>382</v>
      </c>
      <c r="E62" s="147">
        <f>'F9-Year(n-1)'!I61</f>
        <v>5.630262504</v>
      </c>
      <c r="F62" s="147">
        <f>'F9-Year(n-1)'!J61</f>
        <v>16.6848654665</v>
      </c>
      <c r="G62" s="147">
        <f>'F9-Year(n-1)'!K61</f>
        <v>5.9044247425</v>
      </c>
      <c r="H62" s="147">
        <f>'F9-Year(n-1)'!L61</f>
        <v>11.4464658825</v>
      </c>
      <c r="I62" s="147">
        <f>'F9-Year(n-1)'!M61</f>
        <v>9.2234763015</v>
      </c>
      <c r="J62" s="147">
        <f>'F9-Year(n-1)'!N61</f>
        <v>6.881219829</v>
      </c>
      <c r="K62" s="147">
        <f>'F9-Year(n-1)'!O61</f>
        <v>2.6199553825</v>
      </c>
      <c r="L62" s="147">
        <f>'F9-Year(n-1)'!P61</f>
        <v>2.1063796025</v>
      </c>
      <c r="M62" s="147">
        <f>'F9-Year(n-1)'!Q61</f>
        <v>2.3489290915</v>
      </c>
      <c r="N62" s="147">
        <f>'F9-Year(n-1)'!R61</f>
        <v>1.7953952025</v>
      </c>
      <c r="O62" s="147">
        <f>'F9-Year(n-1)'!S61</f>
        <v>4.023620299</v>
      </c>
      <c r="P62" s="147">
        <f>'F9-Year(n-1)'!T61</f>
        <v>3.7299157105</v>
      </c>
      <c r="Q62" s="147">
        <f t="shared" si="5"/>
        <v>72.3949100145</v>
      </c>
    </row>
    <row r="63" spans="3:17">
      <c r="C63" s="55"/>
      <c r="D63" s="55" t="s">
        <v>383</v>
      </c>
      <c r="E63" s="147">
        <f>'F9-Year(n-1)'!I62</f>
        <v>24.8573915765</v>
      </c>
      <c r="F63" s="147">
        <f>'F9-Year(n-1)'!J62</f>
        <v>31.8271050925</v>
      </c>
      <c r="G63" s="147">
        <f>'F9-Year(n-1)'!K62</f>
        <v>25.500056219</v>
      </c>
      <c r="H63" s="147">
        <f>'F9-Year(n-1)'!L62</f>
        <v>32.1522206575</v>
      </c>
      <c r="I63" s="147">
        <f>'F9-Year(n-1)'!M62</f>
        <v>28.011946639</v>
      </c>
      <c r="J63" s="147">
        <f>'F9-Year(n-1)'!N62</f>
        <v>25.7875947375</v>
      </c>
      <c r="K63" s="147">
        <f>'F9-Year(n-1)'!O62</f>
        <v>25.46821136</v>
      </c>
      <c r="L63" s="147">
        <f>'F9-Year(n-1)'!P62</f>
        <v>24.6783356765</v>
      </c>
      <c r="M63" s="147">
        <f>'F9-Year(n-1)'!Q62</f>
        <v>10.53126659</v>
      </c>
      <c r="N63" s="147">
        <f>'F9-Year(n-1)'!R62</f>
        <v>26.2186270175</v>
      </c>
      <c r="O63" s="147">
        <f>'F9-Year(n-1)'!S62</f>
        <v>26.24809928</v>
      </c>
      <c r="P63" s="147">
        <f>'F9-Year(n-1)'!T62</f>
        <v>31.05918598</v>
      </c>
      <c r="Q63" s="147">
        <f t="shared" si="5"/>
        <v>312.340040826</v>
      </c>
    </row>
    <row r="64" spans="3:17">
      <c r="C64" s="55"/>
      <c r="D64" s="55" t="s">
        <v>384</v>
      </c>
      <c r="E64" s="147">
        <f>'F9-Year(n-1)'!I63</f>
        <v>0</v>
      </c>
      <c r="F64" s="147">
        <f>'F9-Year(n-1)'!J63</f>
        <v>0</v>
      </c>
      <c r="G64" s="147">
        <f>'F9-Year(n-1)'!K63</f>
        <v>0</v>
      </c>
      <c r="H64" s="147">
        <f>'F9-Year(n-1)'!L63</f>
        <v>0</v>
      </c>
      <c r="I64" s="147">
        <f>'F9-Year(n-1)'!M63</f>
        <v>0</v>
      </c>
      <c r="J64" s="147">
        <f>'F9-Year(n-1)'!N63</f>
        <v>0</v>
      </c>
      <c r="K64" s="147">
        <f>'F9-Year(n-1)'!O63</f>
        <v>2.29633195</v>
      </c>
      <c r="L64" s="147">
        <f>'F9-Year(n-1)'!P63</f>
        <v>3.295198604</v>
      </c>
      <c r="M64" s="147">
        <f>'F9-Year(n-1)'!Q63</f>
        <v>3.1342931025</v>
      </c>
      <c r="N64" s="147">
        <f>'F9-Year(n-1)'!R63</f>
        <v>2.8213530565</v>
      </c>
      <c r="O64" s="147">
        <f>'F9-Year(n-1)'!S63</f>
        <v>3.2776859775</v>
      </c>
      <c r="P64" s="147">
        <f>'F9-Year(n-1)'!T63</f>
        <v>2.4315798275</v>
      </c>
      <c r="Q64" s="147">
        <f t="shared" si="5"/>
        <v>17.256442518</v>
      </c>
    </row>
    <row r="65" spans="3:17">
      <c r="C65" s="55"/>
      <c r="D65" s="55" t="s">
        <v>385</v>
      </c>
      <c r="E65" s="147">
        <f>'F9-Year(n-1)'!I64</f>
        <v>0</v>
      </c>
      <c r="F65" s="147">
        <f>'F9-Year(n-1)'!J64</f>
        <v>0</v>
      </c>
      <c r="G65" s="147">
        <f>'F9-Year(n-1)'!K64</f>
        <v>0</v>
      </c>
      <c r="H65" s="147">
        <f>'F9-Year(n-1)'!L64</f>
        <v>0</v>
      </c>
      <c r="I65" s="147">
        <f>'F9-Year(n-1)'!M64</f>
        <v>0</v>
      </c>
      <c r="J65" s="147">
        <f>'F9-Year(n-1)'!N64</f>
        <v>0</v>
      </c>
      <c r="K65" s="147">
        <f>'F9-Year(n-1)'!O64</f>
        <v>1.7864424075</v>
      </c>
      <c r="L65" s="147">
        <f>'F9-Year(n-1)'!P64</f>
        <v>0.751878159</v>
      </c>
      <c r="M65" s="147">
        <f>'F9-Year(n-1)'!Q64</f>
        <v>1.4919173225</v>
      </c>
      <c r="N65" s="147">
        <f>'F9-Year(n-1)'!R64</f>
        <v>0.663247605</v>
      </c>
      <c r="O65" s="147">
        <f>'F9-Year(n-1)'!S64</f>
        <v>1.686730565</v>
      </c>
      <c r="P65" s="147">
        <f>'F9-Year(n-1)'!T64</f>
        <v>0.8333104965</v>
      </c>
      <c r="Q65" s="147">
        <f t="shared" si="5"/>
        <v>7.2135265555</v>
      </c>
    </row>
    <row r="66" spans="3:17">
      <c r="C66" s="55"/>
      <c r="D66" s="55" t="s">
        <v>386</v>
      </c>
      <c r="E66" s="147">
        <f>'F9-Year(n-1)'!I65</f>
        <v>60.247807849</v>
      </c>
      <c r="F66" s="147">
        <f>'F9-Year(n-1)'!J65</f>
        <v>66.93792466</v>
      </c>
      <c r="G66" s="147">
        <f>'F9-Year(n-1)'!K65</f>
        <v>54.78500988</v>
      </c>
      <c r="H66" s="147">
        <f>'F9-Year(n-1)'!L65</f>
        <v>30.4016620965</v>
      </c>
      <c r="I66" s="147">
        <f>'F9-Year(n-1)'!M65</f>
        <v>29.64121564</v>
      </c>
      <c r="J66" s="147">
        <f>'F9-Year(n-1)'!N65</f>
        <v>36.4955382815</v>
      </c>
      <c r="K66" s="147">
        <f>'F9-Year(n-1)'!O65</f>
        <v>21.39689785</v>
      </c>
      <c r="L66" s="147">
        <f>'F9-Year(n-1)'!P65</f>
        <v>35.4654603075</v>
      </c>
      <c r="M66" s="147">
        <f>'F9-Year(n-1)'!Q65</f>
        <v>36.052256405</v>
      </c>
      <c r="N66" s="147">
        <f>'F9-Year(n-1)'!R65</f>
        <v>32.088036384</v>
      </c>
      <c r="O66" s="147">
        <f>'F9-Year(n-1)'!S65</f>
        <v>44.4692488475</v>
      </c>
      <c r="P66" s="147">
        <f>'F9-Year(n-1)'!T65</f>
        <v>49.378783134</v>
      </c>
      <c r="Q66" s="147">
        <f t="shared" si="5"/>
        <v>497.359841335</v>
      </c>
    </row>
    <row r="67" spans="3:17">
      <c r="C67" s="55"/>
      <c r="D67" s="55" t="s">
        <v>387</v>
      </c>
      <c r="E67" s="147">
        <f>'F9-Year(n-1)'!I66</f>
        <v>41.3926465965</v>
      </c>
      <c r="F67" s="147">
        <f>'F9-Year(n-1)'!J66</f>
        <v>113.251466915</v>
      </c>
      <c r="G67" s="147">
        <f>'F9-Year(n-1)'!K66</f>
        <v>64.674703236</v>
      </c>
      <c r="H67" s="147">
        <f>'F9-Year(n-1)'!L66</f>
        <v>54.135920249</v>
      </c>
      <c r="I67" s="147">
        <f>'F9-Year(n-1)'!M66</f>
        <v>56.539093119</v>
      </c>
      <c r="J67" s="147">
        <f>'F9-Year(n-1)'!N66</f>
        <v>35.4316513365</v>
      </c>
      <c r="K67" s="147">
        <f>'F9-Year(n-1)'!O66</f>
        <v>31.8356825615</v>
      </c>
      <c r="L67" s="147">
        <f>'F9-Year(n-1)'!P66</f>
        <v>25.324691495</v>
      </c>
      <c r="M67" s="147">
        <f>'F9-Year(n-1)'!Q66</f>
        <v>56.3655097825</v>
      </c>
      <c r="N67" s="147">
        <f>'F9-Year(n-1)'!R66</f>
        <v>58.651303679</v>
      </c>
      <c r="O67" s="147">
        <f>'F9-Year(n-1)'!S66</f>
        <v>62.3534114015</v>
      </c>
      <c r="P67" s="147">
        <f>'F9-Year(n-1)'!T66</f>
        <v>56.153404735</v>
      </c>
      <c r="Q67" s="147">
        <f t="shared" si="5"/>
        <v>656.1094851065</v>
      </c>
    </row>
    <row r="68" spans="3:17">
      <c r="C68" s="55"/>
      <c r="D68" s="55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>
        <f t="shared" si="5"/>
        <v>0</v>
      </c>
    </row>
    <row r="69" spans="3:17">
      <c r="C69" s="55"/>
      <c r="D69" s="55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>
        <f t="shared" si="5"/>
        <v>0</v>
      </c>
    </row>
    <row r="70" spans="3:17">
      <c r="C70" s="55"/>
      <c r="D70" s="55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>
        <f t="shared" si="5"/>
        <v>0</v>
      </c>
    </row>
    <row r="71" spans="3:17">
      <c r="C71" s="55"/>
      <c r="D71" s="55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>
        <f t="shared" si="5"/>
        <v>0</v>
      </c>
    </row>
    <row r="72" spans="3:17">
      <c r="C72" s="55"/>
      <c r="D72" s="55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>
        <f t="shared" si="5"/>
        <v>0</v>
      </c>
    </row>
    <row r="73" spans="3:17">
      <c r="C73" s="55"/>
      <c r="D73" s="55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>
        <f t="shared" si="5"/>
        <v>0</v>
      </c>
    </row>
    <row r="74" spans="3:17">
      <c r="C74" s="55"/>
      <c r="D74" s="55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>
        <f t="shared" si="5"/>
        <v>0</v>
      </c>
    </row>
    <row r="75" spans="3:17">
      <c r="C75" s="55"/>
      <c r="D75" s="55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>
        <f t="shared" si="5"/>
        <v>0</v>
      </c>
    </row>
    <row r="76" spans="3:17">
      <c r="C76" s="55"/>
      <c r="D76" s="55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>
        <f t="shared" si="5"/>
        <v>0</v>
      </c>
    </row>
    <row r="77" ht="15" spans="3:17">
      <c r="C77" s="537" t="s">
        <v>211</v>
      </c>
      <c r="D77" s="540"/>
      <c r="E77" s="147">
        <f t="shared" ref="E77:P77" si="6">SUM(E52:E76)</f>
        <v>984.93400259</v>
      </c>
      <c r="F77" s="147">
        <f t="shared" si="6"/>
        <v>1063.82299235555</v>
      </c>
      <c r="G77" s="147">
        <f t="shared" si="6"/>
        <v>958.518448378266</v>
      </c>
      <c r="H77" s="147">
        <f t="shared" si="6"/>
        <v>830.262864393746</v>
      </c>
      <c r="I77" s="147">
        <f t="shared" si="6"/>
        <v>773.495793518564</v>
      </c>
      <c r="J77" s="147">
        <f t="shared" si="6"/>
        <v>700.022273061907</v>
      </c>
      <c r="K77" s="147">
        <f t="shared" si="6"/>
        <v>388.571681270141</v>
      </c>
      <c r="L77" s="147">
        <f t="shared" si="6"/>
        <v>413.808034656412</v>
      </c>
      <c r="M77" s="147">
        <f t="shared" si="6"/>
        <v>772.626765614301</v>
      </c>
      <c r="N77" s="147">
        <f t="shared" si="6"/>
        <v>920.088626254385</v>
      </c>
      <c r="O77" s="147">
        <f t="shared" si="6"/>
        <v>1046.59636757141</v>
      </c>
      <c r="P77" s="147">
        <f t="shared" si="6"/>
        <v>1102.70816489715</v>
      </c>
      <c r="Q77" s="316">
        <f t="shared" si="5"/>
        <v>9955.45601456184</v>
      </c>
    </row>
    <row r="78" ht="15" spans="3:17">
      <c r="C78" s="44" t="s">
        <v>388</v>
      </c>
      <c r="D78" s="45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</row>
    <row r="79" spans="3:17">
      <c r="C79" s="682" t="s">
        <v>389</v>
      </c>
      <c r="D79" s="55" t="s">
        <v>390</v>
      </c>
      <c r="E79" s="147">
        <f>'F9-Year(n-1)'!I79</f>
        <v>4.0544273675</v>
      </c>
      <c r="F79" s="147">
        <f>'F9-Year(n-1)'!J79</f>
        <v>3.0483335715</v>
      </c>
      <c r="G79" s="147">
        <f>'F9-Year(n-1)'!K79</f>
        <v>3.572536298</v>
      </c>
      <c r="H79" s="147">
        <f>'F9-Year(n-1)'!L79</f>
        <v>5.087589082</v>
      </c>
      <c r="I79" s="147">
        <f>'F9-Year(n-1)'!M79</f>
        <v>3.691727701</v>
      </c>
      <c r="J79" s="147">
        <f>'F9-Year(n-1)'!N79</f>
        <v>4.5401076775</v>
      </c>
      <c r="K79" s="147">
        <f>'F9-Year(n-1)'!O79</f>
        <v>4.357434679</v>
      </c>
      <c r="L79" s="147">
        <f>'F9-Year(n-1)'!P79</f>
        <v>4.8229158185</v>
      </c>
      <c r="M79" s="147">
        <f>'F9-Year(n-1)'!Q79</f>
        <v>5.027727407</v>
      </c>
      <c r="N79" s="147">
        <f>'F9-Year(n-1)'!R79</f>
        <v>5.005566241</v>
      </c>
      <c r="O79" s="147">
        <f>'F9-Year(n-1)'!S79</f>
        <v>3.404892566</v>
      </c>
      <c r="P79" s="147">
        <f>'F9-Year(n-1)'!T79</f>
        <v>4.6959977795</v>
      </c>
      <c r="Q79" s="147">
        <f t="shared" ref="Q79:Q93" si="7">SUM(E79:P79)</f>
        <v>51.3092561885</v>
      </c>
    </row>
    <row r="80" spans="3:17">
      <c r="C80" s="683"/>
      <c r="D80" s="55" t="s">
        <v>391</v>
      </c>
      <c r="E80" s="147">
        <f>'F9-Year(n-1)'!I80</f>
        <v>67.298399885</v>
      </c>
      <c r="F80" s="147">
        <f>'F9-Year(n-1)'!J80</f>
        <v>69.867853461</v>
      </c>
      <c r="G80" s="147">
        <f>'F9-Year(n-1)'!K80</f>
        <v>65.0072794635</v>
      </c>
      <c r="H80" s="147">
        <f>'F9-Year(n-1)'!L80</f>
        <v>69.7371927445</v>
      </c>
      <c r="I80" s="147">
        <f>'F9-Year(n-1)'!M80</f>
        <v>68.602831288</v>
      </c>
      <c r="J80" s="147">
        <f>'F9-Year(n-1)'!N80</f>
        <v>53.8831261945</v>
      </c>
      <c r="K80" s="147">
        <f>'F9-Year(n-1)'!O80</f>
        <v>65.0581234375</v>
      </c>
      <c r="L80" s="147">
        <f>'F9-Year(n-1)'!P80</f>
        <v>61.43529275</v>
      </c>
      <c r="M80" s="147">
        <f>'F9-Year(n-1)'!Q80</f>
        <v>49.5160811945</v>
      </c>
      <c r="N80" s="147">
        <f>'F9-Year(n-1)'!R80</f>
        <v>68.3512436385</v>
      </c>
      <c r="O80" s="147">
        <f>'F9-Year(n-1)'!S80</f>
        <v>60.530752857</v>
      </c>
      <c r="P80" s="147">
        <f>'F9-Year(n-1)'!T80</f>
        <v>67.5678620825</v>
      </c>
      <c r="Q80" s="147">
        <f t="shared" si="7"/>
        <v>766.8560389965</v>
      </c>
    </row>
    <row r="81" spans="3:17">
      <c r="C81" s="683"/>
      <c r="D81" s="55" t="s">
        <v>392</v>
      </c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>
        <f t="shared" si="7"/>
        <v>0</v>
      </c>
    </row>
    <row r="82" spans="3:17">
      <c r="C82" s="684"/>
      <c r="D82" s="55" t="s">
        <v>393</v>
      </c>
      <c r="E82" s="147"/>
      <c r="F82" s="147"/>
      <c r="G82" s="147">
        <f>'F9-Year(n-1)'!K82</f>
        <v>23.595214685</v>
      </c>
      <c r="H82" s="147">
        <f>'F9-Year(n-1)'!L82</f>
        <v>23.875466094</v>
      </c>
      <c r="I82" s="147">
        <f>'F9-Year(n-1)'!M82</f>
        <v>25.0483788925</v>
      </c>
      <c r="J82" s="147">
        <f>'F9-Year(n-1)'!N82</f>
        <v>24.256203279</v>
      </c>
      <c r="K82" s="147">
        <f>'F9-Year(n-1)'!O82</f>
        <v>25.1327496375</v>
      </c>
      <c r="L82" s="147">
        <f>'F9-Year(n-1)'!P82</f>
        <v>25.2506090565</v>
      </c>
      <c r="M82" s="147">
        <f>'F9-Year(n-1)'!Q82</f>
        <v>26.2580856325</v>
      </c>
      <c r="N82" s="147">
        <f>'F9-Year(n-1)'!R82</f>
        <v>22.976038254</v>
      </c>
      <c r="O82" s="147">
        <f>'F9-Year(n-1)'!S82</f>
        <v>24.404646123</v>
      </c>
      <c r="P82" s="147">
        <f>'F9-Year(n-1)'!T82</f>
        <v>27.1547408575</v>
      </c>
      <c r="Q82" s="147">
        <f t="shared" si="7"/>
        <v>247.9521325115</v>
      </c>
    </row>
    <row r="83" spans="3:17">
      <c r="C83" s="55"/>
      <c r="D83" s="55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>
        <f t="shared" si="7"/>
        <v>0</v>
      </c>
    </row>
    <row r="84" spans="3:17">
      <c r="C84" s="55"/>
      <c r="D84" s="55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>
        <f t="shared" si="7"/>
        <v>0</v>
      </c>
    </row>
    <row r="85" spans="3:17">
      <c r="C85" s="55"/>
      <c r="D85" s="55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>
        <f t="shared" si="7"/>
        <v>0</v>
      </c>
    </row>
    <row r="86" spans="3:17">
      <c r="C86" s="55"/>
      <c r="D86" s="55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>
        <f t="shared" si="7"/>
        <v>0</v>
      </c>
    </row>
    <row r="87" spans="3:17">
      <c r="C87" s="55"/>
      <c r="D87" s="55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>
        <f t="shared" si="7"/>
        <v>0</v>
      </c>
    </row>
    <row r="88" spans="3:17">
      <c r="C88" s="55"/>
      <c r="D88" s="55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>
        <f t="shared" si="7"/>
        <v>0</v>
      </c>
    </row>
    <row r="89" spans="3:17">
      <c r="C89" s="55"/>
      <c r="D89" s="55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>
        <f t="shared" si="7"/>
        <v>0</v>
      </c>
    </row>
    <row r="90" spans="3:17">
      <c r="C90" s="55"/>
      <c r="D90" s="55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>
        <f t="shared" si="7"/>
        <v>0</v>
      </c>
    </row>
    <row r="91" spans="3:17">
      <c r="C91" s="55"/>
      <c r="D91" s="55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>
        <f t="shared" si="7"/>
        <v>0</v>
      </c>
    </row>
    <row r="92" spans="3:17">
      <c r="C92" s="55"/>
      <c r="D92" s="55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>
        <f t="shared" si="7"/>
        <v>0</v>
      </c>
    </row>
    <row r="93" ht="15" spans="3:17">
      <c r="C93" s="537" t="s">
        <v>211</v>
      </c>
      <c r="D93" s="540"/>
      <c r="E93" s="147">
        <f>SUM(E79:E92)</f>
        <v>71.3528272525</v>
      </c>
      <c r="F93" s="147">
        <f t="shared" ref="F93:P93" si="8">SUM(F79:F92)</f>
        <v>72.9161870325</v>
      </c>
      <c r="G93" s="147">
        <f t="shared" si="8"/>
        <v>92.1750304465</v>
      </c>
      <c r="H93" s="147">
        <f t="shared" si="8"/>
        <v>98.7002479205</v>
      </c>
      <c r="I93" s="147">
        <f t="shared" si="8"/>
        <v>97.3429378815</v>
      </c>
      <c r="J93" s="147">
        <f t="shared" si="8"/>
        <v>82.679437151</v>
      </c>
      <c r="K93" s="147">
        <f t="shared" si="8"/>
        <v>94.548307754</v>
      </c>
      <c r="L93" s="147">
        <f t="shared" si="8"/>
        <v>91.508817625</v>
      </c>
      <c r="M93" s="147">
        <f t="shared" si="8"/>
        <v>80.801894234</v>
      </c>
      <c r="N93" s="147">
        <f t="shared" si="8"/>
        <v>96.3328481335</v>
      </c>
      <c r="O93" s="147">
        <f t="shared" si="8"/>
        <v>88.340291546</v>
      </c>
      <c r="P93" s="147">
        <f t="shared" si="8"/>
        <v>99.4186007195</v>
      </c>
      <c r="Q93" s="316">
        <f t="shared" si="7"/>
        <v>1066.1174276965</v>
      </c>
    </row>
    <row r="94" ht="15" spans="3:17">
      <c r="C94" s="44" t="s">
        <v>395</v>
      </c>
      <c r="D94" s="45"/>
      <c r="E94" s="147">
        <f>E77+E93</f>
        <v>1056.2868298425</v>
      </c>
      <c r="F94" s="147">
        <f t="shared" ref="F94:Q94" si="9">F77+F93</f>
        <v>1136.73917938805</v>
      </c>
      <c r="G94" s="147">
        <f t="shared" si="9"/>
        <v>1050.69347882477</v>
      </c>
      <c r="H94" s="147">
        <f t="shared" si="9"/>
        <v>928.963112314246</v>
      </c>
      <c r="I94" s="147">
        <f t="shared" si="9"/>
        <v>870.838731400064</v>
      </c>
      <c r="J94" s="147">
        <f t="shared" si="9"/>
        <v>782.701710212907</v>
      </c>
      <c r="K94" s="147">
        <f t="shared" si="9"/>
        <v>483.119989024141</v>
      </c>
      <c r="L94" s="147">
        <f t="shared" si="9"/>
        <v>505.316852281412</v>
      </c>
      <c r="M94" s="147">
        <f t="shared" si="9"/>
        <v>853.428659848301</v>
      </c>
      <c r="N94" s="147">
        <f t="shared" si="9"/>
        <v>1016.42147438789</v>
      </c>
      <c r="O94" s="147">
        <f t="shared" si="9"/>
        <v>1134.93665911741</v>
      </c>
      <c r="P94" s="147">
        <f t="shared" si="9"/>
        <v>1202.12676561665</v>
      </c>
      <c r="Q94" s="316">
        <f t="shared" si="9"/>
        <v>11021.5734422583</v>
      </c>
    </row>
    <row r="95" ht="15" spans="3:17">
      <c r="C95" s="663" t="s">
        <v>396</v>
      </c>
      <c r="D95" s="676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</row>
    <row r="96" spans="3:17">
      <c r="C96" s="55" t="s">
        <v>397</v>
      </c>
      <c r="D96" s="55" t="s">
        <v>397</v>
      </c>
      <c r="E96" s="147">
        <f>'F9-Year(n-1)'!I96</f>
        <v>266.2407610375</v>
      </c>
      <c r="F96" s="147">
        <f>'F9-Year(n-1)'!J96</f>
        <v>229.4338157615</v>
      </c>
      <c r="G96" s="147">
        <f>'F9-Year(n-1)'!K96</f>
        <v>178.03891645875</v>
      </c>
      <c r="H96" s="147">
        <f>'F9-Year(n-1)'!L96</f>
        <v>261.0924947225</v>
      </c>
      <c r="I96" s="147">
        <f>'F9-Year(n-1)'!M96</f>
        <v>271.4434002375</v>
      </c>
      <c r="J96" s="147">
        <f>'F9-Year(n-1)'!N96</f>
        <v>206.8318124425</v>
      </c>
      <c r="K96" s="147">
        <f>'F9-Year(n-1)'!O96</f>
        <v>176.1025450715</v>
      </c>
      <c r="L96" s="147">
        <f>'F9-Year(n-1)'!P96</f>
        <v>247.83757306875</v>
      </c>
      <c r="M96" s="147">
        <f>'F9-Year(n-1)'!Q96</f>
        <v>231.26201107</v>
      </c>
      <c r="N96" s="147">
        <f>'F9-Year(n-1)'!R96</f>
        <v>239.492098925</v>
      </c>
      <c r="O96" s="147">
        <f>'F9-Year(n-1)'!S96</f>
        <v>270.09585114375</v>
      </c>
      <c r="P96" s="147">
        <f>'F9-Year(n-1)'!T96</f>
        <v>269.9554146665</v>
      </c>
      <c r="Q96" s="147">
        <f t="shared" ref="Q96:Q103" si="10">SUM(E96:P96)</f>
        <v>2847.82669460575</v>
      </c>
    </row>
    <row r="97" spans="3:17">
      <c r="C97" s="55" t="s">
        <v>398</v>
      </c>
      <c r="D97" s="55" t="s">
        <v>398</v>
      </c>
      <c r="E97" s="147">
        <f>'F9-Year(n-1)'!I97</f>
        <v>125.8569620615</v>
      </c>
      <c r="F97" s="147">
        <f>'F9-Year(n-1)'!J97</f>
        <v>134.8235778065</v>
      </c>
      <c r="G97" s="147">
        <f>'F9-Year(n-1)'!K97</f>
        <v>85.6067492525</v>
      </c>
      <c r="H97" s="147">
        <f>'F9-Year(n-1)'!L97</f>
        <v>136.5046728375</v>
      </c>
      <c r="I97" s="147">
        <f>'F9-Year(n-1)'!M97</f>
        <v>141.0695104065</v>
      </c>
      <c r="J97" s="147">
        <f>'F9-Year(n-1)'!N97</f>
        <v>123.576868605</v>
      </c>
      <c r="K97" s="147">
        <f>'F9-Year(n-1)'!O97</f>
        <v>141.354339805</v>
      </c>
      <c r="L97" s="147">
        <f>'F9-Year(n-1)'!P97</f>
        <v>126.189919259</v>
      </c>
      <c r="M97" s="147">
        <f>'F9-Year(n-1)'!Q97</f>
        <v>133.048155309</v>
      </c>
      <c r="N97" s="147">
        <f>'F9-Year(n-1)'!R97</f>
        <v>126.072143089</v>
      </c>
      <c r="O97" s="147">
        <f>'F9-Year(n-1)'!S97</f>
        <v>127.6795225415</v>
      </c>
      <c r="P97" s="147">
        <f>'F9-Year(n-1)'!T97</f>
        <v>140.77733252</v>
      </c>
      <c r="Q97" s="147">
        <f t="shared" si="10"/>
        <v>1542.559753493</v>
      </c>
    </row>
    <row r="98" spans="3:17">
      <c r="C98" s="55"/>
      <c r="D98" s="55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>
        <f t="shared" si="10"/>
        <v>0</v>
      </c>
    </row>
    <row r="99" spans="3:17">
      <c r="C99" s="55"/>
      <c r="D99" s="55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>
        <f t="shared" si="10"/>
        <v>0</v>
      </c>
    </row>
    <row r="100" spans="3:17">
      <c r="C100" s="55"/>
      <c r="D100" s="55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>
        <f t="shared" si="10"/>
        <v>0</v>
      </c>
    </row>
    <row r="101" spans="3:17">
      <c r="C101" s="55"/>
      <c r="D101" s="55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>
        <f t="shared" si="10"/>
        <v>0</v>
      </c>
    </row>
    <row r="102" spans="3:17">
      <c r="C102" s="55"/>
      <c r="D102" s="55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>
        <f t="shared" si="10"/>
        <v>0</v>
      </c>
    </row>
    <row r="103" ht="15" spans="3:17">
      <c r="C103" s="44" t="s">
        <v>399</v>
      </c>
      <c r="D103" s="45"/>
      <c r="E103" s="147">
        <f>SUM(E96:E102)</f>
        <v>392.097723099</v>
      </c>
      <c r="F103" s="147">
        <f t="shared" ref="F103:P103" si="11">SUM(F96:F102)</f>
        <v>364.257393568</v>
      </c>
      <c r="G103" s="147">
        <f t="shared" si="11"/>
        <v>263.64566571125</v>
      </c>
      <c r="H103" s="147">
        <f t="shared" si="11"/>
        <v>397.59716756</v>
      </c>
      <c r="I103" s="147">
        <f t="shared" si="11"/>
        <v>412.512910644</v>
      </c>
      <c r="J103" s="147">
        <f t="shared" si="11"/>
        <v>330.4086810475</v>
      </c>
      <c r="K103" s="147">
        <f t="shared" si="11"/>
        <v>317.4568848765</v>
      </c>
      <c r="L103" s="147">
        <f t="shared" si="11"/>
        <v>374.02749232775</v>
      </c>
      <c r="M103" s="147">
        <f t="shared" si="11"/>
        <v>364.310166379</v>
      </c>
      <c r="N103" s="147">
        <f t="shared" si="11"/>
        <v>365.564242014</v>
      </c>
      <c r="O103" s="147">
        <f t="shared" si="11"/>
        <v>397.77537368525</v>
      </c>
      <c r="P103" s="147">
        <f t="shared" si="11"/>
        <v>410.7327471865</v>
      </c>
      <c r="Q103" s="316">
        <f t="shared" si="10"/>
        <v>4390.38644809875</v>
      </c>
    </row>
    <row r="104" ht="15" spans="3:17">
      <c r="C104" s="663" t="s">
        <v>400</v>
      </c>
      <c r="D104" s="676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</row>
    <row r="105" spans="3:17">
      <c r="C105" s="55" t="s">
        <v>401</v>
      </c>
      <c r="D105" s="55" t="s">
        <v>401</v>
      </c>
      <c r="E105" s="147">
        <f>'F9-Year(n-1)'!I105</f>
        <v>545.83124</v>
      </c>
      <c r="F105" s="147">
        <f>'F9-Year(n-1)'!J105</f>
        <v>466.397584</v>
      </c>
      <c r="G105" s="147">
        <f>'F9-Year(n-1)'!K105</f>
        <v>507.258733</v>
      </c>
      <c r="H105" s="147">
        <f>'F9-Year(n-1)'!L105</f>
        <v>545.955408</v>
      </c>
      <c r="I105" s="147">
        <f>'F9-Year(n-1)'!M105</f>
        <v>507.5388165</v>
      </c>
      <c r="J105" s="147">
        <f>'F9-Year(n-1)'!N105</f>
        <v>560.190987</v>
      </c>
      <c r="K105" s="147">
        <f>'F9-Year(n-1)'!O105</f>
        <v>543.5560025</v>
      </c>
      <c r="L105" s="147">
        <f>'F9-Year(n-1)'!P105</f>
        <v>549.9619425</v>
      </c>
      <c r="M105" s="147">
        <f>'F9-Year(n-1)'!Q105</f>
        <v>547.2203695</v>
      </c>
      <c r="N105" s="147">
        <f>'F9-Year(n-1)'!R105</f>
        <v>556.8617325</v>
      </c>
      <c r="O105" s="147">
        <f>'F9-Year(n-1)'!S105</f>
        <v>236.449736</v>
      </c>
      <c r="P105" s="147">
        <f>'F9-Year(n-1)'!T105</f>
        <v>585.7759445</v>
      </c>
      <c r="Q105" s="147">
        <f t="shared" ref="Q105:Q113" si="12">SUM(E105:P105)</f>
        <v>6152.998496</v>
      </c>
    </row>
    <row r="106" spans="3:17">
      <c r="C106" s="55" t="s">
        <v>402</v>
      </c>
      <c r="D106" s="55" t="s">
        <v>402</v>
      </c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>
        <f t="shared" si="12"/>
        <v>0</v>
      </c>
    </row>
    <row r="107" spans="3:17">
      <c r="C107" s="55" t="s">
        <v>403</v>
      </c>
      <c r="D107" s="55" t="s">
        <v>403</v>
      </c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>
        <f t="shared" si="12"/>
        <v>0</v>
      </c>
    </row>
    <row r="108" spans="3:17">
      <c r="C108" s="55"/>
      <c r="D108" s="55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>
        <f t="shared" si="12"/>
        <v>0</v>
      </c>
    </row>
    <row r="109" spans="3:17">
      <c r="C109" s="55"/>
      <c r="D109" s="55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>
        <f t="shared" si="12"/>
        <v>0</v>
      </c>
    </row>
    <row r="110" spans="3:17">
      <c r="C110" s="55"/>
      <c r="D110" s="55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>
        <f t="shared" si="12"/>
        <v>0</v>
      </c>
    </row>
    <row r="111" spans="3:17">
      <c r="C111" s="55"/>
      <c r="D111" s="55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>
        <f t="shared" si="12"/>
        <v>0</v>
      </c>
    </row>
    <row r="112" spans="3:17">
      <c r="C112" s="55"/>
      <c r="D112" s="55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>
        <f t="shared" si="12"/>
        <v>0</v>
      </c>
    </row>
    <row r="113" ht="15" spans="3:17">
      <c r="C113" s="44" t="s">
        <v>404</v>
      </c>
      <c r="D113" s="45"/>
      <c r="E113" s="147">
        <f>SUM(E105:E112)</f>
        <v>545.83124</v>
      </c>
      <c r="F113" s="147">
        <f t="shared" ref="F113:P113" si="13">SUM(F105:F112)</f>
        <v>466.397584</v>
      </c>
      <c r="G113" s="147">
        <f t="shared" si="13"/>
        <v>507.258733</v>
      </c>
      <c r="H113" s="147">
        <f t="shared" si="13"/>
        <v>545.955408</v>
      </c>
      <c r="I113" s="147">
        <f t="shared" si="13"/>
        <v>507.5388165</v>
      </c>
      <c r="J113" s="147">
        <f t="shared" si="13"/>
        <v>560.190987</v>
      </c>
      <c r="K113" s="147">
        <f t="shared" si="13"/>
        <v>543.5560025</v>
      </c>
      <c r="L113" s="147">
        <f t="shared" si="13"/>
        <v>549.9619425</v>
      </c>
      <c r="M113" s="147">
        <f t="shared" si="13"/>
        <v>547.2203695</v>
      </c>
      <c r="N113" s="147">
        <f t="shared" si="13"/>
        <v>556.8617325</v>
      </c>
      <c r="O113" s="147">
        <f t="shared" si="13"/>
        <v>236.449736</v>
      </c>
      <c r="P113" s="147">
        <f t="shared" si="13"/>
        <v>585.7759445</v>
      </c>
      <c r="Q113" s="316">
        <f t="shared" si="12"/>
        <v>6152.998496</v>
      </c>
    </row>
    <row r="114" ht="15" spans="3:17">
      <c r="C114" s="663" t="s">
        <v>405</v>
      </c>
      <c r="D114" s="676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</row>
    <row r="115" spans="3:17">
      <c r="C115" s="55"/>
      <c r="D115" s="55" t="s">
        <v>406</v>
      </c>
      <c r="E115" s="147">
        <f>'F9-Year(n-1)'!I115</f>
        <v>1.93395</v>
      </c>
      <c r="F115" s="147">
        <f>'F9-Year(n-1)'!J115</f>
        <v>0.775799999999996</v>
      </c>
      <c r="G115" s="147">
        <f>'F9-Year(n-1)'!K115</f>
        <v>0</v>
      </c>
      <c r="H115" s="147">
        <f>'F9-Year(n-1)'!L115</f>
        <v>0.876600000000002</v>
      </c>
      <c r="I115" s="147">
        <f>'F9-Year(n-1)'!M115</f>
        <v>0</v>
      </c>
      <c r="J115" s="147">
        <f>'F9-Year(n-1)'!N115</f>
        <v>0</v>
      </c>
      <c r="K115" s="147">
        <f>'F9-Year(n-1)'!O115</f>
        <v>0</v>
      </c>
      <c r="L115" s="147">
        <f>'F9-Year(n-1)'!P115</f>
        <v>0</v>
      </c>
      <c r="M115" s="147">
        <f>'F9-Year(n-1)'!Q115</f>
        <v>0</v>
      </c>
      <c r="N115" s="147">
        <f>'F9-Year(n-1)'!R115</f>
        <v>0</v>
      </c>
      <c r="O115" s="147">
        <f>'F9-Year(n-1)'!S115</f>
        <v>0</v>
      </c>
      <c r="P115" s="147">
        <f>'F9-Year(n-1)'!T115</f>
        <v>0</v>
      </c>
      <c r="Q115" s="147">
        <f t="shared" ref="Q115:Q139" si="14">SUM(E115:P115)</f>
        <v>3.58635</v>
      </c>
    </row>
    <row r="116" spans="3:17">
      <c r="C116" s="55"/>
      <c r="D116" s="55" t="s">
        <v>407</v>
      </c>
      <c r="E116" s="147">
        <f>'F9-Year(n-1)'!I116</f>
        <v>0</v>
      </c>
      <c r="F116" s="147">
        <f>'F9-Year(n-1)'!J116</f>
        <v>0</v>
      </c>
      <c r="G116" s="147">
        <f>'F9-Year(n-1)'!K116</f>
        <v>0</v>
      </c>
      <c r="H116" s="147">
        <f>'F9-Year(n-1)'!L116</f>
        <v>0</v>
      </c>
      <c r="I116" s="147">
        <f>'F9-Year(n-1)'!M116</f>
        <v>0</v>
      </c>
      <c r="J116" s="147">
        <f>'F9-Year(n-1)'!N116</f>
        <v>0</v>
      </c>
      <c r="K116" s="147">
        <f>'F9-Year(n-1)'!O116</f>
        <v>0</v>
      </c>
      <c r="L116" s="147">
        <f>'F9-Year(n-1)'!P116</f>
        <v>0</v>
      </c>
      <c r="M116" s="147">
        <f>'F9-Year(n-1)'!Q116</f>
        <v>4.85191</v>
      </c>
      <c r="N116" s="147">
        <f>'F9-Year(n-1)'!R116</f>
        <v>0</v>
      </c>
      <c r="O116" s="147">
        <f>'F9-Year(n-1)'!S116</f>
        <v>0</v>
      </c>
      <c r="P116" s="147">
        <f>'F9-Year(n-1)'!T116</f>
        <v>0</v>
      </c>
      <c r="Q116" s="147">
        <f t="shared" si="14"/>
        <v>4.85191</v>
      </c>
    </row>
    <row r="117" spans="3:17">
      <c r="C117" s="55"/>
      <c r="D117" s="55" t="s">
        <v>408</v>
      </c>
      <c r="E117" s="147">
        <f>'F9-Year(n-1)'!I117</f>
        <v>9.833076</v>
      </c>
      <c r="F117" s="147">
        <f>'F9-Year(n-1)'!J117</f>
        <v>9.51588</v>
      </c>
      <c r="G117" s="147">
        <f>'F9-Year(n-1)'!K117</f>
        <v>9.833076</v>
      </c>
      <c r="H117" s="147">
        <f>'F9-Year(n-1)'!L117</f>
        <v>9.51588</v>
      </c>
      <c r="I117" s="147">
        <f>'F9-Year(n-1)'!M117</f>
        <v>9.8542224</v>
      </c>
      <c r="J117" s="147">
        <f>'F9-Year(n-1)'!N117</f>
        <v>6.13479999999999</v>
      </c>
      <c r="K117" s="147">
        <f>'F9-Year(n-1)'!O117</f>
        <v>12.68784</v>
      </c>
      <c r="L117" s="147">
        <f>'F9-Year(n-1)'!P117</f>
        <v>12.3048612</v>
      </c>
      <c r="M117" s="147">
        <f>'F9-Year(n-1)'!Q117</f>
        <v>10.150272</v>
      </c>
      <c r="N117" s="147">
        <f>'F9-Year(n-1)'!R117</f>
        <v>10.488615</v>
      </c>
      <c r="O117" s="147">
        <f>'F9-Year(n-1)'!S117</f>
        <v>10.488614</v>
      </c>
      <c r="P117" s="147">
        <f>'F9-Year(n-1)'!T117</f>
        <v>9.473587</v>
      </c>
      <c r="Q117" s="147">
        <f t="shared" si="14"/>
        <v>120.2807236</v>
      </c>
    </row>
    <row r="118" spans="3:17">
      <c r="C118" s="55"/>
      <c r="D118" s="55" t="s">
        <v>409</v>
      </c>
      <c r="E118" s="147">
        <f>'F9-Year(n-1)'!I118</f>
        <v>0</v>
      </c>
      <c r="F118" s="147">
        <f>'F9-Year(n-1)'!J118</f>
        <v>0</v>
      </c>
      <c r="G118" s="147">
        <f>'F9-Year(n-1)'!K118</f>
        <v>0</v>
      </c>
      <c r="H118" s="147">
        <f>'F9-Year(n-1)'!L118</f>
        <v>0.833320000000007</v>
      </c>
      <c r="I118" s="147">
        <f>'F9-Year(n-1)'!M118</f>
        <v>0</v>
      </c>
      <c r="J118" s="147">
        <f>'F9-Year(n-1)'!N118</f>
        <v>0</v>
      </c>
      <c r="K118" s="147">
        <f>'F9-Year(n-1)'!O118</f>
        <v>0</v>
      </c>
      <c r="L118" s="147">
        <f>'F9-Year(n-1)'!P118</f>
        <v>0</v>
      </c>
      <c r="M118" s="147">
        <f>'F9-Year(n-1)'!Q118</f>
        <v>0</v>
      </c>
      <c r="N118" s="147">
        <f>'F9-Year(n-1)'!R118</f>
        <v>0</v>
      </c>
      <c r="O118" s="147">
        <f>'F9-Year(n-1)'!S118</f>
        <v>0</v>
      </c>
      <c r="P118" s="147">
        <f>'F9-Year(n-1)'!T118</f>
        <v>0</v>
      </c>
      <c r="Q118" s="147">
        <f t="shared" si="14"/>
        <v>0.833320000000007</v>
      </c>
    </row>
    <row r="119" spans="3:17">
      <c r="C119" s="55"/>
      <c r="D119" s="55" t="s">
        <v>410</v>
      </c>
      <c r="E119" s="147">
        <f>'F9-Year(n-1)'!I119</f>
        <v>14.9496000000001</v>
      </c>
      <c r="F119" s="147">
        <f>'F9-Year(n-1)'!J119</f>
        <v>20.4507</v>
      </c>
      <c r="G119" s="147">
        <f>'F9-Year(n-1)'!K119</f>
        <v>29.6814</v>
      </c>
      <c r="H119" s="147">
        <f>'F9-Year(n-1)'!L119</f>
        <v>22.30538448</v>
      </c>
      <c r="I119" s="147">
        <f>'F9-Year(n-1)'!M119</f>
        <v>23.1556749</v>
      </c>
      <c r="J119" s="147">
        <f>'F9-Year(n-1)'!N119</f>
        <v>22.17744</v>
      </c>
      <c r="K119" s="147">
        <f>'F9-Year(n-1)'!O119</f>
        <v>12.0731</v>
      </c>
      <c r="L119" s="147">
        <f>'F9-Year(n-1)'!P119</f>
        <v>18.849</v>
      </c>
      <c r="M119" s="147">
        <f>'F9-Year(n-1)'!Q119</f>
        <v>19.716</v>
      </c>
      <c r="N119" s="147">
        <f>'F9-Year(n-1)'!R119</f>
        <v>17.9961</v>
      </c>
      <c r="O119" s="147">
        <f>'F9-Year(n-1)'!S119</f>
        <v>18.5581</v>
      </c>
      <c r="P119" s="147">
        <f>'F9-Year(n-1)'!T119</f>
        <v>19.5057</v>
      </c>
      <c r="Q119" s="147">
        <f t="shared" si="14"/>
        <v>239.41819938</v>
      </c>
    </row>
    <row r="120" spans="3:17">
      <c r="C120" s="55"/>
      <c r="D120" s="55" t="s">
        <v>368</v>
      </c>
      <c r="E120" s="147">
        <f>'F9-Year(n-1)'!I120</f>
        <v>0</v>
      </c>
      <c r="F120" s="147">
        <f>'F9-Year(n-1)'!J120</f>
        <v>0</v>
      </c>
      <c r="G120" s="147">
        <f>'F9-Year(n-1)'!K120</f>
        <v>0</v>
      </c>
      <c r="H120" s="147">
        <f>'F9-Year(n-1)'!L120</f>
        <v>0</v>
      </c>
      <c r="I120" s="147">
        <f>'F9-Year(n-1)'!M120</f>
        <v>0</v>
      </c>
      <c r="J120" s="147">
        <f>'F9-Year(n-1)'!N120</f>
        <v>0</v>
      </c>
      <c r="K120" s="147">
        <f>'F9-Year(n-1)'!O120</f>
        <v>0</v>
      </c>
      <c r="L120" s="147">
        <f>'F9-Year(n-1)'!P120</f>
        <v>0</v>
      </c>
      <c r="M120" s="147">
        <f>'F9-Year(n-1)'!Q120</f>
        <v>0</v>
      </c>
      <c r="N120" s="147">
        <f>'F9-Year(n-1)'!R120</f>
        <v>0</v>
      </c>
      <c r="O120" s="147">
        <f>'F9-Year(n-1)'!S120</f>
        <v>0</v>
      </c>
      <c r="P120" s="147">
        <f>'F9-Year(n-1)'!T120</f>
        <v>0</v>
      </c>
      <c r="Q120" s="147">
        <f t="shared" si="14"/>
        <v>0</v>
      </c>
    </row>
    <row r="121" spans="3:17">
      <c r="C121" s="55"/>
      <c r="D121" s="55" t="s">
        <v>411</v>
      </c>
      <c r="E121" s="147">
        <f>'F9-Year(n-1)'!I121</f>
        <v>428.07366865</v>
      </c>
      <c r="F121" s="147">
        <f>'F9-Year(n-1)'!J121</f>
        <v>305.12937732</v>
      </c>
      <c r="G121" s="147">
        <f>'F9-Year(n-1)'!K121</f>
        <v>323.82634593</v>
      </c>
      <c r="H121" s="147">
        <f>'F9-Year(n-1)'!L121</f>
        <v>204.20170648</v>
      </c>
      <c r="I121" s="147">
        <f>'F9-Year(n-1)'!M121</f>
        <v>255.86228024</v>
      </c>
      <c r="J121" s="147">
        <f>'F9-Year(n-1)'!N121</f>
        <v>264.09524638</v>
      </c>
      <c r="K121" s="147">
        <f>'F9-Year(n-1)'!O121</f>
        <v>247.75901632</v>
      </c>
      <c r="L121" s="147">
        <f>'F9-Year(n-1)'!P121</f>
        <v>307.29421327</v>
      </c>
      <c r="M121" s="147">
        <f>'F9-Year(n-1)'!Q121</f>
        <v>261.7963656</v>
      </c>
      <c r="N121" s="147">
        <f>'F9-Year(n-1)'!R121</f>
        <v>307.5207667</v>
      </c>
      <c r="O121" s="147">
        <f>'F9-Year(n-1)'!S121</f>
        <v>367.49057372</v>
      </c>
      <c r="P121" s="147">
        <f>'F9-Year(n-1)'!T121</f>
        <v>318.14222346</v>
      </c>
      <c r="Q121" s="147">
        <f t="shared" si="14"/>
        <v>3591.19178407</v>
      </c>
    </row>
    <row r="122" spans="3:17">
      <c r="C122" s="55"/>
      <c r="D122" s="55" t="s">
        <v>412</v>
      </c>
      <c r="E122" s="147">
        <f>'F9-Year(n-1)'!I122</f>
        <v>44.163556403</v>
      </c>
      <c r="F122" s="147">
        <f>'F9-Year(n-1)'!J122</f>
        <v>56.9064547295</v>
      </c>
      <c r="G122" s="147">
        <f>'F9-Year(n-1)'!K122</f>
        <v>45.7826669095</v>
      </c>
      <c r="H122" s="147">
        <f>'F9-Year(n-1)'!L122</f>
        <v>50.5282041935</v>
      </c>
      <c r="I122" s="147">
        <f>'F9-Year(n-1)'!M122</f>
        <v>18.5380545235</v>
      </c>
      <c r="J122" s="147">
        <f>'F9-Year(n-1)'!N122</f>
        <v>51.175873653</v>
      </c>
      <c r="K122" s="147">
        <f>'F9-Year(n-1)'!O122</f>
        <v>46.8271751805</v>
      </c>
      <c r="L122" s="147">
        <f>'F9-Year(n-1)'!P122</f>
        <v>42.78525915</v>
      </c>
      <c r="M122" s="147">
        <f>'F9-Year(n-1)'!Q122</f>
        <v>53.9981368045</v>
      </c>
      <c r="N122" s="147">
        <f>'F9-Year(n-1)'!R122</f>
        <v>42.239773605</v>
      </c>
      <c r="O122" s="147">
        <f>'F9-Year(n-1)'!S122</f>
        <v>56.584573882</v>
      </c>
      <c r="P122" s="147">
        <f>'F9-Year(n-1)'!T122</f>
        <v>68.00950861</v>
      </c>
      <c r="Q122" s="147">
        <f t="shared" si="14"/>
        <v>577.539237644</v>
      </c>
    </row>
    <row r="123" spans="3:17">
      <c r="C123" s="55"/>
      <c r="D123" s="55" t="s">
        <v>413</v>
      </c>
      <c r="E123" s="147">
        <f>'F9-Year(n-1)'!I123</f>
        <v>30.82958806</v>
      </c>
      <c r="F123" s="147">
        <f>'F9-Year(n-1)'!J123</f>
        <v>32.29177032125</v>
      </c>
      <c r="G123" s="147">
        <f>'F9-Year(n-1)'!K123</f>
        <v>38.47977431625</v>
      </c>
      <c r="H123" s="147">
        <f>'F9-Year(n-1)'!L123</f>
        <v>38.45204816625</v>
      </c>
      <c r="I123" s="147">
        <f>'F9-Year(n-1)'!M123</f>
        <v>69.28944611125</v>
      </c>
      <c r="J123" s="147">
        <f>'F9-Year(n-1)'!N123</f>
        <v>90.8591741765</v>
      </c>
      <c r="K123" s="147">
        <f>'F9-Year(n-1)'!O123</f>
        <v>104.9195422515</v>
      </c>
      <c r="L123" s="147">
        <f>'F9-Year(n-1)'!P123</f>
        <v>95.55883209</v>
      </c>
      <c r="M123" s="147">
        <f>'F9-Year(n-1)'!Q123</f>
        <v>134.829434162</v>
      </c>
      <c r="N123" s="147">
        <f>'F9-Year(n-1)'!R123</f>
        <v>182.8097349825</v>
      </c>
      <c r="O123" s="147">
        <f>'F9-Year(n-1)'!S123</f>
        <v>187.2998756225</v>
      </c>
      <c r="P123" s="147">
        <f>'F9-Year(n-1)'!T123</f>
        <v>9.3899460815</v>
      </c>
      <c r="Q123" s="147">
        <f t="shared" si="14"/>
        <v>1015.0091663415</v>
      </c>
    </row>
    <row r="124" spans="3:17">
      <c r="C124" s="55"/>
      <c r="D124" s="55" t="s">
        <v>414</v>
      </c>
      <c r="E124" s="147">
        <f>'F9-Year(n-1)'!I124</f>
        <v>36.89636775375</v>
      </c>
      <c r="F124" s="147">
        <f>'F9-Year(n-1)'!J124</f>
        <v>38.478383423</v>
      </c>
      <c r="G124" s="147">
        <f>'F9-Year(n-1)'!K124</f>
        <v>33.12406630875</v>
      </c>
      <c r="H124" s="147">
        <f>'F9-Year(n-1)'!L124</f>
        <v>30.36213787</v>
      </c>
      <c r="I124" s="147">
        <f>'F9-Year(n-1)'!M124</f>
        <v>33.2399238715</v>
      </c>
      <c r="J124" s="147">
        <f>'F9-Year(n-1)'!N124</f>
        <v>39.742106065</v>
      </c>
      <c r="K124" s="147">
        <f>'F9-Year(n-1)'!O124</f>
        <v>40.8171914115</v>
      </c>
      <c r="L124" s="147">
        <f>'F9-Year(n-1)'!P124</f>
        <v>34.1247704375</v>
      </c>
      <c r="M124" s="147">
        <f>'F9-Year(n-1)'!Q124</f>
        <v>34.508437564</v>
      </c>
      <c r="N124" s="147">
        <f>'F9-Year(n-1)'!R124</f>
        <v>37.728552625</v>
      </c>
      <c r="O124" s="147">
        <f>'F9-Year(n-1)'!S124</f>
        <v>35.83957461125</v>
      </c>
      <c r="P124" s="147">
        <f>'F9-Year(n-1)'!T124</f>
        <v>40.55002879125</v>
      </c>
      <c r="Q124" s="147">
        <f t="shared" si="14"/>
        <v>435.4115407325</v>
      </c>
    </row>
    <row r="125" spans="3:17">
      <c r="C125" s="55"/>
      <c r="D125" s="55" t="s">
        <v>415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>
        <f t="shared" si="14"/>
        <v>0</v>
      </c>
    </row>
    <row r="126" spans="3:17">
      <c r="C126" s="55"/>
      <c r="D126" s="55" t="s">
        <v>416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>
        <f t="shared" si="14"/>
        <v>0</v>
      </c>
    </row>
    <row r="127" spans="3:17">
      <c r="C127" s="55"/>
      <c r="D127" s="55" t="s">
        <v>417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>
        <f t="shared" si="14"/>
        <v>0</v>
      </c>
    </row>
    <row r="128" spans="3:17">
      <c r="C128" s="55"/>
      <c r="D128" s="55" t="s">
        <v>418</v>
      </c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>
        <f t="shared" si="14"/>
        <v>0</v>
      </c>
    </row>
    <row r="129" spans="3:17">
      <c r="C129" s="55"/>
      <c r="D129" s="767" t="s">
        <v>419</v>
      </c>
      <c r="E129" s="147">
        <f>'F9-Year(n-1)'!I129</f>
        <v>2.6915354125</v>
      </c>
      <c r="F129" s="147">
        <f>'F9-Year(n-1)'!J129</f>
        <v>2.260767695</v>
      </c>
      <c r="G129" s="147">
        <f>'F9-Year(n-1)'!K129</f>
        <v>2.7854360515</v>
      </c>
      <c r="H129" s="147">
        <f>'F9-Year(n-1)'!L129</f>
        <v>1.0050037985</v>
      </c>
      <c r="I129" s="147">
        <f>'F9-Year(n-1)'!M129</f>
        <v>1.7829120855</v>
      </c>
      <c r="J129" s="147">
        <f>'F9-Year(n-1)'!N129</f>
        <v>2.03230951025</v>
      </c>
      <c r="K129" s="147">
        <f>'F9-Year(n-1)'!O129</f>
        <v>1.60807966125</v>
      </c>
      <c r="L129" s="147">
        <f>'F9-Year(n-1)'!P129</f>
        <v>1.9714880025</v>
      </c>
      <c r="M129" s="147">
        <f>'F9-Year(n-1)'!Q129</f>
        <v>1.58454418125</v>
      </c>
      <c r="N129" s="147">
        <f>'F9-Year(n-1)'!R129</f>
        <v>3.866547779</v>
      </c>
      <c r="O129" s="147">
        <f>'F9-Year(n-1)'!S129</f>
        <v>3.555951404</v>
      </c>
      <c r="P129" s="147">
        <f>'F9-Year(n-1)'!T129</f>
        <v>4.0431167915</v>
      </c>
      <c r="Q129" s="147">
        <f t="shared" si="14"/>
        <v>29.18769237275</v>
      </c>
    </row>
    <row r="130" spans="3:17">
      <c r="C130" s="55"/>
      <c r="D130" s="767" t="s">
        <v>420</v>
      </c>
      <c r="E130" s="147">
        <f>'F9-Year(n-1)'!I130</f>
        <v>0</v>
      </c>
      <c r="F130" s="147">
        <f>'F9-Year(n-1)'!J130</f>
        <v>0</v>
      </c>
      <c r="G130" s="147">
        <f>'F9-Year(n-1)'!K130</f>
        <v>0</v>
      </c>
      <c r="H130" s="147">
        <f>'F9-Year(n-1)'!L130</f>
        <v>0</v>
      </c>
      <c r="I130" s="147">
        <f>'F9-Year(n-1)'!M130</f>
        <v>0</v>
      </c>
      <c r="J130" s="147">
        <f>'F9-Year(n-1)'!N130</f>
        <v>0</v>
      </c>
      <c r="K130" s="147">
        <f>'F9-Year(n-1)'!O130</f>
        <v>0</v>
      </c>
      <c r="L130" s="147">
        <f>'F9-Year(n-1)'!P130</f>
        <v>0</v>
      </c>
      <c r="M130" s="147">
        <f>'F9-Year(n-1)'!Q130</f>
        <v>0</v>
      </c>
      <c r="N130" s="147">
        <f>'F9-Year(n-1)'!R130</f>
        <v>0</v>
      </c>
      <c r="O130" s="147">
        <f>'F9-Year(n-1)'!S130</f>
        <v>0</v>
      </c>
      <c r="P130" s="147">
        <f>'F9-Year(n-1)'!T130</f>
        <v>0</v>
      </c>
      <c r="Q130" s="147">
        <f t="shared" si="14"/>
        <v>0</v>
      </c>
    </row>
    <row r="131" spans="3:17">
      <c r="C131" s="55"/>
      <c r="D131" s="55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>
        <f t="shared" si="14"/>
        <v>0</v>
      </c>
    </row>
    <row r="132" spans="3:17">
      <c r="C132" s="55"/>
      <c r="D132" s="55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>
        <f t="shared" si="14"/>
        <v>0</v>
      </c>
    </row>
    <row r="133" spans="3:17">
      <c r="C133" s="55"/>
      <c r="D133" s="55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>
        <f t="shared" si="14"/>
        <v>0</v>
      </c>
    </row>
    <row r="134" spans="3:17">
      <c r="C134" s="55"/>
      <c r="D134" s="5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>
        <f t="shared" si="14"/>
        <v>0</v>
      </c>
    </row>
    <row r="135" spans="3:17">
      <c r="C135" s="55"/>
      <c r="D135" s="55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>
        <f t="shared" si="14"/>
        <v>0</v>
      </c>
    </row>
    <row r="136" spans="3:17">
      <c r="C136" s="55"/>
      <c r="D136" s="55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>
        <f t="shared" si="14"/>
        <v>0</v>
      </c>
    </row>
    <row r="137" spans="3:17">
      <c r="C137" s="55"/>
      <c r="D137" s="55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>
        <f t="shared" si="14"/>
        <v>0</v>
      </c>
    </row>
    <row r="138" spans="3:17">
      <c r="C138" s="55"/>
      <c r="D138" s="55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>
        <f t="shared" si="14"/>
        <v>0</v>
      </c>
    </row>
    <row r="139" ht="15" spans="3:17">
      <c r="C139" s="44" t="s">
        <v>421</v>
      </c>
      <c r="D139" s="45"/>
      <c r="E139" s="147">
        <f>SUM(E115:E138)</f>
        <v>569.37134227925</v>
      </c>
      <c r="F139" s="147">
        <f t="shared" ref="F139:P139" si="15">SUM(F115:F138)</f>
        <v>465.80913348875</v>
      </c>
      <c r="G139" s="147">
        <f t="shared" si="15"/>
        <v>483.512765516</v>
      </c>
      <c r="H139" s="147">
        <f t="shared" si="15"/>
        <v>358.08028498825</v>
      </c>
      <c r="I139" s="147">
        <f t="shared" si="15"/>
        <v>411.72251413175</v>
      </c>
      <c r="J139" s="147">
        <f t="shared" si="15"/>
        <v>476.21694978475</v>
      </c>
      <c r="K139" s="147">
        <f t="shared" si="15"/>
        <v>466.69194482475</v>
      </c>
      <c r="L139" s="147">
        <f t="shared" si="15"/>
        <v>512.88842415</v>
      </c>
      <c r="M139" s="147">
        <f t="shared" si="15"/>
        <v>521.43510031175</v>
      </c>
      <c r="N139" s="147">
        <f t="shared" si="15"/>
        <v>602.6500906915</v>
      </c>
      <c r="O139" s="147">
        <f t="shared" si="15"/>
        <v>679.81726323975</v>
      </c>
      <c r="P139" s="147">
        <f t="shared" si="15"/>
        <v>469.11411073425</v>
      </c>
      <c r="Q139" s="316">
        <f t="shared" si="14"/>
        <v>6017.30992414075</v>
      </c>
    </row>
    <row r="140" ht="15" spans="3:17">
      <c r="C140" s="663" t="s">
        <v>422</v>
      </c>
      <c r="D140" s="676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</row>
    <row r="141" spans="3:17">
      <c r="C141" s="55"/>
      <c r="D141" s="55" t="s">
        <v>423</v>
      </c>
      <c r="E141" s="147">
        <f>'F9-Year(n-1)'!I141</f>
        <v>1544.7334325</v>
      </c>
      <c r="F141" s="147">
        <f>'F9-Year(n-1)'!J141</f>
        <v>247.02434</v>
      </c>
      <c r="G141" s="147">
        <f>'F9-Year(n-1)'!K141</f>
        <v>196.1750975</v>
      </c>
      <c r="H141" s="147">
        <f>'F9-Year(n-1)'!L141</f>
        <v>500.418595</v>
      </c>
      <c r="I141" s="147">
        <f>'F9-Year(n-1)'!M141</f>
        <v>728.55769</v>
      </c>
      <c r="J141" s="147">
        <f>'F9-Year(n-1)'!N141</f>
        <v>748.147375</v>
      </c>
      <c r="K141" s="147">
        <f>'F9-Year(n-1)'!O141</f>
        <v>151.9730315</v>
      </c>
      <c r="L141" s="147">
        <f>'F9-Year(n-1)'!P141</f>
        <v>34.8206325</v>
      </c>
      <c r="M141" s="147">
        <f>'F9-Year(n-1)'!Q141</f>
        <v>604.37437</v>
      </c>
      <c r="N141" s="147">
        <f>'F9-Year(n-1)'!R141</f>
        <v>1051.7168675</v>
      </c>
      <c r="O141" s="147">
        <f>'F9-Year(n-1)'!S141</f>
        <v>1519.8058425</v>
      </c>
      <c r="P141" s="147">
        <f>'F9-Year(n-1)'!T141</f>
        <v>2076.65048</v>
      </c>
      <c r="Q141" s="147">
        <f t="shared" ref="Q141:Q152" si="16">SUM(E141:P141)</f>
        <v>9404.397754</v>
      </c>
    </row>
    <row r="142" spans="3:17">
      <c r="C142" s="55"/>
      <c r="D142" s="55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>
        <f t="shared" si="16"/>
        <v>0</v>
      </c>
    </row>
    <row r="143" spans="3:17">
      <c r="C143" s="55"/>
      <c r="D143" s="55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>
        <f t="shared" si="16"/>
        <v>0</v>
      </c>
    </row>
    <row r="144" spans="3:17">
      <c r="C144" s="55"/>
      <c r="D144" s="55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>
        <f t="shared" si="16"/>
        <v>0</v>
      </c>
    </row>
    <row r="145" spans="3:17">
      <c r="C145" s="55"/>
      <c r="D145" s="55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>
        <f t="shared" si="16"/>
        <v>0</v>
      </c>
    </row>
    <row r="146" spans="3:17">
      <c r="C146" s="55"/>
      <c r="D146" s="55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>
        <f t="shared" si="16"/>
        <v>0</v>
      </c>
    </row>
    <row r="147" spans="3:17">
      <c r="C147" s="55"/>
      <c r="D147" s="55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>
        <f t="shared" si="16"/>
        <v>0</v>
      </c>
    </row>
    <row r="148" spans="3:17">
      <c r="C148" s="55"/>
      <c r="D148" s="55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>
        <f t="shared" si="16"/>
        <v>0</v>
      </c>
    </row>
    <row r="149" spans="3:17">
      <c r="C149" s="55"/>
      <c r="D149" s="55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>
        <f t="shared" si="16"/>
        <v>0</v>
      </c>
    </row>
    <row r="150" spans="3:17">
      <c r="C150" s="55"/>
      <c r="D150" s="55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>
        <f t="shared" si="16"/>
        <v>0</v>
      </c>
    </row>
    <row r="151" spans="3:17">
      <c r="C151" s="55"/>
      <c r="D151" s="55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>
        <f t="shared" si="16"/>
        <v>0</v>
      </c>
    </row>
    <row r="152" ht="15" spans="3:17">
      <c r="C152" s="44" t="s">
        <v>424</v>
      </c>
      <c r="D152" s="45"/>
      <c r="E152" s="147">
        <f>SUM(E141:E151)</f>
        <v>1544.7334325</v>
      </c>
      <c r="F152" s="147">
        <f t="shared" ref="F152:P152" si="17">SUM(F141:F151)</f>
        <v>247.02434</v>
      </c>
      <c r="G152" s="147">
        <f t="shared" si="17"/>
        <v>196.1750975</v>
      </c>
      <c r="H152" s="147">
        <f t="shared" si="17"/>
        <v>500.418595</v>
      </c>
      <c r="I152" s="147">
        <f t="shared" si="17"/>
        <v>728.55769</v>
      </c>
      <c r="J152" s="147">
        <f t="shared" si="17"/>
        <v>748.147375</v>
      </c>
      <c r="K152" s="147">
        <f t="shared" si="17"/>
        <v>151.9730315</v>
      </c>
      <c r="L152" s="147">
        <f t="shared" si="17"/>
        <v>34.8206325</v>
      </c>
      <c r="M152" s="147">
        <f t="shared" si="17"/>
        <v>604.37437</v>
      </c>
      <c r="N152" s="147">
        <f t="shared" si="17"/>
        <v>1051.7168675</v>
      </c>
      <c r="O152" s="147">
        <f t="shared" si="17"/>
        <v>1519.8058425</v>
      </c>
      <c r="P152" s="147">
        <f t="shared" si="17"/>
        <v>2076.65048</v>
      </c>
      <c r="Q152" s="316">
        <f t="shared" si="16"/>
        <v>9404.397754</v>
      </c>
    </row>
    <row r="153" ht="15" spans="3:17">
      <c r="C153" s="663" t="s">
        <v>425</v>
      </c>
      <c r="D153" s="676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</row>
    <row r="154" spans="3:17">
      <c r="C154" s="55" t="s">
        <v>426</v>
      </c>
      <c r="D154" s="55" t="s">
        <v>427</v>
      </c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>
        <f t="shared" ref="Q154:Q155" si="18">SUM(E154:P154)</f>
        <v>0</v>
      </c>
    </row>
    <row r="155" spans="3:17">
      <c r="C155" s="55" t="s">
        <v>426</v>
      </c>
      <c r="D155" s="55" t="s">
        <v>428</v>
      </c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>
        <f t="shared" si="18"/>
        <v>0</v>
      </c>
    </row>
    <row r="156" spans="3:17">
      <c r="C156" s="141"/>
      <c r="D156" s="758" t="s">
        <v>477</v>
      </c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</row>
    <row r="157" ht="15" spans="3:17">
      <c r="C157" s="44" t="s">
        <v>429</v>
      </c>
      <c r="D157" s="45"/>
      <c r="E157" s="147">
        <f>SUM(E154:E155)</f>
        <v>0</v>
      </c>
      <c r="F157" s="147">
        <f t="shared" ref="F157:P157" si="19">SUM(F154:F155)</f>
        <v>0</v>
      </c>
      <c r="G157" s="147">
        <f t="shared" si="19"/>
        <v>0</v>
      </c>
      <c r="H157" s="147">
        <f t="shared" si="19"/>
        <v>0</v>
      </c>
      <c r="I157" s="147">
        <f t="shared" si="19"/>
        <v>0</v>
      </c>
      <c r="J157" s="147">
        <f t="shared" si="19"/>
        <v>0</v>
      </c>
      <c r="K157" s="147">
        <f t="shared" si="19"/>
        <v>0</v>
      </c>
      <c r="L157" s="147">
        <f t="shared" si="19"/>
        <v>0</v>
      </c>
      <c r="M157" s="147">
        <f t="shared" si="19"/>
        <v>0</v>
      </c>
      <c r="N157" s="147">
        <f t="shared" si="19"/>
        <v>0</v>
      </c>
      <c r="O157" s="147">
        <f t="shared" si="19"/>
        <v>0</v>
      </c>
      <c r="P157" s="147">
        <f t="shared" si="19"/>
        <v>0</v>
      </c>
      <c r="Q157" s="316">
        <f>Q154-Q155</f>
        <v>0</v>
      </c>
    </row>
    <row r="158" ht="15" spans="3:17">
      <c r="C158" s="44" t="s">
        <v>224</v>
      </c>
      <c r="D158" s="45"/>
      <c r="E158" s="147">
        <f t="shared" ref="E158:Q158" si="20">E49+E94+E103+E113+E139+E152+E157</f>
        <v>4108.32056772075</v>
      </c>
      <c r="F158" s="147">
        <f t="shared" si="20"/>
        <v>2680.2276304448</v>
      </c>
      <c r="G158" s="147">
        <f t="shared" si="20"/>
        <v>2501.28574055202</v>
      </c>
      <c r="H158" s="147">
        <f t="shared" si="20"/>
        <v>2731.0145678625</v>
      </c>
      <c r="I158" s="147">
        <f t="shared" si="20"/>
        <v>2931.17066267581</v>
      </c>
      <c r="J158" s="147">
        <f t="shared" si="20"/>
        <v>2897.66570304516</v>
      </c>
      <c r="K158" s="147">
        <f t="shared" si="20"/>
        <v>1962.79785272539</v>
      </c>
      <c r="L158" s="147">
        <f t="shared" si="20"/>
        <v>1977.01534375916</v>
      </c>
      <c r="M158" s="147">
        <f t="shared" si="20"/>
        <v>2890.76866603905</v>
      </c>
      <c r="N158" s="147">
        <f t="shared" si="20"/>
        <v>3593.21440709339</v>
      </c>
      <c r="O158" s="147">
        <f t="shared" si="20"/>
        <v>3968.78487454241</v>
      </c>
      <c r="P158" s="147">
        <f t="shared" si="20"/>
        <v>4744.4000480374</v>
      </c>
      <c r="Q158" s="316">
        <f t="shared" si="20"/>
        <v>36986.6660644978</v>
      </c>
    </row>
    <row r="161" ht="15" spans="4:5">
      <c r="D161" s="11"/>
      <c r="E161" s="11"/>
    </row>
    <row r="162" spans="4:5">
      <c r="D162" s="13"/>
      <c r="E162" s="13"/>
    </row>
    <row r="163" spans="5:5">
      <c r="E163" s="13"/>
    </row>
    <row r="164" spans="5:5">
      <c r="E164" s="13"/>
    </row>
  </sheetData>
  <mergeCells count="32">
    <mergeCell ref="C2:P2"/>
    <mergeCell ref="C3:Q3"/>
    <mergeCell ref="E6:Q6"/>
    <mergeCell ref="C8:D8"/>
    <mergeCell ref="C9:D9"/>
    <mergeCell ref="C28:D28"/>
    <mergeCell ref="C29:D29"/>
    <mergeCell ref="C48:D48"/>
    <mergeCell ref="C49:D49"/>
    <mergeCell ref="C50:D50"/>
    <mergeCell ref="C51:D51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7:D157"/>
    <mergeCell ref="C158:D158"/>
    <mergeCell ref="C6:C7"/>
    <mergeCell ref="C10:C27"/>
    <mergeCell ref="C30:C47"/>
    <mergeCell ref="C52:C60"/>
    <mergeCell ref="C79:C82"/>
    <mergeCell ref="D6:D7"/>
  </mergeCells>
  <pageMargins left="0.7" right="0.7" top="0.75" bottom="0.75" header="0.3" footer="0.3"/>
  <pageSetup paperSize="1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  <pageSetUpPr fitToPage="1"/>
  </sheetPr>
  <dimension ref="A2:Q57"/>
  <sheetViews>
    <sheetView showGridLines="0" view="pageBreakPreview" zoomScaleNormal="70" workbookViewId="0">
      <selection activeCell="L12" sqref="L12"/>
    </sheetView>
  </sheetViews>
  <sheetFormatPr defaultColWidth="9.14285714285714" defaultRowHeight="14.25"/>
  <cols>
    <col min="1" max="1" width="6.85714285714286" style="15" customWidth="1"/>
    <col min="2" max="2" width="6.14285714285714" style="15" customWidth="1"/>
    <col min="3" max="3" width="39.4285714285714" style="15" customWidth="1"/>
    <col min="4" max="4" width="14.1428571428571" style="15" customWidth="1"/>
    <col min="5" max="5" width="14.8571428571429" style="15" hidden="1" customWidth="1"/>
    <col min="6" max="6" width="17" style="15" hidden="1" customWidth="1"/>
    <col min="7" max="7" width="18.1428571428571" style="15" hidden="1" customWidth="1"/>
    <col min="8" max="8" width="15.5714285714286" style="15" hidden="1" customWidth="1"/>
    <col min="9" max="11" width="15.8571428571429" style="15" hidden="1" customWidth="1"/>
    <col min="12" max="13" width="14.8571428571429" style="15" customWidth="1"/>
    <col min="14" max="16" width="14.8571428571429" style="15" hidden="1" customWidth="1"/>
    <col min="17" max="17" width="15.8571428571429" style="15" hidden="1" customWidth="1"/>
    <col min="18" max="16384" width="9.14285714285714" style="15"/>
  </cols>
  <sheetData>
    <row r="2" ht="15" spans="3:17">
      <c r="C2" s="12"/>
      <c r="D2" s="12"/>
      <c r="E2" s="12"/>
      <c r="F2" s="12"/>
      <c r="G2" s="12"/>
      <c r="H2" s="12"/>
      <c r="I2" s="2" t="s">
        <v>105</v>
      </c>
      <c r="J2" s="12"/>
      <c r="K2" s="12"/>
      <c r="L2" s="12"/>
      <c r="M2" s="12"/>
      <c r="N2" s="12"/>
      <c r="O2" s="12"/>
      <c r="P2" s="12"/>
      <c r="Q2" s="12"/>
    </row>
    <row r="3" s="479" customFormat="1" ht="15" spans="3:17">
      <c r="C3" s="12"/>
      <c r="D3" s="12"/>
      <c r="E3" s="12"/>
      <c r="F3" s="12"/>
      <c r="G3" s="12"/>
      <c r="H3" s="12"/>
      <c r="I3" s="3" t="s">
        <v>106</v>
      </c>
      <c r="J3" s="12"/>
      <c r="K3" s="12"/>
      <c r="L3" s="12"/>
      <c r="M3" s="12"/>
      <c r="N3" s="12"/>
      <c r="O3" s="12"/>
      <c r="P3" s="12"/>
      <c r="Q3" s="12"/>
    </row>
    <row r="4" ht="15" spans="2:3">
      <c r="B4" s="2" t="s">
        <v>107</v>
      </c>
      <c r="C4" s="34" t="s">
        <v>108</v>
      </c>
    </row>
    <row r="5" ht="15" spans="17:17">
      <c r="Q5" s="33" t="s">
        <v>109</v>
      </c>
    </row>
    <row r="6" ht="12.75" customHeight="1" spans="2:17">
      <c r="B6" s="16" t="s">
        <v>3</v>
      </c>
      <c r="C6" s="6" t="s">
        <v>110</v>
      </c>
      <c r="D6" s="6" t="s">
        <v>111</v>
      </c>
      <c r="E6" s="306" t="s">
        <v>112</v>
      </c>
      <c r="F6" s="306"/>
      <c r="G6" s="306"/>
      <c r="H6" s="306" t="s">
        <v>113</v>
      </c>
      <c r="I6" s="306"/>
      <c r="J6" s="306"/>
      <c r="K6" s="306"/>
      <c r="L6" s="135" t="s">
        <v>114</v>
      </c>
      <c r="M6" s="135"/>
      <c r="N6" s="135"/>
      <c r="O6" s="135"/>
      <c r="P6" s="135"/>
      <c r="Q6" s="5" t="s">
        <v>115</v>
      </c>
    </row>
    <row r="7" ht="30" customHeight="1" spans="2:17">
      <c r="B7" s="16"/>
      <c r="C7" s="6"/>
      <c r="D7" s="6"/>
      <c r="E7" s="5" t="s">
        <v>116</v>
      </c>
      <c r="F7" s="5" t="s">
        <v>117</v>
      </c>
      <c r="G7" s="5" t="s">
        <v>118</v>
      </c>
      <c r="H7" s="5" t="s">
        <v>116</v>
      </c>
      <c r="I7" s="5" t="s">
        <v>119</v>
      </c>
      <c r="J7" s="5" t="s">
        <v>120</v>
      </c>
      <c r="K7" s="5" t="s">
        <v>121</v>
      </c>
      <c r="L7" s="5" t="s">
        <v>122</v>
      </c>
      <c r="M7" s="5" t="s">
        <v>123</v>
      </c>
      <c r="N7" s="5" t="s">
        <v>124</v>
      </c>
      <c r="O7" s="5" t="s">
        <v>125</v>
      </c>
      <c r="P7" s="5" t="s">
        <v>126</v>
      </c>
      <c r="Q7" s="5"/>
    </row>
    <row r="8" ht="15" spans="2:17">
      <c r="B8" s="16"/>
      <c r="C8" s="6"/>
      <c r="D8" s="6"/>
      <c r="E8" s="5" t="s">
        <v>127</v>
      </c>
      <c r="F8" s="5" t="s">
        <v>128</v>
      </c>
      <c r="G8" s="5" t="s">
        <v>129</v>
      </c>
      <c r="H8" s="5" t="s">
        <v>127</v>
      </c>
      <c r="I8" s="5" t="s">
        <v>130</v>
      </c>
      <c r="J8" s="5" t="s">
        <v>130</v>
      </c>
      <c r="K8" s="5" t="s">
        <v>131</v>
      </c>
      <c r="L8" s="5" t="s">
        <v>132</v>
      </c>
      <c r="M8" s="5" t="s">
        <v>132</v>
      </c>
      <c r="N8" s="5" t="s">
        <v>132</v>
      </c>
      <c r="O8" s="5" t="s">
        <v>132</v>
      </c>
      <c r="P8" s="5" t="s">
        <v>132</v>
      </c>
      <c r="Q8" s="5"/>
    </row>
    <row r="9" spans="2:17">
      <c r="B9" s="20">
        <v>1</v>
      </c>
      <c r="C9" s="21" t="s">
        <v>133</v>
      </c>
      <c r="D9" s="921" t="s">
        <v>33</v>
      </c>
      <c r="E9" s="123">
        <f t="shared" ref="E9:P9" si="0">E47</f>
        <v>0</v>
      </c>
      <c r="F9" s="123">
        <f t="shared" si="0"/>
        <v>0</v>
      </c>
      <c r="G9" s="123">
        <f t="shared" si="0"/>
        <v>0</v>
      </c>
      <c r="H9" s="123">
        <f t="shared" si="0"/>
        <v>26183.99</v>
      </c>
      <c r="I9" s="123">
        <f t="shared" si="0"/>
        <v>15647.306580854</v>
      </c>
      <c r="J9" s="123">
        <f t="shared" si="0"/>
        <v>17748.0310241113</v>
      </c>
      <c r="K9" s="123">
        <f t="shared" si="0"/>
        <v>33395.3376049653</v>
      </c>
      <c r="L9" s="933">
        <f t="shared" si="0"/>
        <v>29220</v>
      </c>
      <c r="M9" s="933">
        <f t="shared" si="0"/>
        <v>36530.1478636222</v>
      </c>
      <c r="N9" s="123">
        <f t="shared" si="0"/>
        <v>40984.5209471396</v>
      </c>
      <c r="O9" s="123">
        <f t="shared" si="0"/>
        <v>46063.0988636256</v>
      </c>
      <c r="P9" s="123">
        <f t="shared" si="0"/>
        <v>50588.8750689337</v>
      </c>
      <c r="Q9" s="21"/>
    </row>
    <row r="10" spans="2:17">
      <c r="B10" s="922">
        <f>B9+1</f>
        <v>2</v>
      </c>
      <c r="C10" s="21" t="s">
        <v>134</v>
      </c>
      <c r="D10" s="921" t="s">
        <v>37</v>
      </c>
      <c r="E10" s="123">
        <f t="shared" ref="E10:P10" si="1">E48</f>
        <v>1114.73</v>
      </c>
      <c r="F10" s="123">
        <f t="shared" si="1"/>
        <v>1718.82474534763</v>
      </c>
      <c r="G10" s="123">
        <f t="shared" si="1"/>
        <v>604.09474534763</v>
      </c>
      <c r="H10" s="123">
        <f t="shared" si="1"/>
        <v>1081.98</v>
      </c>
      <c r="I10" s="123">
        <f t="shared" si="1"/>
        <v>0</v>
      </c>
      <c r="J10" s="123">
        <f t="shared" si="1"/>
        <v>0</v>
      </c>
      <c r="K10" s="123">
        <f t="shared" si="1"/>
        <v>1714</v>
      </c>
      <c r="L10" s="123">
        <f t="shared" si="1"/>
        <v>1624</v>
      </c>
      <c r="M10" s="123">
        <f t="shared" si="1"/>
        <v>1702</v>
      </c>
      <c r="N10" s="123">
        <f t="shared" si="1"/>
        <v>1790.12108313776</v>
      </c>
      <c r="O10" s="123">
        <f t="shared" si="1"/>
        <v>1879.62713729465</v>
      </c>
      <c r="P10" s="123">
        <f t="shared" si="1"/>
        <v>1973.60849415938</v>
      </c>
      <c r="Q10" s="21"/>
    </row>
    <row r="11" spans="2:17">
      <c r="B11" s="922">
        <f>B10+1</f>
        <v>3</v>
      </c>
      <c r="C11" s="21" t="s">
        <v>135</v>
      </c>
      <c r="D11" s="921" t="s">
        <v>37</v>
      </c>
      <c r="E11" s="123">
        <f t="shared" ref="E11:P11" si="2">E49</f>
        <v>2383.64</v>
      </c>
      <c r="F11" s="123">
        <f t="shared" si="2"/>
        <v>2383.6425912</v>
      </c>
      <c r="G11" s="123">
        <f t="shared" si="2"/>
        <v>0.00259120000009716</v>
      </c>
      <c r="H11" s="123">
        <f t="shared" si="2"/>
        <v>2670.27</v>
      </c>
      <c r="I11" s="123">
        <f t="shared" si="2"/>
        <v>0</v>
      </c>
      <c r="J11" s="123">
        <f t="shared" si="2"/>
        <v>0</v>
      </c>
      <c r="K11" s="123">
        <f t="shared" si="2"/>
        <v>2670</v>
      </c>
      <c r="L11" s="123">
        <f t="shared" si="2"/>
        <v>2202</v>
      </c>
      <c r="M11" s="123">
        <f t="shared" si="2"/>
        <v>1468</v>
      </c>
      <c r="N11" s="123">
        <f t="shared" si="2"/>
        <v>3146.33246</v>
      </c>
      <c r="O11" s="123">
        <f t="shared" si="2"/>
        <v>3534.435065</v>
      </c>
      <c r="P11" s="123">
        <f t="shared" si="2"/>
        <v>3875.149235</v>
      </c>
      <c r="Q11" s="21"/>
    </row>
    <row r="12" spans="2:17">
      <c r="B12" s="922">
        <f>B11+1</f>
        <v>4</v>
      </c>
      <c r="C12" s="21" t="s">
        <v>136</v>
      </c>
      <c r="D12" s="921" t="s">
        <v>37</v>
      </c>
      <c r="E12" s="123">
        <f t="shared" ref="E12:P12" si="3">E50</f>
        <v>31.67</v>
      </c>
      <c r="F12" s="123">
        <f t="shared" si="3"/>
        <v>31.6680813</v>
      </c>
      <c r="G12" s="123">
        <f t="shared" si="3"/>
        <v>-0.00191870000000094</v>
      </c>
      <c r="H12" s="123">
        <f t="shared" si="3"/>
        <v>32.81</v>
      </c>
      <c r="I12" s="123">
        <f t="shared" si="3"/>
        <v>0</v>
      </c>
      <c r="J12" s="123">
        <f t="shared" si="3"/>
        <v>0</v>
      </c>
      <c r="K12" s="123">
        <f t="shared" si="3"/>
        <v>33</v>
      </c>
      <c r="L12" s="123">
        <f t="shared" si="3"/>
        <v>59</v>
      </c>
      <c r="M12" s="123">
        <f t="shared" si="3"/>
        <v>54</v>
      </c>
      <c r="N12" s="123">
        <f t="shared" si="3"/>
        <v>77.78843</v>
      </c>
      <c r="O12" s="123">
        <f t="shared" si="3"/>
        <v>80.48344</v>
      </c>
      <c r="P12" s="123">
        <f t="shared" si="3"/>
        <v>83.326605</v>
      </c>
      <c r="Q12" s="21"/>
    </row>
    <row r="13" spans="2:17">
      <c r="B13" s="922">
        <v>5</v>
      </c>
      <c r="C13" s="21" t="s">
        <v>137</v>
      </c>
      <c r="D13" s="921"/>
      <c r="E13" s="123"/>
      <c r="F13" s="123"/>
      <c r="G13" s="123"/>
      <c r="H13" s="123">
        <f t="shared" ref="H13:P13" si="4">H40</f>
        <v>5168.37</v>
      </c>
      <c r="I13" s="123">
        <f t="shared" si="4"/>
        <v>0</v>
      </c>
      <c r="J13" s="123">
        <f t="shared" si="4"/>
        <v>0</v>
      </c>
      <c r="K13" s="123">
        <f t="shared" si="4"/>
        <v>5168.37</v>
      </c>
      <c r="L13" s="123">
        <f t="shared" si="4"/>
        <v>4980.31275265296</v>
      </c>
      <c r="M13" s="123">
        <f t="shared" si="4"/>
        <v>5413.55344433327</v>
      </c>
      <c r="N13" s="123">
        <f t="shared" si="4"/>
        <v>7577.73896983771</v>
      </c>
      <c r="O13" s="123">
        <f t="shared" si="4"/>
        <v>8780.12361810333</v>
      </c>
      <c r="P13" s="123">
        <f t="shared" si="4"/>
        <v>10056.3800208758</v>
      </c>
      <c r="Q13" s="21"/>
    </row>
    <row r="14" spans="2:17">
      <c r="B14" s="922">
        <v>6</v>
      </c>
      <c r="C14" s="21" t="s">
        <v>138</v>
      </c>
      <c r="D14" s="921" t="s">
        <v>39</v>
      </c>
      <c r="E14" s="123">
        <f t="shared" ref="E14:G14" si="5">E29+E51</f>
        <v>3298.81</v>
      </c>
      <c r="F14" s="123">
        <f t="shared" si="5"/>
        <v>3429.81</v>
      </c>
      <c r="G14" s="123">
        <f t="shared" si="5"/>
        <v>131</v>
      </c>
      <c r="H14" s="123">
        <f t="shared" ref="H14:P14" si="6">H51</f>
        <v>0</v>
      </c>
      <c r="I14" s="123">
        <f t="shared" si="6"/>
        <v>0</v>
      </c>
      <c r="J14" s="123">
        <f t="shared" si="6"/>
        <v>0</v>
      </c>
      <c r="K14" s="123">
        <f t="shared" si="6"/>
        <v>0</v>
      </c>
      <c r="L14" s="123">
        <f t="shared" si="6"/>
        <v>400.428701680045</v>
      </c>
      <c r="M14" s="123">
        <f t="shared" si="6"/>
        <v>424.736756838323</v>
      </c>
      <c r="N14" s="123">
        <f t="shared" si="6"/>
        <v>526.049367486187</v>
      </c>
      <c r="O14" s="123">
        <f t="shared" si="6"/>
        <v>565.440684178659</v>
      </c>
      <c r="P14" s="123">
        <f t="shared" si="6"/>
        <v>607.723791202346</v>
      </c>
      <c r="Q14" s="21"/>
    </row>
    <row r="15" spans="2:17">
      <c r="B15" s="20">
        <f t="shared" ref="B15:B21" si="7">B14+1</f>
        <v>7</v>
      </c>
      <c r="C15" s="28" t="s">
        <v>139</v>
      </c>
      <c r="D15" s="921" t="s">
        <v>53</v>
      </c>
      <c r="E15" s="123">
        <f t="shared" ref="E15:G15" si="8">E30+E52</f>
        <v>1039.9</v>
      </c>
      <c r="F15" s="123">
        <f t="shared" si="8"/>
        <v>801.9</v>
      </c>
      <c r="G15" s="123">
        <f t="shared" si="8"/>
        <v>-238</v>
      </c>
      <c r="H15" s="123">
        <f t="shared" ref="H15:P15" si="9">H52</f>
        <v>0</v>
      </c>
      <c r="I15" s="123">
        <f t="shared" si="9"/>
        <v>0</v>
      </c>
      <c r="J15" s="123">
        <f t="shared" si="9"/>
        <v>0</v>
      </c>
      <c r="K15" s="123">
        <f t="shared" si="9"/>
        <v>0</v>
      </c>
      <c r="L15" s="123">
        <f t="shared" si="9"/>
        <v>87.1437853058882</v>
      </c>
      <c r="M15" s="123">
        <f t="shared" si="9"/>
        <v>92.3118777895958</v>
      </c>
      <c r="N15" s="123">
        <f t="shared" si="9"/>
        <v>152.57091236829</v>
      </c>
      <c r="O15" s="123">
        <f t="shared" si="9"/>
        <v>190.265120463359</v>
      </c>
      <c r="P15" s="123">
        <f t="shared" si="9"/>
        <v>230.975030443809</v>
      </c>
      <c r="Q15" s="21"/>
    </row>
    <row r="16" spans="2:17">
      <c r="B16" s="20">
        <f t="shared" si="7"/>
        <v>8</v>
      </c>
      <c r="C16" s="21" t="s">
        <v>56</v>
      </c>
      <c r="D16" s="20" t="s">
        <v>55</v>
      </c>
      <c r="E16" s="923">
        <f t="shared" ref="E16:G16" si="10">E31</f>
        <v>895.53</v>
      </c>
      <c r="F16" s="923">
        <f t="shared" si="10"/>
        <v>601.4</v>
      </c>
      <c r="G16" s="923">
        <f t="shared" si="10"/>
        <v>-294.13</v>
      </c>
      <c r="H16" s="123">
        <f t="shared" ref="H16:P16" si="11">H53</f>
        <v>0</v>
      </c>
      <c r="I16" s="123">
        <f t="shared" si="11"/>
        <v>0</v>
      </c>
      <c r="J16" s="123">
        <f t="shared" si="11"/>
        <v>0</v>
      </c>
      <c r="K16" s="123">
        <f t="shared" si="11"/>
        <v>0</v>
      </c>
      <c r="L16" s="123">
        <f t="shared" si="11"/>
        <v>47.6763168654716</v>
      </c>
      <c r="M16" s="123">
        <f t="shared" si="11"/>
        <v>50.3146558189048</v>
      </c>
      <c r="N16" s="123">
        <f t="shared" si="11"/>
        <v>97.1798278696725</v>
      </c>
      <c r="O16" s="123">
        <f t="shared" si="11"/>
        <v>127.256277949339</v>
      </c>
      <c r="P16" s="123">
        <f t="shared" si="11"/>
        <v>157.703780051619</v>
      </c>
      <c r="Q16" s="21"/>
    </row>
    <row r="17" spans="2:17">
      <c r="B17" s="20">
        <f t="shared" si="7"/>
        <v>9</v>
      </c>
      <c r="C17" s="28" t="s">
        <v>140</v>
      </c>
      <c r="D17" s="20" t="s">
        <v>57</v>
      </c>
      <c r="E17" s="924"/>
      <c r="F17" s="924"/>
      <c r="G17" s="924"/>
      <c r="H17" s="123">
        <f t="shared" ref="H17:P17" si="12">H54</f>
        <v>0</v>
      </c>
      <c r="I17" s="123">
        <f t="shared" si="12"/>
        <v>0</v>
      </c>
      <c r="J17" s="123">
        <f t="shared" si="12"/>
        <v>0</v>
      </c>
      <c r="K17" s="123">
        <f t="shared" si="12"/>
        <v>0</v>
      </c>
      <c r="L17" s="123">
        <f t="shared" si="12"/>
        <v>0</v>
      </c>
      <c r="M17" s="123">
        <f t="shared" si="12"/>
        <v>0</v>
      </c>
      <c r="N17" s="123">
        <f t="shared" si="12"/>
        <v>0</v>
      </c>
      <c r="O17" s="123">
        <f t="shared" si="12"/>
        <v>0</v>
      </c>
      <c r="P17" s="123">
        <f t="shared" si="12"/>
        <v>0</v>
      </c>
      <c r="Q17" s="21"/>
    </row>
    <row r="18" spans="2:17">
      <c r="B18" s="20">
        <f t="shared" si="7"/>
        <v>10</v>
      </c>
      <c r="C18" s="28" t="s">
        <v>60</v>
      </c>
      <c r="D18" s="20" t="s">
        <v>59</v>
      </c>
      <c r="E18" s="925"/>
      <c r="F18" s="925"/>
      <c r="G18" s="925"/>
      <c r="H18" s="123">
        <f t="shared" ref="H18:P18" si="13">H55</f>
        <v>0</v>
      </c>
      <c r="I18" s="123">
        <f t="shared" si="13"/>
        <v>0</v>
      </c>
      <c r="J18" s="123">
        <f t="shared" si="13"/>
        <v>0</v>
      </c>
      <c r="K18" s="123">
        <f t="shared" si="13"/>
        <v>0</v>
      </c>
      <c r="L18" s="123">
        <f t="shared" si="13"/>
        <v>18.912857872797</v>
      </c>
      <c r="M18" s="123">
        <f t="shared" si="13"/>
        <v>34.0994140346503</v>
      </c>
      <c r="N18" s="123">
        <f t="shared" si="13"/>
        <v>58.6871089690796</v>
      </c>
      <c r="O18" s="123">
        <f t="shared" si="13"/>
        <v>80.6928069876167</v>
      </c>
      <c r="P18" s="123">
        <f t="shared" si="13"/>
        <v>104.446449432607</v>
      </c>
      <c r="Q18" s="21"/>
    </row>
    <row r="19" spans="2:17">
      <c r="B19" s="20">
        <f t="shared" si="7"/>
        <v>11</v>
      </c>
      <c r="C19" s="926" t="s">
        <v>141</v>
      </c>
      <c r="D19" s="20" t="s">
        <v>57</v>
      </c>
      <c r="E19" s="123">
        <f t="shared" ref="E19:G19" si="14">E56</f>
        <v>174.45</v>
      </c>
      <c r="F19" s="123">
        <f t="shared" si="14"/>
        <v>254.51</v>
      </c>
      <c r="G19" s="123">
        <f t="shared" si="14"/>
        <v>80.06</v>
      </c>
      <c r="H19" s="123">
        <f t="shared" ref="H19:P19" si="15">H56</f>
        <v>293.44</v>
      </c>
      <c r="I19" s="123">
        <f t="shared" si="15"/>
        <v>0</v>
      </c>
      <c r="J19" s="123">
        <f t="shared" si="15"/>
        <v>0</v>
      </c>
      <c r="K19" s="123">
        <f t="shared" si="15"/>
        <v>311.985</v>
      </c>
      <c r="L19" s="123">
        <f t="shared" si="15"/>
        <v>325.379840625</v>
      </c>
      <c r="M19" s="123">
        <f t="shared" si="15"/>
        <v>347.247157485601</v>
      </c>
      <c r="N19" s="123">
        <f t="shared" si="15"/>
        <v>343.399071949255</v>
      </c>
      <c r="O19" s="123">
        <f t="shared" si="15"/>
        <v>353.701044107732</v>
      </c>
      <c r="P19" s="123">
        <f t="shared" si="15"/>
        <v>364.312075430964</v>
      </c>
      <c r="Q19" s="21"/>
    </row>
    <row r="20" spans="2:17">
      <c r="B20" s="20">
        <f t="shared" si="7"/>
        <v>12</v>
      </c>
      <c r="C20" s="926" t="s">
        <v>142</v>
      </c>
      <c r="D20" s="20"/>
      <c r="E20" s="123"/>
      <c r="F20" s="123"/>
      <c r="G20" s="123"/>
      <c r="H20" s="123">
        <v>42.83</v>
      </c>
      <c r="I20" s="123"/>
      <c r="J20" s="123"/>
      <c r="K20" s="123">
        <v>43</v>
      </c>
      <c r="L20" s="123">
        <v>-79.8</v>
      </c>
      <c r="M20" s="123">
        <v>-81</v>
      </c>
      <c r="N20" s="123"/>
      <c r="O20" s="123"/>
      <c r="P20" s="123"/>
      <c r="Q20" s="21"/>
    </row>
    <row r="21" ht="15" spans="2:17">
      <c r="B21" s="6">
        <f t="shared" si="7"/>
        <v>13</v>
      </c>
      <c r="C21" s="19" t="s">
        <v>8</v>
      </c>
      <c r="D21" s="20"/>
      <c r="E21" s="927" t="e">
        <f>SUM(E9:E19)-SUM(#REF!)</f>
        <v>#REF!</v>
      </c>
      <c r="F21" s="927" t="e">
        <f>SUM(F9:F19)-SUM(#REF!)</f>
        <v>#REF!</v>
      </c>
      <c r="G21" s="927" t="e">
        <f>SUM(G9:G19)-SUM(#REF!)</f>
        <v>#REF!</v>
      </c>
      <c r="H21" s="927">
        <f t="shared" ref="H21:P21" si="16">SUM(H9:H20)</f>
        <v>35473.69</v>
      </c>
      <c r="I21" s="927">
        <f t="shared" si="16"/>
        <v>15647.306580854</v>
      </c>
      <c r="J21" s="927">
        <f t="shared" si="16"/>
        <v>17748.0310241113</v>
      </c>
      <c r="K21" s="927">
        <f t="shared" si="16"/>
        <v>43335.6926049653</v>
      </c>
      <c r="L21" s="934">
        <f>ROUNDDOWN(SUM(L9:L20),0)</f>
        <v>38885</v>
      </c>
      <c r="M21" s="934">
        <f>ROUNDUP(SUM(M9:M20),0)</f>
        <v>46036</v>
      </c>
      <c r="N21" s="927">
        <f>ROUNDUP(SUM(N9:N20),0)</f>
        <v>54755</v>
      </c>
      <c r="O21" s="927">
        <f t="shared" si="16"/>
        <v>61655.1240577103</v>
      </c>
      <c r="P21" s="927">
        <f t="shared" si="16"/>
        <v>68042.5005505301</v>
      </c>
      <c r="Q21" s="21"/>
    </row>
    <row r="22" ht="15" spans="2:5">
      <c r="B22" s="486"/>
      <c r="C22" s="928"/>
      <c r="D22" s="929"/>
      <c r="E22" s="929"/>
    </row>
    <row r="23" ht="6.95" customHeight="1" spans="11:16">
      <c r="K23" s="935"/>
      <c r="L23" s="935"/>
      <c r="M23" s="935"/>
      <c r="N23" s="935"/>
      <c r="O23" s="935"/>
      <c r="P23" s="935"/>
    </row>
    <row r="24" ht="15" spans="2:8">
      <c r="B24" s="2" t="s">
        <v>143</v>
      </c>
      <c r="C24" s="930" t="s">
        <v>144</v>
      </c>
      <c r="H24" s="15" t="s">
        <v>145</v>
      </c>
    </row>
    <row r="25" ht="3.95" customHeight="1" spans="12:17">
      <c r="L25" s="936"/>
      <c r="M25" s="936"/>
      <c r="N25" s="936"/>
      <c r="O25" s="936"/>
      <c r="P25" s="936"/>
      <c r="Q25" s="33" t="s">
        <v>109</v>
      </c>
    </row>
    <row r="26" ht="15" spans="2:17">
      <c r="B26" s="16" t="s">
        <v>3</v>
      </c>
      <c r="C26" s="6" t="s">
        <v>110</v>
      </c>
      <c r="D26" s="6" t="s">
        <v>111</v>
      </c>
      <c r="E26" s="306" t="s">
        <v>112</v>
      </c>
      <c r="F26" s="307"/>
      <c r="G26" s="308"/>
      <c r="H26" s="306" t="s">
        <v>113</v>
      </c>
      <c r="I26" s="306"/>
      <c r="J26" s="306"/>
      <c r="K26" s="306"/>
      <c r="L26" s="135" t="s">
        <v>114</v>
      </c>
      <c r="M26" s="135"/>
      <c r="N26" s="135"/>
      <c r="O26" s="135"/>
      <c r="P26" s="135"/>
      <c r="Q26" s="5" t="s">
        <v>115</v>
      </c>
    </row>
    <row r="27" ht="30" spans="2:17">
      <c r="B27" s="309"/>
      <c r="C27" s="6"/>
      <c r="D27" s="6"/>
      <c r="E27" s="5" t="s">
        <v>116</v>
      </c>
      <c r="F27" s="5" t="s">
        <v>117</v>
      </c>
      <c r="G27" s="5" t="s">
        <v>118</v>
      </c>
      <c r="H27" s="5" t="s">
        <v>116</v>
      </c>
      <c r="I27" s="5" t="s">
        <v>119</v>
      </c>
      <c r="J27" s="5" t="s">
        <v>120</v>
      </c>
      <c r="K27" s="5" t="s">
        <v>121</v>
      </c>
      <c r="L27" s="5" t="s">
        <v>122</v>
      </c>
      <c r="M27" s="5" t="s">
        <v>123</v>
      </c>
      <c r="N27" s="5" t="s">
        <v>124</v>
      </c>
      <c r="O27" s="5" t="s">
        <v>125</v>
      </c>
      <c r="P27" s="5" t="s">
        <v>126</v>
      </c>
      <c r="Q27" s="5"/>
    </row>
    <row r="28" ht="15" spans="2:17">
      <c r="B28" s="310"/>
      <c r="C28" s="100"/>
      <c r="D28" s="100"/>
      <c r="E28" s="5" t="s">
        <v>127</v>
      </c>
      <c r="F28" s="5" t="s">
        <v>128</v>
      </c>
      <c r="G28" s="5" t="s">
        <v>129</v>
      </c>
      <c r="H28" s="5" t="s">
        <v>127</v>
      </c>
      <c r="I28" s="5" t="s">
        <v>130</v>
      </c>
      <c r="J28" s="5" t="s">
        <v>131</v>
      </c>
      <c r="K28" s="5" t="s">
        <v>131</v>
      </c>
      <c r="L28" s="5" t="s">
        <v>132</v>
      </c>
      <c r="M28" s="5" t="s">
        <v>132</v>
      </c>
      <c r="N28" s="5" t="s">
        <v>132</v>
      </c>
      <c r="O28" s="5" t="s">
        <v>132</v>
      </c>
      <c r="P28" s="5" t="s">
        <v>132</v>
      </c>
      <c r="Q28" s="208"/>
    </row>
    <row r="29" spans="1:17">
      <c r="A29" s="15" t="s">
        <v>146</v>
      </c>
      <c r="B29" s="922">
        <v>1</v>
      </c>
      <c r="C29" s="21" t="s">
        <v>138</v>
      </c>
      <c r="D29" s="921" t="s">
        <v>39</v>
      </c>
      <c r="E29" s="123">
        <f>'[4]Distribution Cost'!$C$66</f>
        <v>3298.81</v>
      </c>
      <c r="F29" s="123">
        <f>'[4]Distribution Cost'!$D$66</f>
        <v>3429.81</v>
      </c>
      <c r="G29" s="123">
        <f>F29-E29</f>
        <v>131</v>
      </c>
      <c r="H29" s="123">
        <f>'[4]Distribution Cost'!$F$50</f>
        <v>3629.21</v>
      </c>
      <c r="I29" s="123">
        <f>F15x!I12</f>
        <v>0</v>
      </c>
      <c r="J29" s="123">
        <f>F15x!J12</f>
        <v>0</v>
      </c>
      <c r="K29" s="123">
        <f>H29</f>
        <v>3629.21</v>
      </c>
      <c r="L29" s="937">
        <f>'[5]F1'!L33</f>
        <v>3603.8583151204</v>
      </c>
      <c r="M29" s="937">
        <f>'[5]F1'!M33</f>
        <v>3822.63081154491</v>
      </c>
      <c r="N29" s="123">
        <f>'[6]Dist ARR'!J5</f>
        <v>4772.89085681509</v>
      </c>
      <c r="O29" s="123">
        <f>'[6]Dist ARR'!K5</f>
        <v>5144.65238473368</v>
      </c>
      <c r="P29" s="123">
        <f>'[6]Dist ARR'!L5</f>
        <v>5542.39371945507</v>
      </c>
      <c r="Q29" s="21"/>
    </row>
    <row r="30" spans="1:17">
      <c r="A30" s="15" t="s">
        <v>146</v>
      </c>
      <c r="B30" s="20">
        <f t="shared" ref="B30:B34" si="17">B29+1</f>
        <v>2</v>
      </c>
      <c r="C30" s="28" t="s">
        <v>139</v>
      </c>
      <c r="D30" s="921" t="s">
        <v>53</v>
      </c>
      <c r="E30" s="123">
        <f>'[4]Distribution Cost'!$C$68</f>
        <v>1039.9</v>
      </c>
      <c r="F30" s="123">
        <f>'[4]Distribution Cost'!$D$68</f>
        <v>801.9</v>
      </c>
      <c r="G30" s="123">
        <f>F30-E30</f>
        <v>-238</v>
      </c>
      <c r="H30" s="123">
        <f>'[4]Distribution Cost'!$F$52</f>
        <v>1158.53</v>
      </c>
      <c r="I30" s="123">
        <f>F17x!M21/2</f>
        <v>0</v>
      </c>
      <c r="J30" s="123">
        <f>F17x!M21/2</f>
        <v>0</v>
      </c>
      <c r="K30" s="123">
        <f>H30</f>
        <v>1158.53</v>
      </c>
      <c r="L30" s="937">
        <f>'[5]F1'!L34</f>
        <v>784.294067752994</v>
      </c>
      <c r="M30" s="937">
        <f>'[5]F1'!M34</f>
        <v>830.806900106362</v>
      </c>
      <c r="N30" s="123">
        <f>'[6]Dist ARR'!J6</f>
        <v>1373.13821131461</v>
      </c>
      <c r="O30" s="123">
        <f>'[6]Dist ARR'!K6</f>
        <v>1712.38608417023</v>
      </c>
      <c r="P30" s="123">
        <f>'[6]Dist ARR'!L6</f>
        <v>2078.77527399428</v>
      </c>
      <c r="Q30" s="21"/>
    </row>
    <row r="31" spans="1:17">
      <c r="A31" s="15" t="s">
        <v>146</v>
      </c>
      <c r="B31" s="20">
        <f t="shared" si="17"/>
        <v>3</v>
      </c>
      <c r="C31" s="21" t="s">
        <v>56</v>
      </c>
      <c r="D31" s="20" t="s">
        <v>55</v>
      </c>
      <c r="E31" s="923">
        <f>'[4]Distribution Cost'!$C$67+'[4]Distribution Cost'!$C$69+'[4]Distribution Cost'!$C$70+'[4]Distribution Cost'!$C$71</f>
        <v>895.53</v>
      </c>
      <c r="F31" s="923">
        <f>'[4]Distribution Cost'!$D$67+'[4]Distribution Cost'!$D$69+'[4]Distribution Cost'!$D$70+'[4]Distribution Cost'!$D$71</f>
        <v>601.4</v>
      </c>
      <c r="G31" s="923">
        <f>F31-E31</f>
        <v>-294.13</v>
      </c>
      <c r="H31" s="923">
        <f>'[4]Distribution Cost'!$F$51+'[4]Distribution Cost'!$F$53+'[4]Distribution Cost'!$F$54</f>
        <v>1015.99</v>
      </c>
      <c r="I31" s="923">
        <f>F18x!H21</f>
        <v>0</v>
      </c>
      <c r="J31" s="923">
        <f>F18x!I21</f>
        <v>0</v>
      </c>
      <c r="K31" s="923">
        <f>H31</f>
        <v>1015.99</v>
      </c>
      <c r="L31" s="937">
        <f>'[5]F1'!L35</f>
        <v>429.086851789245</v>
      </c>
      <c r="M31" s="937">
        <f>'[5]F1'!M35</f>
        <v>452.831902370144</v>
      </c>
      <c r="N31" s="123">
        <f>'[6]Dist ARR'!J7</f>
        <v>874.618450827052</v>
      </c>
      <c r="O31" s="123">
        <f>'[6]Dist ARR'!K7</f>
        <v>1145.30650154405</v>
      </c>
      <c r="P31" s="123">
        <f>'[6]Dist ARR'!L7</f>
        <v>1419.33402046457</v>
      </c>
      <c r="Q31" s="21"/>
    </row>
    <row r="32" spans="1:17">
      <c r="A32" s="15" t="s">
        <v>146</v>
      </c>
      <c r="B32" s="20">
        <f t="shared" si="17"/>
        <v>4</v>
      </c>
      <c r="C32" s="28" t="s">
        <v>140</v>
      </c>
      <c r="D32" s="20" t="s">
        <v>57</v>
      </c>
      <c r="E32" s="924"/>
      <c r="F32" s="924"/>
      <c r="G32" s="924"/>
      <c r="H32" s="924"/>
      <c r="I32" s="924"/>
      <c r="J32" s="924"/>
      <c r="K32" s="924"/>
      <c r="L32" s="937">
        <f>'[5]F1'!L36</f>
        <v>124.872597135151</v>
      </c>
      <c r="M32" s="937">
        <f>'[5]F1'!M36</f>
        <v>135</v>
      </c>
      <c r="N32" s="123">
        <f>'[6]Dist ARR'!J8</f>
        <v>175.33397479549</v>
      </c>
      <c r="O32" s="123">
        <f>'[6]Dist ARR'!K8</f>
        <v>201.407001149755</v>
      </c>
      <c r="P32" s="123">
        <f>'[6]Dist ARR'!L8</f>
        <v>229.249794321874</v>
      </c>
      <c r="Q32" s="21"/>
    </row>
    <row r="33" spans="1:17">
      <c r="A33" s="15" t="s">
        <v>146</v>
      </c>
      <c r="B33" s="20">
        <f t="shared" si="17"/>
        <v>5</v>
      </c>
      <c r="C33" s="21" t="s">
        <v>60</v>
      </c>
      <c r="D33" s="20" t="s">
        <v>59</v>
      </c>
      <c r="E33" s="925"/>
      <c r="F33" s="925"/>
      <c r="G33" s="925"/>
      <c r="H33" s="925"/>
      <c r="I33" s="925"/>
      <c r="J33" s="925"/>
      <c r="K33" s="925"/>
      <c r="L33" s="937">
        <f>'[5]F1'!L37</f>
        <v>170.215720855173</v>
      </c>
      <c r="M33" s="937">
        <f>'[5]F1'!M37</f>
        <v>306.894726311852</v>
      </c>
      <c r="N33" s="123">
        <f>'[6]Dist ARR'!J9</f>
        <v>526.806184342601</v>
      </c>
      <c r="O33" s="123">
        <f>'[6]Dist ARR'!K9</f>
        <v>724.280639343706</v>
      </c>
      <c r="P33" s="123">
        <f>'[6]Dist ARR'!L9</f>
        <v>937.439368584169</v>
      </c>
      <c r="Q33" s="21"/>
    </row>
    <row r="34" spans="1:17">
      <c r="A34" s="15" t="s">
        <v>146</v>
      </c>
      <c r="B34" s="20">
        <f t="shared" si="17"/>
        <v>6</v>
      </c>
      <c r="C34" s="21" t="s">
        <v>147</v>
      </c>
      <c r="D34" s="20"/>
      <c r="E34" s="123"/>
      <c r="F34" s="123"/>
      <c r="G34" s="123"/>
      <c r="H34" s="123"/>
      <c r="I34" s="123"/>
      <c r="J34" s="123"/>
      <c r="K34" s="123"/>
      <c r="L34" s="937"/>
      <c r="M34" s="937"/>
      <c r="N34" s="123"/>
      <c r="O34" s="123"/>
      <c r="P34" s="123"/>
      <c r="Q34" s="21"/>
    </row>
    <row r="35" spans="1:17">
      <c r="A35" s="15" t="s">
        <v>146</v>
      </c>
      <c r="B35" s="20">
        <v>6.1</v>
      </c>
      <c r="C35" s="21" t="s">
        <v>148</v>
      </c>
      <c r="D35" s="20" t="s">
        <v>65</v>
      </c>
      <c r="E35" s="123">
        <f>'[4]Distribution Cost'!$C$74</f>
        <v>45.81</v>
      </c>
      <c r="F35" s="123">
        <f>'[4]Distribution Cost'!$D$74</f>
        <v>19.26</v>
      </c>
      <c r="G35" s="123">
        <f>F35-E35</f>
        <v>-26.55</v>
      </c>
      <c r="H35" s="123">
        <f>'[4]Distribution Cost'!$F$57</f>
        <v>49.84</v>
      </c>
      <c r="I35" s="123">
        <f>F23x!H9</f>
        <v>0</v>
      </c>
      <c r="J35" s="123">
        <f>F23x!I9</f>
        <v>0</v>
      </c>
      <c r="K35" s="123">
        <f>H35</f>
        <v>49.84</v>
      </c>
      <c r="L35" s="937">
        <f>'[5]F1'!L39</f>
        <v>1.21</v>
      </c>
      <c r="M35" s="937">
        <f>'[5]F1'!M39</f>
        <v>1.19</v>
      </c>
      <c r="N35" s="123">
        <f>'[6]Dist ARR'!J12</f>
        <v>1.26988116913062</v>
      </c>
      <c r="O35" s="123">
        <f>'[6]Dist ARR'!K12</f>
        <v>1.25458920832696</v>
      </c>
      <c r="P35" s="123">
        <f>'[6]Dist ARR'!L12</f>
        <v>1.22466424184411</v>
      </c>
      <c r="Q35" s="21"/>
    </row>
    <row r="36" spans="1:17">
      <c r="A36" s="15" t="s">
        <v>146</v>
      </c>
      <c r="B36" s="20">
        <v>6.2</v>
      </c>
      <c r="C36" s="21" t="s">
        <v>62</v>
      </c>
      <c r="D36" s="20" t="s">
        <v>61</v>
      </c>
      <c r="E36" s="123">
        <f>'[4]Distribution Cost'!$C$73</f>
        <v>536.47</v>
      </c>
      <c r="F36" s="123">
        <f>'[4]Distribution Cost'!$D$73</f>
        <v>481.7</v>
      </c>
      <c r="G36" s="123">
        <f>F36-E36</f>
        <v>-54.77</v>
      </c>
      <c r="H36" s="123">
        <f>'[4]Distribution Cost'!$F$56</f>
        <v>585.52</v>
      </c>
      <c r="I36" s="123">
        <f>F21x!H22</f>
        <v>0</v>
      </c>
      <c r="J36" s="123">
        <f>F21x!I22</f>
        <v>0</v>
      </c>
      <c r="K36" s="123">
        <f>H36</f>
        <v>585.52</v>
      </c>
      <c r="L36" s="937">
        <f>'[5]F1'!L40</f>
        <v>130.8048</v>
      </c>
      <c r="M36" s="937">
        <f>'[5]F1'!M40</f>
        <v>133.420896</v>
      </c>
      <c r="N36" s="123">
        <f>'[6]Dist ARR'!J13</f>
        <v>143.778827088</v>
      </c>
      <c r="O36" s="123">
        <f>'[6]Dist ARR'!K13</f>
        <v>146.65440362976</v>
      </c>
      <c r="P36" s="123">
        <f>'[6]Dist ARR'!L13</f>
        <v>149.587491702355</v>
      </c>
      <c r="Q36" s="21"/>
    </row>
    <row r="37" spans="1:17">
      <c r="A37" s="15" t="s">
        <v>146</v>
      </c>
      <c r="B37" s="20">
        <v>6.3</v>
      </c>
      <c r="C37" s="21" t="s">
        <v>149</v>
      </c>
      <c r="D37" s="20" t="s">
        <v>63</v>
      </c>
      <c r="E37" s="123">
        <f>'F22-x'!D18</f>
        <v>0</v>
      </c>
      <c r="F37" s="123">
        <f>'F22-x'!E18</f>
        <v>0</v>
      </c>
      <c r="G37" s="123">
        <f>'F22-x'!F18</f>
        <v>0</v>
      </c>
      <c r="H37" s="123">
        <f>'F22-x'!G18</f>
        <v>0</v>
      </c>
      <c r="I37" s="123">
        <f>'F22-x'!H18</f>
        <v>0</v>
      </c>
      <c r="J37" s="123">
        <f>'F22-x'!I18</f>
        <v>0</v>
      </c>
      <c r="K37" s="123">
        <f>H37</f>
        <v>0</v>
      </c>
      <c r="L37" s="937">
        <f>'[5]F1'!L41</f>
        <v>0</v>
      </c>
      <c r="M37" s="937">
        <f>'[5]F1'!M41</f>
        <v>0</v>
      </c>
      <c r="N37" s="123">
        <f>'[6]Dist ARR'!J14</f>
        <v>0</v>
      </c>
      <c r="O37" s="123">
        <f>'[6]Dist ARR'!K14</f>
        <v>0</v>
      </c>
      <c r="P37" s="123">
        <f>'[6]Dist ARR'!L14</f>
        <v>0</v>
      </c>
      <c r="Q37" s="21"/>
    </row>
    <row r="38" spans="1:17">
      <c r="A38" s="15" t="s">
        <v>146</v>
      </c>
      <c r="B38" s="20">
        <f>B34+1</f>
        <v>7</v>
      </c>
      <c r="C38" s="21" t="s">
        <v>150</v>
      </c>
      <c r="D38" s="20"/>
      <c r="E38" s="123"/>
      <c r="F38" s="123"/>
      <c r="G38" s="123"/>
      <c r="H38" s="123"/>
      <c r="I38" s="123"/>
      <c r="J38" s="123"/>
      <c r="K38" s="123"/>
      <c r="L38" s="937"/>
      <c r="M38" s="937"/>
      <c r="N38" s="123"/>
      <c r="O38" s="123"/>
      <c r="P38" s="123"/>
      <c r="Q38" s="21"/>
    </row>
    <row r="39" spans="1:17">
      <c r="A39" s="15" t="s">
        <v>146</v>
      </c>
      <c r="B39" s="20">
        <v>7.1</v>
      </c>
      <c r="C39" s="21" t="s">
        <v>151</v>
      </c>
      <c r="D39" s="20" t="s">
        <v>91</v>
      </c>
      <c r="E39" s="123"/>
      <c r="F39" s="123">
        <v>0</v>
      </c>
      <c r="G39" s="123">
        <f>F39-E39</f>
        <v>0</v>
      </c>
      <c r="H39" s="123"/>
      <c r="I39" s="123"/>
      <c r="J39" s="123"/>
      <c r="K39" s="123"/>
      <c r="L39" s="937">
        <f>'[5]F1'!L43</f>
        <v>0</v>
      </c>
      <c r="M39" s="937">
        <f>'[5]F1'!M43</f>
        <v>0</v>
      </c>
      <c r="N39" s="123"/>
      <c r="O39" s="123"/>
      <c r="P39" s="123"/>
      <c r="Q39" s="21"/>
    </row>
    <row r="40" ht="15" spans="1:17">
      <c r="A40" s="15" t="s">
        <v>146</v>
      </c>
      <c r="B40" s="6">
        <f>B38+1</f>
        <v>8</v>
      </c>
      <c r="C40" s="19" t="s">
        <v>8</v>
      </c>
      <c r="D40" s="20"/>
      <c r="E40" s="931">
        <f>SUM(E29:E33)-SUM(E35:E37)+E39</f>
        <v>4651.96</v>
      </c>
      <c r="F40" s="931">
        <f t="shared" ref="F40:P40" si="18">SUM(F29:F33)-SUM(F35:F37)+F39</f>
        <v>4332.15</v>
      </c>
      <c r="G40" s="931">
        <f t="shared" si="18"/>
        <v>-319.81</v>
      </c>
      <c r="H40" s="931">
        <f t="shared" si="18"/>
        <v>5168.37</v>
      </c>
      <c r="I40" s="931">
        <f t="shared" si="18"/>
        <v>0</v>
      </c>
      <c r="J40" s="931">
        <f t="shared" si="18"/>
        <v>0</v>
      </c>
      <c r="K40" s="931">
        <f t="shared" si="18"/>
        <v>5168.37</v>
      </c>
      <c r="L40" s="931">
        <f t="shared" si="18"/>
        <v>4980.31275265296</v>
      </c>
      <c r="M40" s="931">
        <f t="shared" si="18"/>
        <v>5413.55344433327</v>
      </c>
      <c r="N40" s="931">
        <f t="shared" si="18"/>
        <v>7577.73896983771</v>
      </c>
      <c r="O40" s="931">
        <f t="shared" si="18"/>
        <v>8780.12361810333</v>
      </c>
      <c r="P40" s="931">
        <f t="shared" si="18"/>
        <v>10056.3800208758</v>
      </c>
      <c r="Q40" s="21"/>
    </row>
    <row r="42" ht="15" spans="2:3">
      <c r="B42" s="2" t="s">
        <v>152</v>
      </c>
      <c r="C42" s="34" t="s">
        <v>153</v>
      </c>
    </row>
    <row r="43" ht="15" spans="11:17">
      <c r="K43" s="938"/>
      <c r="L43" s="938"/>
      <c r="M43" s="938"/>
      <c r="N43" s="938"/>
      <c r="O43" s="938"/>
      <c r="P43" s="938"/>
      <c r="Q43" s="33" t="s">
        <v>109</v>
      </c>
    </row>
    <row r="44" ht="12.75" customHeight="1" spans="2:17">
      <c r="B44" s="16" t="s">
        <v>3</v>
      </c>
      <c r="C44" s="6" t="s">
        <v>110</v>
      </c>
      <c r="D44" s="6" t="s">
        <v>111</v>
      </c>
      <c r="E44" s="306" t="s">
        <v>154</v>
      </c>
      <c r="F44" s="307"/>
      <c r="G44" s="307"/>
      <c r="H44" s="5" t="s">
        <v>113</v>
      </c>
      <c r="I44" s="5"/>
      <c r="J44" s="5"/>
      <c r="K44" s="5"/>
      <c r="L44" s="135" t="s">
        <v>114</v>
      </c>
      <c r="M44" s="135"/>
      <c r="N44" s="135"/>
      <c r="O44" s="135"/>
      <c r="P44" s="135"/>
      <c r="Q44" s="308" t="s">
        <v>115</v>
      </c>
    </row>
    <row r="45" ht="30" customHeight="1" spans="2:17">
      <c r="B45" s="309"/>
      <c r="C45" s="6"/>
      <c r="D45" s="6"/>
      <c r="E45" s="5" t="s">
        <v>116</v>
      </c>
      <c r="F45" s="5" t="s">
        <v>117</v>
      </c>
      <c r="G45" s="5" t="s">
        <v>118</v>
      </c>
      <c r="H45" s="535" t="s">
        <v>116</v>
      </c>
      <c r="I45" s="535" t="s">
        <v>119</v>
      </c>
      <c r="J45" s="535" t="s">
        <v>120</v>
      </c>
      <c r="K45" s="535" t="s">
        <v>121</v>
      </c>
      <c r="L45" s="535" t="s">
        <v>122</v>
      </c>
      <c r="M45" s="535" t="s">
        <v>123</v>
      </c>
      <c r="N45" s="535" t="s">
        <v>124</v>
      </c>
      <c r="O45" s="535" t="s">
        <v>125</v>
      </c>
      <c r="P45" s="535" t="s">
        <v>126</v>
      </c>
      <c r="Q45" s="5"/>
    </row>
    <row r="46" ht="15" spans="2:17">
      <c r="B46" s="310"/>
      <c r="C46" s="100"/>
      <c r="D46" s="100"/>
      <c r="E46" s="5" t="s">
        <v>127</v>
      </c>
      <c r="F46" s="5" t="s">
        <v>128</v>
      </c>
      <c r="G46" s="5" t="s">
        <v>129</v>
      </c>
      <c r="H46" s="5" t="s">
        <v>127</v>
      </c>
      <c r="I46" s="5" t="s">
        <v>130</v>
      </c>
      <c r="J46" s="5" t="s">
        <v>130</v>
      </c>
      <c r="K46" s="5" t="s">
        <v>130</v>
      </c>
      <c r="L46" s="5" t="s">
        <v>132</v>
      </c>
      <c r="M46" s="5" t="s">
        <v>132</v>
      </c>
      <c r="N46" s="5" t="s">
        <v>132</v>
      </c>
      <c r="O46" s="5" t="s">
        <v>132</v>
      </c>
      <c r="P46" s="5" t="s">
        <v>132</v>
      </c>
      <c r="Q46" s="208"/>
    </row>
    <row r="47" spans="2:17">
      <c r="B47" s="922">
        <v>1</v>
      </c>
      <c r="C47" s="21" t="s">
        <v>133</v>
      </c>
      <c r="D47" s="921" t="s">
        <v>33</v>
      </c>
      <c r="E47" s="123"/>
      <c r="F47" s="123"/>
      <c r="G47" s="123"/>
      <c r="H47" s="123">
        <v>26183.99</v>
      </c>
      <c r="I47" s="123">
        <f>SUM('F13-Year(n)'!E171:J171)</f>
        <v>15647.306580854</v>
      </c>
      <c r="J47" s="123">
        <f>SUM('F13-Year(n)'!K171:P171)</f>
        <v>17748.0310241113</v>
      </c>
      <c r="K47" s="123">
        <f>'F12'!K172</f>
        <v>33395.3376049653</v>
      </c>
      <c r="L47" s="939">
        <v>29220</v>
      </c>
      <c r="M47" s="937">
        <f>'[7]PP summary'!$G$64</f>
        <v>36530.1478636222</v>
      </c>
      <c r="N47" s="123">
        <f>'F12'!N172</f>
        <v>40984.5209471396</v>
      </c>
      <c r="O47" s="123">
        <f>'F12'!O172</f>
        <v>46063.0988636256</v>
      </c>
      <c r="P47" s="123">
        <f>'F12'!P172</f>
        <v>50588.8750689337</v>
      </c>
      <c r="Q47" s="21"/>
    </row>
    <row r="48" spans="2:17">
      <c r="B48" s="922">
        <f>B47+1</f>
        <v>2</v>
      </c>
      <c r="C48" s="21" t="s">
        <v>134</v>
      </c>
      <c r="D48" s="921" t="s">
        <v>37</v>
      </c>
      <c r="E48" s="123">
        <f>'F14'!F9</f>
        <v>1114.73</v>
      </c>
      <c r="F48" s="123">
        <f>'F14'!G9</f>
        <v>1718.82474534763</v>
      </c>
      <c r="G48" s="123">
        <f t="shared" ref="G48:G56" si="19">F48-E48</f>
        <v>604.09474534763</v>
      </c>
      <c r="H48" s="123">
        <f>'F14'!I9</f>
        <v>1081.98</v>
      </c>
      <c r="I48" s="123"/>
      <c r="J48" s="123"/>
      <c r="K48" s="123">
        <f>'F14'!J9</f>
        <v>1714</v>
      </c>
      <c r="L48" s="937">
        <v>1624</v>
      </c>
      <c r="M48" s="937">
        <v>1702</v>
      </c>
      <c r="N48" s="123">
        <f>'F14'!M9</f>
        <v>1790.12108313776</v>
      </c>
      <c r="O48" s="123">
        <f>'F14'!N9</f>
        <v>1879.62713729465</v>
      </c>
      <c r="P48" s="123">
        <f>'F14'!O9</f>
        <v>1973.60849415938</v>
      </c>
      <c r="Q48" s="21"/>
    </row>
    <row r="49" spans="2:17">
      <c r="B49" s="922">
        <f>B48+1</f>
        <v>3</v>
      </c>
      <c r="C49" s="21" t="s">
        <v>135</v>
      </c>
      <c r="D49" s="921" t="s">
        <v>37</v>
      </c>
      <c r="E49" s="123">
        <f>'F14'!F14</f>
        <v>2383.64</v>
      </c>
      <c r="F49" s="123">
        <f>'F14'!G14</f>
        <v>2383.6425912</v>
      </c>
      <c r="G49" s="123">
        <f t="shared" si="19"/>
        <v>0.00259120000009716</v>
      </c>
      <c r="H49" s="123">
        <f>'F14'!I14</f>
        <v>2670.27</v>
      </c>
      <c r="I49" s="123"/>
      <c r="J49" s="123"/>
      <c r="K49" s="123">
        <f>'F14'!J14</f>
        <v>2670</v>
      </c>
      <c r="L49" s="937">
        <v>2202</v>
      </c>
      <c r="M49" s="937">
        <v>1468</v>
      </c>
      <c r="N49" s="123">
        <f>'F14'!M14</f>
        <v>3146.33246</v>
      </c>
      <c r="O49" s="123">
        <f>'F14'!N14</f>
        <v>3534.435065</v>
      </c>
      <c r="P49" s="123">
        <f>'F14'!O14</f>
        <v>3875.149235</v>
      </c>
      <c r="Q49" s="21"/>
    </row>
    <row r="50" spans="2:17">
      <c r="B50" s="922">
        <f>B49+1</f>
        <v>4</v>
      </c>
      <c r="C50" s="21" t="s">
        <v>136</v>
      </c>
      <c r="D50" s="921" t="s">
        <v>37</v>
      </c>
      <c r="E50" s="123">
        <f>'F14'!F19</f>
        <v>31.67</v>
      </c>
      <c r="F50" s="123">
        <f>'F14'!G19</f>
        <v>31.6680813</v>
      </c>
      <c r="G50" s="123">
        <f t="shared" si="19"/>
        <v>-0.00191870000000094</v>
      </c>
      <c r="H50" s="123">
        <f>'F14'!I19</f>
        <v>32.81</v>
      </c>
      <c r="I50" s="123"/>
      <c r="J50" s="123"/>
      <c r="K50" s="123">
        <f>'F14'!J19</f>
        <v>33</v>
      </c>
      <c r="L50" s="937">
        <v>59</v>
      </c>
      <c r="M50" s="937">
        <v>54</v>
      </c>
      <c r="N50" s="123">
        <f>'F14'!M19</f>
        <v>77.78843</v>
      </c>
      <c r="O50" s="123">
        <f>'F14'!N19</f>
        <v>80.48344</v>
      </c>
      <c r="P50" s="123">
        <f>'F14'!O19</f>
        <v>83.326605</v>
      </c>
      <c r="Q50" s="21"/>
    </row>
    <row r="51" spans="1:17">
      <c r="A51" s="15" t="s">
        <v>155</v>
      </c>
      <c r="B51" s="922">
        <f>B50+1</f>
        <v>5</v>
      </c>
      <c r="C51" s="21" t="s">
        <v>138</v>
      </c>
      <c r="D51" s="921" t="s">
        <v>39</v>
      </c>
      <c r="E51" s="123"/>
      <c r="F51" s="123"/>
      <c r="G51" s="123">
        <f t="shared" si="19"/>
        <v>0</v>
      </c>
      <c r="H51" s="123"/>
      <c r="I51" s="123"/>
      <c r="J51" s="123"/>
      <c r="K51" s="123"/>
      <c r="L51" s="937">
        <f>'[5]F1'!L55</f>
        <v>400.428701680045</v>
      </c>
      <c r="M51" s="937">
        <f>'[5]F1'!M55</f>
        <v>424.736756838323</v>
      </c>
      <c r="N51" s="123">
        <f>'[8]TGSPDCL (3)'!G8</f>
        <v>526.049367486187</v>
      </c>
      <c r="O51" s="123">
        <f>'[8]TGSPDCL (3)'!H8</f>
        <v>565.440684178659</v>
      </c>
      <c r="P51" s="123">
        <f>'[8]TGSPDCL (3)'!I8</f>
        <v>607.723791202346</v>
      </c>
      <c r="Q51" s="21"/>
    </row>
    <row r="52" spans="1:17">
      <c r="A52" s="15" t="s">
        <v>155</v>
      </c>
      <c r="B52" s="20">
        <f t="shared" ref="B52:B54" si="20">B51+1</f>
        <v>6</v>
      </c>
      <c r="C52" s="28" t="s">
        <v>139</v>
      </c>
      <c r="D52" s="921" t="s">
        <v>53</v>
      </c>
      <c r="E52" s="123"/>
      <c r="F52" s="123"/>
      <c r="G52" s="123">
        <f t="shared" si="19"/>
        <v>0</v>
      </c>
      <c r="H52" s="123"/>
      <c r="I52" s="123"/>
      <c r="J52" s="123"/>
      <c r="K52" s="123"/>
      <c r="L52" s="937">
        <f>'[5]F1'!L56</f>
        <v>87.1437853058882</v>
      </c>
      <c r="M52" s="937">
        <f>'[5]F1'!M56</f>
        <v>92.3118777895958</v>
      </c>
      <c r="N52" s="123">
        <f>'[8]TGSPDCL (3)'!G9</f>
        <v>152.57091236829</v>
      </c>
      <c r="O52" s="123">
        <f>'[8]TGSPDCL (3)'!H9</f>
        <v>190.265120463359</v>
      </c>
      <c r="P52" s="123">
        <f>'[8]TGSPDCL (3)'!I9</f>
        <v>230.975030443809</v>
      </c>
      <c r="Q52" s="21"/>
    </row>
    <row r="53" spans="1:17">
      <c r="A53" s="15" t="s">
        <v>155</v>
      </c>
      <c r="B53" s="20">
        <f t="shared" si="20"/>
        <v>7</v>
      </c>
      <c r="C53" s="21" t="s">
        <v>56</v>
      </c>
      <c r="D53" s="20" t="s">
        <v>55</v>
      </c>
      <c r="E53" s="123"/>
      <c r="F53" s="123"/>
      <c r="G53" s="123">
        <f t="shared" si="19"/>
        <v>0</v>
      </c>
      <c r="H53" s="123"/>
      <c r="I53" s="123"/>
      <c r="J53" s="123"/>
      <c r="K53" s="123"/>
      <c r="L53" s="937">
        <f>'[5]F1'!L57</f>
        <v>47.6763168654716</v>
      </c>
      <c r="M53" s="937">
        <f>'[5]F1'!M57</f>
        <v>50.3146558189048</v>
      </c>
      <c r="N53" s="123">
        <f>'[8]TGSPDCL (3)'!G10</f>
        <v>97.1798278696725</v>
      </c>
      <c r="O53" s="123">
        <f>'[8]TGSPDCL (3)'!H10</f>
        <v>127.256277949339</v>
      </c>
      <c r="P53" s="123">
        <f>'[8]TGSPDCL (3)'!I10</f>
        <v>157.703780051619</v>
      </c>
      <c r="Q53" s="21"/>
    </row>
    <row r="54" spans="1:17">
      <c r="A54" s="15" t="s">
        <v>155</v>
      </c>
      <c r="B54" s="20">
        <f t="shared" si="20"/>
        <v>8</v>
      </c>
      <c r="C54" s="28" t="s">
        <v>140</v>
      </c>
      <c r="D54" s="20" t="s">
        <v>57</v>
      </c>
      <c r="E54" s="123"/>
      <c r="F54" s="123"/>
      <c r="G54" s="123">
        <f t="shared" si="19"/>
        <v>0</v>
      </c>
      <c r="H54" s="123"/>
      <c r="I54" s="123"/>
      <c r="J54" s="123"/>
      <c r="K54" s="123"/>
      <c r="L54" s="937">
        <f>'[5]F1'!L58</f>
        <v>0</v>
      </c>
      <c r="M54" s="937">
        <f>'[5]F1'!M58</f>
        <v>0</v>
      </c>
      <c r="N54" s="123">
        <v>0</v>
      </c>
      <c r="O54" s="123">
        <v>0</v>
      </c>
      <c r="P54" s="123">
        <v>0</v>
      </c>
      <c r="Q54" s="21"/>
    </row>
    <row r="55" spans="1:17">
      <c r="A55" s="15" t="s">
        <v>155</v>
      </c>
      <c r="B55" s="20">
        <v>9</v>
      </c>
      <c r="C55" s="21" t="s">
        <v>60</v>
      </c>
      <c r="D55" s="20" t="s">
        <v>59</v>
      </c>
      <c r="E55" s="123"/>
      <c r="F55" s="123"/>
      <c r="G55" s="123"/>
      <c r="H55" s="123"/>
      <c r="I55" s="123"/>
      <c r="J55" s="123"/>
      <c r="K55" s="123"/>
      <c r="L55" s="937">
        <f>'[5]F1'!L60</f>
        <v>18.912857872797</v>
      </c>
      <c r="M55" s="937">
        <f>'[5]F1'!M60</f>
        <v>34.0994140346503</v>
      </c>
      <c r="N55" s="123">
        <f>'[8]TGSPDCL (3)'!G12</f>
        <v>58.6871089690796</v>
      </c>
      <c r="O55" s="123">
        <f>'[8]TGSPDCL (3)'!H12</f>
        <v>80.6928069876167</v>
      </c>
      <c r="P55" s="123">
        <f>'[8]TGSPDCL (3)'!I12</f>
        <v>104.446449432607</v>
      </c>
      <c r="Q55" s="21"/>
    </row>
    <row r="56" spans="2:17">
      <c r="B56" s="20">
        <v>10</v>
      </c>
      <c r="C56" s="926" t="s">
        <v>141</v>
      </c>
      <c r="D56" s="20" t="s">
        <v>57</v>
      </c>
      <c r="E56" s="123">
        <v>174.45</v>
      </c>
      <c r="F56" s="123">
        <v>254.51</v>
      </c>
      <c r="G56" s="123">
        <f t="shared" si="19"/>
        <v>80.06</v>
      </c>
      <c r="H56" s="123">
        <v>293.44</v>
      </c>
      <c r="I56" s="123">
        <f>F19x!H13</f>
        <v>0</v>
      </c>
      <c r="J56" s="123">
        <f>F19x!I13</f>
        <v>0</v>
      </c>
      <c r="K56" s="123">
        <f>'F19-x'!D58</f>
        <v>311.985</v>
      </c>
      <c r="L56" s="937">
        <f>[9]TSSPDCL!G13</f>
        <v>325.379840625</v>
      </c>
      <c r="M56" s="937">
        <f>[9]TSSPDCL!H13</f>
        <v>347.247157485601</v>
      </c>
      <c r="N56" s="123">
        <f>'F19-x'!G58</f>
        <v>343.399071949255</v>
      </c>
      <c r="O56" s="123">
        <f>'F19-x'!H58</f>
        <v>353.701044107732</v>
      </c>
      <c r="P56" s="123">
        <f>'F19-x'!I58</f>
        <v>364.312075430964</v>
      </c>
      <c r="Q56" s="21"/>
    </row>
    <row r="57" ht="15" spans="2:17">
      <c r="B57" s="6">
        <v>11</v>
      </c>
      <c r="C57" s="19" t="s">
        <v>8</v>
      </c>
      <c r="D57" s="932"/>
      <c r="E57" s="927">
        <f t="shared" ref="E57:P57" si="21">SUM(E47:E56)</f>
        <v>3704.49</v>
      </c>
      <c r="F57" s="927">
        <f t="shared" si="21"/>
        <v>4388.64541784763</v>
      </c>
      <c r="G57" s="927">
        <f t="shared" si="21"/>
        <v>684.15541784763</v>
      </c>
      <c r="H57" s="927">
        <f t="shared" si="21"/>
        <v>30262.49</v>
      </c>
      <c r="I57" s="927">
        <f t="shared" si="21"/>
        <v>15647.306580854</v>
      </c>
      <c r="J57" s="927">
        <f t="shared" si="21"/>
        <v>17748.0310241113</v>
      </c>
      <c r="K57" s="927">
        <f t="shared" si="21"/>
        <v>38124.3226049653</v>
      </c>
      <c r="L57" s="934">
        <f t="shared" si="21"/>
        <v>33984.5415023492</v>
      </c>
      <c r="M57" s="934">
        <f t="shared" si="21"/>
        <v>40702.8577255893</v>
      </c>
      <c r="N57" s="927">
        <f t="shared" si="21"/>
        <v>47176.6492089198</v>
      </c>
      <c r="O57" s="927">
        <f t="shared" si="21"/>
        <v>52875.000439607</v>
      </c>
      <c r="P57" s="927">
        <f t="shared" si="21"/>
        <v>57986.1205296544</v>
      </c>
      <c r="Q57" s="21"/>
    </row>
  </sheetData>
  <mergeCells count="31">
    <mergeCell ref="E6:G6"/>
    <mergeCell ref="H6:K6"/>
    <mergeCell ref="L6:P6"/>
    <mergeCell ref="E26:G26"/>
    <mergeCell ref="H26:K26"/>
    <mergeCell ref="L26:P26"/>
    <mergeCell ref="E44:G44"/>
    <mergeCell ref="H44:K44"/>
    <mergeCell ref="L44:P44"/>
    <mergeCell ref="B6:B8"/>
    <mergeCell ref="B26:B28"/>
    <mergeCell ref="B44:B46"/>
    <mergeCell ref="C6:C8"/>
    <mergeCell ref="C26:C28"/>
    <mergeCell ref="C44:C46"/>
    <mergeCell ref="D6:D8"/>
    <mergeCell ref="D26:D28"/>
    <mergeCell ref="D44:D46"/>
    <mergeCell ref="E16:E18"/>
    <mergeCell ref="E31:E33"/>
    <mergeCell ref="F16:F18"/>
    <mergeCell ref="F31:F33"/>
    <mergeCell ref="G16:G18"/>
    <mergeCell ref="G31:G33"/>
    <mergeCell ref="H31:H33"/>
    <mergeCell ref="I31:I33"/>
    <mergeCell ref="J31:J33"/>
    <mergeCell ref="K31:K33"/>
    <mergeCell ref="Q6:Q8"/>
    <mergeCell ref="Q26:Q28"/>
    <mergeCell ref="Q44:Q46"/>
  </mergeCells>
  <printOptions horizontalCentered="1"/>
  <pageMargins left="0.78740157480315" right="0.236220472440945" top="0.905511811023622" bottom="0.984251968503937" header="0.511811023622047" footer="0.511811023622047"/>
  <pageSetup paperSize="9" scale="88" orientation="portrait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B2:Q164"/>
  <sheetViews>
    <sheetView showGridLines="0" zoomScale="62" zoomScaleNormal="62" topLeftCell="C1" workbookViewId="0">
      <pane xSplit="2" ySplit="7" topLeftCell="E100" activePane="bottomRight" state="frozen"/>
      <selection/>
      <selection pane="topRight"/>
      <selection pane="bottomLeft"/>
      <selection pane="bottomRight" activeCell="E105" sqref="E105:P106"/>
    </sheetView>
  </sheetViews>
  <sheetFormatPr defaultColWidth="9.14285714285714" defaultRowHeight="14.25"/>
  <cols>
    <col min="1" max="1" width="3.14285714285714" style="12" customWidth="1"/>
    <col min="2" max="2" width="8.14285714285714" style="12" customWidth="1"/>
    <col min="3" max="3" width="22.1428571428571" style="12" customWidth="1"/>
    <col min="4" max="4" width="42.8571428571429" style="12" customWidth="1"/>
    <col min="5" max="5" width="13.8571428571429" style="12" customWidth="1"/>
    <col min="6" max="6" width="13.1428571428571" style="12" customWidth="1"/>
    <col min="7" max="7" width="13.5714285714286" style="12" customWidth="1"/>
    <col min="8" max="8" width="13.8571428571429" style="12" customWidth="1"/>
    <col min="9" max="9" width="13.1428571428571" style="12" customWidth="1"/>
    <col min="10" max="10" width="14.8571428571429" style="12" customWidth="1"/>
    <col min="11" max="11" width="12.5714285714286" style="12" customWidth="1"/>
    <col min="12" max="12" width="13.1428571428571" style="12" customWidth="1"/>
    <col min="13" max="13" width="14" style="12" customWidth="1"/>
    <col min="14" max="16" width="13.1428571428571" style="12" customWidth="1"/>
    <col min="17" max="18" width="12.4285714285714" style="12" customWidth="1"/>
    <col min="19" max="19" width="12.8571428571429" style="12" customWidth="1"/>
    <col min="20" max="16384" width="9.14285714285714" style="12"/>
  </cols>
  <sheetData>
    <row r="2" ht="15" spans="3:16">
      <c r="C2" s="2" t="s">
        <v>156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customHeight="1" spans="3:17">
      <c r="C3" s="3" t="s">
        <v>478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ht="15" spans="3:17">
      <c r="C4" s="14"/>
      <c r="Q4" s="3" t="s">
        <v>236</v>
      </c>
    </row>
    <row r="5" ht="15" spans="3:17">
      <c r="C5" s="658" t="s">
        <v>345</v>
      </c>
      <c r="D5" s="658" t="s">
        <v>346</v>
      </c>
      <c r="E5" s="135" t="s">
        <v>164</v>
      </c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</row>
    <row r="6" ht="15" spans="3:17">
      <c r="C6" s="660"/>
      <c r="D6" s="660"/>
      <c r="E6" s="135" t="s">
        <v>246</v>
      </c>
      <c r="F6" s="135" t="s">
        <v>247</v>
      </c>
      <c r="G6" s="135" t="s">
        <v>248</v>
      </c>
      <c r="H6" s="135" t="s">
        <v>249</v>
      </c>
      <c r="I6" s="135" t="s">
        <v>250</v>
      </c>
      <c r="J6" s="135" t="s">
        <v>251</v>
      </c>
      <c r="K6" s="135" t="s">
        <v>252</v>
      </c>
      <c r="L6" s="135" t="s">
        <v>253</v>
      </c>
      <c r="M6" s="135" t="s">
        <v>254</v>
      </c>
      <c r="N6" s="135" t="s">
        <v>255</v>
      </c>
      <c r="O6" s="135" t="s">
        <v>256</v>
      </c>
      <c r="P6" s="135" t="s">
        <v>257</v>
      </c>
      <c r="Q6" s="135" t="s">
        <v>97</v>
      </c>
    </row>
    <row r="7" ht="15" spans="3:17">
      <c r="C7" s="662"/>
      <c r="D7" s="662"/>
      <c r="E7" s="135" t="s">
        <v>130</v>
      </c>
      <c r="F7" s="135" t="s">
        <v>130</v>
      </c>
      <c r="G7" s="135" t="s">
        <v>130</v>
      </c>
      <c r="H7" s="135" t="s">
        <v>130</v>
      </c>
      <c r="I7" s="135" t="s">
        <v>130</v>
      </c>
      <c r="J7" s="135" t="s">
        <v>130</v>
      </c>
      <c r="K7" s="135" t="s">
        <v>130</v>
      </c>
      <c r="L7" s="135" t="s">
        <v>130</v>
      </c>
      <c r="M7" s="135" t="s">
        <v>130</v>
      </c>
      <c r="N7" s="135" t="s">
        <v>130</v>
      </c>
      <c r="O7" s="135" t="s">
        <v>130</v>
      </c>
      <c r="P7" s="135" t="s">
        <v>130</v>
      </c>
      <c r="Q7" s="135" t="s">
        <v>130</v>
      </c>
    </row>
    <row r="8" ht="15" spans="2:17">
      <c r="B8" s="656"/>
      <c r="C8" s="663" t="s">
        <v>349</v>
      </c>
      <c r="D8" s="676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ht="15" spans="3:17">
      <c r="C9" s="44" t="s">
        <v>350</v>
      </c>
      <c r="D9" s="4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customHeight="1" spans="2:17">
      <c r="B10" s="656"/>
      <c r="C10" s="677" t="s">
        <v>351</v>
      </c>
      <c r="D10" s="47" t="s">
        <v>352</v>
      </c>
      <c r="E10" s="690">
        <f>'[46]2023-24'!$G137/10^6</f>
        <v>181.703253475</v>
      </c>
      <c r="F10" s="690">
        <f>'[46]2023-24'!$M137/10^6</f>
        <v>174.757747075</v>
      </c>
      <c r="G10" s="690">
        <f>'[46]2023-24'!$S137/10^6</f>
        <v>190.076268575</v>
      </c>
      <c r="H10" s="690">
        <f>'[46]2023-24'!$Y137/10^6</f>
        <v>183.353347425</v>
      </c>
      <c r="I10" s="690">
        <f>'[46]2023-24'!$AE137/10^6</f>
        <v>178.0356059</v>
      </c>
      <c r="J10" s="690">
        <f>'[46]2023-24'!$AK137/10^6</f>
        <v>186.4482701</v>
      </c>
      <c r="K10" s="690">
        <f>'[46]2023-24'!$AQ137/10^6</f>
        <v>189.3684757</v>
      </c>
      <c r="L10" s="690">
        <f>'[46]2023-24'!$AW137/10^6</f>
        <v>184.752142275</v>
      </c>
      <c r="M10" s="690">
        <f>'[46]2023-24'!$BC137/10^6</f>
        <v>183.387493625</v>
      </c>
      <c r="N10" s="690">
        <f>'[46]2023-24'!$BI137/10^6</f>
        <v>185.727989875</v>
      </c>
      <c r="O10" s="690">
        <f>'[46]2023-24'!$BO137/10^6</f>
        <v>169.851911725</v>
      </c>
      <c r="P10" s="690">
        <f>'[46]2023-24'!$BU137/10^6</f>
        <v>180.63135205</v>
      </c>
      <c r="Q10" s="690">
        <f>SUM(E10:P10)</f>
        <v>2188.0938578</v>
      </c>
    </row>
    <row r="11" spans="2:17">
      <c r="B11" s="656"/>
      <c r="C11" s="678"/>
      <c r="D11" s="47" t="s">
        <v>353</v>
      </c>
      <c r="E11" s="690">
        <f>'[46]2023-24'!$G138/10^6</f>
        <v>207.36599235</v>
      </c>
      <c r="F11" s="690">
        <f>'[46]2023-24'!$M138/10^6</f>
        <v>215.92921025</v>
      </c>
      <c r="G11" s="690">
        <f>'[46]2023-24'!$S138/10^6</f>
        <v>200.861494</v>
      </c>
      <c r="H11" s="690">
        <f>'[46]2023-24'!$Y138/10^6</f>
        <v>213.700183</v>
      </c>
      <c r="I11" s="690">
        <f>'[46]2023-24'!$AE138/10^6</f>
        <v>182.1941051</v>
      </c>
      <c r="J11" s="690">
        <f>'[46]2023-24'!$AK138/10^6</f>
        <v>179.414294</v>
      </c>
      <c r="K11" s="690">
        <f>'[46]2023-24'!$AQ138/10^6</f>
        <v>217.30070225</v>
      </c>
      <c r="L11" s="690">
        <f>'[46]2023-24'!$AW138/10^6</f>
        <v>109.81467305</v>
      </c>
      <c r="M11" s="690">
        <f>'[46]2023-24'!$BC138/10^6</f>
        <v>149.29614625</v>
      </c>
      <c r="N11" s="690">
        <f>'[46]2023-24'!$BI138/10^6</f>
        <v>195.30462325</v>
      </c>
      <c r="O11" s="690">
        <f>'[46]2023-24'!$BO138/10^6</f>
        <v>188.25089315</v>
      </c>
      <c r="P11" s="690">
        <f>'[46]2023-24'!$BU138/10^6</f>
        <v>179.8447901</v>
      </c>
      <c r="Q11" s="690">
        <f t="shared" ref="Q11:Q17" si="0">SUM(E11:P11)</f>
        <v>2239.27710675</v>
      </c>
    </row>
    <row r="12" spans="2:17">
      <c r="B12" s="656"/>
      <c r="C12" s="678"/>
      <c r="D12" s="47" t="s">
        <v>354</v>
      </c>
      <c r="E12" s="690">
        <f>'[46]2023-24'!$G139/10^6</f>
        <v>352.148470946</v>
      </c>
      <c r="F12" s="690">
        <f>'[46]2023-24'!$M139/10^6</f>
        <v>367.415290584</v>
      </c>
      <c r="G12" s="690">
        <f>'[46]2023-24'!$S139/10^6</f>
        <v>376.752220457</v>
      </c>
      <c r="H12" s="690">
        <f>'[46]2023-24'!$Y139/10^6</f>
        <v>373.3030203745</v>
      </c>
      <c r="I12" s="690">
        <f>'[46]2023-24'!$AE139/10^6</f>
        <v>345.296472927</v>
      </c>
      <c r="J12" s="690">
        <f>'[46]2023-24'!$AK139/10^6</f>
        <v>272.8581027015</v>
      </c>
      <c r="K12" s="690">
        <f>'[46]2023-24'!$AQ139/10^6</f>
        <v>380.884427083</v>
      </c>
      <c r="L12" s="690">
        <f>'[46]2023-24'!$AW139/10^6</f>
        <v>225.9436903295</v>
      </c>
      <c r="M12" s="690">
        <f>'[46]2023-24'!$BC139/10^6</f>
        <v>357.585079344</v>
      </c>
      <c r="N12" s="690">
        <f>'[46]2023-24'!$BI139/10^6</f>
        <v>342.3877295855</v>
      </c>
      <c r="O12" s="690">
        <f>'[46]2023-24'!$BO139/10^6</f>
        <v>322.55965138</v>
      </c>
      <c r="P12" s="690">
        <f>'[46]2023-24'!$BU139/10^6</f>
        <v>344.1590961635</v>
      </c>
      <c r="Q12" s="690">
        <f t="shared" si="0"/>
        <v>4061.2932518755</v>
      </c>
    </row>
    <row r="13" spans="2:17">
      <c r="B13" s="656"/>
      <c r="C13" s="678"/>
      <c r="D13" s="47" t="s">
        <v>355</v>
      </c>
      <c r="E13" s="690">
        <f>'[46]2023-24'!$G140/10^6</f>
        <v>13.8513178425</v>
      </c>
      <c r="F13" s="690">
        <f>'[46]2023-24'!$M140/10^6</f>
        <v>17.3543158275</v>
      </c>
      <c r="G13" s="690">
        <f>'[46]2023-24'!$S140/10^6</f>
        <v>15.00677516</v>
      </c>
      <c r="H13" s="690">
        <f>'[46]2023-24'!$Y140/10^6</f>
        <v>17.361543675</v>
      </c>
      <c r="I13" s="690">
        <f>'[46]2023-24'!$AE140/10^6</f>
        <v>16.943605475</v>
      </c>
      <c r="J13" s="690">
        <f>'[46]2023-24'!$AK140/10^6</f>
        <v>2.447513545</v>
      </c>
      <c r="K13" s="690">
        <f>'[46]2023-24'!$AQ140/10^6</f>
        <v>1.216133845</v>
      </c>
      <c r="L13" s="690">
        <f>'[46]2023-24'!$AW140/10^6</f>
        <v>13.150216635</v>
      </c>
      <c r="M13" s="690">
        <f>'[46]2023-24'!$BC140/10^6</f>
        <v>16.21522611</v>
      </c>
      <c r="N13" s="690">
        <f>'[46]2023-24'!$BI140/10^6</f>
        <v>17.455092975</v>
      </c>
      <c r="O13" s="690">
        <f>'[46]2023-24'!$BO140/10^6</f>
        <v>14.201072995</v>
      </c>
      <c r="P13" s="690">
        <f>'[46]2023-24'!$BU140/10^6</f>
        <v>9.342675465</v>
      </c>
      <c r="Q13" s="690">
        <f t="shared" si="0"/>
        <v>154.54548955</v>
      </c>
    </row>
    <row r="14" spans="2:17">
      <c r="B14" s="656"/>
      <c r="C14" s="678"/>
      <c r="D14" s="47" t="s">
        <v>356</v>
      </c>
      <c r="E14" s="690">
        <f>'[46]2023-24'!$G141/10^6</f>
        <v>179.806927326</v>
      </c>
      <c r="F14" s="690">
        <f>'[46]2023-24'!$M141/10^6</f>
        <v>206.043034517</v>
      </c>
      <c r="G14" s="690">
        <f>'[46]2023-24'!$S141/10^6</f>
        <v>217.8710968835</v>
      </c>
      <c r="H14" s="690">
        <f>'[46]2023-24'!$Y141/10^6</f>
        <v>215.408432726</v>
      </c>
      <c r="I14" s="690">
        <f>'[46]2023-24'!$AE141/10^6</f>
        <v>205.3817347975</v>
      </c>
      <c r="J14" s="690">
        <f>'[46]2023-24'!$AK141/10^6</f>
        <v>195.891012274</v>
      </c>
      <c r="K14" s="690">
        <f>'[46]2023-24'!$AQ141/10^6</f>
        <v>199.972587987</v>
      </c>
      <c r="L14" s="690">
        <f>'[46]2023-24'!$AW141/10^6</f>
        <v>211.232715093</v>
      </c>
      <c r="M14" s="690">
        <f>'[46]2023-24'!$BC141/10^6</f>
        <v>212.262891837</v>
      </c>
      <c r="N14" s="690">
        <f>'[46]2023-24'!$BI141/10^6</f>
        <v>224.5753279275</v>
      </c>
      <c r="O14" s="690">
        <f>'[46]2023-24'!$BO141/10^6</f>
        <v>203.268764414</v>
      </c>
      <c r="P14" s="690">
        <f>'[46]2023-24'!$BU141/10^6</f>
        <v>212.5709307745</v>
      </c>
      <c r="Q14" s="690">
        <f t="shared" si="0"/>
        <v>2484.285456557</v>
      </c>
    </row>
    <row r="15" spans="2:17">
      <c r="B15" s="656"/>
      <c r="C15" s="678"/>
      <c r="D15" s="47" t="s">
        <v>357</v>
      </c>
      <c r="E15" s="690">
        <f>'[46]2023-24'!$G142/10^6</f>
        <v>262.918570709</v>
      </c>
      <c r="F15" s="690">
        <f>'[46]2023-24'!$M142/10^6</f>
        <v>247.9485344615</v>
      </c>
      <c r="G15" s="690">
        <f>'[46]2023-24'!$S142/10^6</f>
        <v>254.161028478</v>
      </c>
      <c r="H15" s="690">
        <f>'[46]2023-24'!$Y142/10^6</f>
        <v>192.948745689</v>
      </c>
      <c r="I15" s="690">
        <f>'[46]2023-24'!$AE142/10^6</f>
        <v>268.5663359625</v>
      </c>
      <c r="J15" s="690">
        <f>'[46]2023-24'!$AK142/10^6</f>
        <v>233.794376511</v>
      </c>
      <c r="K15" s="690">
        <f>'[46]2023-24'!$AQ142/10^6</f>
        <v>248.7168578255</v>
      </c>
      <c r="L15" s="690">
        <f>'[46]2023-24'!$AW142/10^6</f>
        <v>239.9682274705</v>
      </c>
      <c r="M15" s="690">
        <f>'[46]2023-24'!$BC142/10^6</f>
        <v>248.8919911455</v>
      </c>
      <c r="N15" s="690">
        <f>'[46]2023-24'!$BI142/10^6</f>
        <v>268.199046313</v>
      </c>
      <c r="O15" s="690">
        <f>'[46]2023-24'!$BO142/10^6</f>
        <v>242.0121639735</v>
      </c>
      <c r="P15" s="690">
        <f>'[46]2023-24'!$BU142/10^6</f>
        <v>268.3791357705</v>
      </c>
      <c r="Q15" s="690">
        <f t="shared" si="0"/>
        <v>2976.5050143095</v>
      </c>
    </row>
    <row r="16" spans="2:17">
      <c r="B16" s="656"/>
      <c r="C16" s="678"/>
      <c r="D16" s="47" t="s">
        <v>358</v>
      </c>
      <c r="E16" s="690">
        <f>'[46]2023-24'!$G143/10^6</f>
        <v>361.364155</v>
      </c>
      <c r="F16" s="690">
        <f>'[46]2023-24'!$M143/10^6</f>
        <v>382.4564885</v>
      </c>
      <c r="G16" s="690">
        <f>'[46]2023-24'!$S143/10^6</f>
        <v>360.3051995</v>
      </c>
      <c r="H16" s="690">
        <f>'[46]2023-24'!$Y143/10^6</f>
        <v>283.1249105</v>
      </c>
      <c r="I16" s="690">
        <f>'[46]2023-24'!$AE143/10^6</f>
        <v>299.23077</v>
      </c>
      <c r="J16" s="690">
        <f>'[46]2023-24'!$AK143/10^6</f>
        <v>329.0501385</v>
      </c>
      <c r="K16" s="690">
        <f>'[46]2023-24'!$AQ143/10^6</f>
        <v>378.1853915</v>
      </c>
      <c r="L16" s="690">
        <f>'[46]2023-24'!$AW143/10^6</f>
        <v>413.0060495</v>
      </c>
      <c r="M16" s="690">
        <f>'[46]2023-24'!$BC143/10^6</f>
        <v>398.6745225</v>
      </c>
      <c r="N16" s="690">
        <f>'[46]2023-24'!$BI143/10^6</f>
        <v>436.4145395</v>
      </c>
      <c r="O16" s="690">
        <f>'[46]2023-24'!$BO143/10^6</f>
        <v>414.386713</v>
      </c>
      <c r="P16" s="690">
        <f>'[46]2023-24'!$BU143/10^6</f>
        <v>406.3644725</v>
      </c>
      <c r="Q16" s="690">
        <f t="shared" si="0"/>
        <v>4462.5633505</v>
      </c>
    </row>
    <row r="17" spans="2:17">
      <c r="B17" s="656"/>
      <c r="C17" s="678"/>
      <c r="D17" s="47" t="s">
        <v>359</v>
      </c>
      <c r="E17" s="690"/>
      <c r="F17" s="690"/>
      <c r="G17" s="690"/>
      <c r="H17" s="690"/>
      <c r="I17" s="690"/>
      <c r="J17" s="690"/>
      <c r="K17" s="690"/>
      <c r="L17" s="690"/>
      <c r="M17" s="690"/>
      <c r="N17" s="690"/>
      <c r="O17" s="690"/>
      <c r="P17" s="690"/>
      <c r="Q17" s="690">
        <f t="shared" si="0"/>
        <v>0</v>
      </c>
    </row>
    <row r="18" spans="2:17">
      <c r="B18" s="656"/>
      <c r="C18" s="678"/>
      <c r="D18" s="47"/>
      <c r="E18" s="762"/>
      <c r="F18" s="762"/>
      <c r="G18" s="762"/>
      <c r="H18" s="762"/>
      <c r="I18" s="762"/>
      <c r="J18" s="762"/>
      <c r="K18" s="762"/>
      <c r="L18" s="762"/>
      <c r="M18" s="762"/>
      <c r="N18" s="762"/>
      <c r="O18" s="762"/>
      <c r="P18" s="762"/>
      <c r="Q18" s="690"/>
    </row>
    <row r="19" spans="2:17">
      <c r="B19" s="656"/>
      <c r="C19" s="678"/>
      <c r="D19" s="763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744"/>
    </row>
    <row r="20" spans="2:17">
      <c r="B20" s="656"/>
      <c r="C20" s="678"/>
      <c r="D20" s="47"/>
      <c r="E20" s="764"/>
      <c r="F20" s="764"/>
      <c r="G20" s="764"/>
      <c r="H20" s="764"/>
      <c r="I20" s="764"/>
      <c r="J20" s="764"/>
      <c r="K20" s="764"/>
      <c r="L20" s="764"/>
      <c r="M20" s="764"/>
      <c r="N20" s="764"/>
      <c r="O20" s="764"/>
      <c r="P20" s="764"/>
      <c r="Q20" s="690"/>
    </row>
    <row r="21" spans="2:17">
      <c r="B21" s="656"/>
      <c r="C21" s="678"/>
      <c r="D21" s="47"/>
      <c r="E21" s="690"/>
      <c r="F21" s="690"/>
      <c r="G21" s="690"/>
      <c r="H21" s="690"/>
      <c r="I21" s="690"/>
      <c r="J21" s="690"/>
      <c r="K21" s="690"/>
      <c r="L21" s="690"/>
      <c r="M21" s="690"/>
      <c r="N21" s="690"/>
      <c r="O21" s="690"/>
      <c r="P21" s="690"/>
      <c r="Q21" s="690"/>
    </row>
    <row r="22" spans="2:17">
      <c r="B22" s="656"/>
      <c r="C22" s="678"/>
      <c r="D22" s="47"/>
      <c r="E22" s="690"/>
      <c r="F22" s="690"/>
      <c r="G22" s="690"/>
      <c r="H22" s="690"/>
      <c r="I22" s="690"/>
      <c r="J22" s="690"/>
      <c r="K22" s="690"/>
      <c r="L22" s="690"/>
      <c r="M22" s="690"/>
      <c r="N22" s="690"/>
      <c r="O22" s="690"/>
      <c r="P22" s="690"/>
      <c r="Q22" s="690"/>
    </row>
    <row r="23" spans="2:17">
      <c r="B23" s="656"/>
      <c r="C23" s="678"/>
      <c r="D23" s="47"/>
      <c r="E23" s="690"/>
      <c r="F23" s="690"/>
      <c r="G23" s="690"/>
      <c r="H23" s="690"/>
      <c r="I23" s="690"/>
      <c r="J23" s="690"/>
      <c r="K23" s="690"/>
      <c r="L23" s="690"/>
      <c r="M23" s="690"/>
      <c r="N23" s="690"/>
      <c r="O23" s="690"/>
      <c r="P23" s="690"/>
      <c r="Q23" s="690"/>
    </row>
    <row r="24" spans="2:17">
      <c r="B24" s="656"/>
      <c r="C24" s="678"/>
      <c r="D24" s="47"/>
      <c r="E24" s="690"/>
      <c r="F24" s="690"/>
      <c r="G24" s="690"/>
      <c r="H24" s="690"/>
      <c r="I24" s="690"/>
      <c r="J24" s="690"/>
      <c r="K24" s="690"/>
      <c r="L24" s="690"/>
      <c r="M24" s="690"/>
      <c r="N24" s="690"/>
      <c r="O24" s="690"/>
      <c r="P24" s="690"/>
      <c r="Q24" s="690"/>
    </row>
    <row r="25" spans="2:17">
      <c r="B25" s="656"/>
      <c r="C25" s="678"/>
      <c r="D25" s="47"/>
      <c r="E25" s="690"/>
      <c r="F25" s="690"/>
      <c r="G25" s="690"/>
      <c r="H25" s="690"/>
      <c r="I25" s="690"/>
      <c r="J25" s="690"/>
      <c r="K25" s="690"/>
      <c r="L25" s="690"/>
      <c r="M25" s="690"/>
      <c r="N25" s="690"/>
      <c r="O25" s="690"/>
      <c r="P25" s="690"/>
      <c r="Q25" s="690"/>
    </row>
    <row r="26" spans="2:17">
      <c r="B26" s="656"/>
      <c r="C26" s="678"/>
      <c r="D26" s="47"/>
      <c r="E26" s="690"/>
      <c r="F26" s="690"/>
      <c r="G26" s="690"/>
      <c r="H26" s="690"/>
      <c r="I26" s="690"/>
      <c r="J26" s="690"/>
      <c r="K26" s="690"/>
      <c r="L26" s="690"/>
      <c r="M26" s="690"/>
      <c r="N26" s="690"/>
      <c r="O26" s="690"/>
      <c r="P26" s="690"/>
      <c r="Q26" s="690"/>
    </row>
    <row r="27" spans="2:17">
      <c r="B27" s="656"/>
      <c r="C27" s="680"/>
      <c r="D27" s="47"/>
      <c r="E27" s="690"/>
      <c r="F27" s="690"/>
      <c r="G27" s="690"/>
      <c r="H27" s="690"/>
      <c r="I27" s="690"/>
      <c r="J27" s="690"/>
      <c r="K27" s="690"/>
      <c r="L27" s="690"/>
      <c r="M27" s="690"/>
      <c r="N27" s="690"/>
      <c r="O27" s="690"/>
      <c r="P27" s="690"/>
      <c r="Q27" s="690"/>
    </row>
    <row r="28" ht="15" spans="3:17">
      <c r="C28" s="537" t="s">
        <v>211</v>
      </c>
      <c r="D28" s="540"/>
      <c r="E28" s="690">
        <f>SUM(E10:E27)</f>
        <v>1559.1586876485</v>
      </c>
      <c r="F28" s="690">
        <f t="shared" ref="F28:Q28" si="1">SUM(F10:F27)</f>
        <v>1611.904621215</v>
      </c>
      <c r="G28" s="690">
        <f t="shared" si="1"/>
        <v>1615.0340830535</v>
      </c>
      <c r="H28" s="690">
        <f t="shared" si="1"/>
        <v>1479.2001833895</v>
      </c>
      <c r="I28" s="690">
        <f t="shared" si="1"/>
        <v>1495.648630162</v>
      </c>
      <c r="J28" s="690">
        <f t="shared" si="1"/>
        <v>1399.9037076315</v>
      </c>
      <c r="K28" s="690">
        <f t="shared" si="1"/>
        <v>1615.6445761905</v>
      </c>
      <c r="L28" s="690">
        <f t="shared" si="1"/>
        <v>1397.867714353</v>
      </c>
      <c r="M28" s="690">
        <f t="shared" si="1"/>
        <v>1566.3133508115</v>
      </c>
      <c r="N28" s="690">
        <f t="shared" si="1"/>
        <v>1670.064349426</v>
      </c>
      <c r="O28" s="690">
        <f t="shared" si="1"/>
        <v>1554.5311706375</v>
      </c>
      <c r="P28" s="690">
        <f t="shared" si="1"/>
        <v>1601.2924528235</v>
      </c>
      <c r="Q28" s="690">
        <f t="shared" si="1"/>
        <v>18566.563527342</v>
      </c>
    </row>
    <row r="29" ht="15" spans="3:17">
      <c r="C29" s="44" t="s">
        <v>360</v>
      </c>
      <c r="D29" s="45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</row>
    <row r="30" spans="3:17">
      <c r="C30" s="682" t="s">
        <v>351</v>
      </c>
      <c r="D30" s="55" t="s">
        <v>361</v>
      </c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>
        <f t="shared" ref="Q30:Q48" si="2">SUM(E30:P30)</f>
        <v>0</v>
      </c>
    </row>
    <row r="31" spans="3:17">
      <c r="C31" s="683"/>
      <c r="D31" s="55" t="s">
        <v>362</v>
      </c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>
        <f t="shared" si="2"/>
        <v>0</v>
      </c>
    </row>
    <row r="32" spans="3:17">
      <c r="C32" s="683"/>
      <c r="D32" s="55" t="s">
        <v>363</v>
      </c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>
        <f t="shared" si="2"/>
        <v>0</v>
      </c>
    </row>
    <row r="33" spans="3:17">
      <c r="C33" s="683"/>
      <c r="D33" s="55" t="s">
        <v>364</v>
      </c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>
        <f t="shared" si="2"/>
        <v>0</v>
      </c>
    </row>
    <row r="34" spans="3:17">
      <c r="C34" s="683"/>
      <c r="D34" s="55" t="s">
        <v>365</v>
      </c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>
        <f t="shared" si="2"/>
        <v>0</v>
      </c>
    </row>
    <row r="35" spans="3:17">
      <c r="C35" s="683"/>
      <c r="D35" s="55" t="s">
        <v>366</v>
      </c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>
        <f t="shared" si="2"/>
        <v>0</v>
      </c>
    </row>
    <row r="36" spans="3:17">
      <c r="C36" s="683"/>
      <c r="D36" s="55" t="s">
        <v>367</v>
      </c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>
        <f t="shared" si="2"/>
        <v>0</v>
      </c>
    </row>
    <row r="37" spans="3:17">
      <c r="C37" s="683"/>
      <c r="D37" s="55" t="s">
        <v>368</v>
      </c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>
        <f t="shared" si="2"/>
        <v>0</v>
      </c>
    </row>
    <row r="38" spans="3:17">
      <c r="C38" s="683"/>
      <c r="D38" s="55" t="s">
        <v>479</v>
      </c>
      <c r="E38" s="690">
        <f>'[46]2023-24'!$G146/10^6</f>
        <v>36.525940393</v>
      </c>
      <c r="F38" s="690">
        <f>'[46]2023-24'!$M146/10^6</f>
        <v>36.0589470848</v>
      </c>
      <c r="G38" s="690">
        <f>'[46]2023-24'!$S146/10^6</f>
        <v>38.62869407825</v>
      </c>
      <c r="H38" s="690">
        <f>'[46]2023-24'!$Y146/10^6</f>
        <v>80.8321717542</v>
      </c>
      <c r="I38" s="690">
        <f>'[46]2023-24'!$AE146/10^6</f>
        <v>203.5694558512</v>
      </c>
      <c r="J38" s="690">
        <f>'[46]2023-24'!$AK146/10^6</f>
        <v>104.15785531435</v>
      </c>
      <c r="K38" s="690">
        <f>'[46]2023-24'!$AQ146/10^6</f>
        <v>108.87955107245</v>
      </c>
      <c r="L38" s="690">
        <f>'[46]2023-24'!$AW146/10^6</f>
        <v>39.7079059648</v>
      </c>
      <c r="M38" s="690">
        <f>'[46]2023-24'!$BC146/10^6</f>
        <v>65.4866187395</v>
      </c>
      <c r="N38" s="690">
        <f>'[46]2023-24'!$BI146/10^6</f>
        <v>67.9632344417</v>
      </c>
      <c r="O38" s="690">
        <f>'[46]2023-24'!$BO146/10^6</f>
        <v>31.96334412695</v>
      </c>
      <c r="P38" s="690">
        <f>'[46]2023-24'!$BU146/10^6</f>
        <v>19.1190601592</v>
      </c>
      <c r="Q38" s="147">
        <f t="shared" si="2"/>
        <v>832.8927789804</v>
      </c>
    </row>
    <row r="39" spans="3:17">
      <c r="C39" s="683"/>
      <c r="D39" s="55"/>
      <c r="E39" s="690"/>
      <c r="F39" s="690"/>
      <c r="G39" s="690"/>
      <c r="H39" s="690"/>
      <c r="I39" s="690"/>
      <c r="J39" s="690"/>
      <c r="K39" s="690"/>
      <c r="L39" s="690"/>
      <c r="M39" s="690"/>
      <c r="N39" s="690"/>
      <c r="O39" s="690"/>
      <c r="P39" s="690"/>
      <c r="Q39" s="147">
        <f t="shared" si="2"/>
        <v>0</v>
      </c>
    </row>
    <row r="40" spans="3:17">
      <c r="C40" s="683"/>
      <c r="D40" s="55"/>
      <c r="E40" s="690"/>
      <c r="F40" s="690"/>
      <c r="G40" s="690"/>
      <c r="H40" s="690"/>
      <c r="I40" s="690"/>
      <c r="J40" s="690"/>
      <c r="K40" s="690"/>
      <c r="L40" s="690"/>
      <c r="M40" s="690"/>
      <c r="N40" s="690"/>
      <c r="O40" s="690"/>
      <c r="P40" s="690"/>
      <c r="Q40" s="147">
        <f t="shared" si="2"/>
        <v>0</v>
      </c>
    </row>
    <row r="41" spans="3:17">
      <c r="C41" s="683"/>
      <c r="D41" s="55"/>
      <c r="E41" s="690"/>
      <c r="F41" s="690"/>
      <c r="G41" s="690"/>
      <c r="H41" s="690"/>
      <c r="I41" s="690"/>
      <c r="J41" s="690"/>
      <c r="K41" s="690"/>
      <c r="L41" s="690"/>
      <c r="M41" s="690"/>
      <c r="N41" s="690"/>
      <c r="O41" s="690"/>
      <c r="P41" s="690"/>
      <c r="Q41" s="147">
        <f t="shared" si="2"/>
        <v>0</v>
      </c>
    </row>
    <row r="42" spans="3:17">
      <c r="C42" s="683"/>
      <c r="D42" s="55"/>
      <c r="E42" s="690"/>
      <c r="F42" s="690"/>
      <c r="G42" s="690"/>
      <c r="H42" s="690"/>
      <c r="I42" s="690"/>
      <c r="J42" s="690"/>
      <c r="K42" s="690"/>
      <c r="L42" s="690"/>
      <c r="M42" s="690"/>
      <c r="N42" s="690"/>
      <c r="O42" s="690"/>
      <c r="P42" s="690"/>
      <c r="Q42" s="147">
        <f t="shared" si="2"/>
        <v>0</v>
      </c>
    </row>
    <row r="43" spans="3:17">
      <c r="C43" s="683"/>
      <c r="D43" s="55"/>
      <c r="Q43" s="147">
        <f>SUM(E106:P106)</f>
        <v>5846.0163975</v>
      </c>
    </row>
    <row r="44" spans="3:17">
      <c r="C44" s="683"/>
      <c r="D44" s="55"/>
      <c r="E44" s="690"/>
      <c r="F44" s="690"/>
      <c r="G44" s="690"/>
      <c r="H44" s="690"/>
      <c r="I44" s="690"/>
      <c r="J44" s="690"/>
      <c r="K44" s="690"/>
      <c r="L44" s="690"/>
      <c r="M44" s="690"/>
      <c r="N44" s="690"/>
      <c r="O44" s="690"/>
      <c r="P44" s="690"/>
      <c r="Q44" s="147">
        <f t="shared" si="2"/>
        <v>0</v>
      </c>
    </row>
    <row r="45" spans="3:17">
      <c r="C45" s="683"/>
      <c r="D45" s="55"/>
      <c r="E45" s="690"/>
      <c r="F45" s="690"/>
      <c r="G45" s="690"/>
      <c r="H45" s="690"/>
      <c r="I45" s="690"/>
      <c r="J45" s="690"/>
      <c r="K45" s="690"/>
      <c r="L45" s="690"/>
      <c r="M45" s="690"/>
      <c r="N45" s="690"/>
      <c r="O45" s="690"/>
      <c r="P45" s="690"/>
      <c r="Q45" s="147">
        <f t="shared" si="2"/>
        <v>0</v>
      </c>
    </row>
    <row r="46" spans="3:17">
      <c r="C46" s="683"/>
      <c r="D46" s="55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>
        <f t="shared" si="2"/>
        <v>0</v>
      </c>
    </row>
    <row r="47" spans="3:17">
      <c r="C47" s="684"/>
      <c r="D47" s="6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>
        <f t="shared" si="2"/>
        <v>0</v>
      </c>
    </row>
    <row r="48" ht="15" spans="3:17">
      <c r="C48" s="537" t="s">
        <v>211</v>
      </c>
      <c r="D48" s="540"/>
      <c r="E48" s="147">
        <f>SUM(E30:E47)</f>
        <v>36.525940393</v>
      </c>
      <c r="F48" s="147">
        <f t="shared" ref="F48:P48" si="3">SUM(F30:F47)</f>
        <v>36.0589470848</v>
      </c>
      <c r="G48" s="147">
        <f t="shared" si="3"/>
        <v>38.62869407825</v>
      </c>
      <c r="H48" s="147">
        <f t="shared" si="3"/>
        <v>80.8321717542</v>
      </c>
      <c r="I48" s="147">
        <f t="shared" si="3"/>
        <v>203.5694558512</v>
      </c>
      <c r="J48" s="147">
        <f t="shared" si="3"/>
        <v>104.15785531435</v>
      </c>
      <c r="K48" s="147">
        <f t="shared" si="3"/>
        <v>108.87955107245</v>
      </c>
      <c r="L48" s="147">
        <f t="shared" si="3"/>
        <v>39.7079059648</v>
      </c>
      <c r="M48" s="147">
        <f t="shared" si="3"/>
        <v>65.4866187395</v>
      </c>
      <c r="N48" s="147">
        <f t="shared" si="3"/>
        <v>67.9632344417</v>
      </c>
      <c r="O48" s="147">
        <f t="shared" si="3"/>
        <v>31.96334412695</v>
      </c>
      <c r="P48" s="147">
        <f t="shared" si="3"/>
        <v>19.1190601592</v>
      </c>
      <c r="Q48" s="316">
        <f t="shared" si="2"/>
        <v>832.8927789804</v>
      </c>
    </row>
    <row r="49" ht="15" spans="3:17">
      <c r="C49" s="44" t="s">
        <v>369</v>
      </c>
      <c r="D49" s="45"/>
      <c r="E49" s="147">
        <f>E28+E48</f>
        <v>1595.6846280415</v>
      </c>
      <c r="F49" s="147">
        <f t="shared" ref="F49:Q49" si="4">F28+F48</f>
        <v>1647.9635682998</v>
      </c>
      <c r="G49" s="147">
        <f t="shared" si="4"/>
        <v>1653.66277713175</v>
      </c>
      <c r="H49" s="147">
        <f t="shared" si="4"/>
        <v>1560.0323551437</v>
      </c>
      <c r="I49" s="147">
        <f t="shared" si="4"/>
        <v>1699.2180860132</v>
      </c>
      <c r="J49" s="147">
        <f t="shared" si="4"/>
        <v>1504.06156294585</v>
      </c>
      <c r="K49" s="147">
        <f t="shared" si="4"/>
        <v>1724.52412726295</v>
      </c>
      <c r="L49" s="147">
        <f t="shared" si="4"/>
        <v>1437.5756203178</v>
      </c>
      <c r="M49" s="147">
        <f t="shared" si="4"/>
        <v>1631.799969551</v>
      </c>
      <c r="N49" s="147">
        <f t="shared" si="4"/>
        <v>1738.0275838677</v>
      </c>
      <c r="O49" s="147">
        <f t="shared" si="4"/>
        <v>1586.49451476445</v>
      </c>
      <c r="P49" s="147">
        <f t="shared" si="4"/>
        <v>1620.4115129827</v>
      </c>
      <c r="Q49" s="316">
        <f t="shared" si="4"/>
        <v>19399.4563063224</v>
      </c>
    </row>
    <row r="50" ht="15" spans="3:17">
      <c r="C50" s="663" t="s">
        <v>370</v>
      </c>
      <c r="D50" s="676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</row>
    <row r="51" ht="15" spans="3:17">
      <c r="C51" s="44" t="s">
        <v>350</v>
      </c>
      <c r="D51" s="45"/>
      <c r="Q51" s="147"/>
    </row>
    <row r="52" spans="3:17">
      <c r="C52" s="682" t="s">
        <v>371</v>
      </c>
      <c r="D52" s="55" t="s">
        <v>372</v>
      </c>
      <c r="E52" s="690">
        <f>'[46]2023-24'!$G118/10^6</f>
        <v>134.9608539965</v>
      </c>
      <c r="F52" s="690">
        <f>'[46]2023-24'!$M118/10^6</f>
        <v>110.549180388</v>
      </c>
      <c r="G52" s="690">
        <f>'[46]2023-24'!$S118/10^6</f>
        <v>103.728732329</v>
      </c>
      <c r="H52" s="690">
        <f>'[46]2023-24'!$Y118/10^6</f>
        <v>125.5361641565</v>
      </c>
      <c r="I52" s="690">
        <f>'[46]2023-24'!$AE118/10^6</f>
        <v>128.3007533885</v>
      </c>
      <c r="J52" s="690">
        <f>'[46]2023-24'!$AK118/10^6</f>
        <v>127.7507385335</v>
      </c>
      <c r="K52" s="690">
        <f>'[46]2023-24'!$AQ118/10^6</f>
        <v>111.822039255</v>
      </c>
      <c r="L52" s="690">
        <f>'[46]2023-24'!$AW118/10^6</f>
        <v>109.280459984</v>
      </c>
      <c r="M52" s="690">
        <f>'[46]2023-24'!$BC118/10^6</f>
        <v>115.880540885</v>
      </c>
      <c r="N52" s="690">
        <f>'[46]2023-24'!$BI118/10^6</f>
        <v>130.6583707125</v>
      </c>
      <c r="O52" s="690">
        <f>'[46]2023-24'!$BO118/10^6</f>
        <v>108.576018234</v>
      </c>
      <c r="P52" s="690">
        <f>'[46]2023-24'!$BU118/10^6</f>
        <v>122.6730462055</v>
      </c>
      <c r="Q52" s="147">
        <f t="shared" ref="Q52:Q57" si="5">SUM(E52:P52)</f>
        <v>1429.716898068</v>
      </c>
    </row>
    <row r="53" spans="3:17">
      <c r="C53" s="683"/>
      <c r="D53" s="55" t="s">
        <v>373</v>
      </c>
      <c r="E53" s="690">
        <f>'[46]2023-24'!$G119/10^6</f>
        <v>36.0582482165</v>
      </c>
      <c r="F53" s="690">
        <f>'[46]2023-24'!$M119/10^6</f>
        <v>30.228193051</v>
      </c>
      <c r="G53" s="690">
        <f>'[46]2023-24'!$S119/10^6</f>
        <v>33.615298551</v>
      </c>
      <c r="H53" s="690">
        <f>'[46]2023-24'!$Y119/10^6</f>
        <v>33.3178435245</v>
      </c>
      <c r="I53" s="690">
        <f>'[46]2023-24'!$AE119/10^6</f>
        <v>36.719865411</v>
      </c>
      <c r="J53" s="690">
        <f>'[46]2023-24'!$AK119/10^6</f>
        <v>31.2496519315</v>
      </c>
      <c r="K53" s="690">
        <f>'[46]2023-24'!$AQ119/10^6</f>
        <v>35.7213155265</v>
      </c>
      <c r="L53" s="690">
        <f>'[46]2023-24'!$AW119/10^6</f>
        <v>26.2732115525</v>
      </c>
      <c r="M53" s="690">
        <f>'[46]2023-24'!$BC119/10^6</f>
        <v>23.746885897</v>
      </c>
      <c r="N53" s="690">
        <f>'[46]2023-24'!$BI119/10^6</f>
        <v>32.107650695</v>
      </c>
      <c r="O53" s="690">
        <f>'[46]2023-24'!$BO119/10^6</f>
        <v>30.7440666445</v>
      </c>
      <c r="P53" s="690">
        <f>'[46]2023-24'!$BU119/10^6</f>
        <v>28.1840060955</v>
      </c>
      <c r="Q53" s="147">
        <f t="shared" si="5"/>
        <v>377.9662370965</v>
      </c>
    </row>
    <row r="54" spans="3:17">
      <c r="C54" s="683"/>
      <c r="D54" s="55" t="s">
        <v>374</v>
      </c>
      <c r="E54" s="690">
        <f>'[46]2023-24'!$G122/10^6</f>
        <v>99.953117856</v>
      </c>
      <c r="F54" s="690">
        <f>'[46]2023-24'!$M122/10^6</f>
        <v>99.7507148445</v>
      </c>
      <c r="G54" s="690">
        <f>'[46]2023-24'!$S122/10^6</f>
        <v>76.266291174</v>
      </c>
      <c r="H54" s="690">
        <f>'[46]2023-24'!$Y122/10^6</f>
        <v>84.9340338375</v>
      </c>
      <c r="I54" s="690">
        <f>'[46]2023-24'!$AE122/10^6</f>
        <v>67.692037843</v>
      </c>
      <c r="J54" s="690">
        <f>'[46]2023-24'!$AK122/10^6</f>
        <v>82.3224252255</v>
      </c>
      <c r="K54" s="690">
        <f>'[46]2023-24'!$AQ122/10^6</f>
        <v>111.5689291365</v>
      </c>
      <c r="L54" s="690">
        <f>'[46]2023-24'!$AW122/10^6</f>
        <v>102.3816894315</v>
      </c>
      <c r="M54" s="690">
        <f>'[46]2023-24'!$BC122/10^6</f>
        <v>105.3612529795</v>
      </c>
      <c r="N54" s="690">
        <f>'[46]2023-24'!$BI122/10^6</f>
        <v>105.0582971695</v>
      </c>
      <c r="O54" s="690">
        <f>'[46]2023-24'!$BO122/10^6</f>
        <v>98.8407778765</v>
      </c>
      <c r="P54" s="690">
        <f>'[46]2023-24'!$BU122/10^6</f>
        <v>105.148977201</v>
      </c>
      <c r="Q54" s="147">
        <f t="shared" si="5"/>
        <v>1139.278544575</v>
      </c>
    </row>
    <row r="55" spans="3:17">
      <c r="C55" s="683"/>
      <c r="D55" s="55" t="s">
        <v>375</v>
      </c>
      <c r="E55" s="690">
        <f>'[46]2023-24'!$G120/10^6</f>
        <v>143.54080424</v>
      </c>
      <c r="F55" s="690">
        <f>'[46]2023-24'!$M120/10^6</f>
        <v>98.09462485</v>
      </c>
      <c r="G55" s="690">
        <f>'[46]2023-24'!$S120/10^6</f>
        <v>168.6471681775</v>
      </c>
      <c r="H55" s="690">
        <f>'[46]2023-24'!$Y120/10^6</f>
        <v>164.1621833315</v>
      </c>
      <c r="I55" s="690">
        <f>'[46]2023-24'!$AE120/10^6</f>
        <v>198.538738253</v>
      </c>
      <c r="J55" s="690">
        <f>'[46]2023-24'!$AK120/10^6</f>
        <v>222.6743412455</v>
      </c>
      <c r="K55" s="690">
        <f>'[46]2023-24'!$AQ120/10^6</f>
        <v>250.152912247</v>
      </c>
      <c r="L55" s="690">
        <f>'[46]2023-24'!$AW120/10^6</f>
        <v>161.4554154685</v>
      </c>
      <c r="M55" s="690">
        <f>'[46]2023-24'!$BC120/10^6</f>
        <v>98.9330587295149</v>
      </c>
      <c r="N55" s="690">
        <f>'[46]2023-24'!$BI120/10^6</f>
        <v>225.096890673</v>
      </c>
      <c r="O55" s="690">
        <f>'[46]2023-24'!$BO120/10^6</f>
        <v>229.8345341175</v>
      </c>
      <c r="P55" s="690">
        <f>'[46]2023-24'!$BU120/10^6</f>
        <v>225.7084342995</v>
      </c>
      <c r="Q55" s="147">
        <f t="shared" si="5"/>
        <v>2186.83910563251</v>
      </c>
    </row>
    <row r="56" spans="3:17">
      <c r="C56" s="683"/>
      <c r="D56" s="55" t="s">
        <v>376</v>
      </c>
      <c r="E56" s="690">
        <f>'[46]2023-24'!$G121/10^6</f>
        <v>78.7393487575</v>
      </c>
      <c r="F56" s="690">
        <f>'[46]2023-24'!$M121/10^6</f>
        <v>42.716443269</v>
      </c>
      <c r="G56" s="690">
        <f>'[46]2023-24'!$S121/10^6</f>
        <v>74.9911415485</v>
      </c>
      <c r="H56" s="690">
        <f>'[46]2023-24'!$Y121/10^6</f>
        <v>37.763850201</v>
      </c>
      <c r="I56" s="690">
        <f>'[46]2023-24'!$AE121/10^6</f>
        <v>73.7845023225</v>
      </c>
      <c r="J56" s="690">
        <f>'[46]2023-24'!$AK121/10^6</f>
        <v>103.9451846675</v>
      </c>
      <c r="K56" s="690">
        <f>'[46]2023-24'!$AQ121/10^6</f>
        <v>104.1207130675</v>
      </c>
      <c r="L56" s="690">
        <f>'[46]2023-24'!$AW121/10^6</f>
        <v>109.901332437</v>
      </c>
      <c r="M56" s="690">
        <f>'[46]2023-24'!$BC121/10^6</f>
        <v>107.159180927</v>
      </c>
      <c r="N56" s="690">
        <f>'[46]2023-24'!$BI121/10^6</f>
        <v>112.471660833</v>
      </c>
      <c r="O56" s="690">
        <f>'[46]2023-24'!$BO121/10^6</f>
        <v>97.3700742335</v>
      </c>
      <c r="P56" s="690">
        <f>'[46]2023-24'!$BU121/10^6</f>
        <v>101.430269769</v>
      </c>
      <c r="Q56" s="147">
        <f t="shared" si="5"/>
        <v>1044.393702033</v>
      </c>
    </row>
    <row r="57" spans="3:17">
      <c r="C57" s="683"/>
      <c r="D57" s="55" t="s">
        <v>377</v>
      </c>
      <c r="E57" s="690">
        <f>'[46]2023-24'!$G123/10^6</f>
        <v>48.7771701255</v>
      </c>
      <c r="F57" s="690">
        <f>'[46]2023-24'!$M123/10^6</f>
        <v>33.9486903365</v>
      </c>
      <c r="G57" s="690">
        <f>'[46]2023-24'!$S123/10^6</f>
        <v>61.2761707525</v>
      </c>
      <c r="H57" s="690">
        <f>'[46]2023-24'!$Y123/10^6</f>
        <v>35.115463874</v>
      </c>
      <c r="I57" s="690">
        <f>'[46]2023-24'!$AE123/10^6</f>
        <v>67.7478337215</v>
      </c>
      <c r="J57" s="690">
        <f>'[46]2023-24'!$AK123/10^6</f>
        <v>66.3758859685</v>
      </c>
      <c r="K57" s="690">
        <f>'[46]2023-24'!$AQ123/10^6</f>
        <v>83.076654816</v>
      </c>
      <c r="L57" s="690">
        <f>'[46]2023-24'!$AW123/10^6</f>
        <v>22.20672719</v>
      </c>
      <c r="M57" s="690">
        <f>'[46]2023-24'!$BC123/10^6</f>
        <v>30.7891876025</v>
      </c>
      <c r="N57" s="690">
        <f>'[46]2023-24'!$BI123/10^6</f>
        <v>74.138449556</v>
      </c>
      <c r="O57" s="690">
        <f>'[46]2023-24'!$BO123/10^6</f>
        <v>39.065963331</v>
      </c>
      <c r="P57" s="690">
        <f>'[46]2023-24'!$BU123/10^6</f>
        <v>28.902956453</v>
      </c>
      <c r="Q57" s="147">
        <f t="shared" si="5"/>
        <v>591.421153727</v>
      </c>
    </row>
    <row r="58" spans="3:17">
      <c r="C58" s="683"/>
      <c r="D58" s="55" t="s">
        <v>378</v>
      </c>
      <c r="E58" s="690">
        <f>'[46]2023-24'!$G136/10^6</f>
        <v>82.2896851526115</v>
      </c>
      <c r="F58" s="690">
        <f>'[46]2023-24'!$M136/10^6</f>
        <v>82.129334317328</v>
      </c>
      <c r="G58" s="690">
        <f>'[46]2023-24'!$S136/10^6</f>
        <v>116.277649449363</v>
      </c>
      <c r="H58" s="690">
        <f>'[46]2023-24'!$Y136/10^6</f>
        <v>97.994609422384</v>
      </c>
      <c r="I58" s="690">
        <f>'[46]2023-24'!$AE136/10^6</f>
        <v>107.204373805786</v>
      </c>
      <c r="J58" s="690">
        <f>'[46]2023-24'!$AK136/10^6</f>
        <v>158.002415311137</v>
      </c>
      <c r="K58" s="690">
        <f>'[46]2023-24'!$AQ136/10^6</f>
        <v>145.579103951799</v>
      </c>
      <c r="L58" s="690">
        <f>'[46]2023-24'!$AW136/10^6</f>
        <v>145.943296398448</v>
      </c>
      <c r="M58" s="690">
        <f>'[46]2023-24'!$BC136/10^6</f>
        <v>115.767855389939</v>
      </c>
      <c r="N58" s="690">
        <f>'[46]2023-24'!$BI136/10^6</f>
        <v>100.248323958739</v>
      </c>
      <c r="O58" s="690">
        <f>'[46]2023-24'!$BO136/10^6</f>
        <v>96.9381650995435</v>
      </c>
      <c r="P58" s="690">
        <f>'[46]2023-24'!$BU136/10^6</f>
        <v>90.350436079139</v>
      </c>
      <c r="Q58" s="147">
        <f>SUM(E57:P57)</f>
        <v>591.421153727</v>
      </c>
    </row>
    <row r="59" spans="3:17">
      <c r="C59" s="683"/>
      <c r="D59" s="55" t="s">
        <v>379</v>
      </c>
      <c r="E59" s="690">
        <f>'[46]2023-24'!$G135/10^6</f>
        <v>18.0593036345</v>
      </c>
      <c r="F59" s="690">
        <f>'[46]2023-24'!$M135/10^6</f>
        <v>16.356715546</v>
      </c>
      <c r="G59" s="690">
        <f>'[46]2023-24'!$S135/10^6</f>
        <v>16.1603191615</v>
      </c>
      <c r="H59" s="690">
        <f>'[46]2023-24'!$Y135/10^6</f>
        <v>14.434096823</v>
      </c>
      <c r="I59" s="690">
        <f>'[46]2023-24'!$AE135/10^6</f>
        <v>15.5510677045</v>
      </c>
      <c r="J59" s="690">
        <f>'[46]2023-24'!$AK135/10^6</f>
        <v>17.02861117</v>
      </c>
      <c r="K59" s="690">
        <f>'[46]2023-24'!$AQ135/10^6</f>
        <v>18.6964703155</v>
      </c>
      <c r="L59" s="690">
        <f>'[46]2023-24'!$AW135/10^6</f>
        <v>16.3473373345</v>
      </c>
      <c r="M59" s="690">
        <f>'[46]2023-24'!$BC135/10^6</f>
        <v>14.9931060975</v>
      </c>
      <c r="N59" s="690">
        <f>'[46]2023-24'!$BI135/10^6</f>
        <v>18.6568706005</v>
      </c>
      <c r="O59" s="690">
        <f>'[46]2023-24'!$BO135/10^6</f>
        <v>23.755875378</v>
      </c>
      <c r="P59" s="690">
        <f>'[46]2023-24'!$BU135/10^6</f>
        <v>28.1626506105</v>
      </c>
      <c r="Q59" s="147">
        <f>SUM(E66:P66)</f>
        <v>298.4816044885</v>
      </c>
    </row>
    <row r="60" spans="3:17">
      <c r="C60" s="684"/>
      <c r="D60" s="55" t="s">
        <v>380</v>
      </c>
      <c r="E60" s="690">
        <f>'[46]2023-24'!$G124/10^6</f>
        <v>0</v>
      </c>
      <c r="F60" s="690">
        <f>'[46]2023-24'!$M124/10^6</f>
        <v>0</v>
      </c>
      <c r="G60" s="690">
        <f>'[46]2023-24'!$S124/10^6</f>
        <v>0</v>
      </c>
      <c r="H60" s="690">
        <f>'[46]2023-24'!$Y124/10^6</f>
        <v>0</v>
      </c>
      <c r="I60" s="690">
        <f>'[46]2023-24'!$AE124/10^6</f>
        <v>0</v>
      </c>
      <c r="J60" s="690">
        <f>'[46]2023-24'!$AK124/10^6</f>
        <v>6.08835035625</v>
      </c>
      <c r="K60" s="690">
        <f>'[46]2023-24'!$AQ124/10^6</f>
        <v>313.11451615</v>
      </c>
      <c r="L60" s="690">
        <f>'[46]2023-24'!$AW124/10^6</f>
        <v>133.244067015</v>
      </c>
      <c r="M60" s="690">
        <f>'[46]2023-24'!$BC124/10^6</f>
        <v>141.5875802215</v>
      </c>
      <c r="N60" s="690">
        <f>'[46]2023-24'!$BI124/10^6</f>
        <v>243.5585226145</v>
      </c>
      <c r="O60" s="690">
        <f>'[46]2023-24'!$BO124/10^6</f>
        <v>265.3528201485</v>
      </c>
      <c r="P60" s="690">
        <f>'[46]2023-24'!$BU124/10^6</f>
        <v>763.213317442</v>
      </c>
      <c r="Q60" s="147">
        <f>SUM(E82:P82)</f>
        <v>234.6942481105</v>
      </c>
    </row>
    <row r="61" spans="3:17">
      <c r="C61" s="55"/>
      <c r="D61" s="55" t="s">
        <v>381</v>
      </c>
      <c r="E61" s="690">
        <f>'[46]2023-24'!$G106/10^6</f>
        <v>1.7255648125</v>
      </c>
      <c r="F61" s="690">
        <f>'[46]2023-24'!$M106/10^6</f>
        <v>1.2452378365</v>
      </c>
      <c r="G61" s="690">
        <f>'[46]2023-24'!$S106/10^6</f>
        <v>1.7437243825</v>
      </c>
      <c r="H61" s="690">
        <f>'[46]2023-24'!$Y106/10^6</f>
        <v>1.3868965925</v>
      </c>
      <c r="I61" s="690">
        <f>'[46]2023-24'!$AE106/10^6</f>
        <v>1.2225926975</v>
      </c>
      <c r="J61" s="690">
        <f>'[46]2023-24'!$AK106/10^6</f>
        <v>2.2435062265</v>
      </c>
      <c r="K61" s="690">
        <f>'[46]2023-24'!$AQ106/10^6</f>
        <v>1.012750894</v>
      </c>
      <c r="L61" s="690">
        <f>'[46]2023-24'!$AW106/10^6</f>
        <v>1.242546354</v>
      </c>
      <c r="M61" s="690">
        <f>'[46]2023-24'!$BC106/10^6</f>
        <v>1.1152000765</v>
      </c>
      <c r="N61" s="690">
        <f>'[46]2023-24'!$BI106/10^6</f>
        <v>1.4891221315</v>
      </c>
      <c r="O61" s="690">
        <f>'[46]2023-24'!$BO106/10^6</f>
        <v>1.2542273175</v>
      </c>
      <c r="P61" s="690">
        <f>'[46]2023-24'!$BU106/10^6</f>
        <v>1.840944399</v>
      </c>
      <c r="Q61" s="147">
        <f t="shared" ref="Q61:Q74" si="6">SUM(E61:P61)</f>
        <v>17.5223137205</v>
      </c>
    </row>
    <row r="62" spans="3:17">
      <c r="C62" s="55"/>
      <c r="D62" s="55" t="s">
        <v>382</v>
      </c>
      <c r="E62" s="690">
        <f>'[46]2023-24'!$G107/10^6</f>
        <v>1.716607079</v>
      </c>
      <c r="F62" s="690">
        <f>'[46]2023-24'!$M107/10^6</f>
        <v>0.610749939</v>
      </c>
      <c r="G62" s="690">
        <f>'[46]2023-24'!$S107/10^6</f>
        <v>0.8864501675</v>
      </c>
      <c r="H62" s="690">
        <f>'[46]2023-24'!$Y107/10^6</f>
        <v>1.50954424</v>
      </c>
      <c r="I62" s="690">
        <f>'[46]2023-24'!$AE107/10^6</f>
        <v>1.8507840075</v>
      </c>
      <c r="J62" s="690">
        <f>'[46]2023-24'!$AK107/10^6</f>
        <v>2.7203974175</v>
      </c>
      <c r="K62" s="690">
        <f>'[46]2023-24'!$AQ107/10^6</f>
        <v>1.541410264</v>
      </c>
      <c r="L62" s="690">
        <f>'[46]2023-24'!$AW107/10^6</f>
        <v>1.3634739925</v>
      </c>
      <c r="M62" s="690">
        <f>'[46]2023-24'!$BC107/10^6</f>
        <v>1.0035829215</v>
      </c>
      <c r="N62" s="690">
        <f>'[46]2023-24'!$BI107/10^6</f>
        <v>2.0462710025</v>
      </c>
      <c r="O62" s="690">
        <f>'[46]2023-24'!$BO107/10^6</f>
        <v>1.7584679215</v>
      </c>
      <c r="P62" s="690">
        <f>'[46]2023-24'!$BU107/10^6</f>
        <v>2.248294455</v>
      </c>
      <c r="Q62" s="147">
        <f t="shared" si="6"/>
        <v>19.2560334075</v>
      </c>
    </row>
    <row r="63" spans="3:17">
      <c r="C63" s="55"/>
      <c r="D63" s="55" t="s">
        <v>383</v>
      </c>
      <c r="E63" s="690">
        <f>'[46]2023-24'!$G108/10^6</f>
        <v>28.7094653175</v>
      </c>
      <c r="F63" s="690">
        <f>'[46]2023-24'!$M108/10^6</f>
        <v>23.56774957</v>
      </c>
      <c r="G63" s="690">
        <f>'[46]2023-24'!$S108/10^6</f>
        <v>26.981260524</v>
      </c>
      <c r="H63" s="690">
        <f>'[46]2023-24'!$Y108/10^6</f>
        <v>27.1728016575</v>
      </c>
      <c r="I63" s="690">
        <f>'[46]2023-24'!$AE108/10^6</f>
        <v>18.652749775</v>
      </c>
      <c r="J63" s="690">
        <f>'[46]2023-24'!$AK108/10^6</f>
        <v>16.074138809</v>
      </c>
      <c r="K63" s="690">
        <f>'[46]2023-24'!$AQ108/10^6</f>
        <v>24.831452458</v>
      </c>
      <c r="L63" s="690">
        <f>'[46]2023-24'!$AW108/10^6</f>
        <v>26.5367299125</v>
      </c>
      <c r="M63" s="690">
        <f>'[46]2023-24'!$BC108/10^6</f>
        <v>29.193855268</v>
      </c>
      <c r="N63" s="690">
        <f>'[46]2023-24'!$BI108/10^6</f>
        <v>30.0936619615</v>
      </c>
      <c r="O63" s="690">
        <f>'[46]2023-24'!$BO108/10^6</f>
        <v>20.514816844</v>
      </c>
      <c r="P63" s="690">
        <f>'[46]2023-24'!$BU108/10^6</f>
        <v>30.6392251115</v>
      </c>
      <c r="Q63" s="147">
        <f t="shared" si="6"/>
        <v>302.9679072085</v>
      </c>
    </row>
    <row r="64" spans="3:17">
      <c r="C64" s="55"/>
      <c r="D64" s="55" t="s">
        <v>384</v>
      </c>
      <c r="E64" s="690">
        <f>'[46]2023-24'!$G109/10^6</f>
        <v>2.532694204</v>
      </c>
      <c r="F64" s="690">
        <f>'[46]2023-24'!$M109/10^6</f>
        <v>1.838291719</v>
      </c>
      <c r="G64" s="690">
        <f>'[46]2023-24'!$S109/10^6</f>
        <v>1.6369328475</v>
      </c>
      <c r="H64" s="690">
        <f>'[46]2023-24'!$Y109/10^6</f>
        <v>3.637210894</v>
      </c>
      <c r="I64" s="690">
        <f>'[46]2023-24'!$AE109/10^6</f>
        <v>2.3609931415</v>
      </c>
      <c r="J64" s="690">
        <f>'[46]2023-24'!$AK109/10^6</f>
        <v>3.6637652085</v>
      </c>
      <c r="K64" s="690">
        <f>'[46]2023-24'!$AQ109/10^6</f>
        <v>1.683005525</v>
      </c>
      <c r="L64" s="690">
        <f>'[46]2023-24'!$AW109/10^6</f>
        <v>2.158080759</v>
      </c>
      <c r="M64" s="690">
        <f>'[46]2023-24'!$BC109/10^6</f>
        <v>1.472179549</v>
      </c>
      <c r="N64" s="690">
        <f>'[46]2023-24'!$BI109/10^6</f>
        <v>3.3360646915</v>
      </c>
      <c r="O64" s="690">
        <f>'[46]2023-24'!$BO109/10^6</f>
        <v>2.5402536365</v>
      </c>
      <c r="P64" s="690">
        <f>'[46]2023-24'!$BU109/10^6</f>
        <v>2.6367392275</v>
      </c>
      <c r="Q64" s="147">
        <f t="shared" si="6"/>
        <v>29.496211403</v>
      </c>
    </row>
    <row r="65" spans="3:17">
      <c r="C65" s="55"/>
      <c r="D65" s="55" t="s">
        <v>385</v>
      </c>
      <c r="E65" s="690">
        <f>'[46]2023-24'!$G110/10^6</f>
        <v>1.931678754</v>
      </c>
      <c r="F65" s="690">
        <f>'[46]2023-24'!$M110/10^6</f>
        <v>1.2450755715</v>
      </c>
      <c r="G65" s="690">
        <f>'[46]2023-24'!$S110/10^6</f>
        <v>1.43509988</v>
      </c>
      <c r="H65" s="690">
        <f>'[46]2023-24'!$Y110/10^6</f>
        <v>2.1904879015</v>
      </c>
      <c r="I65" s="690">
        <f>'[46]2023-24'!$AE110/10^6</f>
        <v>0.9176403225</v>
      </c>
      <c r="J65" s="690">
        <f>'[46]2023-24'!$AK110/10^6</f>
        <v>1.974080715</v>
      </c>
      <c r="K65" s="690">
        <f>'[46]2023-24'!$AQ110/10^6</f>
        <v>1.4832820025</v>
      </c>
      <c r="L65" s="690">
        <f>'[46]2023-24'!$AW110/10^6</f>
        <v>1.7098378065</v>
      </c>
      <c r="M65" s="690">
        <f>'[46]2023-24'!$BC110/10^6</f>
        <v>1.0488139375</v>
      </c>
      <c r="N65" s="690">
        <f>'[46]2023-24'!$BI110/10^6</f>
        <v>1.4144322575</v>
      </c>
      <c r="O65" s="690">
        <f>'[46]2023-24'!$BO110/10^6</f>
        <v>0.92112902</v>
      </c>
      <c r="P65" s="690">
        <f>'[46]2023-24'!$BU110/10^6</f>
        <v>1.49341651</v>
      </c>
      <c r="Q65" s="147">
        <f t="shared" si="6"/>
        <v>17.7649746785</v>
      </c>
    </row>
    <row r="66" spans="3:17">
      <c r="C66" s="55"/>
      <c r="D66" s="55" t="s">
        <v>386</v>
      </c>
      <c r="E66" s="690">
        <f>'[46]2023-24'!$G125/10^6</f>
        <v>43.84192883</v>
      </c>
      <c r="F66" s="690">
        <f>'[46]2023-24'!$M125/10^6</f>
        <v>29.1522286515</v>
      </c>
      <c r="G66" s="690">
        <f>'[46]2023-24'!$S125/10^6</f>
        <v>34.229724145</v>
      </c>
      <c r="H66" s="690">
        <f>'[46]2023-24'!$Y125/10^6</f>
        <v>41.424681235</v>
      </c>
      <c r="I66" s="690">
        <f>'[46]2023-24'!$AE125/10^6</f>
        <v>35.2278366195</v>
      </c>
      <c r="J66" s="690">
        <f>'[46]2023-24'!$AK125/10^6</f>
        <v>25.980457978</v>
      </c>
      <c r="K66" s="690">
        <f>'[46]2023-24'!$AQ125/10^6</f>
        <v>26.5009638845</v>
      </c>
      <c r="L66" s="690">
        <f>'[46]2023-24'!$AW125/10^6</f>
        <v>12.602161659</v>
      </c>
      <c r="M66" s="690">
        <f>'[46]2023-24'!$BC125/10^6</f>
        <v>7.504170685</v>
      </c>
      <c r="N66" s="690">
        <f>'[46]2023-24'!$BI125/10^6</f>
        <v>12.4360171145</v>
      </c>
      <c r="O66" s="690">
        <f>'[46]2023-24'!$BO125/10^6</f>
        <v>12.6588168365</v>
      </c>
      <c r="P66" s="690">
        <f>'[46]2023-24'!$BU125/10^6</f>
        <v>16.92261685</v>
      </c>
      <c r="Q66" s="147">
        <f t="shared" si="6"/>
        <v>298.4816044885</v>
      </c>
    </row>
    <row r="67" spans="3:17">
      <c r="C67" s="55"/>
      <c r="D67" s="141" t="s">
        <v>387</v>
      </c>
      <c r="E67" s="690">
        <f>'[46]2023-24'!$G126/10^6</f>
        <v>52.4165497265</v>
      </c>
      <c r="F67" s="690">
        <f>'[46]2023-24'!$M126/10^6</f>
        <v>35.3818021175</v>
      </c>
      <c r="G67" s="690">
        <f>'[46]2023-24'!$S126/10^6</f>
        <v>48.974672734</v>
      </c>
      <c r="H67" s="690">
        <f>'[46]2023-24'!$Y126/10^6</f>
        <v>38.016162399</v>
      </c>
      <c r="I67" s="690">
        <f>'[46]2023-24'!$AE126/10^6</f>
        <v>33.61930438</v>
      </c>
      <c r="J67" s="690">
        <f>'[46]2023-24'!$AK126/10^6</f>
        <v>60.586402697</v>
      </c>
      <c r="K67" s="690">
        <f>'[46]2023-24'!$AQ126/10^6</f>
        <v>70.897498258</v>
      </c>
      <c r="L67" s="690">
        <f>'[46]2023-24'!$AW126/10^6</f>
        <v>39.644075429</v>
      </c>
      <c r="M67" s="690">
        <f>'[46]2023-24'!$BC126/10^6</f>
        <v>27.5519204255</v>
      </c>
      <c r="N67" s="690">
        <f>'[46]2023-24'!$BI126/10^6</f>
        <v>41.4015725825</v>
      </c>
      <c r="O67" s="690">
        <f>'[46]2023-24'!$BO126/10^6</f>
        <v>37.635752566</v>
      </c>
      <c r="P67" s="690">
        <f>'[46]2023-24'!$BU126/10^6</f>
        <v>47.7834451555</v>
      </c>
      <c r="Q67" s="768">
        <f t="shared" si="6"/>
        <v>533.9091584705</v>
      </c>
    </row>
    <row r="68" spans="3:17">
      <c r="C68" s="55"/>
      <c r="D68" s="765" t="s">
        <v>467</v>
      </c>
      <c r="E68" s="690">
        <f>'[46]2023-24'!$G111/10^6</f>
        <v>0</v>
      </c>
      <c r="F68" s="690">
        <f>'[46]2023-24'!$M111/10^6</f>
        <v>0</v>
      </c>
      <c r="G68" s="690">
        <f>'[46]2023-24'!$S111/10^6</f>
        <v>0.1313210645</v>
      </c>
      <c r="H68" s="690">
        <f>'[46]2023-24'!$Y111/10^6</f>
        <v>0</v>
      </c>
      <c r="I68" s="690">
        <f>'[46]2023-24'!$AE111/10^6</f>
        <v>0</v>
      </c>
      <c r="J68" s="690">
        <f>'[46]2023-24'!$AK111/10^6</f>
        <v>0</v>
      </c>
      <c r="K68" s="690">
        <f>'[46]2023-24'!$AQ111/10^6</f>
        <v>0</v>
      </c>
      <c r="L68" s="690">
        <f>'[46]2023-24'!$AW111/10^6</f>
        <v>0</v>
      </c>
      <c r="M68" s="690">
        <f>'[46]2023-24'!$BC111/10^6</f>
        <v>0</v>
      </c>
      <c r="N68" s="690">
        <f>'[46]2023-24'!$BI111/10^6</f>
        <v>0</v>
      </c>
      <c r="O68" s="690">
        <f>'[46]2023-24'!$BO111/10^6</f>
        <v>0</v>
      </c>
      <c r="P68" s="690">
        <f>'[46]2023-24'!$BU111/10^6</f>
        <v>0</v>
      </c>
      <c r="Q68" s="768">
        <f t="shared" si="6"/>
        <v>0.1313210645</v>
      </c>
    </row>
    <row r="69" spans="3:17">
      <c r="C69" s="55"/>
      <c r="D69" s="766" t="s">
        <v>468</v>
      </c>
      <c r="E69" s="764">
        <f>'[46]2023-24'!$G112/10^6</f>
        <v>0</v>
      </c>
      <c r="F69" s="764">
        <f>'[46]2023-24'!$M112/10^6</f>
        <v>0</v>
      </c>
      <c r="G69" s="764">
        <f>'[46]2023-24'!$S112/10^6</f>
        <v>0.995879567</v>
      </c>
      <c r="H69" s="764">
        <f>'[46]2023-24'!$Y112/10^6</f>
        <v>0</v>
      </c>
      <c r="I69" s="764">
        <f>'[46]2023-24'!$AE112/10^6</f>
        <v>0</v>
      </c>
      <c r="J69" s="764">
        <f>'[46]2023-24'!$AK112/10^6</f>
        <v>0</v>
      </c>
      <c r="K69" s="764">
        <f>'[46]2023-24'!$AQ112/10^6</f>
        <v>0</v>
      </c>
      <c r="L69" s="764">
        <f>'[46]2023-24'!$AW112/10^6</f>
        <v>0</v>
      </c>
      <c r="M69" s="764">
        <f>'[46]2023-24'!$BC112/10^6</f>
        <v>0</v>
      </c>
      <c r="N69" s="764">
        <f>'[46]2023-24'!$BI112/10^6</f>
        <v>0</v>
      </c>
      <c r="O69" s="764">
        <f>'[46]2023-24'!$BO112/10^6</f>
        <v>0</v>
      </c>
      <c r="P69" s="764">
        <f>'[46]2023-24'!$BU112/10^6</f>
        <v>0</v>
      </c>
      <c r="Q69" s="147">
        <f t="shared" si="6"/>
        <v>0.995879567</v>
      </c>
    </row>
    <row r="70" spans="3:17">
      <c r="C70" s="55"/>
      <c r="D70" s="766" t="s">
        <v>469</v>
      </c>
      <c r="E70" s="690">
        <f>'[46]2023-24'!$G113/10^6</f>
        <v>0</v>
      </c>
      <c r="F70" s="690">
        <f>'[46]2023-24'!$M113/10^6</f>
        <v>0</v>
      </c>
      <c r="G70" s="690">
        <f>'[46]2023-24'!$S113/10^6</f>
        <v>0</v>
      </c>
      <c r="H70" s="690">
        <f>'[46]2023-24'!$Y113/10^6</f>
        <v>0</v>
      </c>
      <c r="I70" s="690">
        <f>'[46]2023-24'!$AE113/10^6</f>
        <v>0</v>
      </c>
      <c r="J70" s="690">
        <f>'[46]2023-24'!$AK113/10^6</f>
        <v>0</v>
      </c>
      <c r="K70" s="690">
        <f>'[46]2023-24'!$AQ113/10^6</f>
        <v>0</v>
      </c>
      <c r="L70" s="690">
        <f>'[46]2023-24'!$AW113/10^6</f>
        <v>0</v>
      </c>
      <c r="M70" s="690">
        <f>'[46]2023-24'!$BC113/10^6</f>
        <v>0</v>
      </c>
      <c r="N70" s="690">
        <f>'[46]2023-24'!$BI113/10^6</f>
        <v>0</v>
      </c>
      <c r="O70" s="690">
        <f>'[46]2023-24'!$BO113/10^6</f>
        <v>0</v>
      </c>
      <c r="P70" s="690">
        <f>'[46]2023-24'!$BU113/10^6</f>
        <v>0</v>
      </c>
      <c r="Q70" s="147">
        <f t="shared" si="6"/>
        <v>0</v>
      </c>
    </row>
    <row r="71" spans="3:17">
      <c r="C71" s="55"/>
      <c r="D71" s="767" t="s">
        <v>470</v>
      </c>
      <c r="E71" s="690">
        <f>'[46]2023-24'!$G114/10^6</f>
        <v>0</v>
      </c>
      <c r="F71" s="690">
        <f>'[46]2023-24'!$M114/10^6</f>
        <v>0.164051326</v>
      </c>
      <c r="G71" s="690">
        <f>'[46]2023-24'!$S114/10^6</f>
        <v>0</v>
      </c>
      <c r="H71" s="690">
        <f>'[46]2023-24'!$Y114/10^6</f>
        <v>0</v>
      </c>
      <c r="I71" s="690">
        <f>'[46]2023-24'!$AE114/10^6</f>
        <v>0</v>
      </c>
      <c r="J71" s="690">
        <f>'[46]2023-24'!$AK114/10^6</f>
        <v>0</v>
      </c>
      <c r="K71" s="690">
        <f>'[46]2023-24'!$AQ114/10^6</f>
        <v>0</v>
      </c>
      <c r="L71" s="690">
        <f>'[46]2023-24'!$AW114/10^6</f>
        <v>0</v>
      </c>
      <c r="M71" s="690">
        <f>'[46]2023-24'!$BC114/10^6</f>
        <v>0</v>
      </c>
      <c r="N71" s="690">
        <f>'[46]2023-24'!$BI114/10^6</f>
        <v>0</v>
      </c>
      <c r="O71" s="690">
        <f>'[46]2023-24'!$BO114/10^6</f>
        <v>0</v>
      </c>
      <c r="P71" s="690">
        <f>'[46]2023-24'!$BU114/10^6</f>
        <v>0</v>
      </c>
      <c r="Q71" s="147">
        <f t="shared" si="6"/>
        <v>0.164051326</v>
      </c>
    </row>
    <row r="72" spans="3:17">
      <c r="C72" s="55"/>
      <c r="D72" s="767" t="s">
        <v>471</v>
      </c>
      <c r="E72" s="690">
        <f>'[46]2023-24'!$G115/10^6</f>
        <v>0</v>
      </c>
      <c r="F72" s="690">
        <f>'[46]2023-24'!$M115/10^6</f>
        <v>0.414719709</v>
      </c>
      <c r="G72" s="690">
        <f>'[46]2023-24'!$S115/10^6</f>
        <v>0</v>
      </c>
      <c r="H72" s="690">
        <f>'[46]2023-24'!$Y115/10^6</f>
        <v>0</v>
      </c>
      <c r="I72" s="690">
        <f>'[46]2023-24'!$AE115/10^6</f>
        <v>0</v>
      </c>
      <c r="J72" s="690">
        <f>'[46]2023-24'!$AK115/10^6</f>
        <v>0</v>
      </c>
      <c r="K72" s="690">
        <f>'[46]2023-24'!$AQ115/10^6</f>
        <v>0</v>
      </c>
      <c r="L72" s="690">
        <f>'[46]2023-24'!$AW115/10^6</f>
        <v>0</v>
      </c>
      <c r="M72" s="690">
        <f>'[46]2023-24'!$BC115/10^6</f>
        <v>0</v>
      </c>
      <c r="N72" s="690">
        <f>'[46]2023-24'!$BI115/10^6</f>
        <v>0</v>
      </c>
      <c r="O72" s="690">
        <f>'[46]2023-24'!$BO115/10^6</f>
        <v>0</v>
      </c>
      <c r="P72" s="690">
        <f>'[46]2023-24'!$BU115/10^6</f>
        <v>0</v>
      </c>
      <c r="Q72" s="147">
        <f t="shared" si="6"/>
        <v>0.414719709</v>
      </c>
    </row>
    <row r="73" spans="3:17">
      <c r="C73" s="55"/>
      <c r="D73" s="766" t="s">
        <v>472</v>
      </c>
      <c r="E73" s="690">
        <f>'[46]2023-24'!$G116/10^6</f>
        <v>0</v>
      </c>
      <c r="F73" s="690">
        <f>'[46]2023-24'!$M116/10^6</f>
        <v>0</v>
      </c>
      <c r="G73" s="690">
        <f>'[46]2023-24'!$S116/10^6</f>
        <v>0</v>
      </c>
      <c r="H73" s="690">
        <f>'[46]2023-24'!$Y116/10^6</f>
        <v>0</v>
      </c>
      <c r="I73" s="690">
        <f>'[46]2023-24'!$AE116/10^6</f>
        <v>0</v>
      </c>
      <c r="J73" s="690">
        <f>'[46]2023-24'!$AK116/10^6</f>
        <v>0</v>
      </c>
      <c r="K73" s="690">
        <f>'[46]2023-24'!$AQ116/10^6</f>
        <v>0.0410840859030837</v>
      </c>
      <c r="L73" s="690">
        <f>'[46]2023-24'!$AW116/10^6</f>
        <v>0</v>
      </c>
      <c r="M73" s="690">
        <f>'[46]2023-24'!$BC116/10^6</f>
        <v>0</v>
      </c>
      <c r="N73" s="690">
        <f>'[46]2023-24'!$BI116/10^6</f>
        <v>0</v>
      </c>
      <c r="O73" s="690">
        <f>'[46]2023-24'!$BO116/10^6</f>
        <v>0</v>
      </c>
      <c r="P73" s="690">
        <f>'[46]2023-24'!$BU116/10^6</f>
        <v>0</v>
      </c>
      <c r="Q73" s="147">
        <f t="shared" si="6"/>
        <v>0.0410840859030837</v>
      </c>
    </row>
    <row r="74" spans="3:17">
      <c r="C74" s="55"/>
      <c r="D74" s="766" t="s">
        <v>473</v>
      </c>
      <c r="E74" s="690">
        <f>'[46]2023-24'!$G117/10^6</f>
        <v>0</v>
      </c>
      <c r="F74" s="690">
        <f>'[46]2023-24'!$M117/10^6</f>
        <v>0</v>
      </c>
      <c r="G74" s="690">
        <f>'[46]2023-24'!$S117/10^6</f>
        <v>0</v>
      </c>
      <c r="H74" s="690">
        <f>'[46]2023-24'!$Y117/10^6</f>
        <v>0</v>
      </c>
      <c r="I74" s="690">
        <f>'[46]2023-24'!$AE117/10^6</f>
        <v>0</v>
      </c>
      <c r="J74" s="690">
        <f>'[46]2023-24'!$AK117/10^6</f>
        <v>0</v>
      </c>
      <c r="K74" s="690">
        <f>'[46]2023-24'!$AQ117/10^6</f>
        <v>0</v>
      </c>
      <c r="L74" s="690">
        <f>'[46]2023-24'!$AW117/10^6</f>
        <v>0</v>
      </c>
      <c r="M74" s="690">
        <f>'[46]2023-24'!$BC117/10^6</f>
        <v>0</v>
      </c>
      <c r="N74" s="690">
        <f>'[46]2023-24'!$BI117/10^6</f>
        <v>0</v>
      </c>
      <c r="O74" s="690">
        <f>'[46]2023-24'!$BO117/10^6</f>
        <v>0</v>
      </c>
      <c r="P74" s="690">
        <f>'[46]2023-24'!$BU117/10^6</f>
        <v>0</v>
      </c>
      <c r="Q74" s="147">
        <f t="shared" si="6"/>
        <v>0</v>
      </c>
    </row>
    <row r="75" spans="3:17">
      <c r="C75" s="55"/>
      <c r="D75" s="55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</row>
    <row r="76" spans="3:17">
      <c r="C76" s="55"/>
      <c r="D76" s="55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</row>
    <row r="77" ht="15" spans="3:17">
      <c r="C77" s="537" t="s">
        <v>211</v>
      </c>
      <c r="D77" s="540"/>
      <c r="E77" s="147">
        <f>SUM(E52:E76)</f>
        <v>775.253020702611</v>
      </c>
      <c r="F77" s="147">
        <f t="shared" ref="F77:P77" si="7">SUM(F52:F76)</f>
        <v>607.393803042328</v>
      </c>
      <c r="G77" s="147">
        <f t="shared" si="7"/>
        <v>767.977836455363</v>
      </c>
      <c r="H77" s="147">
        <f t="shared" si="7"/>
        <v>708.596030089884</v>
      </c>
      <c r="I77" s="147">
        <f t="shared" si="7"/>
        <v>789.391073393286</v>
      </c>
      <c r="J77" s="147">
        <f t="shared" si="7"/>
        <v>928.680353460887</v>
      </c>
      <c r="K77" s="147">
        <f t="shared" si="7"/>
        <v>1301.8441018377</v>
      </c>
      <c r="L77" s="147">
        <f t="shared" si="7"/>
        <v>912.290442723948</v>
      </c>
      <c r="M77" s="147">
        <f t="shared" si="7"/>
        <v>823.108371592454</v>
      </c>
      <c r="N77" s="147">
        <f t="shared" si="7"/>
        <v>1134.21217855424</v>
      </c>
      <c r="O77" s="147">
        <f t="shared" si="7"/>
        <v>1067.76175920504</v>
      </c>
      <c r="P77" s="147">
        <f t="shared" si="7"/>
        <v>1597.33877586364</v>
      </c>
      <c r="Q77" s="316">
        <f>SUM(E77:P77)</f>
        <v>11413.8477469214</v>
      </c>
    </row>
    <row r="78" ht="15" spans="3:17">
      <c r="C78" s="44" t="s">
        <v>388</v>
      </c>
      <c r="D78" s="45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</row>
    <row r="79" spans="3:17">
      <c r="C79" s="682" t="s">
        <v>389</v>
      </c>
      <c r="D79" s="55" t="s">
        <v>390</v>
      </c>
      <c r="E79" s="762">
        <f>'[46]2023-24'!$G104/10^6</f>
        <v>4.661692842</v>
      </c>
      <c r="F79" s="762">
        <f>'[46]2023-24'!$M104/10^6</f>
        <v>4.763468272</v>
      </c>
      <c r="G79" s="762">
        <f>'[46]2023-24'!$S104/10^6</f>
        <v>4.2702355845</v>
      </c>
      <c r="H79" s="762">
        <f>'[46]2023-24'!$Y104/10^6</f>
        <v>0</v>
      </c>
      <c r="I79" s="762">
        <f>'[46]2023-24'!$AE104/10^6</f>
        <v>0</v>
      </c>
      <c r="J79" s="762">
        <f>'[46]2023-24'!$AK104/10^6</f>
        <v>2.26847881</v>
      </c>
      <c r="K79" s="762">
        <f>'[46]2023-24'!$AQ104/10^6</f>
        <v>4.0972117095</v>
      </c>
      <c r="L79" s="762">
        <f>'[46]2023-24'!$AW104/10^6</f>
        <v>4.6106985965</v>
      </c>
      <c r="M79" s="762">
        <f>'[46]2023-24'!$BC104/10^6</f>
        <v>4.855506391</v>
      </c>
      <c r="N79" s="762">
        <f>'[46]2023-24'!$BI104/10^6</f>
        <v>4.807450553</v>
      </c>
      <c r="O79" s="762">
        <f>'[46]2023-24'!$BO104/10^6</f>
        <v>4.3333221</v>
      </c>
      <c r="P79" s="762">
        <f>'[46]2023-24'!$BU104/10^6</f>
        <v>4.794637262</v>
      </c>
      <c r="Q79" s="147">
        <f>SUM(E79:P79)</f>
        <v>43.4627021205</v>
      </c>
    </row>
    <row r="80" spans="3:17">
      <c r="C80" s="683"/>
      <c r="D80" s="141" t="s">
        <v>391</v>
      </c>
      <c r="E80" s="690">
        <f>'[46]2023-24'!$G103/10^6</f>
        <v>67.15341258</v>
      </c>
      <c r="F80" s="690">
        <f>'[46]2023-24'!$M103/10^6</f>
        <v>60.480212248</v>
      </c>
      <c r="G80" s="690">
        <f>'[46]2023-24'!$S103/10^6</f>
        <v>56.241777076</v>
      </c>
      <c r="H80" s="690">
        <f>'[46]2023-24'!$Y103/10^6</f>
        <v>63.5529631745</v>
      </c>
      <c r="I80" s="690">
        <f>'[46]2023-24'!$AE103/10^6</f>
        <v>66.522911463</v>
      </c>
      <c r="J80" s="690">
        <f>'[46]2023-24'!$AK103/10^6</f>
        <v>66.434484093</v>
      </c>
      <c r="K80" s="690">
        <f>'[46]2023-24'!$AQ103/10^6</f>
        <v>54.4388330235</v>
      </c>
      <c r="L80" s="690">
        <f>'[46]2023-24'!$AW103/10^6</f>
        <v>61.4714813725</v>
      </c>
      <c r="M80" s="690">
        <f>'[46]2023-24'!$BC103/10^6</f>
        <v>68.4969731295</v>
      </c>
      <c r="N80" s="690">
        <f>'[46]2023-24'!$BI103/10^6</f>
        <v>63.3624259675</v>
      </c>
      <c r="O80" s="690">
        <f>'[46]2023-24'!$BO103/10^6</f>
        <v>64.47708422</v>
      </c>
      <c r="P80" s="690">
        <f>'[46]2023-24'!$BU103/10^6</f>
        <v>68.918651185</v>
      </c>
      <c r="Q80" s="768">
        <f t="shared" ref="Q80:Q82" si="8">SUM(E80:P80)</f>
        <v>761.5512095325</v>
      </c>
    </row>
    <row r="81" spans="3:17">
      <c r="C81" s="683"/>
      <c r="D81" s="141" t="s">
        <v>392</v>
      </c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768">
        <f t="shared" si="8"/>
        <v>0</v>
      </c>
    </row>
    <row r="82" spans="3:17">
      <c r="C82" s="684"/>
      <c r="D82" s="55" t="s">
        <v>438</v>
      </c>
      <c r="E82" s="764">
        <f>'[46]2023-24'!$G105/10^6</f>
        <v>19.1812751</v>
      </c>
      <c r="F82" s="764">
        <f>'[46]2023-24'!$M105/10^6</f>
        <v>5.417214203</v>
      </c>
      <c r="G82" s="764">
        <f>'[46]2023-24'!$S105/10^6</f>
        <v>2.0524229625</v>
      </c>
      <c r="H82" s="764">
        <f>'[46]2023-24'!$Y105/10^6</f>
        <v>7.333205459</v>
      </c>
      <c r="I82" s="764">
        <f>'[46]2023-24'!$AE105/10^6</f>
        <v>26.38757663</v>
      </c>
      <c r="J82" s="764">
        <f>'[46]2023-24'!$AK105/10^6</f>
        <v>25.937710322</v>
      </c>
      <c r="K82" s="764">
        <f>'[46]2023-24'!$AQ105/10^6</f>
        <v>27.150487398</v>
      </c>
      <c r="L82" s="764">
        <f>'[46]2023-24'!$AW105/10^6</f>
        <v>26.3989189535</v>
      </c>
      <c r="M82" s="764">
        <f>'[46]2023-24'!$BC105/10^6</f>
        <v>20.656839638</v>
      </c>
      <c r="N82" s="764">
        <f>'[46]2023-24'!$BI105/10^6</f>
        <v>26.8706741045</v>
      </c>
      <c r="O82" s="764">
        <f>'[46]2023-24'!$BO105/10^6</f>
        <v>22.7652200385</v>
      </c>
      <c r="P82" s="764">
        <f>'[46]2023-24'!$BU105/10^6</f>
        <v>24.5427033015</v>
      </c>
      <c r="Q82" s="147">
        <f t="shared" si="8"/>
        <v>234.6942481105</v>
      </c>
    </row>
    <row r="83" spans="3:17">
      <c r="C83" s="55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</row>
    <row r="84" spans="3:17">
      <c r="C84" s="55"/>
      <c r="D84" s="55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</row>
    <row r="85" spans="3:17">
      <c r="C85" s="55"/>
      <c r="D85" s="55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</row>
    <row r="86" spans="3:17">
      <c r="C86" s="55"/>
      <c r="D86" s="55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</row>
    <row r="87" spans="3:17">
      <c r="C87" s="55"/>
      <c r="D87" s="55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</row>
    <row r="88" spans="3:17">
      <c r="C88" s="55"/>
      <c r="D88" s="55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</row>
    <row r="89" spans="3:17">
      <c r="C89" s="55"/>
      <c r="D89" s="55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</row>
    <row r="90" spans="3:17">
      <c r="C90" s="55"/>
      <c r="D90" s="55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</row>
    <row r="91" spans="3:17">
      <c r="C91" s="55"/>
      <c r="D91" s="55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</row>
    <row r="92" spans="3:17">
      <c r="C92" s="55"/>
      <c r="D92" s="55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</row>
    <row r="93" ht="15" spans="3:17">
      <c r="C93" s="537" t="s">
        <v>211</v>
      </c>
      <c r="D93" s="540"/>
      <c r="E93" s="147">
        <f t="shared" ref="E93:P93" si="9">SUM(E79:E92)</f>
        <v>90.996380522</v>
      </c>
      <c r="F93" s="147">
        <f t="shared" si="9"/>
        <v>70.660894723</v>
      </c>
      <c r="G93" s="147">
        <f t="shared" si="9"/>
        <v>62.564435623</v>
      </c>
      <c r="H93" s="147">
        <f t="shared" si="9"/>
        <v>70.8861686335</v>
      </c>
      <c r="I93" s="147">
        <f t="shared" si="9"/>
        <v>92.910488093</v>
      </c>
      <c r="J93" s="147">
        <f t="shared" si="9"/>
        <v>94.640673225</v>
      </c>
      <c r="K93" s="147">
        <f t="shared" si="9"/>
        <v>85.686532131</v>
      </c>
      <c r="L93" s="147">
        <f t="shared" si="9"/>
        <v>92.4810989225</v>
      </c>
      <c r="M93" s="147">
        <f t="shared" si="9"/>
        <v>94.0093191585</v>
      </c>
      <c r="N93" s="147">
        <f t="shared" si="9"/>
        <v>95.040550625</v>
      </c>
      <c r="O93" s="147">
        <f t="shared" si="9"/>
        <v>91.5756263585</v>
      </c>
      <c r="P93" s="147">
        <f t="shared" si="9"/>
        <v>98.2559917485</v>
      </c>
      <c r="Q93" s="316">
        <f>SUM(E93:P93)</f>
        <v>1039.7081597635</v>
      </c>
    </row>
    <row r="94" ht="15" spans="3:17">
      <c r="C94" s="44" t="s">
        <v>395</v>
      </c>
      <c r="D94" s="45"/>
      <c r="E94" s="147">
        <f>E93+E77</f>
        <v>866.249401224611</v>
      </c>
      <c r="F94" s="147">
        <f t="shared" ref="F94:P94" si="10">F93+F77</f>
        <v>678.054697765328</v>
      </c>
      <c r="G94" s="147">
        <f t="shared" si="10"/>
        <v>830.542272078363</v>
      </c>
      <c r="H94" s="147">
        <f t="shared" si="10"/>
        <v>779.482198723384</v>
      </c>
      <c r="I94" s="147">
        <f t="shared" si="10"/>
        <v>882.301561486286</v>
      </c>
      <c r="J94" s="147">
        <f t="shared" si="10"/>
        <v>1023.32102668589</v>
      </c>
      <c r="K94" s="147">
        <f t="shared" si="10"/>
        <v>1387.5306339687</v>
      </c>
      <c r="L94" s="147">
        <f t="shared" si="10"/>
        <v>1004.77154164645</v>
      </c>
      <c r="M94" s="147">
        <f t="shared" si="10"/>
        <v>917.117690750954</v>
      </c>
      <c r="N94" s="147">
        <f t="shared" si="10"/>
        <v>1229.25272917924</v>
      </c>
      <c r="O94" s="147">
        <f t="shared" si="10"/>
        <v>1159.33738556354</v>
      </c>
      <c r="P94" s="147">
        <f t="shared" si="10"/>
        <v>1695.59476761214</v>
      </c>
      <c r="Q94" s="316">
        <f>SUM(E94:P94)</f>
        <v>12453.5559066849</v>
      </c>
    </row>
    <row r="95" ht="15" spans="3:17">
      <c r="C95" s="663" t="s">
        <v>396</v>
      </c>
      <c r="D95" s="676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</row>
    <row r="96" spans="3:17">
      <c r="C96" s="55" t="s">
        <v>397</v>
      </c>
      <c r="D96" s="55" t="s">
        <v>397</v>
      </c>
      <c r="E96" s="690">
        <f>'[46]2023-24'!$G129/10^6</f>
        <v>266.289077205</v>
      </c>
      <c r="F96" s="690">
        <f>'[46]2023-24'!$M129/10^6</f>
        <v>251.233594325</v>
      </c>
      <c r="G96" s="690">
        <f>'[46]2023-24'!$S129/10^6</f>
        <v>266.00394408875</v>
      </c>
      <c r="H96" s="690">
        <f>'[46]2023-24'!$Y129/10^6</f>
        <v>271.2311435075</v>
      </c>
      <c r="I96" s="690">
        <f>'[46]2023-24'!$AE129/10^6</f>
        <v>268.20235263875</v>
      </c>
      <c r="J96" s="690">
        <f>'[46]2023-24'!$AK129/10^6</f>
        <v>251.4048368125</v>
      </c>
      <c r="K96" s="690">
        <f>'[46]2023-24'!$AQ129/10^6</f>
        <v>252.5077626</v>
      </c>
      <c r="L96" s="690">
        <f>'[46]2023-24'!$AW129/10^6</f>
        <v>213.64986674</v>
      </c>
      <c r="M96" s="690">
        <f>'[46]2023-24'!$BC129/10^6</f>
        <v>169.61592726625</v>
      </c>
      <c r="N96" s="690">
        <f>'[46]2023-24'!$BI129/10^6</f>
        <v>281.9861594225</v>
      </c>
      <c r="O96" s="690">
        <f>'[46]2023-24'!$BO129/10^6</f>
        <v>268.20530515625</v>
      </c>
      <c r="P96" s="690">
        <f>'[46]2023-24'!$BU129/10^6</f>
        <v>258.37715397625</v>
      </c>
      <c r="Q96" s="147">
        <f t="shared" ref="Q96" si="11">SUM(E96:P96)</f>
        <v>3018.70712373875</v>
      </c>
    </row>
    <row r="97" spans="3:17">
      <c r="C97" s="55" t="s">
        <v>398</v>
      </c>
      <c r="D97" s="55" t="s">
        <v>398</v>
      </c>
      <c r="E97" s="690">
        <f>'[46]2023-24'!$G130/10^6</f>
        <v>131.369418059</v>
      </c>
      <c r="F97" s="690">
        <f>'[46]2023-24'!$M130/10^6</f>
        <v>137.086966434</v>
      </c>
      <c r="G97" s="690">
        <f>'[46]2023-24'!$S130/10^6</f>
        <v>132.0506820175</v>
      </c>
      <c r="H97" s="690">
        <f>'[46]2023-24'!$Y130/10^6</f>
        <v>137.918808785</v>
      </c>
      <c r="I97" s="690">
        <f>'[46]2023-24'!$AE130/10^6</f>
        <v>131.7381031875</v>
      </c>
      <c r="J97" s="690">
        <f>'[46]2023-24'!$AK130/10^6</f>
        <v>127.3538990165</v>
      </c>
      <c r="K97" s="690">
        <f>'[46]2023-24'!$AQ130/10^6</f>
        <v>119.9028665915</v>
      </c>
      <c r="L97" s="690">
        <f>'[46]2023-24'!$AW130/10^6</f>
        <v>103.4297604775</v>
      </c>
      <c r="M97" s="690">
        <f>'[46]2023-24'!$BC130/10^6</f>
        <v>82.592072264</v>
      </c>
      <c r="N97" s="690">
        <f>'[46]2023-24'!$BI130/10^6</f>
        <v>130.8369821475</v>
      </c>
      <c r="O97" s="690">
        <f>'[46]2023-24'!$BO130/10^6</f>
        <v>121.159656285</v>
      </c>
      <c r="P97" s="690">
        <f>'[46]2023-24'!$BU130/10^6</f>
        <v>123.5327995475</v>
      </c>
      <c r="Q97" s="147">
        <f t="shared" ref="Q97" si="12">SUM(E97:P97)</f>
        <v>1478.9720148125</v>
      </c>
    </row>
    <row r="98" spans="3:17">
      <c r="C98" s="55"/>
      <c r="D98" s="55"/>
      <c r="E98" s="690"/>
      <c r="F98" s="690"/>
      <c r="G98" s="690"/>
      <c r="H98" s="690"/>
      <c r="I98" s="690"/>
      <c r="J98" s="690"/>
      <c r="K98" s="690"/>
      <c r="L98" s="690"/>
      <c r="M98" s="690"/>
      <c r="N98" s="690"/>
      <c r="O98" s="690"/>
      <c r="P98" s="690"/>
      <c r="Q98" s="147"/>
    </row>
    <row r="99" spans="3:17">
      <c r="C99" s="55"/>
      <c r="D99" s="55"/>
      <c r="E99" s="690"/>
      <c r="F99" s="690"/>
      <c r="G99" s="690"/>
      <c r="H99" s="690"/>
      <c r="I99" s="690"/>
      <c r="J99" s="690"/>
      <c r="K99" s="690"/>
      <c r="L99" s="690"/>
      <c r="M99" s="690"/>
      <c r="N99" s="690"/>
      <c r="O99" s="690"/>
      <c r="P99" s="690"/>
      <c r="Q99" s="147"/>
    </row>
    <row r="100" spans="3:17">
      <c r="C100" s="55"/>
      <c r="D100" s="55"/>
      <c r="E100" s="690"/>
      <c r="F100" s="690"/>
      <c r="G100" s="690"/>
      <c r="H100" s="690"/>
      <c r="I100" s="690"/>
      <c r="J100" s="690"/>
      <c r="K100" s="690"/>
      <c r="L100" s="690"/>
      <c r="M100" s="690"/>
      <c r="N100" s="690"/>
      <c r="O100" s="690"/>
      <c r="P100" s="690"/>
      <c r="Q100" s="147"/>
    </row>
    <row r="101" spans="3:17">
      <c r="C101" s="55"/>
      <c r="D101" s="55"/>
      <c r="Q101" s="147"/>
    </row>
    <row r="102" spans="3:17">
      <c r="C102" s="55"/>
      <c r="D102" s="55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</row>
    <row r="103" ht="15" spans="3:17">
      <c r="C103" s="44" t="s">
        <v>399</v>
      </c>
      <c r="D103" s="45"/>
      <c r="E103" s="147">
        <f>E97+E96</f>
        <v>397.658495264</v>
      </c>
      <c r="F103" s="147">
        <f t="shared" ref="F103:P103" si="13">F97+F96</f>
        <v>388.320560759</v>
      </c>
      <c r="G103" s="147">
        <f t="shared" si="13"/>
        <v>398.05462610625</v>
      </c>
      <c r="H103" s="147">
        <f t="shared" si="13"/>
        <v>409.1499522925</v>
      </c>
      <c r="I103" s="147">
        <f t="shared" si="13"/>
        <v>399.94045582625</v>
      </c>
      <c r="J103" s="147">
        <f t="shared" si="13"/>
        <v>378.758735829</v>
      </c>
      <c r="K103" s="147">
        <f t="shared" si="13"/>
        <v>372.4106291915</v>
      </c>
      <c r="L103" s="147">
        <f t="shared" si="13"/>
        <v>317.0796272175</v>
      </c>
      <c r="M103" s="147">
        <f t="shared" si="13"/>
        <v>252.20799953025</v>
      </c>
      <c r="N103" s="147">
        <f t="shared" si="13"/>
        <v>412.82314157</v>
      </c>
      <c r="O103" s="147">
        <f t="shared" si="13"/>
        <v>389.36496144125</v>
      </c>
      <c r="P103" s="147">
        <f t="shared" si="13"/>
        <v>381.90995352375</v>
      </c>
      <c r="Q103" s="316">
        <f>SUM(E103:P103)</f>
        <v>4497.67913855125</v>
      </c>
    </row>
    <row r="104" ht="15" spans="3:17">
      <c r="C104" s="663" t="s">
        <v>400</v>
      </c>
      <c r="D104" s="676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</row>
    <row r="105" spans="3:17">
      <c r="C105" s="55" t="s">
        <v>401</v>
      </c>
      <c r="D105" s="55" t="s">
        <v>401</v>
      </c>
      <c r="E105" s="690"/>
      <c r="F105" s="690"/>
      <c r="G105" s="690"/>
      <c r="H105" s="690"/>
      <c r="I105" s="690"/>
      <c r="J105" s="690"/>
      <c r="K105" s="690"/>
      <c r="L105" s="690"/>
      <c r="M105" s="690"/>
      <c r="N105" s="690"/>
      <c r="O105" s="690"/>
      <c r="P105" s="690"/>
      <c r="Q105" s="147">
        <f t="shared" ref="Q105" si="14">SUM(E105:P105)</f>
        <v>0</v>
      </c>
    </row>
    <row r="106" spans="3:17">
      <c r="C106" s="55" t="s">
        <v>402</v>
      </c>
      <c r="D106" s="55" t="s">
        <v>402</v>
      </c>
      <c r="E106" s="690">
        <f>'[46]2023-24'!$G151/10^6</f>
        <v>533.0073665</v>
      </c>
      <c r="F106" s="690">
        <f>'[46]2023-24'!$M151/10^6</f>
        <v>548.713913</v>
      </c>
      <c r="G106" s="690">
        <f>'[46]2023-24'!$S151/10^6</f>
        <v>267.0211675</v>
      </c>
      <c r="H106" s="690">
        <f>'[46]2023-24'!$Y151/10^6</f>
        <v>480.3361475</v>
      </c>
      <c r="I106" s="690">
        <f>'[46]2023-24'!$AE151/10^6</f>
        <v>574.899251</v>
      </c>
      <c r="J106" s="690">
        <f>'[46]2023-24'!$AK151/10^6</f>
        <v>525.408426</v>
      </c>
      <c r="K106" s="690">
        <f>'[46]2023-24'!$AQ151/10^6</f>
        <v>581.955662</v>
      </c>
      <c r="L106" s="690">
        <f>'[46]2023-24'!$AW151/10^6</f>
        <v>410.2560105</v>
      </c>
      <c r="M106" s="690">
        <f>'[46]2023-24'!$BC151/10^6</f>
        <v>387.261649</v>
      </c>
      <c r="N106" s="690">
        <f>'[46]2023-24'!$BI151/10^6</f>
        <v>557.3457055</v>
      </c>
      <c r="O106" s="690">
        <f>'[46]2023-24'!$BO151/10^6</f>
        <v>463.2418825</v>
      </c>
      <c r="P106" s="690">
        <f>'[46]2023-24'!$BU151/10^6</f>
        <v>516.5692165</v>
      </c>
      <c r="Q106" s="147"/>
    </row>
    <row r="107" spans="3:17">
      <c r="C107" s="55" t="s">
        <v>403</v>
      </c>
      <c r="D107" s="55" t="s">
        <v>403</v>
      </c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</row>
    <row r="108" spans="3:17">
      <c r="C108" s="55"/>
      <c r="D108" s="55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</row>
    <row r="109" spans="3:17">
      <c r="C109" s="55"/>
      <c r="D109" s="55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</row>
    <row r="110" spans="3:17">
      <c r="C110" s="55"/>
      <c r="D110" s="55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</row>
    <row r="111" spans="3:17">
      <c r="C111" s="55"/>
      <c r="D111" s="55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</row>
    <row r="112" spans="3:17">
      <c r="C112" s="55"/>
      <c r="D112" s="55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</row>
    <row r="113" ht="15" spans="3:17">
      <c r="C113" s="44" t="s">
        <v>404</v>
      </c>
      <c r="D113" s="45"/>
      <c r="E113" s="147">
        <f>SUM(E105:E112)</f>
        <v>533.0073665</v>
      </c>
      <c r="F113" s="147">
        <f t="shared" ref="F113:P113" si="15">SUM(F105:F112)</f>
        <v>548.713913</v>
      </c>
      <c r="G113" s="147">
        <f t="shared" si="15"/>
        <v>267.0211675</v>
      </c>
      <c r="H113" s="147">
        <f t="shared" si="15"/>
        <v>480.3361475</v>
      </c>
      <c r="I113" s="147">
        <f t="shared" si="15"/>
        <v>574.899251</v>
      </c>
      <c r="J113" s="147">
        <f t="shared" si="15"/>
        <v>525.408426</v>
      </c>
      <c r="K113" s="147">
        <f t="shared" si="15"/>
        <v>581.955662</v>
      </c>
      <c r="L113" s="147">
        <f t="shared" si="15"/>
        <v>410.2560105</v>
      </c>
      <c r="M113" s="147">
        <f t="shared" si="15"/>
        <v>387.261649</v>
      </c>
      <c r="N113" s="147">
        <f t="shared" si="15"/>
        <v>557.3457055</v>
      </c>
      <c r="O113" s="147">
        <f t="shared" si="15"/>
        <v>463.2418825</v>
      </c>
      <c r="P113" s="147">
        <f t="shared" si="15"/>
        <v>516.5692165</v>
      </c>
      <c r="Q113" s="316">
        <f>SUM(E113:P113)</f>
        <v>5846.0163975</v>
      </c>
    </row>
    <row r="114" ht="15" spans="3:17">
      <c r="C114" s="663" t="s">
        <v>405</v>
      </c>
      <c r="D114" s="676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</row>
    <row r="115" spans="3:17">
      <c r="C115" s="55"/>
      <c r="D115" s="55" t="s">
        <v>406</v>
      </c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>
        <f t="shared" ref="Q115" si="16">SUM(E115:P115)</f>
        <v>0</v>
      </c>
    </row>
    <row r="116" spans="3:17">
      <c r="C116" s="55"/>
      <c r="D116" s="55" t="s">
        <v>407</v>
      </c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>
        <f t="shared" ref="Q116" si="17">SUM(E116:P116)</f>
        <v>0</v>
      </c>
    </row>
    <row r="117" spans="3:17">
      <c r="C117" s="55"/>
      <c r="D117" s="55" t="s">
        <v>408</v>
      </c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>
        <f t="shared" ref="Q117" si="18">SUM(E117:P117)</f>
        <v>0</v>
      </c>
    </row>
    <row r="118" spans="3:17">
      <c r="C118" s="55"/>
      <c r="D118" s="55" t="s">
        <v>409</v>
      </c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>
        <f t="shared" ref="Q118" si="19">SUM(E118:P118)</f>
        <v>0</v>
      </c>
    </row>
    <row r="119" spans="3:17">
      <c r="C119" s="55"/>
      <c r="D119" s="55" t="s">
        <v>410</v>
      </c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>
        <f t="shared" ref="Q119" si="20">SUM(E119:P119)</f>
        <v>0</v>
      </c>
    </row>
    <row r="120" spans="3:17">
      <c r="C120" s="55"/>
      <c r="D120" s="55" t="s">
        <v>368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>
        <f t="shared" ref="Q120" si="21">SUM(E120:P120)</f>
        <v>0</v>
      </c>
    </row>
    <row r="121" spans="3:17">
      <c r="C121" s="55"/>
      <c r="D121" s="55" t="s">
        <v>411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>
        <f t="shared" ref="Q121" si="22">SUM(E121:P121)</f>
        <v>0</v>
      </c>
    </row>
    <row r="122" spans="3:17">
      <c r="C122" s="55"/>
      <c r="D122" s="55" t="s">
        <v>412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>
        <f t="shared" ref="Q122" si="23">SUM(E122:P122)</f>
        <v>0</v>
      </c>
    </row>
    <row r="123" spans="3:17">
      <c r="C123" s="55"/>
      <c r="D123" s="55" t="s">
        <v>413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>
        <f t="shared" ref="Q123" si="24">SUM(E123:P123)</f>
        <v>0</v>
      </c>
    </row>
    <row r="124" spans="3:17">
      <c r="C124" s="55"/>
      <c r="D124" s="55" t="s">
        <v>414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>
        <f t="shared" ref="Q124" si="25">SUM(E124:P124)</f>
        <v>0</v>
      </c>
    </row>
    <row r="125" spans="3:17">
      <c r="C125" s="55"/>
      <c r="D125" s="55" t="s">
        <v>415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>
        <f t="shared" ref="Q125:Q136" si="26">SUM(E125:P125)</f>
        <v>0</v>
      </c>
    </row>
    <row r="126" spans="3:17">
      <c r="C126" s="55"/>
      <c r="D126" s="55" t="s">
        <v>416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>
        <f t="shared" si="26"/>
        <v>0</v>
      </c>
    </row>
    <row r="127" spans="3:17">
      <c r="C127" s="55"/>
      <c r="D127" s="55" t="s">
        <v>417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>
        <f t="shared" si="26"/>
        <v>0</v>
      </c>
    </row>
    <row r="128" spans="3:17">
      <c r="C128" s="55"/>
      <c r="D128" s="55" t="s">
        <v>418</v>
      </c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>
        <f t="shared" si="26"/>
        <v>0</v>
      </c>
    </row>
    <row r="129" spans="3:17">
      <c r="C129" s="55"/>
      <c r="D129" s="767" t="s">
        <v>419</v>
      </c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>
        <f t="shared" si="26"/>
        <v>0</v>
      </c>
    </row>
    <row r="130" spans="3:17">
      <c r="C130" s="55"/>
      <c r="D130" s="767" t="s">
        <v>439</v>
      </c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>
        <f t="shared" si="26"/>
        <v>0</v>
      </c>
    </row>
    <row r="131" spans="3:17">
      <c r="C131" s="55"/>
      <c r="D131" s="55" t="s">
        <v>440</v>
      </c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>
        <f t="shared" si="26"/>
        <v>0</v>
      </c>
    </row>
    <row r="132" spans="3:17">
      <c r="C132" s="55"/>
      <c r="D132" s="55" t="s">
        <v>480</v>
      </c>
      <c r="E132" s="690">
        <f>'[46]2023-24'!$G134/10^6</f>
        <v>787.22697398225</v>
      </c>
      <c r="F132" s="690">
        <f>'[46]2023-24'!$M134/10^6</f>
        <v>713.85246073725</v>
      </c>
      <c r="G132" s="690">
        <f>'[46]2023-24'!$S134/10^6</f>
        <v>680.12927465875</v>
      </c>
      <c r="H132" s="690">
        <f>'[46]2023-24'!$Y134/10^6</f>
        <v>555.66760262525</v>
      </c>
      <c r="I132" s="690">
        <f>'[46]2023-24'!$AE134/10^6</f>
        <v>623.48998496775</v>
      </c>
      <c r="J132" s="690">
        <f>'[46]2023-24'!$AK134/10^6</f>
        <v>606.731034905223</v>
      </c>
      <c r="K132" s="690">
        <f>'[46]2023-24'!$AQ134/10^6</f>
        <v>658.642019872</v>
      </c>
      <c r="L132" s="690">
        <f>'[46]2023-24'!$AW134/10^6</f>
        <v>552.47564872</v>
      </c>
      <c r="M132" s="690">
        <f>'[46]2023-24'!$BC134/10^6</f>
        <v>582.97086591075</v>
      </c>
      <c r="N132" s="690">
        <f>'[46]2023-24'!$BI134/10^6</f>
        <v>607.6032325805</v>
      </c>
      <c r="O132" s="690">
        <f>'[46]2023-24'!$BO134/10^6</f>
        <v>657.87614826325</v>
      </c>
      <c r="P132" s="690">
        <f>'[46]2023-24'!$BU134/10^6</f>
        <v>741.5778643405</v>
      </c>
      <c r="Q132" s="147">
        <f t="shared" si="26"/>
        <v>7768.24311156347</v>
      </c>
    </row>
    <row r="133" spans="3:17">
      <c r="C133" s="55"/>
      <c r="Q133" s="147">
        <f t="shared" si="26"/>
        <v>0</v>
      </c>
    </row>
    <row r="134" spans="3:17">
      <c r="C134" s="55"/>
      <c r="D134" s="5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>
        <f t="shared" si="26"/>
        <v>0</v>
      </c>
    </row>
    <row r="135" spans="3:17">
      <c r="C135" s="55"/>
      <c r="D135" s="55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>
        <f t="shared" si="26"/>
        <v>0</v>
      </c>
    </row>
    <row r="136" spans="3:17">
      <c r="C136" s="55"/>
      <c r="D136" s="55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>
        <f t="shared" si="26"/>
        <v>0</v>
      </c>
    </row>
    <row r="137" spans="3:17">
      <c r="C137" s="55"/>
      <c r="D137" s="55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</row>
    <row r="138" spans="3:17">
      <c r="C138" s="55"/>
      <c r="D138" s="55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</row>
    <row r="139" ht="15" spans="3:17">
      <c r="C139" s="44" t="s">
        <v>421</v>
      </c>
      <c r="D139" s="45"/>
      <c r="E139" s="147">
        <f>SUM(E115:E138)</f>
        <v>787.22697398225</v>
      </c>
      <c r="F139" s="147">
        <f>SUM(F115:F138)</f>
        <v>713.85246073725</v>
      </c>
      <c r="G139" s="147">
        <f t="shared" ref="G139:P139" si="27">SUM(G115:G138)</f>
        <v>680.12927465875</v>
      </c>
      <c r="H139" s="147">
        <f t="shared" si="27"/>
        <v>555.66760262525</v>
      </c>
      <c r="I139" s="147">
        <f t="shared" si="27"/>
        <v>623.48998496775</v>
      </c>
      <c r="J139" s="147">
        <f t="shared" si="27"/>
        <v>606.731034905223</v>
      </c>
      <c r="K139" s="147">
        <f t="shared" si="27"/>
        <v>658.642019872</v>
      </c>
      <c r="L139" s="147">
        <f t="shared" si="27"/>
        <v>552.47564872</v>
      </c>
      <c r="M139" s="147">
        <f t="shared" si="27"/>
        <v>582.97086591075</v>
      </c>
      <c r="N139" s="147">
        <f t="shared" si="27"/>
        <v>607.6032325805</v>
      </c>
      <c r="O139" s="147">
        <f t="shared" si="27"/>
        <v>657.87614826325</v>
      </c>
      <c r="P139" s="147">
        <f t="shared" si="27"/>
        <v>741.5778643405</v>
      </c>
      <c r="Q139" s="316">
        <f>SUM(E139:P139)</f>
        <v>7768.24311156347</v>
      </c>
    </row>
    <row r="140" ht="15" spans="3:17">
      <c r="C140" s="663" t="s">
        <v>422</v>
      </c>
      <c r="D140" s="676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</row>
    <row r="141" spans="3:17">
      <c r="C141" s="55"/>
      <c r="D141" s="55" t="s">
        <v>481</v>
      </c>
      <c r="E141" s="690">
        <f>'[46]2023-24'!$G132/10^6</f>
        <v>1093.99183816875</v>
      </c>
      <c r="F141" s="690">
        <f>'[46]2023-24'!$M132/10^6</f>
        <v>200.23350904875</v>
      </c>
      <c r="G141" s="690">
        <f>'[46]2023-24'!$S132/10^6</f>
        <v>425.483642435</v>
      </c>
      <c r="H141" s="690">
        <f>'[46]2023-24'!$Y132/10^6</f>
        <v>732.41447225</v>
      </c>
      <c r="I141" s="690">
        <f>'[46]2023-24'!$AE132/10^6</f>
        <v>1221.98289328375</v>
      </c>
      <c r="J141" s="690">
        <f>'[46]2023-24'!$AK132/10^6</f>
        <v>921.90245788625</v>
      </c>
      <c r="K141" s="690">
        <f>'[46]2023-24'!$AQ132/10^6</f>
        <v>1142.7319141625</v>
      </c>
      <c r="L141" s="690">
        <f>'[46]2023-24'!$AW132/10^6</f>
        <v>729.37306351375</v>
      </c>
      <c r="M141" s="690">
        <f>'[46]2023-24'!$BC132/10^6</f>
        <v>863.0946005825</v>
      </c>
      <c r="N141" s="690">
        <f>'[46]2023-24'!$BI132/10^6</f>
        <v>915.06674845125</v>
      </c>
      <c r="O141" s="690">
        <f>'[46]2023-24'!$BO132/10^6</f>
        <v>1391.23994151875</v>
      </c>
      <c r="P141" s="690">
        <f>'[46]2023-24'!$BU132/10^6</f>
        <v>1857.8587085875</v>
      </c>
      <c r="Q141" s="147">
        <f>SUM(E141:P141)</f>
        <v>11495.3737898888</v>
      </c>
    </row>
    <row r="142" spans="3:17">
      <c r="C142" s="55"/>
      <c r="D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147"/>
    </row>
    <row r="143" spans="3:17">
      <c r="C143" s="55"/>
      <c r="D143" s="55"/>
      <c r="E143" s="769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</row>
    <row r="144" spans="3:17">
      <c r="C144" s="55"/>
      <c r="D144" s="55"/>
      <c r="E144" s="147"/>
      <c r="F144" s="742"/>
      <c r="G144" s="742"/>
      <c r="H144" s="742"/>
      <c r="I144" s="742"/>
      <c r="J144" s="742"/>
      <c r="K144" s="742"/>
      <c r="L144" s="742"/>
      <c r="M144" s="742"/>
      <c r="N144" s="742"/>
      <c r="O144" s="742"/>
      <c r="P144" s="742"/>
      <c r="Q144" s="147"/>
    </row>
    <row r="145" spans="3:17">
      <c r="C145" s="55"/>
      <c r="D145" s="55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</row>
    <row r="146" spans="3:17">
      <c r="C146" s="55"/>
      <c r="D146" s="55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</row>
    <row r="147" spans="3:17">
      <c r="C147" s="55"/>
      <c r="D147" s="55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</row>
    <row r="148" spans="3:17">
      <c r="C148" s="55"/>
      <c r="D148" s="55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</row>
    <row r="149" spans="3:17">
      <c r="C149" s="55"/>
      <c r="D149" s="55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</row>
    <row r="150" spans="3:17">
      <c r="C150" s="55"/>
      <c r="D150" s="55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</row>
    <row r="151" spans="3:17">
      <c r="C151" s="55"/>
      <c r="D151" s="55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</row>
    <row r="152" ht="15" spans="3:17">
      <c r="C152" s="44" t="s">
        <v>424</v>
      </c>
      <c r="D152" s="45"/>
      <c r="E152" s="147">
        <f t="shared" ref="E152:P152" si="28">SUM(E141:E151)</f>
        <v>1093.99183816875</v>
      </c>
      <c r="F152" s="147">
        <f t="shared" si="28"/>
        <v>200.23350904875</v>
      </c>
      <c r="G152" s="147">
        <f t="shared" si="28"/>
        <v>425.483642435</v>
      </c>
      <c r="H152" s="147">
        <f t="shared" si="28"/>
        <v>732.41447225</v>
      </c>
      <c r="I152" s="147">
        <f t="shared" si="28"/>
        <v>1221.98289328375</v>
      </c>
      <c r="J152" s="147">
        <f t="shared" si="28"/>
        <v>921.90245788625</v>
      </c>
      <c r="K152" s="147">
        <f t="shared" si="28"/>
        <v>1142.7319141625</v>
      </c>
      <c r="L152" s="147">
        <f t="shared" si="28"/>
        <v>729.37306351375</v>
      </c>
      <c r="M152" s="147">
        <f t="shared" si="28"/>
        <v>863.0946005825</v>
      </c>
      <c r="N152" s="147">
        <f t="shared" si="28"/>
        <v>915.06674845125</v>
      </c>
      <c r="O152" s="147">
        <f t="shared" si="28"/>
        <v>1391.23994151875</v>
      </c>
      <c r="P152" s="147">
        <f t="shared" si="28"/>
        <v>1857.8587085875</v>
      </c>
      <c r="Q152" s="316">
        <f>SUM(E152:P152)</f>
        <v>11495.3737898888</v>
      </c>
    </row>
    <row r="153" ht="15" spans="3:17">
      <c r="C153" s="663" t="s">
        <v>425</v>
      </c>
      <c r="D153" s="676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</row>
    <row r="154" spans="3:17">
      <c r="C154" s="55" t="s">
        <v>426</v>
      </c>
      <c r="D154" s="685" t="s">
        <v>427</v>
      </c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</row>
    <row r="155" spans="3:17">
      <c r="C155" s="55" t="s">
        <v>426</v>
      </c>
      <c r="D155" s="685" t="s">
        <v>428</v>
      </c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</row>
    <row r="156" spans="3:17">
      <c r="C156" s="141"/>
      <c r="D156" s="758" t="s">
        <v>477</v>
      </c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</row>
    <row r="157" ht="15" spans="3:17">
      <c r="C157" s="44" t="s">
        <v>429</v>
      </c>
      <c r="D157" s="45"/>
      <c r="E157" s="147">
        <f>SUM(E154:E156)</f>
        <v>0</v>
      </c>
      <c r="F157" s="147">
        <f t="shared" ref="F157:P157" si="29">SUM(F154:F156)</f>
        <v>0</v>
      </c>
      <c r="G157" s="147">
        <f t="shared" si="29"/>
        <v>0</v>
      </c>
      <c r="H157" s="147">
        <f t="shared" si="29"/>
        <v>0</v>
      </c>
      <c r="I157" s="147">
        <f t="shared" si="29"/>
        <v>0</v>
      </c>
      <c r="J157" s="147">
        <f t="shared" si="29"/>
        <v>0</v>
      </c>
      <c r="K157" s="147">
        <f t="shared" si="29"/>
        <v>0</v>
      </c>
      <c r="L157" s="147">
        <f t="shared" si="29"/>
        <v>0</v>
      </c>
      <c r="M157" s="147">
        <f t="shared" si="29"/>
        <v>0</v>
      </c>
      <c r="N157" s="147">
        <f t="shared" si="29"/>
        <v>0</v>
      </c>
      <c r="O157" s="147">
        <f t="shared" si="29"/>
        <v>0</v>
      </c>
      <c r="P157" s="147">
        <f t="shared" si="29"/>
        <v>0</v>
      </c>
      <c r="Q157" s="316">
        <f>SUM(E157:P157)</f>
        <v>0</v>
      </c>
    </row>
    <row r="158" ht="15" spans="3:17">
      <c r="C158" s="44" t="s">
        <v>224</v>
      </c>
      <c r="D158" s="45"/>
      <c r="E158" s="147">
        <f>E157+E152+E139+E113+E103+E94+E49</f>
        <v>5273.81870318111</v>
      </c>
      <c r="F158" s="147">
        <f>F157+F152+F139+F113+F103+F94+F49</f>
        <v>4177.13870961013</v>
      </c>
      <c r="G158" s="147">
        <f t="shared" ref="G158:P158" si="30">G157+G152+G139+G113+G103+G94+G49</f>
        <v>4254.89375991011</v>
      </c>
      <c r="H158" s="147">
        <f t="shared" si="30"/>
        <v>4517.08272853483</v>
      </c>
      <c r="I158" s="147">
        <f t="shared" si="30"/>
        <v>5401.83223257724</v>
      </c>
      <c r="J158" s="147">
        <f t="shared" si="30"/>
        <v>4960.18324425221</v>
      </c>
      <c r="K158" s="147">
        <f t="shared" si="30"/>
        <v>5867.79498645765</v>
      </c>
      <c r="L158" s="147">
        <f t="shared" si="30"/>
        <v>4451.5315119155</v>
      </c>
      <c r="M158" s="147">
        <f t="shared" si="30"/>
        <v>4634.45277532545</v>
      </c>
      <c r="N158" s="147">
        <f t="shared" si="30"/>
        <v>5460.11914114869</v>
      </c>
      <c r="O158" s="147">
        <f t="shared" si="30"/>
        <v>5647.55483405124</v>
      </c>
      <c r="P158" s="147">
        <f t="shared" si="30"/>
        <v>6813.92202354659</v>
      </c>
      <c r="Q158" s="316">
        <f>SUM(E158:P158)</f>
        <v>61460.3246505108</v>
      </c>
    </row>
    <row r="161" ht="15" spans="4:5">
      <c r="D161" s="11"/>
      <c r="E161" s="11"/>
    </row>
    <row r="162" spans="4:5">
      <c r="D162" s="13"/>
      <c r="E162" s="13"/>
    </row>
    <row r="163" spans="5:5">
      <c r="E163" s="13"/>
    </row>
    <row r="164" spans="5:5">
      <c r="E164" s="13"/>
    </row>
  </sheetData>
  <mergeCells count="32">
    <mergeCell ref="C2:P2"/>
    <mergeCell ref="C3:Q3"/>
    <mergeCell ref="E5:Q5"/>
    <mergeCell ref="C8:D8"/>
    <mergeCell ref="C9:D9"/>
    <mergeCell ref="C28:D28"/>
    <mergeCell ref="C29:D29"/>
    <mergeCell ref="C48:D48"/>
    <mergeCell ref="C49:D49"/>
    <mergeCell ref="C50:D50"/>
    <mergeCell ref="C51:D51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7:D157"/>
    <mergeCell ref="C158:D158"/>
    <mergeCell ref="C5:C7"/>
    <mergeCell ref="C10:C27"/>
    <mergeCell ref="C30:C47"/>
    <mergeCell ref="C52:C60"/>
    <mergeCell ref="C79:C82"/>
    <mergeCell ref="D5:D7"/>
  </mergeCells>
  <pageMargins left="0.7" right="0.7" top="0.75" bottom="0.75" header="0.3" footer="0.3"/>
  <pageSetup paperSize="1" orientation="portrait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</sheetPr>
  <dimension ref="B2:R163"/>
  <sheetViews>
    <sheetView showGridLines="0" view="pageBreakPreview" zoomScale="70" zoomScaleNormal="68" workbookViewId="0">
      <pane xSplit="4" ySplit="9" topLeftCell="E130" activePane="bottomRight" state="frozen"/>
      <selection/>
      <selection pane="topRight"/>
      <selection pane="bottomLeft"/>
      <selection pane="bottomRight" activeCell="N74" sqref="N74"/>
    </sheetView>
  </sheetViews>
  <sheetFormatPr defaultColWidth="9.14285714285714" defaultRowHeight="14.25"/>
  <cols>
    <col min="1" max="1" width="3.14285714285714" style="12" customWidth="1"/>
    <col min="2" max="2" width="8.14285714285714" style="12" customWidth="1"/>
    <col min="3" max="3" width="12.5714285714286" style="12" customWidth="1"/>
    <col min="4" max="4" width="36.1428571428571" style="12" customWidth="1"/>
    <col min="5" max="5" width="14.1428571428571" style="12" customWidth="1"/>
    <col min="6" max="6" width="13.4285714285714" style="12" customWidth="1"/>
    <col min="7" max="7" width="13.5714285714286" style="12" customWidth="1"/>
    <col min="8" max="8" width="14.1428571428571" style="12" customWidth="1"/>
    <col min="9" max="9" width="13.4285714285714" style="12" customWidth="1"/>
    <col min="10" max="10" width="14.8571428571429" style="12" customWidth="1"/>
    <col min="11" max="11" width="12.5714285714286" style="12" customWidth="1"/>
    <col min="12" max="12" width="13.4285714285714" style="12" customWidth="1"/>
    <col min="13" max="13" width="14.1428571428571" style="12" customWidth="1"/>
    <col min="14" max="16" width="13.4285714285714" style="12" customWidth="1"/>
    <col min="17" max="17" width="14.5714285714286" style="12" customWidth="1"/>
    <col min="18" max="18" width="12.4285714285714" style="12" customWidth="1"/>
    <col min="19" max="19" width="12.8571428571429" style="12" customWidth="1"/>
    <col min="20" max="16384" width="9.14285714285714" style="12"/>
  </cols>
  <sheetData>
    <row r="2" ht="15" spans="3:16">
      <c r="C2" s="2" t="s">
        <v>0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customHeight="1" spans="3:17">
      <c r="C3" s="3" t="s">
        <v>482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ht="15" spans="3:17">
      <c r="C4" s="14"/>
      <c r="Q4" s="3" t="s">
        <v>236</v>
      </c>
    </row>
    <row r="5" ht="15" customHeight="1" spans="3:17">
      <c r="C5" s="673" t="s">
        <v>345</v>
      </c>
      <c r="D5" s="658" t="s">
        <v>346</v>
      </c>
      <c r="E5" s="135" t="s">
        <v>443</v>
      </c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</row>
    <row r="6" ht="15" spans="3:17">
      <c r="C6" s="674"/>
      <c r="D6" s="660"/>
      <c r="E6" s="135" t="s">
        <v>246</v>
      </c>
      <c r="F6" s="135" t="s">
        <v>247</v>
      </c>
      <c r="G6" s="135" t="s">
        <v>248</v>
      </c>
      <c r="H6" s="135" t="s">
        <v>249</v>
      </c>
      <c r="I6" s="135" t="s">
        <v>250</v>
      </c>
      <c r="J6" s="135" t="s">
        <v>251</v>
      </c>
      <c r="K6" s="135" t="s">
        <v>252</v>
      </c>
      <c r="L6" s="135" t="s">
        <v>253</v>
      </c>
      <c r="M6" s="135" t="s">
        <v>254</v>
      </c>
      <c r="N6" s="135" t="s">
        <v>255</v>
      </c>
      <c r="O6" s="135" t="s">
        <v>256</v>
      </c>
      <c r="P6" s="135" t="s">
        <v>257</v>
      </c>
      <c r="Q6" s="135" t="s">
        <v>97</v>
      </c>
    </row>
    <row r="7" customHeight="1" spans="3:17">
      <c r="C7" s="675"/>
      <c r="D7" s="662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</row>
    <row r="8" ht="15" spans="2:17">
      <c r="B8" s="656"/>
      <c r="C8" s="663" t="s">
        <v>349</v>
      </c>
      <c r="D8" s="676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ht="15" spans="3:17">
      <c r="C9" s="44" t="s">
        <v>350</v>
      </c>
      <c r="D9" s="4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customHeight="1" spans="2:17">
      <c r="B10" s="656"/>
      <c r="C10" s="754" t="s">
        <v>444</v>
      </c>
      <c r="D10" s="47" t="s">
        <v>352</v>
      </c>
      <c r="E10" s="147">
        <f>'[7]TGSPDCL MoD'!F4+'[7]TGSPDCL MoD'!F5</f>
        <v>140.0994055023</v>
      </c>
      <c r="F10" s="147">
        <f>'[7]TGSPDCL MoD'!G4+'[7]TGSPDCL MoD'!G5</f>
        <v>129.593471692369</v>
      </c>
      <c r="G10" s="147">
        <f>'[7]TGSPDCL MoD'!H4+'[7]TGSPDCL MoD'!H5</f>
        <v>125.413037121647</v>
      </c>
      <c r="H10" s="147">
        <f>'[7]TGSPDCL MoD'!I4+'[7]TGSPDCL MoD'!I5</f>
        <v>0</v>
      </c>
      <c r="I10" s="147">
        <f>'[7]TGSPDCL MoD'!J4+'[7]TGSPDCL MoD'!J5</f>
        <v>67.0057154773044</v>
      </c>
      <c r="J10" s="147">
        <f>'[7]TGSPDCL MoD'!K4+'[7]TGSPDCL MoD'!K5</f>
        <v>125.413037121647</v>
      </c>
      <c r="K10" s="147">
        <f>'[7]TGSPDCL MoD'!L4+'[7]TGSPDCL MoD'!L5</f>
        <v>156.101227265808</v>
      </c>
      <c r="L10" s="147">
        <f>'[7]TGSPDCL MoD'!M4+'[7]TGSPDCL MoD'!M5</f>
        <v>185.301230567061</v>
      </c>
      <c r="M10" s="147">
        <f>'[7]TGSPDCL MoD'!N4+'[7]TGSPDCL MoD'!N5</f>
        <v>134.011430954609</v>
      </c>
      <c r="N10" s="147">
        <f>'[7]TGSPDCL MoD'!O4+'[7]TGSPDCL MoD'!O5</f>
        <v>136.465214962534</v>
      </c>
      <c r="O10" s="147">
        <f>'[7]TGSPDCL MoD'!P4+'[7]TGSPDCL MoD'!P5</f>
        <v>156.956316155274</v>
      </c>
      <c r="P10" s="147">
        <f>'[7]TGSPDCL MoD'!Q4+'[7]TGSPDCL MoD'!Q5</f>
        <v>178.191023577007</v>
      </c>
      <c r="Q10" s="690">
        <f t="shared" ref="Q10:Q17" si="0">SUM(E10:P10)</f>
        <v>1534.55111039756</v>
      </c>
    </row>
    <row r="11" spans="2:17">
      <c r="B11" s="656"/>
      <c r="C11" s="755"/>
      <c r="D11" s="47" t="s">
        <v>353</v>
      </c>
      <c r="E11" s="147">
        <f>'[7]TGSPDCL MoD'!F6</f>
        <v>160.105364066225</v>
      </c>
      <c r="F11" s="147">
        <f>'[7]TGSPDCL MoD'!G6</f>
        <v>186.345071789924</v>
      </c>
      <c r="G11" s="147">
        <f>'[7]TGSPDCL MoD'!H6</f>
        <v>127.507446373767</v>
      </c>
      <c r="H11" s="147">
        <f>'[7]TGSPDCL MoD'!I6</f>
        <v>135.920099541858</v>
      </c>
      <c r="I11" s="147">
        <f>'[7]TGSPDCL MoD'!J6</f>
        <v>148.719496427994</v>
      </c>
      <c r="J11" s="147">
        <f>'[7]TGSPDCL MoD'!K6</f>
        <v>125.456394629848</v>
      </c>
      <c r="K11" s="147">
        <f>'[7]TGSPDCL MoD'!L6</f>
        <v>173.773064314768</v>
      </c>
      <c r="L11" s="147">
        <f>'[7]TGSPDCL MoD'!M6</f>
        <v>99.0477963631192</v>
      </c>
      <c r="M11" s="147">
        <f>'[7]TGSPDCL MoD'!N6</f>
        <v>138.517924831147</v>
      </c>
      <c r="N11" s="147">
        <f>'[7]TGSPDCL MoD'!O6</f>
        <v>142.847349479089</v>
      </c>
      <c r="O11" s="147">
        <f>'[7]TGSPDCL MoD'!P6</f>
        <v>160.946730972781</v>
      </c>
      <c r="P11" s="147">
        <f>'[7]TGSPDCL MoD'!Q6</f>
        <v>190.118879952421</v>
      </c>
      <c r="Q11" s="690">
        <f t="shared" si="0"/>
        <v>1789.30561874294</v>
      </c>
    </row>
    <row r="12" spans="2:17">
      <c r="B12" s="656"/>
      <c r="C12" s="755"/>
      <c r="D12" s="47" t="s">
        <v>354</v>
      </c>
      <c r="E12" s="147">
        <f>'[7]TGSPDCL MoD'!F7</f>
        <v>276.384550828565</v>
      </c>
      <c r="F12" s="147">
        <f>'[7]TGSPDCL MoD'!G7</f>
        <v>0</v>
      </c>
      <c r="G12" s="147">
        <f>'[7]TGSPDCL MoD'!H7</f>
        <v>103.750785255181</v>
      </c>
      <c r="H12" s="147">
        <f>'[7]TGSPDCL MoD'!I7</f>
        <v>221.500601131001</v>
      </c>
      <c r="I12" s="147">
        <f>'[7]TGSPDCL MoD'!J7</f>
        <v>273.879809477492</v>
      </c>
      <c r="J12" s="147">
        <f>'[7]TGSPDCL MoD'!K7</f>
        <v>214.342281626088</v>
      </c>
      <c r="K12" s="147">
        <f>'[7]TGSPDCL MoD'!L7</f>
        <v>301.490717491897</v>
      </c>
      <c r="L12" s="147">
        <f>'[7]TGSPDCL MoD'!M7</f>
        <v>321.721023273365</v>
      </c>
      <c r="M12" s="147">
        <f>'[7]TGSPDCL MoD'!N7</f>
        <v>256.073531013443</v>
      </c>
      <c r="N12" s="147">
        <f>'[7]TGSPDCL MoD'!O7</f>
        <v>264.923557372884</v>
      </c>
      <c r="O12" s="147">
        <f>'[7]TGSPDCL MoD'!P7</f>
        <v>263.899433264461</v>
      </c>
      <c r="P12" s="147">
        <f>'[7]TGSPDCL MoD'!Q7</f>
        <v>318.606528507556</v>
      </c>
      <c r="Q12" s="690">
        <f t="shared" si="0"/>
        <v>2816.57281924193</v>
      </c>
    </row>
    <row r="13" spans="2:17">
      <c r="B13" s="656"/>
      <c r="C13" s="755"/>
      <c r="D13" s="47" t="s">
        <v>355</v>
      </c>
      <c r="E13" s="147">
        <f>'[7]TGSPDCL MoD'!F8</f>
        <v>0</v>
      </c>
      <c r="F13" s="147">
        <f>'[7]TGSPDCL MoD'!G8</f>
        <v>0</v>
      </c>
      <c r="G13" s="147">
        <f>'[7]TGSPDCL MoD'!H8</f>
        <v>0</v>
      </c>
      <c r="H13" s="147">
        <f>'[7]TGSPDCL MoD'!I8</f>
        <v>0</v>
      </c>
      <c r="I13" s="147">
        <f>'[7]TGSPDCL MoD'!J8</f>
        <v>0</v>
      </c>
      <c r="J13" s="147">
        <f>'[7]TGSPDCL MoD'!K8</f>
        <v>0</v>
      </c>
      <c r="K13" s="147">
        <f>'[7]TGSPDCL MoD'!L8</f>
        <v>0</v>
      </c>
      <c r="L13" s="147">
        <f>'[7]TGSPDCL MoD'!M8</f>
        <v>0</v>
      </c>
      <c r="M13" s="147">
        <f>'[7]TGSPDCL MoD'!N8</f>
        <v>0</v>
      </c>
      <c r="N13" s="147">
        <f>'[7]TGSPDCL MoD'!O8</f>
        <v>0</v>
      </c>
      <c r="O13" s="147">
        <f>'[7]TGSPDCL MoD'!P8</f>
        <v>0</v>
      </c>
      <c r="P13" s="147">
        <f>'[7]TGSPDCL MoD'!Q8</f>
        <v>0</v>
      </c>
      <c r="Q13" s="690">
        <f t="shared" si="0"/>
        <v>0</v>
      </c>
    </row>
    <row r="14" spans="2:17">
      <c r="B14" s="656"/>
      <c r="C14" s="755"/>
      <c r="D14" s="47" t="s">
        <v>356</v>
      </c>
      <c r="E14" s="147">
        <f>'[7]TGSPDCL MoD'!F9</f>
        <v>199.698836068292</v>
      </c>
      <c r="F14" s="147">
        <f>'[7]TGSPDCL MoD'!G9</f>
        <v>195.862860625967</v>
      </c>
      <c r="G14" s="147">
        <f>'[7]TGSPDCL MoD'!H9</f>
        <v>160.351130246949</v>
      </c>
      <c r="H14" s="147">
        <f>'[7]TGSPDCL MoD'!I9</f>
        <v>155.970002115057</v>
      </c>
      <c r="I14" s="147">
        <f>'[7]TGSPDCL MoD'!J9</f>
        <v>178.823254703672</v>
      </c>
      <c r="J14" s="147">
        <f>'[7]TGSPDCL MoD'!K9</f>
        <v>148.272290054028</v>
      </c>
      <c r="K14" s="147">
        <f>'[7]TGSPDCL MoD'!L9</f>
        <v>0</v>
      </c>
      <c r="L14" s="147">
        <f>'[7]TGSPDCL MoD'!M9</f>
        <v>101.185518586784</v>
      </c>
      <c r="M14" s="147">
        <f>'[7]TGSPDCL MoD'!N9</f>
        <v>173.773064314768</v>
      </c>
      <c r="N14" s="147">
        <f>'[7]TGSPDCL MoD'!O9</f>
        <v>178.191023577007</v>
      </c>
      <c r="O14" s="147">
        <f>'[7]TGSPDCL MoD'!P9</f>
        <v>180.898805060316</v>
      </c>
      <c r="P14" s="147">
        <f>'[7]TGSPDCL MoD'!Q9</f>
        <v>217.964012671307</v>
      </c>
      <c r="Q14" s="690">
        <f t="shared" si="0"/>
        <v>1890.99079802415</v>
      </c>
    </row>
    <row r="15" spans="2:17">
      <c r="B15" s="656"/>
      <c r="C15" s="755"/>
      <c r="D15" s="47" t="s">
        <v>357</v>
      </c>
      <c r="E15" s="147">
        <f>'[7]TGSPDCL MoD'!F10</f>
        <v>253.10631128187</v>
      </c>
      <c r="F15" s="147">
        <f>'[7]TGSPDCL MoD'!G10</f>
        <v>241.029165519993</v>
      </c>
      <c r="G15" s="147">
        <f>'[7]TGSPDCL MoD'!H10</f>
        <v>233.49670878845</v>
      </c>
      <c r="H15" s="147">
        <f>'[7]TGSPDCL MoD'!I10</f>
        <v>268.275871570208</v>
      </c>
      <c r="I15" s="147">
        <f>'[7]TGSPDCL MoD'!J10</f>
        <v>282.749392783351</v>
      </c>
      <c r="J15" s="147">
        <f>'[7]TGSPDCL MoD'!K10</f>
        <v>255.5638429857</v>
      </c>
      <c r="K15" s="147">
        <f>'[7]TGSPDCL MoD'!L10</f>
        <v>282.749392783351</v>
      </c>
      <c r="L15" s="147">
        <f>'[7]TGSPDCL MoD'!M10</f>
        <v>0</v>
      </c>
      <c r="M15" s="147">
        <f>'[7]TGSPDCL MoD'!N10</f>
        <v>126.912599028392</v>
      </c>
      <c r="N15" s="147">
        <f>'[7]TGSPDCL MoD'!O10</f>
        <v>266.844739439287</v>
      </c>
      <c r="O15" s="147">
        <f>'[7]TGSPDCL MoD'!P10</f>
        <v>255.386548320446</v>
      </c>
      <c r="P15" s="147">
        <f>'[7]TGSPDCL MoD'!Q10</f>
        <v>282.749392783351</v>
      </c>
      <c r="Q15" s="690">
        <f t="shared" si="0"/>
        <v>2748.8639652844</v>
      </c>
    </row>
    <row r="16" spans="2:17">
      <c r="B16" s="656"/>
      <c r="C16" s="755"/>
      <c r="D16" s="47" t="s">
        <v>358</v>
      </c>
      <c r="E16" s="147">
        <f>'[7]TGSPDCL MoD'!F11+'[7]TGSPDCL MoD'!F12+'[7]TGSPDCL MoD'!F13+'[7]TGSPDCL MoD'!F14</f>
        <v>444.892965492172</v>
      </c>
      <c r="F16" s="147">
        <f>'[7]TGSPDCL MoD'!G11+'[7]TGSPDCL MoD'!G12+'[7]TGSPDCL MoD'!G13+'[7]TGSPDCL MoD'!G14</f>
        <v>324.454928218896</v>
      </c>
      <c r="G16" s="147">
        <f>'[7]TGSPDCL MoD'!H11+'[7]TGSPDCL MoD'!H12+'[7]TGSPDCL MoD'!H13+'[7]TGSPDCL MoD'!H14</f>
        <v>366.320080247139</v>
      </c>
      <c r="H16" s="147">
        <f>'[7]TGSPDCL MoD'!I11+'[7]TGSPDCL MoD'!I12+'[7]TGSPDCL MoD'!I13+'[7]TGSPDCL MoD'!I14</f>
        <v>415.373086341208</v>
      </c>
      <c r="I16" s="147">
        <f>'[7]TGSPDCL MoD'!J11+'[7]TGSPDCL MoD'!J12+'[7]TGSPDCL MoD'!J13+'[7]TGSPDCL MoD'!J14</f>
        <v>377.446619979119</v>
      </c>
      <c r="J16" s="147">
        <f>'[7]TGSPDCL MoD'!K11+'[7]TGSPDCL MoD'!K12+'[7]TGSPDCL MoD'!K13+'[7]TGSPDCL MoD'!K14</f>
        <v>329.360978839679</v>
      </c>
      <c r="K16" s="147">
        <f>'[7]TGSPDCL MoD'!L11+'[7]TGSPDCL MoD'!L12+'[7]TGSPDCL MoD'!L13+'[7]TGSPDCL MoD'!L14</f>
        <v>508.948907010032</v>
      </c>
      <c r="L16" s="147">
        <f>'[7]TGSPDCL MoD'!M11+'[7]TGSPDCL MoD'!M12+'[7]TGSPDCL MoD'!M13+'[7]TGSPDCL MoD'!M14</f>
        <v>464.345749808728</v>
      </c>
      <c r="M16" s="147">
        <f>'[7]TGSPDCL MoD'!N11+'[7]TGSPDCL MoD'!N12+'[7]TGSPDCL MoD'!N13+'[7]TGSPDCL MoD'!N14</f>
        <v>451.692154971404</v>
      </c>
      <c r="N16" s="147">
        <f>'[7]TGSPDCL MoD'!O11+'[7]TGSPDCL MoD'!O12+'[7]TGSPDCL MoD'!O13+'[7]TGSPDCL MoD'!O14</f>
        <v>470.091401507335</v>
      </c>
      <c r="O16" s="147">
        <f>'[7]TGSPDCL MoD'!P11+'[7]TGSPDCL MoD'!P12+'[7]TGSPDCL MoD'!P13+'[7]TGSPDCL MoD'!P14</f>
        <v>459.695786976804</v>
      </c>
      <c r="P16" s="147">
        <f>'[7]TGSPDCL MoD'!Q11+'[7]TGSPDCL MoD'!Q12+'[7]TGSPDCL MoD'!Q13+'[7]TGSPDCL MoD'!Q14</f>
        <v>508.948907010032</v>
      </c>
      <c r="Q16" s="690">
        <f t="shared" si="0"/>
        <v>5121.57156640255</v>
      </c>
    </row>
    <row r="17" spans="2:17">
      <c r="B17" s="656"/>
      <c r="C17" s="755"/>
      <c r="D17" s="47" t="s">
        <v>359</v>
      </c>
      <c r="E17" s="147">
        <f>'[7]TGSPDCL MoD'!F15+'[7]TGSPDCL MoD'!F16+'[7]TGSPDCL MoD'!F17+'[7]TGSPDCL MoD'!F18+'[7]TGSPDCL MoD'!F19</f>
        <v>971.380978433124</v>
      </c>
      <c r="F17" s="147">
        <f>'[7]TGSPDCL MoD'!G15+'[7]TGSPDCL MoD'!G16+'[7]TGSPDCL MoD'!G17+'[7]TGSPDCL MoD'!G18+'[7]TGSPDCL MoD'!G19</f>
        <v>958.741392983106</v>
      </c>
      <c r="G17" s="147">
        <f>'[7]TGSPDCL MoD'!H15+'[7]TGSPDCL MoD'!H16+'[7]TGSPDCL MoD'!H17+'[7]TGSPDCL MoD'!H18+'[7]TGSPDCL MoD'!H19</f>
        <v>1198.07050173601</v>
      </c>
      <c r="H17" s="147">
        <f>'[7]TGSPDCL MoD'!I15+'[7]TGSPDCL MoD'!I16+'[7]TGSPDCL MoD'!I17+'[7]TGSPDCL MoD'!I18+'[7]TGSPDCL MoD'!I19</f>
        <v>1520.63596264115</v>
      </c>
      <c r="I17" s="147">
        <f>'[7]TGSPDCL MoD'!J15+'[7]TGSPDCL MoD'!J16+'[7]TGSPDCL MoD'!J17+'[7]TGSPDCL MoD'!J18+'[7]TGSPDCL MoD'!J19</f>
        <v>1578.59183221309</v>
      </c>
      <c r="J17" s="147">
        <f>'[7]TGSPDCL MoD'!K15+'[7]TGSPDCL MoD'!K16+'[7]TGSPDCL MoD'!K17+'[7]TGSPDCL MoD'!K18+'[7]TGSPDCL MoD'!K19</f>
        <v>1401.38882753156</v>
      </c>
      <c r="K17" s="147">
        <f>'[7]TGSPDCL MoD'!L15+'[7]TGSPDCL MoD'!L16+'[7]TGSPDCL MoD'!L17+'[7]TGSPDCL MoD'!L18+'[7]TGSPDCL MoD'!L19</f>
        <v>1793.802117333</v>
      </c>
      <c r="L17" s="147">
        <f>'[7]TGSPDCL MoD'!M15+'[7]TGSPDCL MoD'!M16+'[7]TGSPDCL MoD'!M17+'[7]TGSPDCL MoD'!M18+'[7]TGSPDCL MoD'!M19</f>
        <v>1165.38529684342</v>
      </c>
      <c r="M17" s="147">
        <f>'[7]TGSPDCL MoD'!N15+'[7]TGSPDCL MoD'!N16+'[7]TGSPDCL MoD'!N17+'[7]TGSPDCL MoD'!N18+'[7]TGSPDCL MoD'!N19</f>
        <v>1259.02552887885</v>
      </c>
      <c r="N17" s="147">
        <f>'[7]TGSPDCL MoD'!O15+'[7]TGSPDCL MoD'!O16+'[7]TGSPDCL MoD'!O17+'[7]TGSPDCL MoD'!O18+'[7]TGSPDCL MoD'!O19</f>
        <v>1521.87633924293</v>
      </c>
      <c r="O17" s="147">
        <f>'[7]TGSPDCL MoD'!P15+'[7]TGSPDCL MoD'!P16+'[7]TGSPDCL MoD'!P17+'[7]TGSPDCL MoD'!P18+'[7]TGSPDCL MoD'!P19</f>
        <v>1555.21545185595</v>
      </c>
      <c r="P17" s="147">
        <f>'[7]TGSPDCL MoD'!Q15+'[7]TGSPDCL MoD'!Q16+'[7]TGSPDCL MoD'!Q17+'[7]TGSPDCL MoD'!Q18+'[7]TGSPDCL MoD'!Q19</f>
        <v>1876.19265410073</v>
      </c>
      <c r="Q17" s="690">
        <f t="shared" si="0"/>
        <v>16800.3068837929</v>
      </c>
    </row>
    <row r="18" spans="2:17">
      <c r="B18" s="656"/>
      <c r="C18" s="755"/>
      <c r="D18" s="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690"/>
    </row>
    <row r="19" spans="2:17">
      <c r="B19" s="656"/>
      <c r="C19" s="755"/>
      <c r="D19" s="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690"/>
    </row>
    <row r="20" spans="2:17">
      <c r="B20" s="656"/>
      <c r="C20" s="755"/>
      <c r="D20" s="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690"/>
    </row>
    <row r="21" spans="2:17">
      <c r="B21" s="656"/>
      <c r="C21" s="755"/>
      <c r="D21" s="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690"/>
    </row>
    <row r="22" spans="2:17">
      <c r="B22" s="656"/>
      <c r="C22" s="755"/>
      <c r="D22" s="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690"/>
    </row>
    <row r="23" spans="2:17">
      <c r="B23" s="656"/>
      <c r="C23" s="755"/>
      <c r="D23" s="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690"/>
    </row>
    <row r="24" spans="2:17">
      <c r="B24" s="656"/>
      <c r="C24" s="755"/>
      <c r="D24" s="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690"/>
    </row>
    <row r="25" spans="2:17">
      <c r="B25" s="656"/>
      <c r="C25" s="755"/>
      <c r="D25" s="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690"/>
    </row>
    <row r="26" spans="2:17">
      <c r="B26" s="656"/>
      <c r="C26" s="755"/>
      <c r="D26" s="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690"/>
    </row>
    <row r="27" spans="2:17">
      <c r="B27" s="656"/>
      <c r="C27" s="756"/>
      <c r="D27" s="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690"/>
    </row>
    <row r="28" ht="15" spans="3:18">
      <c r="C28" s="537" t="s">
        <v>211</v>
      </c>
      <c r="D28" s="540"/>
      <c r="E28" s="690">
        <f t="shared" ref="E28:P28" si="1">SUM(E10:E27)</f>
        <v>2445.66841167255</v>
      </c>
      <c r="F28" s="690">
        <f t="shared" si="1"/>
        <v>2036.02689083025</v>
      </c>
      <c r="G28" s="690">
        <f t="shared" si="1"/>
        <v>2314.90968976914</v>
      </c>
      <c r="H28" s="690">
        <f t="shared" si="1"/>
        <v>2717.67562334048</v>
      </c>
      <c r="I28" s="690">
        <f t="shared" si="1"/>
        <v>2907.21612106202</v>
      </c>
      <c r="J28" s="690">
        <f t="shared" si="1"/>
        <v>2599.79765278855</v>
      </c>
      <c r="K28" s="690">
        <f t="shared" si="1"/>
        <v>3216.86542619885</v>
      </c>
      <c r="L28" s="690">
        <f t="shared" si="1"/>
        <v>2336.98661544248</v>
      </c>
      <c r="M28" s="690">
        <f t="shared" si="1"/>
        <v>2540.00623399262</v>
      </c>
      <c r="N28" s="690">
        <f t="shared" si="1"/>
        <v>2981.23962558106</v>
      </c>
      <c r="O28" s="690">
        <f t="shared" si="1"/>
        <v>3032.99907260604</v>
      </c>
      <c r="P28" s="690">
        <f t="shared" si="1"/>
        <v>3572.7713986024</v>
      </c>
      <c r="Q28" s="693">
        <f>SUM(E28:P28)</f>
        <v>32702.1627618865</v>
      </c>
      <c r="R28" s="686"/>
    </row>
    <row r="29" ht="15" spans="3:17">
      <c r="C29" s="44" t="s">
        <v>360</v>
      </c>
      <c r="D29" s="4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3:17">
      <c r="C30" s="682" t="s">
        <v>444</v>
      </c>
      <c r="D30" s="55" t="str">
        <f>'[43]F9-Year(n+1)'!D29</f>
        <v>PJHES (Inter State)</v>
      </c>
      <c r="E30" s="147">
        <f>SUM('[7]TGSPDCL MoD'!F81:F86)</f>
        <v>7.17324218537892</v>
      </c>
      <c r="F30" s="147">
        <f>SUM('[7]TGSPDCL MoD'!G81:G86)</f>
        <v>7.68661953517926</v>
      </c>
      <c r="G30" s="147">
        <f>SUM('[7]TGSPDCL MoD'!H81:H86)</f>
        <v>7.96371005738892</v>
      </c>
      <c r="H30" s="147">
        <f>SUM('[7]TGSPDCL MoD'!I81:I86)</f>
        <v>17.4104693573241</v>
      </c>
      <c r="I30" s="147">
        <f>SUM('[7]TGSPDCL MoD'!J81:J86)</f>
        <v>40.8766037511461</v>
      </c>
      <c r="J30" s="147">
        <f>SUM('[7]TGSPDCL MoD'!K81:K86)</f>
        <v>20.6453977895917</v>
      </c>
      <c r="K30" s="147">
        <f>SUM('[7]TGSPDCL MoD'!L81:L86)</f>
        <v>22.7564506947039</v>
      </c>
      <c r="L30" s="147">
        <f>SUM('[7]TGSPDCL MoD'!M81:M86)</f>
        <v>7.80499221958212</v>
      </c>
      <c r="M30" s="147">
        <f>SUM('[7]TGSPDCL MoD'!N81:N86)</f>
        <v>13.3895031006445</v>
      </c>
      <c r="N30" s="147">
        <f>SUM('[7]TGSPDCL MoD'!O81:O86)</f>
        <v>25.5490138073994</v>
      </c>
      <c r="O30" s="147">
        <f>SUM('[7]TGSPDCL MoD'!P81:P86)</f>
        <v>22.9458706540716</v>
      </c>
      <c r="P30" s="147">
        <f>SUM('[7]TGSPDCL MoD'!Q81:Q86)</f>
        <v>10.6584211940668</v>
      </c>
      <c r="Q30" s="761">
        <f t="shared" ref="Q30:Q40" si="2">SUM(E30:P30)</f>
        <v>204.860294346477</v>
      </c>
    </row>
    <row r="31" spans="3:17">
      <c r="C31" s="683"/>
      <c r="D31" s="55" t="str">
        <f>'[43]F9-Year(n+1)'!D30</f>
        <v>Nagarjuna sagar complex</v>
      </c>
      <c r="E31" s="147">
        <f>SUM('[7]TGSPDCL MoD'!F59:F66)</f>
        <v>50.0042421059406</v>
      </c>
      <c r="F31" s="147">
        <f>SUM('[7]TGSPDCL MoD'!G59:G66)</f>
        <v>53.5829648965145</v>
      </c>
      <c r="G31" s="147">
        <f>SUM('[7]TGSPDCL MoD'!H59:H66)</f>
        <v>55.5145463487728</v>
      </c>
      <c r="H31" s="147">
        <f>SUM('[7]TGSPDCL MoD'!I59:I66)</f>
        <v>121.367340237894</v>
      </c>
      <c r="I31" s="147">
        <f>SUM('[7]TGSPDCL MoD'!J59:J66)</f>
        <v>284.948359140468</v>
      </c>
      <c r="J31" s="147">
        <f>SUM('[7]TGSPDCL MoD'!K59:K66)</f>
        <v>143.917832796504</v>
      </c>
      <c r="K31" s="147">
        <f>SUM('[7]TGSPDCL MoD'!L59:L66)</f>
        <v>158.63385629573</v>
      </c>
      <c r="L31" s="147">
        <f>SUM('[7]TGSPDCL MoD'!M59:M66)</f>
        <v>54.4081337973605</v>
      </c>
      <c r="M31" s="147">
        <f>SUM('[7]TGSPDCL MoD'!N59:N66)</f>
        <v>93.3374250332105</v>
      </c>
      <c r="N31" s="147">
        <f>SUM('[7]TGSPDCL MoD'!O59:O66)</f>
        <v>178.100646677906</v>
      </c>
      <c r="O31" s="147">
        <f>SUM('[7]TGSPDCL MoD'!P59:P66)</f>
        <v>159.954291499665</v>
      </c>
      <c r="P31" s="147">
        <f>SUM('[7]TGSPDCL MoD'!Q59:Q66)</f>
        <v>74.2992164605206</v>
      </c>
      <c r="Q31" s="761">
        <f t="shared" si="2"/>
        <v>1428.06885529049</v>
      </c>
    </row>
    <row r="32" spans="3:17">
      <c r="C32" s="683"/>
      <c r="D32" s="55" t="str">
        <f>'[43]F9-Year(n+1)'!D31</f>
        <v>SLBHES</v>
      </c>
      <c r="E32" s="147">
        <f>SUM('[7]TGSPDCL MoD'!F67:F72)</f>
        <v>55.1787860413763</v>
      </c>
      <c r="F32" s="147">
        <f>SUM('[7]TGSPDCL MoD'!G67:G72)</f>
        <v>59.127842578302</v>
      </c>
      <c r="G32" s="147">
        <f>SUM('[7]TGSPDCL MoD'!H67:H72)</f>
        <v>61.2593081337612</v>
      </c>
      <c r="H32" s="147">
        <f>SUM('[7]TGSPDCL MoD'!I67:I72)</f>
        <v>133.926687364032</v>
      </c>
      <c r="I32" s="147">
        <f>SUM('[7]TGSPDCL MoD'!J67:J72)</f>
        <v>314.435413470355</v>
      </c>
      <c r="J32" s="147">
        <f>SUM('[7]TGSPDCL MoD'!K67:K72)</f>
        <v>158.810752227628</v>
      </c>
      <c r="K32" s="147">
        <f>SUM('[7]TGSPDCL MoD'!L67:L72)</f>
        <v>175.049620728491</v>
      </c>
      <c r="L32" s="147">
        <f>SUM('[7]TGSPDCL MoD'!M67:M72)</f>
        <v>60.038401689093</v>
      </c>
      <c r="M32" s="147">
        <f>SUM('[7]TGSPDCL MoD'!N67:N72)</f>
        <v>102.996177697265</v>
      </c>
      <c r="N32" s="147">
        <f>SUM('[7]TGSPDCL MoD'!O67:O72)</f>
        <v>196.530875441534</v>
      </c>
      <c r="O32" s="147">
        <f>SUM('[7]TGSPDCL MoD'!P67:P72)</f>
        <v>176.506697339012</v>
      </c>
      <c r="P32" s="147">
        <f>SUM('[7]TGSPDCL MoD'!Q67:Q72)</f>
        <v>81.9878553389754</v>
      </c>
      <c r="Q32" s="690">
        <f t="shared" si="2"/>
        <v>1575.84841804983</v>
      </c>
    </row>
    <row r="33" spans="3:17">
      <c r="C33" s="683"/>
      <c r="D33" s="55" t="str">
        <f>'[43]F9-Year(n+1)'!D32</f>
        <v>LJHES</v>
      </c>
      <c r="E33" s="147">
        <f>SUM('[7]TGSPDCL MoD'!F87:F92)</f>
        <v>14.714342944367</v>
      </c>
      <c r="F33" s="147">
        <f>SUM('[7]TGSPDCL MoD'!G87:G92)</f>
        <v>15.7674246875472</v>
      </c>
      <c r="G33" s="147">
        <f>SUM('[7]TGSPDCL MoD'!H87:H92)</f>
        <v>16.3358155023363</v>
      </c>
      <c r="H33" s="147">
        <f>SUM('[7]TGSPDCL MoD'!I87:I92)</f>
        <v>35.7137832970751</v>
      </c>
      <c r="I33" s="147">
        <f>SUM('[7]TGSPDCL MoD'!J87:J92)</f>
        <v>83.8494435920946</v>
      </c>
      <c r="J33" s="147">
        <f>SUM('[7]TGSPDCL MoD'!K87:K92)</f>
        <v>42.3495339273676</v>
      </c>
      <c r="K33" s="147">
        <f>SUM('[7]TGSPDCL MoD'!L87:L92)</f>
        <v>46.6798988609311</v>
      </c>
      <c r="L33" s="147">
        <f>SUM('[7]TGSPDCL MoD'!M87:M92)</f>
        <v>16.0102404504248</v>
      </c>
      <c r="M33" s="147">
        <f>SUM('[7]TGSPDCL MoD'!N87:N92)</f>
        <v>27.4656473859374</v>
      </c>
      <c r="N33" s="147">
        <f>SUM('[7]TGSPDCL MoD'!O87:O92)</f>
        <v>52.4082334510757</v>
      </c>
      <c r="O33" s="147">
        <f>SUM('[7]TGSPDCL MoD'!P87:P92)</f>
        <v>47.0684526237365</v>
      </c>
      <c r="P33" s="147">
        <f>SUM('[7]TGSPDCL MoD'!Q87:Q92)</f>
        <v>21.8634280903935</v>
      </c>
      <c r="Q33" s="690">
        <f t="shared" si="2"/>
        <v>420.226244813287</v>
      </c>
    </row>
    <row r="34" spans="3:17">
      <c r="C34" s="683"/>
      <c r="D34" s="55" t="str">
        <f>'[43]F9-Year(n+1)'!D33</f>
        <v>PCHES</v>
      </c>
      <c r="E34" s="147">
        <f>SUM('[7]TGSPDCL MoD'!F93:F96)</f>
        <v>7.35717147218352</v>
      </c>
      <c r="F34" s="147">
        <f>SUM('[7]TGSPDCL MoD'!G93:G96)</f>
        <v>7.8837123437736</v>
      </c>
      <c r="G34" s="147">
        <f>SUM('[7]TGSPDCL MoD'!H93:H96)</f>
        <v>8.16790775116816</v>
      </c>
      <c r="H34" s="147">
        <f>SUM('[7]TGSPDCL MoD'!I93:I96)</f>
        <v>17.8568916485376</v>
      </c>
      <c r="I34" s="147">
        <f>SUM('[7]TGSPDCL MoD'!J93:J96)</f>
        <v>41.9247217960472</v>
      </c>
      <c r="J34" s="147">
        <f>SUM('[7]TGSPDCL MoD'!K93:K96)</f>
        <v>21.1747669636838</v>
      </c>
      <c r="K34" s="147">
        <f>SUM('[7]TGSPDCL MoD'!L93:L96)</f>
        <v>23.3399494304655</v>
      </c>
      <c r="L34" s="147">
        <f>SUM('[7]TGSPDCL MoD'!M93:M96)</f>
        <v>8.00512022521244</v>
      </c>
      <c r="M34" s="147">
        <f>SUM('[7]TGSPDCL MoD'!N93:N96)</f>
        <v>13.7328236929687</v>
      </c>
      <c r="N34" s="147">
        <f>SUM('[7]TGSPDCL MoD'!O93:O96)</f>
        <v>26.2041167255378</v>
      </c>
      <c r="O34" s="147">
        <f>SUM('[7]TGSPDCL MoD'!P93:P96)</f>
        <v>23.5342263118683</v>
      </c>
      <c r="P34" s="147">
        <f>SUM('[7]TGSPDCL MoD'!Q93:Q96)</f>
        <v>10.9317140451968</v>
      </c>
      <c r="Q34" s="690">
        <f t="shared" si="2"/>
        <v>210.113122406643</v>
      </c>
    </row>
    <row r="35" spans="3:17">
      <c r="C35" s="683"/>
      <c r="D35" s="55" t="str">
        <f>'[43]F9-Year(n+1)'!D34</f>
        <v>Pochampad-II</v>
      </c>
      <c r="E35" s="147">
        <f>SUM('[7]TGSPDCL MoD'!F77:F78)</f>
        <v>1.10357572082753</v>
      </c>
      <c r="F35" s="147">
        <f>SUM('[7]TGSPDCL MoD'!G77:G78)</f>
        <v>1.18255685156604</v>
      </c>
      <c r="G35" s="147">
        <f>SUM('[7]TGSPDCL MoD'!H77:H78)</f>
        <v>1.22518616267522</v>
      </c>
      <c r="H35" s="147">
        <f>SUM('[7]TGSPDCL MoD'!I77:I78)</f>
        <v>2.67853374728064</v>
      </c>
      <c r="I35" s="147">
        <f>SUM('[7]TGSPDCL MoD'!J77:J78)</f>
        <v>6.2887082694071</v>
      </c>
      <c r="J35" s="147">
        <f>SUM('[7]TGSPDCL MoD'!K77:K78)</f>
        <v>3.17621504455256</v>
      </c>
      <c r="K35" s="147">
        <f>SUM('[7]TGSPDCL MoD'!L77:L78)</f>
        <v>3.50099241456982</v>
      </c>
      <c r="L35" s="147">
        <f>SUM('[7]TGSPDCL MoD'!M77:M78)</f>
        <v>1.20076803378187</v>
      </c>
      <c r="M35" s="147">
        <f>SUM('[7]TGSPDCL MoD'!N77:N78)</f>
        <v>2.0599235539453</v>
      </c>
      <c r="N35" s="147">
        <f>SUM('[7]TGSPDCL MoD'!O77:O78)</f>
        <v>3.93061750883068</v>
      </c>
      <c r="O35" s="147">
        <f>SUM('[7]TGSPDCL MoD'!P77:P78)</f>
        <v>3.53013394678024</v>
      </c>
      <c r="P35" s="147">
        <f>SUM('[7]TGSPDCL MoD'!Q77:Q78)</f>
        <v>1.63975710677951</v>
      </c>
      <c r="Q35" s="690">
        <f t="shared" si="2"/>
        <v>31.5169683609965</v>
      </c>
    </row>
    <row r="36" spans="3:17">
      <c r="C36" s="683"/>
      <c r="D36" s="55" t="str">
        <f>'[43]F9-Year(n+1)'!D35</f>
        <v>NSPH</v>
      </c>
      <c r="E36" s="147">
        <f>SUM('[7]TGSPDCL MoD'!F73:F74)</f>
        <v>3.67858573609176</v>
      </c>
      <c r="F36" s="147">
        <f>SUM('[7]TGSPDCL MoD'!G73:G74)</f>
        <v>3.9418561718868</v>
      </c>
      <c r="G36" s="147">
        <f>SUM('[7]TGSPDCL MoD'!H73:H74)</f>
        <v>4.08395387558408</v>
      </c>
      <c r="H36" s="147">
        <f>SUM('[7]TGSPDCL MoD'!I73:I74)</f>
        <v>8.92844582426878</v>
      </c>
      <c r="I36" s="147">
        <f>SUM('[7]TGSPDCL MoD'!J73:J74)</f>
        <v>20.9623608980236</v>
      </c>
      <c r="J36" s="147">
        <f>SUM('[7]TGSPDCL MoD'!K73:K74)</f>
        <v>10.5873834818419</v>
      </c>
      <c r="K36" s="147">
        <f>SUM('[7]TGSPDCL MoD'!L73:L74)</f>
        <v>11.6699747152328</v>
      </c>
      <c r="L36" s="147">
        <f>SUM('[7]TGSPDCL MoD'!M73:M74)</f>
        <v>4.00256011260622</v>
      </c>
      <c r="M36" s="147">
        <f>SUM('[7]TGSPDCL MoD'!N73:N74)</f>
        <v>6.86641184648434</v>
      </c>
      <c r="N36" s="147">
        <f>SUM('[7]TGSPDCL MoD'!O73:O74)</f>
        <v>13.1020583627689</v>
      </c>
      <c r="O36" s="147">
        <f>SUM('[7]TGSPDCL MoD'!P73:P74)</f>
        <v>11.7671131559341</v>
      </c>
      <c r="P36" s="147">
        <f>SUM('[7]TGSPDCL MoD'!Q73:Q74)</f>
        <v>5.46585702259838</v>
      </c>
      <c r="Q36" s="690">
        <f t="shared" si="2"/>
        <v>105.056561203322</v>
      </c>
    </row>
    <row r="37" spans="3:17">
      <c r="C37" s="683"/>
      <c r="D37" s="55" t="str">
        <f>'[43]F9-Year(n+1)'!D36</f>
        <v>SINGUR</v>
      </c>
      <c r="E37" s="147">
        <f>SUM('[7]TGSPDCL MoD'!F79+'[7]TGSPDCL MoD'!F80)</f>
        <v>0.919646434022938</v>
      </c>
      <c r="F37" s="147">
        <f>SUM('[7]TGSPDCL MoD'!G79+'[7]TGSPDCL MoD'!G80)</f>
        <v>0.9854640429717</v>
      </c>
      <c r="G37" s="147">
        <f>SUM('[7]TGSPDCL MoD'!H79+'[7]TGSPDCL MoD'!H80)</f>
        <v>1.02098846889602</v>
      </c>
      <c r="H37" s="147">
        <f>SUM('[7]TGSPDCL MoD'!I79+'[7]TGSPDCL MoD'!I80)</f>
        <v>2.2321114560672</v>
      </c>
      <c r="I37" s="147">
        <f>SUM('[7]TGSPDCL MoD'!J79+'[7]TGSPDCL MoD'!J80)</f>
        <v>5.24059022450592</v>
      </c>
      <c r="J37" s="147">
        <f>SUM('[7]TGSPDCL MoD'!K79+'[7]TGSPDCL MoD'!K80)</f>
        <v>2.64684587046048</v>
      </c>
      <c r="K37" s="147">
        <f>SUM('[7]TGSPDCL MoD'!L79+'[7]TGSPDCL MoD'!L80)</f>
        <v>2.91749367880818</v>
      </c>
      <c r="L37" s="147">
        <f>SUM('[7]TGSPDCL MoD'!M79+'[7]TGSPDCL MoD'!M80)</f>
        <v>1.00064002815155</v>
      </c>
      <c r="M37" s="147">
        <f>SUM('[7]TGSPDCL MoD'!N79+'[7]TGSPDCL MoD'!N80)</f>
        <v>1.71660296162109</v>
      </c>
      <c r="N37" s="147">
        <f>SUM('[7]TGSPDCL MoD'!O79+'[7]TGSPDCL MoD'!O80)</f>
        <v>3.27551459069222</v>
      </c>
      <c r="O37" s="147">
        <f>SUM('[7]TGSPDCL MoD'!P79+'[7]TGSPDCL MoD'!P80)</f>
        <v>2.94177828898354</v>
      </c>
      <c r="P37" s="147">
        <f>SUM('[7]TGSPDCL MoD'!Q79+'[7]TGSPDCL MoD'!Q80)</f>
        <v>1.36646425564959</v>
      </c>
      <c r="Q37" s="690">
        <f t="shared" si="2"/>
        <v>26.2641403008304</v>
      </c>
    </row>
    <row r="38" spans="3:17">
      <c r="C38" s="683"/>
      <c r="D38" s="55" t="str">
        <f>'[43]F9-Year(n+1)'!D37</f>
        <v>SSLM LCPH</v>
      </c>
      <c r="E38" s="147">
        <v>0</v>
      </c>
      <c r="F38" s="147">
        <v>0</v>
      </c>
      <c r="G38" s="147">
        <v>0</v>
      </c>
      <c r="H38" s="147">
        <v>0</v>
      </c>
      <c r="I38" s="147">
        <v>0</v>
      </c>
      <c r="J38" s="147">
        <v>0</v>
      </c>
      <c r="K38" s="147">
        <v>0</v>
      </c>
      <c r="L38" s="147">
        <v>0</v>
      </c>
      <c r="M38" s="147">
        <v>0</v>
      </c>
      <c r="N38" s="147">
        <v>0</v>
      </c>
      <c r="O38" s="147">
        <v>0</v>
      </c>
      <c r="P38" s="147">
        <v>0</v>
      </c>
      <c r="Q38" s="690">
        <f t="shared" si="2"/>
        <v>0</v>
      </c>
    </row>
    <row r="39" spans="3:17">
      <c r="C39" s="683"/>
      <c r="D39" s="55" t="str">
        <f>'[43]F9-Year(n+1)'!D38</f>
        <v>POCHAMPAD PH</v>
      </c>
      <c r="E39" s="147">
        <f>SUM('[7]TGSPDCL MoD'!F75:F76)</f>
        <v>1.10357572082753</v>
      </c>
      <c r="F39" s="147">
        <f>SUM('[7]TGSPDCL MoD'!G75:G76)</f>
        <v>1.18255685156604</v>
      </c>
      <c r="G39" s="147">
        <f>SUM('[7]TGSPDCL MoD'!H75:H76)</f>
        <v>1.22518616267522</v>
      </c>
      <c r="H39" s="147">
        <f>SUM('[7]TGSPDCL MoD'!I75:I76)</f>
        <v>2.67853374728064</v>
      </c>
      <c r="I39" s="147">
        <f>SUM('[7]TGSPDCL MoD'!J75:J76)</f>
        <v>6.2887082694071</v>
      </c>
      <c r="J39" s="147">
        <f>SUM('[7]TGSPDCL MoD'!K75:K76)</f>
        <v>3.17621504455256</v>
      </c>
      <c r="K39" s="147">
        <f>SUM('[7]TGSPDCL MoD'!L75:L76)</f>
        <v>3.50099241456982</v>
      </c>
      <c r="L39" s="147">
        <f>SUM('[7]TGSPDCL MoD'!M75:M76)</f>
        <v>1.20076803378187</v>
      </c>
      <c r="M39" s="147">
        <f>SUM('[7]TGSPDCL MoD'!N75:N76)</f>
        <v>2.0599235539453</v>
      </c>
      <c r="N39" s="147">
        <f>SUM('[7]TGSPDCL MoD'!O75:O76)</f>
        <v>3.93061750883068</v>
      </c>
      <c r="O39" s="147">
        <f>SUM('[7]TGSPDCL MoD'!P75:P76)</f>
        <v>3.53013394678024</v>
      </c>
      <c r="P39" s="147">
        <f>SUM('[7]TGSPDCL MoD'!Q75:Q76)</f>
        <v>1.63975710677951</v>
      </c>
      <c r="Q39" s="690">
        <f t="shared" si="2"/>
        <v>31.5169683609965</v>
      </c>
    </row>
    <row r="40" spans="3:17">
      <c r="C40" s="683"/>
      <c r="D40" s="55" t="str">
        <f>'[43]F9-Year(n+1)'!D39</f>
        <v>NIZAMSAGAR PH</v>
      </c>
      <c r="E40" s="147">
        <f>SUM('[7]TGSPDCL MoD'!F57:F58)</f>
        <v>0.61309762268196</v>
      </c>
      <c r="F40" s="147">
        <f>SUM('[7]TGSPDCL MoD'!G57:G58)</f>
        <v>0.6569760286478</v>
      </c>
      <c r="G40" s="147">
        <f>SUM('[7]TGSPDCL MoD'!H57:H58)</f>
        <v>0.680658979264012</v>
      </c>
      <c r="H40" s="147">
        <f>SUM('[7]TGSPDCL MoD'!I57:I58)</f>
        <v>1.4880743040448</v>
      </c>
      <c r="I40" s="147">
        <f>SUM('[7]TGSPDCL MoD'!J57:J58)</f>
        <v>3.49372681633728</v>
      </c>
      <c r="J40" s="147">
        <f>SUM('[7]TGSPDCL MoD'!K57:K58)</f>
        <v>1.76456391364031</v>
      </c>
      <c r="K40" s="147">
        <f>SUM('[7]TGSPDCL MoD'!L57:L58)</f>
        <v>1.94499578587213</v>
      </c>
      <c r="L40" s="147">
        <f>SUM('[7]TGSPDCL MoD'!M57:M58)</f>
        <v>0.667093352101036</v>
      </c>
      <c r="M40" s="147">
        <f>SUM('[7]TGSPDCL MoD'!N57:N58)</f>
        <v>1.14440197441406</v>
      </c>
      <c r="N40" s="147">
        <f>SUM('[7]TGSPDCL MoD'!O57:O58)</f>
        <v>2.18367639379482</v>
      </c>
      <c r="O40" s="147">
        <f>SUM('[7]TGSPDCL MoD'!P57:P58)</f>
        <v>1.96118552598902</v>
      </c>
      <c r="P40" s="147">
        <f>SUM('[7]TGSPDCL MoD'!Q57:Q58)</f>
        <v>0.910976170433062</v>
      </c>
      <c r="Q40" s="690">
        <f t="shared" si="2"/>
        <v>17.5094268672203</v>
      </c>
    </row>
    <row r="41" spans="3:17">
      <c r="C41" s="683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3:17">
      <c r="C42" s="683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</row>
    <row r="43" spans="3:17">
      <c r="C43" s="683"/>
      <c r="D43" s="55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55"/>
    </row>
    <row r="44" spans="3:17">
      <c r="C44" s="683"/>
      <c r="D44" s="55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55"/>
    </row>
    <row r="45" spans="3:17">
      <c r="C45" s="683"/>
      <c r="D45" s="55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55"/>
    </row>
    <row r="46" spans="3:17">
      <c r="C46" s="683"/>
      <c r="D46" s="55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55"/>
    </row>
    <row r="47" spans="3:17">
      <c r="C47" s="684"/>
      <c r="D47" s="6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55"/>
    </row>
    <row r="48" ht="15" spans="3:18">
      <c r="C48" s="537" t="s">
        <v>211</v>
      </c>
      <c r="D48" s="540"/>
      <c r="E48" s="690">
        <f t="shared" ref="E48:P48" si="3">SUM(E30:E47)</f>
        <v>141.846265983698</v>
      </c>
      <c r="F48" s="690">
        <f t="shared" si="3"/>
        <v>151.997973987955</v>
      </c>
      <c r="G48" s="690">
        <f t="shared" si="3"/>
        <v>157.477261442522</v>
      </c>
      <c r="H48" s="690">
        <f t="shared" si="3"/>
        <v>344.280870983805</v>
      </c>
      <c r="I48" s="690">
        <f t="shared" si="3"/>
        <v>808.308636227791</v>
      </c>
      <c r="J48" s="690">
        <f t="shared" si="3"/>
        <v>408.249507059823</v>
      </c>
      <c r="K48" s="690">
        <f t="shared" si="3"/>
        <v>449.994225019375</v>
      </c>
      <c r="L48" s="690">
        <f t="shared" si="3"/>
        <v>154.338717942095</v>
      </c>
      <c r="M48" s="690">
        <f t="shared" si="3"/>
        <v>264.768840800437</v>
      </c>
      <c r="N48" s="690">
        <f t="shared" si="3"/>
        <v>505.21537046837</v>
      </c>
      <c r="O48" s="690">
        <f t="shared" si="3"/>
        <v>453.739883292821</v>
      </c>
      <c r="P48" s="690">
        <f t="shared" si="3"/>
        <v>210.763446791393</v>
      </c>
      <c r="Q48" s="693">
        <f>SUM(E48:P48)</f>
        <v>4050.98100000009</v>
      </c>
      <c r="R48" s="686"/>
    </row>
    <row r="49" ht="15" spans="3:17">
      <c r="C49" s="44" t="s">
        <v>369</v>
      </c>
      <c r="D49" s="45"/>
      <c r="E49" s="690">
        <f t="shared" ref="E49:Q49" si="4">E28+E48</f>
        <v>2587.51467765625</v>
      </c>
      <c r="F49" s="690">
        <f t="shared" si="4"/>
        <v>2188.02486481821</v>
      </c>
      <c r="G49" s="690">
        <f t="shared" si="4"/>
        <v>2472.38695121167</v>
      </c>
      <c r="H49" s="690">
        <f t="shared" si="4"/>
        <v>3061.95649432429</v>
      </c>
      <c r="I49" s="690">
        <f t="shared" si="4"/>
        <v>3715.52475728981</v>
      </c>
      <c r="J49" s="690">
        <f t="shared" si="4"/>
        <v>3008.04715984837</v>
      </c>
      <c r="K49" s="690">
        <f t="shared" si="4"/>
        <v>3666.85965121823</v>
      </c>
      <c r="L49" s="690">
        <f t="shared" si="4"/>
        <v>2491.32533338457</v>
      </c>
      <c r="M49" s="690">
        <f t="shared" si="4"/>
        <v>2804.77507479305</v>
      </c>
      <c r="N49" s="690">
        <f t="shared" si="4"/>
        <v>3486.45499604943</v>
      </c>
      <c r="O49" s="690">
        <f t="shared" si="4"/>
        <v>3486.73895589886</v>
      </c>
      <c r="P49" s="690">
        <f t="shared" si="4"/>
        <v>3783.5348453938</v>
      </c>
      <c r="Q49" s="693">
        <f t="shared" si="4"/>
        <v>36753.1437618865</v>
      </c>
    </row>
    <row r="50" ht="15" spans="3:17">
      <c r="C50" s="663" t="s">
        <v>370</v>
      </c>
      <c r="D50" s="676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</row>
    <row r="51" ht="15" spans="3:17">
      <c r="C51" s="44" t="s">
        <v>350</v>
      </c>
      <c r="D51" s="4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spans="3:17">
      <c r="C52" s="682" t="s">
        <v>371</v>
      </c>
      <c r="D52" s="757" t="s">
        <v>372</v>
      </c>
      <c r="E52" s="147">
        <f>SUM('[7]TGSPDCL MoD'!F25:F30)</f>
        <v>98.1487904352062</v>
      </c>
      <c r="F52" s="147">
        <f>SUM('[7]TGSPDCL MoD'!G25:G30)</f>
        <v>113.630856238974</v>
      </c>
      <c r="G52" s="147">
        <f>SUM('[7]TGSPDCL MoD'!H25:H30)</f>
        <v>81.3601815449736</v>
      </c>
      <c r="H52" s="147">
        <f>SUM('[7]TGSPDCL MoD'!I25:I30)</f>
        <v>87.5751954129923</v>
      </c>
      <c r="I52" s="147">
        <f>SUM('[7]TGSPDCL MoD'!J25:J30)</f>
        <v>95.6374272869073</v>
      </c>
      <c r="J52" s="147">
        <f>SUM('[7]TGSPDCL MoD'!K25:K30)</f>
        <v>81.3601815449736</v>
      </c>
      <c r="K52" s="147">
        <f>SUM('[7]TGSPDCL MoD'!L25:L30)</f>
        <v>119.102265761669</v>
      </c>
      <c r="L52" s="147">
        <f>SUM('[7]TGSPDCL MoD'!M25:M30)</f>
        <v>138.99031013933</v>
      </c>
      <c r="M52" s="147">
        <f>SUM('[7]TGSPDCL MoD'!N25:N30)</f>
        <v>69.3929167462949</v>
      </c>
      <c r="N52" s="147">
        <f>SUM('[7]TGSPDCL MoD'!O25:O30)</f>
        <v>71.8950651866662</v>
      </c>
      <c r="O52" s="147">
        <f>SUM('[7]TGSPDCL MoD'!P25:P30)</f>
        <v>103.860464031039</v>
      </c>
      <c r="P52" s="147">
        <f>SUM('[7]TGSPDCL MoD'!Q25:Q30)</f>
        <v>126.108281394709</v>
      </c>
      <c r="Q52" s="690">
        <f t="shared" ref="Q52:Q68" si="5">SUM(E52:P52)</f>
        <v>1187.06193572374</v>
      </c>
    </row>
    <row r="53" spans="3:17">
      <c r="C53" s="683"/>
      <c r="D53" s="757" t="s">
        <v>373</v>
      </c>
      <c r="E53" s="147">
        <f>'[7]TGSPDCL MoD'!F31</f>
        <v>27.0424670725388</v>
      </c>
      <c r="F53" s="147">
        <f>'[7]TGSPDCL MoD'!G31</f>
        <v>28.7961431678527</v>
      </c>
      <c r="G53" s="147">
        <f>'[7]TGSPDCL MoD'!H31</f>
        <v>20.2818503044041</v>
      </c>
      <c r="H53" s="147">
        <f>'[7]TGSPDCL MoD'!I31</f>
        <v>0</v>
      </c>
      <c r="I53" s="147">
        <f>'[7]TGSPDCL MoD'!J31</f>
        <v>11.7888254894348</v>
      </c>
      <c r="J53" s="147">
        <f>'[7]TGSPDCL MoD'!K31</f>
        <v>20.2818503044041</v>
      </c>
      <c r="K53" s="147">
        <f>'[7]TGSPDCL MoD'!L31</f>
        <v>29.5347494285347</v>
      </c>
      <c r="L53" s="147">
        <f>'[7]TGSPDCL MoD'!M31</f>
        <v>34.6481609366903</v>
      </c>
      <c r="M53" s="147">
        <f>'[7]TGSPDCL MoD'!N31</f>
        <v>22.704404646319</v>
      </c>
      <c r="N53" s="147">
        <f>'[7]TGSPDCL MoD'!O31</f>
        <v>22.704404646319</v>
      </c>
      <c r="O53" s="147">
        <f>'[7]TGSPDCL MoD'!P31</f>
        <v>26.8171131802676</v>
      </c>
      <c r="P53" s="147">
        <f>'[7]TGSPDCL MoD'!Q31</f>
        <v>31.4368679718263</v>
      </c>
      <c r="Q53" s="690">
        <f t="shared" si="5"/>
        <v>276.036837148591</v>
      </c>
    </row>
    <row r="54" spans="3:17">
      <c r="C54" s="683"/>
      <c r="D54" s="757" t="s">
        <v>374</v>
      </c>
      <c r="E54" s="147">
        <f>SUM('[7]TGSPDCL MoD'!F42:F45)</f>
        <v>92.3538663122472</v>
      </c>
      <c r="F54" s="147">
        <f>SUM('[7]TGSPDCL MoD'!G42:G45)</f>
        <v>91.5634503393044</v>
      </c>
      <c r="G54" s="147">
        <f>SUM('[7]TGSPDCL MoD'!H42:H45)</f>
        <v>88.60979065094</v>
      </c>
      <c r="H54" s="147">
        <f>SUM('[7]TGSPDCL MoD'!I42:I45)</f>
        <v>77.3775636670179</v>
      </c>
      <c r="I54" s="147">
        <f>SUM('[7]TGSPDCL MoD'!J42:J45)</f>
        <v>77.3775636670179</v>
      </c>
      <c r="J54" s="147">
        <f>SUM('[7]TGSPDCL MoD'!K42:K45)</f>
        <v>95.2714998602933</v>
      </c>
      <c r="K54" s="147">
        <f>SUM('[7]TGSPDCL MoD'!L42:L45)</f>
        <v>103.170084889357</v>
      </c>
      <c r="L54" s="147">
        <f>SUM('[7]TGSPDCL MoD'!M42:M45)</f>
        <v>72.0734564801658</v>
      </c>
      <c r="M54" s="147">
        <f>SUM('[7]TGSPDCL MoD'!N42:N45)</f>
        <v>59.6452053266595</v>
      </c>
      <c r="N54" s="147">
        <f>SUM('[7]TGSPDCL MoD'!O42:O45)</f>
        <v>86.8885558677556</v>
      </c>
      <c r="O54" s="147">
        <f>SUM('[7]TGSPDCL MoD'!P42:P45)</f>
        <v>93.1858831258708</v>
      </c>
      <c r="P54" s="147">
        <f>SUM('[7]TGSPDCL MoD'!Q42:Q45)</f>
        <v>103.170084889357</v>
      </c>
      <c r="Q54" s="690">
        <f t="shared" si="5"/>
        <v>1040.68700507599</v>
      </c>
    </row>
    <row r="55" spans="3:17">
      <c r="C55" s="683"/>
      <c r="D55" s="757" t="s">
        <v>375</v>
      </c>
      <c r="E55" s="147">
        <f>'[7]TGSPDCL MoD'!F40</f>
        <v>160.412607347683</v>
      </c>
      <c r="F55" s="147">
        <f>'[7]TGSPDCL MoD'!G40</f>
        <v>133.633290070707</v>
      </c>
      <c r="G55" s="147">
        <f>'[7]TGSPDCL MoD'!H40</f>
        <v>124.203285557311</v>
      </c>
      <c r="H55" s="147">
        <f>'[7]TGSPDCL MoD'!I40</f>
        <v>128.343395075888</v>
      </c>
      <c r="I55" s="147">
        <f>'[7]TGSPDCL MoD'!J40</f>
        <v>133.691036537383</v>
      </c>
      <c r="J55" s="147">
        <f>'[7]TGSPDCL MoD'!K40</f>
        <v>124.203285557311</v>
      </c>
      <c r="K55" s="147">
        <f>'[7]TGSPDCL MoD'!L40</f>
        <v>164.685904087775</v>
      </c>
      <c r="L55" s="147">
        <f>'[7]TGSPDCL MoD'!M40</f>
        <v>104.677065979368</v>
      </c>
      <c r="M55" s="147">
        <f>'[7]TGSPDCL MoD'!N40</f>
        <v>138.458934410985</v>
      </c>
      <c r="N55" s="147">
        <f>'[7]TGSPDCL MoD'!O40</f>
        <v>139.038677998878</v>
      </c>
      <c r="O55" s="147">
        <f>'[7]TGSPDCL MoD'!P40</f>
        <v>164.224344236889</v>
      </c>
      <c r="P55" s="147">
        <f>'[7]TGSPDCL MoD'!Q40</f>
        <v>187.167451152336</v>
      </c>
      <c r="Q55" s="690">
        <f t="shared" si="5"/>
        <v>1702.73927801251</v>
      </c>
    </row>
    <row r="56" spans="3:17">
      <c r="C56" s="683"/>
      <c r="D56" s="757" t="s">
        <v>376</v>
      </c>
      <c r="E56" s="147">
        <f>'[7]TGSPDCL MoD'!F41</f>
        <v>78.1924117291527</v>
      </c>
      <c r="F56" s="147">
        <f>'[7]TGSPDCL MoD'!G41</f>
        <v>76.9078369565903</v>
      </c>
      <c r="G56" s="147">
        <f>'[7]TGSPDCL MoD'!H41</f>
        <v>59.0939365687409</v>
      </c>
      <c r="H56" s="147">
        <f>'[7]TGSPDCL MoD'!I41</f>
        <v>30.5318672271828</v>
      </c>
      <c r="I56" s="147">
        <f>'[7]TGSPDCL MoD'!J41</f>
        <v>66.8645329252178</v>
      </c>
      <c r="J56" s="147">
        <f>'[7]TGSPDCL MoD'!K41</f>
        <v>59.0939365687409</v>
      </c>
      <c r="K56" s="147">
        <f>'[7]TGSPDCL MoD'!L41</f>
        <v>81.5385755461813</v>
      </c>
      <c r="L56" s="147">
        <f>'[7]TGSPDCL MoD'!M41</f>
        <v>100.952141638266</v>
      </c>
      <c r="M56" s="147">
        <f>'[7]TGSPDCL MoD'!N41</f>
        <v>66.1523789922294</v>
      </c>
      <c r="N56" s="147">
        <f>'[7]TGSPDCL MoD'!O41</f>
        <v>66.1523789922294</v>
      </c>
      <c r="O56" s="147">
        <f>'[7]TGSPDCL MoD'!P41</f>
        <v>78.1353161297796</v>
      </c>
      <c r="P56" s="147">
        <f>'[7]TGSPDCL MoD'!Q41</f>
        <v>89.0512794126165</v>
      </c>
      <c r="Q56" s="690">
        <f t="shared" si="5"/>
        <v>852.666592686928</v>
      </c>
    </row>
    <row r="57" spans="3:17">
      <c r="C57" s="683"/>
      <c r="D57" s="757" t="s">
        <v>377</v>
      </c>
      <c r="E57" s="147">
        <f>SUM('[7]TGSPDCL MoD'!F49:F51)</f>
        <v>66.9531535616976</v>
      </c>
      <c r="F57" s="147">
        <f>SUM('[7]TGSPDCL MoD'!G49:G51)</f>
        <v>66.417528333204</v>
      </c>
      <c r="G57" s="147">
        <f>SUM('[7]TGSPDCL MoD'!H49:H51)</f>
        <v>42.8500182794864</v>
      </c>
      <c r="H57" s="147">
        <f>SUM('[7]TGSPDCL MoD'!I49:I51)</f>
        <v>33.208764166602</v>
      </c>
      <c r="I57" s="147">
        <f>SUM('[7]TGSPDCL MoD'!J49:J51)</f>
        <v>57.6541044559062</v>
      </c>
      <c r="J57" s="147">
        <f>SUM('[7]TGSPDCL MoD'!K49:K51)</f>
        <v>64.2750274192296</v>
      </c>
      <c r="K57" s="147">
        <f>SUM('[7]TGSPDCL MoD'!L49:L51)</f>
        <v>83.0219104165047</v>
      </c>
      <c r="L57" s="147">
        <f>SUM('[7]TGSPDCL MoD'!M49:M51)</f>
        <v>81.7375847923349</v>
      </c>
      <c r="M57" s="147">
        <f>SUM('[7]TGSPDCL MoD'!N49:N51)</f>
        <v>46.123283564725</v>
      </c>
      <c r="N57" s="147">
        <f>SUM('[7]TGSPDCL MoD'!O49:O51)</f>
        <v>69.1849253470875</v>
      </c>
      <c r="O57" s="147">
        <f>SUM('[7]TGSPDCL MoD'!P49:P51)</f>
        <v>83.0814309025937</v>
      </c>
      <c r="P57" s="147">
        <f>SUM('[7]TGSPDCL MoD'!Q49:Q51)</f>
        <v>96.8588954859222</v>
      </c>
      <c r="Q57" s="690">
        <f t="shared" si="5"/>
        <v>791.366626725294</v>
      </c>
    </row>
    <row r="58" spans="3:17">
      <c r="C58" s="683"/>
      <c r="D58" s="757" t="s">
        <v>378</v>
      </c>
      <c r="E58" s="147">
        <f>'[7]TGSPDCL MoD'!F53</f>
        <v>10.9971659087202</v>
      </c>
      <c r="F58" s="147">
        <f>'[7]TGSPDCL MoD'!G53</f>
        <v>10.9091885814505</v>
      </c>
      <c r="G58" s="147">
        <f>'[7]TGSPDCL MoD'!H53</f>
        <v>10.5572792723714</v>
      </c>
      <c r="H58" s="147">
        <f>'[7]TGSPDCL MoD'!I53</f>
        <v>10.9091885814505</v>
      </c>
      <c r="I58" s="147">
        <f>'[7]TGSPDCL MoD'!J53</f>
        <v>11.3637381056776</v>
      </c>
      <c r="J58" s="147">
        <f>'[7]TGSPDCL MoD'!K53</f>
        <v>10.5572792723714</v>
      </c>
      <c r="K58" s="147">
        <f>'[7]TGSPDCL MoD'!L53</f>
        <v>13.6364857268131</v>
      </c>
      <c r="L58" s="147">
        <f>'[7]TGSPDCL MoD'!M53</f>
        <v>16.7156921812547</v>
      </c>
      <c r="M58" s="147">
        <f>'[7]TGSPDCL MoD'!N53</f>
        <v>11.3637381056776</v>
      </c>
      <c r="N58" s="147">
        <f>'[7]TGSPDCL MoD'!O53</f>
        <v>11.3637381056776</v>
      </c>
      <c r="O58" s="147">
        <f>'[7]TGSPDCL MoD'!P53</f>
        <v>13.9590692601355</v>
      </c>
      <c r="P58" s="147">
        <f>'[7]TGSPDCL MoD'!Q53</f>
        <v>15.9092333479486</v>
      </c>
      <c r="Q58" s="690">
        <f t="shared" si="5"/>
        <v>148.241796449549</v>
      </c>
    </row>
    <row r="59" spans="3:17">
      <c r="C59" s="683"/>
      <c r="D59" s="757" t="s">
        <v>379</v>
      </c>
      <c r="E59" s="147">
        <f>'[7]TGSPDCL MoD'!F54</f>
        <v>48.0325496022978</v>
      </c>
      <c r="F59" s="147">
        <f>'[7]TGSPDCL MoD'!G54</f>
        <v>47.6482892054794</v>
      </c>
      <c r="G59" s="147">
        <f>'[7]TGSPDCL MoD'!H54</f>
        <v>46.1112476182059</v>
      </c>
      <c r="H59" s="147">
        <f>'[7]TGSPDCL MoD'!I54</f>
        <v>47.6482892054794</v>
      </c>
      <c r="I59" s="147">
        <f>'[7]TGSPDCL MoD'!J54</f>
        <v>49.6336345890411</v>
      </c>
      <c r="J59" s="147">
        <f>'[7]TGSPDCL MoD'!K54</f>
        <v>46.1112476182059</v>
      </c>
      <c r="K59" s="147">
        <f>'[7]TGSPDCL MoD'!L54</f>
        <v>59.5603615068493</v>
      </c>
      <c r="L59" s="147">
        <f>'[7]TGSPDCL MoD'!M54</f>
        <v>66.9753190824395</v>
      </c>
      <c r="M59" s="147">
        <f>'[7]TGSPDCL MoD'!N54</f>
        <v>47.9159155066514</v>
      </c>
      <c r="N59" s="147">
        <f>'[7]TGSPDCL MoD'!O54</f>
        <v>49.6336345890411</v>
      </c>
      <c r="O59" s="147">
        <f>'[7]TGSPDCL MoD'!P54</f>
        <v>59.1761011100309</v>
      </c>
      <c r="P59" s="147">
        <f>'[7]TGSPDCL MoD'!Q54</f>
        <v>69.4870884246575</v>
      </c>
      <c r="Q59" s="690">
        <f t="shared" si="5"/>
        <v>637.933678058379</v>
      </c>
    </row>
    <row r="60" spans="3:17">
      <c r="C60" s="684"/>
      <c r="D60" s="757" t="s">
        <v>380</v>
      </c>
      <c r="E60" s="147">
        <f>'[7]TGSPDCL MoD'!F55</f>
        <v>268.724259857558</v>
      </c>
      <c r="F60" s="147">
        <f>'[7]TGSPDCL MoD'!G55</f>
        <v>264.737020098483</v>
      </c>
      <c r="G60" s="147">
        <f>'[7]TGSPDCL MoD'!H55</f>
        <v>202.340644837258</v>
      </c>
      <c r="H60" s="147">
        <f>'[7]TGSPDCL MoD'!I55</f>
        <v>104.253704202022</v>
      </c>
      <c r="I60" s="147">
        <f>'[7]TGSPDCL MoD'!J55</f>
        <v>0</v>
      </c>
      <c r="J60" s="147">
        <f>'[7]TGSPDCL MoD'!K55</f>
        <v>201.781362971656</v>
      </c>
      <c r="K60" s="147">
        <f>'[7]TGSPDCL MoD'!L55</f>
        <v>278.50788769346</v>
      </c>
      <c r="L60" s="147">
        <f>'[7]TGSPDCL MoD'!M55</f>
        <v>278.184014970633</v>
      </c>
      <c r="M60" s="147">
        <f>'[7]TGSPDCL MoD'!N55</f>
        <v>238.307098175236</v>
      </c>
      <c r="N60" s="147">
        <f>'[7]TGSPDCL MoD'!O55</f>
        <v>239.72929285828</v>
      </c>
      <c r="O60" s="147">
        <f>'[7]TGSPDCL MoD'!P55</f>
        <v>243.421435905505</v>
      </c>
      <c r="P60" s="147">
        <f>'[7]TGSPDCL MoD'!Q55</f>
        <v>291.231731105122</v>
      </c>
      <c r="Q60" s="690">
        <f t="shared" si="5"/>
        <v>2611.21845267521</v>
      </c>
    </row>
    <row r="61" spans="3:17">
      <c r="C61" s="684"/>
      <c r="D61" s="757" t="s">
        <v>450</v>
      </c>
      <c r="E61" s="147">
        <f>'[7]TGSPDCL MoD'!F56</f>
        <v>255.185867462035</v>
      </c>
      <c r="F61" s="147">
        <f>'[7]TGSPDCL MoD'!G56</f>
        <v>263.164690218697</v>
      </c>
      <c r="G61" s="147">
        <f>'[7]TGSPDCL MoD'!H56</f>
        <v>186.28985242052</v>
      </c>
      <c r="H61" s="147">
        <f>'[7]TGSPDCL MoD'!I56</f>
        <v>202.146593388418</v>
      </c>
      <c r="I61" s="147">
        <f>'[7]TGSPDCL MoD'!J56</f>
        <v>239.347965114255</v>
      </c>
      <c r="J61" s="147">
        <f>'[7]TGSPDCL MoD'!K56</f>
        <v>190.297056958893</v>
      </c>
      <c r="K61" s="147">
        <f>'[7]TGSPDCL MoD'!L56</f>
        <v>0</v>
      </c>
      <c r="L61" s="147">
        <f>'[7]TGSPDCL MoD'!M56</f>
        <v>278.184014970633</v>
      </c>
      <c r="M61" s="147">
        <f>'[7]TGSPDCL MoD'!N56</f>
        <v>116.399766827501</v>
      </c>
      <c r="N61" s="147">
        <f>'[7]TGSPDCL MoD'!O56</f>
        <v>234.605314923331</v>
      </c>
      <c r="O61" s="147">
        <f>'[7]TGSPDCL MoD'!P56</f>
        <v>231.018376202773</v>
      </c>
      <c r="P61" s="147">
        <f>'[7]TGSPDCL MoD'!Q56</f>
        <v>279.003940242625</v>
      </c>
      <c r="Q61" s="690">
        <f t="shared" si="5"/>
        <v>2475.64343872968</v>
      </c>
    </row>
    <row r="62" spans="3:17">
      <c r="C62" s="55"/>
      <c r="D62" s="757" t="s">
        <v>381</v>
      </c>
      <c r="E62" s="147">
        <f>'[7]TGSPDCL MoD'!F33</f>
        <v>2.3101257972288</v>
      </c>
      <c r="F62" s="147">
        <f>'[7]TGSPDCL MoD'!G33</f>
        <v>2.1935789101614</v>
      </c>
      <c r="G62" s="147">
        <f>'[7]TGSPDCL MoD'!H33</f>
        <v>2.12281830015619</v>
      </c>
      <c r="H62" s="147">
        <f>'[7]TGSPDCL MoD'!I33</f>
        <v>2.43551776054685</v>
      </c>
      <c r="I62" s="147">
        <f>'[7]TGSPDCL MoD'!J33</f>
        <v>2.58068107077812</v>
      </c>
      <c r="J62" s="147">
        <f>'[7]TGSPDCL MoD'!K33</f>
        <v>0</v>
      </c>
      <c r="K62" s="147">
        <f>'[7]TGSPDCL MoD'!L33</f>
        <v>2.58068107077812</v>
      </c>
      <c r="L62" s="147">
        <f>'[7]TGSPDCL MoD'!M33</f>
        <v>2.35695267149693</v>
      </c>
      <c r="M62" s="147">
        <f>'[7]TGSPDCL MoD'!N33</f>
        <v>2.29035445031558</v>
      </c>
      <c r="N62" s="147">
        <f>'[7]TGSPDCL MoD'!O33</f>
        <v>2.43551776054685</v>
      </c>
      <c r="O62" s="147">
        <f>'[7]TGSPDCL MoD'!P33</f>
        <v>2.33093774134798</v>
      </c>
      <c r="P62" s="147">
        <f>'[7]TGSPDCL MoD'!Q33</f>
        <v>2.58068107077812</v>
      </c>
      <c r="Q62" s="690">
        <f t="shared" si="5"/>
        <v>26.2178466041349</v>
      </c>
    </row>
    <row r="63" spans="3:17">
      <c r="C63" s="55"/>
      <c r="D63" s="757" t="s">
        <v>382</v>
      </c>
      <c r="E63" s="147">
        <f>'[7]TGSPDCL MoD'!F34</f>
        <v>3.04435182580537</v>
      </c>
      <c r="F63" s="147">
        <f>'[7]TGSPDCL MoD'!G34</f>
        <v>2.89076290486384</v>
      </c>
      <c r="G63" s="147">
        <f>'[7]TGSPDCL MoD'!H34</f>
        <v>2.79751248857791</v>
      </c>
      <c r="H63" s="147">
        <f>'[7]TGSPDCL MoD'!I34</f>
        <v>3.20959704878265</v>
      </c>
      <c r="I63" s="147">
        <f>'[7]TGSPDCL MoD'!J34</f>
        <v>3.40089753513393</v>
      </c>
      <c r="J63" s="147">
        <f>'[7]TGSPDCL MoD'!K34</f>
        <v>0</v>
      </c>
      <c r="K63" s="147">
        <f>'[7]TGSPDCL MoD'!L34</f>
        <v>3.40089753513393</v>
      </c>
      <c r="L63" s="147">
        <f>'[7]TGSPDCL MoD'!M34</f>
        <v>3.10606166011224</v>
      </c>
      <c r="M63" s="147">
        <f>'[7]TGSPDCL MoD'!N34</f>
        <v>3.01829656243136</v>
      </c>
      <c r="N63" s="147">
        <f>'[7]TGSPDCL MoD'!O34</f>
        <v>3.20959704878262</v>
      </c>
      <c r="O63" s="147">
        <f>'[7]TGSPDCL MoD'!P34</f>
        <v>3.07177841883065</v>
      </c>
      <c r="P63" s="147">
        <f>'[7]TGSPDCL MoD'!Q34</f>
        <v>3.40089753513393</v>
      </c>
      <c r="Q63" s="690">
        <f t="shared" si="5"/>
        <v>34.5506505635884</v>
      </c>
    </row>
    <row r="64" spans="3:17">
      <c r="C64" s="55"/>
      <c r="D64" s="757" t="s">
        <v>383</v>
      </c>
      <c r="E64" s="147">
        <f>'[7]TGSPDCL MoD'!F52</f>
        <v>26.392910086464</v>
      </c>
      <c r="F64" s="147">
        <f>'[7]TGSPDCL MoD'!G52</f>
        <v>26.1670248199582</v>
      </c>
      <c r="G64" s="147">
        <f>'[7]TGSPDCL MoD'!H52</f>
        <v>25.3229272451208</v>
      </c>
      <c r="H64" s="147">
        <f>'[7]TGSPDCL MoD'!I52</f>
        <v>29.4839716281219</v>
      </c>
      <c r="I64" s="147">
        <f>'[7]TGSPDCL MoD'!J52</f>
        <v>0</v>
      </c>
      <c r="J64" s="147">
        <f>'[7]TGSPDCL MoD'!K52</f>
        <v>26.9279015071356</v>
      </c>
      <c r="K64" s="147">
        <f>'[7]TGSPDCL MoD'!L52</f>
        <v>29.4839716281219</v>
      </c>
      <c r="L64" s="147">
        <f>'[7]TGSPDCL MoD'!M52</f>
        <v>27.4628929278071</v>
      </c>
      <c r="M64" s="147">
        <f>'[7]TGSPDCL MoD'!N52</f>
        <v>27.2726737560128</v>
      </c>
      <c r="N64" s="147">
        <f>'[7]TGSPDCL MoD'!O52</f>
        <v>28.3783226920674</v>
      </c>
      <c r="O64" s="147">
        <f>'[7]TGSPDCL MoD'!P52</f>
        <v>26.6306840512069</v>
      </c>
      <c r="P64" s="147">
        <f>'[7]TGSPDCL MoD'!Q52</f>
        <v>29.4839716281219</v>
      </c>
      <c r="Q64" s="690">
        <f t="shared" si="5"/>
        <v>303.007251970138</v>
      </c>
    </row>
    <row r="65" spans="3:17">
      <c r="C65" s="55"/>
      <c r="D65" s="757" t="s">
        <v>384</v>
      </c>
      <c r="E65" s="147">
        <f>'[7]TGSPDCL MoD'!F35</f>
        <v>0</v>
      </c>
      <c r="F65" s="147">
        <f>'[7]TGSPDCL MoD'!G35</f>
        <v>0</v>
      </c>
      <c r="G65" s="147">
        <f>'[7]TGSPDCL MoD'!H35</f>
        <v>0</v>
      </c>
      <c r="H65" s="147">
        <f>'[7]TGSPDCL MoD'!I35</f>
        <v>0</v>
      </c>
      <c r="I65" s="147">
        <f>'[7]TGSPDCL MoD'!J35</f>
        <v>0</v>
      </c>
      <c r="J65" s="147">
        <f>'[7]TGSPDCL MoD'!K35</f>
        <v>0</v>
      </c>
      <c r="K65" s="147">
        <f>'[7]TGSPDCL MoD'!L35</f>
        <v>0</v>
      </c>
      <c r="L65" s="147">
        <f>'[7]TGSPDCL MoD'!M35</f>
        <v>0</v>
      </c>
      <c r="M65" s="147">
        <f>'[7]TGSPDCL MoD'!N35</f>
        <v>0</v>
      </c>
      <c r="N65" s="147">
        <f>'[7]TGSPDCL MoD'!O35</f>
        <v>0</v>
      </c>
      <c r="O65" s="147">
        <f>'[7]TGSPDCL MoD'!P35</f>
        <v>0</v>
      </c>
      <c r="P65" s="147">
        <f>'[7]TGSPDCL MoD'!Q35</f>
        <v>0</v>
      </c>
      <c r="Q65" s="690">
        <f t="shared" si="5"/>
        <v>0</v>
      </c>
    </row>
    <row r="66" spans="3:17">
      <c r="C66" s="55"/>
      <c r="D66" s="757" t="s">
        <v>385</v>
      </c>
      <c r="E66" s="147">
        <f t="shared" ref="E66:P66" si="6">E65</f>
        <v>0</v>
      </c>
      <c r="F66" s="147">
        <f t="shared" si="6"/>
        <v>0</v>
      </c>
      <c r="G66" s="147">
        <f t="shared" si="6"/>
        <v>0</v>
      </c>
      <c r="H66" s="147">
        <f t="shared" si="6"/>
        <v>0</v>
      </c>
      <c r="I66" s="147">
        <f t="shared" si="6"/>
        <v>0</v>
      </c>
      <c r="J66" s="147">
        <f t="shared" si="6"/>
        <v>0</v>
      </c>
      <c r="K66" s="147">
        <f t="shared" si="6"/>
        <v>0</v>
      </c>
      <c r="L66" s="147">
        <f t="shared" si="6"/>
        <v>0</v>
      </c>
      <c r="M66" s="147">
        <f t="shared" si="6"/>
        <v>0</v>
      </c>
      <c r="N66" s="147">
        <f t="shared" si="6"/>
        <v>0</v>
      </c>
      <c r="O66" s="147">
        <f t="shared" si="6"/>
        <v>0</v>
      </c>
      <c r="P66" s="147">
        <f t="shared" si="6"/>
        <v>0</v>
      </c>
      <c r="Q66" s="690">
        <f t="shared" si="5"/>
        <v>0</v>
      </c>
    </row>
    <row r="67" spans="3:17">
      <c r="C67" s="55"/>
      <c r="D67" s="757" t="s">
        <v>386</v>
      </c>
      <c r="E67" s="147">
        <f>'[7]TGSPDCL MoD'!F46</f>
        <v>31.7134386577954</v>
      </c>
      <c r="F67" s="147">
        <f>'[7]TGSPDCL MoD'!G46</f>
        <v>35.7101798256121</v>
      </c>
      <c r="G67" s="147">
        <f>'[7]TGSPDCL MoD'!H46</f>
        <v>23.7850789933466</v>
      </c>
      <c r="H67" s="147">
        <f>'[7]TGSPDCL MoD'!I46</f>
        <v>25.6019947497828</v>
      </c>
      <c r="I67" s="147">
        <f>'[7]TGSPDCL MoD'!J46</f>
        <v>28.6742341197567</v>
      </c>
      <c r="J67" s="147">
        <f>'[7]TGSPDCL MoD'!K46</f>
        <v>23.7850789933466</v>
      </c>
      <c r="K67" s="147">
        <f>'[7]TGSPDCL MoD'!L46</f>
        <v>34.8187128597046</v>
      </c>
      <c r="L67" s="147">
        <f>'[7]TGSPDCL MoD'!M46</f>
        <v>40.6328432803003</v>
      </c>
      <c r="M67" s="147">
        <f>'[7]TGSPDCL MoD'!N46</f>
        <v>26.6260745397741</v>
      </c>
      <c r="N67" s="147">
        <f>'[7]TGSPDCL MoD'!O46</f>
        <v>27.3255854951538</v>
      </c>
      <c r="O67" s="147">
        <f>'[7]TGSPDCL MoD'!P46</f>
        <v>32.3741352964996</v>
      </c>
      <c r="P67" s="147">
        <f>'[7]TGSPDCL MoD'!Q46</f>
        <v>36.8668724396873</v>
      </c>
      <c r="Q67" s="690">
        <f t="shared" si="5"/>
        <v>367.91422925076</v>
      </c>
    </row>
    <row r="68" spans="3:17">
      <c r="C68" s="55"/>
      <c r="D68" s="757" t="s">
        <v>387</v>
      </c>
      <c r="E68" s="147">
        <f>'[7]TGSPDCL MoD'!F47</f>
        <v>44.3742300599386</v>
      </c>
      <c r="F68" s="147">
        <f>'[7]TGSPDCL MoD'!G47</f>
        <v>0</v>
      </c>
      <c r="G68" s="147">
        <f>'[7]TGSPDCL MoD'!H47</f>
        <v>16.640336272477</v>
      </c>
      <c r="H68" s="147">
        <f>'[7]TGSPDCL MoD'!I47</f>
        <v>34.4626442588763</v>
      </c>
      <c r="I68" s="147">
        <f>'[7]TGSPDCL MoD'!J47</f>
        <v>38.688781833509</v>
      </c>
      <c r="J68" s="147">
        <f>'[7]TGSPDCL MoD'!K47</f>
        <v>33.2806725449539</v>
      </c>
      <c r="K68" s="147">
        <f>'[7]TGSPDCL MoD'!L47</f>
        <v>47.2862889076221</v>
      </c>
      <c r="L68" s="147">
        <f>'[7]TGSPDCL MoD'!M47</f>
        <v>56.8544822642963</v>
      </c>
      <c r="M68" s="147">
        <f>'[7]TGSPDCL MoD'!N47</f>
        <v>37.2558639878234</v>
      </c>
      <c r="N68" s="147">
        <f>'[7]TGSPDCL MoD'!O47</f>
        <v>37.2558639878234</v>
      </c>
      <c r="O68" s="147">
        <f>'[7]TGSPDCL MoD'!P47</f>
        <v>44.0044448094392</v>
      </c>
      <c r="P68" s="147">
        <f>'[7]TGSPDCL MoD'!Q47</f>
        <v>50.6186478394728</v>
      </c>
      <c r="Q68" s="690">
        <f t="shared" si="5"/>
        <v>440.722256766232</v>
      </c>
    </row>
    <row r="69" spans="3:17">
      <c r="C69" s="55"/>
      <c r="D69" s="55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690"/>
    </row>
    <row r="70" spans="3:17">
      <c r="C70" s="55"/>
      <c r="D70" s="55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690"/>
    </row>
    <row r="71" spans="3:17">
      <c r="C71" s="55"/>
      <c r="D71" s="55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690"/>
    </row>
    <row r="72" spans="3:17">
      <c r="C72" s="55"/>
      <c r="D72" s="55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690"/>
    </row>
    <row r="73" spans="3:17">
      <c r="C73" s="55"/>
      <c r="D73" s="55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690"/>
    </row>
    <row r="74" spans="3:17">
      <c r="C74" s="55"/>
      <c r="D74" s="55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690"/>
    </row>
    <row r="75" spans="3:17">
      <c r="C75" s="55"/>
      <c r="D75" s="55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690"/>
    </row>
    <row r="76" spans="3:17">
      <c r="C76" s="55"/>
      <c r="D76" s="55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690"/>
    </row>
    <row r="77" ht="15" spans="3:17">
      <c r="C77" s="537" t="s">
        <v>211</v>
      </c>
      <c r="D77" s="540"/>
      <c r="E77" s="690">
        <f t="shared" ref="E77:P77" si="7">SUM(E52:E76)</f>
        <v>1213.87819571637</v>
      </c>
      <c r="F77" s="690">
        <f t="shared" si="7"/>
        <v>1164.36983967134</v>
      </c>
      <c r="G77" s="690">
        <f t="shared" si="7"/>
        <v>932.36676035389</v>
      </c>
      <c r="H77" s="690">
        <f t="shared" si="7"/>
        <v>817.188286373163</v>
      </c>
      <c r="I77" s="690">
        <f t="shared" si="7"/>
        <v>816.703422730018</v>
      </c>
      <c r="J77" s="690">
        <f t="shared" si="7"/>
        <v>977.226381121515</v>
      </c>
      <c r="K77" s="690">
        <f t="shared" si="7"/>
        <v>1050.32877705851</v>
      </c>
      <c r="L77" s="690">
        <f t="shared" si="7"/>
        <v>1303.55099397513</v>
      </c>
      <c r="M77" s="690">
        <f t="shared" si="7"/>
        <v>912.926905598636</v>
      </c>
      <c r="N77" s="690">
        <f t="shared" si="7"/>
        <v>1089.80087549964</v>
      </c>
      <c r="O77" s="690">
        <f t="shared" si="7"/>
        <v>1205.29151440221</v>
      </c>
      <c r="P77" s="690">
        <f t="shared" si="7"/>
        <v>1412.37592394031</v>
      </c>
      <c r="Q77" s="693">
        <f>SUM(E77:P77)</f>
        <v>12896.0078764407</v>
      </c>
    </row>
    <row r="78" ht="15" spans="3:17">
      <c r="C78" s="44" t="s">
        <v>388</v>
      </c>
      <c r="D78" s="4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</row>
    <row r="79" spans="3:17">
      <c r="C79" s="754" t="s">
        <v>389</v>
      </c>
      <c r="D79" s="55" t="s">
        <v>390</v>
      </c>
      <c r="E79" s="147">
        <f>'[7]TGSPDCL MoD'!F32</f>
        <v>10.9495744020006</v>
      </c>
      <c r="F79" s="147">
        <f>'[7]TGSPDCL MoD'!G32</f>
        <v>11.3145602154006</v>
      </c>
      <c r="G79" s="147">
        <f>'[7]TGSPDCL MoD'!H32</f>
        <v>10.9495744020006</v>
      </c>
      <c r="H79" s="147">
        <f>'[7]TGSPDCL MoD'!I32</f>
        <v>11.3145602154006</v>
      </c>
      <c r="I79" s="147">
        <f>'[7]TGSPDCL MoD'!J32</f>
        <v>11.3145602154006</v>
      </c>
      <c r="J79" s="147">
        <f>'[7]TGSPDCL MoD'!K32</f>
        <v>10.9495744020006</v>
      </c>
      <c r="K79" s="147">
        <f>'[7]TGSPDCL MoD'!L32</f>
        <v>11.3145602154006</v>
      </c>
      <c r="L79" s="147">
        <f>'[7]TGSPDCL MoD'!M32</f>
        <v>10.9495744020006</v>
      </c>
      <c r="M79" s="147">
        <f>'[7]TGSPDCL MoD'!N32</f>
        <v>11.3145602154006</v>
      </c>
      <c r="N79" s="147">
        <f>'[7]TGSPDCL MoD'!O32</f>
        <v>11.3145602154006</v>
      </c>
      <c r="O79" s="147">
        <f>'[7]TGSPDCL MoD'!P32</f>
        <v>10.2196027752005</v>
      </c>
      <c r="P79" s="147">
        <f>'[7]TGSPDCL MoD'!Q32</f>
        <v>11.3145602154006</v>
      </c>
      <c r="Q79" s="147">
        <f t="shared" ref="Q79:Q93" si="8">SUM(E79:P79)</f>
        <v>133.219821891007</v>
      </c>
    </row>
    <row r="80" spans="3:17">
      <c r="C80" s="755"/>
      <c r="D80" s="55" t="s">
        <v>391</v>
      </c>
      <c r="E80" s="147">
        <f>'[7]TGSPDCL MoD'!F36+'[7]TGSPDCL MoD'!F37</f>
        <v>33.6356625568124</v>
      </c>
      <c r="F80" s="147">
        <f>'[7]TGSPDCL MoD'!G36+'[7]TGSPDCL MoD'!G37</f>
        <v>34.7568513087062</v>
      </c>
      <c r="G80" s="147">
        <f>'[7]TGSPDCL MoD'!H36+'[7]TGSPDCL MoD'!H37</f>
        <v>33.6356625568124</v>
      </c>
      <c r="H80" s="147">
        <f>'[7]TGSPDCL MoD'!I36+'[7]TGSPDCL MoD'!I37</f>
        <v>34.7568513087062</v>
      </c>
      <c r="I80" s="147">
        <f>'[7]TGSPDCL MoD'!J36+'[7]TGSPDCL MoD'!J37</f>
        <v>34.7568513087062</v>
      </c>
      <c r="J80" s="147">
        <f>'[7]TGSPDCL MoD'!K36+'[7]TGSPDCL MoD'!K37</f>
        <v>33.6356625568124</v>
      </c>
      <c r="K80" s="147">
        <f>'[7]TGSPDCL MoD'!L36+'[7]TGSPDCL MoD'!L37</f>
        <v>34.7568513087062</v>
      </c>
      <c r="L80" s="147">
        <f>'[7]TGSPDCL MoD'!M36+'[7]TGSPDCL MoD'!M37</f>
        <v>33.6356625568124</v>
      </c>
      <c r="M80" s="147">
        <f>'[7]TGSPDCL MoD'!N36+'[7]TGSPDCL MoD'!N37</f>
        <v>34.7568513087062</v>
      </c>
      <c r="N80" s="147">
        <f>'[7]TGSPDCL MoD'!O36+'[7]TGSPDCL MoD'!O37</f>
        <v>34.7568513087062</v>
      </c>
      <c r="O80" s="147">
        <f>'[7]TGSPDCL MoD'!P36+'[7]TGSPDCL MoD'!P37</f>
        <v>31.393285053025</v>
      </c>
      <c r="P80" s="147">
        <f>'[7]TGSPDCL MoD'!Q36+'[7]TGSPDCL MoD'!Q37</f>
        <v>34.7568513087062</v>
      </c>
      <c r="Q80" s="147">
        <f t="shared" si="8"/>
        <v>409.233894441218</v>
      </c>
    </row>
    <row r="81" spans="3:17">
      <c r="C81" s="755"/>
      <c r="D81" s="55" t="s">
        <v>392</v>
      </c>
      <c r="E81" s="147">
        <f>'[7]TGSPDCL MoD'!F38+'[7]TGSPDCL MoD'!F39</f>
        <v>35.7719522072126</v>
      </c>
      <c r="F81" s="147">
        <f>'[7]TGSPDCL MoD'!G38+'[7]TGSPDCL MoD'!G39</f>
        <v>36.9643506141198</v>
      </c>
      <c r="G81" s="147">
        <f>'[7]TGSPDCL MoD'!H38+'[7]TGSPDCL MoD'!H39</f>
        <v>35.7719522072126</v>
      </c>
      <c r="H81" s="147">
        <f>'[7]TGSPDCL MoD'!I38+'[7]TGSPDCL MoD'!I39</f>
        <v>36.9643506141198</v>
      </c>
      <c r="I81" s="147">
        <f>'[7]TGSPDCL MoD'!J38+'[7]TGSPDCL MoD'!J39</f>
        <v>36.9643506141198</v>
      </c>
      <c r="J81" s="147">
        <f>'[7]TGSPDCL MoD'!K38+'[7]TGSPDCL MoD'!K39</f>
        <v>35.7719522072126</v>
      </c>
      <c r="K81" s="147">
        <f>'[7]TGSPDCL MoD'!L38+'[7]TGSPDCL MoD'!L39</f>
        <v>36.9643506141198</v>
      </c>
      <c r="L81" s="147">
        <f>'[7]TGSPDCL MoD'!M38+'[7]TGSPDCL MoD'!M39</f>
        <v>35.7719522072126</v>
      </c>
      <c r="M81" s="147">
        <f>'[7]TGSPDCL MoD'!N38+'[7]TGSPDCL MoD'!N39</f>
        <v>36.9643506141198</v>
      </c>
      <c r="N81" s="147">
        <f>'[7]TGSPDCL MoD'!O38+'[7]TGSPDCL MoD'!O39</f>
        <v>36.9643506141198</v>
      </c>
      <c r="O81" s="147">
        <f>'[7]TGSPDCL MoD'!P38+'[7]TGSPDCL MoD'!P39</f>
        <v>33.3871553933984</v>
      </c>
      <c r="P81" s="147">
        <f>'[7]TGSPDCL MoD'!Q38+'[7]TGSPDCL MoD'!Q39</f>
        <v>36.9643506141198</v>
      </c>
      <c r="Q81" s="147">
        <f t="shared" si="8"/>
        <v>435.225418521087</v>
      </c>
    </row>
    <row r="82" spans="3:17">
      <c r="C82" s="756"/>
      <c r="D82" s="55" t="s">
        <v>393</v>
      </c>
      <c r="E82" s="147">
        <f>'[7]TGSPDCL MoD'!F48</f>
        <v>26.9959237129663</v>
      </c>
      <c r="F82" s="147">
        <f>'[7]TGSPDCL MoD'!G48</f>
        <v>27.8957878367318</v>
      </c>
      <c r="G82" s="147">
        <f>'[7]TGSPDCL MoD'!H48</f>
        <v>26.9959237129663</v>
      </c>
      <c r="H82" s="147">
        <f>'[7]TGSPDCL MoD'!I48</f>
        <v>27.8957878367318</v>
      </c>
      <c r="I82" s="147">
        <f>'[7]TGSPDCL MoD'!J48</f>
        <v>27.8957878367318</v>
      </c>
      <c r="J82" s="147">
        <f>'[7]TGSPDCL MoD'!K48</f>
        <v>26.9959237129663</v>
      </c>
      <c r="K82" s="147">
        <f>'[7]TGSPDCL MoD'!L48</f>
        <v>27.8957878367318</v>
      </c>
      <c r="L82" s="147">
        <f>'[7]TGSPDCL MoD'!M48</f>
        <v>26.9959237129663</v>
      </c>
      <c r="M82" s="147">
        <f>'[7]TGSPDCL MoD'!N48</f>
        <v>27.8957878367318</v>
      </c>
      <c r="N82" s="147">
        <f>'[7]TGSPDCL MoD'!O48</f>
        <v>27.8957878367318</v>
      </c>
      <c r="O82" s="147">
        <f>'[7]TGSPDCL MoD'!P48</f>
        <v>25.1961954654352</v>
      </c>
      <c r="P82" s="147">
        <f>'[7]TGSPDCL MoD'!Q48</f>
        <v>27.8957878367318</v>
      </c>
      <c r="Q82" s="147">
        <f t="shared" si="8"/>
        <v>328.450405174423</v>
      </c>
    </row>
    <row r="83" spans="3:17">
      <c r="C83" s="55"/>
      <c r="D83" s="55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55">
        <f t="shared" si="8"/>
        <v>0</v>
      </c>
    </row>
    <row r="84" spans="3:17">
      <c r="C84" s="55"/>
      <c r="D84" s="55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55">
        <f t="shared" si="8"/>
        <v>0</v>
      </c>
    </row>
    <row r="85" spans="3:17">
      <c r="C85" s="55"/>
      <c r="D85" s="55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55">
        <f t="shared" si="8"/>
        <v>0</v>
      </c>
    </row>
    <row r="86" spans="3:17">
      <c r="C86" s="55"/>
      <c r="D86" s="55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55">
        <f t="shared" si="8"/>
        <v>0</v>
      </c>
    </row>
    <row r="87" spans="3:17">
      <c r="C87" s="55"/>
      <c r="D87" s="55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55">
        <f t="shared" si="8"/>
        <v>0</v>
      </c>
    </row>
    <row r="88" spans="3:17">
      <c r="C88" s="55"/>
      <c r="D88" s="55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55">
        <f t="shared" si="8"/>
        <v>0</v>
      </c>
    </row>
    <row r="89" spans="3:17">
      <c r="C89" s="55"/>
      <c r="D89" s="55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55">
        <f t="shared" si="8"/>
        <v>0</v>
      </c>
    </row>
    <row r="90" spans="3:17">
      <c r="C90" s="55"/>
      <c r="D90" s="55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55">
        <f t="shared" si="8"/>
        <v>0</v>
      </c>
    </row>
    <row r="91" spans="3:17">
      <c r="C91" s="55"/>
      <c r="D91" s="55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55">
        <f t="shared" si="8"/>
        <v>0</v>
      </c>
    </row>
    <row r="92" spans="3:17">
      <c r="C92" s="55"/>
      <c r="D92" s="55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55">
        <f t="shared" si="8"/>
        <v>0</v>
      </c>
    </row>
    <row r="93" ht="15" spans="3:18">
      <c r="C93" s="537" t="s">
        <v>211</v>
      </c>
      <c r="D93" s="540"/>
      <c r="E93" s="690">
        <f t="shared" ref="E93:P93" si="9">SUM(E79:E92)</f>
        <v>107.353112878992</v>
      </c>
      <c r="F93" s="690">
        <f t="shared" si="9"/>
        <v>110.931549974958</v>
      </c>
      <c r="G93" s="690">
        <f t="shared" si="9"/>
        <v>107.353112878992</v>
      </c>
      <c r="H93" s="690">
        <f t="shared" si="9"/>
        <v>110.931549974958</v>
      </c>
      <c r="I93" s="690">
        <f t="shared" si="9"/>
        <v>110.931549974958</v>
      </c>
      <c r="J93" s="690">
        <f t="shared" si="9"/>
        <v>107.353112878992</v>
      </c>
      <c r="K93" s="690">
        <f t="shared" si="9"/>
        <v>110.931549974958</v>
      </c>
      <c r="L93" s="690">
        <f t="shared" si="9"/>
        <v>107.353112878992</v>
      </c>
      <c r="M93" s="690">
        <f t="shared" si="9"/>
        <v>110.931549974958</v>
      </c>
      <c r="N93" s="690">
        <f t="shared" si="9"/>
        <v>110.931549974958</v>
      </c>
      <c r="O93" s="690">
        <f t="shared" si="9"/>
        <v>100.196238687059</v>
      </c>
      <c r="P93" s="690">
        <f t="shared" si="9"/>
        <v>110.931549974958</v>
      </c>
      <c r="Q93" s="693">
        <f t="shared" si="8"/>
        <v>1306.12954002774</v>
      </c>
      <c r="R93" s="686"/>
    </row>
    <row r="94" ht="15" spans="3:18">
      <c r="C94" s="44" t="s">
        <v>395</v>
      </c>
      <c r="D94" s="45"/>
      <c r="E94" s="690">
        <f t="shared" ref="E94:Q94" si="10">E77+E93</f>
        <v>1321.23130859536</v>
      </c>
      <c r="F94" s="690">
        <f t="shared" si="10"/>
        <v>1275.3013896463</v>
      </c>
      <c r="G94" s="690">
        <f t="shared" si="10"/>
        <v>1039.71987323288</v>
      </c>
      <c r="H94" s="690">
        <f t="shared" si="10"/>
        <v>928.119836348122</v>
      </c>
      <c r="I94" s="690">
        <f t="shared" si="10"/>
        <v>927.634972704977</v>
      </c>
      <c r="J94" s="690">
        <f t="shared" si="10"/>
        <v>1084.57949400051</v>
      </c>
      <c r="K94" s="690">
        <f t="shared" si="10"/>
        <v>1161.26032703346</v>
      </c>
      <c r="L94" s="690">
        <f t="shared" si="10"/>
        <v>1410.90410685412</v>
      </c>
      <c r="M94" s="690">
        <f t="shared" si="10"/>
        <v>1023.85845557359</v>
      </c>
      <c r="N94" s="690">
        <f t="shared" si="10"/>
        <v>1200.7324254746</v>
      </c>
      <c r="O94" s="690">
        <f t="shared" si="10"/>
        <v>1305.48775308927</v>
      </c>
      <c r="P94" s="690">
        <f t="shared" si="10"/>
        <v>1523.30747391527</v>
      </c>
      <c r="Q94" s="693">
        <f t="shared" si="10"/>
        <v>14202.1374164685</v>
      </c>
      <c r="R94" s="686"/>
    </row>
    <row r="95" ht="15" spans="3:17">
      <c r="C95" s="663" t="s">
        <v>396</v>
      </c>
      <c r="D95" s="676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</row>
    <row r="96" spans="3:17">
      <c r="C96" s="55" t="s">
        <v>397</v>
      </c>
      <c r="D96" s="757" t="s">
        <v>397</v>
      </c>
      <c r="E96" s="147">
        <f>'[7]TGSPDCL MoD'!F23</f>
        <v>114.888039140512</v>
      </c>
      <c r="F96" s="147">
        <f>'[7]TGSPDCL MoD'!G23</f>
        <v>111.992841623491</v>
      </c>
      <c r="G96" s="147">
        <f>'[7]TGSPDCL MoD'!H23</f>
        <v>108.72063174003</v>
      </c>
      <c r="H96" s="147">
        <f>'[7]TGSPDCL MoD'!I23</f>
        <v>127.15546212081</v>
      </c>
      <c r="I96" s="147">
        <f>'[7]TGSPDCL MoD'!J23</f>
        <v>128.343395075888</v>
      </c>
      <c r="J96" s="147">
        <f>'[7]TGSPDCL MoD'!K23</f>
        <v>0</v>
      </c>
      <c r="K96" s="147">
        <f>'[7]TGSPDCL MoD'!L23</f>
        <v>128.343395075888</v>
      </c>
      <c r="L96" s="147">
        <f>'[7]TGSPDCL MoD'!M23</f>
        <v>58.9136223501456</v>
      </c>
      <c r="M96" s="147">
        <f>'[7]TGSPDCL MoD'!N23</f>
        <v>118.394808627395</v>
      </c>
      <c r="N96" s="147">
        <f>'[7]TGSPDCL MoD'!O23</f>
        <v>121.905060659129</v>
      </c>
      <c r="O96" s="147">
        <f>'[7]TGSPDCL MoD'!P23</f>
        <v>115.923066520157</v>
      </c>
      <c r="P96" s="147">
        <f>'[7]TGSPDCL MoD'!Q23</f>
        <v>128.343395075888</v>
      </c>
      <c r="Q96" s="147">
        <f>SUM(E96:P96)</f>
        <v>1262.92371800933</v>
      </c>
    </row>
    <row r="97" spans="3:17">
      <c r="C97" s="55" t="s">
        <v>398</v>
      </c>
      <c r="D97" s="757" t="s">
        <v>398</v>
      </c>
      <c r="E97" s="147">
        <f>'[7]TGSPDCL MoD'!F24</f>
        <v>0</v>
      </c>
      <c r="F97" s="147">
        <f>'[7]TGSPDCL MoD'!G24</f>
        <v>0</v>
      </c>
      <c r="G97" s="147">
        <f>'[7]TGSPDCL MoD'!H24</f>
        <v>0</v>
      </c>
      <c r="H97" s="147">
        <f>'[7]TGSPDCL MoD'!I24</f>
        <v>0</v>
      </c>
      <c r="I97" s="147">
        <f>'[7]TGSPDCL MoD'!J24</f>
        <v>0</v>
      </c>
      <c r="J97" s="147">
        <f>'[7]TGSPDCL MoD'!K24</f>
        <v>0</v>
      </c>
      <c r="K97" s="147">
        <f>'[7]TGSPDCL MoD'!L24</f>
        <v>0</v>
      </c>
      <c r="L97" s="147">
        <f>'[7]TGSPDCL MoD'!M24</f>
        <v>0</v>
      </c>
      <c r="M97" s="147">
        <f>'[7]TGSPDCL MoD'!N24</f>
        <v>0</v>
      </c>
      <c r="N97" s="147">
        <f>'[7]TGSPDCL MoD'!O24</f>
        <v>0</v>
      </c>
      <c r="O97" s="147">
        <f>'[7]TGSPDCL MoD'!P24</f>
        <v>0</v>
      </c>
      <c r="P97" s="147">
        <f>'[7]TGSPDCL MoD'!Q24</f>
        <v>0</v>
      </c>
      <c r="Q97" s="147">
        <f>SUM(E97:P97)</f>
        <v>0</v>
      </c>
    </row>
    <row r="98" spans="3:17">
      <c r="C98" s="55"/>
      <c r="D98" s="55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55"/>
    </row>
    <row r="99" spans="3:17">
      <c r="C99" s="55"/>
      <c r="D99" s="55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55"/>
    </row>
    <row r="100" spans="3:17">
      <c r="C100" s="55"/>
      <c r="D100" s="55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55"/>
    </row>
    <row r="101" spans="3:17">
      <c r="C101" s="55"/>
      <c r="D101" s="55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55"/>
    </row>
    <row r="102" spans="3:17">
      <c r="C102" s="55"/>
      <c r="D102" s="55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55"/>
    </row>
    <row r="103" ht="15" spans="3:18">
      <c r="C103" s="44" t="s">
        <v>399</v>
      </c>
      <c r="D103" s="45"/>
      <c r="E103" s="147">
        <f t="shared" ref="E103:P103" si="11">SUM(E96:E102)</f>
        <v>114.888039140512</v>
      </c>
      <c r="F103" s="147">
        <f t="shared" si="11"/>
        <v>111.992841623491</v>
      </c>
      <c r="G103" s="147">
        <f t="shared" si="11"/>
        <v>108.72063174003</v>
      </c>
      <c r="H103" s="147">
        <f t="shared" si="11"/>
        <v>127.15546212081</v>
      </c>
      <c r="I103" s="147">
        <f t="shared" si="11"/>
        <v>128.343395075888</v>
      </c>
      <c r="J103" s="147">
        <f t="shared" si="11"/>
        <v>0</v>
      </c>
      <c r="K103" s="147">
        <f t="shared" si="11"/>
        <v>128.343395075888</v>
      </c>
      <c r="L103" s="147">
        <f t="shared" si="11"/>
        <v>58.9136223501456</v>
      </c>
      <c r="M103" s="147">
        <f t="shared" si="11"/>
        <v>118.394808627395</v>
      </c>
      <c r="N103" s="147">
        <f t="shared" si="11"/>
        <v>121.905060659129</v>
      </c>
      <c r="O103" s="147">
        <f t="shared" si="11"/>
        <v>115.923066520157</v>
      </c>
      <c r="P103" s="147">
        <f t="shared" si="11"/>
        <v>128.343395075888</v>
      </c>
      <c r="Q103" s="316">
        <f>SUM(E103:P103)</f>
        <v>1262.92371800933</v>
      </c>
      <c r="R103" s="686"/>
    </row>
    <row r="104" ht="15" spans="3:17">
      <c r="C104" s="663" t="s">
        <v>400</v>
      </c>
      <c r="D104" s="676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</row>
    <row r="105" spans="3:17">
      <c r="C105" s="55" t="s">
        <v>401</v>
      </c>
      <c r="D105" s="757" t="s">
        <v>401</v>
      </c>
      <c r="E105" s="147">
        <f>'[7]TGSPDCL MoD'!F20+'[7]TGSPDCL MoD'!F21+'[7]TGSPDCL MoD'!F22</f>
        <v>406.549418870951</v>
      </c>
      <c r="F105" s="147">
        <f>'[7]TGSPDCL MoD'!G20+'[7]TGSPDCL MoD'!G21+'[7]TGSPDCL MoD'!G22</f>
        <v>229.733881636472</v>
      </c>
      <c r="G105" s="147">
        <f>'[7]TGSPDCL MoD'!H20+'[7]TGSPDCL MoD'!H21+'[7]TGSPDCL MoD'!H22</f>
        <v>77.8130889413858</v>
      </c>
      <c r="H105" s="147">
        <f>'[7]TGSPDCL MoD'!I20+'[7]TGSPDCL MoD'!I21+'[7]TGSPDCL MoD'!I22</f>
        <v>249.172902390327</v>
      </c>
      <c r="I105" s="147">
        <f>'[7]TGSPDCL MoD'!J20+'[7]TGSPDCL MoD'!J21+'[7]TGSPDCL MoD'!J22</f>
        <v>395.968854348494</v>
      </c>
      <c r="J105" s="147">
        <f>'[7]TGSPDCL MoD'!K20+'[7]TGSPDCL MoD'!K21+'[7]TGSPDCL MoD'!K22</f>
        <v>315.37923190508</v>
      </c>
      <c r="K105" s="147">
        <f>'[7]TGSPDCL MoD'!L20+'[7]TGSPDCL MoD'!L21+'[7]TGSPDCL MoD'!L22</f>
        <v>437.052692989904</v>
      </c>
      <c r="L105" s="147">
        <f>'[7]TGSPDCL MoD'!M20+'[7]TGSPDCL MoD'!M21+'[7]TGSPDCL MoD'!M22</f>
        <v>0</v>
      </c>
      <c r="M105" s="147">
        <f>'[7]TGSPDCL MoD'!N20+'[7]TGSPDCL MoD'!N21+'[7]TGSPDCL MoD'!N22</f>
        <v>344.430031541759</v>
      </c>
      <c r="N105" s="147">
        <f>'[7]TGSPDCL MoD'!O20+'[7]TGSPDCL MoD'!O21+'[7]TGSPDCL MoD'!O22</f>
        <v>354.159242572179</v>
      </c>
      <c r="O105" s="147">
        <f>'[7]TGSPDCL MoD'!P20+'[7]TGSPDCL MoD'!P21+'[7]TGSPDCL MoD'!P22</f>
        <v>386.418883526614</v>
      </c>
      <c r="P105" s="147">
        <f>'[7]TGSPDCL MoD'!Q20+'[7]TGSPDCL MoD'!Q21+'[7]TGSPDCL MoD'!Q22</f>
        <v>468.00137332111</v>
      </c>
      <c r="Q105" s="147">
        <f>SUM(E105:P105)</f>
        <v>3664.67960204428</v>
      </c>
    </row>
    <row r="106" spans="3:17">
      <c r="C106" s="55" t="s">
        <v>402</v>
      </c>
      <c r="D106" s="757" t="s">
        <v>402</v>
      </c>
      <c r="E106" s="147">
        <v>0</v>
      </c>
      <c r="F106" s="147">
        <v>0</v>
      </c>
      <c r="G106" s="147">
        <v>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55">
        <f>SUM(E106:P106)</f>
        <v>0</v>
      </c>
    </row>
    <row r="107" spans="3:17">
      <c r="C107" s="55" t="s">
        <v>403</v>
      </c>
      <c r="D107" s="757" t="s">
        <v>403</v>
      </c>
      <c r="E107" s="147">
        <v>0</v>
      </c>
      <c r="F107" s="147">
        <v>0</v>
      </c>
      <c r="G107" s="147">
        <v>0</v>
      </c>
      <c r="H107" s="147">
        <v>0</v>
      </c>
      <c r="I107" s="147">
        <v>0</v>
      </c>
      <c r="J107" s="147">
        <v>0</v>
      </c>
      <c r="K107" s="147">
        <v>0</v>
      </c>
      <c r="L107" s="147">
        <v>0</v>
      </c>
      <c r="M107" s="147">
        <v>0</v>
      </c>
      <c r="N107" s="147">
        <v>0</v>
      </c>
      <c r="O107" s="147">
        <v>0</v>
      </c>
      <c r="P107" s="147">
        <v>0</v>
      </c>
      <c r="Q107" s="147">
        <v>0</v>
      </c>
    </row>
    <row r="108" spans="3:17">
      <c r="C108" s="55"/>
      <c r="D108" s="55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55"/>
    </row>
    <row r="109" spans="3:17">
      <c r="C109" s="55"/>
      <c r="D109" s="55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55"/>
    </row>
    <row r="110" spans="3:17">
      <c r="C110" s="55"/>
      <c r="D110" s="55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55"/>
    </row>
    <row r="111" spans="3:17">
      <c r="C111" s="55"/>
      <c r="D111" s="55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55"/>
    </row>
    <row r="112" spans="3:17">
      <c r="C112" s="55"/>
      <c r="D112" s="55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55"/>
    </row>
    <row r="113" ht="15" spans="3:18">
      <c r="C113" s="44" t="s">
        <v>404</v>
      </c>
      <c r="D113" s="45"/>
      <c r="E113" s="147">
        <f t="shared" ref="E113:P113" si="12">SUM(E105:E112)</f>
        <v>406.549418870951</v>
      </c>
      <c r="F113" s="147">
        <f t="shared" si="12"/>
        <v>229.733881636472</v>
      </c>
      <c r="G113" s="147">
        <f t="shared" si="12"/>
        <v>77.8130889413858</v>
      </c>
      <c r="H113" s="147">
        <f t="shared" si="12"/>
        <v>249.172902390327</v>
      </c>
      <c r="I113" s="147">
        <f t="shared" si="12"/>
        <v>395.968854348494</v>
      </c>
      <c r="J113" s="147">
        <f t="shared" si="12"/>
        <v>315.37923190508</v>
      </c>
      <c r="K113" s="147">
        <f t="shared" si="12"/>
        <v>437.052692989904</v>
      </c>
      <c r="L113" s="147">
        <f t="shared" si="12"/>
        <v>0</v>
      </c>
      <c r="M113" s="147">
        <f t="shared" si="12"/>
        <v>344.430031541759</v>
      </c>
      <c r="N113" s="147">
        <f t="shared" si="12"/>
        <v>354.159242572179</v>
      </c>
      <c r="O113" s="147">
        <f t="shared" si="12"/>
        <v>386.418883526614</v>
      </c>
      <c r="P113" s="147">
        <f t="shared" si="12"/>
        <v>468.00137332111</v>
      </c>
      <c r="Q113" s="316">
        <f>SUM(E113:P113)</f>
        <v>3664.67960204428</v>
      </c>
      <c r="R113" s="686"/>
    </row>
    <row r="114" ht="15" spans="3:17">
      <c r="C114" s="663" t="s">
        <v>405</v>
      </c>
      <c r="D114" s="676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</row>
    <row r="115" spans="3:17">
      <c r="C115" s="55"/>
      <c r="D115" s="757" t="s">
        <v>406</v>
      </c>
      <c r="E115" s="147">
        <f>'[7]TGSPDCL MoD'!F104</f>
        <v>0.0168818676386761</v>
      </c>
      <c r="F115" s="147">
        <f>'[7]TGSPDCL MoD'!G104</f>
        <v>0.0144768107429294</v>
      </c>
      <c r="G115" s="147">
        <f>'[7]TGSPDCL MoD'!H104</f>
        <v>0.0344354526346797</v>
      </c>
      <c r="H115" s="147">
        <f>'[7]TGSPDCL MoD'!I104</f>
        <v>0.0500884954815853</v>
      </c>
      <c r="I115" s="147">
        <f>'[7]TGSPDCL MoD'!J104</f>
        <v>0.0273322806907156</v>
      </c>
      <c r="J115" s="147">
        <f>'[7]TGSPDCL MoD'!K104</f>
        <v>0.0200993590256807</v>
      </c>
      <c r="K115" s="147">
        <f>'[7]TGSPDCL MoD'!L104</f>
        <v>0.0121888396910305</v>
      </c>
      <c r="L115" s="147">
        <f>'[7]TGSPDCL MoD'!M104</f>
        <v>0.0169251687452999</v>
      </c>
      <c r="M115" s="147">
        <f>'[7]TGSPDCL MoD'!N104</f>
        <v>0.0193534167674023</v>
      </c>
      <c r="N115" s="147">
        <f>'[7]TGSPDCL MoD'!O104</f>
        <v>0.0187174053998919</v>
      </c>
      <c r="O115" s="147">
        <f>'[7]TGSPDCL MoD'!P104</f>
        <v>0.0128335030267957</v>
      </c>
      <c r="P115" s="147">
        <f>'[7]TGSPDCL MoD'!Q104</f>
        <v>0.0166674001553129</v>
      </c>
      <c r="Q115" s="690">
        <f t="shared" ref="Q115:Q128" si="13">SUM(E115:P115)</f>
        <v>0.26</v>
      </c>
    </row>
    <row r="116" spans="3:17">
      <c r="C116" s="55"/>
      <c r="D116" s="757" t="s">
        <v>407</v>
      </c>
      <c r="E116" s="147">
        <f>[7]Gen_Cost!$BM$232/12</f>
        <v>0</v>
      </c>
      <c r="F116" s="147">
        <f>[7]Gen_Cost!$BM$232/12</f>
        <v>0</v>
      </c>
      <c r="G116" s="147">
        <f>[7]Gen_Cost!$BM$232/12</f>
        <v>0</v>
      </c>
      <c r="H116" s="147">
        <f>[7]Gen_Cost!$BM$232/12</f>
        <v>0</v>
      </c>
      <c r="I116" s="147">
        <f>[7]Gen_Cost!$BM$232/12</f>
        <v>0</v>
      </c>
      <c r="J116" s="147">
        <f>[7]Gen_Cost!$BM$232/12</f>
        <v>0</v>
      </c>
      <c r="K116" s="147">
        <f>[7]Gen_Cost!$BM$232/12</f>
        <v>0</v>
      </c>
      <c r="L116" s="147">
        <f>[7]Gen_Cost!$BM$232/12</f>
        <v>0</v>
      </c>
      <c r="M116" s="147">
        <f>[7]Gen_Cost!$BM$232/12</f>
        <v>0</v>
      </c>
      <c r="N116" s="147">
        <f>[7]Gen_Cost!$BM$232/12</f>
        <v>0</v>
      </c>
      <c r="O116" s="147">
        <f>[7]Gen_Cost!$BM$232/12</f>
        <v>0</v>
      </c>
      <c r="P116" s="147">
        <f>[7]Gen_Cost!$BM$232/12</f>
        <v>0</v>
      </c>
      <c r="Q116" s="690">
        <f t="shared" si="13"/>
        <v>0</v>
      </c>
    </row>
    <row r="117" spans="3:17">
      <c r="C117" s="55"/>
      <c r="D117" s="757" t="s">
        <v>408</v>
      </c>
      <c r="E117" s="147">
        <f>'[7]TGSPDCL MoD'!F101</f>
        <v>8.53708198811225</v>
      </c>
      <c r="F117" s="147">
        <f>'[7]TGSPDCL MoD'!G101</f>
        <v>6.00277915708847</v>
      </c>
      <c r="G117" s="147">
        <f>'[7]TGSPDCL MoD'!H101</f>
        <v>4.99098365680568</v>
      </c>
      <c r="H117" s="147">
        <f>'[7]TGSPDCL MoD'!I101</f>
        <v>7.04736201175663</v>
      </c>
      <c r="I117" s="147">
        <f>'[7]TGSPDCL MoD'!J101</f>
        <v>7.04736201175663</v>
      </c>
      <c r="J117" s="147">
        <f>'[7]TGSPDCL MoD'!K101</f>
        <v>5.02375488361879</v>
      </c>
      <c r="K117" s="147">
        <f>'[7]TGSPDCL MoD'!L101</f>
        <v>7.04736201175663</v>
      </c>
      <c r="L117" s="147">
        <f>'[7]TGSPDCL MoD'!M101</f>
        <v>6.62181720242491</v>
      </c>
      <c r="M117" s="147">
        <f>'[7]TGSPDCL MoD'!N101</f>
        <v>10.8069678962308</v>
      </c>
      <c r="N117" s="147">
        <f>'[7]TGSPDCL MoD'!O101</f>
        <v>10.9875483227203</v>
      </c>
      <c r="O117" s="147">
        <f>'[7]TGSPDCL MoD'!P101</f>
        <v>11.5892411641012</v>
      </c>
      <c r="P117" s="147">
        <f>'[7]TGSPDCL MoD'!Q101</f>
        <v>11.6382582320281</v>
      </c>
      <c r="Q117" s="690">
        <f t="shared" si="13"/>
        <v>97.3405185384004</v>
      </c>
    </row>
    <row r="118" spans="3:17">
      <c r="C118" s="55"/>
      <c r="D118" s="757" t="s">
        <v>409</v>
      </c>
      <c r="E118" s="147">
        <f>'[7]TGSPDCL MoD'!F102</f>
        <v>3.63383172025209</v>
      </c>
      <c r="F118" s="147">
        <f>'[7]TGSPDCL MoD'!G102</f>
        <v>2.55509896016819</v>
      </c>
      <c r="G118" s="147">
        <f>'[7]TGSPDCL MoD'!H102</f>
        <v>2.12442550658584</v>
      </c>
      <c r="H118" s="147">
        <f>'[7]TGSPDCL MoD'!I102</f>
        <v>2.99972843860243</v>
      </c>
      <c r="I118" s="147">
        <f>'[7]TGSPDCL MoD'!J102</f>
        <v>2.99972843860243</v>
      </c>
      <c r="J118" s="147">
        <f>'[7]TGSPDCL MoD'!K102</f>
        <v>2.13837466669358</v>
      </c>
      <c r="K118" s="147">
        <f>'[7]TGSPDCL MoD'!L102</f>
        <v>2.99972843860243</v>
      </c>
      <c r="L118" s="147">
        <f>'[7]TGSPDCL MoD'!M102</f>
        <v>2.8185941554022</v>
      </c>
      <c r="M118" s="147">
        <f>'[7]TGSPDCL MoD'!N102</f>
        <v>4.60001471178952</v>
      </c>
      <c r="N118" s="147">
        <f>'[7]TGSPDCL MoD'!O102</f>
        <v>4.67687925200919</v>
      </c>
      <c r="O118" s="147">
        <f>'[7]TGSPDCL MoD'!P102</f>
        <v>4.93299141491255</v>
      </c>
      <c r="P118" s="147">
        <f>'[7]TGSPDCL MoD'!Q102</f>
        <v>4.95385566062488</v>
      </c>
      <c r="Q118" s="690">
        <f t="shared" si="13"/>
        <v>41.4332513642453</v>
      </c>
    </row>
    <row r="119" spans="3:17">
      <c r="C119" s="55"/>
      <c r="D119" s="757" t="s">
        <v>410</v>
      </c>
      <c r="E119" s="147">
        <f>'[7]TGSPDCL MoD'!F99+'[7]TGSPDCL MoD'!F100</f>
        <v>18.322016596009</v>
      </c>
      <c r="F119" s="147">
        <f>'[7]TGSPDCL MoD'!G99+'[7]TGSPDCL MoD'!G100</f>
        <v>15.7117904467846</v>
      </c>
      <c r="G119" s="147">
        <f>'[7]TGSPDCL MoD'!H99+'[7]TGSPDCL MoD'!H100</f>
        <v>37.3730530393592</v>
      </c>
      <c r="H119" s="147">
        <f>'[7]TGSPDCL MoD'!I99+'[7]TGSPDCL MoD'!I100</f>
        <v>54.361416943007</v>
      </c>
      <c r="I119" s="147">
        <f>'[7]TGSPDCL MoD'!J99+'[7]TGSPDCL MoD'!J100</f>
        <v>29.6639276613438</v>
      </c>
      <c r="J119" s="147">
        <f>'[7]TGSPDCL MoD'!K99+'[7]TGSPDCL MoD'!K100</f>
        <v>21.8139839453536</v>
      </c>
      <c r="K119" s="147">
        <f>'[7]TGSPDCL MoD'!L99+'[7]TGSPDCL MoD'!L100</f>
        <v>13.2286384353305</v>
      </c>
      <c r="L119" s="147">
        <f>'[7]TGSPDCL MoD'!M99+'[7]TGSPDCL MoD'!M100</f>
        <v>18.3690116093077</v>
      </c>
      <c r="M119" s="147">
        <f>'[7]TGSPDCL MoD'!N99+'[7]TGSPDCL MoD'!N100</f>
        <v>21.004407260572</v>
      </c>
      <c r="N119" s="147">
        <f>'[7]TGSPDCL MoD'!O99+'[7]TGSPDCL MoD'!O100</f>
        <v>20.3141393897306</v>
      </c>
      <c r="O119" s="147">
        <f>'[7]TGSPDCL MoD'!P99+'[7]TGSPDCL MoD'!P100</f>
        <v>13.9282963517135</v>
      </c>
      <c r="P119" s="147">
        <f>'[7]TGSPDCL MoD'!Q99+'[7]TGSPDCL MoD'!Q100</f>
        <v>18.0892534400841</v>
      </c>
      <c r="Q119" s="690">
        <f t="shared" si="13"/>
        <v>282.179935118596</v>
      </c>
    </row>
    <row r="120" spans="3:17">
      <c r="C120" s="55"/>
      <c r="D120" s="757" t="s">
        <v>368</v>
      </c>
      <c r="E120" s="147">
        <f>'[7]TGSPDCL MoD'!F103</f>
        <v>0.00789796943054661</v>
      </c>
      <c r="F120" s="147">
        <f>'[7]TGSPDCL MoD'!G103</f>
        <v>0.00846321433797809</v>
      </c>
      <c r="G120" s="147">
        <f>'[7]TGSPDCL MoD'!H103</f>
        <v>0.00876829987912529</v>
      </c>
      <c r="H120" s="147">
        <f>'[7]TGSPDCL MoD'!I103</f>
        <v>0.0191694844816327</v>
      </c>
      <c r="I120" s="147">
        <f>'[7]TGSPDCL MoD'!J103</f>
        <v>0.0450064501529255</v>
      </c>
      <c r="J120" s="147">
        <f>'[7]TGSPDCL MoD'!K103</f>
        <v>0.0227312443118155</v>
      </c>
      <c r="K120" s="147">
        <f>'[7]TGSPDCL MoD'!L103</f>
        <v>0.0250555811848723</v>
      </c>
      <c r="L120" s="147">
        <f>'[7]TGSPDCL MoD'!M103</f>
        <v>0.00859354645540347</v>
      </c>
      <c r="M120" s="147">
        <f>'[7]TGSPDCL MoD'!N103</f>
        <v>0.0147422718271867</v>
      </c>
      <c r="N120" s="147">
        <f>'[7]TGSPDCL MoD'!O103</f>
        <v>0.0281302826276727</v>
      </c>
      <c r="O120" s="147">
        <f>'[7]TGSPDCL MoD'!P103</f>
        <v>0.0252641386279307</v>
      </c>
      <c r="P120" s="147">
        <f>'[7]TGSPDCL MoD'!Q103</f>
        <v>0.0117352631617837</v>
      </c>
      <c r="Q120" s="690">
        <f t="shared" si="13"/>
        <v>0.225557746478873</v>
      </c>
    </row>
    <row r="121" spans="3:17">
      <c r="C121" s="55"/>
      <c r="D121" s="757" t="s">
        <v>411</v>
      </c>
      <c r="E121" s="147">
        <f>'[7]TGSPDCL MoD'!F114</f>
        <v>411.878827976558</v>
      </c>
      <c r="F121" s="147">
        <f>'[7]TGSPDCL MoD'!G114</f>
        <v>424.712701746823</v>
      </c>
      <c r="G121" s="147">
        <f>'[7]TGSPDCL MoD'!H114</f>
        <v>397.637581420242</v>
      </c>
      <c r="H121" s="147">
        <f>'[7]TGSPDCL MoD'!I114</f>
        <v>311.43507602306</v>
      </c>
      <c r="I121" s="147">
        <f>'[7]TGSPDCL MoD'!J114</f>
        <v>383.043182939551</v>
      </c>
      <c r="J121" s="147">
        <f>'[7]TGSPDCL MoD'!K114</f>
        <v>337.6402172917</v>
      </c>
      <c r="K121" s="147">
        <f>'[7]TGSPDCL MoD'!L114</f>
        <v>413.939189723503</v>
      </c>
      <c r="L121" s="147">
        <f>'[7]TGSPDCL MoD'!M114</f>
        <v>319.176641435345</v>
      </c>
      <c r="M121" s="147">
        <f>'[7]TGSPDCL MoD'!N114</f>
        <v>349.887899694085</v>
      </c>
      <c r="N121" s="147">
        <f>'[7]TGSPDCL MoD'!O114</f>
        <v>373.031749678127</v>
      </c>
      <c r="O121" s="147">
        <f>'[7]TGSPDCL MoD'!P114</f>
        <v>382.893229033489</v>
      </c>
      <c r="P121" s="147">
        <f>'[7]TGSPDCL MoD'!Q114</f>
        <v>410.569253033363</v>
      </c>
      <c r="Q121" s="690">
        <f t="shared" si="13"/>
        <v>4515.84554999585</v>
      </c>
    </row>
    <row r="122" spans="3:17">
      <c r="C122" s="55"/>
      <c r="D122" s="757" t="s">
        <v>412</v>
      </c>
      <c r="E122" s="147">
        <f>'[7]TGSPDCL MoD'!F107</f>
        <v>6.82054152715133</v>
      </c>
      <c r="F122" s="147">
        <f>'[7]TGSPDCL MoD'!G107</f>
        <v>7.03306512161318</v>
      </c>
      <c r="G122" s="147">
        <f>'[7]TGSPDCL MoD'!H107</f>
        <v>6.58471242660509</v>
      </c>
      <c r="H122" s="147">
        <f>'[7]TGSPDCL MoD'!I107</f>
        <v>5.15723490683456</v>
      </c>
      <c r="I122" s="147">
        <f>'[7]TGSPDCL MoD'!J107</f>
        <v>6.34303527755044</v>
      </c>
      <c r="J122" s="147">
        <f>'[7]TGSPDCL MoD'!K107</f>
        <v>5.59118111165819</v>
      </c>
      <c r="K122" s="147">
        <f>'[7]TGSPDCL MoD'!L107</f>
        <v>6.8546602579563</v>
      </c>
      <c r="L122" s="147">
        <f>'[7]TGSPDCL MoD'!M107</f>
        <v>5.28543199974912</v>
      </c>
      <c r="M122" s="147">
        <f>'[7]TGSPDCL MoD'!N107</f>
        <v>5.79399762166724</v>
      </c>
      <c r="N122" s="147">
        <f>'[7]TGSPDCL MoD'!O107</f>
        <v>6.17725012019893</v>
      </c>
      <c r="O122" s="147">
        <f>'[7]TGSPDCL MoD'!P107</f>
        <v>6.34055210343711</v>
      </c>
      <c r="P122" s="147">
        <f>'[7]TGSPDCL MoD'!Q107</f>
        <v>6.79885551253666</v>
      </c>
      <c r="Q122" s="690">
        <f t="shared" si="13"/>
        <v>74.7805179869581</v>
      </c>
    </row>
    <row r="123" spans="3:17">
      <c r="C123" s="55"/>
      <c r="D123" s="757" t="s">
        <v>413</v>
      </c>
      <c r="E123" s="147">
        <f>'[7]TGSPDCL MoD'!F108</f>
        <v>59.55311939858</v>
      </c>
      <c r="F123" s="147">
        <f>'[7]TGSPDCL MoD'!G108</f>
        <v>61.4087554863626</v>
      </c>
      <c r="G123" s="147">
        <f>'[7]TGSPDCL MoD'!H108</f>
        <v>57.4939927842808</v>
      </c>
      <c r="H123" s="147">
        <f>'[7]TGSPDCL MoD'!I108</f>
        <v>45.0300646877696</v>
      </c>
      <c r="I123" s="147">
        <f>'[7]TGSPDCL MoD'!J108</f>
        <v>55.3838043107901</v>
      </c>
      <c r="J123" s="147">
        <f>'[7]TGSPDCL MoD'!K108</f>
        <v>48.8190380479561</v>
      </c>
      <c r="K123" s="147">
        <f>'[7]TGSPDCL MoD'!L108</f>
        <v>59.8510249008437</v>
      </c>
      <c r="L123" s="147">
        <f>'[7]TGSPDCL MoD'!M108</f>
        <v>46.1494093542451</v>
      </c>
      <c r="M123" s="147">
        <f>'[7]TGSPDCL MoD'!N108</f>
        <v>50.5899173525525</v>
      </c>
      <c r="N123" s="147">
        <f>'[7]TGSPDCL MoD'!O108</f>
        <v>53.9362618787171</v>
      </c>
      <c r="O123" s="147">
        <f>'[7]TGSPDCL MoD'!P108</f>
        <v>55.3621226358277</v>
      </c>
      <c r="P123" s="147">
        <f>'[7]TGSPDCL MoD'!Q108</f>
        <v>59.3637693576066</v>
      </c>
      <c r="Q123" s="690">
        <f t="shared" si="13"/>
        <v>652.941280195532</v>
      </c>
    </row>
    <row r="124" spans="3:17">
      <c r="C124" s="55"/>
      <c r="D124" s="757" t="s">
        <v>414</v>
      </c>
      <c r="E124" s="147">
        <f>'[7]TGSPDCL MoD'!F109</f>
        <v>59.55311939858</v>
      </c>
      <c r="F124" s="147">
        <f>'[7]TGSPDCL MoD'!G109</f>
        <v>61.4087554863626</v>
      </c>
      <c r="G124" s="147">
        <f>'[7]TGSPDCL MoD'!H109</f>
        <v>57.4939927842808</v>
      </c>
      <c r="H124" s="147">
        <f>'[7]TGSPDCL MoD'!I109</f>
        <v>45.0300646877696</v>
      </c>
      <c r="I124" s="147">
        <f>'[7]TGSPDCL MoD'!J109</f>
        <v>55.38380431079</v>
      </c>
      <c r="J124" s="147">
        <f>'[7]TGSPDCL MoD'!K109</f>
        <v>48.8190380479561</v>
      </c>
      <c r="K124" s="147">
        <f>'[7]TGSPDCL MoD'!L109</f>
        <v>59.8510249008437</v>
      </c>
      <c r="L124" s="147">
        <f>'[7]TGSPDCL MoD'!M109</f>
        <v>46.1494093542451</v>
      </c>
      <c r="M124" s="147">
        <f>'[7]TGSPDCL MoD'!N109</f>
        <v>50.5899173525525</v>
      </c>
      <c r="N124" s="147">
        <f>'[7]TGSPDCL MoD'!O109</f>
        <v>53.9362618787171</v>
      </c>
      <c r="O124" s="147">
        <f>'[7]TGSPDCL MoD'!P109</f>
        <v>55.3621226358277</v>
      </c>
      <c r="P124" s="147">
        <f>'[7]TGSPDCL MoD'!Q109</f>
        <v>59.3637693576066</v>
      </c>
      <c r="Q124" s="690">
        <f t="shared" si="13"/>
        <v>652.941280195532</v>
      </c>
    </row>
    <row r="125" spans="3:17">
      <c r="C125" s="55"/>
      <c r="D125" s="757" t="s">
        <v>415</v>
      </c>
      <c r="E125" s="147">
        <f>'[7]TGSPDCL MoD'!F110</f>
        <v>230.023923677015</v>
      </c>
      <c r="F125" s="147">
        <f>'[7]TGSPDCL MoD'!G110</f>
        <v>237.191318066076</v>
      </c>
      <c r="G125" s="147">
        <f>'[7]TGSPDCL MoD'!H110</f>
        <v>222.070547129285</v>
      </c>
      <c r="H125" s="147">
        <f>'[7]TGSPDCL MoD'!I110</f>
        <v>173.92862485651</v>
      </c>
      <c r="I125" s="147">
        <f>'[7]TGSPDCL MoD'!J110</f>
        <v>213.919944150427</v>
      </c>
      <c r="J125" s="147">
        <f>'[7]TGSPDCL MoD'!K110</f>
        <v>188.56353446023</v>
      </c>
      <c r="K125" s="147">
        <f>'[7]TGSPDCL MoD'!L110</f>
        <v>231.174583679509</v>
      </c>
      <c r="L125" s="147">
        <f>'[7]TGSPDCL MoD'!M110</f>
        <v>178.252093630772</v>
      </c>
      <c r="M125" s="147">
        <f>'[7]TGSPDCL MoD'!N110</f>
        <v>195.403555774234</v>
      </c>
      <c r="N125" s="147">
        <f>'[7]TGSPDCL MoD'!O110</f>
        <v>208.328811506545</v>
      </c>
      <c r="O125" s="147">
        <f>'[7]TGSPDCL MoD'!P110</f>
        <v>213.836198680885</v>
      </c>
      <c r="P125" s="147">
        <f>'[7]TGSPDCL MoD'!Q110</f>
        <v>229.292559143755</v>
      </c>
      <c r="Q125" s="690">
        <f t="shared" si="13"/>
        <v>2521.98569475524</v>
      </c>
    </row>
    <row r="126" spans="3:17">
      <c r="C126" s="55"/>
      <c r="D126" s="757" t="s">
        <v>416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690">
        <f t="shared" si="13"/>
        <v>0</v>
      </c>
    </row>
    <row r="127" spans="3:17">
      <c r="C127" s="55"/>
      <c r="D127" s="757" t="s">
        <v>417</v>
      </c>
      <c r="E127" s="147">
        <f>'[7]TGSPDCL MoD'!F112</f>
        <v>251.909695055993</v>
      </c>
      <c r="F127" s="147">
        <f>'[7]TGSPDCL MoD'!G112</f>
        <v>259.759035707314</v>
      </c>
      <c r="G127" s="147">
        <f>'[7]TGSPDCL MoD'!H112</f>
        <v>243.199589477508</v>
      </c>
      <c r="H127" s="147">
        <f>'[7]TGSPDCL MoD'!I112</f>
        <v>190.477173629265</v>
      </c>
      <c r="I127" s="147">
        <f>'[7]TGSPDCL MoD'!J112</f>
        <v>234.273492234642</v>
      </c>
      <c r="J127" s="147">
        <f>'[7]TGSPDCL MoD'!K112</f>
        <v>206.504530942854</v>
      </c>
      <c r="K127" s="147">
        <f>'[7]TGSPDCL MoD'!L112</f>
        <v>253.169835330569</v>
      </c>
      <c r="L127" s="147">
        <f>'[7]TGSPDCL MoD'!M112</f>
        <v>195.212001568457</v>
      </c>
      <c r="M127" s="147">
        <f>'[7]TGSPDCL MoD'!N112</f>
        <v>213.995350401297</v>
      </c>
      <c r="N127" s="147">
        <f>'[7]TGSPDCL MoD'!O112</f>
        <v>228.150387746973</v>
      </c>
      <c r="O127" s="147">
        <f>'[7]TGSPDCL MoD'!P112</f>
        <v>234.181778749551</v>
      </c>
      <c r="P127" s="147">
        <f>'[7]TGSPDCL MoD'!Q112</f>
        <v>251.108744382676</v>
      </c>
      <c r="Q127" s="690">
        <f t="shared" si="13"/>
        <v>2761.9416152271</v>
      </c>
    </row>
    <row r="128" spans="3:17">
      <c r="C128" s="55"/>
      <c r="D128" s="757" t="s">
        <v>418</v>
      </c>
      <c r="E128" s="147">
        <f>'[7]TGSPDCL MoD'!F113</f>
        <v>148.88279849645</v>
      </c>
      <c r="F128" s="147">
        <f>'[7]TGSPDCL MoD'!G113</f>
        <v>153.521888715907</v>
      </c>
      <c r="G128" s="147">
        <f>'[7]TGSPDCL MoD'!H113</f>
        <v>143.734981960702</v>
      </c>
      <c r="H128" s="147">
        <f>'[7]TGSPDCL MoD'!I113</f>
        <v>112.575161719424</v>
      </c>
      <c r="I128" s="147">
        <f>'[7]TGSPDCL MoD'!J113</f>
        <v>138.459510776975</v>
      </c>
      <c r="J128" s="147">
        <f>'[7]TGSPDCL MoD'!K113</f>
        <v>122.04759511989</v>
      </c>
      <c r="K128" s="147">
        <f>'[7]TGSPDCL MoD'!L113</f>
        <v>149.627562252109</v>
      </c>
      <c r="L128" s="147">
        <f>'[7]TGSPDCL MoD'!M113</f>
        <v>115.373523385613</v>
      </c>
      <c r="M128" s="147">
        <f>'[7]TGSPDCL MoD'!N113</f>
        <v>126.474793381381</v>
      </c>
      <c r="N128" s="147">
        <f>'[7]TGSPDCL MoD'!O113</f>
        <v>134.840654696793</v>
      </c>
      <c r="O128" s="147">
        <f>'[7]TGSPDCL MoD'!P113</f>
        <v>138.405306589569</v>
      </c>
      <c r="P128" s="147">
        <f>'[7]TGSPDCL MoD'!Q113</f>
        <v>148.409423394017</v>
      </c>
      <c r="Q128" s="690">
        <f t="shared" si="13"/>
        <v>1632.35320048883</v>
      </c>
    </row>
    <row r="129" spans="3:17">
      <c r="C129" s="55"/>
      <c r="D129" s="55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690"/>
    </row>
    <row r="130" spans="3:17">
      <c r="C130" s="55"/>
      <c r="D130" s="55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690"/>
    </row>
    <row r="131" spans="3:17">
      <c r="C131" s="55"/>
      <c r="D131" s="55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690"/>
    </row>
    <row r="132" spans="3:17">
      <c r="C132" s="55"/>
      <c r="D132" s="55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690"/>
    </row>
    <row r="133" spans="3:17">
      <c r="C133" s="55"/>
      <c r="D133" s="55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690"/>
    </row>
    <row r="134" spans="3:17">
      <c r="C134" s="55"/>
      <c r="D134" s="5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690"/>
    </row>
    <row r="135" spans="3:17">
      <c r="C135" s="55"/>
      <c r="D135" s="55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690"/>
    </row>
    <row r="136" spans="3:17">
      <c r="C136" s="55"/>
      <c r="D136" s="55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690"/>
    </row>
    <row r="137" spans="3:17">
      <c r="C137" s="55"/>
      <c r="D137" s="55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690"/>
    </row>
    <row r="138" spans="3:17">
      <c r="C138" s="55"/>
      <c r="D138" s="55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690"/>
    </row>
    <row r="139" ht="15" spans="3:18">
      <c r="C139" s="44" t="s">
        <v>421</v>
      </c>
      <c r="D139" s="45"/>
      <c r="E139" s="690">
        <f t="shared" ref="E139:P139" si="14">SUM(E115:E138)</f>
        <v>1199.13973567177</v>
      </c>
      <c r="F139" s="690">
        <f t="shared" si="14"/>
        <v>1229.32812891958</v>
      </c>
      <c r="G139" s="690">
        <f t="shared" si="14"/>
        <v>1172.74706393817</v>
      </c>
      <c r="H139" s="690">
        <f t="shared" si="14"/>
        <v>948.111165883962</v>
      </c>
      <c r="I139" s="690">
        <f t="shared" si="14"/>
        <v>1126.59013084327</v>
      </c>
      <c r="J139" s="690">
        <f t="shared" si="14"/>
        <v>987.004079121248</v>
      </c>
      <c r="K139" s="690">
        <f t="shared" si="14"/>
        <v>1197.7808543519</v>
      </c>
      <c r="L139" s="690">
        <f t="shared" si="14"/>
        <v>933.433452410762</v>
      </c>
      <c r="M139" s="690">
        <f t="shared" si="14"/>
        <v>1029.18091713496</v>
      </c>
      <c r="N139" s="690">
        <f t="shared" si="14"/>
        <v>1094.42679215856</v>
      </c>
      <c r="O139" s="690">
        <f t="shared" si="14"/>
        <v>1116.86993700097</v>
      </c>
      <c r="P139" s="690">
        <f t="shared" si="14"/>
        <v>1199.61614417762</v>
      </c>
      <c r="Q139" s="693">
        <f>SUM(E139:P139)</f>
        <v>13234.2284016128</v>
      </c>
      <c r="R139" s="686"/>
    </row>
    <row r="140" ht="15" spans="3:17">
      <c r="C140" s="663" t="s">
        <v>422</v>
      </c>
      <c r="D140" s="676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</row>
    <row r="141" spans="3:17">
      <c r="C141" s="55"/>
      <c r="D141" s="757" t="s">
        <v>451</v>
      </c>
      <c r="E141" s="147">
        <f>'[7]ST,D-D'!D16</f>
        <v>0</v>
      </c>
      <c r="F141" s="147">
        <f>'[7]ST,D-D'!E16</f>
        <v>0</v>
      </c>
      <c r="G141" s="147">
        <f>'[7]ST,D-D'!F16</f>
        <v>0</v>
      </c>
      <c r="H141" s="147">
        <f>'[7]ST,D-D'!G16</f>
        <v>0</v>
      </c>
      <c r="I141" s="147">
        <f>'[7]ST,D-D'!H16</f>
        <v>3.41452953217458</v>
      </c>
      <c r="J141" s="147">
        <f>'[7]ST,D-D'!I16</f>
        <v>0</v>
      </c>
      <c r="K141" s="147">
        <f>'[7]ST,D-D'!J16</f>
        <v>74.1375190620661</v>
      </c>
      <c r="L141" s="147">
        <f>'[7]ST,D-D'!K16</f>
        <v>205.729042625166</v>
      </c>
      <c r="M141" s="147">
        <f>'[7]ST,D-D'!L16</f>
        <v>0</v>
      </c>
      <c r="N141" s="147">
        <f>'[7]ST,D-D'!M16</f>
        <v>0</v>
      </c>
      <c r="O141" s="147">
        <f>'[7]ST,D-D'!N16</f>
        <v>16.4558373698555</v>
      </c>
      <c r="P141" s="147">
        <f>'[7]ST,D-D'!O16</f>
        <v>326.479882477829</v>
      </c>
      <c r="Q141" s="55">
        <f>SUM(E141:P141)</f>
        <v>626.216811067091</v>
      </c>
    </row>
    <row r="142" spans="3:17">
      <c r="C142" s="55"/>
      <c r="D142" s="757" t="s">
        <v>423</v>
      </c>
      <c r="E142" s="147">
        <f>'[7]ST,D-D'!D18</f>
        <v>0</v>
      </c>
      <c r="F142" s="147">
        <f>'[7]ST,D-D'!E18</f>
        <v>0</v>
      </c>
      <c r="G142" s="147">
        <f>'[7]ST,D-D'!F18</f>
        <v>0</v>
      </c>
      <c r="H142" s="147">
        <f>'[7]ST,D-D'!G18</f>
        <v>0</v>
      </c>
      <c r="I142" s="147">
        <f>'[7]ST,D-D'!H18</f>
        <v>0</v>
      </c>
      <c r="J142" s="147">
        <f>'[7]ST,D-D'!I18</f>
        <v>0</v>
      </c>
      <c r="K142" s="147">
        <f>'[7]ST,D-D'!J18</f>
        <v>0</v>
      </c>
      <c r="L142" s="147">
        <f>'[7]ST,D-D'!K18</f>
        <v>0</v>
      </c>
      <c r="M142" s="147">
        <f>'[7]ST,D-D'!L18</f>
        <v>0</v>
      </c>
      <c r="N142" s="147">
        <f>'[7]ST,D-D'!M18</f>
        <v>0</v>
      </c>
      <c r="O142" s="147">
        <f>'[7]ST,D-D'!N18</f>
        <v>0</v>
      </c>
      <c r="P142" s="147">
        <f>'[7]ST,D-D'!O18</f>
        <v>0</v>
      </c>
      <c r="Q142" s="55">
        <f>SUM(E142:P142)</f>
        <v>0</v>
      </c>
    </row>
    <row r="143" spans="3:17">
      <c r="C143" s="55"/>
      <c r="D143" s="55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55"/>
    </row>
    <row r="144" spans="3:17">
      <c r="C144" s="55"/>
      <c r="D144" s="55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55"/>
    </row>
    <row r="145" spans="3:17">
      <c r="C145" s="55"/>
      <c r="D145" s="55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55"/>
    </row>
    <row r="146" spans="3:17">
      <c r="C146" s="55"/>
      <c r="D146" s="55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55"/>
    </row>
    <row r="147" spans="3:17">
      <c r="C147" s="55"/>
      <c r="D147" s="55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55"/>
    </row>
    <row r="148" spans="3:17">
      <c r="C148" s="55"/>
      <c r="D148" s="55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55"/>
    </row>
    <row r="149" spans="3:17">
      <c r="C149" s="55"/>
      <c r="D149" s="55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55"/>
    </row>
    <row r="150" spans="3:17">
      <c r="C150" s="55"/>
      <c r="D150" s="55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55"/>
    </row>
    <row r="151" spans="3:17">
      <c r="C151" s="55"/>
      <c r="D151" s="55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55"/>
    </row>
    <row r="152" ht="15" spans="3:18">
      <c r="C152" s="44" t="s">
        <v>424</v>
      </c>
      <c r="D152" s="45"/>
      <c r="E152" s="55">
        <f t="shared" ref="E152:P152" si="15">SUM(E141:E151)</f>
        <v>0</v>
      </c>
      <c r="F152" s="55">
        <f t="shared" si="15"/>
        <v>0</v>
      </c>
      <c r="G152" s="55">
        <f t="shared" si="15"/>
        <v>0</v>
      </c>
      <c r="H152" s="55">
        <f t="shared" si="15"/>
        <v>0</v>
      </c>
      <c r="I152" s="55">
        <f t="shared" si="15"/>
        <v>3.41452953217458</v>
      </c>
      <c r="J152" s="55">
        <f t="shared" si="15"/>
        <v>0</v>
      </c>
      <c r="K152" s="55">
        <f t="shared" si="15"/>
        <v>74.1375190620661</v>
      </c>
      <c r="L152" s="55">
        <f t="shared" si="15"/>
        <v>205.729042625166</v>
      </c>
      <c r="M152" s="55">
        <f t="shared" si="15"/>
        <v>0</v>
      </c>
      <c r="N152" s="55">
        <f t="shared" si="15"/>
        <v>0</v>
      </c>
      <c r="O152" s="55">
        <f t="shared" si="15"/>
        <v>16.4558373698555</v>
      </c>
      <c r="P152" s="55">
        <f t="shared" si="15"/>
        <v>326.479882477829</v>
      </c>
      <c r="Q152" s="316">
        <f>SUM(E152:P152)</f>
        <v>626.216811067091</v>
      </c>
      <c r="R152" s="686"/>
    </row>
    <row r="153" ht="15" spans="3:17">
      <c r="C153" s="663" t="s">
        <v>425</v>
      </c>
      <c r="D153" s="676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</row>
    <row r="154" spans="3:17">
      <c r="C154" s="55" t="s">
        <v>426</v>
      </c>
      <c r="D154" s="757" t="s">
        <v>427</v>
      </c>
      <c r="E154" s="147">
        <f>'[7]ST,D-D'!D20</f>
        <v>317.569280603394</v>
      </c>
      <c r="F154" s="147">
        <f>'[7]ST,D-D'!E20</f>
        <v>242.662508102198</v>
      </c>
      <c r="G154" s="147">
        <f>'[7]ST,D-D'!F20</f>
        <v>89.6801726723079</v>
      </c>
      <c r="H154" s="147">
        <f>'[7]ST,D-D'!G20</f>
        <v>232.031564610988</v>
      </c>
      <c r="I154" s="147">
        <f>'[7]ST,D-D'!H20</f>
        <v>1.58845618813712</v>
      </c>
      <c r="J154" s="147">
        <f>'[7]ST,D-D'!I20</f>
        <v>158.649548191599</v>
      </c>
      <c r="K154" s="147">
        <f>'[7]ST,D-D'!J20</f>
        <v>70.9309649138108</v>
      </c>
      <c r="L154" s="147">
        <f>'[7]ST,D-D'!K20</f>
        <v>190.582686381791</v>
      </c>
      <c r="M154" s="147">
        <f>'[7]ST,D-D'!L20</f>
        <v>157.784460801427</v>
      </c>
      <c r="N154" s="147">
        <f>'[7]ST,D-D'!M20</f>
        <v>-28.3753652930454</v>
      </c>
      <c r="O154" s="147">
        <f>'[7]ST,D-D'!N20</f>
        <v>0</v>
      </c>
      <c r="P154" s="147">
        <f>'[7]ST,D-D'!O20</f>
        <v>0</v>
      </c>
      <c r="Q154" s="55">
        <f>SUM(E154:P154)</f>
        <v>1433.10427717261</v>
      </c>
    </row>
    <row r="155" spans="3:17">
      <c r="C155" s="55" t="s">
        <v>426</v>
      </c>
      <c r="D155" s="757" t="s">
        <v>428</v>
      </c>
      <c r="E155" s="147">
        <f>-'[7]ST,D-D'!D18</f>
        <v>0</v>
      </c>
      <c r="F155" s="147">
        <f>-'[7]ST,D-D'!E18</f>
        <v>0</v>
      </c>
      <c r="G155" s="147">
        <f>-'[7]ST,D-D'!F18</f>
        <v>0</v>
      </c>
      <c r="H155" s="147">
        <f>-'[7]ST,D-D'!G18</f>
        <v>0</v>
      </c>
      <c r="I155" s="147">
        <f>-'[7]ST,D-D'!H18</f>
        <v>0</v>
      </c>
      <c r="J155" s="147">
        <f>-'[7]ST,D-D'!I18</f>
        <v>0</v>
      </c>
      <c r="K155" s="147">
        <f>-'[7]ST,D-D'!J18</f>
        <v>0</v>
      </c>
      <c r="L155" s="147">
        <f>-'[7]ST,D-D'!K18</f>
        <v>0</v>
      </c>
      <c r="M155" s="147">
        <f>-'[7]ST,D-D'!L18</f>
        <v>0</v>
      </c>
      <c r="N155" s="147">
        <f>-'[7]ST,D-D'!M18</f>
        <v>0</v>
      </c>
      <c r="O155" s="147">
        <f>-'[7]ST,D-D'!N18</f>
        <v>0</v>
      </c>
      <c r="P155" s="147">
        <f>-'[7]ST,D-D'!O18</f>
        <v>0</v>
      </c>
      <c r="Q155" s="55">
        <f>SUM(E155:P155)</f>
        <v>0</v>
      </c>
    </row>
    <row r="156" spans="3:17">
      <c r="C156" s="55"/>
      <c r="D156" s="758" t="s">
        <v>477</v>
      </c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>
        <f>SUM(E156:P156)</f>
        <v>0</v>
      </c>
    </row>
    <row r="157" ht="15" spans="3:18">
      <c r="C157" s="44" t="s">
        <v>429</v>
      </c>
      <c r="D157" s="45"/>
      <c r="E157" s="740">
        <f t="shared" ref="E157:P157" si="16">SUM(E154:E155)</f>
        <v>317.569280603394</v>
      </c>
      <c r="F157" s="740">
        <f t="shared" si="16"/>
        <v>242.662508102198</v>
      </c>
      <c r="G157" s="740">
        <f t="shared" si="16"/>
        <v>89.6801726723079</v>
      </c>
      <c r="H157" s="740">
        <f t="shared" si="16"/>
        <v>232.031564610988</v>
      </c>
      <c r="I157" s="740">
        <f t="shared" si="16"/>
        <v>1.58845618813712</v>
      </c>
      <c r="J157" s="740">
        <f t="shared" si="16"/>
        <v>158.649548191599</v>
      </c>
      <c r="K157" s="740">
        <f t="shared" si="16"/>
        <v>70.9309649138108</v>
      </c>
      <c r="L157" s="740">
        <f t="shared" si="16"/>
        <v>190.582686381791</v>
      </c>
      <c r="M157" s="740">
        <f t="shared" si="16"/>
        <v>157.784460801427</v>
      </c>
      <c r="N157" s="740">
        <f t="shared" si="16"/>
        <v>-28.3753652930454</v>
      </c>
      <c r="O157" s="740">
        <f t="shared" si="16"/>
        <v>0</v>
      </c>
      <c r="P157" s="740">
        <f t="shared" si="16"/>
        <v>0</v>
      </c>
      <c r="Q157" s="743">
        <f>Q154-Q155</f>
        <v>1433.10427717261</v>
      </c>
      <c r="R157" s="686"/>
    </row>
    <row r="158" ht="15" spans="3:18">
      <c r="C158" s="44" t="s">
        <v>224</v>
      </c>
      <c r="D158" s="45"/>
      <c r="E158" s="740">
        <f t="shared" ref="E158:Q158" si="17">E49+E94+E103+E113+E139+E152+E157</f>
        <v>5946.89246053823</v>
      </c>
      <c r="F158" s="740">
        <f t="shared" si="17"/>
        <v>5277.04361474625</v>
      </c>
      <c r="G158" s="740">
        <f t="shared" si="17"/>
        <v>4961.06778173644</v>
      </c>
      <c r="H158" s="740">
        <f t="shared" si="17"/>
        <v>5546.5474256785</v>
      </c>
      <c r="I158" s="740">
        <f t="shared" si="17"/>
        <v>6299.06509598276</v>
      </c>
      <c r="J158" s="740">
        <f t="shared" si="17"/>
        <v>5553.65951306681</v>
      </c>
      <c r="K158" s="740">
        <f t="shared" si="17"/>
        <v>6736.36540464526</v>
      </c>
      <c r="L158" s="740">
        <f t="shared" si="17"/>
        <v>5290.88824400656</v>
      </c>
      <c r="M158" s="740">
        <f t="shared" si="17"/>
        <v>5478.42374847219</v>
      </c>
      <c r="N158" s="740">
        <f t="shared" si="17"/>
        <v>6229.30315162085</v>
      </c>
      <c r="O158" s="740">
        <f t="shared" si="17"/>
        <v>6427.89443340572</v>
      </c>
      <c r="P158" s="740">
        <f t="shared" si="17"/>
        <v>7429.28311436151</v>
      </c>
      <c r="Q158" s="743">
        <f t="shared" si="17"/>
        <v>71176.4339882611</v>
      </c>
      <c r="R158" s="686"/>
    </row>
    <row r="160" ht="15" spans="4:5">
      <c r="D160" s="11"/>
      <c r="E160" s="11"/>
    </row>
    <row r="161" spans="4:5">
      <c r="D161" s="13"/>
      <c r="E161" s="13"/>
    </row>
    <row r="162" spans="5:5">
      <c r="E162" s="13"/>
    </row>
    <row r="163" spans="5:5">
      <c r="E163" s="13"/>
    </row>
  </sheetData>
  <mergeCells count="32">
    <mergeCell ref="C2:P2"/>
    <mergeCell ref="C3:Q3"/>
    <mergeCell ref="E5:Q5"/>
    <mergeCell ref="C8:D8"/>
    <mergeCell ref="C9:D9"/>
    <mergeCell ref="C28:D28"/>
    <mergeCell ref="C29:D29"/>
    <mergeCell ref="C48:D48"/>
    <mergeCell ref="C49:D49"/>
    <mergeCell ref="C50:D50"/>
    <mergeCell ref="C51:D51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7:D157"/>
    <mergeCell ref="C158:D158"/>
    <mergeCell ref="C5:C7"/>
    <mergeCell ref="C10:C27"/>
    <mergeCell ref="C30:C47"/>
    <mergeCell ref="C52:C60"/>
    <mergeCell ref="C79:C82"/>
    <mergeCell ref="D5:D7"/>
  </mergeCells>
  <printOptions horizontalCentered="1"/>
  <pageMargins left="0.31496062992126" right="0.196850393700787" top="0.45" bottom="0.35" header="0.31496062992126" footer="0.31496062992126"/>
  <pageSetup paperSize="9" scale="60" fitToHeight="7" orientation="landscape"/>
  <headerFooter/>
  <rowBreaks count="2" manualBreakCount="2">
    <brk id="49" max="16" man="1"/>
    <brk id="113" max="1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B2:R163"/>
  <sheetViews>
    <sheetView showGridLines="0" zoomScale="59" zoomScaleNormal="59" topLeftCell="A38" workbookViewId="0">
      <selection activeCell="E65" sqref="E65:Q66"/>
    </sheetView>
  </sheetViews>
  <sheetFormatPr defaultColWidth="9.14285714285714" defaultRowHeight="14.25"/>
  <cols>
    <col min="1" max="1" width="3.14285714285714" style="12" customWidth="1"/>
    <col min="2" max="2" width="8.14285714285714" style="12" customWidth="1"/>
    <col min="3" max="3" width="22.1428571428571" style="12" customWidth="1"/>
    <col min="4" max="4" width="42.8571428571429" style="12" customWidth="1"/>
    <col min="5" max="5" width="14.1428571428571" style="12" customWidth="1"/>
    <col min="6" max="6" width="13.4285714285714" style="12" customWidth="1"/>
    <col min="7" max="7" width="13.5714285714286" style="12" customWidth="1"/>
    <col min="8" max="8" width="14.1428571428571" style="12" customWidth="1"/>
    <col min="9" max="9" width="13.4285714285714" style="12" customWidth="1"/>
    <col min="10" max="10" width="14.8571428571429" style="12" customWidth="1"/>
    <col min="11" max="11" width="12.5714285714286" style="12" customWidth="1"/>
    <col min="12" max="12" width="13.4285714285714" style="12" customWidth="1"/>
    <col min="13" max="13" width="14.1428571428571" style="12" customWidth="1"/>
    <col min="14" max="16" width="13.4285714285714" style="12" customWidth="1"/>
    <col min="17" max="17" width="14.5714285714286" style="12" customWidth="1"/>
    <col min="18" max="18" width="12.4285714285714" style="12" customWidth="1"/>
    <col min="19" max="19" width="12.8571428571429" style="12" customWidth="1"/>
    <col min="20" max="16384" width="9.14285714285714" style="12"/>
  </cols>
  <sheetData>
    <row r="2" ht="15" spans="3:16">
      <c r="C2" s="2" t="s">
        <v>0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customHeight="1" spans="3:17">
      <c r="C3" s="3" t="s">
        <v>482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ht="15" spans="3:17">
      <c r="C4" s="14"/>
      <c r="Q4" s="3" t="s">
        <v>236</v>
      </c>
    </row>
    <row r="5" ht="15" customHeight="1" spans="3:17">
      <c r="C5" s="658" t="s">
        <v>345</v>
      </c>
      <c r="D5" s="658" t="s">
        <v>346</v>
      </c>
      <c r="E5" s="135" t="s">
        <v>443</v>
      </c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</row>
    <row r="6" ht="15" spans="3:17">
      <c r="C6" s="660"/>
      <c r="D6" s="660"/>
      <c r="E6" s="135" t="s">
        <v>246</v>
      </c>
      <c r="F6" s="135" t="s">
        <v>247</v>
      </c>
      <c r="G6" s="135" t="s">
        <v>248</v>
      </c>
      <c r="H6" s="135" t="s">
        <v>249</v>
      </c>
      <c r="I6" s="135" t="s">
        <v>250</v>
      </c>
      <c r="J6" s="135" t="s">
        <v>251</v>
      </c>
      <c r="K6" s="135" t="s">
        <v>252</v>
      </c>
      <c r="L6" s="135" t="s">
        <v>253</v>
      </c>
      <c r="M6" s="135" t="s">
        <v>254</v>
      </c>
      <c r="N6" s="135" t="s">
        <v>255</v>
      </c>
      <c r="O6" s="135" t="s">
        <v>256</v>
      </c>
      <c r="P6" s="135" t="s">
        <v>257</v>
      </c>
      <c r="Q6" s="135" t="s">
        <v>97</v>
      </c>
    </row>
    <row r="7" customHeight="1" spans="3:17">
      <c r="C7" s="662"/>
      <c r="D7" s="662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</row>
    <row r="8" ht="15" spans="2:17">
      <c r="B8" s="656"/>
      <c r="C8" s="663" t="s">
        <v>349</v>
      </c>
      <c r="D8" s="676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ht="15" spans="3:17">
      <c r="C9" s="44" t="s">
        <v>350</v>
      </c>
      <c r="D9" s="4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customHeight="1" spans="2:17">
      <c r="B10" s="656"/>
      <c r="C10" s="754" t="s">
        <v>351</v>
      </c>
      <c r="D10" s="47" t="s">
        <v>352</v>
      </c>
      <c r="E10" s="147">
        <f>'[38]TGSPDCL MoD'!F4+'[38]TGSPDCL MoD'!F5</f>
        <v>122.310175719824</v>
      </c>
      <c r="F10" s="147">
        <f>'[38]TGSPDCL MoD'!G4+'[38]TGSPDCL MoD'!G5</f>
        <v>177.617687907819</v>
      </c>
      <c r="G10" s="147">
        <f>'[38]TGSPDCL MoD'!H4+'[38]TGSPDCL MoD'!H5</f>
        <v>157.003102263159</v>
      </c>
      <c r="H10" s="147">
        <f>'[38]TGSPDCL MoD'!I4+'[38]TGSPDCL MoD'!I5</f>
        <v>0</v>
      </c>
      <c r="I10" s="147">
        <f>'[38]TGSPDCL MoD'!J4+'[38]TGSPDCL MoD'!J5</f>
        <v>60.1167559072618</v>
      </c>
      <c r="J10" s="147">
        <f>'[38]TGSPDCL MoD'!K4+'[38]TGSPDCL MoD'!K5</f>
        <v>116.35501143341</v>
      </c>
      <c r="K10" s="147">
        <f>'[38]TGSPDCL MoD'!L4+'[38]TGSPDCL MoD'!L5</f>
        <v>120.233511814524</v>
      </c>
      <c r="L10" s="147">
        <f>'[38]TGSPDCL MoD'!M4+'[38]TGSPDCL MoD'!M5</f>
        <v>126.937590107829</v>
      </c>
      <c r="M10" s="147">
        <f>'[38]TGSPDCL MoD'!N4+'[38]TGSPDCL MoD'!N5</f>
        <v>128.431251256423</v>
      </c>
      <c r="N10" s="147">
        <f>'[38]TGSPDCL MoD'!O4+'[38]TGSPDCL MoD'!O5</f>
        <v>124.332381535473</v>
      </c>
      <c r="O10" s="147">
        <f>'[38]TGSPDCL MoD'!P4+'[38]TGSPDCL MoD'!P5</f>
        <v>141.135107327875</v>
      </c>
      <c r="P10" s="147">
        <f>'[38]TGSPDCL MoD'!Q4+'[38]TGSPDCL MoD'!Q5</f>
        <v>165.32107874497</v>
      </c>
      <c r="Q10" s="690">
        <f t="shared" ref="Q10:Q17" si="0">SUM(E10:P10)</f>
        <v>1439.79365401857</v>
      </c>
    </row>
    <row r="11" spans="2:17">
      <c r="B11" s="656"/>
      <c r="C11" s="755"/>
      <c r="D11" s="47" t="s">
        <v>353</v>
      </c>
      <c r="E11" s="147">
        <f>'[38]TGSPDCL MoD'!F6</f>
        <v>146.737553316143</v>
      </c>
      <c r="F11" s="147">
        <f>'[38]TGSPDCL MoD'!G6</f>
        <v>0</v>
      </c>
      <c r="G11" s="147">
        <f>'[38]TGSPDCL MoD'!H6</f>
        <v>88.7023076515989</v>
      </c>
      <c r="H11" s="147">
        <f>'[38]TGSPDCL MoD'!I6</f>
        <v>128.431251256423</v>
      </c>
      <c r="I11" s="147">
        <f>'[38]TGSPDCL MoD'!J6</f>
        <v>120.233511814524</v>
      </c>
      <c r="J11" s="147">
        <f>'[38]TGSPDCL MoD'!K6</f>
        <v>120.321659550458</v>
      </c>
      <c r="K11" s="147">
        <f>'[38]TGSPDCL MoD'!L6</f>
        <v>120.233511814524</v>
      </c>
      <c r="L11" s="147">
        <f>'[38]TGSPDCL MoD'!M6</f>
        <v>138.742552659762</v>
      </c>
      <c r="M11" s="147">
        <f>'[38]TGSPDCL MoD'!N6</f>
        <v>128.431251256423</v>
      </c>
      <c r="N11" s="147">
        <f>'[38]TGSPDCL MoD'!O6</f>
        <v>128.706178336697</v>
      </c>
      <c r="O11" s="147">
        <f>'[38]TGSPDCL MoD'!P6</f>
        <v>145.620059763631</v>
      </c>
      <c r="P11" s="147">
        <f>'[38]TGSPDCL MoD'!Q6</f>
        <v>167.326947065778</v>
      </c>
      <c r="Q11" s="690">
        <f t="shared" si="0"/>
        <v>1433.48678448596</v>
      </c>
    </row>
    <row r="12" spans="2:17">
      <c r="B12" s="656"/>
      <c r="C12" s="755"/>
      <c r="D12" s="47" t="s">
        <v>354</v>
      </c>
      <c r="E12" s="147">
        <f>'[38]TGSPDCL MoD'!F7</f>
        <v>249.959397843332</v>
      </c>
      <c r="F12" s="147">
        <f>'[38]TGSPDCL MoD'!G7</f>
        <v>0</v>
      </c>
      <c r="G12" s="147">
        <f>'[38]TGSPDCL MoD'!H7</f>
        <v>143.857105044943</v>
      </c>
      <c r="H12" s="147">
        <f>'[38]TGSPDCL MoD'!I7</f>
        <v>225.461663467997</v>
      </c>
      <c r="I12" s="147">
        <f>'[38]TGSPDCL MoD'!J7</f>
        <v>192.610336144512</v>
      </c>
      <c r="J12" s="147">
        <f>'[38]TGSPDCL MoD'!K7</f>
        <v>211.977045825217</v>
      </c>
      <c r="K12" s="147">
        <f>'[38]TGSPDCL MoD'!L7</f>
        <v>192.373618903238</v>
      </c>
      <c r="L12" s="147">
        <f>'[38]TGSPDCL MoD'!M7</f>
        <v>275.59474381664</v>
      </c>
      <c r="M12" s="147">
        <f>'[38]TGSPDCL MoD'!N7</f>
        <v>234.871955967062</v>
      </c>
      <c r="N12" s="147">
        <f>'[38]TGSPDCL MoD'!O7</f>
        <v>238.301431492238</v>
      </c>
      <c r="O12" s="147">
        <f>'[38]TGSPDCL MoD'!P7</f>
        <v>238.915623476601</v>
      </c>
      <c r="P12" s="147">
        <f>'[38]TGSPDCL MoD'!Q7</f>
        <v>290.754357544008</v>
      </c>
      <c r="Q12" s="690">
        <f t="shared" si="0"/>
        <v>2494.67727952579</v>
      </c>
    </row>
    <row r="13" spans="2:17">
      <c r="B13" s="656"/>
      <c r="C13" s="755"/>
      <c r="D13" s="47" t="s">
        <v>355</v>
      </c>
      <c r="E13" s="147">
        <f>'[38]TGSPDCL MoD'!F8</f>
        <v>15.0402074438072</v>
      </c>
      <c r="F13" s="147">
        <f>'[38]TGSPDCL MoD'!G8</f>
        <v>0</v>
      </c>
      <c r="G13" s="147">
        <f>'[38]TGSPDCL MoD'!H8</f>
        <v>9.7513432877432</v>
      </c>
      <c r="H13" s="147">
        <f>'[38]TGSPDCL MoD'!I8</f>
        <v>15.5415476919342</v>
      </c>
      <c r="I13" s="147">
        <f>'[38]TGSPDCL MoD'!J8</f>
        <v>15.0291889768154</v>
      </c>
      <c r="J13" s="147">
        <f>'[38]TGSPDCL MoD'!K8</f>
        <v>14.5443764291762</v>
      </c>
      <c r="K13" s="147">
        <f>'[38]TGSPDCL MoD'!L8</f>
        <v>15.0291889768154</v>
      </c>
      <c r="L13" s="147">
        <f>'[38]TGSPDCL MoD'!M8</f>
        <v>15.5360384584383</v>
      </c>
      <c r="M13" s="147">
        <f>'[38]TGSPDCL MoD'!N8</f>
        <v>16.0539064070529</v>
      </c>
      <c r="N13" s="147">
        <f>'[38]TGSPDCL MoD'!O8</f>
        <v>15.5415476919342</v>
      </c>
      <c r="O13" s="147">
        <f>'[38]TGSPDCL MoD'!P8</f>
        <v>17.2769562431427</v>
      </c>
      <c r="P13" s="147">
        <f>'[38]TGSPDCL MoD'!Q8</f>
        <v>20.6651348431213</v>
      </c>
      <c r="Q13" s="690">
        <f t="shared" si="0"/>
        <v>170.009436449981</v>
      </c>
    </row>
    <row r="14" spans="2:17">
      <c r="B14" s="656"/>
      <c r="C14" s="755"/>
      <c r="D14" s="47" t="s">
        <v>356</v>
      </c>
      <c r="E14" s="147">
        <f>'[38]TGSPDCL MoD'!F9</f>
        <v>178.551648075111</v>
      </c>
      <c r="F14" s="147">
        <f>'[38]TGSPDCL MoD'!G9</f>
        <v>185.815427349718</v>
      </c>
      <c r="G14" s="147">
        <f>'[38]TGSPDCL MoD'!H9</f>
        <v>181.19833233236</v>
      </c>
      <c r="H14" s="147">
        <f>'[38]TGSPDCL MoD'!I9</f>
        <v>171.347262565083</v>
      </c>
      <c r="I14" s="147">
        <f>'[38]TGSPDCL MoD'!J9</f>
        <v>130.814249413442</v>
      </c>
      <c r="J14" s="147">
        <f>'[38]TGSPDCL MoD'!K9</f>
        <v>140.154900135698</v>
      </c>
      <c r="K14" s="147">
        <f>'[38]TGSPDCL MoD'!L9</f>
        <v>0</v>
      </c>
      <c r="L14" s="147">
        <f>'[38]TGSPDCL MoD'!M9</f>
        <v>92.6082369923969</v>
      </c>
      <c r="M14" s="147">
        <f>'[38]TGSPDCL MoD'!N9</f>
        <v>165.635263862924</v>
      </c>
      <c r="N14" s="147">
        <f>'[38]TGSPDCL MoD'!O9</f>
        <v>161.417083625611</v>
      </c>
      <c r="O14" s="147">
        <f>'[38]TGSPDCL MoD'!P9</f>
        <v>161.445091228605</v>
      </c>
      <c r="P14" s="147">
        <f>'[38]TGSPDCL MoD'!Q9</f>
        <v>197.818659454662</v>
      </c>
      <c r="Q14" s="690">
        <f t="shared" si="0"/>
        <v>1766.80615503561</v>
      </c>
    </row>
    <row r="15" spans="2:17">
      <c r="B15" s="656"/>
      <c r="C15" s="755"/>
      <c r="D15" s="47" t="s">
        <v>357</v>
      </c>
      <c r="E15" s="147">
        <f>'[38]TGSPDCL MoD'!F10</f>
        <v>225.30561304833</v>
      </c>
      <c r="F15" s="147">
        <f>'[38]TGSPDCL MoD'!G10</f>
        <v>230.790587133541</v>
      </c>
      <c r="G15" s="147">
        <f>'[38]TGSPDCL MoD'!H10</f>
        <v>225.30561304833</v>
      </c>
      <c r="H15" s="147">
        <f>'[38]TGSPDCL MoD'!I10</f>
        <v>231.450342247275</v>
      </c>
      <c r="I15" s="147">
        <f>'[38]TGSPDCL MoD'!J10</f>
        <v>185.550569156904</v>
      </c>
      <c r="J15" s="147">
        <f>'[38]TGSPDCL MoD'!K10</f>
        <v>200.16344866671</v>
      </c>
      <c r="K15" s="147">
        <f>'[38]TGSPDCL MoD'!L10</f>
        <v>173.792076168266</v>
      </c>
      <c r="L15" s="147">
        <f>'[38]TGSPDCL MoD'!M10</f>
        <v>0</v>
      </c>
      <c r="M15" s="147">
        <f>'[38]TGSPDCL MoD'!N10</f>
        <v>111.489256409831</v>
      </c>
      <c r="N15" s="147">
        <f>'[38]TGSPDCL MoD'!O10</f>
        <v>198.385294493964</v>
      </c>
      <c r="O15" s="147">
        <f>'[38]TGSPDCL MoD'!P10</f>
        <v>201.39994706292</v>
      </c>
      <c r="P15" s="147">
        <f>'[38]TGSPDCL MoD'!Q10</f>
        <v>262.327662140779</v>
      </c>
      <c r="Q15" s="690">
        <f t="shared" si="0"/>
        <v>2245.96040957685</v>
      </c>
    </row>
    <row r="16" spans="2:17">
      <c r="B16" s="656"/>
      <c r="C16" s="755"/>
      <c r="D16" s="47" t="s">
        <v>358</v>
      </c>
      <c r="E16" s="147">
        <f>'[38]TGSPDCL MoD'!F11+'[38]TGSPDCL MoD'!F12+'[38]TGSPDCL MoD'!F13+'[38]TGSPDCL MoD'!F14</f>
        <v>402.660703217907</v>
      </c>
      <c r="F16" s="147">
        <f>'[38]TGSPDCL MoD'!G11+'[38]TGSPDCL MoD'!G12+'[38]TGSPDCL MoD'!G13+'[38]TGSPDCL MoD'!G14</f>
        <v>202.901354044594</v>
      </c>
      <c r="G16" s="147">
        <f>'[38]TGSPDCL MoD'!H11+'[38]TGSPDCL MoD'!H12+'[38]TGSPDCL MoD'!H13+'[38]TGSPDCL MoD'!H14</f>
        <v>301.713595653806</v>
      </c>
      <c r="H16" s="147">
        <f>'[38]TGSPDCL MoD'!I11+'[38]TGSPDCL MoD'!I12+'[38]TGSPDCL MoD'!I13+'[38]TGSPDCL MoD'!I14</f>
        <v>392.190908845811</v>
      </c>
      <c r="I16" s="147">
        <f>'[38]TGSPDCL MoD'!J11+'[38]TGSPDCL MoD'!J12+'[38]TGSPDCL MoD'!J13+'[38]TGSPDCL MoD'!J14</f>
        <v>265.032723484126</v>
      </c>
      <c r="J16" s="147">
        <f>'[38]TGSPDCL MoD'!K11+'[38]TGSPDCL MoD'!K12+'[38]TGSPDCL MoD'!K13+'[38]TGSPDCL MoD'!K14</f>
        <v>242.088230084557</v>
      </c>
      <c r="K16" s="147">
        <f>'[38]TGSPDCL MoD'!L11+'[38]TGSPDCL MoD'!L12+'[38]TGSPDCL MoD'!L13+'[38]TGSPDCL MoD'!L14</f>
        <v>300.829231230855</v>
      </c>
      <c r="L16" s="147">
        <f>'[38]TGSPDCL MoD'!M11+'[38]TGSPDCL MoD'!M12+'[38]TGSPDCL MoD'!M13+'[38]TGSPDCL MoD'!M14</f>
        <v>304.162577615247</v>
      </c>
      <c r="M16" s="147">
        <f>'[38]TGSPDCL MoD'!N11+'[38]TGSPDCL MoD'!N12+'[38]TGSPDCL MoD'!N13+'[38]TGSPDCL MoD'!N14</f>
        <v>342.318953400913</v>
      </c>
      <c r="N16" s="147">
        <f>'[38]TGSPDCL MoD'!O11+'[38]TGSPDCL MoD'!O12+'[38]TGSPDCL MoD'!O13+'[38]TGSPDCL MoD'!O14</f>
        <v>357.093530089135</v>
      </c>
      <c r="O16" s="147">
        <f>'[38]TGSPDCL MoD'!P11+'[38]TGSPDCL MoD'!P12+'[38]TGSPDCL MoD'!P13+'[38]TGSPDCL MoD'!P14</f>
        <v>358.384851972956</v>
      </c>
      <c r="P16" s="147">
        <f>'[38]TGSPDCL MoD'!Q11+'[38]TGSPDCL MoD'!Q12+'[38]TGSPDCL MoD'!Q13+'[38]TGSPDCL MoD'!Q14</f>
        <v>444.585079278844</v>
      </c>
      <c r="Q16" s="690">
        <f t="shared" si="0"/>
        <v>3913.96173891875</v>
      </c>
    </row>
    <row r="17" spans="2:17">
      <c r="B17" s="656"/>
      <c r="C17" s="755"/>
      <c r="D17" s="47" t="s">
        <v>359</v>
      </c>
      <c r="E17" s="147">
        <f>'[38]TGSPDCL MoD'!F15+'[38]TGSPDCL MoD'!F16+'[38]TGSPDCL MoD'!F17+'[38]TGSPDCL MoD'!F18+'[38]TGSPDCL MoD'!F19</f>
        <v>1560.16981565677</v>
      </c>
      <c r="F17" s="147">
        <f>'[38]TGSPDCL MoD'!G15+'[38]TGSPDCL MoD'!G16+'[38]TGSPDCL MoD'!G17+'[38]TGSPDCL MoD'!G18+'[38]TGSPDCL MoD'!G19</f>
        <v>936.917035800771</v>
      </c>
      <c r="G17" s="147">
        <f>'[38]TGSPDCL MoD'!H15+'[38]TGSPDCL MoD'!H16+'[38]TGSPDCL MoD'!H17+'[38]TGSPDCL MoD'!H18+'[38]TGSPDCL MoD'!H19</f>
        <v>912.760390329796</v>
      </c>
      <c r="H17" s="147">
        <f>'[38]TGSPDCL MoD'!I15+'[38]TGSPDCL MoD'!I16+'[38]TGSPDCL MoD'!I17+'[38]TGSPDCL MoD'!I18+'[38]TGSPDCL MoD'!I19</f>
        <v>991.617318882584</v>
      </c>
      <c r="I17" s="147">
        <f>'[38]TGSPDCL MoD'!J15+'[38]TGSPDCL MoD'!J16+'[38]TGSPDCL MoD'!J17+'[38]TGSPDCL MoD'!J18+'[38]TGSPDCL MoD'!J19</f>
        <v>1338.73024775244</v>
      </c>
      <c r="J17" s="147">
        <f>'[38]TGSPDCL MoD'!K15+'[38]TGSPDCL MoD'!K16+'[38]TGSPDCL MoD'!K17+'[38]TGSPDCL MoD'!K18+'[38]TGSPDCL MoD'!K19</f>
        <v>1538.20905697898</v>
      </c>
      <c r="K17" s="147">
        <f>'[38]TGSPDCL MoD'!L15+'[38]TGSPDCL MoD'!L16+'[38]TGSPDCL MoD'!L17+'[38]TGSPDCL MoD'!L18+'[38]TGSPDCL MoD'!L19</f>
        <v>1296.55428960268</v>
      </c>
      <c r="L17" s="147">
        <f>'[38]TGSPDCL MoD'!M15+'[38]TGSPDCL MoD'!M16+'[38]TGSPDCL MoD'!M17+'[38]TGSPDCL MoD'!M18+'[38]TGSPDCL MoD'!M19</f>
        <v>1222.72490368772</v>
      </c>
      <c r="M17" s="147">
        <f>'[38]TGSPDCL MoD'!N15+'[38]TGSPDCL MoD'!N16+'[38]TGSPDCL MoD'!N17+'[38]TGSPDCL MoD'!N18+'[38]TGSPDCL MoD'!N19</f>
        <v>1402.61508516106</v>
      </c>
      <c r="N17" s="147">
        <f>'[38]TGSPDCL MoD'!O15+'[38]TGSPDCL MoD'!O16+'[38]TGSPDCL MoD'!O17+'[38]TGSPDCL MoD'!O18+'[38]TGSPDCL MoD'!O19</f>
        <v>1535.22023399519</v>
      </c>
      <c r="O17" s="147">
        <f>'[38]TGSPDCL MoD'!P15+'[38]TGSPDCL MoD'!P16+'[38]TGSPDCL MoD'!P17+'[38]TGSPDCL MoD'!P18+'[38]TGSPDCL MoD'!P19</f>
        <v>1504.23893597308</v>
      </c>
      <c r="P17" s="147">
        <f>'[38]TGSPDCL MoD'!Q15+'[38]TGSPDCL MoD'!Q16+'[38]TGSPDCL MoD'!Q17+'[38]TGSPDCL MoD'!Q18+'[38]TGSPDCL MoD'!Q19</f>
        <v>1748.85108093852</v>
      </c>
      <c r="Q17" s="690">
        <f t="shared" si="0"/>
        <v>15988.6083947596</v>
      </c>
    </row>
    <row r="18" spans="2:17">
      <c r="B18" s="656"/>
      <c r="C18" s="755"/>
      <c r="D18" s="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690"/>
    </row>
    <row r="19" spans="2:17">
      <c r="B19" s="656"/>
      <c r="C19" s="755"/>
      <c r="D19" s="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690"/>
    </row>
    <row r="20" spans="2:17">
      <c r="B20" s="656"/>
      <c r="C20" s="755"/>
      <c r="D20" s="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690"/>
    </row>
    <row r="21" spans="2:17">
      <c r="B21" s="656"/>
      <c r="C21" s="755"/>
      <c r="D21" s="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690"/>
    </row>
    <row r="22" spans="2:17">
      <c r="B22" s="656"/>
      <c r="C22" s="755"/>
      <c r="D22" s="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690"/>
    </row>
    <row r="23" spans="2:17">
      <c r="B23" s="656"/>
      <c r="C23" s="755"/>
      <c r="D23" s="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690"/>
    </row>
    <row r="24" spans="2:17">
      <c r="B24" s="656"/>
      <c r="C24" s="755"/>
      <c r="D24" s="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690"/>
    </row>
    <row r="25" spans="2:17">
      <c r="B25" s="656"/>
      <c r="C25" s="755"/>
      <c r="D25" s="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690"/>
    </row>
    <row r="26" spans="2:17">
      <c r="B26" s="656"/>
      <c r="C26" s="755"/>
      <c r="D26" s="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690"/>
    </row>
    <row r="27" spans="2:17">
      <c r="B27" s="656"/>
      <c r="C27" s="756"/>
      <c r="D27" s="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690"/>
    </row>
    <row r="28" ht="15" spans="3:18">
      <c r="C28" s="537" t="s">
        <v>211</v>
      </c>
      <c r="D28" s="540"/>
      <c r="E28" s="690">
        <f t="shared" ref="E28:P28" si="1">SUM(E10:E27)</f>
        <v>2900.73511432122</v>
      </c>
      <c r="F28" s="690">
        <f t="shared" si="1"/>
        <v>1734.04209223644</v>
      </c>
      <c r="G28" s="690">
        <f t="shared" si="1"/>
        <v>2020.29178961174</v>
      </c>
      <c r="H28" s="690">
        <f t="shared" si="1"/>
        <v>2156.04029495711</v>
      </c>
      <c r="I28" s="690">
        <f t="shared" si="1"/>
        <v>2308.11758265002</v>
      </c>
      <c r="J28" s="690">
        <f t="shared" si="1"/>
        <v>2583.81372910421</v>
      </c>
      <c r="K28" s="690">
        <f t="shared" si="1"/>
        <v>2219.0454285109</v>
      </c>
      <c r="L28" s="690">
        <f t="shared" si="1"/>
        <v>2176.30664333803</v>
      </c>
      <c r="M28" s="690">
        <f t="shared" si="1"/>
        <v>2529.84692372169</v>
      </c>
      <c r="N28" s="690">
        <f t="shared" si="1"/>
        <v>2758.99768126024</v>
      </c>
      <c r="O28" s="690">
        <f t="shared" si="1"/>
        <v>2768.41657304881</v>
      </c>
      <c r="P28" s="690">
        <f t="shared" si="1"/>
        <v>3297.65000001069</v>
      </c>
      <c r="Q28" s="693">
        <f>SUM(E28:P28)</f>
        <v>29453.3038527711</v>
      </c>
      <c r="R28" s="686"/>
    </row>
    <row r="29" ht="15" spans="3:17">
      <c r="C29" s="44" t="s">
        <v>360</v>
      </c>
      <c r="D29" s="4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3:17">
      <c r="C30" s="682" t="s">
        <v>351</v>
      </c>
      <c r="D30" s="55" t="str">
        <f>'[43]F9-Year(n+1)'!D29</f>
        <v>PJHES (Inter State)</v>
      </c>
      <c r="E30" s="147">
        <f>SUM('[38]TGSPDCL MoD'!F81:F86)</f>
        <v>13.6558963760433</v>
      </c>
      <c r="F30" s="147">
        <f>SUM('[38]TGSPDCL MoD'!G81:G86)</f>
        <v>14.6332268089918</v>
      </c>
      <c r="G30" s="147">
        <f>SUM('[38]TGSPDCL MoD'!H81:H86)</f>
        <v>15.1607315774481</v>
      </c>
      <c r="H30" s="147">
        <f>SUM('[38]TGSPDCL MoD'!I81:I86)</f>
        <v>33.1447843607606</v>
      </c>
      <c r="I30" s="147">
        <f>SUM('[38]TGSPDCL MoD'!J81:J86)</f>
        <v>77.8179030631386</v>
      </c>
      <c r="J30" s="147">
        <f>SUM('[38]TGSPDCL MoD'!K81:K86)</f>
        <v>39.3032056594315</v>
      </c>
      <c r="K30" s="147">
        <f>SUM('[38]TGSPDCL MoD'!L81:L86)</f>
        <v>43.3220745295384</v>
      </c>
      <c r="L30" s="147">
        <f>SUM('[38]TGSPDCL MoD'!M81:M86)</f>
        <v>14.8585761099334</v>
      </c>
      <c r="M30" s="147">
        <f>SUM('[38]TGSPDCL MoD'!N81:N86)</f>
        <v>25.4899614628657</v>
      </c>
      <c r="N30" s="147">
        <f>SUM('[38]TGSPDCL MoD'!O81:O86)</f>
        <v>48.6383529298775</v>
      </c>
      <c r="O30" s="147">
        <f>SUM('[38]TGSPDCL MoD'!P81:P86)</f>
        <v>43.6826784614609</v>
      </c>
      <c r="P30" s="147">
        <f>SUM('[38]TGSPDCL MoD'!Q81:Q86)</f>
        <v>20.2907265078925</v>
      </c>
      <c r="Q30" s="690">
        <f t="shared" ref="Q30:Q40" si="2">SUM(E30:P30)</f>
        <v>389.998117847382</v>
      </c>
    </row>
    <row r="31" spans="3:17">
      <c r="C31" s="683"/>
      <c r="D31" s="55" t="str">
        <f>'[43]F9-Year(n+1)'!D30</f>
        <v>Nagarjuna sagar complex</v>
      </c>
      <c r="E31" s="147">
        <f>SUM('[38]TGSPDCL MoD'!F59:F66)</f>
        <v>47.5972183089783</v>
      </c>
      <c r="F31" s="147">
        <f>SUM('[38]TGSPDCL MoD'!G59:G66)</f>
        <v>51.0036742966399</v>
      </c>
      <c r="G31" s="147">
        <f>SUM('[38]TGSPDCL MoD'!H59:H66)</f>
        <v>52.8422763870372</v>
      </c>
      <c r="H31" s="147">
        <f>SUM('[38]TGSPDCL MoD'!I59:I66)</f>
        <v>115.525154378788</v>
      </c>
      <c r="I31" s="147">
        <f>SUM('[38]TGSPDCL MoD'!J59:J66)</f>
        <v>271.231973240581</v>
      </c>
      <c r="J31" s="147">
        <f>SUM('[38]TGSPDCL MoD'!K59:K66)</f>
        <v>136.990147589027</v>
      </c>
      <c r="K31" s="147">
        <f>SUM('[38]TGSPDCL MoD'!L59:L66)</f>
        <v>150.997794813212</v>
      </c>
      <c r="L31" s="147">
        <f>SUM('[38]TGSPDCL MoD'!M59:M66)</f>
        <v>51.7891225438534</v>
      </c>
      <c r="M31" s="147">
        <f>SUM('[38]TGSPDCL MoD'!N59:N66)</f>
        <v>88.8444981586038</v>
      </c>
      <c r="N31" s="147">
        <f>SUM('[38]TGSPDCL MoD'!O59:O66)</f>
        <v>169.527524143624</v>
      </c>
      <c r="O31" s="147">
        <f>SUM('[38]TGSPDCL MoD'!P59:P66)</f>
        <v>152.25466903063</v>
      </c>
      <c r="P31" s="147">
        <f>SUM('[38]TGSPDCL MoD'!Q59:Q66)</f>
        <v>70.722720255714</v>
      </c>
      <c r="Q31" s="690">
        <f t="shared" si="2"/>
        <v>1359.32677314669</v>
      </c>
    </row>
    <row r="32" spans="3:17">
      <c r="C32" s="683"/>
      <c r="D32" s="55" t="str">
        <f>'[43]F9-Year(n+1)'!D31</f>
        <v>SLBHES</v>
      </c>
      <c r="E32" s="147">
        <f>SUM('[38]TGSPDCL MoD'!F67:F72)</f>
        <v>52.5226783693973</v>
      </c>
      <c r="F32" s="147">
        <f>SUM('[38]TGSPDCL MoD'!G67:G72)</f>
        <v>56.2816415730455</v>
      </c>
      <c r="G32" s="147">
        <f>SUM('[38]TGSPDCL MoD'!H67:H72)</f>
        <v>58.3105060671082</v>
      </c>
      <c r="H32" s="147">
        <f>SUM('[38]TGSPDCL MoD'!I67:I72)</f>
        <v>127.479939849079</v>
      </c>
      <c r="I32" s="147">
        <f>SUM('[38]TGSPDCL MoD'!J67:J72)</f>
        <v>299.299627165918</v>
      </c>
      <c r="J32" s="147">
        <f>SUM('[38]TGSPDCL MoD'!K67:K72)</f>
        <v>151.166175613198</v>
      </c>
      <c r="K32" s="147">
        <f>SUM('[38]TGSPDCL MoD'!L67:L72)</f>
        <v>166.623363575148</v>
      </c>
      <c r="L32" s="147">
        <f>SUM('[38]TGSPDCL MoD'!M67:M72)</f>
        <v>57.14836965359</v>
      </c>
      <c r="M32" s="147">
        <f>SUM('[38]TGSPDCL MoD'!N67:N72)</f>
        <v>98.0383133187144</v>
      </c>
      <c r="N32" s="147">
        <f>SUM('[38]TGSPDCL MoD'!O67:O72)</f>
        <v>187.070588191837</v>
      </c>
      <c r="O32" s="147">
        <f>SUM('[38]TGSPDCL MoD'!P67:P72)</f>
        <v>168.010301774849</v>
      </c>
      <c r="P32" s="147">
        <f>SUM('[38]TGSPDCL MoD'!Q67:Q72)</f>
        <v>78.0412557995862</v>
      </c>
      <c r="Q32" s="690">
        <f t="shared" si="2"/>
        <v>1499.99276095147</v>
      </c>
    </row>
    <row r="33" spans="3:17">
      <c r="C33" s="683"/>
      <c r="D33" s="55" t="str">
        <f>'[43]F9-Year(n+1)'!D32</f>
        <v>LJHES</v>
      </c>
      <c r="E33" s="147">
        <f>SUM('[38]TGSPDCL MoD'!F87:F92)</f>
        <v>14.0060475651726</v>
      </c>
      <c r="F33" s="147">
        <f>SUM('[38]TGSPDCL MoD'!G87:G92)</f>
        <v>15.0084377528122</v>
      </c>
      <c r="G33" s="147">
        <f>SUM('[38]TGSPDCL MoD'!H87:H92)</f>
        <v>15.5494682845622</v>
      </c>
      <c r="H33" s="147">
        <f>SUM('[38]TGSPDCL MoD'!I87:I92)</f>
        <v>33.9946506264211</v>
      </c>
      <c r="I33" s="147">
        <f>SUM('[38]TGSPDCL MoD'!J87:J92)</f>
        <v>79.8132339109116</v>
      </c>
      <c r="J33" s="147">
        <f>SUM('[38]TGSPDCL MoD'!K87:K92)</f>
        <v>40.3109801635195</v>
      </c>
      <c r="K33" s="147">
        <f>SUM('[38]TGSPDCL MoD'!L87:L92)</f>
        <v>44.4328969533728</v>
      </c>
      <c r="L33" s="147">
        <f>SUM('[38]TGSPDCL MoD'!M87:M92)</f>
        <v>15.2395652409574</v>
      </c>
      <c r="M33" s="147">
        <f>SUM('[38]TGSPDCL MoD'!N87:N92)</f>
        <v>26.1435502183238</v>
      </c>
      <c r="N33" s="147">
        <f>SUM('[38]TGSPDCL MoD'!O87:O92)</f>
        <v>49.8854901844897</v>
      </c>
      <c r="O33" s="147">
        <f>SUM('[38]TGSPDCL MoD'!P87:P92)</f>
        <v>44.8027471399599</v>
      </c>
      <c r="P33" s="147">
        <f>SUM('[38]TGSPDCL MoD'!Q87:Q92)</f>
        <v>20.8110015465563</v>
      </c>
      <c r="Q33" s="690">
        <f t="shared" si="2"/>
        <v>399.998069587059</v>
      </c>
    </row>
    <row r="34" spans="3:17">
      <c r="C34" s="683"/>
      <c r="D34" s="55" t="str">
        <f>'[43]F9-Year(n+1)'!D33</f>
        <v>PCHES</v>
      </c>
      <c r="E34" s="147">
        <f>SUM('[38]TGSPDCL MoD'!F93:F96)</f>
        <v>7.00302378258632</v>
      </c>
      <c r="F34" s="147">
        <f>SUM('[38]TGSPDCL MoD'!G93:G96)</f>
        <v>7.50421887640608</v>
      </c>
      <c r="G34" s="147">
        <f>SUM('[38]TGSPDCL MoD'!H93:H96)</f>
        <v>7.77473414228108</v>
      </c>
      <c r="H34" s="147">
        <f>SUM('[38]TGSPDCL MoD'!I93:I96)</f>
        <v>16.9973253132106</v>
      </c>
      <c r="I34" s="147">
        <f>SUM('[38]TGSPDCL MoD'!J93:J96)</f>
        <v>39.9066169554558</v>
      </c>
      <c r="J34" s="147">
        <f>SUM('[38]TGSPDCL MoD'!K93:K96)</f>
        <v>20.1554900817597</v>
      </c>
      <c r="K34" s="147">
        <f>SUM('[38]TGSPDCL MoD'!L93:L96)</f>
        <v>22.2164484766864</v>
      </c>
      <c r="L34" s="147">
        <f>SUM('[38]TGSPDCL MoD'!M93:M96)</f>
        <v>7.61978262047868</v>
      </c>
      <c r="M34" s="147">
        <f>SUM('[38]TGSPDCL MoD'!N93:N96)</f>
        <v>13.0717751091619</v>
      </c>
      <c r="N34" s="147">
        <f>SUM('[38]TGSPDCL MoD'!O93:O96)</f>
        <v>24.9427450922448</v>
      </c>
      <c r="O34" s="147">
        <f>SUM('[38]TGSPDCL MoD'!P93:P96)</f>
        <v>22.4013735699799</v>
      </c>
      <c r="P34" s="147">
        <f>SUM('[38]TGSPDCL MoD'!Q93:Q96)</f>
        <v>10.4055007732782</v>
      </c>
      <c r="Q34" s="690">
        <f t="shared" si="2"/>
        <v>199.999034793529</v>
      </c>
    </row>
    <row r="35" spans="3:17">
      <c r="C35" s="683"/>
      <c r="D35" s="55" t="str">
        <f>'[43]F9-Year(n+1)'!D34</f>
        <v>Pochampad-II</v>
      </c>
      <c r="E35" s="147">
        <f>SUM('[38]TGSPDCL MoD'!F77:F78)</f>
        <v>1.05045356738795</v>
      </c>
      <c r="F35" s="147">
        <f>SUM('[38]TGSPDCL MoD'!G77:G78)</f>
        <v>1.12563283146091</v>
      </c>
      <c r="G35" s="147">
        <f>SUM('[38]TGSPDCL MoD'!H77:H78)</f>
        <v>1.16621012134216</v>
      </c>
      <c r="H35" s="147">
        <f>SUM('[38]TGSPDCL MoD'!I77:I78)</f>
        <v>2.54959879698158</v>
      </c>
      <c r="I35" s="147">
        <f>SUM('[38]TGSPDCL MoD'!J77:J78)</f>
        <v>5.98599254331836</v>
      </c>
      <c r="J35" s="147">
        <f>SUM('[38]TGSPDCL MoD'!K77:K78)</f>
        <v>3.02332351226396</v>
      </c>
      <c r="K35" s="147">
        <f>SUM('[38]TGSPDCL MoD'!L77:L78)</f>
        <v>3.33246727150296</v>
      </c>
      <c r="L35" s="147">
        <f>SUM('[38]TGSPDCL MoD'!M77:M78)</f>
        <v>1.1429673930718</v>
      </c>
      <c r="M35" s="147">
        <f>SUM('[38]TGSPDCL MoD'!N77:N78)</f>
        <v>1.96076626637429</v>
      </c>
      <c r="N35" s="147">
        <f>SUM('[38]TGSPDCL MoD'!O77:O78)</f>
        <v>3.74141176383672</v>
      </c>
      <c r="O35" s="147">
        <f>SUM('[38]TGSPDCL MoD'!P77:P78)</f>
        <v>3.360206035497</v>
      </c>
      <c r="P35" s="147">
        <f>SUM('[38]TGSPDCL MoD'!Q77:Q78)</f>
        <v>1.56082511599173</v>
      </c>
      <c r="Q35" s="690">
        <f t="shared" si="2"/>
        <v>29.9998552190294</v>
      </c>
    </row>
    <row r="36" spans="3:17">
      <c r="C36" s="683"/>
      <c r="D36" s="55" t="str">
        <f>'[43]F9-Year(n+1)'!D35</f>
        <v>NSPH</v>
      </c>
      <c r="E36" s="147">
        <f>SUM('[38]TGSPDCL MoD'!F73:F74)</f>
        <v>3.50151189129316</v>
      </c>
      <c r="F36" s="147">
        <f>SUM('[38]TGSPDCL MoD'!G73:G74)</f>
        <v>3.75210943820304</v>
      </c>
      <c r="G36" s="147">
        <f>SUM('[38]TGSPDCL MoD'!H73:H74)</f>
        <v>3.88736707114054</v>
      </c>
      <c r="H36" s="147">
        <f>SUM('[38]TGSPDCL MoD'!I73:I74)</f>
        <v>8.49866265660528</v>
      </c>
      <c r="I36" s="147">
        <f>SUM('[38]TGSPDCL MoD'!J73:J74)</f>
        <v>19.9533084777279</v>
      </c>
      <c r="J36" s="147">
        <f>SUM('[38]TGSPDCL MoD'!K73:K74)</f>
        <v>10.0777450408799</v>
      </c>
      <c r="K36" s="147">
        <f>SUM('[38]TGSPDCL MoD'!L73:L74)</f>
        <v>11.1082242383432</v>
      </c>
      <c r="L36" s="147">
        <f>SUM('[38]TGSPDCL MoD'!M73:M74)</f>
        <v>3.80989131023934</v>
      </c>
      <c r="M36" s="147">
        <f>SUM('[38]TGSPDCL MoD'!N73:N74)</f>
        <v>6.53588755458096</v>
      </c>
      <c r="N36" s="147">
        <f>SUM('[38]TGSPDCL MoD'!O73:O74)</f>
        <v>12.4713725461224</v>
      </c>
      <c r="O36" s="147">
        <f>SUM('[38]TGSPDCL MoD'!P73:P74)</f>
        <v>11.20068678499</v>
      </c>
      <c r="P36" s="147">
        <f>SUM('[38]TGSPDCL MoD'!Q73:Q74)</f>
        <v>5.20275038663908</v>
      </c>
      <c r="Q36" s="690">
        <f t="shared" si="2"/>
        <v>99.9995173967647</v>
      </c>
    </row>
    <row r="37" spans="3:17">
      <c r="C37" s="683"/>
      <c r="D37" s="55" t="str">
        <f>'[43]F9-Year(n+1)'!D36</f>
        <v>SINGUR</v>
      </c>
      <c r="E37" s="147">
        <f>SUM('[38]TGSPDCL MoD'!F79+'[38]TGSPDCL MoD'!F80)</f>
        <v>0.875377972823288</v>
      </c>
      <c r="F37" s="147">
        <f>SUM('[38]TGSPDCL MoD'!G79+'[38]TGSPDCL MoD'!G80)</f>
        <v>0.93802735955076</v>
      </c>
      <c r="G37" s="147">
        <f>SUM('[38]TGSPDCL MoD'!H79+'[38]TGSPDCL MoD'!H80)</f>
        <v>0.971841767785136</v>
      </c>
      <c r="H37" s="147">
        <f>SUM('[38]TGSPDCL MoD'!I79+'[38]TGSPDCL MoD'!I80)</f>
        <v>2.12466566415132</v>
      </c>
      <c r="I37" s="147">
        <f>SUM('[38]TGSPDCL MoD'!J79+'[38]TGSPDCL MoD'!J80)</f>
        <v>4.98832711943196</v>
      </c>
      <c r="J37" s="147">
        <f>SUM('[38]TGSPDCL MoD'!K79+'[38]TGSPDCL MoD'!K80)</f>
        <v>2.51943626021996</v>
      </c>
      <c r="K37" s="147">
        <f>SUM('[38]TGSPDCL MoD'!L79+'[38]TGSPDCL MoD'!L80)</f>
        <v>2.7770560595858</v>
      </c>
      <c r="L37" s="147">
        <f>SUM('[38]TGSPDCL MoD'!M79+'[38]TGSPDCL MoD'!M80)</f>
        <v>0.952472827559834</v>
      </c>
      <c r="M37" s="147">
        <f>SUM('[38]TGSPDCL MoD'!N79+'[38]TGSPDCL MoD'!N80)</f>
        <v>1.63397188864524</v>
      </c>
      <c r="N37" s="147">
        <f>SUM('[38]TGSPDCL MoD'!O79+'[38]TGSPDCL MoD'!O80)</f>
        <v>3.1178431365306</v>
      </c>
      <c r="O37" s="147">
        <f>SUM('[38]TGSPDCL MoD'!P79+'[38]TGSPDCL MoD'!P80)</f>
        <v>2.8001716962475</v>
      </c>
      <c r="P37" s="147">
        <f>SUM('[38]TGSPDCL MoD'!Q79+'[38]TGSPDCL MoD'!Q80)</f>
        <v>1.30068759665977</v>
      </c>
      <c r="Q37" s="690">
        <f t="shared" si="2"/>
        <v>24.9998793491912</v>
      </c>
    </row>
    <row r="38" spans="3:17">
      <c r="C38" s="683"/>
      <c r="D38" s="55" t="str">
        <f>'[43]F9-Year(n+1)'!D37</f>
        <v>SSLM LCPH</v>
      </c>
      <c r="E38" s="147">
        <v>0</v>
      </c>
      <c r="F38" s="147">
        <v>0</v>
      </c>
      <c r="G38" s="147">
        <v>0</v>
      </c>
      <c r="H38" s="147">
        <v>0</v>
      </c>
      <c r="I38" s="147">
        <v>0</v>
      </c>
      <c r="J38" s="147">
        <v>0</v>
      </c>
      <c r="K38" s="147">
        <v>0</v>
      </c>
      <c r="L38" s="147">
        <v>0</v>
      </c>
      <c r="M38" s="147">
        <v>0</v>
      </c>
      <c r="N38" s="147">
        <v>0</v>
      </c>
      <c r="O38" s="147">
        <v>0</v>
      </c>
      <c r="P38" s="147">
        <v>0</v>
      </c>
      <c r="Q38" s="690">
        <f t="shared" si="2"/>
        <v>0</v>
      </c>
    </row>
    <row r="39" spans="3:17">
      <c r="C39" s="683"/>
      <c r="D39" s="55" t="str">
        <f>'[43]F9-Year(n+1)'!D38</f>
        <v>POCHAMPAD PH</v>
      </c>
      <c r="E39" s="147">
        <f>SUM('[38]TGSPDCL MoD'!F75:F76)</f>
        <v>1.05045356738795</v>
      </c>
      <c r="F39" s="147">
        <f>SUM('[38]TGSPDCL MoD'!G75:G76)</f>
        <v>1.12563283146091</v>
      </c>
      <c r="G39" s="147">
        <f>SUM('[38]TGSPDCL MoD'!H75:H76)</f>
        <v>1.16621012134216</v>
      </c>
      <c r="H39" s="147">
        <f>SUM('[38]TGSPDCL MoD'!I75:I76)</f>
        <v>2.54959879698158</v>
      </c>
      <c r="I39" s="147">
        <f>SUM('[38]TGSPDCL MoD'!J75:J76)</f>
        <v>5.98599254331836</v>
      </c>
      <c r="J39" s="147">
        <f>SUM('[38]TGSPDCL MoD'!K75:K76)</f>
        <v>3.02332351226396</v>
      </c>
      <c r="K39" s="147">
        <f>SUM('[38]TGSPDCL MoD'!L75:L76)</f>
        <v>3.33246727150296</v>
      </c>
      <c r="L39" s="147">
        <f>SUM('[38]TGSPDCL MoD'!M75:M76)</f>
        <v>1.1429673930718</v>
      </c>
      <c r="M39" s="147">
        <f>SUM('[38]TGSPDCL MoD'!N75:N76)</f>
        <v>1.96076626637429</v>
      </c>
      <c r="N39" s="147">
        <f>SUM('[38]TGSPDCL MoD'!O75:O76)</f>
        <v>3.74141176383672</v>
      </c>
      <c r="O39" s="147">
        <f>SUM('[38]TGSPDCL MoD'!P75:P76)</f>
        <v>3.360206035497</v>
      </c>
      <c r="P39" s="147">
        <f>SUM('[38]TGSPDCL MoD'!Q75:Q76)</f>
        <v>1.56082511599173</v>
      </c>
      <c r="Q39" s="690">
        <f t="shared" si="2"/>
        <v>29.9998552190294</v>
      </c>
    </row>
    <row r="40" spans="3:17">
      <c r="C40" s="683"/>
      <c r="D40" s="55" t="str">
        <f>'[43]F9-Year(n+1)'!D39</f>
        <v>NIZAMSAGAR PH</v>
      </c>
      <c r="E40" s="147">
        <f>SUM('[38]TGSPDCL MoD'!F57:F58)</f>
        <v>0.583585315215526</v>
      </c>
      <c r="F40" s="147">
        <f>SUM('[38]TGSPDCL MoD'!G57:G58)</f>
        <v>0.62535157303384</v>
      </c>
      <c r="G40" s="147">
        <f>SUM('[38]TGSPDCL MoD'!H57:H58)</f>
        <v>0.647894511856758</v>
      </c>
      <c r="H40" s="147">
        <f>SUM('[38]TGSPDCL MoD'!I57:I58)</f>
        <v>1.41644377610088</v>
      </c>
      <c r="I40" s="147">
        <f>SUM('[38]TGSPDCL MoD'!J57:J58)</f>
        <v>3.32555141295464</v>
      </c>
      <c r="J40" s="147">
        <f>SUM('[38]TGSPDCL MoD'!K57:K58)</f>
        <v>1.67962417347998</v>
      </c>
      <c r="K40" s="147">
        <f>SUM('[38]TGSPDCL MoD'!L57:L58)</f>
        <v>1.85137070639053</v>
      </c>
      <c r="L40" s="147">
        <f>SUM('[38]TGSPDCL MoD'!M57:M58)</f>
        <v>0.634981885039888</v>
      </c>
      <c r="M40" s="147">
        <f>SUM('[38]TGSPDCL MoD'!N57:N58)</f>
        <v>1.08931459243016</v>
      </c>
      <c r="N40" s="147">
        <f>SUM('[38]TGSPDCL MoD'!O57:O58)</f>
        <v>2.0785620910204</v>
      </c>
      <c r="O40" s="147">
        <f>SUM('[38]TGSPDCL MoD'!P57:P58)</f>
        <v>1.86678113083166</v>
      </c>
      <c r="P40" s="147">
        <f>SUM('[38]TGSPDCL MoD'!Q57:Q58)</f>
        <v>0.867125064439848</v>
      </c>
      <c r="Q40" s="690">
        <f t="shared" si="2"/>
        <v>16.6665862327941</v>
      </c>
    </row>
    <row r="41" spans="3:17">
      <c r="C41" s="683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3:17">
      <c r="C42" s="683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</row>
    <row r="43" spans="3:17">
      <c r="C43" s="683"/>
      <c r="D43" s="55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55"/>
    </row>
    <row r="44" spans="3:17">
      <c r="C44" s="683"/>
      <c r="D44" s="55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55"/>
    </row>
    <row r="45" spans="3:17">
      <c r="C45" s="683"/>
      <c r="D45" s="55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55"/>
    </row>
    <row r="46" spans="3:17">
      <c r="C46" s="683"/>
      <c r="D46" s="55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55"/>
    </row>
    <row r="47" spans="3:17">
      <c r="C47" s="684"/>
      <c r="D47" s="6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55"/>
    </row>
    <row r="48" ht="15" spans="3:18">
      <c r="C48" s="537" t="s">
        <v>211</v>
      </c>
      <c r="D48" s="540"/>
      <c r="E48" s="690">
        <f t="shared" ref="E48:P48" si="3">SUM(E30:E47)</f>
        <v>141.846246716286</v>
      </c>
      <c r="F48" s="690">
        <f t="shared" si="3"/>
        <v>151.997953341605</v>
      </c>
      <c r="G48" s="690">
        <f t="shared" si="3"/>
        <v>157.477240051903</v>
      </c>
      <c r="H48" s="690">
        <f t="shared" si="3"/>
        <v>344.28082421908</v>
      </c>
      <c r="I48" s="690">
        <f t="shared" si="3"/>
        <v>808.308526432756</v>
      </c>
      <c r="J48" s="690">
        <f t="shared" si="3"/>
        <v>408.249451606043</v>
      </c>
      <c r="K48" s="690">
        <f t="shared" si="3"/>
        <v>449.994163895283</v>
      </c>
      <c r="L48" s="690">
        <f t="shared" si="3"/>
        <v>154.338696977795</v>
      </c>
      <c r="M48" s="690">
        <f t="shared" si="3"/>
        <v>264.768804836075</v>
      </c>
      <c r="N48" s="690">
        <f t="shared" si="3"/>
        <v>505.21530184342</v>
      </c>
      <c r="O48" s="690">
        <f t="shared" si="3"/>
        <v>453.739821659943</v>
      </c>
      <c r="P48" s="690">
        <f t="shared" si="3"/>
        <v>210.763418162749</v>
      </c>
      <c r="Q48" s="693">
        <f>SUM(E48:P48)</f>
        <v>4050.98044974294</v>
      </c>
      <c r="R48" s="686"/>
    </row>
    <row r="49" ht="15" spans="3:18">
      <c r="C49" s="44" t="s">
        <v>369</v>
      </c>
      <c r="D49" s="45"/>
      <c r="E49" s="690">
        <f t="shared" ref="E49:Q49" si="4">E28+E48</f>
        <v>3042.58136103751</v>
      </c>
      <c r="F49" s="690">
        <f t="shared" si="4"/>
        <v>1886.04004557805</v>
      </c>
      <c r="G49" s="690">
        <f t="shared" si="4"/>
        <v>2177.76902966364</v>
      </c>
      <c r="H49" s="690">
        <f t="shared" si="4"/>
        <v>2500.32111917619</v>
      </c>
      <c r="I49" s="690">
        <f t="shared" si="4"/>
        <v>3116.42610908278</v>
      </c>
      <c r="J49" s="690">
        <f t="shared" si="4"/>
        <v>2992.06318071025</v>
      </c>
      <c r="K49" s="690">
        <f t="shared" si="4"/>
        <v>2669.03959240619</v>
      </c>
      <c r="L49" s="690">
        <f t="shared" si="4"/>
        <v>2330.64534031583</v>
      </c>
      <c r="M49" s="690">
        <f t="shared" si="4"/>
        <v>2794.61572855777</v>
      </c>
      <c r="N49" s="690">
        <f t="shared" si="4"/>
        <v>3264.21298310366</v>
      </c>
      <c r="O49" s="690">
        <f t="shared" si="4"/>
        <v>3222.15639470876</v>
      </c>
      <c r="P49" s="690">
        <f t="shared" si="4"/>
        <v>3508.41341817344</v>
      </c>
      <c r="Q49" s="693">
        <f t="shared" si="4"/>
        <v>33504.284302514</v>
      </c>
      <c r="R49" s="686"/>
    </row>
    <row r="50" ht="15" spans="3:17">
      <c r="C50" s="663" t="s">
        <v>370</v>
      </c>
      <c r="D50" s="676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</row>
    <row r="51" ht="15" spans="3:17">
      <c r="C51" s="44" t="s">
        <v>350</v>
      </c>
      <c r="D51" s="4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spans="3:17">
      <c r="C52" s="682" t="s">
        <v>371</v>
      </c>
      <c r="D52" s="757" t="s">
        <v>372</v>
      </c>
      <c r="E52" s="147">
        <f>SUM('[38]TGSPDCL MoD'!F25:F30)</f>
        <v>92.5835105695803</v>
      </c>
      <c r="F52" s="147">
        <f>SUM('[38]TGSPDCL MoD'!G25:G30)</f>
        <v>124.746590144247</v>
      </c>
      <c r="G52" s="147">
        <f>SUM('[38]TGSPDCL MoD'!H25:H30)</f>
        <v>122.525476781051</v>
      </c>
      <c r="H52" s="147">
        <f>SUM('[38]TGSPDCL MoD'!I25:I30)</f>
        <v>90.5330032885089</v>
      </c>
      <c r="I52" s="147">
        <f>SUM('[38]TGSPDCL MoD'!J25:J30)</f>
        <v>84.7543009509445</v>
      </c>
      <c r="J52" s="147">
        <f>SUM('[38]TGSPDCL MoD'!K25:K30)</f>
        <v>85.202706865738</v>
      </c>
      <c r="K52" s="147">
        <f>SUM('[38]TGSPDCL MoD'!L25:L30)</f>
        <v>84.7543009509445</v>
      </c>
      <c r="L52" s="147">
        <f>SUM('[38]TGSPDCL MoD'!M25:M30)</f>
        <v>96.4837107508036</v>
      </c>
      <c r="M52" s="147">
        <f>SUM('[38]TGSPDCL MoD'!N25:N30)</f>
        <v>69.2660980600393</v>
      </c>
      <c r="N52" s="147">
        <f>SUM('[38]TGSPDCL MoD'!O25:O30)</f>
        <v>71.8210147668718</v>
      </c>
      <c r="O52" s="147">
        <f>SUM('[38]TGSPDCL MoD'!P25:P30)</f>
        <v>97.7615592591541</v>
      </c>
      <c r="P52" s="147">
        <f>SUM('[38]TGSPDCL MoD'!Q25:Q30)</f>
        <v>117.225104562021</v>
      </c>
      <c r="Q52" s="690">
        <f t="shared" ref="Q52:Q68" si="5">SUM(E52:P52)</f>
        <v>1137.6573769499</v>
      </c>
    </row>
    <row r="53" spans="3:17">
      <c r="C53" s="683"/>
      <c r="D53" s="757" t="s">
        <v>373</v>
      </c>
      <c r="E53" s="147">
        <f>'[38]TGSPDCL MoD'!F31</f>
        <v>25.9049121410409</v>
      </c>
      <c r="F53" s="147">
        <f>'[38]TGSPDCL MoD'!G31</f>
        <v>32.5044969007821</v>
      </c>
      <c r="G53" s="147">
        <f>'[38]TGSPDCL MoD'!H31</f>
        <v>31.4559647426924</v>
      </c>
      <c r="H53" s="147">
        <f>'[38]TGSPDCL MoD'!I31</f>
        <v>0</v>
      </c>
      <c r="I53" s="147">
        <f>'[38]TGSPDCL MoD'!J31</f>
        <v>10.5161607620177</v>
      </c>
      <c r="J53" s="147">
        <f>'[38]TGSPDCL MoD'!K31</f>
        <v>21.0477411145956</v>
      </c>
      <c r="K53" s="147">
        <f>'[38]TGSPDCL MoD'!L31</f>
        <v>21.0323215240355</v>
      </c>
      <c r="L53" s="147">
        <f>'[38]TGSPDCL MoD'!M31</f>
        <v>24.5171489906279</v>
      </c>
      <c r="M53" s="147">
        <f>'[38]TGSPDCL MoD'!N31</f>
        <v>22.4663434461288</v>
      </c>
      <c r="N53" s="147">
        <f>'[38]TGSPDCL MoD'!O31</f>
        <v>23.1833544071755</v>
      </c>
      <c r="O53" s="147">
        <f>'[38]TGSPDCL MoD'!P31</f>
        <v>25.4731636053569</v>
      </c>
      <c r="P53" s="147">
        <f>'[38]TGSPDCL MoD'!Q31</f>
        <v>29.6364530565956</v>
      </c>
      <c r="Q53" s="690">
        <f t="shared" si="5"/>
        <v>267.738060691049</v>
      </c>
    </row>
    <row r="54" spans="3:17">
      <c r="C54" s="683"/>
      <c r="D54" s="757" t="s">
        <v>374</v>
      </c>
      <c r="E54" s="147">
        <f>SUM('[38]TGSPDCL MoD'!F42:F45)</f>
        <v>90.2766202370054</v>
      </c>
      <c r="F54" s="147">
        <f>SUM('[38]TGSPDCL MoD'!G42:G45)</f>
        <v>85.2141407325612</v>
      </c>
      <c r="G54" s="147">
        <f>SUM('[38]TGSPDCL MoD'!H42:H45)</f>
        <v>84.1714760517404</v>
      </c>
      <c r="H54" s="147">
        <f>SUM('[38]TGSPDCL MoD'!I42:I45)</f>
        <v>94.0293966704124</v>
      </c>
      <c r="I54" s="147">
        <f>SUM('[38]TGSPDCL MoD'!J42:J45)</f>
        <v>76.3143363598584</v>
      </c>
      <c r="J54" s="147">
        <f>SUM('[38]TGSPDCL MoD'!K42:K45)</f>
        <v>90.9961903262056</v>
      </c>
      <c r="K54" s="147">
        <f>SUM('[38]TGSPDCL MoD'!L42:L45)</f>
        <v>79.9332105853887</v>
      </c>
      <c r="L54" s="147">
        <f>SUM('[38]TGSPDCL MoD'!M42:M45)</f>
        <v>63.1286070388053</v>
      </c>
      <c r="M54" s="147">
        <f>SUM('[38]TGSPDCL MoD'!N42:N45)</f>
        <v>55.4626519423137</v>
      </c>
      <c r="N54" s="147">
        <f>SUM('[38]TGSPDCL MoD'!O42:O45)</f>
        <v>77.6477127192392</v>
      </c>
      <c r="O54" s="147">
        <f>SUM('[38]TGSPDCL MoD'!P42:P45)</f>
        <v>84.929777637792</v>
      </c>
      <c r="P54" s="147">
        <f>SUM('[38]TGSPDCL MoD'!Q42:Q45)</f>
        <v>94.0293966704124</v>
      </c>
      <c r="Q54" s="690">
        <f t="shared" si="5"/>
        <v>976.133516971735</v>
      </c>
    </row>
    <row r="55" spans="3:17">
      <c r="C55" s="683"/>
      <c r="D55" s="757" t="s">
        <v>375</v>
      </c>
      <c r="E55" s="147">
        <f>'[38]TGSPDCL MoD'!F40</f>
        <v>127.371313061458</v>
      </c>
      <c r="F55" s="147">
        <f>'[38]TGSPDCL MoD'!G40</f>
        <v>189.620239460751</v>
      </c>
      <c r="G55" s="147">
        <f>'[38]TGSPDCL MoD'!H40</f>
        <v>167.83404442512</v>
      </c>
      <c r="H55" s="147">
        <f>'[38]TGSPDCL MoD'!I40</f>
        <v>123.963221145859</v>
      </c>
      <c r="I55" s="147">
        <f>'[38]TGSPDCL MoD'!J40</f>
        <v>116.692248216851</v>
      </c>
      <c r="J55" s="147">
        <f>'[38]TGSPDCL MoD'!K40</f>
        <v>112.92798214534</v>
      </c>
      <c r="K55" s="147">
        <f>'[38]TGSPDCL MoD'!L40</f>
        <v>116.692248216851</v>
      </c>
      <c r="L55" s="147">
        <f>'[38]TGSPDCL MoD'!M40</f>
        <v>0</v>
      </c>
      <c r="M55" s="147">
        <f>'[38]TGSPDCL MoD'!N40</f>
        <v>63.2083011174609</v>
      </c>
      <c r="N55" s="147">
        <f>'[38]TGSPDCL MoD'!O40</f>
        <v>123.996026324731</v>
      </c>
      <c r="O55" s="147">
        <f>'[38]TGSPDCL MoD'!P40</f>
        <v>149.315887503282</v>
      </c>
      <c r="P55" s="147">
        <f>'[38]TGSPDCL MoD'!Q40</f>
        <v>170.176195316241</v>
      </c>
      <c r="Q55" s="690">
        <f t="shared" si="5"/>
        <v>1461.79770693394</v>
      </c>
    </row>
    <row r="56" spans="3:17">
      <c r="C56" s="683"/>
      <c r="D56" s="757" t="s">
        <v>376</v>
      </c>
      <c r="E56" s="147">
        <f>'[38]TGSPDCL MoD'!F41</f>
        <v>69.4545158945164</v>
      </c>
      <c r="F56" s="147">
        <f>'[38]TGSPDCL MoD'!G41</f>
        <v>92.2410828096404</v>
      </c>
      <c r="G56" s="147">
        <f>'[38]TGSPDCL MoD'!H41</f>
        <v>0</v>
      </c>
      <c r="H56" s="147">
        <f>'[38]TGSPDCL MoD'!I41</f>
        <v>30.0969568876238</v>
      </c>
      <c r="I56" s="147">
        <f>'[38]TGSPDCL MoD'!J41</f>
        <v>55.5636127156132</v>
      </c>
      <c r="J56" s="147">
        <f>'[38]TGSPDCL MoD'!K41</f>
        <v>54.2419453835729</v>
      </c>
      <c r="K56" s="147">
        <f>'[38]TGSPDCL MoD'!L41</f>
        <v>55.5636127156132</v>
      </c>
      <c r="L56" s="147">
        <f>'[38]TGSPDCL MoD'!M41</f>
        <v>62.3972048339784</v>
      </c>
      <c r="M56" s="147">
        <f>'[38]TGSPDCL MoD'!N41</f>
        <v>60.1939137752476</v>
      </c>
      <c r="N56" s="147">
        <f>'[38]TGSPDCL MoD'!O41</f>
        <v>60.1939137752476</v>
      </c>
      <c r="O56" s="147">
        <f>'[38]TGSPDCL MoD'!P41</f>
        <v>71.0975259479351</v>
      </c>
      <c r="P56" s="147">
        <f>'[38]TGSPDCL MoD'!Q41</f>
        <v>81.0302685436025</v>
      </c>
      <c r="Q56" s="690">
        <f t="shared" si="5"/>
        <v>692.074553282591</v>
      </c>
    </row>
    <row r="57" spans="3:17">
      <c r="C57" s="683"/>
      <c r="D57" s="757" t="s">
        <v>377</v>
      </c>
      <c r="E57" s="147">
        <f>SUM('[38]TGSPDCL MoD'!F49:F51)</f>
        <v>61.1684505255606</v>
      </c>
      <c r="F57" s="147">
        <f>SUM('[38]TGSPDCL MoD'!G49:G51)</f>
        <v>96.0752462921472</v>
      </c>
      <c r="G57" s="147">
        <f>SUM('[38]TGSPDCL MoD'!H49:H51)</f>
        <v>51.683434475586</v>
      </c>
      <c r="H57" s="147">
        <f>SUM('[38]TGSPDCL MoD'!I49:I51)</f>
        <v>52.6728323970105</v>
      </c>
      <c r="I57" s="147">
        <f>SUM('[38]TGSPDCL MoD'!J49:J51)</f>
        <v>60.679102921356</v>
      </c>
      <c r="J57" s="147">
        <f>SUM('[38]TGSPDCL MoD'!K49:K51)</f>
        <v>58.7217125045382</v>
      </c>
      <c r="K57" s="147">
        <f>SUM('[38]TGSPDCL MoD'!L49:L51)</f>
        <v>60.679102921356</v>
      </c>
      <c r="L57" s="147">
        <f>SUM('[38]TGSPDCL MoD'!M49:M51)</f>
        <v>42.410125697722</v>
      </c>
      <c r="M57" s="147">
        <f>SUM('[38]TGSPDCL MoD'!N49:N51)</f>
        <v>52.7465348725274</v>
      </c>
      <c r="N57" s="147">
        <f>SUM('[38]TGSPDCL MoD'!O49:O51)</f>
        <v>62.7416854433681</v>
      </c>
      <c r="O57" s="147">
        <f>SUM('[38]TGSPDCL MoD'!P49:P51)</f>
        <v>73.0759088945364</v>
      </c>
      <c r="P57" s="147">
        <f>SUM('[38]TGSPDCL MoD'!Q49:Q51)</f>
        <v>88.490358426978</v>
      </c>
      <c r="Q57" s="690">
        <f t="shared" si="5"/>
        <v>761.144495372686</v>
      </c>
    </row>
    <row r="58" spans="3:17">
      <c r="C58" s="683"/>
      <c r="D58" s="757" t="s">
        <v>378</v>
      </c>
      <c r="E58" s="147">
        <f>'[38]TGSPDCL MoD'!F53</f>
        <v>9.99883175245194</v>
      </c>
      <c r="F58" s="147">
        <f>'[38]TGSPDCL MoD'!G53</f>
        <v>15.7048317391845</v>
      </c>
      <c r="G58" s="147">
        <f>'[38]TGSPDCL MoD'!H53</f>
        <v>13.5984111833346</v>
      </c>
      <c r="H58" s="147">
        <f>'[38]TGSPDCL MoD'!I53</f>
        <v>10.3321261442003</v>
      </c>
      <c r="I58" s="147">
        <f>'[38]TGSPDCL MoD'!J53</f>
        <v>9.91884109843232</v>
      </c>
      <c r="J58" s="147">
        <f>'[38]TGSPDCL MoD'!K53</f>
        <v>9.59887848235386</v>
      </c>
      <c r="K58" s="147">
        <f>'[38]TGSPDCL MoD'!L53</f>
        <v>9.91884109843232</v>
      </c>
      <c r="L58" s="147">
        <f>'[38]TGSPDCL MoD'!M53</f>
        <v>10.39878502255</v>
      </c>
      <c r="M58" s="147">
        <f>'[38]TGSPDCL MoD'!N53</f>
        <v>10.7454111899683</v>
      </c>
      <c r="N58" s="147">
        <f>'[38]TGSPDCL MoD'!O53</f>
        <v>10.3321261442003</v>
      </c>
      <c r="O58" s="147">
        <f>'[38]TGSPDCL MoD'!P53</f>
        <v>11.9452710002626</v>
      </c>
      <c r="P58" s="147">
        <f>'[38]TGSPDCL MoD'!Q53</f>
        <v>14.4649766018804</v>
      </c>
      <c r="Q58" s="690">
        <f t="shared" si="5"/>
        <v>136.957331457251</v>
      </c>
    </row>
    <row r="59" spans="3:17">
      <c r="C59" s="683"/>
      <c r="D59" s="757" t="s">
        <v>379</v>
      </c>
      <c r="E59" s="147">
        <f>'[38]TGSPDCL MoD'!F54</f>
        <v>43.6721048041885</v>
      </c>
      <c r="F59" s="147">
        <f>'[38]TGSPDCL MoD'!G54</f>
        <v>68.594319279112</v>
      </c>
      <c r="G59" s="147">
        <f>'[38]TGSPDCL MoD'!H54</f>
        <v>53.774740838126</v>
      </c>
      <c r="H59" s="147">
        <f>'[38]TGSPDCL MoD'!I54</f>
        <v>43.8177703489354</v>
      </c>
      <c r="I59" s="147">
        <f>'[38]TGSPDCL MoD'!J54</f>
        <v>43.322727965755</v>
      </c>
      <c r="J59" s="147">
        <f>'[38]TGSPDCL MoD'!K54</f>
        <v>41.9252206120209</v>
      </c>
      <c r="K59" s="147">
        <f>'[38]TGSPDCL MoD'!L54</f>
        <v>43.322727965755</v>
      </c>
      <c r="L59" s="147">
        <f>'[38]TGSPDCL MoD'!M54</f>
        <v>45.418988996356</v>
      </c>
      <c r="M59" s="147">
        <f>'[38]TGSPDCL MoD'!N54</f>
        <v>45.1278416309947</v>
      </c>
      <c r="N59" s="147">
        <f>'[38]TGSPDCL MoD'!O54</f>
        <v>43.322727965755</v>
      </c>
      <c r="O59" s="147">
        <f>'[38]TGSPDCL MoD'!P54</f>
        <v>52.1736078727372</v>
      </c>
      <c r="P59" s="147">
        <f>'[38]TGSPDCL MoD'!Q54</f>
        <v>63.1789782833926</v>
      </c>
      <c r="Q59" s="690">
        <f t="shared" si="5"/>
        <v>587.651756563128</v>
      </c>
    </row>
    <row r="60" spans="3:17">
      <c r="C60" s="684"/>
      <c r="D60" s="757" t="s">
        <v>380</v>
      </c>
      <c r="E60" s="147">
        <f>'[38]TGSPDCL MoD'!F55</f>
        <v>226.469076396276</v>
      </c>
      <c r="F60" s="147">
        <f>'[38]TGSPDCL MoD'!G55</f>
        <v>255.989662296479</v>
      </c>
      <c r="G60" s="147">
        <f>'[38]TGSPDCL MoD'!H55</f>
        <v>247.731931254657</v>
      </c>
      <c r="H60" s="147">
        <f>'[38]TGSPDCL MoD'!I55</f>
        <v>214.094968830875</v>
      </c>
      <c r="I60" s="147">
        <f>'[38]TGSPDCL MoD'!J55</f>
        <v>173.163008923397</v>
      </c>
      <c r="J60" s="147">
        <f>'[38]TGSPDCL MoD'!K55</f>
        <v>190.555694262027</v>
      </c>
      <c r="K60" s="147">
        <f>'[38]TGSPDCL MoD'!L55</f>
        <v>168.924390797233</v>
      </c>
      <c r="L60" s="147">
        <f>'[38]TGSPDCL MoD'!M55</f>
        <v>253.196606208804</v>
      </c>
      <c r="M60" s="147">
        <f>'[38]TGSPDCL MoD'!N55</f>
        <v>222.108677580768</v>
      </c>
      <c r="N60" s="147">
        <f>'[38]TGSPDCL MoD'!O55</f>
        <v>221.785363749724</v>
      </c>
      <c r="O60" s="147">
        <f>'[38]TGSPDCL MoD'!P55</f>
        <v>215.33681529091</v>
      </c>
      <c r="P60" s="147">
        <f>'[38]TGSPDCL MoD'!Q55</f>
        <v>260.654980315078</v>
      </c>
      <c r="Q60" s="690">
        <f t="shared" si="5"/>
        <v>2650.01117590623</v>
      </c>
    </row>
    <row r="61" spans="3:17">
      <c r="C61" s="684"/>
      <c r="D61" s="757" t="s">
        <v>450</v>
      </c>
      <c r="E61" s="147">
        <f>'[38]TGSPDCL MoD'!F56</f>
        <v>220.418698837487</v>
      </c>
      <c r="F61" s="147">
        <f>'[38]TGSPDCL MoD'!G56</f>
        <v>256.001441955605</v>
      </c>
      <c r="G61" s="147">
        <f>'[38]TGSPDCL MoD'!H56</f>
        <v>247.743330924779</v>
      </c>
      <c r="H61" s="147">
        <f>'[38]TGSPDCL MoD'!I56</f>
        <v>207.620310231603</v>
      </c>
      <c r="I61" s="147">
        <f>'[38]TGSPDCL MoD'!J56</f>
        <v>171.295082485</v>
      </c>
      <c r="J61" s="147">
        <f>'[38]TGSPDCL MoD'!K56</f>
        <v>187.629140332737</v>
      </c>
      <c r="K61" s="147">
        <f>'[38]TGSPDCL MoD'!L56</f>
        <v>165.647991853627</v>
      </c>
      <c r="L61" s="147">
        <f>'[38]TGSPDCL MoD'!M56</f>
        <v>250.21857853042</v>
      </c>
      <c r="M61" s="147">
        <f>'[38]TGSPDCL MoD'!N56</f>
        <v>219.017201114501</v>
      </c>
      <c r="N61" s="147">
        <f>'[38]TGSPDCL MoD'!O56</f>
        <v>211.89297533719</v>
      </c>
      <c r="O61" s="147">
        <f>'[38]TGSPDCL MoD'!P56</f>
        <v>209.643682984127</v>
      </c>
      <c r="P61" s="147">
        <f>'[38]TGSPDCL MoD'!Q56</f>
        <v>256.001441955605</v>
      </c>
      <c r="Q61" s="690">
        <f t="shared" si="5"/>
        <v>2603.12987654268</v>
      </c>
    </row>
    <row r="62" spans="3:17">
      <c r="C62" s="55"/>
      <c r="D62" s="757" t="s">
        <v>381</v>
      </c>
      <c r="E62" s="147">
        <f>'[38]TGSPDCL MoD'!F33</f>
        <v>1.28771965066168</v>
      </c>
      <c r="F62" s="147">
        <f>'[38]TGSPDCL MoD'!G33</f>
        <v>2.02257833130596</v>
      </c>
      <c r="G62" s="147">
        <f>'[38]TGSPDCL MoD'!H33</f>
        <v>1.54526358079397</v>
      </c>
      <c r="H62" s="147">
        <f>'[38]TGSPDCL MoD'!I33</f>
        <v>1.27741789345639</v>
      </c>
      <c r="I62" s="147">
        <f>'[38]TGSPDCL MoD'!J33</f>
        <v>1.27741789345639</v>
      </c>
      <c r="J62" s="147">
        <f>'[38]TGSPDCL MoD'!K33</f>
        <v>1.23621086463522</v>
      </c>
      <c r="K62" s="147">
        <f>'[38]TGSPDCL MoD'!L33</f>
        <v>1.27741789345639</v>
      </c>
      <c r="L62" s="147">
        <f>'[38]TGSPDCL MoD'!M33</f>
        <v>1.33922843668814</v>
      </c>
      <c r="M62" s="147">
        <f>'[38]TGSPDCL MoD'!N33</f>
        <v>1.33064363901707</v>
      </c>
      <c r="N62" s="147">
        <f>'[38]TGSPDCL MoD'!O33</f>
        <v>1.27741789345639</v>
      </c>
      <c r="O62" s="147">
        <f>'[38]TGSPDCL MoD'!P33</f>
        <v>1.5383957426571</v>
      </c>
      <c r="P62" s="147">
        <f>'[38]TGSPDCL MoD'!Q33</f>
        <v>1.86290109462381</v>
      </c>
      <c r="Q62" s="690">
        <f t="shared" si="5"/>
        <v>17.2726129142085</v>
      </c>
    </row>
    <row r="63" spans="3:17">
      <c r="C63" s="55"/>
      <c r="D63" s="757" t="s">
        <v>382</v>
      </c>
      <c r="E63" s="147">
        <f>'[38]TGSPDCL MoD'!F34</f>
        <v>2.82761063922295</v>
      </c>
      <c r="F63" s="147">
        <f>'[38]TGSPDCL MoD'!G34</f>
        <v>2.86013479915767</v>
      </c>
      <c r="G63" s="147">
        <f>'[38]TGSPDCL MoD'!H34</f>
        <v>2.82761063922295</v>
      </c>
      <c r="H63" s="147">
        <f>'[38]TGSPDCL MoD'!I34</f>
        <v>2.7984052711183</v>
      </c>
      <c r="I63" s="147">
        <f>'[38]TGSPDCL MoD'!J34</f>
        <v>2.24283951876393</v>
      </c>
      <c r="J63" s="147">
        <f>'[38]TGSPDCL MoD'!K34</f>
        <v>2.46918112157497</v>
      </c>
      <c r="K63" s="147">
        <f>'[38]TGSPDCL MoD'!L34</f>
        <v>2.18110999072455</v>
      </c>
      <c r="L63" s="147">
        <f>'[38]TGSPDCL MoD'!M34</f>
        <v>2.82761063922295</v>
      </c>
      <c r="M63" s="147">
        <f>'[38]TGSPDCL MoD'!N34</f>
        <v>2.7984052711183</v>
      </c>
      <c r="N63" s="147">
        <f>'[38]TGSPDCL MoD'!O34</f>
        <v>2.48975763092143</v>
      </c>
      <c r="O63" s="147">
        <f>'[38]TGSPDCL MoD'!P34</f>
        <v>2.52759185778427</v>
      </c>
      <c r="P63" s="147">
        <f>'[38]TGSPDCL MoD'!Q34</f>
        <v>3.29224149543329</v>
      </c>
      <c r="Q63" s="690">
        <f t="shared" si="5"/>
        <v>32.1424988742656</v>
      </c>
    </row>
    <row r="64" spans="3:17">
      <c r="C64" s="55"/>
      <c r="D64" s="757" t="s">
        <v>383</v>
      </c>
      <c r="E64" s="147">
        <f>'[38]TGSPDCL MoD'!F52</f>
        <v>24.6606926309499</v>
      </c>
      <c r="F64" s="147">
        <f>'[38]TGSPDCL MoD'!G52</f>
        <v>25.4827157186483</v>
      </c>
      <c r="G64" s="147">
        <f>'[38]TGSPDCL MoD'!H52</f>
        <v>24.6606926309499</v>
      </c>
      <c r="H64" s="147">
        <f>'[38]TGSPDCL MoD'!I52</f>
        <v>26.0210829521408</v>
      </c>
      <c r="I64" s="147">
        <f>'[38]TGSPDCL MoD'!J52</f>
        <v>20.6374106172151</v>
      </c>
      <c r="J64" s="147">
        <f>'[38]TGSPDCL MoD'!K52</f>
        <v>22.5766904367851</v>
      </c>
      <c r="K64" s="147">
        <f>'[38]TGSPDCL MoD'!L52</f>
        <v>19.2665099103591</v>
      </c>
      <c r="L64" s="147">
        <f>'[38]TGSPDCL MoD'!M52</f>
        <v>24.6606926309499</v>
      </c>
      <c r="M64" s="147">
        <f>'[38]TGSPDCL MoD'!N52</f>
        <v>24.4059812516631</v>
      </c>
      <c r="N64" s="147">
        <f>'[38]TGSPDCL MoD'!O52</f>
        <v>22.2525123176928</v>
      </c>
      <c r="O64" s="147">
        <f>'[38]TGSPDCL MoD'!P52</f>
        <v>22.5303792769148</v>
      </c>
      <c r="P64" s="147">
        <f>'[38]TGSPDCL MoD'!Q52</f>
        <v>28.7129191196037</v>
      </c>
      <c r="Q64" s="690">
        <f t="shared" si="5"/>
        <v>285.868279493873</v>
      </c>
    </row>
    <row r="65" spans="3:17">
      <c r="C65" s="55"/>
      <c r="D65" s="757" t="s">
        <v>384</v>
      </c>
      <c r="E65" s="147">
        <f>'[38]TGSPDCL MoD'!F35</f>
        <v>0</v>
      </c>
      <c r="F65" s="147">
        <f>'[38]TGSPDCL MoD'!G35</f>
        <v>0</v>
      </c>
      <c r="G65" s="147">
        <f>'[38]TGSPDCL MoD'!H35</f>
        <v>0</v>
      </c>
      <c r="H65" s="147">
        <f>'[38]TGSPDCL MoD'!I35</f>
        <v>0</v>
      </c>
      <c r="I65" s="147">
        <f>'[38]TGSPDCL MoD'!J35</f>
        <v>0</v>
      </c>
      <c r="J65" s="147">
        <f>'[38]TGSPDCL MoD'!K35</f>
        <v>0</v>
      </c>
      <c r="K65" s="147">
        <f>'[38]TGSPDCL MoD'!L35</f>
        <v>0</v>
      </c>
      <c r="L65" s="147">
        <f>'[38]TGSPDCL MoD'!M35</f>
        <v>0</v>
      </c>
      <c r="M65" s="147">
        <f>'[38]TGSPDCL MoD'!N35</f>
        <v>0</v>
      </c>
      <c r="N65" s="147">
        <f>'[38]TGSPDCL MoD'!O35</f>
        <v>0</v>
      </c>
      <c r="O65" s="147">
        <f>'[38]TGSPDCL MoD'!P35</f>
        <v>0</v>
      </c>
      <c r="P65" s="147">
        <f>'[38]TGSPDCL MoD'!Q35</f>
        <v>0</v>
      </c>
      <c r="Q65" s="690">
        <f t="shared" si="5"/>
        <v>0</v>
      </c>
    </row>
    <row r="66" spans="3:17">
      <c r="C66" s="55"/>
      <c r="D66" s="757" t="s">
        <v>385</v>
      </c>
      <c r="E66" s="147">
        <f t="shared" ref="E66:P66" si="6">E65</f>
        <v>0</v>
      </c>
      <c r="F66" s="147">
        <f t="shared" si="6"/>
        <v>0</v>
      </c>
      <c r="G66" s="147">
        <f t="shared" si="6"/>
        <v>0</v>
      </c>
      <c r="H66" s="147">
        <f t="shared" si="6"/>
        <v>0</v>
      </c>
      <c r="I66" s="147">
        <f t="shared" si="6"/>
        <v>0</v>
      </c>
      <c r="J66" s="147">
        <f t="shared" si="6"/>
        <v>0</v>
      </c>
      <c r="K66" s="147">
        <f t="shared" si="6"/>
        <v>0</v>
      </c>
      <c r="L66" s="147">
        <f t="shared" si="6"/>
        <v>0</v>
      </c>
      <c r="M66" s="147">
        <f t="shared" si="6"/>
        <v>0</v>
      </c>
      <c r="N66" s="147">
        <f t="shared" si="6"/>
        <v>0</v>
      </c>
      <c r="O66" s="147">
        <f t="shared" si="6"/>
        <v>0</v>
      </c>
      <c r="P66" s="147">
        <f t="shared" si="6"/>
        <v>0</v>
      </c>
      <c r="Q66" s="690">
        <f t="shared" si="5"/>
        <v>0</v>
      </c>
    </row>
    <row r="67" spans="3:17">
      <c r="C67" s="55"/>
      <c r="D67" s="757" t="s">
        <v>386</v>
      </c>
      <c r="E67" s="147">
        <f>'[38]TGSPDCL MoD'!F46</f>
        <v>28.3823734669314</v>
      </c>
      <c r="F67" s="147">
        <f>'[38]TGSPDCL MoD'!G46</f>
        <v>37.4640257189241</v>
      </c>
      <c r="G67" s="147">
        <f>'[38]TGSPDCL MoD'!H46</f>
        <v>33.9184656062814</v>
      </c>
      <c r="H67" s="147">
        <f>'[38]TGSPDCL MoD'!I46</f>
        <v>24.9760171459494</v>
      </c>
      <c r="I67" s="147">
        <f>'[38]TGSPDCL MoD'!J46</f>
        <v>23.0547850577994</v>
      </c>
      <c r="J67" s="147">
        <f>'[38]TGSPDCL MoD'!K46</f>
        <v>22.3110823139994</v>
      </c>
      <c r="K67" s="147">
        <f>'[38]TGSPDCL MoD'!L46</f>
        <v>23.0547850577994</v>
      </c>
      <c r="L67" s="147">
        <f>'[38]TGSPDCL MoD'!M46</f>
        <v>25.0999676032494</v>
      </c>
      <c r="M67" s="147">
        <f>'[38]TGSPDCL MoD'!N46</f>
        <v>24.9760171459494</v>
      </c>
      <c r="N67" s="147">
        <f>'[38]TGSPDCL MoD'!O46</f>
        <v>24.9760171459494</v>
      </c>
      <c r="O67" s="147">
        <f>'[38]TGSPDCL MoD'!P46</f>
        <v>29.5002088373993</v>
      </c>
      <c r="P67" s="147">
        <f>'[38]TGSPDCL MoD'!Q46</f>
        <v>33.6215615426242</v>
      </c>
      <c r="Q67" s="690">
        <f t="shared" si="5"/>
        <v>331.335306642856</v>
      </c>
    </row>
    <row r="68" spans="3:17">
      <c r="C68" s="55"/>
      <c r="D68" s="757" t="s">
        <v>387</v>
      </c>
      <c r="E68" s="147">
        <f>'[38]TGSPDCL MoD'!F47</f>
        <v>46.8608429528392</v>
      </c>
      <c r="F68" s="147">
        <f>'[38]TGSPDCL MoD'!G47</f>
        <v>0</v>
      </c>
      <c r="G68" s="147">
        <f>'[38]TGSPDCL MoD'!H47</f>
        <v>26.3350191801079</v>
      </c>
      <c r="H68" s="147">
        <f>'[38]TGSPDCL MoD'!I47</f>
        <v>42.4200357969778</v>
      </c>
      <c r="I68" s="147">
        <f>'[38]TGSPDCL MoD'!J47</f>
        <v>36.4172005426885</v>
      </c>
      <c r="J68" s="147">
        <f>'[38]TGSPDCL MoD'!K47</f>
        <v>39.8898084639871</v>
      </c>
      <c r="K68" s="147">
        <f>'[38]TGSPDCL MoD'!L47</f>
        <v>35.2166334918307</v>
      </c>
      <c r="L68" s="147">
        <f>'[38]TGSPDCL MoD'!M47</f>
        <v>51.5081992787406</v>
      </c>
      <c r="M68" s="147">
        <f>'[38]TGSPDCL MoD'!N47</f>
        <v>46.0217369495514</v>
      </c>
      <c r="N68" s="147">
        <f>'[38]TGSPDCL MoD'!O47</f>
        <v>44.8211698986936</v>
      </c>
      <c r="O68" s="147">
        <f>'[38]TGSPDCL MoD'!P47</f>
        <v>43.7367867559832</v>
      </c>
      <c r="P68" s="147">
        <f>'[38]TGSPDCL MoD'!Q47</f>
        <v>54.4257063055565</v>
      </c>
      <c r="Q68" s="690">
        <f t="shared" si="5"/>
        <v>467.653139616956</v>
      </c>
    </row>
    <row r="69" spans="3:17">
      <c r="C69" s="55"/>
      <c r="D69" s="55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690"/>
    </row>
    <row r="70" spans="3:17">
      <c r="C70" s="55"/>
      <c r="D70" s="55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690"/>
    </row>
    <row r="71" spans="3:17">
      <c r="C71" s="55"/>
      <c r="D71" s="55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690"/>
    </row>
    <row r="72" spans="3:17">
      <c r="C72" s="55"/>
      <c r="D72" s="55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690"/>
    </row>
    <row r="73" spans="3:17">
      <c r="C73" s="55"/>
      <c r="D73" s="55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690"/>
    </row>
    <row r="74" spans="3:17">
      <c r="C74" s="55"/>
      <c r="D74" s="55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690"/>
    </row>
    <row r="75" spans="3:17">
      <c r="C75" s="55"/>
      <c r="D75" s="55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690"/>
    </row>
    <row r="76" spans="3:17">
      <c r="C76" s="55"/>
      <c r="D76" s="55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690"/>
    </row>
    <row r="77" ht="15" spans="3:17">
      <c r="C77" s="537" t="s">
        <v>211</v>
      </c>
      <c r="D77" s="540"/>
      <c r="E77" s="690">
        <f t="shared" ref="E77:P77" si="7">SUM(E52:E76)</f>
        <v>1071.33727356017</v>
      </c>
      <c r="F77" s="690">
        <f t="shared" si="7"/>
        <v>1284.52150617855</v>
      </c>
      <c r="G77" s="690">
        <f t="shared" si="7"/>
        <v>1109.80586231444</v>
      </c>
      <c r="H77" s="690">
        <f t="shared" si="7"/>
        <v>964.653545004671</v>
      </c>
      <c r="I77" s="690">
        <f t="shared" si="7"/>
        <v>885.849076029148</v>
      </c>
      <c r="J77" s="690">
        <f t="shared" si="7"/>
        <v>941.330185230111</v>
      </c>
      <c r="K77" s="690">
        <f t="shared" si="7"/>
        <v>887.465204973406</v>
      </c>
      <c r="L77" s="690">
        <f t="shared" si="7"/>
        <v>953.605454658918</v>
      </c>
      <c r="M77" s="690">
        <f t="shared" si="7"/>
        <v>919.875758987249</v>
      </c>
      <c r="N77" s="690">
        <f t="shared" si="7"/>
        <v>1002.73377552022</v>
      </c>
      <c r="O77" s="690">
        <f t="shared" si="7"/>
        <v>1090.58656246683</v>
      </c>
      <c r="P77" s="690">
        <f t="shared" si="7"/>
        <v>1296.80348328965</v>
      </c>
      <c r="Q77" s="693">
        <f>SUM(E77:P77)</f>
        <v>12408.5676882134</v>
      </c>
    </row>
    <row r="78" ht="15" spans="3:17">
      <c r="C78" s="44" t="s">
        <v>388</v>
      </c>
      <c r="D78" s="4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</row>
    <row r="79" spans="3:17">
      <c r="C79" s="754" t="s">
        <v>389</v>
      </c>
      <c r="D79" s="55" t="s">
        <v>390</v>
      </c>
      <c r="E79" s="147" t="e">
        <f>'[38]TGSPDCL MoD'!F32</f>
        <v>#REF!</v>
      </c>
      <c r="F79" s="147" t="e">
        <f>'[38]TGSPDCL MoD'!G32</f>
        <v>#REF!</v>
      </c>
      <c r="G79" s="147" t="e">
        <f>'[38]TGSPDCL MoD'!H32</f>
        <v>#REF!</v>
      </c>
      <c r="H79" s="147" t="e">
        <f>'[38]TGSPDCL MoD'!I32</f>
        <v>#REF!</v>
      </c>
      <c r="I79" s="147" t="e">
        <f>'[38]TGSPDCL MoD'!J32</f>
        <v>#REF!</v>
      </c>
      <c r="J79" s="147" t="e">
        <f>'[38]TGSPDCL MoD'!K32</f>
        <v>#REF!</v>
      </c>
      <c r="K79" s="147" t="e">
        <f>'[38]TGSPDCL MoD'!L32</f>
        <v>#REF!</v>
      </c>
      <c r="L79" s="147" t="e">
        <f>'[38]TGSPDCL MoD'!M32</f>
        <v>#REF!</v>
      </c>
      <c r="M79" s="147" t="e">
        <f>'[38]TGSPDCL MoD'!N32</f>
        <v>#REF!</v>
      </c>
      <c r="N79" s="147" t="e">
        <f>'[38]TGSPDCL MoD'!O32</f>
        <v>#REF!</v>
      </c>
      <c r="O79" s="147" t="e">
        <f>'[38]TGSPDCL MoD'!P32</f>
        <v>#REF!</v>
      </c>
      <c r="P79" s="147" t="e">
        <f>'[38]TGSPDCL MoD'!Q32</f>
        <v>#REF!</v>
      </c>
      <c r="Q79" s="147" t="e">
        <f t="shared" ref="Q79:Q93" si="8">SUM(E79:P79)</f>
        <v>#REF!</v>
      </c>
    </row>
    <row r="80" spans="3:17">
      <c r="C80" s="755"/>
      <c r="D80" s="55" t="s">
        <v>391</v>
      </c>
      <c r="E80" s="147" t="e">
        <f>'[38]TGSPDCL MoD'!F36+'[38]TGSPDCL MoD'!F37</f>
        <v>#REF!</v>
      </c>
      <c r="F80" s="147" t="e">
        <f>'[38]TGSPDCL MoD'!G36+'[38]TGSPDCL MoD'!G37</f>
        <v>#REF!</v>
      </c>
      <c r="G80" s="147" t="e">
        <f>'[38]TGSPDCL MoD'!H36+'[38]TGSPDCL MoD'!H37</f>
        <v>#REF!</v>
      </c>
      <c r="H80" s="147" t="e">
        <f>'[38]TGSPDCL MoD'!I36+'[38]TGSPDCL MoD'!I37</f>
        <v>#REF!</v>
      </c>
      <c r="I80" s="147" t="e">
        <f>'[38]TGSPDCL MoD'!J36+'[38]TGSPDCL MoD'!J37</f>
        <v>#REF!</v>
      </c>
      <c r="J80" s="147" t="e">
        <f>'[38]TGSPDCL MoD'!K36+'[38]TGSPDCL MoD'!K37</f>
        <v>#REF!</v>
      </c>
      <c r="K80" s="147" t="e">
        <f>'[38]TGSPDCL MoD'!L36+'[38]TGSPDCL MoD'!L37</f>
        <v>#REF!</v>
      </c>
      <c r="L80" s="147" t="e">
        <f>'[38]TGSPDCL MoD'!M36+'[38]TGSPDCL MoD'!M37</f>
        <v>#REF!</v>
      </c>
      <c r="M80" s="147" t="e">
        <f>'[38]TGSPDCL MoD'!N36+'[38]TGSPDCL MoD'!N37</f>
        <v>#REF!</v>
      </c>
      <c r="N80" s="147" t="e">
        <f>'[38]TGSPDCL MoD'!O36+'[38]TGSPDCL MoD'!O37</f>
        <v>#REF!</v>
      </c>
      <c r="O80" s="147" t="e">
        <f>'[38]TGSPDCL MoD'!P36+'[38]TGSPDCL MoD'!P37</f>
        <v>#REF!</v>
      </c>
      <c r="P80" s="147" t="e">
        <f>'[38]TGSPDCL MoD'!Q36+'[38]TGSPDCL MoD'!Q37</f>
        <v>#REF!</v>
      </c>
      <c r="Q80" s="147" t="e">
        <f t="shared" si="8"/>
        <v>#REF!</v>
      </c>
    </row>
    <row r="81" spans="3:17">
      <c r="C81" s="755"/>
      <c r="D81" s="55" t="s">
        <v>392</v>
      </c>
      <c r="E81" s="147" t="e">
        <f>'[38]TGSPDCL MoD'!F38+'[38]TGSPDCL MoD'!F39</f>
        <v>#REF!</v>
      </c>
      <c r="F81" s="147" t="e">
        <f>'[38]TGSPDCL MoD'!G38+'[38]TGSPDCL MoD'!G39</f>
        <v>#REF!</v>
      </c>
      <c r="G81" s="147" t="e">
        <f>'[38]TGSPDCL MoD'!H38+'[38]TGSPDCL MoD'!H39</f>
        <v>#REF!</v>
      </c>
      <c r="H81" s="147" t="e">
        <f>'[38]TGSPDCL MoD'!I38+'[38]TGSPDCL MoD'!I39</f>
        <v>#REF!</v>
      </c>
      <c r="I81" s="147" t="e">
        <f>'[38]TGSPDCL MoD'!J38+'[38]TGSPDCL MoD'!J39</f>
        <v>#REF!</v>
      </c>
      <c r="J81" s="147" t="e">
        <f>'[38]TGSPDCL MoD'!K38+'[38]TGSPDCL MoD'!K39</f>
        <v>#REF!</v>
      </c>
      <c r="K81" s="147" t="e">
        <f>'[38]TGSPDCL MoD'!L38+'[38]TGSPDCL MoD'!L39</f>
        <v>#REF!</v>
      </c>
      <c r="L81" s="147" t="e">
        <f>'[38]TGSPDCL MoD'!M38+'[38]TGSPDCL MoD'!M39</f>
        <v>#REF!</v>
      </c>
      <c r="M81" s="147" t="e">
        <f>'[38]TGSPDCL MoD'!N38+'[38]TGSPDCL MoD'!N39</f>
        <v>#REF!</v>
      </c>
      <c r="N81" s="147" t="e">
        <f>'[38]TGSPDCL MoD'!O38+'[38]TGSPDCL MoD'!O39</f>
        <v>#REF!</v>
      </c>
      <c r="O81" s="147" t="e">
        <f>'[38]TGSPDCL MoD'!P38+'[38]TGSPDCL MoD'!P39</f>
        <v>#REF!</v>
      </c>
      <c r="P81" s="147" t="e">
        <f>'[38]TGSPDCL MoD'!Q38+'[38]TGSPDCL MoD'!Q39</f>
        <v>#REF!</v>
      </c>
      <c r="Q81" s="147" t="e">
        <f t="shared" si="8"/>
        <v>#REF!</v>
      </c>
    </row>
    <row r="82" spans="3:17">
      <c r="C82" s="756"/>
      <c r="D82" s="55" t="s">
        <v>393</v>
      </c>
      <c r="E82" s="147" t="e">
        <f>'[38]TGSPDCL MoD'!F48</f>
        <v>#REF!</v>
      </c>
      <c r="F82" s="147" t="e">
        <f>'[38]TGSPDCL MoD'!G48</f>
        <v>#REF!</v>
      </c>
      <c r="G82" s="147" t="e">
        <f>'[38]TGSPDCL MoD'!H48</f>
        <v>#REF!</v>
      </c>
      <c r="H82" s="147" t="e">
        <f>'[38]TGSPDCL MoD'!I48</f>
        <v>#REF!</v>
      </c>
      <c r="I82" s="147" t="e">
        <f>'[38]TGSPDCL MoD'!J48</f>
        <v>#REF!</v>
      </c>
      <c r="J82" s="147" t="e">
        <f>'[38]TGSPDCL MoD'!K48</f>
        <v>#REF!</v>
      </c>
      <c r="K82" s="147" t="e">
        <f>'[38]TGSPDCL MoD'!L48</f>
        <v>#REF!</v>
      </c>
      <c r="L82" s="147" t="e">
        <f>'[38]TGSPDCL MoD'!M48</f>
        <v>#REF!</v>
      </c>
      <c r="M82" s="147" t="e">
        <f>'[38]TGSPDCL MoD'!N48</f>
        <v>#REF!</v>
      </c>
      <c r="N82" s="147" t="e">
        <f>'[38]TGSPDCL MoD'!O48</f>
        <v>#REF!</v>
      </c>
      <c r="O82" s="147" t="e">
        <f>'[38]TGSPDCL MoD'!P48</f>
        <v>#REF!</v>
      </c>
      <c r="P82" s="147" t="e">
        <f>'[38]TGSPDCL MoD'!Q48</f>
        <v>#REF!</v>
      </c>
      <c r="Q82" s="147" t="e">
        <f t="shared" si="8"/>
        <v>#REF!</v>
      </c>
    </row>
    <row r="83" spans="3:17">
      <c r="C83" s="55"/>
      <c r="D83" s="55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55">
        <f t="shared" si="8"/>
        <v>0</v>
      </c>
    </row>
    <row r="84" spans="3:17">
      <c r="C84" s="55"/>
      <c r="D84" s="55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55">
        <f t="shared" si="8"/>
        <v>0</v>
      </c>
    </row>
    <row r="85" spans="3:17">
      <c r="C85" s="55"/>
      <c r="D85" s="55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55">
        <f t="shared" si="8"/>
        <v>0</v>
      </c>
    </row>
    <row r="86" spans="3:17">
      <c r="C86" s="55"/>
      <c r="D86" s="55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55">
        <f t="shared" si="8"/>
        <v>0</v>
      </c>
    </row>
    <row r="87" spans="3:17">
      <c r="C87" s="55"/>
      <c r="D87" s="55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55">
        <f t="shared" si="8"/>
        <v>0</v>
      </c>
    </row>
    <row r="88" spans="3:17">
      <c r="C88" s="55"/>
      <c r="D88" s="55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55">
        <f t="shared" si="8"/>
        <v>0</v>
      </c>
    </row>
    <row r="89" spans="3:17">
      <c r="C89" s="55"/>
      <c r="D89" s="55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55">
        <f t="shared" si="8"/>
        <v>0</v>
      </c>
    </row>
    <row r="90" spans="3:17">
      <c r="C90" s="55"/>
      <c r="D90" s="55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55">
        <f t="shared" si="8"/>
        <v>0</v>
      </c>
    </row>
    <row r="91" spans="3:17">
      <c r="C91" s="55"/>
      <c r="D91" s="55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55">
        <f t="shared" si="8"/>
        <v>0</v>
      </c>
    </row>
    <row r="92" spans="3:17">
      <c r="C92" s="55"/>
      <c r="D92" s="55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55">
        <f t="shared" si="8"/>
        <v>0</v>
      </c>
    </row>
    <row r="93" ht="15" spans="3:18">
      <c r="C93" s="537" t="s">
        <v>211</v>
      </c>
      <c r="D93" s="540"/>
      <c r="E93" s="690" t="e">
        <f t="shared" ref="E93:P93" si="9">SUM(E79:E92)</f>
        <v>#REF!</v>
      </c>
      <c r="F93" s="690" t="e">
        <f t="shared" si="9"/>
        <v>#REF!</v>
      </c>
      <c r="G93" s="690" t="e">
        <f t="shared" si="9"/>
        <v>#REF!</v>
      </c>
      <c r="H93" s="690" t="e">
        <f t="shared" si="9"/>
        <v>#REF!</v>
      </c>
      <c r="I93" s="690" t="e">
        <f t="shared" si="9"/>
        <v>#REF!</v>
      </c>
      <c r="J93" s="690" t="e">
        <f t="shared" si="9"/>
        <v>#REF!</v>
      </c>
      <c r="K93" s="690" t="e">
        <f t="shared" si="9"/>
        <v>#REF!</v>
      </c>
      <c r="L93" s="690" t="e">
        <f t="shared" si="9"/>
        <v>#REF!</v>
      </c>
      <c r="M93" s="690" t="e">
        <f t="shared" si="9"/>
        <v>#REF!</v>
      </c>
      <c r="N93" s="690" t="e">
        <f t="shared" si="9"/>
        <v>#REF!</v>
      </c>
      <c r="O93" s="690" t="e">
        <f t="shared" si="9"/>
        <v>#REF!</v>
      </c>
      <c r="P93" s="690" t="e">
        <f t="shared" si="9"/>
        <v>#REF!</v>
      </c>
      <c r="Q93" s="693" t="e">
        <f t="shared" si="8"/>
        <v>#REF!</v>
      </c>
      <c r="R93" s="686"/>
    </row>
    <row r="94" ht="15" spans="3:18">
      <c r="C94" s="44" t="s">
        <v>395</v>
      </c>
      <c r="D94" s="45"/>
      <c r="E94" s="690" t="e">
        <f t="shared" ref="E94:Q94" si="10">E77+E93</f>
        <v>#REF!</v>
      </c>
      <c r="F94" s="690" t="e">
        <f t="shared" si="10"/>
        <v>#REF!</v>
      </c>
      <c r="G94" s="690" t="e">
        <f t="shared" si="10"/>
        <v>#REF!</v>
      </c>
      <c r="H94" s="690" t="e">
        <f t="shared" si="10"/>
        <v>#REF!</v>
      </c>
      <c r="I94" s="690" t="e">
        <f t="shared" si="10"/>
        <v>#REF!</v>
      </c>
      <c r="J94" s="690" t="e">
        <f t="shared" si="10"/>
        <v>#REF!</v>
      </c>
      <c r="K94" s="690" t="e">
        <f t="shared" si="10"/>
        <v>#REF!</v>
      </c>
      <c r="L94" s="690" t="e">
        <f t="shared" si="10"/>
        <v>#REF!</v>
      </c>
      <c r="M94" s="690" t="e">
        <f t="shared" si="10"/>
        <v>#REF!</v>
      </c>
      <c r="N94" s="690" t="e">
        <f t="shared" si="10"/>
        <v>#REF!</v>
      </c>
      <c r="O94" s="690" t="e">
        <f t="shared" si="10"/>
        <v>#REF!</v>
      </c>
      <c r="P94" s="690" t="e">
        <f t="shared" si="10"/>
        <v>#REF!</v>
      </c>
      <c r="Q94" s="693" t="e">
        <f t="shared" si="10"/>
        <v>#REF!</v>
      </c>
      <c r="R94" s="686"/>
    </row>
    <row r="95" ht="15" spans="3:17">
      <c r="C95" s="663" t="s">
        <v>396</v>
      </c>
      <c r="D95" s="676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</row>
    <row r="96" spans="3:17">
      <c r="C96" s="55" t="s">
        <v>397</v>
      </c>
      <c r="D96" s="757" t="s">
        <v>397</v>
      </c>
      <c r="E96" s="147">
        <f>'[38]TGSPDCL MoD'!F23</f>
        <v>100.223584153989</v>
      </c>
      <c r="F96" s="147">
        <f>'[38]TGSPDCL MoD'!G23</f>
        <v>103.564370292455</v>
      </c>
      <c r="G96" s="147">
        <f>'[38]TGSPDCL MoD'!H23</f>
        <v>100.223584153989</v>
      </c>
      <c r="H96" s="147">
        <f>'[38]TGSPDCL MoD'!I23</f>
        <v>105.41188100757</v>
      </c>
      <c r="I96" s="147">
        <f>'[38]TGSPDCL MoD'!J23</f>
        <v>83.8725534058616</v>
      </c>
      <c r="J96" s="147">
        <f>'[38]TGSPDCL MoD'!K23</f>
        <v>90.8400682474977</v>
      </c>
      <c r="K96" s="147">
        <f>'[38]TGSPDCL MoD'!L23</f>
        <v>77.3086144436637</v>
      </c>
      <c r="L96" s="147">
        <f>'[38]TGSPDCL MoD'!M23</f>
        <v>100.223584153989</v>
      </c>
      <c r="M96" s="147">
        <f>'[38]TGSPDCL MoD'!N23</f>
        <v>99.1884109843232</v>
      </c>
      <c r="N96" s="147">
        <f>'[38]TGSPDCL MoD'!O23</f>
        <v>89.0756566758521</v>
      </c>
      <c r="O96" s="147">
        <f>'[38]TGSPDCL MoD'!P23</f>
        <v>91.4080622254128</v>
      </c>
      <c r="P96" s="147">
        <f>'[38]TGSPDCL MoD'!Q23</f>
        <v>116.692248216851</v>
      </c>
      <c r="Q96" s="147">
        <f>SUM(E96:P96)</f>
        <v>1158.03261796145</v>
      </c>
    </row>
    <row r="97" spans="3:17">
      <c r="C97" s="55" t="s">
        <v>398</v>
      </c>
      <c r="D97" s="757" t="s">
        <v>398</v>
      </c>
      <c r="E97" s="147">
        <f>'[38]TGSPDCL MoD'!F24</f>
        <v>0</v>
      </c>
      <c r="F97" s="147">
        <f>'[38]TGSPDCL MoD'!G24</f>
        <v>0</v>
      </c>
      <c r="G97" s="147">
        <f>'[38]TGSPDCL MoD'!H24</f>
        <v>0</v>
      </c>
      <c r="H97" s="147">
        <f>'[38]TGSPDCL MoD'!I24</f>
        <v>0</v>
      </c>
      <c r="I97" s="147">
        <f>'[38]TGSPDCL MoD'!J24</f>
        <v>0</v>
      </c>
      <c r="J97" s="147">
        <f>'[38]TGSPDCL MoD'!K24</f>
        <v>0</v>
      </c>
      <c r="K97" s="147">
        <f>'[38]TGSPDCL MoD'!L24</f>
        <v>0</v>
      </c>
      <c r="L97" s="147">
        <f>'[38]TGSPDCL MoD'!M24</f>
        <v>0</v>
      </c>
      <c r="M97" s="147">
        <f>'[38]TGSPDCL MoD'!N24</f>
        <v>0</v>
      </c>
      <c r="N97" s="147">
        <f>'[38]TGSPDCL MoD'!O24</f>
        <v>0</v>
      </c>
      <c r="O97" s="147">
        <f>'[38]TGSPDCL MoD'!P24</f>
        <v>0</v>
      </c>
      <c r="P97" s="147">
        <f>'[38]TGSPDCL MoD'!Q24</f>
        <v>0</v>
      </c>
      <c r="Q97" s="147">
        <f>SUM(E97:P97)</f>
        <v>0</v>
      </c>
    </row>
    <row r="98" spans="3:17">
      <c r="C98" s="55"/>
      <c r="D98" s="55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55"/>
    </row>
    <row r="99" spans="3:17">
      <c r="C99" s="55"/>
      <c r="D99" s="55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55"/>
    </row>
    <row r="100" spans="3:17">
      <c r="C100" s="55"/>
      <c r="D100" s="55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55"/>
    </row>
    <row r="101" spans="3:17">
      <c r="C101" s="55"/>
      <c r="D101" s="55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55"/>
    </row>
    <row r="102" spans="3:17">
      <c r="C102" s="55"/>
      <c r="D102" s="55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55"/>
    </row>
    <row r="103" ht="15" spans="3:18">
      <c r="C103" s="44" t="s">
        <v>399</v>
      </c>
      <c r="D103" s="45"/>
      <c r="E103" s="147">
        <f t="shared" ref="E103:P103" si="11">SUM(E96:E102)</f>
        <v>100.223584153989</v>
      </c>
      <c r="F103" s="147">
        <f t="shared" si="11"/>
        <v>103.564370292455</v>
      </c>
      <c r="G103" s="147">
        <f t="shared" si="11"/>
        <v>100.223584153989</v>
      </c>
      <c r="H103" s="147">
        <f t="shared" si="11"/>
        <v>105.41188100757</v>
      </c>
      <c r="I103" s="147">
        <f t="shared" si="11"/>
        <v>83.8725534058616</v>
      </c>
      <c r="J103" s="147">
        <f t="shared" si="11"/>
        <v>90.8400682474977</v>
      </c>
      <c r="K103" s="147">
        <f t="shared" si="11"/>
        <v>77.3086144436637</v>
      </c>
      <c r="L103" s="147">
        <f t="shared" si="11"/>
        <v>100.223584153989</v>
      </c>
      <c r="M103" s="147">
        <f t="shared" si="11"/>
        <v>99.1884109843232</v>
      </c>
      <c r="N103" s="147">
        <f t="shared" si="11"/>
        <v>89.0756566758521</v>
      </c>
      <c r="O103" s="147">
        <f t="shared" si="11"/>
        <v>91.4080622254128</v>
      </c>
      <c r="P103" s="147">
        <f t="shared" si="11"/>
        <v>116.692248216851</v>
      </c>
      <c r="Q103" s="316">
        <f>SUM(E103:P103)</f>
        <v>1158.03261796145</v>
      </c>
      <c r="R103" s="686"/>
    </row>
    <row r="104" ht="15" spans="3:17">
      <c r="C104" s="663" t="s">
        <v>400</v>
      </c>
      <c r="D104" s="676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</row>
    <row r="105" spans="3:17">
      <c r="C105" s="55" t="s">
        <v>401</v>
      </c>
      <c r="D105" s="757" t="s">
        <v>401</v>
      </c>
      <c r="E105" s="147">
        <f>'[38]TGSPDCL MoD'!F20+'[38]TGSPDCL MoD'!F21+'[38]TGSPDCL MoD'!F22</f>
        <v>366.116208904423</v>
      </c>
      <c r="F105" s="147">
        <f>'[38]TGSPDCL MoD'!G20+'[38]TGSPDCL MoD'!G21+'[38]TGSPDCL MoD'!G22</f>
        <v>222.978512819662</v>
      </c>
      <c r="G105" s="147">
        <f>'[38]TGSPDCL MoD'!H20+'[38]TGSPDCL MoD'!H21+'[38]TGSPDCL MoD'!H22</f>
        <v>107.892828783707</v>
      </c>
      <c r="H105" s="147">
        <f>'[38]TGSPDCL MoD'!I20+'[38]TGSPDCL MoD'!I21+'[38]TGSPDCL MoD'!I22</f>
        <v>234.670388362988</v>
      </c>
      <c r="I105" s="147">
        <f>'[38]TGSPDCL MoD'!J20+'[38]TGSPDCL MoD'!J21+'[38]TGSPDCL MoD'!J22</f>
        <v>288.560428354856</v>
      </c>
      <c r="J105" s="147">
        <f>'[38]TGSPDCL MoD'!K20+'[38]TGSPDCL MoD'!K21+'[38]TGSPDCL MoD'!K22</f>
        <v>298.291938402014</v>
      </c>
      <c r="K105" s="147">
        <f>'[38]TGSPDCL MoD'!L20+'[38]TGSPDCL MoD'!L21+'[38]TGSPDCL MoD'!L22</f>
        <v>288.560428354856</v>
      </c>
      <c r="L105" s="147">
        <f>'[38]TGSPDCL MoD'!M20+'[38]TGSPDCL MoD'!M21+'[38]TGSPDCL MoD'!M22</f>
        <v>367.545561382456</v>
      </c>
      <c r="M105" s="147">
        <f>'[38]TGSPDCL MoD'!N20+'[38]TGSPDCL MoD'!N21+'[38]TGSPDCL MoD'!N22</f>
        <v>321.229235049873</v>
      </c>
      <c r="N105" s="147">
        <f>'[38]TGSPDCL MoD'!O20+'[38]TGSPDCL MoD'!O21+'[38]TGSPDCL MoD'!O22</f>
        <v>318.741393070226</v>
      </c>
      <c r="O105" s="147">
        <f>'[38]TGSPDCL MoD'!P20+'[38]TGSPDCL MoD'!P21+'[38]TGSPDCL MoD'!P22</f>
        <v>354.94997921734</v>
      </c>
      <c r="P105" s="147">
        <f>'[38]TGSPDCL MoD'!Q20+'[38]TGSPDCL MoD'!Q21+'[38]TGSPDCL MoD'!Q22</f>
        <v>423.530960333235</v>
      </c>
      <c r="Q105" s="147">
        <f>SUM(E105:P105)</f>
        <v>3593.06786303564</v>
      </c>
    </row>
    <row r="106" spans="3:17">
      <c r="C106" s="55" t="s">
        <v>402</v>
      </c>
      <c r="D106" s="757" t="s">
        <v>402</v>
      </c>
      <c r="E106" s="147">
        <v>0</v>
      </c>
      <c r="F106" s="147">
        <v>0</v>
      </c>
      <c r="G106" s="147">
        <v>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55">
        <f>SUM(E106:P106)</f>
        <v>0</v>
      </c>
    </row>
    <row r="107" spans="3:17">
      <c r="C107" s="55" t="s">
        <v>403</v>
      </c>
      <c r="D107" s="757" t="s">
        <v>403</v>
      </c>
      <c r="E107" s="147" t="e">
        <f>'[43]F9-Year(n+1)'!I107</f>
        <v>#REF!</v>
      </c>
      <c r="F107" s="147" t="e">
        <f>'[43]F9-Year(n+1)'!J107</f>
        <v>#REF!</v>
      </c>
      <c r="G107" s="147" t="e">
        <f>'[43]F9-Year(n+1)'!K107</f>
        <v>#REF!</v>
      </c>
      <c r="H107" s="147" t="e">
        <f>'[43]F9-Year(n+1)'!L107</f>
        <v>#REF!</v>
      </c>
      <c r="I107" s="147" t="e">
        <f>'[43]F9-Year(n+1)'!M107</f>
        <v>#REF!</v>
      </c>
      <c r="J107" s="147" t="e">
        <f>'[43]F9-Year(n+1)'!N107</f>
        <v>#REF!</v>
      </c>
      <c r="K107" s="147" t="e">
        <f>'[43]F9-Year(n+1)'!O107</f>
        <v>#REF!</v>
      </c>
      <c r="L107" s="147" t="e">
        <f>'[43]F9-Year(n+1)'!P107</f>
        <v>#REF!</v>
      </c>
      <c r="M107" s="147" t="e">
        <f>'[43]F9-Year(n+1)'!Q107</f>
        <v>#REF!</v>
      </c>
      <c r="N107" s="147" t="e">
        <f>'[43]F9-Year(n+1)'!R107</f>
        <v>#REF!</v>
      </c>
      <c r="O107" s="147" t="e">
        <f>'[43]F9-Year(n+1)'!S107</f>
        <v>#REF!</v>
      </c>
      <c r="P107" s="147" t="e">
        <f>'[43]F9-Year(n+1)'!T107</f>
        <v>#REF!</v>
      </c>
      <c r="Q107" s="55" t="e">
        <f>SUM(E107:P107)</f>
        <v>#REF!</v>
      </c>
    </row>
    <row r="108" spans="3:17">
      <c r="C108" s="55"/>
      <c r="D108" s="55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55"/>
    </row>
    <row r="109" spans="3:17">
      <c r="C109" s="55"/>
      <c r="D109" s="55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55"/>
    </row>
    <row r="110" spans="3:17">
      <c r="C110" s="55"/>
      <c r="D110" s="55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55"/>
    </row>
    <row r="111" spans="3:17">
      <c r="C111" s="55"/>
      <c r="D111" s="55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55"/>
    </row>
    <row r="112" spans="3:17">
      <c r="C112" s="55"/>
      <c r="D112" s="55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55"/>
    </row>
    <row r="113" ht="15" spans="3:18">
      <c r="C113" s="44" t="s">
        <v>404</v>
      </c>
      <c r="D113" s="45"/>
      <c r="E113" s="147" t="e">
        <f t="shared" ref="E113:P113" si="12">SUM(E105:E112)</f>
        <v>#REF!</v>
      </c>
      <c r="F113" s="147" t="e">
        <f t="shared" si="12"/>
        <v>#REF!</v>
      </c>
      <c r="G113" s="147" t="e">
        <f t="shared" si="12"/>
        <v>#REF!</v>
      </c>
      <c r="H113" s="147" t="e">
        <f t="shared" si="12"/>
        <v>#REF!</v>
      </c>
      <c r="I113" s="147" t="e">
        <f t="shared" si="12"/>
        <v>#REF!</v>
      </c>
      <c r="J113" s="147" t="e">
        <f t="shared" si="12"/>
        <v>#REF!</v>
      </c>
      <c r="K113" s="147" t="e">
        <f t="shared" si="12"/>
        <v>#REF!</v>
      </c>
      <c r="L113" s="147" t="e">
        <f t="shared" si="12"/>
        <v>#REF!</v>
      </c>
      <c r="M113" s="147" t="e">
        <f t="shared" si="12"/>
        <v>#REF!</v>
      </c>
      <c r="N113" s="147" t="e">
        <f t="shared" si="12"/>
        <v>#REF!</v>
      </c>
      <c r="O113" s="147" t="e">
        <f t="shared" si="12"/>
        <v>#REF!</v>
      </c>
      <c r="P113" s="147" t="e">
        <f t="shared" si="12"/>
        <v>#REF!</v>
      </c>
      <c r="Q113" s="316" t="e">
        <f>SUM(E113:P113)</f>
        <v>#REF!</v>
      </c>
      <c r="R113" s="686"/>
    </row>
    <row r="114" ht="15" spans="3:17">
      <c r="C114" s="663" t="s">
        <v>405</v>
      </c>
      <c r="D114" s="676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</row>
    <row r="115" spans="3:17">
      <c r="C115" s="55"/>
      <c r="D115" s="757" t="s">
        <v>406</v>
      </c>
      <c r="E115" s="147" t="e">
        <f>'[38]TGSPDCL MoD'!$F$104</f>
        <v>#VALUE!</v>
      </c>
      <c r="F115" s="147" t="e">
        <f>'[38]TGSPDCL MoD'!$F$104</f>
        <v>#VALUE!</v>
      </c>
      <c r="G115" s="147" t="e">
        <f>'[38]TGSPDCL MoD'!$F$104</f>
        <v>#VALUE!</v>
      </c>
      <c r="H115" s="147" t="e">
        <f>'[38]TGSPDCL MoD'!$F$104</f>
        <v>#VALUE!</v>
      </c>
      <c r="I115" s="147" t="e">
        <f>'[38]TGSPDCL MoD'!$F$104</f>
        <v>#VALUE!</v>
      </c>
      <c r="J115" s="147" t="e">
        <f>'[38]TGSPDCL MoD'!$F$104</f>
        <v>#VALUE!</v>
      </c>
      <c r="K115" s="147" t="e">
        <f>'[38]TGSPDCL MoD'!$F$104</f>
        <v>#VALUE!</v>
      </c>
      <c r="L115" s="147" t="e">
        <f>'[38]TGSPDCL MoD'!$F$104</f>
        <v>#VALUE!</v>
      </c>
      <c r="M115" s="147" t="e">
        <f>'[38]TGSPDCL MoD'!$F$104</f>
        <v>#VALUE!</v>
      </c>
      <c r="N115" s="147" t="e">
        <f>'[38]TGSPDCL MoD'!$F$104</f>
        <v>#VALUE!</v>
      </c>
      <c r="O115" s="147" t="e">
        <f>'[38]TGSPDCL MoD'!$F$104</f>
        <v>#VALUE!</v>
      </c>
      <c r="P115" s="147" t="e">
        <f>'[38]TGSPDCL MoD'!$F$104</f>
        <v>#VALUE!</v>
      </c>
      <c r="Q115" s="690" t="e">
        <f t="shared" ref="Q115:Q128" si="13">SUM(E115:P115)</f>
        <v>#VALUE!</v>
      </c>
    </row>
    <row r="116" spans="3:17">
      <c r="C116" s="55"/>
      <c r="D116" s="757" t="s">
        <v>407</v>
      </c>
      <c r="E116" s="147">
        <f>'[43]F9-Year(n+1)'!I116</f>
        <v>0.0324651300743771</v>
      </c>
      <c r="F116" s="147">
        <f>'[43]F9-Year(n+1)'!J116</f>
        <v>0.0324651300743771</v>
      </c>
      <c r="G116" s="147">
        <f>'[43]F9-Year(n+1)'!K116</f>
        <v>0.0324651300743771</v>
      </c>
      <c r="H116" s="147">
        <f>'[43]F9-Year(n+1)'!L116</f>
        <v>0.0324651300743771</v>
      </c>
      <c r="I116" s="147">
        <f>'[43]F9-Year(n+1)'!M116</f>
        <v>0.0324651300743771</v>
      </c>
      <c r="J116" s="147">
        <f>'[43]F9-Year(n+1)'!N116</f>
        <v>0.0324651300743771</v>
      </c>
      <c r="K116" s="147">
        <f>'[43]F9-Year(n+1)'!O116</f>
        <v>0.0324651300743771</v>
      </c>
      <c r="L116" s="147">
        <f>'[43]F9-Year(n+1)'!P116</f>
        <v>0.0324651300743771</v>
      </c>
      <c r="M116" s="147">
        <f>'[43]F9-Year(n+1)'!Q116</f>
        <v>0.0324651300743771</v>
      </c>
      <c r="N116" s="147">
        <f>'[43]F9-Year(n+1)'!R116</f>
        <v>0.0324651300743771</v>
      </c>
      <c r="O116" s="147">
        <f>'[43]F9-Year(n+1)'!S116</f>
        <v>0.0324651300743771</v>
      </c>
      <c r="P116" s="147">
        <f>'[43]F9-Year(n+1)'!T116</f>
        <v>0.0324651300743771</v>
      </c>
      <c r="Q116" s="690">
        <f t="shared" si="13"/>
        <v>0.389581560892525</v>
      </c>
    </row>
    <row r="117" spans="3:17">
      <c r="C117" s="55"/>
      <c r="D117" s="757" t="s">
        <v>408</v>
      </c>
      <c r="E117" s="147" t="e">
        <f>'[38]TGSPDCL MoD'!F101</f>
        <v>#REF!</v>
      </c>
      <c r="F117" s="147" t="e">
        <f>'[38]TGSPDCL MoD'!G101</f>
        <v>#REF!</v>
      </c>
      <c r="G117" s="147" t="e">
        <f>'[38]TGSPDCL MoD'!H101</f>
        <v>#REF!</v>
      </c>
      <c r="H117" s="147" t="e">
        <f>'[38]TGSPDCL MoD'!I101</f>
        <v>#REF!</v>
      </c>
      <c r="I117" s="147" t="e">
        <f>'[38]TGSPDCL MoD'!J101</f>
        <v>#REF!</v>
      </c>
      <c r="J117" s="147" t="e">
        <f>'[38]TGSPDCL MoD'!K101</f>
        <v>#REF!</v>
      </c>
      <c r="K117" s="147" t="e">
        <f>'[38]TGSPDCL MoD'!L101</f>
        <v>#REF!</v>
      </c>
      <c r="L117" s="147" t="e">
        <f>'[38]TGSPDCL MoD'!M101</f>
        <v>#REF!</v>
      </c>
      <c r="M117" s="147" t="e">
        <f>'[38]TGSPDCL MoD'!N101</f>
        <v>#REF!</v>
      </c>
      <c r="N117" s="147" t="e">
        <f>'[38]TGSPDCL MoD'!O101</f>
        <v>#REF!</v>
      </c>
      <c r="O117" s="147" t="e">
        <f>'[38]TGSPDCL MoD'!P101</f>
        <v>#REF!</v>
      </c>
      <c r="P117" s="147" t="e">
        <f>'[38]TGSPDCL MoD'!Q101</f>
        <v>#REF!</v>
      </c>
      <c r="Q117" s="690" t="e">
        <f t="shared" si="13"/>
        <v>#REF!</v>
      </c>
    </row>
    <row r="118" spans="3:17">
      <c r="C118" s="55"/>
      <c r="D118" s="757" t="s">
        <v>409</v>
      </c>
      <c r="E118" s="147" t="e">
        <f>'[38]TGSPDCL MoD'!F102</f>
        <v>#REF!</v>
      </c>
      <c r="F118" s="147" t="e">
        <f>'[38]TGSPDCL MoD'!G102</f>
        <v>#REF!</v>
      </c>
      <c r="G118" s="147" t="e">
        <f>'[38]TGSPDCL MoD'!H102</f>
        <v>#REF!</v>
      </c>
      <c r="H118" s="147" t="e">
        <f>'[38]TGSPDCL MoD'!I102</f>
        <v>#REF!</v>
      </c>
      <c r="I118" s="147" t="e">
        <f>'[38]TGSPDCL MoD'!J102</f>
        <v>#REF!</v>
      </c>
      <c r="J118" s="147" t="e">
        <f>'[38]TGSPDCL MoD'!K102</f>
        <v>#REF!</v>
      </c>
      <c r="K118" s="147" t="e">
        <f>'[38]TGSPDCL MoD'!L102</f>
        <v>#REF!</v>
      </c>
      <c r="L118" s="147" t="e">
        <f>'[38]TGSPDCL MoD'!M102</f>
        <v>#REF!</v>
      </c>
      <c r="M118" s="147" t="e">
        <f>'[38]TGSPDCL MoD'!N102</f>
        <v>#REF!</v>
      </c>
      <c r="N118" s="147" t="e">
        <f>'[38]TGSPDCL MoD'!O102</f>
        <v>#REF!</v>
      </c>
      <c r="O118" s="147" t="e">
        <f>'[38]TGSPDCL MoD'!P102</f>
        <v>#REF!</v>
      </c>
      <c r="P118" s="147" t="e">
        <f>'[38]TGSPDCL MoD'!Q102</f>
        <v>#REF!</v>
      </c>
      <c r="Q118" s="690" t="e">
        <f t="shared" si="13"/>
        <v>#REF!</v>
      </c>
    </row>
    <row r="119" spans="3:17">
      <c r="C119" s="55"/>
      <c r="D119" s="757" t="s">
        <v>410</v>
      </c>
      <c r="E119" s="147" t="e">
        <f>'[38]TGSPDCL MoD'!F99+'[38]TGSPDCL MoD'!F100</f>
        <v>#VALUE!</v>
      </c>
      <c r="F119" s="147" t="e">
        <f>'[38]TGSPDCL MoD'!G99+'[38]TGSPDCL MoD'!G100</f>
        <v>#VALUE!</v>
      </c>
      <c r="G119" s="147" t="e">
        <f>'[38]TGSPDCL MoD'!H99+'[38]TGSPDCL MoD'!H100</f>
        <v>#VALUE!</v>
      </c>
      <c r="H119" s="147" t="e">
        <f>'[38]TGSPDCL MoD'!I99+'[38]TGSPDCL MoD'!I100</f>
        <v>#VALUE!</v>
      </c>
      <c r="I119" s="147" t="e">
        <f>'[38]TGSPDCL MoD'!J99+'[38]TGSPDCL MoD'!J100</f>
        <v>#VALUE!</v>
      </c>
      <c r="J119" s="147" t="e">
        <f>'[38]TGSPDCL MoD'!K99+'[38]TGSPDCL MoD'!K100</f>
        <v>#VALUE!</v>
      </c>
      <c r="K119" s="147" t="e">
        <f>'[38]TGSPDCL MoD'!L99+'[38]TGSPDCL MoD'!L100</f>
        <v>#VALUE!</v>
      </c>
      <c r="L119" s="147" t="e">
        <f>'[38]TGSPDCL MoD'!M99+'[38]TGSPDCL MoD'!M100</f>
        <v>#VALUE!</v>
      </c>
      <c r="M119" s="147" t="e">
        <f>'[38]TGSPDCL MoD'!N99+'[38]TGSPDCL MoD'!N100</f>
        <v>#VALUE!</v>
      </c>
      <c r="N119" s="147" t="e">
        <f>'[38]TGSPDCL MoD'!O99+'[38]TGSPDCL MoD'!O100</f>
        <v>#VALUE!</v>
      </c>
      <c r="O119" s="147" t="e">
        <f>'[38]TGSPDCL MoD'!P99+'[38]TGSPDCL MoD'!P100</f>
        <v>#VALUE!</v>
      </c>
      <c r="P119" s="147" t="e">
        <f>'[38]TGSPDCL MoD'!Q99+'[38]TGSPDCL MoD'!Q100</f>
        <v>#VALUE!</v>
      </c>
      <c r="Q119" s="690" t="e">
        <f t="shared" si="13"/>
        <v>#VALUE!</v>
      </c>
    </row>
    <row r="120" spans="3:17">
      <c r="C120" s="55"/>
      <c r="D120" s="757" t="s">
        <v>368</v>
      </c>
      <c r="E120" s="147">
        <f>'[38]TGSPDCL MoD'!$F$103</f>
        <v>0.0078979694305466</v>
      </c>
      <c r="F120" s="147">
        <f>'[38]TGSPDCL MoD'!$F$103</f>
        <v>0.0078979694305466</v>
      </c>
      <c r="G120" s="147">
        <f>'[38]TGSPDCL MoD'!$F$103</f>
        <v>0.0078979694305466</v>
      </c>
      <c r="H120" s="147">
        <f>'[38]TGSPDCL MoD'!$F$103</f>
        <v>0.0078979694305466</v>
      </c>
      <c r="I120" s="147">
        <f>'[38]TGSPDCL MoD'!$F$103</f>
        <v>0.0078979694305466</v>
      </c>
      <c r="J120" s="147">
        <f>'[38]TGSPDCL MoD'!$F$103</f>
        <v>0.0078979694305466</v>
      </c>
      <c r="K120" s="147">
        <f>'[38]TGSPDCL MoD'!$F$103</f>
        <v>0.0078979694305466</v>
      </c>
      <c r="L120" s="147">
        <f>'[38]TGSPDCL MoD'!$F$103</f>
        <v>0.0078979694305466</v>
      </c>
      <c r="M120" s="147">
        <f>'[38]TGSPDCL MoD'!$F$103</f>
        <v>0.0078979694305466</v>
      </c>
      <c r="N120" s="147">
        <f>'[38]TGSPDCL MoD'!$F$103</f>
        <v>0.0078979694305466</v>
      </c>
      <c r="O120" s="147">
        <f>'[38]TGSPDCL MoD'!$F$103</f>
        <v>0.0078979694305466</v>
      </c>
      <c r="P120" s="147">
        <f>'[38]TGSPDCL MoD'!$F$103</f>
        <v>0.0078979694305466</v>
      </c>
      <c r="Q120" s="690">
        <f t="shared" si="13"/>
        <v>0.0947756331665592</v>
      </c>
    </row>
    <row r="121" spans="3:17">
      <c r="C121" s="55"/>
      <c r="D121" s="757" t="s">
        <v>411</v>
      </c>
      <c r="E121" s="147">
        <f>'[38]TGSPDCL MoD'!F114</f>
        <v>384.088550074122</v>
      </c>
      <c r="F121" s="147">
        <f>'[38]TGSPDCL MoD'!G114</f>
        <v>396.056497036756</v>
      </c>
      <c r="G121" s="147">
        <f>'[38]TGSPDCL MoD'!H114</f>
        <v>370.808188546593</v>
      </c>
      <c r="H121" s="147">
        <f>'[38]TGSPDCL MoD'!I114</f>
        <v>290.421936421382</v>
      </c>
      <c r="I121" s="147">
        <f>'[38]TGSPDCL MoD'!J114</f>
        <v>357.198502952433</v>
      </c>
      <c r="J121" s="147">
        <f>'[38]TGSPDCL MoD'!K114</f>
        <v>314.858965058679</v>
      </c>
      <c r="K121" s="147">
        <f>'[38]TGSPDCL MoD'!L114</f>
        <v>386.009895145196</v>
      </c>
      <c r="L121" s="147">
        <f>'[38]TGSPDCL MoD'!M114</f>
        <v>297.641163127246</v>
      </c>
      <c r="M121" s="147">
        <f>'[38]TGSPDCL MoD'!N114</f>
        <v>326.280272142635</v>
      </c>
      <c r="N121" s="147">
        <f>'[38]TGSPDCL MoD'!O114</f>
        <v>347.862560863748</v>
      </c>
      <c r="O121" s="147">
        <f>'[38]TGSPDCL MoD'!P114</f>
        <v>357.058666732541</v>
      </c>
      <c r="P121" s="147">
        <f>'[38]TGSPDCL MoD'!Q114</f>
        <v>382.867334738495</v>
      </c>
      <c r="Q121" s="690">
        <f t="shared" si="13"/>
        <v>4211.15253283983</v>
      </c>
    </row>
    <row r="122" spans="3:17">
      <c r="C122" s="55"/>
      <c r="D122" s="757" t="s">
        <v>412</v>
      </c>
      <c r="E122" s="147">
        <f>'[38]TGSPDCL MoD'!F107</f>
        <v>6.32792415834699</v>
      </c>
      <c r="F122" s="147">
        <f>'[38]TGSPDCL MoD'!G107</f>
        <v>6.52509811913299</v>
      </c>
      <c r="G122" s="147">
        <f>'[38]TGSPDCL MoD'!H107</f>
        <v>6.10912794449106</v>
      </c>
      <c r="H122" s="147">
        <f>'[38]TGSPDCL MoD'!I107</f>
        <v>4.78475077489323</v>
      </c>
      <c r="I122" s="147">
        <f>'[38]TGSPDCL MoD'!J107</f>
        <v>5.88490606065158</v>
      </c>
      <c r="J122" s="147">
        <f>'[38]TGSPDCL MoD'!K107</f>
        <v>5.1873549760399</v>
      </c>
      <c r="K122" s="147">
        <f>'[38]TGSPDCL MoD'!L107</f>
        <v>6.35957864502571</v>
      </c>
      <c r="L122" s="147">
        <f>'[38]TGSPDCL MoD'!M107</f>
        <v>4.90368876215635</v>
      </c>
      <c r="M122" s="147">
        <f>'[38]TGSPDCL MoD'!N107</f>
        <v>5.37552295189473</v>
      </c>
      <c r="N122" s="147">
        <f>'[38]TGSPDCL MoD'!O107</f>
        <v>5.73109482761035</v>
      </c>
      <c r="O122" s="147">
        <f>'[38]TGSPDCL MoD'!P107</f>
        <v>5.8826022351564</v>
      </c>
      <c r="P122" s="147">
        <f>'[38]TGSPDCL MoD'!Q107</f>
        <v>6.30780442808331</v>
      </c>
      <c r="Q122" s="690">
        <f t="shared" si="13"/>
        <v>69.3794538834826</v>
      </c>
    </row>
    <row r="123" spans="3:17">
      <c r="C123" s="55"/>
      <c r="D123" s="757" t="s">
        <v>413</v>
      </c>
      <c r="E123" s="147">
        <f>'[38]TGSPDCL MoD'!F108</f>
        <v>55.2518625459629</v>
      </c>
      <c r="F123" s="147">
        <f>'[38]TGSPDCL MoD'!G108</f>
        <v>56.9734742951525</v>
      </c>
      <c r="G123" s="147">
        <f>'[38]TGSPDCL MoD'!H108</f>
        <v>53.3414574856243</v>
      </c>
      <c r="H123" s="147">
        <f>'[38]TGSPDCL MoD'!I108</f>
        <v>41.7777434614749</v>
      </c>
      <c r="I123" s="147">
        <f>'[38]TGSPDCL MoD'!J108</f>
        <v>51.3836785370011</v>
      </c>
      <c r="J123" s="147">
        <f>'[38]TGSPDCL MoD'!K108</f>
        <v>45.2930561336157</v>
      </c>
      <c r="K123" s="147">
        <f>'[38]TGSPDCL MoD'!L108</f>
        <v>55.5282516592282</v>
      </c>
      <c r="L123" s="147">
        <f>'[38]TGSPDCL MoD'!M108</f>
        <v>42.8162428428379</v>
      </c>
      <c r="M123" s="147">
        <f>'[38]TGSPDCL MoD'!N108</f>
        <v>46.936032704972</v>
      </c>
      <c r="N123" s="147">
        <f>'[38]TGSPDCL MoD'!O108</f>
        <v>50.0406856544443</v>
      </c>
      <c r="O123" s="147">
        <f>'[38]TGSPDCL MoD'!P108</f>
        <v>51.363562832956</v>
      </c>
      <c r="P123" s="147">
        <f>'[38]TGSPDCL MoD'!Q108</f>
        <v>55.0761884159997</v>
      </c>
      <c r="Q123" s="690">
        <f t="shared" si="13"/>
        <v>605.782236569269</v>
      </c>
    </row>
    <row r="124" spans="3:17">
      <c r="C124" s="55"/>
      <c r="D124" s="757" t="s">
        <v>414</v>
      </c>
      <c r="E124" s="147">
        <f>'[38]TGSPDCL MoD'!F109</f>
        <v>55.2518625459629</v>
      </c>
      <c r="F124" s="147">
        <f>'[38]TGSPDCL MoD'!G109</f>
        <v>56.9734742951526</v>
      </c>
      <c r="G124" s="147">
        <f>'[38]TGSPDCL MoD'!H109</f>
        <v>53.3414574856243</v>
      </c>
      <c r="H124" s="147">
        <f>'[38]TGSPDCL MoD'!I109</f>
        <v>41.777743461475</v>
      </c>
      <c r="I124" s="147">
        <f>'[38]TGSPDCL MoD'!J109</f>
        <v>51.3836785370011</v>
      </c>
      <c r="J124" s="147">
        <f>'[38]TGSPDCL MoD'!K109</f>
        <v>45.2930561336157</v>
      </c>
      <c r="K124" s="147">
        <f>'[38]TGSPDCL MoD'!L109</f>
        <v>55.5282516592282</v>
      </c>
      <c r="L124" s="147">
        <f>'[38]TGSPDCL MoD'!M109</f>
        <v>42.8162428428379</v>
      </c>
      <c r="M124" s="147">
        <f>'[38]TGSPDCL MoD'!N109</f>
        <v>46.936032704972</v>
      </c>
      <c r="N124" s="147">
        <f>'[38]TGSPDCL MoD'!O109</f>
        <v>50.0406856544444</v>
      </c>
      <c r="O124" s="147">
        <f>'[38]TGSPDCL MoD'!P109</f>
        <v>51.363562832956</v>
      </c>
      <c r="P124" s="147">
        <f>'[38]TGSPDCL MoD'!Q109</f>
        <v>55.0761884159997</v>
      </c>
      <c r="Q124" s="690">
        <f t="shared" si="13"/>
        <v>605.78223656927</v>
      </c>
    </row>
    <row r="125" spans="3:17">
      <c r="C125" s="55"/>
      <c r="D125" s="757" t="s">
        <v>415</v>
      </c>
      <c r="E125" s="147">
        <f>'[38]TGSPDCL MoD'!F110</f>
        <v>213.410319083782</v>
      </c>
      <c r="F125" s="147">
        <f>'[38]TGSPDCL MoD'!G110</f>
        <v>220.060044465027</v>
      </c>
      <c r="G125" s="147">
        <f>'[38]TGSPDCL MoD'!H110</f>
        <v>206.031379538224</v>
      </c>
      <c r="H125" s="147">
        <f>'[38]TGSPDCL MoD'!I110</f>
        <v>161.366534119947</v>
      </c>
      <c r="I125" s="147">
        <f>'[38]TGSPDCL MoD'!J110</f>
        <v>198.469458349167</v>
      </c>
      <c r="J125" s="147">
        <f>'[38]TGSPDCL MoD'!K110</f>
        <v>174.944429316091</v>
      </c>
      <c r="K125" s="147">
        <f>'[38]TGSPDCL MoD'!L110</f>
        <v>214.477872033769</v>
      </c>
      <c r="L125" s="147">
        <f>'[38]TGSPDCL MoD'!M110</f>
        <v>165.377737980462</v>
      </c>
      <c r="M125" s="147">
        <f>'[38]TGSPDCL MoD'!N110</f>
        <v>181.290426322954</v>
      </c>
      <c r="N125" s="147">
        <f>'[38]TGSPDCL MoD'!O110</f>
        <v>193.282148340291</v>
      </c>
      <c r="O125" s="147">
        <f>'[38]TGSPDCL MoD'!P110</f>
        <v>198.391761442293</v>
      </c>
      <c r="P125" s="147">
        <f>'[38]TGSPDCL MoD'!Q110</f>
        <v>212.731777756799</v>
      </c>
      <c r="Q125" s="690">
        <f t="shared" si="13"/>
        <v>2339.83388874881</v>
      </c>
    </row>
    <row r="126" spans="3:17">
      <c r="C126" s="55"/>
      <c r="D126" s="757" t="s">
        <v>416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690">
        <f t="shared" si="13"/>
        <v>0</v>
      </c>
    </row>
    <row r="127" spans="3:17">
      <c r="C127" s="55"/>
      <c r="D127" s="757" t="s">
        <v>417</v>
      </c>
      <c r="E127" s="147">
        <f>'[38]TGSPDCL MoD'!F112</f>
        <v>233.715378569423</v>
      </c>
      <c r="F127" s="147">
        <f>'[38]TGSPDCL MoD'!G112</f>
        <v>240.997796268495</v>
      </c>
      <c r="G127" s="147">
        <f>'[38]TGSPDCL MoD'!H112</f>
        <v>225.634365164191</v>
      </c>
      <c r="H127" s="147">
        <f>'[38]TGSPDCL MoD'!I112</f>
        <v>176.719854842039</v>
      </c>
      <c r="I127" s="147">
        <f>'[38]TGSPDCL MoD'!J112</f>
        <v>217.352960211514</v>
      </c>
      <c r="J127" s="147">
        <f>'[38]TGSPDCL MoD'!K112</f>
        <v>191.589627445194</v>
      </c>
      <c r="K127" s="147">
        <f>'[38]TGSPDCL MoD'!L112</f>
        <v>234.884504518535</v>
      </c>
      <c r="L127" s="147">
        <f>'[38]TGSPDCL MoD'!M112</f>
        <v>181.112707225204</v>
      </c>
      <c r="M127" s="147">
        <f>'[38]TGSPDCL MoD'!N112</f>
        <v>198.539418342031</v>
      </c>
      <c r="N127" s="147">
        <f>'[38]TGSPDCL MoD'!O112</f>
        <v>211.6721003183</v>
      </c>
      <c r="O127" s="147">
        <f>'[38]TGSPDCL MoD'!P112</f>
        <v>217.267870783404</v>
      </c>
      <c r="P127" s="147">
        <f>'[38]TGSPDCL MoD'!Q112</f>
        <v>232.972276999679</v>
      </c>
      <c r="Q127" s="690">
        <f t="shared" si="13"/>
        <v>2562.45886068801</v>
      </c>
    </row>
    <row r="128" spans="3:17">
      <c r="C128" s="55"/>
      <c r="D128" s="757" t="s">
        <v>418</v>
      </c>
      <c r="E128" s="147">
        <f>'[38]TGSPDCL MoD'!F113</f>
        <v>138.129656364907</v>
      </c>
      <c r="F128" s="147">
        <f>'[38]TGSPDCL MoD'!G113</f>
        <v>142.433685737881</v>
      </c>
      <c r="G128" s="147">
        <f>'[38]TGSPDCL MoD'!H113</f>
        <v>133.353643714061</v>
      </c>
      <c r="H128" s="147">
        <f>'[38]TGSPDCL MoD'!I113</f>
        <v>104.444358653687</v>
      </c>
      <c r="I128" s="147">
        <f>'[38]TGSPDCL MoD'!J113</f>
        <v>128.459196342503</v>
      </c>
      <c r="J128" s="147">
        <f>'[38]TGSPDCL MoD'!K113</f>
        <v>113.232640334039</v>
      </c>
      <c r="K128" s="147">
        <f>'[38]TGSPDCL MoD'!L113</f>
        <v>138.82062914807</v>
      </c>
      <c r="L128" s="147">
        <f>'[38]TGSPDCL MoD'!M113</f>
        <v>107.040607107095</v>
      </c>
      <c r="M128" s="147">
        <f>'[38]TGSPDCL MoD'!N113</f>
        <v>117.34008176243</v>
      </c>
      <c r="N128" s="147">
        <f>'[38]TGSPDCL MoD'!O113</f>
        <v>125.101714136111</v>
      </c>
      <c r="O128" s="147">
        <f>'[38]TGSPDCL MoD'!P113</f>
        <v>128.40890708239</v>
      </c>
      <c r="P128" s="147">
        <f>'[38]TGSPDCL MoD'!Q113</f>
        <v>137.690471039999</v>
      </c>
      <c r="Q128" s="690">
        <f t="shared" si="13"/>
        <v>1514.45559142317</v>
      </c>
    </row>
    <row r="129" spans="3:17">
      <c r="C129" s="55"/>
      <c r="D129" s="55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690"/>
    </row>
    <row r="130" spans="3:17">
      <c r="C130" s="55"/>
      <c r="D130" s="55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690"/>
    </row>
    <row r="131" spans="3:17">
      <c r="C131" s="55"/>
      <c r="D131" s="55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690"/>
    </row>
    <row r="132" spans="3:17">
      <c r="C132" s="55"/>
      <c r="D132" s="55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690"/>
    </row>
    <row r="133" spans="3:17">
      <c r="C133" s="55"/>
      <c r="D133" s="55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690"/>
    </row>
    <row r="134" spans="3:17">
      <c r="C134" s="55"/>
      <c r="D134" s="5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690"/>
    </row>
    <row r="135" spans="3:17">
      <c r="C135" s="55"/>
      <c r="D135" s="55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690"/>
    </row>
    <row r="136" spans="3:17">
      <c r="C136" s="55"/>
      <c r="D136" s="55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690"/>
    </row>
    <row r="137" spans="3:17">
      <c r="C137" s="55"/>
      <c r="D137" s="55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690"/>
    </row>
    <row r="138" spans="3:17">
      <c r="C138" s="55"/>
      <c r="D138" s="55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690"/>
    </row>
    <row r="139" ht="15" spans="3:18">
      <c r="C139" s="44" t="s">
        <v>421</v>
      </c>
      <c r="D139" s="45"/>
      <c r="E139" s="690" t="e">
        <f t="shared" ref="E139:P139" si="14">SUM(E115:E138)</f>
        <v>#VALUE!</v>
      </c>
      <c r="F139" s="690" t="e">
        <f t="shared" si="14"/>
        <v>#VALUE!</v>
      </c>
      <c r="G139" s="690" t="e">
        <f t="shared" si="14"/>
        <v>#VALUE!</v>
      </c>
      <c r="H139" s="690" t="e">
        <f t="shared" si="14"/>
        <v>#VALUE!</v>
      </c>
      <c r="I139" s="690" t="e">
        <f t="shared" si="14"/>
        <v>#VALUE!</v>
      </c>
      <c r="J139" s="690" t="e">
        <f t="shared" si="14"/>
        <v>#VALUE!</v>
      </c>
      <c r="K139" s="690" t="e">
        <f t="shared" si="14"/>
        <v>#VALUE!</v>
      </c>
      <c r="L139" s="690" t="e">
        <f t="shared" si="14"/>
        <v>#VALUE!</v>
      </c>
      <c r="M139" s="690" t="e">
        <f t="shared" si="14"/>
        <v>#VALUE!</v>
      </c>
      <c r="N139" s="690" t="e">
        <f t="shared" si="14"/>
        <v>#VALUE!</v>
      </c>
      <c r="O139" s="690" t="e">
        <f t="shared" si="14"/>
        <v>#VALUE!</v>
      </c>
      <c r="P139" s="690" t="e">
        <f t="shared" si="14"/>
        <v>#VALUE!</v>
      </c>
      <c r="Q139" s="693" t="e">
        <f>SUM(E139:P139)</f>
        <v>#VALUE!</v>
      </c>
      <c r="R139" s="686"/>
    </row>
    <row r="140" ht="15" spans="3:17">
      <c r="C140" s="663" t="s">
        <v>422</v>
      </c>
      <c r="D140" s="676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</row>
    <row r="141" spans="3:18">
      <c r="C141" s="55"/>
      <c r="D141" s="757" t="s">
        <v>483</v>
      </c>
      <c r="E141" s="147" t="e">
        <f>'[38]ST,D-D'!D16</f>
        <v>#REF!</v>
      </c>
      <c r="F141" s="147" t="e">
        <f>'[38]ST,D-D'!E16</f>
        <v>#REF!</v>
      </c>
      <c r="G141" s="147" t="e">
        <f>'[38]ST,D-D'!F16</f>
        <v>#REF!</v>
      </c>
      <c r="H141" s="147" t="e">
        <f>'[38]ST,D-D'!G16</f>
        <v>#REF!</v>
      </c>
      <c r="I141" s="147" t="e">
        <f>'[38]ST,D-D'!H16</f>
        <v>#REF!</v>
      </c>
      <c r="J141" s="147" t="e">
        <f>'[38]ST,D-D'!I16</f>
        <v>#REF!</v>
      </c>
      <c r="K141" s="147" t="e">
        <f>'[38]ST,D-D'!J16</f>
        <v>#REF!</v>
      </c>
      <c r="L141" s="147" t="e">
        <f>'[38]ST,D-D'!K16</f>
        <v>#REF!</v>
      </c>
      <c r="M141" s="147" t="e">
        <f>'[38]ST,D-D'!L16</f>
        <v>#REF!</v>
      </c>
      <c r="N141" s="147" t="e">
        <f>'[38]ST,D-D'!M16</f>
        <v>#REF!</v>
      </c>
      <c r="O141" s="147">
        <f>'[38]ST,D-D'!N16</f>
        <v>0</v>
      </c>
      <c r="P141" s="147" t="e">
        <f>'[38]ST,D-D'!O16</f>
        <v>#REF!</v>
      </c>
      <c r="Q141" s="55" t="e">
        <f>SUM(E141:P141)</f>
        <v>#REF!</v>
      </c>
      <c r="R141" s="686"/>
    </row>
    <row r="142" spans="3:18">
      <c r="C142" s="55"/>
      <c r="D142" s="55" t="s">
        <v>484</v>
      </c>
      <c r="E142" s="147" t="e">
        <f>-'[38]ST,D-D'!D18</f>
        <v>#REF!</v>
      </c>
      <c r="F142" s="147" t="e">
        <f>-'[38]ST,D-D'!E18</f>
        <v>#REF!</v>
      </c>
      <c r="G142" s="147" t="e">
        <f>-'[38]ST,D-D'!F18</f>
        <v>#REF!</v>
      </c>
      <c r="H142" s="147" t="e">
        <f>-'[38]ST,D-D'!G18</f>
        <v>#REF!</v>
      </c>
      <c r="I142" s="147" t="e">
        <f>-'[38]ST,D-D'!H18</f>
        <v>#REF!</v>
      </c>
      <c r="J142" s="147" t="e">
        <f>-'[38]ST,D-D'!I18</f>
        <v>#REF!</v>
      </c>
      <c r="K142" s="147" t="e">
        <f>-'[38]ST,D-D'!J18</f>
        <v>#REF!</v>
      </c>
      <c r="L142" s="147" t="e">
        <f>-'[38]ST,D-D'!K18</f>
        <v>#REF!</v>
      </c>
      <c r="M142" s="147" t="e">
        <f>-'[38]ST,D-D'!L18</f>
        <v>#REF!</v>
      </c>
      <c r="N142" s="147" t="e">
        <f>-'[38]ST,D-D'!M18</f>
        <v>#REF!</v>
      </c>
      <c r="O142" s="147" t="e">
        <f>-'[38]ST,D-D'!N18</f>
        <v>#REF!</v>
      </c>
      <c r="P142" s="147" t="e">
        <f>-'[38]ST,D-D'!O18</f>
        <v>#REF!</v>
      </c>
      <c r="Q142" s="55" t="e">
        <f>SUM(E142:P142)</f>
        <v>#REF!</v>
      </c>
      <c r="R142" s="686"/>
    </row>
    <row r="143" spans="3:17">
      <c r="C143" s="55"/>
      <c r="D143" s="55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55"/>
    </row>
    <row r="144" spans="3:17">
      <c r="C144" s="55"/>
      <c r="D144" s="55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55"/>
    </row>
    <row r="145" spans="3:17">
      <c r="C145" s="55"/>
      <c r="D145" s="55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55"/>
    </row>
    <row r="146" spans="3:17">
      <c r="C146" s="55"/>
      <c r="D146" s="55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55"/>
    </row>
    <row r="147" spans="3:17">
      <c r="C147" s="55"/>
      <c r="D147" s="55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55"/>
    </row>
    <row r="148" spans="3:17">
      <c r="C148" s="55"/>
      <c r="D148" s="55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55"/>
    </row>
    <row r="149" spans="3:17">
      <c r="C149" s="55"/>
      <c r="D149" s="55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55"/>
    </row>
    <row r="150" spans="3:17">
      <c r="C150" s="55"/>
      <c r="D150" s="55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55"/>
    </row>
    <row r="151" spans="3:17">
      <c r="C151" s="55"/>
      <c r="D151" s="55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55"/>
    </row>
    <row r="152" ht="15" spans="3:17">
      <c r="C152" s="44" t="s">
        <v>424</v>
      </c>
      <c r="D152" s="45"/>
      <c r="E152" s="55" t="e">
        <f t="shared" ref="E152:P152" si="15">SUM(E141:E151)</f>
        <v>#REF!</v>
      </c>
      <c r="F152" s="55" t="e">
        <f t="shared" si="15"/>
        <v>#REF!</v>
      </c>
      <c r="G152" s="55" t="e">
        <f t="shared" si="15"/>
        <v>#REF!</v>
      </c>
      <c r="H152" s="55" t="e">
        <f t="shared" si="15"/>
        <v>#REF!</v>
      </c>
      <c r="I152" s="55" t="e">
        <f t="shared" si="15"/>
        <v>#REF!</v>
      </c>
      <c r="J152" s="55" t="e">
        <f t="shared" si="15"/>
        <v>#REF!</v>
      </c>
      <c r="K152" s="55" t="e">
        <f t="shared" si="15"/>
        <v>#REF!</v>
      </c>
      <c r="L152" s="55" t="e">
        <f t="shared" si="15"/>
        <v>#REF!</v>
      </c>
      <c r="M152" s="55" t="e">
        <f t="shared" si="15"/>
        <v>#REF!</v>
      </c>
      <c r="N152" s="55" t="e">
        <f t="shared" si="15"/>
        <v>#REF!</v>
      </c>
      <c r="O152" s="55" t="e">
        <f t="shared" si="15"/>
        <v>#REF!</v>
      </c>
      <c r="P152" s="55" t="e">
        <f t="shared" si="15"/>
        <v>#REF!</v>
      </c>
      <c r="Q152" s="316" t="e">
        <f>SUM(E152:P152)</f>
        <v>#REF!</v>
      </c>
    </row>
    <row r="153" ht="15" spans="3:17">
      <c r="C153" s="663" t="s">
        <v>425</v>
      </c>
      <c r="D153" s="676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</row>
    <row r="154" spans="3:18">
      <c r="C154" s="55" t="s">
        <v>426</v>
      </c>
      <c r="D154" s="757" t="s">
        <v>427</v>
      </c>
      <c r="E154" s="147" t="e">
        <f>'[38]ST,D-D'!D20</f>
        <v>#REF!</v>
      </c>
      <c r="F154" s="147" t="e">
        <f>'[38]ST,D-D'!E20</f>
        <v>#REF!</v>
      </c>
      <c r="G154" s="147" t="e">
        <f>'[38]ST,D-D'!F20</f>
        <v>#REF!</v>
      </c>
      <c r="H154" s="147" t="e">
        <f>'[38]ST,D-D'!G20</f>
        <v>#REF!</v>
      </c>
      <c r="I154" s="147" t="e">
        <f>'[38]ST,D-D'!H20</f>
        <v>#REF!</v>
      </c>
      <c r="J154" s="147" t="e">
        <f>'[38]ST,D-D'!I20</f>
        <v>#REF!</v>
      </c>
      <c r="K154" s="147" t="e">
        <f>'[38]ST,D-D'!J20</f>
        <v>#REF!</v>
      </c>
      <c r="L154" s="147" t="e">
        <f>'[38]ST,D-D'!K20</f>
        <v>#REF!</v>
      </c>
      <c r="M154" s="147" t="e">
        <f>'[38]ST,D-D'!L20</f>
        <v>#REF!</v>
      </c>
      <c r="N154" s="147" t="e">
        <f>'[38]ST,D-D'!M20</f>
        <v>#REF!</v>
      </c>
      <c r="O154" s="147">
        <f>'[38]ST,D-D'!N20</f>
        <v>0</v>
      </c>
      <c r="P154" s="147">
        <f>'[38]ST,D-D'!O20</f>
        <v>0</v>
      </c>
      <c r="Q154" s="55" t="e">
        <f>SUM(E154:P154)</f>
        <v>#REF!</v>
      </c>
      <c r="R154" s="686"/>
    </row>
    <row r="155" spans="3:17">
      <c r="C155" s="55" t="s">
        <v>426</v>
      </c>
      <c r="D155" s="757" t="s">
        <v>428</v>
      </c>
      <c r="E155" s="147">
        <v>0</v>
      </c>
      <c r="F155" s="147">
        <v>0</v>
      </c>
      <c r="G155" s="147">
        <v>0</v>
      </c>
      <c r="H155" s="147">
        <v>0</v>
      </c>
      <c r="I155" s="147">
        <v>0</v>
      </c>
      <c r="J155" s="147">
        <v>0</v>
      </c>
      <c r="K155" s="147">
        <v>0</v>
      </c>
      <c r="L155" s="147">
        <v>0</v>
      </c>
      <c r="M155" s="147">
        <v>0</v>
      </c>
      <c r="N155" s="147">
        <v>0</v>
      </c>
      <c r="O155" s="147">
        <v>0</v>
      </c>
      <c r="P155" s="147">
        <v>0</v>
      </c>
      <c r="Q155" s="55">
        <f>SUM(E155:P155)</f>
        <v>0</v>
      </c>
    </row>
    <row r="156" spans="3:17">
      <c r="C156" s="55"/>
      <c r="D156" s="758" t="s">
        <v>477</v>
      </c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>
        <f>SUM(E156:P156)</f>
        <v>0</v>
      </c>
    </row>
    <row r="157" ht="15" spans="3:18">
      <c r="C157" s="44" t="s">
        <v>429</v>
      </c>
      <c r="D157" s="45"/>
      <c r="E157" s="740" t="e">
        <f t="shared" ref="E157:P157" si="16">SUM(E154:E155)</f>
        <v>#REF!</v>
      </c>
      <c r="F157" s="740" t="e">
        <f t="shared" si="16"/>
        <v>#REF!</v>
      </c>
      <c r="G157" s="740" t="e">
        <f t="shared" si="16"/>
        <v>#REF!</v>
      </c>
      <c r="H157" s="740" t="e">
        <f t="shared" si="16"/>
        <v>#REF!</v>
      </c>
      <c r="I157" s="740" t="e">
        <f t="shared" si="16"/>
        <v>#REF!</v>
      </c>
      <c r="J157" s="740" t="e">
        <f t="shared" si="16"/>
        <v>#REF!</v>
      </c>
      <c r="K157" s="740" t="e">
        <f t="shared" si="16"/>
        <v>#REF!</v>
      </c>
      <c r="L157" s="740" t="e">
        <f t="shared" si="16"/>
        <v>#REF!</v>
      </c>
      <c r="M157" s="740" t="e">
        <f t="shared" si="16"/>
        <v>#REF!</v>
      </c>
      <c r="N157" s="740" t="e">
        <f t="shared" si="16"/>
        <v>#REF!</v>
      </c>
      <c r="O157" s="740">
        <f t="shared" si="16"/>
        <v>0</v>
      </c>
      <c r="P157" s="740">
        <f t="shared" si="16"/>
        <v>0</v>
      </c>
      <c r="Q157" s="743" t="e">
        <f>Q154+Q155</f>
        <v>#REF!</v>
      </c>
      <c r="R157" s="686"/>
    </row>
    <row r="158" ht="15" spans="3:18">
      <c r="C158" s="44" t="s">
        <v>224</v>
      </c>
      <c r="D158" s="45"/>
      <c r="E158" s="740" t="e">
        <f t="shared" ref="E158:Q158" si="17">E49+E94+E103+E113+E139+E152+E157</f>
        <v>#REF!</v>
      </c>
      <c r="F158" s="740" t="e">
        <f t="shared" si="17"/>
        <v>#REF!</v>
      </c>
      <c r="G158" s="740" t="e">
        <f t="shared" si="17"/>
        <v>#REF!</v>
      </c>
      <c r="H158" s="740" t="e">
        <f t="shared" si="17"/>
        <v>#REF!</v>
      </c>
      <c r="I158" s="740" t="e">
        <f t="shared" si="17"/>
        <v>#REF!</v>
      </c>
      <c r="J158" s="740" t="e">
        <f t="shared" si="17"/>
        <v>#REF!</v>
      </c>
      <c r="K158" s="740" t="e">
        <f t="shared" si="17"/>
        <v>#REF!</v>
      </c>
      <c r="L158" s="740" t="e">
        <f t="shared" si="17"/>
        <v>#REF!</v>
      </c>
      <c r="M158" s="740" t="e">
        <f t="shared" si="17"/>
        <v>#REF!</v>
      </c>
      <c r="N158" s="740" t="e">
        <f t="shared" si="17"/>
        <v>#REF!</v>
      </c>
      <c r="O158" s="740" t="e">
        <f t="shared" si="17"/>
        <v>#REF!</v>
      </c>
      <c r="P158" s="740" t="e">
        <f t="shared" si="17"/>
        <v>#REF!</v>
      </c>
      <c r="Q158" s="743" t="e">
        <f t="shared" si="17"/>
        <v>#REF!</v>
      </c>
      <c r="R158" s="686"/>
    </row>
    <row r="160" ht="15" spans="4:5">
      <c r="D160" s="11"/>
      <c r="E160" s="11"/>
    </row>
    <row r="161" spans="4:5">
      <c r="D161" s="13"/>
      <c r="E161" s="13"/>
    </row>
    <row r="162" spans="5:5">
      <c r="E162" s="13"/>
    </row>
    <row r="163" spans="5:5">
      <c r="E163" s="13"/>
    </row>
  </sheetData>
  <mergeCells count="32">
    <mergeCell ref="C2:P2"/>
    <mergeCell ref="C3:Q3"/>
    <mergeCell ref="E5:Q5"/>
    <mergeCell ref="C8:D8"/>
    <mergeCell ref="C9:D9"/>
    <mergeCell ref="C28:D28"/>
    <mergeCell ref="C29:D29"/>
    <mergeCell ref="C48:D48"/>
    <mergeCell ref="C49:D49"/>
    <mergeCell ref="C50:D50"/>
    <mergeCell ref="C51:D51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7:D157"/>
    <mergeCell ref="C158:D158"/>
    <mergeCell ref="C5:C7"/>
    <mergeCell ref="C10:C27"/>
    <mergeCell ref="C30:C47"/>
    <mergeCell ref="C52:C60"/>
    <mergeCell ref="C79:C82"/>
    <mergeCell ref="D5:D7"/>
  </mergeCells>
  <pageMargins left="0.7" right="0.7" top="0.75" bottom="0.75" header="0.3" footer="0.3"/>
  <pageSetup paperSize="1" orientation="portrait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B2:R163"/>
  <sheetViews>
    <sheetView showGridLines="0" zoomScale="85" zoomScaleNormal="85" topLeftCell="B91" workbookViewId="0">
      <selection activeCell="E65" sqref="E65:Q66"/>
    </sheetView>
  </sheetViews>
  <sheetFormatPr defaultColWidth="9.14285714285714" defaultRowHeight="14.25"/>
  <cols>
    <col min="1" max="1" width="3.14285714285714" style="12" customWidth="1"/>
    <col min="2" max="2" width="8.14285714285714" style="12" customWidth="1"/>
    <col min="3" max="3" width="22.1428571428571" style="12" customWidth="1"/>
    <col min="4" max="4" width="42.8571428571429" style="12" customWidth="1"/>
    <col min="5" max="5" width="14.1428571428571" style="12" customWidth="1"/>
    <col min="6" max="6" width="13.4285714285714" style="12" customWidth="1"/>
    <col min="7" max="7" width="13.5714285714286" style="12" customWidth="1"/>
    <col min="8" max="8" width="14.1428571428571" style="12" customWidth="1"/>
    <col min="9" max="9" width="13.4285714285714" style="12" customWidth="1"/>
    <col min="10" max="10" width="14.8571428571429" style="12" customWidth="1"/>
    <col min="11" max="11" width="12.5714285714286" style="12" customWidth="1"/>
    <col min="12" max="12" width="13.4285714285714" style="12" customWidth="1"/>
    <col min="13" max="13" width="14.1428571428571" style="12" customWidth="1"/>
    <col min="14" max="16" width="13.4285714285714" style="12" customWidth="1"/>
    <col min="17" max="17" width="14.5714285714286" style="12" customWidth="1"/>
    <col min="18" max="18" width="12.4285714285714" style="12" customWidth="1"/>
    <col min="19" max="19" width="12.8571428571429" style="12" customWidth="1"/>
    <col min="20" max="16384" width="9.14285714285714" style="12"/>
  </cols>
  <sheetData>
    <row r="2" ht="15" spans="3:16">
      <c r="C2" s="2" t="s">
        <v>0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customHeight="1" spans="3:17">
      <c r="C3" s="3" t="s">
        <v>485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ht="15" spans="3:17">
      <c r="C4" s="14"/>
      <c r="Q4" s="3" t="s">
        <v>236</v>
      </c>
    </row>
    <row r="5" ht="15" customHeight="1" spans="3:17">
      <c r="C5" s="658" t="s">
        <v>345</v>
      </c>
      <c r="D5" s="658" t="s">
        <v>346</v>
      </c>
      <c r="E5" s="135" t="s">
        <v>459</v>
      </c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</row>
    <row r="6" ht="15" spans="3:17">
      <c r="C6" s="660"/>
      <c r="D6" s="660"/>
      <c r="E6" s="135" t="s">
        <v>246</v>
      </c>
      <c r="F6" s="135" t="s">
        <v>247</v>
      </c>
      <c r="G6" s="135" t="s">
        <v>248</v>
      </c>
      <c r="H6" s="135" t="s">
        <v>249</v>
      </c>
      <c r="I6" s="135" t="s">
        <v>250</v>
      </c>
      <c r="J6" s="135" t="s">
        <v>251</v>
      </c>
      <c r="K6" s="135" t="s">
        <v>252</v>
      </c>
      <c r="L6" s="135" t="s">
        <v>253</v>
      </c>
      <c r="M6" s="135" t="s">
        <v>254</v>
      </c>
      <c r="N6" s="135" t="s">
        <v>255</v>
      </c>
      <c r="O6" s="135" t="s">
        <v>256</v>
      </c>
      <c r="P6" s="135" t="s">
        <v>257</v>
      </c>
      <c r="Q6" s="135" t="s">
        <v>97</v>
      </c>
    </row>
    <row r="7" customHeight="1" spans="3:17">
      <c r="C7" s="662"/>
      <c r="D7" s="662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</row>
    <row r="8" ht="15" spans="2:17">
      <c r="B8" s="656"/>
      <c r="C8" s="663" t="s">
        <v>349</v>
      </c>
      <c r="D8" s="676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ht="15" spans="3:17">
      <c r="C9" s="44" t="s">
        <v>350</v>
      </c>
      <c r="D9" s="4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customHeight="1" spans="2:17">
      <c r="B10" s="656"/>
      <c r="C10" s="754" t="s">
        <v>351</v>
      </c>
      <c r="D10" s="47" t="s">
        <v>352</v>
      </c>
      <c r="E10" s="147">
        <f>'[39]TGSPDCL MoD'!F4+'[39]TGSPDCL MoD'!F5</f>
        <v>150.357552882485</v>
      </c>
      <c r="F10" s="147">
        <f>'[39]TGSPDCL MoD'!G4+'[39]TGSPDCL MoD'!G5</f>
        <v>184.501247182882</v>
      </c>
      <c r="G10" s="147">
        <f>'[39]TGSPDCL MoD'!H4+'[39]TGSPDCL MoD'!H5</f>
        <v>178.54959404795</v>
      </c>
      <c r="H10" s="147">
        <f>'[39]TGSPDCL MoD'!I4+'[39]TGSPDCL MoD'!I5</f>
        <v>0</v>
      </c>
      <c r="I10" s="147">
        <f>'[39]TGSPDCL MoD'!J4+'[39]TGSPDCL MoD'!J5</f>
        <v>61.0380065868182</v>
      </c>
      <c r="J10" s="147">
        <f>'[39]TGSPDCL MoD'!K4+'[39]TGSPDCL MoD'!K5</f>
        <v>124.186293825934</v>
      </c>
      <c r="K10" s="147">
        <f>'[39]TGSPDCL MoD'!L4+'[39]TGSPDCL MoD'!L5</f>
        <v>122.076013173636</v>
      </c>
      <c r="L10" s="147">
        <f>'[39]TGSPDCL MoD'!M4+'[39]TGSPDCL MoD'!M5</f>
        <v>146.330118430275</v>
      </c>
      <c r="M10" s="147">
        <f>'[39]TGSPDCL MoD'!N4+'[39]TGSPDCL MoD'!N5</f>
        <v>133.421569108953</v>
      </c>
      <c r="N10" s="147">
        <f>'[39]TGSPDCL MoD'!O4+'[39]TGSPDCL MoD'!O5</f>
        <v>133.016594687275</v>
      </c>
      <c r="O10" s="147">
        <f>'[39]TGSPDCL MoD'!P4+'[39]TGSPDCL MoD'!P5</f>
        <v>141.828913690478</v>
      </c>
      <c r="P10" s="147">
        <f>'[39]TGSPDCL MoD'!Q4+'[39]TGSPDCL MoD'!Q5</f>
        <v>167.85451811375</v>
      </c>
      <c r="Q10" s="690">
        <f t="shared" ref="Q10:Q17" si="0">SUM(E10:P10)</f>
        <v>1543.16042173044</v>
      </c>
    </row>
    <row r="11" spans="2:17">
      <c r="B11" s="656"/>
      <c r="C11" s="755"/>
      <c r="D11" s="47" t="s">
        <v>353</v>
      </c>
      <c r="E11" s="147">
        <f>'[39]TGSPDCL MoD'!F6</f>
        <v>153.08881473453</v>
      </c>
      <c r="F11" s="147">
        <f>'[39]TGSPDCL MoD'!G6</f>
        <v>0</v>
      </c>
      <c r="G11" s="147">
        <f>'[39]TGSPDCL MoD'!H6</f>
        <v>91.2885142500799</v>
      </c>
      <c r="H11" s="147">
        <f>'[39]TGSPDCL MoD'!I6</f>
        <v>138.722742242768</v>
      </c>
      <c r="I11" s="147">
        <f>'[39]TGSPDCL MoD'!J6</f>
        <v>122.076013173636</v>
      </c>
      <c r="J11" s="147">
        <f>'[39]TGSPDCL MoD'!K6</f>
        <v>126.192946169228</v>
      </c>
      <c r="K11" s="147">
        <f>'[39]TGSPDCL MoD'!L6</f>
        <v>122.076013173636</v>
      </c>
      <c r="L11" s="147">
        <f>'[39]TGSPDCL MoD'!M6</f>
        <v>173.712466856114</v>
      </c>
      <c r="M11" s="147">
        <f>'[39]TGSPDCL MoD'!N6</f>
        <v>138.899256363472</v>
      </c>
      <c r="N11" s="147">
        <f>'[39]TGSPDCL MoD'!O6</f>
        <v>148.712989817058</v>
      </c>
      <c r="O11" s="147">
        <f>'[39]TGSPDCL MoD'!P6</f>
        <v>147.851593667776</v>
      </c>
      <c r="P11" s="147">
        <f>'[39]TGSPDCL MoD'!Q6</f>
        <v>167.85451811375</v>
      </c>
      <c r="Q11" s="690">
        <f t="shared" si="0"/>
        <v>1530.47586856205</v>
      </c>
    </row>
    <row r="12" spans="2:17">
      <c r="B12" s="656"/>
      <c r="C12" s="755"/>
      <c r="D12" s="47" t="s">
        <v>354</v>
      </c>
      <c r="E12" s="147">
        <f>'[39]TGSPDCL MoD'!F7</f>
        <v>258.584627630266</v>
      </c>
      <c r="F12" s="147">
        <f>'[39]TGSPDCL MoD'!G7</f>
        <v>0</v>
      </c>
      <c r="G12" s="147">
        <f>'[39]TGSPDCL MoD'!H7</f>
        <v>146.061622800128</v>
      </c>
      <c r="H12" s="147">
        <f>'[39]TGSPDCL MoD'!I7</f>
        <v>237.184136729197</v>
      </c>
      <c r="I12" s="147">
        <f>'[39]TGSPDCL MoD'!J7</f>
        <v>199.050285244645</v>
      </c>
      <c r="J12" s="147">
        <f>'[39]TGSPDCL MoD'!K7</f>
        <v>209.580960987262</v>
      </c>
      <c r="K12" s="147">
        <f>'[39]TGSPDCL MoD'!L7</f>
        <v>195.321621077818</v>
      </c>
      <c r="L12" s="147">
        <f>'[39]TGSPDCL MoD'!M7</f>
        <v>291.373554653123</v>
      </c>
      <c r="M12" s="147">
        <f>'[39]TGSPDCL MoD'!N7</f>
        <v>255.033006687575</v>
      </c>
      <c r="N12" s="147">
        <f>'[39]TGSPDCL MoD'!O7</f>
        <v>248.591154099041</v>
      </c>
      <c r="O12" s="147">
        <f>'[39]TGSPDCL MoD'!P7</f>
        <v>236.562549868442</v>
      </c>
      <c r="P12" s="147">
        <f>'[39]TGSPDCL MoD'!Q7</f>
        <v>269.345256963165</v>
      </c>
      <c r="Q12" s="690">
        <f t="shared" si="0"/>
        <v>2546.68877674066</v>
      </c>
    </row>
    <row r="13" spans="2:17">
      <c r="B13" s="656"/>
      <c r="C13" s="755"/>
      <c r="D13" s="47" t="s">
        <v>355</v>
      </c>
      <c r="E13" s="147">
        <f>'[39]TGSPDCL MoD'!F8</f>
        <v>18.598154877124</v>
      </c>
      <c r="F13" s="147">
        <f>'[39]TGSPDCL MoD'!G8</f>
        <v>0</v>
      </c>
      <c r="G13" s="147">
        <f>'[39]TGSPDCL MoD'!H8</f>
        <v>11.159349627997</v>
      </c>
      <c r="H13" s="147">
        <f>'[39]TGSPDCL MoD'!I8</f>
        <v>16.2999222135253</v>
      </c>
      <c r="I13" s="147">
        <f>'[39]TGSPDCL MoD'!J8</f>
        <v>15.2595016467045</v>
      </c>
      <c r="J13" s="147">
        <f>'[39]TGSPDCL MoD'!K8</f>
        <v>15.2706889646273</v>
      </c>
      <c r="K13" s="147">
        <f>'[39]TGSPDCL MoD'!L8</f>
        <v>15.2595016467045</v>
      </c>
      <c r="L13" s="147">
        <f>'[39]TGSPDCL MoD'!M8</f>
        <v>17.7878354972583</v>
      </c>
      <c r="M13" s="147">
        <f>'[39]TGSPDCL MoD'!N8</f>
        <v>16.2999222135253</v>
      </c>
      <c r="N13" s="147">
        <f>'[39]TGSPDCL MoD'!O8</f>
        <v>16.2999222135253</v>
      </c>
      <c r="O13" s="147">
        <f>'[39]TGSPDCL MoD'!P8</f>
        <v>17.5417145029566</v>
      </c>
      <c r="P13" s="147">
        <f>'[39]TGSPDCL MoD'!Q8</f>
        <v>20.9818147642188</v>
      </c>
      <c r="Q13" s="690">
        <f t="shared" si="0"/>
        <v>180.758328168167</v>
      </c>
    </row>
    <row r="14" spans="2:17">
      <c r="B14" s="656"/>
      <c r="C14" s="755"/>
      <c r="D14" s="47" t="s">
        <v>356</v>
      </c>
      <c r="E14" s="147">
        <f>'[39]TGSPDCL MoD'!F9</f>
        <v>186.604462952369</v>
      </c>
      <c r="F14" s="147">
        <f>'[39]TGSPDCL MoD'!G9</f>
        <v>188.662929450165</v>
      </c>
      <c r="G14" s="147">
        <f>'[39]TGSPDCL MoD'!H9</f>
        <v>182.57702850016</v>
      </c>
      <c r="H14" s="147">
        <f>'[39]TGSPDCL MoD'!I9</f>
        <v>189.34248828523</v>
      </c>
      <c r="I14" s="147">
        <f>'[39]TGSPDCL MoD'!J9</f>
        <v>155.369471311901</v>
      </c>
      <c r="J14" s="147">
        <f>'[39]TGSPDCL MoD'!K9</f>
        <v>164.636069237971</v>
      </c>
      <c r="K14" s="147">
        <f>'[39]TGSPDCL MoD'!L9</f>
        <v>0</v>
      </c>
      <c r="L14" s="147">
        <f>'[39]TGSPDCL MoD'!M9</f>
        <v>94.8902727693097</v>
      </c>
      <c r="M14" s="147">
        <f>'[39]TGSPDCL MoD'!N9</f>
        <v>184.501247182882</v>
      </c>
      <c r="N14" s="147">
        <f>'[39]TGSPDCL MoD'!O9</f>
        <v>167.85451811375</v>
      </c>
      <c r="O14" s="147">
        <f>'[39]TGSPDCL MoD'!P9</f>
        <v>162.887348956025</v>
      </c>
      <c r="P14" s="147">
        <f>'[39]TGSPDCL MoD'!Q9</f>
        <v>198.319887966819</v>
      </c>
      <c r="Q14" s="690">
        <f t="shared" si="0"/>
        <v>1875.64572472658</v>
      </c>
    </row>
    <row r="15" spans="2:17">
      <c r="B15" s="656"/>
      <c r="C15" s="755"/>
      <c r="D15" s="47" t="s">
        <v>357</v>
      </c>
      <c r="E15" s="147">
        <f>'[39]TGSPDCL MoD'!F10</f>
        <v>228.758276885494</v>
      </c>
      <c r="F15" s="147">
        <f>'[39]TGSPDCL MoD'!G10</f>
        <v>227.24796345548</v>
      </c>
      <c r="G15" s="147">
        <f>'[39]TGSPDCL MoD'!H10</f>
        <v>228.758276885494</v>
      </c>
      <c r="H15" s="147">
        <f>'[39]TGSPDCL MoD'!I10</f>
        <v>241.377571502417</v>
      </c>
      <c r="I15" s="147">
        <f>'[39]TGSPDCL MoD'!J10</f>
        <v>196.43140301576</v>
      </c>
      <c r="J15" s="147">
        <f>'[39]TGSPDCL MoD'!K10</f>
        <v>218.188656155389</v>
      </c>
      <c r="K15" s="147">
        <f>'[39]TGSPDCL MoD'!L10</f>
        <v>186.443365574281</v>
      </c>
      <c r="L15" s="147">
        <f>'[39]TGSPDCL MoD'!M10</f>
        <v>0</v>
      </c>
      <c r="M15" s="147">
        <f>'[39]TGSPDCL MoD'!N10</f>
        <v>116.850624431442</v>
      </c>
      <c r="N15" s="147">
        <f>'[39]TGSPDCL MoD'!O10</f>
        <v>216.407477898719</v>
      </c>
      <c r="O15" s="147">
        <f>'[39]TGSPDCL MoD'!P10</f>
        <v>199.975545333705</v>
      </c>
      <c r="P15" s="147">
        <f>'[39]TGSPDCL MoD'!Q10</f>
        <v>241.377571502417</v>
      </c>
      <c r="Q15" s="690">
        <f t="shared" si="0"/>
        <v>2301.8167326406</v>
      </c>
    </row>
    <row r="16" spans="2:17">
      <c r="B16" s="656"/>
      <c r="C16" s="755"/>
      <c r="D16" s="47" t="s">
        <v>358</v>
      </c>
      <c r="E16" s="147">
        <f>'[39]TGSPDCL MoD'!F11+'[39]TGSPDCL MoD'!F12+'[39]TGSPDCL MoD'!F13+'[39]TGSPDCL MoD'!F14</f>
        <v>407.161010566671</v>
      </c>
      <c r="F16" s="147">
        <f>'[39]TGSPDCL MoD'!G11+'[39]TGSPDCL MoD'!G12+'[39]TGSPDCL MoD'!G13+'[39]TGSPDCL MoD'!G14</f>
        <v>203.755963806178</v>
      </c>
      <c r="G16" s="147">
        <f>'[39]TGSPDCL MoD'!H11+'[39]TGSPDCL MoD'!H12+'[39]TGSPDCL MoD'!H13+'[39]TGSPDCL MoD'!H14</f>
        <v>302.566663277126</v>
      </c>
      <c r="H16" s="147">
        <f>'[39]TGSPDCL MoD'!I11+'[39]TGSPDCL MoD'!I12+'[39]TGSPDCL MoD'!I13+'[39]TGSPDCL MoD'!I14</f>
        <v>423.355217997276</v>
      </c>
      <c r="I16" s="147">
        <f>'[39]TGSPDCL MoD'!J11+'[39]TGSPDCL MoD'!J12+'[39]TGSPDCL MoD'!J13+'[39]TGSPDCL MoD'!J14</f>
        <v>302.702891726714</v>
      </c>
      <c r="J16" s="147">
        <f>'[39]TGSPDCL MoD'!K11+'[39]TGSPDCL MoD'!K12+'[39]TGSPDCL MoD'!K13+'[39]TGSPDCL MoD'!K14</f>
        <v>274.60146844257</v>
      </c>
      <c r="K16" s="147">
        <f>'[39]TGSPDCL MoD'!L11+'[39]TGSPDCL MoD'!L12+'[39]TGSPDCL MoD'!L13+'[39]TGSPDCL MoD'!L14</f>
        <v>327.720222798819</v>
      </c>
      <c r="L16" s="147">
        <f>'[39]TGSPDCL MoD'!M11+'[39]TGSPDCL MoD'!M12+'[39]TGSPDCL MoD'!M13+'[39]TGSPDCL MoD'!M14</f>
        <v>308.823673795416</v>
      </c>
      <c r="M16" s="147">
        <f>'[39]TGSPDCL MoD'!N11+'[39]TGSPDCL MoD'!N12+'[39]TGSPDCL MoD'!N13+'[39]TGSPDCL MoD'!N14</f>
        <v>353.685362164803</v>
      </c>
      <c r="N16" s="147">
        <f>'[39]TGSPDCL MoD'!O11+'[39]TGSPDCL MoD'!O12+'[39]TGSPDCL MoD'!O13+'[39]TGSPDCL MoD'!O14</f>
        <v>372.903485867731</v>
      </c>
      <c r="O16" s="147">
        <f>'[39]TGSPDCL MoD'!P11+'[39]TGSPDCL MoD'!P12+'[39]TGSPDCL MoD'!P13+'[39]TGSPDCL MoD'!P14</f>
        <v>351.836673745014</v>
      </c>
      <c r="P16" s="147">
        <f>'[39]TGSPDCL MoD'!Q11+'[39]TGSPDCL MoD'!Q12+'[39]TGSPDCL MoD'!Q13+'[39]TGSPDCL MoD'!Q14</f>
        <v>434.479628704352</v>
      </c>
      <c r="Q16" s="690">
        <f t="shared" si="0"/>
        <v>4063.59226289267</v>
      </c>
    </row>
    <row r="17" spans="2:17">
      <c r="B17" s="656"/>
      <c r="C17" s="755"/>
      <c r="D17" s="47" t="s">
        <v>359</v>
      </c>
      <c r="E17" s="147">
        <f>'[39]TGSPDCL MoD'!F15+'[39]TGSPDCL MoD'!F16+'[39]TGSPDCL MoD'!F17+'[39]TGSPDCL MoD'!F18+'[39]TGSPDCL MoD'!F19</f>
        <v>1548.76658011415</v>
      </c>
      <c r="F17" s="147">
        <f>'[39]TGSPDCL MoD'!G15+'[39]TGSPDCL MoD'!G16+'[39]TGSPDCL MoD'!G17+'[39]TGSPDCL MoD'!G18+'[39]TGSPDCL MoD'!G19</f>
        <v>945.53421112671</v>
      </c>
      <c r="G17" s="147">
        <f>'[39]TGSPDCL MoD'!H15+'[39]TGSPDCL MoD'!H16+'[39]TGSPDCL MoD'!H17+'[39]TGSPDCL MoD'!H18+'[39]TGSPDCL MoD'!H19</f>
        <v>915.638439184271</v>
      </c>
      <c r="H17" s="147">
        <f>'[39]TGSPDCL MoD'!I15+'[39]TGSPDCL MoD'!I16+'[39]TGSPDCL MoD'!I17+'[39]TGSPDCL MoD'!I18+'[39]TGSPDCL MoD'!I19</f>
        <v>982.898526907253</v>
      </c>
      <c r="I17" s="147">
        <f>'[39]TGSPDCL MoD'!J15+'[39]TGSPDCL MoD'!J16+'[39]TGSPDCL MoD'!J17+'[39]TGSPDCL MoD'!J18+'[39]TGSPDCL MoD'!J19</f>
        <v>1396.11227141193</v>
      </c>
      <c r="J17" s="147">
        <f>'[39]TGSPDCL MoD'!K15+'[39]TGSPDCL MoD'!K16+'[39]TGSPDCL MoD'!K17+'[39]TGSPDCL MoD'!K18+'[39]TGSPDCL MoD'!K19</f>
        <v>1570.84469515551</v>
      </c>
      <c r="K17" s="147">
        <f>'[39]TGSPDCL MoD'!L15+'[39]TGSPDCL MoD'!L16+'[39]TGSPDCL MoD'!L17+'[39]TGSPDCL MoD'!L18+'[39]TGSPDCL MoD'!L19</f>
        <v>1421.55233941618</v>
      </c>
      <c r="L17" s="147">
        <f>'[39]TGSPDCL MoD'!M15+'[39]TGSPDCL MoD'!M16+'[39]TGSPDCL MoD'!M17+'[39]TGSPDCL MoD'!M18+'[39]TGSPDCL MoD'!M19</f>
        <v>1231.98140671556</v>
      </c>
      <c r="M17" s="147">
        <f>'[39]TGSPDCL MoD'!N15+'[39]TGSPDCL MoD'!N16+'[39]TGSPDCL MoD'!N17+'[39]TGSPDCL MoD'!N18+'[39]TGSPDCL MoD'!N19</f>
        <v>1427.36070293485</v>
      </c>
      <c r="N17" s="147">
        <f>'[39]TGSPDCL MoD'!O15+'[39]TGSPDCL MoD'!O16+'[39]TGSPDCL MoD'!O17+'[39]TGSPDCL MoD'!O18+'[39]TGSPDCL MoD'!O19</f>
        <v>1575.01705314802</v>
      </c>
      <c r="O17" s="147">
        <f>'[39]TGSPDCL MoD'!P15+'[39]TGSPDCL MoD'!P16+'[39]TGSPDCL MoD'!P17+'[39]TGSPDCL MoD'!P18+'[39]TGSPDCL MoD'!P19</f>
        <v>1446.75214272437</v>
      </c>
      <c r="P17" s="147">
        <f>'[39]TGSPDCL MoD'!Q15+'[39]TGSPDCL MoD'!Q16+'[39]TGSPDCL MoD'!Q17+'[39]TGSPDCL MoD'!Q18+'[39]TGSPDCL MoD'!Q19</f>
        <v>1729.22258070889</v>
      </c>
      <c r="Q17" s="690">
        <f t="shared" si="0"/>
        <v>16191.6809495477</v>
      </c>
    </row>
    <row r="18" spans="2:17">
      <c r="B18" s="656"/>
      <c r="C18" s="755"/>
      <c r="D18" s="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690"/>
    </row>
    <row r="19" spans="2:17">
      <c r="B19" s="656"/>
      <c r="C19" s="755"/>
      <c r="D19" s="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690"/>
    </row>
    <row r="20" spans="2:17">
      <c r="B20" s="656"/>
      <c r="C20" s="755"/>
      <c r="D20" s="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690"/>
    </row>
    <row r="21" spans="2:17">
      <c r="B21" s="656"/>
      <c r="C21" s="755"/>
      <c r="D21" s="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690"/>
    </row>
    <row r="22" spans="2:17">
      <c r="B22" s="656"/>
      <c r="C22" s="755"/>
      <c r="D22" s="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690"/>
    </row>
    <row r="23" spans="2:17">
      <c r="B23" s="656"/>
      <c r="C23" s="755"/>
      <c r="D23" s="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690"/>
    </row>
    <row r="24" spans="2:17">
      <c r="B24" s="656"/>
      <c r="C24" s="755"/>
      <c r="D24" s="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690"/>
    </row>
    <row r="25" spans="2:17">
      <c r="B25" s="656"/>
      <c r="C25" s="755"/>
      <c r="D25" s="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690"/>
    </row>
    <row r="26" spans="2:17">
      <c r="B26" s="656"/>
      <c r="C26" s="755"/>
      <c r="D26" s="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690"/>
    </row>
    <row r="27" spans="2:17">
      <c r="B27" s="656"/>
      <c r="C27" s="756"/>
      <c r="D27" s="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690"/>
    </row>
    <row r="28" ht="15" spans="3:18">
      <c r="C28" s="537" t="s">
        <v>211</v>
      </c>
      <c r="D28" s="540"/>
      <c r="E28" s="690">
        <f t="shared" ref="E28:P28" si="1">SUM(E10:E27)</f>
        <v>2951.91948064309</v>
      </c>
      <c r="F28" s="690">
        <f t="shared" si="1"/>
        <v>1749.70231502141</v>
      </c>
      <c r="G28" s="690">
        <f t="shared" si="1"/>
        <v>2056.59948857321</v>
      </c>
      <c r="H28" s="690">
        <f t="shared" si="1"/>
        <v>2229.18060587767</v>
      </c>
      <c r="I28" s="690">
        <f t="shared" si="1"/>
        <v>2448.03984411811</v>
      </c>
      <c r="J28" s="690">
        <f t="shared" si="1"/>
        <v>2703.50177893849</v>
      </c>
      <c r="K28" s="690">
        <f t="shared" si="1"/>
        <v>2390.44907686108</v>
      </c>
      <c r="L28" s="690">
        <f t="shared" si="1"/>
        <v>2264.89932871706</v>
      </c>
      <c r="M28" s="690">
        <f t="shared" si="1"/>
        <v>2626.05169108751</v>
      </c>
      <c r="N28" s="690">
        <f t="shared" si="1"/>
        <v>2878.80319584512</v>
      </c>
      <c r="O28" s="690">
        <f t="shared" si="1"/>
        <v>2705.23648248876</v>
      </c>
      <c r="P28" s="690">
        <f t="shared" si="1"/>
        <v>3229.43577683736</v>
      </c>
      <c r="Q28" s="693">
        <f>SUM(E28:P28)</f>
        <v>30233.8190650089</v>
      </c>
      <c r="R28" s="686"/>
    </row>
    <row r="29" ht="15" spans="3:17">
      <c r="C29" s="44" t="s">
        <v>360</v>
      </c>
      <c r="D29" s="4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3:17">
      <c r="C30" s="682" t="s">
        <v>351</v>
      </c>
      <c r="D30" s="55" t="str">
        <f>'[43]F9-Year(n+1)'!D29</f>
        <v>PJHES (Inter State)</v>
      </c>
      <c r="E30" s="147">
        <f>SUM('[39]TGSPDCL MoD'!F81:F86)</f>
        <v>13.6558857632831</v>
      </c>
      <c r="F30" s="147">
        <f>SUM('[39]TGSPDCL MoD'!G81:G86)</f>
        <v>14.6332154366935</v>
      </c>
      <c r="G30" s="147">
        <f>SUM('[39]TGSPDCL MoD'!H81:H86)</f>
        <v>15.1607197951964</v>
      </c>
      <c r="H30" s="147">
        <f>SUM('[39]TGSPDCL MoD'!I81:I86)</f>
        <v>33.1447586020964</v>
      </c>
      <c r="I30" s="147">
        <f>SUM('[39]TGSPDCL MoD'!J81:J86)</f>
        <v>77.8178425864974</v>
      </c>
      <c r="J30" s="147">
        <f>SUM('[39]TGSPDCL MoD'!K81:K86)</f>
        <v>39.303175114714</v>
      </c>
      <c r="K30" s="147">
        <f>SUM('[39]TGSPDCL MoD'!L81:L86)</f>
        <v>43.3220408615333</v>
      </c>
      <c r="L30" s="147">
        <f>SUM('[39]TGSPDCL MoD'!M81:M86)</f>
        <v>14.8585645625036</v>
      </c>
      <c r="M30" s="147">
        <f>SUM('[39]TGSPDCL MoD'!N81:N86)</f>
        <v>25.4899416531922</v>
      </c>
      <c r="N30" s="147">
        <f>SUM('[39]TGSPDCL MoD'!O81:O86)</f>
        <v>48.6383151302953</v>
      </c>
      <c r="O30" s="147">
        <f>SUM('[39]TGSPDCL MoD'!P81:P86)</f>
        <v>43.6826445132103</v>
      </c>
      <c r="P30" s="147">
        <f>SUM('[39]TGSPDCL MoD'!Q81:Q86)</f>
        <v>20.290710738835</v>
      </c>
      <c r="Q30" s="690">
        <f t="shared" ref="Q30:Q40" si="2">SUM(E30:P30)</f>
        <v>389.99781475805</v>
      </c>
    </row>
    <row r="31" spans="3:17">
      <c r="C31" s="683"/>
      <c r="D31" s="55" t="str">
        <f>'[43]F9-Year(n+1)'!D30</f>
        <v>Nagarjuna sagar complex</v>
      </c>
      <c r="E31" s="147">
        <f>SUM('[39]TGSPDCL MoD'!F59:F66)</f>
        <v>47.5971813185201</v>
      </c>
      <c r="F31" s="147">
        <f>SUM('[39]TGSPDCL MoD'!G59:G66)</f>
        <v>51.0036346588344</v>
      </c>
      <c r="G31" s="147">
        <f>SUM('[39]TGSPDCL MoD'!H59:H66)</f>
        <v>52.8422353203512</v>
      </c>
      <c r="H31" s="147">
        <f>SUM('[39]TGSPDCL MoD'!I59:I66)</f>
        <v>115.525064597734</v>
      </c>
      <c r="I31" s="147">
        <f>SUM('[39]TGSPDCL MoD'!J59:J66)</f>
        <v>271.231762451057</v>
      </c>
      <c r="J31" s="147">
        <f>SUM('[39]TGSPDCL MoD'!K59:K66)</f>
        <v>136.990041126328</v>
      </c>
      <c r="K31" s="147">
        <f>SUM('[39]TGSPDCL MoD'!L59:L66)</f>
        <v>150.997677464387</v>
      </c>
      <c r="L31" s="147">
        <f>SUM('[39]TGSPDCL MoD'!M59:M66)</f>
        <v>51.7890822956321</v>
      </c>
      <c r="M31" s="147">
        <f>SUM('[39]TGSPDCL MoD'!N59:N66)</f>
        <v>88.8444291125795</v>
      </c>
      <c r="N31" s="147">
        <f>SUM('[39]TGSPDCL MoD'!O59:O66)</f>
        <v>169.527392394312</v>
      </c>
      <c r="O31" s="147">
        <f>SUM('[39]TGSPDCL MoD'!P59:P66)</f>
        <v>152.254550705019</v>
      </c>
      <c r="P31" s="147">
        <f>SUM('[39]TGSPDCL MoD'!Q59:Q66)</f>
        <v>70.7226652931358</v>
      </c>
      <c r="Q31" s="690">
        <f t="shared" si="2"/>
        <v>1359.32571673789</v>
      </c>
    </row>
    <row r="32" spans="3:17">
      <c r="C32" s="683"/>
      <c r="D32" s="55" t="str">
        <f>'[43]F9-Year(n+1)'!D31</f>
        <v>SLBHES</v>
      </c>
      <c r="E32" s="147">
        <f>SUM('[39]TGSPDCL MoD'!F67:F72)</f>
        <v>52.5226375510888</v>
      </c>
      <c r="F32" s="147">
        <f>SUM('[39]TGSPDCL MoD'!G67:G72)</f>
        <v>56.2815978334367</v>
      </c>
      <c r="G32" s="147">
        <f>SUM('[39]TGSPDCL MoD'!H67:H72)</f>
        <v>58.3104607507553</v>
      </c>
      <c r="H32" s="147">
        <f>SUM('[39]TGSPDCL MoD'!I67:I72)</f>
        <v>127.479840777294</v>
      </c>
      <c r="I32" s="147">
        <f>SUM('[39]TGSPDCL MoD'!J67:J72)</f>
        <v>299.299394563452</v>
      </c>
      <c r="J32" s="147">
        <f>SUM('[39]TGSPDCL MoD'!K67:K72)</f>
        <v>151.166058133515</v>
      </c>
      <c r="K32" s="147">
        <f>SUM('[39]TGSPDCL MoD'!L67:L72)</f>
        <v>166.62323408282</v>
      </c>
      <c r="L32" s="147">
        <f>SUM('[39]TGSPDCL MoD'!M67:M72)</f>
        <v>57.1483252403983</v>
      </c>
      <c r="M32" s="147">
        <f>SUM('[39]TGSPDCL MoD'!N67:N72)</f>
        <v>98.0382371276622</v>
      </c>
      <c r="N32" s="147">
        <f>SUM('[39]TGSPDCL MoD'!O67:O72)</f>
        <v>187.070442808828</v>
      </c>
      <c r="O32" s="147">
        <f>SUM('[39]TGSPDCL MoD'!P67:P72)</f>
        <v>168.010171204655</v>
      </c>
      <c r="P32" s="147">
        <f>SUM('[39]TGSPDCL MoD'!Q67:Q72)</f>
        <v>78.041195149365</v>
      </c>
      <c r="Q32" s="690">
        <f t="shared" si="2"/>
        <v>1499.99159522327</v>
      </c>
    </row>
    <row r="33" spans="3:17">
      <c r="C33" s="683"/>
      <c r="D33" s="55" t="str">
        <f>'[43]F9-Year(n+1)'!D32</f>
        <v>LJHES</v>
      </c>
      <c r="E33" s="147">
        <f>SUM('[39]TGSPDCL MoD'!F87:F92)</f>
        <v>14.0060366802904</v>
      </c>
      <c r="F33" s="147">
        <f>SUM('[39]TGSPDCL MoD'!G87:G92)</f>
        <v>15.0084260889164</v>
      </c>
      <c r="G33" s="147">
        <f>SUM('[39]TGSPDCL MoD'!H87:H92)</f>
        <v>15.5494562002014</v>
      </c>
      <c r="H33" s="147">
        <f>SUM('[39]TGSPDCL MoD'!I87:I92)</f>
        <v>33.9946242072784</v>
      </c>
      <c r="I33" s="147">
        <f>SUM('[39]TGSPDCL MoD'!J87:J92)</f>
        <v>79.8131718835872</v>
      </c>
      <c r="J33" s="147">
        <f>SUM('[39]TGSPDCL MoD'!K87:K92)</f>
        <v>40.310948835604</v>
      </c>
      <c r="K33" s="147">
        <f>SUM('[39]TGSPDCL MoD'!L87:L92)</f>
        <v>44.4328624220855</v>
      </c>
      <c r="L33" s="147">
        <f>SUM('[39]TGSPDCL MoD'!M87:M92)</f>
        <v>15.2395533974395</v>
      </c>
      <c r="M33" s="147">
        <f>SUM('[39]TGSPDCL MoD'!N87:N92)</f>
        <v>26.14352990071</v>
      </c>
      <c r="N33" s="147">
        <f>SUM('[39]TGSPDCL MoD'!O87:O92)</f>
        <v>49.8854514156875</v>
      </c>
      <c r="O33" s="147">
        <f>SUM('[39]TGSPDCL MoD'!P87:P92)</f>
        <v>44.8027123212413</v>
      </c>
      <c r="P33" s="147">
        <f>SUM('[39]TGSPDCL MoD'!Q87:Q92)</f>
        <v>20.8109853731641</v>
      </c>
      <c r="Q33" s="690">
        <f t="shared" si="2"/>
        <v>399.997758726206</v>
      </c>
    </row>
    <row r="34" spans="3:17">
      <c r="C34" s="683"/>
      <c r="D34" s="55" t="str">
        <f>'[43]F9-Year(n+1)'!D33</f>
        <v>PCHES</v>
      </c>
      <c r="E34" s="147">
        <f>SUM('[39]TGSPDCL MoD'!F93:F96)</f>
        <v>7.00301834014516</v>
      </c>
      <c r="F34" s="147">
        <f>SUM('[39]TGSPDCL MoD'!G93:G96)</f>
        <v>7.50421304445824</v>
      </c>
      <c r="G34" s="147">
        <f>SUM('[39]TGSPDCL MoD'!H93:H96)</f>
        <v>7.77472810010072</v>
      </c>
      <c r="H34" s="147">
        <f>SUM('[39]TGSPDCL MoD'!I93:I96)</f>
        <v>16.9973121036392</v>
      </c>
      <c r="I34" s="147">
        <f>SUM('[39]TGSPDCL MoD'!J93:J96)</f>
        <v>39.9065859417936</v>
      </c>
      <c r="J34" s="147">
        <f>SUM('[39]TGSPDCL MoD'!K93:K96)</f>
        <v>20.155474417802</v>
      </c>
      <c r="K34" s="147">
        <f>SUM('[39]TGSPDCL MoD'!L93:L96)</f>
        <v>22.2164312110428</v>
      </c>
      <c r="L34" s="147">
        <f>SUM('[39]TGSPDCL MoD'!M93:M96)</f>
        <v>7.61977669871976</v>
      </c>
      <c r="M34" s="147">
        <f>SUM('[39]TGSPDCL MoD'!N93:N96)</f>
        <v>13.071764950355</v>
      </c>
      <c r="N34" s="147">
        <f>SUM('[39]TGSPDCL MoD'!O93:O96)</f>
        <v>24.9427257078438</v>
      </c>
      <c r="O34" s="147">
        <f>SUM('[39]TGSPDCL MoD'!P93:P96)</f>
        <v>22.4013561606207</v>
      </c>
      <c r="P34" s="147">
        <f>SUM('[39]TGSPDCL MoD'!Q93:Q96)</f>
        <v>10.405492686582</v>
      </c>
      <c r="Q34" s="690">
        <f t="shared" si="2"/>
        <v>199.998879363103</v>
      </c>
    </row>
    <row r="35" spans="3:17">
      <c r="C35" s="683"/>
      <c r="D35" s="55" t="str">
        <f>'[43]F9-Year(n+1)'!D34</f>
        <v>Pochampad-II</v>
      </c>
      <c r="E35" s="147">
        <f>SUM('[39]TGSPDCL MoD'!F77:F78)</f>
        <v>1.05045275102178</v>
      </c>
      <c r="F35" s="147">
        <f>SUM('[39]TGSPDCL MoD'!G77:G78)</f>
        <v>1.12563195666873</v>
      </c>
      <c r="G35" s="147">
        <f>SUM('[39]TGSPDCL MoD'!H77:H78)</f>
        <v>1.16620921501511</v>
      </c>
      <c r="H35" s="147">
        <f>SUM('[39]TGSPDCL MoD'!I77:I78)</f>
        <v>2.54959681554588</v>
      </c>
      <c r="I35" s="147">
        <f>SUM('[39]TGSPDCL MoD'!J77:J78)</f>
        <v>5.98598789126904</v>
      </c>
      <c r="J35" s="147">
        <f>SUM('[39]TGSPDCL MoD'!K77:K78)</f>
        <v>3.0233211626703</v>
      </c>
      <c r="K35" s="147">
        <f>SUM('[39]TGSPDCL MoD'!L77:L78)</f>
        <v>3.33246468165642</v>
      </c>
      <c r="L35" s="147">
        <f>SUM('[39]TGSPDCL MoD'!M77:M78)</f>
        <v>1.14296650480797</v>
      </c>
      <c r="M35" s="147">
        <f>SUM('[39]TGSPDCL MoD'!N77:N78)</f>
        <v>1.96076474255325</v>
      </c>
      <c r="N35" s="147">
        <f>SUM('[39]TGSPDCL MoD'!O77:O78)</f>
        <v>3.74140885617656</v>
      </c>
      <c r="O35" s="147">
        <f>SUM('[39]TGSPDCL MoD'!P77:P78)</f>
        <v>3.3602034240931</v>
      </c>
      <c r="P35" s="147">
        <f>SUM('[39]TGSPDCL MoD'!Q77:Q78)</f>
        <v>1.5608239029873</v>
      </c>
      <c r="Q35" s="690">
        <f t="shared" si="2"/>
        <v>29.9998319044654</v>
      </c>
    </row>
    <row r="36" spans="3:17">
      <c r="C36" s="683"/>
      <c r="D36" s="55" t="str">
        <f>'[43]F9-Year(n+1)'!D35</f>
        <v>NSPH</v>
      </c>
      <c r="E36" s="147">
        <f>SUM('[39]TGSPDCL MoD'!F73:F74)</f>
        <v>3.50150917007258</v>
      </c>
      <c r="F36" s="147">
        <f>SUM('[39]TGSPDCL MoD'!G73:G74)</f>
        <v>3.75210652222912</v>
      </c>
      <c r="G36" s="147">
        <f>SUM('[39]TGSPDCL MoD'!H73:H74)</f>
        <v>3.88736405005036</v>
      </c>
      <c r="H36" s="147">
        <f>SUM('[39]TGSPDCL MoD'!I73:I74)</f>
        <v>8.4986560518196</v>
      </c>
      <c r="I36" s="147">
        <f>SUM('[39]TGSPDCL MoD'!J73:J74)</f>
        <v>19.9532929708968</v>
      </c>
      <c r="J36" s="147">
        <f>SUM('[39]TGSPDCL MoD'!K73:K74)</f>
        <v>10.077737208901</v>
      </c>
      <c r="K36" s="147">
        <f>SUM('[39]TGSPDCL MoD'!L73:L74)</f>
        <v>11.1082156055214</v>
      </c>
      <c r="L36" s="147">
        <f>SUM('[39]TGSPDCL MoD'!M73:M74)</f>
        <v>3.80988834935988</v>
      </c>
      <c r="M36" s="147">
        <f>SUM('[39]TGSPDCL MoD'!N73:N74)</f>
        <v>6.5358824751775</v>
      </c>
      <c r="N36" s="147">
        <f>SUM('[39]TGSPDCL MoD'!O73:O74)</f>
        <v>12.4713628539219</v>
      </c>
      <c r="O36" s="147">
        <f>SUM('[39]TGSPDCL MoD'!P73:P74)</f>
        <v>11.2006780803103</v>
      </c>
      <c r="P36" s="147">
        <f>SUM('[39]TGSPDCL MoD'!Q73:Q74)</f>
        <v>5.20274634329102</v>
      </c>
      <c r="Q36" s="690">
        <f t="shared" si="2"/>
        <v>99.9994396815515</v>
      </c>
    </row>
    <row r="37" spans="3:17">
      <c r="C37" s="683"/>
      <c r="D37" s="55" t="str">
        <f>'[43]F9-Year(n+1)'!D36</f>
        <v>SINGUR</v>
      </c>
      <c r="E37" s="147">
        <f>SUM('[39]TGSPDCL MoD'!F79+'[39]TGSPDCL MoD'!F80)</f>
        <v>0.875377292518146</v>
      </c>
      <c r="F37" s="147">
        <f>SUM('[39]TGSPDCL MoD'!G79+'[39]TGSPDCL MoD'!G80)</f>
        <v>0.938026630557278</v>
      </c>
      <c r="G37" s="147">
        <f>SUM('[39]TGSPDCL MoD'!H79+'[39]TGSPDCL MoD'!H80)</f>
        <v>0.971841012512588</v>
      </c>
      <c r="H37" s="147">
        <f>SUM('[39]TGSPDCL MoD'!I79+'[39]TGSPDCL MoD'!I80)</f>
        <v>2.1246640129549</v>
      </c>
      <c r="I37" s="147">
        <f>SUM('[39]TGSPDCL MoD'!J79+'[39]TGSPDCL MoD'!J80)</f>
        <v>4.9883232427242</v>
      </c>
      <c r="J37" s="147">
        <f>SUM('[39]TGSPDCL MoD'!K79+'[39]TGSPDCL MoD'!K80)</f>
        <v>2.51943430222526</v>
      </c>
      <c r="K37" s="147">
        <f>SUM('[39]TGSPDCL MoD'!L79+'[39]TGSPDCL MoD'!L80)</f>
        <v>2.77705390138034</v>
      </c>
      <c r="L37" s="147">
        <f>SUM('[39]TGSPDCL MoD'!M79+'[39]TGSPDCL MoD'!M80)</f>
        <v>0.952472087339972</v>
      </c>
      <c r="M37" s="147">
        <f>SUM('[39]TGSPDCL MoD'!N79+'[39]TGSPDCL MoD'!N80)</f>
        <v>1.63397061879437</v>
      </c>
      <c r="N37" s="147">
        <f>SUM('[39]TGSPDCL MoD'!O79+'[39]TGSPDCL MoD'!O80)</f>
        <v>3.11784071348046</v>
      </c>
      <c r="O37" s="147">
        <f>SUM('[39]TGSPDCL MoD'!P79+'[39]TGSPDCL MoD'!P80)</f>
        <v>2.80016952007758</v>
      </c>
      <c r="P37" s="147">
        <f>SUM('[39]TGSPDCL MoD'!Q79+'[39]TGSPDCL MoD'!Q80)</f>
        <v>1.30068658582275</v>
      </c>
      <c r="Q37" s="690">
        <f t="shared" si="2"/>
        <v>24.9998599203879</v>
      </c>
    </row>
    <row r="38" spans="3:17">
      <c r="C38" s="683"/>
      <c r="D38" s="55" t="str">
        <f>'[43]F9-Year(n+1)'!D37</f>
        <v>SSLM LCPH</v>
      </c>
      <c r="E38" s="147">
        <v>0</v>
      </c>
      <c r="F38" s="147">
        <v>0</v>
      </c>
      <c r="G38" s="147">
        <v>0</v>
      </c>
      <c r="H38" s="147">
        <v>0</v>
      </c>
      <c r="I38" s="147">
        <v>0</v>
      </c>
      <c r="J38" s="147">
        <v>0</v>
      </c>
      <c r="K38" s="147">
        <v>0</v>
      </c>
      <c r="L38" s="147">
        <v>0</v>
      </c>
      <c r="M38" s="147">
        <v>0</v>
      </c>
      <c r="N38" s="147">
        <v>0</v>
      </c>
      <c r="O38" s="147">
        <v>0</v>
      </c>
      <c r="P38" s="147">
        <v>0</v>
      </c>
      <c r="Q38" s="690">
        <f t="shared" si="2"/>
        <v>0</v>
      </c>
    </row>
    <row r="39" spans="3:17">
      <c r="C39" s="683"/>
      <c r="D39" s="55" t="str">
        <f>'[43]F9-Year(n+1)'!D38</f>
        <v>POCHAMPAD PH</v>
      </c>
      <c r="E39" s="147">
        <f>SUM('[39]TGSPDCL MoD'!F75:F76)</f>
        <v>1.05045275102178</v>
      </c>
      <c r="F39" s="147">
        <f>SUM('[39]TGSPDCL MoD'!G75:G76)</f>
        <v>1.12563195666873</v>
      </c>
      <c r="G39" s="147">
        <f>SUM('[39]TGSPDCL MoD'!H75:H76)</f>
        <v>1.16620921501511</v>
      </c>
      <c r="H39" s="147">
        <f>SUM('[39]TGSPDCL MoD'!I75:I76)</f>
        <v>2.54959681554588</v>
      </c>
      <c r="I39" s="147">
        <f>SUM('[39]TGSPDCL MoD'!J75:J76)</f>
        <v>5.98598789126904</v>
      </c>
      <c r="J39" s="147">
        <f>SUM('[39]TGSPDCL MoD'!K75:K76)</f>
        <v>3.0233211626703</v>
      </c>
      <c r="K39" s="147">
        <f>SUM('[39]TGSPDCL MoD'!L75:L76)</f>
        <v>3.33246468165642</v>
      </c>
      <c r="L39" s="147">
        <f>SUM('[39]TGSPDCL MoD'!M75:M76)</f>
        <v>1.14296650480797</v>
      </c>
      <c r="M39" s="147">
        <f>SUM('[39]TGSPDCL MoD'!N75:N76)</f>
        <v>1.96076474255325</v>
      </c>
      <c r="N39" s="147">
        <f>SUM('[39]TGSPDCL MoD'!O75:O76)</f>
        <v>3.74140885617656</v>
      </c>
      <c r="O39" s="147">
        <f>SUM('[39]TGSPDCL MoD'!P75:P76)</f>
        <v>3.3602034240931</v>
      </c>
      <c r="P39" s="147">
        <f>SUM('[39]TGSPDCL MoD'!Q75:Q76)</f>
        <v>1.5608239029873</v>
      </c>
      <c r="Q39" s="690">
        <f t="shared" si="2"/>
        <v>29.9998319044654</v>
      </c>
    </row>
    <row r="40" spans="3:17">
      <c r="C40" s="683"/>
      <c r="D40" s="55" t="str">
        <f>'[43]F9-Year(n+1)'!D39</f>
        <v>NIZAMSAGAR PH</v>
      </c>
      <c r="E40" s="147">
        <f>SUM('[39]TGSPDCL MoD'!F57:F58)</f>
        <v>0.583584861678764</v>
      </c>
      <c r="F40" s="147">
        <f>SUM('[39]TGSPDCL MoD'!G57:G58)</f>
        <v>0.625351087038186</v>
      </c>
      <c r="G40" s="147">
        <f>SUM('[39]TGSPDCL MoD'!H57:H58)</f>
        <v>0.647894008341726</v>
      </c>
      <c r="H40" s="147">
        <f>SUM('[39]TGSPDCL MoD'!I57:I58)</f>
        <v>1.41644267530327</v>
      </c>
      <c r="I40" s="147">
        <f>SUM('[39]TGSPDCL MoD'!J57:J58)</f>
        <v>3.3255488284828</v>
      </c>
      <c r="J40" s="147">
        <f>SUM('[39]TGSPDCL MoD'!K57:K58)</f>
        <v>1.67962286815017</v>
      </c>
      <c r="K40" s="147">
        <f>SUM('[39]TGSPDCL MoD'!L57:L58)</f>
        <v>1.8513692675869</v>
      </c>
      <c r="L40" s="147">
        <f>SUM('[39]TGSPDCL MoD'!M57:M58)</f>
        <v>0.634981391559982</v>
      </c>
      <c r="M40" s="147">
        <f>SUM('[39]TGSPDCL MoD'!N57:N58)</f>
        <v>1.08931374586292</v>
      </c>
      <c r="N40" s="147">
        <f>SUM('[39]TGSPDCL MoD'!O57:O58)</f>
        <v>2.07856047565364</v>
      </c>
      <c r="O40" s="147">
        <f>SUM('[39]TGSPDCL MoD'!P57:P58)</f>
        <v>1.86677968005172</v>
      </c>
      <c r="P40" s="147">
        <f>SUM('[39]TGSPDCL MoD'!Q57:Q58)</f>
        <v>0.867124390548502</v>
      </c>
      <c r="Q40" s="690">
        <f t="shared" si="2"/>
        <v>16.6665732802586</v>
      </c>
    </row>
    <row r="41" spans="3:17">
      <c r="C41" s="683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3:17">
      <c r="C42" s="683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</row>
    <row r="43" spans="3:17">
      <c r="C43" s="683"/>
      <c r="D43" s="55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55"/>
    </row>
    <row r="44" spans="3:17">
      <c r="C44" s="683"/>
      <c r="D44" s="55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55"/>
    </row>
    <row r="45" spans="3:17">
      <c r="C45" s="683"/>
      <c r="D45" s="55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55"/>
    </row>
    <row r="46" spans="3:17">
      <c r="C46" s="683"/>
      <c r="D46" s="55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55"/>
    </row>
    <row r="47" spans="3:17">
      <c r="C47" s="684"/>
      <c r="D47" s="6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55"/>
    </row>
    <row r="48" ht="15" spans="3:18">
      <c r="C48" s="537" t="s">
        <v>211</v>
      </c>
      <c r="D48" s="540"/>
      <c r="E48" s="690">
        <f t="shared" ref="E48:P48" si="3">SUM(E30:E47)</f>
        <v>141.846136479641</v>
      </c>
      <c r="F48" s="690">
        <f t="shared" si="3"/>
        <v>151.997835215501</v>
      </c>
      <c r="G48" s="690">
        <f t="shared" si="3"/>
        <v>157.47711766754</v>
      </c>
      <c r="H48" s="690">
        <f t="shared" si="3"/>
        <v>344.280556659212</v>
      </c>
      <c r="I48" s="690">
        <f t="shared" si="3"/>
        <v>808.307898251029</v>
      </c>
      <c r="J48" s="690">
        <f t="shared" si="3"/>
        <v>408.24913433258</v>
      </c>
      <c r="K48" s="690">
        <f t="shared" si="3"/>
        <v>449.99381417967</v>
      </c>
      <c r="L48" s="690">
        <f t="shared" si="3"/>
        <v>154.338577032569</v>
      </c>
      <c r="M48" s="690">
        <f t="shared" si="3"/>
        <v>264.76859906944</v>
      </c>
      <c r="N48" s="690">
        <f t="shared" si="3"/>
        <v>505.214909212376</v>
      </c>
      <c r="O48" s="690">
        <f t="shared" si="3"/>
        <v>453.739469033372</v>
      </c>
      <c r="P48" s="690">
        <f t="shared" si="3"/>
        <v>210.763254366719</v>
      </c>
      <c r="Q48" s="693">
        <f>SUM(E48:P48)</f>
        <v>4050.97730149965</v>
      </c>
      <c r="R48" s="686"/>
    </row>
    <row r="49" ht="15" spans="3:18">
      <c r="C49" s="44" t="s">
        <v>369</v>
      </c>
      <c r="D49" s="45"/>
      <c r="E49" s="690">
        <f t="shared" ref="E49:Q49" si="4">E28+E48</f>
        <v>3093.76561712273</v>
      </c>
      <c r="F49" s="690">
        <f t="shared" si="4"/>
        <v>1901.70015023692</v>
      </c>
      <c r="G49" s="690">
        <f t="shared" si="4"/>
        <v>2214.07660624075</v>
      </c>
      <c r="H49" s="690">
        <f t="shared" si="4"/>
        <v>2573.46116253688</v>
      </c>
      <c r="I49" s="690">
        <f t="shared" si="4"/>
        <v>3256.34774236913</v>
      </c>
      <c r="J49" s="690">
        <f t="shared" si="4"/>
        <v>3111.75091327107</v>
      </c>
      <c r="K49" s="690">
        <f t="shared" si="4"/>
        <v>2840.44289104075</v>
      </c>
      <c r="L49" s="690">
        <f t="shared" si="4"/>
        <v>2419.23790574963</v>
      </c>
      <c r="M49" s="690">
        <f t="shared" si="4"/>
        <v>2890.82029015695</v>
      </c>
      <c r="N49" s="690">
        <f t="shared" si="4"/>
        <v>3384.0181050575</v>
      </c>
      <c r="O49" s="690">
        <f t="shared" si="4"/>
        <v>3158.97595152213</v>
      </c>
      <c r="P49" s="690">
        <f t="shared" si="4"/>
        <v>3440.19903120408</v>
      </c>
      <c r="Q49" s="693">
        <f t="shared" si="4"/>
        <v>34284.7963665085</v>
      </c>
      <c r="R49" s="686"/>
    </row>
    <row r="50" ht="15" spans="3:17">
      <c r="C50" s="663" t="s">
        <v>370</v>
      </c>
      <c r="D50" s="676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</row>
    <row r="51" ht="15" spans="3:17">
      <c r="C51" s="44" t="s">
        <v>350</v>
      </c>
      <c r="D51" s="4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spans="3:17">
      <c r="C52" s="682" t="s">
        <v>371</v>
      </c>
      <c r="D52" s="757" t="s">
        <v>372</v>
      </c>
      <c r="E52" s="147">
        <f>SUM('[39]TGSPDCL MoD'!F25:F30)</f>
        <v>93.2061730013735</v>
      </c>
      <c r="F52" s="147">
        <f>SUM('[39]TGSPDCL MoD'!G25:G30)</f>
        <v>124.795630184595</v>
      </c>
      <c r="G52" s="147">
        <f>SUM('[39]TGSPDCL MoD'!H25:H30)</f>
        <v>126.778420649733</v>
      </c>
      <c r="H52" s="147">
        <f>SUM('[39]TGSPDCL MoD'!I25:I30)</f>
        <v>91.9320051247254</v>
      </c>
      <c r="I52" s="147">
        <f>SUM('[39]TGSPDCL MoD'!J25:J30)</f>
        <v>80.0927178796654</v>
      </c>
      <c r="J52" s="147">
        <f>SUM('[39]TGSPDCL MoD'!K25:K30)</f>
        <v>83.6677491728689</v>
      </c>
      <c r="K52" s="147">
        <f>SUM('[39]TGSPDCL MoD'!L25:L30)</f>
        <v>80.0927178796654</v>
      </c>
      <c r="L52" s="147">
        <f>SUM('[39]TGSPDCL MoD'!M25:M30)</f>
        <v>114.99845693854</v>
      </c>
      <c r="M52" s="147">
        <f>SUM('[39]TGSPDCL MoD'!N25:N30)</f>
        <v>71.5486482737013</v>
      </c>
      <c r="N52" s="147">
        <f>SUM('[39]TGSPDCL MoD'!O25:O30)</f>
        <v>75.0958241980506</v>
      </c>
      <c r="O52" s="147">
        <f>SUM('[39]TGSPDCL MoD'!P25:P30)</f>
        <v>96.3155489580674</v>
      </c>
      <c r="P52" s="147">
        <f>SUM('[39]TGSPDCL MoD'!Q25:Q30)</f>
        <v>115.094477340643</v>
      </c>
      <c r="Q52" s="690">
        <f t="shared" ref="Q52:Q68" si="5">SUM(E52:P52)</f>
        <v>1153.61836960163</v>
      </c>
    </row>
    <row r="53" spans="3:17">
      <c r="C53" s="683"/>
      <c r="D53" s="757" t="s">
        <v>373</v>
      </c>
      <c r="E53" s="147">
        <f>'[39]TGSPDCL MoD'!F31</f>
        <v>27.0064031492026</v>
      </c>
      <c r="F53" s="147">
        <f>'[39]TGSPDCL MoD'!G31</f>
        <v>33.0026074426197</v>
      </c>
      <c r="G53" s="147">
        <f>'[39]TGSPDCL MoD'!H31</f>
        <v>31.9380072025352</v>
      </c>
      <c r="H53" s="147">
        <f>'[39]TGSPDCL MoD'!I31</f>
        <v>0</v>
      </c>
      <c r="I53" s="147">
        <f>'[39]TGSPDCL MoD'!J31</f>
        <v>10.6773141726123</v>
      </c>
      <c r="J53" s="147">
        <f>'[39]TGSPDCL MoD'!K31</f>
        <v>22.0747990958699</v>
      </c>
      <c r="K53" s="147">
        <f>'[39]TGSPDCL MoD'!L31</f>
        <v>21.3546283452245</v>
      </c>
      <c r="L53" s="147">
        <f>'[39]TGSPDCL MoD'!M31</f>
        <v>30.5289774730116</v>
      </c>
      <c r="M53" s="147">
        <f>'[39]TGSPDCL MoD'!N31</f>
        <v>26.4506192003349</v>
      </c>
      <c r="N53" s="147">
        <f>'[39]TGSPDCL MoD'!O31</f>
        <v>27.1786178939222</v>
      </c>
      <c r="O53" s="147">
        <f>'[39]TGSPDCL MoD'!P31</f>
        <v>25.8635234797002</v>
      </c>
      <c r="P53" s="147">
        <f>'[39]TGSPDCL MoD'!Q31</f>
        <v>29.3626139746838</v>
      </c>
      <c r="Q53" s="690">
        <f t="shared" si="5"/>
        <v>285.438111429717</v>
      </c>
    </row>
    <row r="54" spans="3:17">
      <c r="C54" s="683"/>
      <c r="D54" s="757" t="s">
        <v>374</v>
      </c>
      <c r="E54" s="147">
        <f>SUM('[39]TGSPDCL MoD'!F42:F45)</f>
        <v>85.4613498704732</v>
      </c>
      <c r="F54" s="147">
        <f>SUM('[39]TGSPDCL MoD'!G42:G45)</f>
        <v>84.7299239031132</v>
      </c>
      <c r="G54" s="147">
        <f>SUM('[39]TGSPDCL MoD'!H42:H45)</f>
        <v>83.7290252109364</v>
      </c>
      <c r="H54" s="147">
        <f>SUM('[39]TGSPDCL MoD'!I42:I45)</f>
        <v>90.1001303476768</v>
      </c>
      <c r="I54" s="147">
        <f>SUM('[39]TGSPDCL MoD'!J42:J45)</f>
        <v>81.149786273404</v>
      </c>
      <c r="J54" s="147">
        <f>SUM('[39]TGSPDCL MoD'!K42:K45)</f>
        <v>91.6982169952675</v>
      </c>
      <c r="K54" s="147">
        <f>SUM('[39]TGSPDCL MoD'!L42:L45)</f>
        <v>84.7299239031132</v>
      </c>
      <c r="L54" s="147">
        <f>SUM('[39]TGSPDCL MoD'!M42:M45)</f>
        <v>62.7967689082023</v>
      </c>
      <c r="M54" s="147">
        <f>SUM('[39]TGSPDCL MoD'!N42:N45)</f>
        <v>55.1937884580138</v>
      </c>
      <c r="N54" s="147">
        <f>SUM('[39]TGSPDCL MoD'!O42:O45)</f>
        <v>77.2713038412193</v>
      </c>
      <c r="O54" s="147">
        <f>SUM('[39]TGSPDCL MoD'!P42:P45)</f>
        <v>80.5726546835931</v>
      </c>
      <c r="P54" s="147">
        <f>SUM('[39]TGSPDCL MoD'!Q42:Q45)</f>
        <v>95.47033679224</v>
      </c>
      <c r="Q54" s="690">
        <f t="shared" si="5"/>
        <v>972.903209187253</v>
      </c>
    </row>
    <row r="55" spans="3:17">
      <c r="C55" s="683"/>
      <c r="D55" s="757" t="s">
        <v>375</v>
      </c>
      <c r="E55" s="147">
        <f>'[39]TGSPDCL MoD'!F40</f>
        <v>152.878041271478</v>
      </c>
      <c r="F55" s="147">
        <f>'[39]TGSPDCL MoD'!G40</f>
        <v>192.640721095238</v>
      </c>
      <c r="G55" s="147">
        <f>'[39]TGSPDCL MoD'!H40</f>
        <v>189.179286080633</v>
      </c>
      <c r="H55" s="147">
        <f>'[39]TGSPDCL MoD'!I40</f>
        <v>128.353855484179</v>
      </c>
      <c r="I55" s="147">
        <f>'[39]TGSPDCL MoD'!J40</f>
        <v>118.480481985396</v>
      </c>
      <c r="J55" s="147">
        <f>'[39]TGSPDCL MoD'!K40</f>
        <v>124.213408533076</v>
      </c>
      <c r="K55" s="147">
        <f>'[39]TGSPDCL MoD'!L40</f>
        <v>118.480481985396</v>
      </c>
      <c r="L55" s="147">
        <f>'[39]TGSPDCL MoD'!M40</f>
        <v>0</v>
      </c>
      <c r="M55" s="147">
        <f>'[39]TGSPDCL MoD'!N40</f>
        <v>66.6452711167851</v>
      </c>
      <c r="N55" s="147">
        <f>'[39]TGSPDCL MoD'!O40</f>
        <v>133.29054223357</v>
      </c>
      <c r="O55" s="147">
        <f>'[39]TGSPDCL MoD'!P40</f>
        <v>147.20558309728</v>
      </c>
      <c r="P55" s="147">
        <f>'[39]TGSPDCL MoD'!Q40</f>
        <v>172.784036228702</v>
      </c>
      <c r="Q55" s="690">
        <f t="shared" si="5"/>
        <v>1544.15170911173</v>
      </c>
    </row>
    <row r="56" spans="3:17">
      <c r="C56" s="683"/>
      <c r="D56" s="757" t="s">
        <v>376</v>
      </c>
      <c r="E56" s="147">
        <f>'[39]TGSPDCL MoD'!F41</f>
        <v>72.7936637414387</v>
      </c>
      <c r="F56" s="147">
        <f>'[39]TGSPDCL MoD'!G41</f>
        <v>94.0251489993584</v>
      </c>
      <c r="G56" s="147">
        <f>'[39]TGSPDCL MoD'!H41</f>
        <v>0</v>
      </c>
      <c r="H56" s="147">
        <f>'[39]TGSPDCL MoD'!I41</f>
        <v>30.5581734247915</v>
      </c>
      <c r="I56" s="147">
        <f>'[39]TGSPDCL MoD'!J41</f>
        <v>56.415089399615</v>
      </c>
      <c r="J56" s="147">
        <f>'[39]TGSPDCL MoD'!K41</f>
        <v>59.144851789919</v>
      </c>
      <c r="K56" s="147">
        <f>'[39]TGSPDCL MoD'!L41</f>
        <v>56.415089399615</v>
      </c>
      <c r="L56" s="147">
        <f>'[39]TGSPDCL MoD'!M41</f>
        <v>76.6387132648765</v>
      </c>
      <c r="M56" s="147">
        <f>'[39]TGSPDCL MoD'!N41</f>
        <v>63.4669755745669</v>
      </c>
      <c r="N56" s="147">
        <f>'[39]TGSPDCL MoD'!O41</f>
        <v>63.4669755745669</v>
      </c>
      <c r="O56" s="147">
        <f>'[39]TGSPDCL MoD'!P41</f>
        <v>72.1870498769268</v>
      </c>
      <c r="P56" s="147">
        <f>'[39]TGSPDCL MoD'!Q41</f>
        <v>82.2720053744386</v>
      </c>
      <c r="Q56" s="690">
        <f t="shared" si="5"/>
        <v>727.383736420113</v>
      </c>
    </row>
    <row r="57" spans="3:17">
      <c r="C57" s="683"/>
      <c r="D57" s="757" t="s">
        <v>377</v>
      </c>
      <c r="E57" s="147">
        <f>SUM('[39]TGSPDCL MoD'!F49:F51)</f>
        <v>77.0112140097318</v>
      </c>
      <c r="F57" s="147">
        <f>SUM('[39]TGSPDCL MoD'!G49:G51)</f>
        <v>99.9659327885933</v>
      </c>
      <c r="G57" s="147">
        <f>SUM('[39]TGSPDCL MoD'!H49:H51)</f>
        <v>64.590050459775</v>
      </c>
      <c r="H57" s="147">
        <f>SUM('[39]TGSPDCL MoD'!I49:I51)</f>
        <v>55.6192101181395</v>
      </c>
      <c r="I57" s="147">
        <f>SUM('[39]TGSPDCL MoD'!J49:J51)</f>
        <v>61.6089712077852</v>
      </c>
      <c r="J57" s="147">
        <f>SUM('[39]TGSPDCL MoD'!K49:K51)</f>
        <v>60.7918608012772</v>
      </c>
      <c r="K57" s="147">
        <f>SUM('[39]TGSPDCL MoD'!L49:L51)</f>
        <v>61.6089712077852</v>
      </c>
      <c r="L57" s="147">
        <f>SUM('[39]TGSPDCL MoD'!M49:M51)</f>
        <v>49.684654199827</v>
      </c>
      <c r="M57" s="147">
        <f>SUM('[39]TGSPDCL MoD'!N49:N51)</f>
        <v>55.6192101181395</v>
      </c>
      <c r="N57" s="147">
        <f>SUM('[39]TGSPDCL MoD'!O49:O51)</f>
        <v>66.7430521417674</v>
      </c>
      <c r="O57" s="147">
        <f>SUM('[39]TGSPDCL MoD'!P49:P51)</f>
        <v>74.1957502717416</v>
      </c>
      <c r="P57" s="147">
        <f>SUM('[39]TGSPDCL MoD'!Q49:Q51)</f>
        <v>89.8464163446873</v>
      </c>
      <c r="Q57" s="690">
        <f t="shared" si="5"/>
        <v>817.28529366925</v>
      </c>
    </row>
    <row r="58" spans="3:17">
      <c r="C58" s="683"/>
      <c r="D58" s="757" t="s">
        <v>378</v>
      </c>
      <c r="E58" s="147">
        <f>'[39]TGSPDCL MoD'!F53</f>
        <v>12.9946335080756</v>
      </c>
      <c r="F58" s="147">
        <f>'[39]TGSPDCL MoD'!G53</f>
        <v>16.3651165742328</v>
      </c>
      <c r="G58" s="147">
        <f>'[39]TGSPDCL MoD'!H53</f>
        <v>15.8372095879672</v>
      </c>
      <c r="H58" s="147">
        <f>'[39]TGSPDCL MoD'!I53</f>
        <v>10.9100777161552</v>
      </c>
      <c r="I58" s="147">
        <f>'[39]TGSPDCL MoD'!J53</f>
        <v>10.0708409687586</v>
      </c>
      <c r="J58" s="147">
        <f>'[39]TGSPDCL MoD'!K53</f>
        <v>10.1520574281841</v>
      </c>
      <c r="K58" s="147">
        <f>'[39]TGSPDCL MoD'!L53</f>
        <v>10.0708409687586</v>
      </c>
      <c r="L58" s="147">
        <f>'[39]TGSPDCL MoD'!M53</f>
        <v>12.4066714802943</v>
      </c>
      <c r="M58" s="147">
        <f>'[39]TGSPDCL MoD'!N53</f>
        <v>10.9100777161552</v>
      </c>
      <c r="N58" s="147">
        <f>'[39]TGSPDCL MoD'!O53</f>
        <v>10.9100777161552</v>
      </c>
      <c r="O58" s="147">
        <f>'[39]TGSPDCL MoD'!P53</f>
        <v>12.1283246075373</v>
      </c>
      <c r="P58" s="147">
        <f>'[39]TGSPDCL MoD'!Q53</f>
        <v>14.6866430794397</v>
      </c>
      <c r="Q58" s="690">
        <f t="shared" si="5"/>
        <v>147.442571351714</v>
      </c>
    </row>
    <row r="59" spans="3:17">
      <c r="C59" s="683"/>
      <c r="D59" s="757" t="s">
        <v>379</v>
      </c>
      <c r="E59" s="147">
        <f>'[39]TGSPDCL MoD'!F54</f>
        <v>54.983276189502</v>
      </c>
      <c r="F59" s="147">
        <f>'[39]TGSPDCL MoD'!G54</f>
        <v>69.6454831733692</v>
      </c>
      <c r="G59" s="147">
        <f>'[39]TGSPDCL MoD'!H54</f>
        <v>69.1725087545348</v>
      </c>
      <c r="H59" s="147">
        <f>'[39]TGSPDCL MoD'!I54</f>
        <v>47.6521726975684</v>
      </c>
      <c r="I59" s="147">
        <f>'[39]TGSPDCL MoD'!J54</f>
        <v>43.9866209516016</v>
      </c>
      <c r="J59" s="147">
        <f>'[39]TGSPDCL MoD'!K54</f>
        <v>42.5676976950983</v>
      </c>
      <c r="K59" s="147">
        <f>'[39]TGSPDCL MoD'!L54</f>
        <v>43.9866209516016</v>
      </c>
      <c r="L59" s="147">
        <f>'[39]TGSPDCL MoD'!M54</f>
        <v>53.2096221188729</v>
      </c>
      <c r="M59" s="147">
        <f>'[39]TGSPDCL MoD'!N54</f>
        <v>47.6521726975684</v>
      </c>
      <c r="N59" s="147">
        <f>'[39]TGSPDCL MoD'!O54</f>
        <v>47.6521726975684</v>
      </c>
      <c r="O59" s="147">
        <f>'[39]TGSPDCL MoD'!P54</f>
        <v>52.9731349094557</v>
      </c>
      <c r="P59" s="147">
        <f>'[39]TGSPDCL MoD'!Q54</f>
        <v>62.911664928625</v>
      </c>
      <c r="Q59" s="690">
        <f t="shared" si="5"/>
        <v>636.393147765366</v>
      </c>
    </row>
    <row r="60" spans="3:17">
      <c r="C60" s="684"/>
      <c r="D60" s="757" t="s">
        <v>380</v>
      </c>
      <c r="E60" s="147">
        <f>'[39]TGSPDCL MoD'!F55</f>
        <v>253.027431087203</v>
      </c>
      <c r="F60" s="147">
        <f>'[39]TGSPDCL MoD'!G55</f>
        <v>259.912539484227</v>
      </c>
      <c r="G60" s="147">
        <f>'[39]TGSPDCL MoD'!H55</f>
        <v>251.528264016994</v>
      </c>
      <c r="H60" s="147">
        <f>'[39]TGSPDCL MoD'!I55</f>
        <v>251.151070093677</v>
      </c>
      <c r="I60" s="147">
        <f>'[39]TGSPDCL MoD'!J55</f>
        <v>202.644037609523</v>
      </c>
      <c r="J60" s="147">
        <f>'[39]TGSPDCL MoD'!K55</f>
        <v>221.025171533984</v>
      </c>
      <c r="K60" s="147">
        <f>'[39]TGSPDCL MoD'!L55</f>
        <v>202.402992555203</v>
      </c>
      <c r="L60" s="147">
        <f>'[39]TGSPDCL MoD'!M55</f>
        <v>257.076681605604</v>
      </c>
      <c r="M60" s="147">
        <f>'[39]TGSPDCL MoD'!N55</f>
        <v>253.26319853607</v>
      </c>
      <c r="N60" s="147">
        <f>'[39]TGSPDCL MoD'!O55</f>
        <v>227.62612008838</v>
      </c>
      <c r="O60" s="147">
        <f>'[39]TGSPDCL MoD'!P55</f>
        <v>223.62258256309</v>
      </c>
      <c r="P60" s="147">
        <f>'[39]TGSPDCL MoD'!Q55</f>
        <v>266.462328037022</v>
      </c>
      <c r="Q60" s="690">
        <f t="shared" si="5"/>
        <v>2869.74241721098</v>
      </c>
    </row>
    <row r="61" spans="3:17">
      <c r="C61" s="684"/>
      <c r="D61" s="757" t="s">
        <v>450</v>
      </c>
      <c r="E61" s="147">
        <f>'[39]TGSPDCL MoD'!F56</f>
        <v>247.828735603639</v>
      </c>
      <c r="F61" s="147">
        <f>'[39]TGSPDCL MoD'!G56</f>
        <v>259.924499659065</v>
      </c>
      <c r="G61" s="147">
        <f>'[39]TGSPDCL MoD'!H56</f>
        <v>251.53983837974</v>
      </c>
      <c r="H61" s="147">
        <f>'[39]TGSPDCL MoD'!I56</f>
        <v>246.733726317659</v>
      </c>
      <c r="I61" s="147">
        <f>'[39]TGSPDCL MoD'!J56</f>
        <v>190.900302972733</v>
      </c>
      <c r="J61" s="147">
        <f>'[39]TGSPDCL MoD'!K56</f>
        <v>200.122214400101</v>
      </c>
      <c r="K61" s="147">
        <f>'[39]TGSPDCL MoD'!L56</f>
        <v>196.450961898548</v>
      </c>
      <c r="L61" s="147">
        <f>'[39]TGSPDCL MoD'!M56</f>
        <v>257.088511285176</v>
      </c>
      <c r="M61" s="147">
        <f>'[39]TGSPDCL MoD'!N56</f>
        <v>233.967972783689</v>
      </c>
      <c r="N61" s="147">
        <f>'[39]TGSPDCL MoD'!O56</f>
        <v>225.522727645365</v>
      </c>
      <c r="O61" s="147">
        <f>'[39]TGSPDCL MoD'!P56</f>
        <v>218.662318289394</v>
      </c>
      <c r="P61" s="147">
        <f>'[39]TGSPDCL MoD'!Q56</f>
        <v>259.924499659065</v>
      </c>
      <c r="Q61" s="690">
        <f t="shared" si="5"/>
        <v>2788.66630889417</v>
      </c>
    </row>
    <row r="62" spans="3:17">
      <c r="C62" s="55"/>
      <c r="D62" s="757" t="s">
        <v>381</v>
      </c>
      <c r="E62" s="147">
        <f>'[39]TGSPDCL MoD'!F33</f>
        <v>1.62124187795472</v>
      </c>
      <c r="F62" s="147">
        <f>'[39]TGSPDCL MoD'!G33</f>
        <v>2.0535730454094</v>
      </c>
      <c r="G62" s="147">
        <f>'[39]TGSPDCL MoD'!H33</f>
        <v>2.03962687871718</v>
      </c>
      <c r="H62" s="147">
        <f>'[39]TGSPDCL MoD'!I33</f>
        <v>1.40507629422746</v>
      </c>
      <c r="I62" s="147">
        <f>'[39]TGSPDCL MoD'!J33</f>
        <v>1.29699350236383</v>
      </c>
      <c r="J62" s="147">
        <f>'[39]TGSPDCL MoD'!K33</f>
        <v>1.25515500228757</v>
      </c>
      <c r="K62" s="147">
        <f>'[39]TGSPDCL MoD'!L33</f>
        <v>1.29699350236383</v>
      </c>
      <c r="L62" s="147">
        <f>'[39]TGSPDCL MoD'!M33</f>
        <v>1.56894375285942</v>
      </c>
      <c r="M62" s="147">
        <f>'[39]TGSPDCL MoD'!N33</f>
        <v>1.40507629422746</v>
      </c>
      <c r="N62" s="147">
        <f>'[39]TGSPDCL MoD'!O33</f>
        <v>1.40507629422746</v>
      </c>
      <c r="O62" s="147">
        <f>'[39]TGSPDCL MoD'!P33</f>
        <v>1.56197066951336</v>
      </c>
      <c r="P62" s="147">
        <f>'[39]TGSPDCL MoD'!Q33</f>
        <v>1.837407461682</v>
      </c>
      <c r="Q62" s="690">
        <f t="shared" si="5"/>
        <v>18.7471345758337</v>
      </c>
    </row>
    <row r="63" spans="3:17">
      <c r="C63" s="55"/>
      <c r="D63" s="757" t="s">
        <v>382</v>
      </c>
      <c r="E63" s="147">
        <f>'[39]TGSPDCL MoD'!F34</f>
        <v>2.8709419564837</v>
      </c>
      <c r="F63" s="147">
        <f>'[39]TGSPDCL MoD'!G34</f>
        <v>2.84128903486744</v>
      </c>
      <c r="G63" s="147">
        <f>'[39]TGSPDCL MoD'!H34</f>
        <v>2.8709419564837</v>
      </c>
      <c r="H63" s="147">
        <f>'[39]TGSPDCL MoD'!I34</f>
        <v>3.02931551511602</v>
      </c>
      <c r="I63" s="147">
        <f>'[39]TGSPDCL MoD'!J34</f>
        <v>2.46523607437028</v>
      </c>
      <c r="J63" s="147">
        <f>'[39]TGSPDCL MoD'!K34</f>
        <v>2.65427459015325</v>
      </c>
      <c r="K63" s="147">
        <f>'[39]TGSPDCL MoD'!L34</f>
        <v>2.33988508753789</v>
      </c>
      <c r="L63" s="147">
        <f>'[39]TGSPDCL MoD'!M34</f>
        <v>2.8709419564837</v>
      </c>
      <c r="M63" s="147">
        <f>'[39]TGSPDCL MoD'!N34</f>
        <v>2.90396452828363</v>
      </c>
      <c r="N63" s="147">
        <f>'[39]TGSPDCL MoD'!O34</f>
        <v>2.71593804803505</v>
      </c>
      <c r="O63" s="147">
        <f>'[39]TGSPDCL MoD'!P34</f>
        <v>2.48634246253911</v>
      </c>
      <c r="P63" s="147">
        <f>'[39]TGSPDCL MoD'!Q34</f>
        <v>3.02931551511602</v>
      </c>
      <c r="Q63" s="690">
        <f t="shared" si="5"/>
        <v>33.0783867254698</v>
      </c>
    </row>
    <row r="64" spans="3:17">
      <c r="C64" s="55"/>
      <c r="D64" s="757" t="s">
        <v>383</v>
      </c>
      <c r="E64" s="147">
        <f>'[39]TGSPDCL MoD'!F52</f>
        <v>25.0386019093488</v>
      </c>
      <c r="F64" s="147">
        <f>'[39]TGSPDCL MoD'!G52</f>
        <v>25.8732219729937</v>
      </c>
      <c r="G64" s="147">
        <f>'[39]TGSPDCL MoD'!H52</f>
        <v>25.0386019093488</v>
      </c>
      <c r="H64" s="147">
        <f>'[39]TGSPDCL MoD'!I52</f>
        <v>26.4198393386204</v>
      </c>
      <c r="I64" s="147">
        <f>'[39]TGSPDCL MoD'!J52</f>
        <v>21.726568813326</v>
      </c>
      <c r="J64" s="147">
        <f>'[39]TGSPDCL MoD'!K52</f>
        <v>23.9806328145876</v>
      </c>
      <c r="K64" s="147">
        <f>'[39]TGSPDCL MoD'!L52</f>
        <v>20.4070483167275</v>
      </c>
      <c r="L64" s="147">
        <f>'[39]TGSPDCL MoD'!M52</f>
        <v>25.0386019093488</v>
      </c>
      <c r="M64" s="147">
        <f>'[39]TGSPDCL MoD'!N52</f>
        <v>25.8732219729937</v>
      </c>
      <c r="N64" s="147">
        <f>'[39]TGSPDCL MoD'!O52</f>
        <v>24.2333698761139</v>
      </c>
      <c r="O64" s="147">
        <f>'[39]TGSPDCL MoD'!P52</f>
        <v>22.3819239602817</v>
      </c>
      <c r="P64" s="147">
        <f>'[39]TGSPDCL MoD'!Q52</f>
        <v>27.5130740698736</v>
      </c>
      <c r="Q64" s="690">
        <f t="shared" si="5"/>
        <v>293.524706863565</v>
      </c>
    </row>
    <row r="65" spans="3:17">
      <c r="C65" s="55"/>
      <c r="D65" s="757" t="s">
        <v>384</v>
      </c>
      <c r="E65" s="147">
        <f>'[39]TGSPDCL MoD'!F35</f>
        <v>0</v>
      </c>
      <c r="F65" s="147">
        <f>'[39]TGSPDCL MoD'!G35</f>
        <v>0</v>
      </c>
      <c r="G65" s="147">
        <f>'[39]TGSPDCL MoD'!H35</f>
        <v>0</v>
      </c>
      <c r="H65" s="147">
        <f>'[39]TGSPDCL MoD'!I35</f>
        <v>0</v>
      </c>
      <c r="I65" s="147">
        <f>'[39]TGSPDCL MoD'!J35</f>
        <v>0</v>
      </c>
      <c r="J65" s="147">
        <f>'[39]TGSPDCL MoD'!K35</f>
        <v>0</v>
      </c>
      <c r="K65" s="147">
        <f>'[39]TGSPDCL MoD'!L35</f>
        <v>0</v>
      </c>
      <c r="L65" s="147">
        <f>'[39]TGSPDCL MoD'!M35</f>
        <v>0</v>
      </c>
      <c r="M65" s="147">
        <f>'[39]TGSPDCL MoD'!N35</f>
        <v>0</v>
      </c>
      <c r="N65" s="147">
        <f>'[39]TGSPDCL MoD'!O35</f>
        <v>0</v>
      </c>
      <c r="O65" s="147">
        <f>'[39]TGSPDCL MoD'!P35</f>
        <v>0</v>
      </c>
      <c r="P65" s="147">
        <f>'[39]TGSPDCL MoD'!Q35</f>
        <v>0</v>
      </c>
      <c r="Q65" s="690">
        <f t="shared" si="5"/>
        <v>0</v>
      </c>
    </row>
    <row r="66" spans="3:17">
      <c r="C66" s="55"/>
      <c r="D66" s="757" t="s">
        <v>385</v>
      </c>
      <c r="E66" s="147">
        <f t="shared" ref="E66:P66" si="6">E65</f>
        <v>0</v>
      </c>
      <c r="F66" s="147">
        <f t="shared" si="6"/>
        <v>0</v>
      </c>
      <c r="G66" s="147">
        <f t="shared" si="6"/>
        <v>0</v>
      </c>
      <c r="H66" s="147">
        <f t="shared" si="6"/>
        <v>0</v>
      </c>
      <c r="I66" s="147">
        <f t="shared" si="6"/>
        <v>0</v>
      </c>
      <c r="J66" s="147">
        <f t="shared" si="6"/>
        <v>0</v>
      </c>
      <c r="K66" s="147">
        <f t="shared" si="6"/>
        <v>0</v>
      </c>
      <c r="L66" s="147">
        <f t="shared" si="6"/>
        <v>0</v>
      </c>
      <c r="M66" s="147">
        <f t="shared" si="6"/>
        <v>0</v>
      </c>
      <c r="N66" s="147">
        <f t="shared" si="6"/>
        <v>0</v>
      </c>
      <c r="O66" s="147">
        <f t="shared" si="6"/>
        <v>0</v>
      </c>
      <c r="P66" s="147">
        <f t="shared" si="6"/>
        <v>0</v>
      </c>
      <c r="Q66" s="690">
        <f t="shared" si="5"/>
        <v>0</v>
      </c>
    </row>
    <row r="67" spans="3:17">
      <c r="C67" s="55"/>
      <c r="D67" s="757" t="s">
        <v>386</v>
      </c>
      <c r="E67" s="147">
        <f>'[39]TGSPDCL MoD'!F46</f>
        <v>30.20398043083</v>
      </c>
      <c r="F67" s="147">
        <f>'[39]TGSPDCL MoD'!G46</f>
        <v>39.0134747231555</v>
      </c>
      <c r="G67" s="147">
        <f>'[39]TGSPDCL MoD'!H46</f>
        <v>37.7549755385376</v>
      </c>
      <c r="H67" s="147">
        <f>'[39]TGSPDCL MoD'!I46</f>
        <v>25.358758570051</v>
      </c>
      <c r="I67" s="147">
        <f>'[39]TGSPDCL MoD'!J46</f>
        <v>23.4080848338933</v>
      </c>
      <c r="J67" s="147">
        <f>'[39]TGSPDCL MoD'!K46</f>
        <v>24.5407341000494</v>
      </c>
      <c r="K67" s="147">
        <f>'[39]TGSPDCL MoD'!L46</f>
        <v>23.4080848338933</v>
      </c>
      <c r="L67" s="147">
        <f>'[39]TGSPDCL MoD'!M46</f>
        <v>29.6938558457904</v>
      </c>
      <c r="M67" s="147">
        <f>'[39]TGSPDCL MoD'!N46</f>
        <v>26.3340954381299</v>
      </c>
      <c r="N67" s="147">
        <f>'[39]TGSPDCL MoD'!O46</f>
        <v>26.3340954381299</v>
      </c>
      <c r="O67" s="147">
        <f>'[39]TGSPDCL MoD'!P46</f>
        <v>29.9522805939065</v>
      </c>
      <c r="P67" s="147">
        <f>'[39]TGSPDCL MoD'!Q46</f>
        <v>34.136790382761</v>
      </c>
      <c r="Q67" s="690">
        <f t="shared" si="5"/>
        <v>350.139210729128</v>
      </c>
    </row>
    <row r="68" spans="3:17">
      <c r="C68" s="55"/>
      <c r="D68" s="757" t="s">
        <v>387</v>
      </c>
      <c r="E68" s="147">
        <f>'[39]TGSPDCL MoD'!F47</f>
        <v>51.7616580217176</v>
      </c>
      <c r="F68" s="147">
        <f>'[39]TGSPDCL MoD'!G47</f>
        <v>0</v>
      </c>
      <c r="G68" s="147">
        <f>'[39]TGSPDCL MoD'!H47</f>
        <v>26.738586437683</v>
      </c>
      <c r="H68" s="147">
        <f>'[39]TGSPDCL MoD'!I47</f>
        <v>51.6028503946854</v>
      </c>
      <c r="I68" s="147">
        <f>'[39]TGSPDCL MoD'!J47</f>
        <v>38.1942357252002</v>
      </c>
      <c r="J68" s="147">
        <f>'[39]TGSPDCL MoD'!K47</f>
        <v>41.6807376822707</v>
      </c>
      <c r="K68" s="147">
        <f>'[39]TGSPDCL MoD'!L47</f>
        <v>40.6321656651066</v>
      </c>
      <c r="L68" s="147">
        <f>'[39]TGSPDCL MoD'!M47</f>
        <v>54.6568163946757</v>
      </c>
      <c r="M68" s="147">
        <f>'[39]TGSPDCL MoD'!N47</f>
        <v>47.9459554848258</v>
      </c>
      <c r="N68" s="147">
        <f>'[39]TGSPDCL MoD'!O47</f>
        <v>47.9459554848258</v>
      </c>
      <c r="O68" s="147">
        <f>'[39]TGSPDCL MoD'!P47</f>
        <v>45.5080255449194</v>
      </c>
      <c r="P68" s="147">
        <f>'[39]TGSPDCL MoD'!Q47</f>
        <v>54.5622460032543</v>
      </c>
      <c r="Q68" s="690">
        <f t="shared" si="5"/>
        <v>501.229232839164</v>
      </c>
    </row>
    <row r="69" spans="3:17">
      <c r="C69" s="55"/>
      <c r="D69" s="55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690"/>
    </row>
    <row r="70" spans="3:17">
      <c r="C70" s="55"/>
      <c r="D70" s="55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690"/>
    </row>
    <row r="71" spans="3:17">
      <c r="C71" s="55"/>
      <c r="D71" s="55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690"/>
    </row>
    <row r="72" spans="3:17">
      <c r="C72" s="55"/>
      <c r="D72" s="55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690"/>
    </row>
    <row r="73" spans="3:17">
      <c r="C73" s="55"/>
      <c r="D73" s="55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690"/>
    </row>
    <row r="74" spans="3:17">
      <c r="C74" s="55"/>
      <c r="D74" s="55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690"/>
    </row>
    <row r="75" spans="3:17">
      <c r="C75" s="55"/>
      <c r="D75" s="55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690"/>
    </row>
    <row r="76" spans="3:17">
      <c r="C76" s="55"/>
      <c r="D76" s="55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690"/>
    </row>
    <row r="77" ht="15" spans="3:17">
      <c r="C77" s="537" t="s">
        <v>211</v>
      </c>
      <c r="D77" s="540"/>
      <c r="E77" s="690">
        <f t="shared" ref="E77:P77" si="7">SUM(E52:E76)</f>
        <v>1188.68734562845</v>
      </c>
      <c r="F77" s="690">
        <f t="shared" si="7"/>
        <v>1304.78916208084</v>
      </c>
      <c r="G77" s="690">
        <f t="shared" si="7"/>
        <v>1178.73534306362</v>
      </c>
      <c r="H77" s="690">
        <f t="shared" si="7"/>
        <v>1060.82626143727</v>
      </c>
      <c r="I77" s="690">
        <f t="shared" si="7"/>
        <v>943.117282370248</v>
      </c>
      <c r="J77" s="690">
        <f t="shared" si="7"/>
        <v>1009.56956163499</v>
      </c>
      <c r="K77" s="690">
        <f t="shared" si="7"/>
        <v>963.67740650054</v>
      </c>
      <c r="L77" s="690">
        <f t="shared" si="7"/>
        <v>1028.25821713356</v>
      </c>
      <c r="M77" s="690">
        <f t="shared" si="7"/>
        <v>989.180248193485</v>
      </c>
      <c r="N77" s="690">
        <f t="shared" si="7"/>
        <v>1057.3918491719</v>
      </c>
      <c r="O77" s="690">
        <f t="shared" si="7"/>
        <v>1105.61701396795</v>
      </c>
      <c r="P77" s="690">
        <f t="shared" si="7"/>
        <v>1309.89385519223</v>
      </c>
      <c r="Q77" s="693">
        <f>SUM(E77:P77)</f>
        <v>13139.7435463751</v>
      </c>
    </row>
    <row r="78" ht="15" spans="3:17">
      <c r="C78" s="44" t="s">
        <v>388</v>
      </c>
      <c r="D78" s="4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</row>
    <row r="79" spans="3:17">
      <c r="C79" s="754" t="s">
        <v>389</v>
      </c>
      <c r="D79" s="55" t="s">
        <v>390</v>
      </c>
      <c r="E79" s="147">
        <f>'[39]TGSPDCL MoD'!F32</f>
        <v>10.314411455211</v>
      </c>
      <c r="F79" s="147">
        <f>'[39]TGSPDCL MoD'!G32</f>
        <v>10.6582251703847</v>
      </c>
      <c r="G79" s="147">
        <f>'[39]TGSPDCL MoD'!H32</f>
        <v>10.314411455211</v>
      </c>
      <c r="H79" s="147">
        <f>'[39]TGSPDCL MoD'!I32</f>
        <v>10.6582251703847</v>
      </c>
      <c r="I79" s="147">
        <f>'[39]TGSPDCL MoD'!J32</f>
        <v>10.6582251703847</v>
      </c>
      <c r="J79" s="147">
        <f>'[39]TGSPDCL MoD'!K32</f>
        <v>10.314411455211</v>
      </c>
      <c r="K79" s="147">
        <f>'[39]TGSPDCL MoD'!L32</f>
        <v>10.6582251703847</v>
      </c>
      <c r="L79" s="147">
        <f>'[39]TGSPDCL MoD'!M32</f>
        <v>10.314411455211</v>
      </c>
      <c r="M79" s="147">
        <f>'[39]TGSPDCL MoD'!N32</f>
        <v>10.6582251703847</v>
      </c>
      <c r="N79" s="147">
        <f>'[39]TGSPDCL MoD'!O32</f>
        <v>10.6582251703847</v>
      </c>
      <c r="O79" s="147">
        <f>'[39]TGSPDCL MoD'!P32</f>
        <v>9.62678402486359</v>
      </c>
      <c r="P79" s="147">
        <f>'[39]TGSPDCL MoD'!Q32</f>
        <v>10.6582251703847</v>
      </c>
      <c r="Q79" s="147">
        <f t="shared" ref="Q79:Q93" si="8">SUM(E79:P79)</f>
        <v>125.4920060384</v>
      </c>
    </row>
    <row r="80" spans="3:17">
      <c r="C80" s="755"/>
      <c r="D80" s="55" t="s">
        <v>391</v>
      </c>
      <c r="E80" s="147">
        <f>'[39]TGSPDCL MoD'!F36+'[39]TGSPDCL MoD'!F37</f>
        <v>32.694815685819</v>
      </c>
      <c r="F80" s="147">
        <f>'[39]TGSPDCL MoD'!G36+'[39]TGSPDCL MoD'!G37</f>
        <v>33.7846428753464</v>
      </c>
      <c r="G80" s="147">
        <f>'[39]TGSPDCL MoD'!H36+'[39]TGSPDCL MoD'!H37</f>
        <v>32.694815685819</v>
      </c>
      <c r="H80" s="147">
        <f>'[39]TGSPDCL MoD'!I36+'[39]TGSPDCL MoD'!I37</f>
        <v>33.7846428753464</v>
      </c>
      <c r="I80" s="147">
        <f>'[39]TGSPDCL MoD'!J36+'[39]TGSPDCL MoD'!J37</f>
        <v>33.7846428753464</v>
      </c>
      <c r="J80" s="147">
        <f>'[39]TGSPDCL MoD'!K36+'[39]TGSPDCL MoD'!K37</f>
        <v>32.694815685819</v>
      </c>
      <c r="K80" s="147">
        <f>'[39]TGSPDCL MoD'!L36+'[39]TGSPDCL MoD'!L37</f>
        <v>33.7846428753464</v>
      </c>
      <c r="L80" s="147">
        <f>'[39]TGSPDCL MoD'!M36+'[39]TGSPDCL MoD'!M37</f>
        <v>32.694815685819</v>
      </c>
      <c r="M80" s="147">
        <f>'[39]TGSPDCL MoD'!N36+'[39]TGSPDCL MoD'!N37</f>
        <v>33.7846428753464</v>
      </c>
      <c r="N80" s="147">
        <f>'[39]TGSPDCL MoD'!O36+'[39]TGSPDCL MoD'!O37</f>
        <v>33.7846428753464</v>
      </c>
      <c r="O80" s="147">
        <f>'[39]TGSPDCL MoD'!P36+'[39]TGSPDCL MoD'!P37</f>
        <v>30.5151613067644</v>
      </c>
      <c r="P80" s="147">
        <f>'[39]TGSPDCL MoD'!Q36+'[39]TGSPDCL MoD'!Q37</f>
        <v>33.7846428753464</v>
      </c>
      <c r="Q80" s="147">
        <f t="shared" si="8"/>
        <v>397.786924177465</v>
      </c>
    </row>
    <row r="81" spans="3:17">
      <c r="C81" s="755"/>
      <c r="D81" s="55" t="s">
        <v>392</v>
      </c>
      <c r="E81" s="147">
        <f>'[39]TGSPDCL MoD'!F38+'[39]TGSPDCL MoD'!F39</f>
        <v>32.694815685819</v>
      </c>
      <c r="F81" s="147">
        <f>'[39]TGSPDCL MoD'!G38+'[39]TGSPDCL MoD'!G39</f>
        <v>33.7846428753464</v>
      </c>
      <c r="G81" s="147">
        <f>'[39]TGSPDCL MoD'!H38+'[39]TGSPDCL MoD'!H39</f>
        <v>32.694815685819</v>
      </c>
      <c r="H81" s="147">
        <f>'[39]TGSPDCL MoD'!I38+'[39]TGSPDCL MoD'!I39</f>
        <v>33.7846428753464</v>
      </c>
      <c r="I81" s="147">
        <f>'[39]TGSPDCL MoD'!J38+'[39]TGSPDCL MoD'!J39</f>
        <v>33.7846428753464</v>
      </c>
      <c r="J81" s="147">
        <f>'[39]TGSPDCL MoD'!K38+'[39]TGSPDCL MoD'!K39</f>
        <v>32.694815685819</v>
      </c>
      <c r="K81" s="147">
        <f>'[39]TGSPDCL MoD'!L38+'[39]TGSPDCL MoD'!L39</f>
        <v>33.7846428753464</v>
      </c>
      <c r="L81" s="147">
        <f>'[39]TGSPDCL MoD'!M38+'[39]TGSPDCL MoD'!M39</f>
        <v>32.694815685819</v>
      </c>
      <c r="M81" s="147">
        <f>'[39]TGSPDCL MoD'!N38+'[39]TGSPDCL MoD'!N39</f>
        <v>33.7846428753464</v>
      </c>
      <c r="N81" s="147">
        <f>'[39]TGSPDCL MoD'!O38+'[39]TGSPDCL MoD'!O39</f>
        <v>33.7846428753464</v>
      </c>
      <c r="O81" s="147">
        <f>'[39]TGSPDCL MoD'!P38+'[39]TGSPDCL MoD'!P39</f>
        <v>30.5151613067644</v>
      </c>
      <c r="P81" s="147">
        <f>'[39]TGSPDCL MoD'!Q38+'[39]TGSPDCL MoD'!Q39</f>
        <v>33.7846428753464</v>
      </c>
      <c r="Q81" s="147">
        <f t="shared" si="8"/>
        <v>397.786924177465</v>
      </c>
    </row>
    <row r="82" spans="3:17">
      <c r="C82" s="756"/>
      <c r="D82" s="55" t="s">
        <v>393</v>
      </c>
      <c r="E82" s="147">
        <f>'[39]TGSPDCL MoD'!F48</f>
        <v>25.4299440842328</v>
      </c>
      <c r="F82" s="147">
        <f>'[39]TGSPDCL MoD'!G48</f>
        <v>26.2776088870406</v>
      </c>
      <c r="G82" s="147">
        <f>'[39]TGSPDCL MoD'!H48</f>
        <v>25.4299440842328</v>
      </c>
      <c r="H82" s="147">
        <f>'[39]TGSPDCL MoD'!I48</f>
        <v>26.2776088870406</v>
      </c>
      <c r="I82" s="147">
        <f>'[39]TGSPDCL MoD'!J48</f>
        <v>26.2776088870406</v>
      </c>
      <c r="J82" s="147">
        <f>'[39]TGSPDCL MoD'!K48</f>
        <v>25.4299440842328</v>
      </c>
      <c r="K82" s="147">
        <f>'[39]TGSPDCL MoD'!L48</f>
        <v>26.2776088870406</v>
      </c>
      <c r="L82" s="147">
        <f>'[39]TGSPDCL MoD'!M48</f>
        <v>25.4299440842328</v>
      </c>
      <c r="M82" s="147">
        <f>'[39]TGSPDCL MoD'!N48</f>
        <v>26.2776088870406</v>
      </c>
      <c r="N82" s="147">
        <f>'[39]TGSPDCL MoD'!O48</f>
        <v>26.2776088870406</v>
      </c>
      <c r="O82" s="147">
        <f>'[39]TGSPDCL MoD'!P48</f>
        <v>23.7346144786173</v>
      </c>
      <c r="P82" s="147">
        <f>'[39]TGSPDCL MoD'!Q48</f>
        <v>26.2776088870406</v>
      </c>
      <c r="Q82" s="147">
        <f t="shared" si="8"/>
        <v>309.397653024833</v>
      </c>
    </row>
    <row r="83" spans="3:17">
      <c r="C83" s="55"/>
      <c r="D83" s="55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55">
        <f t="shared" si="8"/>
        <v>0</v>
      </c>
    </row>
    <row r="84" spans="3:17">
      <c r="C84" s="55"/>
      <c r="D84" s="55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55">
        <f t="shared" si="8"/>
        <v>0</v>
      </c>
    </row>
    <row r="85" spans="3:17">
      <c r="C85" s="55"/>
      <c r="D85" s="55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55">
        <f t="shared" si="8"/>
        <v>0</v>
      </c>
    </row>
    <row r="86" spans="3:17">
      <c r="C86" s="55"/>
      <c r="D86" s="55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55">
        <f t="shared" si="8"/>
        <v>0</v>
      </c>
    </row>
    <row r="87" spans="3:17">
      <c r="C87" s="55"/>
      <c r="D87" s="55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55">
        <f t="shared" si="8"/>
        <v>0</v>
      </c>
    </row>
    <row r="88" spans="3:17">
      <c r="C88" s="55"/>
      <c r="D88" s="55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55">
        <f t="shared" si="8"/>
        <v>0</v>
      </c>
    </row>
    <row r="89" spans="3:17">
      <c r="C89" s="55"/>
      <c r="D89" s="55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55">
        <f t="shared" si="8"/>
        <v>0</v>
      </c>
    </row>
    <row r="90" spans="3:17">
      <c r="C90" s="55"/>
      <c r="D90" s="55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55">
        <f t="shared" si="8"/>
        <v>0</v>
      </c>
    </row>
    <row r="91" spans="3:17">
      <c r="C91" s="55"/>
      <c r="D91" s="55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55">
        <f t="shared" si="8"/>
        <v>0</v>
      </c>
    </row>
    <row r="92" spans="3:17">
      <c r="C92" s="55"/>
      <c r="D92" s="55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55">
        <f t="shared" si="8"/>
        <v>0</v>
      </c>
    </row>
    <row r="93" ht="15" spans="3:18">
      <c r="C93" s="537" t="s">
        <v>211</v>
      </c>
      <c r="D93" s="540"/>
      <c r="E93" s="690">
        <f t="shared" ref="E93:P93" si="9">SUM(E79:E92)</f>
        <v>101.133986911082</v>
      </c>
      <c r="F93" s="690">
        <f t="shared" si="9"/>
        <v>104.505119808118</v>
      </c>
      <c r="G93" s="690">
        <f t="shared" si="9"/>
        <v>101.133986911082</v>
      </c>
      <c r="H93" s="690">
        <f t="shared" si="9"/>
        <v>104.505119808118</v>
      </c>
      <c r="I93" s="690">
        <f t="shared" si="9"/>
        <v>104.505119808118</v>
      </c>
      <c r="J93" s="690">
        <f t="shared" si="9"/>
        <v>101.133986911082</v>
      </c>
      <c r="K93" s="690">
        <f t="shared" si="9"/>
        <v>104.505119808118</v>
      </c>
      <c r="L93" s="690">
        <f t="shared" si="9"/>
        <v>101.133986911082</v>
      </c>
      <c r="M93" s="690">
        <f t="shared" si="9"/>
        <v>104.505119808118</v>
      </c>
      <c r="N93" s="690">
        <f t="shared" si="9"/>
        <v>104.505119808118</v>
      </c>
      <c r="O93" s="690">
        <f t="shared" si="9"/>
        <v>94.3917211170097</v>
      </c>
      <c r="P93" s="690">
        <f t="shared" si="9"/>
        <v>104.505119808118</v>
      </c>
      <c r="Q93" s="693">
        <f t="shared" si="8"/>
        <v>1230.46350741816</v>
      </c>
      <c r="R93" s="686"/>
    </row>
    <row r="94" ht="15" spans="3:18">
      <c r="C94" s="44" t="s">
        <v>395</v>
      </c>
      <c r="D94" s="45"/>
      <c r="E94" s="690">
        <f t="shared" ref="E94:Q94" si="10">E77+E93</f>
        <v>1289.82133253953</v>
      </c>
      <c r="F94" s="690">
        <f t="shared" si="10"/>
        <v>1409.29428188896</v>
      </c>
      <c r="G94" s="690">
        <f t="shared" si="10"/>
        <v>1279.8693299747</v>
      </c>
      <c r="H94" s="690">
        <f t="shared" si="10"/>
        <v>1165.33138124539</v>
      </c>
      <c r="I94" s="690">
        <f t="shared" si="10"/>
        <v>1047.62240217837</v>
      </c>
      <c r="J94" s="690">
        <f t="shared" si="10"/>
        <v>1110.70354854608</v>
      </c>
      <c r="K94" s="690">
        <f t="shared" si="10"/>
        <v>1068.18252630866</v>
      </c>
      <c r="L94" s="690">
        <f t="shared" si="10"/>
        <v>1129.39220404464</v>
      </c>
      <c r="M94" s="690">
        <f t="shared" si="10"/>
        <v>1093.6853680016</v>
      </c>
      <c r="N94" s="690">
        <f t="shared" si="10"/>
        <v>1161.89696898001</v>
      </c>
      <c r="O94" s="690">
        <f t="shared" si="10"/>
        <v>1200.00873508496</v>
      </c>
      <c r="P94" s="690">
        <f t="shared" si="10"/>
        <v>1414.39897500035</v>
      </c>
      <c r="Q94" s="693">
        <f t="shared" si="10"/>
        <v>14370.2070537932</v>
      </c>
      <c r="R94" s="686"/>
    </row>
    <row r="95" ht="15" spans="3:17">
      <c r="C95" s="663" t="s">
        <v>396</v>
      </c>
      <c r="D95" s="676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</row>
    <row r="96" spans="3:17">
      <c r="C96" s="55" t="s">
        <v>397</v>
      </c>
      <c r="D96" s="757" t="s">
        <v>397</v>
      </c>
      <c r="E96" s="147">
        <f>'[39]TGSPDCL MoD'!F23</f>
        <v>101.759446221328</v>
      </c>
      <c r="F96" s="147">
        <f>'[39]TGSPDCL MoD'!G23</f>
        <v>104.574353267943</v>
      </c>
      <c r="G96" s="147">
        <f>'[39]TGSPDCL MoD'!H23</f>
        <v>101.759446221328</v>
      </c>
      <c r="H96" s="147">
        <f>'[39]TGSPDCL MoD'!I23</f>
        <v>107.372936799265</v>
      </c>
      <c r="I96" s="147">
        <f>'[39]TGSPDCL MoD'!J23</f>
        <v>87.3793554642294</v>
      </c>
      <c r="J96" s="147">
        <f>'[39]TGSPDCL MoD'!K23</f>
        <v>97.4597513105675</v>
      </c>
      <c r="K96" s="147">
        <f>'[39]TGSPDCL MoD'!L23</f>
        <v>82.936337389777</v>
      </c>
      <c r="L96" s="147">
        <f>'[39]TGSPDCL MoD'!M23</f>
        <v>101.759446221328</v>
      </c>
      <c r="M96" s="147">
        <f>'[39]TGSPDCL MoD'!N23</f>
        <v>105.151427762039</v>
      </c>
      <c r="N96" s="147">
        <f>'[39]TGSPDCL MoD'!O23</f>
        <v>97.5760653790475</v>
      </c>
      <c r="O96" s="147">
        <f>'[39]TGSPDCL MoD'!P23</f>
        <v>90.2897910451067</v>
      </c>
      <c r="P96" s="147">
        <f>'[39]TGSPDCL MoD'!Q23</f>
        <v>111.505474648149</v>
      </c>
      <c r="Q96" s="147">
        <f>SUM(E96:P96)</f>
        <v>1189.52383173011</v>
      </c>
    </row>
    <row r="97" spans="3:17">
      <c r="C97" s="55" t="s">
        <v>398</v>
      </c>
      <c r="D97" s="757" t="s">
        <v>398</v>
      </c>
      <c r="E97" s="147">
        <f>'[39]TGSPDCL MoD'!F24</f>
        <v>0</v>
      </c>
      <c r="F97" s="147">
        <f>'[39]TGSPDCL MoD'!G24</f>
        <v>0</v>
      </c>
      <c r="G97" s="147">
        <f>'[39]TGSPDCL MoD'!H24</f>
        <v>0</v>
      </c>
      <c r="H97" s="147">
        <f>'[39]TGSPDCL MoD'!I24</f>
        <v>0</v>
      </c>
      <c r="I97" s="147">
        <f>'[39]TGSPDCL MoD'!J24</f>
        <v>0</v>
      </c>
      <c r="J97" s="147">
        <f>'[39]TGSPDCL MoD'!K24</f>
        <v>0</v>
      </c>
      <c r="K97" s="147">
        <f>'[39]TGSPDCL MoD'!L24</f>
        <v>0</v>
      </c>
      <c r="L97" s="147">
        <f>'[39]TGSPDCL MoD'!M24</f>
        <v>0</v>
      </c>
      <c r="M97" s="147">
        <f>'[39]TGSPDCL MoD'!N24</f>
        <v>0</v>
      </c>
      <c r="N97" s="147">
        <f>'[39]TGSPDCL MoD'!O24</f>
        <v>0</v>
      </c>
      <c r="O97" s="147">
        <f>'[39]TGSPDCL MoD'!P24</f>
        <v>0</v>
      </c>
      <c r="P97" s="147">
        <f>'[39]TGSPDCL MoD'!Q24</f>
        <v>0</v>
      </c>
      <c r="Q97" s="147">
        <f>SUM(E97:P97)</f>
        <v>0</v>
      </c>
    </row>
    <row r="98" spans="3:17">
      <c r="C98" s="55"/>
      <c r="D98" s="55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55"/>
    </row>
    <row r="99" spans="3:17">
      <c r="C99" s="55"/>
      <c r="D99" s="55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55"/>
    </row>
    <row r="100" spans="3:17">
      <c r="C100" s="55"/>
      <c r="D100" s="55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55"/>
    </row>
    <row r="101" spans="3:17">
      <c r="C101" s="55"/>
      <c r="D101" s="55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55"/>
    </row>
    <row r="102" spans="3:17">
      <c r="C102" s="55"/>
      <c r="D102" s="55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55"/>
    </row>
    <row r="103" ht="15" spans="3:18">
      <c r="C103" s="44" t="s">
        <v>399</v>
      </c>
      <c r="D103" s="45"/>
      <c r="E103" s="147">
        <f t="shared" ref="E103:P103" si="11">SUM(E96:E102)</f>
        <v>101.759446221328</v>
      </c>
      <c r="F103" s="147">
        <f t="shared" si="11"/>
        <v>104.574353267943</v>
      </c>
      <c r="G103" s="147">
        <f t="shared" si="11"/>
        <v>101.759446221328</v>
      </c>
      <c r="H103" s="147">
        <f t="shared" si="11"/>
        <v>107.372936799265</v>
      </c>
      <c r="I103" s="147">
        <f t="shared" si="11"/>
        <v>87.3793554642294</v>
      </c>
      <c r="J103" s="147">
        <f t="shared" si="11"/>
        <v>97.4597513105675</v>
      </c>
      <c r="K103" s="147">
        <f t="shared" si="11"/>
        <v>82.936337389777</v>
      </c>
      <c r="L103" s="147">
        <f t="shared" si="11"/>
        <v>101.759446221328</v>
      </c>
      <c r="M103" s="147">
        <f t="shared" si="11"/>
        <v>105.151427762039</v>
      </c>
      <c r="N103" s="147">
        <f t="shared" si="11"/>
        <v>97.5760653790475</v>
      </c>
      <c r="O103" s="147">
        <f t="shared" si="11"/>
        <v>90.2897910451067</v>
      </c>
      <c r="P103" s="147">
        <f t="shared" si="11"/>
        <v>111.505474648149</v>
      </c>
      <c r="Q103" s="316">
        <f>SUM(E103:P103)</f>
        <v>1189.52383173011</v>
      </c>
      <c r="R103" s="686"/>
    </row>
    <row r="104" ht="15" spans="3:17">
      <c r="C104" s="663" t="s">
        <v>400</v>
      </c>
      <c r="D104" s="676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</row>
    <row r="105" spans="3:17">
      <c r="C105" s="55" t="s">
        <v>401</v>
      </c>
      <c r="D105" s="757" t="s">
        <v>401</v>
      </c>
      <c r="E105" s="147">
        <f>'[39]TGSPDCL MoD'!F20+'[39]TGSPDCL MoD'!F21+'[39]TGSPDCL MoD'!F22</f>
        <v>397.569781481593</v>
      </c>
      <c r="F105" s="147">
        <f>'[39]TGSPDCL MoD'!G20+'[39]TGSPDCL MoD'!G21+'[39]TGSPDCL MoD'!G22</f>
        <v>226.395515340198</v>
      </c>
      <c r="G105" s="147">
        <f>'[39]TGSPDCL MoD'!H20+'[39]TGSPDCL MoD'!H21+'[39]TGSPDCL MoD'!H22</f>
        <v>109.546217100096</v>
      </c>
      <c r="H105" s="147">
        <f>'[39]TGSPDCL MoD'!I20+'[39]TGSPDCL MoD'!I21+'[39]TGSPDCL MoD'!I22</f>
        <v>286.86614548936</v>
      </c>
      <c r="I105" s="147">
        <f>'[39]TGSPDCL MoD'!J20+'[39]TGSPDCL MoD'!J21+'[39]TGSPDCL MoD'!J22</f>
        <v>303.095102682728</v>
      </c>
      <c r="J105" s="147">
        <f>'[39]TGSPDCL MoD'!K20+'[39]TGSPDCL MoD'!K21+'[39]TGSPDCL MoD'!K22</f>
        <v>338.193215327006</v>
      </c>
      <c r="K105" s="147">
        <f>'[39]TGSPDCL MoD'!L20+'[39]TGSPDCL MoD'!L21+'[39]TGSPDCL MoD'!L22</f>
        <v>314.959722280127</v>
      </c>
      <c r="L105" s="147">
        <f>'[39]TGSPDCL MoD'!M20+'[39]TGSPDCL MoD'!M21+'[39]TGSPDCL MoD'!M22</f>
        <v>443.491057468367</v>
      </c>
      <c r="M105" s="147">
        <f>'[39]TGSPDCL MoD'!N20+'[39]TGSPDCL MoD'!N21+'[39]TGSPDCL MoD'!N22</f>
        <v>392.710315651285</v>
      </c>
      <c r="N105" s="147">
        <f>'[39]TGSPDCL MoD'!O20+'[39]TGSPDCL MoD'!O21+'[39]TGSPDCL MoD'!O22</f>
        <v>382.81806487222</v>
      </c>
      <c r="O105" s="147">
        <f>'[39]TGSPDCL MoD'!P20+'[39]TGSPDCL MoD'!P21+'[39]TGSPDCL MoD'!P22</f>
        <v>599.20214753038</v>
      </c>
      <c r="P105" s="147">
        <f>'[39]TGSPDCL MoD'!Q20+'[39]TGSPDCL MoD'!Q21+'[39]TGSPDCL MoD'!Q22</f>
        <v>717.434551815915</v>
      </c>
      <c r="Q105" s="147">
        <f>SUM(E105:P105)</f>
        <v>4512.28183703928</v>
      </c>
    </row>
    <row r="106" spans="3:17">
      <c r="C106" s="55" t="s">
        <v>402</v>
      </c>
      <c r="D106" s="757" t="s">
        <v>402</v>
      </c>
      <c r="E106" s="147">
        <v>0</v>
      </c>
      <c r="F106" s="147">
        <v>0</v>
      </c>
      <c r="G106" s="147">
        <v>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55">
        <f>SUM(E106:P106)</f>
        <v>0</v>
      </c>
    </row>
    <row r="107" spans="3:17">
      <c r="C107" s="55" t="s">
        <v>403</v>
      </c>
      <c r="D107" s="757" t="s">
        <v>403</v>
      </c>
      <c r="E107" s="147" t="e">
        <f>'[43]F9-Year(n+1)'!I107</f>
        <v>#REF!</v>
      </c>
      <c r="F107" s="147" t="e">
        <f>'[43]F9-Year(n+1)'!J107</f>
        <v>#REF!</v>
      </c>
      <c r="G107" s="147" t="e">
        <f>'[43]F9-Year(n+1)'!K107</f>
        <v>#REF!</v>
      </c>
      <c r="H107" s="147" t="e">
        <f>'[43]F9-Year(n+1)'!L107</f>
        <v>#REF!</v>
      </c>
      <c r="I107" s="147" t="e">
        <f>'[43]F9-Year(n+1)'!M107</f>
        <v>#REF!</v>
      </c>
      <c r="J107" s="147" t="e">
        <f>'[43]F9-Year(n+1)'!N107</f>
        <v>#REF!</v>
      </c>
      <c r="K107" s="147" t="e">
        <f>'[43]F9-Year(n+1)'!O107</f>
        <v>#REF!</v>
      </c>
      <c r="L107" s="147" t="e">
        <f>'[43]F9-Year(n+1)'!P107</f>
        <v>#REF!</v>
      </c>
      <c r="M107" s="147" t="e">
        <f>'[43]F9-Year(n+1)'!Q107</f>
        <v>#REF!</v>
      </c>
      <c r="N107" s="147" t="e">
        <f>'[43]F9-Year(n+1)'!R107</f>
        <v>#REF!</v>
      </c>
      <c r="O107" s="147" t="e">
        <f>'[43]F9-Year(n+1)'!S107</f>
        <v>#REF!</v>
      </c>
      <c r="P107" s="147" t="e">
        <f>'[43]F9-Year(n+1)'!T107</f>
        <v>#REF!</v>
      </c>
      <c r="Q107" s="55" t="e">
        <f>SUM(E107:P107)</f>
        <v>#REF!</v>
      </c>
    </row>
    <row r="108" spans="3:17">
      <c r="C108" s="55"/>
      <c r="D108" s="55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55"/>
    </row>
    <row r="109" spans="3:17">
      <c r="C109" s="55"/>
      <c r="D109" s="55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55"/>
    </row>
    <row r="110" spans="3:17">
      <c r="C110" s="55"/>
      <c r="D110" s="55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55"/>
    </row>
    <row r="111" spans="3:17">
      <c r="C111" s="55"/>
      <c r="D111" s="55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55"/>
    </row>
    <row r="112" spans="3:17">
      <c r="C112" s="55"/>
      <c r="D112" s="55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55"/>
    </row>
    <row r="113" ht="15" spans="3:18">
      <c r="C113" s="44" t="s">
        <v>404</v>
      </c>
      <c r="D113" s="45"/>
      <c r="E113" s="147" t="e">
        <f t="shared" ref="E113:P113" si="12">SUM(E105:E112)</f>
        <v>#REF!</v>
      </c>
      <c r="F113" s="147" t="e">
        <f t="shared" si="12"/>
        <v>#REF!</v>
      </c>
      <c r="G113" s="147" t="e">
        <f t="shared" si="12"/>
        <v>#REF!</v>
      </c>
      <c r="H113" s="147" t="e">
        <f t="shared" si="12"/>
        <v>#REF!</v>
      </c>
      <c r="I113" s="147" t="e">
        <f t="shared" si="12"/>
        <v>#REF!</v>
      </c>
      <c r="J113" s="147" t="e">
        <f t="shared" si="12"/>
        <v>#REF!</v>
      </c>
      <c r="K113" s="147" t="e">
        <f t="shared" si="12"/>
        <v>#REF!</v>
      </c>
      <c r="L113" s="147" t="e">
        <f t="shared" si="12"/>
        <v>#REF!</v>
      </c>
      <c r="M113" s="147" t="e">
        <f t="shared" si="12"/>
        <v>#REF!</v>
      </c>
      <c r="N113" s="147" t="e">
        <f t="shared" si="12"/>
        <v>#REF!</v>
      </c>
      <c r="O113" s="147" t="e">
        <f t="shared" si="12"/>
        <v>#REF!</v>
      </c>
      <c r="P113" s="147" t="e">
        <f t="shared" si="12"/>
        <v>#REF!</v>
      </c>
      <c r="Q113" s="316" t="e">
        <f>SUM(E113:P113)</f>
        <v>#REF!</v>
      </c>
      <c r="R113" s="686"/>
    </row>
    <row r="114" ht="15" spans="3:17">
      <c r="C114" s="663" t="s">
        <v>405</v>
      </c>
      <c r="D114" s="676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</row>
    <row r="115" spans="3:17">
      <c r="C115" s="55"/>
      <c r="D115" s="757" t="s">
        <v>406</v>
      </c>
      <c r="E115" s="147">
        <f>'[39]TGSPDCL MoD'!$F$104</f>
        <v>0.0324651300743771</v>
      </c>
      <c r="F115" s="147">
        <f>'[39]TGSPDCL MoD'!$F$104</f>
        <v>0.0324651300743771</v>
      </c>
      <c r="G115" s="147">
        <f>'[39]TGSPDCL MoD'!$F$104</f>
        <v>0.0324651300743771</v>
      </c>
      <c r="H115" s="147">
        <f>'[39]TGSPDCL MoD'!$F$104</f>
        <v>0.0324651300743771</v>
      </c>
      <c r="I115" s="147">
        <f>'[39]TGSPDCL MoD'!$F$104</f>
        <v>0.0324651300743771</v>
      </c>
      <c r="J115" s="147">
        <f>'[39]TGSPDCL MoD'!$F$104</f>
        <v>0.0324651300743771</v>
      </c>
      <c r="K115" s="147">
        <f>'[39]TGSPDCL MoD'!$F$104</f>
        <v>0.0324651300743771</v>
      </c>
      <c r="L115" s="147">
        <f>'[39]TGSPDCL MoD'!$F$104</f>
        <v>0.0324651300743771</v>
      </c>
      <c r="M115" s="147">
        <f>'[39]TGSPDCL MoD'!$F$104</f>
        <v>0.0324651300743771</v>
      </c>
      <c r="N115" s="147">
        <f>'[39]TGSPDCL MoD'!$F$104</f>
        <v>0.0324651300743771</v>
      </c>
      <c r="O115" s="147">
        <f>'[39]TGSPDCL MoD'!$F$104</f>
        <v>0.0324651300743771</v>
      </c>
      <c r="P115" s="147">
        <f>'[39]TGSPDCL MoD'!$F$104</f>
        <v>0.0324651300743771</v>
      </c>
      <c r="Q115" s="690">
        <f t="shared" ref="Q115:Q128" si="13">SUM(E115:P115)</f>
        <v>0.389581560892525</v>
      </c>
    </row>
    <row r="116" spans="3:17">
      <c r="C116" s="55"/>
      <c r="D116" s="757" t="s">
        <v>407</v>
      </c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690">
        <f t="shared" si="13"/>
        <v>0</v>
      </c>
    </row>
    <row r="117" spans="3:17">
      <c r="C117" s="55"/>
      <c r="D117" s="757" t="s">
        <v>408</v>
      </c>
      <c r="E117" s="147">
        <f>'[39]TGSPDCL MoD'!F101</f>
        <v>8.04186290895216</v>
      </c>
      <c r="F117" s="147">
        <f>'[39]TGSPDCL MoD'!G101</f>
        <v>5.65456992462307</v>
      </c>
      <c r="G117" s="147">
        <f>'[39]TGSPDCL MoD'!H101</f>
        <v>4.70146666094361</v>
      </c>
      <c r="H117" s="147">
        <f>'[39]TGSPDCL MoD'!I101</f>
        <v>6.63855861373027</v>
      </c>
      <c r="I117" s="147">
        <f>'[39]TGSPDCL MoD'!J101</f>
        <v>6.63855861373027</v>
      </c>
      <c r="J117" s="147">
        <f>'[39]TGSPDCL MoD'!K101</f>
        <v>4.73233689432737</v>
      </c>
      <c r="K117" s="147">
        <f>'[39]TGSPDCL MoD'!L101</f>
        <v>6.63855861373027</v>
      </c>
      <c r="L117" s="147">
        <f>'[39]TGSPDCL MoD'!M101</f>
        <v>6.23769880905377</v>
      </c>
      <c r="M117" s="147">
        <f>'[39]TGSPDCL MoD'!N101</f>
        <v>10.1800772680822</v>
      </c>
      <c r="N117" s="147">
        <f>'[39]TGSPDCL MoD'!O101</f>
        <v>10.3501825846166</v>
      </c>
      <c r="O117" s="147">
        <f>'[39]TGSPDCL MoD'!P101</f>
        <v>10.9169724257381</v>
      </c>
      <c r="P117" s="147">
        <f>'[39]TGSPDCL MoD'!Q101</f>
        <v>10.9631461114325</v>
      </c>
      <c r="Q117" s="690">
        <f t="shared" si="13"/>
        <v>91.6939894289602</v>
      </c>
    </row>
    <row r="118" spans="3:17">
      <c r="C118" s="55"/>
      <c r="D118" s="757" t="s">
        <v>409</v>
      </c>
      <c r="E118" s="147">
        <f>'[39]TGSPDCL MoD'!F102</f>
        <v>3.42304039824865</v>
      </c>
      <c r="F118" s="147">
        <f>'[39]TGSPDCL MoD'!G102</f>
        <v>2.40688277154785</v>
      </c>
      <c r="G118" s="147">
        <f>'[39]TGSPDCL MoD'!H102</f>
        <v>2.00119182503275</v>
      </c>
      <c r="H118" s="147">
        <f>'[39]TGSPDCL MoD'!I102</f>
        <v>2.82572018178076</v>
      </c>
      <c r="I118" s="147">
        <f>'[39]TGSPDCL MoD'!J102</f>
        <v>2.82572018178076</v>
      </c>
      <c r="J118" s="147">
        <f>'[39]TGSPDCL MoD'!K102</f>
        <v>2.01433182221653</v>
      </c>
      <c r="K118" s="147">
        <f>'[39]TGSPDCL MoD'!L102</f>
        <v>2.82572018178076</v>
      </c>
      <c r="L118" s="147">
        <f>'[39]TGSPDCL MoD'!M102</f>
        <v>2.65509313665739</v>
      </c>
      <c r="M118" s="147">
        <f>'[39]TGSPDCL MoD'!N102</f>
        <v>4.33317704373533</v>
      </c>
      <c r="N118" s="147">
        <f>'[39]TGSPDCL MoD'!O102</f>
        <v>4.4055828254611</v>
      </c>
      <c r="O118" s="147">
        <f>'[39]TGSPDCL MoD'!P102</f>
        <v>4.64683843320295</v>
      </c>
      <c r="P118" s="147">
        <f>'[39]TGSPDCL MoD'!Q102</f>
        <v>4.66649238568354</v>
      </c>
      <c r="Q118" s="690">
        <f t="shared" si="13"/>
        <v>39.0297911871284</v>
      </c>
    </row>
    <row r="119" spans="3:17">
      <c r="C119" s="55"/>
      <c r="D119" s="757" t="s">
        <v>410</v>
      </c>
      <c r="E119" s="147">
        <f>'[39]TGSPDCL MoD'!F99+'[39]TGSPDCL MoD'!F100</f>
        <v>17.2591929989455</v>
      </c>
      <c r="F119" s="147">
        <f>'[39]TGSPDCL MoD'!G99+'[39]TGSPDCL MoD'!G100</f>
        <v>14.8003808564998</v>
      </c>
      <c r="G119" s="147">
        <f>'[39]TGSPDCL MoD'!H99+'[39]TGSPDCL MoD'!H100</f>
        <v>35.2051168596055</v>
      </c>
      <c r="H119" s="147">
        <f>'[39]TGSPDCL MoD'!I99+'[39]TGSPDCL MoD'!I100</f>
        <v>51.2080196958164</v>
      </c>
      <c r="I119" s="147">
        <f>'[39]TGSPDCL MoD'!J99+'[39]TGSPDCL MoD'!J100</f>
        <v>27.9431824510743</v>
      </c>
      <c r="J119" s="147">
        <f>'[39]TGSPDCL MoD'!K99+'[39]TGSPDCL MoD'!K100</f>
        <v>20.5485982951661</v>
      </c>
      <c r="K119" s="147">
        <f>'[39]TGSPDCL MoD'!L99+'[39]TGSPDCL MoD'!L100</f>
        <v>12.4612715348359</v>
      </c>
      <c r="L119" s="147">
        <f>'[39]TGSPDCL MoD'!M99+'[39]TGSPDCL MoD'!M100</f>
        <v>17.3034619253631</v>
      </c>
      <c r="M119" s="147">
        <f>'[39]TGSPDCL MoD'!N99+'[39]TGSPDCL MoD'!N100</f>
        <v>19.7859835372942</v>
      </c>
      <c r="N119" s="147">
        <f>'[39]TGSPDCL MoD'!O99+'[39]TGSPDCL MoD'!O100</f>
        <v>19.1357567273033</v>
      </c>
      <c r="O119" s="147">
        <f>'[39]TGSPDCL MoD'!P99+'[39]TGSPDCL MoD'!P100</f>
        <v>13.1203436925768</v>
      </c>
      <c r="P119" s="147">
        <f>'[39]TGSPDCL MoD'!Q99+'[39]TGSPDCL MoD'!Q100</f>
        <v>17.0399319689109</v>
      </c>
      <c r="Q119" s="690">
        <f t="shared" si="13"/>
        <v>265.811240543392</v>
      </c>
    </row>
    <row r="120" spans="3:17">
      <c r="C120" s="55"/>
      <c r="D120" s="757" t="s">
        <v>368</v>
      </c>
      <c r="E120" s="147">
        <f>'[39]TGSPDCL MoD'!$F$103</f>
        <v>0.0078979694305466</v>
      </c>
      <c r="F120" s="147">
        <f>'[39]TGSPDCL MoD'!$F$103</f>
        <v>0.0078979694305466</v>
      </c>
      <c r="G120" s="147">
        <f>'[39]TGSPDCL MoD'!$F$103</f>
        <v>0.0078979694305466</v>
      </c>
      <c r="H120" s="147">
        <f>'[39]TGSPDCL MoD'!$F$103</f>
        <v>0.0078979694305466</v>
      </c>
      <c r="I120" s="147">
        <f>'[39]TGSPDCL MoD'!$F$103</f>
        <v>0.0078979694305466</v>
      </c>
      <c r="J120" s="147">
        <f>'[39]TGSPDCL MoD'!$F$103</f>
        <v>0.0078979694305466</v>
      </c>
      <c r="K120" s="147">
        <f>'[39]TGSPDCL MoD'!$F$103</f>
        <v>0.0078979694305466</v>
      </c>
      <c r="L120" s="147">
        <f>'[39]TGSPDCL MoD'!$F$103</f>
        <v>0.0078979694305466</v>
      </c>
      <c r="M120" s="147">
        <f>'[39]TGSPDCL MoD'!$F$103</f>
        <v>0.0078979694305466</v>
      </c>
      <c r="N120" s="147">
        <f>'[39]TGSPDCL MoD'!$F$103</f>
        <v>0.0078979694305466</v>
      </c>
      <c r="O120" s="147">
        <f>'[39]TGSPDCL MoD'!$F$103</f>
        <v>0.0078979694305466</v>
      </c>
      <c r="P120" s="147">
        <f>'[39]TGSPDCL MoD'!$F$103</f>
        <v>0.0078979694305466</v>
      </c>
      <c r="Q120" s="690">
        <f t="shared" si="13"/>
        <v>0.0947756331665592</v>
      </c>
    </row>
    <row r="121" spans="3:17">
      <c r="C121" s="55"/>
      <c r="D121" s="757" t="s">
        <v>411</v>
      </c>
      <c r="E121" s="147">
        <f>'[39]TGSPDCL MoD'!F114</f>
        <v>491.9338989782</v>
      </c>
      <c r="F121" s="147">
        <f>'[39]TGSPDCL MoD'!G114</f>
        <v>507.262236183141</v>
      </c>
      <c r="G121" s="147">
        <f>'[39]TGSPDCL MoD'!H114</f>
        <v>474.924644146686</v>
      </c>
      <c r="H121" s="147">
        <f>'[39]TGSPDCL MoD'!I114</f>
        <v>371.967338013586</v>
      </c>
      <c r="I121" s="147">
        <f>'[39]TGSPDCL MoD'!J114</f>
        <v>457.493596809006</v>
      </c>
      <c r="J121" s="147">
        <f>'[39]TGSPDCL MoD'!K114</f>
        <v>403.265857000074</v>
      </c>
      <c r="K121" s="147">
        <f>'[39]TGSPDCL MoD'!L114</f>
        <v>494.39472414967</v>
      </c>
      <c r="L121" s="147">
        <f>'[39]TGSPDCL MoD'!M114</f>
        <v>381.213597347113</v>
      </c>
      <c r="M121" s="147">
        <f>'[39]TGSPDCL MoD'!N114</f>
        <v>417.894067406642</v>
      </c>
      <c r="N121" s="147">
        <f>'[39]TGSPDCL MoD'!O114</f>
        <v>445.53628542486</v>
      </c>
      <c r="O121" s="147">
        <f>'[39]TGSPDCL MoD'!P114</f>
        <v>457.314497023667</v>
      </c>
      <c r="P121" s="147">
        <f>'[39]TGSPDCL MoD'!Q114</f>
        <v>490.369787729815</v>
      </c>
      <c r="Q121" s="690">
        <f t="shared" si="13"/>
        <v>5393.57053021246</v>
      </c>
    </row>
    <row r="122" spans="3:17">
      <c r="C122" s="55"/>
      <c r="D122" s="757" t="s">
        <v>412</v>
      </c>
      <c r="E122" s="147">
        <f>'[39]TGSPDCL MoD'!F107</f>
        <v>8.10469461548187</v>
      </c>
      <c r="F122" s="147">
        <f>'[39]TGSPDCL MoD'!G107</f>
        <v>8.35723157678342</v>
      </c>
      <c r="G122" s="147">
        <f>'[39]TGSPDCL MoD'!H107</f>
        <v>7.82446425052296</v>
      </c>
      <c r="H122" s="147">
        <f>'[39]TGSPDCL MoD'!I107</f>
        <v>6.12822512901766</v>
      </c>
      <c r="I122" s="147">
        <f>'[39]TGSPDCL MoD'!J107</f>
        <v>7.53728478231931</v>
      </c>
      <c r="J122" s="147">
        <f>'[39]TGSPDCL MoD'!K107</f>
        <v>6.64387355013529</v>
      </c>
      <c r="K122" s="147">
        <f>'[39]TGSPDCL MoD'!L107</f>
        <v>8.1452371285274</v>
      </c>
      <c r="L122" s="147">
        <f>'[39]TGSPDCL MoD'!M107</f>
        <v>6.28055882342139</v>
      </c>
      <c r="M122" s="147">
        <f>'[39]TGSPDCL MoD'!N107</f>
        <v>6.88487580341059</v>
      </c>
      <c r="N122" s="147">
        <f>'[39]TGSPDCL MoD'!O107</f>
        <v>7.34028604449697</v>
      </c>
      <c r="O122" s="147">
        <f>'[39]TGSPDCL MoD'!P107</f>
        <v>7.53433408290849</v>
      </c>
      <c r="P122" s="147">
        <f>'[39]TGSPDCL MoD'!Q107</f>
        <v>8.07892561676247</v>
      </c>
      <c r="Q122" s="690">
        <f t="shared" si="13"/>
        <v>88.8599914037878</v>
      </c>
    </row>
    <row r="123" spans="3:17">
      <c r="C123" s="55"/>
      <c r="D123" s="757" t="s">
        <v>413</v>
      </c>
      <c r="E123" s="147">
        <f>'[39]TGSPDCL MoD'!F108</f>
        <v>70.7656194458225</v>
      </c>
      <c r="F123" s="147">
        <f>'[39]TGSPDCL MoD'!G108</f>
        <v>72.9706296710483</v>
      </c>
      <c r="G123" s="147">
        <f>'[39]TGSPDCL MoD'!H108</f>
        <v>68.3188060488112</v>
      </c>
      <c r="H123" s="147">
        <f>'[39]TGSPDCL MoD'!I108</f>
        <v>53.5082033232916</v>
      </c>
      <c r="I123" s="147">
        <f>'[39]TGSPDCL MoD'!J108</f>
        <v>65.811317004038</v>
      </c>
      <c r="J123" s="147">
        <f>'[39]TGSPDCL MoD'!K108</f>
        <v>58.0105543269857</v>
      </c>
      <c r="K123" s="147">
        <f>'[39]TGSPDCL MoD'!L108</f>
        <v>71.1196137893079</v>
      </c>
      <c r="L123" s="147">
        <f>'[39]TGSPDCL MoD'!M108</f>
        <v>54.8382951723242</v>
      </c>
      <c r="M123" s="147">
        <f>'[39]TGSPDCL MoD'!N108</f>
        <v>60.114849991413</v>
      </c>
      <c r="N123" s="147">
        <f>'[39]TGSPDCL MoD'!O108</f>
        <v>64.0912352028789</v>
      </c>
      <c r="O123" s="147">
        <f>'[39]TGSPDCL MoD'!P108</f>
        <v>65.785553162029</v>
      </c>
      <c r="P123" s="147">
        <f>'[39]TGSPDCL MoD'!Q108</f>
        <v>70.540619091905</v>
      </c>
      <c r="Q123" s="690">
        <f t="shared" si="13"/>
        <v>775.875296229855</v>
      </c>
    </row>
    <row r="124" spans="3:17">
      <c r="C124" s="55"/>
      <c r="D124" s="757" t="s">
        <v>414</v>
      </c>
      <c r="E124" s="147">
        <f>'[39]TGSPDCL MoD'!F109</f>
        <v>70.7656194458225</v>
      </c>
      <c r="F124" s="147">
        <f>'[39]TGSPDCL MoD'!G109</f>
        <v>72.9706296710483</v>
      </c>
      <c r="G124" s="147">
        <f>'[39]TGSPDCL MoD'!H109</f>
        <v>68.3188060488112</v>
      </c>
      <c r="H124" s="147">
        <f>'[39]TGSPDCL MoD'!I109</f>
        <v>53.5082033232916</v>
      </c>
      <c r="I124" s="147">
        <f>'[39]TGSPDCL MoD'!J109</f>
        <v>65.811317004038</v>
      </c>
      <c r="J124" s="147">
        <f>'[39]TGSPDCL MoD'!K109</f>
        <v>58.0105543269857</v>
      </c>
      <c r="K124" s="147">
        <f>'[39]TGSPDCL MoD'!L109</f>
        <v>71.1196137893079</v>
      </c>
      <c r="L124" s="147">
        <f>'[39]TGSPDCL MoD'!M109</f>
        <v>54.8382951723242</v>
      </c>
      <c r="M124" s="147">
        <f>'[39]TGSPDCL MoD'!N109</f>
        <v>60.114849991413</v>
      </c>
      <c r="N124" s="147">
        <f>'[39]TGSPDCL MoD'!O109</f>
        <v>64.0912352028789</v>
      </c>
      <c r="O124" s="147">
        <f>'[39]TGSPDCL MoD'!P109</f>
        <v>65.785553162029</v>
      </c>
      <c r="P124" s="147">
        <f>'[39]TGSPDCL MoD'!Q109</f>
        <v>70.540619091905</v>
      </c>
      <c r="Q124" s="690">
        <f t="shared" si="13"/>
        <v>775.875296229855</v>
      </c>
    </row>
    <row r="125" spans="3:17">
      <c r="C125" s="55"/>
      <c r="D125" s="757" t="s">
        <v>415</v>
      </c>
      <c r="E125" s="147">
        <f>'[39]TGSPDCL MoD'!F110</f>
        <v>273.33220510949</v>
      </c>
      <c r="F125" s="147">
        <f>'[39]TGSPDCL MoD'!G110</f>
        <v>281.849057104424</v>
      </c>
      <c r="G125" s="147">
        <f>'[39]TGSPDCL MoD'!H110</f>
        <v>263.881388363533</v>
      </c>
      <c r="H125" s="147">
        <f>'[39]TGSPDCL MoD'!I110</f>
        <v>206.675435336214</v>
      </c>
      <c r="I125" s="147">
        <f>'[39]TGSPDCL MoD'!J110</f>
        <v>254.196211928097</v>
      </c>
      <c r="J125" s="147">
        <f>'[39]TGSPDCL MoD'!K110</f>
        <v>224.065766087982</v>
      </c>
      <c r="K125" s="147">
        <f>'[39]TGSPDCL MoD'!L110</f>
        <v>274.699508261202</v>
      </c>
      <c r="L125" s="147">
        <f>'[39]TGSPDCL MoD'!M110</f>
        <v>211.812915103102</v>
      </c>
      <c r="M125" s="147">
        <f>'[39]TGSPDCL MoD'!N110</f>
        <v>232.193608091833</v>
      </c>
      <c r="N125" s="147">
        <f>'[39]TGSPDCL MoD'!O110</f>
        <v>247.55239597112</v>
      </c>
      <c r="O125" s="147">
        <f>'[39]TGSPDCL MoD'!P110</f>
        <v>254.096699088337</v>
      </c>
      <c r="P125" s="147">
        <f>'[39]TGSPDCL MoD'!Q110</f>
        <v>272.463141242483</v>
      </c>
      <c r="Q125" s="690">
        <f t="shared" si="13"/>
        <v>2996.81833168782</v>
      </c>
    </row>
    <row r="126" spans="3:17">
      <c r="C126" s="55"/>
      <c r="D126" s="757" t="s">
        <v>416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690">
        <f t="shared" si="13"/>
        <v>0</v>
      </c>
    </row>
    <row r="127" spans="3:17">
      <c r="C127" s="55"/>
      <c r="D127" s="757" t="s">
        <v>417</v>
      </c>
      <c r="E127" s="147">
        <f>'[39]TGSPDCL MoD'!F112</f>
        <v>299.338570255829</v>
      </c>
      <c r="F127" s="147">
        <f>'[39]TGSPDCL MoD'!G112</f>
        <v>308.665763508534</v>
      </c>
      <c r="G127" s="147">
        <f>'[39]TGSPDCL MoD'!H112</f>
        <v>288.988549586472</v>
      </c>
      <c r="H127" s="147">
        <f>'[39]TGSPDCL MoD'!I112</f>
        <v>226.339700057523</v>
      </c>
      <c r="I127" s="147">
        <f>'[39]TGSPDCL MoD'!J112</f>
        <v>278.381870927081</v>
      </c>
      <c r="J127" s="147">
        <f>'[39]TGSPDCL MoD'!K112</f>
        <v>245.38464480315</v>
      </c>
      <c r="K127" s="147">
        <f>'[39]TGSPDCL MoD'!L112</f>
        <v>300.835966328772</v>
      </c>
      <c r="L127" s="147">
        <f>'[39]TGSPDCL MoD'!M112</f>
        <v>231.965988578931</v>
      </c>
      <c r="M127" s="147">
        <f>'[39]TGSPDCL MoD'!N112</f>
        <v>254.285815463677</v>
      </c>
      <c r="N127" s="147">
        <f>'[39]TGSPDCL MoD'!O112</f>
        <v>271.105924908178</v>
      </c>
      <c r="O127" s="147">
        <f>'[39]TGSPDCL MoD'!P112</f>
        <v>278.272889875383</v>
      </c>
      <c r="P127" s="147">
        <f>'[39]TGSPDCL MoD'!Q112</f>
        <v>298.386818758758</v>
      </c>
      <c r="Q127" s="690">
        <f t="shared" si="13"/>
        <v>3281.95250305229</v>
      </c>
    </row>
    <row r="128" spans="3:17">
      <c r="C128" s="55"/>
      <c r="D128" s="757" t="s">
        <v>418</v>
      </c>
      <c r="E128" s="147">
        <f>'[39]TGSPDCL MoD'!F113</f>
        <v>176.914048614556</v>
      </c>
      <c r="F128" s="147">
        <f>'[39]TGSPDCL MoD'!G113</f>
        <v>182.426574177621</v>
      </c>
      <c r="G128" s="147">
        <f>'[39]TGSPDCL MoD'!H113</f>
        <v>170.797015122028</v>
      </c>
      <c r="H128" s="147">
        <f>'[39]TGSPDCL MoD'!I113</f>
        <v>133.770508308229</v>
      </c>
      <c r="I128" s="147">
        <f>'[39]TGSPDCL MoD'!J113</f>
        <v>164.528292510095</v>
      </c>
      <c r="J128" s="147">
        <f>'[39]TGSPDCL MoD'!K113</f>
        <v>145.026385817464</v>
      </c>
      <c r="K128" s="147">
        <f>'[39]TGSPDCL MoD'!L113</f>
        <v>177.79903447327</v>
      </c>
      <c r="L128" s="147">
        <f>'[39]TGSPDCL MoD'!M113</f>
        <v>137.09573793081</v>
      </c>
      <c r="M128" s="147">
        <f>'[39]TGSPDCL MoD'!N113</f>
        <v>150.287124978532</v>
      </c>
      <c r="N128" s="147">
        <f>'[39]TGSPDCL MoD'!O113</f>
        <v>160.228088007197</v>
      </c>
      <c r="O128" s="147">
        <f>'[39]TGSPDCL MoD'!P113</f>
        <v>164.463882905073</v>
      </c>
      <c r="P128" s="147">
        <f>'[39]TGSPDCL MoD'!Q113</f>
        <v>176.351547729763</v>
      </c>
      <c r="Q128" s="690">
        <f t="shared" si="13"/>
        <v>1939.68824057464</v>
      </c>
    </row>
    <row r="129" spans="3:17">
      <c r="C129" s="55"/>
      <c r="D129" s="55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690"/>
    </row>
    <row r="130" spans="3:17">
      <c r="C130" s="55"/>
      <c r="D130" s="55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690"/>
    </row>
    <row r="131" spans="3:17">
      <c r="C131" s="55"/>
      <c r="D131" s="55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690"/>
    </row>
    <row r="132" spans="3:17">
      <c r="C132" s="55"/>
      <c r="D132" s="55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690"/>
    </row>
    <row r="133" spans="3:17">
      <c r="C133" s="55"/>
      <c r="D133" s="55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690"/>
    </row>
    <row r="134" spans="3:17">
      <c r="C134" s="55"/>
      <c r="D134" s="5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690"/>
    </row>
    <row r="135" spans="3:17">
      <c r="C135" s="55"/>
      <c r="D135" s="55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690"/>
    </row>
    <row r="136" spans="3:17">
      <c r="C136" s="55"/>
      <c r="D136" s="55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690"/>
    </row>
    <row r="137" spans="3:17">
      <c r="C137" s="55"/>
      <c r="D137" s="55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690"/>
    </row>
    <row r="138" spans="3:17">
      <c r="C138" s="55"/>
      <c r="D138" s="55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690"/>
    </row>
    <row r="139" ht="15" spans="3:18">
      <c r="C139" s="44" t="s">
        <v>421</v>
      </c>
      <c r="D139" s="45"/>
      <c r="E139" s="690">
        <f t="shared" ref="E139:P139" si="14">SUM(E115:E138)</f>
        <v>1419.91911587085</v>
      </c>
      <c r="F139" s="690">
        <f t="shared" si="14"/>
        <v>1457.40431854478</v>
      </c>
      <c r="G139" s="690">
        <f t="shared" si="14"/>
        <v>1385.00181201195</v>
      </c>
      <c r="H139" s="690">
        <f t="shared" si="14"/>
        <v>1112.61027508199</v>
      </c>
      <c r="I139" s="690">
        <f t="shared" si="14"/>
        <v>1331.20771531076</v>
      </c>
      <c r="J139" s="690">
        <f t="shared" si="14"/>
        <v>1167.74326602399</v>
      </c>
      <c r="K139" s="690">
        <f t="shared" si="14"/>
        <v>1420.07961134991</v>
      </c>
      <c r="L139" s="690">
        <f t="shared" si="14"/>
        <v>1104.2820050986</v>
      </c>
      <c r="M139" s="690">
        <f t="shared" si="14"/>
        <v>1216.11479267554</v>
      </c>
      <c r="N139" s="690">
        <f t="shared" si="14"/>
        <v>1293.8773359985</v>
      </c>
      <c r="O139" s="690">
        <f t="shared" si="14"/>
        <v>1321.97792695045</v>
      </c>
      <c r="P139" s="690">
        <f t="shared" si="14"/>
        <v>1419.44139282692</v>
      </c>
      <c r="Q139" s="693">
        <f>SUM(E139:P139)</f>
        <v>15649.6595677442</v>
      </c>
      <c r="R139" s="686"/>
    </row>
    <row r="140" ht="15" spans="3:17">
      <c r="C140" s="663" t="s">
        <v>422</v>
      </c>
      <c r="D140" s="676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</row>
    <row r="141" spans="3:17">
      <c r="C141" s="55"/>
      <c r="D141" s="757" t="s">
        <v>423</v>
      </c>
      <c r="E141" s="147">
        <f>'[39]ST,D-D'!D16</f>
        <v>0</v>
      </c>
      <c r="F141" s="147">
        <f>'[39]ST,D-D'!E16</f>
        <v>377.294863788821</v>
      </c>
      <c r="G141" s="147">
        <f>'[39]ST,D-D'!F16</f>
        <v>118.232079155099</v>
      </c>
      <c r="H141" s="147">
        <f>'[39]ST,D-D'!G16</f>
        <v>15.6059273031888</v>
      </c>
      <c r="I141" s="147">
        <f>'[39]ST,D-D'!H16</f>
        <v>0</v>
      </c>
      <c r="J141" s="147">
        <f>'[39]ST,D-D'!I16</f>
        <v>0</v>
      </c>
      <c r="K141" s="147">
        <f>'[39]ST,D-D'!J16</f>
        <v>0</v>
      </c>
      <c r="L141" s="147">
        <f>'[39]ST,D-D'!K16</f>
        <v>0</v>
      </c>
      <c r="M141" s="147">
        <f>'[39]ST,D-D'!L16</f>
        <v>0</v>
      </c>
      <c r="N141" s="147">
        <f>'[39]ST,D-D'!M16</f>
        <v>0</v>
      </c>
      <c r="O141" s="147">
        <f>'[39]ST,D-D'!N16</f>
        <v>88.3077831698074</v>
      </c>
      <c r="P141" s="147">
        <f>'[39]ST,D-D'!O16</f>
        <v>484.118532537505</v>
      </c>
      <c r="Q141" s="55">
        <f>SUM(E141:P141)</f>
        <v>1083.55918595442</v>
      </c>
    </row>
    <row r="142" spans="3:17">
      <c r="C142" s="55"/>
      <c r="D142" s="55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55"/>
    </row>
    <row r="143" spans="3:17">
      <c r="C143" s="55"/>
      <c r="D143" s="55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55"/>
    </row>
    <row r="144" spans="3:17">
      <c r="C144" s="55"/>
      <c r="D144" s="55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55"/>
    </row>
    <row r="145" spans="3:17">
      <c r="C145" s="55"/>
      <c r="D145" s="55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55"/>
    </row>
    <row r="146" spans="3:17">
      <c r="C146" s="55"/>
      <c r="D146" s="55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55"/>
    </row>
    <row r="147" spans="3:17">
      <c r="C147" s="55"/>
      <c r="D147" s="55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55"/>
    </row>
    <row r="148" spans="3:17">
      <c r="C148" s="55"/>
      <c r="D148" s="55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55"/>
    </row>
    <row r="149" spans="3:17">
      <c r="C149" s="55"/>
      <c r="D149" s="55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55"/>
    </row>
    <row r="150" spans="3:17">
      <c r="C150" s="55"/>
      <c r="D150" s="55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55"/>
    </row>
    <row r="151" spans="3:17">
      <c r="C151" s="55"/>
      <c r="D151" s="55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55"/>
    </row>
    <row r="152" ht="15" spans="3:18">
      <c r="C152" s="44" t="s">
        <v>424</v>
      </c>
      <c r="D152" s="45"/>
      <c r="E152" s="55">
        <f t="shared" ref="E152:P152" si="15">SUM(E141:E151)</f>
        <v>0</v>
      </c>
      <c r="F152" s="55">
        <f t="shared" si="15"/>
        <v>377.294863788821</v>
      </c>
      <c r="G152" s="55">
        <f t="shared" si="15"/>
        <v>118.232079155099</v>
      </c>
      <c r="H152" s="55">
        <f t="shared" si="15"/>
        <v>15.6059273031888</v>
      </c>
      <c r="I152" s="55">
        <f t="shared" si="15"/>
        <v>0</v>
      </c>
      <c r="J152" s="55">
        <f t="shared" si="15"/>
        <v>0</v>
      </c>
      <c r="K152" s="55">
        <f t="shared" si="15"/>
        <v>0</v>
      </c>
      <c r="L152" s="55">
        <f t="shared" si="15"/>
        <v>0</v>
      </c>
      <c r="M152" s="55">
        <f t="shared" si="15"/>
        <v>0</v>
      </c>
      <c r="N152" s="55">
        <f t="shared" si="15"/>
        <v>0</v>
      </c>
      <c r="O152" s="55">
        <f t="shared" si="15"/>
        <v>88.3077831698074</v>
      </c>
      <c r="P152" s="55">
        <f t="shared" si="15"/>
        <v>484.118532537505</v>
      </c>
      <c r="Q152" s="316">
        <f>SUM(E152:P152)</f>
        <v>1083.55918595442</v>
      </c>
      <c r="R152" s="686"/>
    </row>
    <row r="153" ht="15" spans="3:17">
      <c r="C153" s="663" t="s">
        <v>425</v>
      </c>
      <c r="D153" s="676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</row>
    <row r="154" spans="3:17">
      <c r="C154" s="55" t="s">
        <v>426</v>
      </c>
      <c r="D154" s="757" t="s">
        <v>427</v>
      </c>
      <c r="E154" s="147">
        <f>'[39]ST,D-D'!D20</f>
        <v>174.360438968557</v>
      </c>
      <c r="F154" s="147">
        <f>'[39]ST,D-D'!E20</f>
        <v>636.333120923747</v>
      </c>
      <c r="G154" s="147">
        <f>'[39]ST,D-D'!F20</f>
        <v>601.001741975017</v>
      </c>
      <c r="H154" s="147">
        <f>'[39]ST,D-D'!G20</f>
        <v>340.717270137928</v>
      </c>
      <c r="I154" s="147">
        <f>'[39]ST,D-D'!H20</f>
        <v>309.834562169865</v>
      </c>
      <c r="J154" s="147">
        <f>'[39]ST,D-D'!I20</f>
        <v>425.257044339776</v>
      </c>
      <c r="K154" s="147">
        <f>'[39]ST,D-D'!J20</f>
        <v>193.883845892791</v>
      </c>
      <c r="L154" s="147">
        <f>'[39]ST,D-D'!K20</f>
        <v>414.640383888004</v>
      </c>
      <c r="M154" s="147">
        <f>'[39]ST,D-D'!L20</f>
        <v>199.718091203398</v>
      </c>
      <c r="N154" s="147">
        <f>'[39]ST,D-D'!M20</f>
        <v>156.281865494673</v>
      </c>
      <c r="O154" s="147">
        <f>'[39]ST,D-D'!N20</f>
        <v>0</v>
      </c>
      <c r="P154" s="147">
        <f>'[39]ST,D-D'!O20</f>
        <v>0</v>
      </c>
      <c r="Q154" s="55">
        <f>SUM(E154:P154)</f>
        <v>3452.02836499376</v>
      </c>
    </row>
    <row r="155" spans="3:17">
      <c r="C155" s="55" t="s">
        <v>426</v>
      </c>
      <c r="D155" s="757" t="s">
        <v>428</v>
      </c>
      <c r="E155" s="147">
        <v>0</v>
      </c>
      <c r="F155" s="147">
        <v>0</v>
      </c>
      <c r="G155" s="147">
        <v>0</v>
      </c>
      <c r="H155" s="147">
        <v>0</v>
      </c>
      <c r="I155" s="147">
        <v>0</v>
      </c>
      <c r="J155" s="147">
        <v>0</v>
      </c>
      <c r="K155" s="147">
        <v>0</v>
      </c>
      <c r="L155" s="147">
        <v>0</v>
      </c>
      <c r="M155" s="147">
        <v>0</v>
      </c>
      <c r="N155" s="147">
        <v>0</v>
      </c>
      <c r="O155" s="147">
        <v>0</v>
      </c>
      <c r="P155" s="147">
        <v>0</v>
      </c>
      <c r="Q155" s="55">
        <f>SUM(E155:P155)</f>
        <v>0</v>
      </c>
    </row>
    <row r="156" spans="3:17">
      <c r="C156" s="55"/>
      <c r="D156" s="758" t="s">
        <v>477</v>
      </c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>
        <f>SUM(E156:P156)</f>
        <v>0</v>
      </c>
    </row>
    <row r="157" ht="15" spans="3:18">
      <c r="C157" s="44" t="s">
        <v>429</v>
      </c>
      <c r="D157" s="45"/>
      <c r="E157" s="740">
        <f t="shared" ref="E157:P157" si="16">SUM(E154:E155)</f>
        <v>174.360438968557</v>
      </c>
      <c r="F157" s="740">
        <f t="shared" si="16"/>
        <v>636.333120923747</v>
      </c>
      <c r="G157" s="740">
        <f t="shared" si="16"/>
        <v>601.001741975017</v>
      </c>
      <c r="H157" s="740">
        <f t="shared" si="16"/>
        <v>340.717270137928</v>
      </c>
      <c r="I157" s="740">
        <f t="shared" si="16"/>
        <v>309.834562169865</v>
      </c>
      <c r="J157" s="740">
        <f t="shared" si="16"/>
        <v>425.257044339776</v>
      </c>
      <c r="K157" s="740">
        <f t="shared" si="16"/>
        <v>193.883845892791</v>
      </c>
      <c r="L157" s="740">
        <f t="shared" si="16"/>
        <v>414.640383888004</v>
      </c>
      <c r="M157" s="740">
        <f t="shared" si="16"/>
        <v>199.718091203398</v>
      </c>
      <c r="N157" s="740">
        <f t="shared" si="16"/>
        <v>156.281865494673</v>
      </c>
      <c r="O157" s="740">
        <f t="shared" si="16"/>
        <v>0</v>
      </c>
      <c r="P157" s="740">
        <f t="shared" si="16"/>
        <v>0</v>
      </c>
      <c r="Q157" s="743">
        <f>Q154-Q155</f>
        <v>3452.02836499376</v>
      </c>
      <c r="R157" s="686"/>
    </row>
    <row r="158" ht="15" spans="3:18">
      <c r="C158" s="44" t="s">
        <v>224</v>
      </c>
      <c r="D158" s="45"/>
      <c r="E158" s="740" t="e">
        <f t="shared" ref="E158:Q158" si="17">E49+E94+E103+E113+E139+E152+E157</f>
        <v>#REF!</v>
      </c>
      <c r="F158" s="740" t="e">
        <f t="shared" si="17"/>
        <v>#REF!</v>
      </c>
      <c r="G158" s="740" t="e">
        <f t="shared" si="17"/>
        <v>#REF!</v>
      </c>
      <c r="H158" s="740" t="e">
        <f t="shared" si="17"/>
        <v>#REF!</v>
      </c>
      <c r="I158" s="740" t="e">
        <f t="shared" si="17"/>
        <v>#REF!</v>
      </c>
      <c r="J158" s="740" t="e">
        <f t="shared" si="17"/>
        <v>#REF!</v>
      </c>
      <c r="K158" s="740" t="e">
        <f t="shared" si="17"/>
        <v>#REF!</v>
      </c>
      <c r="L158" s="740" t="e">
        <f t="shared" si="17"/>
        <v>#REF!</v>
      </c>
      <c r="M158" s="740" t="e">
        <f t="shared" si="17"/>
        <v>#REF!</v>
      </c>
      <c r="N158" s="740" t="e">
        <f t="shared" si="17"/>
        <v>#REF!</v>
      </c>
      <c r="O158" s="740" t="e">
        <f t="shared" si="17"/>
        <v>#REF!</v>
      </c>
      <c r="P158" s="740" t="e">
        <f t="shared" si="17"/>
        <v>#REF!</v>
      </c>
      <c r="Q158" s="743" t="e">
        <f t="shared" si="17"/>
        <v>#REF!</v>
      </c>
      <c r="R158" s="686"/>
    </row>
    <row r="160" ht="15" spans="4:5">
      <c r="D160" s="11"/>
      <c r="E160" s="11"/>
    </row>
    <row r="161" spans="4:5">
      <c r="D161" s="13"/>
      <c r="E161" s="13"/>
    </row>
    <row r="162" spans="5:5">
      <c r="E162" s="13"/>
    </row>
    <row r="163" spans="5:5">
      <c r="E163" s="13"/>
    </row>
  </sheetData>
  <mergeCells count="32">
    <mergeCell ref="C2:P2"/>
    <mergeCell ref="C3:Q3"/>
    <mergeCell ref="E5:Q5"/>
    <mergeCell ref="C8:D8"/>
    <mergeCell ref="C9:D9"/>
    <mergeCell ref="C28:D28"/>
    <mergeCell ref="C29:D29"/>
    <mergeCell ref="C48:D48"/>
    <mergeCell ref="C49:D49"/>
    <mergeCell ref="C50:D50"/>
    <mergeCell ref="C51:D51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7:D157"/>
    <mergeCell ref="C158:D158"/>
    <mergeCell ref="C5:C7"/>
    <mergeCell ref="C10:C27"/>
    <mergeCell ref="C30:C47"/>
    <mergeCell ref="C52:C60"/>
    <mergeCell ref="C79:C82"/>
    <mergeCell ref="D5:D7"/>
  </mergeCells>
  <pageMargins left="0.7" right="0.7" top="0.75" bottom="0.75" header="0.3" footer="0.3"/>
  <pageSetup paperSize="1" orientation="portrait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B2:R163"/>
  <sheetViews>
    <sheetView showGridLines="0" zoomScale="70" zoomScaleNormal="70" topLeftCell="A51" workbookViewId="0">
      <selection activeCell="E65" sqref="E65:Q66"/>
    </sheetView>
  </sheetViews>
  <sheetFormatPr defaultColWidth="9.14285714285714" defaultRowHeight="14.25"/>
  <cols>
    <col min="1" max="1" width="3.14285714285714" style="12" customWidth="1"/>
    <col min="2" max="2" width="8.14285714285714" style="12" customWidth="1"/>
    <col min="3" max="3" width="22.1428571428571" style="12" customWidth="1"/>
    <col min="4" max="4" width="42.8571428571429" style="12" customWidth="1"/>
    <col min="5" max="5" width="14.1428571428571" style="12" customWidth="1"/>
    <col min="6" max="6" width="13.4285714285714" style="12" customWidth="1"/>
    <col min="7" max="7" width="13.5714285714286" style="12" customWidth="1"/>
    <col min="8" max="8" width="14.1428571428571" style="12" customWidth="1"/>
    <col min="9" max="9" width="13.4285714285714" style="12" customWidth="1"/>
    <col min="10" max="10" width="14.8571428571429" style="12" customWidth="1"/>
    <col min="11" max="11" width="12.5714285714286" style="12" customWidth="1"/>
    <col min="12" max="12" width="13.4285714285714" style="12" customWidth="1"/>
    <col min="13" max="13" width="14.1428571428571" style="12" customWidth="1"/>
    <col min="14" max="16" width="13.4285714285714" style="12" customWidth="1"/>
    <col min="17" max="17" width="14.5714285714286" style="12" customWidth="1"/>
    <col min="18" max="18" width="12.4285714285714" style="12" customWidth="1"/>
    <col min="19" max="19" width="12.8571428571429" style="12" customWidth="1"/>
    <col min="20" max="16384" width="9.14285714285714" style="12"/>
  </cols>
  <sheetData>
    <row r="2" ht="15" spans="3:16">
      <c r="C2" s="2" t="s">
        <v>0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customHeight="1" spans="3:17">
      <c r="C3" s="3" t="s">
        <v>486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ht="15" spans="3:17">
      <c r="C4" s="14"/>
      <c r="Q4" s="3" t="s">
        <v>236</v>
      </c>
    </row>
    <row r="5" ht="15" customHeight="1" spans="3:17">
      <c r="C5" s="658" t="s">
        <v>345</v>
      </c>
      <c r="D5" s="658" t="s">
        <v>346</v>
      </c>
      <c r="E5" s="135" t="s">
        <v>461</v>
      </c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</row>
    <row r="6" ht="15" spans="3:17">
      <c r="C6" s="660"/>
      <c r="D6" s="660"/>
      <c r="E6" s="135" t="s">
        <v>246</v>
      </c>
      <c r="F6" s="135" t="s">
        <v>247</v>
      </c>
      <c r="G6" s="135" t="s">
        <v>248</v>
      </c>
      <c r="H6" s="135" t="s">
        <v>249</v>
      </c>
      <c r="I6" s="135" t="s">
        <v>250</v>
      </c>
      <c r="J6" s="135" t="s">
        <v>251</v>
      </c>
      <c r="K6" s="135" t="s">
        <v>252</v>
      </c>
      <c r="L6" s="135" t="s">
        <v>253</v>
      </c>
      <c r="M6" s="135" t="s">
        <v>254</v>
      </c>
      <c r="N6" s="135" t="s">
        <v>255</v>
      </c>
      <c r="O6" s="135" t="s">
        <v>256</v>
      </c>
      <c r="P6" s="135" t="s">
        <v>257</v>
      </c>
      <c r="Q6" s="135" t="s">
        <v>97</v>
      </c>
    </row>
    <row r="7" customHeight="1" spans="3:17">
      <c r="C7" s="662"/>
      <c r="D7" s="662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</row>
    <row r="8" ht="15" spans="2:17">
      <c r="B8" s="656"/>
      <c r="C8" s="663" t="s">
        <v>349</v>
      </c>
      <c r="D8" s="676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ht="15" spans="3:17">
      <c r="C9" s="44" t="s">
        <v>350</v>
      </c>
      <c r="D9" s="4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customHeight="1" spans="2:17">
      <c r="B10" s="656"/>
      <c r="C10" s="754" t="s">
        <v>351</v>
      </c>
      <c r="D10" s="47" t="s">
        <v>352</v>
      </c>
      <c r="E10" s="147">
        <f>'[40]TGSPDCL MoD'!F4+'[40]TGSPDCL MoD'!F5</f>
        <v>152.545455394243</v>
      </c>
      <c r="F10" s="147">
        <f>'[40]TGSPDCL MoD'!G4+'[40]TGSPDCL MoD'!G5</f>
        <v>191.408226173253</v>
      </c>
      <c r="G10" s="147">
        <f>'[40]TGSPDCL MoD'!H4+'[40]TGSPDCL MoD'!H5</f>
        <v>185.233767264438</v>
      </c>
      <c r="H10" s="147">
        <f>'[40]TGSPDCL MoD'!I4+'[40]TGSPDCL MoD'!I5</f>
        <v>0</v>
      </c>
      <c r="I10" s="147">
        <f>'[40]TGSPDCL MoD'!J4+'[40]TGSPDCL MoD'!J5</f>
        <v>61.9261908207584</v>
      </c>
      <c r="J10" s="147">
        <f>'[40]TGSPDCL MoD'!K4+'[40]TGSPDCL MoD'!K5</f>
        <v>128.029221491597</v>
      </c>
      <c r="K10" s="147">
        <f>'[40]TGSPDCL MoD'!L4+'[40]TGSPDCL MoD'!L5</f>
        <v>123.852381641517</v>
      </c>
      <c r="L10" s="147">
        <f>'[40]TGSPDCL MoD'!M4+'[40]TGSPDCL MoD'!M5</f>
        <v>153.444759975935</v>
      </c>
      <c r="M10" s="147">
        <f>'[40]TGSPDCL MoD'!N4+'[40]TGSPDCL MoD'!N5</f>
        <v>136.519102491217</v>
      </c>
      <c r="N10" s="147">
        <f>'[40]TGSPDCL MoD'!O4+'[40]TGSPDCL MoD'!O5</f>
        <v>136.519102491217</v>
      </c>
      <c r="O10" s="147">
        <f>'[40]TGSPDCL MoD'!P4+'[40]TGSPDCL MoD'!P5</f>
        <v>155.360282249732</v>
      </c>
      <c r="P10" s="147">
        <f>'[40]TGSPDCL MoD'!Q4+'[40]TGSPDCL MoD'!Q5</f>
        <v>170.297024757085</v>
      </c>
      <c r="Q10" s="690">
        <f t="shared" ref="Q10:Q17" si="0">SUM(E10:P10)</f>
        <v>1595.13551475099</v>
      </c>
    </row>
    <row r="11" spans="2:17">
      <c r="B11" s="656"/>
      <c r="C11" s="755"/>
      <c r="D11" s="47" t="s">
        <v>353</v>
      </c>
      <c r="E11" s="147">
        <f>'[40]TGSPDCL MoD'!F6</f>
        <v>160.717533361792</v>
      </c>
      <c r="F11" s="147">
        <f>'[40]TGSPDCL MoD'!G6</f>
        <v>0</v>
      </c>
      <c r="G11" s="147">
        <f>'[40]TGSPDCL MoD'!H6</f>
        <v>92.6168836322191</v>
      </c>
      <c r="H11" s="147">
        <f>'[40]TGSPDCL MoD'!I6</f>
        <v>144.243318193155</v>
      </c>
      <c r="I11" s="147">
        <f>'[40]TGSPDCL MoD'!J6</f>
        <v>127.886458595685</v>
      </c>
      <c r="J11" s="147">
        <f>'[40]TGSPDCL MoD'!K6</f>
        <v>131.576025030114</v>
      </c>
      <c r="K11" s="147">
        <f>'[40]TGSPDCL MoD'!L6</f>
        <v>123.852381641517</v>
      </c>
      <c r="L11" s="147">
        <f>'[40]TGSPDCL MoD'!M6</f>
        <v>184.604678093437</v>
      </c>
      <c r="M11" s="147">
        <f>'[40]TGSPDCL MoD'!N6</f>
        <v>147.0824997169</v>
      </c>
      <c r="N11" s="147">
        <f>'[40]TGSPDCL MoD'!O6</f>
        <v>156.286428536255</v>
      </c>
      <c r="O11" s="147">
        <f>'[40]TGSPDCL MoD'!P6</f>
        <v>155.360282249732</v>
      </c>
      <c r="P11" s="147">
        <f>'[40]TGSPDCL MoD'!Q6</f>
        <v>182.963745606786</v>
      </c>
      <c r="Q11" s="690">
        <f t="shared" si="0"/>
        <v>1607.19023465759</v>
      </c>
    </row>
    <row r="12" spans="2:17">
      <c r="B12" s="656"/>
      <c r="C12" s="755"/>
      <c r="D12" s="47" t="s">
        <v>354</v>
      </c>
      <c r="E12" s="147">
        <f>'[40]TGSPDCL MoD'!F7</f>
        <v>263.685715752906</v>
      </c>
      <c r="F12" s="147">
        <f>'[40]TGSPDCL MoD'!G7</f>
        <v>0</v>
      </c>
      <c r="G12" s="147">
        <f>'[40]TGSPDCL MoD'!H7</f>
        <v>148.187013811551</v>
      </c>
      <c r="H12" s="147">
        <f>'[40]TGSPDCL MoD'!I7</f>
        <v>248.659188109674</v>
      </c>
      <c r="I12" s="147">
        <f>'[40]TGSPDCL MoD'!J7</f>
        <v>204.9193950796</v>
      </c>
      <c r="J12" s="147">
        <f>'[40]TGSPDCL MoD'!K7</f>
        <v>224.459741508672</v>
      </c>
      <c r="K12" s="147">
        <f>'[40]TGSPDCL MoD'!L7</f>
        <v>200.584594874296</v>
      </c>
      <c r="L12" s="147">
        <f>'[40]TGSPDCL MoD'!M7</f>
        <v>298.574827992842</v>
      </c>
      <c r="M12" s="147">
        <f>'[40]TGSPDCL MoD'!N7</f>
        <v>259.341610146073</v>
      </c>
      <c r="N12" s="147">
        <f>'[40]TGSPDCL MoD'!O7</f>
        <v>254.150634552512</v>
      </c>
      <c r="O12" s="147">
        <f>'[40]TGSPDCL MoD'!P7</f>
        <v>250.956527077993</v>
      </c>
      <c r="P12" s="147">
        <f>'[40]TGSPDCL MoD'!Q7</f>
        <v>305.021716892409</v>
      </c>
      <c r="Q12" s="690">
        <f t="shared" si="0"/>
        <v>2658.54096579853</v>
      </c>
    </row>
    <row r="13" spans="2:17">
      <c r="B13" s="656"/>
      <c r="C13" s="755"/>
      <c r="D13" s="47" t="s">
        <v>355</v>
      </c>
      <c r="E13" s="147">
        <f>'[40]TGSPDCL MoD'!F8</f>
        <v>19.0681819242805</v>
      </c>
      <c r="F13" s="147">
        <f>'[40]TGSPDCL MoD'!G8</f>
        <v>0</v>
      </c>
      <c r="G13" s="147">
        <f>'[40]TGSPDCL MoD'!H8</f>
        <v>11.5771104540273</v>
      </c>
      <c r="H13" s="147">
        <f>'[40]TGSPDCL MoD'!I8</f>
        <v>16.537107775998</v>
      </c>
      <c r="I13" s="147">
        <f>'[40]TGSPDCL MoD'!J8</f>
        <v>15.4815477051896</v>
      </c>
      <c r="J13" s="147">
        <f>'[40]TGSPDCL MoD'!K8</f>
        <v>16.0036526864496</v>
      </c>
      <c r="K13" s="147">
        <f>'[40]TGSPDCL MoD'!L8</f>
        <v>15.4815477051896</v>
      </c>
      <c r="L13" s="147">
        <f>'[40]TGSPDCL MoD'!M8</f>
        <v>18.8603670690912</v>
      </c>
      <c r="M13" s="147">
        <f>'[40]TGSPDCL MoD'!N8</f>
        <v>17.0648878114022</v>
      </c>
      <c r="N13" s="147">
        <f>'[40]TGSPDCL MoD'!O8</f>
        <v>17.0648878114022</v>
      </c>
      <c r="O13" s="147">
        <f>'[40]TGSPDCL MoD'!P8</f>
        <v>19.4200352812166</v>
      </c>
      <c r="P13" s="147">
        <f>'[40]TGSPDCL MoD'!Q8</f>
        <v>21.2871280946358</v>
      </c>
      <c r="Q13" s="690">
        <f t="shared" si="0"/>
        <v>187.846454318883</v>
      </c>
    </row>
    <row r="14" spans="2:17">
      <c r="B14" s="656"/>
      <c r="C14" s="755"/>
      <c r="D14" s="47" t="s">
        <v>356</v>
      </c>
      <c r="E14" s="147">
        <f>'[40]TGSPDCL MoD'!F9</f>
        <v>193.405845231987</v>
      </c>
      <c r="F14" s="147">
        <f>'[40]TGSPDCL MoD'!G9</f>
        <v>199.85270673972</v>
      </c>
      <c r="G14" s="147">
        <f>'[40]TGSPDCL MoD'!H9</f>
        <v>193.405845231987</v>
      </c>
      <c r="H14" s="147">
        <f>'[40]TGSPDCL MoD'!I9</f>
        <v>204.074947022953</v>
      </c>
      <c r="I14" s="147">
        <f>'[40]TGSPDCL MoD'!J9</f>
        <v>166.074784473852</v>
      </c>
      <c r="J14" s="147">
        <f>'[40]TGSPDCL MoD'!K9</f>
        <v>181.833964709965</v>
      </c>
      <c r="K14" s="147">
        <f>'[40]TGSPDCL MoD'!L9</f>
        <v>0</v>
      </c>
      <c r="L14" s="147">
        <f>'[40]TGSPDCL MoD'!M9</f>
        <v>96.7029226159935</v>
      </c>
      <c r="M14" s="147">
        <f>'[40]TGSPDCL MoD'!N9</f>
        <v>193.308489794504</v>
      </c>
      <c r="N14" s="147">
        <f>'[40]TGSPDCL MoD'!O9</f>
        <v>174.519265040319</v>
      </c>
      <c r="O14" s="147">
        <f>'[40]TGSPDCL MoD'!P9</f>
        <v>171.159632986993</v>
      </c>
      <c r="P14" s="147">
        <f>'[40]TGSPDCL MoD'!Q9</f>
        <v>212.51942758942</v>
      </c>
      <c r="Q14" s="690">
        <f t="shared" si="0"/>
        <v>1986.85783143769</v>
      </c>
    </row>
    <row r="15" spans="2:17">
      <c r="B15" s="656"/>
      <c r="C15" s="755"/>
      <c r="D15" s="47" t="s">
        <v>357</v>
      </c>
      <c r="E15" s="147">
        <f>'[40]TGSPDCL MoD'!F10</f>
        <v>232.087014278384</v>
      </c>
      <c r="F15" s="147">
        <f>'[40]TGSPDCL MoD'!G10</f>
        <v>239.823248087664</v>
      </c>
      <c r="G15" s="147">
        <f>'[40]TGSPDCL MoD'!H10</f>
        <v>232.087014278384</v>
      </c>
      <c r="H15" s="147">
        <f>'[40]TGSPDCL MoD'!I10</f>
        <v>244.889936427544</v>
      </c>
      <c r="I15" s="147">
        <f>'[40]TGSPDCL MoD'!J10</f>
        <v>204.356429708502</v>
      </c>
      <c r="J15" s="147">
        <f>'[40]TGSPDCL MoD'!K10</f>
        <v>225.077715429533</v>
      </c>
      <c r="K15" s="147">
        <f>'[40]TGSPDCL MoD'!L10</f>
        <v>195.876629854612</v>
      </c>
      <c r="L15" s="147">
        <f>'[40]TGSPDCL MoD'!M10</f>
        <v>0</v>
      </c>
      <c r="M15" s="147">
        <f>'[40]TGSPDCL MoD'!N10</f>
        <v>119.911624043832</v>
      </c>
      <c r="N15" s="147">
        <f>'[40]TGSPDCL MoD'!O10</f>
        <v>229.318084927701</v>
      </c>
      <c r="O15" s="147">
        <f>'[40]TGSPDCL MoD'!P10</f>
        <v>220.300997050388</v>
      </c>
      <c r="P15" s="147">
        <f>'[40]TGSPDCL MoD'!Q10</f>
        <v>270.223378126945</v>
      </c>
      <c r="Q15" s="690">
        <f t="shared" si="0"/>
        <v>2413.95207221349</v>
      </c>
    </row>
    <row r="16" spans="2:17">
      <c r="B16" s="656"/>
      <c r="C16" s="755"/>
      <c r="D16" s="47" t="s">
        <v>358</v>
      </c>
      <c r="E16" s="147">
        <f>'[40]TGSPDCL MoD'!F11+'[40]TGSPDCL MoD'!F12+'[40]TGSPDCL MoD'!F13+'[40]TGSPDCL MoD'!F14</f>
        <v>417.756625701092</v>
      </c>
      <c r="F16" s="147">
        <f>'[40]TGSPDCL MoD'!G11+'[40]TGSPDCL MoD'!G12+'[40]TGSPDCL MoD'!G13+'[40]TGSPDCL MoD'!G14</f>
        <v>215.840923278898</v>
      </c>
      <c r="G16" s="147">
        <f>'[40]TGSPDCL MoD'!H11+'[40]TGSPDCL MoD'!H12+'[40]TGSPDCL MoD'!H13+'[40]TGSPDCL MoD'!H14</f>
        <v>313.317469275819</v>
      </c>
      <c r="H16" s="147">
        <f>'[40]TGSPDCL MoD'!I11+'[40]TGSPDCL MoD'!I12+'[40]TGSPDCL MoD'!I13+'[40]TGSPDCL MoD'!I14</f>
        <v>440.80188556958</v>
      </c>
      <c r="I16" s="147">
        <f>'[40]TGSPDCL MoD'!J11+'[40]TGSPDCL MoD'!J12+'[40]TGSPDCL MoD'!J13+'[40]TGSPDCL MoD'!J14</f>
        <v>315.132109444311</v>
      </c>
      <c r="J16" s="147">
        <f>'[40]TGSPDCL MoD'!K11+'[40]TGSPDCL MoD'!K12+'[40]TGSPDCL MoD'!K13+'[40]TGSPDCL MoD'!K14</f>
        <v>300.078702968391</v>
      </c>
      <c r="K16" s="147">
        <f>'[40]TGSPDCL MoD'!L11+'[40]TGSPDCL MoD'!L12+'[40]TGSPDCL MoD'!L13+'[40]TGSPDCL MoD'!L14</f>
        <v>340.481456439951</v>
      </c>
      <c r="L16" s="147">
        <f>'[40]TGSPDCL MoD'!M11+'[40]TGSPDCL MoD'!M12+'[40]TGSPDCL MoD'!M13+'[40]TGSPDCL MoD'!M14</f>
        <v>313.317469275819</v>
      </c>
      <c r="M16" s="147">
        <f>'[40]TGSPDCL MoD'!N11+'[40]TGSPDCL MoD'!N12+'[40]TGSPDCL MoD'!N13+'[40]TGSPDCL MoD'!N14</f>
        <v>377.721615738071</v>
      </c>
      <c r="N16" s="147">
        <f>'[40]TGSPDCL MoD'!O11+'[40]TGSPDCL MoD'!O12+'[40]TGSPDCL MoD'!O13+'[40]TGSPDCL MoD'!O14</f>
        <v>391.371638256564</v>
      </c>
      <c r="O16" s="147">
        <f>'[40]TGSPDCL MoD'!P11+'[40]TGSPDCL MoD'!P12+'[40]TGSPDCL MoD'!P13+'[40]TGSPDCL MoD'!P14</f>
        <v>384.936919940878</v>
      </c>
      <c r="P16" s="147">
        <f>'[40]TGSPDCL MoD'!Q11+'[40]TGSPDCL MoD'!Q12+'[40]TGSPDCL MoD'!Q13+'[40]TGSPDCL MoD'!Q14</f>
        <v>463.752997908156</v>
      </c>
      <c r="Q16" s="690">
        <f t="shared" si="0"/>
        <v>4274.50981379753</v>
      </c>
    </row>
    <row r="17" spans="2:17">
      <c r="B17" s="656"/>
      <c r="C17" s="755"/>
      <c r="D17" s="47" t="s">
        <v>359</v>
      </c>
      <c r="E17" s="147">
        <f>'[40]TGSPDCL MoD'!F15+'[40]TGSPDCL MoD'!F16+'[40]TGSPDCL MoD'!F17+'[40]TGSPDCL MoD'!F18+'[40]TGSPDCL MoD'!F19</f>
        <v>1604.9638989343</v>
      </c>
      <c r="F17" s="147">
        <f>'[40]TGSPDCL MoD'!G15+'[40]TGSPDCL MoD'!G16+'[40]TGSPDCL MoD'!G17+'[40]TGSPDCL MoD'!G18+'[40]TGSPDCL MoD'!G19</f>
        <v>978.609196752243</v>
      </c>
      <c r="G17" s="147">
        <f>'[40]TGSPDCL MoD'!H15+'[40]TGSPDCL MoD'!H16+'[40]TGSPDCL MoD'!H17+'[40]TGSPDCL MoD'!H18+'[40]TGSPDCL MoD'!H19</f>
        <v>955.309484771748</v>
      </c>
      <c r="H17" s="147">
        <f>'[40]TGSPDCL MoD'!I15+'[40]TGSPDCL MoD'!I16+'[40]TGSPDCL MoD'!I17+'[40]TGSPDCL MoD'!I18+'[40]TGSPDCL MoD'!I19</f>
        <v>1043.59428637202</v>
      </c>
      <c r="I17" s="147">
        <f>'[40]TGSPDCL MoD'!J15+'[40]TGSPDCL MoD'!J16+'[40]TGSPDCL MoD'!J17+'[40]TGSPDCL MoD'!J18+'[40]TGSPDCL MoD'!J19</f>
        <v>1492.78395673634</v>
      </c>
      <c r="J17" s="147">
        <f>'[40]TGSPDCL MoD'!K15+'[40]TGSPDCL MoD'!K16+'[40]TGSPDCL MoD'!K17+'[40]TGSPDCL MoD'!K18+'[40]TGSPDCL MoD'!K19</f>
        <v>1682.32019563789</v>
      </c>
      <c r="K17" s="147">
        <f>'[40]TGSPDCL MoD'!L15+'[40]TGSPDCL MoD'!L16+'[40]TGSPDCL MoD'!L17+'[40]TGSPDCL MoD'!L18+'[40]TGSPDCL MoD'!L19</f>
        <v>1529.56748687885</v>
      </c>
      <c r="L17" s="147">
        <f>'[40]TGSPDCL MoD'!M15+'[40]TGSPDCL MoD'!M16+'[40]TGSPDCL MoD'!M17+'[40]TGSPDCL MoD'!M18+'[40]TGSPDCL MoD'!M19</f>
        <v>1272.56098203032</v>
      </c>
      <c r="M17" s="147">
        <f>'[40]TGSPDCL MoD'!N15+'[40]TGSPDCL MoD'!N16+'[40]TGSPDCL MoD'!N17+'[40]TGSPDCL MoD'!N18+'[40]TGSPDCL MoD'!N19</f>
        <v>1483.24835242232</v>
      </c>
      <c r="N17" s="147">
        <f>'[40]TGSPDCL MoD'!O15+'[40]TGSPDCL MoD'!O16+'[40]TGSPDCL MoD'!O17+'[40]TGSPDCL MoD'!O18+'[40]TGSPDCL MoD'!O19</f>
        <v>1651.91741799559</v>
      </c>
      <c r="O17" s="147">
        <f>'[40]TGSPDCL MoD'!P15+'[40]TGSPDCL MoD'!P16+'[40]TGSPDCL MoD'!P17+'[40]TGSPDCL MoD'!P18+'[40]TGSPDCL MoD'!P19</f>
        <v>1566.79246448942</v>
      </c>
      <c r="P17" s="147">
        <f>'[40]TGSPDCL MoD'!Q15+'[40]TGSPDCL MoD'!Q16+'[40]TGSPDCL MoD'!Q17+'[40]TGSPDCL MoD'!Q18+'[40]TGSPDCL MoD'!Q19</f>
        <v>1801.48918751297</v>
      </c>
      <c r="Q17" s="690">
        <f t="shared" si="0"/>
        <v>17063.156910534</v>
      </c>
    </row>
    <row r="18" spans="2:17">
      <c r="B18" s="656"/>
      <c r="C18" s="755"/>
      <c r="D18" s="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690"/>
    </row>
    <row r="19" spans="2:17">
      <c r="B19" s="656"/>
      <c r="C19" s="755"/>
      <c r="D19" s="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690"/>
    </row>
    <row r="20" spans="2:17">
      <c r="B20" s="656"/>
      <c r="C20" s="755"/>
      <c r="D20" s="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690"/>
    </row>
    <row r="21" spans="2:17">
      <c r="B21" s="656"/>
      <c r="C21" s="755"/>
      <c r="D21" s="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690"/>
    </row>
    <row r="22" spans="2:17">
      <c r="B22" s="656"/>
      <c r="C22" s="755"/>
      <c r="D22" s="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690"/>
    </row>
    <row r="23" spans="2:17">
      <c r="B23" s="656"/>
      <c r="C23" s="755"/>
      <c r="D23" s="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690"/>
    </row>
    <row r="24" spans="2:17">
      <c r="B24" s="656"/>
      <c r="C24" s="755"/>
      <c r="D24" s="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690"/>
    </row>
    <row r="25" spans="2:17">
      <c r="B25" s="656"/>
      <c r="C25" s="755"/>
      <c r="D25" s="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690"/>
    </row>
    <row r="26" spans="2:17">
      <c r="B26" s="656"/>
      <c r="C26" s="755"/>
      <c r="D26" s="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690"/>
    </row>
    <row r="27" spans="2:17">
      <c r="B27" s="656"/>
      <c r="C27" s="756"/>
      <c r="D27" s="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690"/>
    </row>
    <row r="28" ht="15" spans="3:18">
      <c r="C28" s="537" t="s">
        <v>211</v>
      </c>
      <c r="D28" s="540"/>
      <c r="E28" s="690">
        <f t="shared" ref="E28:P28" si="1">SUM(E10:E27)</f>
        <v>3044.23027057899</v>
      </c>
      <c r="F28" s="690">
        <f t="shared" si="1"/>
        <v>1825.53430103178</v>
      </c>
      <c r="G28" s="690">
        <f t="shared" si="1"/>
        <v>2131.73458872017</v>
      </c>
      <c r="H28" s="690">
        <f t="shared" si="1"/>
        <v>2342.80066947093</v>
      </c>
      <c r="I28" s="690">
        <f t="shared" si="1"/>
        <v>2588.56087256423</v>
      </c>
      <c r="J28" s="690">
        <f t="shared" si="1"/>
        <v>2889.37921946262</v>
      </c>
      <c r="K28" s="690">
        <f t="shared" si="1"/>
        <v>2529.69647903593</v>
      </c>
      <c r="L28" s="690">
        <f t="shared" si="1"/>
        <v>2338.06600705343</v>
      </c>
      <c r="M28" s="690">
        <f t="shared" si="1"/>
        <v>2734.19818216432</v>
      </c>
      <c r="N28" s="690">
        <f t="shared" si="1"/>
        <v>3011.14745961156</v>
      </c>
      <c r="O28" s="690">
        <f t="shared" si="1"/>
        <v>2924.28714132636</v>
      </c>
      <c r="P28" s="690">
        <f t="shared" si="1"/>
        <v>3427.55460648841</v>
      </c>
      <c r="Q28" s="693">
        <f>SUM(E28:P28)</f>
        <v>31787.1897975087</v>
      </c>
      <c r="R28" s="686"/>
    </row>
    <row r="29" ht="15" spans="3:17">
      <c r="C29" s="44" t="s">
        <v>360</v>
      </c>
      <c r="D29" s="4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3:17">
      <c r="C30" s="682" t="s">
        <v>351</v>
      </c>
      <c r="D30" s="55" t="str">
        <f>'[43]F9-Year(n+1)'!D29</f>
        <v>PJHES (Inter State)</v>
      </c>
      <c r="E30" s="147">
        <f>SUM('[40]TGSPDCL MoD'!F81:F86)</f>
        <v>13.6558982309657</v>
      </c>
      <c r="F30" s="147">
        <f>SUM('[40]TGSPDCL MoD'!G81:G86)</f>
        <v>14.6332287966681</v>
      </c>
      <c r="G30" s="147">
        <f>SUM('[40]TGSPDCL MoD'!H81:H86)</f>
        <v>15.160733636777</v>
      </c>
      <c r="H30" s="147">
        <f>SUM('[40]TGSPDCL MoD'!I81:I86)</f>
        <v>33.1447888629187</v>
      </c>
      <c r="I30" s="147">
        <f>SUM('[40]TGSPDCL MoD'!J81:J86)</f>
        <v>77.8179136333842</v>
      </c>
      <c r="J30" s="147">
        <f>SUM('[40]TGSPDCL MoD'!K81:K86)</f>
        <v>39.3032109981068</v>
      </c>
      <c r="K30" s="147">
        <f>SUM('[40]TGSPDCL MoD'!L81:L86)</f>
        <v>43.3220804141092</v>
      </c>
      <c r="L30" s="147">
        <f>SUM('[40]TGSPDCL MoD'!M81:M86)</f>
        <v>14.8585781282195</v>
      </c>
      <c r="M30" s="147">
        <f>SUM('[40]TGSPDCL MoD'!N81:N86)</f>
        <v>25.4899649252457</v>
      </c>
      <c r="N30" s="147">
        <f>SUM('[40]TGSPDCL MoD'!O81:O86)</f>
        <v>48.6383595365747</v>
      </c>
      <c r="O30" s="147">
        <f>SUM('[40]TGSPDCL MoD'!P81:P86)</f>
        <v>45.242780266264</v>
      </c>
      <c r="P30" s="147">
        <f>SUM('[40]TGSPDCL MoD'!Q81:Q86)</f>
        <v>20.2907292640443</v>
      </c>
      <c r="Q30" s="690">
        <f t="shared" ref="Q30:Q40" si="2">SUM(E30:P30)</f>
        <v>391.558266693278</v>
      </c>
    </row>
    <row r="31" spans="3:17">
      <c r="C31" s="683"/>
      <c r="D31" s="55" t="str">
        <f>'[43]F9-Year(n+1)'!D30</f>
        <v>Nagarjuna sagar complex</v>
      </c>
      <c r="E31" s="147">
        <f>SUM('[40]TGSPDCL MoD'!F59:F66)</f>
        <v>47.5972247742549</v>
      </c>
      <c r="F31" s="147">
        <f>SUM('[40]TGSPDCL MoD'!G59:G66)</f>
        <v>51.003681224626</v>
      </c>
      <c r="G31" s="147">
        <f>SUM('[40]TGSPDCL MoD'!H59:H66)</f>
        <v>52.8422835647662</v>
      </c>
      <c r="H31" s="147">
        <f>SUM('[40]TGSPDCL MoD'!I59:I66)</f>
        <v>115.525170070925</v>
      </c>
      <c r="I31" s="147">
        <f>SUM('[40]TGSPDCL MoD'!J59:J66)</f>
        <v>271.232010082855</v>
      </c>
      <c r="J31" s="147">
        <f>SUM('[40]TGSPDCL MoD'!K59:K66)</f>
        <v>136.990166196821</v>
      </c>
      <c r="K31" s="147">
        <f>SUM('[40]TGSPDCL MoD'!L59:L66)</f>
        <v>150.997815323707</v>
      </c>
      <c r="L31" s="147">
        <f>SUM('[40]TGSPDCL MoD'!M59:M66)</f>
        <v>51.7891295785292</v>
      </c>
      <c r="M31" s="147">
        <f>SUM('[40]TGSPDCL MoD'!N59:N66)</f>
        <v>88.8445102266252</v>
      </c>
      <c r="N31" s="147">
        <f>SUM('[40]TGSPDCL MoD'!O59:O66)</f>
        <v>169.527547171069</v>
      </c>
      <c r="O31" s="147">
        <f>SUM('[40]TGSPDCL MoD'!P59:P66)</f>
        <v>157.69235720156</v>
      </c>
      <c r="P31" s="147">
        <f>SUM('[40]TGSPDCL MoD'!Q59:Q66)</f>
        <v>70.7227298621988</v>
      </c>
      <c r="Q31" s="690">
        <f t="shared" si="2"/>
        <v>1364.76462527794</v>
      </c>
    </row>
    <row r="32" spans="3:17">
      <c r="C32" s="683"/>
      <c r="D32" s="55" t="str">
        <f>'[43]F9-Year(n+1)'!D31</f>
        <v>SLBHES</v>
      </c>
      <c r="E32" s="147">
        <f>SUM('[40]TGSPDCL MoD'!F67:F72)</f>
        <v>52.5226855037144</v>
      </c>
      <c r="F32" s="147">
        <f>SUM('[40]TGSPDCL MoD'!G67:G72)</f>
        <v>56.2816492179542</v>
      </c>
      <c r="G32" s="147">
        <f>SUM('[40]TGSPDCL MoD'!H67:H72)</f>
        <v>58.3105139876037</v>
      </c>
      <c r="H32" s="147">
        <f>SUM('[40]TGSPDCL MoD'!I67:I72)</f>
        <v>127.479957165072</v>
      </c>
      <c r="I32" s="147">
        <f>SUM('[40]TGSPDCL MoD'!J67:J72)</f>
        <v>299.299667820708</v>
      </c>
      <c r="J32" s="147">
        <f>SUM('[40]TGSPDCL MoD'!K67:K72)</f>
        <v>151.166196146565</v>
      </c>
      <c r="K32" s="147">
        <f>SUM('[40]TGSPDCL MoD'!L67:L72)</f>
        <v>166.623386208112</v>
      </c>
      <c r="L32" s="147">
        <f>SUM('[40]TGSPDCL MoD'!M67:M72)</f>
        <v>57.1483774162289</v>
      </c>
      <c r="M32" s="147">
        <f>SUM('[40]TGSPDCL MoD'!N67:N72)</f>
        <v>98.0383266355602</v>
      </c>
      <c r="N32" s="147">
        <f>SUM('[40]TGSPDCL MoD'!O67:O72)</f>
        <v>187.07061360221</v>
      </c>
      <c r="O32" s="147">
        <f>SUM('[40]TGSPDCL MoD'!P67:P72)</f>
        <v>174.010693331785</v>
      </c>
      <c r="P32" s="147">
        <f>SUM('[40]TGSPDCL MoD'!Q67:Q72)</f>
        <v>78.0412664001702</v>
      </c>
      <c r="Q32" s="690">
        <f t="shared" si="2"/>
        <v>1505.99333343568</v>
      </c>
    </row>
    <row r="33" spans="3:17">
      <c r="C33" s="683"/>
      <c r="D33" s="55" t="str">
        <f>'[43]F9-Year(n+1)'!D32</f>
        <v>LJHES</v>
      </c>
      <c r="E33" s="147">
        <f>SUM('[40]TGSPDCL MoD'!F87:F92)</f>
        <v>14.0060494676572</v>
      </c>
      <c r="F33" s="147">
        <f>SUM('[40]TGSPDCL MoD'!G87:G92)</f>
        <v>15.0084397914544</v>
      </c>
      <c r="G33" s="147">
        <f>SUM('[40]TGSPDCL MoD'!H87:H92)</f>
        <v>15.5494703966943</v>
      </c>
      <c r="H33" s="147">
        <f>SUM('[40]TGSPDCL MoD'!I87:I92)</f>
        <v>33.9946552440192</v>
      </c>
      <c r="I33" s="147">
        <f>SUM('[40]TGSPDCL MoD'!J87:J92)</f>
        <v>79.8132447521886</v>
      </c>
      <c r="J33" s="147">
        <f>SUM('[40]TGSPDCL MoD'!K87:K92)</f>
        <v>40.3109856390839</v>
      </c>
      <c r="K33" s="147">
        <f>SUM('[40]TGSPDCL MoD'!L87:L92)</f>
        <v>44.43290298883</v>
      </c>
      <c r="L33" s="147">
        <f>SUM('[40]TGSPDCL MoD'!M87:M92)</f>
        <v>15.2395673109944</v>
      </c>
      <c r="M33" s="147">
        <f>SUM('[40]TGSPDCL MoD'!N87:N92)</f>
        <v>26.1435537694828</v>
      </c>
      <c r="N33" s="147">
        <f>SUM('[40]TGSPDCL MoD'!O87:O92)</f>
        <v>49.8854969605894</v>
      </c>
      <c r="O33" s="147">
        <f>SUM('[40]TGSPDCL MoD'!P87:P92)</f>
        <v>46.4028515551426</v>
      </c>
      <c r="P33" s="147">
        <f>SUM('[40]TGSPDCL MoD'!Q87:Q92)</f>
        <v>20.8110043733788</v>
      </c>
      <c r="Q33" s="690">
        <f t="shared" si="2"/>
        <v>401.598222249516</v>
      </c>
    </row>
    <row r="34" spans="3:17">
      <c r="C34" s="683"/>
      <c r="D34" s="55" t="str">
        <f>'[43]F9-Year(n+1)'!D33</f>
        <v>PCHES</v>
      </c>
      <c r="E34" s="147">
        <f>SUM('[40]TGSPDCL MoD'!F93:F96)</f>
        <v>7.0030247338286</v>
      </c>
      <c r="F34" s="147">
        <f>SUM('[40]TGSPDCL MoD'!G93:G96)</f>
        <v>7.50421989572724</v>
      </c>
      <c r="G34" s="147">
        <f>SUM('[40]TGSPDCL MoD'!H93:H96)</f>
        <v>7.77473519834716</v>
      </c>
      <c r="H34" s="147">
        <f>SUM('[40]TGSPDCL MoD'!I93:I96)</f>
        <v>16.9973276220096</v>
      </c>
      <c r="I34" s="147">
        <f>SUM('[40]TGSPDCL MoD'!J93:J96)</f>
        <v>39.9066223760944</v>
      </c>
      <c r="J34" s="147">
        <f>SUM('[40]TGSPDCL MoD'!K93:K96)</f>
        <v>20.155492819542</v>
      </c>
      <c r="K34" s="147">
        <f>SUM('[40]TGSPDCL MoD'!L93:L96)</f>
        <v>22.216451494415</v>
      </c>
      <c r="L34" s="147">
        <f>SUM('[40]TGSPDCL MoD'!M93:M96)</f>
        <v>7.6197836554972</v>
      </c>
      <c r="M34" s="147">
        <f>SUM('[40]TGSPDCL MoD'!N93:N96)</f>
        <v>13.0717768847414</v>
      </c>
      <c r="N34" s="147">
        <f>SUM('[40]TGSPDCL MoD'!O93:O96)</f>
        <v>24.9427484802947</v>
      </c>
      <c r="O34" s="147">
        <f>SUM('[40]TGSPDCL MoD'!P93:P96)</f>
        <v>23.2014257775713</v>
      </c>
      <c r="P34" s="147">
        <f>SUM('[40]TGSPDCL MoD'!Q93:Q96)</f>
        <v>10.4055021866894</v>
      </c>
      <c r="Q34" s="690">
        <f t="shared" si="2"/>
        <v>200.799111124758</v>
      </c>
    </row>
    <row r="35" spans="3:17">
      <c r="C35" s="683"/>
      <c r="D35" s="55" t="str">
        <f>'[43]F9-Year(n+1)'!D34</f>
        <v>Pochampad-II</v>
      </c>
      <c r="E35" s="147">
        <f>SUM('[40]TGSPDCL MoD'!F77:F78)</f>
        <v>1.05045371007429</v>
      </c>
      <c r="F35" s="147">
        <f>SUM('[40]TGSPDCL MoD'!G77:G78)</f>
        <v>1.12563298435908</v>
      </c>
      <c r="G35" s="147">
        <f>SUM('[40]TGSPDCL MoD'!H77:H78)</f>
        <v>1.16621027975207</v>
      </c>
      <c r="H35" s="147">
        <f>SUM('[40]TGSPDCL MoD'!I77:I78)</f>
        <v>2.54959914330144</v>
      </c>
      <c r="I35" s="147">
        <f>SUM('[40]TGSPDCL MoD'!J77:J78)</f>
        <v>5.98599335641416</v>
      </c>
      <c r="J35" s="147">
        <f>SUM('[40]TGSPDCL MoD'!K77:K78)</f>
        <v>3.0233239229313</v>
      </c>
      <c r="K35" s="147">
        <f>SUM('[40]TGSPDCL MoD'!L77:L78)</f>
        <v>3.33246772416224</v>
      </c>
      <c r="L35" s="147">
        <f>SUM('[40]TGSPDCL MoD'!M77:M78)</f>
        <v>1.14296754832458</v>
      </c>
      <c r="M35" s="147">
        <f>SUM('[40]TGSPDCL MoD'!N77:N78)</f>
        <v>1.96076653271121</v>
      </c>
      <c r="N35" s="147">
        <f>SUM('[40]TGSPDCL MoD'!O77:O78)</f>
        <v>3.7414122720442</v>
      </c>
      <c r="O35" s="147">
        <f>SUM('[40]TGSPDCL MoD'!P77:P78)</f>
        <v>3.4802138666357</v>
      </c>
      <c r="P35" s="147">
        <f>SUM('[40]TGSPDCL MoD'!Q77:Q78)</f>
        <v>1.56082532800341</v>
      </c>
      <c r="Q35" s="690">
        <f t="shared" si="2"/>
        <v>30.1198666687137</v>
      </c>
    </row>
    <row r="36" spans="3:17">
      <c r="C36" s="683"/>
      <c r="D36" s="55" t="str">
        <f>'[43]F9-Year(n+1)'!D35</f>
        <v>NSPH</v>
      </c>
      <c r="E36" s="147">
        <f>SUM('[40]TGSPDCL MoD'!F73:F74)</f>
        <v>3.5015123669143</v>
      </c>
      <c r="F36" s="147">
        <f>SUM('[40]TGSPDCL MoD'!G73:G74)</f>
        <v>3.75210994786362</v>
      </c>
      <c r="G36" s="147">
        <f>SUM('[40]TGSPDCL MoD'!H73:H74)</f>
        <v>3.88736759917358</v>
      </c>
      <c r="H36" s="147">
        <f>SUM('[40]TGSPDCL MoD'!I73:I74)</f>
        <v>8.4986638110048</v>
      </c>
      <c r="I36" s="147">
        <f>SUM('[40]TGSPDCL MoD'!J73:J74)</f>
        <v>19.9533111880472</v>
      </c>
      <c r="J36" s="147">
        <f>SUM('[40]TGSPDCL MoD'!K73:K74)</f>
        <v>10.077746409771</v>
      </c>
      <c r="K36" s="147">
        <f>SUM('[40]TGSPDCL MoD'!L73:L74)</f>
        <v>11.1082257472075</v>
      </c>
      <c r="L36" s="147">
        <f>SUM('[40]TGSPDCL MoD'!M73:M74)</f>
        <v>3.8098918277486</v>
      </c>
      <c r="M36" s="147">
        <f>SUM('[40]TGSPDCL MoD'!N73:N74)</f>
        <v>6.53588844237068</v>
      </c>
      <c r="N36" s="147">
        <f>SUM('[40]TGSPDCL MoD'!O73:O74)</f>
        <v>12.4713742401473</v>
      </c>
      <c r="O36" s="147">
        <f>SUM('[40]TGSPDCL MoD'!P73:P74)</f>
        <v>11.6007128887857</v>
      </c>
      <c r="P36" s="147">
        <f>SUM('[40]TGSPDCL MoD'!Q73:Q74)</f>
        <v>5.20275109334468</v>
      </c>
      <c r="Q36" s="690">
        <f t="shared" si="2"/>
        <v>100.399555562379</v>
      </c>
    </row>
    <row r="37" spans="3:17">
      <c r="C37" s="683"/>
      <c r="D37" s="55" t="str">
        <f>'[43]F9-Year(n+1)'!D36</f>
        <v>SINGUR</v>
      </c>
      <c r="E37" s="147">
        <f>SUM('[40]TGSPDCL MoD'!F79+'[40]TGSPDCL MoD'!F80)</f>
        <v>0.875378091728572</v>
      </c>
      <c r="F37" s="147">
        <f>SUM('[40]TGSPDCL MoD'!G79+'[40]TGSPDCL MoD'!G80)</f>
        <v>0.938027486965904</v>
      </c>
      <c r="G37" s="147">
        <f>SUM('[40]TGSPDCL MoD'!H79+'[40]TGSPDCL MoD'!H80)</f>
        <v>0.971841899793396</v>
      </c>
      <c r="H37" s="147">
        <f>SUM('[40]TGSPDCL MoD'!I79+'[40]TGSPDCL MoD'!I80)</f>
        <v>2.1246659527512</v>
      </c>
      <c r="I37" s="147">
        <f>SUM('[40]TGSPDCL MoD'!J79+'[40]TGSPDCL MoD'!J80)</f>
        <v>4.9883277970118</v>
      </c>
      <c r="J37" s="147">
        <f>SUM('[40]TGSPDCL MoD'!K79+'[40]TGSPDCL MoD'!K80)</f>
        <v>2.51943660244274</v>
      </c>
      <c r="K37" s="147">
        <f>SUM('[40]TGSPDCL MoD'!L79+'[40]TGSPDCL MoD'!L80)</f>
        <v>2.77705643680188</v>
      </c>
      <c r="L37" s="147">
        <f>SUM('[40]TGSPDCL MoD'!M79+'[40]TGSPDCL MoD'!M80)</f>
        <v>0.95247295693715</v>
      </c>
      <c r="M37" s="147">
        <f>SUM('[40]TGSPDCL MoD'!N79+'[40]TGSPDCL MoD'!N80)</f>
        <v>1.63397211059267</v>
      </c>
      <c r="N37" s="147">
        <f>SUM('[40]TGSPDCL MoD'!O79+'[40]TGSPDCL MoD'!O80)</f>
        <v>3.11784356003684</v>
      </c>
      <c r="O37" s="147">
        <f>SUM('[40]TGSPDCL MoD'!P79+'[40]TGSPDCL MoD'!P80)</f>
        <v>2.90017822219642</v>
      </c>
      <c r="P37" s="147">
        <f>SUM('[40]TGSPDCL MoD'!Q79+'[40]TGSPDCL MoD'!Q80)</f>
        <v>1.30068777333617</v>
      </c>
      <c r="Q37" s="690">
        <f t="shared" si="2"/>
        <v>25.0998888905947</v>
      </c>
    </row>
    <row r="38" spans="3:17">
      <c r="C38" s="683"/>
      <c r="D38" s="55" t="str">
        <f>'[43]F9-Year(n+1)'!D37</f>
        <v>SSLM LCPH</v>
      </c>
      <c r="E38" s="147">
        <v>0</v>
      </c>
      <c r="F38" s="147">
        <v>0</v>
      </c>
      <c r="G38" s="147">
        <v>0</v>
      </c>
      <c r="H38" s="147">
        <v>0</v>
      </c>
      <c r="I38" s="147">
        <v>0</v>
      </c>
      <c r="J38" s="147">
        <v>0</v>
      </c>
      <c r="K38" s="147">
        <v>0</v>
      </c>
      <c r="L38" s="147">
        <v>0</v>
      </c>
      <c r="M38" s="147">
        <v>0</v>
      </c>
      <c r="N38" s="147">
        <v>0</v>
      </c>
      <c r="O38" s="147">
        <v>0</v>
      </c>
      <c r="P38" s="147">
        <v>0</v>
      </c>
      <c r="Q38" s="690">
        <f t="shared" si="2"/>
        <v>0</v>
      </c>
    </row>
    <row r="39" spans="3:17">
      <c r="C39" s="683"/>
      <c r="D39" s="55" t="str">
        <f>'[43]F9-Year(n+1)'!D38</f>
        <v>POCHAMPAD PH</v>
      </c>
      <c r="E39" s="147">
        <f>SUM('[40]TGSPDCL MoD'!F75:F76)</f>
        <v>1.05045371007429</v>
      </c>
      <c r="F39" s="147">
        <f>SUM('[40]TGSPDCL MoD'!G75:G76)</f>
        <v>1.12563298435908</v>
      </c>
      <c r="G39" s="147">
        <f>SUM('[40]TGSPDCL MoD'!H75:H76)</f>
        <v>1.16621027975207</v>
      </c>
      <c r="H39" s="147">
        <f>SUM('[40]TGSPDCL MoD'!I75:I76)</f>
        <v>2.54959914330144</v>
      </c>
      <c r="I39" s="147">
        <f>SUM('[40]TGSPDCL MoD'!J75:J76)</f>
        <v>5.98599335641416</v>
      </c>
      <c r="J39" s="147">
        <f>SUM('[40]TGSPDCL MoD'!K75:K76)</f>
        <v>3.0233239229313</v>
      </c>
      <c r="K39" s="147">
        <f>SUM('[40]TGSPDCL MoD'!L75:L76)</f>
        <v>3.33246772416224</v>
      </c>
      <c r="L39" s="147">
        <f>SUM('[40]TGSPDCL MoD'!M75:M76)</f>
        <v>1.14296754832458</v>
      </c>
      <c r="M39" s="147">
        <f>SUM('[40]TGSPDCL MoD'!N75:N76)</f>
        <v>1.96076653271121</v>
      </c>
      <c r="N39" s="147">
        <f>SUM('[40]TGSPDCL MoD'!O75:O76)</f>
        <v>3.7414122720442</v>
      </c>
      <c r="O39" s="147">
        <f>SUM('[40]TGSPDCL MoD'!P75:P76)</f>
        <v>3.4802138666357</v>
      </c>
      <c r="P39" s="147">
        <f>SUM('[40]TGSPDCL MoD'!Q75:Q76)</f>
        <v>1.56082532800341</v>
      </c>
      <c r="Q39" s="690">
        <f t="shared" si="2"/>
        <v>30.1198666687137</v>
      </c>
    </row>
    <row r="40" spans="3:17">
      <c r="C40" s="683"/>
      <c r="D40" s="55" t="str">
        <f>'[43]F9-Year(n+1)'!D39</f>
        <v>NIZAMSAGAR PH</v>
      </c>
      <c r="E40" s="147">
        <f>SUM('[40]TGSPDCL MoD'!F57:F58)</f>
        <v>0.583585394485716</v>
      </c>
      <c r="F40" s="147">
        <f>SUM('[40]TGSPDCL MoD'!G57:G58)</f>
        <v>0.625351657977268</v>
      </c>
      <c r="G40" s="147">
        <f>SUM('[40]TGSPDCL MoD'!H57:H58)</f>
        <v>0.647894599862264</v>
      </c>
      <c r="H40" s="147">
        <f>SUM('[40]TGSPDCL MoD'!I57:I58)</f>
        <v>1.4164439685008</v>
      </c>
      <c r="I40" s="147">
        <f>SUM('[40]TGSPDCL MoD'!J57:J58)</f>
        <v>3.32555186467454</v>
      </c>
      <c r="J40" s="147">
        <f>SUM('[40]TGSPDCL MoD'!K57:K58)</f>
        <v>1.6796244016285</v>
      </c>
      <c r="K40" s="147">
        <f>SUM('[40]TGSPDCL MoD'!L57:L58)</f>
        <v>1.85137095786791</v>
      </c>
      <c r="L40" s="147">
        <f>SUM('[40]TGSPDCL MoD'!M57:M58)</f>
        <v>0.634981971291432</v>
      </c>
      <c r="M40" s="147">
        <f>SUM('[40]TGSPDCL MoD'!N57:N58)</f>
        <v>1.08931474039511</v>
      </c>
      <c r="N40" s="147">
        <f>SUM('[40]TGSPDCL MoD'!O57:O58)</f>
        <v>2.0785623733579</v>
      </c>
      <c r="O40" s="147">
        <f>SUM('[40]TGSPDCL MoD'!P57:P58)</f>
        <v>1.93345214813094</v>
      </c>
      <c r="P40" s="147">
        <f>SUM('[40]TGSPDCL MoD'!Q57:Q58)</f>
        <v>0.867125182224114</v>
      </c>
      <c r="Q40" s="690">
        <f t="shared" si="2"/>
        <v>16.7332592603965</v>
      </c>
    </row>
    <row r="41" spans="3:17">
      <c r="C41" s="683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3:17">
      <c r="C42" s="683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</row>
    <row r="43" spans="3:17">
      <c r="C43" s="683"/>
      <c r="D43" s="55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55"/>
    </row>
    <row r="44" spans="3:17">
      <c r="C44" s="683"/>
      <c r="D44" s="55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55"/>
    </row>
    <row r="45" spans="3:17">
      <c r="C45" s="683"/>
      <c r="D45" s="55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55"/>
    </row>
    <row r="46" spans="3:17">
      <c r="C46" s="683"/>
      <c r="D46" s="55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55"/>
    </row>
    <row r="47" spans="3:17">
      <c r="C47" s="684"/>
      <c r="D47" s="6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55"/>
    </row>
    <row r="48" ht="15" spans="3:18">
      <c r="C48" s="537" t="s">
        <v>211</v>
      </c>
      <c r="D48" s="540"/>
      <c r="E48" s="690">
        <f t="shared" ref="E48:P48" si="3">SUM(E30:E47)</f>
        <v>141.846265983698</v>
      </c>
      <c r="F48" s="690">
        <f t="shared" si="3"/>
        <v>151.997973987955</v>
      </c>
      <c r="G48" s="690">
        <f t="shared" si="3"/>
        <v>157.477261442522</v>
      </c>
      <c r="H48" s="690">
        <f t="shared" si="3"/>
        <v>344.280870983805</v>
      </c>
      <c r="I48" s="690">
        <f t="shared" si="3"/>
        <v>808.308636227792</v>
      </c>
      <c r="J48" s="690">
        <f t="shared" si="3"/>
        <v>408.249507059823</v>
      </c>
      <c r="K48" s="690">
        <f t="shared" si="3"/>
        <v>449.994225019375</v>
      </c>
      <c r="L48" s="690">
        <f t="shared" si="3"/>
        <v>154.338717942096</v>
      </c>
      <c r="M48" s="690">
        <f t="shared" si="3"/>
        <v>264.768840800436</v>
      </c>
      <c r="N48" s="690">
        <f t="shared" si="3"/>
        <v>505.215370468369</v>
      </c>
      <c r="O48" s="690">
        <f t="shared" si="3"/>
        <v>469.944879124707</v>
      </c>
      <c r="P48" s="690">
        <f t="shared" si="3"/>
        <v>210.763446791393</v>
      </c>
      <c r="Q48" s="693">
        <f>SUM(E48:P48)</f>
        <v>4067.18599583197</v>
      </c>
      <c r="R48" s="686"/>
    </row>
    <row r="49" ht="15" spans="3:18">
      <c r="C49" s="44" t="s">
        <v>369</v>
      </c>
      <c r="D49" s="45"/>
      <c r="E49" s="690">
        <f t="shared" ref="E49:Q49" si="4">E28+E48</f>
        <v>3186.07653656268</v>
      </c>
      <c r="F49" s="690">
        <f t="shared" si="4"/>
        <v>1977.53227501973</v>
      </c>
      <c r="G49" s="690">
        <f t="shared" si="4"/>
        <v>2289.2118501627</v>
      </c>
      <c r="H49" s="690">
        <f t="shared" si="4"/>
        <v>2687.08154045473</v>
      </c>
      <c r="I49" s="690">
        <f t="shared" si="4"/>
        <v>3396.86950879203</v>
      </c>
      <c r="J49" s="690">
        <f t="shared" si="4"/>
        <v>3297.62872652244</v>
      </c>
      <c r="K49" s="690">
        <f t="shared" si="4"/>
        <v>2979.69070405531</v>
      </c>
      <c r="L49" s="690">
        <f t="shared" si="4"/>
        <v>2492.40472499553</v>
      </c>
      <c r="M49" s="690">
        <f t="shared" si="4"/>
        <v>2998.96702296476</v>
      </c>
      <c r="N49" s="690">
        <f t="shared" si="4"/>
        <v>3516.36283007993</v>
      </c>
      <c r="O49" s="690">
        <f t="shared" si="4"/>
        <v>3394.23202045106</v>
      </c>
      <c r="P49" s="690">
        <f t="shared" si="4"/>
        <v>3638.3180532798</v>
      </c>
      <c r="Q49" s="693">
        <f t="shared" si="4"/>
        <v>35854.3757933407</v>
      </c>
      <c r="R49" s="686"/>
    </row>
    <row r="50" ht="15" spans="3:17">
      <c r="C50" s="663" t="s">
        <v>370</v>
      </c>
      <c r="D50" s="676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</row>
    <row r="51" ht="15" spans="3:17">
      <c r="C51" s="44" t="s">
        <v>350</v>
      </c>
      <c r="D51" s="4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spans="3:17">
      <c r="C52" s="682" t="s">
        <v>371</v>
      </c>
      <c r="D52" s="757" t="s">
        <v>372</v>
      </c>
      <c r="E52" s="147">
        <f>SUM('[40]TGSPDCL MoD'!F25:F30)</f>
        <v>98.334406672348</v>
      </c>
      <c r="F52" s="147">
        <f>SUM('[40]TGSPDCL MoD'!G25:G30)</f>
        <v>125.981664377751</v>
      </c>
      <c r="G52" s="147">
        <f>SUM('[40]TGSPDCL MoD'!H25:H30)</f>
        <v>128.013626706424</v>
      </c>
      <c r="H52" s="147">
        <f>SUM('[40]TGSPDCL MoD'!I25:I30)</f>
        <v>93.64858419555</v>
      </c>
      <c r="I52" s="147">
        <f>SUM('[40]TGSPDCL MoD'!J25:J30)</f>
        <v>80.1558339603442</v>
      </c>
      <c r="J52" s="147">
        <f>SUM('[40]TGSPDCL MoD'!K25:K30)</f>
        <v>85.4948149789334</v>
      </c>
      <c r="K52" s="147">
        <f>SUM('[40]TGSPDCL MoD'!L25:L30)</f>
        <v>79.3684485579833</v>
      </c>
      <c r="L52" s="147">
        <f>SUM('[40]TGSPDCL MoD'!M25:M30)</f>
        <v>119.773707808527</v>
      </c>
      <c r="M52" s="147">
        <f>SUM('[40]TGSPDCL MoD'!N25:N30)</f>
        <v>74.4866590633452</v>
      </c>
      <c r="N52" s="147">
        <f>SUM('[40]TGSPDCL MoD'!O25:O30)</f>
        <v>78.6852434208757</v>
      </c>
      <c r="O52" s="147">
        <f>SUM('[40]TGSPDCL MoD'!P25:P30)</f>
        <v>100.175742803599</v>
      </c>
      <c r="P52" s="147">
        <f>SUM('[40]TGSPDCL MoD'!Q25:Q30)</f>
        <v>126.454095619167</v>
      </c>
      <c r="Q52" s="690">
        <f t="shared" ref="Q52:Q68" si="5">SUM(E52:P52)</f>
        <v>1190.57282816485</v>
      </c>
    </row>
    <row r="53" spans="3:17">
      <c r="C53" s="683"/>
      <c r="D53" s="757" t="s">
        <v>373</v>
      </c>
      <c r="E53" s="147">
        <f>'[40]TGSPDCL MoD'!F31</f>
        <v>27.0022897624969</v>
      </c>
      <c r="F53" s="147">
        <f>'[40]TGSPDCL MoD'!G31</f>
        <v>32.8263130446041</v>
      </c>
      <c r="G53" s="147">
        <f>'[40]TGSPDCL MoD'!H31</f>
        <v>31.7673997205846</v>
      </c>
      <c r="H53" s="147">
        <f>'[40]TGSPDCL MoD'!I31</f>
        <v>0</v>
      </c>
      <c r="I53" s="147">
        <f>'[40]TGSPDCL MoD'!J31</f>
        <v>10.2582228264388</v>
      </c>
      <c r="J53" s="147">
        <f>'[40]TGSPDCL MoD'!K31</f>
        <v>22.4213122051023</v>
      </c>
      <c r="K53" s="147">
        <f>'[40]TGSPDCL MoD'!L31</f>
        <v>19.6957878267624</v>
      </c>
      <c r="L53" s="147">
        <f>'[40]TGSPDCL MoD'!M31</f>
        <v>31.7673997205846</v>
      </c>
      <c r="M53" s="147">
        <f>'[40]TGSPDCL MoD'!N31</f>
        <v>25.8082286083957</v>
      </c>
      <c r="N53" s="147">
        <f>'[40]TGSPDCL MoD'!O31</f>
        <v>26.2610504356833</v>
      </c>
      <c r="O53" s="147">
        <f>'[40]TGSPDCL MoD'!P31</f>
        <v>26.1022134370803</v>
      </c>
      <c r="P53" s="147">
        <f>'[40]TGSPDCL MoD'!Q31</f>
        <v>31.5766613227496</v>
      </c>
      <c r="Q53" s="690">
        <f t="shared" si="5"/>
        <v>285.486878910483</v>
      </c>
    </row>
    <row r="54" spans="3:17">
      <c r="C54" s="683"/>
      <c r="D54" s="757" t="s">
        <v>374</v>
      </c>
      <c r="E54" s="147">
        <f>SUM('[40]TGSPDCL MoD'!F42:F45)</f>
        <v>90.219990833182</v>
      </c>
      <c r="F54" s="147">
        <f>SUM('[40]TGSPDCL MoD'!G42:G45)</f>
        <v>89.5950904637748</v>
      </c>
      <c r="G54" s="147">
        <f>SUM('[40]TGSPDCL MoD'!H42:H45)</f>
        <v>86.704926255266</v>
      </c>
      <c r="H54" s="147">
        <f>SUM('[40]TGSPDCL MoD'!I42:I45)</f>
        <v>96.8595572581348</v>
      </c>
      <c r="I54" s="147">
        <f>SUM('[40]TGSPDCL MoD'!J42:J45)</f>
        <v>91.1092604380223</v>
      </c>
      <c r="J54" s="147">
        <f>SUM('[40]TGSPDCL MoD'!K42:K45)</f>
        <v>93.7350554110984</v>
      </c>
      <c r="K54" s="147">
        <f>SUM('[40]TGSPDCL MoD'!L42:L45)</f>
        <v>85.9628570665948</v>
      </c>
      <c r="L54" s="147">
        <f>SUM('[40]TGSPDCL MoD'!M42:M45)</f>
        <v>65.0286946914495</v>
      </c>
      <c r="M54" s="147">
        <f>SUM('[40]TGSPDCL MoD'!N42:N45)</f>
        <v>57.132004476478</v>
      </c>
      <c r="N54" s="147">
        <f>SUM('[40]TGSPDCL MoD'!O42:O45)</f>
        <v>79.9848062670692</v>
      </c>
      <c r="O54" s="147">
        <f>SUM('[40]TGSPDCL MoD'!P42:P45)</f>
        <v>90.6105535640616</v>
      </c>
      <c r="P54" s="147">
        <f>SUM('[40]TGSPDCL MoD'!Q42:Q45)</f>
        <v>96.8595572581348</v>
      </c>
      <c r="Q54" s="690">
        <f t="shared" si="5"/>
        <v>1023.80235398327</v>
      </c>
    </row>
    <row r="55" spans="3:17">
      <c r="C55" s="683"/>
      <c r="D55" s="757" t="s">
        <v>375</v>
      </c>
      <c r="E55" s="147">
        <f>'[40]TGSPDCL MoD'!F40</f>
        <v>155.102620243923</v>
      </c>
      <c r="F55" s="147">
        <f>'[40]TGSPDCL MoD'!G40</f>
        <v>200.340884481734</v>
      </c>
      <c r="G55" s="147">
        <f>'[40]TGSPDCL MoD'!H40</f>
        <v>193.878275304904</v>
      </c>
      <c r="H55" s="147">
        <f>'[40]TGSPDCL MoD'!I40</f>
        <v>131.151344937759</v>
      </c>
      <c r="I55" s="147">
        <f>'[40]TGSPDCL MoD'!J40</f>
        <v>120.20453068904</v>
      </c>
      <c r="J55" s="147">
        <f>'[40]TGSPDCL MoD'!K40</f>
        <v>126.020878948188</v>
      </c>
      <c r="K55" s="147">
        <f>'[40]TGSPDCL MoD'!L40</f>
        <v>120.20453068904</v>
      </c>
      <c r="L55" s="147">
        <f>'[40]TGSPDCL MoD'!M40</f>
        <v>0</v>
      </c>
      <c r="M55" s="147">
        <f>'[40]TGSPDCL MoD'!N40</f>
        <v>67.6150485125852</v>
      </c>
      <c r="N55" s="147">
        <f>'[40]TGSPDCL MoD'!O40</f>
        <v>135.23009702517</v>
      </c>
      <c r="O55" s="147">
        <f>'[40]TGSPDCL MoD'!P40</f>
        <v>159.303316208863</v>
      </c>
      <c r="P55" s="147">
        <f>'[40]TGSPDCL MoD'!Q40</f>
        <v>177.504099273312</v>
      </c>
      <c r="Q55" s="690">
        <f t="shared" si="5"/>
        <v>1586.55562631452</v>
      </c>
    </row>
    <row r="56" spans="3:17">
      <c r="C56" s="683"/>
      <c r="D56" s="757" t="s">
        <v>376</v>
      </c>
      <c r="E56" s="147">
        <f>'[40]TGSPDCL MoD'!F41</f>
        <v>74.2510553086018</v>
      </c>
      <c r="F56" s="147">
        <f>'[40]TGSPDCL MoD'!G41</f>
        <v>95.3933400594043</v>
      </c>
      <c r="G56" s="147">
        <f>'[40]TGSPDCL MoD'!H41</f>
        <v>0</v>
      </c>
      <c r="H56" s="147">
        <f>'[40]TGSPDCL MoD'!I41</f>
        <v>33.3876690207915</v>
      </c>
      <c r="I56" s="147">
        <f>'[40]TGSPDCL MoD'!J41</f>
        <v>57.2360040356426</v>
      </c>
      <c r="J56" s="147">
        <f>'[40]TGSPDCL MoD'!K41</f>
        <v>60.0054881018833</v>
      </c>
      <c r="K56" s="147">
        <f>'[40]TGSPDCL MoD'!L41</f>
        <v>57.2360040356426</v>
      </c>
      <c r="L56" s="147">
        <f>'[40]TGSPDCL MoD'!M41</f>
        <v>80.4181172419635</v>
      </c>
      <c r="M56" s="147">
        <f>'[40]TGSPDCL MoD'!N41</f>
        <v>66.0830575017526</v>
      </c>
      <c r="N56" s="147">
        <f>'[40]TGSPDCL MoD'!O41</f>
        <v>65.6933081633763</v>
      </c>
      <c r="O56" s="147">
        <f>'[40]TGSPDCL MoD'!P41</f>
        <v>75.8530913698166</v>
      </c>
      <c r="P56" s="147">
        <f>'[40]TGSPDCL MoD'!Q41</f>
        <v>87.4424071234922</v>
      </c>
      <c r="Q56" s="690">
        <f t="shared" si="5"/>
        <v>752.999541962367</v>
      </c>
    </row>
    <row r="57" spans="3:17">
      <c r="C57" s="683"/>
      <c r="D57" s="757" t="s">
        <v>377</v>
      </c>
      <c r="E57" s="147">
        <f>SUM('[40]TGSPDCL MoD'!F49:F51)</f>
        <v>80.6522112733962</v>
      </c>
      <c r="F57" s="147">
        <f>SUM('[40]TGSPDCL MoD'!G49:G51)</f>
        <v>104.175772894803</v>
      </c>
      <c r="G57" s="147">
        <f>SUM('[40]TGSPDCL MoD'!H49:H51)</f>
        <v>67.2101760611636</v>
      </c>
      <c r="H57" s="147">
        <f>SUM('[40]TGSPDCL MoD'!I49:I51)</f>
        <v>56.4285436513517</v>
      </c>
      <c r="I57" s="147">
        <f>SUM('[40]TGSPDCL MoD'!J49:J51)</f>
        <v>62.5054637368818</v>
      </c>
      <c r="J57" s="147">
        <f>SUM('[40]TGSPDCL MoD'!K49:K51)</f>
        <v>65.3193094555332</v>
      </c>
      <c r="K57" s="147">
        <f>SUM('[40]TGSPDCL MoD'!L49:L51)</f>
        <v>62.5054637368818</v>
      </c>
      <c r="L57" s="147">
        <f>SUM('[40]TGSPDCL MoD'!M49:M51)</f>
        <v>51.7498296220032</v>
      </c>
      <c r="M57" s="147">
        <f>SUM('[40]TGSPDCL MoD'!N49:N51)</f>
        <v>56.4732552193077</v>
      </c>
      <c r="N57" s="147">
        <f>SUM('[40]TGSPDCL MoD'!O49:O51)</f>
        <v>68.3482747403514</v>
      </c>
      <c r="O57" s="147">
        <f>SUM('[40]TGSPDCL MoD'!P49:P51)</f>
        <v>82.6345871619073</v>
      </c>
      <c r="P57" s="147">
        <f>SUM('[40]TGSPDCL MoD'!Q49:Q51)</f>
        <v>91.153801282953</v>
      </c>
      <c r="Q57" s="690">
        <f t="shared" si="5"/>
        <v>849.156688836534</v>
      </c>
    </row>
    <row r="58" spans="3:17">
      <c r="C58" s="683"/>
      <c r="D58" s="757" t="s">
        <v>378</v>
      </c>
      <c r="E58" s="147">
        <f>'[40]TGSPDCL MoD'!F53</f>
        <v>13.1837227207335</v>
      </c>
      <c r="F58" s="147">
        <f>'[40]TGSPDCL MoD'!G53</f>
        <v>17.0289751809474</v>
      </c>
      <c r="G58" s="147">
        <f>'[40]TGSPDCL MoD'!H53</f>
        <v>16.4796534009168</v>
      </c>
      <c r="H58" s="147">
        <f>'[40]TGSPDCL MoD'!I53</f>
        <v>11.0688338676158</v>
      </c>
      <c r="I58" s="147">
        <f>'[40]TGSPDCL MoD'!J53</f>
        <v>10.2173851085684</v>
      </c>
      <c r="J58" s="147">
        <f>'[40]TGSPDCL MoD'!K53</f>
        <v>10.7117747105959</v>
      </c>
      <c r="K58" s="147">
        <f>'[40]TGSPDCL MoD'!L53</f>
        <v>10.2173851085684</v>
      </c>
      <c r="L58" s="147">
        <f>'[40]TGSPDCL MoD'!M53</f>
        <v>13.1837227207335</v>
      </c>
      <c r="M58" s="147">
        <f>'[40]TGSPDCL MoD'!N53</f>
        <v>11.4945582471395</v>
      </c>
      <c r="N58" s="147">
        <f>'[40]TGSPDCL MoD'!O53</f>
        <v>11.4945582471395</v>
      </c>
      <c r="O58" s="147">
        <f>'[40]TGSPDCL MoD'!P53</f>
        <v>13.5407818777533</v>
      </c>
      <c r="P58" s="147">
        <f>'[40]TGSPDCL MoD'!Q53</f>
        <v>14.9003532833289</v>
      </c>
      <c r="Q58" s="690">
        <f t="shared" si="5"/>
        <v>153.521704474041</v>
      </c>
    </row>
    <row r="59" spans="3:17">
      <c r="C59" s="683"/>
      <c r="D59" s="757" t="s">
        <v>379</v>
      </c>
      <c r="E59" s="147">
        <f>'[40]TGSPDCL MoD'!F54</f>
        <v>56.2710242427957</v>
      </c>
      <c r="F59" s="147">
        <f>'[40]TGSPDCL MoD'!G54</f>
        <v>74.3778080502144</v>
      </c>
      <c r="G59" s="147">
        <f>'[40]TGSPDCL MoD'!H54</f>
        <v>71.9785239195623</v>
      </c>
      <c r="H59" s="147">
        <f>'[40]TGSPDCL MoD'!I54</f>
        <v>48.3455752326393</v>
      </c>
      <c r="I59" s="147">
        <f>'[40]TGSPDCL MoD'!J54</f>
        <v>44.6266848301286</v>
      </c>
      <c r="J59" s="147">
        <f>'[40]TGSPDCL MoD'!K54</f>
        <v>44.9865774497264</v>
      </c>
      <c r="K59" s="147">
        <f>'[40]TGSPDCL MoD'!L54</f>
        <v>44.6266848301286</v>
      </c>
      <c r="L59" s="147">
        <f>'[40]TGSPDCL MoD'!M54</f>
        <v>53.9838929396717</v>
      </c>
      <c r="M59" s="147">
        <f>'[40]TGSPDCL MoD'!N54</f>
        <v>48.3455752326393</v>
      </c>
      <c r="N59" s="147">
        <f>'[40]TGSPDCL MoD'!O54</f>
        <v>48.3455752326393</v>
      </c>
      <c r="O59" s="147">
        <f>'[40]TGSPDCL MoD'!P54</f>
        <v>57.4028728258509</v>
      </c>
      <c r="P59" s="147">
        <f>'[40]TGSPDCL MoD'!Q54</f>
        <v>65.0805820439376</v>
      </c>
      <c r="Q59" s="690">
        <f t="shared" si="5"/>
        <v>658.371376829934</v>
      </c>
    </row>
    <row r="60" spans="3:17">
      <c r="C60" s="684"/>
      <c r="D60" s="757" t="s">
        <v>380</v>
      </c>
      <c r="E60" s="147">
        <f>'[40]TGSPDCL MoD'!F55</f>
        <v>266.333833587912</v>
      </c>
      <c r="F60" s="147">
        <f>'[40]TGSPDCL MoD'!G55</f>
        <v>274.671913081755</v>
      </c>
      <c r="G60" s="147">
        <f>'[40]TGSPDCL MoD'!H55</f>
        <v>266.446643926503</v>
      </c>
      <c r="H60" s="147">
        <f>'[40]TGSPDCL MoD'!I55</f>
        <v>273.237200985585</v>
      </c>
      <c r="I60" s="147">
        <f>'[40]TGSPDCL MoD'!J55</f>
        <v>224.198161768501</v>
      </c>
      <c r="J60" s="147">
        <f>'[40]TGSPDCL MoD'!K55</f>
        <v>242.273590279646</v>
      </c>
      <c r="K60" s="147">
        <f>'[40]TGSPDCL MoD'!L55</f>
        <v>213.152082629989</v>
      </c>
      <c r="L60" s="147">
        <f>'[40]TGSPDCL MoD'!M55</f>
        <v>266.446643926503</v>
      </c>
      <c r="M60" s="147">
        <f>'[40]TGSPDCL MoD'!N55</f>
        <v>263.694612862474</v>
      </c>
      <c r="N60" s="147">
        <f>'[40]TGSPDCL MoD'!O55</f>
        <v>239.158696452169</v>
      </c>
      <c r="O60" s="147">
        <f>'[40]TGSPDCL MoD'!P55</f>
        <v>235.799025258901</v>
      </c>
      <c r="P60" s="147">
        <f>'[40]TGSPDCL MoD'!Q55</f>
        <v>292.778577516423</v>
      </c>
      <c r="Q60" s="690">
        <f t="shared" si="5"/>
        <v>3058.19098227636</v>
      </c>
    </row>
    <row r="61" spans="3:17">
      <c r="C61" s="684"/>
      <c r="D61" s="757" t="s">
        <v>450</v>
      </c>
      <c r="E61" s="147">
        <f>'[40]TGSPDCL MoD'!F56</f>
        <v>260.829491294506</v>
      </c>
      <c r="F61" s="147">
        <f>'[40]TGSPDCL MoD'!G56</f>
        <v>266.723452196093</v>
      </c>
      <c r="G61" s="147">
        <f>'[40]TGSPDCL MoD'!H56</f>
        <v>263.664688868503</v>
      </c>
      <c r="H61" s="147">
        <f>'[40]TGSPDCL MoD'!I56</f>
        <v>259.182717805805</v>
      </c>
      <c r="I61" s="147">
        <f>'[40]TGSPDCL MoD'!J56</f>
        <v>217.170262296049</v>
      </c>
      <c r="J61" s="147">
        <f>'[40]TGSPDCL MoD'!K56</f>
        <v>227.011127720524</v>
      </c>
      <c r="K61" s="147">
        <f>'[40]TGSPDCL MoD'!L56</f>
        <v>209.785501225588</v>
      </c>
      <c r="L61" s="147">
        <f>'[40]TGSPDCL MoD'!M56</f>
        <v>266.458904775682</v>
      </c>
      <c r="M61" s="147">
        <f>'[40]TGSPDCL MoD'!N56</f>
        <v>257.256160994897</v>
      </c>
      <c r="N61" s="147">
        <f>'[40]TGSPDCL MoD'!O56</f>
        <v>234.621444087696</v>
      </c>
      <c r="O61" s="147">
        <f>'[40]TGSPDCL MoD'!P56</f>
        <v>235.809875822611</v>
      </c>
      <c r="P61" s="147">
        <f>'[40]TGSPDCL MoD'!Q56</f>
        <v>282.780385626654</v>
      </c>
      <c r="Q61" s="690">
        <f t="shared" si="5"/>
        <v>2981.29401271461</v>
      </c>
    </row>
    <row r="62" spans="3:17">
      <c r="C62" s="55"/>
      <c r="D62" s="757" t="s">
        <v>381</v>
      </c>
      <c r="E62" s="147">
        <f>'[40]TGSPDCL MoD'!F33</f>
        <v>1.64483310505934</v>
      </c>
      <c r="F62" s="147">
        <f>'[40]TGSPDCL MoD'!G33</f>
        <v>2.19311080674588</v>
      </c>
      <c r="G62" s="147">
        <f>'[40]TGSPDCL MoD'!H33</f>
        <v>2.1223652968507</v>
      </c>
      <c r="H62" s="147">
        <f>'[40]TGSPDCL MoD'!I33</f>
        <v>1.4255220243848</v>
      </c>
      <c r="I62" s="147">
        <f>'[40]TGSPDCL MoD'!J33</f>
        <v>1.31586648404752</v>
      </c>
      <c r="J62" s="147">
        <f>'[40]TGSPDCL MoD'!K33</f>
        <v>1.32647831053177</v>
      </c>
      <c r="K62" s="147">
        <f>'[40]TGSPDCL MoD'!L33</f>
        <v>1.31586648404752</v>
      </c>
      <c r="L62" s="147">
        <f>'[40]TGSPDCL MoD'!M33</f>
        <v>1.59177397263808</v>
      </c>
      <c r="M62" s="147">
        <f>'[40]TGSPDCL MoD'!N33</f>
        <v>1.4255220243848</v>
      </c>
      <c r="N62" s="147">
        <f>'[40]TGSPDCL MoD'!O33</f>
        <v>1.4255220243848</v>
      </c>
      <c r="O62" s="147">
        <f>'[40]TGSPDCL MoD'!P33</f>
        <v>1.69258632423847</v>
      </c>
      <c r="P62" s="147">
        <f>'[40]TGSPDCL MoD'!Q33</f>
        <v>1.91897195590254</v>
      </c>
      <c r="Q62" s="690">
        <f t="shared" si="5"/>
        <v>19.3984188132162</v>
      </c>
    </row>
    <row r="63" spans="3:17">
      <c r="C63" s="55"/>
      <c r="D63" s="757" t="s">
        <v>382</v>
      </c>
      <c r="E63" s="147">
        <f>'[40]TGSPDCL MoD'!F34</f>
        <v>2.91271798301038</v>
      </c>
      <c r="F63" s="147">
        <f>'[40]TGSPDCL MoD'!G34</f>
        <v>3.00980858244406</v>
      </c>
      <c r="G63" s="147">
        <f>'[40]TGSPDCL MoD'!H34</f>
        <v>2.91271798301038</v>
      </c>
      <c r="H63" s="147">
        <f>'[40]TGSPDCL MoD'!I34</f>
        <v>3.07339608770696</v>
      </c>
      <c r="I63" s="147">
        <f>'[40]TGSPDCL MoD'!J34</f>
        <v>2.56469604560374</v>
      </c>
      <c r="J63" s="147">
        <f>'[40]TGSPDCL MoD'!K34</f>
        <v>2.78964539217895</v>
      </c>
      <c r="K63" s="147">
        <f>'[40]TGSPDCL MoD'!L34</f>
        <v>2.37393352981503</v>
      </c>
      <c r="L63" s="147">
        <f>'[40]TGSPDCL MoD'!M34</f>
        <v>2.91271798301038</v>
      </c>
      <c r="M63" s="147">
        <f>'[40]TGSPDCL MoD'!N34</f>
        <v>3.00980858244406</v>
      </c>
      <c r="N63" s="147">
        <f>'[40]TGSPDCL MoD'!O34</f>
        <v>2.75545856139244</v>
      </c>
      <c r="O63" s="147">
        <f>'[40]TGSPDCL MoD'!P34</f>
        <v>2.75614229800817</v>
      </c>
      <c r="P63" s="147">
        <f>'[40]TGSPDCL MoD'!Q34</f>
        <v>3.39133361402147</v>
      </c>
      <c r="Q63" s="690">
        <f t="shared" si="5"/>
        <v>34.462376642646</v>
      </c>
    </row>
    <row r="64" spans="3:17">
      <c r="C64" s="55"/>
      <c r="D64" s="757" t="s">
        <v>383</v>
      </c>
      <c r="E64" s="147">
        <f>'[40]TGSPDCL MoD'!F52</f>
        <v>25.4029468920794</v>
      </c>
      <c r="F64" s="147">
        <f>'[40]TGSPDCL MoD'!G52</f>
        <v>26.2497117884821</v>
      </c>
      <c r="G64" s="147">
        <f>'[40]TGSPDCL MoD'!H52</f>
        <v>25.4029468920794</v>
      </c>
      <c r="H64" s="147">
        <f>'[40]TGSPDCL MoD'!I52</f>
        <v>27.9134259159211</v>
      </c>
      <c r="I64" s="147">
        <f>'[40]TGSPDCL MoD'!J52</f>
        <v>22.3677121577911</v>
      </c>
      <c r="J64" s="147">
        <f>'[40]TGSPDCL MoD'!K52</f>
        <v>25.4029468920794</v>
      </c>
      <c r="K64" s="147">
        <f>'[40]TGSPDCL MoD'!L52</f>
        <v>21.8131407819781</v>
      </c>
      <c r="L64" s="147">
        <f>'[40]TGSPDCL MoD'!M52</f>
        <v>25.4029468920794</v>
      </c>
      <c r="M64" s="147">
        <f>'[40]TGSPDCL MoD'!N52</f>
        <v>26.2497117884821</v>
      </c>
      <c r="N64" s="147">
        <f>'[40]TGSPDCL MoD'!O52</f>
        <v>25.6951404126691</v>
      </c>
      <c r="O64" s="147">
        <f>'[40]TGSPDCL MoD'!P52</f>
        <v>24.5561819956768</v>
      </c>
      <c r="P64" s="147">
        <f>'[40]TGSPDCL MoD'!Q52</f>
        <v>29.5771400433601</v>
      </c>
      <c r="Q64" s="690">
        <f t="shared" si="5"/>
        <v>306.033952452678</v>
      </c>
    </row>
    <row r="65" spans="3:17">
      <c r="C65" s="55"/>
      <c r="D65" s="757" t="s">
        <v>384</v>
      </c>
      <c r="E65" s="147">
        <f>'[40]TGSPDCL MoD'!F35</f>
        <v>0</v>
      </c>
      <c r="F65" s="147">
        <f>'[40]TGSPDCL MoD'!G35</f>
        <v>0</v>
      </c>
      <c r="G65" s="147">
        <f>'[40]TGSPDCL MoD'!H35</f>
        <v>0</v>
      </c>
      <c r="H65" s="147">
        <f>'[40]TGSPDCL MoD'!I35</f>
        <v>0</v>
      </c>
      <c r="I65" s="147">
        <f>'[40]TGSPDCL MoD'!J35</f>
        <v>0</v>
      </c>
      <c r="J65" s="147">
        <f>'[40]TGSPDCL MoD'!K35</f>
        <v>0</v>
      </c>
      <c r="K65" s="147">
        <f>'[40]TGSPDCL MoD'!L35</f>
        <v>0</v>
      </c>
      <c r="L65" s="147">
        <f>'[40]TGSPDCL MoD'!M35</f>
        <v>0</v>
      </c>
      <c r="M65" s="147">
        <f>'[40]TGSPDCL MoD'!N35</f>
        <v>0</v>
      </c>
      <c r="N65" s="147">
        <f>'[40]TGSPDCL MoD'!O35</f>
        <v>0</v>
      </c>
      <c r="O65" s="147">
        <f>'[40]TGSPDCL MoD'!P35</f>
        <v>0</v>
      </c>
      <c r="P65" s="147">
        <f>'[40]TGSPDCL MoD'!Q35</f>
        <v>0</v>
      </c>
      <c r="Q65" s="690">
        <f t="shared" si="5"/>
        <v>0</v>
      </c>
    </row>
    <row r="66" spans="3:17">
      <c r="C66" s="55"/>
      <c r="D66" s="757" t="s">
        <v>385</v>
      </c>
      <c r="E66" s="147">
        <f t="shared" ref="E66:P66" si="6">E65</f>
        <v>0</v>
      </c>
      <c r="F66" s="147">
        <f t="shared" si="6"/>
        <v>0</v>
      </c>
      <c r="G66" s="147">
        <f t="shared" si="6"/>
        <v>0</v>
      </c>
      <c r="H66" s="147">
        <f t="shared" si="6"/>
        <v>0</v>
      </c>
      <c r="I66" s="147">
        <f t="shared" si="6"/>
        <v>0</v>
      </c>
      <c r="J66" s="147">
        <f t="shared" si="6"/>
        <v>0</v>
      </c>
      <c r="K66" s="147">
        <f t="shared" si="6"/>
        <v>0</v>
      </c>
      <c r="L66" s="147">
        <f t="shared" si="6"/>
        <v>0</v>
      </c>
      <c r="M66" s="147">
        <f t="shared" si="6"/>
        <v>0</v>
      </c>
      <c r="N66" s="147">
        <f t="shared" si="6"/>
        <v>0</v>
      </c>
      <c r="O66" s="147">
        <f t="shared" si="6"/>
        <v>0</v>
      </c>
      <c r="P66" s="147">
        <f t="shared" si="6"/>
        <v>0</v>
      </c>
      <c r="Q66" s="690">
        <f t="shared" si="5"/>
        <v>0</v>
      </c>
    </row>
    <row r="67" spans="3:17">
      <c r="C67" s="55"/>
      <c r="D67" s="757" t="s">
        <v>386</v>
      </c>
      <c r="E67" s="147">
        <f>'[40]TGSPDCL MoD'!F46</f>
        <v>30.6434885458722</v>
      </c>
      <c r="F67" s="147">
        <f>'[40]TGSPDCL MoD'!G46</f>
        <v>39.5811727050849</v>
      </c>
      <c r="G67" s="147">
        <f>'[40]TGSPDCL MoD'!H46</f>
        <v>38.3043606823402</v>
      </c>
      <c r="H67" s="147">
        <f>'[40]TGSPDCL MoD'!I46</f>
        <v>27.2692917296182</v>
      </c>
      <c r="I67" s="147">
        <f>'[40]TGSPDCL MoD'!J46</f>
        <v>23.7487036230509</v>
      </c>
      <c r="J67" s="147">
        <f>'[40]TGSPDCL MoD'!K46</f>
        <v>24.8978344435211</v>
      </c>
      <c r="K67" s="147">
        <f>'[40]TGSPDCL MoD'!L46</f>
        <v>23.7487036230509</v>
      </c>
      <c r="L67" s="147">
        <f>'[40]TGSPDCL MoD'!M46</f>
        <v>32.2252955134797</v>
      </c>
      <c r="M67" s="147">
        <f>'[40]TGSPDCL MoD'!N46</f>
        <v>26.7172915759323</v>
      </c>
      <c r="N67" s="147">
        <f>'[40]TGSPDCL MoD'!O46</f>
        <v>26.7172915759323</v>
      </c>
      <c r="O67" s="147">
        <f>'[40]TGSPDCL MoD'!P46</f>
        <v>31.4734163606562</v>
      </c>
      <c r="P67" s="147">
        <f>'[40]TGSPDCL MoD'!Q46</f>
        <v>35.6230554345764</v>
      </c>
      <c r="Q67" s="690">
        <f t="shared" si="5"/>
        <v>360.949905813115</v>
      </c>
    </row>
    <row r="68" spans="3:17">
      <c r="C68" s="55"/>
      <c r="D68" s="757" t="s">
        <v>387</v>
      </c>
      <c r="E68" s="147">
        <f>'[40]TGSPDCL MoD'!F47</f>
        <v>48.2712924029982</v>
      </c>
      <c r="F68" s="147">
        <f>'[40]TGSPDCL MoD'!G47</f>
        <v>0</v>
      </c>
      <c r="G68" s="147">
        <f>'[40]TGSPDCL MoD'!H47</f>
        <v>27.1276684578833</v>
      </c>
      <c r="H68" s="147">
        <f>'[40]TGSPDCL MoD'!I47</f>
        <v>46.1702278851818</v>
      </c>
      <c r="I68" s="147">
        <f>'[40]TGSPDCL MoD'!J47</f>
        <v>37.5133101567102</v>
      </c>
      <c r="J68" s="147">
        <f>'[40]TGSPDCL MoD'!K47</f>
        <v>41.4062982610847</v>
      </c>
      <c r="K68" s="147">
        <f>'[40]TGSPDCL MoD'!L47</f>
        <v>38.1247478463256</v>
      </c>
      <c r="L68" s="147">
        <f>'[40]TGSPDCL MoD'!M47</f>
        <v>55.4521458183203</v>
      </c>
      <c r="M68" s="147">
        <f>'[40]TGSPDCL MoD'!N47</f>
        <v>48.6436329504593</v>
      </c>
      <c r="N68" s="147">
        <f>'[40]TGSPDCL MoD'!O47</f>
        <v>47.4069304178205</v>
      </c>
      <c r="O68" s="147">
        <f>'[40]TGSPDCL MoD'!P47</f>
        <v>46.6622493228982</v>
      </c>
      <c r="P68" s="147">
        <f>'[40]TGSPDCL MoD'!Q47</f>
        <v>56.0638481462921</v>
      </c>
      <c r="Q68" s="690">
        <f t="shared" si="5"/>
        <v>492.842351665974</v>
      </c>
    </row>
    <row r="69" spans="3:17">
      <c r="C69" s="55"/>
      <c r="D69" s="55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690"/>
    </row>
    <row r="70" spans="3:17">
      <c r="C70" s="55"/>
      <c r="D70" s="55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690"/>
    </row>
    <row r="71" spans="3:17">
      <c r="C71" s="55"/>
      <c r="D71" s="55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690"/>
    </row>
    <row r="72" spans="3:17">
      <c r="C72" s="55"/>
      <c r="D72" s="55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690"/>
    </row>
    <row r="73" spans="3:17">
      <c r="C73" s="55"/>
      <c r="D73" s="55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690"/>
    </row>
    <row r="74" spans="3:17">
      <c r="C74" s="55"/>
      <c r="D74" s="55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690"/>
    </row>
    <row r="75" spans="3:17">
      <c r="C75" s="55"/>
      <c r="D75" s="55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690"/>
    </row>
    <row r="76" spans="3:17">
      <c r="C76" s="55"/>
      <c r="D76" s="55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690"/>
    </row>
    <row r="77" ht="15" spans="3:17">
      <c r="C77" s="537" t="s">
        <v>211</v>
      </c>
      <c r="D77" s="540"/>
      <c r="E77" s="690">
        <f t="shared" ref="E77:P77" si="7">SUM(E52:E76)</f>
        <v>1231.05592486891</v>
      </c>
      <c r="F77" s="690">
        <f t="shared" si="7"/>
        <v>1352.14901771384</v>
      </c>
      <c r="G77" s="690">
        <f t="shared" si="7"/>
        <v>1222.01397347599</v>
      </c>
      <c r="H77" s="690">
        <f t="shared" si="7"/>
        <v>1109.16189059804</v>
      </c>
      <c r="I77" s="690">
        <f t="shared" si="7"/>
        <v>1005.19209815682</v>
      </c>
      <c r="J77" s="690">
        <f t="shared" si="7"/>
        <v>1073.80313256063</v>
      </c>
      <c r="K77" s="690">
        <f t="shared" si="7"/>
        <v>990.131137972396</v>
      </c>
      <c r="L77" s="690">
        <f t="shared" si="7"/>
        <v>1066.39579362665</v>
      </c>
      <c r="M77" s="690">
        <f t="shared" si="7"/>
        <v>1034.43512764072</v>
      </c>
      <c r="N77" s="690">
        <f t="shared" si="7"/>
        <v>1091.82339706437</v>
      </c>
      <c r="O77" s="690">
        <f t="shared" si="7"/>
        <v>1184.37263663192</v>
      </c>
      <c r="P77" s="690">
        <f t="shared" si="7"/>
        <v>1393.1048695443</v>
      </c>
      <c r="Q77" s="693">
        <f>SUM(E77:P77)</f>
        <v>13753.6389998546</v>
      </c>
    </row>
    <row r="78" ht="15" spans="3:17">
      <c r="C78" s="44" t="s">
        <v>388</v>
      </c>
      <c r="D78" s="4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</row>
    <row r="79" spans="3:17">
      <c r="C79" s="754" t="s">
        <v>389</v>
      </c>
      <c r="D79" s="55" t="s">
        <v>390</v>
      </c>
      <c r="E79" s="147">
        <f>'[40]TGSPDCL MoD'!F32</f>
        <v>10.4644998697771</v>
      </c>
      <c r="F79" s="147">
        <f>'[40]TGSPDCL MoD'!G32</f>
        <v>10.813316532103</v>
      </c>
      <c r="G79" s="147">
        <f>'[40]TGSPDCL MoD'!H32</f>
        <v>10.4644998697771</v>
      </c>
      <c r="H79" s="147">
        <f>'[40]TGSPDCL MoD'!I32</f>
        <v>10.813316532103</v>
      </c>
      <c r="I79" s="147">
        <f>'[40]TGSPDCL MoD'!J32</f>
        <v>10.813316532103</v>
      </c>
      <c r="J79" s="147">
        <f>'[40]TGSPDCL MoD'!K32</f>
        <v>10.4644998697771</v>
      </c>
      <c r="K79" s="147">
        <f>'[40]TGSPDCL MoD'!L32</f>
        <v>10.813316532103</v>
      </c>
      <c r="L79" s="147">
        <f>'[40]TGSPDCL MoD'!M32</f>
        <v>10.4644998697771</v>
      </c>
      <c r="M79" s="147">
        <f>'[40]TGSPDCL MoD'!N32</f>
        <v>10.813316532103</v>
      </c>
      <c r="N79" s="147">
        <f>'[40]TGSPDCL MoD'!O32</f>
        <v>10.813316532103</v>
      </c>
      <c r="O79" s="147">
        <f>'[40]TGSPDCL MoD'!P32</f>
        <v>10.1156832074512</v>
      </c>
      <c r="P79" s="147">
        <f>'[40]TGSPDCL MoD'!Q32</f>
        <v>10.813316532103</v>
      </c>
      <c r="Q79" s="147">
        <f t="shared" ref="Q79:Q93" si="8">SUM(E79:P79)</f>
        <v>127.666898411281</v>
      </c>
    </row>
    <row r="80" spans="3:17">
      <c r="C80" s="755"/>
      <c r="D80" s="55" t="s">
        <v>391</v>
      </c>
      <c r="E80" s="147">
        <f>'[40]TGSPDCL MoD'!F36+'[40]TGSPDCL MoD'!F37</f>
        <v>33.1705687689808</v>
      </c>
      <c r="F80" s="147">
        <f>'[40]TGSPDCL MoD'!G36+'[40]TGSPDCL MoD'!G37</f>
        <v>34.2762543946136</v>
      </c>
      <c r="G80" s="147">
        <f>'[40]TGSPDCL MoD'!H36+'[40]TGSPDCL MoD'!H37</f>
        <v>33.1705687689808</v>
      </c>
      <c r="H80" s="147">
        <f>'[40]TGSPDCL MoD'!I36+'[40]TGSPDCL MoD'!I37</f>
        <v>34.2762543946136</v>
      </c>
      <c r="I80" s="147">
        <f>'[40]TGSPDCL MoD'!J36+'[40]TGSPDCL MoD'!J37</f>
        <v>34.2762543946136</v>
      </c>
      <c r="J80" s="147">
        <f>'[40]TGSPDCL MoD'!K36+'[40]TGSPDCL MoD'!K37</f>
        <v>33.1705687689808</v>
      </c>
      <c r="K80" s="147">
        <f>'[40]TGSPDCL MoD'!L36+'[40]TGSPDCL MoD'!L37</f>
        <v>34.2762543946136</v>
      </c>
      <c r="L80" s="147">
        <f>'[40]TGSPDCL MoD'!M36+'[40]TGSPDCL MoD'!M37</f>
        <v>33.1705687689808</v>
      </c>
      <c r="M80" s="147">
        <f>'[40]TGSPDCL MoD'!N36+'[40]TGSPDCL MoD'!N37</f>
        <v>34.2762543946136</v>
      </c>
      <c r="N80" s="147">
        <f>'[40]TGSPDCL MoD'!O36+'[40]TGSPDCL MoD'!O37</f>
        <v>34.2762543946136</v>
      </c>
      <c r="O80" s="147">
        <f>'[40]TGSPDCL MoD'!P36+'[40]TGSPDCL MoD'!P37</f>
        <v>32.0648831433482</v>
      </c>
      <c r="P80" s="147">
        <f>'[40]TGSPDCL MoD'!Q36+'[40]TGSPDCL MoD'!Q37</f>
        <v>34.2762543946136</v>
      </c>
      <c r="Q80" s="147">
        <f t="shared" si="8"/>
        <v>404.680938981567</v>
      </c>
    </row>
    <row r="81" spans="3:17">
      <c r="C81" s="755"/>
      <c r="D81" s="55" t="s">
        <v>392</v>
      </c>
      <c r="E81" s="147">
        <f>'[40]TGSPDCL MoD'!F38+'[40]TGSPDCL MoD'!F39</f>
        <v>33.1705687689808</v>
      </c>
      <c r="F81" s="147">
        <f>'[40]TGSPDCL MoD'!G38+'[40]TGSPDCL MoD'!G39</f>
        <v>34.2762543946136</v>
      </c>
      <c r="G81" s="147">
        <f>'[40]TGSPDCL MoD'!H38+'[40]TGSPDCL MoD'!H39</f>
        <v>33.1705687689808</v>
      </c>
      <c r="H81" s="147">
        <f>'[40]TGSPDCL MoD'!I38+'[40]TGSPDCL MoD'!I39</f>
        <v>34.2762543946136</v>
      </c>
      <c r="I81" s="147">
        <f>'[40]TGSPDCL MoD'!J38+'[40]TGSPDCL MoD'!J39</f>
        <v>34.2762543946136</v>
      </c>
      <c r="J81" s="147">
        <f>'[40]TGSPDCL MoD'!K38+'[40]TGSPDCL MoD'!K39</f>
        <v>33.1705687689808</v>
      </c>
      <c r="K81" s="147">
        <f>'[40]TGSPDCL MoD'!L38+'[40]TGSPDCL MoD'!L39</f>
        <v>34.2762543946136</v>
      </c>
      <c r="L81" s="147">
        <f>'[40]TGSPDCL MoD'!M38+'[40]TGSPDCL MoD'!M39</f>
        <v>33.1705687689808</v>
      </c>
      <c r="M81" s="147">
        <f>'[40]TGSPDCL MoD'!N38+'[40]TGSPDCL MoD'!N39</f>
        <v>34.2762543946136</v>
      </c>
      <c r="N81" s="147">
        <f>'[40]TGSPDCL MoD'!O38+'[40]TGSPDCL MoD'!O39</f>
        <v>34.2762543946136</v>
      </c>
      <c r="O81" s="147">
        <f>'[40]TGSPDCL MoD'!P38+'[40]TGSPDCL MoD'!P39</f>
        <v>32.0648831433482</v>
      </c>
      <c r="P81" s="147">
        <f>'[40]TGSPDCL MoD'!Q38+'[40]TGSPDCL MoD'!Q39</f>
        <v>34.2762543946136</v>
      </c>
      <c r="Q81" s="147">
        <f t="shared" si="8"/>
        <v>404.680938981567</v>
      </c>
    </row>
    <row r="82" spans="3:17">
      <c r="C82" s="756"/>
      <c r="D82" s="55" t="s">
        <v>393</v>
      </c>
      <c r="E82" s="147">
        <f>'[40]TGSPDCL MoD'!F48</f>
        <v>25.7999836164621</v>
      </c>
      <c r="F82" s="147">
        <f>'[40]TGSPDCL MoD'!G48</f>
        <v>26.6599830703442</v>
      </c>
      <c r="G82" s="147">
        <f>'[40]TGSPDCL MoD'!H48</f>
        <v>25.7999836164621</v>
      </c>
      <c r="H82" s="147">
        <f>'[40]TGSPDCL MoD'!I48</f>
        <v>26.6599830703442</v>
      </c>
      <c r="I82" s="147">
        <f>'[40]TGSPDCL MoD'!J48</f>
        <v>26.6599830703442</v>
      </c>
      <c r="J82" s="147">
        <f>'[40]TGSPDCL MoD'!K48</f>
        <v>25.7999836164621</v>
      </c>
      <c r="K82" s="147">
        <f>'[40]TGSPDCL MoD'!L48</f>
        <v>26.6599830703442</v>
      </c>
      <c r="L82" s="147">
        <f>'[40]TGSPDCL MoD'!M48</f>
        <v>25.7999836164621</v>
      </c>
      <c r="M82" s="147">
        <f>'[40]TGSPDCL MoD'!N48</f>
        <v>26.6599830703442</v>
      </c>
      <c r="N82" s="147">
        <f>'[40]TGSPDCL MoD'!O48</f>
        <v>26.6599830703442</v>
      </c>
      <c r="O82" s="147">
        <f>'[40]TGSPDCL MoD'!P48</f>
        <v>24.9399841625801</v>
      </c>
      <c r="P82" s="147">
        <f>'[40]TGSPDCL MoD'!Q48</f>
        <v>26.6599830703442</v>
      </c>
      <c r="Q82" s="147">
        <f t="shared" si="8"/>
        <v>314.759800120838</v>
      </c>
    </row>
    <row r="83" spans="3:17">
      <c r="C83" s="55"/>
      <c r="D83" s="55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55">
        <f t="shared" si="8"/>
        <v>0</v>
      </c>
    </row>
    <row r="84" spans="3:17">
      <c r="C84" s="55"/>
      <c r="D84" s="55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55">
        <f t="shared" si="8"/>
        <v>0</v>
      </c>
    </row>
    <row r="85" spans="3:17">
      <c r="C85" s="55"/>
      <c r="D85" s="55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55">
        <f t="shared" si="8"/>
        <v>0</v>
      </c>
    </row>
    <row r="86" spans="3:17">
      <c r="C86" s="55"/>
      <c r="D86" s="55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55">
        <f t="shared" si="8"/>
        <v>0</v>
      </c>
    </row>
    <row r="87" spans="3:17">
      <c r="C87" s="55"/>
      <c r="D87" s="55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55">
        <f t="shared" si="8"/>
        <v>0</v>
      </c>
    </row>
    <row r="88" spans="3:17">
      <c r="C88" s="55"/>
      <c r="D88" s="55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55">
        <f t="shared" si="8"/>
        <v>0</v>
      </c>
    </row>
    <row r="89" spans="3:17">
      <c r="C89" s="55"/>
      <c r="D89" s="55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55">
        <f t="shared" si="8"/>
        <v>0</v>
      </c>
    </row>
    <row r="90" spans="3:17">
      <c r="C90" s="55"/>
      <c r="D90" s="55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55">
        <f t="shared" si="8"/>
        <v>0</v>
      </c>
    </row>
    <row r="91" spans="3:17">
      <c r="C91" s="55"/>
      <c r="D91" s="55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55">
        <f t="shared" si="8"/>
        <v>0</v>
      </c>
    </row>
    <row r="92" spans="3:17">
      <c r="C92" s="55"/>
      <c r="D92" s="55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55">
        <f t="shared" si="8"/>
        <v>0</v>
      </c>
    </row>
    <row r="93" ht="15" spans="3:18">
      <c r="C93" s="537" t="s">
        <v>211</v>
      </c>
      <c r="D93" s="540"/>
      <c r="E93" s="690">
        <f t="shared" ref="E93:P93" si="9">SUM(E79:E92)</f>
        <v>102.605621024201</v>
      </c>
      <c r="F93" s="690">
        <f t="shared" si="9"/>
        <v>106.025808391674</v>
      </c>
      <c r="G93" s="690">
        <f t="shared" si="9"/>
        <v>102.605621024201</v>
      </c>
      <c r="H93" s="690">
        <f t="shared" si="9"/>
        <v>106.025808391674</v>
      </c>
      <c r="I93" s="690">
        <f t="shared" si="9"/>
        <v>106.025808391674</v>
      </c>
      <c r="J93" s="690">
        <f t="shared" si="9"/>
        <v>102.605621024201</v>
      </c>
      <c r="K93" s="690">
        <f t="shared" si="9"/>
        <v>106.025808391674</v>
      </c>
      <c r="L93" s="690">
        <f t="shared" si="9"/>
        <v>102.605621024201</v>
      </c>
      <c r="M93" s="690">
        <f t="shared" si="9"/>
        <v>106.025808391674</v>
      </c>
      <c r="N93" s="690">
        <f t="shared" si="9"/>
        <v>106.025808391674</v>
      </c>
      <c r="O93" s="690">
        <f t="shared" si="9"/>
        <v>99.1854336567277</v>
      </c>
      <c r="P93" s="690">
        <f t="shared" si="9"/>
        <v>106.025808391674</v>
      </c>
      <c r="Q93" s="693">
        <f t="shared" si="8"/>
        <v>1251.78857649525</v>
      </c>
      <c r="R93" s="686"/>
    </row>
    <row r="94" ht="15" spans="3:18">
      <c r="C94" s="44" t="s">
        <v>395</v>
      </c>
      <c r="D94" s="45"/>
      <c r="E94" s="690">
        <f t="shared" ref="E94:Q94" si="10">E77+E93</f>
        <v>1333.66154589312</v>
      </c>
      <c r="F94" s="690">
        <f t="shared" si="10"/>
        <v>1458.17482610551</v>
      </c>
      <c r="G94" s="690">
        <f t="shared" si="10"/>
        <v>1324.61959450019</v>
      </c>
      <c r="H94" s="690">
        <f t="shared" si="10"/>
        <v>1215.18769898972</v>
      </c>
      <c r="I94" s="690">
        <f t="shared" si="10"/>
        <v>1111.21790654849</v>
      </c>
      <c r="J94" s="690">
        <f t="shared" si="10"/>
        <v>1176.40875358483</v>
      </c>
      <c r="K94" s="690">
        <f t="shared" si="10"/>
        <v>1096.15694636407</v>
      </c>
      <c r="L94" s="690">
        <f t="shared" si="10"/>
        <v>1169.00141465085</v>
      </c>
      <c r="M94" s="690">
        <f t="shared" si="10"/>
        <v>1140.46093603239</v>
      </c>
      <c r="N94" s="690">
        <f t="shared" si="10"/>
        <v>1197.84920545604</v>
      </c>
      <c r="O94" s="690">
        <f t="shared" si="10"/>
        <v>1283.55807028865</v>
      </c>
      <c r="P94" s="690">
        <f t="shared" si="10"/>
        <v>1499.13067793598</v>
      </c>
      <c r="Q94" s="693">
        <f t="shared" si="10"/>
        <v>15005.4275763498</v>
      </c>
      <c r="R94" s="686"/>
    </row>
    <row r="95" ht="15" spans="3:17">
      <c r="C95" s="663" t="s">
        <v>396</v>
      </c>
      <c r="D95" s="676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</row>
    <row r="96" spans="3:17">
      <c r="C96" s="55" t="s">
        <v>397</v>
      </c>
      <c r="D96" s="757" t="s">
        <v>397</v>
      </c>
      <c r="E96" s="147">
        <f>'[40]TGSPDCL MoD'!F23</f>
        <v>103.240181599861</v>
      </c>
      <c r="F96" s="147">
        <f>'[40]TGSPDCL MoD'!G23</f>
        <v>106.681520986523</v>
      </c>
      <c r="G96" s="147">
        <f>'[40]TGSPDCL MoD'!H23</f>
        <v>103.240181599861</v>
      </c>
      <c r="H96" s="147">
        <f>'[40]TGSPDCL MoD'!I23</f>
        <v>110.02748484757</v>
      </c>
      <c r="I96" s="147">
        <f>'[40]TGSPDCL MoD'!J23</f>
        <v>90.9046763335869</v>
      </c>
      <c r="J96" s="147">
        <f>'[40]TGSPDCL MoD'!K23</f>
        <v>102.791420858995</v>
      </c>
      <c r="K96" s="147">
        <f>'[40]TGSPDCL MoD'!L23</f>
        <v>88.6508413831674</v>
      </c>
      <c r="L96" s="147">
        <f>'[40]TGSPDCL MoD'!M23</f>
        <v>103.240181599861</v>
      </c>
      <c r="M96" s="147">
        <f>'[40]TGSPDCL MoD'!N23</f>
        <v>106.681520986523</v>
      </c>
      <c r="N96" s="147">
        <f>'[40]TGSPDCL MoD'!O23</f>
        <v>104.427686036104</v>
      </c>
      <c r="O96" s="147">
        <f>'[40]TGSPDCL MoD'!P23</f>
        <v>99.7988422131994</v>
      </c>
      <c r="P96" s="147">
        <f>'[40]TGSPDCL MoD'!Q23</f>
        <v>120.204530689041</v>
      </c>
      <c r="Q96" s="147">
        <f>SUM(E96:P96)</f>
        <v>1239.88906913429</v>
      </c>
    </row>
    <row r="97" spans="3:17">
      <c r="C97" s="55" t="s">
        <v>398</v>
      </c>
      <c r="D97" s="757" t="s">
        <v>398</v>
      </c>
      <c r="E97" s="147">
        <f>'[40]TGSPDCL MoD'!F24</f>
        <v>0</v>
      </c>
      <c r="F97" s="147">
        <f>'[40]TGSPDCL MoD'!G24</f>
        <v>0</v>
      </c>
      <c r="G97" s="147">
        <f>'[40]TGSPDCL MoD'!H24</f>
        <v>0</v>
      </c>
      <c r="H97" s="147">
        <f>'[40]TGSPDCL MoD'!I24</f>
        <v>0</v>
      </c>
      <c r="I97" s="147">
        <f>'[40]TGSPDCL MoD'!J24</f>
        <v>0</v>
      </c>
      <c r="J97" s="147">
        <f>'[40]TGSPDCL MoD'!K24</f>
        <v>0</v>
      </c>
      <c r="K97" s="147">
        <f>'[40]TGSPDCL MoD'!L24</f>
        <v>0</v>
      </c>
      <c r="L97" s="147">
        <f>'[40]TGSPDCL MoD'!M24</f>
        <v>0</v>
      </c>
      <c r="M97" s="147">
        <f>'[40]TGSPDCL MoD'!N24</f>
        <v>0</v>
      </c>
      <c r="N97" s="147">
        <f>'[40]TGSPDCL MoD'!O24</f>
        <v>0</v>
      </c>
      <c r="O97" s="147">
        <f>'[40]TGSPDCL MoD'!P24</f>
        <v>0</v>
      </c>
      <c r="P97" s="147">
        <f>'[40]TGSPDCL MoD'!Q24</f>
        <v>0</v>
      </c>
      <c r="Q97" s="147">
        <f>SUM(E97:P97)</f>
        <v>0</v>
      </c>
    </row>
    <row r="98" spans="3:17">
      <c r="C98" s="55"/>
      <c r="D98" s="55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55"/>
    </row>
    <row r="99" spans="3:17">
      <c r="C99" s="55"/>
      <c r="D99" s="55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55"/>
    </row>
    <row r="100" spans="3:17">
      <c r="C100" s="55"/>
      <c r="D100" s="55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55"/>
    </row>
    <row r="101" spans="3:17">
      <c r="C101" s="55"/>
      <c r="D101" s="55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55"/>
    </row>
    <row r="102" spans="3:17">
      <c r="C102" s="55"/>
      <c r="D102" s="55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55"/>
    </row>
    <row r="103" ht="15" spans="3:18">
      <c r="C103" s="44" t="s">
        <v>399</v>
      </c>
      <c r="D103" s="45"/>
      <c r="E103" s="147">
        <f t="shared" ref="E103:P103" si="11">SUM(E96:E102)</f>
        <v>103.240181599861</v>
      </c>
      <c r="F103" s="147">
        <f t="shared" si="11"/>
        <v>106.681520986523</v>
      </c>
      <c r="G103" s="147">
        <f t="shared" si="11"/>
        <v>103.240181599861</v>
      </c>
      <c r="H103" s="147">
        <f t="shared" si="11"/>
        <v>110.02748484757</v>
      </c>
      <c r="I103" s="147">
        <f t="shared" si="11"/>
        <v>90.9046763335869</v>
      </c>
      <c r="J103" s="147">
        <f t="shared" si="11"/>
        <v>102.791420858995</v>
      </c>
      <c r="K103" s="147">
        <f t="shared" si="11"/>
        <v>88.6508413831674</v>
      </c>
      <c r="L103" s="147">
        <f t="shared" si="11"/>
        <v>103.240181599861</v>
      </c>
      <c r="M103" s="147">
        <f t="shared" si="11"/>
        <v>106.681520986523</v>
      </c>
      <c r="N103" s="147">
        <f t="shared" si="11"/>
        <v>104.427686036104</v>
      </c>
      <c r="O103" s="147">
        <f t="shared" si="11"/>
        <v>99.7988422131994</v>
      </c>
      <c r="P103" s="147">
        <f t="shared" si="11"/>
        <v>120.204530689041</v>
      </c>
      <c r="Q103" s="316">
        <f>SUM(E103:P103)</f>
        <v>1239.88906913429</v>
      </c>
      <c r="R103" s="686"/>
    </row>
    <row r="104" ht="15" spans="3:17">
      <c r="C104" s="663" t="s">
        <v>400</v>
      </c>
      <c r="D104" s="676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</row>
    <row r="105" spans="3:17">
      <c r="C105" s="55" t="s">
        <v>401</v>
      </c>
      <c r="D105" s="757" t="s">
        <v>401</v>
      </c>
      <c r="E105" s="147">
        <f>'[40]TGSPDCL MoD'!F20+'[40]TGSPDCL MoD'!F21+'[40]TGSPDCL MoD'!F22</f>
        <v>708.564748889141</v>
      </c>
      <c r="F105" s="147">
        <f>'[40]TGSPDCL MoD'!G20+'[40]TGSPDCL MoD'!G21+'[40]TGSPDCL MoD'!G22</f>
        <v>229.689871407904</v>
      </c>
      <c r="G105" s="147">
        <f>'[40]TGSPDCL MoD'!H20+'[40]TGSPDCL MoD'!H21+'[40]TGSPDCL MoD'!H22</f>
        <v>259.796817886614</v>
      </c>
      <c r="H105" s="147">
        <f>'[40]TGSPDCL MoD'!I20+'[40]TGSPDCL MoD'!I21+'[40]TGSPDCL MoD'!I22</f>
        <v>591.697336728138</v>
      </c>
      <c r="I105" s="147">
        <f>'[40]TGSPDCL MoD'!J20+'[40]TGSPDCL MoD'!J21+'[40]TGSPDCL MoD'!J22</f>
        <v>555.799006293802</v>
      </c>
      <c r="J105" s="147">
        <f>'[40]TGSPDCL MoD'!K20+'[40]TGSPDCL MoD'!K21+'[40]TGSPDCL MoD'!K22</f>
        <v>590.710082074859</v>
      </c>
      <c r="K105" s="147">
        <f>'[40]TGSPDCL MoD'!L20+'[40]TGSPDCL MoD'!L21+'[40]TGSPDCL MoD'!L22</f>
        <v>578.008153723847</v>
      </c>
      <c r="L105" s="147">
        <f>'[40]TGSPDCL MoD'!M20+'[40]TGSPDCL MoD'!M21+'[40]TGSPDCL MoD'!M22</f>
        <v>757.897167728195</v>
      </c>
      <c r="M105" s="147">
        <f>'[40]TGSPDCL MoD'!N20+'[40]TGSPDCL MoD'!N21+'[40]TGSPDCL MoD'!N22</f>
        <v>684.363842562979</v>
      </c>
      <c r="N105" s="147">
        <f>'[40]TGSPDCL MoD'!O20+'[40]TGSPDCL MoD'!O21+'[40]TGSPDCL MoD'!O22</f>
        <v>669.408437712924</v>
      </c>
      <c r="O105" s="147">
        <f>'[40]TGSPDCL MoD'!P20+'[40]TGSPDCL MoD'!P21+'[40]TGSPDCL MoD'!P22</f>
        <v>655.321592053714</v>
      </c>
      <c r="P105" s="147">
        <f>'[40]TGSPDCL MoD'!Q20+'[40]TGSPDCL MoD'!Q21+'[40]TGSPDCL MoD'!Q22</f>
        <v>781.379699126922</v>
      </c>
      <c r="Q105" s="147">
        <f>SUM(E105:P105)</f>
        <v>7062.63675618904</v>
      </c>
    </row>
    <row r="106" spans="3:17">
      <c r="C106" s="55" t="s">
        <v>402</v>
      </c>
      <c r="D106" s="757" t="s">
        <v>402</v>
      </c>
      <c r="E106" s="147">
        <v>0</v>
      </c>
      <c r="F106" s="147">
        <v>0</v>
      </c>
      <c r="G106" s="147">
        <v>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55">
        <f>SUM(E106:P106)</f>
        <v>0</v>
      </c>
    </row>
    <row r="107" spans="3:17">
      <c r="C107" s="55" t="s">
        <v>403</v>
      </c>
      <c r="D107" s="757" t="s">
        <v>403</v>
      </c>
      <c r="E107" s="147" t="e">
        <f>'[43]F9-Year(n+1)'!I107</f>
        <v>#REF!</v>
      </c>
      <c r="F107" s="147" t="e">
        <f>'[43]F9-Year(n+1)'!J107</f>
        <v>#REF!</v>
      </c>
      <c r="G107" s="147" t="e">
        <f>'[43]F9-Year(n+1)'!K107</f>
        <v>#REF!</v>
      </c>
      <c r="H107" s="147" t="e">
        <f>'[43]F9-Year(n+1)'!L107</f>
        <v>#REF!</v>
      </c>
      <c r="I107" s="147" t="e">
        <f>'[43]F9-Year(n+1)'!M107</f>
        <v>#REF!</v>
      </c>
      <c r="J107" s="147" t="e">
        <f>'[43]F9-Year(n+1)'!N107</f>
        <v>#REF!</v>
      </c>
      <c r="K107" s="147" t="e">
        <f>'[43]F9-Year(n+1)'!O107</f>
        <v>#REF!</v>
      </c>
      <c r="L107" s="147" t="e">
        <f>'[43]F9-Year(n+1)'!P107</f>
        <v>#REF!</v>
      </c>
      <c r="M107" s="147" t="e">
        <f>'[43]F9-Year(n+1)'!Q107</f>
        <v>#REF!</v>
      </c>
      <c r="N107" s="147" t="e">
        <f>'[43]F9-Year(n+1)'!R107</f>
        <v>#REF!</v>
      </c>
      <c r="O107" s="147" t="e">
        <f>'[43]F9-Year(n+1)'!S107</f>
        <v>#REF!</v>
      </c>
      <c r="P107" s="147" t="e">
        <f>'[43]F9-Year(n+1)'!T107</f>
        <v>#REF!</v>
      </c>
      <c r="Q107" s="55" t="e">
        <f>SUM(E107:P107)</f>
        <v>#REF!</v>
      </c>
    </row>
    <row r="108" spans="3:17">
      <c r="C108" s="55"/>
      <c r="D108" s="55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55"/>
    </row>
    <row r="109" spans="3:17">
      <c r="C109" s="55"/>
      <c r="D109" s="55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55"/>
    </row>
    <row r="110" spans="3:17">
      <c r="C110" s="55"/>
      <c r="D110" s="55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55"/>
    </row>
    <row r="111" spans="3:17">
      <c r="C111" s="55"/>
      <c r="D111" s="55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55"/>
    </row>
    <row r="112" spans="3:17">
      <c r="C112" s="55"/>
      <c r="D112" s="55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55"/>
    </row>
    <row r="113" ht="15" spans="3:18">
      <c r="C113" s="44" t="s">
        <v>404</v>
      </c>
      <c r="D113" s="45"/>
      <c r="E113" s="147" t="e">
        <f t="shared" ref="E113:P113" si="12">SUM(E105:E112)</f>
        <v>#REF!</v>
      </c>
      <c r="F113" s="147" t="e">
        <f t="shared" si="12"/>
        <v>#REF!</v>
      </c>
      <c r="G113" s="147" t="e">
        <f t="shared" si="12"/>
        <v>#REF!</v>
      </c>
      <c r="H113" s="147" t="e">
        <f t="shared" si="12"/>
        <v>#REF!</v>
      </c>
      <c r="I113" s="147" t="e">
        <f t="shared" si="12"/>
        <v>#REF!</v>
      </c>
      <c r="J113" s="147" t="e">
        <f t="shared" si="12"/>
        <v>#REF!</v>
      </c>
      <c r="K113" s="147" t="e">
        <f t="shared" si="12"/>
        <v>#REF!</v>
      </c>
      <c r="L113" s="147" t="e">
        <f t="shared" si="12"/>
        <v>#REF!</v>
      </c>
      <c r="M113" s="147" t="e">
        <f t="shared" si="12"/>
        <v>#REF!</v>
      </c>
      <c r="N113" s="147" t="e">
        <f t="shared" si="12"/>
        <v>#REF!</v>
      </c>
      <c r="O113" s="147" t="e">
        <f t="shared" si="12"/>
        <v>#REF!</v>
      </c>
      <c r="P113" s="147" t="e">
        <f t="shared" si="12"/>
        <v>#REF!</v>
      </c>
      <c r="Q113" s="316" t="e">
        <f>SUM(E113:P113)</f>
        <v>#REF!</v>
      </c>
      <c r="R113" s="686"/>
    </row>
    <row r="114" ht="15" spans="3:17">
      <c r="C114" s="663" t="s">
        <v>405</v>
      </c>
      <c r="D114" s="676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</row>
    <row r="115" spans="3:17">
      <c r="C115" s="55"/>
      <c r="D115" s="757" t="s">
        <v>406</v>
      </c>
      <c r="E115" s="147">
        <f>'[40]TGSPDCL MoD'!$F$104</f>
        <v>0.0324651300743771</v>
      </c>
      <c r="F115" s="147">
        <f>'[40]TGSPDCL MoD'!$F$104</f>
        <v>0.0324651300743771</v>
      </c>
      <c r="G115" s="147">
        <f>'[40]TGSPDCL MoD'!$F$104</f>
        <v>0.0324651300743771</v>
      </c>
      <c r="H115" s="147">
        <f>'[40]TGSPDCL MoD'!$F$104</f>
        <v>0.0324651300743771</v>
      </c>
      <c r="I115" s="147">
        <f>'[40]TGSPDCL MoD'!$F$104</f>
        <v>0.0324651300743771</v>
      </c>
      <c r="J115" s="147">
        <f>'[40]TGSPDCL MoD'!$F$104</f>
        <v>0.0324651300743771</v>
      </c>
      <c r="K115" s="147">
        <f>'[40]TGSPDCL MoD'!$F$104</f>
        <v>0.0324651300743771</v>
      </c>
      <c r="L115" s="147">
        <f>'[40]TGSPDCL MoD'!$F$104</f>
        <v>0.0324651300743771</v>
      </c>
      <c r="M115" s="147">
        <f>'[40]TGSPDCL MoD'!$F$104</f>
        <v>0.0324651300743771</v>
      </c>
      <c r="N115" s="147">
        <f>'[40]TGSPDCL MoD'!$F$104</f>
        <v>0.0324651300743771</v>
      </c>
      <c r="O115" s="147">
        <f>'[40]TGSPDCL MoD'!$F$104</f>
        <v>0.0324651300743771</v>
      </c>
      <c r="P115" s="147">
        <f>'[40]TGSPDCL MoD'!$F$104</f>
        <v>0.0324651300743771</v>
      </c>
      <c r="Q115" s="690">
        <f t="shared" ref="Q115:Q128" si="13">SUM(E115:P115)</f>
        <v>0.389581560892525</v>
      </c>
    </row>
    <row r="116" spans="3:17">
      <c r="C116" s="55"/>
      <c r="D116" s="757" t="s">
        <v>407</v>
      </c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690">
        <f t="shared" si="13"/>
        <v>0</v>
      </c>
    </row>
    <row r="117" spans="3:17">
      <c r="C117" s="55"/>
      <c r="D117" s="757" t="s">
        <v>408</v>
      </c>
      <c r="E117" s="147">
        <f>'[40]TGSPDCL MoD'!F101</f>
        <v>8.15888271753782</v>
      </c>
      <c r="F117" s="147">
        <f>'[40]TGSPDCL MoD'!G101</f>
        <v>5.73685144293608</v>
      </c>
      <c r="G117" s="147">
        <f>'[40]TGSPDCL MoD'!H101</f>
        <v>4.76987925824405</v>
      </c>
      <c r="H117" s="147">
        <f>'[40]TGSPDCL MoD'!I101</f>
        <v>6.73515847710255</v>
      </c>
      <c r="I117" s="147">
        <f>'[40]TGSPDCL MoD'!J101</f>
        <v>6.73515847710255</v>
      </c>
      <c r="J117" s="147">
        <f>'[40]TGSPDCL MoD'!K101</f>
        <v>4.80119869461006</v>
      </c>
      <c r="K117" s="147">
        <f>'[40]TGSPDCL MoD'!L101</f>
        <v>6.73515847710255</v>
      </c>
      <c r="L117" s="147">
        <f>'[40]TGSPDCL MoD'!M101</f>
        <v>6.3284656287465</v>
      </c>
      <c r="M117" s="147">
        <f>'[40]TGSPDCL MoD'!N101</f>
        <v>10.3282109414344</v>
      </c>
      <c r="N117" s="147">
        <f>'[40]TGSPDCL MoD'!O101</f>
        <v>10.5007915167249</v>
      </c>
      <c r="O117" s="147">
        <f>'[40]TGSPDCL MoD'!P101</f>
        <v>11.4713942224139</v>
      </c>
      <c r="P117" s="147">
        <f>'[40]TGSPDCL MoD'!Q101</f>
        <v>11.1226744786754</v>
      </c>
      <c r="Q117" s="690">
        <f t="shared" si="13"/>
        <v>93.4238243326308</v>
      </c>
    </row>
    <row r="118" spans="3:17">
      <c r="C118" s="55"/>
      <c r="D118" s="757" t="s">
        <v>409</v>
      </c>
      <c r="E118" s="147">
        <f>'[40]TGSPDCL MoD'!F102</f>
        <v>3.47285019191451</v>
      </c>
      <c r="F118" s="147">
        <f>'[40]TGSPDCL MoD'!G102</f>
        <v>2.44190611929742</v>
      </c>
      <c r="G118" s="147">
        <f>'[40]TGSPDCL MoD'!H102</f>
        <v>2.03031182955905</v>
      </c>
      <c r="H118" s="147">
        <f>'[40]TGSPDCL MoD'!I102</f>
        <v>2.86683817129791</v>
      </c>
      <c r="I118" s="147">
        <f>'[40]TGSPDCL MoD'!J102</f>
        <v>2.86683817129791</v>
      </c>
      <c r="J118" s="147">
        <f>'[40]TGSPDCL MoD'!K102</f>
        <v>2.04364303119043</v>
      </c>
      <c r="K118" s="147">
        <f>'[40]TGSPDCL MoD'!L102</f>
        <v>2.86683817129791</v>
      </c>
      <c r="L118" s="147">
        <f>'[40]TGSPDCL MoD'!M102</f>
        <v>2.69372827557314</v>
      </c>
      <c r="M118" s="147">
        <f>'[40]TGSPDCL MoD'!N102</f>
        <v>4.39623053693294</v>
      </c>
      <c r="N118" s="147">
        <f>'[40]TGSPDCL MoD'!O102</f>
        <v>4.46968991915077</v>
      </c>
      <c r="O118" s="147">
        <f>'[40]TGSPDCL MoD'!P102</f>
        <v>4.88282954983567</v>
      </c>
      <c r="P118" s="147">
        <f>'[40]TGSPDCL MoD'!Q102</f>
        <v>4.73439606073018</v>
      </c>
      <c r="Q118" s="690">
        <f t="shared" si="13"/>
        <v>39.7661000280778</v>
      </c>
    </row>
    <row r="119" spans="3:17">
      <c r="C119" s="55"/>
      <c r="D119" s="757" t="s">
        <v>410</v>
      </c>
      <c r="E119" s="147">
        <f>'[40]TGSPDCL MoD'!F99+'[40]TGSPDCL MoD'!F100</f>
        <v>17.5103372280807</v>
      </c>
      <c r="F119" s="147">
        <f>'[40]TGSPDCL MoD'!G99+'[40]TGSPDCL MoD'!G100</f>
        <v>15.0157460964238</v>
      </c>
      <c r="G119" s="147">
        <f>'[40]TGSPDCL MoD'!H99+'[40]TGSPDCL MoD'!H100</f>
        <v>35.7173981659134</v>
      </c>
      <c r="H119" s="147">
        <f>'[40]TGSPDCL MoD'!I99+'[40]TGSPDCL MoD'!I100</f>
        <v>51.9531645373411</v>
      </c>
      <c r="I119" s="147">
        <f>'[40]TGSPDCL MoD'!J99+'[40]TGSPDCL MoD'!J100</f>
        <v>28.3497929465179</v>
      </c>
      <c r="J119" s="147">
        <f>'[40]TGSPDCL MoD'!K99+'[40]TGSPDCL MoD'!K100</f>
        <v>20.847607749372</v>
      </c>
      <c r="K119" s="147">
        <f>'[40]TGSPDCL MoD'!L99+'[40]TGSPDCL MoD'!L100</f>
        <v>12.6425996209088</v>
      </c>
      <c r="L119" s="147">
        <f>'[40]TGSPDCL MoD'!M99+'[40]TGSPDCL MoD'!M100</f>
        <v>17.5552503262971</v>
      </c>
      <c r="M119" s="147">
        <f>'[40]TGSPDCL MoD'!N99+'[40]TGSPDCL MoD'!N100</f>
        <v>20.0738959317763</v>
      </c>
      <c r="N119" s="147">
        <f>'[40]TGSPDCL MoD'!O99+'[40]TGSPDCL MoD'!O100</f>
        <v>19.4142074562852</v>
      </c>
      <c r="O119" s="147">
        <f>'[40]TGSPDCL MoD'!P99+'[40]TGSPDCL MoD'!P100</f>
        <v>13.3112621557321</v>
      </c>
      <c r="P119" s="147">
        <f>'[40]TGSPDCL MoD'!Q99+'[40]TGSPDCL MoD'!Q100</f>
        <v>17.2878856582352</v>
      </c>
      <c r="Q119" s="690">
        <f t="shared" si="13"/>
        <v>269.679147872883</v>
      </c>
    </row>
    <row r="120" spans="3:17">
      <c r="C120" s="55"/>
      <c r="D120" s="757" t="s">
        <v>368</v>
      </c>
      <c r="E120" s="147">
        <f>'[40]TGSPDCL MoD'!$F$103</f>
        <v>0.00786650134380714</v>
      </c>
      <c r="F120" s="147">
        <f>'[40]TGSPDCL MoD'!$F$103</f>
        <v>0.00786650134380714</v>
      </c>
      <c r="G120" s="147">
        <f>'[40]TGSPDCL MoD'!$F$103</f>
        <v>0.00786650134380714</v>
      </c>
      <c r="H120" s="147">
        <f>'[40]TGSPDCL MoD'!$F$103</f>
        <v>0.00786650134380714</v>
      </c>
      <c r="I120" s="147">
        <f>'[40]TGSPDCL MoD'!$F$103</f>
        <v>0.00786650134380714</v>
      </c>
      <c r="J120" s="147">
        <f>'[40]TGSPDCL MoD'!$F$103</f>
        <v>0.00786650134380714</v>
      </c>
      <c r="K120" s="147">
        <f>'[40]TGSPDCL MoD'!$F$103</f>
        <v>0.00786650134380714</v>
      </c>
      <c r="L120" s="147">
        <f>'[40]TGSPDCL MoD'!$F$103</f>
        <v>0.00786650134380714</v>
      </c>
      <c r="M120" s="147">
        <f>'[40]TGSPDCL MoD'!$F$103</f>
        <v>0.00786650134380714</v>
      </c>
      <c r="N120" s="147">
        <f>'[40]TGSPDCL MoD'!$F$103</f>
        <v>0.00786650134380714</v>
      </c>
      <c r="O120" s="147">
        <f>'[40]TGSPDCL MoD'!$F$103</f>
        <v>0.00786650134380714</v>
      </c>
      <c r="P120" s="147">
        <f>'[40]TGSPDCL MoD'!$F$103</f>
        <v>0.00786650134380714</v>
      </c>
      <c r="Q120" s="690">
        <f t="shared" si="13"/>
        <v>0.0943980161256857</v>
      </c>
    </row>
    <row r="121" spans="3:17">
      <c r="C121" s="55"/>
      <c r="D121" s="757" t="s">
        <v>411</v>
      </c>
      <c r="E121" s="147">
        <f>'[40]TGSPDCL MoD'!F114</f>
        <v>499.092191944266</v>
      </c>
      <c r="F121" s="147">
        <f>'[40]TGSPDCL MoD'!G114</f>
        <v>514.643576856681</v>
      </c>
      <c r="G121" s="147">
        <f>'[40]TGSPDCL MoD'!H114</f>
        <v>481.835429816608</v>
      </c>
      <c r="H121" s="147">
        <f>'[40]TGSPDCL MoD'!I114</f>
        <v>377.379957848974</v>
      </c>
      <c r="I121" s="147">
        <f>'[40]TGSPDCL MoD'!J114</f>
        <v>464.150737540435</v>
      </c>
      <c r="J121" s="147">
        <f>'[40]TGSPDCL MoD'!K114</f>
        <v>409.133911943258</v>
      </c>
      <c r="K121" s="147">
        <f>'[40]TGSPDCL MoD'!L114</f>
        <v>501.5888253972</v>
      </c>
      <c r="L121" s="147">
        <f>'[40]TGSPDCL MoD'!M114</f>
        <v>386.760762562047</v>
      </c>
      <c r="M121" s="147">
        <f>'[40]TGSPDCL MoD'!N114</f>
        <v>423.974982280554</v>
      </c>
      <c r="N121" s="147">
        <f>'[40]TGSPDCL MoD'!O114</f>
        <v>452.019431361151</v>
      </c>
      <c r="O121" s="147">
        <f>'[40]TGSPDCL MoD'!P114</f>
        <v>480.539354172521</v>
      </c>
      <c r="P121" s="147">
        <f>'[40]TGSPDCL MoD'!Q114</f>
        <v>497.505320795475</v>
      </c>
      <c r="Q121" s="690">
        <f t="shared" si="13"/>
        <v>5488.62448251917</v>
      </c>
    </row>
    <row r="122" spans="3:17">
      <c r="C122" s="55"/>
      <c r="D122" s="757" t="s">
        <v>412</v>
      </c>
      <c r="E122" s="147">
        <f>'[40]TGSPDCL MoD'!F107</f>
        <v>8.22262870902295</v>
      </c>
      <c r="F122" s="147">
        <f>'[40]TGSPDCL MoD'!G107</f>
        <v>8.47884041922372</v>
      </c>
      <c r="G122" s="147">
        <f>'[40]TGSPDCL MoD'!H107</f>
        <v>7.93832061928327</v>
      </c>
      <c r="H122" s="147">
        <f>'[40]TGSPDCL MoD'!I107</f>
        <v>6.21739896096264</v>
      </c>
      <c r="I122" s="147">
        <f>'[40]TGSPDCL MoD'!J107</f>
        <v>7.64696230759778</v>
      </c>
      <c r="J122" s="147">
        <f>'[40]TGSPDCL MoD'!K107</f>
        <v>6.74055075290614</v>
      </c>
      <c r="K122" s="147">
        <f>'[40]TGSPDCL MoD'!L107</f>
        <v>8.26376116959306</v>
      </c>
      <c r="L122" s="147">
        <f>'[40]TGSPDCL MoD'!M107</f>
        <v>6.3719493133674</v>
      </c>
      <c r="M122" s="147">
        <f>'[40]TGSPDCL MoD'!N107</f>
        <v>6.98505990972683</v>
      </c>
      <c r="N122" s="147">
        <f>'[40]TGSPDCL MoD'!O107</f>
        <v>7.44709697594605</v>
      </c>
      <c r="O122" s="147">
        <f>'[40]TGSPDCL MoD'!P107</f>
        <v>7.9169675527113</v>
      </c>
      <c r="P122" s="147">
        <f>'[40]TGSPDCL MoD'!Q107</f>
        <v>8.19648473707512</v>
      </c>
      <c r="Q122" s="690">
        <f t="shared" si="13"/>
        <v>90.4260214274163</v>
      </c>
    </row>
    <row r="123" spans="3:17">
      <c r="C123" s="55"/>
      <c r="D123" s="757" t="s">
        <v>413</v>
      </c>
      <c r="E123" s="147">
        <f>'[40]TGSPDCL MoD'!F108</f>
        <v>71.7953533937586</v>
      </c>
      <c r="F123" s="147">
        <f>'[40]TGSPDCL MoD'!G108</f>
        <v>74.0324494525041</v>
      </c>
      <c r="G123" s="147">
        <f>'[40]TGSPDCL MoD'!H108</f>
        <v>69.3129356052518</v>
      </c>
      <c r="H123" s="147">
        <f>'[40]TGSPDCL MoD'!I108</f>
        <v>54.2868188980092</v>
      </c>
      <c r="I123" s="147">
        <f>'[40]TGSPDCL MoD'!J108</f>
        <v>66.7689592575524</v>
      </c>
      <c r="J123" s="147">
        <f>'[40]TGSPDCL MoD'!K108</f>
        <v>58.8546851011792</v>
      </c>
      <c r="K123" s="147">
        <f>'[40]TGSPDCL MoD'!L108</f>
        <v>72.1544988260879</v>
      </c>
      <c r="L123" s="147">
        <f>'[40]TGSPDCL MoD'!M108</f>
        <v>55.6362653537215</v>
      </c>
      <c r="M123" s="147">
        <f>'[40]TGSPDCL MoD'!N108</f>
        <v>60.9896010682213</v>
      </c>
      <c r="N123" s="147">
        <f>'[40]TGSPDCL MoD'!O108</f>
        <v>65.0238479768557</v>
      </c>
      <c r="O123" s="147">
        <f>'[40]TGSPDCL MoD'!P108</f>
        <v>69.1264926786859</v>
      </c>
      <c r="P123" s="147">
        <f>'[40]TGSPDCL MoD'!Q108</f>
        <v>71.5670789852289</v>
      </c>
      <c r="Q123" s="690">
        <f t="shared" si="13"/>
        <v>789.548986597057</v>
      </c>
    </row>
    <row r="124" spans="3:17">
      <c r="C124" s="55"/>
      <c r="D124" s="757" t="s">
        <v>414</v>
      </c>
      <c r="E124" s="147">
        <f>'[40]TGSPDCL MoD'!F109</f>
        <v>71.7953533937586</v>
      </c>
      <c r="F124" s="147">
        <f>'[40]TGSPDCL MoD'!G109</f>
        <v>74.0324494525041</v>
      </c>
      <c r="G124" s="147">
        <f>'[40]TGSPDCL MoD'!H109</f>
        <v>69.3129356052518</v>
      </c>
      <c r="H124" s="147">
        <f>'[40]TGSPDCL MoD'!I109</f>
        <v>54.2868188980092</v>
      </c>
      <c r="I124" s="147">
        <f>'[40]TGSPDCL MoD'!J109</f>
        <v>66.7689592575524</v>
      </c>
      <c r="J124" s="147">
        <f>'[40]TGSPDCL MoD'!K109</f>
        <v>58.8546851011792</v>
      </c>
      <c r="K124" s="147">
        <f>'[40]TGSPDCL MoD'!L109</f>
        <v>72.1544988260879</v>
      </c>
      <c r="L124" s="147">
        <f>'[40]TGSPDCL MoD'!M109</f>
        <v>55.6362653537215</v>
      </c>
      <c r="M124" s="147">
        <f>'[40]TGSPDCL MoD'!N109</f>
        <v>60.9896010682213</v>
      </c>
      <c r="N124" s="147">
        <f>'[40]TGSPDCL MoD'!O109</f>
        <v>65.0238479768557</v>
      </c>
      <c r="O124" s="147">
        <f>'[40]TGSPDCL MoD'!P109</f>
        <v>69.1264926786859</v>
      </c>
      <c r="P124" s="147">
        <f>'[40]TGSPDCL MoD'!Q109</f>
        <v>71.5670789852289</v>
      </c>
      <c r="Q124" s="690">
        <f t="shared" si="13"/>
        <v>789.548986597057</v>
      </c>
    </row>
    <row r="125" spans="3:17">
      <c r="C125" s="55"/>
      <c r="D125" s="757" t="s">
        <v>415</v>
      </c>
      <c r="E125" s="147">
        <f>'[40]TGSPDCL MoD'!F110</f>
        <v>277.309552483393</v>
      </c>
      <c r="F125" s="147">
        <f>'[40]TGSPDCL MoD'!G110</f>
        <v>285.950336010297</v>
      </c>
      <c r="G125" s="147">
        <f>'[40]TGSPDCL MoD'!H110</f>
        <v>267.721213775285</v>
      </c>
      <c r="H125" s="147">
        <f>'[40]TGSPDCL MoD'!I110</f>
        <v>209.68283799356</v>
      </c>
      <c r="I125" s="147">
        <f>'[40]TGSPDCL MoD'!J110</f>
        <v>257.895105132296</v>
      </c>
      <c r="J125" s="147">
        <f>'[40]TGSPDCL MoD'!K110</f>
        <v>227.326221203305</v>
      </c>
      <c r="K125" s="147">
        <f>'[40]TGSPDCL MoD'!L110</f>
        <v>278.696751715765</v>
      </c>
      <c r="L125" s="147">
        <f>'[40]TGSPDCL MoD'!M110</f>
        <v>214.895074928749</v>
      </c>
      <c r="M125" s="147">
        <f>'[40]TGSPDCL MoD'!N110</f>
        <v>235.572334126005</v>
      </c>
      <c r="N125" s="147">
        <f>'[40]TGSPDCL MoD'!O110</f>
        <v>251.154612810605</v>
      </c>
      <c r="O125" s="147">
        <f>'[40]TGSPDCL MoD'!P110</f>
        <v>267.001077971424</v>
      </c>
      <c r="P125" s="147">
        <f>'[40]TGSPDCL MoD'!Q110</f>
        <v>276.427842580447</v>
      </c>
      <c r="Q125" s="690">
        <f t="shared" si="13"/>
        <v>3049.63296073113</v>
      </c>
    </row>
    <row r="126" spans="3:17">
      <c r="C126" s="55"/>
      <c r="D126" s="757" t="s">
        <v>416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690">
        <f t="shared" si="13"/>
        <v>0</v>
      </c>
    </row>
    <row r="127" spans="3:17">
      <c r="C127" s="55"/>
      <c r="D127" s="757" t="s">
        <v>417</v>
      </c>
      <c r="E127" s="147">
        <f>'[40]TGSPDCL MoD'!F112</f>
        <v>303.694344855599</v>
      </c>
      <c r="F127" s="147">
        <f>'[40]TGSPDCL MoD'!G112</f>
        <v>313.157261184092</v>
      </c>
      <c r="G127" s="147">
        <f>'[40]TGSPDCL MoD'!H112</f>
        <v>293.193717610215</v>
      </c>
      <c r="H127" s="147">
        <f>'[40]TGSPDCL MoD'!I112</f>
        <v>229.633243938579</v>
      </c>
      <c r="I127" s="147">
        <f>'[40]TGSPDCL MoD'!J112</f>
        <v>282.432697659447</v>
      </c>
      <c r="J127" s="147">
        <f>'[40]TGSPDCL MoD'!K112</f>
        <v>248.955317977988</v>
      </c>
      <c r="K127" s="147">
        <f>'[40]TGSPDCL MoD'!L112</f>
        <v>305.213530034352</v>
      </c>
      <c r="L127" s="147">
        <f>'[40]TGSPDCL MoD'!M112</f>
        <v>235.341402446242</v>
      </c>
      <c r="M127" s="147">
        <f>'[40]TGSPDCL MoD'!N112</f>
        <v>257.986012518576</v>
      </c>
      <c r="N127" s="147">
        <f>'[40]TGSPDCL MoD'!O112</f>
        <v>275.0508769421</v>
      </c>
      <c r="O127" s="147">
        <f>'[40]TGSPDCL MoD'!P112</f>
        <v>292.405064030841</v>
      </c>
      <c r="P127" s="147">
        <f>'[40]TGSPDCL MoD'!Q112</f>
        <v>302.728744107518</v>
      </c>
      <c r="Q127" s="690">
        <f t="shared" si="13"/>
        <v>3339.79221330555</v>
      </c>
    </row>
    <row r="128" spans="3:17">
      <c r="C128" s="55"/>
      <c r="D128" s="757" t="s">
        <v>418</v>
      </c>
      <c r="E128" s="147">
        <f>'[40]TGSPDCL MoD'!F113</f>
        <v>179.488383484396</v>
      </c>
      <c r="F128" s="147">
        <f>'[40]TGSPDCL MoD'!G113</f>
        <v>185.08112363126</v>
      </c>
      <c r="G128" s="147">
        <f>'[40]TGSPDCL MoD'!H113</f>
        <v>173.28233901313</v>
      </c>
      <c r="H128" s="147">
        <f>'[40]TGSPDCL MoD'!I113</f>
        <v>135.717047245023</v>
      </c>
      <c r="I128" s="147">
        <f>'[40]TGSPDCL MoD'!J113</f>
        <v>166.922398143881</v>
      </c>
      <c r="J128" s="147">
        <f>'[40]TGSPDCL MoD'!K113</f>
        <v>147.136712752948</v>
      </c>
      <c r="K128" s="147">
        <f>'[40]TGSPDCL MoD'!L113</f>
        <v>180.38624706522</v>
      </c>
      <c r="L128" s="147">
        <f>'[40]TGSPDCL MoD'!M113</f>
        <v>139.090663384304</v>
      </c>
      <c r="M128" s="147">
        <f>'[40]TGSPDCL MoD'!N113</f>
        <v>152.474002670553</v>
      </c>
      <c r="N128" s="147">
        <f>'[40]TGSPDCL MoD'!O113</f>
        <v>162.559619942139</v>
      </c>
      <c r="O128" s="147">
        <f>'[40]TGSPDCL MoD'!P113</f>
        <v>172.816231696715</v>
      </c>
      <c r="P128" s="147">
        <f>'[40]TGSPDCL MoD'!Q113</f>
        <v>178.917697463072</v>
      </c>
      <c r="Q128" s="690">
        <f t="shared" si="13"/>
        <v>1973.87246649264</v>
      </c>
    </row>
    <row r="129" spans="3:17">
      <c r="C129" s="55"/>
      <c r="D129" s="55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690"/>
    </row>
    <row r="130" spans="3:17">
      <c r="C130" s="55"/>
      <c r="D130" s="55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690"/>
    </row>
    <row r="131" spans="3:17">
      <c r="C131" s="55"/>
      <c r="D131" s="55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690"/>
    </row>
    <row r="132" spans="3:17">
      <c r="C132" s="55"/>
      <c r="D132" s="55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690"/>
    </row>
    <row r="133" spans="3:17">
      <c r="C133" s="55"/>
      <c r="D133" s="55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690"/>
    </row>
    <row r="134" spans="3:17">
      <c r="C134" s="55"/>
      <c r="D134" s="5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690"/>
    </row>
    <row r="135" spans="3:17">
      <c r="C135" s="55"/>
      <c r="D135" s="55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690"/>
    </row>
    <row r="136" spans="3:17">
      <c r="C136" s="55"/>
      <c r="D136" s="55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690"/>
    </row>
    <row r="137" spans="3:17">
      <c r="C137" s="55"/>
      <c r="D137" s="55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690"/>
    </row>
    <row r="138" spans="3:17">
      <c r="C138" s="55"/>
      <c r="D138" s="55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690"/>
    </row>
    <row r="139" ht="15" spans="3:18">
      <c r="C139" s="44" t="s">
        <v>421</v>
      </c>
      <c r="D139" s="45"/>
      <c r="E139" s="690">
        <f t="shared" ref="E139:P139" si="14">SUM(E115:E138)</f>
        <v>1440.58021003315</v>
      </c>
      <c r="F139" s="690">
        <f t="shared" si="14"/>
        <v>1478.61087229664</v>
      </c>
      <c r="G139" s="690">
        <f t="shared" si="14"/>
        <v>1405.15481293016</v>
      </c>
      <c r="H139" s="690">
        <f t="shared" si="14"/>
        <v>1128.79961660028</v>
      </c>
      <c r="I139" s="690">
        <f t="shared" si="14"/>
        <v>1350.5779405251</v>
      </c>
      <c r="J139" s="690">
        <f t="shared" si="14"/>
        <v>1184.73486593935</v>
      </c>
      <c r="K139" s="690">
        <f t="shared" si="14"/>
        <v>1440.74304093503</v>
      </c>
      <c r="L139" s="690">
        <f t="shared" si="14"/>
        <v>1120.35015920419</v>
      </c>
      <c r="M139" s="690">
        <f t="shared" si="14"/>
        <v>1233.81026268342</v>
      </c>
      <c r="N139" s="690">
        <f t="shared" si="14"/>
        <v>1312.70435450923</v>
      </c>
      <c r="O139" s="690">
        <f t="shared" si="14"/>
        <v>1388.63749834098</v>
      </c>
      <c r="P139" s="690">
        <f t="shared" si="14"/>
        <v>1440.0955354831</v>
      </c>
      <c r="Q139" s="693">
        <f>SUM(E139:P139)</f>
        <v>15924.7991694806</v>
      </c>
      <c r="R139" s="686"/>
    </row>
    <row r="140" ht="15" spans="3:17">
      <c r="C140" s="663" t="s">
        <v>422</v>
      </c>
      <c r="D140" s="676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</row>
    <row r="141" spans="3:18">
      <c r="C141" s="55"/>
      <c r="D141" s="757" t="s">
        <v>423</v>
      </c>
      <c r="E141" s="147">
        <f>'[40]ST,D-D'!D16</f>
        <v>89.0429917508127</v>
      </c>
      <c r="F141" s="147">
        <f>'[40]ST,D-D'!E16</f>
        <v>939.624058669067</v>
      </c>
      <c r="G141" s="147">
        <f>'[40]ST,D-D'!F16</f>
        <v>466.368976999001</v>
      </c>
      <c r="H141" s="147">
        <f>'[40]ST,D-D'!G16</f>
        <v>41.1884644010834</v>
      </c>
      <c r="I141" s="147">
        <f>'[40]ST,D-D'!H16</f>
        <v>0</v>
      </c>
      <c r="J141" s="147">
        <f>'[40]ST,D-D'!I16</f>
        <v>6.19913149912418</v>
      </c>
      <c r="K141" s="147">
        <f>'[40]ST,D-D'!J16</f>
        <v>0</v>
      </c>
      <c r="L141" s="147">
        <f>'[40]ST,D-D'!K16</f>
        <v>58.9505083267943</v>
      </c>
      <c r="M141" s="147">
        <f>'[40]ST,D-D'!L16</f>
        <v>46.2131650965853</v>
      </c>
      <c r="N141" s="147">
        <f>'[40]ST,D-D'!M16</f>
        <v>36.470702368003</v>
      </c>
      <c r="O141" s="147">
        <f>'[40]ST,D-D'!N16</f>
        <v>249.241102821647</v>
      </c>
      <c r="P141" s="147">
        <f>'[40]ST,D-D'!O16</f>
        <v>871.013271010437</v>
      </c>
      <c r="Q141" s="55">
        <f>SUM(E141:P141)</f>
        <v>2804.31237294256</v>
      </c>
      <c r="R141" s="686"/>
    </row>
    <row r="142" spans="3:17">
      <c r="C142" s="55"/>
      <c r="D142" s="55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55"/>
    </row>
    <row r="143" spans="3:17">
      <c r="C143" s="55"/>
      <c r="D143" s="55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55"/>
    </row>
    <row r="144" spans="3:17">
      <c r="C144" s="55"/>
      <c r="D144" s="55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55"/>
    </row>
    <row r="145" spans="3:17">
      <c r="C145" s="55"/>
      <c r="D145" s="55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55"/>
    </row>
    <row r="146" spans="3:17">
      <c r="C146" s="55"/>
      <c r="D146" s="55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55"/>
    </row>
    <row r="147" spans="3:17">
      <c r="C147" s="55"/>
      <c r="D147" s="55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55"/>
    </row>
    <row r="148" spans="3:17">
      <c r="C148" s="55"/>
      <c r="D148" s="55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55"/>
    </row>
    <row r="149" spans="3:17">
      <c r="C149" s="55"/>
      <c r="D149" s="55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55"/>
    </row>
    <row r="150" spans="3:17">
      <c r="C150" s="55"/>
      <c r="D150" s="55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55"/>
    </row>
    <row r="151" spans="3:17">
      <c r="C151" s="55"/>
      <c r="D151" s="55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55"/>
    </row>
    <row r="152" ht="15" spans="3:18">
      <c r="C152" s="44" t="s">
        <v>424</v>
      </c>
      <c r="D152" s="45"/>
      <c r="E152" s="55">
        <f t="shared" ref="E152:P152" si="15">SUM(E141:E151)</f>
        <v>89.0429917508127</v>
      </c>
      <c r="F152" s="55">
        <f t="shared" si="15"/>
        <v>939.624058669067</v>
      </c>
      <c r="G152" s="55">
        <f t="shared" si="15"/>
        <v>466.368976999001</v>
      </c>
      <c r="H152" s="55">
        <f t="shared" si="15"/>
        <v>41.1884644010834</v>
      </c>
      <c r="I152" s="55">
        <f t="shared" si="15"/>
        <v>0</v>
      </c>
      <c r="J152" s="55">
        <f t="shared" si="15"/>
        <v>6.19913149912418</v>
      </c>
      <c r="K152" s="55">
        <f t="shared" si="15"/>
        <v>0</v>
      </c>
      <c r="L152" s="55">
        <f t="shared" si="15"/>
        <v>58.9505083267943</v>
      </c>
      <c r="M152" s="55">
        <f t="shared" si="15"/>
        <v>46.2131650965853</v>
      </c>
      <c r="N152" s="55">
        <f t="shared" si="15"/>
        <v>36.470702368003</v>
      </c>
      <c r="O152" s="55">
        <f t="shared" si="15"/>
        <v>249.241102821647</v>
      </c>
      <c r="P152" s="55">
        <f t="shared" si="15"/>
        <v>871.013271010437</v>
      </c>
      <c r="Q152" s="316">
        <f>SUM(E152:P152)</f>
        <v>2804.31237294256</v>
      </c>
      <c r="R152" s="686"/>
    </row>
    <row r="153" ht="15" spans="3:17">
      <c r="C153" s="663" t="s">
        <v>425</v>
      </c>
      <c r="D153" s="676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</row>
    <row r="154" spans="3:18">
      <c r="C154" s="55" t="s">
        <v>426</v>
      </c>
      <c r="D154" s="757" t="s">
        <v>427</v>
      </c>
      <c r="E154" s="147">
        <f>'[40]ST,D-D'!D20</f>
        <v>283.168471386211</v>
      </c>
      <c r="F154" s="147">
        <f>'[40]ST,D-D'!E20</f>
        <v>624.454155887153</v>
      </c>
      <c r="G154" s="147">
        <f>'[40]ST,D-D'!F20</f>
        <v>642.553189084422</v>
      </c>
      <c r="H154" s="147">
        <f>'[40]ST,D-D'!G20</f>
        <v>457.309611254451</v>
      </c>
      <c r="I154" s="147">
        <f>'[40]ST,D-D'!H20</f>
        <v>515.128510495546</v>
      </c>
      <c r="J154" s="147">
        <f>'[40]ST,D-D'!I20</f>
        <v>551.330472793987</v>
      </c>
      <c r="K154" s="147">
        <f>'[40]ST,D-D'!J20</f>
        <v>416.152453486428</v>
      </c>
      <c r="L154" s="147">
        <f>'[40]ST,D-D'!K20</f>
        <v>565.60893668346</v>
      </c>
      <c r="M154" s="147">
        <f>'[40]ST,D-D'!L20</f>
        <v>334.460462093045</v>
      </c>
      <c r="N154" s="147">
        <f>'[40]ST,D-D'!M20</f>
        <v>310.625536203007</v>
      </c>
      <c r="O154" s="147">
        <f>'[40]ST,D-D'!N20</f>
        <v>46.6529973965926</v>
      </c>
      <c r="P154" s="147">
        <f>'[40]ST,D-D'!O20</f>
        <v>7.6264039000207</v>
      </c>
      <c r="Q154" s="55">
        <f>SUM(E154:P154)</f>
        <v>4755.07120066432</v>
      </c>
      <c r="R154" s="686"/>
    </row>
    <row r="155" spans="3:17">
      <c r="C155" s="55" t="s">
        <v>426</v>
      </c>
      <c r="D155" s="757" t="s">
        <v>428</v>
      </c>
      <c r="E155" s="147" t="e">
        <f>'[43]F9-Year(n+1)'!I155</f>
        <v>#REF!</v>
      </c>
      <c r="F155" s="147" t="e">
        <f>'[43]F9-Year(n+1)'!J155</f>
        <v>#REF!</v>
      </c>
      <c r="G155" s="147" t="e">
        <f>'[43]F9-Year(n+1)'!K155</f>
        <v>#REF!</v>
      </c>
      <c r="H155" s="147" t="e">
        <f>'[43]F9-Year(n+1)'!L155</f>
        <v>#REF!</v>
      </c>
      <c r="I155" s="147" t="e">
        <f>'[43]F9-Year(n+1)'!M155</f>
        <v>#REF!</v>
      </c>
      <c r="J155" s="147" t="e">
        <f>'[43]F9-Year(n+1)'!N155</f>
        <v>#REF!</v>
      </c>
      <c r="K155" s="147" t="e">
        <f>'[43]F9-Year(n+1)'!O155</f>
        <v>#REF!</v>
      </c>
      <c r="L155" s="147" t="e">
        <f>'[43]F9-Year(n+1)'!P155</f>
        <v>#REF!</v>
      </c>
      <c r="M155" s="147" t="e">
        <f>'[43]F9-Year(n+1)'!Q155</f>
        <v>#REF!</v>
      </c>
      <c r="N155" s="147" t="e">
        <f>'[43]F9-Year(n+1)'!R155</f>
        <v>#REF!</v>
      </c>
      <c r="O155" s="147">
        <f>-'[40]ST,D-D'!N18</f>
        <v>0</v>
      </c>
      <c r="P155" s="147" t="e">
        <f>'[43]F9-Year(n+1)'!T155</f>
        <v>#REF!</v>
      </c>
      <c r="Q155" s="55" t="e">
        <f>SUM(E155:P155)</f>
        <v>#REF!</v>
      </c>
    </row>
    <row r="156" spans="3:17">
      <c r="C156" s="55"/>
      <c r="D156" s="758" t="s">
        <v>477</v>
      </c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>
        <f>SUM(E156:P156)</f>
        <v>0</v>
      </c>
    </row>
    <row r="157" ht="15" spans="3:18">
      <c r="C157" s="44" t="s">
        <v>429</v>
      </c>
      <c r="D157" s="45"/>
      <c r="E157" s="740" t="e">
        <f t="shared" ref="E157:P157" si="16">SUM(E154:E155)</f>
        <v>#REF!</v>
      </c>
      <c r="F157" s="740" t="e">
        <f t="shared" si="16"/>
        <v>#REF!</v>
      </c>
      <c r="G157" s="740" t="e">
        <f t="shared" si="16"/>
        <v>#REF!</v>
      </c>
      <c r="H157" s="740" t="e">
        <f t="shared" si="16"/>
        <v>#REF!</v>
      </c>
      <c r="I157" s="740" t="e">
        <f t="shared" si="16"/>
        <v>#REF!</v>
      </c>
      <c r="J157" s="740" t="e">
        <f t="shared" si="16"/>
        <v>#REF!</v>
      </c>
      <c r="K157" s="740" t="e">
        <f t="shared" si="16"/>
        <v>#REF!</v>
      </c>
      <c r="L157" s="740" t="e">
        <f t="shared" si="16"/>
        <v>#REF!</v>
      </c>
      <c r="M157" s="740" t="e">
        <f t="shared" si="16"/>
        <v>#REF!</v>
      </c>
      <c r="N157" s="740" t="e">
        <f t="shared" si="16"/>
        <v>#REF!</v>
      </c>
      <c r="O157" s="740">
        <f t="shared" si="16"/>
        <v>46.6529973965926</v>
      </c>
      <c r="P157" s="740" t="e">
        <f t="shared" si="16"/>
        <v>#REF!</v>
      </c>
      <c r="Q157" s="743" t="e">
        <f>Q154-Q155</f>
        <v>#REF!</v>
      </c>
      <c r="R157" s="686"/>
    </row>
    <row r="158" ht="15" spans="3:18">
      <c r="C158" s="44" t="s">
        <v>224</v>
      </c>
      <c r="D158" s="45"/>
      <c r="E158" s="740" t="e">
        <f t="shared" ref="E158:Q158" si="17">E49+E94+E103+E113+E139+E152+E157</f>
        <v>#REF!</v>
      </c>
      <c r="F158" s="740" t="e">
        <f t="shared" si="17"/>
        <v>#REF!</v>
      </c>
      <c r="G158" s="740" t="e">
        <f t="shared" si="17"/>
        <v>#REF!</v>
      </c>
      <c r="H158" s="740" t="e">
        <f t="shared" si="17"/>
        <v>#REF!</v>
      </c>
      <c r="I158" s="740" t="e">
        <f t="shared" si="17"/>
        <v>#REF!</v>
      </c>
      <c r="J158" s="740" t="e">
        <f t="shared" si="17"/>
        <v>#REF!</v>
      </c>
      <c r="K158" s="740" t="e">
        <f t="shared" si="17"/>
        <v>#REF!</v>
      </c>
      <c r="L158" s="740" t="e">
        <f t="shared" si="17"/>
        <v>#REF!</v>
      </c>
      <c r="M158" s="740" t="e">
        <f t="shared" si="17"/>
        <v>#REF!</v>
      </c>
      <c r="N158" s="740" t="e">
        <f t="shared" si="17"/>
        <v>#REF!</v>
      </c>
      <c r="O158" s="740" t="e">
        <f t="shared" si="17"/>
        <v>#REF!</v>
      </c>
      <c r="P158" s="740" t="e">
        <f t="shared" si="17"/>
        <v>#REF!</v>
      </c>
      <c r="Q158" s="743" t="e">
        <f t="shared" si="17"/>
        <v>#REF!</v>
      </c>
      <c r="R158" s="686"/>
    </row>
    <row r="160" ht="15" spans="4:5">
      <c r="D160" s="11"/>
      <c r="E160" s="11"/>
    </row>
    <row r="161" spans="4:5">
      <c r="D161" s="13"/>
      <c r="E161" s="13"/>
    </row>
    <row r="162" spans="5:5">
      <c r="E162" s="13"/>
    </row>
    <row r="163" spans="5:5">
      <c r="E163" s="13"/>
    </row>
  </sheetData>
  <mergeCells count="32">
    <mergeCell ref="C2:P2"/>
    <mergeCell ref="C3:Q3"/>
    <mergeCell ref="E5:Q5"/>
    <mergeCell ref="C8:D8"/>
    <mergeCell ref="C9:D9"/>
    <mergeCell ref="C28:D28"/>
    <mergeCell ref="C29:D29"/>
    <mergeCell ref="C48:D48"/>
    <mergeCell ref="C49:D49"/>
    <mergeCell ref="C50:D50"/>
    <mergeCell ref="C51:D51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7:D157"/>
    <mergeCell ref="C158:D158"/>
    <mergeCell ref="C5:C7"/>
    <mergeCell ref="C10:C27"/>
    <mergeCell ref="C30:C47"/>
    <mergeCell ref="C52:C60"/>
    <mergeCell ref="C79:C82"/>
    <mergeCell ref="D5:D7"/>
  </mergeCells>
  <pageMargins left="0.7" right="0.7" top="0.75" bottom="0.75" header="0.3" footer="0.3"/>
  <pageSetup paperSize="1" orientation="portrait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B2:R163"/>
  <sheetViews>
    <sheetView showGridLines="0" zoomScale="83" zoomScaleNormal="83" topLeftCell="C105" workbookViewId="0">
      <selection activeCell="E65" sqref="E65:Q66"/>
    </sheetView>
  </sheetViews>
  <sheetFormatPr defaultColWidth="9.14285714285714" defaultRowHeight="14.25"/>
  <cols>
    <col min="1" max="1" width="3.14285714285714" style="12" customWidth="1"/>
    <col min="2" max="2" width="8.14285714285714" style="12" customWidth="1"/>
    <col min="3" max="3" width="22.1428571428571" style="12" customWidth="1"/>
    <col min="4" max="4" width="42.8571428571429" style="12" customWidth="1"/>
    <col min="5" max="5" width="14.1428571428571" style="12" customWidth="1"/>
    <col min="6" max="6" width="13.4285714285714" style="12" customWidth="1"/>
    <col min="7" max="7" width="13.5714285714286" style="12" customWidth="1"/>
    <col min="8" max="8" width="14.1428571428571" style="12" customWidth="1"/>
    <col min="9" max="9" width="13.4285714285714" style="12" customWidth="1"/>
    <col min="10" max="10" width="14.8571428571429" style="12" customWidth="1"/>
    <col min="11" max="11" width="12.5714285714286" style="12" customWidth="1"/>
    <col min="12" max="12" width="13.4285714285714" style="12" customWidth="1"/>
    <col min="13" max="13" width="14.1428571428571" style="12" customWidth="1"/>
    <col min="14" max="16" width="13.4285714285714" style="12" customWidth="1"/>
    <col min="17" max="17" width="14.5714285714286" style="12" customWidth="1"/>
    <col min="18" max="18" width="12.4285714285714" style="12" customWidth="1"/>
    <col min="19" max="19" width="12.8571428571429" style="12" customWidth="1"/>
    <col min="20" max="16384" width="9.14285714285714" style="12"/>
  </cols>
  <sheetData>
    <row r="2" ht="15" spans="3:16">
      <c r="C2" s="2" t="s">
        <v>0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customHeight="1" spans="3:17">
      <c r="C3" s="3" t="s">
        <v>487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ht="15" spans="3:17">
      <c r="C4" s="14"/>
      <c r="Q4" s="3" t="s">
        <v>236</v>
      </c>
    </row>
    <row r="5" ht="15" customHeight="1" spans="3:17">
      <c r="C5" s="658" t="s">
        <v>345</v>
      </c>
      <c r="D5" s="658" t="s">
        <v>346</v>
      </c>
      <c r="E5" s="135" t="s">
        <v>463</v>
      </c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</row>
    <row r="6" ht="15" spans="3:17">
      <c r="C6" s="660"/>
      <c r="D6" s="660"/>
      <c r="E6" s="135" t="s">
        <v>246</v>
      </c>
      <c r="F6" s="135" t="s">
        <v>247</v>
      </c>
      <c r="G6" s="135" t="s">
        <v>248</v>
      </c>
      <c r="H6" s="135" t="s">
        <v>249</v>
      </c>
      <c r="I6" s="135" t="s">
        <v>250</v>
      </c>
      <c r="J6" s="135" t="s">
        <v>251</v>
      </c>
      <c r="K6" s="135" t="s">
        <v>252</v>
      </c>
      <c r="L6" s="135" t="s">
        <v>253</v>
      </c>
      <c r="M6" s="135" t="s">
        <v>254</v>
      </c>
      <c r="N6" s="135" t="s">
        <v>255</v>
      </c>
      <c r="O6" s="135" t="s">
        <v>256</v>
      </c>
      <c r="P6" s="135" t="s">
        <v>257</v>
      </c>
      <c r="Q6" s="135" t="s">
        <v>97</v>
      </c>
    </row>
    <row r="7" customHeight="1" spans="3:17">
      <c r="C7" s="662"/>
      <c r="D7" s="662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</row>
    <row r="8" ht="15" spans="2:17">
      <c r="B8" s="656"/>
      <c r="C8" s="663" t="s">
        <v>349</v>
      </c>
      <c r="D8" s="676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ht="15" spans="3:17">
      <c r="C9" s="44" t="s">
        <v>350</v>
      </c>
      <c r="D9" s="4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customHeight="1" spans="2:17">
      <c r="B10" s="656"/>
      <c r="C10" s="754" t="s">
        <v>351</v>
      </c>
      <c r="D10" s="47" t="s">
        <v>352</v>
      </c>
      <c r="E10" s="147">
        <f>'[41]TGSPDCL MoD'!F4+'[41]TGSPDCL MoD'!F5</f>
        <v>164.181433676943</v>
      </c>
      <c r="F10" s="147">
        <f>'[41]TGSPDCL MoD'!G4+'[41]TGSPDCL MoD'!G5</f>
        <v>196.519297423913</v>
      </c>
      <c r="G10" s="147">
        <f>'[41]TGSPDCL MoD'!H4+'[41]TGSPDCL MoD'!H5</f>
        <v>190.022753548677</v>
      </c>
      <c r="H10" s="147">
        <f>'[41]TGSPDCL MoD'!I4+'[41]TGSPDCL MoD'!I5</f>
        <v>0</v>
      </c>
      <c r="I10" s="147">
        <f>'[41]TGSPDCL MoD'!J4+'[41]TGSPDCL MoD'!J5</f>
        <v>65.417489322409</v>
      </c>
      <c r="J10" s="147">
        <f>'[41]TGSPDCL MoD'!K4+'[41]TGSPDCL MoD'!K5</f>
        <v>141.851051016147</v>
      </c>
      <c r="K10" s="147">
        <f>'[41]TGSPDCL MoD'!L4+'[41]TGSPDCL MoD'!L5</f>
        <v>126.521737590593</v>
      </c>
      <c r="L10" s="147">
        <f>'[41]TGSPDCL MoD'!M4+'[41]TGSPDCL MoD'!M5</f>
        <v>193.40016339911</v>
      </c>
      <c r="M10" s="147">
        <f>'[41]TGSPDCL MoD'!N4+'[41]TGSPDCL MoD'!N5</f>
        <v>162.6140437309</v>
      </c>
      <c r="N10" s="147">
        <f>'[41]TGSPDCL MoD'!O4+'[41]TGSPDCL MoD'!O5</f>
        <v>163.920199376548</v>
      </c>
      <c r="O10" s="147">
        <f>'[41]TGSPDCL MoD'!P4+'[41]TGSPDCL MoD'!P5</f>
        <v>157.31724611612</v>
      </c>
      <c r="P10" s="147">
        <f>'[41]TGSPDCL MoD'!Q4+'[41]TGSPDCL MoD'!Q5</f>
        <v>191.220353403965</v>
      </c>
      <c r="Q10" s="690">
        <f>SUM(E10:P10)</f>
        <v>1752.98576860532</v>
      </c>
    </row>
    <row r="11" spans="2:17">
      <c r="B11" s="656"/>
      <c r="C11" s="755"/>
      <c r="D11" s="47" t="s">
        <v>353</v>
      </c>
      <c r="E11" s="147">
        <f>'[41]TGSPDCL MoD'!F6</f>
        <v>171.148729838093</v>
      </c>
      <c r="F11" s="147">
        <f>'[41]TGSPDCL MoD'!G6</f>
        <v>0</v>
      </c>
      <c r="G11" s="147">
        <f>'[41]TGSPDCL MoD'!H6</f>
        <v>98.7871338225672</v>
      </c>
      <c r="H11" s="147">
        <f>'[41]TGSPDCL MoD'!I6</f>
        <v>169.152682154821</v>
      </c>
      <c r="I11" s="147">
        <f>'[41]TGSPDCL MoD'!J6</f>
        <v>140.359713900016</v>
      </c>
      <c r="J11" s="147">
        <f>'[41]TGSPDCL MoD'!K6</f>
        <v>147.485016692847</v>
      </c>
      <c r="K11" s="147">
        <f>'[41]TGSPDCL MoD'!L6</f>
        <v>147.271387447888</v>
      </c>
      <c r="L11" s="147">
        <f>'[41]TGSPDCL MoD'!M6</f>
        <v>193.40016339911</v>
      </c>
      <c r="M11" s="147">
        <f>'[41]TGSPDCL MoD'!N6</f>
        <v>173.967389187066</v>
      </c>
      <c r="N11" s="147">
        <f>'[41]TGSPDCL MoD'!O6</f>
        <v>170.494402168988</v>
      </c>
      <c r="O11" s="147">
        <f>'[41]TGSPDCL MoD'!P6</f>
        <v>163.718505713791</v>
      </c>
      <c r="P11" s="147">
        <f>'[41]TGSPDCL MoD'!Q6</f>
        <v>195.533594458189</v>
      </c>
      <c r="Q11" s="690">
        <f t="shared" ref="Q11:Q17" si="0">SUM(E11:P11)</f>
        <v>1771.31871878338</v>
      </c>
    </row>
    <row r="12" spans="2:17">
      <c r="B12" s="656"/>
      <c r="C12" s="755"/>
      <c r="D12" s="47" t="s">
        <v>354</v>
      </c>
      <c r="E12" s="147">
        <f>'[41]TGSPDCL MoD'!F7</f>
        <v>301.270979026202</v>
      </c>
      <c r="F12" s="147">
        <f>'[41]TGSPDCL MoD'!G7</f>
        <v>0</v>
      </c>
      <c r="G12" s="147">
        <f>'[41]TGSPDCL MoD'!H7</f>
        <v>158.059414116108</v>
      </c>
      <c r="H12" s="147">
        <f>'[41]TGSPDCL MoD'!I7</f>
        <v>296.956714617019</v>
      </c>
      <c r="I12" s="147">
        <f>'[41]TGSPDCL MoD'!J7</f>
        <v>240.517405216274</v>
      </c>
      <c r="J12" s="147">
        <f>'[41]TGSPDCL MoD'!K7</f>
        <v>240.07068355052</v>
      </c>
      <c r="K12" s="147">
        <f>'[41]TGSPDCL MoD'!L7</f>
        <v>243.841894265507</v>
      </c>
      <c r="L12" s="147">
        <f>'[41]TGSPDCL MoD'!M7</f>
        <v>312.391855395986</v>
      </c>
      <c r="M12" s="147">
        <f>'[41]TGSPDCL MoD'!N7</f>
        <v>278.708713130897</v>
      </c>
      <c r="N12" s="147">
        <f>'[41]TGSPDCL MoD'!O7</f>
        <v>278.347822699305</v>
      </c>
      <c r="O12" s="147">
        <f>'[41]TGSPDCL MoD'!P7</f>
        <v>268.150477200517</v>
      </c>
      <c r="P12" s="147">
        <f>'[41]TGSPDCL MoD'!Q7</f>
        <v>322.050302109213</v>
      </c>
      <c r="Q12" s="690">
        <f t="shared" si="0"/>
        <v>2940.36626132755</v>
      </c>
    </row>
    <row r="13" spans="2:17">
      <c r="B13" s="656"/>
      <c r="C13" s="755"/>
      <c r="D13" s="47" t="s">
        <v>355</v>
      </c>
      <c r="E13" s="147">
        <f>'[41]TGSPDCL MoD'!F8</f>
        <v>20.5226792096179</v>
      </c>
      <c r="F13" s="147">
        <f>'[41]TGSPDCL MoD'!G8</f>
        <v>0</v>
      </c>
      <c r="G13" s="147">
        <f>'[41]TGSPDCL MoD'!H8</f>
        <v>11.8266286970678</v>
      </c>
      <c r="H13" s="147">
        <f>'[41]TGSPDCL MoD'!I8</f>
        <v>19.5893031212709</v>
      </c>
      <c r="I13" s="147">
        <f>'[41]TGSPDCL MoD'!J8</f>
        <v>16.3543723306022</v>
      </c>
      <c r="J13" s="147">
        <f>'[41]TGSPDCL MoD'!K8</f>
        <v>17.3921010250999</v>
      </c>
      <c r="K13" s="147">
        <f>'[41]TGSPDCL MoD'!L8</f>
        <v>15.8152171988241</v>
      </c>
      <c r="L13" s="147">
        <f>'[41]TGSPDCL MoD'!M8</f>
        <v>24.1597375167663</v>
      </c>
      <c r="M13" s="147">
        <f>'[41]TGSPDCL MoD'!N8</f>
        <v>19.2049159155064</v>
      </c>
      <c r="N13" s="147">
        <f>'[41]TGSPDCL MoD'!O8</f>
        <v>20.128458253049</v>
      </c>
      <c r="O13" s="147">
        <f>'[41]TGSPDCL MoD'!P8</f>
        <v>19.6414794243462</v>
      </c>
      <c r="P13" s="147">
        <f>'[41]TGSPDCL MoD'!Q8</f>
        <v>23.9025441754957</v>
      </c>
      <c r="Q13" s="690">
        <f t="shared" si="0"/>
        <v>208.537436867646</v>
      </c>
    </row>
    <row r="14" spans="2:17">
      <c r="B14" s="656"/>
      <c r="C14" s="755"/>
      <c r="D14" s="47" t="s">
        <v>356</v>
      </c>
      <c r="E14" s="147">
        <f>'[41]TGSPDCL MoD'!F9</f>
        <v>197.574267645134</v>
      </c>
      <c r="F14" s="147">
        <f>'[41]TGSPDCL MoD'!G9</f>
        <v>204.160076566639</v>
      </c>
      <c r="G14" s="147">
        <f>'[41]TGSPDCL MoD'!H9</f>
        <v>198.279623199133</v>
      </c>
      <c r="H14" s="147">
        <f>'[41]TGSPDCL MoD'!I9</f>
        <v>208.473317620864</v>
      </c>
      <c r="I14" s="147">
        <f>'[41]TGSPDCL MoD'!J9</f>
        <v>169.654148132841</v>
      </c>
      <c r="J14" s="147">
        <f>'[41]TGSPDCL MoD'!K9</f>
        <v>185.051954907063</v>
      </c>
      <c r="K14" s="147">
        <f>'[41]TGSPDCL MoD'!L9</f>
        <v>0</v>
      </c>
      <c r="L14" s="147">
        <f>'[41]TGSPDCL MoD'!M9</f>
        <v>98.7871338225672</v>
      </c>
      <c r="M14" s="147">
        <f>'[41]TGSPDCL MoD'!N9</f>
        <v>198.847432593468</v>
      </c>
      <c r="N14" s="147">
        <f>'[41]TGSPDCL MoD'!O9</f>
        <v>178.28063024129</v>
      </c>
      <c r="O14" s="147">
        <f>'[41]TGSPDCL MoD'!P9</f>
        <v>179.242722629421</v>
      </c>
      <c r="P14" s="147">
        <f>'[41]TGSPDCL MoD'!Q9</f>
        <v>218.776584849626</v>
      </c>
      <c r="Q14" s="690">
        <f t="shared" si="0"/>
        <v>2037.12789220805</v>
      </c>
    </row>
    <row r="15" spans="2:17">
      <c r="B15" s="656"/>
      <c r="C15" s="755"/>
      <c r="D15" s="47" t="s">
        <v>357</v>
      </c>
      <c r="E15" s="147">
        <f>'[41]TGSPDCL MoD'!F10</f>
        <v>247.106971364619</v>
      </c>
      <c r="F15" s="147">
        <f>'[41]TGSPDCL MoD'!G10</f>
        <v>250.995278779861</v>
      </c>
      <c r="G15" s="147">
        <f>'[41]TGSPDCL MoD'!H10</f>
        <v>247.106971364619</v>
      </c>
      <c r="H15" s="147">
        <f>'[41]TGSPDCL MoD'!I10</f>
        <v>274.101421054513</v>
      </c>
      <c r="I15" s="147">
        <f>'[41]TGSPDCL MoD'!J10</f>
        <v>226.042226935627</v>
      </c>
      <c r="J15" s="147">
        <f>'[41]TGSPDCL MoD'!K10</f>
        <v>256.016638010073</v>
      </c>
      <c r="K15" s="147">
        <f>'[41]TGSPDCL MoD'!L10</f>
        <v>229.897524917458</v>
      </c>
      <c r="L15" s="147">
        <f>'[41]TGSPDCL MoD'!M10</f>
        <v>0</v>
      </c>
      <c r="M15" s="147">
        <f>'[41]TGSPDCL MoD'!N10</f>
        <v>126.95416137362</v>
      </c>
      <c r="N15" s="147">
        <f>'[41]TGSPDCL MoD'!O10</f>
        <v>255.343870410106</v>
      </c>
      <c r="O15" s="147">
        <f>'[41]TGSPDCL MoD'!P10</f>
        <v>248.655594892824</v>
      </c>
      <c r="P15" s="147">
        <f>'[41]TGSPDCL MoD'!Q10</f>
        <v>276.047427470385</v>
      </c>
      <c r="Q15" s="690">
        <f t="shared" si="0"/>
        <v>2638.26808657371</v>
      </c>
    </row>
    <row r="16" spans="2:17">
      <c r="B16" s="656"/>
      <c r="C16" s="755"/>
      <c r="D16" s="47" t="s">
        <v>358</v>
      </c>
      <c r="E16" s="147">
        <f>'[41]TGSPDCL MoD'!F11+'[41]TGSPDCL MoD'!F12+'[41]TGSPDCL MoD'!F13+'[41]TGSPDCL MoD'!F14</f>
        <v>438.6973918234</v>
      </c>
      <c r="F16" s="147">
        <f>'[41]TGSPDCL MoD'!G11+'[41]TGSPDCL MoD'!G12+'[41]TGSPDCL MoD'!G13+'[41]TGSPDCL MoD'!G14</f>
        <v>225.151183030532</v>
      </c>
      <c r="G16" s="147">
        <f>'[41]TGSPDCL MoD'!H11+'[41]TGSPDCL MoD'!H12+'[41]TGSPDCL MoD'!H13+'[41]TGSPDCL MoD'!H14</f>
        <v>327.721634839512</v>
      </c>
      <c r="H16" s="147">
        <f>'[41]TGSPDCL MoD'!I11+'[41]TGSPDCL MoD'!I12+'[41]TGSPDCL MoD'!I13+'[41]TGSPDCL MoD'!I14</f>
        <v>470.252305808404</v>
      </c>
      <c r="I16" s="147">
        <f>'[41]TGSPDCL MoD'!J11+'[41]TGSPDCL MoD'!J12+'[41]TGSPDCL MoD'!J13+'[41]TGSPDCL MoD'!J14</f>
        <v>342.002443761606</v>
      </c>
      <c r="J16" s="147">
        <f>'[41]TGSPDCL MoD'!K11+'[41]TGSPDCL MoD'!K12+'[41]TGSPDCL MoD'!K13+'[41]TGSPDCL MoD'!K14</f>
        <v>340.356460220793</v>
      </c>
      <c r="K16" s="147">
        <f>'[41]TGSPDCL MoD'!L11+'[41]TGSPDCL MoD'!L12+'[41]TGSPDCL MoD'!L13+'[41]TGSPDCL MoD'!L14</f>
        <v>391.241222880476</v>
      </c>
      <c r="L16" s="147">
        <f>'[41]TGSPDCL MoD'!M11+'[41]TGSPDCL MoD'!M12+'[41]TGSPDCL MoD'!M13+'[41]TGSPDCL MoD'!M14</f>
        <v>327.377731783949</v>
      </c>
      <c r="M16" s="147">
        <f>'[41]TGSPDCL MoD'!N11+'[41]TGSPDCL MoD'!N12+'[41]TGSPDCL MoD'!N13+'[41]TGSPDCL MoD'!N14</f>
        <v>394.014570303431</v>
      </c>
      <c r="N16" s="147">
        <f>'[41]TGSPDCL MoD'!O11+'[41]TGSPDCL MoD'!O12+'[41]TGSPDCL MoD'!O13+'[41]TGSPDCL MoD'!O14</f>
        <v>446.135871296205</v>
      </c>
      <c r="O16" s="147">
        <f>'[41]TGSPDCL MoD'!P11+'[41]TGSPDCL MoD'!P12+'[41]TGSPDCL MoD'!P13+'[41]TGSPDCL MoD'!P14</f>
        <v>422.011816460261</v>
      </c>
      <c r="P16" s="147">
        <f>'[41]TGSPDCL MoD'!Q11+'[41]TGSPDCL MoD'!Q12+'[41]TGSPDCL MoD'!Q13+'[41]TGSPDCL MoD'!Q14</f>
        <v>496.885369446692</v>
      </c>
      <c r="Q16" s="690">
        <f t="shared" si="0"/>
        <v>4621.84800165526</v>
      </c>
    </row>
    <row r="17" spans="2:17">
      <c r="B17" s="656"/>
      <c r="C17" s="755"/>
      <c r="D17" s="47" t="s">
        <v>359</v>
      </c>
      <c r="E17" s="147">
        <f>'[41]TGSPDCL MoD'!F15+'[41]TGSPDCL MoD'!F16+'[41]TGSPDCL MoD'!F17+'[41]TGSPDCL MoD'!F18+'[41]TGSPDCL MoD'!F19</f>
        <v>1728.31870143342</v>
      </c>
      <c r="F17" s="147">
        <f>'[41]TGSPDCL MoD'!G15+'[41]TGSPDCL MoD'!G16+'[41]TGSPDCL MoD'!G17+'[41]TGSPDCL MoD'!G18+'[41]TGSPDCL MoD'!G19</f>
        <v>1040.45546854587</v>
      </c>
      <c r="G17" s="147">
        <f>'[41]TGSPDCL MoD'!H15+'[41]TGSPDCL MoD'!H16+'[41]TGSPDCL MoD'!H17+'[41]TGSPDCL MoD'!H18+'[41]TGSPDCL MoD'!H19</f>
        <v>1027.73288508307</v>
      </c>
      <c r="H17" s="147">
        <f>'[41]TGSPDCL MoD'!I15+'[41]TGSPDCL MoD'!I16+'[41]TGSPDCL MoD'!I17+'[41]TGSPDCL MoD'!I18+'[41]TGSPDCL MoD'!I19</f>
        <v>1104.18970988154</v>
      </c>
      <c r="I17" s="147">
        <f>'[41]TGSPDCL MoD'!J15+'[41]TGSPDCL MoD'!J16+'[41]TGSPDCL MoD'!J17+'[41]TGSPDCL MoD'!J18+'[41]TGSPDCL MoD'!J19</f>
        <v>1700.36521562417</v>
      </c>
      <c r="J17" s="147">
        <f>'[41]TGSPDCL MoD'!K15+'[41]TGSPDCL MoD'!K16+'[41]TGSPDCL MoD'!K17+'[41]TGSPDCL MoD'!K18+'[41]TGSPDCL MoD'!K19</f>
        <v>1780.95114497022</v>
      </c>
      <c r="K17" s="147">
        <f>'[41]TGSPDCL MoD'!L15+'[41]TGSPDCL MoD'!L16+'[41]TGSPDCL MoD'!L17+'[41]TGSPDCL MoD'!L18+'[41]TGSPDCL MoD'!L19</f>
        <v>1651.4350353182</v>
      </c>
      <c r="L17" s="147">
        <f>'[41]TGSPDCL MoD'!M15+'[41]TGSPDCL MoD'!M16+'[41]TGSPDCL MoD'!M17+'[41]TGSPDCL MoD'!M18+'[41]TGSPDCL MoD'!M19</f>
        <v>1344.80884895532</v>
      </c>
      <c r="M17" s="147">
        <f>'[41]TGSPDCL MoD'!N15+'[41]TGSPDCL MoD'!N16+'[41]TGSPDCL MoD'!N17+'[41]TGSPDCL MoD'!N18+'[41]TGSPDCL MoD'!N19</f>
        <v>1606.98732961518</v>
      </c>
      <c r="N17" s="147">
        <f>'[41]TGSPDCL MoD'!O15+'[41]TGSPDCL MoD'!O16+'[41]TGSPDCL MoD'!O17+'[41]TGSPDCL MoD'!O18+'[41]TGSPDCL MoD'!O19</f>
        <v>1785.40747751408</v>
      </c>
      <c r="O17" s="147">
        <f>'[41]TGSPDCL MoD'!P15+'[41]TGSPDCL MoD'!P16+'[41]TGSPDCL MoD'!P17+'[41]TGSPDCL MoD'!P18+'[41]TGSPDCL MoD'!P19</f>
        <v>1662.22106863888</v>
      </c>
      <c r="P17" s="147">
        <f>'[41]TGSPDCL MoD'!Q15+'[41]TGSPDCL MoD'!Q16+'[41]TGSPDCL MoD'!Q17+'[41]TGSPDCL MoD'!Q18+'[41]TGSPDCL MoD'!Q19</f>
        <v>1840.3161831359</v>
      </c>
      <c r="Q17" s="690">
        <f t="shared" si="0"/>
        <v>18273.1890687159</v>
      </c>
    </row>
    <row r="18" spans="2:17">
      <c r="B18" s="656"/>
      <c r="C18" s="755"/>
      <c r="D18" s="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690"/>
    </row>
    <row r="19" spans="2:17">
      <c r="B19" s="656"/>
      <c r="C19" s="755"/>
      <c r="D19" s="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690"/>
    </row>
    <row r="20" spans="2:17">
      <c r="B20" s="656"/>
      <c r="C20" s="755"/>
      <c r="D20" s="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690"/>
    </row>
    <row r="21" spans="2:17">
      <c r="B21" s="656"/>
      <c r="C21" s="755"/>
      <c r="D21" s="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690"/>
    </row>
    <row r="22" spans="2:17">
      <c r="B22" s="656"/>
      <c r="C22" s="755"/>
      <c r="D22" s="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690"/>
    </row>
    <row r="23" spans="2:17">
      <c r="B23" s="656"/>
      <c r="C23" s="755"/>
      <c r="D23" s="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690"/>
    </row>
    <row r="24" spans="2:17">
      <c r="B24" s="656"/>
      <c r="C24" s="755"/>
      <c r="D24" s="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690"/>
    </row>
    <row r="25" spans="2:17">
      <c r="B25" s="656"/>
      <c r="C25" s="755"/>
      <c r="D25" s="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690"/>
    </row>
    <row r="26" spans="2:17">
      <c r="B26" s="656"/>
      <c r="C26" s="755"/>
      <c r="D26" s="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690"/>
    </row>
    <row r="27" spans="2:17">
      <c r="B27" s="656"/>
      <c r="C27" s="756"/>
      <c r="D27" s="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690"/>
    </row>
    <row r="28" ht="15" spans="3:18">
      <c r="C28" s="537" t="s">
        <v>211</v>
      </c>
      <c r="D28" s="540"/>
      <c r="E28" s="690">
        <f>SUM(E10:E27)</f>
        <v>3268.82115401743</v>
      </c>
      <c r="F28" s="690">
        <f t="shared" ref="F28:P28" si="1">SUM(F10:F27)</f>
        <v>1917.28130434682</v>
      </c>
      <c r="G28" s="690">
        <f t="shared" si="1"/>
        <v>2259.53704467076</v>
      </c>
      <c r="H28" s="690">
        <f t="shared" si="1"/>
        <v>2542.71545425843</v>
      </c>
      <c r="I28" s="690">
        <f t="shared" si="1"/>
        <v>2900.71301522355</v>
      </c>
      <c r="J28" s="690">
        <f t="shared" si="1"/>
        <v>3109.17505039277</v>
      </c>
      <c r="K28" s="690">
        <f t="shared" si="1"/>
        <v>2806.02401961895</v>
      </c>
      <c r="L28" s="690">
        <f t="shared" si="1"/>
        <v>2494.32563427281</v>
      </c>
      <c r="M28" s="690">
        <f t="shared" si="1"/>
        <v>2961.29855585007</v>
      </c>
      <c r="N28" s="690">
        <f t="shared" si="1"/>
        <v>3298.05873195957</v>
      </c>
      <c r="O28" s="690">
        <f t="shared" si="1"/>
        <v>3120.95891107616</v>
      </c>
      <c r="P28" s="690">
        <f t="shared" si="1"/>
        <v>3564.73235904947</v>
      </c>
      <c r="Q28" s="693">
        <f>SUM(E28:P28)</f>
        <v>34243.6412347368</v>
      </c>
      <c r="R28" s="686"/>
    </row>
    <row r="29" ht="15" spans="3:17">
      <c r="C29" s="44" t="s">
        <v>360</v>
      </c>
      <c r="D29" s="4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3:17">
      <c r="C30" s="682" t="s">
        <v>351</v>
      </c>
      <c r="D30" s="55" t="str">
        <f>'F9-Year(n+1)'!D29</f>
        <v>PJHES (Inter State)</v>
      </c>
      <c r="E30" s="147">
        <f>SUM('[41]TGSPDCL MoD'!F81:F86)</f>
        <v>13.6558982309657</v>
      </c>
      <c r="F30" s="147">
        <f>SUM('[41]TGSPDCL MoD'!G81:G86)</f>
        <v>14.6332287966681</v>
      </c>
      <c r="G30" s="147">
        <f>SUM('[41]TGSPDCL MoD'!H81:H86)</f>
        <v>15.160733636777</v>
      </c>
      <c r="H30" s="147">
        <f>SUM('[41]TGSPDCL MoD'!I81:I86)</f>
        <v>33.1447888629187</v>
      </c>
      <c r="I30" s="147">
        <f>SUM('[41]TGSPDCL MoD'!J81:J86)</f>
        <v>77.8179136333842</v>
      </c>
      <c r="J30" s="147">
        <f>SUM('[41]TGSPDCL MoD'!K81:K86)</f>
        <v>39.3032109981069</v>
      </c>
      <c r="K30" s="147">
        <f>SUM('[41]TGSPDCL MoD'!L81:L86)</f>
        <v>43.3220804141092</v>
      </c>
      <c r="L30" s="147">
        <f>SUM('[41]TGSPDCL MoD'!M81:M86)</f>
        <v>14.8585781282195</v>
      </c>
      <c r="M30" s="147">
        <f>SUM('[41]TGSPDCL MoD'!N81:N86)</f>
        <v>25.4899649252457</v>
      </c>
      <c r="N30" s="147">
        <f>SUM('[41]TGSPDCL MoD'!O81:O86)</f>
        <v>48.6383595365747</v>
      </c>
      <c r="O30" s="147">
        <f>SUM('[41]TGSPDCL MoD'!P81:P86)</f>
        <v>43.6826843950136</v>
      </c>
      <c r="P30" s="147">
        <f>SUM('[41]TGSPDCL MoD'!Q81:Q86)</f>
        <v>20.2907292640443</v>
      </c>
      <c r="Q30" s="690">
        <f t="shared" ref="Q30:Q40" si="2">SUM(E30:P30)</f>
        <v>389.998170822028</v>
      </c>
    </row>
    <row r="31" spans="3:17">
      <c r="C31" s="683"/>
      <c r="D31" s="55" t="str">
        <f>'F9-Year(n+1)'!D30</f>
        <v>Nagarjuna sagar complex</v>
      </c>
      <c r="E31" s="147">
        <f>SUM('[41]TGSPDCL MoD'!F59:F66)</f>
        <v>47.5972247742549</v>
      </c>
      <c r="F31" s="147">
        <f>SUM('[41]TGSPDCL MoD'!G59:G66)</f>
        <v>51.003681224626</v>
      </c>
      <c r="G31" s="147">
        <f>SUM('[41]TGSPDCL MoD'!H59:H66)</f>
        <v>52.8422835647662</v>
      </c>
      <c r="H31" s="147">
        <f>SUM('[41]TGSPDCL MoD'!I59:I66)</f>
        <v>115.525170070925</v>
      </c>
      <c r="I31" s="147">
        <f>SUM('[41]TGSPDCL MoD'!J59:J66)</f>
        <v>271.232010082855</v>
      </c>
      <c r="J31" s="147">
        <f>SUM('[41]TGSPDCL MoD'!K59:K66)</f>
        <v>136.990166196821</v>
      </c>
      <c r="K31" s="147">
        <f>SUM('[41]TGSPDCL MoD'!L59:L66)</f>
        <v>150.997815323707</v>
      </c>
      <c r="L31" s="147">
        <f>SUM('[41]TGSPDCL MoD'!M59:M66)</f>
        <v>51.7891295785292</v>
      </c>
      <c r="M31" s="147">
        <f>SUM('[41]TGSPDCL MoD'!N59:N66)</f>
        <v>88.8445102266252</v>
      </c>
      <c r="N31" s="147">
        <f>SUM('[41]TGSPDCL MoD'!O59:O66)</f>
        <v>169.52754717107</v>
      </c>
      <c r="O31" s="147">
        <f>SUM('[41]TGSPDCL MoD'!P59:P66)</f>
        <v>152.254689711851</v>
      </c>
      <c r="P31" s="147">
        <f>SUM('[41]TGSPDCL MoD'!Q59:Q66)</f>
        <v>70.7227298621988</v>
      </c>
      <c r="Q31" s="690">
        <f t="shared" si="2"/>
        <v>1359.32695778823</v>
      </c>
    </row>
    <row r="32" spans="3:17">
      <c r="C32" s="683"/>
      <c r="D32" s="55" t="str">
        <f>'F9-Year(n+1)'!D31</f>
        <v>SLBHES</v>
      </c>
      <c r="E32" s="147">
        <f>SUM('[41]TGSPDCL MoD'!F67:F72)</f>
        <v>52.5226855037144</v>
      </c>
      <c r="F32" s="147">
        <f>SUM('[41]TGSPDCL MoD'!G67:G72)</f>
        <v>56.2816492179542</v>
      </c>
      <c r="G32" s="147">
        <f>SUM('[41]TGSPDCL MoD'!H67:H72)</f>
        <v>58.3105139876037</v>
      </c>
      <c r="H32" s="147">
        <f>SUM('[41]TGSPDCL MoD'!I67:I72)</f>
        <v>127.479957165072</v>
      </c>
      <c r="I32" s="147">
        <f>SUM('[41]TGSPDCL MoD'!J67:J72)</f>
        <v>299.299667820708</v>
      </c>
      <c r="J32" s="147">
        <f>SUM('[41]TGSPDCL MoD'!K67:K72)</f>
        <v>151.166196146565</v>
      </c>
      <c r="K32" s="147">
        <f>SUM('[41]TGSPDCL MoD'!L67:L72)</f>
        <v>166.623386208112</v>
      </c>
      <c r="L32" s="147">
        <f>SUM('[41]TGSPDCL MoD'!M67:M72)</f>
        <v>57.1483774162289</v>
      </c>
      <c r="M32" s="147">
        <f>SUM('[41]TGSPDCL MoD'!N67:N72)</f>
        <v>98.0383266355602</v>
      </c>
      <c r="N32" s="147">
        <f>SUM('[41]TGSPDCL MoD'!O67:O72)</f>
        <v>187.07061360221</v>
      </c>
      <c r="O32" s="147">
        <f>SUM('[41]TGSPDCL MoD'!P67:P72)</f>
        <v>168.010324596206</v>
      </c>
      <c r="P32" s="147">
        <f>SUM('[41]TGSPDCL MoD'!Q67:Q72)</f>
        <v>78.0412664001702</v>
      </c>
      <c r="Q32" s="690">
        <f t="shared" si="2"/>
        <v>1499.9929647001</v>
      </c>
    </row>
    <row r="33" spans="3:17">
      <c r="C33" s="683"/>
      <c r="D33" s="55" t="str">
        <f>'F9-Year(n+1)'!D32</f>
        <v>LJHES</v>
      </c>
      <c r="E33" s="147">
        <f>SUM('[41]TGSPDCL MoD'!F87:F92)</f>
        <v>14.0060494676572</v>
      </c>
      <c r="F33" s="147">
        <f>SUM('[41]TGSPDCL MoD'!G87:G92)</f>
        <v>15.0084397914545</v>
      </c>
      <c r="G33" s="147">
        <f>SUM('[41]TGSPDCL MoD'!H87:H92)</f>
        <v>15.5494703966943</v>
      </c>
      <c r="H33" s="147">
        <f>SUM('[41]TGSPDCL MoD'!I87:I92)</f>
        <v>33.9946552440192</v>
      </c>
      <c r="I33" s="147">
        <f>SUM('[41]TGSPDCL MoD'!J87:J92)</f>
        <v>79.8132447521886</v>
      </c>
      <c r="J33" s="147">
        <f>SUM('[41]TGSPDCL MoD'!K87:K92)</f>
        <v>40.310985639084</v>
      </c>
      <c r="K33" s="147">
        <f>SUM('[41]TGSPDCL MoD'!L87:L92)</f>
        <v>44.43290298883</v>
      </c>
      <c r="L33" s="147">
        <f>SUM('[41]TGSPDCL MoD'!M87:M92)</f>
        <v>15.2395673109944</v>
      </c>
      <c r="M33" s="147">
        <f>SUM('[41]TGSPDCL MoD'!N87:N92)</f>
        <v>26.1435537694828</v>
      </c>
      <c r="N33" s="147">
        <f>SUM('[41]TGSPDCL MoD'!O87:O92)</f>
        <v>49.8854969605894</v>
      </c>
      <c r="O33" s="147">
        <f>SUM('[41]TGSPDCL MoD'!P87:P92)</f>
        <v>44.802753225655</v>
      </c>
      <c r="P33" s="147">
        <f>SUM('[41]TGSPDCL MoD'!Q87:Q92)</f>
        <v>20.8110043733788</v>
      </c>
      <c r="Q33" s="690">
        <f t="shared" si="2"/>
        <v>399.998123920028</v>
      </c>
    </row>
    <row r="34" spans="3:17">
      <c r="C34" s="683"/>
      <c r="D34" s="55" t="str">
        <f>'F9-Year(n+1)'!D33</f>
        <v>PCHES</v>
      </c>
      <c r="E34" s="147">
        <f>SUM('[41]TGSPDCL MoD'!F93:F96)</f>
        <v>7.0030247338286</v>
      </c>
      <c r="F34" s="147">
        <f>SUM('[41]TGSPDCL MoD'!G93:G96)</f>
        <v>7.50421989572724</v>
      </c>
      <c r="G34" s="147">
        <f>SUM('[41]TGSPDCL MoD'!H93:H96)</f>
        <v>7.77473519834716</v>
      </c>
      <c r="H34" s="147">
        <f>SUM('[41]TGSPDCL MoD'!I93:I96)</f>
        <v>16.9973276220096</v>
      </c>
      <c r="I34" s="147">
        <f>SUM('[41]TGSPDCL MoD'!J93:J96)</f>
        <v>39.9066223760944</v>
      </c>
      <c r="J34" s="147">
        <f>SUM('[41]TGSPDCL MoD'!K93:K96)</f>
        <v>20.155492819542</v>
      </c>
      <c r="K34" s="147">
        <f>SUM('[41]TGSPDCL MoD'!L93:L96)</f>
        <v>22.216451494415</v>
      </c>
      <c r="L34" s="147">
        <f>SUM('[41]TGSPDCL MoD'!M93:M96)</f>
        <v>7.6197836554972</v>
      </c>
      <c r="M34" s="147">
        <f>SUM('[41]TGSPDCL MoD'!N93:N96)</f>
        <v>13.0717768847414</v>
      </c>
      <c r="N34" s="147">
        <f>SUM('[41]TGSPDCL MoD'!O93:O96)</f>
        <v>24.9427484802947</v>
      </c>
      <c r="O34" s="147">
        <f>SUM('[41]TGSPDCL MoD'!P93:P96)</f>
        <v>22.4013766128275</v>
      </c>
      <c r="P34" s="147">
        <f>SUM('[41]TGSPDCL MoD'!Q93:Q96)</f>
        <v>10.4055021866894</v>
      </c>
      <c r="Q34" s="690">
        <f t="shared" si="2"/>
        <v>199.999061960014</v>
      </c>
    </row>
    <row r="35" spans="3:17">
      <c r="C35" s="683"/>
      <c r="D35" s="55" t="str">
        <f>'F9-Year(n+1)'!D34</f>
        <v>Pochampad-II</v>
      </c>
      <c r="E35" s="147">
        <f>SUM('[41]TGSPDCL MoD'!F77:F78)</f>
        <v>1.05045371007429</v>
      </c>
      <c r="F35" s="147">
        <f>SUM('[41]TGSPDCL MoD'!G77:G78)</f>
        <v>1.12563298435908</v>
      </c>
      <c r="G35" s="147">
        <f>SUM('[41]TGSPDCL MoD'!H77:H78)</f>
        <v>1.16621027975207</v>
      </c>
      <c r="H35" s="147">
        <f>SUM('[41]TGSPDCL MoD'!I77:I78)</f>
        <v>2.54959914330144</v>
      </c>
      <c r="I35" s="147">
        <f>SUM('[41]TGSPDCL MoD'!J77:J78)</f>
        <v>5.98599335641416</v>
      </c>
      <c r="J35" s="147">
        <f>SUM('[41]TGSPDCL MoD'!K77:K78)</f>
        <v>3.0233239229313</v>
      </c>
      <c r="K35" s="147">
        <f>SUM('[41]TGSPDCL MoD'!L77:L78)</f>
        <v>3.33246772416224</v>
      </c>
      <c r="L35" s="147">
        <f>SUM('[41]TGSPDCL MoD'!M77:M78)</f>
        <v>1.14296754832458</v>
      </c>
      <c r="M35" s="147">
        <f>SUM('[41]TGSPDCL MoD'!N77:N78)</f>
        <v>1.96076653271121</v>
      </c>
      <c r="N35" s="147">
        <f>SUM('[41]TGSPDCL MoD'!O77:O78)</f>
        <v>3.7414122720442</v>
      </c>
      <c r="O35" s="147">
        <f>SUM('[41]TGSPDCL MoD'!P77:P78)</f>
        <v>3.36020649192412</v>
      </c>
      <c r="P35" s="147">
        <f>SUM('[41]TGSPDCL MoD'!Q77:Q78)</f>
        <v>1.56082532800341</v>
      </c>
      <c r="Q35" s="690">
        <f t="shared" si="2"/>
        <v>29.9998592940021</v>
      </c>
    </row>
    <row r="36" spans="3:17">
      <c r="C36" s="683"/>
      <c r="D36" s="55" t="str">
        <f>'F9-Year(n+1)'!D37</f>
        <v>SSLM LCPH</v>
      </c>
      <c r="E36" s="147">
        <f>SUM('[41]TGSPDCL MoD'!F73:F74)</f>
        <v>3.5015123669143</v>
      </c>
      <c r="F36" s="147">
        <f>SUM('[41]TGSPDCL MoD'!G73:G74)</f>
        <v>3.75210994786362</v>
      </c>
      <c r="G36" s="147">
        <f>SUM('[41]TGSPDCL MoD'!H73:H74)</f>
        <v>3.88736759917358</v>
      </c>
      <c r="H36" s="147">
        <f>SUM('[41]TGSPDCL MoD'!I73:I74)</f>
        <v>8.4986638110048</v>
      </c>
      <c r="I36" s="147">
        <f>SUM('[41]TGSPDCL MoD'!J73:J74)</f>
        <v>19.9533111880472</v>
      </c>
      <c r="J36" s="147">
        <f>SUM('[41]TGSPDCL MoD'!K73:K74)</f>
        <v>10.077746409771</v>
      </c>
      <c r="K36" s="147">
        <f>SUM('[41]TGSPDCL MoD'!L73:L74)</f>
        <v>11.1082257472075</v>
      </c>
      <c r="L36" s="147">
        <f>SUM('[41]TGSPDCL MoD'!M73:M74)</f>
        <v>3.8098918277486</v>
      </c>
      <c r="M36" s="147">
        <f>SUM('[41]TGSPDCL MoD'!N73:N74)</f>
        <v>6.53588844237068</v>
      </c>
      <c r="N36" s="147">
        <f>SUM('[41]TGSPDCL MoD'!O73:O74)</f>
        <v>12.4713742401474</v>
      </c>
      <c r="O36" s="147">
        <f>SUM('[41]TGSPDCL MoD'!P73:P74)</f>
        <v>11.2006883064137</v>
      </c>
      <c r="P36" s="147">
        <f>SUM('[41]TGSPDCL MoD'!Q73:Q74)</f>
        <v>5.20275109334468</v>
      </c>
      <c r="Q36" s="690">
        <f t="shared" si="2"/>
        <v>99.999530980007</v>
      </c>
    </row>
    <row r="37" spans="3:17">
      <c r="C37" s="683"/>
      <c r="D37" s="55" t="str">
        <f>'F9-Year(n+1)'!D38</f>
        <v>POCHAMPAD PH</v>
      </c>
      <c r="E37" s="147">
        <f>SUM('[41]TGSPDCL MoD'!F79+'[41]TGSPDCL MoD'!F80)</f>
        <v>0.875378091728574</v>
      </c>
      <c r="F37" s="147">
        <f>SUM('[41]TGSPDCL MoD'!G79+'[41]TGSPDCL MoD'!G80)</f>
        <v>0.938027486965904</v>
      </c>
      <c r="G37" s="147">
        <f>SUM('[41]TGSPDCL MoD'!H79+'[41]TGSPDCL MoD'!H80)</f>
        <v>0.971841899793396</v>
      </c>
      <c r="H37" s="147">
        <f>SUM('[41]TGSPDCL MoD'!I79+'[41]TGSPDCL MoD'!I80)</f>
        <v>2.1246659527512</v>
      </c>
      <c r="I37" s="147">
        <f>SUM('[41]TGSPDCL MoD'!J79+'[41]TGSPDCL MoD'!J80)</f>
        <v>4.9883277970118</v>
      </c>
      <c r="J37" s="147">
        <f>SUM('[41]TGSPDCL MoD'!K79+'[41]TGSPDCL MoD'!K80)</f>
        <v>2.51943660244274</v>
      </c>
      <c r="K37" s="147">
        <f>SUM('[41]TGSPDCL MoD'!L79+'[41]TGSPDCL MoD'!L80)</f>
        <v>2.77705643680188</v>
      </c>
      <c r="L37" s="147">
        <f>SUM('[41]TGSPDCL MoD'!M79+'[41]TGSPDCL MoD'!M80)</f>
        <v>0.95247295693715</v>
      </c>
      <c r="M37" s="147">
        <f>SUM('[41]TGSPDCL MoD'!N79+'[41]TGSPDCL MoD'!N80)</f>
        <v>1.63397211059267</v>
      </c>
      <c r="N37" s="147">
        <f>SUM('[41]TGSPDCL MoD'!O79+'[41]TGSPDCL MoD'!O80)</f>
        <v>3.11784356003684</v>
      </c>
      <c r="O37" s="147">
        <f>SUM('[41]TGSPDCL MoD'!P79+'[41]TGSPDCL MoD'!P80)</f>
        <v>2.80017207660344</v>
      </c>
      <c r="P37" s="147">
        <f>SUM('[41]TGSPDCL MoD'!Q79+'[41]TGSPDCL MoD'!Q80)</f>
        <v>1.30068777333617</v>
      </c>
      <c r="Q37" s="690">
        <f t="shared" si="2"/>
        <v>24.9998827450018</v>
      </c>
    </row>
    <row r="38" spans="3:17">
      <c r="C38" s="683"/>
      <c r="D38" s="55" t="str">
        <f>'F9-Year(n+1)'!D39</f>
        <v>NIZAMSAGAR PH</v>
      </c>
      <c r="E38" s="147">
        <v>0</v>
      </c>
      <c r="F38" s="147">
        <v>0</v>
      </c>
      <c r="G38" s="147">
        <v>0</v>
      </c>
      <c r="H38" s="147">
        <v>0</v>
      </c>
      <c r="I38" s="147">
        <v>0</v>
      </c>
      <c r="J38" s="147">
        <v>0</v>
      </c>
      <c r="K38" s="147">
        <v>0</v>
      </c>
      <c r="L38" s="147">
        <v>0</v>
      </c>
      <c r="M38" s="147">
        <v>0</v>
      </c>
      <c r="N38" s="147">
        <v>0</v>
      </c>
      <c r="O38" s="147">
        <v>0</v>
      </c>
      <c r="P38" s="147">
        <v>0</v>
      </c>
      <c r="Q38" s="690">
        <f t="shared" si="2"/>
        <v>0</v>
      </c>
    </row>
    <row r="39" spans="3:17">
      <c r="C39" s="683"/>
      <c r="D39" s="55">
        <f>'F9-Year(n+1)'!D40</f>
        <v>0</v>
      </c>
      <c r="E39" s="147">
        <f>SUM('[41]TGSPDCL MoD'!F75:F76)</f>
        <v>1.05045371007429</v>
      </c>
      <c r="F39" s="147">
        <f>SUM('[41]TGSPDCL MoD'!G75:G76)</f>
        <v>1.12563298435908</v>
      </c>
      <c r="G39" s="147">
        <f>SUM('[41]TGSPDCL MoD'!H75:H76)</f>
        <v>1.16621027975207</v>
      </c>
      <c r="H39" s="147">
        <f>SUM('[41]TGSPDCL MoD'!I75:I76)</f>
        <v>2.54959914330144</v>
      </c>
      <c r="I39" s="147">
        <f>SUM('[41]TGSPDCL MoD'!J75:J76)</f>
        <v>5.98599335641416</v>
      </c>
      <c r="J39" s="147">
        <f>SUM('[41]TGSPDCL MoD'!K75:K76)</f>
        <v>3.0233239229313</v>
      </c>
      <c r="K39" s="147">
        <f>SUM('[41]TGSPDCL MoD'!L75:L76)</f>
        <v>3.33246772416224</v>
      </c>
      <c r="L39" s="147">
        <f>SUM('[41]TGSPDCL MoD'!M75:M76)</f>
        <v>1.14296754832458</v>
      </c>
      <c r="M39" s="147">
        <f>SUM('[41]TGSPDCL MoD'!N75:N76)</f>
        <v>1.96076653271121</v>
      </c>
      <c r="N39" s="147">
        <f>SUM('[41]TGSPDCL MoD'!O75:O76)</f>
        <v>3.7414122720442</v>
      </c>
      <c r="O39" s="147">
        <f>SUM('[41]TGSPDCL MoD'!P75:P76)</f>
        <v>3.36020649192412</v>
      </c>
      <c r="P39" s="147">
        <f>SUM('[41]TGSPDCL MoD'!Q75:Q76)</f>
        <v>1.56082532800341</v>
      </c>
      <c r="Q39" s="690">
        <f t="shared" si="2"/>
        <v>29.9998592940021</v>
      </c>
    </row>
    <row r="40" spans="3:17">
      <c r="C40" s="683"/>
      <c r="D40" s="55">
        <f>'F9-Year(n+1)'!D41</f>
        <v>0</v>
      </c>
      <c r="E40" s="147">
        <f>SUM('[41]TGSPDCL MoD'!F57:F58)</f>
        <v>0.583585394485716</v>
      </c>
      <c r="F40" s="147">
        <f>SUM('[41]TGSPDCL MoD'!G57:G58)</f>
        <v>0.625351657977268</v>
      </c>
      <c r="G40" s="147">
        <f>SUM('[41]TGSPDCL MoD'!H57:H58)</f>
        <v>0.647894599862264</v>
      </c>
      <c r="H40" s="147">
        <f>SUM('[41]TGSPDCL MoD'!I57:I58)</f>
        <v>1.4164439685008</v>
      </c>
      <c r="I40" s="147">
        <f>SUM('[41]TGSPDCL MoD'!J57:J58)</f>
        <v>3.32555186467454</v>
      </c>
      <c r="J40" s="147">
        <f>SUM('[41]TGSPDCL MoD'!K57:K58)</f>
        <v>1.6796244016285</v>
      </c>
      <c r="K40" s="147">
        <f>SUM('[41]TGSPDCL MoD'!L57:L58)</f>
        <v>1.85137095786791</v>
      </c>
      <c r="L40" s="147">
        <f>SUM('[41]TGSPDCL MoD'!M57:M58)</f>
        <v>0.634981971291432</v>
      </c>
      <c r="M40" s="147">
        <f>SUM('[41]TGSPDCL MoD'!N57:N58)</f>
        <v>1.08931474039511</v>
      </c>
      <c r="N40" s="147">
        <f>SUM('[41]TGSPDCL MoD'!O57:O58)</f>
        <v>2.0785623733579</v>
      </c>
      <c r="O40" s="147">
        <f>SUM('[41]TGSPDCL MoD'!P57:P58)</f>
        <v>1.86678138440229</v>
      </c>
      <c r="P40" s="147">
        <f>SUM('[41]TGSPDCL MoD'!Q57:Q58)</f>
        <v>0.867125182224114</v>
      </c>
      <c r="Q40" s="690">
        <f t="shared" si="2"/>
        <v>16.6665884966679</v>
      </c>
    </row>
    <row r="41" spans="3:17">
      <c r="C41" s="683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3:17">
      <c r="C42" s="683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</row>
    <row r="43" spans="3:17">
      <c r="C43" s="683"/>
      <c r="D43" s="55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55"/>
    </row>
    <row r="44" spans="3:17">
      <c r="C44" s="683"/>
      <c r="D44" s="55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55"/>
    </row>
    <row r="45" spans="3:17">
      <c r="C45" s="683"/>
      <c r="D45" s="55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55"/>
    </row>
    <row r="46" spans="3:17">
      <c r="C46" s="683"/>
      <c r="D46" s="55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55"/>
    </row>
    <row r="47" spans="3:17">
      <c r="C47" s="684"/>
      <c r="D47" s="6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55"/>
    </row>
    <row r="48" ht="15" spans="3:18">
      <c r="C48" s="537" t="s">
        <v>211</v>
      </c>
      <c r="D48" s="540"/>
      <c r="E48" s="690">
        <f>SUM(E30:E47)</f>
        <v>141.846265983698</v>
      </c>
      <c r="F48" s="690">
        <f t="shared" ref="F48:P48" si="3">SUM(F30:F47)</f>
        <v>151.997973987955</v>
      </c>
      <c r="G48" s="690">
        <f t="shared" si="3"/>
        <v>157.477261442522</v>
      </c>
      <c r="H48" s="690">
        <f t="shared" si="3"/>
        <v>344.280870983805</v>
      </c>
      <c r="I48" s="690">
        <f t="shared" si="3"/>
        <v>808.308636227792</v>
      </c>
      <c r="J48" s="690">
        <f t="shared" si="3"/>
        <v>408.249507059823</v>
      </c>
      <c r="K48" s="690">
        <f t="shared" si="3"/>
        <v>449.994225019375</v>
      </c>
      <c r="L48" s="690">
        <f t="shared" si="3"/>
        <v>154.338717942096</v>
      </c>
      <c r="M48" s="690">
        <f t="shared" si="3"/>
        <v>264.768840800436</v>
      </c>
      <c r="N48" s="690">
        <f t="shared" si="3"/>
        <v>505.21537046837</v>
      </c>
      <c r="O48" s="690">
        <f t="shared" si="3"/>
        <v>453.73988329282</v>
      </c>
      <c r="P48" s="690">
        <f t="shared" si="3"/>
        <v>210.763446791393</v>
      </c>
      <c r="Q48" s="693">
        <f>SUM(E48:P48)</f>
        <v>4050.98100000009</v>
      </c>
      <c r="R48" s="686"/>
    </row>
    <row r="49" ht="15" spans="3:17">
      <c r="C49" s="44" t="s">
        <v>369</v>
      </c>
      <c r="D49" s="45"/>
      <c r="E49" s="690">
        <f>E28+E48</f>
        <v>3410.66742000113</v>
      </c>
      <c r="F49" s="690">
        <f t="shared" ref="F49:Q49" si="4">F28+F48</f>
        <v>2069.27927833477</v>
      </c>
      <c r="G49" s="690">
        <f t="shared" si="4"/>
        <v>2417.01430611328</v>
      </c>
      <c r="H49" s="690">
        <f t="shared" si="4"/>
        <v>2886.99632524224</v>
      </c>
      <c r="I49" s="690">
        <f t="shared" si="4"/>
        <v>3709.02165145134</v>
      </c>
      <c r="J49" s="690">
        <f t="shared" si="4"/>
        <v>3517.42455745259</v>
      </c>
      <c r="K49" s="690">
        <f t="shared" si="4"/>
        <v>3256.01824463833</v>
      </c>
      <c r="L49" s="690">
        <f t="shared" si="4"/>
        <v>2648.66435221491</v>
      </c>
      <c r="M49" s="690">
        <f t="shared" si="4"/>
        <v>3226.06739665051</v>
      </c>
      <c r="N49" s="690">
        <f t="shared" si="4"/>
        <v>3803.27410242794</v>
      </c>
      <c r="O49" s="690">
        <f t="shared" si="4"/>
        <v>3574.69879436898</v>
      </c>
      <c r="P49" s="690">
        <f t="shared" si="4"/>
        <v>3775.49580584086</v>
      </c>
      <c r="Q49" s="693">
        <f t="shared" si="4"/>
        <v>38294.6222347369</v>
      </c>
    </row>
    <row r="50" ht="15" spans="3:17">
      <c r="C50" s="663" t="s">
        <v>370</v>
      </c>
      <c r="D50" s="676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</row>
    <row r="51" ht="15" spans="3:17">
      <c r="C51" s="44" t="s">
        <v>350</v>
      </c>
      <c r="D51" s="4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spans="3:17">
      <c r="C52" s="682" t="s">
        <v>371</v>
      </c>
      <c r="D52" s="757" t="s">
        <v>372</v>
      </c>
      <c r="E52" s="147">
        <f>SUM('[41]TGSPDCL MoD'!F25:F30)</f>
        <v>105.142996196647</v>
      </c>
      <c r="F52" s="147">
        <f>SUM('[41]TGSPDCL MoD'!G25:G30)</f>
        <v>135.131757773959</v>
      </c>
      <c r="G52" s="147">
        <f>SUM('[41]TGSPDCL MoD'!H25:H30)</f>
        <v>137.311302254184</v>
      </c>
      <c r="H52" s="147">
        <f>SUM('[41]TGSPDCL MoD'!I25:I30)</f>
        <v>112.952756689702</v>
      </c>
      <c r="I52" s="147">
        <f>SUM('[41]TGSPDCL MoD'!J25:J30)</f>
        <v>92.018292198458</v>
      </c>
      <c r="J52" s="147">
        <f>SUM('[41]TGSPDCL MoD'!K25:K30)</f>
        <v>98.0795016101316</v>
      </c>
      <c r="K52" s="147">
        <f>SUM('[41]TGSPDCL MoD'!L25:L30)</f>
        <v>95.2672626285955</v>
      </c>
      <c r="L52" s="147">
        <f>SUM('[41]TGSPDCL MoD'!M25:M30)</f>
        <v>134.041985533847</v>
      </c>
      <c r="M52" s="147">
        <f>SUM('[41]TGSPDCL MoD'!N25:N30)</f>
        <v>90.0878385159727</v>
      </c>
      <c r="N52" s="147">
        <f>SUM('[41]TGSPDCL MoD'!O25:O30)</f>
        <v>90.7493641728174</v>
      </c>
      <c r="O52" s="147">
        <f>SUM('[41]TGSPDCL MoD'!P25:P30)</f>
        <v>105.344649877549</v>
      </c>
      <c r="P52" s="147">
        <f>SUM('[41]TGSPDCL MoD'!Q25:Q30)</f>
        <v>135.131757773959</v>
      </c>
      <c r="Q52" s="690">
        <f t="shared" ref="Q52:Q68" si="5">SUM(E52:P52)</f>
        <v>1331.25946522582</v>
      </c>
    </row>
    <row r="53" spans="3:17">
      <c r="C53" s="683"/>
      <c r="D53" s="757" t="s">
        <v>373</v>
      </c>
      <c r="E53" s="147">
        <f>'[41]TGSPDCL MoD'!F31</f>
        <v>30.018168130917</v>
      </c>
      <c r="F53" s="147">
        <f>'[41]TGSPDCL MoD'!G31</f>
        <v>35.2104999157242</v>
      </c>
      <c r="G53" s="147">
        <f>'[41]TGSPDCL MoD'!H31</f>
        <v>34.0746773377977</v>
      </c>
      <c r="H53" s="147">
        <f>'[41]TGSPDCL MoD'!I31</f>
        <v>0</v>
      </c>
      <c r="I53" s="147">
        <f>'[41]TGSPDCL MoD'!J31</f>
        <v>11.7368333052414</v>
      </c>
      <c r="J53" s="147">
        <f>'[41]TGSPDCL MoD'!K31</f>
        <v>24.339055241284</v>
      </c>
      <c r="K53" s="147">
        <f>'[41]TGSPDCL MoD'!L31</f>
        <v>25.1503570826602</v>
      </c>
      <c r="L53" s="147">
        <f>'[41]TGSPDCL MoD'!M31</f>
        <v>33.2633754964215</v>
      </c>
      <c r="M53" s="147">
        <f>'[41]TGSPDCL MoD'!N31</f>
        <v>29.3420832631035</v>
      </c>
      <c r="N53" s="147">
        <f>'[41]TGSPDCL MoD'!O31</f>
        <v>29.3420832631035</v>
      </c>
      <c r="O53" s="147">
        <f>'[41]TGSPDCL MoD'!P31</f>
        <v>28.0169569221892</v>
      </c>
      <c r="P53" s="147">
        <f>'[41]TGSPDCL MoD'!Q31</f>
        <v>33.5338094435469</v>
      </c>
      <c r="Q53" s="690">
        <f t="shared" si="5"/>
        <v>314.027899401989</v>
      </c>
    </row>
    <row r="54" spans="3:17">
      <c r="C54" s="683"/>
      <c r="D54" s="757" t="s">
        <v>374</v>
      </c>
      <c r="E54" s="147">
        <f>SUM('[41]TGSPDCL MoD'!F42:F45)</f>
        <v>95.7553010009076</v>
      </c>
      <c r="F54" s="147">
        <f>SUM('[41]TGSPDCL MoD'!G42:G45)</f>
        <v>98.2473624050465</v>
      </c>
      <c r="G54" s="147">
        <f>SUM('[41]TGSPDCL MoD'!H42:H45)</f>
        <v>95.7553010009076</v>
      </c>
      <c r="H54" s="147">
        <f>SUM('[41]TGSPDCL MoD'!I42:I45)</f>
        <v>98.9471443676044</v>
      </c>
      <c r="I54" s="147">
        <f>SUM('[41]TGSPDCL MoD'!J42:J45)</f>
        <v>98.9471443676044</v>
      </c>
      <c r="J54" s="147">
        <f>SUM('[41]TGSPDCL MoD'!K42:K45)</f>
        <v>95.7553010009076</v>
      </c>
      <c r="K54" s="147">
        <f>SUM('[41]TGSPDCL MoD'!L42:L45)</f>
        <v>91.526108540034</v>
      </c>
      <c r="L54" s="147">
        <f>SUM('[41]TGSPDCL MoD'!M42:M45)</f>
        <v>71.8164757506807</v>
      </c>
      <c r="M54" s="147">
        <f>SUM('[41]TGSPDCL MoD'!N42:N45)</f>
        <v>61.8419652297527</v>
      </c>
      <c r="N54" s="147">
        <f>SUM('[41]TGSPDCL MoD'!O42:O45)</f>
        <v>86.5787513216538</v>
      </c>
      <c r="O54" s="147">
        <f>SUM('[41]TGSPDCL MoD'!P42:P45)</f>
        <v>89.3716142675136</v>
      </c>
      <c r="P54" s="147">
        <f>SUM('[41]TGSPDCL MoD'!Q42:Q45)</f>
        <v>98.9471443676044</v>
      </c>
      <c r="Q54" s="690">
        <f t="shared" si="5"/>
        <v>1083.48961362022</v>
      </c>
    </row>
    <row r="55" spans="3:17">
      <c r="C55" s="683"/>
      <c r="D55" s="757" t="s">
        <v>375</v>
      </c>
      <c r="E55" s="147">
        <f>'[41]TGSPDCL MoD'!F40</f>
        <v>173.233040617017</v>
      </c>
      <c r="F55" s="147">
        <f>'[41]TGSPDCL MoD'!G40</f>
        <v>209.910072991965</v>
      </c>
      <c r="G55" s="147">
        <f>'[41]TGSPDCL MoD'!H40</f>
        <v>203.412789500888</v>
      </c>
      <c r="H55" s="147">
        <f>'[41]TGSPDCL MoD'!I40</f>
        <v>163.727020694246</v>
      </c>
      <c r="I55" s="147">
        <f>'[41]TGSPDCL MoD'!J40</f>
        <v>127.91173491738</v>
      </c>
      <c r="J55" s="147">
        <f>'[41]TGSPDCL MoD'!K40</f>
        <v>143.591237907252</v>
      </c>
      <c r="K55" s="147">
        <f>'[41]TGSPDCL MoD'!L40</f>
        <v>127.075608193703</v>
      </c>
      <c r="L55" s="147">
        <f>'[41]TGSPDCL MoD'!M40</f>
        <v>0</v>
      </c>
      <c r="M55" s="147">
        <f>'[41]TGSPDCL MoD'!N40</f>
        <v>84.4217450454705</v>
      </c>
      <c r="N55" s="147">
        <f>'[41]TGSPDCL MoD'!O40</f>
        <v>168.843490090941</v>
      </c>
      <c r="O55" s="147">
        <f>'[41]TGSPDCL MoD'!P40</f>
        <v>166.36777909254</v>
      </c>
      <c r="P55" s="147">
        <f>'[41]TGSPDCL MoD'!Q40</f>
        <v>201.772858876183</v>
      </c>
      <c r="Q55" s="690">
        <f t="shared" si="5"/>
        <v>1770.26737792759</v>
      </c>
    </row>
    <row r="56" spans="3:17">
      <c r="C56" s="683"/>
      <c r="D56" s="757" t="s">
        <v>376</v>
      </c>
      <c r="E56" s="147">
        <f>'[41]TGSPDCL MoD'!F41</f>
        <v>82.5175746024808</v>
      </c>
      <c r="F56" s="147">
        <f>'[41]TGSPDCL MoD'!G41</f>
        <v>102.321792507076</v>
      </c>
      <c r="G56" s="147">
        <f>'[41]TGSPDCL MoD'!H41</f>
        <v>0</v>
      </c>
      <c r="H56" s="147">
        <f>'[41]TGSPDCL MoD'!I41</f>
        <v>38.9797304788861</v>
      </c>
      <c r="I56" s="147">
        <f>'[41]TGSPDCL MoD'!J41</f>
        <v>61.2529031465888</v>
      </c>
      <c r="J56" s="147">
        <f>'[41]TGSPDCL MoD'!K41</f>
        <v>69.2399380204134</v>
      </c>
      <c r="K56" s="147">
        <f>'[41]TGSPDCL MoD'!L41</f>
        <v>64.8119725611839</v>
      </c>
      <c r="L56" s="147">
        <f>'[41]TGSPDCL MoD'!M41</f>
        <v>96.6634445343346</v>
      </c>
      <c r="M56" s="147">
        <f>'[41]TGSPDCL MoD'!N41</f>
        <v>82.8094203853406</v>
      </c>
      <c r="N56" s="147">
        <f>'[41]TGSPDCL MoD'!O41</f>
        <v>80.3956941127027</v>
      </c>
      <c r="O56" s="147">
        <f>'[41]TGSPDCL MoD'!P41</f>
        <v>79.2168716183815</v>
      </c>
      <c r="P56" s="147">
        <f>'[41]TGSPDCL MoD'!Q41</f>
        <v>97.4493261972154</v>
      </c>
      <c r="Q56" s="690">
        <f t="shared" si="5"/>
        <v>855.658668164604</v>
      </c>
    </row>
    <row r="57" spans="3:17">
      <c r="C57" s="683"/>
      <c r="D57" s="757" t="s">
        <v>377</v>
      </c>
      <c r="E57" s="147">
        <f>SUM('[41]TGSPDCL MoD'!F49:F51)</f>
        <v>87.5398913332359</v>
      </c>
      <c r="F57" s="147">
        <f>SUM('[41]TGSPDCL MoD'!G49:G51)</f>
        <v>106.421044365894</v>
      </c>
      <c r="G57" s="147">
        <f>SUM('[41]TGSPDCL MoD'!H49:H51)</f>
        <v>68.6587383005772</v>
      </c>
      <c r="H57" s="147">
        <f>SUM('[41]TGSPDCL MoD'!I49:I51)</f>
        <v>66.6756929612999</v>
      </c>
      <c r="I57" s="147">
        <f>SUM('[41]TGSPDCL MoD'!J49:J51)</f>
        <v>66.5131527286839</v>
      </c>
      <c r="J57" s="147">
        <f>SUM('[41]TGSPDCL MoD'!K49:K51)</f>
        <v>72.091675215606</v>
      </c>
      <c r="K57" s="147">
        <f>SUM('[41]TGSPDCL MoD'!L49:L51)</f>
        <v>63.8526266195367</v>
      </c>
      <c r="L57" s="147">
        <f>SUM('[41]TGSPDCL MoD'!M49:M51)</f>
        <v>68.6587383005772</v>
      </c>
      <c r="M57" s="147">
        <f>SUM('[41]TGSPDCL MoD'!N49:N51)</f>
        <v>64.350055233313</v>
      </c>
      <c r="N57" s="147">
        <f>SUM('[41]TGSPDCL MoD'!O49:O51)</f>
        <v>79.7312304248959</v>
      </c>
      <c r="O57" s="147">
        <f>SUM('[41]TGSPDCL MoD'!P49:P51)</f>
        <v>84.1069544182071</v>
      </c>
      <c r="P57" s="147">
        <f>SUM('[41]TGSPDCL MoD'!Q49:Q51)</f>
        <v>103.760518256747</v>
      </c>
      <c r="Q57" s="690">
        <f t="shared" si="5"/>
        <v>932.360318158575</v>
      </c>
    </row>
    <row r="58" spans="3:17">
      <c r="C58" s="683"/>
      <c r="D58" s="757" t="s">
        <v>378</v>
      </c>
      <c r="E58" s="147">
        <f>'[41]TGSPDCL MoD'!F53</f>
        <v>14.3096095707572</v>
      </c>
      <c r="F58" s="147">
        <f>'[41]TGSPDCL MoD'!G53</f>
        <v>17.3959959487636</v>
      </c>
      <c r="G58" s="147">
        <f>'[41]TGSPDCL MoD'!H53</f>
        <v>16.8348347891261</v>
      </c>
      <c r="H58" s="147">
        <f>'[41]TGSPDCL MoD'!I53</f>
        <v>13.7783328415257</v>
      </c>
      <c r="I58" s="147">
        <f>'[41]TGSPDCL MoD'!J53</f>
        <v>10.8724974679773</v>
      </c>
      <c r="J58" s="147">
        <f>'[41]TGSPDCL MoD'!K53</f>
        <v>11.7843843523883</v>
      </c>
      <c r="K58" s="147">
        <f>'[41]TGSPDCL MoD'!L53</f>
        <v>10.4375975692582</v>
      </c>
      <c r="L58" s="147">
        <f>'[41]TGSPDCL MoD'!M53</f>
        <v>17.2557056588542</v>
      </c>
      <c r="M58" s="147">
        <f>'[41]TGSPDCL MoD'!N53</f>
        <v>13.4818968602918</v>
      </c>
      <c r="N58" s="147">
        <f>'[41]TGSPDCL MoD'!O53</f>
        <v>13.9167967590109</v>
      </c>
      <c r="O58" s="147">
        <f>'[41]TGSPDCL MoD'!P53</f>
        <v>13.7484484111196</v>
      </c>
      <c r="P58" s="147">
        <f>'[41]TGSPDCL MoD'!Q53</f>
        <v>16.9610960500445</v>
      </c>
      <c r="Q58" s="690">
        <f t="shared" si="5"/>
        <v>170.777196279117</v>
      </c>
    </row>
    <row r="59" spans="3:17">
      <c r="C59" s="683"/>
      <c r="D59" s="757" t="s">
        <v>379</v>
      </c>
      <c r="E59" s="147">
        <f>'[41]TGSPDCL MoD'!F54</f>
        <v>62.5003784795037</v>
      </c>
      <c r="F59" s="147">
        <f>'[41]TGSPDCL MoD'!G54</f>
        <v>75.9808522692006</v>
      </c>
      <c r="G59" s="147">
        <f>'[41]TGSPDCL MoD'!H54</f>
        <v>73.5298570347103</v>
      </c>
      <c r="H59" s="147">
        <f>'[41]TGSPDCL MoD'!I54</f>
        <v>55.0861178951705</v>
      </c>
      <c r="I59" s="147">
        <f>'[41]TGSPDCL MoD'!J54</f>
        <v>47.4880326682504</v>
      </c>
      <c r="J59" s="147">
        <f>'[41]TGSPDCL MoD'!K54</f>
        <v>49.5145072653931</v>
      </c>
      <c r="K59" s="147">
        <f>'[41]TGSPDCL MoD'!L54</f>
        <v>45.5885113615204</v>
      </c>
      <c r="L59" s="147">
        <f>'[41]TGSPDCL MoD'!M54</f>
        <v>73.5298570347103</v>
      </c>
      <c r="M59" s="147">
        <f>'[41]TGSPDCL MoD'!N54</f>
        <v>53.3026121418442</v>
      </c>
      <c r="N59" s="147">
        <f>'[41]TGSPDCL MoD'!O54</f>
        <v>53.3203659878002</v>
      </c>
      <c r="O59" s="147">
        <f>'[41]TGSPDCL MoD'!P54</f>
        <v>60.0493832450134</v>
      </c>
      <c r="P59" s="147">
        <f>'[41]TGSPDCL MoD'!Q54</f>
        <v>72.2060517741675</v>
      </c>
      <c r="Q59" s="690">
        <f t="shared" si="5"/>
        <v>722.096527157285</v>
      </c>
    </row>
    <row r="60" spans="3:17">
      <c r="C60" s="684"/>
      <c r="D60" s="757" t="s">
        <v>380</v>
      </c>
      <c r="E60" s="147">
        <f>'[41]TGSPDCL MoD'!F55</f>
        <v>272.189294367698</v>
      </c>
      <c r="F60" s="147">
        <f>'[41]TGSPDCL MoD'!G55</f>
        <v>281.262270846622</v>
      </c>
      <c r="G60" s="147">
        <f>'[41]TGSPDCL MoD'!H55</f>
        <v>272.189294367698</v>
      </c>
      <c r="H60" s="147">
        <f>'[41]TGSPDCL MoD'!I55</f>
        <v>287.035401622686</v>
      </c>
      <c r="I60" s="147">
        <f>'[41]TGSPDCL MoD'!J55</f>
        <v>229.688522711869</v>
      </c>
      <c r="J60" s="147">
        <f>'[41]TGSPDCL MoD'!K55</f>
        <v>249.20324283175</v>
      </c>
      <c r="K60" s="147">
        <f>'[41]TGSPDCL MoD'!L55</f>
        <v>218.599611818115</v>
      </c>
      <c r="L60" s="147">
        <f>'[41]TGSPDCL MoD'!M55</f>
        <v>272.189294367698</v>
      </c>
      <c r="M60" s="147">
        <f>'[41]TGSPDCL MoD'!N55</f>
        <v>269.377949543243</v>
      </c>
      <c r="N60" s="147">
        <f>'[41]TGSPDCL MoD'!O55</f>
        <v>245.487023101604</v>
      </c>
      <c r="O60" s="147">
        <f>'[41]TGSPDCL MoD'!P55</f>
        <v>243.309115716478</v>
      </c>
      <c r="P60" s="147">
        <f>'[41]TGSPDCL MoD'!Q55</f>
        <v>299.088752801689</v>
      </c>
      <c r="Q60" s="690">
        <f t="shared" si="5"/>
        <v>3139.61977409715</v>
      </c>
    </row>
    <row r="61" spans="3:17">
      <c r="C61" s="684"/>
      <c r="D61" s="757" t="s">
        <v>450</v>
      </c>
      <c r="E61" s="147">
        <f>'[41]TGSPDCL MoD'!F56</f>
        <v>271.04113058171</v>
      </c>
      <c r="F61" s="147">
        <f>'[41]TGSPDCL MoD'!G56</f>
        <v>281.275213453936</v>
      </c>
      <c r="G61" s="147">
        <f>'[41]TGSPDCL MoD'!H56</f>
        <v>272.201819471551</v>
      </c>
      <c r="H61" s="147">
        <f>'[41]TGSPDCL MoD'!I56</f>
        <v>272.182494059409</v>
      </c>
      <c r="I61" s="147">
        <f>'[41]TGSPDCL MoD'!J56</f>
        <v>224.103884404988</v>
      </c>
      <c r="J61" s="147">
        <f>'[41]TGSPDCL MoD'!K56</f>
        <v>238.520643731193</v>
      </c>
      <c r="K61" s="147">
        <f>'[41]TGSPDCL MoD'!L56</f>
        <v>215.10457295904</v>
      </c>
      <c r="L61" s="147">
        <f>'[41]TGSPDCL MoD'!M56</f>
        <v>272.201819471551</v>
      </c>
      <c r="M61" s="147">
        <f>'[41]TGSPDCL MoD'!N56</f>
        <v>262.069029105925</v>
      </c>
      <c r="N61" s="147">
        <f>'[41]TGSPDCL MoD'!O56</f>
        <v>239.678174844551</v>
      </c>
      <c r="O61" s="147">
        <f>'[41]TGSPDCL MoD'!P56</f>
        <v>243.15490298689</v>
      </c>
      <c r="P61" s="147">
        <f>'[41]TGSPDCL MoD'!Q56</f>
        <v>298.252502758332</v>
      </c>
      <c r="Q61" s="690">
        <f t="shared" si="5"/>
        <v>3089.78618782908</v>
      </c>
    </row>
    <row r="62" spans="3:17">
      <c r="C62" s="55"/>
      <c r="D62" s="757" t="s">
        <v>381</v>
      </c>
      <c r="E62" s="147">
        <f>'[41]TGSPDCL MoD'!F33</f>
        <v>1.84289183914321</v>
      </c>
      <c r="F62" s="147">
        <f>'[41]TGSPDCL MoD'!G33</f>
        <v>2.24037831425265</v>
      </c>
      <c r="G62" s="147">
        <f>'[41]TGSPDCL MoD'!H33</f>
        <v>2.1681080460508</v>
      </c>
      <c r="H62" s="147">
        <f>'[41]TGSPDCL MoD'!I33</f>
        <v>1.62427427783312</v>
      </c>
      <c r="I62" s="147">
        <f>'[41]TGSPDCL MoD'!J33</f>
        <v>1.40023644640789</v>
      </c>
      <c r="J62" s="147">
        <f>'[41]TGSPDCL MoD'!K33</f>
        <v>1.40927022993309</v>
      </c>
      <c r="K62" s="147">
        <f>'[41]TGSPDCL MoD'!L33</f>
        <v>1.34422698855158</v>
      </c>
      <c r="L62" s="147">
        <f>'[41]TGSPDCL MoD'!M33</f>
        <v>2.1681080460508</v>
      </c>
      <c r="M62" s="147">
        <f>'[41]TGSPDCL MoD'!N33</f>
        <v>1.56826481997681</v>
      </c>
      <c r="N62" s="147">
        <f>'[41]TGSPDCL MoD'!O33</f>
        <v>1.5122553621205</v>
      </c>
      <c r="O62" s="147">
        <f>'[41]TGSPDCL MoD'!P33</f>
        <v>1.77062157094151</v>
      </c>
      <c r="P62" s="147">
        <f>'[41]TGSPDCL MoD'!Q33</f>
        <v>2.07234994068357</v>
      </c>
      <c r="Q62" s="690">
        <f t="shared" si="5"/>
        <v>21.1209858819455</v>
      </c>
    </row>
    <row r="63" spans="3:17">
      <c r="C63" s="55"/>
      <c r="D63" s="757" t="s">
        <v>382</v>
      </c>
      <c r="E63" s="147">
        <f>'[41]TGSPDCL MoD'!F34</f>
        <v>3.10122012409373</v>
      </c>
      <c r="F63" s="147">
        <f>'[41]TGSPDCL MoD'!G34</f>
        <v>3.13963613914444</v>
      </c>
      <c r="G63" s="147">
        <f>'[41]TGSPDCL MoD'!H34</f>
        <v>3.10122012409373</v>
      </c>
      <c r="H63" s="147">
        <f>'[41]TGSPDCL MoD'!I34</f>
        <v>3.33451010640168</v>
      </c>
      <c r="I63" s="147">
        <f>'[41]TGSPDCL MoD'!J34</f>
        <v>2.81484619371571</v>
      </c>
      <c r="J63" s="147">
        <f>'[41]TGSPDCL MoD'!K34</f>
        <v>3.16408269417671</v>
      </c>
      <c r="K63" s="147">
        <f>'[41]TGSPDCL MoD'!L34</f>
        <v>2.87980418280145</v>
      </c>
      <c r="L63" s="147">
        <f>'[41]TGSPDCL MoD'!M34</f>
        <v>3.10122012409373</v>
      </c>
      <c r="M63" s="147">
        <f>'[41]TGSPDCL MoD'!N34</f>
        <v>3.13963613914444</v>
      </c>
      <c r="N63" s="147">
        <f>'[41]TGSPDCL MoD'!O34</f>
        <v>3.20459412823019</v>
      </c>
      <c r="O63" s="147">
        <f>'[41]TGSPDCL MoD'!P34</f>
        <v>3.01181557997571</v>
      </c>
      <c r="P63" s="147">
        <f>'[41]TGSPDCL MoD'!Q34</f>
        <v>3.46442608457318</v>
      </c>
      <c r="Q63" s="690">
        <f t="shared" si="5"/>
        <v>37.4570116204447</v>
      </c>
    </row>
    <row r="64" spans="3:17">
      <c r="C64" s="55"/>
      <c r="D64" s="757" t="s">
        <v>383</v>
      </c>
      <c r="E64" s="147">
        <f>'[41]TGSPDCL MoD'!F52</f>
        <v>27.0469474121829</v>
      </c>
      <c r="F64" s="147">
        <f>'[41]TGSPDCL MoD'!G52</f>
        <v>27.9485123259223</v>
      </c>
      <c r="G64" s="147">
        <f>'[41]TGSPDCL MoD'!H52</f>
        <v>27.0469474121829</v>
      </c>
      <c r="H64" s="147">
        <f>'[41]TGSPDCL MoD'!I52</f>
        <v>30.214607919916</v>
      </c>
      <c r="I64" s="147">
        <f>'[41]TGSPDCL MoD'!J52</f>
        <v>25.1158928334302</v>
      </c>
      <c r="J64" s="147">
        <f>'[41]TGSPDCL MoD'!K52</f>
        <v>29.2399431483058</v>
      </c>
      <c r="K64" s="147">
        <f>'[41]TGSPDCL MoD'!L52</f>
        <v>26.2489406304271</v>
      </c>
      <c r="L64" s="147">
        <f>'[41]TGSPDCL MoD'!M52</f>
        <v>27.0469474121829</v>
      </c>
      <c r="M64" s="147">
        <f>'[41]TGSPDCL MoD'!N52</f>
        <v>27.9485123259223</v>
      </c>
      <c r="N64" s="147">
        <f>'[41]TGSPDCL MoD'!O52</f>
        <v>27.9485123259223</v>
      </c>
      <c r="O64" s="147">
        <f>'[41]TGSPDCL MoD'!P52</f>
        <v>27.2906136050854</v>
      </c>
      <c r="P64" s="147">
        <f>'[41]TGSPDCL MoD'!Q52</f>
        <v>30.214607919916</v>
      </c>
      <c r="Q64" s="690">
        <f t="shared" si="5"/>
        <v>333.310985271396</v>
      </c>
    </row>
    <row r="65" spans="3:17">
      <c r="C65" s="55"/>
      <c r="D65" s="757" t="s">
        <v>384</v>
      </c>
      <c r="E65" s="147">
        <f>'[41]TGSPDCL MoD'!F35</f>
        <v>0</v>
      </c>
      <c r="F65" s="147">
        <f>'[41]TGSPDCL MoD'!G35</f>
        <v>0</v>
      </c>
      <c r="G65" s="147">
        <f>'[41]TGSPDCL MoD'!H35</f>
        <v>0</v>
      </c>
      <c r="H65" s="147">
        <f>'[41]TGSPDCL MoD'!I35</f>
        <v>0</v>
      </c>
      <c r="I65" s="147">
        <f>'[41]TGSPDCL MoD'!J35</f>
        <v>0</v>
      </c>
      <c r="J65" s="147">
        <f>'[41]TGSPDCL MoD'!K35</f>
        <v>0</v>
      </c>
      <c r="K65" s="147">
        <f>'[41]TGSPDCL MoD'!L35</f>
        <v>0</v>
      </c>
      <c r="L65" s="147">
        <f>'[41]TGSPDCL MoD'!M35</f>
        <v>0</v>
      </c>
      <c r="M65" s="147">
        <f>'[41]TGSPDCL MoD'!N35</f>
        <v>0</v>
      </c>
      <c r="N65" s="147">
        <f>'[41]TGSPDCL MoD'!O35</f>
        <v>0</v>
      </c>
      <c r="O65" s="147">
        <f>'[41]TGSPDCL MoD'!P35</f>
        <v>0</v>
      </c>
      <c r="P65" s="147">
        <f>'[41]TGSPDCL MoD'!Q35</f>
        <v>0</v>
      </c>
      <c r="Q65" s="690">
        <f t="shared" si="5"/>
        <v>0</v>
      </c>
    </row>
    <row r="66" spans="3:17">
      <c r="C66" s="55"/>
      <c r="D66" s="757" t="s">
        <v>385</v>
      </c>
      <c r="E66" s="147">
        <f>E65</f>
        <v>0</v>
      </c>
      <c r="F66" s="147">
        <f t="shared" ref="F66:P66" si="6">F65</f>
        <v>0</v>
      </c>
      <c r="G66" s="147">
        <f t="shared" si="6"/>
        <v>0</v>
      </c>
      <c r="H66" s="147">
        <f t="shared" si="6"/>
        <v>0</v>
      </c>
      <c r="I66" s="147">
        <f t="shared" si="6"/>
        <v>0</v>
      </c>
      <c r="J66" s="147">
        <f t="shared" si="6"/>
        <v>0</v>
      </c>
      <c r="K66" s="147">
        <f t="shared" si="6"/>
        <v>0</v>
      </c>
      <c r="L66" s="147">
        <f t="shared" si="6"/>
        <v>0</v>
      </c>
      <c r="M66" s="147">
        <f t="shared" si="6"/>
        <v>0</v>
      </c>
      <c r="N66" s="147">
        <f t="shared" si="6"/>
        <v>0</v>
      </c>
      <c r="O66" s="147">
        <f t="shared" si="6"/>
        <v>0</v>
      </c>
      <c r="P66" s="147">
        <f t="shared" si="6"/>
        <v>0</v>
      </c>
      <c r="Q66" s="690">
        <f t="shared" si="5"/>
        <v>0</v>
      </c>
    </row>
    <row r="67" spans="3:17">
      <c r="C67" s="55"/>
      <c r="D67" s="757" t="s">
        <v>386</v>
      </c>
      <c r="E67" s="147">
        <f>'[41]TGSPDCL MoD'!F46</f>
        <v>34.2386834291743</v>
      </c>
      <c r="F67" s="147">
        <f>'[41]TGSPDCL MoD'!G46</f>
        <v>42.4559674521762</v>
      </c>
      <c r="G67" s="147">
        <f>'[41]TGSPDCL MoD'!H46</f>
        <v>41.0864201150092</v>
      </c>
      <c r="H67" s="147">
        <f>'[41]TGSPDCL MoD'!I46</f>
        <v>32.3474037730866</v>
      </c>
      <c r="I67" s="147">
        <f>'[41]TGSPDCL MoD'!J46</f>
        <v>25.2714091977239</v>
      </c>
      <c r="J67" s="147">
        <f>'[41]TGSPDCL MoD'!K46</f>
        <v>28.3691948413159</v>
      </c>
      <c r="K67" s="147">
        <f>'[41]TGSPDCL MoD'!L46</f>
        <v>25.4689961098999</v>
      </c>
      <c r="L67" s="147">
        <f>'[41]TGSPDCL MoD'!M46</f>
        <v>40.1081720170328</v>
      </c>
      <c r="M67" s="147">
        <f>'[41]TGSPDCL MoD'!N46</f>
        <v>33.3582601409956</v>
      </c>
      <c r="N67" s="147">
        <f>'[41]TGSPDCL MoD'!O46</f>
        <v>33.3582601409956</v>
      </c>
      <c r="O67" s="147">
        <f>'[41]TGSPDCL MoD'!P46</f>
        <v>32.8691360920074</v>
      </c>
      <c r="P67" s="147">
        <f>'[41]TGSPDCL MoD'!Q46</f>
        <v>40.4342547163583</v>
      </c>
      <c r="Q67" s="690">
        <f t="shared" si="5"/>
        <v>409.366158025776</v>
      </c>
    </row>
    <row r="68" spans="3:17">
      <c r="C68" s="55"/>
      <c r="D68" s="757" t="s">
        <v>387</v>
      </c>
      <c r="E68" s="147">
        <f>'[41]TGSPDCL MoD'!F47</f>
        <v>56.6472905007828</v>
      </c>
      <c r="F68" s="147">
        <f>'[41]TGSPDCL MoD'!G47</f>
        <v>0</v>
      </c>
      <c r="G68" s="147">
        <f>'[41]TGSPDCL MoD'!H47</f>
        <v>28.934946946443</v>
      </c>
      <c r="H68" s="147">
        <f>'[41]TGSPDCL MoD'!I47</f>
        <v>55.8388680799786</v>
      </c>
      <c r="I68" s="147">
        <f>'[41]TGSPDCL MoD'!J47</f>
        <v>45.901965132409</v>
      </c>
      <c r="J68" s="147">
        <f>'[41]TGSPDCL MoD'!K47</f>
        <v>48.0890667560603</v>
      </c>
      <c r="K68" s="147">
        <f>'[41]TGSPDCL MoD'!L47</f>
        <v>44.6386082939023</v>
      </c>
      <c r="L68" s="147">
        <f>'[41]TGSPDCL MoD'!M47</f>
        <v>57.8698938928862</v>
      </c>
      <c r="M68" s="147">
        <f>'[41]TGSPDCL MoD'!N47</f>
        <v>52.516863214378</v>
      </c>
      <c r="N68" s="147">
        <f>'[41]TGSPDCL MoD'!O47</f>
        <v>50.9553924864356</v>
      </c>
      <c r="O68" s="147">
        <f>'[41]TGSPDCL MoD'!P47</f>
        <v>49.8020094143925</v>
      </c>
      <c r="P68" s="147">
        <f>'[41]TGSPDCL MoD'!Q47</f>
        <v>62.3256040329956</v>
      </c>
      <c r="Q68" s="690">
        <f t="shared" si="5"/>
        <v>553.520508750664</v>
      </c>
    </row>
    <row r="69" spans="3:17">
      <c r="C69" s="55"/>
      <c r="D69" s="55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690"/>
    </row>
    <row r="70" spans="3:17">
      <c r="C70" s="55"/>
      <c r="D70" s="55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690"/>
    </row>
    <row r="71" spans="3:17">
      <c r="C71" s="55"/>
      <c r="D71" s="55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690"/>
    </row>
    <row r="72" spans="3:17">
      <c r="C72" s="55"/>
      <c r="D72" s="55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690"/>
    </row>
    <row r="73" spans="3:17">
      <c r="C73" s="55"/>
      <c r="D73" s="55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690"/>
    </row>
    <row r="74" spans="3:17">
      <c r="C74" s="55"/>
      <c r="D74" s="55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690"/>
    </row>
    <row r="75" spans="3:17">
      <c r="C75" s="55"/>
      <c r="D75" s="55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690"/>
    </row>
    <row r="76" spans="3:17">
      <c r="C76" s="55"/>
      <c r="D76" s="55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690"/>
    </row>
    <row r="77" ht="15" spans="3:17">
      <c r="C77" s="537" t="s">
        <v>211</v>
      </c>
      <c r="D77" s="540"/>
      <c r="E77" s="690">
        <f t="shared" ref="E77:P77" si="7">SUM(E52:E76)</f>
        <v>1317.12441818625</v>
      </c>
      <c r="F77" s="690">
        <f t="shared" si="7"/>
        <v>1418.94135670968</v>
      </c>
      <c r="G77" s="690">
        <f t="shared" si="7"/>
        <v>1276.30625670122</v>
      </c>
      <c r="H77" s="690">
        <f t="shared" si="7"/>
        <v>1232.72435576775</v>
      </c>
      <c r="I77" s="690">
        <f t="shared" si="7"/>
        <v>1071.03734772073</v>
      </c>
      <c r="J77" s="690">
        <f t="shared" si="7"/>
        <v>1162.39104484611</v>
      </c>
      <c r="K77" s="690">
        <f t="shared" si="7"/>
        <v>1057.99480553923</v>
      </c>
      <c r="L77" s="690">
        <f t="shared" si="7"/>
        <v>1169.91503764092</v>
      </c>
      <c r="M77" s="690">
        <f t="shared" si="7"/>
        <v>1129.61613196467</v>
      </c>
      <c r="N77" s="690">
        <f t="shared" si="7"/>
        <v>1205.02198852278</v>
      </c>
      <c r="O77" s="690">
        <f t="shared" si="7"/>
        <v>1227.43087281828</v>
      </c>
      <c r="P77" s="690">
        <f t="shared" si="7"/>
        <v>1495.61506099402</v>
      </c>
      <c r="Q77" s="693">
        <f>SUM(E77:P77)</f>
        <v>14764.1186774116</v>
      </c>
    </row>
    <row r="78" ht="15" spans="3:17">
      <c r="C78" s="44" t="s">
        <v>388</v>
      </c>
      <c r="D78" s="4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</row>
    <row r="79" spans="3:17">
      <c r="C79" s="754" t="s">
        <v>389</v>
      </c>
      <c r="D79" s="55" t="s">
        <v>390</v>
      </c>
      <c r="E79" s="147">
        <f>'[41]TGSPDCL MoD'!F32</f>
        <v>10.6900383262143</v>
      </c>
      <c r="F79" s="147">
        <f>'[41]TGSPDCL MoD'!G32</f>
        <v>11.0463729370881</v>
      </c>
      <c r="G79" s="147">
        <f>'[41]TGSPDCL MoD'!H32</f>
        <v>10.6900383262143</v>
      </c>
      <c r="H79" s="147">
        <f>'[41]TGSPDCL MoD'!I32</f>
        <v>11.0463729370881</v>
      </c>
      <c r="I79" s="147">
        <f>'[41]TGSPDCL MoD'!J32</f>
        <v>11.0463729370881</v>
      </c>
      <c r="J79" s="147">
        <f>'[41]TGSPDCL MoD'!K32</f>
        <v>10.6900383262143</v>
      </c>
      <c r="K79" s="147">
        <f>'[41]TGSPDCL MoD'!L32</f>
        <v>11.0463729370881</v>
      </c>
      <c r="L79" s="147">
        <f>'[41]TGSPDCL MoD'!M32</f>
        <v>10.6900383262143</v>
      </c>
      <c r="M79" s="147">
        <f>'[41]TGSPDCL MoD'!N32</f>
        <v>11.0463729370881</v>
      </c>
      <c r="N79" s="147">
        <f>'[41]TGSPDCL MoD'!O32</f>
        <v>11.0463729370881</v>
      </c>
      <c r="O79" s="147">
        <f>'[41]TGSPDCL MoD'!P32</f>
        <v>9.97736910446667</v>
      </c>
      <c r="P79" s="147">
        <f>'[41]TGSPDCL MoD'!Q32</f>
        <v>11.0463729370881</v>
      </c>
      <c r="Q79" s="147">
        <f t="shared" ref="Q79:Q93" si="8">SUM(E79:P79)</f>
        <v>130.062132968941</v>
      </c>
    </row>
    <row r="80" spans="3:17">
      <c r="C80" s="755"/>
      <c r="D80" s="55" t="s">
        <v>391</v>
      </c>
      <c r="E80" s="147">
        <f>'[41]TGSPDCL MoD'!F36+'[41]TGSPDCL MoD'!F37</f>
        <v>33.885484815844</v>
      </c>
      <c r="F80" s="147">
        <f>'[41]TGSPDCL MoD'!G36+'[41]TGSPDCL MoD'!G37</f>
        <v>35.015000976372</v>
      </c>
      <c r="G80" s="147">
        <f>'[41]TGSPDCL MoD'!H36+'[41]TGSPDCL MoD'!H37</f>
        <v>33.885484815844</v>
      </c>
      <c r="H80" s="147">
        <f>'[41]TGSPDCL MoD'!I36+'[41]TGSPDCL MoD'!I37</f>
        <v>35.015000976372</v>
      </c>
      <c r="I80" s="147">
        <f>'[41]TGSPDCL MoD'!J36+'[41]TGSPDCL MoD'!J37</f>
        <v>35.015000976372</v>
      </c>
      <c r="J80" s="147">
        <f>'[41]TGSPDCL MoD'!K36+'[41]TGSPDCL MoD'!K37</f>
        <v>33.885484815844</v>
      </c>
      <c r="K80" s="147">
        <f>'[41]TGSPDCL MoD'!L36+'[41]TGSPDCL MoD'!L37</f>
        <v>35.015000976372</v>
      </c>
      <c r="L80" s="147">
        <f>'[41]TGSPDCL MoD'!M36+'[41]TGSPDCL MoD'!M37</f>
        <v>33.885484815844</v>
      </c>
      <c r="M80" s="147">
        <f>'[41]TGSPDCL MoD'!N36+'[41]TGSPDCL MoD'!N37</f>
        <v>35.015000976372</v>
      </c>
      <c r="N80" s="147">
        <f>'[41]TGSPDCL MoD'!O36+'[41]TGSPDCL MoD'!O37</f>
        <v>35.015000976372</v>
      </c>
      <c r="O80" s="147">
        <f>'[41]TGSPDCL MoD'!P36+'[41]TGSPDCL MoD'!P37</f>
        <v>31.6264524947876</v>
      </c>
      <c r="P80" s="147">
        <f>'[41]TGSPDCL MoD'!Q36+'[41]TGSPDCL MoD'!Q37</f>
        <v>35.015000976372</v>
      </c>
      <c r="Q80" s="147">
        <f t="shared" si="8"/>
        <v>412.273398592768</v>
      </c>
    </row>
    <row r="81" spans="3:17">
      <c r="C81" s="755"/>
      <c r="D81" s="55" t="s">
        <v>392</v>
      </c>
      <c r="E81" s="147">
        <f>'[41]TGSPDCL MoD'!F38+'[41]TGSPDCL MoD'!F39</f>
        <v>33.885484815844</v>
      </c>
      <c r="F81" s="147">
        <f>'[41]TGSPDCL MoD'!G38+'[41]TGSPDCL MoD'!G39</f>
        <v>35.015000976372</v>
      </c>
      <c r="G81" s="147">
        <f>'[41]TGSPDCL MoD'!H38+'[41]TGSPDCL MoD'!H39</f>
        <v>33.885484815844</v>
      </c>
      <c r="H81" s="147">
        <f>'[41]TGSPDCL MoD'!I38+'[41]TGSPDCL MoD'!I39</f>
        <v>35.015000976372</v>
      </c>
      <c r="I81" s="147">
        <f>'[41]TGSPDCL MoD'!J38+'[41]TGSPDCL MoD'!J39</f>
        <v>35.015000976372</v>
      </c>
      <c r="J81" s="147">
        <f>'[41]TGSPDCL MoD'!K38+'[41]TGSPDCL MoD'!K39</f>
        <v>33.885484815844</v>
      </c>
      <c r="K81" s="147">
        <f>'[41]TGSPDCL MoD'!L38+'[41]TGSPDCL MoD'!L39</f>
        <v>35.015000976372</v>
      </c>
      <c r="L81" s="147">
        <f>'[41]TGSPDCL MoD'!M38+'[41]TGSPDCL MoD'!M39</f>
        <v>33.885484815844</v>
      </c>
      <c r="M81" s="147">
        <f>'[41]TGSPDCL MoD'!N38+'[41]TGSPDCL MoD'!N39</f>
        <v>35.015000976372</v>
      </c>
      <c r="N81" s="147">
        <f>'[41]TGSPDCL MoD'!O38+'[41]TGSPDCL MoD'!O39</f>
        <v>35.015000976372</v>
      </c>
      <c r="O81" s="147">
        <f>'[41]TGSPDCL MoD'!P38+'[41]TGSPDCL MoD'!P39</f>
        <v>31.6264524947876</v>
      </c>
      <c r="P81" s="147">
        <f>'[41]TGSPDCL MoD'!Q38+'[41]TGSPDCL MoD'!Q39</f>
        <v>35.015000976372</v>
      </c>
      <c r="Q81" s="147">
        <f t="shared" si="8"/>
        <v>412.273398592768</v>
      </c>
    </row>
    <row r="82" spans="3:17">
      <c r="C82" s="756"/>
      <c r="D82" s="55" t="s">
        <v>393</v>
      </c>
      <c r="E82" s="147">
        <f>'[41]TGSPDCL MoD'!F48</f>
        <v>26.3560434906438</v>
      </c>
      <c r="F82" s="147">
        <f>'[41]TGSPDCL MoD'!G48</f>
        <v>27.2345782736653</v>
      </c>
      <c r="G82" s="147">
        <f>'[41]TGSPDCL MoD'!H48</f>
        <v>26.3560434906438</v>
      </c>
      <c r="H82" s="147">
        <f>'[41]TGSPDCL MoD'!I48</f>
        <v>27.2345782736653</v>
      </c>
      <c r="I82" s="147">
        <f>'[41]TGSPDCL MoD'!J48</f>
        <v>27.2345782736653</v>
      </c>
      <c r="J82" s="147">
        <f>'[41]TGSPDCL MoD'!K48</f>
        <v>26.3560434906438</v>
      </c>
      <c r="K82" s="147">
        <f>'[41]TGSPDCL MoD'!L48</f>
        <v>27.2345782736653</v>
      </c>
      <c r="L82" s="147">
        <f>'[41]TGSPDCL MoD'!M48</f>
        <v>26.3560434906438</v>
      </c>
      <c r="M82" s="147">
        <f>'[41]TGSPDCL MoD'!N48</f>
        <v>27.2345782736653</v>
      </c>
      <c r="N82" s="147">
        <f>'[41]TGSPDCL MoD'!O48</f>
        <v>27.2345782736653</v>
      </c>
      <c r="O82" s="147">
        <f>'[41]TGSPDCL MoD'!P48</f>
        <v>24.5989739246009</v>
      </c>
      <c r="P82" s="147">
        <f>'[41]TGSPDCL MoD'!Q48</f>
        <v>27.2345782736653</v>
      </c>
      <c r="Q82" s="147">
        <f t="shared" si="8"/>
        <v>320.665195802833</v>
      </c>
    </row>
    <row r="83" spans="3:17">
      <c r="C83" s="55"/>
      <c r="D83" s="55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55">
        <f t="shared" si="8"/>
        <v>0</v>
      </c>
    </row>
    <row r="84" spans="3:17">
      <c r="C84" s="55"/>
      <c r="D84" s="55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55">
        <f t="shared" si="8"/>
        <v>0</v>
      </c>
    </row>
    <row r="85" spans="3:17">
      <c r="C85" s="55"/>
      <c r="D85" s="55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55">
        <f t="shared" si="8"/>
        <v>0</v>
      </c>
    </row>
    <row r="86" spans="3:17">
      <c r="C86" s="55"/>
      <c r="D86" s="55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55">
        <f t="shared" si="8"/>
        <v>0</v>
      </c>
    </row>
    <row r="87" spans="3:17">
      <c r="C87" s="55"/>
      <c r="D87" s="55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55">
        <f t="shared" si="8"/>
        <v>0</v>
      </c>
    </row>
    <row r="88" spans="3:17">
      <c r="C88" s="55"/>
      <c r="D88" s="55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55">
        <f t="shared" si="8"/>
        <v>0</v>
      </c>
    </row>
    <row r="89" spans="3:17">
      <c r="C89" s="55"/>
      <c r="D89" s="55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55">
        <f t="shared" si="8"/>
        <v>0</v>
      </c>
    </row>
    <row r="90" spans="3:17">
      <c r="C90" s="55"/>
      <c r="D90" s="55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55">
        <f t="shared" si="8"/>
        <v>0</v>
      </c>
    </row>
    <row r="91" spans="3:17">
      <c r="C91" s="55"/>
      <c r="D91" s="55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55">
        <f t="shared" si="8"/>
        <v>0</v>
      </c>
    </row>
    <row r="92" spans="3:17">
      <c r="C92" s="55"/>
      <c r="D92" s="55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55">
        <f t="shared" si="8"/>
        <v>0</v>
      </c>
    </row>
    <row r="93" ht="15" spans="3:18">
      <c r="C93" s="537" t="s">
        <v>211</v>
      </c>
      <c r="D93" s="540"/>
      <c r="E93" s="690">
        <f>SUM(E79:E92)</f>
        <v>104.817051448546</v>
      </c>
      <c r="F93" s="690">
        <f t="shared" ref="F93:P93" si="9">SUM(F79:F92)</f>
        <v>108.310953163497</v>
      </c>
      <c r="G93" s="690">
        <f t="shared" si="9"/>
        <v>104.817051448546</v>
      </c>
      <c r="H93" s="690">
        <f t="shared" si="9"/>
        <v>108.310953163497</v>
      </c>
      <c r="I93" s="690">
        <f t="shared" si="9"/>
        <v>108.310953163497</v>
      </c>
      <c r="J93" s="690">
        <f t="shared" si="9"/>
        <v>104.817051448546</v>
      </c>
      <c r="K93" s="690">
        <f t="shared" si="9"/>
        <v>108.310953163497</v>
      </c>
      <c r="L93" s="690">
        <f t="shared" si="9"/>
        <v>104.817051448546</v>
      </c>
      <c r="M93" s="690">
        <f t="shared" si="9"/>
        <v>108.310953163497</v>
      </c>
      <c r="N93" s="690">
        <f t="shared" si="9"/>
        <v>108.310953163497</v>
      </c>
      <c r="O93" s="690">
        <f t="shared" si="9"/>
        <v>97.8292480186428</v>
      </c>
      <c r="P93" s="690">
        <f t="shared" si="9"/>
        <v>108.310953163497</v>
      </c>
      <c r="Q93" s="693">
        <f t="shared" si="8"/>
        <v>1275.27412595731</v>
      </c>
      <c r="R93" s="686"/>
    </row>
    <row r="94" ht="15" spans="3:18">
      <c r="C94" s="44" t="s">
        <v>395</v>
      </c>
      <c r="D94" s="45"/>
      <c r="E94" s="690">
        <f>E77+E93</f>
        <v>1421.9414696348</v>
      </c>
      <c r="F94" s="690">
        <f t="shared" ref="F94:Q94" si="10">F77+F93</f>
        <v>1527.25230987318</v>
      </c>
      <c r="G94" s="690">
        <f t="shared" si="10"/>
        <v>1381.12330814977</v>
      </c>
      <c r="H94" s="690">
        <f t="shared" si="10"/>
        <v>1341.03530893124</v>
      </c>
      <c r="I94" s="690">
        <f t="shared" si="10"/>
        <v>1179.34830088423</v>
      </c>
      <c r="J94" s="690">
        <f t="shared" si="10"/>
        <v>1267.20809629466</v>
      </c>
      <c r="K94" s="690">
        <f t="shared" si="10"/>
        <v>1166.30575870273</v>
      </c>
      <c r="L94" s="690">
        <f t="shared" si="10"/>
        <v>1274.73208908947</v>
      </c>
      <c r="M94" s="690">
        <f t="shared" si="10"/>
        <v>1237.92708512817</v>
      </c>
      <c r="N94" s="690">
        <f t="shared" si="10"/>
        <v>1313.33294168628</v>
      </c>
      <c r="O94" s="690">
        <f t="shared" si="10"/>
        <v>1325.26012083693</v>
      </c>
      <c r="P94" s="690">
        <f t="shared" si="10"/>
        <v>1603.92601415751</v>
      </c>
      <c r="Q94" s="693">
        <f t="shared" si="10"/>
        <v>16039.392803369</v>
      </c>
      <c r="R94" s="686"/>
    </row>
    <row r="95" ht="15" spans="3:17">
      <c r="C95" s="663" t="s">
        <v>396</v>
      </c>
      <c r="D95" s="676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</row>
    <row r="96" spans="3:17">
      <c r="C96" s="55" t="s">
        <v>397</v>
      </c>
      <c r="D96" s="757" t="s">
        <v>397</v>
      </c>
      <c r="E96" s="147">
        <f>'[41]TGSPDCL MoD'!F23</f>
        <v>109.921568329</v>
      </c>
      <c r="F96" s="147">
        <f>'[41]TGSPDCL MoD'!G23</f>
        <v>113.585620606633</v>
      </c>
      <c r="G96" s="147">
        <f>'[41]TGSPDCL MoD'!H23</f>
        <v>109.921568329</v>
      </c>
      <c r="H96" s="147">
        <f>'[41]TGSPDCL MoD'!I23</f>
        <v>122.795265520684</v>
      </c>
      <c r="I96" s="147">
        <f>'[41]TGSPDCL MoD'!J23</f>
        <v>102.073564464069</v>
      </c>
      <c r="J96" s="147">
        <f>'[41]TGSPDCL MoD'!K23</f>
        <v>118.834127923243</v>
      </c>
      <c r="K96" s="147">
        <f>'[41]TGSPDCL MoD'!L23</f>
        <v>106.678386921095</v>
      </c>
      <c r="L96" s="147">
        <f>'[41]TGSPDCL MoD'!M23</f>
        <v>109.921568329</v>
      </c>
      <c r="M96" s="147">
        <f>'[41]TGSPDCL MoD'!N23</f>
        <v>113.585620606633</v>
      </c>
      <c r="N96" s="147">
        <f>'[41]TGSPDCL MoD'!O23</f>
        <v>113.585620606633</v>
      </c>
      <c r="O96" s="147">
        <f>'[41]TGSPDCL MoD'!P23</f>
        <v>110.91185272836</v>
      </c>
      <c r="P96" s="147">
        <f>'[41]TGSPDCL MoD'!Q23</f>
        <v>122.795265520685</v>
      </c>
      <c r="Q96" s="147">
        <f t="shared" ref="Q96:Q97" si="11">SUM(E96:P96)</f>
        <v>1354.61002988503</v>
      </c>
    </row>
    <row r="97" spans="3:17">
      <c r="C97" s="55" t="s">
        <v>398</v>
      </c>
      <c r="D97" s="757" t="s">
        <v>398</v>
      </c>
      <c r="E97" s="147">
        <f>'[41]TGSPDCL MoD'!F24</f>
        <v>0</v>
      </c>
      <c r="F97" s="147">
        <f>'[41]TGSPDCL MoD'!G24</f>
        <v>0</v>
      </c>
      <c r="G97" s="147">
        <f>'[41]TGSPDCL MoD'!H24</f>
        <v>0</v>
      </c>
      <c r="H97" s="147">
        <f>'[41]TGSPDCL MoD'!I24</f>
        <v>0</v>
      </c>
      <c r="I97" s="147">
        <f>'[41]TGSPDCL MoD'!J24</f>
        <v>0</v>
      </c>
      <c r="J97" s="147">
        <f>'[41]TGSPDCL MoD'!K24</f>
        <v>0</v>
      </c>
      <c r="K97" s="147">
        <f>'[41]TGSPDCL MoD'!L24</f>
        <v>0</v>
      </c>
      <c r="L97" s="147">
        <f>'[41]TGSPDCL MoD'!M24</f>
        <v>0</v>
      </c>
      <c r="M97" s="147">
        <f>'[41]TGSPDCL MoD'!N24</f>
        <v>0</v>
      </c>
      <c r="N97" s="147">
        <f>'[41]TGSPDCL MoD'!O24</f>
        <v>0</v>
      </c>
      <c r="O97" s="147">
        <f>'[41]TGSPDCL MoD'!P24</f>
        <v>0</v>
      </c>
      <c r="P97" s="147">
        <f>'[41]TGSPDCL MoD'!Q24</f>
        <v>0</v>
      </c>
      <c r="Q97" s="147">
        <f t="shared" si="11"/>
        <v>0</v>
      </c>
    </row>
    <row r="98" spans="3:17">
      <c r="C98" s="55"/>
      <c r="D98" s="55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55"/>
    </row>
    <row r="99" spans="3:17">
      <c r="C99" s="55"/>
      <c r="D99" s="55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55"/>
    </row>
    <row r="100" spans="3:17">
      <c r="C100" s="55"/>
      <c r="D100" s="55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55"/>
    </row>
    <row r="101" spans="3:17">
      <c r="C101" s="55"/>
      <c r="D101" s="55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55"/>
    </row>
    <row r="102" spans="3:17">
      <c r="C102" s="55"/>
      <c r="D102" s="55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55"/>
    </row>
    <row r="103" ht="15" spans="3:18">
      <c r="C103" s="44" t="s">
        <v>399</v>
      </c>
      <c r="D103" s="45"/>
      <c r="E103" s="147">
        <f>SUM(E96:E102)</f>
        <v>109.921568329</v>
      </c>
      <c r="F103" s="147">
        <f t="shared" ref="F103:P103" si="12">SUM(F96:F102)</f>
        <v>113.585620606633</v>
      </c>
      <c r="G103" s="147">
        <f t="shared" si="12"/>
        <v>109.921568329</v>
      </c>
      <c r="H103" s="147">
        <f t="shared" si="12"/>
        <v>122.795265520684</v>
      </c>
      <c r="I103" s="147">
        <f t="shared" si="12"/>
        <v>102.073564464069</v>
      </c>
      <c r="J103" s="147">
        <f t="shared" si="12"/>
        <v>118.834127923243</v>
      </c>
      <c r="K103" s="147">
        <f t="shared" si="12"/>
        <v>106.678386921095</v>
      </c>
      <c r="L103" s="147">
        <f t="shared" si="12"/>
        <v>109.921568329</v>
      </c>
      <c r="M103" s="147">
        <f t="shared" si="12"/>
        <v>113.585620606633</v>
      </c>
      <c r="N103" s="147">
        <f t="shared" si="12"/>
        <v>113.585620606633</v>
      </c>
      <c r="O103" s="147">
        <f t="shared" si="12"/>
        <v>110.91185272836</v>
      </c>
      <c r="P103" s="147">
        <f t="shared" si="12"/>
        <v>122.795265520685</v>
      </c>
      <c r="Q103" s="316">
        <f>SUM(E103:P103)</f>
        <v>1354.61002988503</v>
      </c>
      <c r="R103" s="686"/>
    </row>
    <row r="104" ht="15" spans="3:17">
      <c r="C104" s="663" t="s">
        <v>400</v>
      </c>
      <c r="D104" s="676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</row>
    <row r="105" spans="3:17">
      <c r="C105" s="55" t="s">
        <v>401</v>
      </c>
      <c r="D105" s="757" t="s">
        <v>401</v>
      </c>
      <c r="E105" s="147">
        <f>'[41]TGSPDCL MoD'!F20+'[41]TGSPDCL MoD'!F21+'[41]TGSPDCL MoD'!F22</f>
        <v>790.297070580537</v>
      </c>
      <c r="F105" s="147">
        <f>'[41]TGSPDCL MoD'!G20+'[41]TGSPDCL MoD'!G21+'[41]TGSPDCL MoD'!G22</f>
        <v>248.13832033944</v>
      </c>
      <c r="G105" s="147">
        <f>'[41]TGSPDCL MoD'!H20+'[41]TGSPDCL MoD'!H21+'[41]TGSPDCL MoD'!H22</f>
        <v>282.447720647622</v>
      </c>
      <c r="H105" s="147">
        <f>'[41]TGSPDCL MoD'!I20+'[41]TGSPDCL MoD'!I21+'[41]TGSPDCL MoD'!I22</f>
        <v>717.37800877164</v>
      </c>
      <c r="I105" s="147">
        <f>'[41]TGSPDCL MoD'!J20+'[41]TGSPDCL MoD'!J21+'[41]TGSPDCL MoD'!J22</f>
        <v>689.010761364372</v>
      </c>
      <c r="J105" s="147">
        <f>'[41]TGSPDCL MoD'!K20+'[41]TGSPDCL MoD'!K21+'[41]TGSPDCL MoD'!K22</f>
        <v>774.545008157125</v>
      </c>
      <c r="K105" s="147">
        <f>'[41]TGSPDCL MoD'!L20+'[41]TGSPDCL MoD'!L21+'[41]TGSPDCL MoD'!L22</f>
        <v>662.926228724924</v>
      </c>
      <c r="L105" s="147">
        <f>'[41]TGSPDCL MoD'!M20+'[41]TGSPDCL MoD'!M21+'[41]TGSPDCL MoD'!M22</f>
        <v>800.452371180632</v>
      </c>
      <c r="M105" s="147">
        <f>'[41]TGSPDCL MoD'!N20+'[41]TGSPDCL MoD'!N21+'[41]TGSPDCL MoD'!N22</f>
        <v>818.077253343785</v>
      </c>
      <c r="N105" s="147">
        <f>'[41]TGSPDCL MoD'!O20+'[41]TGSPDCL MoD'!O21+'[41]TGSPDCL MoD'!O22</f>
        <v>754.081543775891</v>
      </c>
      <c r="O105" s="147">
        <f>'[41]TGSPDCL MoD'!P20+'[41]TGSPDCL MoD'!P21+'[41]TGSPDCL MoD'!P22</f>
        <v>738.105610085807</v>
      </c>
      <c r="P105" s="147">
        <f>'[41]TGSPDCL MoD'!Q20+'[41]TGSPDCL MoD'!Q21+'[41]TGSPDCL MoD'!Q22</f>
        <v>916.380135379096</v>
      </c>
      <c r="Q105" s="147">
        <f t="shared" ref="Q105:Q107" si="13">SUM(E105:P105)</f>
        <v>8191.84003235087</v>
      </c>
    </row>
    <row r="106" spans="3:17">
      <c r="C106" s="55" t="s">
        <v>402</v>
      </c>
      <c r="D106" s="757" t="s">
        <v>402</v>
      </c>
      <c r="E106" s="147">
        <v>0</v>
      </c>
      <c r="F106" s="147">
        <v>0</v>
      </c>
      <c r="G106" s="147">
        <v>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55">
        <f t="shared" si="13"/>
        <v>0</v>
      </c>
    </row>
    <row r="107" spans="3:17">
      <c r="C107" s="55" t="s">
        <v>403</v>
      </c>
      <c r="D107" s="757" t="s">
        <v>403</v>
      </c>
      <c r="E107" s="147">
        <f>'F9-Year(n+1)'!I107</f>
        <v>0</v>
      </c>
      <c r="F107" s="147">
        <f>'F9-Year(n+1)'!J107</f>
        <v>0</v>
      </c>
      <c r="G107" s="147">
        <f>'F9-Year(n+1)'!K107</f>
        <v>0</v>
      </c>
      <c r="H107" s="147">
        <f>'F9-Year(n+1)'!L107</f>
        <v>0</v>
      </c>
      <c r="I107" s="147">
        <f>'F9-Year(n+1)'!M107</f>
        <v>0</v>
      </c>
      <c r="J107" s="147">
        <f>'F9-Year(n+1)'!N107</f>
        <v>0</v>
      </c>
      <c r="K107" s="147">
        <f>'F9-Year(n+1)'!O107</f>
        <v>0</v>
      </c>
      <c r="L107" s="147">
        <f>'F9-Year(n+1)'!P107</f>
        <v>0</v>
      </c>
      <c r="M107" s="147">
        <f>'F9-Year(n+1)'!Q107</f>
        <v>0</v>
      </c>
      <c r="N107" s="147">
        <f>'F9-Year(n+1)'!R107</f>
        <v>0</v>
      </c>
      <c r="O107" s="147">
        <f>'F9-Year(n+1)'!S107</f>
        <v>0</v>
      </c>
      <c r="P107" s="147">
        <f>'F9-Year(n+1)'!T107</f>
        <v>0</v>
      </c>
      <c r="Q107" s="55">
        <f t="shared" si="13"/>
        <v>0</v>
      </c>
    </row>
    <row r="108" spans="3:17">
      <c r="C108" s="55"/>
      <c r="D108" s="55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55"/>
    </row>
    <row r="109" spans="3:17">
      <c r="C109" s="55"/>
      <c r="D109" s="55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55"/>
    </row>
    <row r="110" spans="3:17">
      <c r="C110" s="55"/>
      <c r="D110" s="55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55"/>
    </row>
    <row r="111" spans="3:17">
      <c r="C111" s="55"/>
      <c r="D111" s="55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55"/>
    </row>
    <row r="112" spans="3:17">
      <c r="C112" s="55"/>
      <c r="D112" s="55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55"/>
    </row>
    <row r="113" ht="15" spans="3:18">
      <c r="C113" s="44" t="s">
        <v>404</v>
      </c>
      <c r="D113" s="45"/>
      <c r="E113" s="147">
        <f>SUM(E105:E112)</f>
        <v>790.297070580537</v>
      </c>
      <c r="F113" s="147">
        <f t="shared" ref="F113:P113" si="14">SUM(F105:F112)</f>
        <v>248.13832033944</v>
      </c>
      <c r="G113" s="147">
        <f t="shared" si="14"/>
        <v>282.447720647622</v>
      </c>
      <c r="H113" s="147">
        <f t="shared" si="14"/>
        <v>717.37800877164</v>
      </c>
      <c r="I113" s="147">
        <f t="shared" si="14"/>
        <v>689.010761364372</v>
      </c>
      <c r="J113" s="147">
        <f t="shared" si="14"/>
        <v>774.545008157125</v>
      </c>
      <c r="K113" s="147">
        <f t="shared" si="14"/>
        <v>662.926228724924</v>
      </c>
      <c r="L113" s="147">
        <f t="shared" si="14"/>
        <v>800.452371180632</v>
      </c>
      <c r="M113" s="147">
        <f t="shared" si="14"/>
        <v>818.077253343785</v>
      </c>
      <c r="N113" s="147">
        <f t="shared" si="14"/>
        <v>754.081543775891</v>
      </c>
      <c r="O113" s="147">
        <f t="shared" si="14"/>
        <v>738.105610085807</v>
      </c>
      <c r="P113" s="147">
        <f t="shared" si="14"/>
        <v>916.380135379096</v>
      </c>
      <c r="Q113" s="316">
        <f>SUM(E113:P113)</f>
        <v>8191.84003235087</v>
      </c>
      <c r="R113" s="686"/>
    </row>
    <row r="114" ht="15" spans="3:17">
      <c r="C114" s="663" t="s">
        <v>405</v>
      </c>
      <c r="D114" s="676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</row>
    <row r="115" spans="3:17">
      <c r="C115" s="55"/>
      <c r="D115" s="757" t="s">
        <v>406</v>
      </c>
      <c r="E115" s="147">
        <f>'[41]TGSPDCL MoD'!$F$104</f>
        <v>0.0324651300743771</v>
      </c>
      <c r="F115" s="147">
        <f>'[41]TGSPDCL MoD'!$F$104</f>
        <v>0.0324651300743771</v>
      </c>
      <c r="G115" s="147">
        <f>'[41]TGSPDCL MoD'!$F$104</f>
        <v>0.0324651300743771</v>
      </c>
      <c r="H115" s="147">
        <f>'[41]TGSPDCL MoD'!$F$104</f>
        <v>0.0324651300743771</v>
      </c>
      <c r="I115" s="147">
        <f>'[41]TGSPDCL MoD'!$F$104</f>
        <v>0.0324651300743771</v>
      </c>
      <c r="J115" s="147">
        <f>'[41]TGSPDCL MoD'!$F$104</f>
        <v>0.0324651300743771</v>
      </c>
      <c r="K115" s="147">
        <f>'[41]TGSPDCL MoD'!$F$104</f>
        <v>0.0324651300743771</v>
      </c>
      <c r="L115" s="147">
        <f>'[41]TGSPDCL MoD'!$F$104</f>
        <v>0.0324651300743771</v>
      </c>
      <c r="M115" s="147">
        <f>'[41]TGSPDCL MoD'!$F$104</f>
        <v>0.0324651300743771</v>
      </c>
      <c r="N115" s="147">
        <f>'[41]TGSPDCL MoD'!$F$104</f>
        <v>0.0324651300743771</v>
      </c>
      <c r="O115" s="147">
        <f>'[41]TGSPDCL MoD'!$F$104</f>
        <v>0.0324651300743771</v>
      </c>
      <c r="P115" s="147">
        <f>'[41]TGSPDCL MoD'!$F$104</f>
        <v>0.0324651300743771</v>
      </c>
      <c r="Q115" s="690">
        <f t="shared" ref="Q115:Q128" si="15">SUM(E115:P115)</f>
        <v>0.389581560892525</v>
      </c>
    </row>
    <row r="116" spans="3:17">
      <c r="C116" s="55"/>
      <c r="D116" s="757" t="s">
        <v>407</v>
      </c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690">
        <f t="shared" si="15"/>
        <v>0</v>
      </c>
    </row>
    <row r="117" spans="3:17">
      <c r="C117" s="55"/>
      <c r="D117" s="757" t="s">
        <v>408</v>
      </c>
      <c r="E117" s="147">
        <f>'[41]TGSPDCL MoD'!F101</f>
        <v>8.33472884848195</v>
      </c>
      <c r="F117" s="147">
        <f>'[41]TGSPDCL MoD'!G101</f>
        <v>5.86049620717238</v>
      </c>
      <c r="G117" s="147">
        <f>'[41]TGSPDCL MoD'!H101</f>
        <v>4.87268313981352</v>
      </c>
      <c r="H117" s="147">
        <f>'[41]TGSPDCL MoD'!I101</f>
        <v>6.88031947530495</v>
      </c>
      <c r="I117" s="147">
        <f>'[41]TGSPDCL MoD'!J101</f>
        <v>6.88031947530495</v>
      </c>
      <c r="J117" s="147">
        <f>'[41]TGSPDCL MoD'!K101</f>
        <v>4.90467759528434</v>
      </c>
      <c r="K117" s="147">
        <f>'[41]TGSPDCL MoD'!L101</f>
        <v>6.88031947530495</v>
      </c>
      <c r="L117" s="147">
        <f>'[41]TGSPDCL MoD'!M101</f>
        <v>6.46486128905375</v>
      </c>
      <c r="M117" s="147">
        <f>'[41]TGSPDCL MoD'!N101</f>
        <v>10.550812000489</v>
      </c>
      <c r="N117" s="147">
        <f>'[41]TGSPDCL MoD'!O101</f>
        <v>10.7271121569393</v>
      </c>
      <c r="O117" s="147">
        <f>'[41]TGSPDCL MoD'!P101</f>
        <v>11.3145431655633</v>
      </c>
      <c r="P117" s="147">
        <f>'[41]TGSPDCL MoD'!Q101</f>
        <v>11.3623983894778</v>
      </c>
      <c r="Q117" s="690">
        <f t="shared" si="15"/>
        <v>95.0332712181902</v>
      </c>
    </row>
    <row r="118" spans="3:17">
      <c r="C118" s="55"/>
      <c r="D118" s="757" t="s">
        <v>409</v>
      </c>
      <c r="E118" s="147">
        <f>'[41]TGSPDCL MoD'!F102</f>
        <v>3.54769956660696</v>
      </c>
      <c r="F118" s="147">
        <f>'[41]TGSPDCL MoD'!G102</f>
        <v>2.49453584300754</v>
      </c>
      <c r="G118" s="147">
        <f>'[41]TGSPDCL MoD'!H102</f>
        <v>2.07407057597057</v>
      </c>
      <c r="H118" s="147">
        <f>'[41]TGSPDCL MoD'!I102</f>
        <v>2.9286263373886</v>
      </c>
      <c r="I118" s="147">
        <f>'[41]TGSPDCL MoD'!J102</f>
        <v>2.9286263373886</v>
      </c>
      <c r="J118" s="147">
        <f>'[41]TGSPDCL MoD'!K102</f>
        <v>2.08768910128448</v>
      </c>
      <c r="K118" s="147">
        <f>'[41]TGSPDCL MoD'!L102</f>
        <v>2.9286263373886</v>
      </c>
      <c r="L118" s="147">
        <f>'[41]TGSPDCL MoD'!M102</f>
        <v>2.7517854522079</v>
      </c>
      <c r="M118" s="147">
        <f>'[41]TGSPDCL MoD'!N102</f>
        <v>4.49098127149079</v>
      </c>
      <c r="N118" s="147">
        <f>'[41]TGSPDCL MoD'!O102</f>
        <v>4.56602390335099</v>
      </c>
      <c r="O118" s="147">
        <f>'[41]TGSPDCL MoD'!P102</f>
        <v>4.81606547909902</v>
      </c>
      <c r="P118" s="147">
        <f>'[41]TGSPDCL MoD'!Q102</f>
        <v>4.83643518280839</v>
      </c>
      <c r="Q118" s="690">
        <f t="shared" si="15"/>
        <v>40.4511653879924</v>
      </c>
    </row>
    <row r="119" spans="3:17">
      <c r="C119" s="55"/>
      <c r="D119" s="757" t="s">
        <v>410</v>
      </c>
      <c r="E119" s="147">
        <f>'[41]TGSPDCL MoD'!F99+'[41]TGSPDCL MoD'!F100</f>
        <v>17.8877326582744</v>
      </c>
      <c r="F119" s="147">
        <f>'[41]TGSPDCL MoD'!G99+'[41]TGSPDCL MoD'!G100</f>
        <v>15.3393762974831</v>
      </c>
      <c r="G119" s="147">
        <f>'[41]TGSPDCL MoD'!H99+'[41]TGSPDCL MoD'!H100</f>
        <v>36.4872053187195</v>
      </c>
      <c r="H119" s="147">
        <f>'[41]TGSPDCL MoD'!I99+'[41]TGSPDCL MoD'!I100</f>
        <v>53.0728966490135</v>
      </c>
      <c r="I119" s="147">
        <f>'[41]TGSPDCL MoD'!J99+'[41]TGSPDCL MoD'!J100</f>
        <v>28.9608081523128</v>
      </c>
      <c r="J119" s="147">
        <f>'[41]TGSPDCL MoD'!K99+'[41]TGSPDCL MoD'!K100</f>
        <v>21.2969304433099</v>
      </c>
      <c r="K119" s="147">
        <f>'[41]TGSPDCL MoD'!L99+'[41]TGSPDCL MoD'!L100</f>
        <v>12.9150820557443</v>
      </c>
      <c r="L119" s="147">
        <f>'[41]TGSPDCL MoD'!M99+'[41]TGSPDCL MoD'!M100</f>
        <v>17.9336137560102</v>
      </c>
      <c r="M119" s="147">
        <f>'[41]TGSPDCL MoD'!N99+'[41]TGSPDCL MoD'!N100</f>
        <v>20.5065430300108</v>
      </c>
      <c r="N119" s="147">
        <f>'[41]TGSPDCL MoD'!O99+'[41]TGSPDCL MoD'!O100</f>
        <v>19.8326364722087</v>
      </c>
      <c r="O119" s="147">
        <f>'[41]TGSPDCL MoD'!P99+'[41]TGSPDCL MoD'!P100</f>
        <v>13.5981560882846</v>
      </c>
      <c r="P119" s="147">
        <f>'[41]TGSPDCL MoD'!Q99+'[41]TGSPDCL MoD'!Q100</f>
        <v>17.6604866515882</v>
      </c>
      <c r="Q119" s="690">
        <f t="shared" si="15"/>
        <v>275.49146757296</v>
      </c>
    </row>
    <row r="120" spans="3:17">
      <c r="C120" s="55"/>
      <c r="D120" s="757" t="s">
        <v>368</v>
      </c>
      <c r="E120" s="147">
        <f>'[41]TGSPDCL MoD'!$F$103</f>
        <v>0.0078979694305466</v>
      </c>
      <c r="F120" s="147">
        <f>'[41]TGSPDCL MoD'!$F$103</f>
        <v>0.0078979694305466</v>
      </c>
      <c r="G120" s="147">
        <f>'[41]TGSPDCL MoD'!$F$103</f>
        <v>0.0078979694305466</v>
      </c>
      <c r="H120" s="147">
        <f>'[41]TGSPDCL MoD'!$F$103</f>
        <v>0.0078979694305466</v>
      </c>
      <c r="I120" s="147">
        <f>'[41]TGSPDCL MoD'!$F$103</f>
        <v>0.0078979694305466</v>
      </c>
      <c r="J120" s="147">
        <f>'[41]TGSPDCL MoD'!$F$103</f>
        <v>0.0078979694305466</v>
      </c>
      <c r="K120" s="147">
        <f>'[41]TGSPDCL MoD'!$F$103</f>
        <v>0.0078979694305466</v>
      </c>
      <c r="L120" s="147">
        <f>'[41]TGSPDCL MoD'!$F$103</f>
        <v>0.0078979694305466</v>
      </c>
      <c r="M120" s="147">
        <f>'[41]TGSPDCL MoD'!$F$103</f>
        <v>0.0078979694305466</v>
      </c>
      <c r="N120" s="147">
        <f>'[41]TGSPDCL MoD'!$F$103</f>
        <v>0.0078979694305466</v>
      </c>
      <c r="O120" s="147">
        <f>'[41]TGSPDCL MoD'!$F$103</f>
        <v>0.0078979694305466</v>
      </c>
      <c r="P120" s="147">
        <f>'[41]TGSPDCL MoD'!$F$103</f>
        <v>0.0078979694305466</v>
      </c>
      <c r="Q120" s="690">
        <f t="shared" si="15"/>
        <v>0.0947756331665592</v>
      </c>
    </row>
    <row r="121" spans="3:17">
      <c r="C121" s="55"/>
      <c r="D121" s="757" t="s">
        <v>411</v>
      </c>
      <c r="E121" s="147">
        <f>'[41]TGSPDCL MoD'!F114</f>
        <v>509.848987203644</v>
      </c>
      <c r="F121" s="147">
        <f>'[41]TGSPDCL MoD'!G114</f>
        <v>525.735546791605</v>
      </c>
      <c r="G121" s="147">
        <f>'[41]TGSPDCL MoD'!H114</f>
        <v>492.220294879434</v>
      </c>
      <c r="H121" s="147">
        <f>'[41]TGSPDCL MoD'!I114</f>
        <v>385.513523164352</v>
      </c>
      <c r="I121" s="147">
        <f>'[41]TGSPDCL MoD'!J114</f>
        <v>474.154449347189</v>
      </c>
      <c r="J121" s="147">
        <f>'[41]TGSPDCL MoD'!K114</f>
        <v>417.951861403251</v>
      </c>
      <c r="K121" s="147">
        <f>'[41]TGSPDCL MoD'!L114</f>
        <v>512.399429903294</v>
      </c>
      <c r="L121" s="147">
        <f>'[41]TGSPDCL MoD'!M114</f>
        <v>395.09650975343</v>
      </c>
      <c r="M121" s="147">
        <f>'[41]TGSPDCL MoD'!N114</f>
        <v>433.112797203532</v>
      </c>
      <c r="N121" s="147">
        <f>'[41]TGSPDCL MoD'!O114</f>
        <v>461.761680498471</v>
      </c>
      <c r="O121" s="147">
        <f>'[41]TGSPDCL MoD'!P114</f>
        <v>473.968827164304</v>
      </c>
      <c r="P121" s="147">
        <f>'[41]TGSPDCL MoD'!Q114</f>
        <v>508.227914662151</v>
      </c>
      <c r="Q121" s="690">
        <f t="shared" si="15"/>
        <v>5589.99182197466</v>
      </c>
    </row>
    <row r="122" spans="3:17">
      <c r="C122" s="55"/>
      <c r="D122" s="757" t="s">
        <v>412</v>
      </c>
      <c r="E122" s="147">
        <f>'[41]TGSPDCL MoD'!F107</f>
        <v>8.39984873959942</v>
      </c>
      <c r="F122" s="147">
        <f>'[41]TGSPDCL MoD'!G107</f>
        <v>8.66158250956022</v>
      </c>
      <c r="G122" s="147">
        <f>'[41]TGSPDCL MoD'!H107</f>
        <v>8.10941303664263</v>
      </c>
      <c r="H122" s="147">
        <f>'[41]TGSPDCL MoD'!I107</f>
        <v>6.35140083225701</v>
      </c>
      <c r="I122" s="147">
        <f>'[41]TGSPDCL MoD'!J107</f>
        <v>7.81177516026648</v>
      </c>
      <c r="J122" s="147">
        <f>'[41]TGSPDCL MoD'!K107</f>
        <v>6.88582796932982</v>
      </c>
      <c r="K122" s="147">
        <f>'[41]TGSPDCL MoD'!L107</f>
        <v>8.44186771665688</v>
      </c>
      <c r="L122" s="147">
        <f>'[41]TGSPDCL MoD'!M107</f>
        <v>6.5092821654403</v>
      </c>
      <c r="M122" s="147">
        <f>'[41]TGSPDCL MoD'!N107</f>
        <v>7.13560696403099</v>
      </c>
      <c r="N122" s="147">
        <f>'[41]TGSPDCL MoD'!O107</f>
        <v>7.60760218668661</v>
      </c>
      <c r="O122" s="147">
        <f>'[41]TGSPDCL MoD'!P107</f>
        <v>7.80871700324727</v>
      </c>
      <c r="P122" s="147">
        <f>'[41]TGSPDCL MoD'!Q107</f>
        <v>8.37314129389253</v>
      </c>
      <c r="Q122" s="690">
        <f t="shared" si="15"/>
        <v>92.0960655776101</v>
      </c>
    </row>
    <row r="123" spans="3:17">
      <c r="C123" s="55"/>
      <c r="D123" s="757" t="s">
        <v>413</v>
      </c>
      <c r="E123" s="147">
        <f>'[41]TGSPDCL MoD'!F108</f>
        <v>73.3427386854875</v>
      </c>
      <c r="F123" s="147">
        <f>'[41]TGSPDCL MoD'!G108</f>
        <v>75.6280502536477</v>
      </c>
      <c r="G123" s="147">
        <f>'[41]TGSPDCL MoD'!H108</f>
        <v>70.8068180365269</v>
      </c>
      <c r="H123" s="147">
        <f>'[41]TGSPDCL MoD'!I108</f>
        <v>55.4568476133332</v>
      </c>
      <c r="I123" s="147">
        <f>'[41]TGSPDCL MoD'!J108</f>
        <v>68.2080120738614</v>
      </c>
      <c r="J123" s="147">
        <f>'[41]TGSPDCL MoD'!K108</f>
        <v>60.1231637668587</v>
      </c>
      <c r="K123" s="147">
        <f>'[41]TGSPDCL MoD'!L108</f>
        <v>73.7096246794732</v>
      </c>
      <c r="L123" s="147">
        <f>'[41]TGSPDCL MoD'!M108</f>
        <v>56.8353783133432</v>
      </c>
      <c r="M123" s="147">
        <f>'[41]TGSPDCL MoD'!N108</f>
        <v>62.3040929842063</v>
      </c>
      <c r="N123" s="147">
        <f>'[41]TGSPDCL MoD'!O108</f>
        <v>66.4252888948936</v>
      </c>
      <c r="O123" s="147">
        <f>'[41]TGSPDCL MoD'!P108</f>
        <v>68.1813099726602</v>
      </c>
      <c r="P123" s="147">
        <f>'[41]TGSPDCL MoD'!Q108</f>
        <v>73.1095443420938</v>
      </c>
      <c r="Q123" s="690">
        <f t="shared" si="15"/>
        <v>804.130869616386</v>
      </c>
    </row>
    <row r="124" spans="3:17">
      <c r="C124" s="55"/>
      <c r="D124" s="757" t="s">
        <v>414</v>
      </c>
      <c r="E124" s="147">
        <f>'[41]TGSPDCL MoD'!F109</f>
        <v>73.3427386854875</v>
      </c>
      <c r="F124" s="147">
        <f>'[41]TGSPDCL MoD'!G109</f>
        <v>75.6280502536477</v>
      </c>
      <c r="G124" s="147">
        <f>'[41]TGSPDCL MoD'!H109</f>
        <v>70.8068180365269</v>
      </c>
      <c r="H124" s="147">
        <f>'[41]TGSPDCL MoD'!I109</f>
        <v>55.4568476133332</v>
      </c>
      <c r="I124" s="147">
        <f>'[41]TGSPDCL MoD'!J109</f>
        <v>68.2080120738614</v>
      </c>
      <c r="J124" s="147">
        <f>'[41]TGSPDCL MoD'!K109</f>
        <v>60.1231637668587</v>
      </c>
      <c r="K124" s="147">
        <f>'[41]TGSPDCL MoD'!L109</f>
        <v>73.7096246794731</v>
      </c>
      <c r="L124" s="147">
        <f>'[41]TGSPDCL MoD'!M109</f>
        <v>56.8353783133432</v>
      </c>
      <c r="M124" s="147">
        <f>'[41]TGSPDCL MoD'!N109</f>
        <v>62.3040929842063</v>
      </c>
      <c r="N124" s="147">
        <f>'[41]TGSPDCL MoD'!O109</f>
        <v>66.4252888948936</v>
      </c>
      <c r="O124" s="147">
        <f>'[41]TGSPDCL MoD'!P109</f>
        <v>68.1813099726602</v>
      </c>
      <c r="P124" s="147">
        <f>'[41]TGSPDCL MoD'!Q109</f>
        <v>73.1095443420938</v>
      </c>
      <c r="Q124" s="690">
        <f t="shared" si="15"/>
        <v>804.130869616386</v>
      </c>
    </row>
    <row r="125" spans="3:17">
      <c r="C125" s="55"/>
      <c r="D125" s="757" t="s">
        <v>415</v>
      </c>
      <c r="E125" s="147">
        <f>'[41]TGSPDCL MoD'!F110</f>
        <v>283.286328172696</v>
      </c>
      <c r="F125" s="147">
        <f>'[41]TGSPDCL MoD'!G110</f>
        <v>292.113344104714</v>
      </c>
      <c r="G125" s="147">
        <f>'[41]TGSPDCL MoD'!H110</f>
        <v>273.491334666085</v>
      </c>
      <c r="H125" s="147">
        <f>'[41]TGSPDCL MoD'!I110</f>
        <v>214.202073906499</v>
      </c>
      <c r="I125" s="147">
        <f>'[41]TGSPDCL MoD'!J110</f>
        <v>263.45344663529</v>
      </c>
      <c r="J125" s="147">
        <f>'[41]TGSPDCL MoD'!K110</f>
        <v>232.225720049492</v>
      </c>
      <c r="K125" s="147">
        <f>'[41]TGSPDCL MoD'!L110</f>
        <v>284.703425324465</v>
      </c>
      <c r="L125" s="147">
        <f>'[41]TGSPDCL MoD'!M110</f>
        <v>219.526648735288</v>
      </c>
      <c r="M125" s="147">
        <f>'[41]TGSPDCL MoD'!N110</f>
        <v>240.649559151497</v>
      </c>
      <c r="N125" s="147">
        <f>'[41]TGSPDCL MoD'!O110</f>
        <v>256.567678356527</v>
      </c>
      <c r="O125" s="147">
        <f>'[41]TGSPDCL MoD'!P110</f>
        <v>263.3503097694</v>
      </c>
      <c r="P125" s="147">
        <f>'[41]TGSPDCL MoD'!Q110</f>
        <v>282.385615021337</v>
      </c>
      <c r="Q125" s="690">
        <f t="shared" si="15"/>
        <v>3105.95548389329</v>
      </c>
    </row>
    <row r="126" spans="3:17">
      <c r="C126" s="55"/>
      <c r="D126" s="757" t="s">
        <v>416</v>
      </c>
      <c r="E126" s="147">
        <f>'[41]TGSPDCL MoD'!F111</f>
        <v>0</v>
      </c>
      <c r="F126" s="147">
        <f>'[41]TGSPDCL MoD'!G111</f>
        <v>0</v>
      </c>
      <c r="G126" s="147">
        <f>'[41]TGSPDCL MoD'!H111</f>
        <v>0</v>
      </c>
      <c r="H126" s="147">
        <f>'[41]TGSPDCL MoD'!I111</f>
        <v>0</v>
      </c>
      <c r="I126" s="147">
        <f>'[41]TGSPDCL MoD'!J111</f>
        <v>0</v>
      </c>
      <c r="J126" s="147">
        <f>'[41]TGSPDCL MoD'!K111</f>
        <v>0</v>
      </c>
      <c r="K126" s="147">
        <f>'[41]TGSPDCL MoD'!L111</f>
        <v>0</v>
      </c>
      <c r="L126" s="147">
        <f>'[41]TGSPDCL MoD'!M111</f>
        <v>0</v>
      </c>
      <c r="M126" s="147">
        <f>'[41]TGSPDCL MoD'!N111</f>
        <v>0</v>
      </c>
      <c r="N126" s="147">
        <f>'[41]TGSPDCL MoD'!O111</f>
        <v>0</v>
      </c>
      <c r="O126" s="147">
        <f>'[41]TGSPDCL MoD'!P111</f>
        <v>0</v>
      </c>
      <c r="P126" s="147">
        <f>'[41]TGSPDCL MoD'!Q111</f>
        <v>0</v>
      </c>
      <c r="Q126" s="690">
        <f t="shared" si="15"/>
        <v>0</v>
      </c>
    </row>
    <row r="127" spans="3:17">
      <c r="C127" s="55"/>
      <c r="D127" s="757" t="s">
        <v>417</v>
      </c>
      <c r="E127" s="147">
        <f>'[41]TGSPDCL MoD'!F112</f>
        <v>310.239784639612</v>
      </c>
      <c r="F127" s="147">
        <f>'[41]TGSPDCL MoD'!G112</f>
        <v>319.90665257293</v>
      </c>
      <c r="G127" s="147">
        <f>'[41]TGSPDCL MoD'!H112</f>
        <v>299.512840294509</v>
      </c>
      <c r="H127" s="147">
        <f>'[41]TGSPDCL MoD'!I112</f>
        <v>234.582465404399</v>
      </c>
      <c r="I127" s="147">
        <f>'[41]TGSPDCL MoD'!J112</f>
        <v>288.519891072434</v>
      </c>
      <c r="J127" s="147">
        <f>'[41]TGSPDCL MoD'!K112</f>
        <v>254.320982733812</v>
      </c>
      <c r="K127" s="147">
        <f>'[41]TGSPDCL MoD'!L112</f>
        <v>311.791712394171</v>
      </c>
      <c r="L127" s="147">
        <f>'[41]TGSPDCL MoD'!M112</f>
        <v>240.413650265442</v>
      </c>
      <c r="M127" s="147">
        <f>'[41]TGSPDCL MoD'!N112</f>
        <v>263.546313323193</v>
      </c>
      <c r="N127" s="147">
        <f>'[41]TGSPDCL MoD'!O112</f>
        <v>280.9789720254</v>
      </c>
      <c r="O127" s="147">
        <f>'[41]TGSPDCL MoD'!P112</f>
        <v>288.406941184353</v>
      </c>
      <c r="P127" s="147">
        <f>'[41]TGSPDCL MoD'!Q112</f>
        <v>309.253372567057</v>
      </c>
      <c r="Q127" s="690">
        <f t="shared" si="15"/>
        <v>3401.47357847731</v>
      </c>
    </row>
    <row r="128" spans="3:17">
      <c r="C128" s="55"/>
      <c r="D128" s="757" t="s">
        <v>418</v>
      </c>
      <c r="E128" s="147">
        <f>'[41]TGSPDCL MoD'!F113</f>
        <v>183.356846713719</v>
      </c>
      <c r="F128" s="147">
        <f>'[41]TGSPDCL MoD'!G113</f>
        <v>189.070125634119</v>
      </c>
      <c r="G128" s="147">
        <f>'[41]TGSPDCL MoD'!H113</f>
        <v>177.017045091317</v>
      </c>
      <c r="H128" s="147">
        <f>'[41]TGSPDCL MoD'!I113</f>
        <v>138.642119033333</v>
      </c>
      <c r="I128" s="147">
        <f>'[41]TGSPDCL MoD'!J113</f>
        <v>170.520030184653</v>
      </c>
      <c r="J128" s="147">
        <f>'[41]TGSPDCL MoD'!K113</f>
        <v>150.307909417147</v>
      </c>
      <c r="K128" s="147">
        <f>'[41]TGSPDCL MoD'!L113</f>
        <v>184.274061698683</v>
      </c>
      <c r="L128" s="147">
        <f>'[41]TGSPDCL MoD'!M113</f>
        <v>142.088445783358</v>
      </c>
      <c r="M128" s="147">
        <f>'[41]TGSPDCL MoD'!N113</f>
        <v>155.760232460516</v>
      </c>
      <c r="N128" s="147">
        <f>'[41]TGSPDCL MoD'!O113</f>
        <v>166.063222237234</v>
      </c>
      <c r="O128" s="147">
        <f>'[41]TGSPDCL MoD'!P113</f>
        <v>170.453274931651</v>
      </c>
      <c r="P128" s="147">
        <f>'[41]TGSPDCL MoD'!Q113</f>
        <v>182.773860855235</v>
      </c>
      <c r="Q128" s="690">
        <f t="shared" si="15"/>
        <v>2010.32717404097</v>
      </c>
    </row>
    <row r="129" spans="3:17">
      <c r="C129" s="55"/>
      <c r="D129" s="55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690"/>
    </row>
    <row r="130" spans="3:17">
      <c r="C130" s="55"/>
      <c r="D130" s="55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690"/>
    </row>
    <row r="131" spans="3:17">
      <c r="C131" s="55"/>
      <c r="D131" s="55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690"/>
    </row>
    <row r="132" spans="3:17">
      <c r="C132" s="55"/>
      <c r="D132" s="55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690"/>
    </row>
    <row r="133" spans="3:17">
      <c r="C133" s="55"/>
      <c r="D133" s="55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690"/>
    </row>
    <row r="134" spans="3:17">
      <c r="C134" s="55"/>
      <c r="D134" s="5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690"/>
    </row>
    <row r="135" spans="3:17">
      <c r="C135" s="55"/>
      <c r="D135" s="55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690"/>
    </row>
    <row r="136" spans="3:17">
      <c r="C136" s="55"/>
      <c r="D136" s="55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690"/>
    </row>
    <row r="137" spans="3:17">
      <c r="C137" s="55"/>
      <c r="D137" s="55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690"/>
    </row>
    <row r="138" spans="3:17">
      <c r="C138" s="55"/>
      <c r="D138" s="55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690"/>
    </row>
    <row r="139" ht="15" spans="3:18">
      <c r="C139" s="44" t="s">
        <v>421</v>
      </c>
      <c r="D139" s="45"/>
      <c r="E139" s="690">
        <f>SUM(E115:E138)</f>
        <v>1471.62779701311</v>
      </c>
      <c r="F139" s="690">
        <f t="shared" ref="F139:P139" si="16">SUM(F115:F138)</f>
        <v>1510.47812356739</v>
      </c>
      <c r="G139" s="690">
        <f t="shared" si="16"/>
        <v>1435.43888617505</v>
      </c>
      <c r="H139" s="690">
        <f t="shared" si="16"/>
        <v>1153.12748312872</v>
      </c>
      <c r="I139" s="690">
        <f t="shared" si="16"/>
        <v>1379.68573361207</v>
      </c>
      <c r="J139" s="690">
        <f t="shared" si="16"/>
        <v>1210.26828934613</v>
      </c>
      <c r="K139" s="690">
        <f t="shared" si="16"/>
        <v>1471.79413736416</v>
      </c>
      <c r="L139" s="690">
        <f t="shared" si="16"/>
        <v>1144.49591692642</v>
      </c>
      <c r="M139" s="690">
        <f t="shared" si="16"/>
        <v>1260.40139447268</v>
      </c>
      <c r="N139" s="690">
        <f t="shared" si="16"/>
        <v>1340.99586872611</v>
      </c>
      <c r="O139" s="690">
        <f t="shared" si="16"/>
        <v>1370.11981783073</v>
      </c>
      <c r="P139" s="690">
        <f t="shared" si="16"/>
        <v>1471.13267640724</v>
      </c>
      <c r="Q139" s="693">
        <f>SUM(E139:P139)</f>
        <v>16219.5661245698</v>
      </c>
      <c r="R139" s="686"/>
    </row>
    <row r="140" ht="15" spans="3:17">
      <c r="C140" s="663" t="s">
        <v>422</v>
      </c>
      <c r="D140" s="676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</row>
    <row r="141" spans="3:17">
      <c r="C141" s="55"/>
      <c r="D141" s="757" t="s">
        <v>423</v>
      </c>
      <c r="E141" s="147">
        <f>'[41]ST,D-D'!D16</f>
        <v>305.642743063911</v>
      </c>
      <c r="F141" s="147">
        <f>'[41]ST,D-D'!E16</f>
        <v>1474.90393227482</v>
      </c>
      <c r="G141" s="147">
        <f>'[41]ST,D-D'!F16</f>
        <v>950.115724163643</v>
      </c>
      <c r="H141" s="147">
        <f>'[41]ST,D-D'!G16</f>
        <v>126.672663594045</v>
      </c>
      <c r="I141" s="147">
        <f>'[41]ST,D-D'!H16</f>
        <v>5.39092557874847</v>
      </c>
      <c r="J141" s="147">
        <f>'[41]ST,D-D'!I16</f>
        <v>62.190507379185</v>
      </c>
      <c r="K141" s="147">
        <f>'[41]ST,D-D'!J16</f>
        <v>0</v>
      </c>
      <c r="L141" s="147">
        <f>'[41]ST,D-D'!K16</f>
        <v>389.956468615001</v>
      </c>
      <c r="M141" s="147">
        <f>'[41]ST,D-D'!L16</f>
        <v>158.435393028083</v>
      </c>
      <c r="N141" s="147">
        <f>'[41]ST,D-D'!M16</f>
        <v>134.841341330226</v>
      </c>
      <c r="O141" s="147">
        <f>'[41]ST,D-D'!N16</f>
        <v>661.420146745556</v>
      </c>
      <c r="P141" s="147">
        <f>'[41]ST,D-D'!O16</f>
        <v>1253.58024486411</v>
      </c>
      <c r="Q141" s="55">
        <f t="shared" ref="Q141" si="17">SUM(E141:P141)</f>
        <v>5523.15009063733</v>
      </c>
    </row>
    <row r="142" spans="3:17">
      <c r="C142" s="55"/>
      <c r="D142" s="55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55"/>
    </row>
    <row r="143" spans="3:17">
      <c r="C143" s="55"/>
      <c r="D143" s="55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55"/>
    </row>
    <row r="144" spans="3:17">
      <c r="C144" s="55"/>
      <c r="D144" s="55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55"/>
    </row>
    <row r="145" spans="3:17">
      <c r="C145" s="55"/>
      <c r="D145" s="55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55"/>
    </row>
    <row r="146" spans="3:17">
      <c r="C146" s="55"/>
      <c r="D146" s="55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55"/>
    </row>
    <row r="147" spans="3:17">
      <c r="C147" s="55"/>
      <c r="D147" s="55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55"/>
    </row>
    <row r="148" spans="3:17">
      <c r="C148" s="55"/>
      <c r="D148" s="55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55"/>
    </row>
    <row r="149" spans="3:17">
      <c r="C149" s="55"/>
      <c r="D149" s="55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55"/>
    </row>
    <row r="150" spans="3:17">
      <c r="C150" s="55"/>
      <c r="D150" s="55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55"/>
    </row>
    <row r="151" spans="3:17">
      <c r="C151" s="55"/>
      <c r="D151" s="55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55"/>
    </row>
    <row r="152" ht="15" spans="3:18">
      <c r="C152" s="44" t="s">
        <v>424</v>
      </c>
      <c r="D152" s="45"/>
      <c r="E152" s="55">
        <f>SUM(E141:E151)</f>
        <v>305.642743063911</v>
      </c>
      <c r="F152" s="55">
        <f t="shared" ref="F152:P152" si="18">SUM(F141:F151)</f>
        <v>1474.90393227482</v>
      </c>
      <c r="G152" s="55">
        <f t="shared" si="18"/>
        <v>950.115724163643</v>
      </c>
      <c r="H152" s="55">
        <f t="shared" si="18"/>
        <v>126.672663594045</v>
      </c>
      <c r="I152" s="55">
        <f t="shared" si="18"/>
        <v>5.39092557874847</v>
      </c>
      <c r="J152" s="55">
        <f t="shared" si="18"/>
        <v>62.190507379185</v>
      </c>
      <c r="K152" s="55">
        <f t="shared" si="18"/>
        <v>0</v>
      </c>
      <c r="L152" s="55">
        <f t="shared" si="18"/>
        <v>389.956468615001</v>
      </c>
      <c r="M152" s="55">
        <f t="shared" si="18"/>
        <v>158.435393028083</v>
      </c>
      <c r="N152" s="55">
        <f t="shared" si="18"/>
        <v>134.841341330226</v>
      </c>
      <c r="O152" s="55">
        <f t="shared" si="18"/>
        <v>661.420146745556</v>
      </c>
      <c r="P152" s="55">
        <f t="shared" si="18"/>
        <v>1253.58024486411</v>
      </c>
      <c r="Q152" s="316">
        <f>SUM(E152:P152)</f>
        <v>5523.15009063733</v>
      </c>
      <c r="R152" s="686"/>
    </row>
    <row r="153" ht="15" spans="3:17">
      <c r="C153" s="663" t="s">
        <v>425</v>
      </c>
      <c r="D153" s="676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</row>
    <row r="154" spans="3:17">
      <c r="C154" s="55" t="s">
        <v>426</v>
      </c>
      <c r="D154" s="757" t="s">
        <v>427</v>
      </c>
      <c r="E154" s="147">
        <f>'[41]ST,D-D'!D20</f>
        <v>361.255859286046</v>
      </c>
      <c r="F154" s="147">
        <f>'[41]ST,D-D'!E20</f>
        <v>638.220090507092</v>
      </c>
      <c r="G154" s="147">
        <f>'[41]ST,D-D'!F20</f>
        <v>660.96766373913</v>
      </c>
      <c r="H154" s="147">
        <f>'[41]ST,D-D'!G20</f>
        <v>572.234380074791</v>
      </c>
      <c r="I154" s="147">
        <f>'[41]ST,D-D'!H20</f>
        <v>706.415135610559</v>
      </c>
      <c r="J154" s="147">
        <f>'[41]ST,D-D'!I20</f>
        <v>681.549168524583</v>
      </c>
      <c r="K154" s="147">
        <f>'[41]ST,D-D'!J20</f>
        <v>685.257135232333</v>
      </c>
      <c r="L154" s="147">
        <f>'[41]ST,D-D'!K20</f>
        <v>622.451147678284</v>
      </c>
      <c r="M154" s="147">
        <f>'[41]ST,D-D'!L20</f>
        <v>443.511971351129</v>
      </c>
      <c r="N154" s="147">
        <f>'[41]ST,D-D'!M20</f>
        <v>426.176589383515</v>
      </c>
      <c r="O154" s="147">
        <f>'[41]ST,D-D'!N20</f>
        <v>59.7484760477141</v>
      </c>
      <c r="P154" s="147">
        <f>'[41]ST,D-D'!O20</f>
        <v>59.9327479065005</v>
      </c>
      <c r="Q154" s="55">
        <f t="shared" ref="Q154:Q156" si="19">SUM(E154:P154)</f>
        <v>5917.72036534168</v>
      </c>
    </row>
    <row r="155" spans="3:17">
      <c r="C155" s="55" t="s">
        <v>426</v>
      </c>
      <c r="D155" s="757" t="s">
        <v>428</v>
      </c>
      <c r="E155" s="147">
        <f>'F9-Year(n+1)'!I155</f>
        <v>0</v>
      </c>
      <c r="F155" s="147">
        <f>'F9-Year(n+1)'!J155</f>
        <v>0</v>
      </c>
      <c r="G155" s="147">
        <f>'F9-Year(n+1)'!K155</f>
        <v>0</v>
      </c>
      <c r="H155" s="147">
        <f>'F9-Year(n+1)'!L155</f>
        <v>0</v>
      </c>
      <c r="I155" s="147">
        <f>'F9-Year(n+1)'!M155</f>
        <v>0</v>
      </c>
      <c r="J155" s="147">
        <f>'F9-Year(n+1)'!N155</f>
        <v>0</v>
      </c>
      <c r="K155" s="147">
        <f>'F9-Year(n+1)'!O155</f>
        <v>0</v>
      </c>
      <c r="L155" s="147">
        <f>'F9-Year(n+1)'!P155</f>
        <v>0</v>
      </c>
      <c r="M155" s="147">
        <f>'F9-Year(n+1)'!Q155</f>
        <v>0</v>
      </c>
      <c r="N155" s="147">
        <f>'F9-Year(n+1)'!R155</f>
        <v>0</v>
      </c>
      <c r="O155" s="147">
        <f>-'[41]ST,D-D'!N18</f>
        <v>0</v>
      </c>
      <c r="P155" s="147">
        <f>'F9-Year(n+1)'!T155</f>
        <v>0</v>
      </c>
      <c r="Q155" s="55">
        <f t="shared" si="19"/>
        <v>0</v>
      </c>
    </row>
    <row r="156" spans="3:17">
      <c r="C156" s="55"/>
      <c r="D156" s="758" t="s">
        <v>477</v>
      </c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>
        <f t="shared" si="19"/>
        <v>0</v>
      </c>
    </row>
    <row r="157" ht="15" spans="3:18">
      <c r="C157" s="44" t="s">
        <v>429</v>
      </c>
      <c r="D157" s="45"/>
      <c r="E157" s="759">
        <f>SUM(E154:E155)</f>
        <v>361.255859286046</v>
      </c>
      <c r="F157" s="759">
        <f t="shared" ref="F157:P157" si="20">SUM(F154:F155)</f>
        <v>638.220090507092</v>
      </c>
      <c r="G157" s="759">
        <f t="shared" si="20"/>
        <v>660.96766373913</v>
      </c>
      <c r="H157" s="759">
        <f t="shared" si="20"/>
        <v>572.234380074791</v>
      </c>
      <c r="I157" s="759">
        <f t="shared" si="20"/>
        <v>706.415135610559</v>
      </c>
      <c r="J157" s="759">
        <f t="shared" si="20"/>
        <v>681.549168524583</v>
      </c>
      <c r="K157" s="759">
        <f t="shared" si="20"/>
        <v>685.257135232333</v>
      </c>
      <c r="L157" s="759">
        <f t="shared" si="20"/>
        <v>622.451147678284</v>
      </c>
      <c r="M157" s="759">
        <f t="shared" si="20"/>
        <v>443.511971351129</v>
      </c>
      <c r="N157" s="759">
        <f t="shared" si="20"/>
        <v>426.176589383515</v>
      </c>
      <c r="O157" s="759">
        <f t="shared" si="20"/>
        <v>59.7484760477141</v>
      </c>
      <c r="P157" s="759">
        <f t="shared" si="20"/>
        <v>59.9327479065005</v>
      </c>
      <c r="Q157" s="760">
        <f>Q154-Q155</f>
        <v>5917.72036534168</v>
      </c>
      <c r="R157" s="686"/>
    </row>
    <row r="158" ht="15" spans="3:18">
      <c r="C158" s="44" t="s">
        <v>224</v>
      </c>
      <c r="D158" s="45"/>
      <c r="E158" s="759">
        <f t="shared" ref="E158:Q158" si="21">E49+E94+E103+E113+E139+E152+E157</f>
        <v>7871.35392790853</v>
      </c>
      <c r="F158" s="759">
        <f t="shared" si="21"/>
        <v>7581.85767550333</v>
      </c>
      <c r="G158" s="759">
        <f t="shared" si="21"/>
        <v>7237.02917731749</v>
      </c>
      <c r="H158" s="759">
        <f t="shared" si="21"/>
        <v>6920.23943526336</v>
      </c>
      <c r="I158" s="759">
        <f t="shared" si="21"/>
        <v>7770.94607296538</v>
      </c>
      <c r="J158" s="759">
        <f t="shared" si="21"/>
        <v>7632.01975507752</v>
      </c>
      <c r="K158" s="759">
        <f t="shared" si="21"/>
        <v>7348.97989158356</v>
      </c>
      <c r="L158" s="759">
        <f t="shared" si="21"/>
        <v>6990.67391403371</v>
      </c>
      <c r="M158" s="759">
        <f t="shared" si="21"/>
        <v>7258.00611458099</v>
      </c>
      <c r="N158" s="759">
        <f t="shared" si="21"/>
        <v>7886.2880079366</v>
      </c>
      <c r="O158" s="759">
        <f t="shared" si="21"/>
        <v>7840.26481864407</v>
      </c>
      <c r="P158" s="759">
        <f t="shared" si="21"/>
        <v>9203.242890076</v>
      </c>
      <c r="Q158" s="760">
        <f t="shared" si="21"/>
        <v>91540.9016808906</v>
      </c>
      <c r="R158" s="686"/>
    </row>
    <row r="160" ht="15" spans="4:5">
      <c r="D160" s="11"/>
      <c r="E160" s="11"/>
    </row>
    <row r="161" spans="4:5">
      <c r="D161" s="13"/>
      <c r="E161" s="13"/>
    </row>
    <row r="162" spans="5:5">
      <c r="E162" s="13"/>
    </row>
    <row r="163" spans="5:5">
      <c r="E163" s="13"/>
    </row>
  </sheetData>
  <mergeCells count="32">
    <mergeCell ref="C2:P2"/>
    <mergeCell ref="C3:Q3"/>
    <mergeCell ref="E5:Q5"/>
    <mergeCell ref="C8:D8"/>
    <mergeCell ref="C9:D9"/>
    <mergeCell ref="C28:D28"/>
    <mergeCell ref="C29:D29"/>
    <mergeCell ref="C48:D48"/>
    <mergeCell ref="C49:D49"/>
    <mergeCell ref="C50:D50"/>
    <mergeCell ref="C51:D51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7:D157"/>
    <mergeCell ref="C158:D158"/>
    <mergeCell ref="C5:C7"/>
    <mergeCell ref="C10:C27"/>
    <mergeCell ref="C30:C47"/>
    <mergeCell ref="C52:C60"/>
    <mergeCell ref="C79:C82"/>
    <mergeCell ref="D5:D7"/>
  </mergeCells>
  <pageMargins left="0.7" right="0.7" top="0.75" bottom="0.75" header="0.3" footer="0.3"/>
  <pageSetup paperSize="1" orientation="portrait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</sheetPr>
  <dimension ref="B2:W518"/>
  <sheetViews>
    <sheetView showGridLines="0" view="pageBreakPreview" zoomScale="85" zoomScaleNormal="57" topLeftCell="A141" workbookViewId="0">
      <selection activeCell="S510" sqref="S510"/>
    </sheetView>
  </sheetViews>
  <sheetFormatPr defaultColWidth="9.14285714285714" defaultRowHeight="14.25"/>
  <cols>
    <col min="1" max="1" width="3.14285714285714" style="12" customWidth="1"/>
    <col min="2" max="2" width="8.14285714285714" style="12" customWidth="1"/>
    <col min="3" max="3" width="22.1428571428571" style="12" customWidth="1"/>
    <col min="4" max="4" width="47.8571428571429" style="12" customWidth="1"/>
    <col min="5" max="7" width="16.4285714285714" style="12" hidden="1" customWidth="1"/>
    <col min="8" max="8" width="16.8571428571429" style="12" hidden="1" customWidth="1"/>
    <col min="9" max="9" width="13.8571428571429" style="12" hidden="1" customWidth="1"/>
    <col min="10" max="10" width="12.5714285714286" style="12" hidden="1" customWidth="1"/>
    <col min="11" max="11" width="13.4285714285714" style="12" hidden="1" customWidth="1"/>
    <col min="12" max="12" width="19.2857142857143" style="12" customWidth="1"/>
    <col min="13" max="13" width="12.5714285714286" style="12" hidden="1" customWidth="1"/>
    <col min="14" max="14" width="14.8571428571429" style="12" hidden="1" customWidth="1"/>
    <col min="15" max="15" width="12.5714285714286" style="12" hidden="1" customWidth="1"/>
    <col min="16" max="16" width="11.8571428571429" style="12" hidden="1" customWidth="1"/>
    <col min="17" max="17" width="13.8571428571429" style="748" customWidth="1"/>
    <col min="18" max="20" width="11.8571428571429" style="12" customWidth="1"/>
    <col min="21" max="21" width="11.4285714285714" style="12" customWidth="1"/>
    <col min="22" max="22" width="12.4285714285714" style="12" customWidth="1"/>
    <col min="23" max="23" width="12.8571428571429" style="12" customWidth="1"/>
    <col min="24" max="16384" width="9.14285714285714" style="12"/>
  </cols>
  <sheetData>
    <row r="2" ht="15" spans="3:16">
      <c r="C2" s="2" t="s">
        <v>0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customHeight="1" spans="3:16">
      <c r="C3" s="3" t="s">
        <v>488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ht="15" spans="3:9">
      <c r="C4" s="11" t="s">
        <v>489</v>
      </c>
      <c r="I4" s="3"/>
    </row>
    <row r="5" ht="15" spans="2:23">
      <c r="B5" s="14"/>
      <c r="C5" s="14"/>
      <c r="D5" s="655"/>
      <c r="E5" s="655"/>
      <c r="F5" s="655"/>
      <c r="G5" s="655"/>
      <c r="H5" s="655"/>
      <c r="I5" s="655"/>
      <c r="J5" s="655"/>
      <c r="K5" s="655"/>
      <c r="L5" s="3" t="s">
        <v>236</v>
      </c>
      <c r="P5" s="117" t="s">
        <v>109</v>
      </c>
      <c r="W5" s="3" t="s">
        <v>236</v>
      </c>
    </row>
    <row r="6" ht="15" customHeight="1" spans="2:16">
      <c r="B6" s="656"/>
      <c r="C6" s="673" t="s">
        <v>345</v>
      </c>
      <c r="D6" s="658" t="s">
        <v>346</v>
      </c>
      <c r="E6" s="306" t="s">
        <v>163</v>
      </c>
      <c r="F6" s="307"/>
      <c r="G6" s="308"/>
      <c r="H6" s="306" t="s">
        <v>164</v>
      </c>
      <c r="I6" s="307"/>
      <c r="J6" s="307"/>
      <c r="K6" s="307"/>
      <c r="L6" s="135" t="s">
        <v>114</v>
      </c>
      <c r="M6" s="135"/>
      <c r="N6" s="135"/>
      <c r="O6" s="135"/>
      <c r="P6" s="135"/>
    </row>
    <row r="7" ht="30" spans="2:16">
      <c r="B7" s="656"/>
      <c r="C7" s="674"/>
      <c r="D7" s="660"/>
      <c r="E7" s="5" t="s">
        <v>116</v>
      </c>
      <c r="F7" s="5" t="s">
        <v>237</v>
      </c>
      <c r="G7" s="5" t="s">
        <v>118</v>
      </c>
      <c r="H7" s="5" t="s">
        <v>116</v>
      </c>
      <c r="I7" s="5" t="s">
        <v>119</v>
      </c>
      <c r="J7" s="5" t="s">
        <v>120</v>
      </c>
      <c r="K7" s="5" t="s">
        <v>238</v>
      </c>
      <c r="L7" s="5" t="s">
        <v>348</v>
      </c>
      <c r="M7" s="5" t="s">
        <v>299</v>
      </c>
      <c r="N7" s="5" t="s">
        <v>490</v>
      </c>
      <c r="O7" s="5" t="s">
        <v>301</v>
      </c>
      <c r="P7" s="5" t="s">
        <v>302</v>
      </c>
    </row>
    <row r="8" ht="15" customHeight="1" spans="2:16">
      <c r="B8" s="656"/>
      <c r="C8" s="675"/>
      <c r="D8" s="662"/>
      <c r="E8" s="5" t="s">
        <v>127</v>
      </c>
      <c r="F8" s="5" t="s">
        <v>128</v>
      </c>
      <c r="G8" s="5" t="s">
        <v>129</v>
      </c>
      <c r="H8" s="5" t="s">
        <v>127</v>
      </c>
      <c r="I8" s="5" t="s">
        <v>130</v>
      </c>
      <c r="J8" s="5" t="s">
        <v>131</v>
      </c>
      <c r="K8" s="5" t="s">
        <v>131</v>
      </c>
      <c r="L8" s="5" t="s">
        <v>132</v>
      </c>
      <c r="M8" s="5" t="s">
        <v>132</v>
      </c>
      <c r="N8" s="5" t="s">
        <v>132</v>
      </c>
      <c r="O8" s="5" t="s">
        <v>132</v>
      </c>
      <c r="P8" s="5" t="s">
        <v>132</v>
      </c>
    </row>
    <row r="9" ht="15" spans="2:16">
      <c r="B9" s="656"/>
      <c r="C9" s="663" t="s">
        <v>349</v>
      </c>
      <c r="D9" s="676"/>
      <c r="E9" s="47"/>
      <c r="F9" s="47"/>
      <c r="G9" s="749"/>
      <c r="H9" s="47"/>
      <c r="I9" s="55"/>
      <c r="J9" s="55"/>
      <c r="K9" s="55"/>
      <c r="L9" s="55"/>
      <c r="M9" s="55"/>
      <c r="N9" s="55"/>
      <c r="O9" s="55"/>
      <c r="P9" s="55"/>
    </row>
    <row r="10" ht="15" spans="3:16">
      <c r="C10" s="44" t="s">
        <v>350</v>
      </c>
      <c r="D10" s="4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</row>
    <row r="11" s="748" customFormat="1" customHeight="1" spans="3:16">
      <c r="C11" s="677" t="s">
        <v>444</v>
      </c>
      <c r="D11" s="750" t="s">
        <v>352</v>
      </c>
      <c r="E11" s="751">
        <f>'[47]PP Cost'!$M$78</f>
        <v>360.1146</v>
      </c>
      <c r="F11" s="751">
        <f>'F13-Year(n-1)'!Q11</f>
        <v>419.077707066182</v>
      </c>
      <c r="G11" s="751"/>
      <c r="H11" s="751">
        <f>'[48]PP Cost'!M80</f>
        <v>363.8253</v>
      </c>
      <c r="I11" s="751">
        <f>SUM('F13-Year(n)'!E11:J11)</f>
        <v>583.199826522786</v>
      </c>
      <c r="J11" s="751">
        <f>SUM('F13-Year(n)'!K11:P11)</f>
        <v>596.320873275225</v>
      </c>
      <c r="K11" s="751">
        <f t="shared" ref="K11:K29" si="0">I11+J11</f>
        <v>1179.52069979801</v>
      </c>
      <c r="L11" s="751">
        <f>'F13-Year(n+1)'!Q11</f>
        <v>944.619519766162</v>
      </c>
      <c r="M11" s="751">
        <f>'F13-Year(n+2)'!Q11</f>
        <v>913.532606545229</v>
      </c>
      <c r="N11" s="751">
        <f>'F13-Year(n+3)'!Q11</f>
        <v>993.320910776321</v>
      </c>
      <c r="O11" s="751">
        <f>'F13-Year(n+4)'!Q11</f>
        <v>1052.35104650809</v>
      </c>
      <c r="P11" s="751">
        <f>'F13-Year(n+5)'!Q11</f>
        <v>1158.22787313427</v>
      </c>
    </row>
    <row r="12" customHeight="1" spans="2:16">
      <c r="B12" s="656"/>
      <c r="C12" s="678"/>
      <c r="D12" s="47" t="s">
        <v>353</v>
      </c>
      <c r="E12" s="752">
        <f>'[47]PP Cost'!$M$79</f>
        <v>414.57354</v>
      </c>
      <c r="F12" s="751">
        <f>'F13-Year(n-1)'!Q12</f>
        <v>500.676847475113</v>
      </c>
      <c r="G12" s="752"/>
      <c r="H12" s="752">
        <f>'[48]PP Cost'!M81</f>
        <v>395.1012</v>
      </c>
      <c r="I12" s="751">
        <f>SUM('F13-Year(n)'!E12:J12)</f>
        <v>691.141706648967</v>
      </c>
      <c r="J12" s="751">
        <f>SUM('F13-Year(n)'!K12:P12)</f>
        <v>619.37836722134</v>
      </c>
      <c r="K12" s="147">
        <f t="shared" si="0"/>
        <v>1310.52007387031</v>
      </c>
      <c r="L12" s="147">
        <f>'F13-Year(n+1)'!Q12</f>
        <v>1015.93783651122</v>
      </c>
      <c r="M12" s="751">
        <f>'F13-Year(n+2)'!Q12</f>
        <v>922.80490567489</v>
      </c>
      <c r="N12" s="147">
        <f>'F13-Year(n+3)'!Q12</f>
        <v>990.46385924968</v>
      </c>
      <c r="O12" s="147">
        <f>'F13-Year(n+4)'!Q12</f>
        <v>1053.09562423188</v>
      </c>
      <c r="P12" s="147">
        <f>'F13-Year(n+5)'!Q12</f>
        <v>1153.98422784674</v>
      </c>
    </row>
    <row r="13" customHeight="1" spans="2:16">
      <c r="B13" s="656"/>
      <c r="C13" s="678"/>
      <c r="D13" s="47" t="s">
        <v>354</v>
      </c>
      <c r="E13" s="752">
        <f>'[47]PP Cost'!$M$80</f>
        <v>712.869645</v>
      </c>
      <c r="F13" s="751">
        <f>'F13-Year(n-1)'!Q13</f>
        <v>553.901496674203</v>
      </c>
      <c r="G13" s="752"/>
      <c r="H13" s="752">
        <f>'[48]PP Cost'!M82</f>
        <v>772.859295</v>
      </c>
      <c r="I13" s="751">
        <f>SUM('F13-Year(n)'!E13:J13)</f>
        <v>1194.79192802422</v>
      </c>
      <c r="J13" s="751">
        <f>SUM('F13-Year(n)'!K13:P13)</f>
        <v>1175.17209850733</v>
      </c>
      <c r="K13" s="147">
        <f t="shared" si="0"/>
        <v>2369.96402653154</v>
      </c>
      <c r="L13" s="147">
        <f>'F13-Year(n+1)'!Q13</f>
        <v>1987.87620126245</v>
      </c>
      <c r="M13" s="751">
        <f>'F13-Year(n+2)'!Q13</f>
        <v>1906.16148812545</v>
      </c>
      <c r="N13" s="147">
        <f>'F13-Year(n+3)'!Q13</f>
        <v>2016.29369612812</v>
      </c>
      <c r="O13" s="147">
        <f>'F13-Year(n+4)'!Q13</f>
        <v>2098.8387601584</v>
      </c>
      <c r="P13" s="147">
        <f>'F13-Year(n+5)'!Q13</f>
        <v>2257.02219300161</v>
      </c>
    </row>
    <row r="14" spans="2:16">
      <c r="B14" s="656"/>
      <c r="C14" s="678"/>
      <c r="D14" s="47" t="s">
        <v>355</v>
      </c>
      <c r="E14" s="752">
        <f>'[47]PP Cost'!$M$81</f>
        <v>65.87376</v>
      </c>
      <c r="F14" s="751">
        <f>'F13-Year(n-1)'!Q14</f>
        <v>52.7263784670896</v>
      </c>
      <c r="G14" s="752"/>
      <c r="H14" s="752">
        <f>'[48]PP Cost'!M83</f>
        <v>61.476875</v>
      </c>
      <c r="I14" s="751">
        <f>SUM('F13-Year(n)'!E14:J14)</f>
        <v>65.8988700887694</v>
      </c>
      <c r="J14" s="751">
        <f>SUM('F13-Year(n)'!K14:P14)</f>
        <v>56.7189781045183</v>
      </c>
      <c r="K14" s="147">
        <f t="shared" si="0"/>
        <v>122.617848193288</v>
      </c>
      <c r="L14" s="147">
        <f>'F13-Year(n+1)'!Q14</f>
        <v>0</v>
      </c>
      <c r="M14" s="751">
        <f>'F13-Year(n+2)'!Q14</f>
        <v>169.777809036449</v>
      </c>
      <c r="N14" s="147">
        <f>'F13-Year(n+3)'!Q14</f>
        <v>181.532025897862</v>
      </c>
      <c r="O14" s="147">
        <f>'F13-Year(n+4)'!Q14</f>
        <v>192.041341179175</v>
      </c>
      <c r="P14" s="147">
        <f>'F13-Year(n+5)'!Q14</f>
        <v>210.159408764495</v>
      </c>
    </row>
    <row r="15" s="748" customFormat="1" customHeight="1" spans="3:16">
      <c r="C15" s="678"/>
      <c r="D15" s="750" t="s">
        <v>356</v>
      </c>
      <c r="E15" s="751">
        <f>'[47]PP Cost'!$M$82</f>
        <v>429.72262</v>
      </c>
      <c r="F15" s="751">
        <f>'F13-Year(n-1)'!Q15</f>
        <v>434.024718745897</v>
      </c>
      <c r="G15" s="751"/>
      <c r="H15" s="751">
        <f>'[48]PP Cost'!M84</f>
        <v>354.969685</v>
      </c>
      <c r="I15" s="751">
        <f>SUM('F13-Year(n)'!E15:J15)</f>
        <v>570.766326017915</v>
      </c>
      <c r="J15" s="751">
        <f>SUM('F13-Year(n)'!K15:P15)</f>
        <v>597.25342022363</v>
      </c>
      <c r="K15" s="751">
        <f t="shared" si="0"/>
        <v>1168.01974624155</v>
      </c>
      <c r="L15" s="751">
        <f>'F13-Year(n+1)'!Q15</f>
        <v>979.318149786146</v>
      </c>
      <c r="M15" s="751">
        <f>'F13-Year(n+2)'!Q15</f>
        <v>938.830508440443</v>
      </c>
      <c r="N15" s="751" t="s">
        <v>491</v>
      </c>
      <c r="O15" s="751">
        <f>'F13-Year(n+4)'!Q15</f>
        <v>1076.67772326248</v>
      </c>
      <c r="P15" s="751">
        <f>'F13-Year(n+5)'!Q15</f>
        <v>1127.18564581583</v>
      </c>
    </row>
    <row r="16" customHeight="1" spans="2:16">
      <c r="B16" s="656"/>
      <c r="C16" s="678"/>
      <c r="D16" s="47" t="s">
        <v>357</v>
      </c>
      <c r="E16" s="752">
        <f>'[47]PP Cost'!$M$83</f>
        <v>548.89499</v>
      </c>
      <c r="F16" s="751">
        <f>'F13-Year(n-1)'!Q16</f>
        <v>613.266673980492</v>
      </c>
      <c r="G16" s="752"/>
      <c r="H16" s="752">
        <f>'[48]PP Cost'!M85</f>
        <v>530.95405</v>
      </c>
      <c r="I16" s="751">
        <f>SUM('F13-Year(n)'!E16:J16)</f>
        <v>758.6266841541</v>
      </c>
      <c r="J16" s="751">
        <f>SUM('F13-Year(n)'!K16:P16)</f>
        <v>789.56366353537</v>
      </c>
      <c r="K16" s="147">
        <f t="shared" si="0"/>
        <v>1548.19034768947</v>
      </c>
      <c r="L16" s="147">
        <f>'F13-Year(n+1)'!Q16</f>
        <v>1386.60333997777</v>
      </c>
      <c r="M16" s="751">
        <f>'F13-Year(n+2)'!Q16</f>
        <v>1330.55170587563</v>
      </c>
      <c r="N16" s="147">
        <f>'F13-Year(n+3)'!Q16</f>
        <v>1369.90582865556</v>
      </c>
      <c r="O16" s="147">
        <f>'F13-Year(n+4)'!Q16</f>
        <v>1430.32545868211</v>
      </c>
      <c r="P16" s="147">
        <f>'F13-Year(n+5)'!Q16</f>
        <v>1533.65950415983</v>
      </c>
    </row>
    <row r="17" spans="2:16">
      <c r="B17" s="656"/>
      <c r="C17" s="678"/>
      <c r="D17" s="47" t="s">
        <v>358</v>
      </c>
      <c r="E17" s="752">
        <f>'[47]PP Cost'!$M$84</f>
        <v>1081.83397</v>
      </c>
      <c r="F17" s="751">
        <f>'F13-Year(n-1)'!Q17</f>
        <v>904.341305977779</v>
      </c>
      <c r="G17" s="752"/>
      <c r="H17" s="752">
        <f>'[48]PP Cost'!M86</f>
        <v>920.66001</v>
      </c>
      <c r="I17" s="751">
        <f>SUM('F13-Year(n)'!E17:J17)</f>
        <v>1061.96090577599</v>
      </c>
      <c r="J17" s="751">
        <f>SUM('F13-Year(n)'!K17:P17)</f>
        <v>1288.01964502021</v>
      </c>
      <c r="K17" s="147">
        <f t="shared" si="0"/>
        <v>2349.9805507962</v>
      </c>
      <c r="L17" s="147">
        <f>'F13-Year(n+1)'!Q17</f>
        <v>2806.49898629506</v>
      </c>
      <c r="M17" s="751">
        <f>'F13-Year(n+2)'!Q17</f>
        <v>2769.66309630461</v>
      </c>
      <c r="N17" s="147">
        <f>'F13-Year(n+3)'!Q17</f>
        <v>2907.32716258241</v>
      </c>
      <c r="O17" s="147">
        <f>'F13-Year(n+4)'!Q17</f>
        <v>3019.87491883365</v>
      </c>
      <c r="P17" s="147">
        <f>'F13-Year(n+5)'!Q17</f>
        <v>3189.98137408199</v>
      </c>
    </row>
    <row r="18" spans="2:16">
      <c r="B18" s="656"/>
      <c r="C18" s="678"/>
      <c r="D18" s="47" t="s">
        <v>359</v>
      </c>
      <c r="E18" s="752">
        <f>'[47]PP Cost'!$M$85</f>
        <v>0</v>
      </c>
      <c r="F18" s="751">
        <f>'F13-Year(n-1)'!Q18</f>
        <v>0</v>
      </c>
      <c r="G18" s="752"/>
      <c r="H18" s="752">
        <f>'[48]PP Cost'!M87</f>
        <v>95.76551</v>
      </c>
      <c r="I18" s="751">
        <f>SUM('F13-Year(n)'!E18:J18)</f>
        <v>0</v>
      </c>
      <c r="J18" s="751">
        <f>SUM('F13-Year(n)'!K18:P18)</f>
        <v>0</v>
      </c>
      <c r="K18" s="147">
        <f t="shared" si="0"/>
        <v>0</v>
      </c>
      <c r="L18" s="147">
        <f>'F13-Year(n+1)'!Q18</f>
        <v>10770.5939788144</v>
      </c>
      <c r="M18" s="751">
        <f>'F13-Year(n+2)'!Q18</f>
        <v>9277.43182601306</v>
      </c>
      <c r="N18" s="147">
        <f>'F13-Year(n+3)'!Q18</f>
        <v>9309.0647462815</v>
      </c>
      <c r="O18" s="147">
        <f>'F13-Year(n+4)'!Q18</f>
        <v>9582.87153644001</v>
      </c>
      <c r="P18" s="147">
        <f>'F13-Year(n+5)'!Q18</f>
        <v>9959.48503776737</v>
      </c>
    </row>
    <row r="19" spans="2:16">
      <c r="B19" s="656"/>
      <c r="C19" s="678"/>
      <c r="D19" s="679" t="s">
        <v>492</v>
      </c>
      <c r="E19" s="752"/>
      <c r="F19" s="751">
        <f>'F13-Year(n-1)'!Q19</f>
        <v>7.02315103675</v>
      </c>
      <c r="G19" s="752"/>
      <c r="H19" s="752"/>
      <c r="I19" s="751">
        <f>SUM('F13-Year(n)'!E19:J19)</f>
        <v>0</v>
      </c>
      <c r="J19" s="751">
        <f>SUM('F13-Year(n)'!K19:P19)</f>
        <v>0</v>
      </c>
      <c r="K19" s="147">
        <f t="shared" si="0"/>
        <v>0</v>
      </c>
      <c r="L19" s="147">
        <f>'F13-Year(n+1)'!Q19</f>
        <v>0</v>
      </c>
      <c r="M19" s="751">
        <f>'F13-Year(n+2)'!Q19</f>
        <v>0</v>
      </c>
      <c r="N19" s="147">
        <f>'F13-Year(n+3)'!Q19</f>
        <v>0</v>
      </c>
      <c r="O19" s="147">
        <f>'F13-Year(n+4)'!Q19</f>
        <v>0</v>
      </c>
      <c r="P19" s="147">
        <f>'F13-Year(n+5)'!Q19</f>
        <v>0</v>
      </c>
    </row>
    <row r="20" spans="2:16">
      <c r="B20" s="656"/>
      <c r="C20" s="678"/>
      <c r="D20" s="47"/>
      <c r="E20" s="752"/>
      <c r="F20" s="751">
        <f>'F13-Year(n-1)'!Q20</f>
        <v>0</v>
      </c>
      <c r="G20" s="752"/>
      <c r="H20" s="752"/>
      <c r="I20" s="751">
        <f>SUM('F13-Year(n)'!E20:J20)</f>
        <v>0</v>
      </c>
      <c r="J20" s="751">
        <f>SUM('F13-Year(n)'!K20:P20)</f>
        <v>0</v>
      </c>
      <c r="K20" s="147">
        <f t="shared" si="0"/>
        <v>0</v>
      </c>
      <c r="L20" s="147">
        <f>'F13-Year(n+1)'!Q20</f>
        <v>0</v>
      </c>
      <c r="M20" s="751">
        <f>'F13-Year(n+2)'!Q20</f>
        <v>0</v>
      </c>
      <c r="N20" s="147">
        <f>'F13-Year(n+3)'!Q20</f>
        <v>0</v>
      </c>
      <c r="O20" s="147">
        <f>'F13-Year(n+4)'!Q20</f>
        <v>0</v>
      </c>
      <c r="P20" s="147">
        <f>'F13-Year(n+5)'!Q20</f>
        <v>0</v>
      </c>
    </row>
    <row r="21" spans="2:16">
      <c r="B21" s="656"/>
      <c r="C21" s="678"/>
      <c r="D21" s="47"/>
      <c r="E21" s="752"/>
      <c r="F21" s="751">
        <f>'F13-Year(n-1)'!Q21</f>
        <v>0</v>
      </c>
      <c r="G21" s="752"/>
      <c r="H21" s="752"/>
      <c r="I21" s="751">
        <f>SUM('F13-Year(n)'!E21:J21)</f>
        <v>0</v>
      </c>
      <c r="J21" s="751">
        <f>SUM('F13-Year(n)'!K21:P21)</f>
        <v>0</v>
      </c>
      <c r="K21" s="147">
        <f t="shared" si="0"/>
        <v>0</v>
      </c>
      <c r="L21" s="147">
        <f>'F13-Year(n+1)'!Q21</f>
        <v>0</v>
      </c>
      <c r="M21" s="751">
        <f>'F13-Year(n+2)'!Q21</f>
        <v>0</v>
      </c>
      <c r="N21" s="147">
        <f>'F13-Year(n+3)'!Q21</f>
        <v>0</v>
      </c>
      <c r="O21" s="147">
        <f>'F13-Year(n+4)'!Q21</f>
        <v>0</v>
      </c>
      <c r="P21" s="147">
        <f>'F13-Year(n+5)'!Q21</f>
        <v>0</v>
      </c>
    </row>
    <row r="22" spans="2:16">
      <c r="B22" s="656"/>
      <c r="C22" s="678"/>
      <c r="D22" s="47"/>
      <c r="E22" s="752"/>
      <c r="F22" s="751">
        <f>'F13-Year(n-1)'!Q22</f>
        <v>0</v>
      </c>
      <c r="G22" s="752"/>
      <c r="H22" s="752"/>
      <c r="I22" s="751">
        <f>SUM('F13-Year(n)'!E22:J22)</f>
        <v>0</v>
      </c>
      <c r="J22" s="751">
        <f>SUM('F13-Year(n)'!K22:P22)</f>
        <v>0</v>
      </c>
      <c r="K22" s="147">
        <f t="shared" si="0"/>
        <v>0</v>
      </c>
      <c r="L22" s="147">
        <f>'F13-Year(n+1)'!Q22</f>
        <v>0</v>
      </c>
      <c r="M22" s="751">
        <f>'F13-Year(n+2)'!Q22</f>
        <v>0</v>
      </c>
      <c r="N22" s="147">
        <f>'F13-Year(n+3)'!Q22</f>
        <v>0</v>
      </c>
      <c r="O22" s="147">
        <f>'F13-Year(n+4)'!Q22</f>
        <v>0</v>
      </c>
      <c r="P22" s="147">
        <f>'F13-Year(n+5)'!Q22</f>
        <v>0</v>
      </c>
    </row>
    <row r="23" spans="2:16">
      <c r="B23" s="656"/>
      <c r="C23" s="678"/>
      <c r="D23" s="47"/>
      <c r="E23" s="752"/>
      <c r="F23" s="751">
        <f>'F13-Year(n-1)'!Q23</f>
        <v>0</v>
      </c>
      <c r="G23" s="752"/>
      <c r="H23" s="752"/>
      <c r="I23" s="751">
        <f>SUM('F13-Year(n)'!E23:J23)</f>
        <v>0</v>
      </c>
      <c r="J23" s="751">
        <f>SUM('F13-Year(n)'!K23:P23)</f>
        <v>0</v>
      </c>
      <c r="K23" s="147">
        <f t="shared" si="0"/>
        <v>0</v>
      </c>
      <c r="L23" s="147">
        <f>'F13-Year(n+1)'!Q23</f>
        <v>0</v>
      </c>
      <c r="M23" s="751">
        <f>'F13-Year(n+2)'!Q23</f>
        <v>0</v>
      </c>
      <c r="N23" s="147">
        <f>'F13-Year(n+3)'!Q23</f>
        <v>0</v>
      </c>
      <c r="O23" s="147">
        <f>'F13-Year(n+4)'!Q23</f>
        <v>0</v>
      </c>
      <c r="P23" s="147">
        <f>'F13-Year(n+5)'!Q23</f>
        <v>0</v>
      </c>
    </row>
    <row r="24" spans="2:16">
      <c r="B24" s="656"/>
      <c r="C24" s="678"/>
      <c r="D24" s="47"/>
      <c r="E24" s="752"/>
      <c r="F24" s="751">
        <f>'F13-Year(n-1)'!Q24</f>
        <v>0</v>
      </c>
      <c r="G24" s="752"/>
      <c r="H24" s="752"/>
      <c r="I24" s="751">
        <f>SUM('F13-Year(n)'!E24:J24)</f>
        <v>0</v>
      </c>
      <c r="J24" s="751">
        <f>SUM('F13-Year(n)'!K24:P24)</f>
        <v>0</v>
      </c>
      <c r="K24" s="147">
        <f t="shared" si="0"/>
        <v>0</v>
      </c>
      <c r="L24" s="147">
        <f>'F13-Year(n+1)'!Q24</f>
        <v>0</v>
      </c>
      <c r="M24" s="751">
        <f>'F13-Year(n+2)'!Q24</f>
        <v>0</v>
      </c>
      <c r="N24" s="147">
        <f>'F13-Year(n+3)'!Q24</f>
        <v>0</v>
      </c>
      <c r="O24" s="147">
        <f>'F13-Year(n+4)'!Q24</f>
        <v>0</v>
      </c>
      <c r="P24" s="147">
        <f>'F13-Year(n+5)'!Q24</f>
        <v>0</v>
      </c>
    </row>
    <row r="25" spans="2:16">
      <c r="B25" s="656"/>
      <c r="C25" s="678"/>
      <c r="D25" s="47"/>
      <c r="E25" s="752"/>
      <c r="F25" s="751">
        <f>'F13-Year(n-1)'!Q25</f>
        <v>0</v>
      </c>
      <c r="G25" s="752"/>
      <c r="H25" s="752"/>
      <c r="I25" s="751">
        <f>SUM('F13-Year(n)'!E25:J25)</f>
        <v>0</v>
      </c>
      <c r="J25" s="751">
        <f>SUM('F13-Year(n)'!K25:P25)</f>
        <v>0</v>
      </c>
      <c r="K25" s="147">
        <f t="shared" si="0"/>
        <v>0</v>
      </c>
      <c r="L25" s="147">
        <f>'F13-Year(n+1)'!Q25</f>
        <v>0</v>
      </c>
      <c r="M25" s="751">
        <f>'F13-Year(n+2)'!Q25</f>
        <v>0</v>
      </c>
      <c r="N25" s="147">
        <f>'F13-Year(n+3)'!Q25</f>
        <v>0</v>
      </c>
      <c r="O25" s="147">
        <f>'F13-Year(n+4)'!Q25</f>
        <v>0</v>
      </c>
      <c r="P25" s="147">
        <f>'F13-Year(n+5)'!Q25</f>
        <v>0</v>
      </c>
    </row>
    <row r="26" spans="2:16">
      <c r="B26" s="656"/>
      <c r="C26" s="678"/>
      <c r="D26" s="47"/>
      <c r="E26" s="752"/>
      <c r="F26" s="751">
        <f>'F13-Year(n-1)'!Q26</f>
        <v>0</v>
      </c>
      <c r="G26" s="752"/>
      <c r="H26" s="752"/>
      <c r="I26" s="751">
        <f>SUM('F13-Year(n)'!E26:J26)</f>
        <v>0</v>
      </c>
      <c r="J26" s="751">
        <f>SUM('F13-Year(n)'!K26:P26)</f>
        <v>0</v>
      </c>
      <c r="K26" s="147">
        <f t="shared" si="0"/>
        <v>0</v>
      </c>
      <c r="L26" s="147">
        <f>'F13-Year(n+1)'!Q26</f>
        <v>0</v>
      </c>
      <c r="M26" s="751">
        <f>'F13-Year(n+2)'!Q26</f>
        <v>0</v>
      </c>
      <c r="N26" s="147">
        <f>'F13-Year(n+3)'!Q26</f>
        <v>0</v>
      </c>
      <c r="O26" s="147">
        <f>'F13-Year(n+4)'!Q26</f>
        <v>0</v>
      </c>
      <c r="P26" s="147">
        <f>'F13-Year(n+5)'!Q26</f>
        <v>0</v>
      </c>
    </row>
    <row r="27" spans="2:16">
      <c r="B27" s="656"/>
      <c r="C27" s="678"/>
      <c r="D27" s="47"/>
      <c r="E27" s="752"/>
      <c r="F27" s="751">
        <f>'F13-Year(n-1)'!Q27</f>
        <v>0</v>
      </c>
      <c r="G27" s="752"/>
      <c r="H27" s="752"/>
      <c r="I27" s="751">
        <f>SUM('F13-Year(n)'!E27:J27)</f>
        <v>0</v>
      </c>
      <c r="J27" s="751">
        <f>SUM('F13-Year(n)'!K27:P27)</f>
        <v>0</v>
      </c>
      <c r="K27" s="147">
        <f t="shared" si="0"/>
        <v>0</v>
      </c>
      <c r="L27" s="147">
        <f>'F13-Year(n+1)'!Q27</f>
        <v>0</v>
      </c>
      <c r="M27" s="751">
        <f>'F13-Year(n+2)'!Q27</f>
        <v>0</v>
      </c>
      <c r="N27" s="147">
        <f>'F13-Year(n+3)'!Q27</f>
        <v>0</v>
      </c>
      <c r="O27" s="147">
        <f>'F13-Year(n+4)'!Q27</f>
        <v>0</v>
      </c>
      <c r="P27" s="147">
        <f>'F13-Year(n+5)'!Q27</f>
        <v>0</v>
      </c>
    </row>
    <row r="28" spans="2:16">
      <c r="B28" s="656"/>
      <c r="C28" s="680"/>
      <c r="D28" s="47"/>
      <c r="E28" s="752"/>
      <c r="F28" s="751">
        <f>'F13-Year(n-1)'!Q28</f>
        <v>0</v>
      </c>
      <c r="G28" s="752"/>
      <c r="H28" s="752"/>
      <c r="I28" s="751">
        <f>SUM('F13-Year(n)'!E28:J28)</f>
        <v>0</v>
      </c>
      <c r="J28" s="751">
        <f>SUM('F13-Year(n)'!K28:P28)</f>
        <v>0</v>
      </c>
      <c r="K28" s="147">
        <f t="shared" si="0"/>
        <v>0</v>
      </c>
      <c r="L28" s="147">
        <f>'F13-Year(n+1)'!Q28</f>
        <v>0</v>
      </c>
      <c r="M28" s="751">
        <f>'F13-Year(n+2)'!Q28</f>
        <v>0</v>
      </c>
      <c r="N28" s="147">
        <f>'F13-Year(n+3)'!Q28</f>
        <v>0</v>
      </c>
      <c r="O28" s="147">
        <f>'F13-Year(n+4)'!Q28</f>
        <v>0</v>
      </c>
      <c r="P28" s="147">
        <f>'F13-Year(n+5)'!Q28</f>
        <v>0</v>
      </c>
    </row>
    <row r="29" ht="15" spans="3:16">
      <c r="C29" s="537" t="s">
        <v>211</v>
      </c>
      <c r="D29" s="540"/>
      <c r="E29" s="316">
        <f>SUM(E11:E28)</f>
        <v>3613.883125</v>
      </c>
      <c r="F29" s="316">
        <f>SUM(F11:F28)</f>
        <v>3485.03827942351</v>
      </c>
      <c r="G29" s="316">
        <f>F29-E29</f>
        <v>-128.844845576494</v>
      </c>
      <c r="H29" s="316">
        <f>SUM(H11:H28)</f>
        <v>3495.611925</v>
      </c>
      <c r="I29" s="316">
        <f>SUM(I11:I28)</f>
        <v>4926.38624723274</v>
      </c>
      <c r="J29" s="316">
        <f>SUM('F13-Year(n)'!K29:P29)</f>
        <v>5122.42704588762</v>
      </c>
      <c r="K29" s="316">
        <f t="shared" si="0"/>
        <v>10048.8132931204</v>
      </c>
      <c r="L29" s="316">
        <f>'F13-Year(n+1)'!Q29</f>
        <v>19891.4480124132</v>
      </c>
      <c r="M29" s="316">
        <f>'F13-Year(n+2)'!Q29</f>
        <v>18228.7539460158</v>
      </c>
      <c r="N29" s="316">
        <f>'F13-Year(n+3)'!Q29</f>
        <v>18773.7192114516</v>
      </c>
      <c r="O29" s="316">
        <f>'F13-Year(n+4)'!Q29</f>
        <v>19506.0764092958</v>
      </c>
      <c r="P29" s="316">
        <f>'F13-Year(n+5)'!Q29</f>
        <v>20589.7052645721</v>
      </c>
    </row>
    <row r="30" ht="15" spans="3:16">
      <c r="C30" s="44" t="s">
        <v>360</v>
      </c>
      <c r="D30" s="45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</row>
    <row r="31" spans="3:16">
      <c r="C31" s="682" t="s">
        <v>444</v>
      </c>
      <c r="D31" s="55" t="s">
        <v>361</v>
      </c>
      <c r="E31" s="147">
        <f>'[47]PP Cost'!$M$87</f>
        <v>18.332625</v>
      </c>
      <c r="F31" s="752">
        <f>'F13-Year(n-1)'!Q31</f>
        <v>0</v>
      </c>
      <c r="G31" s="147"/>
      <c r="H31" s="147">
        <f>'[48]PP Cost'!M89</f>
        <v>14.486455</v>
      </c>
      <c r="I31" s="147">
        <f>SUM('F13-Year(n)'!E31:J31)</f>
        <v>0</v>
      </c>
      <c r="J31" s="147">
        <f>SUM('F13-Year(n)'!K31:P31)</f>
        <v>0</v>
      </c>
      <c r="K31" s="147">
        <f t="shared" ref="K31:K50" si="1">I31+J31</f>
        <v>0</v>
      </c>
      <c r="L31" s="147">
        <f>'F13-Year(n+1)'!Q31</f>
        <v>32.52355</v>
      </c>
      <c r="M31" s="147">
        <f>'F13-Year(n+2)'!Q31</f>
        <v>0</v>
      </c>
      <c r="N31" s="147">
        <f>'F13-Year(n+3)'!Q31</f>
        <v>0</v>
      </c>
      <c r="O31" s="147">
        <f>'F13-Year(n+4)'!Q31</f>
        <v>0</v>
      </c>
      <c r="P31" s="147">
        <f>'F13-Year(n+5)'!Q31</f>
        <v>0</v>
      </c>
    </row>
    <row r="32" spans="3:16">
      <c r="C32" s="683"/>
      <c r="D32" s="55" t="s">
        <v>362</v>
      </c>
      <c r="E32" s="147">
        <f>'[47]PP Cost'!$M$88</f>
        <v>102.18561</v>
      </c>
      <c r="F32" s="752">
        <f>'F13-Year(n-1)'!Q32</f>
        <v>0</v>
      </c>
      <c r="G32" s="147"/>
      <c r="H32" s="147">
        <f>'[48]PP Cost'!M90</f>
        <v>94.66408</v>
      </c>
      <c r="I32" s="147">
        <f>SUM('F13-Year(n)'!E32:J32)</f>
        <v>0</v>
      </c>
      <c r="J32" s="147">
        <f>SUM('F13-Year(n)'!K32:P32)</f>
        <v>0</v>
      </c>
      <c r="K32" s="147">
        <f t="shared" si="1"/>
        <v>0</v>
      </c>
      <c r="L32" s="147">
        <f>'F13-Year(n+1)'!Q32</f>
        <v>207.878159792142</v>
      </c>
      <c r="M32" s="147">
        <f>'F13-Year(n+2)'!Q32</f>
        <v>0</v>
      </c>
      <c r="N32" s="147">
        <f>'F13-Year(n+3)'!Q32</f>
        <v>0</v>
      </c>
      <c r="O32" s="147">
        <f>'F13-Year(n+4)'!Q32</f>
        <v>0</v>
      </c>
      <c r="P32" s="147">
        <f>'F13-Year(n+5)'!Q32</f>
        <v>0</v>
      </c>
    </row>
    <row r="33" spans="3:16">
      <c r="C33" s="683"/>
      <c r="D33" s="55" t="s">
        <v>363</v>
      </c>
      <c r="E33" s="147">
        <f>'[47]PP Cost'!$M$89</f>
        <v>136.64211</v>
      </c>
      <c r="F33" s="752">
        <f>'F13-Year(n-1)'!Q33</f>
        <v>0</v>
      </c>
      <c r="G33" s="147"/>
      <c r="H33" s="147">
        <f>'[48]PP Cost'!M91</f>
        <v>125.106545</v>
      </c>
      <c r="I33" s="147">
        <f>SUM('F13-Year(n)'!E33:J33)</f>
        <v>0</v>
      </c>
      <c r="J33" s="147">
        <f>SUM('F13-Year(n)'!K33:P33)</f>
        <v>0</v>
      </c>
      <c r="K33" s="147">
        <f t="shared" si="1"/>
        <v>0</v>
      </c>
      <c r="L33" s="147">
        <f>'F13-Year(n+1)'!Q33</f>
        <v>268.44275</v>
      </c>
      <c r="M33" s="147">
        <f>'F13-Year(n+2)'!Q33</f>
        <v>0</v>
      </c>
      <c r="N33" s="147">
        <f>'F13-Year(n+3)'!Q33</f>
        <v>0</v>
      </c>
      <c r="O33" s="147">
        <f>'F13-Year(n+4)'!Q33</f>
        <v>0</v>
      </c>
      <c r="P33" s="147">
        <f>'F13-Year(n+5)'!Q33</f>
        <v>0</v>
      </c>
    </row>
    <row r="34" spans="3:16">
      <c r="C34" s="683"/>
      <c r="D34" s="55" t="s">
        <v>364</v>
      </c>
      <c r="E34" s="147">
        <f>'[47]PP Cost'!$M$90</f>
        <v>78.14852</v>
      </c>
      <c r="F34" s="752">
        <f>'F13-Year(n-1)'!Q34</f>
        <v>0</v>
      </c>
      <c r="G34" s="147"/>
      <c r="H34" s="147">
        <f>'[48]PP Cost'!M92</f>
        <v>76.18715</v>
      </c>
      <c r="I34" s="147">
        <f>SUM('F13-Year(n)'!E34:J34)</f>
        <v>0</v>
      </c>
      <c r="J34" s="147">
        <f>SUM('F13-Year(n)'!K34:P34)</f>
        <v>0</v>
      </c>
      <c r="K34" s="147">
        <f t="shared" si="1"/>
        <v>0</v>
      </c>
      <c r="L34" s="147">
        <f>'F13-Year(n+1)'!Q34</f>
        <v>152.098745</v>
      </c>
      <c r="M34" s="147">
        <f>'F13-Year(n+2)'!Q34</f>
        <v>0</v>
      </c>
      <c r="N34" s="147">
        <f>'F13-Year(n+3)'!Q34</f>
        <v>0</v>
      </c>
      <c r="O34" s="147">
        <f>'F13-Year(n+4)'!Q34</f>
        <v>0</v>
      </c>
      <c r="P34" s="147">
        <f>'F13-Year(n+5)'!Q34</f>
        <v>0</v>
      </c>
    </row>
    <row r="35" spans="3:16">
      <c r="C35" s="683"/>
      <c r="D35" s="55" t="s">
        <v>365</v>
      </c>
      <c r="E35" s="147">
        <f>'[47]PP Cost'!$M$91</f>
        <v>36.379585</v>
      </c>
      <c r="F35" s="752">
        <f>'F13-Year(n-1)'!Q35</f>
        <v>0</v>
      </c>
      <c r="G35" s="147"/>
      <c r="H35" s="147">
        <f>'[48]PP Cost'!M93</f>
        <v>27.132285</v>
      </c>
      <c r="I35" s="147">
        <f>SUM('F13-Year(n)'!E35:J35)</f>
        <v>0</v>
      </c>
      <c r="J35" s="147">
        <f>SUM('F13-Year(n)'!K35:P35)</f>
        <v>0</v>
      </c>
      <c r="K35" s="147">
        <f t="shared" si="1"/>
        <v>0</v>
      </c>
      <c r="L35" s="147">
        <f>'F13-Year(n+1)'!Q35</f>
        <v>66.0841850000001</v>
      </c>
      <c r="M35" s="147">
        <f>'F13-Year(n+2)'!Q35</f>
        <v>0</v>
      </c>
      <c r="N35" s="147">
        <f>'F13-Year(n+3)'!Q35</f>
        <v>0</v>
      </c>
      <c r="O35" s="147">
        <f>'F13-Year(n+4)'!Q35</f>
        <v>0</v>
      </c>
      <c r="P35" s="147">
        <f>'F13-Year(n+5)'!Q35</f>
        <v>0</v>
      </c>
    </row>
    <row r="36" spans="3:16">
      <c r="C36" s="683"/>
      <c r="D36" s="55" t="s">
        <v>366</v>
      </c>
      <c r="E36" s="147">
        <f>'[47]PP Cost'!$M$92</f>
        <v>3.02157</v>
      </c>
      <c r="F36" s="752">
        <f>'F13-Year(n-1)'!Q36</f>
        <v>0</v>
      </c>
      <c r="G36" s="147"/>
      <c r="H36" s="147">
        <f>'[48]PP Cost'!M94</f>
        <v>2.99801</v>
      </c>
      <c r="I36" s="147">
        <f>SUM('F13-Year(n)'!E36:J36)</f>
        <v>0</v>
      </c>
      <c r="J36" s="147">
        <f>SUM('F13-Year(n)'!K36:P36)</f>
        <v>0</v>
      </c>
      <c r="K36" s="147">
        <f t="shared" si="1"/>
        <v>0</v>
      </c>
      <c r="L36" s="147">
        <f>'F13-Year(n+1)'!Q36</f>
        <v>3.59805</v>
      </c>
      <c r="M36" s="147">
        <f>'F13-Year(n+2)'!Q36</f>
        <v>0</v>
      </c>
      <c r="N36" s="147">
        <f>'F13-Year(n+3)'!Q36</f>
        <v>0</v>
      </c>
      <c r="O36" s="147">
        <f>'F13-Year(n+4)'!Q36</f>
        <v>0</v>
      </c>
      <c r="P36" s="147">
        <f>'F13-Year(n+5)'!Q36</f>
        <v>0</v>
      </c>
    </row>
    <row r="37" spans="3:16">
      <c r="C37" s="683"/>
      <c r="D37" s="55" t="s">
        <v>367</v>
      </c>
      <c r="E37" s="147">
        <f>'[47]PP Cost'!$M$93</f>
        <v>14.498235</v>
      </c>
      <c r="F37" s="752">
        <f>'F13-Year(n-1)'!Q37</f>
        <v>0</v>
      </c>
      <c r="G37" s="147"/>
      <c r="H37" s="147">
        <f>'[48]PP Cost'!M95</f>
        <v>16.818895</v>
      </c>
      <c r="I37" s="147">
        <f>SUM('F13-Year(n)'!E37:J37)</f>
        <v>0</v>
      </c>
      <c r="J37" s="147">
        <f>SUM('F13-Year(n)'!K37:P37)</f>
        <v>0</v>
      </c>
      <c r="K37" s="147">
        <f t="shared" si="1"/>
        <v>0</v>
      </c>
      <c r="L37" s="147">
        <f>'F13-Year(n+1)'!Q37</f>
        <v>15.2926552078575</v>
      </c>
      <c r="M37" s="147">
        <f>'F13-Year(n+2)'!Q37</f>
        <v>0</v>
      </c>
      <c r="N37" s="147">
        <f>'F13-Year(n+3)'!Q37</f>
        <v>0</v>
      </c>
      <c r="O37" s="147">
        <f>'F13-Year(n+4)'!Q37</f>
        <v>0</v>
      </c>
      <c r="P37" s="147">
        <f>'F13-Year(n+5)'!Q37</f>
        <v>0</v>
      </c>
    </row>
    <row r="38" spans="3:16">
      <c r="C38" s="683"/>
      <c r="D38" s="55" t="s">
        <v>368</v>
      </c>
      <c r="E38" s="147">
        <f>'[47]PP Cost'!$M$94</f>
        <v>2.7094</v>
      </c>
      <c r="F38" s="752">
        <f>'F13-Year(n-1)'!Q38</f>
        <v>0</v>
      </c>
      <c r="G38" s="147"/>
      <c r="H38" s="147">
        <f>'[48]PP Cost'!M96</f>
        <v>3.02157</v>
      </c>
      <c r="I38" s="147">
        <f>SUM('F13-Year(n)'!E38:J38)</f>
        <v>0</v>
      </c>
      <c r="J38" s="147">
        <f>SUM('F13-Year(n)'!K38:P38)</f>
        <v>0</v>
      </c>
      <c r="K38" s="147">
        <f t="shared" si="1"/>
        <v>0</v>
      </c>
      <c r="L38" s="147">
        <f>'F13-Year(n+1)'!Q38</f>
        <v>26.892249</v>
      </c>
      <c r="M38" s="147">
        <f>'F13-Year(n+2)'!Q38</f>
        <v>0</v>
      </c>
      <c r="N38" s="147">
        <f>'F13-Year(n+3)'!Q38</f>
        <v>0</v>
      </c>
      <c r="O38" s="147">
        <f>'F13-Year(n+4)'!Q38</f>
        <v>0</v>
      </c>
      <c r="P38" s="147">
        <f>'F13-Year(n+5)'!Q38</f>
        <v>0</v>
      </c>
    </row>
    <row r="39" spans="3:16">
      <c r="C39" s="683"/>
      <c r="D39" s="55"/>
      <c r="E39" s="147"/>
      <c r="F39" s="752">
        <f>'F13-Year(n-1)'!Q39</f>
        <v>391.917655049083</v>
      </c>
      <c r="G39" s="147"/>
      <c r="H39" s="147"/>
      <c r="I39" s="147">
        <v>0</v>
      </c>
      <c r="J39" s="147">
        <v>0</v>
      </c>
      <c r="K39" s="147">
        <v>0</v>
      </c>
      <c r="L39" s="147">
        <f>'F13-Year(n+1)'!Q39</f>
        <v>0</v>
      </c>
      <c r="M39" s="147">
        <f>'F13-Year(n+2)'!Q39</f>
        <v>0</v>
      </c>
      <c r="N39" s="147">
        <f>'F13-Year(n+3)'!Q39</f>
        <v>0</v>
      </c>
      <c r="O39" s="147">
        <f>'F13-Year(n+4)'!Q39</f>
        <v>0</v>
      </c>
      <c r="P39" s="147">
        <f>'F13-Year(n+5)'!Q39</f>
        <v>0</v>
      </c>
    </row>
    <row r="40" spans="3:16">
      <c r="C40" s="683"/>
      <c r="D40" s="679" t="s">
        <v>493</v>
      </c>
      <c r="E40" s="147"/>
      <c r="F40" s="752">
        <f>'F13-Year(n-1)'!Q40</f>
        <v>385.0410802356</v>
      </c>
      <c r="G40" s="147"/>
      <c r="H40" s="147"/>
      <c r="I40" s="147">
        <f>SUM('F13-Year(n)'!E39:J39)</f>
        <v>412.04022</v>
      </c>
      <c r="J40" s="147">
        <f>SUM('F13-Year(n)'!K39:P39)</f>
        <v>412.04022</v>
      </c>
      <c r="K40" s="147">
        <f t="shared" si="1"/>
        <v>824.08044</v>
      </c>
      <c r="L40" s="147">
        <f>'F13-Year(n+1)'!Q40</f>
        <v>3.59805</v>
      </c>
      <c r="M40" s="147">
        <f>'F13-Year(n+2)'!Q40</f>
        <v>1078.004</v>
      </c>
      <c r="N40" s="147">
        <f>'F13-Year(n+3)'!Q40</f>
        <v>1169.401525</v>
      </c>
      <c r="O40" s="147">
        <f>'F13-Year(n+4)'!Q40</f>
        <v>1287.65038</v>
      </c>
      <c r="P40" s="147">
        <f>'F13-Year(n+5)'!Q40</f>
        <v>1401.736785</v>
      </c>
    </row>
    <row r="41" spans="3:16">
      <c r="C41" s="683"/>
      <c r="D41" s="679" t="s">
        <v>494</v>
      </c>
      <c r="E41" s="147"/>
      <c r="F41" s="752">
        <f>'F13-Year(n-1)'!Q41</f>
        <v>336.51038957165</v>
      </c>
      <c r="G41" s="147"/>
      <c r="H41" s="147"/>
      <c r="I41" s="147">
        <f>SUM('F13-Year(n)'!E40:J40)</f>
        <v>0</v>
      </c>
      <c r="J41" s="147">
        <f>SUM('F13-Year(n)'!K40:P40)</f>
        <v>0</v>
      </c>
      <c r="K41" s="147">
        <f t="shared" si="1"/>
        <v>0</v>
      </c>
      <c r="L41" s="147">
        <f>'F13-Year(n+1)'!Q41</f>
        <v>17.928166</v>
      </c>
      <c r="M41" s="147">
        <f>'F13-Year(n+2)'!Q41</f>
        <v>0</v>
      </c>
      <c r="N41" s="147">
        <f>'F13-Year(n+3)'!Q41</f>
        <v>0</v>
      </c>
      <c r="O41" s="147">
        <f>'F13-Year(n+4)'!Q41</f>
        <v>0</v>
      </c>
      <c r="P41" s="147">
        <f>'F13-Year(n+5)'!Q41</f>
        <v>0</v>
      </c>
    </row>
    <row r="42" spans="3:16">
      <c r="C42" s="683"/>
      <c r="D42" s="687" t="s">
        <v>495</v>
      </c>
      <c r="E42" s="147"/>
      <c r="F42" s="752">
        <f>'F13-Year(n-1)'!Q42</f>
        <v>0</v>
      </c>
      <c r="G42" s="147"/>
      <c r="H42" s="147"/>
      <c r="I42" s="147">
        <f>SUM('F13-Year(n)'!E41:J41)</f>
        <v>24.09988</v>
      </c>
      <c r="J42" s="147">
        <f>SUM('F13-Year(n)'!K41:P41)</f>
        <v>24.09988</v>
      </c>
      <c r="K42" s="147">
        <f t="shared" si="1"/>
        <v>48.19976</v>
      </c>
      <c r="L42" s="147">
        <f>'F13-Year(n+1)'!Q42</f>
        <v>0</v>
      </c>
      <c r="M42" s="147">
        <f>'F13-Year(n+2)'!Q42</f>
        <v>0</v>
      </c>
      <c r="N42" s="147">
        <f>'F13-Year(n+3)'!Q42</f>
        <v>0</v>
      </c>
      <c r="O42" s="147">
        <f>'F13-Year(n+4)'!Q42</f>
        <v>0</v>
      </c>
      <c r="P42" s="147">
        <f>'F13-Year(n+5)'!Q42</f>
        <v>0</v>
      </c>
    </row>
    <row r="43" spans="3:16">
      <c r="C43" s="683"/>
      <c r="D43" s="679" t="s">
        <v>496</v>
      </c>
      <c r="E43" s="147"/>
      <c r="F43" s="752">
        <f>'F13-Year(n-1)'!Q43</f>
        <v>0</v>
      </c>
      <c r="G43" s="147"/>
      <c r="H43" s="147"/>
      <c r="I43" s="147">
        <f>SUM('F13-Year(n)'!E42:J42)</f>
        <v>438.23719875</v>
      </c>
      <c r="J43" s="147">
        <f>SUM('F13-Year(n)'!K42:P42)</f>
        <v>438.23719875</v>
      </c>
      <c r="K43" s="147">
        <f t="shared" si="1"/>
        <v>876.4743975</v>
      </c>
      <c r="L43" s="147">
        <f>'F13-Year(n+1)'!Q43</f>
        <v>0</v>
      </c>
      <c r="M43" s="147">
        <f>'F13-Year(n+2)'!Q43</f>
        <v>1170.177575</v>
      </c>
      <c r="N43" s="147">
        <f>'F13-Year(n+3)'!Q43</f>
        <v>1182.10758</v>
      </c>
      <c r="O43" s="147">
        <f>'F13-Year(n+4)'!Q43</f>
        <v>1198.030715</v>
      </c>
      <c r="P43" s="147">
        <f>'F13-Year(n+5)'!Q43</f>
        <v>1216.938115</v>
      </c>
    </row>
    <row r="44" spans="3:16">
      <c r="C44" s="683"/>
      <c r="D44" s="55"/>
      <c r="E44" s="147"/>
      <c r="F44" s="752">
        <f>'F13-Year(n-1)'!Q44</f>
        <v>0</v>
      </c>
      <c r="G44" s="147"/>
      <c r="H44" s="147"/>
      <c r="I44" s="147">
        <f>SUM('F13-Year(n)'!E43:J43)</f>
        <v>0</v>
      </c>
      <c r="J44" s="147">
        <f>SUM('F13-Year(n)'!K43:P43)</f>
        <v>0</v>
      </c>
      <c r="K44" s="147">
        <f t="shared" si="1"/>
        <v>0</v>
      </c>
      <c r="L44" s="147">
        <f>'F13-Year(n+1)'!Q44</f>
        <v>1050.81403</v>
      </c>
      <c r="M44" s="147">
        <f>'F13-Year(n+2)'!Q44</f>
        <v>0</v>
      </c>
      <c r="N44" s="147">
        <f>'F13-Year(n+3)'!Q44</f>
        <v>0</v>
      </c>
      <c r="O44" s="147">
        <f>'F13-Year(n+4)'!Q44</f>
        <v>0</v>
      </c>
      <c r="P44" s="147">
        <f>'F13-Year(n+5)'!Q44</f>
        <v>0</v>
      </c>
    </row>
    <row r="45" spans="3:16">
      <c r="C45" s="683"/>
      <c r="D45" s="55"/>
      <c r="E45" s="147"/>
      <c r="F45" s="752">
        <f>'F13-Year(n-1)'!Q45</f>
        <v>0</v>
      </c>
      <c r="G45" s="147"/>
      <c r="H45" s="147"/>
      <c r="I45" s="147">
        <f>SUM('F13-Year(n)'!E44:J44)</f>
        <v>0</v>
      </c>
      <c r="J45" s="147">
        <f>SUM('F13-Year(n)'!K44:P44)</f>
        <v>0</v>
      </c>
      <c r="K45" s="147">
        <f t="shared" si="1"/>
        <v>0</v>
      </c>
      <c r="L45" s="147">
        <f>'F13-Year(n+1)'!Q45</f>
        <v>23.740075</v>
      </c>
      <c r="M45" s="147">
        <f>'F13-Year(n+2)'!Q45</f>
        <v>0</v>
      </c>
      <c r="N45" s="147">
        <f>'F13-Year(n+3)'!Q45</f>
        <v>0</v>
      </c>
      <c r="O45" s="147">
        <f>'F13-Year(n+4)'!Q45</f>
        <v>0</v>
      </c>
      <c r="P45" s="147">
        <f>'F13-Year(n+5)'!Q45</f>
        <v>0</v>
      </c>
    </row>
    <row r="46" spans="3:16">
      <c r="C46" s="683"/>
      <c r="D46" s="55" t="s">
        <v>497</v>
      </c>
      <c r="E46" s="147">
        <v>385</v>
      </c>
      <c r="F46" s="752">
        <f>'F13-Year(n-1)'!Q46</f>
        <v>0</v>
      </c>
      <c r="G46" s="147"/>
      <c r="H46" s="147">
        <f>'[48]PP Cost'!$M$97</f>
        <v>406.106665</v>
      </c>
      <c r="I46" s="147">
        <f>SUM('F13-Year(n)'!E45:J45)</f>
        <v>0</v>
      </c>
      <c r="J46" s="147">
        <f>SUM('F13-Year(n)'!K45:P45)</f>
        <v>0</v>
      </c>
      <c r="K46" s="147">
        <f t="shared" si="1"/>
        <v>0</v>
      </c>
      <c r="L46" s="147">
        <f>'F13-Year(n+1)'!Q46</f>
        <v>0</v>
      </c>
      <c r="M46" s="147">
        <f>'F13-Year(n+2)'!Q46</f>
        <v>0</v>
      </c>
      <c r="N46" s="147">
        <f>'F13-Year(n+3)'!Q46</f>
        <v>0</v>
      </c>
      <c r="O46" s="147">
        <f>'F13-Year(n+4)'!Q46</f>
        <v>0</v>
      </c>
      <c r="P46" s="147">
        <f>'F13-Year(n+5)'!Q46</f>
        <v>0</v>
      </c>
    </row>
    <row r="47" spans="3:16">
      <c r="C47" s="683"/>
      <c r="D47" s="55"/>
      <c r="E47" s="147"/>
      <c r="F47" s="752">
        <f>'F13-Year(n-1)'!Q47</f>
        <v>0</v>
      </c>
      <c r="G47" s="147"/>
      <c r="H47" s="147"/>
      <c r="I47" s="147">
        <f>SUM('F13-Year(n)'!E46:J46)</f>
        <v>0</v>
      </c>
      <c r="J47" s="147">
        <f>SUM('F13-Year(n)'!K46:P46)</f>
        <v>0</v>
      </c>
      <c r="K47" s="147">
        <f t="shared" si="1"/>
        <v>0</v>
      </c>
      <c r="L47" s="147">
        <f>'F13-Year(n+1)'!Q47</f>
        <v>0</v>
      </c>
      <c r="M47" s="147">
        <f>'F13-Year(n+2)'!Q47</f>
        <v>0</v>
      </c>
      <c r="N47" s="147">
        <f>'F13-Year(n+3)'!Q47</f>
        <v>0</v>
      </c>
      <c r="O47" s="147">
        <f>'F13-Year(n+4)'!Q47</f>
        <v>0</v>
      </c>
      <c r="P47" s="147">
        <f>'F13-Year(n+5)'!Q47</f>
        <v>0</v>
      </c>
    </row>
    <row r="48" spans="3:16">
      <c r="C48" s="684"/>
      <c r="D48" s="67"/>
      <c r="E48" s="147"/>
      <c r="F48" s="752">
        <f>'F13-Year(n-1)'!Q48</f>
        <v>0</v>
      </c>
      <c r="G48" s="147"/>
      <c r="H48" s="147"/>
      <c r="I48" s="147">
        <f>SUM('F13-Year(n)'!E47:J47)</f>
        <v>0</v>
      </c>
      <c r="J48" s="147">
        <f>SUM('F13-Year(n)'!K47:P47)</f>
        <v>0</v>
      </c>
      <c r="K48" s="147">
        <f t="shared" si="1"/>
        <v>0</v>
      </c>
      <c r="L48" s="147">
        <f>'F13-Year(n+1)'!Q48</f>
        <v>0</v>
      </c>
      <c r="M48" s="147">
        <f>'F13-Year(n+2)'!Q48</f>
        <v>0</v>
      </c>
      <c r="N48" s="147">
        <f>'F13-Year(n+3)'!Q48</f>
        <v>0</v>
      </c>
      <c r="O48" s="147">
        <f>'F13-Year(n+4)'!Q48</f>
        <v>0</v>
      </c>
      <c r="P48" s="147">
        <f>'F13-Year(n+5)'!Q48</f>
        <v>0</v>
      </c>
    </row>
    <row r="49" ht="15" spans="3:16">
      <c r="C49" s="537" t="s">
        <v>211</v>
      </c>
      <c r="D49" s="540"/>
      <c r="E49" s="316">
        <f>SUM(E31:E48)</f>
        <v>776.917655</v>
      </c>
      <c r="F49" s="316">
        <f>SUM(F31:F48)</f>
        <v>1113.46912485633</v>
      </c>
      <c r="G49" s="316">
        <f>F49-E49</f>
        <v>336.551469856333</v>
      </c>
      <c r="H49" s="316">
        <f>SUM(H31:H48)</f>
        <v>766.521655</v>
      </c>
      <c r="I49" s="316">
        <f>SUM(I31:I48)</f>
        <v>874.37729875</v>
      </c>
      <c r="J49" s="316">
        <f>SUM('F13-Year(n)'!K48:P48)</f>
        <v>874.37729875</v>
      </c>
      <c r="K49" s="316">
        <f t="shared" si="1"/>
        <v>1748.7545975</v>
      </c>
      <c r="L49" s="316">
        <f>'F13-Year(n+1)'!Q49</f>
        <v>1868.890665</v>
      </c>
      <c r="M49" s="316">
        <f>'F13-Year(n+2)'!Q49</f>
        <v>2248.181575</v>
      </c>
      <c r="N49" s="316">
        <f>'F13-Year(n+3)'!Q49</f>
        <v>2351.509105</v>
      </c>
      <c r="O49" s="316">
        <f>'F13-Year(n+4)'!Q49</f>
        <v>2485.681095</v>
      </c>
      <c r="P49" s="316">
        <f>'F13-Year(n+5)'!Q49</f>
        <v>2618.6749</v>
      </c>
    </row>
    <row r="50" ht="15" spans="3:16">
      <c r="C50" s="44" t="s">
        <v>369</v>
      </c>
      <c r="D50" s="45"/>
      <c r="E50" s="316">
        <f>E29+E49</f>
        <v>4390.80078</v>
      </c>
      <c r="F50" s="316">
        <f>F29+F49</f>
        <v>4598.50740427984</v>
      </c>
      <c r="G50" s="316">
        <f>F50-E50</f>
        <v>207.706624279839</v>
      </c>
      <c r="H50" s="316">
        <f>H29+H49</f>
        <v>4262.13358</v>
      </c>
      <c r="I50" s="316">
        <f>I29+I49</f>
        <v>5800.76354598274</v>
      </c>
      <c r="J50" s="316">
        <f>SUM('F13-Year(n)'!K49:P49)</f>
        <v>5996.80434463762</v>
      </c>
      <c r="K50" s="316">
        <f t="shared" si="1"/>
        <v>11797.5678906204</v>
      </c>
      <c r="L50" s="316">
        <f>'F13-Year(n+1)'!Q50</f>
        <v>21760.3386774132</v>
      </c>
      <c r="M50" s="316">
        <f>'F13-Year(n+2)'!Q50</f>
        <v>20476.9355210158</v>
      </c>
      <c r="N50" s="316">
        <f>'F13-Year(n+3)'!Q50</f>
        <v>21125.2283164516</v>
      </c>
      <c r="O50" s="316">
        <f>'F13-Year(n+4)'!Q50</f>
        <v>21991.7575042958</v>
      </c>
      <c r="P50" s="316">
        <f>'F13-Year(n+5)'!Q50</f>
        <v>23208.3801645721</v>
      </c>
    </row>
    <row r="51" ht="15" spans="3:16">
      <c r="C51" s="663" t="s">
        <v>370</v>
      </c>
      <c r="D51" s="676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</row>
    <row r="52" ht="15" spans="3:16">
      <c r="C52" s="44" t="s">
        <v>350</v>
      </c>
      <c r="D52" s="45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</row>
    <row r="53" s="748" customFormat="1" spans="3:16">
      <c r="C53" s="682" t="s">
        <v>371</v>
      </c>
      <c r="D53" s="750" t="s">
        <v>372</v>
      </c>
      <c r="E53" s="751">
        <f>'[47]PP Cost'!$M$98</f>
        <v>259.27191</v>
      </c>
      <c r="F53" s="751">
        <f>'F13-Year(n-1)'!Q53</f>
        <v>287.566252617369</v>
      </c>
      <c r="G53" s="751"/>
      <c r="H53" s="751">
        <f>'[48]PP Cost'!M100</f>
        <v>215.659405</v>
      </c>
      <c r="I53" s="751">
        <f>SUM('F13-Year(n)'!E52:J52)</f>
        <v>360.571592828799</v>
      </c>
      <c r="J53" s="751">
        <f>SUM('F13-Year(n)'!K52:P52)</f>
        <v>347.84885193685</v>
      </c>
      <c r="K53" s="751">
        <f t="shared" ref="K53:K78" si="2">I53+J53</f>
        <v>708.420444765649</v>
      </c>
      <c r="L53" s="751">
        <f>'F13-Year(n+1)'!Q53</f>
        <v>622.988611797156</v>
      </c>
      <c r="M53" s="751">
        <f>'F13-Year(n+2)'!Q53</f>
        <v>608.883690765478</v>
      </c>
      <c r="N53" s="751">
        <f>'F13-Year(n+3)'!Q53</f>
        <v>628.78078344533</v>
      </c>
      <c r="O53" s="751">
        <f>'F13-Year(n+4)'!Q53</f>
        <v>657.931969805167</v>
      </c>
      <c r="P53" s="751">
        <f>'F13-Year(n+5)'!Q53</f>
        <v>733.628525216654</v>
      </c>
    </row>
    <row r="54" spans="3:16">
      <c r="C54" s="683"/>
      <c r="D54" s="55" t="s">
        <v>373</v>
      </c>
      <c r="E54" s="147">
        <f>'[47]PP Cost'!$M$99</f>
        <v>70.10867</v>
      </c>
      <c r="F54" s="751">
        <f>'F13-Year(n-1)'!Q54</f>
        <v>65.6811432361596</v>
      </c>
      <c r="G54" s="147"/>
      <c r="H54" s="147">
        <f>'[48]PP Cost'!M101</f>
        <v>52.60948</v>
      </c>
      <c r="I54" s="751">
        <f>SUM('F13-Year(n)'!E53:J53)</f>
        <v>90.3314535412019</v>
      </c>
      <c r="J54" s="751">
        <f>SUM('F13-Year(n)'!K53:P53)</f>
        <v>87.1045121794021</v>
      </c>
      <c r="K54" s="147">
        <f t="shared" si="2"/>
        <v>177.435965720604</v>
      </c>
      <c r="L54" s="147">
        <f>'F13-Year(n+1)'!Q54</f>
        <v>150.950173600846</v>
      </c>
      <c r="M54" s="147">
        <f>'F13-Year(n+2)'!Q54</f>
        <v>139.878915293566</v>
      </c>
      <c r="N54" s="147">
        <f>'F13-Year(n+3)'!Q54</f>
        <v>149.83371637824</v>
      </c>
      <c r="O54" s="147">
        <f>'F13-Year(n+4)'!Q54</f>
        <v>153.196473998318</v>
      </c>
      <c r="P54" s="147">
        <f>'F13-Year(n+5)'!Q54</f>
        <v>168.461830358716</v>
      </c>
    </row>
    <row r="55" spans="3:16">
      <c r="C55" s="683"/>
      <c r="D55" s="55" t="s">
        <v>374</v>
      </c>
      <c r="E55" s="147">
        <f>'[47]PP Cost'!$M$100</f>
        <v>114.15409</v>
      </c>
      <c r="F55" s="751">
        <f>'F13-Year(n-1)'!Q55</f>
        <v>150.200862626755</v>
      </c>
      <c r="G55" s="147"/>
      <c r="H55" s="147">
        <f>'[48]PP Cost'!M102</f>
        <v>114.516325</v>
      </c>
      <c r="I55" s="751">
        <f>SUM('F13-Year(n)'!E54:J54)</f>
        <v>182.145896220072</v>
      </c>
      <c r="J55" s="751">
        <f>SUM('F13-Year(n)'!K54:P54)</f>
        <v>163.132269484389</v>
      </c>
      <c r="K55" s="147">
        <f t="shared" si="2"/>
        <v>345.278165704461</v>
      </c>
      <c r="L55" s="147">
        <f>'F13-Year(n+1)'!Q55</f>
        <v>281.222674593433</v>
      </c>
      <c r="M55" s="147">
        <f>'F13-Year(n+2)'!Q55</f>
        <v>321.086813866713</v>
      </c>
      <c r="N55" s="147">
        <f>'F13-Year(n+3)'!Q55</f>
        <v>325.685318515802</v>
      </c>
      <c r="O55" s="147">
        <f>'F13-Year(n+4)'!Q55</f>
        <v>340.577673676104</v>
      </c>
      <c r="P55" s="147">
        <f>'F13-Year(n+5)'!Q55</f>
        <v>357.905062175765</v>
      </c>
    </row>
    <row r="56" spans="3:16">
      <c r="C56" s="683"/>
      <c r="D56" s="55" t="s">
        <v>375</v>
      </c>
      <c r="E56" s="147">
        <f>'[47]PP Cost'!$M$101</f>
        <v>444.880535</v>
      </c>
      <c r="F56" s="751">
        <f>'F13-Year(n-1)'!Q56</f>
        <v>625.395944223821</v>
      </c>
      <c r="G56" s="147"/>
      <c r="H56" s="147">
        <f>'[48]PP Cost'!M103</f>
        <v>351.683065</v>
      </c>
      <c r="I56" s="751">
        <f>SUM('F13-Year(n)'!E55:J55)</f>
        <v>619.200171615342</v>
      </c>
      <c r="J56" s="751">
        <f>SUM('F13-Year(n)'!K55:P55)</f>
        <v>607.244217765182</v>
      </c>
      <c r="K56" s="147">
        <f t="shared" si="2"/>
        <v>1226.44438938052</v>
      </c>
      <c r="L56" s="147">
        <f>'F13-Year(n+1)'!Q56</f>
        <v>1018.59634358634</v>
      </c>
      <c r="M56" s="147">
        <f>'F13-Year(n+2)'!Q56</f>
        <v>878.103970091261</v>
      </c>
      <c r="N56" s="147">
        <f>'F13-Year(n+3)'!Q56</f>
        <v>932.047306483513</v>
      </c>
      <c r="O56" s="147">
        <f>'F13-Year(n+4)'!Q56</f>
        <v>970.908326506927</v>
      </c>
      <c r="P56" s="147">
        <f>'F13-Year(n+5)'!Q56</f>
        <v>1076.23152604211</v>
      </c>
    </row>
    <row r="57" spans="3:16">
      <c r="C57" s="683"/>
      <c r="D57" s="55" t="s">
        <v>376</v>
      </c>
      <c r="E57" s="147">
        <f>'[47]PP Cost'!$M$102</f>
        <v>231.77739</v>
      </c>
      <c r="F57" s="751">
        <f>'F13-Year(n-1)'!Q57</f>
        <v>304.731782532736</v>
      </c>
      <c r="G57" s="147"/>
      <c r="H57" s="147">
        <f>'[48]PP Cost'!M104</f>
        <v>203.36403</v>
      </c>
      <c r="I57" s="751">
        <f>SUM('F13-Year(n)'!E56:J56)</f>
        <v>288.13676524474</v>
      </c>
      <c r="J57" s="751">
        <f>SUM('F13-Year(n)'!K56:P56)</f>
        <v>340.058081924487</v>
      </c>
      <c r="K57" s="147">
        <f t="shared" si="2"/>
        <v>628.194847169227</v>
      </c>
      <c r="L57" s="147">
        <f>'F13-Year(n+1)'!Q57</f>
        <v>550.394095181118</v>
      </c>
      <c r="M57" s="147">
        <f>'F13-Year(n+2)'!Q57</f>
        <v>555.128326849077</v>
      </c>
      <c r="N57" s="147">
        <f>'F13-Year(n+3)'!Q57</f>
        <v>579.378085596498</v>
      </c>
      <c r="O57" s="147">
        <f>'F13-Year(n+4)'!Q57</f>
        <v>600.192686076876</v>
      </c>
      <c r="P57" s="147">
        <f>'F13-Year(n+5)'!Q57</f>
        <v>656.915660701938</v>
      </c>
    </row>
    <row r="58" spans="3:16">
      <c r="C58" s="683"/>
      <c r="D58" s="55" t="s">
        <v>377</v>
      </c>
      <c r="E58" s="147">
        <f>'[47]PP Cost'!$M$103</f>
        <v>263.150475</v>
      </c>
      <c r="F58" s="751">
        <f>'F13-Year(n-1)'!Q58</f>
        <v>287.835816565707</v>
      </c>
      <c r="G58" s="147"/>
      <c r="H58" s="147">
        <f>'[48]PP Cost'!M105</f>
        <v>249.550465</v>
      </c>
      <c r="I58" s="751">
        <f>SUM('F13-Year(n)'!E57:J57)</f>
        <v>275.947997557166</v>
      </c>
      <c r="J58" s="751">
        <f>SUM('F13-Year(n)'!K57:P57)</f>
        <v>249.161643124253</v>
      </c>
      <c r="K58" s="147">
        <f t="shared" si="2"/>
        <v>525.109640681419</v>
      </c>
      <c r="L58" s="147">
        <f>'F13-Year(n+1)'!Q58</f>
        <v>700.420994092565</v>
      </c>
      <c r="M58" s="147">
        <f>'F13-Year(n+2)'!Q58</f>
        <v>647.462941307691</v>
      </c>
      <c r="N58" s="147">
        <f>'F13-Year(n+3)'!Q58</f>
        <v>692.824150557324</v>
      </c>
      <c r="O58" s="147">
        <f>'F13-Year(n+4)'!Q58</f>
        <v>726.041956852764</v>
      </c>
      <c r="P58" s="147">
        <f>'F13-Year(n+5)'!Q58</f>
        <v>792.371844691306</v>
      </c>
    </row>
    <row r="59" spans="3:16">
      <c r="C59" s="683"/>
      <c r="D59" s="55" t="s">
        <v>378</v>
      </c>
      <c r="E59" s="147">
        <f>'[47]PP Cost'!$M$116</f>
        <v>45.750575</v>
      </c>
      <c r="F59" s="751">
        <f>'F13-Year(n-1)'!Q59</f>
        <v>230.96753068507</v>
      </c>
      <c r="G59" s="147"/>
      <c r="H59" s="147">
        <f>'[48]PP Cost'!M120</f>
        <v>35.448965</v>
      </c>
      <c r="I59" s="751">
        <f>SUM('F13-Year(n)'!E58:J58)</f>
        <v>283.730310457682</v>
      </c>
      <c r="J59" s="751">
        <f>SUM('F13-Year(n)'!K58:P58)</f>
        <v>286.4624055222</v>
      </c>
      <c r="K59" s="147">
        <f t="shared" si="2"/>
        <v>570.192715979882</v>
      </c>
      <c r="L59" s="147">
        <f>'F13-Year(n+1)'!Q59</f>
        <v>67.4317468005318</v>
      </c>
      <c r="M59" s="147">
        <f>'F13-Year(n+2)'!Q59</f>
        <v>60.0941378968128</v>
      </c>
      <c r="N59" s="147">
        <f>'F13-Year(n+3)'!Q59</f>
        <v>66.6356970014361</v>
      </c>
      <c r="O59" s="147">
        <f>'F13-Year(n+4)'!Q59</f>
        <v>71.464614726607</v>
      </c>
      <c r="P59" s="147">
        <f>'F13-Year(n+5)'!Q59</f>
        <v>81.8819877966386</v>
      </c>
    </row>
    <row r="60" spans="3:16">
      <c r="C60" s="683"/>
      <c r="D60" s="55" t="s">
        <v>379</v>
      </c>
      <c r="E60" s="147">
        <f>'[47]PP Cost'!$M$117</f>
        <v>161.74529</v>
      </c>
      <c r="F60" s="751">
        <f>'F13-Year(n-1)'!Q60</f>
        <v>59.2167962759092</v>
      </c>
      <c r="G60" s="147"/>
      <c r="H60" s="147">
        <f>'[48]PP Cost'!M121</f>
        <v>265.59777</v>
      </c>
      <c r="I60" s="751">
        <f>SUM('F13-Year(n)'!E59:J59)</f>
        <v>58.743283501124</v>
      </c>
      <c r="J60" s="751">
        <f>SUM('F13-Year(n)'!K59:P59)</f>
        <v>64.1609691867071</v>
      </c>
      <c r="K60" s="147">
        <f t="shared" si="2"/>
        <v>122.904252687831</v>
      </c>
      <c r="L60" s="147">
        <f>'F13-Year(n+1)'!Q60</f>
        <v>383.507955722023</v>
      </c>
      <c r="M60" s="147">
        <f>'F13-Year(n+2)'!Q60</f>
        <v>340.773377113392</v>
      </c>
      <c r="N60" s="147">
        <f>'F13-Year(n+3)'!Q60</f>
        <v>380.109163131388</v>
      </c>
      <c r="O60" s="147">
        <f>'F13-Year(n+4)'!Q60</f>
        <v>405.033561052444</v>
      </c>
      <c r="P60" s="147">
        <f>'F13-Year(n+5)'!Q60</f>
        <v>457.564739681077</v>
      </c>
    </row>
    <row r="61" spans="3:16">
      <c r="C61" s="684"/>
      <c r="D61" s="55" t="s">
        <v>380</v>
      </c>
      <c r="E61" s="147">
        <f>'[47]PP Cost'!$M$107</f>
        <v>437.78603</v>
      </c>
      <c r="F61" s="751">
        <f>'F13-Year(n-1)'!Q61</f>
        <v>0</v>
      </c>
      <c r="G61" s="147"/>
      <c r="H61" s="147">
        <f>'[48]PP Cost'!$M$111</f>
        <v>925.8491</v>
      </c>
      <c r="I61" s="751">
        <f>SUM('F13-Year(n)'!E60:J60)</f>
        <v>2.2779835882</v>
      </c>
      <c r="J61" s="751">
        <f>SUM('F13-Year(n)'!K60:P60)</f>
        <v>970.314714158302</v>
      </c>
      <c r="K61" s="147">
        <f t="shared" si="2"/>
        <v>972.592697746502</v>
      </c>
      <c r="L61" s="147">
        <f>'F13-Year(n+1)'!Q61</f>
        <v>1692.77660839908</v>
      </c>
      <c r="M61" s="147">
        <f>'F13-Year(n+2)'!Q61</f>
        <v>1730.61544833591</v>
      </c>
      <c r="N61" s="147">
        <f>'F13-Year(n+3)'!Q61</f>
        <v>1838.65983753376</v>
      </c>
      <c r="O61" s="147">
        <f>'F13-Year(n+4)'!Q61</f>
        <v>1940.61937511904</v>
      </c>
      <c r="P61" s="147">
        <f>'F13-Year(n+5)'!Q61</f>
        <v>2006.44171251822</v>
      </c>
    </row>
    <row r="62" spans="3:16">
      <c r="C62" s="55"/>
      <c r="D62" s="55" t="s">
        <v>381</v>
      </c>
      <c r="E62" s="147">
        <f>'[47]PP Cost'!$M$104</f>
        <v>38.311505</v>
      </c>
      <c r="F62" s="751">
        <f>'F13-Year(n-1)'!Q62</f>
        <v>39.9457026698946</v>
      </c>
      <c r="G62" s="147"/>
      <c r="H62" s="147">
        <f>'[48]PP Cost'!$M$106</f>
        <v>3.54578</v>
      </c>
      <c r="I62" s="751">
        <f>SUM('F13-Year(n)'!E61:J61)</f>
        <v>41.5360488546371</v>
      </c>
      <c r="J62" s="751">
        <f>SUM('F13-Year(n)'!K61:P61)</f>
        <v>9.07224486726363</v>
      </c>
      <c r="K62" s="147">
        <f t="shared" si="2"/>
        <v>50.6082937219007</v>
      </c>
      <c r="L62" s="147">
        <f>'F13-Year(n+1)'!Q62</f>
        <v>1643.12145274782</v>
      </c>
      <c r="M62" s="147">
        <f>'F13-Year(n+2)'!Q62</f>
        <v>1714.05275408376</v>
      </c>
      <c r="N62" s="147">
        <f>'F13-Year(n+3)'!Q62</f>
        <v>1809.1571578773</v>
      </c>
      <c r="O62" s="147">
        <f>'F13-Year(n+4)'!Q62</f>
        <v>1911.79797868264</v>
      </c>
      <c r="P62" s="147">
        <f>'F13-Year(n+5)'!Q62</f>
        <v>1987.20348036835</v>
      </c>
    </row>
    <row r="63" spans="3:16">
      <c r="C63" s="55"/>
      <c r="D63" s="55" t="s">
        <v>382</v>
      </c>
      <c r="E63" s="147">
        <f>'[47]PP Cost'!$M$105</f>
        <v>69.345915</v>
      </c>
      <c r="F63" s="751">
        <f>'F13-Year(n-1)'!Q63</f>
        <v>10.0008711958315</v>
      </c>
      <c r="G63" s="147"/>
      <c r="H63" s="147">
        <f>'[48]PP Cost'!$M$107</f>
        <v>4.60009</v>
      </c>
      <c r="I63" s="751">
        <f>SUM('F13-Year(n)'!E62:J62)</f>
        <v>29.2326170294658</v>
      </c>
      <c r="J63" s="751">
        <f>SUM('F13-Year(n)'!K62:P62)</f>
        <v>4.02735612586722</v>
      </c>
      <c r="K63" s="147">
        <f t="shared" si="2"/>
        <v>33.259973155333</v>
      </c>
      <c r="L63" s="147">
        <f>'F13-Year(n+1)'!Q63</f>
        <v>66.6842546491644</v>
      </c>
      <c r="M63" s="147">
        <f>'F13-Year(n+2)'!Q63</f>
        <v>11.9198301720953</v>
      </c>
      <c r="N63" s="147">
        <f>'F13-Year(n+3)'!Q63</f>
        <v>13.3255194979063</v>
      </c>
      <c r="O63" s="147">
        <f>'F13-Year(n+4)'!Q63</f>
        <v>14.2021079163212</v>
      </c>
      <c r="P63" s="147">
        <f>'F13-Year(n+5)'!Q63</f>
        <v>15.9271433096302</v>
      </c>
    </row>
    <row r="64" spans="3:16">
      <c r="C64" s="55"/>
      <c r="D64" s="55" t="s">
        <v>383</v>
      </c>
      <c r="E64" s="147">
        <f>'[47]PP Cost'!$M$106</f>
        <v>48.31567</v>
      </c>
      <c r="F64" s="751">
        <f>'F13-Year(n-1)'!Q64</f>
        <v>52.4019893139461</v>
      </c>
      <c r="G64" s="147"/>
      <c r="H64" s="147">
        <f>'[48]PP Cost'!$M$108</f>
        <v>46.899125</v>
      </c>
      <c r="I64" s="751">
        <f>SUM('F13-Year(n)'!E63:J63)</f>
        <v>80.692145382811</v>
      </c>
      <c r="J64" s="751">
        <f>SUM('F13-Year(n)'!K63:P63)</f>
        <v>71.5145835140248</v>
      </c>
      <c r="K64" s="147">
        <f t="shared" si="2"/>
        <v>152.206728896836</v>
      </c>
      <c r="L64" s="147">
        <f>'F13-Year(n+1)'!Q64</f>
        <v>11.8443972358921</v>
      </c>
      <c r="M64" s="147">
        <f>'F13-Year(n+2)'!Q64</f>
        <v>10.6272744027984</v>
      </c>
      <c r="N64" s="147">
        <f>'F13-Year(n+3)'!Q64</f>
        <v>11.2648082131333</v>
      </c>
      <c r="O64" s="147">
        <f>'F13-Year(n+4)'!Q64</f>
        <v>12.0882081907499</v>
      </c>
      <c r="P64" s="147">
        <f>'F13-Year(n+5)'!Q64</f>
        <v>13.5327811006016</v>
      </c>
    </row>
    <row r="65" spans="3:16">
      <c r="C65" s="55"/>
      <c r="D65" s="55" t="s">
        <v>384</v>
      </c>
      <c r="E65" s="147"/>
      <c r="F65" s="751">
        <f>'F13-Year(n-1)'!Q65</f>
        <v>2.49160856516914</v>
      </c>
      <c r="G65" s="147"/>
      <c r="H65" s="147">
        <f>'[48]PP Cost'!M109</f>
        <v>4.09944</v>
      </c>
      <c r="I65" s="751">
        <f>SUM('F13-Year(n)'!E64:J64)</f>
        <v>6.27693596549472</v>
      </c>
      <c r="J65" s="751">
        <f>SUM('F13-Year(n)'!K64:P64)</f>
        <v>5.23089140916131</v>
      </c>
      <c r="K65" s="147">
        <f t="shared" si="2"/>
        <v>11.507827374656</v>
      </c>
      <c r="L65" s="147">
        <f>'F13-Year(n+1)'!Q65</f>
        <v>2.23086155</v>
      </c>
      <c r="M65" s="147">
        <f>'F13-Year(n+2)'!Q65</f>
        <v>1.411</v>
      </c>
      <c r="N65" s="147">
        <f>'F13-Year(n+3)'!Q65</f>
        <v>1.411</v>
      </c>
      <c r="O65" s="147">
        <f>'F13-Year(n+4)'!Q65</f>
        <v>1.411</v>
      </c>
      <c r="P65" s="147">
        <f>'F13-Year(n+5)'!Q65</f>
        <v>1.411</v>
      </c>
    </row>
    <row r="66" spans="3:19">
      <c r="C66" s="55"/>
      <c r="D66" s="55" t="s">
        <v>385</v>
      </c>
      <c r="E66" s="147"/>
      <c r="F66" s="751">
        <f>'F13-Year(n-1)'!Q66</f>
        <v>1.4637051294956</v>
      </c>
      <c r="G66" s="147"/>
      <c r="H66" s="147">
        <f>'[48]PP Cost'!M110</f>
        <v>4.37627</v>
      </c>
      <c r="I66" s="751">
        <f>SUM('F13-Year(n)'!E65:J65)</f>
        <v>5.20436154172619</v>
      </c>
      <c r="J66" s="751">
        <f>SUM('F13-Year(n)'!K65:P65)</f>
        <v>4.19667712620283</v>
      </c>
      <c r="K66" s="147">
        <f t="shared" si="2"/>
        <v>9.40103866792902</v>
      </c>
      <c r="L66" s="147">
        <f>'F13-Year(n+1)'!Q66</f>
        <v>86.8206404888232</v>
      </c>
      <c r="M66" s="147">
        <f>'F13-Year(n+2)'!Q66</f>
        <v>76.2026361545925</v>
      </c>
      <c r="N66" s="147">
        <f>'F13-Year(n+3)'!Q66</f>
        <v>80.5908832329425</v>
      </c>
      <c r="O66" s="147">
        <f>'F13-Year(n+4)'!Q66</f>
        <v>86.5462168234462</v>
      </c>
      <c r="P66" s="147">
        <f>'F13-Year(n+5)'!Q66</f>
        <v>97.0879495782651</v>
      </c>
      <c r="S66" s="12" t="s">
        <v>467</v>
      </c>
    </row>
    <row r="67" spans="3:19">
      <c r="C67" s="55"/>
      <c r="D67" s="55" t="s">
        <v>386</v>
      </c>
      <c r="E67" s="147">
        <f>'[47]PP Cost'!$M$108</f>
        <v>0</v>
      </c>
      <c r="F67" s="751">
        <f>'F13-Year(n-1)'!Q67</f>
        <v>138.365656320764</v>
      </c>
      <c r="G67" s="147"/>
      <c r="H67" s="147">
        <f>'[48]PP Cost'!M112</f>
        <v>0</v>
      </c>
      <c r="I67" s="751">
        <f>SUM('F13-Year(n)'!E66:J66)</f>
        <v>120.776381537095</v>
      </c>
      <c r="J67" s="751">
        <f>SUM('F13-Year(n)'!K66:P66)</f>
        <v>65.3120734692071</v>
      </c>
      <c r="K67" s="147">
        <f t="shared" si="2"/>
        <v>186.088455006302</v>
      </c>
      <c r="L67" s="147">
        <f>'F13-Year(n+1)'!Q68</f>
        <v>236.503614584044</v>
      </c>
      <c r="M67" s="147">
        <f>'F13-Year(n+2)'!Q68</f>
        <v>228.156298531909</v>
      </c>
      <c r="N67" s="147">
        <f>'F13-Year(n+3)'!Q68</f>
        <v>240.412351596988</v>
      </c>
      <c r="O67" s="147">
        <f>'F13-Year(n+4)'!Q68</f>
        <v>249.732901338156</v>
      </c>
      <c r="P67" s="147">
        <f>'F13-Year(n+5)'!Q68</f>
        <v>276.661058253788</v>
      </c>
      <c r="S67" s="12" t="s">
        <v>468</v>
      </c>
    </row>
    <row r="68" spans="3:19">
      <c r="C68" s="55"/>
      <c r="D68" s="55" t="s">
        <v>387</v>
      </c>
      <c r="E68" s="147">
        <f>'[47]PP Cost'!$M$109</f>
        <v>0</v>
      </c>
      <c r="F68" s="751">
        <f>'F13-Year(n-1)'!Q68</f>
        <v>183.284338809658</v>
      </c>
      <c r="G68" s="147"/>
      <c r="H68" s="147">
        <f>'[48]PP Cost'!M113</f>
        <v>0</v>
      </c>
      <c r="I68" s="751">
        <f>SUM('F13-Year(n)'!E67:J67)</f>
        <v>140.242571208448</v>
      </c>
      <c r="J68" s="751">
        <f>SUM('F13-Year(n)'!K67:P67)</f>
        <v>138.524213232643</v>
      </c>
      <c r="K68" s="147">
        <f t="shared" si="2"/>
        <v>278.76678444109</v>
      </c>
      <c r="L68" s="147">
        <f>'F13-Year(n+1)'!Q69</f>
        <v>186.767537843377</v>
      </c>
      <c r="M68" s="147">
        <f>'F13-Year(n+2)'!Q69</f>
        <v>169.552322299524</v>
      </c>
      <c r="N68" s="147">
        <f>'F13-Year(n+3)'!Q69</f>
        <v>187.177440777913</v>
      </c>
      <c r="O68" s="147">
        <f>'F13-Year(n+4)'!Q69</f>
        <v>189.566834831935</v>
      </c>
      <c r="P68" s="147">
        <f>'F13-Year(n+5)'!Q69</f>
        <v>219.293257608323</v>
      </c>
      <c r="S68" s="12" t="s">
        <v>470</v>
      </c>
    </row>
    <row r="69" spans="3:19">
      <c r="C69" s="55"/>
      <c r="D69" s="731" t="s">
        <v>467</v>
      </c>
      <c r="E69" s="147"/>
      <c r="F69" s="751">
        <f>'F13-Year(n-1)'!Q69</f>
        <v>0</v>
      </c>
      <c r="G69" s="147"/>
      <c r="H69" s="147"/>
      <c r="I69" s="751">
        <f>SUM('F13-Year(n)'!E68:J68)</f>
        <v>0.05622491329785</v>
      </c>
      <c r="J69" s="751">
        <f>SUM('F13-Year(n)'!K68:P68)</f>
        <v>0.00124386705</v>
      </c>
      <c r="K69" s="147">
        <f t="shared" si="2"/>
        <v>0.05746878034785</v>
      </c>
      <c r="L69" s="147">
        <f>'F13-Year(n+1)'!Q70</f>
        <v>0</v>
      </c>
      <c r="M69" s="147">
        <f>'F13-Year(n+2)'!Q70</f>
        <v>0</v>
      </c>
      <c r="N69" s="147">
        <f>'F13-Year(n+3)'!Q70</f>
        <v>0</v>
      </c>
      <c r="O69" s="147">
        <f>'F13-Year(n+4)'!Q70</f>
        <v>0</v>
      </c>
      <c r="P69" s="147">
        <f>'F13-Year(n+5)'!Q70</f>
        <v>0</v>
      </c>
      <c r="S69" s="12" t="s">
        <v>471</v>
      </c>
    </row>
    <row r="70" spans="3:19">
      <c r="C70" s="55"/>
      <c r="D70" s="731" t="s">
        <v>468</v>
      </c>
      <c r="E70" s="147"/>
      <c r="F70" s="751">
        <f>'F13-Year(n-1)'!Q70</f>
        <v>0</v>
      </c>
      <c r="G70" s="147"/>
      <c r="H70" s="147"/>
      <c r="I70" s="751">
        <f>SUM('F13-Year(n)'!E69:J69)</f>
        <v>0.402018815438</v>
      </c>
      <c r="J70" s="751">
        <f>SUM('F13-Year(n)'!K69:P69)</f>
        <v>-0.00693386565</v>
      </c>
      <c r="K70" s="147">
        <f t="shared" si="2"/>
        <v>0.395084949788</v>
      </c>
      <c r="L70" s="147">
        <f>'F13-Year(n+1)'!Q71</f>
        <v>0</v>
      </c>
      <c r="M70" s="147">
        <f>'F13-Year(n+2)'!Q71</f>
        <v>0</v>
      </c>
      <c r="N70" s="147">
        <f>'F13-Year(n+3)'!Q71</f>
        <v>0</v>
      </c>
      <c r="O70" s="147">
        <f>'F13-Year(n+4)'!Q71</f>
        <v>0</v>
      </c>
      <c r="P70" s="147">
        <f>'F13-Year(n+5)'!Q71</f>
        <v>0</v>
      </c>
      <c r="S70" s="12" t="s">
        <v>472</v>
      </c>
    </row>
    <row r="71" spans="3:19">
      <c r="C71" s="55"/>
      <c r="D71" s="687" t="s">
        <v>470</v>
      </c>
      <c r="E71" s="147"/>
      <c r="F71" s="751">
        <f>'F13-Year(n-1)'!Q71</f>
        <v>0</v>
      </c>
      <c r="G71" s="147"/>
      <c r="H71" s="147"/>
      <c r="I71" s="751">
        <f>SUM('F13-Year(n)'!E70:J70)</f>
        <v>0.0731528717</v>
      </c>
      <c r="J71" s="751">
        <f>SUM('F13-Year(n)'!K70:P70)</f>
        <v>0.0007214443</v>
      </c>
      <c r="K71" s="147">
        <f t="shared" si="2"/>
        <v>0.073874316</v>
      </c>
      <c r="L71" s="147">
        <f>'F13-Year(n+1)'!Q72</f>
        <v>0</v>
      </c>
      <c r="M71" s="147">
        <f>'F13-Year(n+2)'!Q72</f>
        <v>0</v>
      </c>
      <c r="N71" s="147">
        <f>'F13-Year(n+3)'!Q72</f>
        <v>0</v>
      </c>
      <c r="O71" s="147">
        <f>'F13-Year(n+4)'!Q72</f>
        <v>0</v>
      </c>
      <c r="P71" s="147">
        <f>'F13-Year(n+5)'!Q72</f>
        <v>0</v>
      </c>
      <c r="S71" s="12" t="s">
        <v>473</v>
      </c>
    </row>
    <row r="72" spans="3:16">
      <c r="C72" s="55"/>
      <c r="D72" s="687" t="s">
        <v>471</v>
      </c>
      <c r="E72" s="147"/>
      <c r="F72" s="751">
        <f>'F13-Year(n-1)'!Q72</f>
        <v>0</v>
      </c>
      <c r="G72" s="147"/>
      <c r="H72" s="147"/>
      <c r="I72" s="751">
        <f>SUM('F13-Year(n)'!E71:J71)</f>
        <v>0.1913557281</v>
      </c>
      <c r="J72" s="751">
        <f>SUM('F13-Year(n)'!K71:P71)</f>
        <v>0.9795383661045</v>
      </c>
      <c r="K72" s="147">
        <f t="shared" si="2"/>
        <v>1.1708940942045</v>
      </c>
      <c r="L72" s="147">
        <f>'F13-Year(n+1)'!Q73</f>
        <v>0</v>
      </c>
      <c r="M72" s="147">
        <f>'F13-Year(n+2)'!Q73</f>
        <v>0</v>
      </c>
      <c r="N72" s="147">
        <f>'F13-Year(n+3)'!Q73</f>
        <v>0</v>
      </c>
      <c r="O72" s="147">
        <f>'F13-Year(n+4)'!Q73</f>
        <v>0</v>
      </c>
      <c r="P72" s="147">
        <f>'F13-Year(n+5)'!Q73</f>
        <v>0</v>
      </c>
    </row>
    <row r="73" spans="3:16">
      <c r="C73" s="55"/>
      <c r="D73" s="731" t="s">
        <v>472</v>
      </c>
      <c r="E73" s="147"/>
      <c r="F73" s="751">
        <f>'F13-Year(n-1)'!Q73</f>
        <v>0</v>
      </c>
      <c r="G73" s="147"/>
      <c r="H73" s="147"/>
      <c r="I73" s="751">
        <f>SUM('F13-Year(n)'!E72:J72)</f>
        <v>0.0026381467</v>
      </c>
      <c r="J73" s="751">
        <f>SUM('F13-Year(n)'!K72:P72)</f>
        <v>0.029446159</v>
      </c>
      <c r="K73" s="147">
        <f t="shared" si="2"/>
        <v>0.0320843057</v>
      </c>
      <c r="L73" s="147">
        <f>'F13-Year(n+1)'!Q74</f>
        <v>0</v>
      </c>
      <c r="M73" s="147">
        <f>'F13-Year(n+2)'!Q74</f>
        <v>0</v>
      </c>
      <c r="N73" s="147">
        <f>'F13-Year(n+3)'!Q74</f>
        <v>0</v>
      </c>
      <c r="O73" s="147">
        <f>'F13-Year(n+4)'!Q74</f>
        <v>0</v>
      </c>
      <c r="P73" s="147">
        <f>'F13-Year(n+5)'!Q74</f>
        <v>0</v>
      </c>
    </row>
    <row r="74" spans="3:16">
      <c r="C74" s="55"/>
      <c r="D74" s="731" t="s">
        <v>473</v>
      </c>
      <c r="E74" s="147"/>
      <c r="F74" s="751">
        <f>'F13-Year(n-1)'!Q74</f>
        <v>0</v>
      </c>
      <c r="G74" s="147"/>
      <c r="H74" s="147"/>
      <c r="I74" s="751">
        <f>SUM('F13-Year(n)'!E73:J73)</f>
        <v>5.9262e-6</v>
      </c>
      <c r="J74" s="751">
        <f>SUM('F13-Year(n)'!K73:P73)</f>
        <v>-2.109445e-5</v>
      </c>
      <c r="K74" s="147">
        <f t="shared" si="2"/>
        <v>-1.516825e-5</v>
      </c>
      <c r="L74" s="147">
        <f>'F13-Year(n+1)'!Q75</f>
        <v>0</v>
      </c>
      <c r="M74" s="147">
        <f>'F13-Year(n+2)'!Q75</f>
        <v>0</v>
      </c>
      <c r="N74" s="147">
        <f>'F13-Year(n+3)'!Q75</f>
        <v>0</v>
      </c>
      <c r="O74" s="147">
        <f>'F13-Year(n+4)'!Q75</f>
        <v>0</v>
      </c>
      <c r="P74" s="147">
        <f>'F13-Year(n+5)'!Q75</f>
        <v>0</v>
      </c>
    </row>
    <row r="75" spans="3:16">
      <c r="C75" s="55"/>
      <c r="D75" s="679" t="s">
        <v>498</v>
      </c>
      <c r="E75" s="147"/>
      <c r="F75" s="751">
        <f>'F13-Year(n-1)'!Q75</f>
        <v>0.52445293305</v>
      </c>
      <c r="G75" s="147"/>
      <c r="H75" s="147"/>
      <c r="I75" s="751">
        <f>SUM('F13-Year(n)'!E74:J74)</f>
        <v>0</v>
      </c>
      <c r="J75" s="751">
        <f>SUM('F13-Year(n)'!K74:P74)</f>
        <v>0</v>
      </c>
      <c r="K75" s="147">
        <f t="shared" si="2"/>
        <v>0</v>
      </c>
      <c r="L75" s="147">
        <f>'F13-Year(n+1)'!Q76</f>
        <v>0</v>
      </c>
      <c r="M75" s="147">
        <f>'F13-Year(n+2)'!Q76</f>
        <v>0</v>
      </c>
      <c r="N75" s="147">
        <f>'F13-Year(n+3)'!Q76</f>
        <v>0</v>
      </c>
      <c r="O75" s="147">
        <f>'F13-Year(n+4)'!Q76</f>
        <v>0</v>
      </c>
      <c r="P75" s="147">
        <f>'F13-Year(n+5)'!Q76</f>
        <v>0</v>
      </c>
    </row>
    <row r="76" spans="3:16">
      <c r="C76" s="55"/>
      <c r="D76" s="55"/>
      <c r="E76" s="147"/>
      <c r="F76" s="751">
        <f>'F13-Year(n-1)'!Q76</f>
        <v>0</v>
      </c>
      <c r="G76" s="147"/>
      <c r="H76" s="147"/>
      <c r="I76" s="751">
        <f>SUM('F13-Year(n)'!E75:J75)</f>
        <v>0</v>
      </c>
      <c r="J76" s="751">
        <f>SUM('F13-Year(n)'!K75:P75)</f>
        <v>0</v>
      </c>
      <c r="K76" s="147">
        <f t="shared" si="2"/>
        <v>0</v>
      </c>
      <c r="L76" s="147">
        <f>'F13-Year(n+1)'!Q77</f>
        <v>0</v>
      </c>
      <c r="M76" s="147">
        <f>'F13-Year(n+2)'!Q77</f>
        <v>0</v>
      </c>
      <c r="N76" s="147">
        <f>'F13-Year(n+3)'!Q77</f>
        <v>0</v>
      </c>
      <c r="O76" s="147">
        <f>'F13-Year(n+4)'!Q77</f>
        <v>0</v>
      </c>
      <c r="P76" s="147">
        <f>'F13-Year(n+5)'!Q77</f>
        <v>0</v>
      </c>
    </row>
    <row r="77" spans="3:16">
      <c r="C77" s="55"/>
      <c r="D77" s="55"/>
      <c r="E77" s="147"/>
      <c r="F77" s="751">
        <f>'F13-Year(n-1)'!Q77</f>
        <v>0</v>
      </c>
      <c r="G77" s="147"/>
      <c r="H77" s="147"/>
      <c r="I77" s="751">
        <f>SUM('F13-Year(n)'!E76:J76)</f>
        <v>0</v>
      </c>
      <c r="J77" s="751">
        <f>SUM('F13-Year(n)'!K76:P76)</f>
        <v>0</v>
      </c>
      <c r="K77" s="147">
        <f t="shared" si="2"/>
        <v>0</v>
      </c>
      <c r="L77" s="147">
        <f>'F13-Year(n+1)'!Q78</f>
        <v>0</v>
      </c>
      <c r="M77" s="147">
        <f>'F13-Year(n+2)'!Q78</f>
        <v>0</v>
      </c>
      <c r="N77" s="147">
        <f>'F13-Year(n+3)'!Q78</f>
        <v>0</v>
      </c>
      <c r="O77" s="147">
        <f>'F13-Year(n+4)'!Q78</f>
        <v>0</v>
      </c>
      <c r="P77" s="147">
        <f>'F13-Year(n+5)'!Q78</f>
        <v>0</v>
      </c>
    </row>
    <row r="78" ht="15" spans="3:16">
      <c r="C78" s="537" t="s">
        <v>211</v>
      </c>
      <c r="D78" s="540"/>
      <c r="E78" s="316">
        <f>SUM(E53:E77)</f>
        <v>2184.598055</v>
      </c>
      <c r="F78" s="316">
        <f>SUM(F53:F77)</f>
        <v>2440.07445370134</v>
      </c>
      <c r="G78" s="316">
        <f>F78-E78</f>
        <v>255.476398701335</v>
      </c>
      <c r="H78" s="316">
        <f>SUM(H53:H77)</f>
        <v>2477.79931</v>
      </c>
      <c r="I78" s="316">
        <f>SUM(I53:I77)</f>
        <v>2585.77191247544</v>
      </c>
      <c r="J78" s="316">
        <f>SUM(J53:J77)</f>
        <v>3414.3696999025</v>
      </c>
      <c r="K78" s="316">
        <f t="shared" si="2"/>
        <v>6000.14161237794</v>
      </c>
      <c r="L78" s="316">
        <f>'F13-Year(n+1)'!Q79</f>
        <v>7762.69142427221</v>
      </c>
      <c r="M78" s="316">
        <f>'F13-Year(n+2)'!Q79</f>
        <v>7548.97873716459</v>
      </c>
      <c r="N78" s="316">
        <f>'F13-Year(n+3)'!Q79</f>
        <v>7992.32221983948</v>
      </c>
      <c r="O78" s="316">
        <f>'F13-Year(n+4)'!Q79</f>
        <v>8386.34088559749</v>
      </c>
      <c r="P78" s="316">
        <f>'F13-Year(n+5)'!Q79</f>
        <v>8997.54855940139</v>
      </c>
    </row>
    <row r="79" ht="15" spans="3:16">
      <c r="C79" s="44" t="s">
        <v>388</v>
      </c>
      <c r="D79" s="45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</row>
    <row r="80" spans="3:16">
      <c r="C80" s="682" t="s">
        <v>389</v>
      </c>
      <c r="D80" s="55" t="s">
        <v>390</v>
      </c>
      <c r="E80" s="147">
        <f>'[47]PP Cost'!$M$111</f>
        <v>3.731315</v>
      </c>
      <c r="F80" s="752">
        <f>'F13-Year(n-1)'!Q80</f>
        <v>5.57710832775</v>
      </c>
      <c r="G80" s="147"/>
      <c r="H80" s="147">
        <f>'[48]PP Cost'!M115</f>
        <v>4.22313</v>
      </c>
      <c r="I80" s="147">
        <f>SUM('F13-Year(n)'!E79:J79)</f>
        <v>4.17974653185</v>
      </c>
      <c r="J80" s="147">
        <f>SUM('F13-Year(n)'!K79:P79)</f>
        <v>7.20719561015</v>
      </c>
      <c r="K80" s="147">
        <f t="shared" ref="K80:K95" si="3">I80+J80</f>
        <v>11.386942142</v>
      </c>
      <c r="L80" s="147">
        <f>'F13-Year(n+1)'!Q81</f>
        <v>37.2670554865051</v>
      </c>
      <c r="M80" s="147" t="e">
        <f>'F13-Year(n+2)'!Q81</f>
        <v>#REF!</v>
      </c>
      <c r="N80" s="147">
        <f>'F13-Year(n+3)'!Q81</f>
        <v>33.8828416303681</v>
      </c>
      <c r="O80" s="147">
        <f>'F13-Year(n+4)'!Q81</f>
        <v>34.4700625710457</v>
      </c>
      <c r="P80" s="147">
        <f>'F13-Year(n+5)'!Q81</f>
        <v>35.116775901614</v>
      </c>
    </row>
    <row r="81" spans="3:16">
      <c r="C81" s="683"/>
      <c r="D81" s="55" t="s">
        <v>391</v>
      </c>
      <c r="E81" s="147">
        <f>'[47]PP Cost'!$M$112</f>
        <v>46.39553</v>
      </c>
      <c r="F81" s="752">
        <f>'F13-Year(n-1)'!Q81</f>
        <v>122.70574103635</v>
      </c>
      <c r="G81" s="147"/>
      <c r="H81" s="147">
        <f>'[48]PP Cost'!M116</f>
        <v>43.77448</v>
      </c>
      <c r="I81" s="147">
        <f>SUM('F13-Year(n)'!E80:J80)</f>
        <v>134.5942682949</v>
      </c>
      <c r="J81" s="147">
        <f>SUM('F13-Year(n)'!K80:P80)</f>
        <v>135.3233866006</v>
      </c>
      <c r="K81" s="147">
        <f t="shared" si="3"/>
        <v>269.9176548955</v>
      </c>
      <c r="L81" s="147">
        <f>'F13-Year(n+1)'!Q82</f>
        <v>154.690277832938</v>
      </c>
      <c r="M81" s="147" t="e">
        <f>'F13-Year(n+2)'!Q82</f>
        <v>#REF!</v>
      </c>
      <c r="N81" s="147">
        <f>'F13-Year(n+3)'!Q82</f>
        <v>145.192227324775</v>
      </c>
      <c r="O81" s="147">
        <f>'F13-Year(n+4)'!Q82</f>
        <v>147.708542728272</v>
      </c>
      <c r="P81" s="147">
        <f>'F13-Year(n+5)'!Q82</f>
        <v>150.47979048636</v>
      </c>
    </row>
    <row r="82" spans="3:16">
      <c r="C82" s="683"/>
      <c r="D82" s="55" t="s">
        <v>392</v>
      </c>
      <c r="E82" s="147">
        <f>'[47]PP Cost'!$M$113</f>
        <v>46.145205</v>
      </c>
      <c r="F82" s="752">
        <f>'F13-Year(n-1)'!Q82</f>
        <v>0</v>
      </c>
      <c r="G82" s="147"/>
      <c r="H82" s="147">
        <f>'[48]PP Cost'!M117</f>
        <v>47.435115</v>
      </c>
      <c r="I82" s="147">
        <f>SUM('F13-Year(n)'!E81:J81)</f>
        <v>0</v>
      </c>
      <c r="J82" s="147">
        <f>SUM('F13-Year(n)'!K81:P81)</f>
        <v>0</v>
      </c>
      <c r="K82" s="147">
        <f t="shared" si="3"/>
        <v>0</v>
      </c>
      <c r="L82" s="147">
        <f>'F13-Year(n+1)'!Q83</f>
        <v>118.039054891514</v>
      </c>
      <c r="M82" s="147" t="e">
        <f>'F13-Year(n+2)'!Q83</f>
        <v>#REF!</v>
      </c>
      <c r="N82" s="147">
        <f>'F13-Year(n+3)'!Q83</f>
        <v>145.192227324775</v>
      </c>
      <c r="O82" s="147">
        <f>'F13-Year(n+4)'!Q83</f>
        <v>147.708542728272</v>
      </c>
      <c r="P82" s="147">
        <f>'F13-Year(n+5)'!Q83</f>
        <v>150.47979048636</v>
      </c>
    </row>
    <row r="83" spans="3:16">
      <c r="C83" s="684"/>
      <c r="D83" s="55" t="s">
        <v>393</v>
      </c>
      <c r="E83" s="147">
        <f>'[47]PP Cost'!$M$114</f>
        <v>33.193095</v>
      </c>
      <c r="F83" s="752">
        <f>'F13-Year(n-1)'!Q83</f>
        <v>45.76073663415</v>
      </c>
      <c r="G83" s="147"/>
      <c r="H83" s="147">
        <f>'[48]PP Cost'!M118</f>
        <v>41.00029</v>
      </c>
      <c r="I83" s="147">
        <f>SUM('F13-Year(n)'!E82:J82)</f>
        <v>37.7795750905</v>
      </c>
      <c r="J83" s="147">
        <f>SUM('F13-Year(n)'!K82:P82)</f>
        <v>63.23131591805</v>
      </c>
      <c r="K83" s="147">
        <f t="shared" si="3"/>
        <v>101.01089100855</v>
      </c>
      <c r="L83" s="147">
        <f>'F13-Year(n+1)'!Q84</f>
        <v>149.7596105313</v>
      </c>
      <c r="M83" s="147" t="e">
        <f>'F13-Year(n+2)'!Q84</f>
        <v>#REF!</v>
      </c>
      <c r="N83" s="147">
        <f>'F13-Year(n+3)'!Q84</f>
        <v>136.134967330926</v>
      </c>
      <c r="O83" s="147">
        <f>'F13-Year(n+4)'!Q84</f>
        <v>138.494312053168</v>
      </c>
      <c r="P83" s="147">
        <f>'F13-Year(n+5)'!Q84</f>
        <v>141.092686153246</v>
      </c>
    </row>
    <row r="84" spans="3:16">
      <c r="C84" s="55"/>
      <c r="D84" s="55"/>
      <c r="E84" s="147"/>
      <c r="F84" s="752">
        <f>'F13-Year(n-1)'!Q84</f>
        <v>0</v>
      </c>
      <c r="G84" s="147"/>
      <c r="H84" s="147"/>
      <c r="I84" s="147">
        <f>SUM('F13-Year(n)'!E83:J83)</f>
        <v>0</v>
      </c>
      <c r="J84" s="147">
        <f>SUM('F13-Year(n)'!K83:P83)</f>
        <v>0</v>
      </c>
      <c r="K84" s="147">
        <f t="shared" si="3"/>
        <v>0</v>
      </c>
      <c r="L84" s="147">
        <f>'F13-Year(n+1)'!Q85</f>
        <v>0</v>
      </c>
      <c r="M84" s="147">
        <f>'F13-Year(n+2)'!Q85</f>
        <v>0</v>
      </c>
      <c r="N84" s="147">
        <f>'F13-Year(n+3)'!Q85</f>
        <v>0</v>
      </c>
      <c r="O84" s="147">
        <f>'F13-Year(n+4)'!Q85</f>
        <v>0</v>
      </c>
      <c r="P84" s="147">
        <f>'F13-Year(n+5)'!Q85</f>
        <v>0</v>
      </c>
    </row>
    <row r="85" spans="3:16">
      <c r="C85" s="55"/>
      <c r="D85" s="55"/>
      <c r="E85" s="147"/>
      <c r="F85" s="752">
        <f>'F13-Year(n-1)'!Q85</f>
        <v>0</v>
      </c>
      <c r="G85" s="147"/>
      <c r="H85" s="147"/>
      <c r="I85" s="147">
        <f>SUM('F13-Year(n)'!E84:J84)</f>
        <v>0</v>
      </c>
      <c r="J85" s="147">
        <f>SUM('F13-Year(n)'!K84:P84)</f>
        <v>0</v>
      </c>
      <c r="K85" s="147">
        <f t="shared" si="3"/>
        <v>0</v>
      </c>
      <c r="L85" s="147">
        <f>'F13-Year(n+1)'!Q86</f>
        <v>0</v>
      </c>
      <c r="M85" s="147">
        <f>'F13-Year(n+2)'!Q86</f>
        <v>0</v>
      </c>
      <c r="N85" s="147">
        <f>'F13-Year(n+3)'!Q86</f>
        <v>0</v>
      </c>
      <c r="O85" s="147">
        <f>'F13-Year(n+4)'!Q86</f>
        <v>0</v>
      </c>
      <c r="P85" s="147">
        <f>'F13-Year(n+5)'!Q86</f>
        <v>0</v>
      </c>
    </row>
    <row r="86" spans="3:16">
      <c r="C86" s="55"/>
      <c r="D86" s="55"/>
      <c r="E86" s="147"/>
      <c r="F86" s="752">
        <f>'F13-Year(n-1)'!Q86</f>
        <v>0</v>
      </c>
      <c r="G86" s="147"/>
      <c r="H86" s="147"/>
      <c r="I86" s="147">
        <f>SUM('F13-Year(n)'!E85:J85)</f>
        <v>0</v>
      </c>
      <c r="J86" s="147">
        <f>SUM('F13-Year(n)'!K85:P85)</f>
        <v>0</v>
      </c>
      <c r="K86" s="147">
        <f t="shared" si="3"/>
        <v>0</v>
      </c>
      <c r="L86" s="147">
        <f>'F13-Year(n+1)'!Q87</f>
        <v>0</v>
      </c>
      <c r="M86" s="147">
        <f>'F13-Year(n+2)'!Q87</f>
        <v>0</v>
      </c>
      <c r="N86" s="147">
        <f>'F13-Year(n+3)'!Q87</f>
        <v>0</v>
      </c>
      <c r="O86" s="147">
        <f>'F13-Year(n+4)'!Q87</f>
        <v>0</v>
      </c>
      <c r="P86" s="147">
        <f>'F13-Year(n+5)'!Q87</f>
        <v>0</v>
      </c>
    </row>
    <row r="87" spans="3:16">
      <c r="C87" s="55"/>
      <c r="D87" s="55"/>
      <c r="E87" s="147"/>
      <c r="F87" s="752">
        <f>'F13-Year(n-1)'!Q87</f>
        <v>0</v>
      </c>
      <c r="G87" s="147"/>
      <c r="H87" s="147"/>
      <c r="I87" s="147">
        <f>SUM('F13-Year(n)'!E86:J86)</f>
        <v>0</v>
      </c>
      <c r="J87" s="147">
        <f>SUM('F13-Year(n)'!K86:P86)</f>
        <v>0</v>
      </c>
      <c r="K87" s="147">
        <f t="shared" si="3"/>
        <v>0</v>
      </c>
      <c r="L87" s="147">
        <f>'F13-Year(n+1)'!Q88</f>
        <v>0</v>
      </c>
      <c r="M87" s="147">
        <f>'F13-Year(n+2)'!Q88</f>
        <v>0</v>
      </c>
      <c r="N87" s="147">
        <f>'F13-Year(n+3)'!Q88</f>
        <v>0</v>
      </c>
      <c r="O87" s="147">
        <f>'F13-Year(n+4)'!Q88</f>
        <v>0</v>
      </c>
      <c r="P87" s="147">
        <f>'F13-Year(n+5)'!Q88</f>
        <v>0</v>
      </c>
    </row>
    <row r="88" spans="3:16">
      <c r="C88" s="55"/>
      <c r="D88" s="55"/>
      <c r="E88" s="147"/>
      <c r="F88" s="752">
        <f>'F13-Year(n-1)'!Q88</f>
        <v>0</v>
      </c>
      <c r="G88" s="147"/>
      <c r="H88" s="147"/>
      <c r="I88" s="147">
        <f>SUM('F13-Year(n)'!E87:J87)</f>
        <v>0</v>
      </c>
      <c r="J88" s="147">
        <f>SUM('F13-Year(n)'!K87:P87)</f>
        <v>0</v>
      </c>
      <c r="K88" s="147">
        <f t="shared" si="3"/>
        <v>0</v>
      </c>
      <c r="L88" s="147">
        <f>'F13-Year(n+1)'!Q89</f>
        <v>0</v>
      </c>
      <c r="M88" s="147">
        <f>'F13-Year(n+2)'!Q89</f>
        <v>0</v>
      </c>
      <c r="N88" s="147">
        <f>'F13-Year(n+3)'!Q89</f>
        <v>0</v>
      </c>
      <c r="O88" s="147">
        <f>'F13-Year(n+4)'!Q89</f>
        <v>0</v>
      </c>
      <c r="P88" s="147">
        <f>'F13-Year(n+5)'!Q89</f>
        <v>0</v>
      </c>
    </row>
    <row r="89" spans="3:16">
      <c r="C89" s="55"/>
      <c r="D89" s="55"/>
      <c r="E89" s="147"/>
      <c r="F89" s="752">
        <f>'F13-Year(n-1)'!Q89</f>
        <v>0</v>
      </c>
      <c r="G89" s="147"/>
      <c r="H89" s="147"/>
      <c r="I89" s="147">
        <f>SUM('F13-Year(n)'!E88:J88)</f>
        <v>0</v>
      </c>
      <c r="J89" s="147">
        <f>SUM('F13-Year(n)'!K88:P88)</f>
        <v>0</v>
      </c>
      <c r="K89" s="147">
        <f t="shared" si="3"/>
        <v>0</v>
      </c>
      <c r="L89" s="147">
        <f>'F13-Year(n+1)'!Q90</f>
        <v>0</v>
      </c>
      <c r="M89" s="147">
        <f>'F13-Year(n+2)'!Q90</f>
        <v>0</v>
      </c>
      <c r="N89" s="147">
        <f>'F13-Year(n+3)'!Q90</f>
        <v>0</v>
      </c>
      <c r="O89" s="147">
        <f>'F13-Year(n+4)'!Q90</f>
        <v>0</v>
      </c>
      <c r="P89" s="147">
        <f>'F13-Year(n+5)'!Q90</f>
        <v>0</v>
      </c>
    </row>
    <row r="90" spans="3:16">
      <c r="C90" s="55"/>
      <c r="D90" s="55"/>
      <c r="E90" s="147"/>
      <c r="F90" s="752">
        <f>'F13-Year(n-1)'!Q90</f>
        <v>0</v>
      </c>
      <c r="G90" s="147"/>
      <c r="H90" s="147"/>
      <c r="I90" s="147">
        <f>SUM('F13-Year(n)'!E89:J89)</f>
        <v>0</v>
      </c>
      <c r="J90" s="147">
        <f>SUM('F13-Year(n)'!K89:P89)</f>
        <v>0</v>
      </c>
      <c r="K90" s="147">
        <f t="shared" si="3"/>
        <v>0</v>
      </c>
      <c r="L90" s="147">
        <f>'F13-Year(n+1)'!Q91</f>
        <v>0</v>
      </c>
      <c r="M90" s="147">
        <f>'F13-Year(n+2)'!Q91</f>
        <v>0</v>
      </c>
      <c r="N90" s="147">
        <f>'F13-Year(n+3)'!Q91</f>
        <v>0</v>
      </c>
      <c r="O90" s="147">
        <f>'F13-Year(n+4)'!Q91</f>
        <v>0</v>
      </c>
      <c r="P90" s="147">
        <f>'F13-Year(n+5)'!Q91</f>
        <v>0</v>
      </c>
    </row>
    <row r="91" spans="3:16">
      <c r="C91" s="55"/>
      <c r="D91" s="55"/>
      <c r="E91" s="147"/>
      <c r="F91" s="752">
        <f>'F13-Year(n-1)'!Q91</f>
        <v>0</v>
      </c>
      <c r="G91" s="147"/>
      <c r="H91" s="147"/>
      <c r="I91" s="147">
        <f>SUM('F13-Year(n)'!E90:J90)</f>
        <v>0</v>
      </c>
      <c r="J91" s="147">
        <f>SUM('F13-Year(n)'!K90:P90)</f>
        <v>0</v>
      </c>
      <c r="K91" s="147">
        <f t="shared" si="3"/>
        <v>0</v>
      </c>
      <c r="L91" s="147">
        <f>'F13-Year(n+1)'!Q92</f>
        <v>0</v>
      </c>
      <c r="M91" s="147">
        <f>'F13-Year(n+2)'!Q92</f>
        <v>0</v>
      </c>
      <c r="N91" s="147">
        <f>'F13-Year(n+3)'!Q92</f>
        <v>0</v>
      </c>
      <c r="O91" s="147">
        <f>'F13-Year(n+4)'!Q92</f>
        <v>0</v>
      </c>
      <c r="P91" s="147">
        <f>'F13-Year(n+5)'!Q92</f>
        <v>0</v>
      </c>
    </row>
    <row r="92" spans="3:16">
      <c r="C92" s="55"/>
      <c r="D92" s="55"/>
      <c r="E92" s="147"/>
      <c r="F92" s="752">
        <f>'F13-Year(n-1)'!Q92</f>
        <v>0</v>
      </c>
      <c r="G92" s="147"/>
      <c r="H92" s="147"/>
      <c r="I92" s="147">
        <f>SUM('F13-Year(n)'!E91:J91)</f>
        <v>0</v>
      </c>
      <c r="J92" s="147">
        <f>SUM('F13-Year(n)'!K91:P91)</f>
        <v>0</v>
      </c>
      <c r="K92" s="147">
        <f t="shared" si="3"/>
        <v>0</v>
      </c>
      <c r="L92" s="147">
        <f>'F13-Year(n+1)'!Q93</f>
        <v>0</v>
      </c>
      <c r="M92" s="147">
        <f>'F13-Year(n+2)'!Q93</f>
        <v>0</v>
      </c>
      <c r="N92" s="147">
        <f>'F13-Year(n+3)'!Q93</f>
        <v>0</v>
      </c>
      <c r="O92" s="147">
        <f>'F13-Year(n+4)'!Q93</f>
        <v>0</v>
      </c>
      <c r="P92" s="147">
        <f>'F13-Year(n+5)'!Q93</f>
        <v>0</v>
      </c>
    </row>
    <row r="93" spans="3:16">
      <c r="C93" s="55"/>
      <c r="D93" s="55"/>
      <c r="E93" s="147"/>
      <c r="F93" s="752">
        <f>'F13-Year(n-1)'!Q93</f>
        <v>0</v>
      </c>
      <c r="G93" s="147"/>
      <c r="H93" s="147"/>
      <c r="I93" s="147">
        <f>SUM('F13-Year(n)'!E92:J92)</f>
        <v>0</v>
      </c>
      <c r="J93" s="147">
        <f>SUM('F13-Year(n)'!K92:P92)</f>
        <v>0</v>
      </c>
      <c r="K93" s="147">
        <f t="shared" si="3"/>
        <v>0</v>
      </c>
      <c r="L93" s="147">
        <f>'F13-Year(n+1)'!Q94</f>
        <v>0</v>
      </c>
      <c r="M93" s="147">
        <f>'F13-Year(n+2)'!Q94</f>
        <v>0</v>
      </c>
      <c r="N93" s="147">
        <f>'F13-Year(n+3)'!Q94</f>
        <v>0</v>
      </c>
      <c r="O93" s="147">
        <f>'F13-Year(n+4)'!Q94</f>
        <v>0</v>
      </c>
      <c r="P93" s="147">
        <f>'F13-Year(n+5)'!Q94</f>
        <v>0</v>
      </c>
    </row>
    <row r="94" ht="15" spans="3:16">
      <c r="C94" s="537" t="s">
        <v>211</v>
      </c>
      <c r="D94" s="540"/>
      <c r="E94" s="316">
        <f>SUM(E80:E93)</f>
        <v>129.465145</v>
      </c>
      <c r="F94" s="316">
        <f>SUM(F80:F93)</f>
        <v>174.04358599825</v>
      </c>
      <c r="G94" s="316">
        <f>F94-E94</f>
        <v>44.57844099825</v>
      </c>
      <c r="H94" s="316">
        <f>SUM(H80:H93)</f>
        <v>136.433015</v>
      </c>
      <c r="I94" s="316">
        <f>SUM(I80:I93)</f>
        <v>176.55358991725</v>
      </c>
      <c r="J94" s="316">
        <f>SUM(J80:J93)</f>
        <v>205.7618981288</v>
      </c>
      <c r="K94" s="316">
        <f t="shared" si="3"/>
        <v>382.31548804605</v>
      </c>
      <c r="L94" s="316">
        <f>'F13-Year(n+1)'!Q95</f>
        <v>459.755998742258</v>
      </c>
      <c r="M94" s="316" t="e">
        <f>'F13-Year(n+2)'!Q95</f>
        <v>#REF!</v>
      </c>
      <c r="N94" s="316">
        <f>'F13-Year(n+3)'!Q95</f>
        <v>460.402263610845</v>
      </c>
      <c r="O94" s="316">
        <f>'F13-Year(n+4)'!Q95</f>
        <v>468.381460080757</v>
      </c>
      <c r="P94" s="316">
        <f>'F13-Year(n+5)'!Q95</f>
        <v>477.169043027581</v>
      </c>
    </row>
    <row r="95" ht="15" spans="3:16">
      <c r="C95" s="44" t="s">
        <v>395</v>
      </c>
      <c r="D95" s="45"/>
      <c r="E95" s="316">
        <f>E78+E94</f>
        <v>2314.0632</v>
      </c>
      <c r="F95" s="316">
        <f>F78+F94</f>
        <v>2614.11803969959</v>
      </c>
      <c r="G95" s="316">
        <f>F95-E95</f>
        <v>300.054839699585</v>
      </c>
      <c r="H95" s="316">
        <f>H78+H94</f>
        <v>2614.232325</v>
      </c>
      <c r="I95" s="316">
        <f>I78+I94</f>
        <v>2762.32550239269</v>
      </c>
      <c r="J95" s="316">
        <f>J78+J94</f>
        <v>3620.1315980313</v>
      </c>
      <c r="K95" s="316">
        <f t="shared" si="3"/>
        <v>6382.45710042399</v>
      </c>
      <c r="L95" s="316">
        <f>'F13-Year(n+1)'!Q96</f>
        <v>8222.44742301446</v>
      </c>
      <c r="M95" s="316" t="e">
        <f>'F13-Year(n+2)'!Q96</f>
        <v>#REF!</v>
      </c>
      <c r="N95" s="316">
        <f>'F13-Year(n+3)'!Q96</f>
        <v>8452.72448345032</v>
      </c>
      <c r="O95" s="316">
        <f>'F13-Year(n+4)'!Q96</f>
        <v>8854.72234567825</v>
      </c>
      <c r="P95" s="316">
        <f>'F13-Year(n+5)'!Q96</f>
        <v>9474.71760242897</v>
      </c>
    </row>
    <row r="96" ht="15" spans="3:16">
      <c r="C96" s="663" t="s">
        <v>396</v>
      </c>
      <c r="D96" s="676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</row>
    <row r="97" spans="3:16">
      <c r="C97" s="55" t="s">
        <v>397</v>
      </c>
      <c r="D97" s="55" t="s">
        <v>397</v>
      </c>
      <c r="E97" s="147">
        <f>'[47]PP Cost'!$M$131</f>
        <v>255.5671</v>
      </c>
      <c r="F97" s="752">
        <f>'F13-Year(n-1)'!Q97</f>
        <v>718.23142497609</v>
      </c>
      <c r="G97" s="147"/>
      <c r="H97" s="147">
        <f>'[48]PP Cost'!M137</f>
        <v>243.83679007</v>
      </c>
      <c r="I97" s="147">
        <f>SUM('F13-Year(n)'!E96:J96)</f>
        <v>864.151990668092</v>
      </c>
      <c r="J97" s="147">
        <f>SUM('F13-Year(n)'!K96:P96)</f>
        <v>770.077182278104</v>
      </c>
      <c r="K97" s="147">
        <f t="shared" ref="K97:K104" si="4">I97+J97</f>
        <v>1634.2291729462</v>
      </c>
      <c r="L97" s="147">
        <f>'F13-Year(n+1)'!Q98</f>
        <v>579.061915324755</v>
      </c>
      <c r="M97" s="147">
        <f>'F13-Year(n+2)'!Q98</f>
        <v>546.709550500632</v>
      </c>
      <c r="N97" s="147">
        <f>'F13-Year(n+3)'!Q98</f>
        <v>565.567129050469</v>
      </c>
      <c r="O97" s="147">
        <f>'F13-Year(n+4)'!Q98</f>
        <v>590.884478115546</v>
      </c>
      <c r="P97" s="147">
        <f>'F13-Year(n+5)'!Q98</f>
        <v>637.152121449127</v>
      </c>
    </row>
    <row r="98" spans="3:16">
      <c r="C98" s="55" t="s">
        <v>398</v>
      </c>
      <c r="D98" s="55" t="s">
        <v>398</v>
      </c>
      <c r="E98" s="147">
        <f>'[47]PP Cost'!$M$132</f>
        <v>677.62094</v>
      </c>
      <c r="F98" s="752">
        <f>'F13-Year(n-1)'!Q98</f>
        <v>220.096266418637</v>
      </c>
      <c r="G98" s="147"/>
      <c r="H98" s="147">
        <f>'[48]PP Cost'!M138</f>
        <v>844.09972904</v>
      </c>
      <c r="I98" s="147">
        <f>SUM('F13-Year(n)'!E97:J97)</f>
        <v>326.728732251994</v>
      </c>
      <c r="J98" s="147">
        <f>SUM('F13-Year(n)'!K97:P97)</f>
        <v>310.219410220111</v>
      </c>
      <c r="K98" s="147">
        <f t="shared" si="4"/>
        <v>636.948142472106</v>
      </c>
      <c r="L98" s="147">
        <f>'F13-Year(n+1)'!Q99</f>
        <v>0</v>
      </c>
      <c r="M98" s="147">
        <f>'F13-Year(n+2)'!Q99</f>
        <v>0</v>
      </c>
      <c r="N98" s="147">
        <f>'F13-Year(n+3)'!Q99</f>
        <v>0</v>
      </c>
      <c r="O98" s="147">
        <f>'F13-Year(n+4)'!Q99</f>
        <v>0</v>
      </c>
      <c r="P98" s="147">
        <f>'F13-Year(n+5)'!Q99</f>
        <v>0</v>
      </c>
    </row>
    <row r="99" spans="3:16">
      <c r="C99" s="55"/>
      <c r="D99" s="55"/>
      <c r="E99" s="147"/>
      <c r="F99" s="752">
        <f>'F13-Year(n-1)'!Q100</f>
        <v>0</v>
      </c>
      <c r="G99" s="147"/>
      <c r="H99" s="147"/>
      <c r="I99" s="147">
        <f>SUM('F13-Year(n)'!E98:J98)</f>
        <v>0</v>
      </c>
      <c r="J99" s="147">
        <f>SUM('F13-Year(n)'!K98:P98)</f>
        <v>0</v>
      </c>
      <c r="K99" s="147">
        <f t="shared" si="4"/>
        <v>0</v>
      </c>
      <c r="L99" s="147">
        <f>'F13-Year(n+1)'!Q100</f>
        <v>0</v>
      </c>
      <c r="M99" s="147">
        <f>'F13-Year(n+2)'!Q100</f>
        <v>0</v>
      </c>
      <c r="N99" s="147">
        <f>'F13-Year(n+3)'!Q100</f>
        <v>0</v>
      </c>
      <c r="O99" s="147">
        <f>'F13-Year(n+4)'!Q100</f>
        <v>0</v>
      </c>
      <c r="P99" s="147">
        <f>'F13-Year(n+5)'!Q100</f>
        <v>0</v>
      </c>
    </row>
    <row r="100" spans="3:16">
      <c r="C100" s="55"/>
      <c r="D100" s="55"/>
      <c r="E100" s="147"/>
      <c r="F100" s="752">
        <f>'F13-Year(n-1)'!Q101</f>
        <v>0</v>
      </c>
      <c r="G100" s="147"/>
      <c r="H100" s="147"/>
      <c r="I100" s="147">
        <f>SUM('F13-Year(n)'!E99:J99)</f>
        <v>0</v>
      </c>
      <c r="J100" s="147">
        <f>SUM('F13-Year(n)'!K99:P99)</f>
        <v>0</v>
      </c>
      <c r="K100" s="147">
        <f t="shared" si="4"/>
        <v>0</v>
      </c>
      <c r="L100" s="147">
        <f>'F13-Year(n+1)'!Q101</f>
        <v>0</v>
      </c>
      <c r="M100" s="147">
        <f>'F13-Year(n+2)'!Q101</f>
        <v>0</v>
      </c>
      <c r="N100" s="147">
        <f>'F13-Year(n+3)'!Q101</f>
        <v>0</v>
      </c>
      <c r="O100" s="147">
        <f>'F13-Year(n+4)'!Q101</f>
        <v>0</v>
      </c>
      <c r="P100" s="147">
        <f>'F13-Year(n+5)'!Q101</f>
        <v>0</v>
      </c>
    </row>
    <row r="101" spans="3:16">
      <c r="C101" s="55"/>
      <c r="D101" s="55"/>
      <c r="E101" s="147"/>
      <c r="F101" s="752">
        <f>'F13-Year(n-1)'!Q102</f>
        <v>0</v>
      </c>
      <c r="G101" s="147"/>
      <c r="H101" s="147"/>
      <c r="I101" s="147">
        <f>SUM('F13-Year(n)'!E100:J100)</f>
        <v>0</v>
      </c>
      <c r="J101" s="147">
        <f>SUM('F13-Year(n)'!K100:P100)</f>
        <v>0</v>
      </c>
      <c r="K101" s="147">
        <f t="shared" si="4"/>
        <v>0</v>
      </c>
      <c r="L101" s="147">
        <f>'F13-Year(n+1)'!Q102</f>
        <v>0</v>
      </c>
      <c r="M101" s="147">
        <f>'F13-Year(n+2)'!Q102</f>
        <v>0</v>
      </c>
      <c r="N101" s="147">
        <f>'F13-Year(n+3)'!Q102</f>
        <v>0</v>
      </c>
      <c r="O101" s="147">
        <f>'F13-Year(n+4)'!Q102</f>
        <v>0</v>
      </c>
      <c r="P101" s="147">
        <f>'F13-Year(n+5)'!Q102</f>
        <v>0</v>
      </c>
    </row>
    <row r="102" spans="3:16">
      <c r="C102" s="55"/>
      <c r="D102" s="55"/>
      <c r="E102" s="147"/>
      <c r="F102" s="752">
        <f>'F13-Year(n-1)'!Q103</f>
        <v>0</v>
      </c>
      <c r="G102" s="147"/>
      <c r="H102" s="147"/>
      <c r="I102" s="147">
        <f>SUM('F13-Year(n)'!E101:J101)</f>
        <v>0</v>
      </c>
      <c r="J102" s="147">
        <f>SUM('F13-Year(n)'!K101:P101)</f>
        <v>0</v>
      </c>
      <c r="K102" s="147">
        <f t="shared" si="4"/>
        <v>0</v>
      </c>
      <c r="L102" s="147">
        <f>'F13-Year(n+1)'!Q103</f>
        <v>0</v>
      </c>
      <c r="M102" s="147">
        <f>'F13-Year(n+2)'!Q103</f>
        <v>0</v>
      </c>
      <c r="N102" s="147">
        <f>'F13-Year(n+3)'!Q103</f>
        <v>0</v>
      </c>
      <c r="O102" s="147">
        <f>'F13-Year(n+4)'!Q103</f>
        <v>0</v>
      </c>
      <c r="P102" s="147">
        <f>'F13-Year(n+5)'!Q103</f>
        <v>0</v>
      </c>
    </row>
    <row r="103" spans="3:16">
      <c r="C103" s="55"/>
      <c r="D103" s="55"/>
      <c r="E103" s="147"/>
      <c r="F103" s="752">
        <f>'F13-Year(n-1)'!Q104</f>
        <v>938.327691394726</v>
      </c>
      <c r="G103" s="147"/>
      <c r="H103" s="147"/>
      <c r="I103" s="147">
        <f>SUM('F13-Year(n)'!J102:O102)</f>
        <v>0</v>
      </c>
      <c r="J103" s="147">
        <f>SUM('F13-Year(n)'!K102:P102)</f>
        <v>0</v>
      </c>
      <c r="K103" s="147">
        <f t="shared" si="4"/>
        <v>0</v>
      </c>
      <c r="L103" s="147">
        <f>'F13-Year(n+1)'!Q104</f>
        <v>0</v>
      </c>
      <c r="M103" s="147">
        <f>'F13-Year(n+2)'!Q104</f>
        <v>0</v>
      </c>
      <c r="N103" s="147">
        <f>'F13-Year(n+3)'!Q104</f>
        <v>0</v>
      </c>
      <c r="O103" s="147">
        <f>'F13-Year(n+4)'!Q104</f>
        <v>0</v>
      </c>
      <c r="P103" s="147">
        <f>'F13-Year(n+5)'!Q104</f>
        <v>0</v>
      </c>
    </row>
    <row r="104" ht="15" spans="3:16">
      <c r="C104" s="44" t="s">
        <v>399</v>
      </c>
      <c r="D104" s="45"/>
      <c r="E104" s="316">
        <f>SUM(E97:E103)</f>
        <v>933.18804</v>
      </c>
      <c r="F104" s="316">
        <f>SUM(F97:F103)</f>
        <v>1876.65538278945</v>
      </c>
      <c r="G104" s="316">
        <f>F104-E104</f>
        <v>943.467342789453</v>
      </c>
      <c r="H104" s="316">
        <f>SUM(H97:H103)</f>
        <v>1087.93651911</v>
      </c>
      <c r="I104" s="316">
        <f>SUM(I97:I102)</f>
        <v>1190.88072292009</v>
      </c>
      <c r="J104" s="316">
        <f>SUM(J97:J102)</f>
        <v>1080.29659249822</v>
      </c>
      <c r="K104" s="316">
        <f t="shared" si="4"/>
        <v>2271.1773154183</v>
      </c>
      <c r="L104" s="316">
        <f>'F13-Year(n+1)'!Q105</f>
        <v>579.061915324755</v>
      </c>
      <c r="M104" s="316">
        <f>'F13-Year(n+2)'!Q105</f>
        <v>546.709550500632</v>
      </c>
      <c r="N104" s="316">
        <f>'F13-Year(n+3)'!Q105</f>
        <v>565.567129050469</v>
      </c>
      <c r="O104" s="316">
        <f>'F13-Year(n+4)'!Q105</f>
        <v>590.884478115546</v>
      </c>
      <c r="P104" s="316">
        <f>'F13-Year(n+5)'!Q105</f>
        <v>637.152121449127</v>
      </c>
    </row>
    <row r="105" ht="15" spans="3:16">
      <c r="C105" s="663" t="s">
        <v>400</v>
      </c>
      <c r="D105" s="676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</row>
    <row r="106" spans="3:16">
      <c r="C106" s="55" t="s">
        <v>401</v>
      </c>
      <c r="D106" s="55" t="s">
        <v>401</v>
      </c>
      <c r="E106" s="147">
        <f>'[47]PP Cost'!$M$133</f>
        <v>1041.667115</v>
      </c>
      <c r="F106" s="752">
        <f>'F13-Year(n-1)'!Q106</f>
        <v>1303.79470005775</v>
      </c>
      <c r="G106" s="147"/>
      <c r="H106" s="147">
        <f>'[48]PP Cost'!M139</f>
        <v>1125.7270637</v>
      </c>
      <c r="I106" s="147">
        <f>SUM('F13-Year(n)'!E105:J105)</f>
        <v>1539.0713154759</v>
      </c>
      <c r="J106" s="147">
        <f>SUM('F13-Year(n)'!K105:P105)</f>
        <v>1593.32376323045</v>
      </c>
      <c r="K106" s="147">
        <f t="shared" ref="K106:K114" si="5">I106+J106</f>
        <v>3132.39507870635</v>
      </c>
      <c r="L106" s="147">
        <f>'F13-Year(n+1)'!Q107</f>
        <v>2380.49880129538</v>
      </c>
      <c r="M106" s="147">
        <f>'F13-Year(n+2)'!Q107</f>
        <v>2302.59017222747</v>
      </c>
      <c r="N106" s="147">
        <f>'F13-Year(n+3)'!Q107</f>
        <v>2836.24155940085</v>
      </c>
      <c r="O106" s="147">
        <f>'F13-Year(n+4)'!Q107</f>
        <v>4717.64442383946</v>
      </c>
      <c r="P106" s="147">
        <f>'F13-Year(n+5)'!Q107</f>
        <v>5118.98649222863</v>
      </c>
    </row>
    <row r="107" spans="3:16">
      <c r="C107" s="55" t="s">
        <v>402</v>
      </c>
      <c r="D107" s="55" t="s">
        <v>402</v>
      </c>
      <c r="E107" s="147">
        <f>'[47]PP Cost'!$M$134</f>
        <v>673.854285</v>
      </c>
      <c r="F107" s="752">
        <f>'F13-Year(n-1)'!Q107</f>
        <v>216.5118019126</v>
      </c>
      <c r="G107" s="147"/>
      <c r="H107" s="147">
        <f>'[48]PP Cost'!M140</f>
        <v>677.54983185</v>
      </c>
      <c r="I107" s="147">
        <f>SUM('F13-Year(n)'!E106:J106)</f>
        <v>0</v>
      </c>
      <c r="J107" s="147">
        <f>SUM('F13-Year(n)'!K106:P106)</f>
        <v>0</v>
      </c>
      <c r="K107" s="147">
        <f t="shared" si="5"/>
        <v>0</v>
      </c>
      <c r="L107" s="147">
        <f>'F13-Year(n+1)'!Q108</f>
        <v>0</v>
      </c>
      <c r="M107" s="147">
        <f>'F13-Year(n+2)'!Q108</f>
        <v>0</v>
      </c>
      <c r="N107" s="147">
        <f>'F13-Year(n+3)'!Q108</f>
        <v>0</v>
      </c>
      <c r="O107" s="147">
        <f>'F13-Year(n+4)'!Q108</f>
        <v>0</v>
      </c>
      <c r="P107" s="147">
        <f>'F13-Year(n+5)'!Q108</f>
        <v>0</v>
      </c>
    </row>
    <row r="108" spans="3:16">
      <c r="C108" s="55" t="s">
        <v>403</v>
      </c>
      <c r="D108" s="55" t="s">
        <v>403</v>
      </c>
      <c r="E108" s="147">
        <f>'[47]PP Cost'!$M$135</f>
        <v>0</v>
      </c>
      <c r="F108" s="752">
        <f>'F13-Year(n-1)'!Q108</f>
        <v>0</v>
      </c>
      <c r="G108" s="147"/>
      <c r="H108" s="147"/>
      <c r="I108" s="147">
        <f>SUM('F13-Year(n)'!E107:J107)</f>
        <v>0</v>
      </c>
      <c r="J108" s="147">
        <f>SUM('F13-Year(n)'!K107:P107)</f>
        <v>0</v>
      </c>
      <c r="K108" s="147">
        <f t="shared" si="5"/>
        <v>0</v>
      </c>
      <c r="L108" s="147">
        <f>'F13-Year(n+1)'!Q109</f>
        <v>0</v>
      </c>
      <c r="M108" s="147">
        <f>'F13-Year(n+2)'!Q109</f>
        <v>0</v>
      </c>
      <c r="N108" s="147">
        <f>'F13-Year(n+3)'!Q109</f>
        <v>0</v>
      </c>
      <c r="O108" s="147">
        <f>'F13-Year(n+4)'!Q109</f>
        <v>0</v>
      </c>
      <c r="P108" s="147">
        <f>'F13-Year(n+5)'!Q109</f>
        <v>0</v>
      </c>
    </row>
    <row r="109" spans="3:16">
      <c r="C109" s="55"/>
      <c r="D109" s="55"/>
      <c r="E109" s="147"/>
      <c r="F109" s="752">
        <f>'F13-Year(n-1)'!Q109</f>
        <v>0</v>
      </c>
      <c r="G109" s="147"/>
      <c r="H109" s="147"/>
      <c r="I109" s="147">
        <f>SUM('F13-Year(n)'!E108:J108)</f>
        <v>0</v>
      </c>
      <c r="J109" s="147">
        <f>SUM('F13-Year(n)'!K108:P108)</f>
        <v>0</v>
      </c>
      <c r="K109" s="147">
        <f t="shared" si="5"/>
        <v>0</v>
      </c>
      <c r="L109" s="147">
        <f>'F13-Year(n+1)'!Q110</f>
        <v>0</v>
      </c>
      <c r="M109" s="147">
        <f>'F13-Year(n+2)'!Q110</f>
        <v>0</v>
      </c>
      <c r="N109" s="147">
        <f>'F13-Year(n+3)'!Q110</f>
        <v>0</v>
      </c>
      <c r="O109" s="147">
        <f>'F13-Year(n+4)'!Q110</f>
        <v>0</v>
      </c>
      <c r="P109" s="147">
        <f>'F13-Year(n+5)'!Q110</f>
        <v>0</v>
      </c>
    </row>
    <row r="110" spans="3:16">
      <c r="C110" s="55"/>
      <c r="D110" s="55"/>
      <c r="E110" s="147"/>
      <c r="F110" s="752">
        <f>'F13-Year(n-1)'!Q110</f>
        <v>0</v>
      </c>
      <c r="G110" s="147"/>
      <c r="H110" s="147"/>
      <c r="I110" s="147">
        <f>SUM('F13-Year(n)'!E109:J109)</f>
        <v>0</v>
      </c>
      <c r="J110" s="147">
        <f>SUM('F13-Year(n)'!K109:P109)</f>
        <v>0</v>
      </c>
      <c r="K110" s="147">
        <f t="shared" si="5"/>
        <v>0</v>
      </c>
      <c r="L110" s="147">
        <f>'F13-Year(n+1)'!Q111</f>
        <v>0</v>
      </c>
      <c r="M110" s="147">
        <f>'F13-Year(n+2)'!Q111</f>
        <v>0</v>
      </c>
      <c r="N110" s="147">
        <f>'F13-Year(n+3)'!Q111</f>
        <v>0</v>
      </c>
      <c r="O110" s="147">
        <f>'F13-Year(n+4)'!Q111</f>
        <v>0</v>
      </c>
      <c r="P110" s="147">
        <f>'F13-Year(n+5)'!Q111</f>
        <v>0</v>
      </c>
    </row>
    <row r="111" spans="3:16">
      <c r="C111" s="55"/>
      <c r="D111" s="55"/>
      <c r="E111" s="147"/>
      <c r="F111" s="752">
        <f>'F13-Year(n-1)'!Q111</f>
        <v>0</v>
      </c>
      <c r="G111" s="147"/>
      <c r="H111" s="147"/>
      <c r="I111" s="147">
        <f>SUM('F13-Year(n)'!E110:J110)</f>
        <v>0</v>
      </c>
      <c r="J111" s="147">
        <f>SUM('F13-Year(n)'!K110:P110)</f>
        <v>0</v>
      </c>
      <c r="K111" s="147">
        <f t="shared" si="5"/>
        <v>0</v>
      </c>
      <c r="L111" s="147">
        <f>'F13-Year(n+1)'!Q112</f>
        <v>0</v>
      </c>
      <c r="M111" s="147">
        <f>'F13-Year(n+2)'!Q112</f>
        <v>0</v>
      </c>
      <c r="N111" s="147">
        <f>'F13-Year(n+3)'!Q112</f>
        <v>0</v>
      </c>
      <c r="O111" s="147">
        <f>'F13-Year(n+4)'!Q112</f>
        <v>0</v>
      </c>
      <c r="P111" s="147">
        <f>'F13-Year(n+5)'!Q112</f>
        <v>0</v>
      </c>
    </row>
    <row r="112" spans="3:16">
      <c r="C112" s="55"/>
      <c r="D112" s="55"/>
      <c r="E112" s="147"/>
      <c r="F112" s="752">
        <f>'F13-Year(n-1)'!Q112</f>
        <v>0</v>
      </c>
      <c r="G112" s="147"/>
      <c r="H112" s="147"/>
      <c r="I112" s="147">
        <f>SUM('F13-Year(n)'!E111:J111)</f>
        <v>0</v>
      </c>
      <c r="J112" s="147">
        <f>SUM('F13-Year(n)'!K111:P111)</f>
        <v>0</v>
      </c>
      <c r="K112" s="147">
        <f t="shared" si="5"/>
        <v>0</v>
      </c>
      <c r="L112" s="147">
        <f>'F13-Year(n+1)'!Q113</f>
        <v>0</v>
      </c>
      <c r="M112" s="147">
        <f>'F13-Year(n+2)'!Q113</f>
        <v>0</v>
      </c>
      <c r="N112" s="147">
        <f>'F13-Year(n+3)'!Q113</f>
        <v>0</v>
      </c>
      <c r="O112" s="147">
        <f>'F13-Year(n+4)'!Q113</f>
        <v>0</v>
      </c>
      <c r="P112" s="147">
        <f>'F13-Year(n+5)'!Q113</f>
        <v>0</v>
      </c>
    </row>
    <row r="113" spans="3:16">
      <c r="C113" s="55"/>
      <c r="D113" s="55"/>
      <c r="E113" s="147"/>
      <c r="F113" s="752">
        <f>'F13-Year(n-1)'!Q113</f>
        <v>0</v>
      </c>
      <c r="G113" s="147"/>
      <c r="H113" s="147"/>
      <c r="I113" s="147">
        <f>SUM('F13-Year(n)'!E112:J112)</f>
        <v>0</v>
      </c>
      <c r="J113" s="147">
        <f>SUM('F13-Year(n)'!K112:P112)</f>
        <v>0</v>
      </c>
      <c r="K113" s="147">
        <f t="shared" si="5"/>
        <v>0</v>
      </c>
      <c r="L113" s="147">
        <f>'F13-Year(n+1)'!Q114</f>
        <v>0</v>
      </c>
      <c r="M113" s="147">
        <f>'F13-Year(n+2)'!Q114</f>
        <v>0</v>
      </c>
      <c r="N113" s="147">
        <f>'F13-Year(n+3)'!Q114</f>
        <v>0</v>
      </c>
      <c r="O113" s="147">
        <f>'F13-Year(n+4)'!Q114</f>
        <v>0</v>
      </c>
      <c r="P113" s="147">
        <f>'F13-Year(n+5)'!Q114</f>
        <v>0</v>
      </c>
    </row>
    <row r="114" ht="15" spans="3:16">
      <c r="C114" s="44" t="s">
        <v>404</v>
      </c>
      <c r="D114" s="45"/>
      <c r="E114" s="316">
        <f>SUM(E106:E113)</f>
        <v>1715.5214</v>
      </c>
      <c r="F114" s="316">
        <f>SUM(F106:F113)</f>
        <v>1520.30650197035</v>
      </c>
      <c r="G114" s="316">
        <f>F114-E114</f>
        <v>-195.21489802965</v>
      </c>
      <c r="H114" s="316">
        <f>SUM(H106:H113)</f>
        <v>1803.27689555</v>
      </c>
      <c r="I114" s="316">
        <f>SUM(I106:I113)</f>
        <v>1539.0713154759</v>
      </c>
      <c r="J114" s="316">
        <f>SUM(J106:J113)</f>
        <v>1593.32376323045</v>
      </c>
      <c r="K114" s="316">
        <f t="shared" si="5"/>
        <v>3132.39507870635</v>
      </c>
      <c r="L114" s="316">
        <f>'F13-Year(n+1)'!Q115</f>
        <v>2380.49880129538</v>
      </c>
      <c r="M114" s="316">
        <f>'F13-Year(n+2)'!Q115</f>
        <v>2302.59017222747</v>
      </c>
      <c r="N114" s="316">
        <f>'F13-Year(n+3)'!Q115</f>
        <v>2836.24155940085</v>
      </c>
      <c r="O114" s="316">
        <f>'F13-Year(n+4)'!Q115</f>
        <v>4717.64442383946</v>
      </c>
      <c r="P114" s="316">
        <f>'F13-Year(n+5)'!Q115</f>
        <v>5118.98649222863</v>
      </c>
    </row>
    <row r="115" ht="15" spans="3:16">
      <c r="C115" s="663" t="s">
        <v>405</v>
      </c>
      <c r="D115" s="676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</row>
    <row r="116" spans="3:16">
      <c r="C116" s="55"/>
      <c r="D116" s="55" t="s">
        <v>406</v>
      </c>
      <c r="E116" s="147">
        <f>'[47]PP Cost'!$M$119</f>
        <v>46.36</v>
      </c>
      <c r="F116" s="752">
        <f>'F13-Year(n-1)'!Q116</f>
        <v>13.1652054581448</v>
      </c>
      <c r="G116" s="147"/>
      <c r="H116" s="147">
        <f>'[48]PP Cost'!M123</f>
        <v>0</v>
      </c>
      <c r="I116" s="147">
        <f>SUM('F13-Year(n)'!E115:J115)</f>
        <v>0</v>
      </c>
      <c r="J116" s="147">
        <f>SUM('F13-Year(n)'!K115:P115)</f>
        <v>0</v>
      </c>
      <c r="K116" s="147">
        <f t="shared" ref="K116:K140" si="6">I116+J116</f>
        <v>0</v>
      </c>
      <c r="L116" s="147">
        <f>'F13-Year(n+1)'!Q117</f>
        <v>0.25324</v>
      </c>
      <c r="M116" s="147" t="e">
        <f>'F13-Year(n+2)'!Q117</f>
        <v>#VALUE!</v>
      </c>
      <c r="N116" s="147">
        <f>'F13-Year(n+3)'!Q117</f>
        <v>0.3755</v>
      </c>
      <c r="O116" s="147">
        <f>'F13-Year(n+4)'!Q117</f>
        <v>0.3755</v>
      </c>
      <c r="P116" s="147">
        <f>'F13-Year(n+5)'!Q117</f>
        <v>0.3755</v>
      </c>
    </row>
    <row r="117" spans="3:16">
      <c r="C117" s="55"/>
      <c r="D117" s="55" t="s">
        <v>407</v>
      </c>
      <c r="E117" s="147">
        <f>'[47]PP Cost'!$M$120</f>
        <v>6.87</v>
      </c>
      <c r="F117" s="752">
        <f>'F13-Year(n-1)'!Q117</f>
        <v>49.53786471767</v>
      </c>
      <c r="G117" s="147"/>
      <c r="H117" s="147">
        <f>'[48]PP Cost'!M124</f>
        <v>24.05</v>
      </c>
      <c r="I117" s="147">
        <f>SUM('F13-Year(n)'!E116:J116)</f>
        <v>0</v>
      </c>
      <c r="J117" s="147">
        <f>SUM('F13-Year(n)'!K116:P116)</f>
        <v>0</v>
      </c>
      <c r="K117" s="147">
        <f t="shared" si="6"/>
        <v>0</v>
      </c>
      <c r="L117" s="147">
        <f>'F13-Year(n+1)'!Q118</f>
        <v>0</v>
      </c>
      <c r="M117" s="147">
        <f>'F13-Year(n+2)'!Q118</f>
        <v>0</v>
      </c>
      <c r="N117" s="147">
        <f>'F13-Year(n+3)'!Q118</f>
        <v>0</v>
      </c>
      <c r="O117" s="147">
        <f>'F13-Year(n+4)'!Q118</f>
        <v>0</v>
      </c>
      <c r="P117" s="147">
        <f>'F13-Year(n+5)'!Q118</f>
        <v>0</v>
      </c>
    </row>
    <row r="118" s="748" customFormat="1" spans="3:16">
      <c r="C118" s="750"/>
      <c r="D118" s="750" t="s">
        <v>408</v>
      </c>
      <c r="E118" s="751">
        <f>'[47]PP Cost'!$M$121</f>
        <v>0</v>
      </c>
      <c r="F118" s="752">
        <f>'F13-Year(n-1)'!Q118</f>
        <v>0</v>
      </c>
      <c r="G118" s="751"/>
      <c r="H118" s="751">
        <f>'[48]PP Cost'!M125</f>
        <v>0</v>
      </c>
      <c r="I118" s="147">
        <f>SUM('F13-Year(n)'!E117:J117)</f>
        <v>0</v>
      </c>
      <c r="J118" s="147">
        <f>SUM('F13-Year(n)'!K117:P117)</f>
        <v>0</v>
      </c>
      <c r="K118" s="751">
        <f t="shared" si="6"/>
        <v>0</v>
      </c>
      <c r="L118" s="751">
        <f>'F13-Year(n+1)'!Q119</f>
        <v>80.962547996033</v>
      </c>
      <c r="M118" s="751" t="e">
        <f>'F13-Year(n+2)'!Q119</f>
        <v>#REF!</v>
      </c>
      <c r="N118" s="751">
        <f>'F13-Year(n+3)'!Q119</f>
        <v>0</v>
      </c>
      <c r="O118" s="751">
        <f>'F13-Year(n+4)'!Q119</f>
        <v>84.9101928970887</v>
      </c>
      <c r="P118" s="751">
        <f>'F13-Year(n+5)'!Q119</f>
        <v>88.9641614638788</v>
      </c>
    </row>
    <row r="119" spans="3:16">
      <c r="C119" s="55"/>
      <c r="D119" s="55" t="s">
        <v>409</v>
      </c>
      <c r="E119" s="147">
        <f>'[47]PP Cost'!$M$122</f>
        <v>24.82</v>
      </c>
      <c r="F119" s="752">
        <f>'F13-Year(n-1)'!Q119</f>
        <v>-0.2228549</v>
      </c>
      <c r="G119" s="147"/>
      <c r="H119" s="147">
        <f>'[48]PP Cost'!M126</f>
        <v>19.95</v>
      </c>
      <c r="I119" s="147">
        <f>SUM('F13-Year(n)'!E118:J118)</f>
        <v>0</v>
      </c>
      <c r="J119" s="147">
        <f>SUM('F13-Year(n)'!K118:P118)</f>
        <v>0</v>
      </c>
      <c r="K119" s="147">
        <f t="shared" si="6"/>
        <v>0</v>
      </c>
      <c r="L119" s="147">
        <f>'F13-Year(n+1)'!Q120</f>
        <v>23.0877311642015</v>
      </c>
      <c r="M119" s="147" t="e">
        <f>'F13-Year(n+2)'!Q120</f>
        <v>#REF!</v>
      </c>
      <c r="N119" s="147">
        <f>'F13-Year(n+3)'!Q120</f>
        <v>0</v>
      </c>
      <c r="O119" s="147">
        <f>'F13-Year(n+4)'!Q120</f>
        <v>24.2134635733615</v>
      </c>
      <c r="P119" s="147">
        <f>'F13-Year(n+5)'!Q120</f>
        <v>25.3695158312865</v>
      </c>
    </row>
    <row r="120" spans="3:16">
      <c r="C120" s="55"/>
      <c r="D120" s="55" t="s">
        <v>410</v>
      </c>
      <c r="E120" s="147">
        <f>'[47]PP Cost'!$M$123</f>
        <v>0</v>
      </c>
      <c r="F120" s="752">
        <f>'F13-Year(n-1)'!Q120</f>
        <v>0</v>
      </c>
      <c r="G120" s="147"/>
      <c r="H120" s="147">
        <f>'[48]PP Cost'!M127</f>
        <v>0</v>
      </c>
      <c r="I120" s="147">
        <f>SUM('F13-Year(n)'!E119:J119)</f>
        <v>0</v>
      </c>
      <c r="J120" s="147">
        <f>SUM('F13-Year(n)'!K119:P119)</f>
        <v>0</v>
      </c>
      <c r="K120" s="147">
        <f t="shared" si="6"/>
        <v>0</v>
      </c>
      <c r="L120" s="147">
        <f>'F13-Year(n+1)'!Q121</f>
        <v>120.55347475983</v>
      </c>
      <c r="M120" s="147" t="e">
        <f>'F13-Year(n+2)'!Q121</f>
        <v>#VALUE!</v>
      </c>
      <c r="N120" s="147">
        <f>'F13-Year(n+3)'!Q121</f>
        <v>0</v>
      </c>
      <c r="O120" s="147">
        <f>'F13-Year(n+4)'!Q121</f>
        <v>115.829404496222</v>
      </c>
      <c r="P120" s="147">
        <f>'F13-Year(n+5)'!Q121</f>
        <v>118.32584344937</v>
      </c>
    </row>
    <row r="121" spans="3:16">
      <c r="C121" s="55"/>
      <c r="D121" s="55" t="s">
        <v>368</v>
      </c>
      <c r="E121" s="147">
        <f>'[47]PP Cost'!$M$124</f>
        <v>0</v>
      </c>
      <c r="F121" s="752">
        <f>'F13-Year(n-1)'!Q121</f>
        <v>0.208072267018896</v>
      </c>
      <c r="G121" s="147"/>
      <c r="H121" s="147">
        <f>'[48]PP Cost'!M128</f>
        <v>0.31</v>
      </c>
      <c r="I121" s="147">
        <f>SUM('F13-Year(n)'!E120:J120)</f>
        <v>0</v>
      </c>
      <c r="J121" s="147">
        <f>SUM('F13-Year(n)'!K120:P120)</f>
        <v>0</v>
      </c>
      <c r="K121" s="147">
        <f t="shared" si="6"/>
        <v>0</v>
      </c>
      <c r="L121" s="147">
        <f>'F13-Year(n+1)'!Q122</f>
        <v>0.11819225915493</v>
      </c>
      <c r="M121" s="147">
        <f>'F13-Year(n+2)'!Q122</f>
        <v>0.0484949154929578</v>
      </c>
      <c r="N121" s="147">
        <f>'F13-Year(n+3)'!Q122</f>
        <v>0.0484949154929578</v>
      </c>
      <c r="O121" s="147">
        <f>'F13-Year(n+4)'!Q122</f>
        <v>0.0484949154929577</v>
      </c>
      <c r="P121" s="147">
        <f>'F13-Year(n+5)'!Q122</f>
        <v>0.0484949154929577</v>
      </c>
    </row>
    <row r="122" spans="3:16">
      <c r="C122" s="55"/>
      <c r="D122" s="55" t="s">
        <v>411</v>
      </c>
      <c r="E122" s="147">
        <f>'[47]PP Cost'!$M$125</f>
        <v>1017.83</v>
      </c>
      <c r="F122" s="752">
        <f>'F13-Year(n-1)'!Q122</f>
        <v>927.311162321463</v>
      </c>
      <c r="G122" s="147"/>
      <c r="H122" s="147">
        <f>'[48]PP Cost'!M129</f>
        <v>907.35</v>
      </c>
      <c r="I122" s="147">
        <f>SUM('F13-Year(n)'!E121:J121)</f>
        <v>0</v>
      </c>
      <c r="J122" s="147">
        <f>SUM('F13-Year(n)'!K121:P121)</f>
        <v>0</v>
      </c>
      <c r="K122" s="147">
        <f t="shared" si="6"/>
        <v>0</v>
      </c>
      <c r="L122" s="147">
        <f>'F13-Year(n+1)'!Q123</f>
        <v>2655.20729743284</v>
      </c>
      <c r="M122" s="147">
        <f>'F13-Year(n+2)'!Q123</f>
        <v>2476.05295219342</v>
      </c>
      <c r="N122" s="147">
        <f>'F13-Year(n+3)'!Q123</f>
        <v>3171.28532629762</v>
      </c>
      <c r="O122" s="147">
        <f>'F13-Year(n+4)'!Q123</f>
        <v>3227.17468613232</v>
      </c>
      <c r="P122" s="147">
        <f>'F13-Year(n+5)'!Q123</f>
        <v>3286.77616058794</v>
      </c>
    </row>
    <row r="123" spans="3:16">
      <c r="C123" s="55"/>
      <c r="D123" s="55" t="s">
        <v>412</v>
      </c>
      <c r="E123" s="147">
        <f>'[47]PP Cost'!$M$126</f>
        <v>26.69</v>
      </c>
      <c r="F123" s="752">
        <f>'F13-Year(n-1)'!Q123</f>
        <v>115.84117681833</v>
      </c>
      <c r="G123" s="147"/>
      <c r="H123" s="147">
        <f>'[48]PP Cost'!M130</f>
        <v>11.72</v>
      </c>
      <c r="I123" s="147">
        <f>SUM('F13-Year(n)'!E122:J122)</f>
        <v>0</v>
      </c>
      <c r="J123" s="147">
        <f>SUM('F13-Year(n)'!K122:P122)</f>
        <v>0</v>
      </c>
      <c r="K123" s="147">
        <f t="shared" si="6"/>
        <v>0</v>
      </c>
      <c r="L123" s="147">
        <f>'F13-Year(n+1)'!Q124</f>
        <v>77.7373380300347</v>
      </c>
      <c r="M123" s="147">
        <f>'F13-Year(n+2)'!Q124</f>
        <v>72.1221298571611</v>
      </c>
      <c r="N123" s="147">
        <f>'F13-Year(n+3)'!Q124</f>
        <v>92.3727628339831</v>
      </c>
      <c r="O123" s="147">
        <f>'F13-Year(n+4)'!Q124</f>
        <v>94.0007004207221</v>
      </c>
      <c r="P123" s="147">
        <f>'F13-Year(n+5)'!Q124</f>
        <v>95.7367639716079</v>
      </c>
    </row>
    <row r="124" spans="3:16">
      <c r="C124" s="55"/>
      <c r="D124" s="55" t="s">
        <v>413</v>
      </c>
      <c r="E124" s="147">
        <f>'[47]PP Cost'!$M$127</f>
        <v>114.46</v>
      </c>
      <c r="F124" s="752">
        <f>'F13-Year(n-1)'!Q124</f>
        <v>120.141414141826</v>
      </c>
      <c r="G124" s="147"/>
      <c r="H124" s="147">
        <f>'[48]PP Cost'!M131</f>
        <v>111.64</v>
      </c>
      <c r="I124" s="147">
        <f>SUM('F13-Year(n)'!E123:J123)</f>
        <v>0</v>
      </c>
      <c r="J124" s="147">
        <f>SUM('F13-Year(n)'!K123:P123)</f>
        <v>0</v>
      </c>
      <c r="K124" s="147">
        <f t="shared" si="6"/>
        <v>0</v>
      </c>
      <c r="L124" s="147">
        <f>'F13-Year(n+1)'!Q125</f>
        <v>309.297428262688</v>
      </c>
      <c r="M124" s="147">
        <f>'F13-Year(n+2)'!Q125</f>
        <v>286.959835704927</v>
      </c>
      <c r="N124" s="147">
        <f>'F13-Year(n+3)'!Q125</f>
        <v>367.5331399523</v>
      </c>
      <c r="O124" s="147">
        <f>'F13-Year(n+4)'!Q125</f>
        <v>374.010384916553</v>
      </c>
      <c r="P124" s="147">
        <f>'F13-Year(n+5)'!Q125</f>
        <v>380.917841924855</v>
      </c>
    </row>
    <row r="125" s="748" customFormat="1" spans="3:16">
      <c r="C125" s="750"/>
      <c r="D125" s="750" t="s">
        <v>414</v>
      </c>
      <c r="E125" s="751">
        <f>'[47]PP Cost'!$M$128</f>
        <v>58.03</v>
      </c>
      <c r="F125" s="752">
        <f>'F13-Year(n-1)'!Q125</f>
        <v>49.85828280478</v>
      </c>
      <c r="G125" s="751"/>
      <c r="H125" s="751">
        <f>'[48]PP Cost'!M132</f>
        <v>66.82</v>
      </c>
      <c r="I125" s="147">
        <f>SUM('F13-Year(n)'!E124:J124)</f>
        <v>0</v>
      </c>
      <c r="J125" s="147">
        <f>SUM('F13-Year(n)'!K124:P124)</f>
        <v>0</v>
      </c>
      <c r="K125" s="751">
        <f t="shared" si="6"/>
        <v>0</v>
      </c>
      <c r="L125" s="751">
        <f>'F13-Year(n+1)'!Q126</f>
        <v>268.025839564324</v>
      </c>
      <c r="M125" s="751">
        <f>'F13-Year(n+2)'!Q126</f>
        <v>248.664082137592</v>
      </c>
      <c r="N125" s="751">
        <f>'F13-Year(n+3)'!Q126</f>
        <v>318.484608401303</v>
      </c>
      <c r="O125" s="751">
        <f>'F13-Year(n+4)'!Q126</f>
        <v>324.097443277165</v>
      </c>
      <c r="P125" s="751">
        <f>'F13-Year(n+5)'!Q126</f>
        <v>330.083076955323</v>
      </c>
    </row>
    <row r="126" spans="3:16">
      <c r="C126" s="55"/>
      <c r="D126" s="55" t="s">
        <v>415</v>
      </c>
      <c r="E126" s="147">
        <f>'[47]PP Cost'!$M$129</f>
        <v>0</v>
      </c>
      <c r="F126" s="752">
        <f>'F13-Year(n-1)'!Q126</f>
        <v>0</v>
      </c>
      <c r="G126" s="147"/>
      <c r="H126" s="147">
        <f>'[48]PP Cost'!$M$133</f>
        <v>88.18</v>
      </c>
      <c r="I126" s="147">
        <f>SUM('F13-Year(n)'!E125:J125)</f>
        <v>0</v>
      </c>
      <c r="J126" s="147">
        <f>SUM('F13-Year(n)'!K125:P125)</f>
        <v>0</v>
      </c>
      <c r="K126" s="147">
        <f t="shared" si="6"/>
        <v>0</v>
      </c>
      <c r="L126" s="147">
        <f>'F13-Year(n+1)'!Q127</f>
        <v>637.850635357064</v>
      </c>
      <c r="M126" s="147">
        <f>'F13-Year(n+2)'!Q127</f>
        <v>591.782019049214</v>
      </c>
      <c r="N126" s="147">
        <f>'F13-Year(n+3)'!Q127</f>
        <v>757.944062430111</v>
      </c>
      <c r="O126" s="147">
        <f>'F13-Year(n+4)'!Q127</f>
        <v>771.301740494728</v>
      </c>
      <c r="P126" s="147">
        <f>'F13-Year(n+5)'!Q127</f>
        <v>785.546621994701</v>
      </c>
    </row>
    <row r="127" spans="3:16">
      <c r="C127" s="55"/>
      <c r="D127" s="55" t="s">
        <v>416</v>
      </c>
      <c r="E127" s="147"/>
      <c r="F127" s="752">
        <f>'F13-Year(n-1)'!Q127</f>
        <v>0</v>
      </c>
      <c r="G127" s="147"/>
      <c r="H127" s="147"/>
      <c r="I127" s="147">
        <f>SUM('F13-Year(n)'!E126:J126)</f>
        <v>0</v>
      </c>
      <c r="J127" s="147">
        <f>SUM('F13-Year(n)'!K126:P126)</f>
        <v>0</v>
      </c>
      <c r="K127" s="147">
        <f t="shared" si="6"/>
        <v>0</v>
      </c>
      <c r="L127" s="147">
        <f>'F13-Year(n+1)'!Q128</f>
        <v>0</v>
      </c>
      <c r="M127" s="147">
        <f>'F13-Year(n+2)'!Q128</f>
        <v>0</v>
      </c>
      <c r="N127" s="147">
        <f>'F13-Year(n+3)'!Q128</f>
        <v>0</v>
      </c>
      <c r="O127" s="147">
        <f>'F13-Year(n+4)'!Q128</f>
        <v>0</v>
      </c>
      <c r="P127" s="147">
        <f>'F13-Year(n+5)'!Q128</f>
        <v>0</v>
      </c>
    </row>
    <row r="128" spans="3:16">
      <c r="C128" s="55"/>
      <c r="D128" s="55" t="s">
        <v>417</v>
      </c>
      <c r="E128" s="147"/>
      <c r="F128" s="752">
        <f>'F13-Year(n-1)'!Q128</f>
        <v>0</v>
      </c>
      <c r="G128" s="147"/>
      <c r="H128" s="147">
        <f>'[48]PP Cost'!M134</f>
        <v>208.79</v>
      </c>
      <c r="I128" s="147">
        <f>SUM('F13-Year(n)'!E127:J127)</f>
        <v>0</v>
      </c>
      <c r="J128" s="147">
        <f>SUM('F13-Year(n)'!K127:P127)</f>
        <v>0</v>
      </c>
      <c r="K128" s="147">
        <f t="shared" si="6"/>
        <v>0</v>
      </c>
      <c r="L128" s="147">
        <f>'F13-Year(n+1)'!Q129</f>
        <v>779.653685212287</v>
      </c>
      <c r="M128" s="147">
        <f>'F13-Year(n+2)'!Q129</f>
        <v>723.349140255951</v>
      </c>
      <c r="N128" s="147">
        <f>'F13-Year(n+3)'!Q129</f>
        <v>926.452930762889</v>
      </c>
      <c r="O128" s="147">
        <f>'F13-Year(n+4)'!Q129</f>
        <v>942.780336180479</v>
      </c>
      <c r="P128" s="147">
        <f>'F13-Year(n+5)'!Q129</f>
        <v>960.192191313571</v>
      </c>
    </row>
    <row r="129" spans="3:16">
      <c r="C129" s="55"/>
      <c r="D129" s="55" t="s">
        <v>418</v>
      </c>
      <c r="E129" s="147"/>
      <c r="F129" s="752">
        <f>'F13-Year(n-1)'!Q129</f>
        <v>0</v>
      </c>
      <c r="G129" s="147"/>
      <c r="H129" s="147">
        <f>'[48]PP Cost'!M135</f>
        <v>148.44</v>
      </c>
      <c r="I129" s="147">
        <f>SUM('F13-Year(n)'!E128:J128)</f>
        <v>0</v>
      </c>
      <c r="J129" s="147">
        <f>SUM('F13-Year(n)'!K128:P128)</f>
        <v>0</v>
      </c>
      <c r="K129" s="147">
        <f t="shared" si="6"/>
        <v>0</v>
      </c>
      <c r="L129" s="147">
        <f>'F13-Year(n+1)'!Q130</f>
        <v>399.002818546492</v>
      </c>
      <c r="M129" s="147">
        <f>'F13-Year(n+2)'!Q130</f>
        <v>370.177244105538</v>
      </c>
      <c r="N129" s="147">
        <f>'F13-Year(n+3)'!Q130</f>
        <v>474.116541538923</v>
      </c>
      <c r="O129" s="147">
        <f>'F13-Year(n+4)'!Q130</f>
        <v>482.472166235925</v>
      </c>
      <c r="P129" s="147">
        <f>'F13-Year(n+5)'!Q130</f>
        <v>491.382763054568</v>
      </c>
    </row>
    <row r="130" spans="3:16">
      <c r="C130" s="55"/>
      <c r="D130" s="687" t="s">
        <v>419</v>
      </c>
      <c r="E130" s="147"/>
      <c r="F130" s="752">
        <f>'F13-Year(n-1)'!Q130</f>
        <v>13.0897319066408</v>
      </c>
      <c r="G130" s="147"/>
      <c r="H130" s="147"/>
      <c r="I130" s="147">
        <f>SUM('F13-Year(n)'!E129:J129)</f>
        <v>0</v>
      </c>
      <c r="J130" s="147">
        <f>SUM('F13-Year(n)'!K129:P129)</f>
        <v>0</v>
      </c>
      <c r="K130" s="147">
        <f t="shared" si="6"/>
        <v>0</v>
      </c>
      <c r="L130" s="147">
        <f>'F13-Year(n+1)'!Q131</f>
        <v>0</v>
      </c>
      <c r="M130" s="147">
        <f>'F13-Year(n+2)'!Q131</f>
        <v>0</v>
      </c>
      <c r="N130" s="147">
        <f>'F13-Year(n+3)'!Q131</f>
        <v>0</v>
      </c>
      <c r="O130" s="147">
        <f>'F13-Year(n+4)'!Q131</f>
        <v>0</v>
      </c>
      <c r="P130" s="147">
        <f>'F13-Year(n+5)'!Q131</f>
        <v>0</v>
      </c>
    </row>
    <row r="131" spans="3:16">
      <c r="C131" s="55"/>
      <c r="D131" s="687" t="s">
        <v>420</v>
      </c>
      <c r="E131" s="147"/>
      <c r="F131" s="752">
        <f>'F13-Year(n-1)'!Q131</f>
        <v>23.14071855355</v>
      </c>
      <c r="G131" s="147"/>
      <c r="H131" s="147"/>
      <c r="I131" s="147">
        <f>SUM('F13-Year(n)'!E130:J130)</f>
        <v>0</v>
      </c>
      <c r="J131" s="147">
        <f>SUM('F13-Year(n)'!K130:P130)</f>
        <v>0</v>
      </c>
      <c r="K131" s="147">
        <f t="shared" si="6"/>
        <v>0</v>
      </c>
      <c r="L131" s="147">
        <f>'F13-Year(n+1)'!Q132</f>
        <v>0</v>
      </c>
      <c r="M131" s="147">
        <f>'F13-Year(n+2)'!Q132</f>
        <v>0</v>
      </c>
      <c r="N131" s="147">
        <f>'F13-Year(n+3)'!Q132</f>
        <v>0</v>
      </c>
      <c r="O131" s="147">
        <f>'F13-Year(n+4)'!Q132</f>
        <v>0</v>
      </c>
      <c r="P131" s="147">
        <f>'F13-Year(n+5)'!Q132</f>
        <v>0</v>
      </c>
    </row>
    <row r="132" spans="3:16">
      <c r="C132" s="55"/>
      <c r="D132" s="55" t="s">
        <v>499</v>
      </c>
      <c r="E132" s="147"/>
      <c r="F132" s="752">
        <f>'F13-Year(n-1)'!Q133</f>
        <v>0</v>
      </c>
      <c r="G132" s="147"/>
      <c r="H132" s="147"/>
      <c r="I132" s="147">
        <f>SUM('F13-Year(n)'!E131:J131)</f>
        <v>1893.18305473332</v>
      </c>
      <c r="J132" s="147">
        <f>SUM('F13-Year(n)'!K131:P131)</f>
        <v>1875.42948481906</v>
      </c>
      <c r="K132" s="147">
        <f t="shared" si="6"/>
        <v>3768.61253955237</v>
      </c>
      <c r="L132" s="147">
        <f>'F13-Year(n+1)'!Q133</f>
        <v>0</v>
      </c>
      <c r="M132" s="147">
        <f>'F13-Year(n+2)'!Q133</f>
        <v>0</v>
      </c>
      <c r="N132" s="147">
        <f>'F13-Year(n+3)'!Q133</f>
        <v>0</v>
      </c>
      <c r="O132" s="147">
        <f>'F13-Year(n+4)'!Q133</f>
        <v>0</v>
      </c>
      <c r="P132" s="147">
        <f>'F13-Year(n+5)'!Q133</f>
        <v>0</v>
      </c>
    </row>
    <row r="133" spans="3:19">
      <c r="C133" s="55"/>
      <c r="D133" s="55"/>
      <c r="E133" s="147"/>
      <c r="F133" s="752">
        <f>'F13-Year(n-1)'!Q134</f>
        <v>0</v>
      </c>
      <c r="G133" s="147"/>
      <c r="H133" s="147"/>
      <c r="I133" s="147">
        <f>SUM('F13-Year(n)'!E132:J132)</f>
        <v>0</v>
      </c>
      <c r="J133" s="147">
        <f>SUM('F13-Year(n)'!K132:P132)</f>
        <v>0</v>
      </c>
      <c r="K133" s="147">
        <f t="shared" si="6"/>
        <v>0</v>
      </c>
      <c r="L133" s="147">
        <f>'F13-Year(n+1)'!Q134</f>
        <v>0</v>
      </c>
      <c r="M133" s="147">
        <f>'F13-Year(n+2)'!Q134</f>
        <v>0</v>
      </c>
      <c r="N133" s="147">
        <f>'F13-Year(n+3)'!Q134</f>
        <v>0</v>
      </c>
      <c r="O133" s="147">
        <f>'F13-Year(n+4)'!Q134</f>
        <v>0</v>
      </c>
      <c r="P133" s="147">
        <f>'F13-Year(n+5)'!Q134</f>
        <v>0</v>
      </c>
      <c r="S133" s="12">
        <f>SUM(P139)</f>
        <v>0</v>
      </c>
    </row>
    <row r="134" spans="3:16">
      <c r="C134" s="55"/>
      <c r="D134" s="55"/>
      <c r="E134" s="147"/>
      <c r="F134" s="752">
        <f>'F13-Year(n-1)'!Q135</f>
        <v>0</v>
      </c>
      <c r="G134" s="147"/>
      <c r="H134" s="147"/>
      <c r="I134" s="147">
        <f>SUM('F13-Year(n)'!E133:J133)</f>
        <v>0</v>
      </c>
      <c r="J134" s="147">
        <f>SUM('F13-Year(n)'!K133:P133)</f>
        <v>0</v>
      </c>
      <c r="K134" s="147">
        <f t="shared" si="6"/>
        <v>0</v>
      </c>
      <c r="L134" s="147">
        <f>'F13-Year(n+1)'!Q135</f>
        <v>0</v>
      </c>
      <c r="M134" s="147">
        <f>'F13-Year(n+2)'!Q135</f>
        <v>0</v>
      </c>
      <c r="N134" s="147">
        <f>'F13-Year(n+3)'!Q135</f>
        <v>0</v>
      </c>
      <c r="O134" s="147">
        <f>'F13-Year(n+4)'!Q135</f>
        <v>0</v>
      </c>
      <c r="P134" s="147">
        <f>'F13-Year(n+5)'!Q135</f>
        <v>0</v>
      </c>
    </row>
    <row r="135" spans="3:16">
      <c r="C135" s="55"/>
      <c r="D135" s="55"/>
      <c r="E135" s="147"/>
      <c r="F135" s="752">
        <f>'F13-Year(n-1)'!Q136</f>
        <v>0</v>
      </c>
      <c r="G135" s="147"/>
      <c r="H135" s="147"/>
      <c r="I135" s="147">
        <f>SUM('F13-Year(n)'!E134:J134)</f>
        <v>0</v>
      </c>
      <c r="J135" s="147">
        <f>SUM('F13-Year(n)'!K134:P134)</f>
        <v>0</v>
      </c>
      <c r="K135" s="147">
        <f t="shared" si="6"/>
        <v>0</v>
      </c>
      <c r="L135" s="147">
        <f>'F13-Year(n+1)'!Q136</f>
        <v>0</v>
      </c>
      <c r="M135" s="147">
        <f>'F13-Year(n+2)'!Q136</f>
        <v>0</v>
      </c>
      <c r="N135" s="147">
        <f>'F13-Year(n+3)'!Q136</f>
        <v>0</v>
      </c>
      <c r="O135" s="147">
        <f>'F13-Year(n+4)'!Q136</f>
        <v>0</v>
      </c>
      <c r="P135" s="147">
        <f>'F13-Year(n+5)'!Q136</f>
        <v>0</v>
      </c>
    </row>
    <row r="136" spans="3:16">
      <c r="C136" s="55"/>
      <c r="D136" s="55"/>
      <c r="E136" s="147"/>
      <c r="F136" s="752">
        <f>'F13-Year(n-1)'!Q137</f>
        <v>0</v>
      </c>
      <c r="G136" s="147"/>
      <c r="H136" s="147"/>
      <c r="I136" s="147">
        <f>SUM('F13-Year(n)'!E135:J135)</f>
        <v>0</v>
      </c>
      <c r="J136" s="147">
        <f>SUM('F13-Year(n)'!K135:P135)</f>
        <v>0</v>
      </c>
      <c r="K136" s="147">
        <f t="shared" si="6"/>
        <v>0</v>
      </c>
      <c r="L136" s="147">
        <f>'F13-Year(n+1)'!Q137</f>
        <v>0</v>
      </c>
      <c r="M136" s="147">
        <f>'F13-Year(n+2)'!Q137</f>
        <v>0</v>
      </c>
      <c r="N136" s="147">
        <f>'F13-Year(n+3)'!Q137</f>
        <v>0</v>
      </c>
      <c r="O136" s="147">
        <f>'F13-Year(n+4)'!Q137</f>
        <v>0</v>
      </c>
      <c r="P136" s="147">
        <f>'F13-Year(n+5)'!Q137</f>
        <v>0</v>
      </c>
    </row>
    <row r="137" spans="3:16">
      <c r="C137" s="55"/>
      <c r="D137" s="55"/>
      <c r="E137" s="147"/>
      <c r="F137" s="752">
        <f>'F13-Year(n-1)'!Q138</f>
        <v>0</v>
      </c>
      <c r="G137" s="147"/>
      <c r="H137" s="147"/>
      <c r="I137" s="147">
        <f>SUM('F13-Year(n)'!E136:J136)</f>
        <v>0</v>
      </c>
      <c r="J137" s="147">
        <f>SUM('F13-Year(n)'!K136:P136)</f>
        <v>0</v>
      </c>
      <c r="K137" s="147">
        <f t="shared" si="6"/>
        <v>0</v>
      </c>
      <c r="L137" s="147">
        <f>'F13-Year(n+1)'!Q138</f>
        <v>0</v>
      </c>
      <c r="M137" s="147">
        <f>'F13-Year(n+2)'!Q138</f>
        <v>0</v>
      </c>
      <c r="N137" s="147">
        <f>'F13-Year(n+3)'!Q138</f>
        <v>0</v>
      </c>
      <c r="O137" s="147">
        <f>'F13-Year(n+4)'!Q138</f>
        <v>0</v>
      </c>
      <c r="P137" s="147">
        <f>'F13-Year(n+5)'!Q138</f>
        <v>0</v>
      </c>
    </row>
    <row r="138" spans="3:16">
      <c r="C138" s="55"/>
      <c r="D138" s="55"/>
      <c r="E138" s="147"/>
      <c r="F138" s="752">
        <f>'F13-Year(n-1)'!Q139</f>
        <v>0</v>
      </c>
      <c r="G138" s="147"/>
      <c r="H138" s="147"/>
      <c r="I138" s="147">
        <f>SUM('F13-Year(n)'!E137:J137)</f>
        <v>0</v>
      </c>
      <c r="J138" s="147">
        <f>SUM('F13-Year(n)'!K137:P137)</f>
        <v>0</v>
      </c>
      <c r="K138" s="147">
        <f t="shared" si="6"/>
        <v>0</v>
      </c>
      <c r="L138" s="147">
        <f>'F13-Year(n+1)'!Q139</f>
        <v>0</v>
      </c>
      <c r="M138" s="147">
        <f>'F13-Year(n+2)'!Q139</f>
        <v>0</v>
      </c>
      <c r="N138" s="147">
        <f>'F13-Year(n+3)'!Q139</f>
        <v>0</v>
      </c>
      <c r="O138" s="147">
        <f>'F13-Year(n+4)'!Q139</f>
        <v>0</v>
      </c>
      <c r="P138" s="147">
        <f>'F13-Year(n+5)'!Q139</f>
        <v>0</v>
      </c>
    </row>
    <row r="139" spans="3:16">
      <c r="C139" s="55"/>
      <c r="D139" s="55"/>
      <c r="E139" s="147"/>
      <c r="F139" s="752">
        <f>'F13-Year(n-1)'!Q140</f>
        <v>1312.07077408942</v>
      </c>
      <c r="G139" s="147"/>
      <c r="H139" s="147"/>
      <c r="I139" s="147">
        <f>SUM('F13-Year(n)'!E138:J138)</f>
        <v>0</v>
      </c>
      <c r="J139" s="147">
        <f>SUM('F13-Year(n)'!K138:P138)</f>
        <v>0</v>
      </c>
      <c r="K139" s="147">
        <f t="shared" si="6"/>
        <v>0</v>
      </c>
      <c r="L139" s="147">
        <f>'F13-Year(n+1)'!Q140</f>
        <v>0</v>
      </c>
      <c r="M139" s="147">
        <f>'F13-Year(n+2)'!Q140</f>
        <v>0</v>
      </c>
      <c r="N139" s="147">
        <f>'F13-Year(n+3)'!Q140</f>
        <v>0</v>
      </c>
      <c r="O139" s="147">
        <f>'F13-Year(n+4)'!Q140</f>
        <v>0</v>
      </c>
      <c r="P139" s="147">
        <f>'F13-Year(n+5)'!Q140</f>
        <v>0</v>
      </c>
    </row>
    <row r="140" ht="15" spans="3:16">
      <c r="C140" s="44" t="s">
        <v>421</v>
      </c>
      <c r="D140" s="45"/>
      <c r="E140" s="316">
        <f>SUM(E116:E139)</f>
        <v>1295.06</v>
      </c>
      <c r="F140" s="316">
        <f>SUM(F116:F139)</f>
        <v>2624.14154817885</v>
      </c>
      <c r="G140" s="316">
        <f>F140-E140</f>
        <v>1329.08154817885</v>
      </c>
      <c r="H140" s="316">
        <f>SUM(H116:H139)</f>
        <v>1587.25</v>
      </c>
      <c r="I140" s="316">
        <f>SUM(I116:I139)</f>
        <v>1893.18305473332</v>
      </c>
      <c r="J140" s="316">
        <f>SUM(J116:J139)</f>
        <v>1875.42948481906</v>
      </c>
      <c r="K140" s="316">
        <f t="shared" si="6"/>
        <v>3768.61253955237</v>
      </c>
      <c r="L140" s="316">
        <f>'F13-Year(n+1)'!Q141</f>
        <v>5351.75022858495</v>
      </c>
      <c r="M140" s="316" t="e">
        <f>'F13-Year(n+2)'!Q141</f>
        <v>#VALUE!</v>
      </c>
      <c r="N140" s="316">
        <f>'F13-Year(n+3)'!Q141</f>
        <v>6108.61336713263</v>
      </c>
      <c r="O140" s="316">
        <f>'F13-Year(n+4)'!Q141</f>
        <v>6441.21451354006</v>
      </c>
      <c r="P140" s="316">
        <f>'F13-Year(n+5)'!Q141</f>
        <v>6563.71893546259</v>
      </c>
    </row>
    <row r="141" ht="15" spans="3:16">
      <c r="C141" s="663" t="s">
        <v>422</v>
      </c>
      <c r="D141" s="676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</row>
    <row r="142" spans="3:16">
      <c r="C142" s="55"/>
      <c r="D142" s="312" t="s">
        <v>500</v>
      </c>
      <c r="E142" s="147">
        <f>'[47]PP Cost'!$M$136</f>
        <v>210.835495</v>
      </c>
      <c r="F142" s="752">
        <f>'F13-Year(n-1)'!Q142</f>
        <v>1809.20043226916</v>
      </c>
      <c r="G142" s="147"/>
      <c r="H142" s="147">
        <f>'[48]PP Cost'!$M$141</f>
        <v>154.3674737</v>
      </c>
      <c r="I142" s="147">
        <f>SUM('F13-Year(n)'!E141:J141)</f>
        <v>0</v>
      </c>
      <c r="J142" s="147">
        <f>SUM('F13-Year(n)'!K141:P141)</f>
        <v>0</v>
      </c>
      <c r="K142" s="147">
        <f t="shared" ref="K142:K166" si="7">I142+J142</f>
        <v>0</v>
      </c>
      <c r="L142" s="147">
        <f>'F13-Year(n+1)'!Q143</f>
        <v>347.778966824018</v>
      </c>
      <c r="M142" s="147" t="e">
        <f>'F13-Year(n+2)'!Q143</f>
        <v>#REF!</v>
      </c>
      <c r="N142" s="147">
        <f>'F13-Year(n+3)'!Q143</f>
        <v>492.593892357279</v>
      </c>
      <c r="O142" s="147">
        <f>'F13-Year(n+4)'!Q143</f>
        <v>1561.75343423632</v>
      </c>
      <c r="P142" s="147">
        <f>'F13-Year(n+5)'!Q143</f>
        <v>3169.4527366912</v>
      </c>
    </row>
    <row r="143" spans="3:16">
      <c r="C143" s="55"/>
      <c r="D143" s="312" t="s">
        <v>501</v>
      </c>
      <c r="E143" s="147"/>
      <c r="F143" s="752">
        <f>'F13-Year(n-1)'!Q143</f>
        <v>0</v>
      </c>
      <c r="G143" s="147"/>
      <c r="H143" s="147"/>
      <c r="I143" s="147">
        <f>SUM('F13-Year(n)'!E142:J142)</f>
        <v>0</v>
      </c>
      <c r="J143" s="147">
        <f>SUM('F13-Year(n)'!K142:P142)</f>
        <v>0</v>
      </c>
      <c r="K143" s="147">
        <f t="shared" si="7"/>
        <v>0</v>
      </c>
      <c r="L143" s="147">
        <f>'F13-Year(n+1)'!Q145</f>
        <v>-2767.58097418909</v>
      </c>
      <c r="M143" s="147" t="e">
        <f>'F13-Year(n+2)'!Q144</f>
        <v>#REF!</v>
      </c>
      <c r="N143" s="147">
        <f>'F13-Year(n+3)'!Q144</f>
        <v>0</v>
      </c>
      <c r="O143" s="147">
        <f>'F13-Year(n+4)'!Q144</f>
        <v>0</v>
      </c>
      <c r="P143" s="147">
        <f>'F13-Year(n+5)'!Q144</f>
        <v>0</v>
      </c>
    </row>
    <row r="144" spans="3:16">
      <c r="C144" s="55"/>
      <c r="D144" s="55"/>
      <c r="E144" s="147"/>
      <c r="F144" s="752">
        <f>'F13-Year(n-1)'!Q144</f>
        <v>0</v>
      </c>
      <c r="G144" s="147"/>
      <c r="H144" s="147"/>
      <c r="I144" s="147">
        <f>SUM('F13-Year(n)'!E143:J143)</f>
        <v>0</v>
      </c>
      <c r="J144" s="147">
        <f>SUM('F13-Year(n)'!K143:P143)</f>
        <v>0</v>
      </c>
      <c r="K144" s="147">
        <f t="shared" si="7"/>
        <v>0</v>
      </c>
      <c r="L144" s="147">
        <f>'F13-Year(n+1)'!Q146</f>
        <v>0</v>
      </c>
      <c r="M144" s="147">
        <f>'F13-Year(n+2)'!Q145</f>
        <v>0</v>
      </c>
      <c r="N144" s="147">
        <f>'F13-Year(n+3)'!Q145</f>
        <v>0</v>
      </c>
      <c r="O144" s="147">
        <f>'F13-Year(n+4)'!Q145</f>
        <v>0</v>
      </c>
      <c r="P144" s="147">
        <f>'F13-Year(n+5)'!Q145</f>
        <v>0</v>
      </c>
    </row>
    <row r="145" spans="3:16">
      <c r="C145" s="55"/>
      <c r="D145" s="55"/>
      <c r="E145" s="147"/>
      <c r="F145" s="752">
        <f>'F13-Year(n-1)'!Q145</f>
        <v>0</v>
      </c>
      <c r="G145" s="147"/>
      <c r="H145" s="147"/>
      <c r="I145" s="147">
        <f>SUM('F13-Year(n)'!E144:J144)</f>
        <v>0</v>
      </c>
      <c r="J145" s="147">
        <f>SUM('F13-Year(n)'!K144:P144)</f>
        <v>0</v>
      </c>
      <c r="K145" s="147">
        <f t="shared" si="7"/>
        <v>0</v>
      </c>
      <c r="L145" s="147">
        <f>'F13-Year(n+1)'!Q147</f>
        <v>0</v>
      </c>
      <c r="M145" s="147">
        <f>'F13-Year(n+2)'!Q146</f>
        <v>0</v>
      </c>
      <c r="N145" s="147">
        <f>'F13-Year(n+3)'!Q146</f>
        <v>0</v>
      </c>
      <c r="O145" s="147">
        <f>'F13-Year(n+4)'!Q146</f>
        <v>0</v>
      </c>
      <c r="P145" s="147">
        <f>'F13-Year(n+5)'!Q146</f>
        <v>0</v>
      </c>
    </row>
    <row r="146" spans="3:16">
      <c r="C146" s="55"/>
      <c r="D146" s="55"/>
      <c r="E146" s="147"/>
      <c r="F146" s="752">
        <f>'F13-Year(n-1)'!Q146</f>
        <v>0</v>
      </c>
      <c r="G146" s="147"/>
      <c r="H146" s="147"/>
      <c r="I146" s="147">
        <f>SUM('F13-Year(n)'!E145:J145)</f>
        <v>0</v>
      </c>
      <c r="J146" s="147">
        <f>SUM('F13-Year(n)'!K145:P145)</f>
        <v>0</v>
      </c>
      <c r="K146" s="147">
        <f t="shared" si="7"/>
        <v>0</v>
      </c>
      <c r="L146" s="147">
        <f>'F13-Year(n+1)'!Q148</f>
        <v>0</v>
      </c>
      <c r="M146" s="147">
        <f>'F13-Year(n+2)'!Q147</f>
        <v>0</v>
      </c>
      <c r="N146" s="147">
        <f>'F13-Year(n+3)'!Q147</f>
        <v>0</v>
      </c>
      <c r="O146" s="147">
        <f>'F13-Year(n+4)'!Q147</f>
        <v>0</v>
      </c>
      <c r="P146" s="147">
        <f>'F13-Year(n+5)'!Q147</f>
        <v>0</v>
      </c>
    </row>
    <row r="147" spans="3:16">
      <c r="C147" s="55"/>
      <c r="D147" s="679" t="s">
        <v>502</v>
      </c>
      <c r="E147" s="147"/>
      <c r="F147" s="752">
        <f>'F13-Year(n-1)'!Q147</f>
        <v>714.91264224235</v>
      </c>
      <c r="G147" s="147"/>
      <c r="H147" s="147"/>
      <c r="I147" s="147">
        <f>SUM('F13-Year(n)'!E146:J146)</f>
        <v>0</v>
      </c>
      <c r="J147" s="147">
        <f>SUM('F13-Year(n)'!K146:P146)</f>
        <v>0</v>
      </c>
      <c r="K147" s="147">
        <f t="shared" si="7"/>
        <v>0</v>
      </c>
      <c r="L147" s="147"/>
      <c r="M147" s="147"/>
      <c r="N147" s="147"/>
      <c r="O147" s="147"/>
      <c r="P147" s="147"/>
    </row>
    <row r="148" spans="3:16">
      <c r="C148" s="55"/>
      <c r="D148" s="679" t="s">
        <v>503</v>
      </c>
      <c r="E148" s="147"/>
      <c r="F148" s="752">
        <f>'F13-Year(n-1)'!Q148</f>
        <v>1.3792174784</v>
      </c>
      <c r="G148" s="147"/>
      <c r="H148" s="147"/>
      <c r="I148" s="147">
        <f>SUM('F13-Year(n)'!E147:J147)</f>
        <v>0</v>
      </c>
      <c r="J148" s="147">
        <f>SUM('F13-Year(n)'!K147:P147)</f>
        <v>0</v>
      </c>
      <c r="K148" s="147">
        <f t="shared" si="7"/>
        <v>0</v>
      </c>
      <c r="L148" s="147"/>
      <c r="M148" s="147"/>
      <c r="N148" s="147"/>
      <c r="O148" s="147"/>
      <c r="P148" s="147"/>
    </row>
    <row r="149" spans="3:16">
      <c r="C149" s="55"/>
      <c r="D149" s="688" t="s">
        <v>504</v>
      </c>
      <c r="E149" s="147"/>
      <c r="F149" s="752">
        <f>'F13-Year(n-1)'!Q149</f>
        <v>32.2109077555</v>
      </c>
      <c r="G149" s="147"/>
      <c r="H149" s="147"/>
      <c r="I149" s="147">
        <f>SUM('F13-Year(n)'!E148:J148)</f>
        <v>0</v>
      </c>
      <c r="J149" s="147">
        <f>SUM('F13-Year(n)'!K148:P148)</f>
        <v>0</v>
      </c>
      <c r="K149" s="147">
        <f t="shared" si="7"/>
        <v>0</v>
      </c>
      <c r="L149" s="147"/>
      <c r="M149" s="147"/>
      <c r="N149" s="147"/>
      <c r="O149" s="147"/>
      <c r="P149" s="147"/>
    </row>
    <row r="150" spans="3:16">
      <c r="C150" s="55"/>
      <c r="D150" s="679" t="s">
        <v>505</v>
      </c>
      <c r="E150" s="147"/>
      <c r="F150" s="752">
        <f>'F13-Year(n-1)'!Q150</f>
        <v>9.5858769904</v>
      </c>
      <c r="G150" s="147"/>
      <c r="H150" s="147"/>
      <c r="I150" s="147">
        <f>SUM('F13-Year(n)'!E149:J149)</f>
        <v>0</v>
      </c>
      <c r="J150" s="147">
        <f>SUM('F13-Year(n)'!K149:P149)</f>
        <v>0</v>
      </c>
      <c r="K150" s="147">
        <f t="shared" si="7"/>
        <v>0</v>
      </c>
      <c r="L150" s="147"/>
      <c r="M150" s="147"/>
      <c r="N150" s="147"/>
      <c r="O150" s="147"/>
      <c r="P150" s="147"/>
    </row>
    <row r="151" spans="3:16">
      <c r="C151" s="55"/>
      <c r="D151" s="679" t="s">
        <v>506</v>
      </c>
      <c r="E151" s="147"/>
      <c r="F151" s="752">
        <f>'F13-Year(n-1)'!Q151</f>
        <v>-2.86428199695</v>
      </c>
      <c r="G151" s="147"/>
      <c r="H151" s="147"/>
      <c r="I151" s="147">
        <f>SUM('F13-Year(n)'!E150:J150)</f>
        <v>0</v>
      </c>
      <c r="J151" s="147">
        <f>SUM('F13-Year(n)'!K150:P150)</f>
        <v>0</v>
      </c>
      <c r="K151" s="147">
        <f t="shared" si="7"/>
        <v>0</v>
      </c>
      <c r="L151" s="147"/>
      <c r="M151" s="147"/>
      <c r="N151" s="147"/>
      <c r="O151" s="147"/>
      <c r="P151" s="147"/>
    </row>
    <row r="152" spans="3:16">
      <c r="C152" s="55"/>
      <c r="D152" s="679" t="s">
        <v>507</v>
      </c>
      <c r="E152" s="147"/>
      <c r="F152" s="752">
        <f>'F13-Year(n-1)'!Q152</f>
        <v>1.204791597288</v>
      </c>
      <c r="G152" s="147"/>
      <c r="H152" s="147"/>
      <c r="I152" s="147">
        <f>SUM('F13-Year(n)'!E151:J151)</f>
        <v>0</v>
      </c>
      <c r="J152" s="147">
        <f>SUM('F13-Year(n)'!K151:P151)</f>
        <v>0</v>
      </c>
      <c r="K152" s="147">
        <f t="shared" si="7"/>
        <v>0</v>
      </c>
      <c r="L152" s="147"/>
      <c r="M152" s="147"/>
      <c r="N152" s="147"/>
      <c r="O152" s="147"/>
      <c r="P152" s="147"/>
    </row>
    <row r="153" spans="3:16">
      <c r="C153" s="55"/>
      <c r="D153" s="679" t="s">
        <v>508</v>
      </c>
      <c r="E153" s="147"/>
      <c r="F153" s="752">
        <f>'F13-Year(n-1)'!Q153</f>
        <v>1005.9486699</v>
      </c>
      <c r="G153" s="147"/>
      <c r="H153" s="147"/>
      <c r="I153" s="147">
        <f>SUM('F13-Year(n)'!E152:J152)</f>
        <v>0</v>
      </c>
      <c r="J153" s="147">
        <f>SUM('F13-Year(n)'!K152:P152)</f>
        <v>0</v>
      </c>
      <c r="K153" s="147">
        <f t="shared" si="7"/>
        <v>0</v>
      </c>
      <c r="L153" s="147"/>
      <c r="M153" s="147"/>
      <c r="N153" s="147"/>
      <c r="O153" s="147"/>
      <c r="P153" s="147"/>
    </row>
    <row r="154" spans="3:16">
      <c r="C154" s="55"/>
      <c r="D154" s="679" t="s">
        <v>509</v>
      </c>
      <c r="E154" s="147"/>
      <c r="F154" s="752">
        <f>'F13-Year(n-1)'!Q154</f>
        <v>13.2356788</v>
      </c>
      <c r="G154" s="147"/>
      <c r="H154" s="147"/>
      <c r="I154" s="147">
        <f>SUM('F13-Year(n)'!E153:J153)</f>
        <v>0</v>
      </c>
      <c r="J154" s="147">
        <f>SUM('F13-Year(n)'!K153:P153)</f>
        <v>0</v>
      </c>
      <c r="K154" s="147">
        <f t="shared" si="7"/>
        <v>0</v>
      </c>
      <c r="L154" s="147"/>
      <c r="M154" s="147"/>
      <c r="N154" s="147"/>
      <c r="O154" s="147"/>
      <c r="P154" s="147"/>
    </row>
    <row r="155" spans="3:16">
      <c r="C155" s="55"/>
      <c r="D155" s="679" t="s">
        <v>510</v>
      </c>
      <c r="E155" s="147"/>
      <c r="F155" s="752">
        <f>'F13-Year(n-1)'!Q155</f>
        <v>-2.6582839884</v>
      </c>
      <c r="G155" s="147"/>
      <c r="H155" s="147"/>
      <c r="I155" s="147">
        <f>SUM('F13-Year(n)'!E154:J154)</f>
        <v>0</v>
      </c>
      <c r="J155" s="147">
        <f>SUM('F13-Year(n)'!K154:P154)</f>
        <v>0</v>
      </c>
      <c r="K155" s="147">
        <f t="shared" si="7"/>
        <v>0</v>
      </c>
      <c r="L155" s="147"/>
      <c r="M155" s="147"/>
      <c r="N155" s="147"/>
      <c r="O155" s="147"/>
      <c r="P155" s="147"/>
    </row>
    <row r="156" spans="3:16">
      <c r="C156" s="55"/>
      <c r="D156" s="679" t="s">
        <v>511</v>
      </c>
      <c r="E156" s="147"/>
      <c r="F156" s="752">
        <f>'F13-Year(n-1)'!Q156</f>
        <v>22.0675608348978</v>
      </c>
      <c r="G156" s="147"/>
      <c r="H156" s="147"/>
      <c r="I156" s="147">
        <f>SUM('F13-Year(n)'!E155:J155)</f>
        <v>0</v>
      </c>
      <c r="J156" s="147">
        <f>SUM('F13-Year(n)'!K155:P155)</f>
        <v>0</v>
      </c>
      <c r="K156" s="147">
        <f t="shared" si="7"/>
        <v>0</v>
      </c>
      <c r="L156" s="147"/>
      <c r="M156" s="147"/>
      <c r="N156" s="147"/>
      <c r="O156" s="147"/>
      <c r="P156" s="147"/>
    </row>
    <row r="157" spans="3:16">
      <c r="C157" s="55"/>
      <c r="D157" s="679" t="s">
        <v>512</v>
      </c>
      <c r="E157" s="147"/>
      <c r="F157" s="752">
        <f>'F13-Year(n-1)'!Q157</f>
        <v>0.19106626955</v>
      </c>
      <c r="G157" s="147"/>
      <c r="H157" s="147"/>
      <c r="I157" s="147">
        <f>SUM('F13-Year(n)'!E156:J156)</f>
        <v>0</v>
      </c>
      <c r="J157" s="147">
        <f>SUM('F13-Year(n)'!K156:P156)</f>
        <v>0</v>
      </c>
      <c r="K157" s="147">
        <f t="shared" si="7"/>
        <v>0</v>
      </c>
      <c r="L157" s="147"/>
      <c r="M157" s="147"/>
      <c r="N157" s="147"/>
      <c r="O157" s="147"/>
      <c r="P157" s="147"/>
    </row>
    <row r="158" spans="3:16">
      <c r="C158" s="55"/>
      <c r="D158" s="55" t="s">
        <v>481</v>
      </c>
      <c r="E158" s="147"/>
      <c r="F158" s="752">
        <f>'F13-Year(n-1)'!Q158</f>
        <v>0</v>
      </c>
      <c r="G158" s="147"/>
      <c r="H158" s="147"/>
      <c r="I158" s="147">
        <f>SUM('F13-Year(n)'!E157:J157)</f>
        <v>2461.08243934926</v>
      </c>
      <c r="J158" s="147">
        <f>SUM('F13-Year(n)'!K157:P157)</f>
        <v>3582.04524089465</v>
      </c>
      <c r="K158" s="147">
        <f t="shared" si="7"/>
        <v>6043.12768024391</v>
      </c>
      <c r="L158" s="147">
        <f>'F13-Year(n+1)'!Q149</f>
        <v>0</v>
      </c>
      <c r="M158" s="147">
        <f>'F13-Year(n+2)'!Q148</f>
        <v>0</v>
      </c>
      <c r="N158" s="147">
        <f>'F13-Year(n+3)'!Q148</f>
        <v>0</v>
      </c>
      <c r="O158" s="147">
        <f>'F13-Year(n+4)'!Q148</f>
        <v>0</v>
      </c>
      <c r="P158" s="147">
        <f>'F13-Year(n+5)'!Q148</f>
        <v>0</v>
      </c>
    </row>
    <row r="159" spans="3:16">
      <c r="C159" s="55"/>
      <c r="D159" s="55"/>
      <c r="E159" s="147"/>
      <c r="F159" s="752">
        <f>'F13-Year(n-1)'!Q159</f>
        <v>0</v>
      </c>
      <c r="G159" s="147"/>
      <c r="H159" s="147"/>
      <c r="I159" s="147">
        <f>SUM('F13-Year(n)'!E158:J158)</f>
        <v>0</v>
      </c>
      <c r="J159" s="147">
        <f>SUM('F13-Year(n)'!K158:P158)</f>
        <v>0</v>
      </c>
      <c r="K159" s="147">
        <f t="shared" si="7"/>
        <v>0</v>
      </c>
      <c r="L159" s="147"/>
      <c r="M159" s="147"/>
      <c r="N159" s="147"/>
      <c r="O159" s="147"/>
      <c r="P159" s="147"/>
    </row>
    <row r="160" spans="3:16">
      <c r="C160" s="55"/>
      <c r="D160" s="55"/>
      <c r="E160" s="147"/>
      <c r="F160" s="752">
        <f>'F13-Year(n-1)'!Q160</f>
        <v>0</v>
      </c>
      <c r="G160" s="147"/>
      <c r="H160" s="147"/>
      <c r="I160" s="147">
        <f>SUM('F13-Year(n)'!E159:J159)</f>
        <v>0</v>
      </c>
      <c r="J160" s="147">
        <f>SUM('F13-Year(n)'!K159:P159)</f>
        <v>0</v>
      </c>
      <c r="K160" s="147">
        <f t="shared" si="7"/>
        <v>0</v>
      </c>
      <c r="L160" s="147"/>
      <c r="M160" s="147"/>
      <c r="N160" s="147"/>
      <c r="O160" s="147"/>
      <c r="P160" s="147"/>
    </row>
    <row r="161" spans="3:16">
      <c r="C161" s="55"/>
      <c r="D161" s="55"/>
      <c r="E161" s="147"/>
      <c r="F161" s="752">
        <f>'F13-Year(n-1)'!Q161</f>
        <v>0</v>
      </c>
      <c r="G161" s="147"/>
      <c r="H161" s="147"/>
      <c r="I161" s="147">
        <f>SUM('F13-Year(n)'!E160:J160)</f>
        <v>0</v>
      </c>
      <c r="J161" s="147">
        <f>SUM('F13-Year(n)'!K160:P160)</f>
        <v>0</v>
      </c>
      <c r="K161" s="147">
        <f t="shared" si="7"/>
        <v>0</v>
      </c>
      <c r="L161" s="147">
        <f>'F13-Year(n+1)'!Q150</f>
        <v>0</v>
      </c>
      <c r="M161" s="147">
        <f>'F13-Year(n+2)'!Q149</f>
        <v>0</v>
      </c>
      <c r="N161" s="147">
        <f>'F13-Year(n+3)'!Q149</f>
        <v>0</v>
      </c>
      <c r="O161" s="147">
        <f>'F13-Year(n+4)'!Q149</f>
        <v>0</v>
      </c>
      <c r="P161" s="147">
        <f>'F13-Year(n+5)'!Q149</f>
        <v>0</v>
      </c>
    </row>
    <row r="162" spans="3:16">
      <c r="C162" s="55"/>
      <c r="D162" s="55"/>
      <c r="E162" s="147"/>
      <c r="F162" s="752">
        <f>'F13-Year(n-1)'!Q162</f>
        <v>0</v>
      </c>
      <c r="G162" s="147"/>
      <c r="H162" s="147"/>
      <c r="I162" s="147">
        <f>SUM('F13-Year(n)'!E161:J161)</f>
        <v>0</v>
      </c>
      <c r="J162" s="147">
        <f>SUM('F13-Year(n)'!K161:P161)</f>
        <v>0</v>
      </c>
      <c r="K162" s="147">
        <f t="shared" si="7"/>
        <v>0</v>
      </c>
      <c r="L162" s="147">
        <f>'F13-Year(n+1)'!Q151</f>
        <v>0</v>
      </c>
      <c r="M162" s="147">
        <f>'F13-Year(n+2)'!Q150</f>
        <v>0</v>
      </c>
      <c r="N162" s="147">
        <f>'F13-Year(n+3)'!Q150</f>
        <v>0</v>
      </c>
      <c r="O162" s="147">
        <f>'F13-Year(n+4)'!Q150</f>
        <v>0</v>
      </c>
      <c r="P162" s="147">
        <f>'F13-Year(n+5)'!Q150</f>
        <v>0</v>
      </c>
    </row>
    <row r="163" spans="3:16">
      <c r="C163" s="55"/>
      <c r="D163" s="55"/>
      <c r="E163" s="147"/>
      <c r="F163" s="752">
        <f>'F13-Year(n-1)'!Q163</f>
        <v>0</v>
      </c>
      <c r="G163" s="147"/>
      <c r="H163" s="147"/>
      <c r="I163" s="147">
        <f>SUM('F13-Year(n)'!E162:J162)</f>
        <v>0</v>
      </c>
      <c r="J163" s="147">
        <f>SUM('F13-Year(n)'!K162:P162)</f>
        <v>0</v>
      </c>
      <c r="K163" s="147">
        <f t="shared" si="7"/>
        <v>0</v>
      </c>
      <c r="L163" s="147">
        <f>'F13-Year(n+1)'!Q152</f>
        <v>0</v>
      </c>
      <c r="M163" s="147">
        <f>'F13-Year(n+2)'!Q151</f>
        <v>0</v>
      </c>
      <c r="N163" s="147">
        <f>'F13-Year(n+3)'!Q151</f>
        <v>0</v>
      </c>
      <c r="O163" s="147">
        <f>'F13-Year(n+4)'!Q151</f>
        <v>0</v>
      </c>
      <c r="P163" s="147">
        <f>'F13-Year(n+5)'!Q151</f>
        <v>0</v>
      </c>
    </row>
    <row r="164" spans="3:16">
      <c r="C164" s="55"/>
      <c r="D164" s="55"/>
      <c r="E164" s="147"/>
      <c r="F164" s="752">
        <f>'F13-Year(n-1)'!Q164</f>
        <v>0</v>
      </c>
      <c r="G164" s="147"/>
      <c r="H164" s="147"/>
      <c r="I164" s="147">
        <f>SUM('F13-Year(n)'!E163:J163)</f>
        <v>0</v>
      </c>
      <c r="J164" s="147">
        <f>SUM('F13-Year(n)'!K163:P163)</f>
        <v>0</v>
      </c>
      <c r="K164" s="147">
        <f t="shared" si="7"/>
        <v>0</v>
      </c>
      <c r="L164" s="147">
        <f>'F13-Year(n+1)'!Q153</f>
        <v>0</v>
      </c>
      <c r="M164" s="147">
        <f>'F13-Year(n+2)'!Q152</f>
        <v>0</v>
      </c>
      <c r="N164" s="147">
        <f>'F13-Year(n+3)'!Q152</f>
        <v>0</v>
      </c>
      <c r="O164" s="147">
        <f>'F13-Year(n+4)'!Q152</f>
        <v>0</v>
      </c>
      <c r="P164" s="147">
        <f>'F13-Year(n+5)'!Q152</f>
        <v>0</v>
      </c>
    </row>
    <row r="165" spans="3:16">
      <c r="C165" s="55"/>
      <c r="D165" s="55"/>
      <c r="E165" s="147"/>
      <c r="F165" s="752">
        <f>'F13-Year(n-1)'!Q165</f>
        <v>0</v>
      </c>
      <c r="G165" s="147"/>
      <c r="H165" s="147"/>
      <c r="I165" s="147">
        <f>SUM('F13-Year(n)'!E164:J164)</f>
        <v>0</v>
      </c>
      <c r="J165" s="147">
        <f>SUM('F13-Year(n)'!K152:P152)</f>
        <v>0</v>
      </c>
      <c r="K165" s="147">
        <f t="shared" si="7"/>
        <v>0</v>
      </c>
      <c r="L165" s="147">
        <f>'F13-Year(n+1)'!Q154</f>
        <v>0</v>
      </c>
      <c r="M165" s="147">
        <f>'F13-Year(n+2)'!Q153</f>
        <v>0</v>
      </c>
      <c r="N165" s="147">
        <f>'F13-Year(n+3)'!Q153</f>
        <v>0</v>
      </c>
      <c r="O165" s="147">
        <f>'F13-Year(n+4)'!Q153</f>
        <v>0</v>
      </c>
      <c r="P165" s="147">
        <f>'F13-Year(n+5)'!Q153</f>
        <v>0</v>
      </c>
    </row>
    <row r="166" ht="15" spans="3:16">
      <c r="C166" s="44" t="s">
        <v>424</v>
      </c>
      <c r="D166" s="45"/>
      <c r="E166" s="316">
        <f>SUM(E142:E165)</f>
        <v>210.835495</v>
      </c>
      <c r="F166" s="316">
        <f>SUM(F142:F165)</f>
        <v>3604.41427815219</v>
      </c>
      <c r="G166" s="316">
        <f>F166-E166</f>
        <v>3393.57878315219</v>
      </c>
      <c r="H166" s="316">
        <f>SUM(H142:H165)</f>
        <v>154.3674737</v>
      </c>
      <c r="I166" s="316">
        <f>SUM(I142:I165)</f>
        <v>2461.08243934926</v>
      </c>
      <c r="J166" s="316">
        <f>SUM(J142:J165)</f>
        <v>3582.04524089465</v>
      </c>
      <c r="K166" s="316">
        <f t="shared" si="7"/>
        <v>6043.12768024391</v>
      </c>
      <c r="L166" s="316">
        <f>SUM(L142:L165)</f>
        <v>-2419.80200736507</v>
      </c>
      <c r="M166" s="316" t="e">
        <f>SUM(M142:M165)</f>
        <v>#REF!</v>
      </c>
      <c r="N166" s="316">
        <f>SUM(N142:N165)</f>
        <v>492.593892357279</v>
      </c>
      <c r="O166" s="316">
        <f>SUM(O142:O165)</f>
        <v>1561.75343423632</v>
      </c>
      <c r="P166" s="316">
        <f>SUM(P142:P165)</f>
        <v>3169.4527366912</v>
      </c>
    </row>
    <row r="167" ht="15" spans="3:16">
      <c r="C167" s="663" t="s">
        <v>425</v>
      </c>
      <c r="D167" s="676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</row>
    <row r="168" spans="3:16">
      <c r="C168" s="55" t="s">
        <v>426</v>
      </c>
      <c r="D168" s="55" t="s">
        <v>427</v>
      </c>
      <c r="E168" s="147">
        <f>'[47]PP Cost'!$M$138</f>
        <v>152.52</v>
      </c>
      <c r="F168" s="752"/>
      <c r="G168" s="147"/>
      <c r="H168" s="147">
        <f>'[48]PP Cost'!M142</f>
        <v>25.39</v>
      </c>
      <c r="I168" s="147">
        <f>SUM('F13-Year(n)'!E167:J167)</f>
        <v>0</v>
      </c>
      <c r="J168" s="147">
        <f>SUM('F13-Year(n)'!K167:P167)</f>
        <v>0</v>
      </c>
      <c r="K168" s="147">
        <f>I168+J168</f>
        <v>0</v>
      </c>
      <c r="L168" s="147">
        <f>'F13-Year(n+1)'!Q176</f>
        <v>655.552825354549</v>
      </c>
      <c r="M168" s="147" t="e">
        <f>'F13-Year(n+2)'!Q175</f>
        <v>#REF!</v>
      </c>
      <c r="N168" s="147">
        <f>'F13-Year(n+3)'!Q175</f>
        <v>1403.55219929638</v>
      </c>
      <c r="O168" s="147">
        <f>'F13-Year(n+4)'!Q175</f>
        <v>1905.12216392021</v>
      </c>
      <c r="P168" s="147">
        <f>'F13-Year(n+5)'!Q175</f>
        <v>2416.46701610101</v>
      </c>
    </row>
    <row r="169" spans="3:16">
      <c r="C169" s="55" t="s">
        <v>426</v>
      </c>
      <c r="D169" s="55" t="s">
        <v>428</v>
      </c>
      <c r="E169" s="147">
        <f>'[47]PP Cost'!$M$139</f>
        <v>-212.64</v>
      </c>
      <c r="F169" s="752"/>
      <c r="G169" s="147"/>
      <c r="H169" s="147">
        <f>'[48]PP Cost'!M143</f>
        <v>-235.3</v>
      </c>
      <c r="I169" s="147">
        <f>SUM('F13-Year(n)'!E168:J168)</f>
        <v>0</v>
      </c>
      <c r="J169" s="147">
        <f>SUM('F13-Year(n)'!K168:P168)</f>
        <v>0</v>
      </c>
      <c r="K169" s="147">
        <f>I169+J169</f>
        <v>0</v>
      </c>
      <c r="L169" s="147"/>
      <c r="M169" s="147" t="e">
        <f>'F13-Year(n+2)'!Q176</f>
        <v>#REF!</v>
      </c>
      <c r="N169" s="147"/>
      <c r="O169" s="147"/>
      <c r="P169" s="147"/>
    </row>
    <row r="170" spans="3:16">
      <c r="C170" s="55"/>
      <c r="D170" s="55"/>
      <c r="E170" s="147">
        <f>'[47]PP Cost'!$M$140</f>
        <v>-476.84</v>
      </c>
      <c r="F170" s="752">
        <f>'F13-Year(n-1)'!Q157</f>
        <v>0.19106626955</v>
      </c>
      <c r="G170" s="147"/>
      <c r="H170" s="147">
        <f>'[48]PP Cost'!M144</f>
        <v>-548.83</v>
      </c>
      <c r="I170" s="147">
        <f>SUM('F13-Year(n)'!E169:J169)</f>
        <v>0</v>
      </c>
      <c r="J170" s="147">
        <f>SUM('F13-Year(n)'!K169:P169)</f>
        <v>0</v>
      </c>
      <c r="K170" s="147">
        <f>I170+J170</f>
        <v>0</v>
      </c>
      <c r="L170" s="147">
        <f>'F13-Year(n+1)'!Q158</f>
        <v>0</v>
      </c>
      <c r="M170" s="147">
        <f>'F13-Year(n+2)'!Q157</f>
        <v>0</v>
      </c>
      <c r="N170" s="147">
        <f>'F13-Year(n+3)'!Q157</f>
        <v>0</v>
      </c>
      <c r="O170" s="147">
        <f>'F13-Year(n+4)'!Q157</f>
        <v>0</v>
      </c>
      <c r="P170" s="147">
        <f>'F13-Year(n+5)'!Q157</f>
        <v>0</v>
      </c>
    </row>
    <row r="171" ht="15" spans="3:16">
      <c r="C171" s="44" t="s">
        <v>429</v>
      </c>
      <c r="D171" s="45"/>
      <c r="E171" s="316">
        <f>E168+E169+E170</f>
        <v>-536.96</v>
      </c>
      <c r="F171" s="316">
        <f>F168+F169+F170</f>
        <v>0.19106626955</v>
      </c>
      <c r="G171" s="316">
        <f>F171-E171</f>
        <v>537.15106626955</v>
      </c>
      <c r="H171" s="316">
        <f>H168+H169+H170</f>
        <v>-758.74</v>
      </c>
      <c r="I171" s="316">
        <f>I168+I169+I170</f>
        <v>0</v>
      </c>
      <c r="J171" s="316">
        <f>J168+J169+J170</f>
        <v>0</v>
      </c>
      <c r="K171" s="316">
        <f>I171+J171</f>
        <v>0</v>
      </c>
      <c r="L171" s="316">
        <f>SUM(L168:L170)</f>
        <v>655.552825354549</v>
      </c>
      <c r="M171" s="316" t="e">
        <f>SUM(M168:M170)</f>
        <v>#REF!</v>
      </c>
      <c r="N171" s="316">
        <f t="shared" ref="N171:P171" si="8">SUM(N168:N170)</f>
        <v>1403.55219929638</v>
      </c>
      <c r="O171" s="316">
        <f t="shared" si="8"/>
        <v>1905.12216392021</v>
      </c>
      <c r="P171" s="316">
        <f t="shared" si="8"/>
        <v>2416.46701610101</v>
      </c>
    </row>
    <row r="172" ht="15" spans="3:16">
      <c r="C172" s="44" t="s">
        <v>224</v>
      </c>
      <c r="D172" s="45"/>
      <c r="E172" s="316">
        <f>E50+E95+E104+E114+E140+E166+E171</f>
        <v>10322.508915</v>
      </c>
      <c r="F172" s="316">
        <f>F50+F95+F104+F114+F140+F166+F171</f>
        <v>16838.3342213398</v>
      </c>
      <c r="G172" s="316">
        <f>F172-E172</f>
        <v>6515.82530633982</v>
      </c>
      <c r="H172" s="316">
        <f t="shared" ref="H172:P172" si="9">H50+H95+H104+H114+H140+H166+H171</f>
        <v>10750.45679336</v>
      </c>
      <c r="I172" s="316">
        <f t="shared" si="9"/>
        <v>15647.306580854</v>
      </c>
      <c r="J172" s="316">
        <f t="shared" si="9"/>
        <v>17748.0310241113</v>
      </c>
      <c r="K172" s="316">
        <f t="shared" si="9"/>
        <v>33395.3376049653</v>
      </c>
      <c r="L172" s="316">
        <f t="shared" si="9"/>
        <v>36529.8478636222</v>
      </c>
      <c r="M172" s="316" t="e">
        <f t="shared" si="9"/>
        <v>#REF!</v>
      </c>
      <c r="N172" s="316">
        <f t="shared" si="9"/>
        <v>40984.5209471396</v>
      </c>
      <c r="O172" s="316">
        <f t="shared" si="9"/>
        <v>46063.0988636256</v>
      </c>
      <c r="P172" s="316">
        <f t="shared" si="9"/>
        <v>50588.8750689337</v>
      </c>
    </row>
    <row r="173" ht="8" customHeight="1"/>
    <row r="174" ht="10" customHeight="1" spans="3:9">
      <c r="C174" s="11" t="s">
        <v>513</v>
      </c>
      <c r="I174" s="3"/>
    </row>
    <row r="175" ht="3" customHeight="1" spans="2:23">
      <c r="B175" s="14"/>
      <c r="C175" s="14"/>
      <c r="D175" s="655"/>
      <c r="E175" s="655"/>
      <c r="F175" s="655"/>
      <c r="G175" s="655"/>
      <c r="H175" s="655"/>
      <c r="I175" s="655"/>
      <c r="J175" s="655"/>
      <c r="K175" s="655"/>
      <c r="P175" s="117" t="s">
        <v>109</v>
      </c>
      <c r="W175" s="3" t="s">
        <v>236</v>
      </c>
    </row>
    <row r="176" ht="15" customHeight="1" spans="2:16">
      <c r="B176" s="656"/>
      <c r="C176" s="658" t="s">
        <v>345</v>
      </c>
      <c r="D176" s="658" t="s">
        <v>346</v>
      </c>
      <c r="E176" s="306" t="s">
        <v>163</v>
      </c>
      <c r="F176" s="307"/>
      <c r="G176" s="308"/>
      <c r="H176" s="306" t="s">
        <v>164</v>
      </c>
      <c r="I176" s="307"/>
      <c r="J176" s="307"/>
      <c r="K176" s="307"/>
      <c r="L176" s="135" t="s">
        <v>114</v>
      </c>
      <c r="M176" s="135"/>
      <c r="N176" s="135"/>
      <c r="O176" s="135"/>
      <c r="P176" s="135"/>
    </row>
    <row r="177" ht="22" customHeight="1" spans="2:16">
      <c r="B177" s="656"/>
      <c r="C177" s="660"/>
      <c r="D177" s="660"/>
      <c r="E177" s="5" t="s">
        <v>116</v>
      </c>
      <c r="F177" s="5" t="s">
        <v>237</v>
      </c>
      <c r="G177" s="5" t="s">
        <v>118</v>
      </c>
      <c r="H177" s="5" t="s">
        <v>116</v>
      </c>
      <c r="I177" s="5" t="s">
        <v>119</v>
      </c>
      <c r="J177" s="5" t="s">
        <v>120</v>
      </c>
      <c r="K177" s="5" t="s">
        <v>238</v>
      </c>
      <c r="L177" s="5" t="s">
        <v>514</v>
      </c>
      <c r="M177" s="5" t="s">
        <v>515</v>
      </c>
      <c r="N177" s="5" t="s">
        <v>516</v>
      </c>
      <c r="O177" s="5" t="s">
        <v>517</v>
      </c>
      <c r="P177" s="5" t="s">
        <v>518</v>
      </c>
    </row>
    <row r="178" ht="15" customHeight="1" spans="2:16">
      <c r="B178" s="656"/>
      <c r="C178" s="662"/>
      <c r="D178" s="662"/>
      <c r="E178" s="5" t="s">
        <v>127</v>
      </c>
      <c r="F178" s="5" t="s">
        <v>128</v>
      </c>
      <c r="G178" s="5" t="s">
        <v>129</v>
      </c>
      <c r="H178" s="5" t="s">
        <v>127</v>
      </c>
      <c r="I178" s="5" t="s">
        <v>130</v>
      </c>
      <c r="J178" s="5" t="s">
        <v>131</v>
      </c>
      <c r="K178" s="5" t="s">
        <v>131</v>
      </c>
      <c r="L178" s="5" t="s">
        <v>132</v>
      </c>
      <c r="M178" s="5" t="s">
        <v>132</v>
      </c>
      <c r="N178" s="5" t="s">
        <v>132</v>
      </c>
      <c r="O178" s="5" t="s">
        <v>132</v>
      </c>
      <c r="P178" s="5" t="s">
        <v>132</v>
      </c>
    </row>
    <row r="179" ht="15" spans="2:16">
      <c r="B179" s="656"/>
      <c r="C179" s="663" t="s">
        <v>349</v>
      </c>
      <c r="D179" s="676"/>
      <c r="E179" s="47"/>
      <c r="F179" s="47"/>
      <c r="G179" s="749"/>
      <c r="H179" s="47"/>
      <c r="I179" s="55"/>
      <c r="J179" s="55"/>
      <c r="K179" s="55"/>
      <c r="L179" s="55"/>
      <c r="M179" s="55"/>
      <c r="N179" s="55"/>
      <c r="O179" s="55"/>
      <c r="P179" s="55"/>
    </row>
    <row r="180" ht="15" spans="3:16">
      <c r="C180" s="44" t="s">
        <v>350</v>
      </c>
      <c r="D180" s="4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</row>
    <row r="181" spans="2:16">
      <c r="B181" s="656"/>
      <c r="C181" s="677" t="s">
        <v>351</v>
      </c>
      <c r="D181" s="47" t="s">
        <v>352</v>
      </c>
      <c r="E181" s="752">
        <f>'[47]PP Cost'!$J$78</f>
        <v>109.674745</v>
      </c>
      <c r="F181" s="752">
        <f>'F13-Year(n-1)'!Q181</f>
        <v>109.6747450589</v>
      </c>
      <c r="G181" s="752"/>
      <c r="H181" s="752">
        <f>'[48]PP Cost'!J80</f>
        <v>116.053615</v>
      </c>
      <c r="I181" s="147">
        <f>SUM('F13-Year(n)'!E180:J180)</f>
        <v>134.9374575</v>
      </c>
      <c r="J181" s="147">
        <f>SUM('F13-Year(n)'!K180:P180)</f>
        <v>134.9374575</v>
      </c>
      <c r="K181" s="147">
        <f t="shared" ref="K181:K199" si="10">I181+J181</f>
        <v>269.874915</v>
      </c>
      <c r="L181" s="147">
        <f>'F13-Year(n+1)'!Q188</f>
        <v>268.52741</v>
      </c>
      <c r="M181" s="147">
        <f>'F13-Year(n+2)'!Q187</f>
        <v>291.86535</v>
      </c>
      <c r="N181" s="147">
        <f>'F13-Year(n+3)'!Q187</f>
        <v>307.0336</v>
      </c>
      <c r="O181" s="147">
        <f>'F13-Year(n+4)'!Q187</f>
        <v>321.66567</v>
      </c>
      <c r="P181" s="147">
        <f>'F13-Year(n+5)'!Q187</f>
        <v>331.14759</v>
      </c>
    </row>
    <row r="182" spans="2:16">
      <c r="B182" s="656"/>
      <c r="C182" s="678"/>
      <c r="D182" s="47" t="s">
        <v>353</v>
      </c>
      <c r="E182" s="752">
        <f>'[47]PP Cost'!$J$79</f>
        <v>153.667155</v>
      </c>
      <c r="F182" s="752">
        <f>'F13-Year(n-1)'!Q182</f>
        <v>153.667155</v>
      </c>
      <c r="G182" s="752"/>
      <c r="H182" s="752">
        <f>'[48]PP Cost'!J81</f>
        <v>149.92406</v>
      </c>
      <c r="I182" s="147">
        <f>SUM('F13-Year(n)'!E181:J181)</f>
        <v>210.9021698589</v>
      </c>
      <c r="J182" s="147">
        <f>SUM('F13-Year(n)'!K181:P181)</f>
        <v>210.9021698589</v>
      </c>
      <c r="K182" s="147">
        <f t="shared" si="10"/>
        <v>421.8043397178</v>
      </c>
      <c r="L182" s="147">
        <f>'F13-Year(n+1)'!Q189</f>
        <v>312.08498</v>
      </c>
      <c r="M182" s="147">
        <f>'F13-Year(n+2)'!Q188</f>
        <v>370.00653</v>
      </c>
      <c r="N182" s="147">
        <f>'F13-Year(n+3)'!Q188</f>
        <v>382.557375</v>
      </c>
      <c r="O182" s="147">
        <f>'F13-Year(n+4)'!Q188</f>
        <v>395.566795</v>
      </c>
      <c r="P182" s="147">
        <f>'F13-Year(n+5)'!Q188</f>
        <v>407.56735</v>
      </c>
    </row>
    <row r="183" spans="2:16">
      <c r="B183" s="656"/>
      <c r="C183" s="678"/>
      <c r="D183" s="47" t="s">
        <v>354</v>
      </c>
      <c r="E183" s="752">
        <f>'[47]PP Cost'!$J$80</f>
        <v>312.37615</v>
      </c>
      <c r="F183" s="752">
        <f>'F13-Year(n-1)'!Q183</f>
        <v>223.73482362035</v>
      </c>
      <c r="G183" s="752"/>
      <c r="H183" s="752">
        <f>'[48]PP Cost'!J82</f>
        <v>392.94546</v>
      </c>
      <c r="I183" s="147">
        <f>SUM('F13-Year(n)'!E182:J182)</f>
        <v>474.5933775</v>
      </c>
      <c r="J183" s="147">
        <f>SUM('F13-Year(n)'!K182:P182)</f>
        <v>474.5933775</v>
      </c>
      <c r="K183" s="147">
        <f t="shared" si="10"/>
        <v>949.186755</v>
      </c>
      <c r="L183" s="147">
        <f>'F13-Year(n+1)'!Q190</f>
        <v>917.30521</v>
      </c>
      <c r="M183" s="147">
        <f>'F13-Year(n+2)'!Q189</f>
        <v>977.79478</v>
      </c>
      <c r="N183" s="147">
        <f>'F13-Year(n+3)'!Q189</f>
        <v>1040.139815</v>
      </c>
      <c r="O183" s="147">
        <f>'F13-Year(n+4)'!Q189</f>
        <v>1049.240765</v>
      </c>
      <c r="P183" s="147">
        <f>'F13-Year(n+5)'!Q189</f>
        <v>1061.333035</v>
      </c>
    </row>
    <row r="184" spans="2:16">
      <c r="B184" s="656"/>
      <c r="C184" s="678"/>
      <c r="D184" s="47" t="s">
        <v>355</v>
      </c>
      <c r="E184" s="752">
        <f>'[47]PP Cost'!$J$81</f>
        <v>33.34918</v>
      </c>
      <c r="F184" s="752">
        <f>'F13-Year(n-1)'!Q184</f>
        <v>24.8295761297</v>
      </c>
      <c r="G184" s="752"/>
      <c r="H184" s="752">
        <f>'[48]PP Cost'!J83</f>
        <v>34.36815</v>
      </c>
      <c r="I184" s="147">
        <f>SUM('F13-Year(n)'!E183:J183)</f>
        <v>27.1531898863</v>
      </c>
      <c r="J184" s="147">
        <f>SUM('F13-Year(n)'!K183:P183)</f>
        <v>22.67660789805</v>
      </c>
      <c r="K184" s="147">
        <f t="shared" si="10"/>
        <v>49.82979778435</v>
      </c>
      <c r="L184" s="147">
        <f>'F13-Year(n+1)'!Q191</f>
        <v>0</v>
      </c>
      <c r="M184" s="147">
        <f>'F13-Year(n+2)'!Q190</f>
        <v>88.6319650000001</v>
      </c>
      <c r="N184" s="147">
        <f>'F13-Year(n+3)'!Q190</f>
        <v>92.6674249999999</v>
      </c>
      <c r="O184" s="147">
        <f>'F13-Year(n+4)'!Q190</f>
        <v>96.92159</v>
      </c>
      <c r="P184" s="147">
        <f>'F13-Year(n+5)'!Q190</f>
        <v>101.39446</v>
      </c>
    </row>
    <row r="185" spans="2:16">
      <c r="B185" s="656"/>
      <c r="C185" s="678"/>
      <c r="D185" s="47" t="s">
        <v>356</v>
      </c>
      <c r="E185" s="752">
        <f>'[47]PP Cost'!$J$82</f>
        <v>144.313835</v>
      </c>
      <c r="F185" s="752">
        <f>'F13-Year(n-1)'!Q185</f>
        <v>138.82990927</v>
      </c>
      <c r="G185" s="752"/>
      <c r="H185" s="752">
        <f>'[48]PP Cost'!J84</f>
        <v>118.456735</v>
      </c>
      <c r="I185" s="147">
        <f>SUM('F13-Year(n)'!E184:J184)</f>
        <v>148.1091426411</v>
      </c>
      <c r="J185" s="147">
        <f>SUM('F13-Year(n)'!K184:P184)</f>
        <v>148.1091426411</v>
      </c>
      <c r="K185" s="147">
        <f t="shared" si="10"/>
        <v>296.2182852822</v>
      </c>
      <c r="L185" s="147">
        <f>'F13-Year(n+1)'!Q192</f>
        <v>310.088415</v>
      </c>
      <c r="M185" s="147">
        <f>'F13-Year(n+2)'!Q191</f>
        <v>325.736405</v>
      </c>
      <c r="N185" s="147">
        <f>'F13-Year(n+3)'!Q191</f>
        <v>335.42292</v>
      </c>
      <c r="O185" s="147">
        <f>'F13-Year(n+4)'!Q191</f>
        <v>345.236425</v>
      </c>
      <c r="P185" s="147">
        <f>'F13-Year(n+5)'!Q191</f>
        <v>354.73951</v>
      </c>
    </row>
    <row r="186" spans="2:16">
      <c r="B186" s="656"/>
      <c r="C186" s="678"/>
      <c r="D186" s="47" t="s">
        <v>357</v>
      </c>
      <c r="E186" s="752">
        <f>'[47]PP Cost'!$J$83</f>
        <v>212.072395</v>
      </c>
      <c r="F186" s="752">
        <f>'F13-Year(n-1)'!Q186</f>
        <v>212.0723951178</v>
      </c>
      <c r="G186" s="752"/>
      <c r="H186" s="752">
        <f>'[48]PP Cost'!J85</f>
        <v>220.436195</v>
      </c>
      <c r="I186" s="147">
        <f>SUM('F13-Year(n)'!E185:J185)</f>
        <v>264.2802998589</v>
      </c>
      <c r="J186" s="147">
        <f>SUM('F13-Year(n)'!K185:P185)</f>
        <v>264.2802998589</v>
      </c>
      <c r="K186" s="147">
        <f t="shared" si="10"/>
        <v>528.5605997178</v>
      </c>
      <c r="L186" s="147">
        <f>'F13-Year(n+1)'!Q193</f>
        <v>473.02364</v>
      </c>
      <c r="M186" s="147">
        <f>'F13-Year(n+2)'!Q192</f>
        <v>598.84251</v>
      </c>
      <c r="N186" s="147">
        <f>'F13-Year(n+3)'!Q192</f>
        <v>597.50206</v>
      </c>
      <c r="O186" s="147">
        <f>'F13-Year(n+4)'!Q192</f>
        <v>595.99229</v>
      </c>
      <c r="P186" s="147">
        <f>'F13-Year(n+5)'!Q192</f>
        <v>594.44019</v>
      </c>
    </row>
    <row r="187" spans="2:16">
      <c r="B187" s="656"/>
      <c r="C187" s="678"/>
      <c r="D187" s="47" t="s">
        <v>358</v>
      </c>
      <c r="E187" s="752">
        <f>'[47]PP Cost'!$J$84</f>
        <v>569.52177</v>
      </c>
      <c r="F187" s="752">
        <f>'F13-Year(n-1)'!Q187</f>
        <v>437.7277321347</v>
      </c>
      <c r="G187" s="752"/>
      <c r="H187" s="752">
        <f>'[48]PP Cost'!J86</f>
        <v>415.730925</v>
      </c>
      <c r="I187" s="147">
        <f>SUM('F13-Year(n)'!E186:J186)</f>
        <v>391.55400038685</v>
      </c>
      <c r="J187" s="147">
        <f>SUM('F13-Year(n)'!K186:P186)</f>
        <v>480.6872859969</v>
      </c>
      <c r="K187" s="147">
        <f t="shared" si="10"/>
        <v>872.24128638375</v>
      </c>
      <c r="L187" s="147">
        <f>'F13-Year(n+1)'!Q194</f>
        <v>1010.62875</v>
      </c>
      <c r="M187" s="147">
        <f>'F13-Year(n+2)'!Q193</f>
        <v>1423.988255</v>
      </c>
      <c r="N187" s="147">
        <f>'F13-Year(n+3)'!Q193</f>
        <v>1468.293655</v>
      </c>
      <c r="O187" s="147">
        <f>'F13-Year(n+4)'!Q193</f>
        <v>1460.73775</v>
      </c>
      <c r="P187" s="147">
        <f>'F13-Year(n+5)'!Q193</f>
        <v>1453.576925</v>
      </c>
    </row>
    <row r="188" spans="2:16">
      <c r="B188" s="656"/>
      <c r="C188" s="678"/>
      <c r="D188" s="47" t="s">
        <v>359</v>
      </c>
      <c r="E188" s="752" t="e">
        <f>'[47]PP Cost'!$J$85</f>
        <v>#REF!</v>
      </c>
      <c r="F188" s="752">
        <f>'F13-Year(n-1)'!Q188</f>
        <v>0</v>
      </c>
      <c r="G188" s="752"/>
      <c r="H188" s="752">
        <f>'[48]PP Cost'!J87</f>
        <v>32.745455</v>
      </c>
      <c r="I188" s="147">
        <f>SUM('F13-Year(n)'!E187:J187)</f>
        <v>0</v>
      </c>
      <c r="J188" s="147">
        <f>SUM('F13-Year(n)'!K187:P187)</f>
        <v>0</v>
      </c>
      <c r="K188" s="147">
        <f t="shared" si="10"/>
        <v>0</v>
      </c>
      <c r="L188" s="147">
        <f>'F13-Year(n+1)'!Q195</f>
        <v>4837.99905575</v>
      </c>
      <c r="M188" s="147">
        <f>'F13-Year(n+2)'!Q194</f>
        <v>5092.63098469729</v>
      </c>
      <c r="N188" s="147">
        <f>'F13-Year(n+3)'!Q194</f>
        <v>4944.0134900263</v>
      </c>
      <c r="O188" s="147">
        <f>'F13-Year(n+4)'!Q194</f>
        <v>4844.93920714729</v>
      </c>
      <c r="P188" s="147">
        <f>'F13-Year(n+5)'!Q194</f>
        <v>4733.39858424516</v>
      </c>
    </row>
    <row r="189" spans="2:16">
      <c r="B189" s="656"/>
      <c r="C189" s="678"/>
      <c r="D189" s="679" t="s">
        <v>492</v>
      </c>
      <c r="E189" s="752"/>
      <c r="F189" s="752">
        <f>'F13-Year(n-1)'!Q189</f>
        <v>7.02315103675</v>
      </c>
      <c r="G189" s="752"/>
      <c r="H189" s="752"/>
      <c r="I189" s="147">
        <f>SUM('F13-Year(n)'!E188:J188)</f>
        <v>0</v>
      </c>
      <c r="J189" s="147">
        <f>SUM('F13-Year(n)'!K188:P188)</f>
        <v>0</v>
      </c>
      <c r="K189" s="147">
        <f t="shared" si="10"/>
        <v>0</v>
      </c>
      <c r="L189" s="147">
        <f>'F13-Year(n+1)'!Q196</f>
        <v>0</v>
      </c>
      <c r="M189" s="147">
        <f>'F13-Year(n+2)'!Q195</f>
        <v>0</v>
      </c>
      <c r="N189" s="147">
        <f>'F13-Year(n+3)'!Q195</f>
        <v>0</v>
      </c>
      <c r="O189" s="147">
        <f>'F13-Year(n+4)'!Q195</f>
        <v>0</v>
      </c>
      <c r="P189" s="147">
        <f>'F13-Year(n+5)'!Q195</f>
        <v>0</v>
      </c>
    </row>
    <row r="190" spans="2:16">
      <c r="B190" s="656"/>
      <c r="C190" s="678"/>
      <c r="D190" s="47"/>
      <c r="E190" s="752"/>
      <c r="F190" s="752">
        <f>'F13-Year(n-1)'!Q190</f>
        <v>0</v>
      </c>
      <c r="G190" s="752"/>
      <c r="H190" s="752"/>
      <c r="I190" s="147"/>
      <c r="J190" s="147"/>
      <c r="K190" s="147">
        <f t="shared" si="10"/>
        <v>0</v>
      </c>
      <c r="L190" s="147">
        <f>'F13-Year(n+1)'!Q197</f>
        <v>0</v>
      </c>
      <c r="M190" s="147">
        <f>'F13-Year(n+2)'!Q196</f>
        <v>0</v>
      </c>
      <c r="N190" s="147">
        <f>'F13-Year(n+3)'!Q196</f>
        <v>0</v>
      </c>
      <c r="O190" s="147">
        <f>'F13-Year(n+4)'!Q196</f>
        <v>0</v>
      </c>
      <c r="P190" s="147">
        <f>'F13-Year(n+5)'!Q196</f>
        <v>0</v>
      </c>
    </row>
    <row r="191" spans="2:16">
      <c r="B191" s="656"/>
      <c r="C191" s="678"/>
      <c r="D191" s="47"/>
      <c r="E191" s="752"/>
      <c r="F191" s="752">
        <f>'F13-Year(n-1)'!Q191</f>
        <v>0</v>
      </c>
      <c r="G191" s="752"/>
      <c r="H191" s="752"/>
      <c r="I191" s="147">
        <f>SUM('F13-Year(n)'!E190:J190)</f>
        <v>0</v>
      </c>
      <c r="J191" s="147">
        <f>SUM('F13-Year(n)'!K190:P190)</f>
        <v>0</v>
      </c>
      <c r="K191" s="147">
        <f t="shared" si="10"/>
        <v>0</v>
      </c>
      <c r="L191" s="147">
        <f>'F13-Year(n+1)'!Q198</f>
        <v>0</v>
      </c>
      <c r="M191" s="147">
        <f>'F13-Year(n+2)'!Q197</f>
        <v>0</v>
      </c>
      <c r="N191" s="147">
        <f>'F13-Year(n+3)'!Q197</f>
        <v>0</v>
      </c>
      <c r="O191" s="147">
        <f>'F13-Year(n+4)'!Q197</f>
        <v>0</v>
      </c>
      <c r="P191" s="147">
        <f>'F13-Year(n+5)'!Q197</f>
        <v>0</v>
      </c>
    </row>
    <row r="192" spans="2:16">
      <c r="B192" s="656"/>
      <c r="C192" s="678"/>
      <c r="D192" s="47"/>
      <c r="E192" s="752"/>
      <c r="F192" s="752">
        <f>'F13-Year(n-1)'!Q192</f>
        <v>0</v>
      </c>
      <c r="G192" s="752"/>
      <c r="H192" s="752"/>
      <c r="I192" s="147">
        <f>SUM('F13-Year(n)'!E191:J191)</f>
        <v>0</v>
      </c>
      <c r="J192" s="147">
        <f>SUM('F13-Year(n)'!K191:P191)</f>
        <v>0</v>
      </c>
      <c r="K192" s="147">
        <f t="shared" si="10"/>
        <v>0</v>
      </c>
      <c r="L192" s="147">
        <f>'F13-Year(n+1)'!Q199</f>
        <v>0</v>
      </c>
      <c r="M192" s="147">
        <f>'F13-Year(n+2)'!Q198</f>
        <v>0</v>
      </c>
      <c r="N192" s="147">
        <f>'F13-Year(n+3)'!Q198</f>
        <v>0</v>
      </c>
      <c r="O192" s="147">
        <f>'F13-Year(n+4)'!Q198</f>
        <v>0</v>
      </c>
      <c r="P192" s="147">
        <f>'F13-Year(n+5)'!Q198</f>
        <v>0</v>
      </c>
    </row>
    <row r="193" spans="2:16">
      <c r="B193" s="656"/>
      <c r="C193" s="678"/>
      <c r="D193" s="47"/>
      <c r="E193" s="752"/>
      <c r="F193" s="752">
        <f>'F13-Year(n-1)'!Q193</f>
        <v>0</v>
      </c>
      <c r="G193" s="752"/>
      <c r="H193" s="752"/>
      <c r="I193" s="147">
        <f>SUM('F13-Year(n)'!E192:J192)</f>
        <v>0</v>
      </c>
      <c r="J193" s="147">
        <f>SUM('F13-Year(n)'!K192:P192)</f>
        <v>0</v>
      </c>
      <c r="K193" s="147">
        <f t="shared" si="10"/>
        <v>0</v>
      </c>
      <c r="L193" s="147">
        <f>'F13-Year(n+1)'!Q200</f>
        <v>0</v>
      </c>
      <c r="M193" s="147">
        <f>'F13-Year(n+2)'!Q199</f>
        <v>0</v>
      </c>
      <c r="N193" s="147">
        <f>'F13-Year(n+3)'!Q199</f>
        <v>0</v>
      </c>
      <c r="O193" s="147">
        <f>'F13-Year(n+4)'!Q199</f>
        <v>0</v>
      </c>
      <c r="P193" s="147">
        <f>'F13-Year(n+5)'!Q199</f>
        <v>0</v>
      </c>
    </row>
    <row r="194" ht="7" customHeight="1" spans="2:16">
      <c r="B194" s="656"/>
      <c r="C194" s="678"/>
      <c r="D194" s="47"/>
      <c r="E194" s="752"/>
      <c r="F194" s="752">
        <f>'F13-Year(n-1)'!Q194</f>
        <v>0</v>
      </c>
      <c r="G194" s="752"/>
      <c r="H194" s="752"/>
      <c r="I194" s="147">
        <f>SUM('F13-Year(n)'!E193:J193)</f>
        <v>0</v>
      </c>
      <c r="J194" s="147">
        <f>SUM('F13-Year(n)'!K193:P193)</f>
        <v>0</v>
      </c>
      <c r="K194" s="147">
        <f t="shared" si="10"/>
        <v>0</v>
      </c>
      <c r="L194" s="147">
        <f>'F13-Year(n+1)'!Q201</f>
        <v>0</v>
      </c>
      <c r="M194" s="147">
        <f>'F13-Year(n+2)'!Q200</f>
        <v>0</v>
      </c>
      <c r="N194" s="147">
        <f>'F13-Year(n+3)'!Q200</f>
        <v>0</v>
      </c>
      <c r="O194" s="147">
        <f>'F13-Year(n+4)'!Q200</f>
        <v>0</v>
      </c>
      <c r="P194" s="147">
        <f>'F13-Year(n+5)'!Q200</f>
        <v>0</v>
      </c>
    </row>
    <row r="195" spans="2:16">
      <c r="B195" s="656"/>
      <c r="C195" s="678"/>
      <c r="D195" s="47"/>
      <c r="E195" s="752"/>
      <c r="F195" s="752">
        <f>'F13-Year(n-1)'!Q195</f>
        <v>0</v>
      </c>
      <c r="G195" s="752"/>
      <c r="H195" s="752"/>
      <c r="I195" s="147">
        <f>SUM('F13-Year(n)'!E194:J194)</f>
        <v>0</v>
      </c>
      <c r="J195" s="147">
        <f>SUM('F13-Year(n)'!K194:P194)</f>
        <v>0</v>
      </c>
      <c r="K195" s="147">
        <f t="shared" si="10"/>
        <v>0</v>
      </c>
      <c r="L195" s="147">
        <f>'F13-Year(n+1)'!Q202</f>
        <v>0</v>
      </c>
      <c r="M195" s="147">
        <f>'F13-Year(n+2)'!Q201</f>
        <v>0</v>
      </c>
      <c r="N195" s="147">
        <f>'F13-Year(n+3)'!Q201</f>
        <v>0</v>
      </c>
      <c r="O195" s="147">
        <f>'F13-Year(n+4)'!Q201</f>
        <v>0</v>
      </c>
      <c r="P195" s="147">
        <f>'F13-Year(n+5)'!Q201</f>
        <v>0</v>
      </c>
    </row>
    <row r="196" ht="3" customHeight="1" spans="2:16">
      <c r="B196" s="656"/>
      <c r="C196" s="678"/>
      <c r="D196" s="47"/>
      <c r="E196" s="752"/>
      <c r="F196" s="752">
        <f>'F13-Year(n-1)'!Q196</f>
        <v>0</v>
      </c>
      <c r="G196" s="752"/>
      <c r="H196" s="752"/>
      <c r="I196" s="147">
        <f>SUM('F13-Year(n)'!E195:J195)</f>
        <v>0</v>
      </c>
      <c r="J196" s="147">
        <f>SUM('F13-Year(n)'!K195:P195)</f>
        <v>0</v>
      </c>
      <c r="K196" s="147">
        <f t="shared" si="10"/>
        <v>0</v>
      </c>
      <c r="L196" s="147">
        <f>'F13-Year(n+1)'!Q203</f>
        <v>0</v>
      </c>
      <c r="M196" s="147">
        <f>'F13-Year(n+2)'!Q202</f>
        <v>0</v>
      </c>
      <c r="N196" s="147">
        <f>'F13-Year(n+3)'!Q202</f>
        <v>0</v>
      </c>
      <c r="O196" s="147">
        <f>'F13-Year(n+4)'!Q202</f>
        <v>0</v>
      </c>
      <c r="P196" s="147">
        <f>'F13-Year(n+5)'!Q202</f>
        <v>0</v>
      </c>
    </row>
    <row r="197" spans="2:16">
      <c r="B197" s="656"/>
      <c r="C197" s="678"/>
      <c r="D197" s="47"/>
      <c r="E197" s="752"/>
      <c r="F197" s="752">
        <f>'F13-Year(n-1)'!Q197</f>
        <v>0</v>
      </c>
      <c r="G197" s="752"/>
      <c r="H197" s="752"/>
      <c r="I197" s="147">
        <f>SUM('F13-Year(n)'!E196:J196)</f>
        <v>0</v>
      </c>
      <c r="J197" s="147">
        <f>SUM('F13-Year(n)'!K196:P196)</f>
        <v>0</v>
      </c>
      <c r="K197" s="147">
        <f t="shared" si="10"/>
        <v>0</v>
      </c>
      <c r="L197" s="147">
        <f>'F13-Year(n+1)'!Q204</f>
        <v>0</v>
      </c>
      <c r="M197" s="147">
        <f>'F13-Year(n+2)'!Q203</f>
        <v>0</v>
      </c>
      <c r="N197" s="147">
        <f>'F13-Year(n+3)'!Q203</f>
        <v>0</v>
      </c>
      <c r="O197" s="147">
        <f>'F13-Year(n+4)'!Q203</f>
        <v>0</v>
      </c>
      <c r="P197" s="147">
        <f>'F13-Year(n+5)'!Q203</f>
        <v>0</v>
      </c>
    </row>
    <row r="198" spans="2:16">
      <c r="B198" s="656"/>
      <c r="C198" s="680"/>
      <c r="D198" s="47"/>
      <c r="E198" s="752"/>
      <c r="F198" s="752">
        <f>'F13-Year(n-1)'!Q198</f>
        <v>0</v>
      </c>
      <c r="G198" s="752"/>
      <c r="H198" s="752"/>
      <c r="I198" s="147">
        <f>SUM('F13-Year(n)'!E197:J197)</f>
        <v>0</v>
      </c>
      <c r="J198" s="147">
        <f>SUM('F13-Year(n)'!K197:P197)</f>
        <v>0</v>
      </c>
      <c r="K198" s="147">
        <f t="shared" si="10"/>
        <v>0</v>
      </c>
      <c r="L198" s="147">
        <f>'F13-Year(n+1)'!Q205</f>
        <v>0</v>
      </c>
      <c r="M198" s="147">
        <f>'F13-Year(n+2)'!Q204</f>
        <v>0</v>
      </c>
      <c r="N198" s="147">
        <f>'F13-Year(n+3)'!Q204</f>
        <v>0</v>
      </c>
      <c r="O198" s="147">
        <f>'F13-Year(n+4)'!Q204</f>
        <v>0</v>
      </c>
      <c r="P198" s="147">
        <f>'F13-Year(n+5)'!Q204</f>
        <v>0</v>
      </c>
    </row>
    <row r="199" ht="15" spans="3:16">
      <c r="C199" s="537" t="s">
        <v>211</v>
      </c>
      <c r="D199" s="540"/>
      <c r="E199" s="316" t="e">
        <f>SUM(E181:E198)</f>
        <v>#REF!</v>
      </c>
      <c r="F199" s="316">
        <f>SUM(F181:F198)</f>
        <v>1307.5594873682</v>
      </c>
      <c r="G199" s="316" t="e">
        <f>F199-E199</f>
        <v>#REF!</v>
      </c>
      <c r="H199" s="316">
        <f>SUM(H181:H198)</f>
        <v>1480.660595</v>
      </c>
      <c r="I199" s="316">
        <f>SUM(I181:I198)</f>
        <v>1651.52963763205</v>
      </c>
      <c r="J199" s="316">
        <f>SUM(J181:J198)</f>
        <v>1736.18634125385</v>
      </c>
      <c r="K199" s="316">
        <f t="shared" si="10"/>
        <v>3387.7159788859</v>
      </c>
      <c r="L199" s="316">
        <f>'F13-Year(n+1)'!Q206</f>
        <v>8129.65746075</v>
      </c>
      <c r="M199" s="316">
        <f>'F13-Year(n+2)'!Q205</f>
        <v>9169.49677969729</v>
      </c>
      <c r="N199" s="316">
        <f>'F13-Year(n+3)'!Q205</f>
        <v>9167.6303400263</v>
      </c>
      <c r="O199" s="316">
        <f>'F13-Year(n+4)'!Q205</f>
        <v>9110.30049214729</v>
      </c>
      <c r="P199" s="316">
        <f>'F13-Year(n+5)'!Q205</f>
        <v>9037.59764424516</v>
      </c>
    </row>
    <row r="200" ht="15" spans="3:16">
      <c r="C200" s="44" t="s">
        <v>360</v>
      </c>
      <c r="D200" s="45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</row>
    <row r="201" spans="3:16">
      <c r="C201" s="682" t="s">
        <v>351</v>
      </c>
      <c r="D201" s="55" t="s">
        <v>361</v>
      </c>
      <c r="E201" s="147">
        <f>'[47]PP Cost'!$J$87</f>
        <v>18.332625</v>
      </c>
      <c r="F201" s="752">
        <f>'F13-Year(n-1)'!Q201</f>
        <v>0</v>
      </c>
      <c r="G201" s="147"/>
      <c r="H201" s="147">
        <f>'[48]PP Cost'!J89</f>
        <v>14.486455</v>
      </c>
      <c r="I201" s="147">
        <f>SUM('F13-Year(n)'!E200:J200)</f>
        <v>0</v>
      </c>
      <c r="J201" s="147">
        <f>SUM('F13-Year(n)'!K200:P200)</f>
        <v>0</v>
      </c>
      <c r="K201" s="147">
        <f t="shared" ref="K201:K220" si="11">I201+J201</f>
        <v>0</v>
      </c>
      <c r="L201" s="147">
        <f>'F13-Year(n+1)'!Q208</f>
        <v>32.52355</v>
      </c>
      <c r="M201" s="147">
        <f>'F13-Year(n+2)'!Q207</f>
        <v>0</v>
      </c>
      <c r="N201" s="147">
        <f>'F13-Year(n+3)'!Q207</f>
        <v>0</v>
      </c>
      <c r="O201" s="147">
        <f>'F13-Year(n+4)'!Q207</f>
        <v>0</v>
      </c>
      <c r="P201" s="147">
        <f>'F13-Year(n+5)'!Q207</f>
        <v>0</v>
      </c>
    </row>
    <row r="202" spans="3:16">
      <c r="C202" s="683"/>
      <c r="D202" s="55" t="s">
        <v>362</v>
      </c>
      <c r="E202" s="147">
        <f>'[47]PP Cost'!$J$88</f>
        <v>102.18561</v>
      </c>
      <c r="F202" s="752">
        <f>'F13-Year(n-1)'!Q202</f>
        <v>0</v>
      </c>
      <c r="G202" s="147"/>
      <c r="H202" s="147">
        <f>'[48]PP Cost'!J90</f>
        <v>94.66408</v>
      </c>
      <c r="I202" s="147">
        <f>SUM('F13-Year(n)'!E201:J201)</f>
        <v>0</v>
      </c>
      <c r="J202" s="147">
        <f>SUM('F13-Year(n)'!K201:P201)</f>
        <v>0</v>
      </c>
      <c r="K202" s="147">
        <f t="shared" si="11"/>
        <v>0</v>
      </c>
      <c r="L202" s="147">
        <f>'F13-Year(n+1)'!Q209</f>
        <v>207.878159792142</v>
      </c>
      <c r="M202" s="147">
        <f>'F13-Year(n+2)'!Q208</f>
        <v>0</v>
      </c>
      <c r="N202" s="147">
        <f>'F13-Year(n+3)'!Q208</f>
        <v>0</v>
      </c>
      <c r="O202" s="147">
        <f>'F13-Year(n+4)'!Q208</f>
        <v>0</v>
      </c>
      <c r="P202" s="147">
        <f>'F13-Year(n+5)'!Q208</f>
        <v>0</v>
      </c>
    </row>
    <row r="203" spans="3:16">
      <c r="C203" s="683"/>
      <c r="D203" s="55" t="s">
        <v>363</v>
      </c>
      <c r="E203" s="147">
        <f>'[47]PP Cost'!$J$89</f>
        <v>136.64211</v>
      </c>
      <c r="F203" s="752">
        <f>'F13-Year(n-1)'!Q203</f>
        <v>0</v>
      </c>
      <c r="G203" s="147"/>
      <c r="H203" s="147">
        <f>'[48]PP Cost'!J91</f>
        <v>125.106545</v>
      </c>
      <c r="I203" s="147">
        <f>SUM('F13-Year(n)'!E202:J202)</f>
        <v>0</v>
      </c>
      <c r="J203" s="147">
        <f>SUM('F13-Year(n)'!K202:P202)</f>
        <v>0</v>
      </c>
      <c r="K203" s="147">
        <f t="shared" si="11"/>
        <v>0</v>
      </c>
      <c r="L203" s="147">
        <f>'F13-Year(n+1)'!Q210</f>
        <v>268.44275</v>
      </c>
      <c r="M203" s="147">
        <f>'F13-Year(n+2)'!Q209</f>
        <v>0</v>
      </c>
      <c r="N203" s="147">
        <f>'F13-Year(n+3)'!Q209</f>
        <v>0</v>
      </c>
      <c r="O203" s="147">
        <f>'F13-Year(n+4)'!Q209</f>
        <v>0</v>
      </c>
      <c r="P203" s="147">
        <f>'F13-Year(n+5)'!Q209</f>
        <v>0</v>
      </c>
    </row>
    <row r="204" spans="3:16">
      <c r="C204" s="683"/>
      <c r="D204" s="55" t="s">
        <v>364</v>
      </c>
      <c r="E204" s="147">
        <f>'[47]PP Cost'!$J$90</f>
        <v>78.14852</v>
      </c>
      <c r="F204" s="752">
        <f>'F13-Year(n-1)'!Q204</f>
        <v>0</v>
      </c>
      <c r="G204" s="147"/>
      <c r="H204" s="147">
        <f>'[48]PP Cost'!J92</f>
        <v>76.18715</v>
      </c>
      <c r="I204" s="147">
        <f>SUM('F13-Year(n)'!E203:J203)</f>
        <v>0</v>
      </c>
      <c r="J204" s="147">
        <f>SUM('F13-Year(n)'!K203:P203)</f>
        <v>0</v>
      </c>
      <c r="K204" s="147">
        <f t="shared" si="11"/>
        <v>0</v>
      </c>
      <c r="L204" s="147">
        <f>'F13-Year(n+1)'!Q211</f>
        <v>152.098745</v>
      </c>
      <c r="M204" s="147">
        <f>'F13-Year(n+2)'!Q210</f>
        <v>0</v>
      </c>
      <c r="N204" s="147">
        <f>'F13-Year(n+3)'!Q210</f>
        <v>0</v>
      </c>
      <c r="O204" s="147">
        <f>'F13-Year(n+4)'!Q210</f>
        <v>0</v>
      </c>
      <c r="P204" s="147">
        <f>'F13-Year(n+5)'!Q210</f>
        <v>0</v>
      </c>
    </row>
    <row r="205" spans="3:16">
      <c r="C205" s="683"/>
      <c r="D205" s="55" t="s">
        <v>365</v>
      </c>
      <c r="E205" s="147">
        <f>'[47]PP Cost'!$J$91</f>
        <v>36.379585</v>
      </c>
      <c r="F205" s="752">
        <f>'F13-Year(n-1)'!Q205</f>
        <v>0</v>
      </c>
      <c r="G205" s="147"/>
      <c r="H205" s="147">
        <f>'[48]PP Cost'!J93</f>
        <v>27.132285</v>
      </c>
      <c r="I205" s="147">
        <f>SUM('F13-Year(n)'!E204:J204)</f>
        <v>0</v>
      </c>
      <c r="J205" s="147">
        <f>SUM('F13-Year(n)'!K204:P204)</f>
        <v>0</v>
      </c>
      <c r="K205" s="147">
        <f t="shared" si="11"/>
        <v>0</v>
      </c>
      <c r="L205" s="147">
        <f>'F13-Year(n+1)'!Q212</f>
        <v>66.0841850000001</v>
      </c>
      <c r="M205" s="147">
        <f>'F13-Year(n+2)'!Q211</f>
        <v>0</v>
      </c>
      <c r="N205" s="147">
        <f>'F13-Year(n+3)'!Q211</f>
        <v>0</v>
      </c>
      <c r="O205" s="147">
        <f>'F13-Year(n+4)'!Q211</f>
        <v>0</v>
      </c>
      <c r="P205" s="147">
        <f>'F13-Year(n+5)'!Q211</f>
        <v>0</v>
      </c>
    </row>
    <row r="206" spans="3:16">
      <c r="C206" s="683"/>
      <c r="D206" s="55" t="s">
        <v>366</v>
      </c>
      <c r="E206" s="147">
        <f>'[47]PP Cost'!$J$92</f>
        <v>3.02157</v>
      </c>
      <c r="F206" s="752">
        <f>'F13-Year(n-1)'!Q206</f>
        <v>0</v>
      </c>
      <c r="G206" s="147"/>
      <c r="H206" s="147">
        <f>'[48]PP Cost'!J94</f>
        <v>2.99801</v>
      </c>
      <c r="I206" s="147">
        <f>SUM('F13-Year(n)'!E205:J205)</f>
        <v>0</v>
      </c>
      <c r="J206" s="147">
        <f>SUM('F13-Year(n)'!K205:P205)</f>
        <v>0</v>
      </c>
      <c r="K206" s="147">
        <f t="shared" si="11"/>
        <v>0</v>
      </c>
      <c r="L206" s="147">
        <f>'F13-Year(n+1)'!Q213</f>
        <v>3.59805</v>
      </c>
      <c r="M206" s="147">
        <f>'F13-Year(n+2)'!Q212</f>
        <v>0</v>
      </c>
      <c r="N206" s="147">
        <f>'F13-Year(n+3)'!Q212</f>
        <v>0</v>
      </c>
      <c r="O206" s="147">
        <f>'F13-Year(n+4)'!Q212</f>
        <v>0</v>
      </c>
      <c r="P206" s="147">
        <f>'F13-Year(n+5)'!Q212</f>
        <v>0</v>
      </c>
    </row>
    <row r="207" spans="3:16">
      <c r="C207" s="683"/>
      <c r="D207" s="55" t="s">
        <v>367</v>
      </c>
      <c r="E207" s="147">
        <f>'[47]PP Cost'!$J$93</f>
        <v>14.498235</v>
      </c>
      <c r="F207" s="752">
        <f>'F13-Year(n-1)'!Q207</f>
        <v>0</v>
      </c>
      <c r="G207" s="147"/>
      <c r="H207" s="147">
        <f>'[48]PP Cost'!J95</f>
        <v>16.818895</v>
      </c>
      <c r="I207" s="147">
        <f>SUM('F13-Year(n)'!E206:J206)</f>
        <v>0</v>
      </c>
      <c r="J207" s="147">
        <f>SUM('F13-Year(n)'!K206:P206)</f>
        <v>0</v>
      </c>
      <c r="K207" s="147">
        <f t="shared" si="11"/>
        <v>0</v>
      </c>
      <c r="L207" s="147">
        <f>'F13-Year(n+1)'!Q214</f>
        <v>15.2926552078575</v>
      </c>
      <c r="M207" s="147">
        <f>'F13-Year(n+2)'!Q213</f>
        <v>0</v>
      </c>
      <c r="N207" s="147">
        <f>'F13-Year(n+3)'!Q213</f>
        <v>0</v>
      </c>
      <c r="O207" s="147">
        <f>'F13-Year(n+4)'!Q213</f>
        <v>0</v>
      </c>
      <c r="P207" s="147">
        <f>'F13-Year(n+5)'!Q213</f>
        <v>0</v>
      </c>
    </row>
    <row r="208" spans="3:16">
      <c r="C208" s="683"/>
      <c r="D208" s="55" t="s">
        <v>368</v>
      </c>
      <c r="E208" s="147">
        <f>'[47]PP Cost'!$J$94</f>
        <v>2.7094</v>
      </c>
      <c r="F208" s="752">
        <f>'F13-Year(n-1)'!Q208</f>
        <v>0</v>
      </c>
      <c r="G208" s="147"/>
      <c r="H208" s="147">
        <f>'[48]PP Cost'!J96</f>
        <v>3.02157</v>
      </c>
      <c r="I208" s="147">
        <f>SUM('F13-Year(n)'!E207:J207)</f>
        <v>0</v>
      </c>
      <c r="J208" s="147">
        <f>SUM('F13-Year(n)'!K207:P207)</f>
        <v>0</v>
      </c>
      <c r="K208" s="147">
        <f t="shared" si="11"/>
        <v>0</v>
      </c>
      <c r="L208" s="147">
        <f>'F13-Year(n+1)'!Q215</f>
        <v>26.892249</v>
      </c>
      <c r="M208" s="147">
        <f>'F13-Year(n+2)'!Q214</f>
        <v>0</v>
      </c>
      <c r="N208" s="147">
        <f>'F13-Year(n+3)'!Q214</f>
        <v>0</v>
      </c>
      <c r="O208" s="147">
        <f>'F13-Year(n+4)'!Q214</f>
        <v>0</v>
      </c>
      <c r="P208" s="147">
        <f>'F13-Year(n+5)'!Q214</f>
        <v>0</v>
      </c>
    </row>
    <row r="209" spans="3:16">
      <c r="C209" s="683"/>
      <c r="D209" s="55"/>
      <c r="E209" s="147"/>
      <c r="F209" s="752">
        <f>'F13-Year(n-1)'!Q209</f>
        <v>391.917655049083</v>
      </c>
      <c r="G209" s="147"/>
      <c r="H209" s="147"/>
      <c r="I209" s="147"/>
      <c r="J209" s="147"/>
      <c r="K209" s="147"/>
      <c r="L209" s="147">
        <f>'F13-Year(n+1)'!Q216</f>
        <v>0</v>
      </c>
      <c r="M209" s="147">
        <f>'F13-Year(n+2)'!Q215</f>
        <v>0</v>
      </c>
      <c r="N209" s="147">
        <f>'F13-Year(n+3)'!Q215</f>
        <v>0</v>
      </c>
      <c r="O209" s="147">
        <f>'F13-Year(n+4)'!Q215</f>
        <v>0</v>
      </c>
      <c r="P209" s="147">
        <f>'F13-Year(n+5)'!Q215</f>
        <v>0</v>
      </c>
    </row>
    <row r="210" spans="3:16">
      <c r="C210" s="683"/>
      <c r="D210" s="679" t="s">
        <v>493</v>
      </c>
      <c r="E210" s="147"/>
      <c r="F210" s="752">
        <f>'F13-Year(n-1)'!Q210</f>
        <v>385.0410802356</v>
      </c>
      <c r="G210" s="147"/>
      <c r="H210" s="147"/>
      <c r="I210" s="147">
        <f>SUM('F13-Year(n)'!E208:J208)</f>
        <v>0</v>
      </c>
      <c r="J210" s="147">
        <f>SUM('F13-Year(n)'!K208:P208)</f>
        <v>0</v>
      </c>
      <c r="K210" s="147">
        <f t="shared" si="11"/>
        <v>0</v>
      </c>
      <c r="L210" s="147">
        <f>'F13-Year(n+1)'!Q217</f>
        <v>3.59805</v>
      </c>
      <c r="M210" s="147">
        <f>'F13-Year(n+2)'!Q216</f>
        <v>0</v>
      </c>
      <c r="N210" s="147">
        <f>'F13-Year(n+3)'!Q216</f>
        <v>0</v>
      </c>
      <c r="O210" s="147">
        <f>'F13-Year(n+4)'!Q216</f>
        <v>0</v>
      </c>
      <c r="P210" s="147">
        <f>'F13-Year(n+5)'!Q216</f>
        <v>0</v>
      </c>
    </row>
    <row r="211" spans="3:16">
      <c r="C211" s="683"/>
      <c r="D211" s="679" t="s">
        <v>494</v>
      </c>
      <c r="E211" s="147"/>
      <c r="F211" s="752">
        <f>'F13-Year(n-1)'!Q211</f>
        <v>222.71338918545</v>
      </c>
      <c r="G211" s="147"/>
      <c r="H211" s="147"/>
      <c r="I211" s="147">
        <f>SUM('F13-Year(n)'!E209:J209)</f>
        <v>0</v>
      </c>
      <c r="J211" s="147">
        <f>SUM('F13-Year(n)'!K209:P209)</f>
        <v>0</v>
      </c>
      <c r="K211" s="147">
        <f t="shared" si="11"/>
        <v>0</v>
      </c>
      <c r="L211" s="147">
        <f>'F13-Year(n+1)'!Q218</f>
        <v>17.928166</v>
      </c>
      <c r="M211" s="147">
        <f>'F13-Year(n+2)'!Q217</f>
        <v>0</v>
      </c>
      <c r="N211" s="147">
        <f>'F13-Year(n+3)'!Q217</f>
        <v>0</v>
      </c>
      <c r="O211" s="147">
        <f>'F13-Year(n+4)'!Q217</f>
        <v>0</v>
      </c>
      <c r="P211" s="147">
        <f>'F13-Year(n+5)'!Q217</f>
        <v>0</v>
      </c>
    </row>
    <row r="212" spans="3:16">
      <c r="C212" s="683"/>
      <c r="D212" s="687" t="s">
        <v>495</v>
      </c>
      <c r="E212" s="147"/>
      <c r="F212" s="752">
        <f>'F13-Year(n-1)'!Q212</f>
        <v>0</v>
      </c>
      <c r="G212" s="147"/>
      <c r="H212" s="147"/>
      <c r="I212" s="147">
        <f>SUM('F13-Year(n)'!E210:J210)</f>
        <v>0</v>
      </c>
      <c r="J212" s="147">
        <f>SUM('F13-Year(n)'!K210:P210)</f>
        <v>0</v>
      </c>
      <c r="K212" s="147">
        <f t="shared" si="11"/>
        <v>0</v>
      </c>
      <c r="L212" s="147">
        <v>0</v>
      </c>
      <c r="M212" s="147">
        <v>0</v>
      </c>
      <c r="N212" s="147">
        <v>0</v>
      </c>
      <c r="O212" s="147">
        <v>0</v>
      </c>
      <c r="P212" s="147">
        <v>0</v>
      </c>
    </row>
    <row r="213" spans="3:16">
      <c r="C213" s="683"/>
      <c r="D213" s="55" t="s">
        <v>496</v>
      </c>
      <c r="E213" s="147"/>
      <c r="F213" s="752">
        <f>'F13-Year(n-1)'!Q213</f>
        <v>0</v>
      </c>
      <c r="G213" s="147"/>
      <c r="H213" s="147"/>
      <c r="I213" s="147">
        <f>SUM('F13-Year(n)'!E211:J211)</f>
        <v>438.23719875</v>
      </c>
      <c r="J213" s="147">
        <f>SUM('F13-Year(n)'!K211:P211)</f>
        <v>438.23719875</v>
      </c>
      <c r="K213" s="147">
        <f t="shared" si="11"/>
        <v>876.4743975</v>
      </c>
      <c r="L213" s="147">
        <f>'F13-Year(n+1)'!Q222</f>
        <v>23.740075</v>
      </c>
      <c r="M213" s="147">
        <f>'F13-Year(n+2)'!Q218</f>
        <v>1078.004</v>
      </c>
      <c r="N213" s="147">
        <f>'F13-Year(n+3)'!Q218</f>
        <v>1169.401525</v>
      </c>
      <c r="O213" s="147">
        <f>'F13-Year(n+4)'!Q218</f>
        <v>1287.65038</v>
      </c>
      <c r="P213" s="147">
        <f>'F13-Year(n+5)'!Q218</f>
        <v>1401.736785</v>
      </c>
    </row>
    <row r="214" spans="3:16">
      <c r="C214" s="683"/>
      <c r="E214" s="147"/>
      <c r="F214" s="752">
        <f>'F13-Year(n-1)'!Q214</f>
        <v>0</v>
      </c>
      <c r="G214" s="147"/>
      <c r="H214" s="147"/>
      <c r="I214" s="147">
        <f>SUM('F13-Year(n)'!E212:J212)</f>
        <v>0</v>
      </c>
      <c r="J214" s="147">
        <f>SUM('F13-Year(n)'!K212:P212)</f>
        <v>0</v>
      </c>
      <c r="K214" s="147">
        <f t="shared" si="11"/>
        <v>0</v>
      </c>
      <c r="L214" s="147">
        <f>'F13-Year(n+1)'!Q221</f>
        <v>1050.81403</v>
      </c>
      <c r="M214" s="147">
        <f>'F13-Year(n+2)'!Q220</f>
        <v>0</v>
      </c>
      <c r="N214" s="147">
        <f>'F13-Year(n+3)'!Q220</f>
        <v>0</v>
      </c>
      <c r="O214" s="147">
        <f>'F13-Year(n+4)'!Q220</f>
        <v>0</v>
      </c>
      <c r="P214" s="147">
        <f>'F13-Year(n+5)'!Q220</f>
        <v>0</v>
      </c>
    </row>
    <row r="215" spans="3:16">
      <c r="C215" s="683"/>
      <c r="D215" s="55"/>
      <c r="E215" s="147"/>
      <c r="F215" s="752">
        <f>'F13-Year(n-1)'!Q215</f>
        <v>0</v>
      </c>
      <c r="G215" s="147"/>
      <c r="H215" s="147"/>
      <c r="I215" s="147">
        <f>SUM('F13-Year(n)'!E213:J213)</f>
        <v>0</v>
      </c>
      <c r="J215" s="147">
        <f>SUM('F13-Year(n)'!K213:P213)</f>
        <v>0</v>
      </c>
      <c r="K215" s="147">
        <f t="shared" si="11"/>
        <v>0</v>
      </c>
      <c r="L215" s="147" t="e">
        <f>'F13-Year(n+1)'!#REF!</f>
        <v>#REF!</v>
      </c>
      <c r="M215" s="147">
        <f>'F13-Year(n+2)'!Q221</f>
        <v>0</v>
      </c>
      <c r="N215" s="147">
        <f>'F13-Year(n+3)'!Q221</f>
        <v>0</v>
      </c>
      <c r="O215" s="147">
        <f>'F13-Year(n+4)'!Q221</f>
        <v>0</v>
      </c>
      <c r="P215" s="147">
        <f>'F13-Year(n+5)'!Q221</f>
        <v>0</v>
      </c>
    </row>
    <row r="216" spans="3:16">
      <c r="C216" s="683"/>
      <c r="D216" s="55"/>
      <c r="E216" s="147"/>
      <c r="F216" s="752">
        <f>'F13-Year(n-1)'!Q216</f>
        <v>0</v>
      </c>
      <c r="G216" s="147"/>
      <c r="H216" s="147"/>
      <c r="I216" s="147">
        <f>SUM('F13-Year(n)'!E214:J214)</f>
        <v>0</v>
      </c>
      <c r="J216" s="147">
        <f>SUM('F13-Year(n)'!K214:P214)</f>
        <v>0</v>
      </c>
      <c r="K216" s="147">
        <f t="shared" si="11"/>
        <v>0</v>
      </c>
      <c r="L216" s="147">
        <f>'F13-Year(n+1)'!Q223</f>
        <v>0</v>
      </c>
      <c r="M216" s="147">
        <f>'F13-Year(n+2)'!Q222</f>
        <v>0</v>
      </c>
      <c r="N216" s="147">
        <f>'F13-Year(n+3)'!Q222</f>
        <v>0</v>
      </c>
      <c r="O216" s="147">
        <f>'F13-Year(n+4)'!Q222</f>
        <v>0</v>
      </c>
      <c r="P216" s="147">
        <f>'F13-Year(n+5)'!Q222</f>
        <v>0</v>
      </c>
    </row>
    <row r="217" spans="3:16">
      <c r="C217" s="683"/>
      <c r="D217" s="55"/>
      <c r="E217" s="147"/>
      <c r="F217" s="752">
        <f>'F13-Year(n-1)'!Q217</f>
        <v>0</v>
      </c>
      <c r="G217" s="147"/>
      <c r="H217" s="147"/>
      <c r="I217" s="147">
        <f>SUM('F13-Year(n)'!E215:J215)</f>
        <v>0</v>
      </c>
      <c r="J217" s="147">
        <f>SUM('F13-Year(n)'!K215:P215)</f>
        <v>0</v>
      </c>
      <c r="K217" s="147">
        <f t="shared" si="11"/>
        <v>0</v>
      </c>
      <c r="L217" s="147">
        <f>'F13-Year(n+1)'!Q224</f>
        <v>0</v>
      </c>
      <c r="M217" s="147">
        <f>'F13-Year(n+2)'!Q223</f>
        <v>0</v>
      </c>
      <c r="N217" s="147">
        <f>'F13-Year(n+3)'!Q223</f>
        <v>0</v>
      </c>
      <c r="O217" s="147">
        <f>'F13-Year(n+4)'!Q223</f>
        <v>0</v>
      </c>
      <c r="P217" s="147">
        <f>'F13-Year(n+5)'!Q223</f>
        <v>0</v>
      </c>
    </row>
    <row r="218" spans="3:16">
      <c r="C218" s="684"/>
      <c r="D218" s="67"/>
      <c r="E218" s="147"/>
      <c r="F218" s="752">
        <f>'F13-Year(n-1)'!Q218</f>
        <v>0</v>
      </c>
      <c r="G218" s="147"/>
      <c r="H218" s="147"/>
      <c r="I218" s="147">
        <f>SUM('F13-Year(n)'!E216:J216)</f>
        <v>0</v>
      </c>
      <c r="J218" s="147">
        <f>SUM('F13-Year(n)'!K216:P216)</f>
        <v>0</v>
      </c>
      <c r="K218" s="147">
        <f t="shared" si="11"/>
        <v>0</v>
      </c>
      <c r="L218" s="147">
        <f>'F13-Year(n+1)'!Q225</f>
        <v>0</v>
      </c>
      <c r="M218" s="147">
        <f>'F13-Year(n+2)'!Q224</f>
        <v>0</v>
      </c>
      <c r="N218" s="147">
        <f>'F13-Year(n+3)'!Q224</f>
        <v>0</v>
      </c>
      <c r="O218" s="147">
        <f>'F13-Year(n+4)'!Q224</f>
        <v>0</v>
      </c>
      <c r="P218" s="147">
        <f>'F13-Year(n+5)'!Q224</f>
        <v>0</v>
      </c>
    </row>
    <row r="219" ht="15" spans="3:16">
      <c r="C219" s="537" t="s">
        <v>211</v>
      </c>
      <c r="D219" s="540"/>
      <c r="E219" s="316">
        <f>SUM(E201:E218)</f>
        <v>391.917655</v>
      </c>
      <c r="F219" s="316">
        <f>SUM(F201:F218)</f>
        <v>999.672124470133</v>
      </c>
      <c r="G219" s="316">
        <f>F219-E219</f>
        <v>607.754469470133</v>
      </c>
      <c r="H219" s="316">
        <f>SUM(H201:H218)</f>
        <v>360.41499</v>
      </c>
      <c r="I219" s="316">
        <f>SUM(I201:I218)</f>
        <v>438.23719875</v>
      </c>
      <c r="J219" s="316">
        <f>SUM(J201:J218)</f>
        <v>438.23719875</v>
      </c>
      <c r="K219" s="316">
        <f t="shared" si="11"/>
        <v>876.4743975</v>
      </c>
      <c r="L219" s="316">
        <f>'F13-Year(n+1)'!Q226</f>
        <v>1868.890665</v>
      </c>
      <c r="M219" s="316">
        <f>'F13-Year(n+2)'!Q225</f>
        <v>2248.181575</v>
      </c>
      <c r="N219" s="316">
        <f>'F13-Year(n+3)'!Q225</f>
        <v>2351.509105</v>
      </c>
      <c r="O219" s="316">
        <f>'F13-Year(n+4)'!Q225</f>
        <v>2485.681095</v>
      </c>
      <c r="P219" s="316">
        <f>'F13-Year(n+5)'!Q225</f>
        <v>2618.6749</v>
      </c>
    </row>
    <row r="220" ht="15" spans="3:16">
      <c r="C220" s="44" t="s">
        <v>369</v>
      </c>
      <c r="D220" s="45"/>
      <c r="E220" s="316" t="e">
        <f>E199+E219</f>
        <v>#REF!</v>
      </c>
      <c r="F220" s="316">
        <f>F199+F219</f>
        <v>2307.23161183833</v>
      </c>
      <c r="G220" s="316" t="e">
        <f>F220-E220</f>
        <v>#REF!</v>
      </c>
      <c r="H220" s="316">
        <f>H199+H219</f>
        <v>1841.075585</v>
      </c>
      <c r="I220" s="316">
        <f>I199+I219</f>
        <v>2089.76683638205</v>
      </c>
      <c r="J220" s="316">
        <f>J199+J219</f>
        <v>2174.42354000385</v>
      </c>
      <c r="K220" s="316">
        <f t="shared" si="11"/>
        <v>4264.1903763859</v>
      </c>
      <c r="L220" s="316">
        <f>'F13-Year(n+1)'!Q227</f>
        <v>9998.54812575</v>
      </c>
      <c r="M220" s="316">
        <f>'F13-Year(n+2)'!Q226</f>
        <v>11417.6783546973</v>
      </c>
      <c r="N220" s="316">
        <f>'F13-Year(n+3)'!Q226</f>
        <v>11519.1394450263</v>
      </c>
      <c r="O220" s="316">
        <f>'F13-Year(n+4)'!Q226</f>
        <v>11595.9815871473</v>
      </c>
      <c r="P220" s="316">
        <f>'F13-Year(n+5)'!Q226</f>
        <v>11656.2725442452</v>
      </c>
    </row>
    <row r="221" ht="15" spans="3:16">
      <c r="C221" s="663" t="s">
        <v>370</v>
      </c>
      <c r="D221" s="676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</row>
    <row r="222" ht="15" spans="3:16">
      <c r="C222" s="44" t="s">
        <v>350</v>
      </c>
      <c r="D222" s="45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</row>
    <row r="223" spans="3:16">
      <c r="C223" s="682" t="s">
        <v>371</v>
      </c>
      <c r="D223" s="55" t="s">
        <v>372</v>
      </c>
      <c r="E223" s="147">
        <f>'[47]PP Cost'!$J$98</f>
        <v>53.36929</v>
      </c>
      <c r="F223" s="752">
        <f>'F13-Year(n-1)'!Q223</f>
        <v>56.2980426706</v>
      </c>
      <c r="G223" s="147"/>
      <c r="H223" s="147">
        <f>'[48]PP Cost'!J100</f>
        <v>52.535855</v>
      </c>
      <c r="I223" s="147">
        <f>SUM('F13-Year(n)'!E221:J221)</f>
        <v>84.55708934995</v>
      </c>
      <c r="J223" s="147">
        <f>SUM('F13-Year(n)'!K221:P221)</f>
        <v>76.5867754137</v>
      </c>
      <c r="K223" s="147">
        <f t="shared" ref="K223:K246" si="12">I223+J223</f>
        <v>161.14386476365</v>
      </c>
      <c r="L223" s="147">
        <f>'F13-Year(n+1)'!Q230</f>
        <v>138.78574835</v>
      </c>
      <c r="M223" s="147">
        <f>'F13-Year(n+2)'!Q229</f>
        <v>161.261019230769</v>
      </c>
      <c r="N223" s="147">
        <f>'F13-Year(n+3)'!Q229</f>
        <v>161.261019230769</v>
      </c>
      <c r="O223" s="147">
        <f>'F13-Year(n+4)'!Q229</f>
        <v>161.261019230769</v>
      </c>
      <c r="P223" s="147">
        <f>'F13-Year(n+5)'!Q229</f>
        <v>161.261019230769</v>
      </c>
    </row>
    <row r="224" spans="3:16">
      <c r="C224" s="683"/>
      <c r="D224" s="55" t="s">
        <v>373</v>
      </c>
      <c r="E224" s="147">
        <f>'[47]PP Cost'!$J$99</f>
        <v>15.870605</v>
      </c>
      <c r="F224" s="752">
        <f>'F13-Year(n-1)'!Q224</f>
        <v>15.32526023695</v>
      </c>
      <c r="G224" s="147"/>
      <c r="H224" s="147">
        <f>'[48]PP Cost'!J101</f>
        <v>15.629115</v>
      </c>
      <c r="I224" s="147">
        <f>SUM('F13-Year(n)'!E222:J222)</f>
        <v>18.7040075953</v>
      </c>
      <c r="J224" s="147">
        <f>SUM('F13-Year(n)'!K222:P222)</f>
        <v>18.05199726485</v>
      </c>
      <c r="K224" s="147">
        <f t="shared" si="12"/>
        <v>36.75600486015</v>
      </c>
      <c r="L224" s="147">
        <f>'F13-Year(n+1)'!Q231</f>
        <v>38.3533787</v>
      </c>
      <c r="M224" s="147">
        <f>'F13-Year(n+2)'!Q230</f>
        <v>38.3954807692308</v>
      </c>
      <c r="N224" s="147">
        <f>'F13-Year(n+3)'!Q230</f>
        <v>38.3954807692308</v>
      </c>
      <c r="O224" s="147">
        <f>'F13-Year(n+4)'!Q230</f>
        <v>38.3954807692308</v>
      </c>
      <c r="P224" s="147">
        <f>'F13-Year(n+5)'!Q230</f>
        <v>38.3954807692308</v>
      </c>
    </row>
    <row r="225" spans="3:16">
      <c r="C225" s="683"/>
      <c r="D225" s="55" t="s">
        <v>374</v>
      </c>
      <c r="E225" s="147">
        <f>'[47]PP Cost'!$J$100</f>
        <v>32.509855</v>
      </c>
      <c r="F225" s="752">
        <f>'F13-Year(n-1)'!Q225</f>
        <v>50.6656029466</v>
      </c>
      <c r="G225" s="147"/>
      <c r="H225" s="147">
        <f>'[48]PP Cost'!J102</f>
        <v>32.244805</v>
      </c>
      <c r="I225" s="147">
        <f>SUM('F13-Year(n)'!E223:I223)</f>
        <v>76.3200703102</v>
      </c>
      <c r="J225" s="147">
        <f>SUM('F13-Year(n)'!J223:P223)</f>
        <v>69.31732027515</v>
      </c>
      <c r="K225" s="147">
        <f t="shared" si="12"/>
        <v>145.63739058535</v>
      </c>
      <c r="L225" s="147">
        <f>'F13-Year(n+1)'!Q232</f>
        <v>90.0919267</v>
      </c>
      <c r="M225" s="147">
        <f>'F13-Year(n+2)'!Q231</f>
        <v>148.155</v>
      </c>
      <c r="N225" s="147">
        <f>'F13-Year(n+3)'!Q231</f>
        <v>148.155</v>
      </c>
      <c r="O225" s="147">
        <f>'F13-Year(n+4)'!Q231</f>
        <v>148.155</v>
      </c>
      <c r="P225" s="147">
        <f>'F13-Year(n+5)'!Q231</f>
        <v>148.155</v>
      </c>
    </row>
    <row r="226" spans="3:16">
      <c r="C226" s="683"/>
      <c r="D226" s="55" t="s">
        <v>375</v>
      </c>
      <c r="E226" s="147">
        <f>'[47]PP Cost'!$J$101</f>
        <v>105.062875</v>
      </c>
      <c r="F226" s="752">
        <f>'F13-Year(n-1)'!Q226</f>
        <v>196.5971166692</v>
      </c>
      <c r="G226" s="147"/>
      <c r="H226" s="147">
        <f>'[48]PP Cost'!J103</f>
        <v>105.062875</v>
      </c>
      <c r="I226" s="147">
        <f>SUM('F13-Year(n)'!E224:I224)</f>
        <v>151.6418819663</v>
      </c>
      <c r="J226" s="147">
        <f>SUM('F13-Year(n)'!J224:P224)</f>
        <v>173.11480851765</v>
      </c>
      <c r="K226" s="147">
        <f t="shared" si="12"/>
        <v>324.75669048395</v>
      </c>
      <c r="L226" s="147">
        <f>'F13-Year(n+1)'!Q233</f>
        <v>278.59609435</v>
      </c>
      <c r="M226" s="147">
        <f>'F13-Year(n+2)'!Q232</f>
        <v>265.303753367482</v>
      </c>
      <c r="N226" s="147">
        <f>'F13-Year(n+3)'!Q232</f>
        <v>265.303753367482</v>
      </c>
      <c r="O226" s="147">
        <f>'F13-Year(n+4)'!Q232</f>
        <v>265.303753367482</v>
      </c>
      <c r="P226" s="147">
        <f>'F13-Year(n+5)'!Q232</f>
        <v>265.303753367482</v>
      </c>
    </row>
    <row r="227" spans="3:16">
      <c r="C227" s="683"/>
      <c r="D227" s="55" t="s">
        <v>376</v>
      </c>
      <c r="E227" s="147">
        <f>'[47]PP Cost'!$J$102</f>
        <v>72.184895</v>
      </c>
      <c r="F227" s="752">
        <f>'F13-Year(n-1)'!Q227</f>
        <v>106.8832064762</v>
      </c>
      <c r="G227" s="147"/>
      <c r="H227" s="147">
        <f>'[48]PP Cost'!J104</f>
        <v>76.084075</v>
      </c>
      <c r="I227" s="147">
        <f>SUM('F13-Year(n)'!E225:I225)</f>
        <v>91.49308462225</v>
      </c>
      <c r="J227" s="147">
        <f>SUM('F13-Year(n)'!J225:P225)</f>
        <v>113.81444088785</v>
      </c>
      <c r="K227" s="147">
        <f t="shared" si="12"/>
        <v>205.3075255101</v>
      </c>
      <c r="L227" s="147">
        <f>'F13-Year(n+1)'!Q234</f>
        <v>187.41417015</v>
      </c>
      <c r="M227" s="147">
        <f>'F13-Year(n+2)'!Q233</f>
        <v>265.303753367482</v>
      </c>
      <c r="N227" s="147">
        <f>'F13-Year(n+3)'!Q233</f>
        <v>265.303753367482</v>
      </c>
      <c r="O227" s="147">
        <f>'F13-Year(n+4)'!Q233</f>
        <v>265.303753367482</v>
      </c>
      <c r="P227" s="147">
        <f>'F13-Year(n+5)'!Q233</f>
        <v>265.303753367482</v>
      </c>
    </row>
    <row r="228" spans="3:16">
      <c r="C228" s="683"/>
      <c r="D228" s="55" t="s">
        <v>377</v>
      </c>
      <c r="E228" s="147">
        <f>'[47]PP Cost'!$J$103</f>
        <v>86.65368</v>
      </c>
      <c r="F228" s="752">
        <f>'F13-Year(n-1)'!Q228</f>
        <v>102.1987296216</v>
      </c>
      <c r="G228" s="147"/>
      <c r="H228" s="147">
        <f>'[48]PP Cost'!J105</f>
        <v>84.12687</v>
      </c>
      <c r="I228" s="147">
        <f>SUM('F13-Year(n)'!E226:I226)</f>
        <v>94.62317153375</v>
      </c>
      <c r="J228" s="147">
        <f>SUM('F13-Year(n)'!J226:P226)</f>
        <v>123.62628006125</v>
      </c>
      <c r="K228" s="147">
        <f t="shared" si="12"/>
        <v>218.249451595</v>
      </c>
      <c r="L228" s="147">
        <f>'F13-Year(n+1)'!Q235</f>
        <v>239.03645175</v>
      </c>
      <c r="M228" s="147">
        <f>'F13-Year(n+2)'!Q234</f>
        <v>219.4105</v>
      </c>
      <c r="N228" s="147">
        <f>'F13-Year(n+3)'!Q234</f>
        <v>219.4105</v>
      </c>
      <c r="O228" s="147">
        <f>'F13-Year(n+4)'!Q234</f>
        <v>219.4105</v>
      </c>
      <c r="P228" s="147">
        <f>'F13-Year(n+5)'!Q234</f>
        <v>219.4105</v>
      </c>
    </row>
    <row r="229" spans="3:16">
      <c r="C229" s="683"/>
      <c r="D229" s="55" t="s">
        <v>378</v>
      </c>
      <c r="E229" s="147">
        <f>'[47]PP Cost'!$J$116</f>
        <v>0</v>
      </c>
      <c r="F229" s="752">
        <f>'F13-Year(n-1)'!Q229</f>
        <v>15.37367038255</v>
      </c>
      <c r="G229" s="147"/>
      <c r="H229" s="147">
        <f>'[48]PP Cost'!J120</f>
        <v>0</v>
      </c>
      <c r="I229" s="147">
        <f>SUM('F13-Year(n)'!E227:I227)</f>
        <v>0</v>
      </c>
      <c r="J229" s="147">
        <f>SUM('F13-Year(n)'!J227:P227)</f>
        <v>0</v>
      </c>
      <c r="K229" s="147">
        <f t="shared" si="12"/>
        <v>0</v>
      </c>
      <c r="L229" s="147">
        <f>'F13-Year(n+1)'!Q236</f>
        <v>0</v>
      </c>
      <c r="M229" s="147">
        <f>'F13-Year(n+2)'!Q235</f>
        <v>0</v>
      </c>
      <c r="N229" s="147">
        <f>'F13-Year(n+3)'!Q235</f>
        <v>0</v>
      </c>
      <c r="O229" s="147">
        <f>'F13-Year(n+4)'!Q235</f>
        <v>0</v>
      </c>
      <c r="P229" s="147">
        <f>'F13-Year(n+5)'!Q235</f>
        <v>0</v>
      </c>
    </row>
    <row r="230" spans="3:16">
      <c r="C230" s="683"/>
      <c r="D230" s="55" t="s">
        <v>379</v>
      </c>
      <c r="E230" s="147">
        <f>'[47]PP Cost'!$J$117</f>
        <v>0</v>
      </c>
      <c r="F230" s="752">
        <f>'F13-Year(n-1)'!Q230</f>
        <v>0</v>
      </c>
      <c r="G230" s="147"/>
      <c r="H230" s="147">
        <f>'[48]PP Cost'!J121</f>
        <v>0</v>
      </c>
      <c r="I230" s="147">
        <f>SUM('F13-Year(n)'!E228:I228)</f>
        <v>0</v>
      </c>
      <c r="J230" s="147">
        <f>SUM('F13-Year(n)'!J228:P228)</f>
        <v>0</v>
      </c>
      <c r="K230" s="147">
        <f t="shared" si="12"/>
        <v>0</v>
      </c>
      <c r="L230" s="147">
        <f>'F13-Year(n+1)'!Q237</f>
        <v>0</v>
      </c>
      <c r="M230" s="147">
        <f>'F13-Year(n+2)'!Q236</f>
        <v>0</v>
      </c>
      <c r="N230" s="147">
        <f>'F13-Year(n+3)'!Q236</f>
        <v>0</v>
      </c>
      <c r="O230" s="147">
        <f>'F13-Year(n+4)'!Q236</f>
        <v>0</v>
      </c>
      <c r="P230" s="147">
        <f>'F13-Year(n+5)'!Q236</f>
        <v>0</v>
      </c>
    </row>
    <row r="231" spans="3:16">
      <c r="C231" s="684"/>
      <c r="D231" s="55" t="s">
        <v>380</v>
      </c>
      <c r="E231" s="147">
        <f>'[47]PP Cost'!$J$107</f>
        <v>209.63099</v>
      </c>
      <c r="F231" s="752">
        <f>'F13-Year(n-1)'!Q231</f>
        <v>0</v>
      </c>
      <c r="G231" s="147"/>
      <c r="H231" s="147">
        <f>'[48]PP Cost'!$J$111</f>
        <v>447.00977</v>
      </c>
      <c r="I231" s="147">
        <f>SUM('F13-Year(n)'!E229:I229)</f>
        <v>0</v>
      </c>
      <c r="J231" s="147">
        <f>SUM('F13-Year(n)'!J229:P229)</f>
        <v>324.2077569488</v>
      </c>
      <c r="K231" s="147">
        <f t="shared" si="12"/>
        <v>324.2077569488</v>
      </c>
      <c r="L231" s="147">
        <f>'F13-Year(n+1)'!Q238</f>
        <v>736.402311000001</v>
      </c>
      <c r="M231" s="147">
        <f>'F13-Year(n+2)'!Q237</f>
        <v>794.393</v>
      </c>
      <c r="N231" s="147">
        <f>'F13-Year(n+3)'!Q237</f>
        <v>794.393</v>
      </c>
      <c r="O231" s="147">
        <f>'F13-Year(n+4)'!Q237</f>
        <v>794.393</v>
      </c>
      <c r="P231" s="147">
        <f>'F13-Year(n+5)'!Q237</f>
        <v>794.393</v>
      </c>
    </row>
    <row r="232" spans="3:16">
      <c r="C232" s="55"/>
      <c r="D232" s="55" t="s">
        <v>381</v>
      </c>
      <c r="E232" s="147">
        <f>'[47]PP Cost'!$J$104</f>
        <v>8.27545</v>
      </c>
      <c r="F232" s="752">
        <f>'F13-Year(n-1)'!Q232</f>
        <v>9.68950206212203</v>
      </c>
      <c r="G232" s="147"/>
      <c r="H232" s="147">
        <f>'[48]PP Cost'!J106</f>
        <v>0.733305</v>
      </c>
      <c r="I232" s="147">
        <f>SUM('F13-Year(n)'!E230:I230)</f>
        <v>0.557131719497733</v>
      </c>
      <c r="J232" s="147">
        <f>SUM('F13-Year(n)'!J230:P230)</f>
        <v>0.744596978345435</v>
      </c>
      <c r="K232" s="147">
        <f t="shared" si="12"/>
        <v>1.30172869784317</v>
      </c>
      <c r="L232" s="147">
        <f>'F13-Year(n+1)'!Q239</f>
        <v>736.402311</v>
      </c>
      <c r="M232" s="147">
        <f>'F13-Year(n+2)'!Q238</f>
        <v>794.393</v>
      </c>
      <c r="N232" s="147">
        <f>'F13-Year(n+3)'!Q238</f>
        <v>794.393</v>
      </c>
      <c r="O232" s="147">
        <f>'F13-Year(n+4)'!Q238</f>
        <v>794.393</v>
      </c>
      <c r="P232" s="147">
        <f>'F13-Year(n+5)'!Q238</f>
        <v>794.393</v>
      </c>
    </row>
    <row r="233" spans="3:16">
      <c r="C233" s="55"/>
      <c r="D233" s="55" t="s">
        <v>382</v>
      </c>
      <c r="E233" s="147">
        <f>'[47]PP Cost'!$J$105</f>
        <v>15.39057</v>
      </c>
      <c r="F233" s="752">
        <f>'F13-Year(n-1)'!Q233</f>
        <v>1.95387195102688</v>
      </c>
      <c r="G233" s="147"/>
      <c r="H233" s="147">
        <f>'[48]PP Cost'!J107</f>
        <v>1.0013</v>
      </c>
      <c r="I233" s="147">
        <f>SUM('F13-Year(n)'!E231:I231)</f>
        <v>0.448731479166515</v>
      </c>
      <c r="J233" s="147">
        <f>SUM('F13-Year(n)'!J231:P231)</f>
        <v>0.917283484957967</v>
      </c>
      <c r="K233" s="147">
        <f t="shared" si="12"/>
        <v>1.36601496412448</v>
      </c>
      <c r="L233" s="147">
        <f>'F13-Year(n+1)'!Q240</f>
        <v>57.6981810939967</v>
      </c>
      <c r="M233" s="147">
        <f>'F13-Year(n+2)'!Q239</f>
        <v>0</v>
      </c>
      <c r="N233" s="147">
        <f>'F13-Year(n+3)'!Q239</f>
        <v>0</v>
      </c>
      <c r="O233" s="147">
        <f>'F13-Year(n+4)'!Q239</f>
        <v>0</v>
      </c>
      <c r="P233" s="147">
        <f>'F13-Year(n+5)'!Q239</f>
        <v>0</v>
      </c>
    </row>
    <row r="234" spans="3:16">
      <c r="C234" s="55"/>
      <c r="D234" s="55" t="s">
        <v>383</v>
      </c>
      <c r="E234" s="147">
        <f>'[47]PP Cost'!$J$106</f>
        <v>23.03579</v>
      </c>
      <c r="F234" s="752">
        <f>'F13-Year(n-1)'!Q234</f>
        <v>23.6694264863167</v>
      </c>
      <c r="G234" s="147"/>
      <c r="H234" s="147">
        <f>'[48]PP Cost'!J108</f>
        <v>22.962165</v>
      </c>
      <c r="I234" s="147">
        <f>SUM('F13-Year(n)'!E232:I232)</f>
        <v>22.6589842364608</v>
      </c>
      <c r="J234" s="147">
        <f>SUM('F13-Year(n)'!J232:P232)</f>
        <v>32.4819706213548</v>
      </c>
      <c r="K234" s="147">
        <f t="shared" si="12"/>
        <v>55.1409548578156</v>
      </c>
      <c r="L234" s="147">
        <f>'F13-Year(n+1)'!Q241</f>
        <v>0</v>
      </c>
      <c r="M234" s="147">
        <f>'F13-Year(n+2)'!Q240</f>
        <v>0</v>
      </c>
      <c r="N234" s="147">
        <f>'F13-Year(n+3)'!Q240</f>
        <v>0</v>
      </c>
      <c r="O234" s="147">
        <f>'F13-Year(n+4)'!Q240</f>
        <v>0</v>
      </c>
      <c r="P234" s="147">
        <f>'F13-Year(n+5)'!Q240</f>
        <v>0</v>
      </c>
    </row>
    <row r="235" spans="3:16">
      <c r="C235" s="55"/>
      <c r="D235" s="55" t="s">
        <v>384</v>
      </c>
      <c r="E235" s="147"/>
      <c r="F235" s="752">
        <f>'F13-Year(n-1)'!Q235</f>
        <v>0.729862387564936</v>
      </c>
      <c r="G235" s="147"/>
      <c r="H235" s="147">
        <f>'[48]PP Cost'!J109</f>
        <v>1.157385</v>
      </c>
      <c r="I235" s="147">
        <f>SUM('F13-Year(n)'!E233:I233)</f>
        <v>1.05899671457499</v>
      </c>
      <c r="J235" s="147">
        <f>SUM('F13-Year(n)'!J233:P233)</f>
        <v>1.47887664320358</v>
      </c>
      <c r="K235" s="147">
        <f t="shared" si="12"/>
        <v>2.53787335777857</v>
      </c>
      <c r="L235" s="147">
        <f>'F13-Year(n+1)'!Q242</f>
        <v>2.23086155</v>
      </c>
      <c r="M235" s="147">
        <f>'F13-Year(n+2)'!Q241</f>
        <v>1.411</v>
      </c>
      <c r="N235" s="147">
        <f>'F13-Year(n+3)'!Q241</f>
        <v>1.411</v>
      </c>
      <c r="O235" s="147">
        <f>'F13-Year(n+4)'!Q241</f>
        <v>1.411</v>
      </c>
      <c r="P235" s="147">
        <f>'F13-Year(n+5)'!Q241</f>
        <v>1.411</v>
      </c>
    </row>
    <row r="236" spans="3:16">
      <c r="C236" s="55"/>
      <c r="D236" s="55" t="s">
        <v>385</v>
      </c>
      <c r="E236" s="147"/>
      <c r="F236" s="752">
        <f>'F13-Year(n-1)'!Q236</f>
        <v>0.670719380545602</v>
      </c>
      <c r="G236" s="147"/>
      <c r="H236" s="147">
        <f>'[48]PP Cost'!J110</f>
        <v>2.040885</v>
      </c>
      <c r="I236" s="147">
        <f>SUM('F13-Year(n)'!E234:I234)</f>
        <v>1.61569897872461</v>
      </c>
      <c r="J236" s="147">
        <f>SUM('F13-Year(n)'!J234:P234)</f>
        <v>2.16347375805591</v>
      </c>
      <c r="K236" s="147">
        <f t="shared" si="12"/>
        <v>3.77917273678052</v>
      </c>
      <c r="L236" s="147">
        <f>'F13-Year(n+1)'!Q243</f>
        <v>3.0229264</v>
      </c>
      <c r="M236" s="147">
        <f>'F13-Year(n+2)'!Q242</f>
        <v>0</v>
      </c>
      <c r="N236" s="147">
        <f>'F13-Year(n+3)'!Q242</f>
        <v>0</v>
      </c>
      <c r="O236" s="147">
        <f>'F13-Year(n+4)'!Q242</f>
        <v>0</v>
      </c>
      <c r="P236" s="147">
        <f>'F13-Year(n+5)'!Q242</f>
        <v>0</v>
      </c>
    </row>
    <row r="237" spans="3:16">
      <c r="C237" s="55"/>
      <c r="D237" s="55" t="s">
        <v>386</v>
      </c>
      <c r="E237" s="147" t="e">
        <f>'[47]PP Cost'!$J$108</f>
        <v>#REF!</v>
      </c>
      <c r="F237" s="752">
        <f>'F13-Year(n-1)'!Q237</f>
        <v>0</v>
      </c>
      <c r="G237" s="147"/>
      <c r="H237" s="147">
        <f>'[48]PP Cost'!J112</f>
        <v>0</v>
      </c>
      <c r="I237" s="147">
        <f>SUM('F13-Year(n)'!E235:I235)</f>
        <v>36.429972631945</v>
      </c>
      <c r="J237" s="147">
        <f>SUM('F13-Year(n)'!J235:P235)</f>
        <v>28.4967985509</v>
      </c>
      <c r="K237" s="147">
        <f t="shared" si="12"/>
        <v>64.926771182845</v>
      </c>
      <c r="L237" s="147">
        <f>'F13-Year(n+1)'!Q244</f>
        <v>60.4294614</v>
      </c>
      <c r="M237" s="147">
        <f>'F13-Year(n+2)'!Q243</f>
        <v>55.029</v>
      </c>
      <c r="N237" s="147">
        <f>'F13-Year(n+3)'!Q243</f>
        <v>55.029</v>
      </c>
      <c r="O237" s="147">
        <f>'F13-Year(n+4)'!Q243</f>
        <v>55.029</v>
      </c>
      <c r="P237" s="147">
        <f>'F13-Year(n+5)'!Q243</f>
        <v>55.029</v>
      </c>
    </row>
    <row r="238" spans="3:16">
      <c r="C238" s="55"/>
      <c r="D238" s="55" t="s">
        <v>387</v>
      </c>
      <c r="E238" s="147" t="e">
        <f>'[47]PP Cost'!$J$109</f>
        <v>#REF!</v>
      </c>
      <c r="F238" s="752">
        <f>'F13-Year(n-1)'!Q238</f>
        <v>64.4097423642275</v>
      </c>
      <c r="G238" s="147"/>
      <c r="H238" s="147">
        <f>'[48]PP Cost'!J113</f>
        <v>0</v>
      </c>
      <c r="I238" s="147">
        <f>SUM('F13-Year(n)'!E236:I236)</f>
        <v>37.9355942282642</v>
      </c>
      <c r="J238" s="147">
        <f>SUM('F13-Year(n)'!J236:P236)</f>
        <v>52.6413270596536</v>
      </c>
      <c r="K238" s="147">
        <f t="shared" si="12"/>
        <v>90.5769212879179</v>
      </c>
      <c r="L238" s="147">
        <f>'F13-Year(n+1)'!Q245</f>
        <v>86.4387587572446</v>
      </c>
      <c r="M238" s="147">
        <f>'F13-Year(n+2)'!Q244</f>
        <v>89.5984999999999</v>
      </c>
      <c r="N238" s="147">
        <f>'F13-Year(n+3)'!Q244</f>
        <v>89.5985</v>
      </c>
      <c r="O238" s="147">
        <f>'F13-Year(n+4)'!Q244</f>
        <v>89.5984999999999</v>
      </c>
      <c r="P238" s="147">
        <f>'F13-Year(n+5)'!Q244</f>
        <v>89.5985</v>
      </c>
    </row>
    <row r="239" spans="3:16">
      <c r="C239" s="55"/>
      <c r="D239" s="731" t="s">
        <v>467</v>
      </c>
      <c r="E239" s="147"/>
      <c r="F239" s="752">
        <f>'F13-Year(n-1)'!Q239</f>
        <v>50.4874226196119</v>
      </c>
      <c r="G239" s="147"/>
      <c r="H239" s="147"/>
      <c r="I239" s="147">
        <f>SUM('F13-Year(n)'!E237:I237)</f>
        <v>0.01207131665</v>
      </c>
      <c r="J239" s="147">
        <f>SUM('F13-Year(n)'!J237:P237)</f>
        <v>0.0016281529</v>
      </c>
      <c r="K239" s="147">
        <f t="shared" si="12"/>
        <v>0.01369946955</v>
      </c>
      <c r="L239" s="147">
        <f>'F13-Year(n+1)'!Q246</f>
        <v>0</v>
      </c>
      <c r="M239" s="147">
        <f>'F13-Year(n+2)'!Q245</f>
        <v>0</v>
      </c>
      <c r="N239" s="147">
        <f>'F13-Year(n+3)'!Q245</f>
        <v>0</v>
      </c>
      <c r="O239" s="147">
        <f>'F13-Year(n+4)'!Q245</f>
        <v>0</v>
      </c>
      <c r="P239" s="147">
        <f>'F13-Year(n+5)'!Q245</f>
        <v>0</v>
      </c>
    </row>
    <row r="240" spans="3:16">
      <c r="C240" s="55"/>
      <c r="D240" s="731" t="s">
        <v>468</v>
      </c>
      <c r="E240" s="147"/>
      <c r="F240" s="752">
        <f>'F13-Year(n-1)'!Q240</f>
        <v>0</v>
      </c>
      <c r="G240" s="147"/>
      <c r="H240" s="147"/>
      <c r="I240" s="147">
        <f>SUM('F13-Year(n)'!E238:I238)</f>
        <v>0.09286108475</v>
      </c>
      <c r="J240" s="147">
        <f>SUM('F13-Year(n)'!J238:P238)</f>
        <v>-0.0006230976</v>
      </c>
      <c r="K240" s="147">
        <f t="shared" si="12"/>
        <v>0.09223798715</v>
      </c>
      <c r="L240" s="147">
        <f>'F13-Year(n+1)'!Q247</f>
        <v>0</v>
      </c>
      <c r="M240" s="147">
        <f>'F13-Year(n+2)'!Q246</f>
        <v>0</v>
      </c>
      <c r="N240" s="147">
        <f>'F13-Year(n+3)'!Q246</f>
        <v>0</v>
      </c>
      <c r="O240" s="147">
        <f>'F13-Year(n+4)'!Q246</f>
        <v>0</v>
      </c>
      <c r="P240" s="147">
        <f>'F13-Year(n+5)'!Q246</f>
        <v>0</v>
      </c>
    </row>
    <row r="241" spans="3:16">
      <c r="C241" s="55"/>
      <c r="D241" s="687" t="s">
        <v>470</v>
      </c>
      <c r="E241" s="147"/>
      <c r="F241" s="752">
        <f>'F13-Year(n-1)'!Q241</f>
        <v>0</v>
      </c>
      <c r="G241" s="147"/>
      <c r="H241" s="147"/>
      <c r="I241" s="147">
        <f>SUM('F13-Year(n)'!E239:I239)</f>
        <v>0.0160560512</v>
      </c>
      <c r="J241" s="147">
        <f>SUM('F13-Year(n)'!J239:P239)</f>
        <v>0.0001743996</v>
      </c>
      <c r="K241" s="147">
        <f t="shared" si="12"/>
        <v>0.0162304508</v>
      </c>
      <c r="L241" s="147">
        <f>'F13-Year(n+1)'!Q248</f>
        <v>0</v>
      </c>
      <c r="M241" s="147">
        <f>'F13-Year(n+2)'!Q247</f>
        <v>0</v>
      </c>
      <c r="N241" s="147">
        <f>'F13-Year(n+3)'!Q247</f>
        <v>0</v>
      </c>
      <c r="O241" s="147">
        <f>'F13-Year(n+4)'!Q247</f>
        <v>0</v>
      </c>
      <c r="P241" s="147">
        <f>'F13-Year(n+5)'!Q247</f>
        <v>0</v>
      </c>
    </row>
    <row r="242" spans="3:16">
      <c r="C242" s="55"/>
      <c r="D242" s="687" t="s">
        <v>471</v>
      </c>
      <c r="E242" s="147"/>
      <c r="F242" s="752">
        <f>'F13-Year(n-1)'!Q242</f>
        <v>0</v>
      </c>
      <c r="G242" s="147"/>
      <c r="H242" s="147"/>
      <c r="I242" s="147">
        <f>SUM('F13-Year(n)'!E240:I240)</f>
        <v>0.07931873005</v>
      </c>
      <c r="J242" s="147">
        <f>SUM('F13-Year(n)'!J240:P240)</f>
        <v>0.0031400394</v>
      </c>
      <c r="K242" s="147">
        <f t="shared" si="12"/>
        <v>0.08245876945</v>
      </c>
      <c r="L242" s="147">
        <f>'F13-Year(n+1)'!Q249</f>
        <v>0</v>
      </c>
      <c r="M242" s="147">
        <f>'F13-Year(n+2)'!Q248</f>
        <v>0</v>
      </c>
      <c r="N242" s="147">
        <f>'F13-Year(n+3)'!Q248</f>
        <v>0</v>
      </c>
      <c r="O242" s="147">
        <f>'F13-Year(n+4)'!Q248</f>
        <v>0</v>
      </c>
      <c r="P242" s="147">
        <f>'F13-Year(n+5)'!Q248</f>
        <v>0</v>
      </c>
    </row>
    <row r="243" spans="3:16">
      <c r="C243" s="55"/>
      <c r="D243" s="731" t="s">
        <v>472</v>
      </c>
      <c r="E243" s="147"/>
      <c r="F243" s="752">
        <f>'F13-Year(n-1)'!Q243</f>
        <v>0</v>
      </c>
      <c r="G243" s="147"/>
      <c r="H243" s="147"/>
      <c r="I243" s="147">
        <f>SUM('F13-Year(n)'!E241:I241)</f>
        <v>0</v>
      </c>
      <c r="J243" s="147">
        <f>SUM('F13-Year(n)'!J241:P241)</f>
        <v>0.0122055733</v>
      </c>
      <c r="K243" s="147">
        <f t="shared" si="12"/>
        <v>0.0122055733</v>
      </c>
      <c r="L243" s="147">
        <f>'F13-Year(n+1)'!Q250</f>
        <v>0</v>
      </c>
      <c r="M243" s="147">
        <f>'F13-Year(n+2)'!Q249</f>
        <v>0</v>
      </c>
      <c r="N243" s="147">
        <f>'F13-Year(n+3)'!Q249</f>
        <v>0</v>
      </c>
      <c r="O243" s="147">
        <f>'F13-Year(n+4)'!Q249</f>
        <v>0</v>
      </c>
      <c r="P243" s="147">
        <f>'F13-Year(n+5)'!Q249</f>
        <v>0</v>
      </c>
    </row>
    <row r="244" spans="3:16">
      <c r="C244" s="55"/>
      <c r="D244" s="731" t="s">
        <v>473</v>
      </c>
      <c r="E244" s="147"/>
      <c r="F244" s="752">
        <f>'F13-Year(n-1)'!Q244</f>
        <v>0</v>
      </c>
      <c r="G244" s="147"/>
      <c r="H244" s="147"/>
      <c r="I244" s="147">
        <f>SUM('F13-Year(n)'!E242:I242)</f>
        <v>0</v>
      </c>
      <c r="J244" s="147">
        <f>SUM('F13-Year(n)'!J242:P242)</f>
        <v>-1.516825e-5</v>
      </c>
      <c r="K244" s="147">
        <f t="shared" si="12"/>
        <v>-1.516825e-5</v>
      </c>
      <c r="L244" s="147">
        <f>'F13-Year(n+1)'!Q251</f>
        <v>0</v>
      </c>
      <c r="M244" s="147">
        <f>'F13-Year(n+2)'!Q250</f>
        <v>0</v>
      </c>
      <c r="N244" s="147">
        <f>'F13-Year(n+3)'!Q250</f>
        <v>0</v>
      </c>
      <c r="O244" s="147">
        <f>'F13-Year(n+4)'!Q250</f>
        <v>0</v>
      </c>
      <c r="P244" s="147">
        <f>'F13-Year(n+5)'!Q250</f>
        <v>0</v>
      </c>
    </row>
    <row r="245" spans="3:16">
      <c r="C245" s="55"/>
      <c r="D245" s="679" t="s">
        <v>498</v>
      </c>
      <c r="E245" s="147"/>
      <c r="F245" s="752">
        <f>'F13-Year(n-1)'!Q245</f>
        <v>0</v>
      </c>
      <c r="G245" s="147"/>
      <c r="H245" s="147"/>
      <c r="I245" s="147">
        <f>SUM('F13-Year(n)'!E243:I243)</f>
        <v>0</v>
      </c>
      <c r="J245" s="147">
        <f>SUM('F13-Year(n)'!J243:P243)</f>
        <v>0</v>
      </c>
      <c r="K245" s="147">
        <f t="shared" si="12"/>
        <v>0</v>
      </c>
      <c r="L245" s="147">
        <f>'F13-Year(n+1)'!Q252</f>
        <v>0</v>
      </c>
      <c r="M245" s="147">
        <f>'F13-Year(n+2)'!Q251</f>
        <v>0</v>
      </c>
      <c r="N245" s="147">
        <f>'F13-Year(n+3)'!Q251</f>
        <v>0</v>
      </c>
      <c r="O245" s="147">
        <f>'F13-Year(n+4)'!Q251</f>
        <v>0</v>
      </c>
      <c r="P245" s="147">
        <f>'F13-Year(n+5)'!Q251</f>
        <v>0</v>
      </c>
    </row>
    <row r="246" spans="3:16">
      <c r="C246" s="55"/>
      <c r="D246" s="55"/>
      <c r="E246" s="147"/>
      <c r="F246" s="752">
        <f>'F13-Year(n-1)'!Q246</f>
        <v>0</v>
      </c>
      <c r="G246" s="147"/>
      <c r="H246" s="147"/>
      <c r="I246" s="147">
        <f>SUM('F13-Year(n)'!E244:J244)</f>
        <v>0</v>
      </c>
      <c r="J246" s="147">
        <f>SUM('F13-Year(n)'!K244:P244)</f>
        <v>0</v>
      </c>
      <c r="K246" s="147">
        <f t="shared" si="12"/>
        <v>0</v>
      </c>
      <c r="L246" s="147">
        <f>'F13-Year(n+1)'!Q253</f>
        <v>0</v>
      </c>
      <c r="M246" s="147">
        <f>'F13-Year(n+2)'!Q252</f>
        <v>0</v>
      </c>
      <c r="N246" s="147">
        <f>'F13-Year(n+3)'!Q252</f>
        <v>0</v>
      </c>
      <c r="O246" s="147">
        <f>'F13-Year(n+4)'!Q252</f>
        <v>0</v>
      </c>
      <c r="P246" s="147">
        <f>'F13-Year(n+5)'!Q252</f>
        <v>0</v>
      </c>
    </row>
    <row r="247" spans="3:16">
      <c r="C247" s="55"/>
      <c r="D247" s="55"/>
      <c r="E247" s="147"/>
      <c r="F247" s="752"/>
      <c r="G247" s="147"/>
      <c r="H247" s="147"/>
      <c r="I247" s="147">
        <f>SUM('F13-Year(n)'!E245:J245)</f>
        <v>0</v>
      </c>
      <c r="J247" s="147">
        <f>SUM('F13-Year(n)'!K245:P245)</f>
        <v>0</v>
      </c>
      <c r="K247" s="147"/>
      <c r="L247" s="147">
        <f>'F13-Year(n+1)'!Q254</f>
        <v>0</v>
      </c>
      <c r="M247" s="147">
        <f>'F13-Year(n+2)'!Q253</f>
        <v>0</v>
      </c>
      <c r="N247" s="147">
        <f>'F13-Year(n+3)'!Q253</f>
        <v>0</v>
      </c>
      <c r="O247" s="147">
        <f>'F13-Year(n+4)'!Q253</f>
        <v>0</v>
      </c>
      <c r="P247" s="147">
        <f>'F13-Year(n+5)'!Q253</f>
        <v>0</v>
      </c>
    </row>
    <row r="248" spans="3:16">
      <c r="C248" s="55"/>
      <c r="D248" s="55"/>
      <c r="E248" s="147"/>
      <c r="F248" s="752">
        <f>'F13-Year(n-1)'!Q247</f>
        <v>0</v>
      </c>
      <c r="G248" s="147"/>
      <c r="H248" s="147"/>
      <c r="I248" s="147">
        <f>SUM('F13-Year(n)'!E246:J246)</f>
        <v>0</v>
      </c>
      <c r="J248" s="147">
        <f>SUM('F13-Year(n)'!K246:P246)</f>
        <v>0</v>
      </c>
      <c r="K248" s="147">
        <f>I248+J248</f>
        <v>0</v>
      </c>
      <c r="L248" s="147">
        <f>'F13-Year(n+1)'!Q255</f>
        <v>0</v>
      </c>
      <c r="M248" s="147">
        <f>'F13-Year(n+2)'!Q254</f>
        <v>0</v>
      </c>
      <c r="N248" s="147">
        <f>'F13-Year(n+3)'!Q254</f>
        <v>0</v>
      </c>
      <c r="O248" s="147">
        <f>'F13-Year(n+4)'!Q254</f>
        <v>0</v>
      </c>
      <c r="P248" s="147">
        <f>'F13-Year(n+5)'!Q254</f>
        <v>0</v>
      </c>
    </row>
    <row r="249" ht="15" spans="3:16">
      <c r="C249" s="537" t="s">
        <v>211</v>
      </c>
      <c r="D249" s="540"/>
      <c r="E249" s="316" t="e">
        <f>SUM(E223:E248)</f>
        <v>#REF!</v>
      </c>
      <c r="F249" s="316">
        <f>SUM(F223:F248)</f>
        <v>694.952176255116</v>
      </c>
      <c r="G249" s="316" t="e">
        <f>F249-E249</f>
        <v>#REF!</v>
      </c>
      <c r="H249" s="316">
        <f>SUM(H223:H248)</f>
        <v>840.588405</v>
      </c>
      <c r="I249" s="316">
        <f>SUM(I223:I248)</f>
        <v>618.244722549034</v>
      </c>
      <c r="J249" s="316">
        <f>SUM(J223:J248)</f>
        <v>1017.66021636507</v>
      </c>
      <c r="K249" s="316">
        <f>I249+J249</f>
        <v>1635.90493891411</v>
      </c>
      <c r="L249" s="316">
        <f>'F13-Year(n+1)'!Q256</f>
        <v>2654.90258120124</v>
      </c>
      <c r="M249" s="316">
        <f>'F13-Year(n+2)'!Q255</f>
        <v>2832.65400673496</v>
      </c>
      <c r="N249" s="316">
        <f>'F13-Year(n+3)'!Q255</f>
        <v>2832.65400673496</v>
      </c>
      <c r="O249" s="316">
        <f>'F13-Year(n+4)'!Q255</f>
        <v>2832.65400673496</v>
      </c>
      <c r="P249" s="316">
        <f>'F13-Year(n+5)'!Q255</f>
        <v>2832.65400673496</v>
      </c>
    </row>
    <row r="250" ht="15" spans="3:16">
      <c r="C250" s="44" t="s">
        <v>388</v>
      </c>
      <c r="D250" s="45"/>
      <c r="E250" s="147"/>
      <c r="F250" s="147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</row>
    <row r="251" spans="3:16">
      <c r="C251" s="682" t="s">
        <v>389</v>
      </c>
      <c r="D251" s="55" t="s">
        <v>390</v>
      </c>
      <c r="E251" s="147">
        <f>'[47]PP Cost'!J111</f>
        <v>0</v>
      </c>
      <c r="F251" s="752">
        <f>'F13-Year(n-1)'!Q251</f>
        <v>0</v>
      </c>
      <c r="G251" s="147"/>
      <c r="H251" s="147">
        <f>'[48]PP Cost'!J115</f>
        <v>0</v>
      </c>
      <c r="I251" s="147">
        <f>SUM('F13-Year(n)'!E249:J249)</f>
        <v>0</v>
      </c>
      <c r="J251" s="147">
        <f>SUM('F13-Year(n)'!K249:P249)</f>
        <v>0</v>
      </c>
      <c r="K251" s="147">
        <f t="shared" ref="K251:K266" si="13">I251+J251</f>
        <v>0</v>
      </c>
      <c r="L251" s="147">
        <f>'F13-Year(n+1)'!Q258</f>
        <v>0</v>
      </c>
      <c r="M251" s="147">
        <f>'F13-Year(n+2)'!Q257</f>
        <v>0</v>
      </c>
      <c r="N251" s="147">
        <f>'F13-Year(n+3)'!Q257</f>
        <v>0</v>
      </c>
      <c r="O251" s="147">
        <f>'F13-Year(n+4)'!Q257</f>
        <v>0</v>
      </c>
      <c r="P251" s="147">
        <f>'F13-Year(n+5)'!Q257</f>
        <v>0</v>
      </c>
    </row>
    <row r="252" spans="3:16">
      <c r="C252" s="683"/>
      <c r="D252" s="55" t="s">
        <v>391</v>
      </c>
      <c r="E252" s="147">
        <f>'[47]PP Cost'!J112</f>
        <v>0</v>
      </c>
      <c r="F252" s="752">
        <f>'F13-Year(n-1)'!Q252</f>
        <v>0</v>
      </c>
      <c r="G252" s="147"/>
      <c r="H252" s="147">
        <f>'[48]PP Cost'!J116</f>
        <v>0</v>
      </c>
      <c r="I252" s="147">
        <f>SUM('F13-Year(n)'!E250:J250)</f>
        <v>0</v>
      </c>
      <c r="J252" s="147">
        <f>SUM('F13-Year(n)'!K250:P250)</f>
        <v>0</v>
      </c>
      <c r="K252" s="147">
        <f t="shared" si="13"/>
        <v>0</v>
      </c>
      <c r="L252" s="147">
        <f>'F13-Year(n+1)'!Q259</f>
        <v>0</v>
      </c>
      <c r="M252" s="147">
        <f>'F13-Year(n+2)'!Q258</f>
        <v>0</v>
      </c>
      <c r="N252" s="147">
        <f>'F13-Year(n+3)'!Q258</f>
        <v>0</v>
      </c>
      <c r="O252" s="147">
        <f>'F13-Year(n+4)'!Q258</f>
        <v>0</v>
      </c>
      <c r="P252" s="147">
        <f>'F13-Year(n+5)'!Q258</f>
        <v>0</v>
      </c>
    </row>
    <row r="253" spans="3:16">
      <c r="C253" s="683"/>
      <c r="D253" s="55" t="s">
        <v>392</v>
      </c>
      <c r="E253" s="147">
        <f>'[47]PP Cost'!J113</f>
        <v>0</v>
      </c>
      <c r="F253" s="752">
        <f>'F13-Year(n-1)'!Q253</f>
        <v>0</v>
      </c>
      <c r="G253" s="147"/>
      <c r="H253" s="147">
        <f>'[48]PP Cost'!J117</f>
        <v>0</v>
      </c>
      <c r="I253" s="147">
        <f>SUM('F13-Year(n)'!E251:J251)</f>
        <v>0</v>
      </c>
      <c r="J253" s="147">
        <f>SUM('F13-Year(n)'!K251:P251)</f>
        <v>0</v>
      </c>
      <c r="K253" s="147">
        <f t="shared" si="13"/>
        <v>0</v>
      </c>
      <c r="L253" s="147">
        <f>'F13-Year(n+1)'!Q260</f>
        <v>0</v>
      </c>
      <c r="M253" s="147">
        <f>'F13-Year(n+2)'!Q259</f>
        <v>0</v>
      </c>
      <c r="N253" s="147">
        <f>'F13-Year(n+3)'!Q259</f>
        <v>0</v>
      </c>
      <c r="O253" s="147">
        <f>'F13-Year(n+4)'!Q259</f>
        <v>0</v>
      </c>
      <c r="P253" s="147">
        <f>'F13-Year(n+5)'!Q259</f>
        <v>0</v>
      </c>
    </row>
    <row r="254" spans="3:16">
      <c r="C254" s="684"/>
      <c r="D254" s="55" t="s">
        <v>393</v>
      </c>
      <c r="E254" s="147">
        <f>'[47]PP Cost'!J114</f>
        <v>0</v>
      </c>
      <c r="F254" s="752">
        <f>'F13-Year(n-1)'!Q254</f>
        <v>0</v>
      </c>
      <c r="G254" s="147"/>
      <c r="H254" s="147">
        <f>'[48]PP Cost'!J118</f>
        <v>0</v>
      </c>
      <c r="I254" s="147">
        <f>SUM('F13-Year(n)'!E252:J252)</f>
        <v>0</v>
      </c>
      <c r="J254" s="147">
        <f>SUM('F13-Year(n)'!K252:P252)</f>
        <v>0</v>
      </c>
      <c r="K254" s="147">
        <f t="shared" si="13"/>
        <v>0</v>
      </c>
      <c r="L254" s="147">
        <f>'F13-Year(n+1)'!Q261</f>
        <v>0</v>
      </c>
      <c r="M254" s="147">
        <f>'F13-Year(n+2)'!Q260</f>
        <v>0</v>
      </c>
      <c r="N254" s="147">
        <f>'F13-Year(n+3)'!Q260</f>
        <v>0</v>
      </c>
      <c r="O254" s="147">
        <f>'F13-Year(n+4)'!Q260</f>
        <v>0</v>
      </c>
      <c r="P254" s="147">
        <f>'F13-Year(n+5)'!Q260</f>
        <v>0</v>
      </c>
    </row>
    <row r="255" spans="3:16">
      <c r="C255" s="55"/>
      <c r="D255" s="55"/>
      <c r="E255" s="147"/>
      <c r="F255" s="752">
        <f>'F13-Year(n-1)'!Q255</f>
        <v>0</v>
      </c>
      <c r="G255" s="147"/>
      <c r="H255" s="147"/>
      <c r="I255" s="147">
        <f>SUM('F13-Year(n)'!E253:J253)</f>
        <v>0</v>
      </c>
      <c r="J255" s="147">
        <f>SUM('F13-Year(n)'!K253:P253)</f>
        <v>0</v>
      </c>
      <c r="K255" s="147">
        <f t="shared" si="13"/>
        <v>0</v>
      </c>
      <c r="L255" s="147">
        <f>'F13-Year(n+1)'!Q262</f>
        <v>0</v>
      </c>
      <c r="M255" s="147">
        <f>'F13-Year(n+2)'!Q261</f>
        <v>0</v>
      </c>
      <c r="N255" s="147">
        <f>'F13-Year(n+3)'!Q261</f>
        <v>0</v>
      </c>
      <c r="O255" s="147">
        <f>'F13-Year(n+4)'!Q261</f>
        <v>0</v>
      </c>
      <c r="P255" s="147">
        <f>'F13-Year(n+5)'!Q261</f>
        <v>0</v>
      </c>
    </row>
    <row r="256" spans="3:16">
      <c r="C256" s="55"/>
      <c r="D256" s="55"/>
      <c r="E256" s="147"/>
      <c r="F256" s="752">
        <f>'F13-Year(n-1)'!Q256</f>
        <v>0</v>
      </c>
      <c r="G256" s="147"/>
      <c r="H256" s="147"/>
      <c r="I256" s="147">
        <f>SUM('F13-Year(n)'!E254:J254)</f>
        <v>0</v>
      </c>
      <c r="J256" s="147">
        <f>SUM('F13-Year(n)'!K254:P254)</f>
        <v>0</v>
      </c>
      <c r="K256" s="147">
        <f t="shared" si="13"/>
        <v>0</v>
      </c>
      <c r="L256" s="147">
        <f>'F13-Year(n+1)'!Q263</f>
        <v>0</v>
      </c>
      <c r="M256" s="147">
        <f>'F13-Year(n+2)'!Q262</f>
        <v>0</v>
      </c>
      <c r="N256" s="147">
        <f>'F13-Year(n+3)'!Q262</f>
        <v>0</v>
      </c>
      <c r="O256" s="147">
        <f>'F13-Year(n+4)'!Q262</f>
        <v>0</v>
      </c>
      <c r="P256" s="147">
        <f>'F13-Year(n+5)'!Q262</f>
        <v>0</v>
      </c>
    </row>
    <row r="257" spans="3:16">
      <c r="C257" s="55"/>
      <c r="D257" s="55"/>
      <c r="E257" s="147"/>
      <c r="F257" s="752">
        <f>'F13-Year(n-1)'!Q257</f>
        <v>0</v>
      </c>
      <c r="G257" s="147"/>
      <c r="H257" s="147"/>
      <c r="I257" s="147">
        <f>SUM('F13-Year(n)'!E255:J255)</f>
        <v>0</v>
      </c>
      <c r="J257" s="147">
        <f>SUM('F13-Year(n)'!K255:P255)</f>
        <v>0</v>
      </c>
      <c r="K257" s="147">
        <f t="shared" si="13"/>
        <v>0</v>
      </c>
      <c r="L257" s="147">
        <f>'F13-Year(n+1)'!Q264</f>
        <v>0</v>
      </c>
      <c r="M257" s="147">
        <f>'F13-Year(n+2)'!Q263</f>
        <v>0</v>
      </c>
      <c r="N257" s="147">
        <f>'F13-Year(n+3)'!Q263</f>
        <v>0</v>
      </c>
      <c r="O257" s="147">
        <f>'F13-Year(n+4)'!Q263</f>
        <v>0</v>
      </c>
      <c r="P257" s="147">
        <f>'F13-Year(n+5)'!Q263</f>
        <v>0</v>
      </c>
    </row>
    <row r="258" spans="3:16">
      <c r="C258" s="55"/>
      <c r="D258" s="55"/>
      <c r="E258" s="147"/>
      <c r="F258" s="752">
        <f>'F13-Year(n-1)'!Q258</f>
        <v>0</v>
      </c>
      <c r="G258" s="147"/>
      <c r="H258" s="147"/>
      <c r="I258" s="147">
        <f>SUM('F13-Year(n)'!E256:J256)</f>
        <v>0</v>
      </c>
      <c r="J258" s="147">
        <f>SUM('F13-Year(n)'!K256:P256)</f>
        <v>0</v>
      </c>
      <c r="K258" s="147">
        <f t="shared" si="13"/>
        <v>0</v>
      </c>
      <c r="L258" s="147">
        <f>'F13-Year(n+1)'!Q265</f>
        <v>0</v>
      </c>
      <c r="M258" s="147">
        <f>'F13-Year(n+2)'!Q264</f>
        <v>0</v>
      </c>
      <c r="N258" s="147">
        <f>'F13-Year(n+3)'!Q264</f>
        <v>0</v>
      </c>
      <c r="O258" s="147">
        <f>'F13-Year(n+4)'!Q264</f>
        <v>0</v>
      </c>
      <c r="P258" s="147">
        <f>'F13-Year(n+5)'!Q264</f>
        <v>0</v>
      </c>
    </row>
    <row r="259" spans="3:16">
      <c r="C259" s="55"/>
      <c r="D259" s="55"/>
      <c r="E259" s="147"/>
      <c r="F259" s="752">
        <f>'F13-Year(n-1)'!Q259</f>
        <v>0</v>
      </c>
      <c r="G259" s="147"/>
      <c r="H259" s="147"/>
      <c r="I259" s="147">
        <f>SUM('F13-Year(n)'!E257:J257)</f>
        <v>0</v>
      </c>
      <c r="J259" s="147">
        <f>SUM('F13-Year(n)'!K257:P257)</f>
        <v>0</v>
      </c>
      <c r="K259" s="147">
        <f t="shared" si="13"/>
        <v>0</v>
      </c>
      <c r="L259" s="147">
        <f>'F13-Year(n+1)'!Q266</f>
        <v>0</v>
      </c>
      <c r="M259" s="147">
        <f>'F13-Year(n+2)'!Q265</f>
        <v>0</v>
      </c>
      <c r="N259" s="147">
        <f>'F13-Year(n+3)'!Q265</f>
        <v>0</v>
      </c>
      <c r="O259" s="147">
        <f>'F13-Year(n+4)'!Q265</f>
        <v>0</v>
      </c>
      <c r="P259" s="147">
        <f>'F13-Year(n+5)'!Q265</f>
        <v>0</v>
      </c>
    </row>
    <row r="260" spans="3:16">
      <c r="C260" s="55"/>
      <c r="D260" s="55"/>
      <c r="E260" s="147"/>
      <c r="F260" s="752">
        <f>'F13-Year(n-1)'!Q260</f>
        <v>0</v>
      </c>
      <c r="G260" s="147"/>
      <c r="H260" s="147"/>
      <c r="I260" s="147">
        <f>SUM('F13-Year(n)'!E258:J258)</f>
        <v>0</v>
      </c>
      <c r="J260" s="147">
        <f>SUM('F13-Year(n)'!K258:P258)</f>
        <v>0</v>
      </c>
      <c r="K260" s="147">
        <f t="shared" si="13"/>
        <v>0</v>
      </c>
      <c r="L260" s="147">
        <f>'F13-Year(n+1)'!Q267</f>
        <v>0</v>
      </c>
      <c r="M260" s="147">
        <f>'F13-Year(n+2)'!Q266</f>
        <v>0</v>
      </c>
      <c r="N260" s="147">
        <f>'F13-Year(n+3)'!Q266</f>
        <v>0</v>
      </c>
      <c r="O260" s="147">
        <f>'F13-Year(n+4)'!Q266</f>
        <v>0</v>
      </c>
      <c r="P260" s="147">
        <f>'F13-Year(n+5)'!Q266</f>
        <v>0</v>
      </c>
    </row>
    <row r="261" spans="3:16">
      <c r="C261" s="55"/>
      <c r="D261" s="55"/>
      <c r="E261" s="147"/>
      <c r="F261" s="752">
        <f>'F13-Year(n-1)'!Q261</f>
        <v>0</v>
      </c>
      <c r="G261" s="147"/>
      <c r="H261" s="147"/>
      <c r="I261" s="147">
        <f>SUM('F13-Year(n)'!E259:J259)</f>
        <v>0</v>
      </c>
      <c r="J261" s="147">
        <f>SUM('F13-Year(n)'!K259:P259)</f>
        <v>0</v>
      </c>
      <c r="K261" s="147">
        <f t="shared" si="13"/>
        <v>0</v>
      </c>
      <c r="L261" s="147">
        <f>'F13-Year(n+1)'!Q268</f>
        <v>0</v>
      </c>
      <c r="M261" s="147">
        <f>'F13-Year(n+2)'!Q267</f>
        <v>0</v>
      </c>
      <c r="N261" s="147">
        <f>'F13-Year(n+3)'!Q267</f>
        <v>0</v>
      </c>
      <c r="O261" s="147">
        <f>'F13-Year(n+4)'!Q267</f>
        <v>0</v>
      </c>
      <c r="P261" s="147">
        <f>'F13-Year(n+5)'!Q267</f>
        <v>0</v>
      </c>
    </row>
    <row r="262" spans="3:16">
      <c r="C262" s="55"/>
      <c r="D262" s="55"/>
      <c r="E262" s="147"/>
      <c r="F262" s="752">
        <f>'F13-Year(n-1)'!Q262</f>
        <v>0</v>
      </c>
      <c r="G262" s="147"/>
      <c r="H262" s="147"/>
      <c r="I262" s="147">
        <f>SUM('F13-Year(n)'!E260:J260)</f>
        <v>0</v>
      </c>
      <c r="J262" s="147">
        <f>SUM('F13-Year(n)'!K260:P260)</f>
        <v>0</v>
      </c>
      <c r="K262" s="147">
        <f t="shared" si="13"/>
        <v>0</v>
      </c>
      <c r="L262" s="147">
        <f>'F13-Year(n+1)'!Q269</f>
        <v>0</v>
      </c>
      <c r="M262" s="147">
        <f>'F13-Year(n+2)'!Q268</f>
        <v>0</v>
      </c>
      <c r="N262" s="147">
        <f>'F13-Year(n+3)'!Q268</f>
        <v>0</v>
      </c>
      <c r="O262" s="147">
        <f>'F13-Year(n+4)'!Q268</f>
        <v>0</v>
      </c>
      <c r="P262" s="147">
        <f>'F13-Year(n+5)'!Q268</f>
        <v>0</v>
      </c>
    </row>
    <row r="263" spans="3:16">
      <c r="C263" s="55"/>
      <c r="D263" s="55"/>
      <c r="E263" s="147"/>
      <c r="F263" s="752">
        <f>'F13-Year(n-1)'!Q263</f>
        <v>0</v>
      </c>
      <c r="G263" s="147"/>
      <c r="H263" s="147"/>
      <c r="I263" s="147">
        <f>SUM('F13-Year(n)'!E261:J261)</f>
        <v>0</v>
      </c>
      <c r="J263" s="147">
        <f>SUM('F13-Year(n)'!K261:P261)</f>
        <v>0</v>
      </c>
      <c r="K263" s="147">
        <f t="shared" si="13"/>
        <v>0</v>
      </c>
      <c r="L263" s="147">
        <f>'F13-Year(n+1)'!Q270</f>
        <v>0</v>
      </c>
      <c r="M263" s="147">
        <f>'F13-Year(n+2)'!Q269</f>
        <v>0</v>
      </c>
      <c r="N263" s="147">
        <f>'F13-Year(n+3)'!Q269</f>
        <v>0</v>
      </c>
      <c r="O263" s="147">
        <f>'F13-Year(n+4)'!Q269</f>
        <v>0</v>
      </c>
      <c r="P263" s="147">
        <f>'F13-Year(n+5)'!Q269</f>
        <v>0</v>
      </c>
    </row>
    <row r="264" spans="3:16">
      <c r="C264" s="55"/>
      <c r="D264" s="55"/>
      <c r="E264" s="147"/>
      <c r="F264" s="752">
        <f>'F13-Year(n-1)'!Q264</f>
        <v>0</v>
      </c>
      <c r="G264" s="147"/>
      <c r="H264" s="147"/>
      <c r="I264" s="147">
        <f>SUM('F13-Year(n)'!E262:J262)</f>
        <v>0</v>
      </c>
      <c r="J264" s="147">
        <f>SUM('F13-Year(n)'!K262:P262)</f>
        <v>0</v>
      </c>
      <c r="K264" s="147">
        <f t="shared" si="13"/>
        <v>0</v>
      </c>
      <c r="L264" s="147">
        <f>'F13-Year(n+1)'!Q271</f>
        <v>0</v>
      </c>
      <c r="M264" s="147">
        <f>'F13-Year(n+2)'!Q270</f>
        <v>0</v>
      </c>
      <c r="N264" s="147">
        <f>'F13-Year(n+3)'!Q270</f>
        <v>0</v>
      </c>
      <c r="O264" s="147">
        <f>'F13-Year(n+4)'!Q270</f>
        <v>0</v>
      </c>
      <c r="P264" s="147">
        <f>'F13-Year(n+5)'!Q270</f>
        <v>0</v>
      </c>
    </row>
    <row r="265" ht="15" spans="3:16">
      <c r="C265" s="537" t="s">
        <v>211</v>
      </c>
      <c r="D265" s="540"/>
      <c r="E265" s="316">
        <f>SUM(E251:E264)</f>
        <v>0</v>
      </c>
      <c r="F265" s="316">
        <f>SUM(F251:F264)</f>
        <v>0</v>
      </c>
      <c r="G265" s="316">
        <f>F265-E265</f>
        <v>0</v>
      </c>
      <c r="H265" s="316">
        <f>SUM(H251:H264)</f>
        <v>0</v>
      </c>
      <c r="I265" s="316">
        <f>SUM(I251:I264)</f>
        <v>0</v>
      </c>
      <c r="J265" s="316">
        <f>SUM(J251:J264)</f>
        <v>0</v>
      </c>
      <c r="K265" s="316">
        <f t="shared" si="13"/>
        <v>0</v>
      </c>
      <c r="L265" s="316">
        <f>'F13-Year(n+1)'!Q272</f>
        <v>0</v>
      </c>
      <c r="M265" s="316">
        <f>'F13-Year(n+2)'!Q271</f>
        <v>0</v>
      </c>
      <c r="N265" s="316">
        <f>'F13-Year(n+3)'!Q271</f>
        <v>0</v>
      </c>
      <c r="O265" s="316">
        <f>'F13-Year(n+4)'!Q271</f>
        <v>0</v>
      </c>
      <c r="P265" s="316">
        <f>'F13-Year(n+5)'!Q271</f>
        <v>0</v>
      </c>
    </row>
    <row r="266" ht="15" spans="3:16">
      <c r="C266" s="44" t="s">
        <v>395</v>
      </c>
      <c r="D266" s="45"/>
      <c r="E266" s="316" t="e">
        <f>E249+E265</f>
        <v>#REF!</v>
      </c>
      <c r="F266" s="316">
        <f>F249+F265</f>
        <v>694.952176255116</v>
      </c>
      <c r="G266" s="316" t="e">
        <f>F266-E266</f>
        <v>#REF!</v>
      </c>
      <c r="H266" s="316">
        <f>H249+H265</f>
        <v>840.588405</v>
      </c>
      <c r="I266" s="316">
        <f>I249+I265</f>
        <v>618.244722549034</v>
      </c>
      <c r="J266" s="316">
        <f>J249+J265</f>
        <v>1017.66021636507</v>
      </c>
      <c r="K266" s="316">
        <f t="shared" si="13"/>
        <v>1635.90493891411</v>
      </c>
      <c r="L266" s="316">
        <f>'F13-Year(n+1)'!Q273</f>
        <v>2654.90258120124</v>
      </c>
      <c r="M266" s="316">
        <f>'F13-Year(n+2)'!Q272</f>
        <v>2832.65400673496</v>
      </c>
      <c r="N266" s="316">
        <f>'F13-Year(n+3)'!Q272</f>
        <v>2832.65400673496</v>
      </c>
      <c r="O266" s="316">
        <f>'F13-Year(n+4)'!Q272</f>
        <v>2832.65400673496</v>
      </c>
      <c r="P266" s="316">
        <f>'F13-Year(n+5)'!Q272</f>
        <v>2832.65400673496</v>
      </c>
    </row>
    <row r="267" ht="15" spans="3:16">
      <c r="C267" s="663" t="s">
        <v>396</v>
      </c>
      <c r="D267" s="676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</row>
    <row r="268" spans="3:16">
      <c r="C268" s="55" t="s">
        <v>397</v>
      </c>
      <c r="D268" s="55" t="s">
        <v>397</v>
      </c>
      <c r="E268" s="147">
        <f>'[47]PP Cost'!J131</f>
        <v>98.44546</v>
      </c>
      <c r="F268" s="752">
        <f>'F13-Year(n-1)'!Q268</f>
        <v>329.99967572659</v>
      </c>
      <c r="G268" s="147"/>
      <c r="H268" s="147">
        <f>'[48]PP Cost'!J137</f>
        <v>93.52699242</v>
      </c>
      <c r="I268" s="147">
        <f>SUM('F13-Year(n)'!E266:J266)</f>
        <v>397.470536890692</v>
      </c>
      <c r="J268" s="147">
        <f>SUM('F13-Year(n)'!K266:P266)</f>
        <v>389.223493759554</v>
      </c>
      <c r="K268" s="147">
        <f t="shared" ref="K268:K275" si="14">I268+J268</f>
        <v>786.694030650246</v>
      </c>
      <c r="L268" s="147">
        <f>'F13-Year(n+1)'!Q275</f>
        <v>221.632825</v>
      </c>
      <c r="M268" s="147">
        <f>'F13-Year(n+2)'!Q274</f>
        <v>221.632303409988</v>
      </c>
      <c r="N268" s="147">
        <f>'F13-Year(n+3)'!Q274</f>
        <v>221.632303409988</v>
      </c>
      <c r="O268" s="147">
        <f>'F13-Year(n+4)'!Q274</f>
        <v>221.632303409989</v>
      </c>
      <c r="P268" s="147">
        <f>'F13-Year(n+5)'!Q274</f>
        <v>221.632303409988</v>
      </c>
    </row>
    <row r="269" spans="3:16">
      <c r="C269" s="55" t="s">
        <v>398</v>
      </c>
      <c r="D269" s="55" t="s">
        <v>398</v>
      </c>
      <c r="E269" s="147">
        <f>'[47]PP Cost'!J132</f>
        <v>334.849445</v>
      </c>
      <c r="F269" s="752">
        <f>'F13-Year(n-1)'!Q269</f>
        <v>96.22592243555</v>
      </c>
      <c r="G269" s="147"/>
      <c r="H269" s="147">
        <f>'[48]PP Cost'!J138</f>
        <v>334.26225498</v>
      </c>
      <c r="I269" s="147">
        <f>SUM('F13-Year(n)'!E267:J267)</f>
        <v>112.208588894814</v>
      </c>
      <c r="J269" s="147">
        <f>SUM('F13-Year(n)'!K267:P267)</f>
        <v>109.979680998725</v>
      </c>
      <c r="K269" s="147">
        <f t="shared" si="14"/>
        <v>222.188269893539</v>
      </c>
      <c r="L269" s="147">
        <f>'F13-Year(n+1)'!Q276</f>
        <v>0</v>
      </c>
      <c r="M269" s="147">
        <f>'F13-Year(n+2)'!Q275</f>
        <v>0</v>
      </c>
      <c r="N269" s="147">
        <f>'F13-Year(n+3)'!Q275</f>
        <v>0</v>
      </c>
      <c r="O269" s="147">
        <f>'F13-Year(n+4)'!Q275</f>
        <v>0</v>
      </c>
      <c r="P269" s="147">
        <f>'F13-Year(n+5)'!Q275</f>
        <v>0</v>
      </c>
    </row>
    <row r="270" spans="3:16">
      <c r="C270" s="55"/>
      <c r="D270" s="55"/>
      <c r="E270" s="147"/>
      <c r="F270" s="752">
        <f>'F13-Year(n-1)'!Q270</f>
        <v>0</v>
      </c>
      <c r="G270" s="147"/>
      <c r="H270" s="147"/>
      <c r="I270" s="147">
        <f>SUM('F13-Year(n)'!E268:J268)</f>
        <v>0</v>
      </c>
      <c r="J270" s="147">
        <f>SUM('F13-Year(n)'!K268:P268)</f>
        <v>0</v>
      </c>
      <c r="K270" s="147">
        <f t="shared" si="14"/>
        <v>0</v>
      </c>
      <c r="L270" s="147">
        <f>'F13-Year(n+1)'!Q277</f>
        <v>0</v>
      </c>
      <c r="M270" s="147">
        <f>'F13-Year(n+2)'!Q276</f>
        <v>0</v>
      </c>
      <c r="N270" s="147">
        <f>'F13-Year(n+3)'!Q276</f>
        <v>0</v>
      </c>
      <c r="O270" s="147">
        <f>'F13-Year(n+4)'!Q276</f>
        <v>0</v>
      </c>
      <c r="P270" s="147">
        <f>'F13-Year(n+5)'!Q276</f>
        <v>0</v>
      </c>
    </row>
    <row r="271" spans="3:16">
      <c r="C271" s="55"/>
      <c r="D271" s="55"/>
      <c r="E271" s="147"/>
      <c r="F271" s="752">
        <f>'F13-Year(n-1)'!Q271</f>
        <v>0</v>
      </c>
      <c r="G271" s="147"/>
      <c r="H271" s="147"/>
      <c r="I271" s="147">
        <f>SUM('F13-Year(n)'!E269:J269)</f>
        <v>0</v>
      </c>
      <c r="J271" s="147">
        <f>SUM('F13-Year(n)'!K269:P269)</f>
        <v>0</v>
      </c>
      <c r="K271" s="147">
        <f t="shared" si="14"/>
        <v>0</v>
      </c>
      <c r="L271" s="147">
        <f>'F13-Year(n+1)'!Q278</f>
        <v>0</v>
      </c>
      <c r="M271" s="147">
        <f>'F13-Year(n+2)'!Q277</f>
        <v>0</v>
      </c>
      <c r="N271" s="147">
        <f>'F13-Year(n+3)'!Q277</f>
        <v>0</v>
      </c>
      <c r="O271" s="147">
        <f>'F13-Year(n+4)'!Q277</f>
        <v>0</v>
      </c>
      <c r="P271" s="147">
        <f>'F13-Year(n+5)'!Q277</f>
        <v>0</v>
      </c>
    </row>
    <row r="272" spans="3:16">
      <c r="C272" s="55"/>
      <c r="D272" s="55"/>
      <c r="E272" s="147"/>
      <c r="F272" s="752">
        <f>'F13-Year(n-1)'!Q272</f>
        <v>0</v>
      </c>
      <c r="G272" s="147"/>
      <c r="H272" s="147"/>
      <c r="I272" s="147">
        <f>SUM('F13-Year(n)'!E270:J270)</f>
        <v>0</v>
      </c>
      <c r="J272" s="147">
        <f>SUM('F13-Year(n)'!K270:P270)</f>
        <v>0</v>
      </c>
      <c r="K272" s="147">
        <f t="shared" si="14"/>
        <v>0</v>
      </c>
      <c r="L272" s="147">
        <f>'F13-Year(n+1)'!Q279</f>
        <v>0</v>
      </c>
      <c r="M272" s="147">
        <f>'F13-Year(n+2)'!Q278</f>
        <v>0</v>
      </c>
      <c r="N272" s="147">
        <f>'F13-Year(n+3)'!Q278</f>
        <v>0</v>
      </c>
      <c r="O272" s="147">
        <f>'F13-Year(n+4)'!Q278</f>
        <v>0</v>
      </c>
      <c r="P272" s="147">
        <f>'F13-Year(n+5)'!Q278</f>
        <v>0</v>
      </c>
    </row>
    <row r="273" spans="3:16">
      <c r="C273" s="55"/>
      <c r="D273" s="55"/>
      <c r="E273" s="147"/>
      <c r="F273" s="752">
        <f>'F13-Year(n-1)'!Q273</f>
        <v>0</v>
      </c>
      <c r="G273" s="147"/>
      <c r="H273" s="147"/>
      <c r="I273" s="147">
        <f>SUM('F13-Year(n)'!E271:J271)</f>
        <v>0</v>
      </c>
      <c r="J273" s="147">
        <f>SUM('F13-Year(n)'!K271:P271)</f>
        <v>0</v>
      </c>
      <c r="K273" s="147">
        <f t="shared" si="14"/>
        <v>0</v>
      </c>
      <c r="L273" s="147">
        <f>'F13-Year(n+1)'!Q280</f>
        <v>0</v>
      </c>
      <c r="M273" s="147">
        <f>'F13-Year(n+2)'!Q279</f>
        <v>0</v>
      </c>
      <c r="N273" s="147">
        <f>'F13-Year(n+3)'!Q279</f>
        <v>0</v>
      </c>
      <c r="O273" s="147">
        <f>'F13-Year(n+4)'!Q279</f>
        <v>0</v>
      </c>
      <c r="P273" s="147">
        <f>'F13-Year(n+5)'!Q279</f>
        <v>0</v>
      </c>
    </row>
    <row r="274" spans="3:16">
      <c r="C274" s="55"/>
      <c r="D274" s="55"/>
      <c r="E274" s="147"/>
      <c r="F274" s="752">
        <f>'F13-Year(n-1)'!Q274</f>
        <v>0</v>
      </c>
      <c r="G274" s="147"/>
      <c r="H274" s="147"/>
      <c r="I274" s="147">
        <f>SUM('F13-Year(n)'!E272:J272)</f>
        <v>0</v>
      </c>
      <c r="J274" s="147">
        <f>SUM('F13-Year(n)'!K272:P272)</f>
        <v>0</v>
      </c>
      <c r="K274" s="147">
        <f t="shared" si="14"/>
        <v>0</v>
      </c>
      <c r="L274" s="147">
        <f>'F13-Year(n+1)'!Q281</f>
        <v>0</v>
      </c>
      <c r="M274" s="147">
        <f>'F13-Year(n+2)'!Q280</f>
        <v>0</v>
      </c>
      <c r="N274" s="147">
        <f>'F13-Year(n+3)'!Q280</f>
        <v>0</v>
      </c>
      <c r="O274" s="147">
        <f>'F13-Year(n+4)'!Q280</f>
        <v>0</v>
      </c>
      <c r="P274" s="147">
        <f>'F13-Year(n+5)'!Q280</f>
        <v>0</v>
      </c>
    </row>
    <row r="275" ht="15" spans="3:16">
      <c r="C275" s="44" t="s">
        <v>399</v>
      </c>
      <c r="D275" s="45"/>
      <c r="E275" s="316">
        <f>SUM(E268:E274)</f>
        <v>433.294905</v>
      </c>
      <c r="F275" s="316">
        <f>SUM(F268:F274)</f>
        <v>426.22559816214</v>
      </c>
      <c r="G275" s="316">
        <f>F275-E275</f>
        <v>-7.06930683785993</v>
      </c>
      <c r="H275" s="316">
        <f>SUM(H268:H274)</f>
        <v>427.7892474</v>
      </c>
      <c r="I275" s="316">
        <f>SUM(I268:I274)</f>
        <v>509.679125785507</v>
      </c>
      <c r="J275" s="316">
        <f>SUM(J268:J274)</f>
        <v>499.203174758279</v>
      </c>
      <c r="K275" s="316">
        <f t="shared" si="14"/>
        <v>1008.88230054379</v>
      </c>
      <c r="L275" s="316">
        <f>'F13-Year(n+1)'!Q282</f>
        <v>221.632825</v>
      </c>
      <c r="M275" s="316">
        <f>'F13-Year(n+2)'!Q281</f>
        <v>221.632303409988</v>
      </c>
      <c r="N275" s="316">
        <f>'F13-Year(n+3)'!Q281</f>
        <v>221.632303409988</v>
      </c>
      <c r="O275" s="316">
        <f>'F13-Year(n+4)'!Q281</f>
        <v>221.632303409989</v>
      </c>
      <c r="P275" s="316">
        <f>'F13-Year(n+5)'!Q281</f>
        <v>221.632303409988</v>
      </c>
    </row>
    <row r="276" ht="15" spans="3:16">
      <c r="C276" s="663" t="s">
        <v>400</v>
      </c>
      <c r="D276" s="676"/>
      <c r="E276" s="147"/>
      <c r="F276" s="147"/>
      <c r="G276" s="147"/>
      <c r="H276" s="147"/>
      <c r="I276" s="147"/>
      <c r="J276" s="147"/>
      <c r="K276" s="147"/>
      <c r="L276" s="147"/>
      <c r="M276" s="147"/>
      <c r="N276" s="147"/>
      <c r="O276" s="147"/>
      <c r="P276" s="147"/>
    </row>
    <row r="277" spans="3:16">
      <c r="C277" s="55" t="s">
        <v>401</v>
      </c>
      <c r="D277" s="55" t="s">
        <v>401</v>
      </c>
      <c r="E277" s="147">
        <f>'[47]PP Cost'!J133</f>
        <v>417.05912</v>
      </c>
      <c r="F277" s="752">
        <f>'F13-Year(n-1)'!Q277</f>
        <v>412.08274732055</v>
      </c>
      <c r="G277" s="147"/>
      <c r="H277" s="147">
        <f>'[48]PP Cost'!J139</f>
        <v>391.5953203</v>
      </c>
      <c r="I277" s="147">
        <f>SUM('F13-Year(n)'!E275:J275)</f>
        <v>469.25654577995</v>
      </c>
      <c r="J277" s="147">
        <f>SUM('F13-Year(n)'!K275:P275)</f>
        <v>466.26589925025</v>
      </c>
      <c r="K277" s="147">
        <f t="shared" ref="K277:K285" si="15">I277+J277</f>
        <v>935.5224450302</v>
      </c>
      <c r="L277" s="147">
        <f>'F13-Year(n+1)'!Q284</f>
        <v>944.41052</v>
      </c>
      <c r="M277" s="147">
        <f>'F13-Year(n+2)'!Q283</f>
        <v>944.41052</v>
      </c>
      <c r="N277" s="147">
        <f>'F13-Year(n+3)'!Q283</f>
        <v>1130.599025</v>
      </c>
      <c r="O277" s="147">
        <f>'F13-Year(n+4)'!Q283</f>
        <v>2047.96773</v>
      </c>
      <c r="P277" s="147">
        <f>'F13-Year(n+5)'!Q283</f>
        <v>2022.47096</v>
      </c>
    </row>
    <row r="278" spans="3:16">
      <c r="C278" s="55" t="s">
        <v>402</v>
      </c>
      <c r="D278" s="55" t="s">
        <v>402</v>
      </c>
      <c r="E278" s="147">
        <f>'[47]PP Cost'!J134</f>
        <v>449.46001</v>
      </c>
      <c r="F278" s="752">
        <f>'F13-Year(n-1)'!Q278</f>
        <v>0</v>
      </c>
      <c r="G278" s="147"/>
      <c r="H278" s="147">
        <f>'[48]PP Cost'!J140</f>
        <v>437.61373404</v>
      </c>
      <c r="I278" s="147">
        <f>SUM('F13-Year(n)'!E276:J276)</f>
        <v>0</v>
      </c>
      <c r="J278" s="147">
        <f>SUM('F13-Year(n)'!K276:P276)</f>
        <v>0</v>
      </c>
      <c r="K278" s="147">
        <f t="shared" si="15"/>
        <v>0</v>
      </c>
      <c r="L278" s="147">
        <f>'F13-Year(n+1)'!Q285</f>
        <v>0</v>
      </c>
      <c r="M278" s="147">
        <f>'F13-Year(n+2)'!Q284</f>
        <v>0</v>
      </c>
      <c r="N278" s="147">
        <f>'F13-Year(n+3)'!Q284</f>
        <v>0</v>
      </c>
      <c r="O278" s="147">
        <f>'F13-Year(n+4)'!Q284</f>
        <v>0</v>
      </c>
      <c r="P278" s="147">
        <f>'F13-Year(n+5)'!Q284</f>
        <v>0</v>
      </c>
    </row>
    <row r="279" spans="3:16">
      <c r="C279" s="55" t="s">
        <v>403</v>
      </c>
      <c r="D279" s="55" t="s">
        <v>403</v>
      </c>
      <c r="E279" s="147">
        <f>'[47]PP Cost'!J135</f>
        <v>0</v>
      </c>
      <c r="F279" s="752">
        <f>'F13-Year(n-1)'!Q279</f>
        <v>0</v>
      </c>
      <c r="G279" s="147"/>
      <c r="H279" s="147"/>
      <c r="I279" s="147">
        <f>SUM('F13-Year(n)'!E277:J277)</f>
        <v>0</v>
      </c>
      <c r="J279" s="147">
        <f>SUM('F13-Year(n)'!K277:P277)</f>
        <v>0</v>
      </c>
      <c r="K279" s="147">
        <f t="shared" si="15"/>
        <v>0</v>
      </c>
      <c r="L279" s="147">
        <f>'F13-Year(n+1)'!Q286</f>
        <v>0</v>
      </c>
      <c r="M279" s="147">
        <f>'F13-Year(n+2)'!Q285</f>
        <v>0</v>
      </c>
      <c r="N279" s="147">
        <f>'F13-Year(n+3)'!Q285</f>
        <v>0</v>
      </c>
      <c r="O279" s="147">
        <f>'F13-Year(n+4)'!Q285</f>
        <v>0</v>
      </c>
      <c r="P279" s="147">
        <f>'F13-Year(n+5)'!Q285</f>
        <v>0</v>
      </c>
    </row>
    <row r="280" spans="3:16">
      <c r="C280" s="55"/>
      <c r="D280" s="55"/>
      <c r="E280" s="147"/>
      <c r="F280" s="752">
        <f>'F13-Year(n-1)'!Q280</f>
        <v>0</v>
      </c>
      <c r="G280" s="147"/>
      <c r="H280" s="147"/>
      <c r="I280" s="147">
        <f>SUM('F13-Year(n)'!E278:J278)</f>
        <v>0</v>
      </c>
      <c r="J280" s="147">
        <f>SUM('F13-Year(n)'!K278:P278)</f>
        <v>0</v>
      </c>
      <c r="K280" s="147">
        <f t="shared" si="15"/>
        <v>0</v>
      </c>
      <c r="L280" s="147">
        <f>'F13-Year(n+1)'!Q287</f>
        <v>0</v>
      </c>
      <c r="M280" s="147">
        <f>'F13-Year(n+2)'!Q286</f>
        <v>0</v>
      </c>
      <c r="N280" s="147">
        <f>'F13-Year(n+3)'!Q286</f>
        <v>0</v>
      </c>
      <c r="O280" s="147">
        <f>'F13-Year(n+4)'!Q286</f>
        <v>0</v>
      </c>
      <c r="P280" s="147">
        <f>'F13-Year(n+5)'!Q286</f>
        <v>0</v>
      </c>
    </row>
    <row r="281" spans="3:16">
      <c r="C281" s="55"/>
      <c r="D281" s="55"/>
      <c r="E281" s="147"/>
      <c r="F281" s="752">
        <f>'F13-Year(n-1)'!Q281</f>
        <v>0</v>
      </c>
      <c r="G281" s="147"/>
      <c r="H281" s="147"/>
      <c r="I281" s="147">
        <f>SUM('F13-Year(n)'!E279:J279)</f>
        <v>0</v>
      </c>
      <c r="J281" s="147">
        <f>SUM('F13-Year(n)'!K279:P279)</f>
        <v>0</v>
      </c>
      <c r="K281" s="147">
        <f t="shared" si="15"/>
        <v>0</v>
      </c>
      <c r="L281" s="147">
        <f>'F13-Year(n+1)'!Q288</f>
        <v>0</v>
      </c>
      <c r="M281" s="147">
        <f>'F13-Year(n+2)'!Q287</f>
        <v>0</v>
      </c>
      <c r="N281" s="147">
        <f>'F13-Year(n+3)'!Q287</f>
        <v>0</v>
      </c>
      <c r="O281" s="147">
        <f>'F13-Year(n+4)'!Q287</f>
        <v>0</v>
      </c>
      <c r="P281" s="147">
        <f>'F13-Year(n+5)'!Q287</f>
        <v>0</v>
      </c>
    </row>
    <row r="282" spans="3:16">
      <c r="C282" s="55"/>
      <c r="D282" s="55"/>
      <c r="E282" s="147"/>
      <c r="F282" s="752">
        <f>'F13-Year(n-1)'!Q282</f>
        <v>0</v>
      </c>
      <c r="G282" s="147"/>
      <c r="H282" s="147"/>
      <c r="I282" s="147">
        <f>SUM('F13-Year(n)'!E280:J280)</f>
        <v>0</v>
      </c>
      <c r="J282" s="147">
        <f>SUM('F13-Year(n)'!K280:P280)</f>
        <v>0</v>
      </c>
      <c r="K282" s="147">
        <f t="shared" si="15"/>
        <v>0</v>
      </c>
      <c r="L282" s="147">
        <f>'F13-Year(n+1)'!Q289</f>
        <v>0</v>
      </c>
      <c r="M282" s="147">
        <f>'F13-Year(n+2)'!Q288</f>
        <v>0</v>
      </c>
      <c r="N282" s="147">
        <f>'F13-Year(n+3)'!Q288</f>
        <v>0</v>
      </c>
      <c r="O282" s="147">
        <f>'F13-Year(n+4)'!Q288</f>
        <v>0</v>
      </c>
      <c r="P282" s="147">
        <f>'F13-Year(n+5)'!Q288</f>
        <v>0</v>
      </c>
    </row>
    <row r="283" spans="3:16">
      <c r="C283" s="55"/>
      <c r="D283" s="55"/>
      <c r="E283" s="147"/>
      <c r="F283" s="752">
        <f>'F13-Year(n-1)'!Q283</f>
        <v>0</v>
      </c>
      <c r="G283" s="147"/>
      <c r="H283" s="147"/>
      <c r="I283" s="147">
        <f>SUM('F13-Year(n)'!E281:J281)</f>
        <v>0</v>
      </c>
      <c r="J283" s="147">
        <f>SUM('F13-Year(n)'!K281:P281)</f>
        <v>0</v>
      </c>
      <c r="K283" s="147">
        <f t="shared" si="15"/>
        <v>0</v>
      </c>
      <c r="L283" s="147">
        <f>'F13-Year(n+1)'!Q290</f>
        <v>0</v>
      </c>
      <c r="M283" s="147">
        <f>'F13-Year(n+2)'!Q289</f>
        <v>0</v>
      </c>
      <c r="N283" s="147">
        <f>'F13-Year(n+3)'!Q289</f>
        <v>0</v>
      </c>
      <c r="O283" s="147">
        <f>'F13-Year(n+4)'!Q289</f>
        <v>0</v>
      </c>
      <c r="P283" s="147">
        <f>'F13-Year(n+5)'!Q289</f>
        <v>0</v>
      </c>
    </row>
    <row r="284" spans="3:16">
      <c r="C284" s="55"/>
      <c r="D284" s="55"/>
      <c r="E284" s="147"/>
      <c r="F284" s="752">
        <f>'F13-Year(n-1)'!Q284</f>
        <v>0</v>
      </c>
      <c r="G284" s="147"/>
      <c r="H284" s="147"/>
      <c r="I284" s="147">
        <f>SUM('F13-Year(n)'!E282:J282)</f>
        <v>0</v>
      </c>
      <c r="J284" s="147">
        <f>SUM('F13-Year(n)'!K282:P282)</f>
        <v>0</v>
      </c>
      <c r="K284" s="147">
        <f t="shared" si="15"/>
        <v>0</v>
      </c>
      <c r="L284" s="147">
        <f>'F13-Year(n+1)'!Q291</f>
        <v>0</v>
      </c>
      <c r="M284" s="147">
        <f>'F13-Year(n+2)'!Q290</f>
        <v>0</v>
      </c>
      <c r="N284" s="147">
        <f>'F13-Year(n+3)'!Q290</f>
        <v>0</v>
      </c>
      <c r="O284" s="147">
        <f>'F13-Year(n+4)'!Q290</f>
        <v>0</v>
      </c>
      <c r="P284" s="147">
        <f>'F13-Year(n+5)'!Q290</f>
        <v>0</v>
      </c>
    </row>
    <row r="285" ht="15" spans="3:16">
      <c r="C285" s="44" t="s">
        <v>404</v>
      </c>
      <c r="D285" s="45"/>
      <c r="E285" s="316">
        <f>SUM(E277:E284)</f>
        <v>866.51913</v>
      </c>
      <c r="F285" s="316">
        <f>SUM(F277:F284)</f>
        <v>412.08274732055</v>
      </c>
      <c r="G285" s="316">
        <f>F285-E285</f>
        <v>-454.43638267945</v>
      </c>
      <c r="H285" s="316">
        <f>SUM(H277:H284)</f>
        <v>829.20905434</v>
      </c>
      <c r="I285" s="316">
        <f>SUM(I277:I284)</f>
        <v>469.25654577995</v>
      </c>
      <c r="J285" s="316">
        <f>SUM(J277:J284)</f>
        <v>466.26589925025</v>
      </c>
      <c r="K285" s="316">
        <f t="shared" si="15"/>
        <v>935.5224450302</v>
      </c>
      <c r="L285" s="316">
        <f>'F13-Year(n+1)'!Q292</f>
        <v>944.41052</v>
      </c>
      <c r="M285" s="316">
        <f>'F13-Year(n+2)'!Q291</f>
        <v>944.41052</v>
      </c>
      <c r="N285" s="316">
        <f>'F13-Year(n+3)'!Q291</f>
        <v>1130.599025</v>
      </c>
      <c r="O285" s="316">
        <f>'F13-Year(n+4)'!Q291</f>
        <v>2047.96773</v>
      </c>
      <c r="P285" s="316">
        <f>'F13-Year(n+5)'!Q291</f>
        <v>2022.47096</v>
      </c>
    </row>
    <row r="286" ht="15" spans="3:16">
      <c r="C286" s="663" t="s">
        <v>405</v>
      </c>
      <c r="D286" s="676"/>
      <c r="E286" s="147"/>
      <c r="F286" s="147"/>
      <c r="G286" s="147"/>
      <c r="H286" s="147"/>
      <c r="I286" s="147"/>
      <c r="J286" s="147"/>
      <c r="K286" s="147"/>
      <c r="L286" s="147"/>
      <c r="M286" s="147"/>
      <c r="N286" s="147"/>
      <c r="O286" s="147"/>
      <c r="P286" s="147"/>
    </row>
    <row r="287" spans="3:16">
      <c r="C287" s="55"/>
      <c r="D287" s="55" t="s">
        <v>406</v>
      </c>
      <c r="E287" s="147" t="e">
        <f>'[47]PP Cost'!J119</f>
        <v>#REF!</v>
      </c>
      <c r="F287" s="752">
        <f>'F13-Year(n-1)'!Q287</f>
        <v>0</v>
      </c>
      <c r="G287" s="147"/>
      <c r="H287" s="147" t="e">
        <f>'[48]PP Cost'!$J$123</f>
        <v>#REF!</v>
      </c>
      <c r="I287" s="147">
        <f>SUM('F13-Year(n)'!E285:J285)</f>
        <v>0</v>
      </c>
      <c r="J287" s="147">
        <f>SUM('F13-Year(n)'!K285:P285)</f>
        <v>0</v>
      </c>
      <c r="K287" s="147">
        <f t="shared" ref="K287:K311" si="16">I287+J287</f>
        <v>0</v>
      </c>
      <c r="L287" s="147">
        <f>'F13-Year(n+1)'!Q294</f>
        <v>0</v>
      </c>
      <c r="M287" s="147">
        <f>'F13-Year(n+2)'!Q293</f>
        <v>0</v>
      </c>
      <c r="N287" s="147">
        <f>'F13-Year(n+3)'!Q293</f>
        <v>0</v>
      </c>
      <c r="O287" s="147">
        <f>'F13-Year(n+4)'!Q293</f>
        <v>0</v>
      </c>
      <c r="P287" s="147">
        <f>'F13-Year(n+5)'!Q293</f>
        <v>0</v>
      </c>
    </row>
    <row r="288" spans="3:16">
      <c r="C288" s="55"/>
      <c r="D288" s="55" t="s">
        <v>407</v>
      </c>
      <c r="E288" s="147" t="e">
        <f>'[47]PP Cost'!J120</f>
        <v>#REF!</v>
      </c>
      <c r="F288" s="752">
        <f>'F13-Year(n-1)'!Q288</f>
        <v>0</v>
      </c>
      <c r="G288" s="147"/>
      <c r="H288" s="147" t="e">
        <f>'[48]PP Cost'!$J$123</f>
        <v>#REF!</v>
      </c>
      <c r="I288" s="147">
        <f>SUM('F13-Year(n)'!E286:J286)</f>
        <v>0</v>
      </c>
      <c r="J288" s="147">
        <f>SUM('F13-Year(n)'!K286:P286)</f>
        <v>0</v>
      </c>
      <c r="K288" s="147">
        <f t="shared" si="16"/>
        <v>0</v>
      </c>
      <c r="L288" s="147">
        <f>'F13-Year(n+1)'!Q295</f>
        <v>0</v>
      </c>
      <c r="M288" s="147">
        <f>'F13-Year(n+2)'!Q294</f>
        <v>0</v>
      </c>
      <c r="N288" s="147">
        <f>'F13-Year(n+3)'!Q294</f>
        <v>0</v>
      </c>
      <c r="O288" s="147">
        <f>'F13-Year(n+4)'!Q294</f>
        <v>0</v>
      </c>
      <c r="P288" s="147">
        <f>'F13-Year(n+5)'!Q294</f>
        <v>0</v>
      </c>
    </row>
    <row r="289" spans="3:16">
      <c r="C289" s="55"/>
      <c r="D289" s="55" t="s">
        <v>408</v>
      </c>
      <c r="E289" s="147"/>
      <c r="F289" s="752">
        <f>'F13-Year(n-1)'!Q289</f>
        <v>0</v>
      </c>
      <c r="G289" s="147"/>
      <c r="H289" s="147" t="e">
        <f>'[48]PP Cost'!$J$123</f>
        <v>#REF!</v>
      </c>
      <c r="I289" s="147">
        <f>SUM('F13-Year(n)'!E287:J287)</f>
        <v>0</v>
      </c>
      <c r="J289" s="147">
        <f>SUM('F13-Year(n)'!K287:P287)</f>
        <v>0</v>
      </c>
      <c r="K289" s="147">
        <f t="shared" si="16"/>
        <v>0</v>
      </c>
      <c r="L289" s="147">
        <f>'F13-Year(n+1)'!Q296</f>
        <v>0</v>
      </c>
      <c r="M289" s="147">
        <f>'F13-Year(n+2)'!Q295</f>
        <v>0</v>
      </c>
      <c r="N289" s="147">
        <f>'F13-Year(n+3)'!Q295</f>
        <v>0</v>
      </c>
      <c r="O289" s="147">
        <f>'F13-Year(n+4)'!Q295</f>
        <v>0</v>
      </c>
      <c r="P289" s="147">
        <f>'F13-Year(n+5)'!Q295</f>
        <v>0</v>
      </c>
    </row>
    <row r="290" spans="3:16">
      <c r="C290" s="55"/>
      <c r="D290" s="55" t="s">
        <v>409</v>
      </c>
      <c r="E290" s="147" t="e">
        <f>'[47]PP Cost'!$J$122</f>
        <v>#REF!</v>
      </c>
      <c r="F290" s="752">
        <f>'F13-Year(n-1)'!Q290</f>
        <v>0</v>
      </c>
      <c r="G290" s="147"/>
      <c r="H290" s="147" t="e">
        <f>'[48]PP Cost'!$J$123</f>
        <v>#REF!</v>
      </c>
      <c r="I290" s="147">
        <f>SUM('F13-Year(n)'!E288:J288)</f>
        <v>0</v>
      </c>
      <c r="J290" s="147">
        <f>SUM('F13-Year(n)'!K288:P288)</f>
        <v>0</v>
      </c>
      <c r="K290" s="147">
        <f t="shared" si="16"/>
        <v>0</v>
      </c>
      <c r="L290" s="147">
        <f>'F13-Year(n+1)'!Q297</f>
        <v>0</v>
      </c>
      <c r="M290" s="147">
        <f>'F13-Year(n+2)'!Q296</f>
        <v>0</v>
      </c>
      <c r="N290" s="147">
        <f>'F13-Year(n+3)'!Q296</f>
        <v>0</v>
      </c>
      <c r="O290" s="147">
        <f>'F13-Year(n+4)'!Q296</f>
        <v>0</v>
      </c>
      <c r="P290" s="147">
        <f>'F13-Year(n+5)'!Q296</f>
        <v>0</v>
      </c>
    </row>
    <row r="291" spans="3:16">
      <c r="C291" s="55"/>
      <c r="D291" s="55" t="s">
        <v>410</v>
      </c>
      <c r="E291" s="147"/>
      <c r="F291" s="752">
        <f>'F13-Year(n-1)'!Q291</f>
        <v>0</v>
      </c>
      <c r="G291" s="147"/>
      <c r="H291" s="147" t="e">
        <f>'[48]PP Cost'!$J$123</f>
        <v>#REF!</v>
      </c>
      <c r="I291" s="147">
        <f>SUM('F13-Year(n)'!E289:J289)</f>
        <v>0</v>
      </c>
      <c r="J291" s="147">
        <f>SUM('F13-Year(n)'!K289:P289)</f>
        <v>0</v>
      </c>
      <c r="K291" s="147">
        <f t="shared" si="16"/>
        <v>0</v>
      </c>
      <c r="L291" s="147">
        <f>'F13-Year(n+1)'!Q298</f>
        <v>0</v>
      </c>
      <c r="M291" s="147">
        <f>'F13-Year(n+2)'!Q297</f>
        <v>0</v>
      </c>
      <c r="N291" s="147">
        <f>'F13-Year(n+3)'!Q297</f>
        <v>0</v>
      </c>
      <c r="O291" s="147">
        <f>'F13-Year(n+4)'!Q297</f>
        <v>0</v>
      </c>
      <c r="P291" s="147">
        <f>'F13-Year(n+5)'!Q297</f>
        <v>0</v>
      </c>
    </row>
    <row r="292" spans="3:16">
      <c r="C292" s="55"/>
      <c r="D292" s="55" t="s">
        <v>368</v>
      </c>
      <c r="E292" s="147"/>
      <c r="F292" s="752">
        <f>'F13-Year(n-1)'!Q292</f>
        <v>0</v>
      </c>
      <c r="G292" s="147"/>
      <c r="H292" s="147" t="e">
        <f>'[48]PP Cost'!$J$123</f>
        <v>#REF!</v>
      </c>
      <c r="I292" s="147">
        <f>SUM('F13-Year(n)'!E290:J290)</f>
        <v>0</v>
      </c>
      <c r="J292" s="147">
        <f>SUM('F13-Year(n)'!K290:P290)</f>
        <v>0</v>
      </c>
      <c r="K292" s="147">
        <f t="shared" si="16"/>
        <v>0</v>
      </c>
      <c r="L292" s="147">
        <f>'F13-Year(n+1)'!Q299</f>
        <v>0</v>
      </c>
      <c r="M292" s="147">
        <f>'F13-Year(n+2)'!Q298</f>
        <v>0</v>
      </c>
      <c r="N292" s="147">
        <f>'F13-Year(n+3)'!Q298</f>
        <v>0</v>
      </c>
      <c r="O292" s="147">
        <f>'F13-Year(n+4)'!Q298</f>
        <v>0</v>
      </c>
      <c r="P292" s="147">
        <f>'F13-Year(n+5)'!Q298</f>
        <v>0</v>
      </c>
    </row>
    <row r="293" spans="3:16">
      <c r="C293" s="55"/>
      <c r="D293" s="55" t="s">
        <v>411</v>
      </c>
      <c r="E293" s="147" t="e">
        <f>'[47]PP Cost'!$J$125</f>
        <v>#REF!</v>
      </c>
      <c r="F293" s="752">
        <f>'F13-Year(n-1)'!Q293</f>
        <v>0</v>
      </c>
      <c r="G293" s="147"/>
      <c r="H293" s="147" t="e">
        <f>'[48]PP Cost'!$J$123</f>
        <v>#REF!</v>
      </c>
      <c r="I293" s="147">
        <f>SUM('F13-Year(n)'!E291:J291)</f>
        <v>0</v>
      </c>
      <c r="J293" s="147">
        <f>SUM('F13-Year(n)'!K291:P291)</f>
        <v>0</v>
      </c>
      <c r="K293" s="147">
        <f t="shared" si="16"/>
        <v>0</v>
      </c>
      <c r="L293" s="147">
        <f>'F13-Year(n+1)'!Q300</f>
        <v>0</v>
      </c>
      <c r="M293" s="147">
        <f>'F13-Year(n+2)'!Q299</f>
        <v>0</v>
      </c>
      <c r="N293" s="147">
        <f>'F13-Year(n+3)'!Q299</f>
        <v>0</v>
      </c>
      <c r="O293" s="147">
        <f>'F13-Year(n+4)'!Q299</f>
        <v>0</v>
      </c>
      <c r="P293" s="147">
        <f>'F13-Year(n+5)'!Q299</f>
        <v>0</v>
      </c>
    </row>
    <row r="294" spans="3:16">
      <c r="C294" s="55"/>
      <c r="D294" s="55" t="s">
        <v>412</v>
      </c>
      <c r="E294" s="147" t="e">
        <f>'[47]PP Cost'!$J$126</f>
        <v>#REF!</v>
      </c>
      <c r="F294" s="752">
        <f>'F13-Year(n-1)'!Q294</f>
        <v>0</v>
      </c>
      <c r="G294" s="147"/>
      <c r="H294" s="147" t="e">
        <f>'[48]PP Cost'!$J$123</f>
        <v>#REF!</v>
      </c>
      <c r="I294" s="147">
        <f>SUM('F13-Year(n)'!E292:J292)</f>
        <v>0</v>
      </c>
      <c r="J294" s="147">
        <f>SUM('F13-Year(n)'!K292:P292)</f>
        <v>0</v>
      </c>
      <c r="K294" s="147">
        <f t="shared" si="16"/>
        <v>0</v>
      </c>
      <c r="L294" s="147">
        <f>'F13-Year(n+1)'!Q301</f>
        <v>0</v>
      </c>
      <c r="M294" s="147">
        <f>'F13-Year(n+2)'!Q300</f>
        <v>0</v>
      </c>
      <c r="N294" s="147">
        <f>'F13-Year(n+3)'!Q300</f>
        <v>0</v>
      </c>
      <c r="O294" s="147">
        <f>'F13-Year(n+4)'!Q300</f>
        <v>0</v>
      </c>
      <c r="P294" s="147">
        <f>'F13-Year(n+5)'!Q300</f>
        <v>0</v>
      </c>
    </row>
    <row r="295" spans="3:16">
      <c r="C295" s="55"/>
      <c r="D295" s="55" t="s">
        <v>413</v>
      </c>
      <c r="E295" s="147" t="e">
        <f>'[47]PP Cost'!$J$127</f>
        <v>#REF!</v>
      </c>
      <c r="F295" s="752">
        <f>'F13-Year(n-1)'!Q295</f>
        <v>10.8408104985235</v>
      </c>
      <c r="G295" s="147"/>
      <c r="H295" s="147" t="e">
        <f>'[48]PP Cost'!$J$123</f>
        <v>#REF!</v>
      </c>
      <c r="I295" s="147">
        <f>SUM('F13-Year(n)'!E293:J293)</f>
        <v>0</v>
      </c>
      <c r="J295" s="147">
        <f>SUM('F13-Year(n)'!K293:P293)</f>
        <v>0</v>
      </c>
      <c r="K295" s="147">
        <f t="shared" si="16"/>
        <v>0</v>
      </c>
      <c r="L295" s="147">
        <f>'F13-Year(n+1)'!Q302</f>
        <v>0</v>
      </c>
      <c r="M295" s="147">
        <f>'F13-Year(n+2)'!Q301</f>
        <v>0</v>
      </c>
      <c r="N295" s="147">
        <f>'F13-Year(n+3)'!Q301</f>
        <v>0</v>
      </c>
      <c r="O295" s="147">
        <f>'F13-Year(n+4)'!Q301</f>
        <v>0</v>
      </c>
      <c r="P295" s="147">
        <f>'F13-Year(n+5)'!Q301</f>
        <v>0</v>
      </c>
    </row>
    <row r="296" spans="3:16">
      <c r="C296" s="55"/>
      <c r="D296" s="55" t="s">
        <v>414</v>
      </c>
      <c r="E296" s="147" t="e">
        <f>'[47]PP Cost'!$J$128</f>
        <v>#REF!</v>
      </c>
      <c r="F296" s="752">
        <f>'F13-Year(n-1)'!Q296</f>
        <v>0</v>
      </c>
      <c r="G296" s="147"/>
      <c r="H296" s="147" t="e">
        <f>'[48]PP Cost'!$J$123</f>
        <v>#REF!</v>
      </c>
      <c r="I296" s="147">
        <f>SUM('F13-Year(n)'!E294:J294)</f>
        <v>0</v>
      </c>
      <c r="J296" s="147">
        <f>SUM('F13-Year(n)'!K294:P294)</f>
        <v>0</v>
      </c>
      <c r="K296" s="147">
        <f t="shared" si="16"/>
        <v>0</v>
      </c>
      <c r="L296" s="147">
        <f>'F13-Year(n+1)'!Q303</f>
        <v>0</v>
      </c>
      <c r="M296" s="147">
        <f>'F13-Year(n+2)'!Q302</f>
        <v>0</v>
      </c>
      <c r="N296" s="147">
        <f>'F13-Year(n+3)'!Q302</f>
        <v>0</v>
      </c>
      <c r="O296" s="147">
        <f>'F13-Year(n+4)'!Q302</f>
        <v>0</v>
      </c>
      <c r="P296" s="147">
        <f>'F13-Year(n+5)'!Q302</f>
        <v>0</v>
      </c>
    </row>
    <row r="297" spans="3:16">
      <c r="C297" s="55"/>
      <c r="D297" s="55" t="s">
        <v>415</v>
      </c>
      <c r="E297" s="147"/>
      <c r="F297" s="752">
        <f>'F13-Year(n-1)'!Q297</f>
        <v>0</v>
      </c>
      <c r="G297" s="147"/>
      <c r="H297" s="147" t="e">
        <f>'[48]PP Cost'!$J$123</f>
        <v>#REF!</v>
      </c>
      <c r="I297" s="147">
        <f>SUM('F13-Year(n)'!E295:J295)</f>
        <v>0</v>
      </c>
      <c r="J297" s="147">
        <f>SUM('F13-Year(n)'!K295:P295)</f>
        <v>0</v>
      </c>
      <c r="K297" s="147">
        <f t="shared" si="16"/>
        <v>0</v>
      </c>
      <c r="L297" s="147">
        <f>'F13-Year(n+1)'!Q304</f>
        <v>0</v>
      </c>
      <c r="M297" s="147">
        <f>'F13-Year(n+2)'!Q303</f>
        <v>0</v>
      </c>
      <c r="N297" s="147">
        <f>'F13-Year(n+3)'!Q303</f>
        <v>0</v>
      </c>
      <c r="O297" s="147">
        <f>'F13-Year(n+4)'!Q303</f>
        <v>0</v>
      </c>
      <c r="P297" s="147">
        <f>'F13-Year(n+5)'!Q303</f>
        <v>0</v>
      </c>
    </row>
    <row r="298" spans="3:16">
      <c r="C298" s="55"/>
      <c r="D298" s="55" t="s">
        <v>416</v>
      </c>
      <c r="E298" s="147"/>
      <c r="F298" s="752">
        <f>'F13-Year(n-1)'!Q298</f>
        <v>0</v>
      </c>
      <c r="G298" s="147"/>
      <c r="H298" s="147"/>
      <c r="I298" s="147">
        <f>SUM('F13-Year(n)'!E296:J296)</f>
        <v>0</v>
      </c>
      <c r="J298" s="147">
        <f>SUM('F13-Year(n)'!K296:P296)</f>
        <v>0</v>
      </c>
      <c r="K298" s="147">
        <f t="shared" si="16"/>
        <v>0</v>
      </c>
      <c r="L298" s="147">
        <f>'F13-Year(n+1)'!Q305</f>
        <v>0</v>
      </c>
      <c r="M298" s="147">
        <f>'F13-Year(n+2)'!Q304</f>
        <v>0</v>
      </c>
      <c r="N298" s="147">
        <f>'F13-Year(n+3)'!Q304</f>
        <v>0</v>
      </c>
      <c r="O298" s="147">
        <f>'F13-Year(n+4)'!Q304</f>
        <v>0</v>
      </c>
      <c r="P298" s="147">
        <f>'F13-Year(n+5)'!Q304</f>
        <v>0</v>
      </c>
    </row>
    <row r="299" spans="3:16">
      <c r="C299" s="55"/>
      <c r="D299" s="55" t="s">
        <v>417</v>
      </c>
      <c r="E299" s="147" t="e">
        <f>'[47]PP Cost'!$J$129</f>
        <v>#REF!</v>
      </c>
      <c r="F299" s="752">
        <f>'F13-Year(n-1)'!Q299</f>
        <v>0</v>
      </c>
      <c r="G299" s="147"/>
      <c r="H299" s="147" t="e">
        <f>'[48]PP Cost'!J134</f>
        <v>#REF!</v>
      </c>
      <c r="I299" s="147">
        <f>SUM('F13-Year(n)'!E297:J297)</f>
        <v>0</v>
      </c>
      <c r="J299" s="147">
        <f>SUM('F13-Year(n)'!K297:P297)</f>
        <v>0</v>
      </c>
      <c r="K299" s="147">
        <f t="shared" si="16"/>
        <v>0</v>
      </c>
      <c r="L299" s="147">
        <f>'F13-Year(n+1)'!Q306</f>
        <v>0</v>
      </c>
      <c r="M299" s="147">
        <f>'F13-Year(n+2)'!Q305</f>
        <v>0</v>
      </c>
      <c r="N299" s="147">
        <f>'F13-Year(n+3)'!Q305</f>
        <v>0</v>
      </c>
      <c r="O299" s="147">
        <f>'F13-Year(n+4)'!Q305</f>
        <v>0</v>
      </c>
      <c r="P299" s="147">
        <f>'F13-Year(n+5)'!Q305</f>
        <v>0</v>
      </c>
    </row>
    <row r="300" spans="3:16">
      <c r="C300" s="55"/>
      <c r="D300" s="55" t="s">
        <v>418</v>
      </c>
      <c r="E300" s="147"/>
      <c r="F300" s="752">
        <f>'F13-Year(n-1)'!Q300</f>
        <v>0</v>
      </c>
      <c r="G300" s="147"/>
      <c r="H300" s="147" t="e">
        <f>'[48]PP Cost'!J135</f>
        <v>#REF!</v>
      </c>
      <c r="I300" s="147">
        <f>SUM('F13-Year(n)'!E298:J298)</f>
        <v>0</v>
      </c>
      <c r="J300" s="147">
        <f>SUM('F13-Year(n)'!K298:P298)</f>
        <v>0</v>
      </c>
      <c r="K300" s="147">
        <f t="shared" si="16"/>
        <v>0</v>
      </c>
      <c r="L300" s="147">
        <f>'F13-Year(n+1)'!Q307</f>
        <v>0</v>
      </c>
      <c r="M300" s="147">
        <f>'F13-Year(n+2)'!Q306</f>
        <v>0</v>
      </c>
      <c r="N300" s="147">
        <f>'F13-Year(n+3)'!Q306</f>
        <v>0</v>
      </c>
      <c r="O300" s="147">
        <f>'F13-Year(n+4)'!Q306</f>
        <v>0</v>
      </c>
      <c r="P300" s="147">
        <f>'F13-Year(n+5)'!Q306</f>
        <v>0</v>
      </c>
    </row>
    <row r="301" spans="3:16">
      <c r="C301" s="55"/>
      <c r="D301" s="687" t="s">
        <v>419</v>
      </c>
      <c r="E301" s="147"/>
      <c r="F301" s="752">
        <f>'F13-Year(n-1)'!Q301</f>
        <v>0</v>
      </c>
      <c r="G301" s="147"/>
      <c r="H301" s="147"/>
      <c r="I301" s="147">
        <f>SUM('F13-Year(n)'!E299:J299)</f>
        <v>0</v>
      </c>
      <c r="J301" s="147">
        <f>SUM('F13-Year(n)'!K299:P299)</f>
        <v>0</v>
      </c>
      <c r="K301" s="147">
        <f t="shared" si="16"/>
        <v>0</v>
      </c>
      <c r="L301" s="147">
        <f>'F13-Year(n+1)'!Q308</f>
        <v>0</v>
      </c>
      <c r="M301" s="147">
        <f>'F13-Year(n+2)'!Q307</f>
        <v>0</v>
      </c>
      <c r="N301" s="147">
        <f>'F13-Year(n+3)'!Q307</f>
        <v>0</v>
      </c>
      <c r="O301" s="147">
        <f>'F13-Year(n+4)'!Q307</f>
        <v>0</v>
      </c>
      <c r="P301" s="147">
        <f>'F13-Year(n+5)'!Q307</f>
        <v>0</v>
      </c>
    </row>
    <row r="302" spans="3:16">
      <c r="C302" s="55"/>
      <c r="D302" s="687" t="s">
        <v>420</v>
      </c>
      <c r="E302" s="147"/>
      <c r="F302" s="752">
        <f>'F13-Year(n-1)'!Q302</f>
        <v>0.00356241925</v>
      </c>
      <c r="G302" s="147"/>
      <c r="H302" s="147"/>
      <c r="I302" s="147">
        <f>SUM('F13-Year(n)'!E300:J300)</f>
        <v>0</v>
      </c>
      <c r="J302" s="147">
        <f>SUM('F13-Year(n)'!K300:P300)</f>
        <v>0</v>
      </c>
      <c r="K302" s="147">
        <f t="shared" si="16"/>
        <v>0</v>
      </c>
      <c r="L302" s="147">
        <f>'F13-Year(n+1)'!Q309</f>
        <v>0</v>
      </c>
      <c r="M302" s="147">
        <f>'F13-Year(n+2)'!Q308</f>
        <v>0</v>
      </c>
      <c r="N302" s="147">
        <f>'F13-Year(n+3)'!Q308</f>
        <v>0</v>
      </c>
      <c r="O302" s="147">
        <f>'F13-Year(n+4)'!Q308</f>
        <v>0</v>
      </c>
      <c r="P302" s="147">
        <f>'F13-Year(n+5)'!Q308</f>
        <v>0</v>
      </c>
    </row>
    <row r="303" spans="3:16">
      <c r="C303" s="55"/>
      <c r="D303" s="55" t="s">
        <v>499</v>
      </c>
      <c r="E303" s="147"/>
      <c r="F303" s="752">
        <f>'F13-Year(n-1)'!Q303</f>
        <v>0</v>
      </c>
      <c r="G303" s="147"/>
      <c r="H303" s="147"/>
      <c r="I303" s="147">
        <f>SUM('F13-Year(n)'!E309:J309)</f>
        <v>0</v>
      </c>
      <c r="J303" s="147">
        <f>SUM('F13-Year(n)'!K309:P309)</f>
        <v>0</v>
      </c>
      <c r="K303" s="147">
        <f t="shared" si="16"/>
        <v>0</v>
      </c>
      <c r="L303" s="147">
        <f>'F13-Year(n+1)'!Q310</f>
        <v>0</v>
      </c>
      <c r="M303" s="147">
        <f>'F13-Year(n+2)'!Q309</f>
        <v>0</v>
      </c>
      <c r="N303" s="147">
        <f>'F13-Year(n+3)'!Q309</f>
        <v>0</v>
      </c>
      <c r="O303" s="147">
        <f>'F13-Year(n+4)'!Q309</f>
        <v>0</v>
      </c>
      <c r="P303" s="147">
        <f>'F13-Year(n+5)'!Q309</f>
        <v>0</v>
      </c>
    </row>
    <row r="304" spans="3:16">
      <c r="C304" s="55"/>
      <c r="D304" s="55"/>
      <c r="E304" s="147"/>
      <c r="F304" s="752">
        <f>'F13-Year(n-1)'!Q304</f>
        <v>0</v>
      </c>
      <c r="G304" s="147"/>
      <c r="H304" s="147"/>
      <c r="I304" s="147">
        <f>SUM('F13-Year(n)'!E302:J302)</f>
        <v>0</v>
      </c>
      <c r="J304" s="147">
        <f>SUM('F13-Year(n)'!K302:P302)</f>
        <v>0</v>
      </c>
      <c r="K304" s="147">
        <f t="shared" si="16"/>
        <v>0</v>
      </c>
      <c r="L304" s="147">
        <f>'F13-Year(n+1)'!Q311</f>
        <v>0</v>
      </c>
      <c r="M304" s="147">
        <f>'F13-Year(n+2)'!Q310</f>
        <v>0</v>
      </c>
      <c r="N304" s="147">
        <f>'F13-Year(n+3)'!Q310</f>
        <v>0</v>
      </c>
      <c r="O304" s="147">
        <f>'F13-Year(n+4)'!Q310</f>
        <v>0</v>
      </c>
      <c r="P304" s="147">
        <f>'F13-Year(n+5)'!Q310</f>
        <v>0</v>
      </c>
    </row>
    <row r="305" spans="3:16">
      <c r="C305" s="55"/>
      <c r="D305" s="55"/>
      <c r="E305" s="147"/>
      <c r="F305" s="752">
        <f>'F13-Year(n-1)'!Q305</f>
        <v>0</v>
      </c>
      <c r="G305" s="147"/>
      <c r="H305" s="147"/>
      <c r="I305" s="147">
        <f>SUM('F13-Year(n)'!E303:J303)</f>
        <v>0</v>
      </c>
      <c r="J305" s="147">
        <f>SUM('F13-Year(n)'!K303:P303)</f>
        <v>0</v>
      </c>
      <c r="K305" s="147">
        <f t="shared" si="16"/>
        <v>0</v>
      </c>
      <c r="L305" s="147">
        <f>'F13-Year(n+1)'!Q312</f>
        <v>0</v>
      </c>
      <c r="M305" s="147">
        <f>'F13-Year(n+2)'!Q311</f>
        <v>0</v>
      </c>
      <c r="N305" s="147">
        <f>'F13-Year(n+3)'!Q311</f>
        <v>0</v>
      </c>
      <c r="O305" s="147">
        <f>'F13-Year(n+4)'!Q311</f>
        <v>0</v>
      </c>
      <c r="P305" s="147">
        <f>'F13-Year(n+5)'!Q311</f>
        <v>0</v>
      </c>
    </row>
    <row r="306" spans="3:16">
      <c r="C306" s="55"/>
      <c r="D306" s="55"/>
      <c r="E306" s="147"/>
      <c r="F306" s="752">
        <f>'F13-Year(n-1)'!Q306</f>
        <v>0</v>
      </c>
      <c r="G306" s="147"/>
      <c r="H306" s="147"/>
      <c r="I306" s="147">
        <f>SUM('F13-Year(n)'!E304:J304)</f>
        <v>0</v>
      </c>
      <c r="J306" s="147">
        <f>SUM('F13-Year(n)'!K304:P304)</f>
        <v>0</v>
      </c>
      <c r="K306" s="147">
        <f t="shared" si="16"/>
        <v>0</v>
      </c>
      <c r="L306" s="147">
        <f>'F13-Year(n+1)'!Q313</f>
        <v>0</v>
      </c>
      <c r="M306" s="147">
        <f>'F13-Year(n+2)'!Q312</f>
        <v>0</v>
      </c>
      <c r="N306" s="147">
        <f>'F13-Year(n+3)'!Q312</f>
        <v>0</v>
      </c>
      <c r="O306" s="147">
        <f>'F13-Year(n+4)'!Q312</f>
        <v>0</v>
      </c>
      <c r="P306" s="147">
        <f>'F13-Year(n+5)'!Q312</f>
        <v>0</v>
      </c>
    </row>
    <row r="307" spans="3:16">
      <c r="C307" s="55"/>
      <c r="D307" s="55"/>
      <c r="E307" s="147"/>
      <c r="F307" s="752">
        <f>'F13-Year(n-1)'!Q307</f>
        <v>0</v>
      </c>
      <c r="G307" s="147"/>
      <c r="H307" s="147"/>
      <c r="I307" s="147">
        <f>SUM('F13-Year(n)'!E305:J305)</f>
        <v>0</v>
      </c>
      <c r="J307" s="147">
        <f>SUM('F13-Year(n)'!K305:P305)</f>
        <v>0</v>
      </c>
      <c r="K307" s="147">
        <f t="shared" si="16"/>
        <v>0</v>
      </c>
      <c r="L307" s="147">
        <f>'F13-Year(n+1)'!Q314</f>
        <v>0</v>
      </c>
      <c r="M307" s="147">
        <f>'F13-Year(n+2)'!Q313</f>
        <v>0</v>
      </c>
      <c r="N307" s="147">
        <f>'F13-Year(n+3)'!Q313</f>
        <v>0</v>
      </c>
      <c r="O307" s="147">
        <f>'F13-Year(n+4)'!Q313</f>
        <v>0</v>
      </c>
      <c r="P307" s="147">
        <f>'F13-Year(n+5)'!Q313</f>
        <v>0</v>
      </c>
    </row>
    <row r="308" spans="3:16">
      <c r="C308" s="55"/>
      <c r="D308" s="55"/>
      <c r="E308" s="147"/>
      <c r="F308" s="752">
        <f>'F13-Year(n-1)'!Q308</f>
        <v>0</v>
      </c>
      <c r="G308" s="147"/>
      <c r="H308" s="147"/>
      <c r="I308" s="147">
        <f>SUM('F13-Year(n)'!E306:J306)</f>
        <v>0</v>
      </c>
      <c r="J308" s="147">
        <f>SUM('F13-Year(n)'!K306:P306)</f>
        <v>0</v>
      </c>
      <c r="K308" s="147">
        <f t="shared" si="16"/>
        <v>0</v>
      </c>
      <c r="L308" s="147">
        <f>'F13-Year(n+1)'!Q315</f>
        <v>0</v>
      </c>
      <c r="M308" s="147">
        <f>'F13-Year(n+2)'!Q314</f>
        <v>0</v>
      </c>
      <c r="N308" s="147">
        <f>'F13-Year(n+3)'!Q314</f>
        <v>0</v>
      </c>
      <c r="O308" s="147">
        <f>'F13-Year(n+4)'!Q314</f>
        <v>0</v>
      </c>
      <c r="P308" s="147">
        <f>'F13-Year(n+5)'!Q314</f>
        <v>0</v>
      </c>
    </row>
    <row r="309" spans="3:16">
      <c r="C309" s="55"/>
      <c r="D309" s="55"/>
      <c r="E309" s="147"/>
      <c r="F309" s="752">
        <f>'F13-Year(n-1)'!Q309</f>
        <v>0</v>
      </c>
      <c r="G309" s="147"/>
      <c r="H309" s="147"/>
      <c r="I309" s="147">
        <f>SUM('F13-Year(n)'!E307:J307)</f>
        <v>0</v>
      </c>
      <c r="J309" s="147">
        <f>SUM('F13-Year(n)'!K307:P307)</f>
        <v>0</v>
      </c>
      <c r="K309" s="147">
        <f t="shared" si="16"/>
        <v>0</v>
      </c>
      <c r="L309" s="147">
        <f>'F13-Year(n+1)'!Q316</f>
        <v>0</v>
      </c>
      <c r="M309" s="147">
        <f>'F13-Year(n+2)'!Q315</f>
        <v>0</v>
      </c>
      <c r="N309" s="147">
        <f>'F13-Year(n+3)'!Q315</f>
        <v>0</v>
      </c>
      <c r="O309" s="147">
        <f>'F13-Year(n+4)'!Q315</f>
        <v>0</v>
      </c>
      <c r="P309" s="147">
        <f>'F13-Year(n+5)'!Q315</f>
        <v>0</v>
      </c>
    </row>
    <row r="310" spans="3:16">
      <c r="C310" s="55"/>
      <c r="D310" s="55"/>
      <c r="E310" s="147"/>
      <c r="F310" s="752">
        <f>'F13-Year(n-1)'!Q310</f>
        <v>0</v>
      </c>
      <c r="G310" s="147"/>
      <c r="H310" s="147"/>
      <c r="I310" s="147">
        <f>SUM('F13-Year(n)'!E308:J308)</f>
        <v>0</v>
      </c>
      <c r="J310" s="147">
        <f>SUM('F13-Year(n)'!K308:P308)</f>
        <v>0</v>
      </c>
      <c r="K310" s="147">
        <f t="shared" si="16"/>
        <v>0</v>
      </c>
      <c r="L310" s="147">
        <f>'F13-Year(n+1)'!Q317</f>
        <v>0</v>
      </c>
      <c r="M310" s="147">
        <f>'F13-Year(n+2)'!Q316</f>
        <v>0</v>
      </c>
      <c r="N310" s="147">
        <f>'F13-Year(n+3)'!Q316</f>
        <v>0</v>
      </c>
      <c r="O310" s="147">
        <f>'F13-Year(n+4)'!Q316</f>
        <v>0</v>
      </c>
      <c r="P310" s="147">
        <f>'F13-Year(n+5)'!Q316</f>
        <v>0</v>
      </c>
    </row>
    <row r="311" ht="15" spans="3:16">
      <c r="C311" s="44" t="s">
        <v>421</v>
      </c>
      <c r="D311" s="45"/>
      <c r="E311" s="316" t="e">
        <f>SUM(E287:E310)</f>
        <v>#REF!</v>
      </c>
      <c r="F311" s="316">
        <f>SUM(F287:F310)</f>
        <v>10.8443729177735</v>
      </c>
      <c r="G311" s="316" t="e">
        <f>F311-E311</f>
        <v>#REF!</v>
      </c>
      <c r="H311" s="316" t="e">
        <f>SUM(H287:H310)</f>
        <v>#REF!</v>
      </c>
      <c r="I311" s="316">
        <f>SUM(I287:I310)</f>
        <v>0</v>
      </c>
      <c r="J311" s="316">
        <f>SUM(J287:J310)</f>
        <v>0</v>
      </c>
      <c r="K311" s="316">
        <f t="shared" si="16"/>
        <v>0</v>
      </c>
      <c r="L311" s="316">
        <f>'F13-Year(n+1)'!Q318</f>
        <v>0</v>
      </c>
      <c r="M311" s="316">
        <f>'F13-Year(n+2)'!Q317</f>
        <v>0</v>
      </c>
      <c r="N311" s="316">
        <f>'F13-Year(n+3)'!Q317</f>
        <v>0</v>
      </c>
      <c r="O311" s="316">
        <f>'F13-Year(n+4)'!Q317</f>
        <v>0</v>
      </c>
      <c r="P311" s="316">
        <f>'F13-Year(n+5)'!Q317</f>
        <v>0</v>
      </c>
    </row>
    <row r="312" ht="15" spans="3:16">
      <c r="C312" s="663" t="s">
        <v>422</v>
      </c>
      <c r="D312" s="676"/>
      <c r="E312" s="147"/>
      <c r="F312" s="147"/>
      <c r="G312" s="147"/>
      <c r="H312" s="147"/>
      <c r="I312" s="147"/>
      <c r="J312" s="147"/>
      <c r="K312" s="147"/>
      <c r="L312" s="147"/>
      <c r="M312" s="147"/>
      <c r="N312" s="147"/>
      <c r="O312" s="147"/>
      <c r="P312" s="147"/>
    </row>
    <row r="313" spans="3:16">
      <c r="C313" s="55"/>
      <c r="D313" s="55"/>
      <c r="E313" s="147">
        <f>'[47]PP Cost'!$J$136</f>
        <v>0</v>
      </c>
      <c r="F313" s="752">
        <f>'F13-Year(n-1)'!Q313</f>
        <v>0</v>
      </c>
      <c r="G313" s="147"/>
      <c r="H313" s="147">
        <f>'[48]PP Cost'!$J$141</f>
        <v>0</v>
      </c>
      <c r="I313" s="147">
        <f>SUM('F13-Year(n)'!E311:J311)</f>
        <v>0</v>
      </c>
      <c r="J313" s="147">
        <f>SUM('F13-Year(n)'!K311:P311)</f>
        <v>0</v>
      </c>
      <c r="K313" s="147">
        <f t="shared" ref="K313:K337" si="17">I313+J313</f>
        <v>0</v>
      </c>
      <c r="L313" s="147">
        <f>'F13-Year(n+1)'!Q320</f>
        <v>0</v>
      </c>
      <c r="M313" s="147">
        <f>'F13-Year(n+2)'!Q319</f>
        <v>0</v>
      </c>
      <c r="N313" s="147">
        <f>'F13-Year(n+3)'!Q319</f>
        <v>0</v>
      </c>
      <c r="O313" s="147">
        <f>'F13-Year(n+4)'!Q319</f>
        <v>0</v>
      </c>
      <c r="P313" s="147">
        <f>'F13-Year(n+5)'!Q319</f>
        <v>0</v>
      </c>
    </row>
    <row r="314" spans="3:16">
      <c r="C314" s="55"/>
      <c r="D314" s="55"/>
      <c r="E314" s="147"/>
      <c r="F314" s="752">
        <f>'F13-Year(n-1)'!Q314</f>
        <v>0</v>
      </c>
      <c r="G314" s="147"/>
      <c r="H314" s="147"/>
      <c r="I314" s="147">
        <f>SUM('F13-Year(n)'!E312:J312)</f>
        <v>0</v>
      </c>
      <c r="J314" s="147">
        <f>SUM('F13-Year(n)'!K312:P312)</f>
        <v>0</v>
      </c>
      <c r="K314" s="147">
        <f t="shared" si="17"/>
        <v>0</v>
      </c>
      <c r="L314" s="147">
        <f>'F13-Year(n+1)'!Q321</f>
        <v>0</v>
      </c>
      <c r="M314" s="147">
        <f>'F13-Year(n+2)'!Q320</f>
        <v>0</v>
      </c>
      <c r="N314" s="147">
        <f>'F13-Year(n+3)'!Q320</f>
        <v>0</v>
      </c>
      <c r="O314" s="147">
        <f>'F13-Year(n+4)'!Q320</f>
        <v>0</v>
      </c>
      <c r="P314" s="147">
        <f>'F13-Year(n+5)'!Q320</f>
        <v>0</v>
      </c>
    </row>
    <row r="315" spans="3:16">
      <c r="C315" s="55"/>
      <c r="D315" s="55"/>
      <c r="E315" s="147"/>
      <c r="F315" s="752">
        <f>'F13-Year(n-1)'!Q315</f>
        <v>0</v>
      </c>
      <c r="G315" s="147"/>
      <c r="H315" s="147"/>
      <c r="I315" s="147">
        <f>SUM('F13-Year(n)'!E313:J313)</f>
        <v>0</v>
      </c>
      <c r="J315" s="147">
        <f>SUM('F13-Year(n)'!K313:P313)</f>
        <v>0</v>
      </c>
      <c r="K315" s="147">
        <f t="shared" si="17"/>
        <v>0</v>
      </c>
      <c r="L315" s="147">
        <f>'F13-Year(n+1)'!Q322</f>
        <v>0</v>
      </c>
      <c r="M315" s="147">
        <f>'F13-Year(n+2)'!Q321</f>
        <v>0</v>
      </c>
      <c r="N315" s="147">
        <f>'F13-Year(n+3)'!Q321</f>
        <v>0</v>
      </c>
      <c r="O315" s="147">
        <f>'F13-Year(n+4)'!Q321</f>
        <v>0</v>
      </c>
      <c r="P315" s="147">
        <f>'F13-Year(n+5)'!Q321</f>
        <v>0</v>
      </c>
    </row>
    <row r="316" spans="3:16">
      <c r="C316" s="55"/>
      <c r="D316" s="55"/>
      <c r="E316" s="147"/>
      <c r="F316" s="752">
        <f>'F13-Year(n-1)'!Q316</f>
        <v>0</v>
      </c>
      <c r="G316" s="147"/>
      <c r="H316" s="147"/>
      <c r="I316" s="147">
        <f>SUM('F13-Year(n)'!E314:J314)</f>
        <v>0</v>
      </c>
      <c r="J316" s="147">
        <f>SUM('F13-Year(n)'!K314:P314)</f>
        <v>0</v>
      </c>
      <c r="K316" s="147">
        <f t="shared" si="17"/>
        <v>0</v>
      </c>
      <c r="L316" s="147">
        <f>'F13-Year(n+1)'!Q323</f>
        <v>0</v>
      </c>
      <c r="M316" s="147">
        <f>'F13-Year(n+2)'!Q322</f>
        <v>0</v>
      </c>
      <c r="N316" s="147">
        <f>'F13-Year(n+3)'!Q322</f>
        <v>0</v>
      </c>
      <c r="O316" s="147">
        <f>'F13-Year(n+4)'!Q322</f>
        <v>0</v>
      </c>
      <c r="P316" s="147">
        <f>'F13-Year(n+5)'!Q322</f>
        <v>0</v>
      </c>
    </row>
    <row r="317" spans="3:16">
      <c r="C317" s="55"/>
      <c r="D317" s="55"/>
      <c r="E317" s="147"/>
      <c r="F317" s="752">
        <f>'F13-Year(n-1)'!Q317</f>
        <v>0</v>
      </c>
      <c r="G317" s="147"/>
      <c r="H317" s="147"/>
      <c r="I317" s="147">
        <f>SUM('F13-Year(n)'!E315:J315)</f>
        <v>0</v>
      </c>
      <c r="J317" s="147">
        <f>SUM('F13-Year(n)'!K315:P315)</f>
        <v>0</v>
      </c>
      <c r="K317" s="147">
        <f t="shared" si="17"/>
        <v>0</v>
      </c>
      <c r="L317" s="147">
        <f>'F13-Year(n+1)'!Q324</f>
        <v>0</v>
      </c>
      <c r="M317" s="147">
        <f>'F13-Year(n+2)'!Q323</f>
        <v>0</v>
      </c>
      <c r="N317" s="147">
        <f>'F13-Year(n+3)'!Q323</f>
        <v>0</v>
      </c>
      <c r="O317" s="147">
        <f>'F13-Year(n+4)'!Q323</f>
        <v>0</v>
      </c>
      <c r="P317" s="147">
        <f>'F13-Year(n+5)'!Q323</f>
        <v>0</v>
      </c>
    </row>
    <row r="318" spans="3:16">
      <c r="C318" s="55"/>
      <c r="D318" s="679" t="s">
        <v>502</v>
      </c>
      <c r="E318" s="147"/>
      <c r="F318" s="752">
        <f>'F13-Year(n-1)'!Q318</f>
        <v>712.96428731645</v>
      </c>
      <c r="G318" s="147"/>
      <c r="H318" s="147"/>
      <c r="I318" s="147">
        <f>SUM('F13-Year(n)'!E316:J316)</f>
        <v>0</v>
      </c>
      <c r="J318" s="147">
        <f>SUM('F13-Year(n)'!K316:P316)</f>
        <v>0</v>
      </c>
      <c r="K318" s="147">
        <f t="shared" si="17"/>
        <v>0</v>
      </c>
      <c r="L318" s="147">
        <f>'F13-Year(n+1)'!Q325</f>
        <v>0</v>
      </c>
      <c r="M318" s="147">
        <f>'F13-Year(n+2)'!Q324</f>
        <v>0</v>
      </c>
      <c r="N318" s="147">
        <f>'F13-Year(n+3)'!Q324</f>
        <v>0</v>
      </c>
      <c r="O318" s="147">
        <f>'F13-Year(n+4)'!Q324</f>
        <v>0</v>
      </c>
      <c r="P318" s="147">
        <f>'F13-Year(n+5)'!Q324</f>
        <v>0</v>
      </c>
    </row>
    <row r="319" spans="3:16">
      <c r="C319" s="55"/>
      <c r="D319" s="679" t="s">
        <v>503</v>
      </c>
      <c r="E319" s="147"/>
      <c r="F319" s="752">
        <f>'F13-Year(n-1)'!Q319</f>
        <v>1.3792174784</v>
      </c>
      <c r="G319" s="147"/>
      <c r="H319" s="147"/>
      <c r="I319" s="147">
        <f>SUM('F13-Year(n)'!E317:J317)</f>
        <v>0</v>
      </c>
      <c r="J319" s="147">
        <f>SUM('F13-Year(n)'!K317:P317)</f>
        <v>0</v>
      </c>
      <c r="K319" s="147">
        <f t="shared" si="17"/>
        <v>0</v>
      </c>
      <c r="L319" s="147">
        <f>'F13-Year(n+1)'!Q326</f>
        <v>0</v>
      </c>
      <c r="M319" s="147">
        <f>'F13-Year(n+2)'!Q325</f>
        <v>0</v>
      </c>
      <c r="N319" s="147">
        <f>'F13-Year(n+3)'!Q325</f>
        <v>0</v>
      </c>
      <c r="O319" s="147">
        <f>'F13-Year(n+4)'!Q325</f>
        <v>0</v>
      </c>
      <c r="P319" s="147">
        <f>'F13-Year(n+5)'!Q325</f>
        <v>0</v>
      </c>
    </row>
    <row r="320" spans="3:16">
      <c r="C320" s="55"/>
      <c r="D320" s="688" t="s">
        <v>504</v>
      </c>
      <c r="E320" s="147"/>
      <c r="F320" s="752">
        <f>'F13-Year(n-1)'!Q320</f>
        <v>0</v>
      </c>
      <c r="G320" s="147"/>
      <c r="H320" s="147"/>
      <c r="I320" s="147">
        <f>SUM('F13-Year(n)'!E318:J318)</f>
        <v>0</v>
      </c>
      <c r="J320" s="147">
        <f>SUM('F13-Year(n)'!K318:P318)</f>
        <v>0</v>
      </c>
      <c r="K320" s="147">
        <f t="shared" si="17"/>
        <v>0</v>
      </c>
      <c r="L320" s="147">
        <f>'F13-Year(n+1)'!Q327</f>
        <v>0</v>
      </c>
      <c r="M320" s="147">
        <f>'F13-Year(n+2)'!Q326</f>
        <v>0</v>
      </c>
      <c r="N320" s="147">
        <f>'F13-Year(n+3)'!Q326</f>
        <v>0</v>
      </c>
      <c r="O320" s="147">
        <f>'F13-Year(n+4)'!Q326</f>
        <v>0</v>
      </c>
      <c r="P320" s="147">
        <f>'F13-Year(n+5)'!Q326</f>
        <v>0</v>
      </c>
    </row>
    <row r="321" spans="3:16">
      <c r="C321" s="55"/>
      <c r="D321" s="679" t="s">
        <v>505</v>
      </c>
      <c r="E321" s="147"/>
      <c r="F321" s="752">
        <f>'F13-Year(n-1)'!Q321</f>
        <v>9.5858769904</v>
      </c>
      <c r="G321" s="147"/>
      <c r="H321" s="147"/>
      <c r="I321" s="147">
        <f>SUM('F13-Year(n)'!E319:J319)</f>
        <v>0</v>
      </c>
      <c r="J321" s="147">
        <f>SUM('F13-Year(n)'!K319:P319)</f>
        <v>0</v>
      </c>
      <c r="K321" s="147">
        <f t="shared" si="17"/>
        <v>0</v>
      </c>
      <c r="L321" s="147">
        <f>'F13-Year(n+1)'!Q328</f>
        <v>0</v>
      </c>
      <c r="M321" s="147">
        <f>'F13-Year(n+2)'!Q327</f>
        <v>0</v>
      </c>
      <c r="N321" s="147">
        <f>'F13-Year(n+3)'!Q327</f>
        <v>0</v>
      </c>
      <c r="O321" s="147">
        <f>'F13-Year(n+4)'!Q327</f>
        <v>0</v>
      </c>
      <c r="P321" s="147">
        <f>'F13-Year(n+5)'!Q327</f>
        <v>0</v>
      </c>
    </row>
    <row r="322" spans="3:16">
      <c r="C322" s="55"/>
      <c r="D322" s="679" t="s">
        <v>506</v>
      </c>
      <c r="E322" s="147"/>
      <c r="F322" s="752">
        <f>'F13-Year(n-1)'!Q322</f>
        <v>0</v>
      </c>
      <c r="G322" s="147"/>
      <c r="H322" s="147"/>
      <c r="I322" s="147">
        <f>SUM('F13-Year(n)'!E320:J320)</f>
        <v>0</v>
      </c>
      <c r="J322" s="147">
        <f>SUM('F13-Year(n)'!K320:P320)</f>
        <v>0</v>
      </c>
      <c r="K322" s="147">
        <f t="shared" si="17"/>
        <v>0</v>
      </c>
      <c r="L322" s="147">
        <f>'F13-Year(n+1)'!Q329</f>
        <v>0</v>
      </c>
      <c r="M322" s="147">
        <f>'F13-Year(n+2)'!Q328</f>
        <v>0</v>
      </c>
      <c r="N322" s="147">
        <f>'F13-Year(n+3)'!Q328</f>
        <v>0</v>
      </c>
      <c r="O322" s="147">
        <f>'F13-Year(n+4)'!Q328</f>
        <v>0</v>
      </c>
      <c r="P322" s="147">
        <f>'F13-Year(n+5)'!Q328</f>
        <v>0</v>
      </c>
    </row>
    <row r="323" spans="3:16">
      <c r="C323" s="55"/>
      <c r="D323" s="679" t="s">
        <v>507</v>
      </c>
      <c r="E323" s="147"/>
      <c r="F323" s="752">
        <f>'F13-Year(n-1)'!Q323</f>
        <v>1.204791597288</v>
      </c>
      <c r="G323" s="147"/>
      <c r="H323" s="147"/>
      <c r="I323" s="147">
        <f>SUM('F13-Year(n)'!E321:J321)</f>
        <v>0</v>
      </c>
      <c r="J323" s="147">
        <f>SUM('F13-Year(n)'!K321:P321)</f>
        <v>0</v>
      </c>
      <c r="K323" s="147">
        <f t="shared" si="17"/>
        <v>0</v>
      </c>
      <c r="L323" s="147">
        <f>'F13-Year(n+1)'!Q330</f>
        <v>0</v>
      </c>
      <c r="M323" s="147">
        <f>'F13-Year(n+2)'!Q329</f>
        <v>0</v>
      </c>
      <c r="N323" s="147">
        <f>'F13-Year(n+3)'!Q329</f>
        <v>0</v>
      </c>
      <c r="O323" s="147">
        <f>'F13-Year(n+4)'!Q329</f>
        <v>0</v>
      </c>
      <c r="P323" s="147">
        <f>'F13-Year(n+5)'!Q329</f>
        <v>0</v>
      </c>
    </row>
    <row r="324" spans="3:16">
      <c r="C324" s="55"/>
      <c r="D324" s="679" t="s">
        <v>508</v>
      </c>
      <c r="E324" s="147"/>
      <c r="F324" s="752">
        <f>'F13-Year(n-1)'!Q324</f>
        <v>1005.4319364</v>
      </c>
      <c r="G324" s="147"/>
      <c r="H324" s="147"/>
      <c r="I324" s="147">
        <f>SUM('F13-Year(n)'!E322:J322)</f>
        <v>0</v>
      </c>
      <c r="J324" s="147">
        <f>SUM('F13-Year(n)'!K322:P322)</f>
        <v>0</v>
      </c>
      <c r="K324" s="147">
        <f t="shared" si="17"/>
        <v>0</v>
      </c>
      <c r="L324" s="147">
        <f>'F13-Year(n+1)'!Q331</f>
        <v>0</v>
      </c>
      <c r="M324" s="147">
        <f>'F13-Year(n+2)'!Q330</f>
        <v>0</v>
      </c>
      <c r="N324" s="147">
        <f>'F13-Year(n+3)'!Q330</f>
        <v>0</v>
      </c>
      <c r="O324" s="147">
        <f>'F13-Year(n+4)'!Q330</f>
        <v>0</v>
      </c>
      <c r="P324" s="147">
        <f>'F13-Year(n+5)'!Q330</f>
        <v>0</v>
      </c>
    </row>
    <row r="325" spans="3:16">
      <c r="C325" s="55"/>
      <c r="D325" s="679" t="s">
        <v>509</v>
      </c>
      <c r="E325" s="147"/>
      <c r="F325" s="752">
        <f>'F13-Year(n-1)'!Q325</f>
        <v>13.2356788</v>
      </c>
      <c r="G325" s="147"/>
      <c r="H325" s="147"/>
      <c r="I325" s="147">
        <f>SUM('F13-Year(n)'!E323:J323)</f>
        <v>0</v>
      </c>
      <c r="J325" s="147">
        <f>SUM('F13-Year(n)'!K323:P323)</f>
        <v>0</v>
      </c>
      <c r="K325" s="147">
        <f t="shared" si="17"/>
        <v>0</v>
      </c>
      <c r="L325" s="147">
        <f>'F13-Year(n+1)'!Q332</f>
        <v>0</v>
      </c>
      <c r="M325" s="147">
        <f>'F13-Year(n+2)'!Q331</f>
        <v>0</v>
      </c>
      <c r="N325" s="147">
        <f>'F13-Year(n+3)'!Q331</f>
        <v>0</v>
      </c>
      <c r="O325" s="147">
        <f>'F13-Year(n+4)'!Q331</f>
        <v>0</v>
      </c>
      <c r="P325" s="147">
        <f>'F13-Year(n+5)'!Q331</f>
        <v>0</v>
      </c>
    </row>
    <row r="326" spans="3:16">
      <c r="C326" s="55"/>
      <c r="D326" s="679" t="s">
        <v>510</v>
      </c>
      <c r="E326" s="147"/>
      <c r="F326" s="752">
        <f>'F13-Year(n-1)'!Q326</f>
        <v>-2.6582839884</v>
      </c>
      <c r="G326" s="147"/>
      <c r="H326" s="147"/>
      <c r="I326" s="147">
        <f>SUM('F13-Year(n)'!E324:J324)</f>
        <v>0</v>
      </c>
      <c r="J326" s="147">
        <f>SUM('F13-Year(n)'!K324:P324)</f>
        <v>0</v>
      </c>
      <c r="K326" s="147">
        <f t="shared" si="17"/>
        <v>0</v>
      </c>
      <c r="L326" s="147">
        <f>'F13-Year(n+1)'!Q333</f>
        <v>0</v>
      </c>
      <c r="M326" s="147">
        <f>'F13-Year(n+2)'!Q332</f>
        <v>0</v>
      </c>
      <c r="N326" s="147">
        <f>'F13-Year(n+3)'!Q332</f>
        <v>0</v>
      </c>
      <c r="O326" s="147">
        <f>'F13-Year(n+4)'!Q332</f>
        <v>0</v>
      </c>
      <c r="P326" s="147">
        <f>'F13-Year(n+5)'!Q332</f>
        <v>0</v>
      </c>
    </row>
    <row r="327" spans="3:16">
      <c r="C327" s="55"/>
      <c r="D327" s="679" t="s">
        <v>511</v>
      </c>
      <c r="E327" s="147"/>
      <c r="F327" s="752">
        <f>'F13-Year(n-1)'!Q327</f>
        <v>22.0675608348978</v>
      </c>
      <c r="G327" s="147"/>
      <c r="H327" s="147"/>
      <c r="I327" s="147">
        <f>SUM('F13-Year(n)'!E325:J325)</f>
        <v>0</v>
      </c>
      <c r="J327" s="147">
        <f>SUM('F13-Year(n)'!K325:P325)</f>
        <v>0</v>
      </c>
      <c r="K327" s="147">
        <f t="shared" si="17"/>
        <v>0</v>
      </c>
      <c r="L327" s="147">
        <f>'F13-Year(n+1)'!Q334</f>
        <v>0</v>
      </c>
      <c r="M327" s="147">
        <f>'F13-Year(n+2)'!Q333</f>
        <v>0</v>
      </c>
      <c r="N327" s="147">
        <f>'F13-Year(n+3)'!Q333</f>
        <v>0</v>
      </c>
      <c r="O327" s="147">
        <f>'F13-Year(n+4)'!Q333</f>
        <v>0</v>
      </c>
      <c r="P327" s="147">
        <f>'F13-Year(n+5)'!Q333</f>
        <v>0</v>
      </c>
    </row>
    <row r="328" spans="3:16">
      <c r="C328" s="55"/>
      <c r="D328" s="679" t="s">
        <v>512</v>
      </c>
      <c r="E328" s="147"/>
      <c r="F328" s="752">
        <f>'F13-Year(n-1)'!Q328</f>
        <v>0.19106626955</v>
      </c>
      <c r="G328" s="147"/>
      <c r="H328" s="147"/>
      <c r="I328" s="147">
        <f>SUM('F13-Year(n)'!E326:J326)</f>
        <v>0</v>
      </c>
      <c r="J328" s="147">
        <f>SUM('F13-Year(n)'!K326:P326)</f>
        <v>0</v>
      </c>
      <c r="K328" s="147">
        <f t="shared" si="17"/>
        <v>0</v>
      </c>
      <c r="L328" s="147">
        <f>'F13-Year(n+1)'!Q335</f>
        <v>0</v>
      </c>
      <c r="M328" s="147">
        <f>'F13-Year(n+2)'!Q334</f>
        <v>0</v>
      </c>
      <c r="N328" s="147">
        <f>'F13-Year(n+3)'!Q334</f>
        <v>0</v>
      </c>
      <c r="O328" s="147">
        <f>'F13-Year(n+4)'!Q334</f>
        <v>0</v>
      </c>
      <c r="P328" s="147">
        <f>'F13-Year(n+5)'!Q334</f>
        <v>0</v>
      </c>
    </row>
    <row r="329" spans="3:16">
      <c r="C329" s="55"/>
      <c r="D329" s="55" t="s">
        <v>481</v>
      </c>
      <c r="E329" s="147"/>
      <c r="F329" s="752">
        <f>'F13-Year(n-1)'!Q329</f>
        <v>0</v>
      </c>
      <c r="G329" s="147"/>
      <c r="H329" s="147"/>
      <c r="I329" s="147">
        <f>SUM('F13-Year(n)'!E327:J327)</f>
        <v>0</v>
      </c>
      <c r="J329" s="147">
        <f>SUM('F13-Year(n)'!K327:P327)</f>
        <v>0</v>
      </c>
      <c r="K329" s="147">
        <f t="shared" si="17"/>
        <v>0</v>
      </c>
      <c r="L329" s="147">
        <f>'F13-Year(n+1)'!Q336</f>
        <v>0</v>
      </c>
      <c r="M329" s="147">
        <f>'F13-Year(n+2)'!Q335</f>
        <v>0</v>
      </c>
      <c r="N329" s="147">
        <f>'F13-Year(n+3)'!Q335</f>
        <v>0</v>
      </c>
      <c r="O329" s="147">
        <f>'F13-Year(n+4)'!Q335</f>
        <v>0</v>
      </c>
      <c r="P329" s="147">
        <f>'F13-Year(n+5)'!Q335</f>
        <v>0</v>
      </c>
    </row>
    <row r="330" spans="3:16">
      <c r="C330" s="55"/>
      <c r="D330" s="55"/>
      <c r="E330" s="147"/>
      <c r="F330" s="752">
        <f>'F13-Year(n-1)'!Q330</f>
        <v>0</v>
      </c>
      <c r="G330" s="147"/>
      <c r="H330" s="147"/>
      <c r="I330" s="147">
        <f>SUM('F13-Year(n)'!E328:J328)</f>
        <v>0</v>
      </c>
      <c r="J330" s="147">
        <f>SUM('F13-Year(n)'!K328:P328)</f>
        <v>0</v>
      </c>
      <c r="K330" s="147">
        <f t="shared" si="17"/>
        <v>0</v>
      </c>
      <c r="L330" s="147">
        <f>'F13-Year(n+1)'!Q337</f>
        <v>0</v>
      </c>
      <c r="M330" s="147">
        <f>'F13-Year(n+2)'!Q336</f>
        <v>0</v>
      </c>
      <c r="N330" s="147">
        <f>'F13-Year(n+3)'!Q336</f>
        <v>0</v>
      </c>
      <c r="O330" s="147">
        <f>'F13-Year(n+4)'!Q336</f>
        <v>0</v>
      </c>
      <c r="P330" s="147">
        <f>'F13-Year(n+5)'!Q336</f>
        <v>0</v>
      </c>
    </row>
    <row r="331" spans="3:16">
      <c r="C331" s="55"/>
      <c r="D331" s="55"/>
      <c r="E331" s="147"/>
      <c r="F331" s="752">
        <f>'F13-Year(n-1)'!Q331</f>
        <v>0</v>
      </c>
      <c r="G331" s="147"/>
      <c r="H331" s="147"/>
      <c r="I331" s="147">
        <f>SUM('F13-Year(n)'!E329:J329)</f>
        <v>0</v>
      </c>
      <c r="J331" s="147">
        <f>SUM('F13-Year(n)'!K329:P329)</f>
        <v>0</v>
      </c>
      <c r="K331" s="147">
        <f t="shared" si="17"/>
        <v>0</v>
      </c>
      <c r="L331" s="147">
        <f>'F13-Year(n+1)'!Q338</f>
        <v>0</v>
      </c>
      <c r="M331" s="147">
        <f>'F13-Year(n+2)'!Q337</f>
        <v>0</v>
      </c>
      <c r="N331" s="147">
        <f>'F13-Year(n+3)'!Q337</f>
        <v>0</v>
      </c>
      <c r="O331" s="147">
        <f>'F13-Year(n+4)'!Q337</f>
        <v>0</v>
      </c>
      <c r="P331" s="147">
        <f>'F13-Year(n+5)'!Q337</f>
        <v>0</v>
      </c>
    </row>
    <row r="332" spans="3:16">
      <c r="C332" s="55"/>
      <c r="D332" s="55"/>
      <c r="E332" s="147"/>
      <c r="F332" s="752">
        <f>'F13-Year(n-1)'!Q332</f>
        <v>0</v>
      </c>
      <c r="G332" s="147"/>
      <c r="H332" s="147"/>
      <c r="I332" s="147">
        <f>SUM('F13-Year(n)'!E330:J330)</f>
        <v>0</v>
      </c>
      <c r="J332" s="147">
        <f>SUM('F13-Year(n)'!K330:P330)</f>
        <v>0</v>
      </c>
      <c r="K332" s="147">
        <f t="shared" si="17"/>
        <v>0</v>
      </c>
      <c r="L332" s="147">
        <f>'F13-Year(n+1)'!Q339</f>
        <v>0</v>
      </c>
      <c r="M332" s="147">
        <f>'F13-Year(n+2)'!Q338</f>
        <v>0</v>
      </c>
      <c r="N332" s="147">
        <f>'F13-Year(n+3)'!Q338</f>
        <v>0</v>
      </c>
      <c r="O332" s="147">
        <f>'F13-Year(n+4)'!Q338</f>
        <v>0</v>
      </c>
      <c r="P332" s="147">
        <f>'F13-Year(n+5)'!Q338</f>
        <v>0</v>
      </c>
    </row>
    <row r="333" spans="3:16">
      <c r="C333" s="55"/>
      <c r="D333" s="55"/>
      <c r="E333" s="147"/>
      <c r="F333" s="752">
        <f>'F13-Year(n-1)'!Q333</f>
        <v>0</v>
      </c>
      <c r="G333" s="147"/>
      <c r="H333" s="147"/>
      <c r="I333" s="147">
        <f>SUM('F13-Year(n)'!E331:J331)</f>
        <v>0</v>
      </c>
      <c r="J333" s="147">
        <f>SUM('F13-Year(n)'!K331:P331)</f>
        <v>0</v>
      </c>
      <c r="K333" s="147">
        <f t="shared" si="17"/>
        <v>0</v>
      </c>
      <c r="L333" s="147">
        <f>'F13-Year(n+1)'!Q340</f>
        <v>0</v>
      </c>
      <c r="M333" s="147">
        <f>'F13-Year(n+2)'!Q339</f>
        <v>0</v>
      </c>
      <c r="N333" s="147">
        <f>'F13-Year(n+3)'!Q339</f>
        <v>0</v>
      </c>
      <c r="O333" s="147">
        <f>'F13-Year(n+4)'!Q339</f>
        <v>0</v>
      </c>
      <c r="P333" s="147">
        <f>'F13-Year(n+5)'!Q339</f>
        <v>0</v>
      </c>
    </row>
    <row r="334" spans="3:16">
      <c r="C334" s="55"/>
      <c r="D334" s="55"/>
      <c r="E334" s="147"/>
      <c r="F334" s="752">
        <f>'F13-Year(n-1)'!Q334</f>
        <v>0</v>
      </c>
      <c r="G334" s="147"/>
      <c r="H334" s="147"/>
      <c r="I334" s="147">
        <f>SUM('F13-Year(n)'!E332:J332)</f>
        <v>0</v>
      </c>
      <c r="J334" s="147">
        <f>SUM('F13-Year(n)'!K332:P332)</f>
        <v>0</v>
      </c>
      <c r="K334" s="147">
        <f t="shared" si="17"/>
        <v>0</v>
      </c>
      <c r="L334" s="147">
        <f>'F13-Year(n+1)'!Q341</f>
        <v>0</v>
      </c>
      <c r="M334" s="147">
        <f>'F13-Year(n+2)'!Q340</f>
        <v>0</v>
      </c>
      <c r="N334" s="147">
        <f>'F13-Year(n+3)'!Q340</f>
        <v>0</v>
      </c>
      <c r="O334" s="147">
        <f>'F13-Year(n+4)'!Q340</f>
        <v>0</v>
      </c>
      <c r="P334" s="147">
        <f>'F13-Year(n+5)'!Q340</f>
        <v>0</v>
      </c>
    </row>
    <row r="335" spans="3:16">
      <c r="C335" s="55"/>
      <c r="D335" s="55"/>
      <c r="E335" s="147"/>
      <c r="F335" s="752">
        <f>'F13-Year(n-1)'!Q335</f>
        <v>0</v>
      </c>
      <c r="G335" s="147"/>
      <c r="H335" s="147"/>
      <c r="I335" s="147">
        <f>SUM('F13-Year(n)'!E333:J333)</f>
        <v>0</v>
      </c>
      <c r="J335" s="147">
        <f>SUM('F13-Year(n)'!K333:P333)</f>
        <v>0</v>
      </c>
      <c r="K335" s="147">
        <f t="shared" si="17"/>
        <v>0</v>
      </c>
      <c r="L335" s="147">
        <f>'F13-Year(n+1)'!Q342</f>
        <v>0</v>
      </c>
      <c r="M335" s="147">
        <f>'F13-Year(n+2)'!Q341</f>
        <v>0</v>
      </c>
      <c r="N335" s="147">
        <f>'F13-Year(n+3)'!Q341</f>
        <v>0</v>
      </c>
      <c r="O335" s="147">
        <f>'F13-Year(n+4)'!Q341</f>
        <v>0</v>
      </c>
      <c r="P335" s="147">
        <f>'F13-Year(n+5)'!Q341</f>
        <v>0</v>
      </c>
    </row>
    <row r="336" spans="3:16">
      <c r="C336" s="55"/>
      <c r="D336" s="55"/>
      <c r="E336" s="147"/>
      <c r="F336" s="752">
        <f>'F13-Year(n-1)'!Q336</f>
        <v>0</v>
      </c>
      <c r="G336" s="147"/>
      <c r="H336" s="147"/>
      <c r="I336" s="147">
        <f>SUM('F13-Year(n)'!E334:J334)</f>
        <v>0</v>
      </c>
      <c r="J336" s="147">
        <f>SUM('F13-Year(n)'!K334:P334)</f>
        <v>0</v>
      </c>
      <c r="K336" s="147">
        <f t="shared" si="17"/>
        <v>0</v>
      </c>
      <c r="L336" s="147">
        <f>'F13-Year(n+1)'!Q343</f>
        <v>0</v>
      </c>
      <c r="M336" s="147">
        <f>'F13-Year(n+2)'!Q342</f>
        <v>0</v>
      </c>
      <c r="N336" s="147">
        <f>'F13-Year(n+3)'!Q342</f>
        <v>0</v>
      </c>
      <c r="O336" s="147">
        <f>'F13-Year(n+4)'!Q342</f>
        <v>0</v>
      </c>
      <c r="P336" s="147">
        <f>'F13-Year(n+5)'!Q342</f>
        <v>0</v>
      </c>
    </row>
    <row r="337" ht="15" spans="3:16">
      <c r="C337" s="44" t="s">
        <v>424</v>
      </c>
      <c r="D337" s="45"/>
      <c r="E337" s="316">
        <f>SUM(E313:E336)</f>
        <v>0</v>
      </c>
      <c r="F337" s="316">
        <f>SUM(F313:F336)</f>
        <v>1763.40213169859</v>
      </c>
      <c r="G337" s="316">
        <f>F337-E337</f>
        <v>1763.40213169859</v>
      </c>
      <c r="H337" s="316">
        <f>SUM(H313:H336)</f>
        <v>0</v>
      </c>
      <c r="I337" s="316">
        <f>SUM(I313:I336)</f>
        <v>0</v>
      </c>
      <c r="J337" s="316">
        <f>SUM(J313:J336)</f>
        <v>0</v>
      </c>
      <c r="K337" s="316">
        <f t="shared" si="17"/>
        <v>0</v>
      </c>
      <c r="L337" s="316">
        <f>'F13-Year(n+1)'!Q346</f>
        <v>0</v>
      </c>
      <c r="M337" s="316">
        <f>'F13-Year(n+2)'!Q345</f>
        <v>0</v>
      </c>
      <c r="N337" s="316">
        <f>'F13-Year(n+3)'!Q345</f>
        <v>0</v>
      </c>
      <c r="O337" s="316">
        <f>'F13-Year(n+4)'!Q345</f>
        <v>0</v>
      </c>
      <c r="P337" s="316">
        <f>'F13-Year(n+5)'!Q345</f>
        <v>0</v>
      </c>
    </row>
    <row r="338" ht="15" spans="3:16">
      <c r="C338" s="663" t="s">
        <v>425</v>
      </c>
      <c r="D338" s="676"/>
      <c r="E338" s="147"/>
      <c r="F338" s="147"/>
      <c r="G338" s="147"/>
      <c r="H338" s="147"/>
      <c r="I338" s="147"/>
      <c r="J338" s="147"/>
      <c r="K338" s="147"/>
      <c r="L338" s="147"/>
      <c r="M338" s="147"/>
      <c r="N338" s="147"/>
      <c r="O338" s="147"/>
      <c r="P338" s="147"/>
    </row>
    <row r="339" spans="3:16">
      <c r="C339" s="55" t="s">
        <v>426</v>
      </c>
      <c r="D339" s="55" t="s">
        <v>427</v>
      </c>
      <c r="E339" s="147">
        <f>'[47]PP Cost'!J138</f>
        <v>0</v>
      </c>
      <c r="F339" s="752">
        <f>'F13-Year(n-1)'!Q313</f>
        <v>0</v>
      </c>
      <c r="G339" s="147"/>
      <c r="H339" s="147">
        <f>'[48]PP Cost'!J142</f>
        <v>0</v>
      </c>
      <c r="I339" s="147">
        <f>SUM('F13-Year(n)'!E337:J337)</f>
        <v>0</v>
      </c>
      <c r="J339" s="147">
        <f>SUM('F13-Year(n)'!K337:P337)</f>
        <v>0</v>
      </c>
      <c r="K339" s="147">
        <f>I339+J339</f>
        <v>0</v>
      </c>
      <c r="L339" s="147">
        <f>'F13-Year(n+1)'!Q348</f>
        <v>0</v>
      </c>
      <c r="M339" s="147">
        <f>'F13-Year(n+2)'!Q347</f>
        <v>0</v>
      </c>
      <c r="N339" s="147">
        <f>'F13-Year(n+3)'!Q347</f>
        <v>0</v>
      </c>
      <c r="O339" s="147">
        <f>'F13-Year(n+4)'!Q347</f>
        <v>0</v>
      </c>
      <c r="P339" s="147">
        <f>'F13-Year(n+5)'!Q347</f>
        <v>0</v>
      </c>
    </row>
    <row r="340" spans="3:16">
      <c r="C340" s="55" t="s">
        <v>426</v>
      </c>
      <c r="D340" s="55" t="s">
        <v>428</v>
      </c>
      <c r="E340" s="147">
        <f>'[47]PP Cost'!J139</f>
        <v>0</v>
      </c>
      <c r="F340" s="752">
        <f>'F13-Year(n-1)'!Q314</f>
        <v>0</v>
      </c>
      <c r="G340" s="147"/>
      <c r="H340" s="147">
        <f>'[48]PP Cost'!J143</f>
        <v>0</v>
      </c>
      <c r="I340" s="147">
        <f>SUM('F13-Year(n)'!E338:J338)</f>
        <v>0</v>
      </c>
      <c r="J340" s="147">
        <f>SUM('F13-Year(n)'!K338:P338)</f>
        <v>0</v>
      </c>
      <c r="K340" s="147">
        <f>I340+J340</f>
        <v>0</v>
      </c>
      <c r="L340" s="147">
        <f>'F13-Year(n+1)'!Q349</f>
        <v>0</v>
      </c>
      <c r="M340" s="147">
        <f>'F13-Year(n+2)'!Q348</f>
        <v>0</v>
      </c>
      <c r="N340" s="147">
        <f>'F13-Year(n+3)'!Q348</f>
        <v>0</v>
      </c>
      <c r="O340" s="147">
        <f>'F13-Year(n+4)'!Q348</f>
        <v>0</v>
      </c>
      <c r="P340" s="147">
        <f>'F13-Year(n+5)'!Q348</f>
        <v>0</v>
      </c>
    </row>
    <row r="341" spans="3:16">
      <c r="C341" s="141"/>
      <c r="D341" s="67" t="s">
        <v>477</v>
      </c>
      <c r="E341" s="147"/>
      <c r="F341" s="752"/>
      <c r="G341" s="147"/>
      <c r="H341" s="147"/>
      <c r="I341" s="147">
        <f>SUM('F13-Year(n)'!E339:J339)</f>
        <v>0</v>
      </c>
      <c r="J341" s="147">
        <f>SUM('F13-Year(n)'!K339:P339)</f>
        <v>0</v>
      </c>
      <c r="K341" s="147">
        <f>I341+J341</f>
        <v>0</v>
      </c>
      <c r="L341" s="147"/>
      <c r="M341" s="147"/>
      <c r="N341" s="147"/>
      <c r="O341" s="147"/>
      <c r="P341" s="147"/>
    </row>
    <row r="342" ht="15" spans="3:16">
      <c r="C342" s="44" t="s">
        <v>429</v>
      </c>
      <c r="D342" s="45"/>
      <c r="E342" s="316">
        <f>E339-E340</f>
        <v>0</v>
      </c>
      <c r="F342" s="316">
        <f>F339-F340</f>
        <v>0</v>
      </c>
      <c r="G342" s="316">
        <f>F342-E342</f>
        <v>0</v>
      </c>
      <c r="H342" s="316">
        <f>H339-H340</f>
        <v>0</v>
      </c>
      <c r="I342" s="316">
        <f>SUM('F13-Year(n)'!E313:J313)</f>
        <v>0</v>
      </c>
      <c r="J342" s="316">
        <f>SUM('F13-Year(n)'!J313:P313)</f>
        <v>0</v>
      </c>
      <c r="K342" s="316">
        <f>I342+J342</f>
        <v>0</v>
      </c>
      <c r="L342" s="316">
        <f>'F13-Year(n+1)'!Q350</f>
        <v>0</v>
      </c>
      <c r="M342" s="316">
        <f>'F13-Year(n+2)'!Q349</f>
        <v>0</v>
      </c>
      <c r="N342" s="316">
        <f>'F13-Year(n+3)'!Q349</f>
        <v>0</v>
      </c>
      <c r="O342" s="316">
        <f>'F13-Year(n+4)'!Q349</f>
        <v>0</v>
      </c>
      <c r="P342" s="316">
        <f>'F13-Year(n+5)'!Q349</f>
        <v>0</v>
      </c>
    </row>
    <row r="343" ht="15" spans="3:16">
      <c r="C343" s="44" t="s">
        <v>224</v>
      </c>
      <c r="D343" s="45"/>
      <c r="E343" s="316" t="e">
        <f>E220+E266+E275+E285+E311+E337+E342</f>
        <v>#REF!</v>
      </c>
      <c r="F343" s="316">
        <f>F220+F266+F275+F285+F311+F337+F342</f>
        <v>5614.7386381925</v>
      </c>
      <c r="G343" s="316" t="e">
        <f>F343-E343</f>
        <v>#REF!</v>
      </c>
      <c r="H343" s="316" t="e">
        <f>H220+H266+H275+H285+H311+H337+H342</f>
        <v>#REF!</v>
      </c>
      <c r="I343" s="316">
        <f>I220+I266+I275+I285+I311+I337+I342</f>
        <v>3686.94723049654</v>
      </c>
      <c r="J343" s="316">
        <f>J220+J266+J275+J285+J311+J337+J342</f>
        <v>4157.55283037745</v>
      </c>
      <c r="K343" s="316">
        <f>I343+J343</f>
        <v>7844.50006087399</v>
      </c>
      <c r="L343" s="316">
        <f>'F13-Year(n+1)'!Q351</f>
        <v>13819.4940519512</v>
      </c>
      <c r="M343" s="316">
        <v>9</v>
      </c>
      <c r="N343" s="316">
        <f>'F13-Year(n+3)'!Q350</f>
        <v>15704.0247801713</v>
      </c>
      <c r="O343" s="316">
        <f>'F13-Year(n+4)'!Q350</f>
        <v>16698.2356272922</v>
      </c>
      <c r="P343" s="316">
        <f>'F13-Year(n+5)'!Q350</f>
        <v>16733.0298143901</v>
      </c>
    </row>
    <row r="344" ht="4" customHeight="1"/>
    <row r="345" ht="15" spans="3:9">
      <c r="C345" s="11" t="s">
        <v>519</v>
      </c>
      <c r="I345" s="3"/>
    </row>
    <row r="346" ht="15" hidden="1" spans="2:23">
      <c r="B346" s="14"/>
      <c r="C346" s="14"/>
      <c r="D346" s="655"/>
      <c r="E346" s="655"/>
      <c r="F346" s="655"/>
      <c r="G346" s="655"/>
      <c r="H346" s="655"/>
      <c r="I346" s="655"/>
      <c r="J346" s="655"/>
      <c r="K346" s="655"/>
      <c r="P346" s="117" t="s">
        <v>109</v>
      </c>
      <c r="W346" s="3" t="s">
        <v>236</v>
      </c>
    </row>
    <row r="347" ht="15" customHeight="1" spans="2:16">
      <c r="B347" s="656"/>
      <c r="C347" s="658" t="s">
        <v>345</v>
      </c>
      <c r="D347" s="658" t="s">
        <v>346</v>
      </c>
      <c r="E347" s="306" t="s">
        <v>163</v>
      </c>
      <c r="F347" s="307"/>
      <c r="G347" s="308"/>
      <c r="H347" s="306" t="s">
        <v>164</v>
      </c>
      <c r="I347" s="307"/>
      <c r="J347" s="307"/>
      <c r="K347" s="307"/>
      <c r="L347" s="135" t="s">
        <v>114</v>
      </c>
      <c r="M347" s="135"/>
      <c r="N347" s="135"/>
      <c r="O347" s="135"/>
      <c r="P347" s="135"/>
    </row>
    <row r="348" ht="30" spans="2:16">
      <c r="B348" s="656"/>
      <c r="C348" s="660"/>
      <c r="D348" s="660"/>
      <c r="E348" s="5" t="s">
        <v>116</v>
      </c>
      <c r="F348" s="5" t="s">
        <v>237</v>
      </c>
      <c r="G348" s="5" t="s">
        <v>118</v>
      </c>
      <c r="H348" s="5" t="s">
        <v>116</v>
      </c>
      <c r="I348" s="5" t="s">
        <v>119</v>
      </c>
      <c r="J348" s="5" t="s">
        <v>120</v>
      </c>
      <c r="K348" s="5" t="s">
        <v>238</v>
      </c>
      <c r="L348" s="5" t="s">
        <v>514</v>
      </c>
      <c r="M348" s="5" t="s">
        <v>515</v>
      </c>
      <c r="N348" s="5" t="s">
        <v>516</v>
      </c>
      <c r="O348" s="5" t="s">
        <v>517</v>
      </c>
      <c r="P348" s="5" t="s">
        <v>518</v>
      </c>
    </row>
    <row r="349" ht="15" customHeight="1" spans="2:16">
      <c r="B349" s="656"/>
      <c r="C349" s="662"/>
      <c r="D349" s="662"/>
      <c r="E349" s="5" t="s">
        <v>127</v>
      </c>
      <c r="F349" s="5" t="s">
        <v>128</v>
      </c>
      <c r="G349" s="5" t="s">
        <v>129</v>
      </c>
      <c r="H349" s="5" t="s">
        <v>127</v>
      </c>
      <c r="I349" s="5" t="s">
        <v>130</v>
      </c>
      <c r="J349" s="5" t="s">
        <v>131</v>
      </c>
      <c r="K349" s="5" t="s">
        <v>131</v>
      </c>
      <c r="L349" s="5" t="s">
        <v>132</v>
      </c>
      <c r="M349" s="5" t="s">
        <v>132</v>
      </c>
      <c r="N349" s="5" t="s">
        <v>132</v>
      </c>
      <c r="O349" s="5" t="s">
        <v>132</v>
      </c>
      <c r="P349" s="5" t="s">
        <v>132</v>
      </c>
    </row>
    <row r="350" ht="15" spans="2:16">
      <c r="B350" s="656"/>
      <c r="C350" s="663" t="s">
        <v>349</v>
      </c>
      <c r="D350" s="676"/>
      <c r="E350" s="47"/>
      <c r="F350" s="47"/>
      <c r="G350" s="749"/>
      <c r="H350" s="47"/>
      <c r="I350" s="55"/>
      <c r="J350" s="55"/>
      <c r="K350" s="55"/>
      <c r="L350" s="55"/>
      <c r="M350" s="55"/>
      <c r="N350" s="55"/>
      <c r="O350" s="55"/>
      <c r="P350" s="55"/>
    </row>
    <row r="351" ht="15" spans="3:16">
      <c r="C351" s="44" t="s">
        <v>350</v>
      </c>
      <c r="D351" s="4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</row>
    <row r="352" customHeight="1" spans="2:16">
      <c r="B352" s="656"/>
      <c r="C352" s="677" t="s">
        <v>351</v>
      </c>
      <c r="D352" s="47" t="s">
        <v>352</v>
      </c>
      <c r="E352" s="752">
        <f>'[47]PP Cost'!K78</f>
        <v>250.439855</v>
      </c>
      <c r="F352" s="752">
        <f>'F13-Year(n-1)'!Q352</f>
        <v>309.402962007282</v>
      </c>
      <c r="G352" s="752"/>
      <c r="H352" s="752">
        <f>'[48]PP Cost'!K80</f>
        <v>247.771685</v>
      </c>
      <c r="I352" s="147">
        <f>SUM('F13-Year(n)'!E350:J350)</f>
        <v>448.262369022786</v>
      </c>
      <c r="J352" s="147">
        <f>SUM('F13-Year(n)'!K350:P350)</f>
        <v>461.383415775225</v>
      </c>
      <c r="K352" s="147">
        <f t="shared" ref="K352:K370" si="18">I352+J352</f>
        <v>909.645784798011</v>
      </c>
      <c r="L352" s="147">
        <f>'F13-Year(n+1)'!Q360</f>
        <v>676.092109766162</v>
      </c>
      <c r="M352" s="147">
        <f>'F13-Year(n+2)'!Q359</f>
        <v>621.667256545229</v>
      </c>
      <c r="N352" s="147">
        <f>'F13-Year(n+3)'!Q359</f>
        <v>686.287310776321</v>
      </c>
      <c r="O352" s="147">
        <f>'F13-Year(n+4)'!Q359</f>
        <v>730.685376508088</v>
      </c>
      <c r="P352" s="147">
        <f>'F13-Year(n+5)'!Q359</f>
        <v>827.080283134269</v>
      </c>
    </row>
    <row r="353" spans="2:16">
      <c r="B353" s="656"/>
      <c r="C353" s="678"/>
      <c r="D353" s="47" t="s">
        <v>353</v>
      </c>
      <c r="E353" s="752">
        <f>'[47]PP Cost'!K79</f>
        <v>260.906385</v>
      </c>
      <c r="F353" s="752">
        <f>'F13-Year(n-1)'!Q353</f>
        <v>347.009692475113</v>
      </c>
      <c r="G353" s="752"/>
      <c r="H353" s="752">
        <f>'[48]PP Cost'!K81</f>
        <v>245.17714</v>
      </c>
      <c r="I353" s="147">
        <f>SUM('F13-Year(n)'!E351:J351)</f>
        <v>480.239536790067</v>
      </c>
      <c r="J353" s="147">
        <f>SUM('F13-Year(n)'!K351:P351)</f>
        <v>408.47619736244</v>
      </c>
      <c r="K353" s="147">
        <f t="shared" si="18"/>
        <v>888.715734152506</v>
      </c>
      <c r="L353" s="147">
        <f>'F13-Year(n+1)'!Q361</f>
        <v>703.852856511225</v>
      </c>
      <c r="M353" s="147">
        <f>'F13-Year(n+2)'!Q360</f>
        <v>552.79837567489</v>
      </c>
      <c r="N353" s="147">
        <f>'F13-Year(n+3)'!Q360</f>
        <v>607.90648424968</v>
      </c>
      <c r="O353" s="147">
        <f>'F13-Year(n+4)'!Q360</f>
        <v>657.528829231879</v>
      </c>
      <c r="P353" s="147">
        <f>'F13-Year(n+5)'!Q360</f>
        <v>746.416877846741</v>
      </c>
    </row>
    <row r="354" spans="2:16">
      <c r="B354" s="656"/>
      <c r="C354" s="678"/>
      <c r="D354" s="47" t="s">
        <v>354</v>
      </c>
      <c r="E354" s="752">
        <f>'[47]PP Cost'!K80</f>
        <v>400.493495</v>
      </c>
      <c r="F354" s="752">
        <f>'F13-Year(n-1)'!Q354</f>
        <v>330.166673053853</v>
      </c>
      <c r="G354" s="752"/>
      <c r="H354" s="752">
        <f>'[48]PP Cost'!K82</f>
        <v>379.913835</v>
      </c>
      <c r="I354" s="147">
        <f>SUM('F13-Year(n)'!E352:J352)</f>
        <v>720.198550524217</v>
      </c>
      <c r="J354" s="147">
        <f>SUM('F13-Year(n)'!K352:P352)</f>
        <v>700.578721007326</v>
      </c>
      <c r="K354" s="147">
        <f t="shared" si="18"/>
        <v>1420.77727153154</v>
      </c>
      <c r="L354" s="147">
        <f>'F13-Year(n+1)'!Q362</f>
        <v>1070.57099126245</v>
      </c>
      <c r="M354" s="147">
        <f>'F13-Year(n+2)'!Q361</f>
        <v>928.366708125448</v>
      </c>
      <c r="N354" s="147">
        <f>'F13-Year(n+3)'!Q361</f>
        <v>976.153881128118</v>
      </c>
      <c r="O354" s="147">
        <f>'F13-Year(n+4)'!Q361</f>
        <v>1049.5979951584</v>
      </c>
      <c r="P354" s="147">
        <f>'F13-Year(n+5)'!Q361</f>
        <v>1195.68915800161</v>
      </c>
    </row>
    <row r="355" spans="2:16">
      <c r="B355" s="656"/>
      <c r="C355" s="678"/>
      <c r="D355" s="47" t="s">
        <v>355</v>
      </c>
      <c r="E355" s="752">
        <f>'[47]PP Cost'!K81</f>
        <v>32.52458</v>
      </c>
      <c r="F355" s="752">
        <f>'F13-Year(n-1)'!Q355</f>
        <v>27.8968023373895</v>
      </c>
      <c r="G355" s="752"/>
      <c r="H355" s="752">
        <f>'[48]PP Cost'!K83</f>
        <v>27.108725</v>
      </c>
      <c r="I355" s="147">
        <f>SUM('F13-Year(n)'!E353:J353)</f>
        <v>38.7456802024694</v>
      </c>
      <c r="J355" s="147">
        <f>SUM('F13-Year(n)'!K353:P353)</f>
        <v>34.0423702064683</v>
      </c>
      <c r="K355" s="147">
        <f t="shared" si="18"/>
        <v>72.7880504089377</v>
      </c>
      <c r="L355" s="147">
        <f>'F13-Year(n+1)'!Q363</f>
        <v>0</v>
      </c>
      <c r="M355" s="147">
        <f>'F13-Year(n+2)'!Q362</f>
        <v>81.1458440364489</v>
      </c>
      <c r="N355" s="147">
        <f>'F13-Year(n+3)'!Q362</f>
        <v>88.8646008978621</v>
      </c>
      <c r="O355" s="147">
        <f>'F13-Year(n+4)'!Q362</f>
        <v>95.1197511791753</v>
      </c>
      <c r="P355" s="147">
        <f>'F13-Year(n+5)'!Q362</f>
        <v>108.764948764495</v>
      </c>
    </row>
    <row r="356" spans="2:16">
      <c r="B356" s="656"/>
      <c r="C356" s="678"/>
      <c r="D356" s="47" t="s">
        <v>356</v>
      </c>
      <c r="E356" s="752">
        <f>'[47]PP Cost'!K82</f>
        <v>285.408785</v>
      </c>
      <c r="F356" s="752">
        <f>'F13-Year(n-1)'!Q356</f>
        <v>295.194809475898</v>
      </c>
      <c r="G356" s="752"/>
      <c r="H356" s="752">
        <f>'[48]PP Cost'!K84</f>
        <v>236.51295</v>
      </c>
      <c r="I356" s="147">
        <f>SUM('F13-Year(n)'!E354:J354)</f>
        <v>422.657183376815</v>
      </c>
      <c r="J356" s="147">
        <f>SUM('F13-Year(n)'!K354:P354)</f>
        <v>449.14427758253</v>
      </c>
      <c r="K356" s="147">
        <f t="shared" si="18"/>
        <v>871.801460959345</v>
      </c>
      <c r="L356" s="147">
        <f>'F13-Year(n+1)'!Q364</f>
        <v>669.229734786146</v>
      </c>
      <c r="M356" s="147">
        <f>'F13-Year(n+2)'!Q363</f>
        <v>613.094103440443</v>
      </c>
      <c r="N356" s="147">
        <f>'F13-Year(n+3)'!Q363</f>
        <v>670.388061880202</v>
      </c>
      <c r="O356" s="147">
        <f>'F13-Year(n+4)'!Q363</f>
        <v>731.441298262484</v>
      </c>
      <c r="P356" s="147">
        <f>'F13-Year(n+5)'!Q363</f>
        <v>772.446135815833</v>
      </c>
    </row>
    <row r="357" spans="2:16">
      <c r="B357" s="656"/>
      <c r="C357" s="678"/>
      <c r="D357" s="47" t="s">
        <v>357</v>
      </c>
      <c r="E357" s="752">
        <f>'[47]PP Cost'!K83</f>
        <v>336.822595</v>
      </c>
      <c r="F357" s="752">
        <f>'F13-Year(n-1)'!Q357</f>
        <v>401.194278862692</v>
      </c>
      <c r="G357" s="752"/>
      <c r="H357" s="752">
        <f>'[48]PP Cost'!K85</f>
        <v>310.517855</v>
      </c>
      <c r="I357" s="147">
        <f>SUM('F13-Year(n)'!E355:J355)</f>
        <v>494.3463842952</v>
      </c>
      <c r="J357" s="147">
        <f>SUM('F13-Year(n)'!K355:P355)</f>
        <v>525.28336367647</v>
      </c>
      <c r="K357" s="147">
        <f t="shared" si="18"/>
        <v>1019.62974797167</v>
      </c>
      <c r="L357" s="147">
        <f>'F13-Year(n+1)'!Q365</f>
        <v>913.579699977768</v>
      </c>
      <c r="M357" s="147">
        <f>'F13-Year(n+2)'!Q364</f>
        <v>731.709195875633</v>
      </c>
      <c r="N357" s="147">
        <f>'F13-Year(n+3)'!Q364</f>
        <v>772.403768655555</v>
      </c>
      <c r="O357" s="147">
        <f>'F13-Year(n+4)'!Q364</f>
        <v>834.333168682111</v>
      </c>
      <c r="P357" s="147">
        <f>'F13-Year(n+5)'!Q364</f>
        <v>939.219314159828</v>
      </c>
    </row>
    <row r="358" spans="2:16">
      <c r="B358" s="656"/>
      <c r="C358" s="678"/>
      <c r="D358" s="47" t="s">
        <v>358</v>
      </c>
      <c r="E358" s="752">
        <f>'[47]PP Cost'!K84</f>
        <v>512.3122</v>
      </c>
      <c r="F358" s="752">
        <f>'F13-Year(n-1)'!Q358</f>
        <v>466.613573843079</v>
      </c>
      <c r="G358" s="752"/>
      <c r="H358" s="752">
        <f>'[48]PP Cost'!K86</f>
        <v>504.929085</v>
      </c>
      <c r="I358" s="147">
        <f>SUM('F13-Year(n)'!E356:J356)</f>
        <v>670.406905389138</v>
      </c>
      <c r="J358" s="147">
        <f>SUM('F13-Year(n)'!K356:P356)</f>
        <v>807.332359023312</v>
      </c>
      <c r="K358" s="147">
        <f t="shared" si="18"/>
        <v>1477.73926441245</v>
      </c>
      <c r="L358" s="147">
        <f>'F13-Year(n+1)'!Q366</f>
        <v>1795.87023629506</v>
      </c>
      <c r="M358" s="147">
        <f>'F13-Year(n+2)'!Q365</f>
        <v>1345.67484130461</v>
      </c>
      <c r="N358" s="147">
        <f>'F13-Year(n+3)'!Q365</f>
        <v>1439.03350758241</v>
      </c>
      <c r="O358" s="147">
        <f>'F13-Year(n+4)'!Q365</f>
        <v>1559.13716883365</v>
      </c>
      <c r="P358" s="147">
        <f>'F13-Year(n+5)'!Q365</f>
        <v>1736.40444908199</v>
      </c>
    </row>
    <row r="359" spans="2:16">
      <c r="B359" s="656"/>
      <c r="C359" s="678"/>
      <c r="D359" s="47" t="s">
        <v>359</v>
      </c>
      <c r="E359" s="752" t="e">
        <f>'[47]PP Cost'!K85</f>
        <v>#REF!</v>
      </c>
      <c r="F359" s="752">
        <f>'F13-Year(n-1)'!Q359</f>
        <v>0</v>
      </c>
      <c r="G359" s="752"/>
      <c r="H359" s="752">
        <f>'[48]PP Cost'!K87</f>
        <v>63.020055</v>
      </c>
      <c r="I359" s="147">
        <f>SUM('F13-Year(n)'!E357:J357)</f>
        <v>0</v>
      </c>
      <c r="J359" s="147">
        <f>SUM('F13-Year(n)'!K357:P357)</f>
        <v>0</v>
      </c>
      <c r="K359" s="147">
        <f t="shared" si="18"/>
        <v>0</v>
      </c>
      <c r="L359" s="147">
        <f>'F13-Year(n+1)'!Q367</f>
        <v>5932.59492306435</v>
      </c>
      <c r="M359" s="147">
        <f>'F13-Year(n+2)'!Q366</f>
        <v>4184.80084131577</v>
      </c>
      <c r="N359" s="147">
        <f>'F13-Year(n+3)'!Q366</f>
        <v>4365.0512562552</v>
      </c>
      <c r="O359" s="147">
        <f>'F13-Year(n+4)'!Q366</f>
        <v>4737.93232929272</v>
      </c>
      <c r="P359" s="147">
        <f>'F13-Year(n+5)'!Q366</f>
        <v>5226.08645352221</v>
      </c>
    </row>
    <row r="360" spans="2:16">
      <c r="B360" s="656"/>
      <c r="C360" s="678"/>
      <c r="D360" s="679" t="s">
        <v>492</v>
      </c>
      <c r="E360" s="752"/>
      <c r="F360" s="752">
        <f>'F13-Year(n-1)'!Q360</f>
        <v>0</v>
      </c>
      <c r="G360" s="752"/>
      <c r="H360" s="752"/>
      <c r="I360" s="147">
        <f>SUM('F13-Year(n)'!E358:J358)</f>
        <v>0</v>
      </c>
      <c r="J360" s="147">
        <f>SUM('F13-Year(n)'!K358:P358)</f>
        <v>0</v>
      </c>
      <c r="K360" s="147">
        <f t="shared" si="18"/>
        <v>0</v>
      </c>
      <c r="L360" s="147">
        <f>'F13-Year(n+1)'!Q368</f>
        <v>0</v>
      </c>
      <c r="M360" s="147">
        <f>'F13-Year(n+2)'!Q367</f>
        <v>0</v>
      </c>
      <c r="N360" s="147">
        <f>'F13-Year(n+3)'!Q367</f>
        <v>0</v>
      </c>
      <c r="O360" s="147">
        <f>'F13-Year(n+4)'!Q367</f>
        <v>0</v>
      </c>
      <c r="P360" s="147">
        <f>'F13-Year(n+5)'!Q367</f>
        <v>0</v>
      </c>
    </row>
    <row r="361" spans="2:16">
      <c r="B361" s="656"/>
      <c r="C361" s="678"/>
      <c r="D361" s="47"/>
      <c r="E361" s="752"/>
      <c r="F361" s="752">
        <f>'F13-Year(n-1)'!Q361</f>
        <v>0</v>
      </c>
      <c r="G361" s="752"/>
      <c r="H361" s="752"/>
      <c r="I361" s="147">
        <f>SUM('F13-Year(n)'!E359:J359)</f>
        <v>0</v>
      </c>
      <c r="J361" s="147">
        <f>SUM('F13-Year(n)'!K359:P359)</f>
        <v>0</v>
      </c>
      <c r="K361" s="147">
        <f t="shared" si="18"/>
        <v>0</v>
      </c>
      <c r="L361" s="147">
        <f>'F13-Year(n+1)'!Q369</f>
        <v>0</v>
      </c>
      <c r="M361" s="147">
        <f>'F13-Year(n+2)'!Q368</f>
        <v>0</v>
      </c>
      <c r="N361" s="147">
        <f>'F13-Year(n+3)'!Q368</f>
        <v>0</v>
      </c>
      <c r="O361" s="147">
        <f>'F13-Year(n+4)'!Q368</f>
        <v>0</v>
      </c>
      <c r="P361" s="147">
        <f>'F13-Year(n+5)'!Q368</f>
        <v>0</v>
      </c>
    </row>
    <row r="362" spans="2:16">
      <c r="B362" s="656"/>
      <c r="C362" s="678"/>
      <c r="D362" s="47"/>
      <c r="E362" s="752"/>
      <c r="F362" s="752">
        <f>'F13-Year(n-1)'!Q362</f>
        <v>0</v>
      </c>
      <c r="G362" s="752"/>
      <c r="H362" s="752"/>
      <c r="I362" s="147">
        <f>SUM('F13-Year(n)'!E360:J360)</f>
        <v>0</v>
      </c>
      <c r="J362" s="147">
        <f>SUM('F13-Year(n)'!K360:P360)</f>
        <v>0</v>
      </c>
      <c r="K362" s="147">
        <f t="shared" si="18"/>
        <v>0</v>
      </c>
      <c r="L362" s="147">
        <f>'F13-Year(n+1)'!Q370</f>
        <v>0</v>
      </c>
      <c r="M362" s="147">
        <f>'F13-Year(n+2)'!Q369</f>
        <v>0</v>
      </c>
      <c r="N362" s="147">
        <f>'F13-Year(n+3)'!Q369</f>
        <v>0</v>
      </c>
      <c r="O362" s="147">
        <f>'F13-Year(n+4)'!Q369</f>
        <v>0</v>
      </c>
      <c r="P362" s="147">
        <f>'F13-Year(n+5)'!Q369</f>
        <v>0</v>
      </c>
    </row>
    <row r="363" spans="2:16">
      <c r="B363" s="656"/>
      <c r="C363" s="678"/>
      <c r="D363" s="47"/>
      <c r="E363" s="752"/>
      <c r="F363" s="752">
        <f>'F13-Year(n-1)'!Q363</f>
        <v>0</v>
      </c>
      <c r="G363" s="752"/>
      <c r="H363" s="752"/>
      <c r="I363" s="147">
        <f>SUM('F13-Year(n)'!E361:J361)</f>
        <v>0</v>
      </c>
      <c r="J363" s="147">
        <f>SUM('F13-Year(n)'!K361:P361)</f>
        <v>0</v>
      </c>
      <c r="K363" s="147">
        <f t="shared" si="18"/>
        <v>0</v>
      </c>
      <c r="L363" s="147">
        <f>'F13-Year(n+1)'!Q371</f>
        <v>0</v>
      </c>
      <c r="M363" s="147">
        <f>'F13-Year(n+2)'!Q370</f>
        <v>0</v>
      </c>
      <c r="N363" s="147">
        <f>'F13-Year(n+3)'!Q370</f>
        <v>0</v>
      </c>
      <c r="O363" s="147">
        <f>'F13-Year(n+4)'!Q370</f>
        <v>0</v>
      </c>
      <c r="P363" s="147">
        <f>'F13-Year(n+5)'!Q370</f>
        <v>0</v>
      </c>
    </row>
    <row r="364" spans="2:16">
      <c r="B364" s="656"/>
      <c r="C364" s="678"/>
      <c r="D364" s="47"/>
      <c r="E364" s="752"/>
      <c r="F364" s="752">
        <f>'F13-Year(n-1)'!Q364</f>
        <v>0</v>
      </c>
      <c r="G364" s="752"/>
      <c r="H364" s="752"/>
      <c r="I364" s="147">
        <f>SUM('F13-Year(n)'!E362:J362)</f>
        <v>0</v>
      </c>
      <c r="J364" s="147">
        <f>SUM('F13-Year(n)'!K362:P362)</f>
        <v>0</v>
      </c>
      <c r="K364" s="147">
        <f t="shared" si="18"/>
        <v>0</v>
      </c>
      <c r="L364" s="147">
        <f>'F13-Year(n+1)'!Q372</f>
        <v>0</v>
      </c>
      <c r="M364" s="147">
        <f>'F13-Year(n+2)'!Q371</f>
        <v>0</v>
      </c>
      <c r="N364" s="147">
        <f>'F13-Year(n+3)'!Q371</f>
        <v>0</v>
      </c>
      <c r="O364" s="147">
        <f>'F13-Year(n+4)'!Q371</f>
        <v>0</v>
      </c>
      <c r="P364" s="147">
        <f>'F13-Year(n+5)'!Q371</f>
        <v>0</v>
      </c>
    </row>
    <row r="365" spans="2:16">
      <c r="B365" s="656"/>
      <c r="C365" s="678"/>
      <c r="D365" s="47"/>
      <c r="E365" s="752"/>
      <c r="F365" s="752">
        <f>'F13-Year(n-1)'!Q365</f>
        <v>0</v>
      </c>
      <c r="G365" s="752"/>
      <c r="H365" s="752"/>
      <c r="I365" s="147">
        <f>SUM('F13-Year(n)'!E363:J363)</f>
        <v>0</v>
      </c>
      <c r="J365" s="147">
        <f>SUM('F13-Year(n)'!K363:P363)</f>
        <v>0</v>
      </c>
      <c r="K365" s="147">
        <f t="shared" si="18"/>
        <v>0</v>
      </c>
      <c r="L365" s="147">
        <f>'F13-Year(n+1)'!Q373</f>
        <v>0</v>
      </c>
      <c r="M365" s="147">
        <f>'F13-Year(n+2)'!Q372</f>
        <v>0</v>
      </c>
      <c r="N365" s="147">
        <f>'F13-Year(n+3)'!Q372</f>
        <v>0</v>
      </c>
      <c r="O365" s="147">
        <f>'F13-Year(n+4)'!Q372</f>
        <v>0</v>
      </c>
      <c r="P365" s="147">
        <f>'F13-Year(n+5)'!Q372</f>
        <v>0</v>
      </c>
    </row>
    <row r="366" spans="2:16">
      <c r="B366" s="656"/>
      <c r="C366" s="678"/>
      <c r="D366" s="47"/>
      <c r="E366" s="752"/>
      <c r="F366" s="752">
        <f>'F13-Year(n-1)'!Q366</f>
        <v>0</v>
      </c>
      <c r="G366" s="752"/>
      <c r="H366" s="752"/>
      <c r="I366" s="147"/>
      <c r="J366" s="147"/>
      <c r="K366" s="147"/>
      <c r="L366" s="147">
        <f>'F13-Year(n+1)'!Q374</f>
        <v>0</v>
      </c>
      <c r="M366" s="147">
        <f>'F13-Year(n+2)'!Q373</f>
        <v>0</v>
      </c>
      <c r="N366" s="147">
        <f>'F13-Year(n+3)'!Q373</f>
        <v>0</v>
      </c>
      <c r="O366" s="147">
        <f>'F13-Year(n+4)'!Q373</f>
        <v>0</v>
      </c>
      <c r="P366" s="147">
        <f>'F13-Year(n+5)'!Q373</f>
        <v>0</v>
      </c>
    </row>
    <row r="367" spans="2:16">
      <c r="B367" s="656"/>
      <c r="C367" s="678"/>
      <c r="D367" s="47"/>
      <c r="E367" s="752"/>
      <c r="F367" s="752">
        <f>'F13-Year(n-1)'!Q367</f>
        <v>0</v>
      </c>
      <c r="G367" s="752"/>
      <c r="H367" s="752"/>
      <c r="I367" s="147">
        <f>SUM('F13-Year(n)'!E365:J365)</f>
        <v>0</v>
      </c>
      <c r="J367" s="147">
        <f>SUM('F13-Year(n)'!K365:P365)</f>
        <v>0</v>
      </c>
      <c r="K367" s="147">
        <f t="shared" si="18"/>
        <v>0</v>
      </c>
      <c r="L367" s="147">
        <f>'F13-Year(n+1)'!Q375</f>
        <v>0</v>
      </c>
      <c r="M367" s="147">
        <f>'F13-Year(n+2)'!Q374</f>
        <v>0</v>
      </c>
      <c r="N367" s="147">
        <f>'F13-Year(n+3)'!Q374</f>
        <v>0</v>
      </c>
      <c r="O367" s="147">
        <f>'F13-Year(n+4)'!Q374</f>
        <v>0</v>
      </c>
      <c r="P367" s="147">
        <f>'F13-Year(n+5)'!Q374</f>
        <v>0</v>
      </c>
    </row>
    <row r="368" spans="2:16">
      <c r="B368" s="656"/>
      <c r="C368" s="678"/>
      <c r="D368" s="47"/>
      <c r="E368" s="752"/>
      <c r="F368" s="752">
        <f>'F13-Year(n-1)'!Q368</f>
        <v>0</v>
      </c>
      <c r="G368" s="752"/>
      <c r="H368" s="752"/>
      <c r="I368" s="147">
        <f>SUM('F13-Year(n)'!E366:J366)</f>
        <v>0</v>
      </c>
      <c r="J368" s="147">
        <f>SUM('F13-Year(n)'!K366:P366)</f>
        <v>0</v>
      </c>
      <c r="K368" s="147">
        <f t="shared" si="18"/>
        <v>0</v>
      </c>
      <c r="L368" s="147">
        <f>'F13-Year(n+1)'!Q376</f>
        <v>0</v>
      </c>
      <c r="M368" s="147">
        <f>'F13-Year(n+2)'!Q375</f>
        <v>0</v>
      </c>
      <c r="N368" s="147">
        <f>'F13-Year(n+3)'!Q375</f>
        <v>0</v>
      </c>
      <c r="O368" s="147">
        <f>'F13-Year(n+4)'!Q375</f>
        <v>0</v>
      </c>
      <c r="P368" s="147">
        <f>'F13-Year(n+5)'!Q375</f>
        <v>0</v>
      </c>
    </row>
    <row r="369" spans="2:16">
      <c r="B369" s="656"/>
      <c r="C369" s="680"/>
      <c r="D369" s="47"/>
      <c r="E369" s="752"/>
      <c r="F369" s="752">
        <f>'F13-Year(n-1)'!Q369</f>
        <v>0</v>
      </c>
      <c r="G369" s="752"/>
      <c r="H369" s="752"/>
      <c r="I369" s="147">
        <f>SUM('F13-Year(n)'!E367:J367)</f>
        <v>0</v>
      </c>
      <c r="J369" s="147">
        <f>SUM('F13-Year(n)'!K367:P367)</f>
        <v>0</v>
      </c>
      <c r="K369" s="147">
        <f t="shared" si="18"/>
        <v>0</v>
      </c>
      <c r="L369" s="147">
        <f>'F13-Year(n+1)'!Q377</f>
        <v>0</v>
      </c>
      <c r="M369" s="147">
        <f>'F13-Year(n+2)'!Q376</f>
        <v>0</v>
      </c>
      <c r="N369" s="147">
        <f>'F13-Year(n+3)'!Q376</f>
        <v>0</v>
      </c>
      <c r="O369" s="147">
        <f>'F13-Year(n+4)'!Q376</f>
        <v>0</v>
      </c>
      <c r="P369" s="147">
        <f>'F13-Year(n+5)'!Q376</f>
        <v>0</v>
      </c>
    </row>
    <row r="370" ht="15" spans="3:16">
      <c r="C370" s="537" t="s">
        <v>211</v>
      </c>
      <c r="D370" s="540"/>
      <c r="E370" s="316" t="e">
        <f>SUM(E352:E369)</f>
        <v>#REF!</v>
      </c>
      <c r="F370" s="316">
        <f>SUM(F352:F369)</f>
        <v>2177.47879205531</v>
      </c>
      <c r="G370" s="316" t="e">
        <f>F370-E370</f>
        <v>#REF!</v>
      </c>
      <c r="H370" s="316">
        <f>SUM(H352:H369)</f>
        <v>2014.95133</v>
      </c>
      <c r="I370" s="316">
        <f>SUM(I352:I369)</f>
        <v>3274.85660960069</v>
      </c>
      <c r="J370" s="316">
        <f>SUM(J352:J369)</f>
        <v>3386.24070463377</v>
      </c>
      <c r="K370" s="316">
        <f t="shared" si="18"/>
        <v>6661.09731423446</v>
      </c>
      <c r="L370" s="316">
        <f>'F13-Year(n+1)'!Q378</f>
        <v>11761.7905516632</v>
      </c>
      <c r="M370" s="316">
        <f>'F13-Year(n+2)'!Q377</f>
        <v>9059.25716631847</v>
      </c>
      <c r="N370" s="316">
        <f>'F13-Year(n+3)'!Q377</f>
        <v>9606.08887142535</v>
      </c>
      <c r="O370" s="316">
        <f>'F13-Year(n+4)'!Q377</f>
        <v>10395.7759171485</v>
      </c>
      <c r="P370" s="316">
        <f>'F13-Year(n+5)'!Q377</f>
        <v>11552.107620327</v>
      </c>
    </row>
    <row r="371" ht="15" spans="3:16">
      <c r="C371" s="44" t="s">
        <v>360</v>
      </c>
      <c r="D371" s="45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</row>
    <row r="372" spans="3:16">
      <c r="C372" s="682" t="s">
        <v>351</v>
      </c>
      <c r="D372" s="55" t="s">
        <v>361</v>
      </c>
      <c r="E372" s="147">
        <f>'[47]PP Cost'!K87</f>
        <v>0</v>
      </c>
      <c r="F372" s="752">
        <f>'F13-Year(n-1)'!Q372</f>
        <v>0</v>
      </c>
      <c r="G372" s="147"/>
      <c r="H372" s="147">
        <f>'[48]PP Cost'!K89</f>
        <v>0</v>
      </c>
      <c r="I372" s="147">
        <f>SUM('F13-Year(n)'!E370:J370)</f>
        <v>0</v>
      </c>
      <c r="J372" s="147">
        <f>SUM('F13-Year(n)'!K370:P370)</f>
        <v>0</v>
      </c>
      <c r="K372" s="147">
        <f t="shared" ref="K372:K391" si="19">I372+J372</f>
        <v>0</v>
      </c>
      <c r="L372" s="147">
        <f>'F13-Year(n+1)'!Q380</f>
        <v>0</v>
      </c>
      <c r="M372" s="147">
        <f>'F13-Year(n+2)'!Q379</f>
        <v>0</v>
      </c>
      <c r="N372" s="147">
        <f>'F13-Year(n+3)'!Q379</f>
        <v>0</v>
      </c>
      <c r="O372" s="147">
        <f>'F13-Year(n+4)'!Q379</f>
        <v>0</v>
      </c>
      <c r="P372" s="147">
        <f>'F13-Year(n+5)'!Q379</f>
        <v>0</v>
      </c>
    </row>
    <row r="373" spans="3:16">
      <c r="C373" s="683"/>
      <c r="D373" s="55" t="s">
        <v>362</v>
      </c>
      <c r="E373" s="147">
        <f>'[47]PP Cost'!K88</f>
        <v>0</v>
      </c>
      <c r="F373" s="752">
        <f>'F13-Year(n-1)'!Q373</f>
        <v>0</v>
      </c>
      <c r="G373" s="147"/>
      <c r="H373" s="147">
        <f>'[48]PP Cost'!K90</f>
        <v>0</v>
      </c>
      <c r="I373" s="147">
        <f>SUM('F13-Year(n)'!E371:J371)</f>
        <v>0</v>
      </c>
      <c r="J373" s="147">
        <f>SUM('F13-Year(n)'!K371:P371)</f>
        <v>0</v>
      </c>
      <c r="K373" s="147">
        <f t="shared" si="19"/>
        <v>0</v>
      </c>
      <c r="L373" s="147">
        <f>'F13-Year(n+1)'!Q381</f>
        <v>0</v>
      </c>
      <c r="M373" s="147">
        <f>'F13-Year(n+2)'!Q380</f>
        <v>0</v>
      </c>
      <c r="N373" s="147">
        <f>'F13-Year(n+3)'!Q380</f>
        <v>0</v>
      </c>
      <c r="O373" s="147">
        <f>'F13-Year(n+4)'!Q380</f>
        <v>0</v>
      </c>
      <c r="P373" s="147">
        <f>'F13-Year(n+5)'!Q380</f>
        <v>0</v>
      </c>
    </row>
    <row r="374" spans="3:16">
      <c r="C374" s="683"/>
      <c r="D374" s="55" t="s">
        <v>363</v>
      </c>
      <c r="E374" s="147">
        <f>'[47]PP Cost'!K89</f>
        <v>0</v>
      </c>
      <c r="F374" s="752">
        <f>'F13-Year(n-1)'!Q374</f>
        <v>0</v>
      </c>
      <c r="G374" s="147"/>
      <c r="H374" s="147">
        <f>'[48]PP Cost'!K91</f>
        <v>0</v>
      </c>
      <c r="I374" s="147">
        <f>SUM('F13-Year(n)'!E372:J372)</f>
        <v>0</v>
      </c>
      <c r="J374" s="147">
        <f>SUM('F13-Year(n)'!K372:P372)</f>
        <v>0</v>
      </c>
      <c r="K374" s="147">
        <f t="shared" si="19"/>
        <v>0</v>
      </c>
      <c r="L374" s="147">
        <f>'F13-Year(n+1)'!Q382</f>
        <v>0</v>
      </c>
      <c r="M374" s="147">
        <f>'F13-Year(n+2)'!Q381</f>
        <v>0</v>
      </c>
      <c r="N374" s="147">
        <f>'F13-Year(n+3)'!Q381</f>
        <v>0</v>
      </c>
      <c r="O374" s="147">
        <f>'F13-Year(n+4)'!Q381</f>
        <v>0</v>
      </c>
      <c r="P374" s="147">
        <f>'F13-Year(n+5)'!Q381</f>
        <v>0</v>
      </c>
    </row>
    <row r="375" spans="3:16">
      <c r="C375" s="683"/>
      <c r="D375" s="55" t="s">
        <v>364</v>
      </c>
      <c r="E375" s="147">
        <f>'[47]PP Cost'!K90</f>
        <v>0</v>
      </c>
      <c r="F375" s="752">
        <f>'F13-Year(n-1)'!Q375</f>
        <v>0</v>
      </c>
      <c r="G375" s="147"/>
      <c r="H375" s="147">
        <f>'[48]PP Cost'!K92</f>
        <v>0</v>
      </c>
      <c r="I375" s="147">
        <f>SUM('F13-Year(n)'!E373:J373)</f>
        <v>0</v>
      </c>
      <c r="J375" s="147">
        <f>SUM('F13-Year(n)'!K373:P373)</f>
        <v>0</v>
      </c>
      <c r="K375" s="147">
        <f t="shared" si="19"/>
        <v>0</v>
      </c>
      <c r="L375" s="147">
        <f>'F13-Year(n+1)'!Q383</f>
        <v>0</v>
      </c>
      <c r="M375" s="147">
        <f>'F13-Year(n+2)'!Q382</f>
        <v>0</v>
      </c>
      <c r="N375" s="147">
        <f>'F13-Year(n+3)'!Q382</f>
        <v>0</v>
      </c>
      <c r="O375" s="147">
        <f>'F13-Year(n+4)'!Q382</f>
        <v>0</v>
      </c>
      <c r="P375" s="147">
        <f>'F13-Year(n+5)'!Q382</f>
        <v>0</v>
      </c>
    </row>
    <row r="376" spans="3:16">
      <c r="C376" s="683"/>
      <c r="D376" s="55" t="s">
        <v>365</v>
      </c>
      <c r="E376" s="147">
        <f>'[47]PP Cost'!K91</f>
        <v>0</v>
      </c>
      <c r="F376" s="752">
        <f>'F13-Year(n-1)'!Q376</f>
        <v>0</v>
      </c>
      <c r="G376" s="147"/>
      <c r="H376" s="147">
        <f>'[48]PP Cost'!K93</f>
        <v>0</v>
      </c>
      <c r="I376" s="147">
        <f>SUM('F13-Year(n)'!E374:J374)</f>
        <v>0</v>
      </c>
      <c r="J376" s="147">
        <f>SUM('F13-Year(n)'!K374:P374)</f>
        <v>0</v>
      </c>
      <c r="K376" s="147">
        <f t="shared" si="19"/>
        <v>0</v>
      </c>
      <c r="L376" s="147">
        <f>'F13-Year(n+1)'!Q384</f>
        <v>0</v>
      </c>
      <c r="M376" s="147">
        <f>'F13-Year(n+2)'!Q383</f>
        <v>0</v>
      </c>
      <c r="N376" s="147">
        <f>'F13-Year(n+3)'!Q383</f>
        <v>0</v>
      </c>
      <c r="O376" s="147">
        <f>'F13-Year(n+4)'!Q383</f>
        <v>0</v>
      </c>
      <c r="P376" s="147">
        <f>'F13-Year(n+5)'!Q383</f>
        <v>0</v>
      </c>
    </row>
    <row r="377" spans="3:16">
      <c r="C377" s="683"/>
      <c r="D377" s="55" t="s">
        <v>366</v>
      </c>
      <c r="E377" s="147">
        <f>'[47]PP Cost'!K92</f>
        <v>0</v>
      </c>
      <c r="F377" s="752">
        <f>'F13-Year(n-1)'!Q377</f>
        <v>0</v>
      </c>
      <c r="G377" s="147"/>
      <c r="H377" s="147">
        <f>'[48]PP Cost'!K94</f>
        <v>0</v>
      </c>
      <c r="I377" s="147">
        <f>SUM('F13-Year(n)'!E375:J375)</f>
        <v>0</v>
      </c>
      <c r="J377" s="147">
        <f>SUM('F13-Year(n)'!K375:P375)</f>
        <v>0</v>
      </c>
      <c r="K377" s="147">
        <f t="shared" si="19"/>
        <v>0</v>
      </c>
      <c r="L377" s="147">
        <f>'F13-Year(n+1)'!Q385</f>
        <v>0</v>
      </c>
      <c r="M377" s="147">
        <f>'F13-Year(n+2)'!Q384</f>
        <v>0</v>
      </c>
      <c r="N377" s="147">
        <f>'F13-Year(n+3)'!Q384</f>
        <v>0</v>
      </c>
      <c r="O377" s="147">
        <f>'F13-Year(n+4)'!Q384</f>
        <v>0</v>
      </c>
      <c r="P377" s="147">
        <f>'F13-Year(n+5)'!Q384</f>
        <v>0</v>
      </c>
    </row>
    <row r="378" spans="3:16">
      <c r="C378" s="683"/>
      <c r="D378" s="55" t="s">
        <v>367</v>
      </c>
      <c r="E378" s="147">
        <f>'[47]PP Cost'!K93</f>
        <v>0</v>
      </c>
      <c r="F378" s="752">
        <f>'F13-Year(n-1)'!Q378</f>
        <v>0</v>
      </c>
      <c r="G378" s="147"/>
      <c r="H378" s="147">
        <f>'[48]PP Cost'!K95</f>
        <v>0</v>
      </c>
      <c r="I378" s="147">
        <f>SUM('F13-Year(n)'!E376:J376)</f>
        <v>0</v>
      </c>
      <c r="J378" s="147">
        <f>SUM('F13-Year(n)'!K376:P376)</f>
        <v>0</v>
      </c>
      <c r="K378" s="147">
        <f t="shared" si="19"/>
        <v>0</v>
      </c>
      <c r="L378" s="147">
        <f>'F13-Year(n+1)'!Q386</f>
        <v>0</v>
      </c>
      <c r="M378" s="147">
        <f>'F13-Year(n+2)'!Q385</f>
        <v>0</v>
      </c>
      <c r="N378" s="147">
        <f>'F13-Year(n+3)'!Q385</f>
        <v>0</v>
      </c>
      <c r="O378" s="147">
        <f>'F13-Year(n+4)'!Q385</f>
        <v>0</v>
      </c>
      <c r="P378" s="147">
        <f>'F13-Year(n+5)'!Q385</f>
        <v>0</v>
      </c>
    </row>
    <row r="379" spans="3:16">
      <c r="C379" s="683"/>
      <c r="D379" s="55" t="s">
        <v>368</v>
      </c>
      <c r="E379" s="147">
        <f>'[47]PP Cost'!K94</f>
        <v>0</v>
      </c>
      <c r="F379" s="752">
        <f>'F13-Year(n-1)'!Q379</f>
        <v>0</v>
      </c>
      <c r="G379" s="147"/>
      <c r="H379" s="147">
        <f>'[48]PP Cost'!K96</f>
        <v>0</v>
      </c>
      <c r="I379" s="147">
        <f>SUM('F13-Year(n)'!E377:J377)</f>
        <v>0</v>
      </c>
      <c r="J379" s="147">
        <f>SUM('F13-Year(n)'!K377:P377)</f>
        <v>0</v>
      </c>
      <c r="K379" s="147">
        <f t="shared" si="19"/>
        <v>0</v>
      </c>
      <c r="L379" s="147">
        <f>'F13-Year(n+1)'!Q387</f>
        <v>0</v>
      </c>
      <c r="M379" s="147">
        <f>'F13-Year(n+2)'!Q386</f>
        <v>0</v>
      </c>
      <c r="N379" s="147">
        <f>'F13-Year(n+3)'!Q386</f>
        <v>0</v>
      </c>
      <c r="O379" s="147">
        <f>'F13-Year(n+4)'!Q386</f>
        <v>0</v>
      </c>
      <c r="P379" s="147">
        <f>'F13-Year(n+5)'!Q386</f>
        <v>0</v>
      </c>
    </row>
    <row r="380" spans="3:16">
      <c r="C380" s="683"/>
      <c r="D380" s="55"/>
      <c r="E380" s="147"/>
      <c r="F380" s="752">
        <f>'F13-Year(n-1)'!Q380</f>
        <v>0</v>
      </c>
      <c r="G380" s="147"/>
      <c r="H380" s="147"/>
      <c r="I380" s="147">
        <f>SUM('F13-Year(n)'!E378:J378)</f>
        <v>0</v>
      </c>
      <c r="J380" s="147">
        <f>SUM('F13-Year(n)'!K378:P378)</f>
        <v>0</v>
      </c>
      <c r="K380" s="147">
        <f t="shared" si="19"/>
        <v>0</v>
      </c>
      <c r="L380" s="147">
        <f>'F13-Year(n+1)'!Q388</f>
        <v>0</v>
      </c>
      <c r="M380" s="147">
        <f>'F13-Year(n+2)'!Q387</f>
        <v>0</v>
      </c>
      <c r="N380" s="147">
        <f>'F13-Year(n+3)'!Q387</f>
        <v>0</v>
      </c>
      <c r="O380" s="147">
        <f>'F13-Year(n+4)'!Q387</f>
        <v>0</v>
      </c>
      <c r="P380" s="147">
        <f>'F13-Year(n+5)'!Q387</f>
        <v>0</v>
      </c>
    </row>
    <row r="381" spans="3:16">
      <c r="C381" s="683"/>
      <c r="D381" s="679" t="s">
        <v>493</v>
      </c>
      <c r="E381" s="147"/>
      <c r="F381" s="752">
        <f>'F13-Year(n-1)'!Q381</f>
        <v>0</v>
      </c>
      <c r="G381" s="147"/>
      <c r="H381" s="147"/>
      <c r="I381" s="147">
        <f>SUM('F13-Year(n)'!E548:J548)</f>
        <v>412.04022</v>
      </c>
      <c r="J381" s="147">
        <f>SUM('F13-Year(n)'!K548:P548)</f>
        <v>412.04022</v>
      </c>
      <c r="K381" s="147">
        <f t="shared" si="19"/>
        <v>824.08044</v>
      </c>
      <c r="L381" s="147">
        <f>'F13-Year(n+1)'!Q389</f>
        <v>0</v>
      </c>
      <c r="M381" s="147">
        <f>'F13-Year(n+2)'!Q388</f>
        <v>0</v>
      </c>
      <c r="N381" s="147">
        <f>'F13-Year(n+3)'!Q388</f>
        <v>0</v>
      </c>
      <c r="O381" s="147">
        <f>'F13-Year(n+4)'!Q388</f>
        <v>0</v>
      </c>
      <c r="P381" s="147">
        <f>'F13-Year(n+5)'!Q388</f>
        <v>0</v>
      </c>
    </row>
    <row r="382" spans="3:16">
      <c r="C382" s="683"/>
      <c r="D382" s="679" t="s">
        <v>494</v>
      </c>
      <c r="E382" s="147"/>
      <c r="F382" s="752">
        <f>'F13-Year(n-1)'!Q382</f>
        <v>113.7970003862</v>
      </c>
      <c r="G382" s="147"/>
      <c r="H382" s="147"/>
      <c r="I382" s="147">
        <f>SUM('F13-Year(n)'!E379:J379)</f>
        <v>0</v>
      </c>
      <c r="J382" s="147">
        <f>SUM('F13-Year(n)'!K379:P379)</f>
        <v>0</v>
      </c>
      <c r="K382" s="147">
        <f t="shared" si="19"/>
        <v>0</v>
      </c>
      <c r="L382" s="147">
        <f>'F13-Year(n+1)'!Q390</f>
        <v>0</v>
      </c>
      <c r="M382" s="147">
        <f>'F13-Year(n+2)'!Q389</f>
        <v>0</v>
      </c>
      <c r="N382" s="147">
        <f>'F13-Year(n+3)'!Q389</f>
        <v>0</v>
      </c>
      <c r="O382" s="147">
        <f>'F13-Year(n+4)'!Q389</f>
        <v>0</v>
      </c>
      <c r="P382" s="147">
        <f>'F13-Year(n+5)'!Q389</f>
        <v>0</v>
      </c>
    </row>
    <row r="383" spans="3:16">
      <c r="C383" s="683"/>
      <c r="D383" s="687" t="s">
        <v>495</v>
      </c>
      <c r="E383" s="147"/>
      <c r="F383" s="752">
        <f>'F13-Year(n-1)'!Q383</f>
        <v>0</v>
      </c>
      <c r="G383" s="147"/>
      <c r="H383" s="147"/>
      <c r="I383" s="147">
        <f>SUM('F13-Year(n)'!E550:J550)</f>
        <v>24.09988</v>
      </c>
      <c r="J383" s="147">
        <f>SUM('F13-Year(n)'!K550:P550)</f>
        <v>24.09988</v>
      </c>
      <c r="K383" s="147">
        <f t="shared" si="19"/>
        <v>48.19976</v>
      </c>
      <c r="L383" s="147">
        <f>'F13-Year(n+1)'!Q391</f>
        <v>0</v>
      </c>
      <c r="M383" s="147">
        <f>'F13-Year(n+2)'!Q390</f>
        <v>0</v>
      </c>
      <c r="N383" s="147">
        <f>'F13-Year(n+3)'!Q390</f>
        <v>0</v>
      </c>
      <c r="O383" s="147">
        <f>'F13-Year(n+4)'!Q390</f>
        <v>0</v>
      </c>
      <c r="P383" s="147">
        <f>'F13-Year(n+5)'!Q390</f>
        <v>0</v>
      </c>
    </row>
    <row r="384" spans="3:16">
      <c r="C384" s="683"/>
      <c r="D384" s="55"/>
      <c r="E384" s="147"/>
      <c r="F384" s="752">
        <f>'F13-Year(n-1)'!Q384</f>
        <v>0</v>
      </c>
      <c r="G384" s="147"/>
      <c r="H384" s="147"/>
      <c r="I384" s="147">
        <f>SUM('F13-Year(n)'!E381:J381)</f>
        <v>0</v>
      </c>
      <c r="J384" s="147">
        <f>SUM('F13-Year(n)'!K381:P381)</f>
        <v>0</v>
      </c>
      <c r="K384" s="147">
        <f t="shared" si="19"/>
        <v>0</v>
      </c>
      <c r="L384" s="147">
        <f>'F13-Year(n+1)'!Q392</f>
        <v>0</v>
      </c>
      <c r="M384" s="147">
        <f>'F13-Year(n+2)'!Q391</f>
        <v>0</v>
      </c>
      <c r="N384" s="147">
        <f>'F13-Year(n+3)'!Q391</f>
        <v>0</v>
      </c>
      <c r="O384" s="147">
        <f>'F13-Year(n+4)'!Q391</f>
        <v>0</v>
      </c>
      <c r="P384" s="147">
        <f>'F13-Year(n+5)'!Q391</f>
        <v>0</v>
      </c>
    </row>
    <row r="385" spans="3:16">
      <c r="C385" s="683"/>
      <c r="D385" s="55"/>
      <c r="E385" s="147"/>
      <c r="F385" s="752">
        <f>'F13-Year(n-1)'!Q385</f>
        <v>0</v>
      </c>
      <c r="G385" s="147"/>
      <c r="H385" s="147"/>
      <c r="I385" s="147">
        <f>SUM('F13-Year(n)'!E382:J382)</f>
        <v>0</v>
      </c>
      <c r="J385" s="147">
        <f>SUM('F13-Year(n)'!K382:P382)</f>
        <v>0</v>
      </c>
      <c r="K385" s="147">
        <f t="shared" si="19"/>
        <v>0</v>
      </c>
      <c r="L385" s="147">
        <f>'F13-Year(n+1)'!Q393</f>
        <v>0</v>
      </c>
      <c r="M385" s="147">
        <f>'F13-Year(n+2)'!Q392</f>
        <v>0</v>
      </c>
      <c r="N385" s="147">
        <f>'F13-Year(n+3)'!Q392</f>
        <v>0</v>
      </c>
      <c r="O385" s="147">
        <f>'F13-Year(n+4)'!Q392</f>
        <v>0</v>
      </c>
      <c r="P385" s="147">
        <f>'F13-Year(n+5)'!Q392</f>
        <v>0</v>
      </c>
    </row>
    <row r="386" spans="3:16">
      <c r="C386" s="683"/>
      <c r="D386" s="67"/>
      <c r="E386" s="147"/>
      <c r="F386" s="752"/>
      <c r="G386" s="147"/>
      <c r="H386" s="147"/>
      <c r="I386" s="147">
        <f>SUM('F13-Year(n)'!E383:J383)</f>
        <v>0</v>
      </c>
      <c r="J386" s="147">
        <f>SUM('F13-Year(n)'!K383:P383)</f>
        <v>0</v>
      </c>
      <c r="K386" s="147">
        <f t="shared" si="19"/>
        <v>0</v>
      </c>
      <c r="L386" s="147">
        <f>'F13-Year(n+1)'!Q394</f>
        <v>0</v>
      </c>
      <c r="M386" s="147">
        <f>'F13-Year(n+2)'!Q393</f>
        <v>0</v>
      </c>
      <c r="N386" s="147">
        <f>'F13-Year(n+3)'!Q393</f>
        <v>0</v>
      </c>
      <c r="O386" s="147">
        <f>'F13-Year(n+4)'!Q393</f>
        <v>0</v>
      </c>
      <c r="P386" s="147">
        <f>'F13-Year(n+5)'!Q393</f>
        <v>0</v>
      </c>
    </row>
    <row r="387" spans="3:16">
      <c r="C387" s="683"/>
      <c r="D387" s="67"/>
      <c r="E387" s="147"/>
      <c r="F387" s="752"/>
      <c r="G387" s="147"/>
      <c r="H387" s="147"/>
      <c r="I387" s="147">
        <f>SUM('F13-Year(n)'!E384:J384)</f>
        <v>0</v>
      </c>
      <c r="J387" s="147">
        <f>SUM('F13-Year(n)'!K384:P384)</f>
        <v>0</v>
      </c>
      <c r="K387" s="147">
        <f t="shared" si="19"/>
        <v>0</v>
      </c>
      <c r="L387" s="147">
        <f>'F13-Year(n+1)'!Q395</f>
        <v>0</v>
      </c>
      <c r="M387" s="147">
        <f>'F13-Year(n+2)'!Q394</f>
        <v>0</v>
      </c>
      <c r="N387" s="147">
        <f>'F13-Year(n+3)'!Q394</f>
        <v>0</v>
      </c>
      <c r="O387" s="147">
        <f>'F13-Year(n+4)'!Q394</f>
        <v>0</v>
      </c>
      <c r="P387" s="147">
        <f>'F13-Year(n+5)'!Q394</f>
        <v>0</v>
      </c>
    </row>
    <row r="388" spans="3:16">
      <c r="C388" s="683"/>
      <c r="D388" s="67"/>
      <c r="E388" s="147"/>
      <c r="F388" s="752"/>
      <c r="G388" s="147"/>
      <c r="H388" s="147"/>
      <c r="I388" s="147">
        <f>SUM('F13-Year(n)'!E385:J385)</f>
        <v>0</v>
      </c>
      <c r="J388" s="147">
        <f>SUM('F13-Year(n)'!K385:P385)</f>
        <v>0</v>
      </c>
      <c r="K388" s="147">
        <f t="shared" si="19"/>
        <v>0</v>
      </c>
      <c r="L388" s="147">
        <f>'F13-Year(n+1)'!Q396</f>
        <v>0</v>
      </c>
      <c r="M388" s="147">
        <f>'F13-Year(n+2)'!Q395</f>
        <v>0</v>
      </c>
      <c r="N388" s="147">
        <f>'F13-Year(n+3)'!Q395</f>
        <v>0</v>
      </c>
      <c r="O388" s="147">
        <f>'F13-Year(n+4)'!Q395</f>
        <v>0</v>
      </c>
      <c r="P388" s="147">
        <f>'F13-Year(n+5)'!Q395</f>
        <v>0</v>
      </c>
    </row>
    <row r="389" spans="3:16">
      <c r="C389" s="684"/>
      <c r="D389" s="67"/>
      <c r="E389" s="147"/>
      <c r="F389" s="752">
        <f>'F13-Year(n-1)'!Q389</f>
        <v>0</v>
      </c>
      <c r="G389" s="147"/>
      <c r="H389" s="147"/>
      <c r="I389" s="147">
        <f>SUM('F13-Year(n)'!E386:J386)</f>
        <v>0</v>
      </c>
      <c r="J389" s="147">
        <f>SUM('F13-Year(n)'!K386:P386)</f>
        <v>0</v>
      </c>
      <c r="K389" s="147">
        <f t="shared" si="19"/>
        <v>0</v>
      </c>
      <c r="L389" s="147">
        <f>'F13-Year(n+1)'!Q397</f>
        <v>0</v>
      </c>
      <c r="M389" s="147">
        <f>'F13-Year(n+2)'!Q396</f>
        <v>0</v>
      </c>
      <c r="N389" s="147">
        <f>'F13-Year(n+3)'!Q396</f>
        <v>0</v>
      </c>
      <c r="O389" s="147">
        <f>'F13-Year(n+4)'!Q396</f>
        <v>0</v>
      </c>
      <c r="P389" s="147">
        <f>'F13-Year(n+5)'!Q396</f>
        <v>0</v>
      </c>
    </row>
    <row r="390" ht="15" spans="3:16">
      <c r="C390" s="537" t="s">
        <v>211</v>
      </c>
      <c r="D390" s="540"/>
      <c r="E390" s="316">
        <f>SUM(E372:E389)</f>
        <v>0</v>
      </c>
      <c r="F390" s="316">
        <f>SUM(F372:F389)</f>
        <v>113.7970003862</v>
      </c>
      <c r="G390" s="316">
        <f>F390-E390</f>
        <v>113.7970003862</v>
      </c>
      <c r="H390" s="316">
        <f>SUM(H372:H389)</f>
        <v>0</v>
      </c>
      <c r="I390" s="316">
        <f>SUM(I372:I389)</f>
        <v>436.1401</v>
      </c>
      <c r="J390" s="316">
        <f>SUM(J372:J389)</f>
        <v>436.1401</v>
      </c>
      <c r="K390" s="316">
        <f t="shared" si="19"/>
        <v>872.2802</v>
      </c>
      <c r="L390" s="316">
        <f>'F13-Year(n+1)'!Q398</f>
        <v>0</v>
      </c>
      <c r="M390" s="316">
        <f>'F13-Year(n+2)'!Q397</f>
        <v>0</v>
      </c>
      <c r="N390" s="316">
        <f>'F13-Year(n+3)'!Q397</f>
        <v>0</v>
      </c>
      <c r="O390" s="316">
        <f>'F13-Year(n+4)'!Q397</f>
        <v>0</v>
      </c>
      <c r="P390" s="316">
        <f>'F13-Year(n+5)'!Q397</f>
        <v>0</v>
      </c>
    </row>
    <row r="391" ht="15" spans="3:16">
      <c r="C391" s="44" t="s">
        <v>369</v>
      </c>
      <c r="D391" s="45"/>
      <c r="E391" s="316" t="e">
        <f>E370+E390</f>
        <v>#REF!</v>
      </c>
      <c r="F391" s="316">
        <f>F370+F390</f>
        <v>2291.27579244151</v>
      </c>
      <c r="G391" s="316" t="e">
        <f>F391-E391</f>
        <v>#REF!</v>
      </c>
      <c r="H391" s="316">
        <f>H370+H390</f>
        <v>2014.95133</v>
      </c>
      <c r="I391" s="316">
        <f>I370+I390</f>
        <v>3710.99670960069</v>
      </c>
      <c r="J391" s="316">
        <f>J370+J390</f>
        <v>3822.38080463377</v>
      </c>
      <c r="K391" s="316">
        <f t="shared" si="19"/>
        <v>7533.37751423446</v>
      </c>
      <c r="L391" s="316">
        <f>'F13-Year(n+1)'!Q399</f>
        <v>11761.7905516632</v>
      </c>
      <c r="M391" s="316">
        <f>'F13-Year(n+2)'!Q398</f>
        <v>9059.25716631847</v>
      </c>
      <c r="N391" s="316">
        <f>'F13-Year(n+3)'!Q398</f>
        <v>9606.08887142535</v>
      </c>
      <c r="O391" s="316">
        <f>'F13-Year(n+4)'!Q398</f>
        <v>10395.7759171485</v>
      </c>
      <c r="P391" s="316">
        <f>'F13-Year(n+5)'!Q398</f>
        <v>11552.107620327</v>
      </c>
    </row>
    <row r="392" ht="15" spans="3:16">
      <c r="C392" s="663" t="s">
        <v>370</v>
      </c>
      <c r="D392" s="676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</row>
    <row r="393" ht="15" spans="3:16">
      <c r="C393" s="44" t="s">
        <v>350</v>
      </c>
      <c r="D393" s="45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</row>
    <row r="394" spans="3:16">
      <c r="C394" s="682" t="s">
        <v>371</v>
      </c>
      <c r="D394" s="55" t="s">
        <v>372</v>
      </c>
      <c r="E394" s="147">
        <f>'[47]PP Cost'!K98</f>
        <v>205.90262</v>
      </c>
      <c r="F394" s="752">
        <f>'F13-Year(n-1)'!Q394</f>
        <v>231.268209946769</v>
      </c>
      <c r="G394" s="147"/>
      <c r="H394" s="147">
        <f>'[48]PP Cost'!K100</f>
        <v>163.12355</v>
      </c>
      <c r="I394" s="147">
        <f>SUM('F13-Year(n)'!E391:J391)+SUM('F13-Year(n)'!E561:J561)</f>
        <v>276.014503478849</v>
      </c>
      <c r="J394" s="147">
        <f>SUM('F13-Year(n)'!K391:P391)+SUM('F13-Year(n)'!K561:P561)</f>
        <v>271.26207652315</v>
      </c>
      <c r="K394" s="147">
        <f t="shared" ref="K394:K419" si="20">I394+J394</f>
        <v>547.276580001999</v>
      </c>
      <c r="L394" s="147">
        <f>'F13-Year(n+1)'!Q402</f>
        <v>484.202863447156</v>
      </c>
      <c r="M394" s="147">
        <f>'F13-Year(n+2)'!Q401</f>
        <v>447.622671534709</v>
      </c>
      <c r="N394" s="147">
        <f>'F13-Year(n+3)'!Q401</f>
        <v>467.519764214561</v>
      </c>
      <c r="O394" s="147">
        <f>'F13-Year(n+4)'!Q401</f>
        <v>496.670950574398</v>
      </c>
      <c r="P394" s="147">
        <f>'F13-Year(n+5)'!Q401</f>
        <v>572.367505985885</v>
      </c>
    </row>
    <row r="395" spans="3:16">
      <c r="C395" s="683"/>
      <c r="D395" s="55" t="s">
        <v>373</v>
      </c>
      <c r="E395" s="147">
        <f>'[47]PP Cost'!K99</f>
        <v>54.238065</v>
      </c>
      <c r="F395" s="752">
        <f>'F13-Year(n-1)'!Q395</f>
        <v>50.3558829992097</v>
      </c>
      <c r="G395" s="147"/>
      <c r="H395" s="147">
        <f>'[48]PP Cost'!K101</f>
        <v>36.980365</v>
      </c>
      <c r="I395" s="147">
        <f>SUM('F13-Year(n)'!E392:J392)+SUM('F13-Year(n)'!E562:J562)</f>
        <v>71.6274459459019</v>
      </c>
      <c r="J395" s="147">
        <f>SUM('F13-Year(n)'!K392:P392)+SUM('F13-Year(n)'!K562:P562)</f>
        <v>69.0525149145521</v>
      </c>
      <c r="K395" s="147">
        <f t="shared" si="20"/>
        <v>140.679960860454</v>
      </c>
      <c r="L395" s="147">
        <f>'F13-Year(n+1)'!Q403</f>
        <v>112.596794900846</v>
      </c>
      <c r="M395" s="147">
        <f>'F13-Year(n+2)'!Q402</f>
        <v>101.483434524335</v>
      </c>
      <c r="N395" s="147">
        <f>'F13-Year(n+3)'!Q402</f>
        <v>111.438235609009</v>
      </c>
      <c r="O395" s="147">
        <f>'F13-Year(n+4)'!Q402</f>
        <v>114.800993229087</v>
      </c>
      <c r="P395" s="147">
        <f>'F13-Year(n+5)'!Q402</f>
        <v>130.066349589486</v>
      </c>
    </row>
    <row r="396" spans="3:16">
      <c r="C396" s="683"/>
      <c r="D396" s="55" t="s">
        <v>374</v>
      </c>
      <c r="E396" s="147">
        <f>'[47]PP Cost'!K100</f>
        <v>81.644235</v>
      </c>
      <c r="F396" s="752">
        <f>'F13-Year(n-1)'!Q396</f>
        <v>99.5352596801551</v>
      </c>
      <c r="G396" s="147"/>
      <c r="H396" s="147">
        <f>'[48]PP Cost'!K102</f>
        <v>82.27152</v>
      </c>
      <c r="I396" s="147">
        <f>SUM('F13-Year(n)'!E393:J393)+SUM('F13-Year(n)'!E563:J563)</f>
        <v>97.3324003028721</v>
      </c>
      <c r="J396" s="147">
        <f>SUM('F13-Year(n)'!K393:P393)+SUM('F13-Year(n)'!K563:P563)</f>
        <v>102.308374816239</v>
      </c>
      <c r="K396" s="147">
        <f t="shared" si="20"/>
        <v>199.640775119111</v>
      </c>
      <c r="L396" s="147">
        <f>'F13-Year(n+1)'!Q404</f>
        <v>191.130747893433</v>
      </c>
      <c r="M396" s="147">
        <f>'F13-Year(n+2)'!Q403</f>
        <v>172.931813866712</v>
      </c>
      <c r="N396" s="147">
        <f>'F13-Year(n+3)'!Q403</f>
        <v>177.530318515802</v>
      </c>
      <c r="O396" s="147">
        <f>'F13-Year(n+4)'!Q403</f>
        <v>192.422673676104</v>
      </c>
      <c r="P396" s="147">
        <f>'F13-Year(n+5)'!Q403</f>
        <v>209.750062175765</v>
      </c>
    </row>
    <row r="397" spans="3:16">
      <c r="C397" s="683"/>
      <c r="D397" s="55" t="s">
        <v>375</v>
      </c>
      <c r="E397" s="147">
        <f>'[47]PP Cost'!K101</f>
        <v>339.81766</v>
      </c>
      <c r="F397" s="752">
        <f>'F13-Year(n-1)'!Q397</f>
        <v>428.798827554621</v>
      </c>
      <c r="G397" s="147"/>
      <c r="H397" s="147">
        <f>'[48]PP Cost'!K103</f>
        <v>246.62019</v>
      </c>
      <c r="I397" s="147">
        <f>SUM('F13-Year(n)'!E394:J394)+SUM('F13-Year(n)'!E564:J564)</f>
        <v>444.488922775442</v>
      </c>
      <c r="J397" s="147">
        <f>SUM('F13-Year(n)'!K394:P394)+SUM('F13-Year(n)'!K564:P564)</f>
        <v>457.198776121132</v>
      </c>
      <c r="K397" s="147">
        <f t="shared" si="20"/>
        <v>901.687698896574</v>
      </c>
      <c r="L397" s="147">
        <f>'F13-Year(n+1)'!Q405</f>
        <v>740.000249236339</v>
      </c>
      <c r="M397" s="147">
        <f>'F13-Year(n+2)'!Q404</f>
        <v>612.800216723779</v>
      </c>
      <c r="N397" s="147">
        <f>'F13-Year(n+3)'!Q404</f>
        <v>666.743553116031</v>
      </c>
      <c r="O397" s="147">
        <f>'F13-Year(n+4)'!Q404</f>
        <v>705.604573139445</v>
      </c>
      <c r="P397" s="147">
        <f>'F13-Year(n+5)'!Q404</f>
        <v>810.927772674631</v>
      </c>
    </row>
    <row r="398" spans="3:16">
      <c r="C398" s="683"/>
      <c r="D398" s="55" t="s">
        <v>376</v>
      </c>
      <c r="E398" s="147">
        <f>'[47]PP Cost'!K102</f>
        <v>159.592495</v>
      </c>
      <c r="F398" s="752">
        <f>'F13-Year(n-1)'!Q398</f>
        <v>197.848576056536</v>
      </c>
      <c r="G398" s="147"/>
      <c r="H398" s="147">
        <f>'[48]PP Cost'!K104</f>
        <v>127.279955</v>
      </c>
      <c r="I398" s="147">
        <f>SUM('F13-Year(n)'!E395:J395)+SUM('F13-Year(n)'!E565:J565)</f>
        <v>178.65599116419</v>
      </c>
      <c r="J398" s="147">
        <f>SUM('F13-Year(n)'!K395:P395)+SUM('F13-Year(n)'!K565:P565)</f>
        <v>244.231330494937</v>
      </c>
      <c r="K398" s="147">
        <f t="shared" si="20"/>
        <v>422.887321659127</v>
      </c>
      <c r="L398" s="147">
        <f>'F13-Year(n+1)'!Q406</f>
        <v>362.979925031119</v>
      </c>
      <c r="M398" s="147">
        <f>'F13-Year(n+2)'!Q405</f>
        <v>289.824573481595</v>
      </c>
      <c r="N398" s="147">
        <f>'F13-Year(n+3)'!Q405</f>
        <v>314.074332229016</v>
      </c>
      <c r="O398" s="147">
        <f>'F13-Year(n+4)'!Q405</f>
        <v>334.888932709394</v>
      </c>
      <c r="P398" s="147">
        <f>'F13-Year(n+5)'!Q405</f>
        <v>391.611907334456</v>
      </c>
    </row>
    <row r="399" spans="3:16">
      <c r="C399" s="683"/>
      <c r="D399" s="55" t="s">
        <v>377</v>
      </c>
      <c r="E399" s="147">
        <f>'[47]PP Cost'!K103</f>
        <v>176.496795</v>
      </c>
      <c r="F399" s="752">
        <f>'F13-Year(n-1)'!Q399</f>
        <v>185.637086944107</v>
      </c>
      <c r="G399" s="147"/>
      <c r="H399" s="147">
        <f>'[48]PP Cost'!K105</f>
        <v>165.423595</v>
      </c>
      <c r="I399" s="147">
        <f>SUM('F13-Year(n)'!E396:J396)+SUM('F13-Year(n)'!E566:J566)</f>
        <v>163.108889324866</v>
      </c>
      <c r="J399" s="147">
        <f>SUM('F13-Year(n)'!K396:P396)+SUM('F13-Year(n)'!K566:P566)</f>
        <v>143.751299761553</v>
      </c>
      <c r="K399" s="147">
        <f t="shared" si="20"/>
        <v>306.860189086419</v>
      </c>
      <c r="L399" s="147">
        <f>'F13-Year(n+1)'!Q407</f>
        <v>461.384542342565</v>
      </c>
      <c r="M399" s="147">
        <f>'F13-Year(n+2)'!Q406</f>
        <v>428.052441307691</v>
      </c>
      <c r="N399" s="147">
        <f>'F13-Year(n+3)'!Q406</f>
        <v>473.413650557324</v>
      </c>
      <c r="O399" s="147">
        <f>'F13-Year(n+4)'!Q406</f>
        <v>506.631456852764</v>
      </c>
      <c r="P399" s="147">
        <f>'F13-Year(n+5)'!Q406</f>
        <v>572.961344691306</v>
      </c>
    </row>
    <row r="400" spans="3:16">
      <c r="C400" s="683"/>
      <c r="D400" s="55" t="s">
        <v>378</v>
      </c>
      <c r="E400" s="147">
        <f>'[47]PP Cost'!K116</f>
        <v>45.750575</v>
      </c>
      <c r="F400" s="752">
        <f>'F13-Year(n-1)'!Q400</f>
        <v>215.59386030252</v>
      </c>
      <c r="G400" s="147"/>
      <c r="H400" s="147">
        <f>'[48]PP Cost'!$K$120</f>
        <v>35.448965</v>
      </c>
      <c r="I400" s="147">
        <f>SUM('F13-Year(n)'!E397:J397)+SUM('F13-Year(n)'!E567:J567)</f>
        <v>283.730310457682</v>
      </c>
      <c r="J400" s="147">
        <f>SUM('F13-Year(n)'!K397:P397)+SUM('F13-Year(n)'!K567:P567)</f>
        <v>286.4624055222</v>
      </c>
      <c r="K400" s="147">
        <f t="shared" si="20"/>
        <v>570.192715979882</v>
      </c>
      <c r="L400" s="147">
        <f>'F13-Year(n+1)'!Q408</f>
        <v>67.4317468005318</v>
      </c>
      <c r="M400" s="147">
        <f>'F13-Year(n+2)'!Q407</f>
        <v>60.0941378968128</v>
      </c>
      <c r="N400" s="147">
        <f>'F13-Year(n+3)'!Q407</f>
        <v>66.6356970014361</v>
      </c>
      <c r="O400" s="147">
        <f>'F13-Year(n+4)'!Q407</f>
        <v>71.464614726607</v>
      </c>
      <c r="P400" s="147">
        <f>'F13-Year(n+5)'!Q407</f>
        <v>81.8819877966386</v>
      </c>
    </row>
    <row r="401" spans="3:16">
      <c r="C401" s="683"/>
      <c r="D401" s="55" t="s">
        <v>379</v>
      </c>
      <c r="E401" s="147">
        <f>'[47]PP Cost'!K117</f>
        <v>161.74529</v>
      </c>
      <c r="F401" s="752">
        <f>'F13-Year(n-1)'!Q401</f>
        <v>59.2167962759092</v>
      </c>
      <c r="G401" s="147"/>
      <c r="H401" s="147">
        <f>'[48]PP Cost'!$K$121</f>
        <v>265.59777</v>
      </c>
      <c r="I401" s="147">
        <f>SUM('F13-Year(n)'!E398:J398)+SUM('F13-Year(n)'!E568:J568)</f>
        <v>58.743283501124</v>
      </c>
      <c r="J401" s="147">
        <f>SUM('F13-Year(n)'!K398:P398)+SUM('F13-Year(n)'!K568:P568)</f>
        <v>64.1609691867071</v>
      </c>
      <c r="K401" s="147">
        <f t="shared" si="20"/>
        <v>122.904252687831</v>
      </c>
      <c r="L401" s="147">
        <f>'F13-Year(n+1)'!Q409</f>
        <v>383.507955722023</v>
      </c>
      <c r="M401" s="147">
        <f>'F13-Year(n+2)'!Q408</f>
        <v>340.773377113392</v>
      </c>
      <c r="N401" s="147">
        <f>'F13-Year(n+3)'!Q408</f>
        <v>380.109163131388</v>
      </c>
      <c r="O401" s="147">
        <f>'F13-Year(n+4)'!Q408</f>
        <v>405.033561052444</v>
      </c>
      <c r="P401" s="147">
        <f>'F13-Year(n+5)'!Q408</f>
        <v>457.564739681077</v>
      </c>
    </row>
    <row r="402" spans="3:16">
      <c r="C402" s="684"/>
      <c r="D402" s="55" t="s">
        <v>380</v>
      </c>
      <c r="E402" s="147">
        <f>'[47]PP Cost'!$K$107</f>
        <v>228.15504</v>
      </c>
      <c r="F402" s="752">
        <f>'F13-Year(n-1)'!Q402</f>
        <v>0</v>
      </c>
      <c r="G402" s="147"/>
      <c r="H402" s="147">
        <f>'[48]PP Cost'!$K$111</f>
        <v>478.83933</v>
      </c>
      <c r="I402" s="147">
        <f>SUM('F13-Year(n)'!E399:J399)+SUM('F13-Year(n)'!E569:J569)</f>
        <v>2.24051279</v>
      </c>
      <c r="J402" s="147">
        <f>SUM('F13-Year(n)'!K399:P399)+SUM('F13-Year(n)'!K569:P569)</f>
        <v>646.144428007702</v>
      </c>
      <c r="K402" s="147">
        <f t="shared" si="20"/>
        <v>648.384940797702</v>
      </c>
      <c r="L402" s="147">
        <f>'F13-Year(n+1)'!Q410</f>
        <v>956.374297399077</v>
      </c>
      <c r="M402" s="147">
        <f>'F13-Year(n+2)'!Q409</f>
        <v>936.222448335912</v>
      </c>
      <c r="N402" s="147">
        <f>'F13-Year(n+3)'!Q409</f>
        <v>1044.26683753376</v>
      </c>
      <c r="O402" s="147">
        <f>'F13-Year(n+4)'!Q409</f>
        <v>1146.22637511904</v>
      </c>
      <c r="P402" s="147">
        <f>'F13-Year(n+5)'!Q409</f>
        <v>1212.04871251822</v>
      </c>
    </row>
    <row r="403" spans="3:16">
      <c r="C403" s="55"/>
      <c r="D403" s="55" t="s">
        <v>381</v>
      </c>
      <c r="E403" s="147">
        <f>'[47]PP Cost'!$K$104</f>
        <v>30.036055</v>
      </c>
      <c r="F403" s="752">
        <f>'F13-Year(n-1)'!Q403</f>
        <v>30.2562006077726</v>
      </c>
      <c r="G403" s="147"/>
      <c r="H403" s="147">
        <f>'[48]PP Cost'!K106</f>
        <v>2.812475</v>
      </c>
      <c r="I403" s="147">
        <f>SUM('F13-Year(n)'!E400:J400)+SUM('F13-Year(n)'!E570:J570)</f>
        <v>40.8975612738394</v>
      </c>
      <c r="J403" s="147">
        <f>SUM('F13-Year(n)'!K400:P400)+SUM('F13-Year(n)'!K570:P570)</f>
        <v>8.4090037502182</v>
      </c>
      <c r="K403" s="147">
        <f t="shared" si="20"/>
        <v>49.3065650240575</v>
      </c>
      <c r="L403" s="147">
        <f>'F13-Year(n+1)'!Q411</f>
        <v>906.719141747817</v>
      </c>
      <c r="M403" s="147">
        <f>'F13-Year(n+2)'!Q410</f>
        <v>919.659754083764</v>
      </c>
      <c r="N403" s="147">
        <f>'F13-Year(n+3)'!Q410</f>
        <v>1014.7641578773</v>
      </c>
      <c r="O403" s="147">
        <f>'F13-Year(n+4)'!Q410</f>
        <v>1117.40497868264</v>
      </c>
      <c r="P403" s="147">
        <f>'F13-Year(n+5)'!Q410</f>
        <v>1192.81048036835</v>
      </c>
    </row>
    <row r="404" spans="3:16">
      <c r="C404" s="55"/>
      <c r="D404" s="55" t="s">
        <v>382</v>
      </c>
      <c r="E404" s="147">
        <f>'[47]PP Cost'!$K$105</f>
        <v>53.955345</v>
      </c>
      <c r="F404" s="752">
        <f>'F13-Year(n-1)'!Q404</f>
        <v>8.04699924480465</v>
      </c>
      <c r="G404" s="147"/>
      <c r="H404" s="147">
        <f>'[48]PP Cost'!K107</f>
        <v>3.59879</v>
      </c>
      <c r="I404" s="147">
        <f>SUM('F13-Year(n)'!E401:J401)+SUM('F13-Year(n)'!E571:J571)</f>
        <v>28.6980910357493</v>
      </c>
      <c r="J404" s="147">
        <f>SUM('F13-Year(n)'!K401:P401)+SUM('F13-Year(n)'!K571:P571)</f>
        <v>3.19586715545925</v>
      </c>
      <c r="K404" s="147">
        <f t="shared" si="20"/>
        <v>31.8939581912085</v>
      </c>
      <c r="L404" s="147">
        <f>'F13-Year(n+1)'!Q412</f>
        <v>8.98607355516768</v>
      </c>
      <c r="M404" s="147">
        <f>'F13-Year(n+2)'!Q411</f>
        <v>11.9198301720953</v>
      </c>
      <c r="N404" s="147">
        <f>'F13-Year(n+3)'!Q411</f>
        <v>13.3255194979063</v>
      </c>
      <c r="O404" s="147">
        <f>'F13-Year(n+4)'!Q411</f>
        <v>14.2021079163212</v>
      </c>
      <c r="P404" s="147">
        <f>'F13-Year(n+5)'!Q411</f>
        <v>15.9271433096302</v>
      </c>
    </row>
    <row r="405" spans="3:16">
      <c r="C405" s="55"/>
      <c r="D405" s="55" t="s">
        <v>383</v>
      </c>
      <c r="E405" s="147">
        <f>'[47]PP Cost'!$K$106</f>
        <v>25.27988</v>
      </c>
      <c r="F405" s="752">
        <f>'F13-Year(n-1)'!Q405</f>
        <v>28.7325628276294</v>
      </c>
      <c r="G405" s="147"/>
      <c r="H405" s="147">
        <f>'[48]PP Cost'!K108</f>
        <v>23.93696</v>
      </c>
      <c r="I405" s="147">
        <f>SUM('F13-Year(n)'!E402:J402)+SUM('F13-Year(n)'!E572:J572)</f>
        <v>55.1476706615503</v>
      </c>
      <c r="J405" s="147">
        <f>SUM('F13-Year(n)'!K402:P402)+SUM('F13-Year(n)'!K572:P572)</f>
        <v>41.91810337747</v>
      </c>
      <c r="K405" s="147">
        <f t="shared" si="20"/>
        <v>97.0657740390203</v>
      </c>
      <c r="L405" s="147">
        <f>'F13-Year(n+1)'!Q413</f>
        <v>11.8443972358921</v>
      </c>
      <c r="M405" s="147">
        <f>'F13-Year(n+2)'!Q412</f>
        <v>10.6272744027984</v>
      </c>
      <c r="N405" s="147">
        <f>'F13-Year(n+3)'!Q412</f>
        <v>11.2648082131333</v>
      </c>
      <c r="O405" s="147">
        <f>'F13-Year(n+4)'!Q412</f>
        <v>12.0882081907499</v>
      </c>
      <c r="P405" s="147">
        <f>'F13-Year(n+5)'!Q412</f>
        <v>13.5327811006016</v>
      </c>
    </row>
    <row r="406" spans="3:16">
      <c r="C406" s="55"/>
      <c r="D406" s="55" t="s">
        <v>384</v>
      </c>
      <c r="E406" s="147"/>
      <c r="F406" s="752">
        <f>'F13-Year(n-1)'!Q406</f>
        <v>1.7617461776042</v>
      </c>
      <c r="G406" s="147"/>
      <c r="H406" s="147">
        <f>'[48]PP Cost'!K109</f>
        <v>2.942055</v>
      </c>
      <c r="I406" s="147">
        <f>SUM('F13-Year(n)'!E403:J403)+SUM('F13-Year(n)'!E573:J573)</f>
        <v>5.01812246701881</v>
      </c>
      <c r="J406" s="147">
        <f>SUM('F13-Year(n)'!K403:P403)+SUM('F13-Year(n)'!K573:P573)</f>
        <v>3.95183154985865</v>
      </c>
      <c r="K406" s="147">
        <f t="shared" si="20"/>
        <v>8.96995401687746</v>
      </c>
      <c r="L406" s="147">
        <f>'F13-Year(n+1)'!Q414</f>
        <v>0</v>
      </c>
      <c r="M406" s="147">
        <f>'F13-Year(n+2)'!Q413</f>
        <v>0</v>
      </c>
      <c r="N406" s="147">
        <f>'F13-Year(n+3)'!Q413</f>
        <v>0</v>
      </c>
      <c r="O406" s="147">
        <f>'F13-Year(n+4)'!Q413</f>
        <v>0</v>
      </c>
      <c r="P406" s="147">
        <f>'F13-Year(n+5)'!Q413</f>
        <v>0</v>
      </c>
    </row>
    <row r="407" spans="3:16">
      <c r="C407" s="55"/>
      <c r="D407" s="55" t="s">
        <v>385</v>
      </c>
      <c r="E407" s="147"/>
      <c r="F407" s="752">
        <f>'F13-Year(n-1)'!Q407</f>
        <v>0.79298574895</v>
      </c>
      <c r="G407" s="147"/>
      <c r="H407" s="147">
        <f>'[48]PP Cost'!K110</f>
        <v>2.335385</v>
      </c>
      <c r="I407" s="147">
        <f>SUM('F13-Year(n)'!E404:J404)+SUM('F13-Year(n)'!E574:J574)</f>
        <v>3.17472566267101</v>
      </c>
      <c r="J407" s="147">
        <f>SUM('F13-Year(n)'!K404:P404)+SUM('F13-Year(n)'!K574:P574)</f>
        <v>2.4471402684775</v>
      </c>
      <c r="K407" s="147">
        <f t="shared" si="20"/>
        <v>5.62186593114851</v>
      </c>
      <c r="L407" s="147">
        <f>'F13-Year(n+1)'!Q415</f>
        <v>83.7977140888232</v>
      </c>
      <c r="M407" s="147">
        <f>'F13-Year(n+2)'!Q414</f>
        <v>76.2026361545925</v>
      </c>
      <c r="N407" s="147">
        <f>'F13-Year(n+3)'!Q414</f>
        <v>80.5908832329425</v>
      </c>
      <c r="O407" s="147">
        <f>'F13-Year(n+4)'!Q414</f>
        <v>86.5462168234462</v>
      </c>
      <c r="P407" s="147">
        <f>'F13-Year(n+5)'!Q414</f>
        <v>97.0879495782651</v>
      </c>
    </row>
    <row r="408" spans="3:16">
      <c r="C408" s="55"/>
      <c r="D408" s="55" t="s">
        <v>386</v>
      </c>
      <c r="E408" s="147" t="e">
        <f>'[47]PP Cost'!$K$108</f>
        <v>#REF!</v>
      </c>
      <c r="F408" s="752">
        <f>'F13-Year(n-1)'!Q408</f>
        <v>73.9559139565367</v>
      </c>
      <c r="G408" s="147"/>
      <c r="H408" s="147">
        <f>'[48]PP Cost'!K112</f>
        <v>0</v>
      </c>
      <c r="I408" s="147">
        <f>SUM('F13-Year(n)'!E405:J405)+SUM('F13-Year(n)'!E575:J575)</f>
        <v>78.9007218509502</v>
      </c>
      <c r="J408" s="147">
        <f>SUM('F13-Year(n)'!K405:P405)+SUM('F13-Year(n)'!K575:P575)</f>
        <v>42.2609619725071</v>
      </c>
      <c r="K408" s="147">
        <f t="shared" si="20"/>
        <v>121.161683823457</v>
      </c>
      <c r="L408" s="147">
        <f>'F13-Year(n+1)'!Q416</f>
        <v>0</v>
      </c>
      <c r="M408" s="147">
        <f>'F13-Year(n+2)'!Q415</f>
        <v>0</v>
      </c>
      <c r="N408" s="147">
        <f>'F13-Year(n+3)'!Q415</f>
        <v>0</v>
      </c>
      <c r="O408" s="147">
        <f>'F13-Year(n+4)'!Q415</f>
        <v>0</v>
      </c>
      <c r="P408" s="147">
        <f>'F13-Year(n+5)'!Q415</f>
        <v>0</v>
      </c>
    </row>
    <row r="409" spans="3:16">
      <c r="C409" s="55"/>
      <c r="D409" s="55" t="s">
        <v>387</v>
      </c>
      <c r="E409" s="147" t="e">
        <f>'[47]PP Cost'!$K$109</f>
        <v>#REF!</v>
      </c>
      <c r="F409" s="752">
        <f>'F13-Year(n-1)'!Q409</f>
        <v>132.796916190047</v>
      </c>
      <c r="G409" s="147"/>
      <c r="H409" s="147">
        <f>'[48]PP Cost'!K113</f>
        <v>0</v>
      </c>
      <c r="I409" s="147">
        <f>SUM('F13-Year(n)'!E406:J406)+SUM('F13-Year(n)'!E576:J576)</f>
        <v>94.9016029449282</v>
      </c>
      <c r="J409" s="147">
        <f>SUM('F13-Year(n)'!K406:P406)+SUM('F13-Year(n)'!K576:P576)</f>
        <v>93.2882602082441</v>
      </c>
      <c r="K409" s="147">
        <f t="shared" si="20"/>
        <v>188.189863153172</v>
      </c>
      <c r="L409" s="147">
        <f>'F13-Year(n+1)'!Q417</f>
        <v>150.0648558268</v>
      </c>
      <c r="M409" s="147">
        <f>'F13-Year(n+2)'!Q416</f>
        <v>138.557798531909</v>
      </c>
      <c r="N409" s="147">
        <f>'F13-Year(n+3)'!Q416</f>
        <v>150.813851596988</v>
      </c>
      <c r="O409" s="147">
        <f>'F13-Year(n+4)'!Q416</f>
        <v>160.134401338156</v>
      </c>
      <c r="P409" s="147">
        <f>'F13-Year(n+5)'!Q416</f>
        <v>187.062558253788</v>
      </c>
    </row>
    <row r="410" spans="3:16">
      <c r="C410" s="55"/>
      <c r="D410" s="731" t="s">
        <v>467</v>
      </c>
      <c r="E410" s="147"/>
      <c r="F410" s="752">
        <f>'F13-Year(n-1)'!Q410</f>
        <v>0</v>
      </c>
      <c r="G410" s="147"/>
      <c r="H410" s="147"/>
      <c r="I410" s="147">
        <f>SUM('F13-Year(n)'!E407:J407)+SUM('F13-Year(n)'!E577:J577)</f>
        <v>0.04376931079785</v>
      </c>
      <c r="J410" s="147">
        <f>SUM('F13-Year(n)'!K407:P407)+SUM('F13-Year(n)'!K577:P577)</f>
        <v>0</v>
      </c>
      <c r="K410" s="147">
        <f t="shared" si="20"/>
        <v>0.04376931079785</v>
      </c>
      <c r="L410" s="147">
        <f>'F13-Year(n+1)'!Q418</f>
        <v>186.767537843377</v>
      </c>
      <c r="M410" s="147">
        <f>'F13-Year(n+2)'!Q417</f>
        <v>169.552322299524</v>
      </c>
      <c r="N410" s="147">
        <f>'F13-Year(n+3)'!Q417</f>
        <v>187.177440777913</v>
      </c>
      <c r="O410" s="147">
        <f>'F13-Year(n+4)'!Q417</f>
        <v>189.566834831935</v>
      </c>
      <c r="P410" s="147">
        <f>'F13-Year(n+5)'!Q417</f>
        <v>219.293257608323</v>
      </c>
    </row>
    <row r="411" spans="3:16">
      <c r="C411" s="55"/>
      <c r="D411" s="731" t="s">
        <v>468</v>
      </c>
      <c r="E411" s="147"/>
      <c r="F411" s="752">
        <f>'F13-Year(n-1)'!Q411</f>
        <v>0</v>
      </c>
      <c r="G411" s="147"/>
      <c r="H411" s="147"/>
      <c r="I411" s="147">
        <f>SUM('F13-Year(n)'!E408:J408)+SUM('F13-Year(n)'!E578:J578)</f>
        <v>0.312706184038</v>
      </c>
      <c r="J411" s="147">
        <f>SUM('F13-Year(n)'!K408:P408)+SUM('F13-Year(n)'!K578:P578)</f>
        <v>-0.0098592214</v>
      </c>
      <c r="K411" s="147">
        <f t="shared" si="20"/>
        <v>0.302846962638</v>
      </c>
      <c r="L411" s="147">
        <f>'F13-Year(n+1)'!Q419</f>
        <v>0</v>
      </c>
      <c r="M411" s="147">
        <f>'F13-Year(n+2)'!Q418</f>
        <v>0</v>
      </c>
      <c r="N411" s="147">
        <f>'F13-Year(n+3)'!Q418</f>
        <v>0</v>
      </c>
      <c r="O411" s="147">
        <f>'F13-Year(n+4)'!Q418</f>
        <v>0</v>
      </c>
      <c r="P411" s="147">
        <f>'F13-Year(n+5)'!Q418</f>
        <v>0</v>
      </c>
    </row>
    <row r="412" spans="3:16">
      <c r="C412" s="55"/>
      <c r="D412" s="687" t="s">
        <v>470</v>
      </c>
      <c r="E412" s="147"/>
      <c r="F412" s="752">
        <f>'F13-Year(n-1)'!Q412</f>
        <v>0</v>
      </c>
      <c r="G412" s="147"/>
      <c r="H412" s="147"/>
      <c r="I412" s="147">
        <f>SUM('F13-Year(n)'!E409:J409)+SUM('F13-Year(n)'!E579:J579)</f>
        <v>0.0576438652</v>
      </c>
      <c r="J412" s="147">
        <f>SUM('F13-Year(n)'!K409:P409)+SUM('F13-Year(n)'!K579:P579)</f>
        <v>0</v>
      </c>
      <c r="K412" s="147">
        <f t="shared" si="20"/>
        <v>0.0576438652</v>
      </c>
      <c r="L412" s="147">
        <f>'F13-Year(n+1)'!Q420</f>
        <v>0</v>
      </c>
      <c r="M412" s="147">
        <f>'F13-Year(n+2)'!Q419</f>
        <v>0</v>
      </c>
      <c r="N412" s="147">
        <f>'F13-Year(n+3)'!Q419</f>
        <v>0</v>
      </c>
      <c r="O412" s="147">
        <f>'F13-Year(n+4)'!Q419</f>
        <v>0</v>
      </c>
      <c r="P412" s="147">
        <f>'F13-Year(n+5)'!Q419</f>
        <v>0</v>
      </c>
    </row>
    <row r="413" spans="3:16">
      <c r="C413" s="55"/>
      <c r="D413" s="687" t="s">
        <v>471</v>
      </c>
      <c r="E413" s="147"/>
      <c r="F413" s="752">
        <f>'F13-Year(n-1)'!Q413</f>
        <v>0</v>
      </c>
      <c r="G413" s="147"/>
      <c r="H413" s="147"/>
      <c r="I413" s="147">
        <f>SUM('F13-Year(n)'!E410:J410)+SUM('F13-Year(n)'!E580:J580)</f>
        <v>0.11203699805</v>
      </c>
      <c r="J413" s="147">
        <f>SUM('F13-Year(n)'!K410:P410)+SUM('F13-Year(n)'!K580:P580)</f>
        <v>0.9763983267045</v>
      </c>
      <c r="K413" s="147">
        <f t="shared" si="20"/>
        <v>1.0884353247545</v>
      </c>
      <c r="L413" s="147">
        <f>'F13-Year(n+1)'!Q421</f>
        <v>0</v>
      </c>
      <c r="M413" s="147">
        <f>'F13-Year(n+2)'!Q420</f>
        <v>0</v>
      </c>
      <c r="N413" s="147">
        <f>'F13-Year(n+3)'!Q420</f>
        <v>0</v>
      </c>
      <c r="O413" s="147">
        <f>'F13-Year(n+4)'!Q420</f>
        <v>0</v>
      </c>
      <c r="P413" s="147">
        <f>'F13-Year(n+5)'!Q420</f>
        <v>0</v>
      </c>
    </row>
    <row r="414" spans="3:16">
      <c r="C414" s="55"/>
      <c r="D414" s="731" t="s">
        <v>472</v>
      </c>
      <c r="E414" s="147"/>
      <c r="F414" s="752">
        <f>'F13-Year(n-1)'!Q414</f>
        <v>0</v>
      </c>
      <c r="G414" s="147"/>
      <c r="H414" s="147"/>
      <c r="I414" s="147">
        <f>SUM('F13-Year(n)'!E411:J411)+SUM('F13-Year(n)'!E581:J581)</f>
        <v>0</v>
      </c>
      <c r="J414" s="147">
        <f>SUM('F13-Year(n)'!K411:P411)+SUM('F13-Year(n)'!K581:P581)</f>
        <v>0.0198787324</v>
      </c>
      <c r="K414" s="147">
        <f t="shared" si="20"/>
        <v>0.0198787324</v>
      </c>
      <c r="L414" s="147">
        <f>'F13-Year(n+1)'!Q422</f>
        <v>0</v>
      </c>
      <c r="M414" s="147">
        <f>'F13-Year(n+2)'!Q421</f>
        <v>0</v>
      </c>
      <c r="N414" s="147">
        <f>'F13-Year(n+3)'!Q421</f>
        <v>0</v>
      </c>
      <c r="O414" s="147">
        <f>'F13-Year(n+4)'!Q421</f>
        <v>0</v>
      </c>
      <c r="P414" s="147">
        <f>'F13-Year(n+5)'!Q421</f>
        <v>0</v>
      </c>
    </row>
    <row r="415" spans="3:16">
      <c r="C415" s="55"/>
      <c r="D415" s="731" t="s">
        <v>473</v>
      </c>
      <c r="E415" s="147"/>
      <c r="F415" s="752">
        <f>'F13-Year(n-1)'!Q415</f>
        <v>0</v>
      </c>
      <c r="G415" s="147"/>
      <c r="H415" s="147"/>
      <c r="I415" s="147">
        <f>SUM('F13-Year(n)'!E412:J412)+SUM('F13-Year(n)'!E582:J582)</f>
        <v>0</v>
      </c>
      <c r="J415" s="147">
        <f>SUM('F13-Year(n)'!K412:P412)+SUM('F13-Year(n)'!K582:P582)</f>
        <v>0</v>
      </c>
      <c r="K415" s="147">
        <f t="shared" si="20"/>
        <v>0</v>
      </c>
      <c r="L415" s="147">
        <f>'F13-Year(n+1)'!Q423</f>
        <v>0</v>
      </c>
      <c r="M415" s="147">
        <f>'F13-Year(n+2)'!Q422</f>
        <v>0</v>
      </c>
      <c r="N415" s="147">
        <f>'F13-Year(n+3)'!Q422</f>
        <v>0</v>
      </c>
      <c r="O415" s="147">
        <f>'F13-Year(n+4)'!Q422</f>
        <v>0</v>
      </c>
      <c r="P415" s="147">
        <f>'F13-Year(n+5)'!Q422</f>
        <v>0</v>
      </c>
    </row>
    <row r="416" spans="3:16">
      <c r="C416" s="55"/>
      <c r="D416" s="679" t="s">
        <v>498</v>
      </c>
      <c r="E416" s="147"/>
      <c r="F416" s="752">
        <f>'F13-Year(n-1)'!Q416</f>
        <v>0.52445293305</v>
      </c>
      <c r="G416" s="147"/>
      <c r="H416" s="147"/>
      <c r="I416" s="147">
        <f>SUM('F13-Year(n)'!E413:J413)+SUM('F13-Year(n)'!E583:J583)</f>
        <v>0</v>
      </c>
      <c r="J416" s="147">
        <f>SUM('F13-Year(n)'!K413:P413)+SUM('F13-Year(n)'!K583:P583)</f>
        <v>0</v>
      </c>
      <c r="K416" s="147">
        <f t="shared" si="20"/>
        <v>0</v>
      </c>
      <c r="L416" s="147">
        <f>'F13-Year(n+1)'!Q424</f>
        <v>0</v>
      </c>
      <c r="M416" s="147">
        <f>'F13-Year(n+2)'!Q423</f>
        <v>0</v>
      </c>
      <c r="N416" s="147">
        <f>'F13-Year(n+3)'!Q423</f>
        <v>0</v>
      </c>
      <c r="O416" s="147">
        <f>'F13-Year(n+4)'!Q423</f>
        <v>0</v>
      </c>
      <c r="P416" s="147">
        <f>'F13-Year(n+5)'!Q423</f>
        <v>0</v>
      </c>
    </row>
    <row r="417" spans="3:16">
      <c r="C417" s="55"/>
      <c r="D417" s="55"/>
      <c r="E417" s="147"/>
      <c r="F417" s="752">
        <f>'F13-Year(n-1)'!Q417</f>
        <v>0</v>
      </c>
      <c r="G417" s="147"/>
      <c r="H417" s="147"/>
      <c r="I417" s="147">
        <f>SUM('F13-Year(n)'!E414:J414)</f>
        <v>0</v>
      </c>
      <c r="J417" s="147">
        <f>SUM('F13-Year(n)'!K414:P414)</f>
        <v>0</v>
      </c>
      <c r="K417" s="147">
        <f t="shared" si="20"/>
        <v>0</v>
      </c>
      <c r="L417" s="147">
        <f>'F13-Year(n+1)'!Q425</f>
        <v>0</v>
      </c>
      <c r="M417" s="147">
        <f>'F13-Year(n+2)'!Q424</f>
        <v>0</v>
      </c>
      <c r="N417" s="147">
        <f>'F13-Year(n+3)'!Q424</f>
        <v>0</v>
      </c>
      <c r="O417" s="147">
        <f>'F13-Year(n+4)'!Q424</f>
        <v>0</v>
      </c>
      <c r="P417" s="147">
        <f>'F13-Year(n+5)'!Q424</f>
        <v>0</v>
      </c>
    </row>
    <row r="418" spans="3:16">
      <c r="C418" s="55"/>
      <c r="D418" s="55"/>
      <c r="E418" s="147"/>
      <c r="F418" s="752">
        <f>'F13-Year(n-1)'!Q418</f>
        <v>0</v>
      </c>
      <c r="G418" s="147"/>
      <c r="H418" s="147"/>
      <c r="I418" s="147">
        <f>SUM('F13-Year(n)'!E415:J415)</f>
        <v>0</v>
      </c>
      <c r="J418" s="147">
        <f>SUM('F13-Year(n)'!K415:P415)</f>
        <v>0</v>
      </c>
      <c r="K418" s="147">
        <f t="shared" si="20"/>
        <v>0</v>
      </c>
      <c r="L418" s="147">
        <f>'F13-Year(n+1)'!Q426</f>
        <v>0</v>
      </c>
      <c r="M418" s="147">
        <f>'F13-Year(n+2)'!Q425</f>
        <v>0</v>
      </c>
      <c r="N418" s="147">
        <f>'F13-Year(n+3)'!Q425</f>
        <v>0</v>
      </c>
      <c r="O418" s="147">
        <f>'F13-Year(n+4)'!Q425</f>
        <v>0</v>
      </c>
      <c r="P418" s="147">
        <f>'F13-Year(n+5)'!Q425</f>
        <v>0</v>
      </c>
    </row>
    <row r="419" ht="15" spans="3:16">
      <c r="C419" s="537" t="s">
        <v>211</v>
      </c>
      <c r="D419" s="540"/>
      <c r="E419" s="316" t="e">
        <f>SUM(E394:E418)</f>
        <v>#REF!</v>
      </c>
      <c r="F419" s="316">
        <f>SUM(F394:F418)</f>
        <v>1745.12227744622</v>
      </c>
      <c r="G419" s="316" t="e">
        <f>F419-E419</f>
        <v>#REF!</v>
      </c>
      <c r="H419" s="316">
        <f>SUM(H394:H418)</f>
        <v>1637.210905</v>
      </c>
      <c r="I419" s="316">
        <f>SUM(I394:I418)</f>
        <v>1883.20691199572</v>
      </c>
      <c r="J419" s="316">
        <f>SUM(J394:J418)</f>
        <v>2481.02976146811</v>
      </c>
      <c r="K419" s="316">
        <f t="shared" si="20"/>
        <v>4364.23667346383</v>
      </c>
      <c r="L419" s="316">
        <f>'F13-Year(n+1)'!Q429</f>
        <v>5107.78884307096</v>
      </c>
      <c r="M419" s="316">
        <f>'F13-Year(n+2)'!Q428</f>
        <v>4716.32473042962</v>
      </c>
      <c r="N419" s="316">
        <f>'F13-Year(n+3)'!Q428</f>
        <v>5159.66821310451</v>
      </c>
      <c r="O419" s="316">
        <f>'F13-Year(n+4)'!Q428</f>
        <v>5553.68687886252</v>
      </c>
      <c r="P419" s="316">
        <f>'F13-Year(n+5)'!Q428</f>
        <v>6164.89455266642</v>
      </c>
    </row>
    <row r="420" ht="15" spans="3:16">
      <c r="C420" s="44" t="s">
        <v>388</v>
      </c>
      <c r="D420" s="45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</row>
    <row r="421" spans="3:16">
      <c r="C421" s="682" t="s">
        <v>389</v>
      </c>
      <c r="D421" s="55" t="s">
        <v>390</v>
      </c>
      <c r="E421" s="147">
        <f>'[47]PP Cost'!K111</f>
        <v>3.731315</v>
      </c>
      <c r="F421" s="752">
        <f>'F13-Year(n-1)'!Q421</f>
        <v>5.57710832775</v>
      </c>
      <c r="G421" s="147"/>
      <c r="H421" s="147">
        <f>'[48]PP Cost'!K115</f>
        <v>4.22313</v>
      </c>
      <c r="I421" s="147">
        <f>SUM('F13-Year(n)'!E418:J418)+SUM('F13-Year(n)'!E588:J588)</f>
        <v>4.17974653185</v>
      </c>
      <c r="J421" s="147">
        <f>SUM('F13-Year(n)'!K418:P418)+SUM('F13-Year(n)'!K588:P588)</f>
        <v>7.20719561015</v>
      </c>
      <c r="K421" s="147">
        <f t="shared" ref="K421:K436" si="21">I421+J421</f>
        <v>11.386942142</v>
      </c>
      <c r="L421" s="147">
        <f>'F13-Year(n+1)'!Q431</f>
        <v>37.2670554865051</v>
      </c>
      <c r="M421" s="147" t="e">
        <f>'F13-Year(n+2)'!Q430</f>
        <v>#REF!</v>
      </c>
      <c r="N421" s="147">
        <f>'F13-Year(n+3)'!Q430</f>
        <v>33.8828416303681</v>
      </c>
      <c r="O421" s="147">
        <f>'F13-Year(n+4)'!Q430</f>
        <v>34.4700625710457</v>
      </c>
      <c r="P421" s="147">
        <f>'F13-Year(n+5)'!Q430</f>
        <v>35.116775901614</v>
      </c>
    </row>
    <row r="422" spans="3:16">
      <c r="C422" s="683"/>
      <c r="D422" s="55" t="s">
        <v>391</v>
      </c>
      <c r="E422" s="147">
        <f>'[47]PP Cost'!K112</f>
        <v>46.39553</v>
      </c>
      <c r="F422" s="752">
        <f>'F13-Year(n-1)'!Q422</f>
        <v>122.70574103635</v>
      </c>
      <c r="G422" s="147"/>
      <c r="H422" s="147">
        <f>'[48]PP Cost'!K116</f>
        <v>43.77448</v>
      </c>
      <c r="I422" s="147">
        <f>SUM('F13-Year(n)'!E419:J419)+SUM('F13-Year(n)'!E589:J589)</f>
        <v>134.5942682949</v>
      </c>
      <c r="J422" s="147">
        <f>SUM('F13-Year(n)'!K419:P419)+SUM('F13-Year(n)'!K589:P589)</f>
        <v>135.3233866006</v>
      </c>
      <c r="K422" s="147">
        <f t="shared" si="21"/>
        <v>269.9176548955</v>
      </c>
      <c r="L422" s="147">
        <f>'F13-Year(n+1)'!Q432</f>
        <v>154.690277832938</v>
      </c>
      <c r="M422" s="147" t="e">
        <f>'F13-Year(n+2)'!Q431</f>
        <v>#REF!</v>
      </c>
      <c r="N422" s="147">
        <f>'F13-Year(n+3)'!Q431</f>
        <v>145.192227324775</v>
      </c>
      <c r="O422" s="147">
        <f>'F13-Year(n+4)'!Q431</f>
        <v>147.708542728272</v>
      </c>
      <c r="P422" s="147">
        <f>'F13-Year(n+5)'!Q431</f>
        <v>150.47979048636</v>
      </c>
    </row>
    <row r="423" spans="3:16">
      <c r="C423" s="683"/>
      <c r="D423" s="55" t="s">
        <v>392</v>
      </c>
      <c r="E423" s="147">
        <f>'[47]PP Cost'!K113</f>
        <v>46.145205</v>
      </c>
      <c r="F423" s="752">
        <f>'F13-Year(n-1)'!Q423</f>
        <v>0</v>
      </c>
      <c r="G423" s="147"/>
      <c r="H423" s="147">
        <f>'[48]PP Cost'!K117</f>
        <v>47.435115</v>
      </c>
      <c r="I423" s="147">
        <f>SUM('F13-Year(n)'!E420:J420)+SUM('F13-Year(n)'!E590:J590)</f>
        <v>0</v>
      </c>
      <c r="J423" s="147">
        <f>SUM('F13-Year(n)'!K420:P420)+SUM('F13-Year(n)'!K590:P590)</f>
        <v>0</v>
      </c>
      <c r="K423" s="147">
        <f t="shared" si="21"/>
        <v>0</v>
      </c>
      <c r="L423" s="147">
        <f>'F13-Year(n+1)'!Q433</f>
        <v>118.039054891514</v>
      </c>
      <c r="M423" s="147" t="e">
        <f>'F13-Year(n+2)'!Q432</f>
        <v>#REF!</v>
      </c>
      <c r="N423" s="147">
        <f>'F13-Year(n+3)'!Q432</f>
        <v>145.192227324775</v>
      </c>
      <c r="O423" s="147">
        <f>'F13-Year(n+4)'!Q432</f>
        <v>147.708542728272</v>
      </c>
      <c r="P423" s="147">
        <f>'F13-Year(n+5)'!Q432</f>
        <v>150.47979048636</v>
      </c>
    </row>
    <row r="424" spans="3:16">
      <c r="C424" s="684"/>
      <c r="D424" s="55" t="s">
        <v>393</v>
      </c>
      <c r="E424" s="147">
        <f>'[47]PP Cost'!K114</f>
        <v>33.193095</v>
      </c>
      <c r="F424" s="752">
        <f>'F13-Year(n-1)'!Q424</f>
        <v>45.76073663415</v>
      </c>
      <c r="G424" s="147"/>
      <c r="H424" s="147">
        <f>'[48]PP Cost'!K118</f>
        <v>41.00029</v>
      </c>
      <c r="I424" s="147">
        <f>SUM('F13-Year(n)'!E421:J421)+SUM('F13-Year(n)'!E591:J591)</f>
        <v>37.7795750905</v>
      </c>
      <c r="J424" s="147">
        <f>SUM('F13-Year(n)'!K421:P421)+SUM('F13-Year(n)'!K591:P591)</f>
        <v>63.23131591805</v>
      </c>
      <c r="K424" s="147">
        <f t="shared" si="21"/>
        <v>101.01089100855</v>
      </c>
      <c r="L424" s="147">
        <f>'F13-Year(n+1)'!Q434</f>
        <v>149.7596105313</v>
      </c>
      <c r="M424" s="147" t="e">
        <f>'F13-Year(n+2)'!Q433</f>
        <v>#REF!</v>
      </c>
      <c r="N424" s="147">
        <f>'F13-Year(n+3)'!Q433</f>
        <v>136.134967330926</v>
      </c>
      <c r="O424" s="147">
        <f>'F13-Year(n+4)'!Q433</f>
        <v>138.494312053168</v>
      </c>
      <c r="P424" s="147">
        <f>'F13-Year(n+5)'!Q433</f>
        <v>141.092686153246</v>
      </c>
    </row>
    <row r="425" spans="3:16">
      <c r="C425" s="55"/>
      <c r="D425" s="55"/>
      <c r="E425" s="147"/>
      <c r="F425" s="752">
        <f>'F13-Year(n-1)'!Q399</f>
        <v>185.637086944107</v>
      </c>
      <c r="G425" s="147"/>
      <c r="H425" s="147"/>
      <c r="I425" s="147">
        <f>SUM('F13-Year(n)'!E422:J422)</f>
        <v>0</v>
      </c>
      <c r="J425" s="147">
        <f>SUM('F13-Year(n)'!K422:P422)</f>
        <v>0</v>
      </c>
      <c r="K425" s="147">
        <f t="shared" si="21"/>
        <v>0</v>
      </c>
      <c r="L425" s="147">
        <f>'F13-Year(n+1)'!Q435</f>
        <v>0</v>
      </c>
      <c r="M425" s="147">
        <f>'F13-Year(n+2)'!Q434</f>
        <v>0</v>
      </c>
      <c r="N425" s="147">
        <f>'F13-Year(n+3)'!Q434</f>
        <v>0</v>
      </c>
      <c r="O425" s="147">
        <f>'F13-Year(n+4)'!Q434</f>
        <v>0</v>
      </c>
      <c r="P425" s="147">
        <f>'F13-Year(n+5)'!Q434</f>
        <v>0</v>
      </c>
    </row>
    <row r="426" spans="3:16">
      <c r="C426" s="55"/>
      <c r="D426" s="55"/>
      <c r="E426" s="147"/>
      <c r="F426" s="752">
        <f>'F13-Year(n-1)'!Q400</f>
        <v>215.59386030252</v>
      </c>
      <c r="G426" s="147"/>
      <c r="H426" s="147"/>
      <c r="I426" s="147">
        <f>SUM('F13-Year(n)'!E423:J423)</f>
        <v>0</v>
      </c>
      <c r="J426" s="147">
        <f>SUM('F13-Year(n)'!K423:P423)</f>
        <v>0</v>
      </c>
      <c r="K426" s="147">
        <f t="shared" si="21"/>
        <v>0</v>
      </c>
      <c r="L426" s="147">
        <f>'F13-Year(n+1)'!Q436</f>
        <v>0</v>
      </c>
      <c r="M426" s="147">
        <f>'F13-Year(n+2)'!Q435</f>
        <v>0</v>
      </c>
      <c r="N426" s="147">
        <f>'F13-Year(n+3)'!Q435</f>
        <v>0</v>
      </c>
      <c r="O426" s="147">
        <f>'F13-Year(n+4)'!Q435</f>
        <v>0</v>
      </c>
      <c r="P426" s="147">
        <f>'F13-Year(n+5)'!Q435</f>
        <v>0</v>
      </c>
    </row>
    <row r="427" spans="3:16">
      <c r="C427" s="55"/>
      <c r="D427" s="55"/>
      <c r="E427" s="147"/>
      <c r="F427" s="752">
        <f>'F13-Year(n-1)'!Q401</f>
        <v>59.2167962759092</v>
      </c>
      <c r="G427" s="147"/>
      <c r="H427" s="147"/>
      <c r="I427" s="147">
        <f>SUM('F13-Year(n)'!E424:J424)</f>
        <v>0</v>
      </c>
      <c r="J427" s="147">
        <f>SUM('F13-Year(n)'!K424:P424)</f>
        <v>0</v>
      </c>
      <c r="K427" s="147">
        <f t="shared" si="21"/>
        <v>0</v>
      </c>
      <c r="L427" s="147">
        <f>'F13-Year(n+1)'!Q437</f>
        <v>0</v>
      </c>
      <c r="M427" s="147">
        <f>'F13-Year(n+2)'!Q436</f>
        <v>0</v>
      </c>
      <c r="N427" s="147">
        <f>'F13-Year(n+3)'!Q436</f>
        <v>0</v>
      </c>
      <c r="O427" s="147">
        <f>'F13-Year(n+4)'!Q436</f>
        <v>0</v>
      </c>
      <c r="P427" s="147">
        <f>'F13-Year(n+5)'!Q436</f>
        <v>0</v>
      </c>
    </row>
    <row r="428" spans="3:16">
      <c r="C428" s="55"/>
      <c r="D428" s="55"/>
      <c r="E428" s="147"/>
      <c r="F428" s="752">
        <f>'F13-Year(n-1)'!Q402</f>
        <v>0</v>
      </c>
      <c r="G428" s="147"/>
      <c r="H428" s="147"/>
      <c r="I428" s="147">
        <f>SUM('F13-Year(n)'!E425:J425)</f>
        <v>0</v>
      </c>
      <c r="J428" s="147">
        <f>SUM('F13-Year(n)'!K425:P425)</f>
        <v>0</v>
      </c>
      <c r="K428" s="147">
        <f t="shared" si="21"/>
        <v>0</v>
      </c>
      <c r="L428" s="147">
        <f>'F13-Year(n+1)'!Q438</f>
        <v>0</v>
      </c>
      <c r="M428" s="147">
        <f>'F13-Year(n+2)'!Q437</f>
        <v>0</v>
      </c>
      <c r="N428" s="147">
        <f>'F13-Year(n+3)'!Q437</f>
        <v>0</v>
      </c>
      <c r="O428" s="147">
        <f>'F13-Year(n+4)'!Q437</f>
        <v>0</v>
      </c>
      <c r="P428" s="147">
        <f>'F13-Year(n+5)'!Q437</f>
        <v>0</v>
      </c>
    </row>
    <row r="429" spans="3:16">
      <c r="C429" s="55"/>
      <c r="D429" s="55"/>
      <c r="E429" s="147"/>
      <c r="F429" s="752">
        <f>'F13-Year(n-1)'!Q403</f>
        <v>30.2562006077726</v>
      </c>
      <c r="G429" s="147"/>
      <c r="H429" s="147"/>
      <c r="I429" s="147">
        <f>SUM('F13-Year(n)'!E426:J426)</f>
        <v>0</v>
      </c>
      <c r="J429" s="147">
        <f>SUM('F13-Year(n)'!K426:P426)</f>
        <v>0</v>
      </c>
      <c r="K429" s="147">
        <f t="shared" si="21"/>
        <v>0</v>
      </c>
      <c r="L429" s="147">
        <f>'F13-Year(n+1)'!Q439</f>
        <v>0</v>
      </c>
      <c r="M429" s="147">
        <f>'F13-Year(n+2)'!Q438</f>
        <v>0</v>
      </c>
      <c r="N429" s="147">
        <f>'F13-Year(n+3)'!Q438</f>
        <v>0</v>
      </c>
      <c r="O429" s="147">
        <f>'F13-Year(n+4)'!Q438</f>
        <v>0</v>
      </c>
      <c r="P429" s="147">
        <f>'F13-Year(n+5)'!Q438</f>
        <v>0</v>
      </c>
    </row>
    <row r="430" spans="3:16">
      <c r="C430" s="55"/>
      <c r="D430" s="55"/>
      <c r="E430" s="147"/>
      <c r="F430" s="752">
        <f>'F13-Year(n-1)'!Q404</f>
        <v>8.04699924480465</v>
      </c>
      <c r="G430" s="147"/>
      <c r="H430" s="147"/>
      <c r="I430" s="147">
        <f>SUM('F13-Year(n)'!E427:J427)</f>
        <v>0</v>
      </c>
      <c r="J430" s="147">
        <f>SUM('F13-Year(n)'!K427:P427)</f>
        <v>0</v>
      </c>
      <c r="K430" s="147">
        <f t="shared" si="21"/>
        <v>0</v>
      </c>
      <c r="L430" s="147">
        <f>'F13-Year(n+1)'!Q440</f>
        <v>0</v>
      </c>
      <c r="M430" s="147">
        <f>'F13-Year(n+2)'!Q439</f>
        <v>0</v>
      </c>
      <c r="N430" s="147">
        <f>'F13-Year(n+3)'!Q439</f>
        <v>0</v>
      </c>
      <c r="O430" s="147">
        <f>'F13-Year(n+4)'!Q439</f>
        <v>0</v>
      </c>
      <c r="P430" s="147">
        <f>'F13-Year(n+5)'!Q439</f>
        <v>0</v>
      </c>
    </row>
    <row r="431" spans="3:16">
      <c r="C431" s="55"/>
      <c r="D431" s="55"/>
      <c r="E431" s="147"/>
      <c r="F431" s="752">
        <f>'F13-Year(n-1)'!Q405</f>
        <v>28.7325628276294</v>
      </c>
      <c r="G431" s="147"/>
      <c r="H431" s="147"/>
      <c r="I431" s="147">
        <f>SUM('F13-Year(n)'!E428:J428)</f>
        <v>0</v>
      </c>
      <c r="J431" s="147">
        <f>SUM('F13-Year(n)'!K428:P428)</f>
        <v>0</v>
      </c>
      <c r="K431" s="147">
        <f t="shared" si="21"/>
        <v>0</v>
      </c>
      <c r="L431" s="147">
        <f>'F13-Year(n+1)'!Q441</f>
        <v>0</v>
      </c>
      <c r="M431" s="147">
        <f>'F13-Year(n+2)'!Q440</f>
        <v>0</v>
      </c>
      <c r="N431" s="147">
        <f>'F13-Year(n+3)'!Q440</f>
        <v>0</v>
      </c>
      <c r="O431" s="147">
        <f>'F13-Year(n+4)'!Q440</f>
        <v>0</v>
      </c>
      <c r="P431" s="147">
        <f>'F13-Year(n+5)'!Q440</f>
        <v>0</v>
      </c>
    </row>
    <row r="432" spans="3:16">
      <c r="C432" s="55"/>
      <c r="D432" s="55"/>
      <c r="E432" s="147"/>
      <c r="F432" s="752">
        <f>'F13-Year(n-1)'!Q406</f>
        <v>1.7617461776042</v>
      </c>
      <c r="G432" s="147"/>
      <c r="H432" s="147"/>
      <c r="I432" s="147">
        <f>SUM('F13-Year(n)'!E429:J429)</f>
        <v>0</v>
      </c>
      <c r="J432" s="147">
        <f>SUM('F13-Year(n)'!K429:P429)</f>
        <v>0</v>
      </c>
      <c r="K432" s="147">
        <f t="shared" si="21"/>
        <v>0</v>
      </c>
      <c r="L432" s="147">
        <f>'F13-Year(n+1)'!Q442</f>
        <v>0</v>
      </c>
      <c r="M432" s="147">
        <f>'F13-Year(n+2)'!Q441</f>
        <v>0</v>
      </c>
      <c r="N432" s="147">
        <f>'F13-Year(n+3)'!Q441</f>
        <v>0</v>
      </c>
      <c r="O432" s="147">
        <f>'F13-Year(n+4)'!Q441</f>
        <v>0</v>
      </c>
      <c r="P432" s="147">
        <f>'F13-Year(n+5)'!Q441</f>
        <v>0</v>
      </c>
    </row>
    <row r="433" spans="3:16">
      <c r="C433" s="55"/>
      <c r="D433" s="55"/>
      <c r="E433" s="147"/>
      <c r="F433" s="752">
        <f>'F13-Year(n-1)'!Q407</f>
        <v>0.79298574895</v>
      </c>
      <c r="G433" s="147"/>
      <c r="H433" s="147"/>
      <c r="I433" s="147">
        <f>SUM('F13-Year(n)'!E430:J430)</f>
        <v>0</v>
      </c>
      <c r="J433" s="147">
        <f>SUM('F13-Year(n)'!K430:P430)</f>
        <v>0</v>
      </c>
      <c r="K433" s="147">
        <f t="shared" si="21"/>
        <v>0</v>
      </c>
      <c r="L433" s="147">
        <f>'F13-Year(n+1)'!Q443</f>
        <v>0</v>
      </c>
      <c r="M433" s="147">
        <f>'F13-Year(n+2)'!Q442</f>
        <v>0</v>
      </c>
      <c r="N433" s="147">
        <f>'F13-Year(n+3)'!Q442</f>
        <v>0</v>
      </c>
      <c r="O433" s="147">
        <f>'F13-Year(n+4)'!Q442</f>
        <v>0</v>
      </c>
      <c r="P433" s="147">
        <f>'F13-Year(n+5)'!Q442</f>
        <v>0</v>
      </c>
    </row>
    <row r="434" spans="3:16">
      <c r="C434" s="55"/>
      <c r="D434" s="55"/>
      <c r="E434" s="147"/>
      <c r="F434" s="752">
        <f>'F13-Year(n-1)'!Q408</f>
        <v>73.9559139565367</v>
      </c>
      <c r="G434" s="147"/>
      <c r="H434" s="147"/>
      <c r="I434" s="147">
        <f>SUM('F13-Year(n)'!E431:J431)</f>
        <v>0</v>
      </c>
      <c r="J434" s="147">
        <f>SUM('F13-Year(n)'!K431:P431)</f>
        <v>0</v>
      </c>
      <c r="K434" s="147">
        <f t="shared" si="21"/>
        <v>0</v>
      </c>
      <c r="L434" s="147">
        <f>'F13-Year(n+1)'!Q444</f>
        <v>0</v>
      </c>
      <c r="M434" s="147">
        <f>'F13-Year(n+2)'!Q443</f>
        <v>0</v>
      </c>
      <c r="N434" s="147">
        <f>'F13-Year(n+3)'!Q443</f>
        <v>0</v>
      </c>
      <c r="O434" s="147">
        <f>'F13-Year(n+4)'!Q443</f>
        <v>0</v>
      </c>
      <c r="P434" s="147">
        <f>'F13-Year(n+5)'!Q443</f>
        <v>0</v>
      </c>
    </row>
    <row r="435" ht="15" spans="3:16">
      <c r="C435" s="537" t="s">
        <v>211</v>
      </c>
      <c r="D435" s="540"/>
      <c r="E435" s="316">
        <f>SUM(E421:E434)</f>
        <v>129.465145</v>
      </c>
      <c r="F435" s="316">
        <f>SUM(F421:F434)</f>
        <v>778.037738084083</v>
      </c>
      <c r="G435" s="316">
        <f>F435-E435</f>
        <v>648.572593084083</v>
      </c>
      <c r="H435" s="316">
        <f>SUM(H421:H434)</f>
        <v>136.433015</v>
      </c>
      <c r="I435" s="316">
        <f>SUM(I421:I434)</f>
        <v>176.55358991725</v>
      </c>
      <c r="J435" s="316">
        <f>SUM(J421:J434)</f>
        <v>205.7618981288</v>
      </c>
      <c r="K435" s="316">
        <f t="shared" si="21"/>
        <v>382.31548804605</v>
      </c>
      <c r="L435" s="316">
        <f>'F13-Year(n+1)'!Q445</f>
        <v>459.755998742258</v>
      </c>
      <c r="M435" s="316" t="e">
        <f>'F13-Year(n+2)'!Q444</f>
        <v>#REF!</v>
      </c>
      <c r="N435" s="316">
        <f>'F13-Year(n+3)'!Q444</f>
        <v>460.402263610845</v>
      </c>
      <c r="O435" s="316">
        <f>'F13-Year(n+4)'!Q444</f>
        <v>468.381460080757</v>
      </c>
      <c r="P435" s="316">
        <f>'F13-Year(n+5)'!Q444</f>
        <v>477.169043027581</v>
      </c>
    </row>
    <row r="436" ht="15" spans="3:16">
      <c r="C436" s="44" t="s">
        <v>395</v>
      </c>
      <c r="D436" s="45"/>
      <c r="E436" s="316" t="e">
        <f>E419+E435</f>
        <v>#REF!</v>
      </c>
      <c r="F436" s="316">
        <f>F419+F435</f>
        <v>2523.1600155303</v>
      </c>
      <c r="G436" s="316" t="e">
        <f>F436-E436</f>
        <v>#REF!</v>
      </c>
      <c r="H436" s="316">
        <f>H419+H435</f>
        <v>1773.64392</v>
      </c>
      <c r="I436" s="316">
        <f>I419+I435</f>
        <v>2059.76050191297</v>
      </c>
      <c r="J436" s="316">
        <f>J419+J435</f>
        <v>2686.79165959691</v>
      </c>
      <c r="K436" s="316">
        <f t="shared" si="21"/>
        <v>4746.55216150988</v>
      </c>
      <c r="L436" s="316">
        <f>'F13-Year(n+1)'!Q446</f>
        <v>5567.54484181322</v>
      </c>
      <c r="M436" s="316" t="e">
        <f>'F13-Year(n+2)'!Q445</f>
        <v>#REF!</v>
      </c>
      <c r="N436" s="316">
        <f>'F13-Year(n+3)'!Q445</f>
        <v>5620.07047671536</v>
      </c>
      <c r="O436" s="316">
        <f>'F13-Year(n+4)'!Q445</f>
        <v>6022.06833894328</v>
      </c>
      <c r="P436" s="316">
        <f>'F13-Year(n+5)'!Q445</f>
        <v>6642.063595694</v>
      </c>
    </row>
    <row r="437" ht="15" spans="3:16">
      <c r="C437" s="663" t="s">
        <v>396</v>
      </c>
      <c r="D437" s="676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</row>
    <row r="438" spans="3:16">
      <c r="C438" s="55" t="s">
        <v>397</v>
      </c>
      <c r="D438" s="55" t="s">
        <v>397</v>
      </c>
      <c r="E438" s="147">
        <f>'[47]PP Cost'!K131</f>
        <v>157.12164</v>
      </c>
      <c r="F438" s="752">
        <f>'F13-Year(n-1)'!Q438</f>
        <v>388.2317492495</v>
      </c>
      <c r="G438" s="147"/>
      <c r="H438" s="147">
        <f>'[48]PP Cost'!K137</f>
        <v>150.30979765</v>
      </c>
      <c r="I438" s="147">
        <f>SUM('F13-Year(n)'!E435:J435)+SUM('F13-Year(n)'!E605:J605)</f>
        <v>466.6814537774</v>
      </c>
      <c r="J438" s="147">
        <f>SUM('F13-Year(n)'!K435:P435)+SUM('F13-Year(n)'!K605:P605)</f>
        <v>380.85368851855</v>
      </c>
      <c r="K438" s="147">
        <f t="shared" ref="K438:K445" si="22">I438+J438</f>
        <v>847.53514229595</v>
      </c>
      <c r="L438" s="147">
        <f>'F13-Year(n+1)'!Q448</f>
        <v>357.429090324755</v>
      </c>
      <c r="M438" s="147">
        <f>'F13-Year(n+2)'!Q447</f>
        <v>325.077247090643</v>
      </c>
      <c r="N438" s="147">
        <f>'F13-Year(n+3)'!Q447</f>
        <v>343.934825640481</v>
      </c>
      <c r="O438" s="147">
        <f>'F13-Year(n+4)'!Q447</f>
        <v>369.252174705557</v>
      </c>
      <c r="P438" s="147">
        <f>'F13-Year(n+5)'!Q447</f>
        <v>415.519818039139</v>
      </c>
    </row>
    <row r="439" spans="3:16">
      <c r="C439" s="55" t="s">
        <v>398</v>
      </c>
      <c r="D439" s="55" t="s">
        <v>398</v>
      </c>
      <c r="E439" s="147">
        <f>'[47]PP Cost'!K132</f>
        <v>342.771495</v>
      </c>
      <c r="F439" s="752">
        <f>'F13-Year(n-1)'!Q439</f>
        <v>123.870343983086</v>
      </c>
      <c r="G439" s="147"/>
      <c r="H439" s="147">
        <f>'[48]PP Cost'!K138</f>
        <v>509.83747406</v>
      </c>
      <c r="I439" s="147">
        <f>SUM('F13-Year(n)'!E436:J436)+SUM('F13-Year(n)'!E606:J606)</f>
        <v>214.52014335718</v>
      </c>
      <c r="J439" s="147">
        <f>SUM('F13-Year(n)'!K436:P436)+SUM('F13-Year(n)'!K606:P606)</f>
        <v>200.239729221386</v>
      </c>
      <c r="K439" s="147">
        <f t="shared" si="22"/>
        <v>414.759872578566</v>
      </c>
      <c r="L439" s="147">
        <f>'F13-Year(n+1)'!Q449</f>
        <v>0</v>
      </c>
      <c r="M439" s="147">
        <f>'F13-Year(n+2)'!Q448</f>
        <v>0</v>
      </c>
      <c r="N439" s="147">
        <f>'F13-Year(n+3)'!Q448</f>
        <v>0</v>
      </c>
      <c r="O439" s="147">
        <f>'F13-Year(n+4)'!Q448</f>
        <v>0</v>
      </c>
      <c r="P439" s="147">
        <f>'F13-Year(n+5)'!Q448</f>
        <v>0</v>
      </c>
    </row>
    <row r="440" spans="3:16">
      <c r="C440" s="55"/>
      <c r="D440" s="55"/>
      <c r="E440" s="147"/>
      <c r="F440" s="752">
        <f>'F13-Year(n-1)'!Q440</f>
        <v>0</v>
      </c>
      <c r="G440" s="147"/>
      <c r="H440" s="147"/>
      <c r="I440" s="147">
        <f>SUM('F13-Year(n)'!E437:J437)</f>
        <v>0</v>
      </c>
      <c r="J440" s="147">
        <f>SUM('F13-Year(n)'!K437:P437)</f>
        <v>0</v>
      </c>
      <c r="K440" s="147">
        <f t="shared" si="22"/>
        <v>0</v>
      </c>
      <c r="L440" s="147">
        <f>'F13-Year(n+1)'!Q450</f>
        <v>0</v>
      </c>
      <c r="M440" s="147">
        <f>'F13-Year(n+2)'!Q449</f>
        <v>0</v>
      </c>
      <c r="N440" s="147">
        <f>'F13-Year(n+3)'!Q449</f>
        <v>0</v>
      </c>
      <c r="O440" s="147">
        <f>'F13-Year(n+4)'!Q449</f>
        <v>0</v>
      </c>
      <c r="P440" s="147">
        <f>'F13-Year(n+5)'!Q449</f>
        <v>0</v>
      </c>
    </row>
    <row r="441" spans="3:16">
      <c r="C441" s="55"/>
      <c r="D441" s="55"/>
      <c r="E441" s="147"/>
      <c r="F441" s="752">
        <f>'F13-Year(n-1)'!Q441</f>
        <v>0</v>
      </c>
      <c r="G441" s="147"/>
      <c r="H441" s="147"/>
      <c r="I441" s="147">
        <f>SUM('F13-Year(n)'!E438:J438)</f>
        <v>0</v>
      </c>
      <c r="J441" s="147">
        <f>SUM('F13-Year(n)'!K438:P438)</f>
        <v>0</v>
      </c>
      <c r="K441" s="147">
        <f t="shared" si="22"/>
        <v>0</v>
      </c>
      <c r="L441" s="147">
        <f>'F13-Year(n+1)'!Q451</f>
        <v>0</v>
      </c>
      <c r="M441" s="147">
        <f>'F13-Year(n+2)'!Q450</f>
        <v>0</v>
      </c>
      <c r="N441" s="147">
        <f>'F13-Year(n+3)'!Q450</f>
        <v>0</v>
      </c>
      <c r="O441" s="147">
        <f>'F13-Year(n+4)'!Q450</f>
        <v>0</v>
      </c>
      <c r="P441" s="147">
        <f>'F13-Year(n+5)'!Q450</f>
        <v>0</v>
      </c>
    </row>
    <row r="442" ht="7" customHeight="1" spans="3:16">
      <c r="C442" s="55"/>
      <c r="D442" s="55"/>
      <c r="E442" s="147"/>
      <c r="F442" s="752">
        <f>'F13-Year(n-1)'!Q442</f>
        <v>0</v>
      </c>
      <c r="G442" s="147"/>
      <c r="H442" s="147"/>
      <c r="I442" s="147">
        <f>SUM('F13-Year(n)'!E439:J439)</f>
        <v>0</v>
      </c>
      <c r="J442" s="147">
        <f>SUM('F13-Year(n)'!K439:P439)</f>
        <v>0</v>
      </c>
      <c r="K442" s="147">
        <f t="shared" si="22"/>
        <v>0</v>
      </c>
      <c r="L442" s="147">
        <f>'F13-Year(n+1)'!Q452</f>
        <v>0</v>
      </c>
      <c r="M442" s="147">
        <f>'F13-Year(n+2)'!Q451</f>
        <v>0</v>
      </c>
      <c r="N442" s="147">
        <f>'F13-Year(n+3)'!Q451</f>
        <v>0</v>
      </c>
      <c r="O442" s="147">
        <f>'F13-Year(n+4)'!Q451</f>
        <v>0</v>
      </c>
      <c r="P442" s="147">
        <f>'F13-Year(n+5)'!Q451</f>
        <v>0</v>
      </c>
    </row>
    <row r="443" spans="3:16">
      <c r="C443" s="55"/>
      <c r="D443" s="55"/>
      <c r="E443" s="147"/>
      <c r="F443" s="752">
        <f>'F13-Year(n-1)'!Q443</f>
        <v>0</v>
      </c>
      <c r="G443" s="147"/>
      <c r="H443" s="147"/>
      <c r="I443" s="147">
        <f>SUM('F13-Year(n)'!E440:J440)</f>
        <v>0</v>
      </c>
      <c r="J443" s="147">
        <f>SUM('F13-Year(n)'!K440:P440)</f>
        <v>0</v>
      </c>
      <c r="K443" s="147">
        <f t="shared" si="22"/>
        <v>0</v>
      </c>
      <c r="L443" s="147">
        <f>'F13-Year(n+1)'!Q453</f>
        <v>0</v>
      </c>
      <c r="M443" s="147">
        <f>'F13-Year(n+2)'!Q452</f>
        <v>0</v>
      </c>
      <c r="N443" s="147">
        <f>'F13-Year(n+3)'!Q452</f>
        <v>0</v>
      </c>
      <c r="O443" s="147">
        <f>'F13-Year(n+4)'!Q452</f>
        <v>0</v>
      </c>
      <c r="P443" s="147">
        <f>'F13-Year(n+5)'!Q452</f>
        <v>0</v>
      </c>
    </row>
    <row r="444" spans="3:16">
      <c r="C444" s="55"/>
      <c r="D444" s="55"/>
      <c r="E444" s="147"/>
      <c r="F444" s="752">
        <f>'F13-Year(n-1)'!Q444</f>
        <v>0</v>
      </c>
      <c r="G444" s="147"/>
      <c r="H444" s="147"/>
      <c r="I444" s="147">
        <f>SUM('F13-Year(n)'!E441:J441)</f>
        <v>0</v>
      </c>
      <c r="J444" s="147">
        <f>SUM('F13-Year(n)'!K441:P441)</f>
        <v>0</v>
      </c>
      <c r="K444" s="147">
        <f t="shared" si="22"/>
        <v>0</v>
      </c>
      <c r="L444" s="147">
        <f>'F13-Year(n+1)'!Q454</f>
        <v>0</v>
      </c>
      <c r="M444" s="147">
        <f>'F13-Year(n+2)'!Q453</f>
        <v>0</v>
      </c>
      <c r="N444" s="147">
        <f>'F13-Year(n+3)'!Q453</f>
        <v>0</v>
      </c>
      <c r="O444" s="147">
        <f>'F13-Year(n+4)'!Q453</f>
        <v>0</v>
      </c>
      <c r="P444" s="147">
        <f>'F13-Year(n+5)'!Q453</f>
        <v>0</v>
      </c>
    </row>
    <row r="445" ht="15" spans="3:16">
      <c r="C445" s="44" t="s">
        <v>399</v>
      </c>
      <c r="D445" s="45"/>
      <c r="E445" s="316">
        <f>SUM(E438:E444)</f>
        <v>499.893135</v>
      </c>
      <c r="F445" s="316">
        <f>SUM(F438:F444)</f>
        <v>512.102093232587</v>
      </c>
      <c r="G445" s="316">
        <f>F445-E445</f>
        <v>12.2089582325865</v>
      </c>
      <c r="H445" s="316">
        <f>SUM(H438:H444)</f>
        <v>660.14727171</v>
      </c>
      <c r="I445" s="316">
        <f>SUM(I438:I444)</f>
        <v>681.20159713458</v>
      </c>
      <c r="J445" s="316">
        <f>SUM(J438:J444)</f>
        <v>581.093417739936</v>
      </c>
      <c r="K445" s="316">
        <f t="shared" si="22"/>
        <v>1262.29501487452</v>
      </c>
      <c r="L445" s="316">
        <f>'F13-Year(n+1)'!Q455</f>
        <v>357.429090324755</v>
      </c>
      <c r="M445" s="316">
        <f>'F13-Year(n+2)'!Q454</f>
        <v>325.077247090643</v>
      </c>
      <c r="N445" s="316">
        <f>'F13-Year(n+3)'!Q454</f>
        <v>343.934825640481</v>
      </c>
      <c r="O445" s="316">
        <f>'F13-Year(n+4)'!Q454</f>
        <v>369.252174705557</v>
      </c>
      <c r="P445" s="316">
        <f>'F13-Year(n+5)'!Q454</f>
        <v>415.519818039139</v>
      </c>
    </row>
    <row r="446" ht="15" spans="3:16">
      <c r="C446" s="663" t="s">
        <v>400</v>
      </c>
      <c r="D446" s="676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</row>
    <row r="447" spans="3:16">
      <c r="C447" s="55" t="s">
        <v>401</v>
      </c>
      <c r="D447" s="55" t="s">
        <v>401</v>
      </c>
      <c r="E447" s="147">
        <f>'[47]PP Cost'!K133</f>
        <v>624.607995</v>
      </c>
      <c r="F447" s="752">
        <f>'F13-Year(n-1)'!Q447</f>
        <v>891.7119527372</v>
      </c>
      <c r="G447" s="147"/>
      <c r="H447" s="147">
        <f>'[48]PP Cost'!K139</f>
        <v>734.1317434</v>
      </c>
      <c r="I447" s="147">
        <f>SUM('F13-Year(n)'!E444:J444)+SUM('F13-Year(n)'!E614:J614)</f>
        <v>1069.81476969595</v>
      </c>
      <c r="J447" s="147">
        <f>SUM('F13-Year(n)'!K444:P444)+SUM('F13-Year(n)'!K614:P614)</f>
        <v>1127.0578639802</v>
      </c>
      <c r="K447" s="147">
        <f t="shared" ref="K447:K455" si="23">I447+J447</f>
        <v>2196.87263367615</v>
      </c>
      <c r="L447" s="147">
        <f>'F13-Year(n+1)'!Q457</f>
        <v>1436.08828129538</v>
      </c>
      <c r="M447" s="147">
        <f>'F13-Year(n+2)'!Q456</f>
        <v>1358.17965222747</v>
      </c>
      <c r="N447" s="147">
        <f>'F13-Year(n+3)'!Q456</f>
        <v>1705.64253440085</v>
      </c>
      <c r="O447" s="147">
        <f>'F13-Year(n+4)'!Q456</f>
        <v>2669.67669383946</v>
      </c>
      <c r="P447" s="147">
        <f>'F13-Year(n+5)'!Q456</f>
        <v>3096.51553222863</v>
      </c>
    </row>
    <row r="448" spans="3:16">
      <c r="C448" s="55" t="s">
        <v>402</v>
      </c>
      <c r="D448" s="55" t="s">
        <v>402</v>
      </c>
      <c r="E448" s="147">
        <f>'[47]PP Cost'!K134</f>
        <v>224.394275</v>
      </c>
      <c r="F448" s="752">
        <f>'F13-Year(n-1)'!Q448</f>
        <v>216.5118019126</v>
      </c>
      <c r="G448" s="147"/>
      <c r="H448" s="147">
        <f>'[48]PP Cost'!K140</f>
        <v>239.93609781</v>
      </c>
      <c r="I448" s="147">
        <f>SUM('F13-Year(n)'!E445:J445)</f>
        <v>0</v>
      </c>
      <c r="J448" s="147">
        <f>SUM('F13-Year(n)'!K445:P445)</f>
        <v>0</v>
      </c>
      <c r="K448" s="147">
        <f t="shared" si="23"/>
        <v>0</v>
      </c>
      <c r="L448" s="147">
        <f>'F13-Year(n+1)'!Q458</f>
        <v>0</v>
      </c>
      <c r="M448" s="147">
        <f>'F13-Year(n+2)'!Q457</f>
        <v>0</v>
      </c>
      <c r="N448" s="147">
        <f>'F13-Year(n+3)'!Q457</f>
        <v>0</v>
      </c>
      <c r="O448" s="147">
        <f>'F13-Year(n+4)'!Q457</f>
        <v>0</v>
      </c>
      <c r="P448" s="147">
        <f>'F13-Year(n+5)'!Q457</f>
        <v>0</v>
      </c>
    </row>
    <row r="449" spans="3:16">
      <c r="C449" s="55" t="s">
        <v>403</v>
      </c>
      <c r="D449" s="55" t="s">
        <v>403</v>
      </c>
      <c r="E449" s="147">
        <f>'[47]PP Cost'!K135</f>
        <v>0</v>
      </c>
      <c r="F449" s="752">
        <f>'F13-Year(n-1)'!Q449</f>
        <v>0</v>
      </c>
      <c r="G449" s="147"/>
      <c r="H449" s="147"/>
      <c r="I449" s="147">
        <f>SUM('F13-Year(n)'!E446:J446)</f>
        <v>0</v>
      </c>
      <c r="J449" s="147">
        <f>SUM('F13-Year(n)'!K446:P446)</f>
        <v>0</v>
      </c>
      <c r="K449" s="147">
        <f t="shared" si="23"/>
        <v>0</v>
      </c>
      <c r="L449" s="147">
        <f>'F13-Year(n+1)'!Q459</f>
        <v>0</v>
      </c>
      <c r="M449" s="147">
        <f>'F13-Year(n+2)'!Q458</f>
        <v>0</v>
      </c>
      <c r="N449" s="147">
        <f>'F13-Year(n+3)'!Q458</f>
        <v>0</v>
      </c>
      <c r="O449" s="147">
        <f>'F13-Year(n+4)'!Q458</f>
        <v>0</v>
      </c>
      <c r="P449" s="147">
        <f>'F13-Year(n+5)'!Q458</f>
        <v>0</v>
      </c>
    </row>
    <row r="450" spans="3:16">
      <c r="C450" s="55"/>
      <c r="D450" s="55"/>
      <c r="E450" s="147"/>
      <c r="F450" s="752">
        <f>'F13-Year(n-1)'!Q450</f>
        <v>0</v>
      </c>
      <c r="G450" s="147"/>
      <c r="H450" s="147"/>
      <c r="I450" s="147">
        <f>SUM('F13-Year(n)'!E447:J447)</f>
        <v>0</v>
      </c>
      <c r="J450" s="147">
        <f>SUM('F13-Year(n)'!K447:P447)</f>
        <v>0</v>
      </c>
      <c r="K450" s="147">
        <f t="shared" si="23"/>
        <v>0</v>
      </c>
      <c r="L450" s="147">
        <f>'F13-Year(n+1)'!Q460</f>
        <v>0</v>
      </c>
      <c r="M450" s="147">
        <f>'F13-Year(n+2)'!Q459</f>
        <v>0</v>
      </c>
      <c r="N450" s="147">
        <f>'F13-Year(n+3)'!Q459</f>
        <v>0</v>
      </c>
      <c r="O450" s="147">
        <f>'F13-Year(n+4)'!Q459</f>
        <v>0</v>
      </c>
      <c r="P450" s="147">
        <f>'F13-Year(n+5)'!Q459</f>
        <v>0</v>
      </c>
    </row>
    <row r="451" spans="3:16">
      <c r="C451" s="55"/>
      <c r="D451" s="55"/>
      <c r="E451" s="147"/>
      <c r="F451" s="752">
        <f>'F13-Year(n-1)'!Q451</f>
        <v>0</v>
      </c>
      <c r="G451" s="147"/>
      <c r="H451" s="147"/>
      <c r="I451" s="147">
        <f>SUM('F13-Year(n)'!E448:J448)</f>
        <v>0</v>
      </c>
      <c r="J451" s="147">
        <f>SUM('F13-Year(n)'!K448:P448)</f>
        <v>0</v>
      </c>
      <c r="K451" s="147">
        <f t="shared" si="23"/>
        <v>0</v>
      </c>
      <c r="L451" s="147">
        <f>'F13-Year(n+1)'!Q461</f>
        <v>0</v>
      </c>
      <c r="M451" s="147">
        <f>'F13-Year(n+2)'!Q460</f>
        <v>0</v>
      </c>
      <c r="N451" s="147">
        <f>'F13-Year(n+3)'!Q460</f>
        <v>0</v>
      </c>
      <c r="O451" s="147">
        <f>'F13-Year(n+4)'!Q460</f>
        <v>0</v>
      </c>
      <c r="P451" s="147">
        <f>'F13-Year(n+5)'!Q460</f>
        <v>0</v>
      </c>
    </row>
    <row r="452" spans="3:16">
      <c r="C452" s="55"/>
      <c r="D452" s="55"/>
      <c r="E452" s="147"/>
      <c r="F452" s="752">
        <f>'F13-Year(n-1)'!Q452</f>
        <v>0</v>
      </c>
      <c r="G452" s="147"/>
      <c r="H452" s="147"/>
      <c r="I452" s="147">
        <f>SUM('F13-Year(n)'!E449:J449)</f>
        <v>0</v>
      </c>
      <c r="J452" s="147">
        <f>SUM('F13-Year(n)'!K449:P449)</f>
        <v>0</v>
      </c>
      <c r="K452" s="147">
        <f t="shared" si="23"/>
        <v>0</v>
      </c>
      <c r="L452" s="147">
        <f>'F13-Year(n+1)'!Q462</f>
        <v>0</v>
      </c>
      <c r="M452" s="147">
        <f>'F13-Year(n+2)'!Q461</f>
        <v>0</v>
      </c>
      <c r="N452" s="147">
        <f>'F13-Year(n+3)'!Q461</f>
        <v>0</v>
      </c>
      <c r="O452" s="147">
        <f>'F13-Year(n+4)'!Q461</f>
        <v>0</v>
      </c>
      <c r="P452" s="147">
        <f>'F13-Year(n+5)'!Q461</f>
        <v>0</v>
      </c>
    </row>
    <row r="453" spans="3:16">
      <c r="C453" s="55"/>
      <c r="D453" s="55"/>
      <c r="E453" s="147"/>
      <c r="F453" s="752">
        <f>'F13-Year(n-1)'!Q453</f>
        <v>0</v>
      </c>
      <c r="G453" s="147"/>
      <c r="H453" s="147"/>
      <c r="I453" s="147">
        <f>SUM('F13-Year(n)'!E450:J450)</f>
        <v>0</v>
      </c>
      <c r="J453" s="147">
        <f>SUM('F13-Year(n)'!K450:P450)</f>
        <v>0</v>
      </c>
      <c r="K453" s="147">
        <f t="shared" si="23"/>
        <v>0</v>
      </c>
      <c r="L453" s="147">
        <f>'F13-Year(n+1)'!Q463</f>
        <v>0</v>
      </c>
      <c r="M453" s="147">
        <f>'F13-Year(n+2)'!Q462</f>
        <v>0</v>
      </c>
      <c r="N453" s="147">
        <f>'F13-Year(n+3)'!Q462</f>
        <v>0</v>
      </c>
      <c r="O453" s="147">
        <f>'F13-Year(n+4)'!Q462</f>
        <v>0</v>
      </c>
      <c r="P453" s="147">
        <f>'F13-Year(n+5)'!Q462</f>
        <v>0</v>
      </c>
    </row>
    <row r="454" spans="3:16">
      <c r="C454" s="55"/>
      <c r="D454" s="55"/>
      <c r="E454" s="147"/>
      <c r="F454" s="752">
        <f>'F13-Year(n-1)'!Q454</f>
        <v>0</v>
      </c>
      <c r="G454" s="147"/>
      <c r="H454" s="147"/>
      <c r="I454" s="147">
        <f>SUM('F13-Year(n)'!E451:J451)</f>
        <v>0</v>
      </c>
      <c r="J454" s="147">
        <f>SUM('F13-Year(n)'!K451:P451)</f>
        <v>0</v>
      </c>
      <c r="K454" s="147">
        <f t="shared" si="23"/>
        <v>0</v>
      </c>
      <c r="L454" s="147">
        <f>'F13-Year(n+1)'!Q464</f>
        <v>0</v>
      </c>
      <c r="M454" s="147">
        <f>'F13-Year(n+2)'!Q463</f>
        <v>0</v>
      </c>
      <c r="N454" s="147">
        <f>'F13-Year(n+3)'!Q463</f>
        <v>0</v>
      </c>
      <c r="O454" s="147">
        <f>'F13-Year(n+4)'!Q463</f>
        <v>0</v>
      </c>
      <c r="P454" s="147">
        <f>'F13-Year(n+5)'!Q463</f>
        <v>0</v>
      </c>
    </row>
    <row r="455" ht="15" spans="3:16">
      <c r="C455" s="44" t="s">
        <v>404</v>
      </c>
      <c r="D455" s="45"/>
      <c r="E455" s="316">
        <f>SUM(E447:E454)</f>
        <v>849.00227</v>
      </c>
      <c r="F455" s="316">
        <f>SUM(F447:F454)</f>
        <v>1108.2237546498</v>
      </c>
      <c r="G455" s="316">
        <f>F455-E455</f>
        <v>259.2214846498</v>
      </c>
      <c r="H455" s="316">
        <f>SUM(H447:H454)</f>
        <v>974.06784121</v>
      </c>
      <c r="I455" s="316">
        <f>SUM(I447:I454)</f>
        <v>1069.81476969595</v>
      </c>
      <c r="J455" s="316">
        <f>SUM(J447:J454)</f>
        <v>1127.0578639802</v>
      </c>
      <c r="K455" s="316">
        <f t="shared" si="23"/>
        <v>2196.87263367615</v>
      </c>
      <c r="L455" s="316">
        <f>'F13-Year(n+1)'!Q465</f>
        <v>1436.08828129538</v>
      </c>
      <c r="M455" s="316">
        <f>'F13-Year(n+2)'!Q464</f>
        <v>1358.17965222747</v>
      </c>
      <c r="N455" s="316">
        <f>'F13-Year(n+3)'!Q464</f>
        <v>1705.64253440085</v>
      </c>
      <c r="O455" s="316">
        <f>'F13-Year(n+4)'!Q464</f>
        <v>2669.67669383946</v>
      </c>
      <c r="P455" s="316">
        <f>'F13-Year(n+5)'!Q464</f>
        <v>3096.51553222863</v>
      </c>
    </row>
    <row r="456" ht="15" spans="3:16">
      <c r="C456" s="663" t="s">
        <v>405</v>
      </c>
      <c r="D456" s="676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</row>
    <row r="457" spans="3:16">
      <c r="C457" s="55"/>
      <c r="D457" s="55" t="s">
        <v>406</v>
      </c>
      <c r="E457" s="147">
        <f>'[47]PP Cost'!K119</f>
        <v>46.36</v>
      </c>
      <c r="F457" s="752">
        <f>'F13-Year(n-1)'!Q457</f>
        <v>13.1652054581448</v>
      </c>
      <c r="G457" s="147"/>
      <c r="H457" s="147">
        <f>'[48]PP Cost'!K123</f>
        <v>0</v>
      </c>
      <c r="I457" s="147">
        <f>SUM('F13-Year(n)'!E454:J454)</f>
        <v>0</v>
      </c>
      <c r="J457" s="147">
        <f>SUM('F13-Year(n)'!K454:P454)</f>
        <v>0</v>
      </c>
      <c r="K457" s="147">
        <f t="shared" ref="K457:K481" si="24">I457+J457</f>
        <v>0</v>
      </c>
      <c r="L457" s="147">
        <f>'F13-Year(n+1)'!Q467</f>
        <v>0.25324</v>
      </c>
      <c r="M457" s="147" t="e">
        <f>'F13-Year(n+2)'!Q466</f>
        <v>#VALUE!</v>
      </c>
      <c r="N457" s="147">
        <f>'F13-Year(n+3)'!Q466</f>
        <v>0.3755</v>
      </c>
      <c r="O457" s="147">
        <f>'F13-Year(n+4)'!Q466</f>
        <v>0.3755</v>
      </c>
      <c r="P457" s="147">
        <f>'F13-Year(n+5)'!Q466</f>
        <v>0.3755</v>
      </c>
    </row>
    <row r="458" spans="3:16">
      <c r="C458" s="55"/>
      <c r="D458" s="55" t="s">
        <v>407</v>
      </c>
      <c r="E458" s="147">
        <f>'[47]PP Cost'!K120</f>
        <v>6.87</v>
      </c>
      <c r="F458" s="752">
        <f>'F13-Year(n-1)'!Q458</f>
        <v>49.53786471767</v>
      </c>
      <c r="G458" s="147"/>
      <c r="H458" s="147">
        <f>'[48]PP Cost'!K124</f>
        <v>24.05</v>
      </c>
      <c r="I458" s="147">
        <f>SUM('F13-Year(n)'!E455:J455)</f>
        <v>0</v>
      </c>
      <c r="J458" s="147">
        <f>SUM('F13-Year(n)'!K455:P455)</f>
        <v>0</v>
      </c>
      <c r="K458" s="147">
        <f t="shared" si="24"/>
        <v>0</v>
      </c>
      <c r="L458" s="147">
        <f>'F13-Year(n+1)'!Q468</f>
        <v>0</v>
      </c>
      <c r="M458" s="147">
        <f>'F13-Year(n+2)'!Q467</f>
        <v>0</v>
      </c>
      <c r="N458" s="147">
        <f>'F13-Year(n+3)'!Q467</f>
        <v>0</v>
      </c>
      <c r="O458" s="147">
        <f>'F13-Year(n+4)'!Q467</f>
        <v>0</v>
      </c>
      <c r="P458" s="147">
        <f>'F13-Year(n+5)'!Q467</f>
        <v>0</v>
      </c>
    </row>
    <row r="459" spans="3:16">
      <c r="C459" s="55"/>
      <c r="D459" s="55" t="s">
        <v>408</v>
      </c>
      <c r="E459" s="147">
        <f>'[47]PP Cost'!K121</f>
        <v>0</v>
      </c>
      <c r="F459" s="752">
        <f>'F13-Year(n-1)'!Q459</f>
        <v>0</v>
      </c>
      <c r="G459" s="147"/>
      <c r="H459" s="147">
        <f>'[48]PP Cost'!K125</f>
        <v>0</v>
      </c>
      <c r="I459" s="147">
        <f>SUM('F13-Year(n)'!E456:J456)</f>
        <v>0</v>
      </c>
      <c r="J459" s="147">
        <f>SUM('F13-Year(n)'!K456:P456)</f>
        <v>0</v>
      </c>
      <c r="K459" s="147">
        <f t="shared" si="24"/>
        <v>0</v>
      </c>
      <c r="L459" s="147">
        <f>'F13-Year(n+1)'!Q469</f>
        <v>80.962547996033</v>
      </c>
      <c r="M459" s="147" t="e">
        <f>'F13-Year(n+2)'!Q468</f>
        <v>#REF!</v>
      </c>
      <c r="N459" s="147">
        <f>'F13-Year(n+3)'!Q468</f>
        <v>0</v>
      </c>
      <c r="O459" s="147">
        <f>'F13-Year(n+4)'!Q468</f>
        <v>84.9101928970887</v>
      </c>
      <c r="P459" s="147">
        <f>'F13-Year(n+5)'!Q468</f>
        <v>88.9641614638788</v>
      </c>
    </row>
    <row r="460" spans="3:16">
      <c r="C460" s="55"/>
      <c r="D460" s="55" t="s">
        <v>409</v>
      </c>
      <c r="E460" s="147">
        <f>'[47]PP Cost'!K122</f>
        <v>24.82</v>
      </c>
      <c r="F460" s="752">
        <f>'F13-Year(n-1)'!Q460</f>
        <v>-0.2228549</v>
      </c>
      <c r="G460" s="147"/>
      <c r="H460" s="147">
        <f>'[48]PP Cost'!K126</f>
        <v>19.95</v>
      </c>
      <c r="I460" s="147">
        <f>SUM('F13-Year(n)'!E457:J457)</f>
        <v>0</v>
      </c>
      <c r="J460" s="147">
        <f>SUM('F13-Year(n)'!K457:P457)</f>
        <v>0</v>
      </c>
      <c r="K460" s="147">
        <f t="shared" si="24"/>
        <v>0</v>
      </c>
      <c r="L460" s="147">
        <f>'F13-Year(n+1)'!Q470</f>
        <v>23.0877311642015</v>
      </c>
      <c r="M460" s="147" t="e">
        <f>'F13-Year(n+2)'!Q469</f>
        <v>#REF!</v>
      </c>
      <c r="N460" s="147">
        <f>'F13-Year(n+3)'!Q469</f>
        <v>0</v>
      </c>
      <c r="O460" s="147">
        <f>'F13-Year(n+4)'!Q469</f>
        <v>24.2134635733615</v>
      </c>
      <c r="P460" s="147">
        <f>'F13-Year(n+5)'!Q469</f>
        <v>25.3695158312865</v>
      </c>
    </row>
    <row r="461" spans="3:16">
      <c r="C461" s="55"/>
      <c r="D461" s="55" t="s">
        <v>410</v>
      </c>
      <c r="E461" s="147">
        <f>'[47]PP Cost'!K123</f>
        <v>0</v>
      </c>
      <c r="F461" s="752">
        <f>'F13-Year(n-1)'!Q461</f>
        <v>0</v>
      </c>
      <c r="G461" s="147"/>
      <c r="H461" s="147">
        <f>'[48]PP Cost'!K127</f>
        <v>0</v>
      </c>
      <c r="I461" s="147">
        <f>SUM('F13-Year(n)'!E458:J458)</f>
        <v>0</v>
      </c>
      <c r="J461" s="147">
        <f>SUM('F13-Year(n)'!K458:P458)</f>
        <v>0</v>
      </c>
      <c r="K461" s="147">
        <f t="shared" si="24"/>
        <v>0</v>
      </c>
      <c r="L461" s="147">
        <f>'F13-Year(n+1)'!Q471</f>
        <v>120.55347475983</v>
      </c>
      <c r="M461" s="147" t="e">
        <f>'F13-Year(n+2)'!Q470</f>
        <v>#VALUE!</v>
      </c>
      <c r="N461" s="147">
        <f>'F13-Year(n+3)'!Q470</f>
        <v>0</v>
      </c>
      <c r="O461" s="147">
        <f>'F13-Year(n+4)'!Q470</f>
        <v>115.829404496222</v>
      </c>
      <c r="P461" s="147">
        <f>'F13-Year(n+5)'!Q470</f>
        <v>118.32584344937</v>
      </c>
    </row>
    <row r="462" spans="3:16">
      <c r="C462" s="55"/>
      <c r="D462" s="55" t="s">
        <v>368</v>
      </c>
      <c r="E462" s="147">
        <f>'[47]PP Cost'!K124</f>
        <v>0</v>
      </c>
      <c r="F462" s="752">
        <f>'F13-Year(n-1)'!Q462</f>
        <v>0.208072267018896</v>
      </c>
      <c r="G462" s="147"/>
      <c r="H462" s="147">
        <f>'[48]PP Cost'!K128</f>
        <v>0.31</v>
      </c>
      <c r="I462" s="147">
        <f>SUM('F13-Year(n)'!E459:J459)</f>
        <v>0</v>
      </c>
      <c r="J462" s="147">
        <f>SUM('F13-Year(n)'!K459:P459)</f>
        <v>0</v>
      </c>
      <c r="K462" s="147">
        <f t="shared" si="24"/>
        <v>0</v>
      </c>
      <c r="L462" s="147">
        <f>'F13-Year(n+1)'!Q472</f>
        <v>0.11819225915493</v>
      </c>
      <c r="M462" s="147">
        <f>'F13-Year(n+2)'!Q471</f>
        <v>0.0484949154929578</v>
      </c>
      <c r="N462" s="147">
        <f>'F13-Year(n+3)'!Q471</f>
        <v>0.0484949154929578</v>
      </c>
      <c r="O462" s="147">
        <f>'F13-Year(n+4)'!Q471</f>
        <v>0.0484949154929577</v>
      </c>
      <c r="P462" s="147">
        <f>'F13-Year(n+5)'!Q471</f>
        <v>0.0484949154929577</v>
      </c>
    </row>
    <row r="463" spans="3:16">
      <c r="C463" s="55"/>
      <c r="D463" s="55" t="s">
        <v>411</v>
      </c>
      <c r="E463" s="147">
        <f>'[47]PP Cost'!K125</f>
        <v>1017.83</v>
      </c>
      <c r="F463" s="752">
        <f>'F13-Year(n-1)'!Q463</f>
        <v>927.311162321463</v>
      </c>
      <c r="G463" s="147"/>
      <c r="H463" s="147">
        <f>'[48]PP Cost'!K129</f>
        <v>907.35</v>
      </c>
      <c r="I463" s="147">
        <f>SUM('F13-Year(n)'!E460:J460)</f>
        <v>0</v>
      </c>
      <c r="J463" s="147">
        <f>SUM('F13-Year(n)'!K460:P460)</f>
        <v>0</v>
      </c>
      <c r="K463" s="147">
        <f t="shared" si="24"/>
        <v>0</v>
      </c>
      <c r="L463" s="147">
        <f>'F13-Year(n+1)'!Q473</f>
        <v>2655.20729743284</v>
      </c>
      <c r="M463" s="147">
        <f>'F13-Year(n+2)'!Q472</f>
        <v>2476.05295219342</v>
      </c>
      <c r="N463" s="147">
        <f>'F13-Year(n+3)'!Q472</f>
        <v>3171.28532629762</v>
      </c>
      <c r="O463" s="147">
        <f>'F13-Year(n+4)'!Q472</f>
        <v>3227.17468613232</v>
      </c>
      <c r="P463" s="147">
        <f>'F13-Year(n+5)'!Q472</f>
        <v>3286.77616058794</v>
      </c>
    </row>
    <row r="464" spans="3:16">
      <c r="C464" s="55"/>
      <c r="D464" s="55" t="s">
        <v>412</v>
      </c>
      <c r="E464" s="147">
        <f>'[47]PP Cost'!K126</f>
        <v>26.69</v>
      </c>
      <c r="F464" s="752">
        <f>'F13-Year(n-1)'!Q464</f>
        <v>115.84117681833</v>
      </c>
      <c r="G464" s="147"/>
      <c r="H464" s="147">
        <f>'[48]PP Cost'!K130</f>
        <v>11.72</v>
      </c>
      <c r="I464" s="147">
        <f>SUM('F13-Year(n)'!E461:J461)</f>
        <v>0</v>
      </c>
      <c r="J464" s="147">
        <f>SUM('F13-Year(n)'!K461:P461)</f>
        <v>0</v>
      </c>
      <c r="K464" s="147">
        <f t="shared" si="24"/>
        <v>0</v>
      </c>
      <c r="L464" s="147">
        <f>'F13-Year(n+1)'!Q474</f>
        <v>77.7373380300347</v>
      </c>
      <c r="M464" s="147">
        <f>'F13-Year(n+2)'!Q473</f>
        <v>72.1221298571611</v>
      </c>
      <c r="N464" s="147">
        <f>'F13-Year(n+3)'!Q473</f>
        <v>92.3727628339831</v>
      </c>
      <c r="O464" s="147">
        <f>'F13-Year(n+4)'!Q473</f>
        <v>94.0007004207221</v>
      </c>
      <c r="P464" s="147">
        <f>'F13-Year(n+5)'!Q473</f>
        <v>95.7367639716079</v>
      </c>
    </row>
    <row r="465" spans="3:16">
      <c r="C465" s="55"/>
      <c r="D465" s="55" t="s">
        <v>413</v>
      </c>
      <c r="E465" s="147">
        <f>'[47]PP Cost'!K127</f>
        <v>114.46</v>
      </c>
      <c r="F465" s="752">
        <f>'F13-Year(n-1)'!Q465</f>
        <v>109.300603643302</v>
      </c>
      <c r="G465" s="147"/>
      <c r="H465" s="147">
        <f>'[48]PP Cost'!K131</f>
        <v>111.64</v>
      </c>
      <c r="I465" s="147">
        <f>SUM('F13-Year(n)'!E462:J462)</f>
        <v>0</v>
      </c>
      <c r="J465" s="147">
        <f>SUM('F13-Year(n)'!K462:P462)</f>
        <v>0</v>
      </c>
      <c r="K465" s="147">
        <f t="shared" si="24"/>
        <v>0</v>
      </c>
      <c r="L465" s="147">
        <f>'F13-Year(n+1)'!Q475</f>
        <v>309.297428262688</v>
      </c>
      <c r="M465" s="147">
        <f>'F13-Year(n+2)'!Q474</f>
        <v>286.959835704927</v>
      </c>
      <c r="N465" s="147">
        <f>'F13-Year(n+3)'!Q474</f>
        <v>367.5331399523</v>
      </c>
      <c r="O465" s="147">
        <f>'F13-Year(n+4)'!Q474</f>
        <v>374.010384916553</v>
      </c>
      <c r="P465" s="147">
        <f>'F13-Year(n+5)'!Q474</f>
        <v>380.917841924855</v>
      </c>
    </row>
    <row r="466" spans="3:16">
      <c r="C466" s="55"/>
      <c r="D466" s="55" t="s">
        <v>414</v>
      </c>
      <c r="E466" s="147">
        <f>'[47]PP Cost'!K128</f>
        <v>58.03</v>
      </c>
      <c r="F466" s="752">
        <f>'F13-Year(n-1)'!Q466</f>
        <v>49.85828280478</v>
      </c>
      <c r="G466" s="147"/>
      <c r="H466" s="147">
        <f>'[48]PP Cost'!K132</f>
        <v>66.82</v>
      </c>
      <c r="I466" s="147">
        <f>SUM('F13-Year(n)'!E463:J463)</f>
        <v>0</v>
      </c>
      <c r="J466" s="147">
        <f>SUM('F13-Year(n)'!K463:P463)</f>
        <v>0</v>
      </c>
      <c r="K466" s="147">
        <f t="shared" si="24"/>
        <v>0</v>
      </c>
      <c r="L466" s="147">
        <f>'F13-Year(n+1)'!Q476</f>
        <v>268.025839564324</v>
      </c>
      <c r="M466" s="147">
        <f>'F13-Year(n+2)'!Q475</f>
        <v>248.664082137592</v>
      </c>
      <c r="N466" s="147">
        <f>'F13-Year(n+3)'!Q475</f>
        <v>318.484608401303</v>
      </c>
      <c r="O466" s="147">
        <f>'F13-Year(n+4)'!Q475</f>
        <v>324.097443277165</v>
      </c>
      <c r="P466" s="147">
        <f>'F13-Year(n+5)'!Q475</f>
        <v>330.083076955323</v>
      </c>
    </row>
    <row r="467" spans="3:16">
      <c r="C467" s="55"/>
      <c r="D467" s="55" t="s">
        <v>415</v>
      </c>
      <c r="E467" s="147"/>
      <c r="F467" s="752">
        <f>'F13-Year(n-1)'!Q467</f>
        <v>0</v>
      </c>
      <c r="G467" s="147"/>
      <c r="H467" s="147">
        <f>'[48]PP Cost'!K133</f>
        <v>88.18</v>
      </c>
      <c r="I467" s="147">
        <f>SUM('F13-Year(n)'!E464:J464)</f>
        <v>0</v>
      </c>
      <c r="J467" s="147">
        <f>SUM('F13-Year(n)'!K464:P464)</f>
        <v>0</v>
      </c>
      <c r="K467" s="147">
        <f t="shared" si="24"/>
        <v>0</v>
      </c>
      <c r="L467" s="147">
        <f>'F13-Year(n+1)'!Q477</f>
        <v>637.850635357064</v>
      </c>
      <c r="M467" s="147">
        <f>'F13-Year(n+2)'!Q476</f>
        <v>591.782019049214</v>
      </c>
      <c r="N467" s="147">
        <f>'F13-Year(n+3)'!Q476</f>
        <v>757.944062430111</v>
      </c>
      <c r="O467" s="147">
        <f>'F13-Year(n+4)'!Q476</f>
        <v>771.301740494728</v>
      </c>
      <c r="P467" s="147">
        <f>'F13-Year(n+5)'!Q476</f>
        <v>785.546621994701</v>
      </c>
    </row>
    <row r="468" spans="3:16">
      <c r="C468" s="55"/>
      <c r="D468" s="55" t="s">
        <v>416</v>
      </c>
      <c r="E468" s="147"/>
      <c r="F468" s="752">
        <f>'F13-Year(n-1)'!Q468</f>
        <v>0</v>
      </c>
      <c r="G468" s="147"/>
      <c r="H468" s="147"/>
      <c r="I468" s="147">
        <f>SUM('F13-Year(n)'!E465:J465)</f>
        <v>0</v>
      </c>
      <c r="J468" s="147">
        <f>SUM('F13-Year(n)'!K465:P465)</f>
        <v>0</v>
      </c>
      <c r="K468" s="147">
        <f t="shared" si="24"/>
        <v>0</v>
      </c>
      <c r="L468" s="147">
        <f>'F13-Year(n+1)'!Q478</f>
        <v>0</v>
      </c>
      <c r="M468" s="147">
        <f>'F13-Year(n+2)'!Q477</f>
        <v>0</v>
      </c>
      <c r="N468" s="147">
        <f>'F13-Year(n+3)'!Q477</f>
        <v>0</v>
      </c>
      <c r="O468" s="147">
        <f>'F13-Year(n+4)'!Q477</f>
        <v>0</v>
      </c>
      <c r="P468" s="147">
        <f>'F13-Year(n+5)'!Q477</f>
        <v>0</v>
      </c>
    </row>
    <row r="469" spans="3:16">
      <c r="C469" s="55"/>
      <c r="D469" s="55" t="s">
        <v>417</v>
      </c>
      <c r="E469" s="147">
        <f>'[47]PP Cost'!$K$129</f>
        <v>0</v>
      </c>
      <c r="F469" s="752">
        <f>'F13-Year(n-1)'!Q469</f>
        <v>0</v>
      </c>
      <c r="G469" s="147"/>
      <c r="H469" s="147">
        <f>'[48]PP Cost'!$K$134</f>
        <v>208.79</v>
      </c>
      <c r="I469" s="147">
        <f>SUM('F13-Year(n)'!E466:J466)</f>
        <v>0</v>
      </c>
      <c r="J469" s="147">
        <f>SUM('F13-Year(n)'!K466:P466)</f>
        <v>0</v>
      </c>
      <c r="K469" s="147">
        <f t="shared" si="24"/>
        <v>0</v>
      </c>
      <c r="L469" s="147">
        <f>'F13-Year(n+1)'!Q479</f>
        <v>779.653685212287</v>
      </c>
      <c r="M469" s="147">
        <f>'F13-Year(n+2)'!Q478</f>
        <v>723.349140255951</v>
      </c>
      <c r="N469" s="147">
        <f>'F13-Year(n+3)'!Q478</f>
        <v>926.452930762889</v>
      </c>
      <c r="O469" s="147">
        <f>'F13-Year(n+4)'!Q478</f>
        <v>942.780336180479</v>
      </c>
      <c r="P469" s="147">
        <f>'F13-Year(n+5)'!Q478</f>
        <v>960.192191313571</v>
      </c>
    </row>
    <row r="470" spans="3:16">
      <c r="C470" s="55"/>
      <c r="D470" s="55" t="s">
        <v>418</v>
      </c>
      <c r="E470" s="147"/>
      <c r="F470" s="752">
        <f>'F13-Year(n-1)'!Q470</f>
        <v>0</v>
      </c>
      <c r="G470" s="147"/>
      <c r="H470" s="147">
        <f>'[48]PP Cost'!$K$135</f>
        <v>148.44</v>
      </c>
      <c r="I470" s="147">
        <f>SUM('F13-Year(n)'!E467:J467)</f>
        <v>0</v>
      </c>
      <c r="J470" s="147">
        <f>SUM('F13-Year(n)'!K467:P467)</f>
        <v>0</v>
      </c>
      <c r="K470" s="147">
        <f t="shared" si="24"/>
        <v>0</v>
      </c>
      <c r="L470" s="147">
        <f>'F13-Year(n+1)'!Q480</f>
        <v>399.002818546492</v>
      </c>
      <c r="M470" s="147">
        <f>'F13-Year(n+2)'!Q479</f>
        <v>370.177244105538</v>
      </c>
      <c r="N470" s="147">
        <f>'F13-Year(n+3)'!Q479</f>
        <v>474.116541538923</v>
      </c>
      <c r="O470" s="147">
        <f>'F13-Year(n+4)'!Q479</f>
        <v>482.472166235925</v>
      </c>
      <c r="P470" s="147">
        <f>'F13-Year(n+5)'!Q479</f>
        <v>491.382763054568</v>
      </c>
    </row>
    <row r="471" spans="3:16">
      <c r="C471" s="55"/>
      <c r="D471" s="687" t="s">
        <v>419</v>
      </c>
      <c r="E471" s="147"/>
      <c r="F471" s="752">
        <f>'F13-Year(n-1)'!Q471</f>
        <v>13.0897319066408</v>
      </c>
      <c r="G471" s="147"/>
      <c r="H471" s="147"/>
      <c r="I471" s="147">
        <f>SUM('F13-Year(n)'!E468:J468)</f>
        <v>0</v>
      </c>
      <c r="J471" s="147">
        <f>SUM('F13-Year(n)'!K468:P468)</f>
        <v>0</v>
      </c>
      <c r="K471" s="147">
        <f t="shared" si="24"/>
        <v>0</v>
      </c>
      <c r="L471" s="147">
        <f>'F13-Year(n+1)'!Q481</f>
        <v>0</v>
      </c>
      <c r="M471" s="147">
        <f>'F13-Year(n+2)'!Q480</f>
        <v>0</v>
      </c>
      <c r="N471" s="147">
        <f>'F13-Year(n+3)'!Q480</f>
        <v>0</v>
      </c>
      <c r="O471" s="147">
        <f>'F13-Year(n+4)'!Q480</f>
        <v>0</v>
      </c>
      <c r="P471" s="147">
        <f>'F13-Year(n+5)'!Q480</f>
        <v>0</v>
      </c>
    </row>
    <row r="472" spans="3:16">
      <c r="C472" s="55"/>
      <c r="D472" s="687" t="s">
        <v>420</v>
      </c>
      <c r="E472" s="147"/>
      <c r="F472" s="752">
        <f>'F13-Year(n-1)'!Q472</f>
        <v>23.1371561343</v>
      </c>
      <c r="G472" s="147"/>
      <c r="H472" s="147"/>
      <c r="I472" s="147">
        <f>SUM('F13-Year(n)'!E469:J469)</f>
        <v>0</v>
      </c>
      <c r="J472" s="147">
        <f>SUM('F13-Year(n)'!K469:P469)</f>
        <v>0</v>
      </c>
      <c r="K472" s="147">
        <f t="shared" si="24"/>
        <v>0</v>
      </c>
      <c r="L472" s="147">
        <f>'F13-Year(n+1)'!Q482</f>
        <v>0</v>
      </c>
      <c r="M472" s="147">
        <f>'F13-Year(n+2)'!Q481</f>
        <v>0</v>
      </c>
      <c r="N472" s="147">
        <f>'F13-Year(n+3)'!Q481</f>
        <v>0</v>
      </c>
      <c r="O472" s="147">
        <f>'F13-Year(n+4)'!Q481</f>
        <v>0</v>
      </c>
      <c r="P472" s="147">
        <f>'F13-Year(n+5)'!Q481</f>
        <v>0</v>
      </c>
    </row>
    <row r="473" spans="3:16">
      <c r="C473" s="55"/>
      <c r="D473" s="55" t="s">
        <v>499</v>
      </c>
      <c r="E473" s="147"/>
      <c r="F473" s="752">
        <f>'F13-Year(n-1)'!Q473</f>
        <v>0</v>
      </c>
      <c r="G473" s="147"/>
      <c r="H473" s="147"/>
      <c r="I473" s="147">
        <f>SUM('F13-Year(n)'!E470:J470)</f>
        <v>1893.18305473332</v>
      </c>
      <c r="J473" s="147">
        <f>SUM('F13-Year(n)'!K470:P470)</f>
        <v>1875.42948481906</v>
      </c>
      <c r="K473" s="147">
        <f t="shared" si="24"/>
        <v>3768.61253955237</v>
      </c>
      <c r="L473" s="147">
        <f>'F13-Year(n+1)'!Q483</f>
        <v>0</v>
      </c>
      <c r="M473" s="147">
        <f>'F13-Year(n+2)'!Q482</f>
        <v>0</v>
      </c>
      <c r="N473" s="147">
        <f>'F13-Year(n+3)'!Q482</f>
        <v>0</v>
      </c>
      <c r="O473" s="147">
        <f>'F13-Year(n+4)'!Q482</f>
        <v>0</v>
      </c>
      <c r="P473" s="147">
        <f>'F13-Year(n+5)'!Q482</f>
        <v>0</v>
      </c>
    </row>
    <row r="474" spans="3:16">
      <c r="C474" s="55"/>
      <c r="D474" s="55"/>
      <c r="E474" s="147"/>
      <c r="F474" s="752">
        <f>'F13-Year(n-1)'!Q474</f>
        <v>0</v>
      </c>
      <c r="G474" s="147"/>
      <c r="H474" s="147"/>
      <c r="I474" s="147">
        <f>SUM('F13-Year(n)'!E471:J471)</f>
        <v>0</v>
      </c>
      <c r="J474" s="147">
        <f>SUM('F13-Year(n)'!K471:P471)</f>
        <v>0</v>
      </c>
      <c r="K474" s="147">
        <f t="shared" si="24"/>
        <v>0</v>
      </c>
      <c r="L474" s="147">
        <f>'F13-Year(n+1)'!Q484</f>
        <v>0</v>
      </c>
      <c r="M474" s="147">
        <f>'F13-Year(n+2)'!Q483</f>
        <v>0</v>
      </c>
      <c r="N474" s="147">
        <f>'F13-Year(n+3)'!Q483</f>
        <v>0</v>
      </c>
      <c r="O474" s="147">
        <f>'F13-Year(n+4)'!Q483</f>
        <v>0</v>
      </c>
      <c r="P474" s="147">
        <f>'F13-Year(n+5)'!Q483</f>
        <v>0</v>
      </c>
    </row>
    <row r="475" spans="3:16">
      <c r="C475" s="55"/>
      <c r="D475" s="55"/>
      <c r="E475" s="147"/>
      <c r="F475" s="752">
        <f>'F13-Year(n-1)'!Q475</f>
        <v>0</v>
      </c>
      <c r="G475" s="147"/>
      <c r="H475" s="147"/>
      <c r="I475" s="147">
        <f>SUM('F13-Year(n)'!E472:J472)</f>
        <v>0</v>
      </c>
      <c r="J475" s="147">
        <f>SUM('F13-Year(n)'!K472:P472)</f>
        <v>0</v>
      </c>
      <c r="K475" s="147">
        <f t="shared" si="24"/>
        <v>0</v>
      </c>
      <c r="L475" s="147">
        <f>'F13-Year(n+1)'!Q485</f>
        <v>0</v>
      </c>
      <c r="M475" s="147">
        <f>'F13-Year(n+2)'!Q484</f>
        <v>0</v>
      </c>
      <c r="N475" s="147">
        <f>'F13-Year(n+3)'!Q484</f>
        <v>0</v>
      </c>
      <c r="O475" s="147">
        <f>'F13-Year(n+4)'!Q484</f>
        <v>0</v>
      </c>
      <c r="P475" s="147">
        <f>'F13-Year(n+5)'!Q484</f>
        <v>0</v>
      </c>
    </row>
    <row r="476" spans="3:16">
      <c r="C476" s="55"/>
      <c r="D476" s="55"/>
      <c r="E476" s="147"/>
      <c r="F476" s="752">
        <f>'F13-Year(n-1)'!Q476</f>
        <v>0</v>
      </c>
      <c r="G476" s="147"/>
      <c r="H476" s="147"/>
      <c r="I476" s="147">
        <f>SUM('F13-Year(n)'!E473:J473)</f>
        <v>0</v>
      </c>
      <c r="J476" s="147">
        <f>SUM('F13-Year(n)'!K473:P473)</f>
        <v>0</v>
      </c>
      <c r="K476" s="147">
        <f t="shared" si="24"/>
        <v>0</v>
      </c>
      <c r="L476" s="147">
        <f>'F13-Year(n+1)'!Q486</f>
        <v>0</v>
      </c>
      <c r="M476" s="147">
        <f>'F13-Year(n+2)'!Q485</f>
        <v>0</v>
      </c>
      <c r="N476" s="147">
        <f>'F13-Year(n+3)'!Q485</f>
        <v>0</v>
      </c>
      <c r="O476" s="147">
        <f>'F13-Year(n+4)'!Q485</f>
        <v>0</v>
      </c>
      <c r="P476" s="147">
        <f>'F13-Year(n+5)'!Q485</f>
        <v>0</v>
      </c>
    </row>
    <row r="477" ht="7" customHeight="1" spans="3:16">
      <c r="C477" s="55"/>
      <c r="D477" s="55"/>
      <c r="E477" s="147"/>
      <c r="F477" s="752">
        <f>'F13-Year(n-1)'!Q477</f>
        <v>0</v>
      </c>
      <c r="G477" s="147"/>
      <c r="H477" s="147"/>
      <c r="I477" s="147">
        <f>SUM('F13-Year(n)'!E474:J474)</f>
        <v>0</v>
      </c>
      <c r="J477" s="147">
        <f>SUM('F13-Year(n)'!K474:P474)</f>
        <v>0</v>
      </c>
      <c r="K477" s="147">
        <f t="shared" si="24"/>
        <v>0</v>
      </c>
      <c r="L477" s="147">
        <f>'F13-Year(n+1)'!Q487</f>
        <v>0</v>
      </c>
      <c r="M477" s="147">
        <f>'F13-Year(n+2)'!Q486</f>
        <v>0</v>
      </c>
      <c r="N477" s="147">
        <f>'F13-Year(n+3)'!Q486</f>
        <v>0</v>
      </c>
      <c r="O477" s="147">
        <f>'F13-Year(n+4)'!Q486</f>
        <v>0</v>
      </c>
      <c r="P477" s="147">
        <f>'F13-Year(n+5)'!Q486</f>
        <v>0</v>
      </c>
    </row>
    <row r="478" spans="3:16">
      <c r="C478" s="55"/>
      <c r="D478" s="55"/>
      <c r="E478" s="147"/>
      <c r="F478" s="752">
        <f>'F13-Year(n-1)'!Q478</f>
        <v>0</v>
      </c>
      <c r="G478" s="147"/>
      <c r="H478" s="147"/>
      <c r="I478" s="147">
        <f>SUM('F13-Year(n)'!E475:J475)</f>
        <v>0</v>
      </c>
      <c r="J478" s="147">
        <f>SUM('F13-Year(n)'!K475:P475)</f>
        <v>0</v>
      </c>
      <c r="K478" s="147">
        <f t="shared" si="24"/>
        <v>0</v>
      </c>
      <c r="L478" s="147">
        <f>'F13-Year(n+1)'!Q488</f>
        <v>0</v>
      </c>
      <c r="M478" s="147">
        <f>'F13-Year(n+2)'!Q487</f>
        <v>0</v>
      </c>
      <c r="N478" s="147">
        <f>'F13-Year(n+3)'!Q487</f>
        <v>0</v>
      </c>
      <c r="O478" s="147">
        <f>'F13-Year(n+4)'!Q487</f>
        <v>0</v>
      </c>
      <c r="P478" s="147">
        <f>'F13-Year(n+5)'!Q487</f>
        <v>0</v>
      </c>
    </row>
    <row r="479" spans="3:16">
      <c r="C479" s="55"/>
      <c r="D479" s="55"/>
      <c r="E479" s="147"/>
      <c r="F479" s="752">
        <f>'F13-Year(n-1)'!Q479</f>
        <v>0</v>
      </c>
      <c r="G479" s="147"/>
      <c r="H479" s="147"/>
      <c r="I479" s="147">
        <f>SUM('F13-Year(n)'!E476:J476)</f>
        <v>0</v>
      </c>
      <c r="J479" s="147">
        <f>SUM('F13-Year(n)'!K476:P476)</f>
        <v>0</v>
      </c>
      <c r="K479" s="147">
        <f t="shared" si="24"/>
        <v>0</v>
      </c>
      <c r="L479" s="147">
        <f>'F13-Year(n+1)'!Q489</f>
        <v>0</v>
      </c>
      <c r="M479" s="147">
        <f>'F13-Year(n+2)'!Q488</f>
        <v>0</v>
      </c>
      <c r="N479" s="147">
        <f>'F13-Year(n+3)'!Q488</f>
        <v>0</v>
      </c>
      <c r="O479" s="147">
        <f>'F13-Year(n+4)'!Q488</f>
        <v>0</v>
      </c>
      <c r="P479" s="147">
        <f>'F13-Year(n+5)'!Q488</f>
        <v>0</v>
      </c>
    </row>
    <row r="480" spans="3:16">
      <c r="C480" s="55"/>
      <c r="D480" s="55"/>
      <c r="E480" s="147"/>
      <c r="F480" s="752">
        <f>'F13-Year(n-1)'!Q480</f>
        <v>0</v>
      </c>
      <c r="G480" s="147"/>
      <c r="H480" s="147"/>
      <c r="I480" s="147">
        <f>SUM('F13-Year(n)'!E477:J477)</f>
        <v>0</v>
      </c>
      <c r="J480" s="147">
        <f>SUM('F13-Year(n)'!K477:P477)</f>
        <v>0</v>
      </c>
      <c r="K480" s="147">
        <f t="shared" si="24"/>
        <v>0</v>
      </c>
      <c r="L480" s="147">
        <f>'F13-Year(n+1)'!Q490</f>
        <v>0</v>
      </c>
      <c r="M480" s="147">
        <f>'F13-Year(n+2)'!Q489</f>
        <v>0</v>
      </c>
      <c r="N480" s="147">
        <f>'F13-Year(n+3)'!Q489</f>
        <v>0</v>
      </c>
      <c r="O480" s="147">
        <f>'F13-Year(n+4)'!Q489</f>
        <v>0</v>
      </c>
      <c r="P480" s="147">
        <f>'F13-Year(n+5)'!Q489</f>
        <v>0</v>
      </c>
    </row>
    <row r="481" ht="15" spans="3:16">
      <c r="C481" s="44" t="s">
        <v>421</v>
      </c>
      <c r="D481" s="45"/>
      <c r="E481" s="316">
        <f>SUM(E457:E480)</f>
        <v>1295.06</v>
      </c>
      <c r="F481" s="316">
        <f>SUM(F457:F480)</f>
        <v>1301.22640117165</v>
      </c>
      <c r="G481" s="316">
        <f>F481-E481</f>
        <v>6.16640117165025</v>
      </c>
      <c r="H481" s="316">
        <f>SUM(H457:H480)</f>
        <v>1587.25</v>
      </c>
      <c r="I481" s="316">
        <f>SUM(I457:I480)</f>
        <v>1893.18305473332</v>
      </c>
      <c r="J481" s="316">
        <f>SUM(J457:J480)</f>
        <v>1875.42948481906</v>
      </c>
      <c r="K481" s="316">
        <f t="shared" si="24"/>
        <v>3768.61253955237</v>
      </c>
      <c r="L481" s="316">
        <f>'F13-Year(n+1)'!Q491</f>
        <v>5351.75022858495</v>
      </c>
      <c r="M481" s="316" t="e">
        <f>'F13-Year(n+2)'!Q490</f>
        <v>#VALUE!</v>
      </c>
      <c r="N481" s="316">
        <f>'F13-Year(n+3)'!Q490</f>
        <v>6108.61336713263</v>
      </c>
      <c r="O481" s="316">
        <f>'F13-Year(n+4)'!Q490</f>
        <v>6441.21451354006</v>
      </c>
      <c r="P481" s="316">
        <f>'F13-Year(n+5)'!Q490</f>
        <v>6563.71893546259</v>
      </c>
    </row>
    <row r="482" ht="15" spans="3:16">
      <c r="C482" s="663" t="s">
        <v>422</v>
      </c>
      <c r="D482" s="676"/>
      <c r="E482" s="147"/>
      <c r="F482" s="147"/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</row>
    <row r="483" spans="3:16">
      <c r="C483" s="55"/>
      <c r="D483" s="55"/>
      <c r="E483" s="147">
        <f>'[47]PP Cost'!$K$136</f>
        <v>210.835495</v>
      </c>
      <c r="F483" s="752">
        <f>'F13-Year(n-1)'!Q483</f>
        <v>1809.20043226916</v>
      </c>
      <c r="G483" s="147"/>
      <c r="H483" s="147">
        <f>'[48]PP Cost'!$K$141</f>
        <v>154.3674737</v>
      </c>
      <c r="I483" s="147">
        <f>SUM('F13-Year(n)'!E480:J480)</f>
        <v>0</v>
      </c>
      <c r="J483" s="147">
        <f>SUM('F13-Year(n)'!K480:P480)</f>
        <v>0</v>
      </c>
      <c r="K483" s="147">
        <f t="shared" ref="K483:K507" si="25">I483+J483</f>
        <v>0</v>
      </c>
      <c r="L483" s="147">
        <v>0</v>
      </c>
      <c r="M483" s="147">
        <v>0</v>
      </c>
      <c r="N483" s="147">
        <v>0</v>
      </c>
      <c r="O483" s="147">
        <v>0</v>
      </c>
      <c r="P483" s="147">
        <v>0</v>
      </c>
    </row>
    <row r="484" spans="3:16">
      <c r="C484" s="55"/>
      <c r="D484" s="55" t="s">
        <v>520</v>
      </c>
      <c r="E484" s="147"/>
      <c r="F484" s="752">
        <f>'F13-Year(n-1)'!Q484</f>
        <v>0</v>
      </c>
      <c r="G484" s="147"/>
      <c r="H484" s="147"/>
      <c r="I484" s="147">
        <f>SUM('F13-Year(n)'!E481:J481)</f>
        <v>0</v>
      </c>
      <c r="J484" s="147">
        <f>SUM('F13-Year(n)'!K481:P481)</f>
        <v>0</v>
      </c>
      <c r="K484" s="147">
        <f t="shared" si="25"/>
        <v>0</v>
      </c>
      <c r="L484" s="147">
        <f>'F13-Year(n+1)'!Q495</f>
        <v>-2767.58097418909</v>
      </c>
      <c r="M484" s="147" t="e">
        <f>'F13-Year(n+2)'!Q493</f>
        <v>#REF!</v>
      </c>
      <c r="N484" s="147">
        <f>'F13-Year(n+3)'!Q493</f>
        <v>0</v>
      </c>
      <c r="O484" s="147">
        <f>'F13-Year(n+4)'!Q493</f>
        <v>0</v>
      </c>
      <c r="P484" s="147">
        <f>'F13-Year(n+5)'!Q493</f>
        <v>0</v>
      </c>
    </row>
    <row r="485" spans="3:16">
      <c r="C485" s="55"/>
      <c r="D485" s="55"/>
      <c r="E485" s="147"/>
      <c r="F485" s="752">
        <f>'F13-Year(n-1)'!Q485</f>
        <v>0</v>
      </c>
      <c r="G485" s="147"/>
      <c r="H485" s="147"/>
      <c r="I485" s="147">
        <f>SUM('F13-Year(n)'!E482:J482)</f>
        <v>0</v>
      </c>
      <c r="J485" s="147">
        <f>SUM('F13-Year(n)'!K482:P482)</f>
        <v>0</v>
      </c>
      <c r="K485" s="147">
        <f t="shared" si="25"/>
        <v>0</v>
      </c>
      <c r="L485" s="147">
        <f>'F13-Year(n+1)'!Q496</f>
        <v>0</v>
      </c>
      <c r="M485" s="147">
        <f>'F13-Year(n+2)'!Q494</f>
        <v>0</v>
      </c>
      <c r="N485" s="147">
        <f>'F13-Year(n+3)'!Q494</f>
        <v>0</v>
      </c>
      <c r="O485" s="147">
        <f>'F13-Year(n+4)'!Q494</f>
        <v>0</v>
      </c>
      <c r="P485" s="147">
        <f>'F13-Year(n+5)'!Q494</f>
        <v>0</v>
      </c>
    </row>
    <row r="486" spans="3:16">
      <c r="C486" s="55"/>
      <c r="D486" s="55"/>
      <c r="E486" s="147"/>
      <c r="F486" s="752">
        <f>'F13-Year(n-1)'!Q486</f>
        <v>0</v>
      </c>
      <c r="G486" s="147"/>
      <c r="H486" s="147"/>
      <c r="I486" s="147">
        <f>SUM('F13-Year(n)'!E483:J483)</f>
        <v>0</v>
      </c>
      <c r="J486" s="147">
        <f>SUM('F13-Year(n)'!K483:P483)</f>
        <v>0</v>
      </c>
      <c r="K486" s="147">
        <f t="shared" si="25"/>
        <v>0</v>
      </c>
      <c r="L486" s="147">
        <f>'F13-Year(n+1)'!Q497</f>
        <v>0</v>
      </c>
      <c r="M486" s="147">
        <f>'F13-Year(n+2)'!Q495</f>
        <v>0</v>
      </c>
      <c r="N486" s="147">
        <f>'F13-Year(n+3)'!Q495</f>
        <v>0</v>
      </c>
      <c r="O486" s="147">
        <f>'F13-Year(n+4)'!Q495</f>
        <v>0</v>
      </c>
      <c r="P486" s="147">
        <f>'F13-Year(n+5)'!Q495</f>
        <v>0</v>
      </c>
    </row>
    <row r="487" spans="3:16">
      <c r="C487" s="55"/>
      <c r="D487" s="55"/>
      <c r="E487" s="147"/>
      <c r="F487" s="752">
        <f>'F13-Year(n-1)'!Q487</f>
        <v>0</v>
      </c>
      <c r="G487" s="147"/>
      <c r="H487" s="147"/>
      <c r="I487" s="147">
        <f>SUM('F13-Year(n)'!E484:J484)</f>
        <v>0</v>
      </c>
      <c r="J487" s="147">
        <f>SUM('F13-Year(n)'!K484:P484)</f>
        <v>0</v>
      </c>
      <c r="K487" s="147">
        <f t="shared" si="25"/>
        <v>0</v>
      </c>
      <c r="L487" s="147">
        <f>'F13-Year(n+1)'!Q498</f>
        <v>0</v>
      </c>
      <c r="M487" s="147">
        <f>'F13-Year(n+2)'!Q496</f>
        <v>0</v>
      </c>
      <c r="N487" s="147">
        <f>'F13-Year(n+3)'!Q496</f>
        <v>0</v>
      </c>
      <c r="O487" s="147">
        <f>'F13-Year(n+4)'!Q496</f>
        <v>0</v>
      </c>
      <c r="P487" s="147">
        <f>'F13-Year(n+5)'!Q496</f>
        <v>0</v>
      </c>
    </row>
    <row r="488" spans="3:16">
      <c r="C488" s="55"/>
      <c r="D488" s="679" t="s">
        <v>502</v>
      </c>
      <c r="E488" s="147"/>
      <c r="F488" s="752">
        <f>'F13-Year(n-1)'!Q488</f>
        <v>1.9483549259</v>
      </c>
      <c r="G488" s="147"/>
      <c r="H488" s="147"/>
      <c r="I488" s="147">
        <f>SUM('F13-Year(n)'!E485:J485)</f>
        <v>0</v>
      </c>
      <c r="J488" s="147">
        <f>SUM('F13-Year(n)'!K485:P485)</f>
        <v>0</v>
      </c>
      <c r="K488" s="147">
        <f t="shared" si="25"/>
        <v>0</v>
      </c>
      <c r="L488" s="147">
        <f>'F13-Year(n+1)'!Q499</f>
        <v>0</v>
      </c>
      <c r="M488" s="147">
        <f>'F13-Year(n+2)'!Q497</f>
        <v>0</v>
      </c>
      <c r="N488" s="147">
        <f>'F13-Year(n+3)'!Q497</f>
        <v>0</v>
      </c>
      <c r="O488" s="147">
        <f>'F13-Year(n+4)'!Q497</f>
        <v>0</v>
      </c>
      <c r="P488" s="147">
        <f>'F13-Year(n+5)'!Q497</f>
        <v>0</v>
      </c>
    </row>
    <row r="489" spans="3:16">
      <c r="C489" s="55"/>
      <c r="D489" s="679" t="s">
        <v>503</v>
      </c>
      <c r="E489" s="147"/>
      <c r="F489" s="752">
        <f>'F13-Year(n-1)'!Q489</f>
        <v>0</v>
      </c>
      <c r="G489" s="147"/>
      <c r="H489" s="147"/>
      <c r="I489" s="147">
        <f>SUM('F13-Year(n)'!E486:J486)</f>
        <v>0</v>
      </c>
      <c r="J489" s="147">
        <f>SUM('F13-Year(n)'!K486:P486)</f>
        <v>0</v>
      </c>
      <c r="K489" s="147">
        <f t="shared" si="25"/>
        <v>0</v>
      </c>
      <c r="L489" s="147">
        <f>'F13-Year(n+1)'!Q500</f>
        <v>0</v>
      </c>
      <c r="M489" s="147">
        <f>'F13-Year(n+2)'!Q498</f>
        <v>0</v>
      </c>
      <c r="N489" s="147">
        <f>'F13-Year(n+3)'!Q498</f>
        <v>0</v>
      </c>
      <c r="O489" s="147">
        <f>'F13-Year(n+4)'!Q498</f>
        <v>0</v>
      </c>
      <c r="P489" s="147">
        <f>'F13-Year(n+5)'!Q498</f>
        <v>0</v>
      </c>
    </row>
    <row r="490" spans="3:16">
      <c r="C490" s="55"/>
      <c r="D490" s="688" t="s">
        <v>504</v>
      </c>
      <c r="E490" s="147"/>
      <c r="F490" s="752">
        <f>'F13-Year(n-1)'!Q490</f>
        <v>32.2109077555</v>
      </c>
      <c r="G490" s="147"/>
      <c r="H490" s="147"/>
      <c r="I490" s="147">
        <f>SUM('F13-Year(n)'!E487:J487)</f>
        <v>0</v>
      </c>
      <c r="J490" s="147">
        <f>SUM('F13-Year(n)'!K487:P487)</f>
        <v>0</v>
      </c>
      <c r="K490" s="147">
        <f t="shared" si="25"/>
        <v>0</v>
      </c>
      <c r="L490" s="147">
        <f>'F13-Year(n+1)'!Q501</f>
        <v>0</v>
      </c>
      <c r="M490" s="147">
        <f>'F13-Year(n+2)'!Q499</f>
        <v>0</v>
      </c>
      <c r="N490" s="147">
        <f>'F13-Year(n+3)'!Q499</f>
        <v>0</v>
      </c>
      <c r="O490" s="147">
        <f>'F13-Year(n+4)'!Q499</f>
        <v>0</v>
      </c>
      <c r="P490" s="147">
        <f>'F13-Year(n+5)'!Q499</f>
        <v>0</v>
      </c>
    </row>
    <row r="491" spans="3:16">
      <c r="C491" s="55"/>
      <c r="D491" s="679" t="s">
        <v>505</v>
      </c>
      <c r="E491" s="147"/>
      <c r="F491" s="752">
        <f>'F13-Year(n-1)'!Q491</f>
        <v>0</v>
      </c>
      <c r="G491" s="147"/>
      <c r="H491" s="147"/>
      <c r="I491" s="147">
        <f>SUM('F13-Year(n)'!E488:J488)</f>
        <v>0</v>
      </c>
      <c r="J491" s="147">
        <f>SUM('F13-Year(n)'!K488:P488)</f>
        <v>0</v>
      </c>
      <c r="K491" s="147">
        <f t="shared" si="25"/>
        <v>0</v>
      </c>
      <c r="L491" s="147">
        <f>'F13-Year(n+1)'!Q502</f>
        <v>0</v>
      </c>
      <c r="M491" s="147">
        <f>'F13-Year(n+2)'!Q500</f>
        <v>0</v>
      </c>
      <c r="N491" s="147">
        <f>'F13-Year(n+3)'!Q500</f>
        <v>0</v>
      </c>
      <c r="O491" s="147">
        <f>'F13-Year(n+4)'!Q500</f>
        <v>0</v>
      </c>
      <c r="P491" s="147">
        <f>'F13-Year(n+5)'!Q500</f>
        <v>0</v>
      </c>
    </row>
    <row r="492" spans="3:16">
      <c r="C492" s="55"/>
      <c r="D492" s="679" t="s">
        <v>506</v>
      </c>
      <c r="E492" s="147"/>
      <c r="F492" s="752">
        <f>'F13-Year(n-1)'!Q492</f>
        <v>-2.86428199695</v>
      </c>
      <c r="G492" s="147"/>
      <c r="H492" s="147"/>
      <c r="I492" s="147">
        <f>SUM('F13-Year(n)'!E489:J489)</f>
        <v>0</v>
      </c>
      <c r="J492" s="147">
        <f>SUM('F13-Year(n)'!K489:P489)</f>
        <v>0</v>
      </c>
      <c r="K492" s="147">
        <f t="shared" si="25"/>
        <v>0</v>
      </c>
      <c r="L492" s="147">
        <f>'F13-Year(n+1)'!Q503</f>
        <v>0</v>
      </c>
      <c r="M492" s="147">
        <f>'F13-Year(n+2)'!Q501</f>
        <v>0</v>
      </c>
      <c r="N492" s="147">
        <f>'F13-Year(n+3)'!Q501</f>
        <v>0</v>
      </c>
      <c r="O492" s="147">
        <f>'F13-Year(n+4)'!Q501</f>
        <v>0</v>
      </c>
      <c r="P492" s="147">
        <f>'F13-Year(n+5)'!Q501</f>
        <v>0</v>
      </c>
    </row>
    <row r="493" spans="3:16">
      <c r="C493" s="55"/>
      <c r="D493" s="679" t="s">
        <v>507</v>
      </c>
      <c r="E493" s="147"/>
      <c r="F493" s="752">
        <f>'F13-Year(n-1)'!Q493</f>
        <v>0</v>
      </c>
      <c r="G493" s="147"/>
      <c r="H493" s="147"/>
      <c r="I493" s="147">
        <f>SUM('F13-Year(n)'!E490:J490)</f>
        <v>0</v>
      </c>
      <c r="J493" s="147">
        <f>SUM('F13-Year(n)'!K490:P490)</f>
        <v>0</v>
      </c>
      <c r="K493" s="147">
        <f t="shared" si="25"/>
        <v>0</v>
      </c>
      <c r="L493" s="147">
        <f>'F13-Year(n+1)'!Q504</f>
        <v>0</v>
      </c>
      <c r="M493" s="147">
        <f>'F13-Year(n+2)'!Q502</f>
        <v>0</v>
      </c>
      <c r="N493" s="147">
        <f>'F13-Year(n+3)'!Q502</f>
        <v>0</v>
      </c>
      <c r="O493" s="147">
        <f>'F13-Year(n+4)'!Q502</f>
        <v>0</v>
      </c>
      <c r="P493" s="147">
        <f>'F13-Year(n+5)'!Q502</f>
        <v>0</v>
      </c>
    </row>
    <row r="494" spans="3:16">
      <c r="C494" s="55"/>
      <c r="D494" s="679" t="s">
        <v>508</v>
      </c>
      <c r="E494" s="147"/>
      <c r="F494" s="752">
        <f>'F13-Year(n-1)'!Q494</f>
        <v>0.5167335</v>
      </c>
      <c r="G494" s="147"/>
      <c r="H494" s="147"/>
      <c r="I494" s="147">
        <f>SUM('F13-Year(n)'!E491:J491)</f>
        <v>0</v>
      </c>
      <c r="J494" s="147">
        <f>SUM('F13-Year(n)'!K491:P491)</f>
        <v>0</v>
      </c>
      <c r="K494" s="147">
        <f t="shared" si="25"/>
        <v>0</v>
      </c>
      <c r="L494" s="147">
        <f>'F13-Year(n+1)'!Q505</f>
        <v>0</v>
      </c>
      <c r="M494" s="147">
        <f>'F13-Year(n+2)'!Q503</f>
        <v>0</v>
      </c>
      <c r="N494" s="147">
        <f>'F13-Year(n+3)'!Q503</f>
        <v>0</v>
      </c>
      <c r="O494" s="147">
        <f>'F13-Year(n+4)'!Q503</f>
        <v>0</v>
      </c>
      <c r="P494" s="147">
        <f>'F13-Year(n+5)'!Q503</f>
        <v>0</v>
      </c>
    </row>
    <row r="495" spans="3:16">
      <c r="C495" s="55"/>
      <c r="D495" s="679" t="s">
        <v>509</v>
      </c>
      <c r="E495" s="147"/>
      <c r="F495" s="752">
        <f>'F13-Year(n-1)'!Q495</f>
        <v>0</v>
      </c>
      <c r="G495" s="147"/>
      <c r="H495" s="147"/>
      <c r="I495" s="147">
        <f>SUM('F13-Year(n)'!E492:J492)</f>
        <v>0</v>
      </c>
      <c r="J495" s="147">
        <f>SUM('F13-Year(n)'!K492:P492)</f>
        <v>0</v>
      </c>
      <c r="K495" s="147">
        <f t="shared" si="25"/>
        <v>0</v>
      </c>
      <c r="L495" s="147">
        <f>'F13-Year(n+1)'!Q506</f>
        <v>0</v>
      </c>
      <c r="M495" s="147">
        <f>'F13-Year(n+2)'!Q504</f>
        <v>0</v>
      </c>
      <c r="N495" s="147">
        <f>'F13-Year(n+3)'!Q504</f>
        <v>0</v>
      </c>
      <c r="O495" s="147">
        <f>'F13-Year(n+4)'!Q504</f>
        <v>0</v>
      </c>
      <c r="P495" s="147">
        <f>'F13-Year(n+5)'!Q504</f>
        <v>0</v>
      </c>
    </row>
    <row r="496" spans="3:16">
      <c r="C496" s="55"/>
      <c r="D496" s="679" t="s">
        <v>510</v>
      </c>
      <c r="E496" s="147"/>
      <c r="F496" s="752">
        <f>'F13-Year(n-1)'!Q496</f>
        <v>0</v>
      </c>
      <c r="G496" s="147"/>
      <c r="H496" s="147"/>
      <c r="I496" s="147">
        <f>SUM('F13-Year(n)'!E493:J493)</f>
        <v>0</v>
      </c>
      <c r="J496" s="147">
        <f>SUM('F13-Year(n)'!K493:P493)</f>
        <v>0</v>
      </c>
      <c r="K496" s="147">
        <f t="shared" si="25"/>
        <v>0</v>
      </c>
      <c r="L496" s="147">
        <f>'F13-Year(n+1)'!Q507</f>
        <v>0</v>
      </c>
      <c r="M496" s="147">
        <f>'F13-Year(n+2)'!Q505</f>
        <v>0</v>
      </c>
      <c r="N496" s="147">
        <f>'F13-Year(n+3)'!Q505</f>
        <v>0</v>
      </c>
      <c r="O496" s="147">
        <f>'F13-Year(n+4)'!Q505</f>
        <v>0</v>
      </c>
      <c r="P496" s="147">
        <f>'F13-Year(n+5)'!Q505</f>
        <v>0</v>
      </c>
    </row>
    <row r="497" spans="3:16">
      <c r="C497" s="55"/>
      <c r="D497" s="679" t="s">
        <v>511</v>
      </c>
      <c r="E497" s="147"/>
      <c r="F497" s="752">
        <f>'F13-Year(n-1)'!Q497</f>
        <v>0</v>
      </c>
      <c r="G497" s="147"/>
      <c r="H497" s="147"/>
      <c r="I497" s="147">
        <f>SUM('F13-Year(n)'!E494:J494)</f>
        <v>0</v>
      </c>
      <c r="J497" s="147">
        <f>SUM('F13-Year(n)'!K494:P494)</f>
        <v>0</v>
      </c>
      <c r="K497" s="147">
        <f t="shared" si="25"/>
        <v>0</v>
      </c>
      <c r="L497" s="147">
        <f>'F13-Year(n+1)'!Q508</f>
        <v>0</v>
      </c>
      <c r="M497" s="147">
        <f>'F13-Year(n+2)'!Q506</f>
        <v>0</v>
      </c>
      <c r="N497" s="147">
        <f>'F13-Year(n+3)'!Q506</f>
        <v>0</v>
      </c>
      <c r="O497" s="147">
        <f>'F13-Year(n+4)'!Q506</f>
        <v>0</v>
      </c>
      <c r="P497" s="147">
        <f>'F13-Year(n+5)'!Q506</f>
        <v>0</v>
      </c>
    </row>
    <row r="498" spans="3:16">
      <c r="C498" s="55"/>
      <c r="D498" s="679" t="s">
        <v>512</v>
      </c>
      <c r="E498" s="147"/>
      <c r="F498" s="752">
        <f>'F13-Year(n-1)'!Q498</f>
        <v>0</v>
      </c>
      <c r="G498" s="147"/>
      <c r="H498" s="147"/>
      <c r="I498" s="147">
        <f>SUM('F13-Year(n)'!E495:J495)</f>
        <v>0</v>
      </c>
      <c r="J498" s="147">
        <f>SUM('F13-Year(n)'!K495:P495)</f>
        <v>0</v>
      </c>
      <c r="K498" s="147">
        <f t="shared" si="25"/>
        <v>0</v>
      </c>
      <c r="L498" s="147">
        <f>'F13-Year(n+1)'!Q509</f>
        <v>0</v>
      </c>
      <c r="M498" s="147">
        <f>'F13-Year(n+2)'!Q507</f>
        <v>0</v>
      </c>
      <c r="N498" s="147">
        <f>'F13-Year(n+3)'!Q507</f>
        <v>0</v>
      </c>
      <c r="O498" s="147">
        <f>'F13-Year(n+4)'!Q507</f>
        <v>0</v>
      </c>
      <c r="P498" s="147">
        <f>'F13-Year(n+5)'!Q507</f>
        <v>0</v>
      </c>
    </row>
    <row r="499" spans="3:16">
      <c r="C499" s="55"/>
      <c r="D499" s="55" t="s">
        <v>481</v>
      </c>
      <c r="E499" s="147"/>
      <c r="F499" s="752">
        <f>'F13-Year(n-1)'!Q499</f>
        <v>0</v>
      </c>
      <c r="G499" s="147"/>
      <c r="H499" s="147"/>
      <c r="I499" s="147">
        <f>SUM('F13-Year(n)'!E496:J496)</f>
        <v>2461.08243934926</v>
      </c>
      <c r="J499" s="147">
        <f>SUM('F13-Year(n)'!K496:P496)</f>
        <v>3582.04524089465</v>
      </c>
      <c r="K499" s="147">
        <f t="shared" si="25"/>
        <v>6043.12768024391</v>
      </c>
      <c r="L499" s="753">
        <f>'F13-Year(n+1)'!Q493</f>
        <v>347.778966824018</v>
      </c>
      <c r="M499" s="147" t="e">
        <f>'F13-Year(n+2)'!Q492</f>
        <v>#REF!</v>
      </c>
      <c r="N499" s="147">
        <f>'F13-Year(n+3)'!Q492</f>
        <v>492.593892357279</v>
      </c>
      <c r="O499" s="147">
        <f>'F13-Year(n+4)'!Q492</f>
        <v>1561.75343423632</v>
      </c>
      <c r="P499" s="147">
        <f>'F13-Year(n+5)'!Q492</f>
        <v>3169.4527366912</v>
      </c>
    </row>
    <row r="500" spans="3:16">
      <c r="C500" s="55"/>
      <c r="D500" s="55"/>
      <c r="E500" s="147"/>
      <c r="F500" s="752">
        <f>'F13-Year(n-1)'!Q500</f>
        <v>0</v>
      </c>
      <c r="G500" s="147"/>
      <c r="H500" s="147"/>
      <c r="I500" s="147">
        <f>SUM('F13-Year(n)'!E497:J497)</f>
        <v>0</v>
      </c>
      <c r="J500" s="147">
        <f>SUM('F13-Year(n)'!K497:P497)</f>
        <v>0</v>
      </c>
      <c r="K500" s="147">
        <f t="shared" si="25"/>
        <v>0</v>
      </c>
      <c r="L500" s="147">
        <f>'F13-Year(n+1)'!Q511</f>
        <v>0</v>
      </c>
      <c r="M500" s="147">
        <f>'F13-Year(n+2)'!Q509</f>
        <v>0</v>
      </c>
      <c r="N500" s="147">
        <f>'F13-Year(n+3)'!Q509</f>
        <v>0</v>
      </c>
      <c r="O500" s="147">
        <f>'F13-Year(n+4)'!Q509</f>
        <v>0</v>
      </c>
      <c r="P500" s="147">
        <f>'F13-Year(n+5)'!Q509</f>
        <v>0</v>
      </c>
    </row>
    <row r="501" spans="3:16">
      <c r="C501" s="55"/>
      <c r="D501" s="55"/>
      <c r="E501" s="147"/>
      <c r="F501" s="752">
        <f>'F13-Year(n-1)'!Q501</f>
        <v>0</v>
      </c>
      <c r="G501" s="147"/>
      <c r="H501" s="147"/>
      <c r="I501" s="147">
        <f>SUM('F13-Year(n)'!E498:J498)</f>
        <v>0</v>
      </c>
      <c r="J501" s="147">
        <f>SUM('F13-Year(n)'!K498:P498)</f>
        <v>0</v>
      </c>
      <c r="K501" s="147">
        <f t="shared" si="25"/>
        <v>0</v>
      </c>
      <c r="L501" s="147">
        <f>'F13-Year(n+1)'!Q512</f>
        <v>0</v>
      </c>
      <c r="M501" s="147">
        <f>'F13-Year(n+2)'!Q510</f>
        <v>0</v>
      </c>
      <c r="N501" s="147">
        <f>'F13-Year(n+3)'!Q510</f>
        <v>0</v>
      </c>
      <c r="O501" s="147">
        <f>'F13-Year(n+4)'!Q510</f>
        <v>0</v>
      </c>
      <c r="P501" s="147">
        <f>'F13-Year(n+5)'!Q510</f>
        <v>0</v>
      </c>
    </row>
    <row r="502" ht="6" customHeight="1" spans="3:16">
      <c r="C502" s="55"/>
      <c r="D502" s="55"/>
      <c r="E502" s="147"/>
      <c r="F502" s="752">
        <f>'F13-Year(n-1)'!Q502</f>
        <v>0</v>
      </c>
      <c r="G502" s="147"/>
      <c r="H502" s="147"/>
      <c r="I502" s="147">
        <f>SUM('F13-Year(n)'!E499:J499)</f>
        <v>0</v>
      </c>
      <c r="J502" s="147">
        <f>SUM('F13-Year(n)'!K499:P499)</f>
        <v>0</v>
      </c>
      <c r="K502" s="147">
        <f t="shared" si="25"/>
        <v>0</v>
      </c>
      <c r="L502" s="147">
        <f>'F13-Year(n+1)'!Q513</f>
        <v>0</v>
      </c>
      <c r="M502" s="147">
        <f>'F13-Year(n+2)'!Q511</f>
        <v>0</v>
      </c>
      <c r="N502" s="147">
        <f>'F13-Year(n+3)'!Q511</f>
        <v>0</v>
      </c>
      <c r="O502" s="147">
        <f>'F13-Year(n+4)'!Q511</f>
        <v>0</v>
      </c>
      <c r="P502" s="147">
        <f>'F13-Year(n+5)'!Q511</f>
        <v>0</v>
      </c>
    </row>
    <row r="503" spans="3:16">
      <c r="C503" s="55"/>
      <c r="D503" s="55"/>
      <c r="E503" s="147"/>
      <c r="F503" s="752">
        <f>'F13-Year(n-1)'!Q503</f>
        <v>0</v>
      </c>
      <c r="G503" s="147"/>
      <c r="H503" s="147"/>
      <c r="I503" s="147">
        <f>SUM('F13-Year(n)'!E500:J500)</f>
        <v>0</v>
      </c>
      <c r="J503" s="147">
        <f>SUM('F13-Year(n)'!K500:P500)</f>
        <v>0</v>
      </c>
      <c r="K503" s="147">
        <f t="shared" si="25"/>
        <v>0</v>
      </c>
      <c r="L503" s="147">
        <f>'F13-Year(n+1)'!Q514</f>
        <v>0</v>
      </c>
      <c r="M503" s="147">
        <f>'F13-Year(n+2)'!Q512</f>
        <v>0</v>
      </c>
      <c r="N503" s="147">
        <f>'F13-Year(n+3)'!Q512</f>
        <v>0</v>
      </c>
      <c r="O503" s="147">
        <f>'F13-Year(n+4)'!Q512</f>
        <v>0</v>
      </c>
      <c r="P503" s="147">
        <f>'F13-Year(n+5)'!Q512</f>
        <v>0</v>
      </c>
    </row>
    <row r="504" ht="4" customHeight="1" spans="3:16">
      <c r="C504" s="55"/>
      <c r="D504" s="55"/>
      <c r="E504" s="147"/>
      <c r="F504" s="752">
        <f>'F13-Year(n-1)'!Q504</f>
        <v>0</v>
      </c>
      <c r="G504" s="147"/>
      <c r="H504" s="147"/>
      <c r="I504" s="147">
        <f>SUM('F13-Year(n)'!E501:J501)</f>
        <v>0</v>
      </c>
      <c r="J504" s="147">
        <f>SUM('F13-Year(n)'!K501:P501)</f>
        <v>0</v>
      </c>
      <c r="K504" s="147">
        <f t="shared" si="25"/>
        <v>0</v>
      </c>
      <c r="L504" s="147">
        <f>'F13-Year(n+1)'!Q515</f>
        <v>0</v>
      </c>
      <c r="M504" s="147">
        <f>'F13-Year(n+2)'!Q513</f>
        <v>0</v>
      </c>
      <c r="N504" s="147">
        <f>'F13-Year(n+3)'!Q513</f>
        <v>0</v>
      </c>
      <c r="O504" s="147">
        <f>'F13-Year(n+4)'!Q513</f>
        <v>0</v>
      </c>
      <c r="P504" s="147">
        <f>'F13-Year(n+5)'!Q513</f>
        <v>0</v>
      </c>
    </row>
    <row r="505" spans="3:16">
      <c r="C505" s="55"/>
      <c r="D505" s="55"/>
      <c r="E505" s="147"/>
      <c r="F505" s="752">
        <f>'F13-Year(n-1)'!Q505</f>
        <v>0</v>
      </c>
      <c r="G505" s="147"/>
      <c r="H505" s="147"/>
      <c r="I505" s="147">
        <f>SUM('F13-Year(n)'!E502:J502)</f>
        <v>0</v>
      </c>
      <c r="J505" s="147">
        <f>SUM('F13-Year(n)'!K502:P502)</f>
        <v>0</v>
      </c>
      <c r="K505" s="147">
        <f t="shared" si="25"/>
        <v>0</v>
      </c>
      <c r="L505" s="147">
        <f>'F13-Year(n+1)'!Q516</f>
        <v>0</v>
      </c>
      <c r="M505" s="147">
        <f>'F13-Year(n+2)'!Q514</f>
        <v>0</v>
      </c>
      <c r="N505" s="147">
        <f>'F13-Year(n+3)'!Q514</f>
        <v>0</v>
      </c>
      <c r="O505" s="147">
        <f>'F13-Year(n+4)'!Q514</f>
        <v>0</v>
      </c>
      <c r="P505" s="147">
        <f>'F13-Year(n+5)'!Q514</f>
        <v>0</v>
      </c>
    </row>
    <row r="506" spans="3:16">
      <c r="C506" s="55"/>
      <c r="D506" s="55"/>
      <c r="E506" s="147"/>
      <c r="F506" s="752">
        <f>'F13-Year(n-1)'!Q506</f>
        <v>0</v>
      </c>
      <c r="G506" s="147"/>
      <c r="H506" s="147"/>
      <c r="I506" s="147">
        <f>SUM('F13-Year(n)'!E503:J503)</f>
        <v>0</v>
      </c>
      <c r="J506" s="147">
        <f>SUM('F13-Year(n)'!K503:P503)</f>
        <v>0</v>
      </c>
      <c r="K506" s="147">
        <f t="shared" si="25"/>
        <v>0</v>
      </c>
      <c r="L506" s="147">
        <f>'F13-Year(n+1)'!Q517</f>
        <v>0</v>
      </c>
      <c r="M506" s="147">
        <f>'F13-Year(n+2)'!Q515</f>
        <v>0</v>
      </c>
      <c r="N506" s="147">
        <f>'F13-Year(n+3)'!Q515</f>
        <v>0</v>
      </c>
      <c r="O506" s="147">
        <f>'F13-Year(n+4)'!Q515</f>
        <v>0</v>
      </c>
      <c r="P506" s="147">
        <f>'F13-Year(n+5)'!Q515</f>
        <v>0</v>
      </c>
    </row>
    <row r="507" ht="15" spans="3:16">
      <c r="C507" s="44" t="s">
        <v>424</v>
      </c>
      <c r="D507" s="45"/>
      <c r="E507" s="316">
        <f>SUM(E483:E506)</f>
        <v>210.835495</v>
      </c>
      <c r="F507" s="316">
        <f>SUM(F483:F506)</f>
        <v>1841.01214645361</v>
      </c>
      <c r="G507" s="316">
        <f>F507-E507</f>
        <v>1630.17665145361</v>
      </c>
      <c r="H507" s="316">
        <f>SUM(H483:H506)</f>
        <v>154.3674737</v>
      </c>
      <c r="I507" s="316">
        <f>SUM(I483:I506)</f>
        <v>2461.08243934926</v>
      </c>
      <c r="J507" s="316">
        <f>SUM(J483:J506)</f>
        <v>3582.04524089465</v>
      </c>
      <c r="K507" s="316">
        <f t="shared" si="25"/>
        <v>6043.12768024391</v>
      </c>
      <c r="L507" s="316">
        <f>'F13-Year(n+1)'!Q522</f>
        <v>-2419.80200736507</v>
      </c>
      <c r="M507" s="316" t="e">
        <f>'F13-Year(n+2)'!Q520</f>
        <v>#REF!</v>
      </c>
      <c r="N507" s="316">
        <f>'F13-Year(n+3)'!Q520</f>
        <v>492.593892357279</v>
      </c>
      <c r="O507" s="316">
        <f>'F13-Year(n+4)'!Q520</f>
        <v>1561.75343423632</v>
      </c>
      <c r="P507" s="316">
        <f>'F13-Year(n+5)'!Q520</f>
        <v>3169.4527366912</v>
      </c>
    </row>
    <row r="508" ht="15" spans="3:16">
      <c r="C508" s="663" t="s">
        <v>425</v>
      </c>
      <c r="D508" s="676"/>
      <c r="E508" s="147"/>
      <c r="F508" s="147"/>
      <c r="G508" s="147"/>
      <c r="H508" s="147"/>
      <c r="I508" s="147"/>
      <c r="J508" s="147"/>
      <c r="K508" s="147"/>
      <c r="L508" s="147"/>
      <c r="M508" s="147"/>
      <c r="N508" s="147"/>
      <c r="O508" s="147"/>
      <c r="P508" s="147"/>
    </row>
    <row r="509" spans="3:16">
      <c r="C509" s="55" t="s">
        <v>426</v>
      </c>
      <c r="D509" s="55" t="s">
        <v>427</v>
      </c>
      <c r="E509" s="147">
        <f>'[47]PP Cost'!K138</f>
        <v>152.52</v>
      </c>
      <c r="F509" s="752">
        <f>'F13-Year(n-1)'!Q509</f>
        <v>0</v>
      </c>
      <c r="G509" s="147"/>
      <c r="H509" s="147">
        <f>'[48]PP Cost'!K142</f>
        <v>25.39</v>
      </c>
      <c r="I509" s="147">
        <f>SUM('F13-Year(n)'!E506:J506)</f>
        <v>0</v>
      </c>
      <c r="J509" s="147">
        <f>SUM('F13-Year(n)'!K506:P506)</f>
        <v>0</v>
      </c>
      <c r="K509" s="147">
        <f>I509+J509</f>
        <v>0</v>
      </c>
      <c r="L509" s="147">
        <f>'F13-Year(n+1)'!Q524</f>
        <v>655.552825354549</v>
      </c>
      <c r="M509" s="147" t="e">
        <f>'F13-Year(n+2)'!Q522</f>
        <v>#REF!</v>
      </c>
      <c r="N509" s="147">
        <f>'F13-Year(n+3)'!Q522</f>
        <v>1403.55219929638</v>
      </c>
      <c r="O509" s="147">
        <f>'F13-Year(n+4)'!Q522</f>
        <v>1905.12216392021</v>
      </c>
      <c r="P509" s="147">
        <f>'F13-Year(n+5)'!Q522</f>
        <v>2416.46701610101</v>
      </c>
    </row>
    <row r="510" spans="3:16">
      <c r="C510" s="55" t="s">
        <v>426</v>
      </c>
      <c r="D510" s="55" t="s">
        <v>428</v>
      </c>
      <c r="E510" s="147">
        <f>'[47]PP Cost'!K139</f>
        <v>-212.64</v>
      </c>
      <c r="F510" s="752">
        <f>'F13-Year(n-1)'!Q511</f>
        <v>0</v>
      </c>
      <c r="G510" s="147"/>
      <c r="H510" s="147">
        <f>'[48]PP Cost'!K143</f>
        <v>-235.3</v>
      </c>
      <c r="I510" s="147">
        <f>SUM('F13-Year(n)'!E507:J507)</f>
        <v>0</v>
      </c>
      <c r="J510" s="147">
        <f>SUM('F13-Year(n)'!K507:P507)</f>
        <v>0</v>
      </c>
      <c r="K510" s="147">
        <f>I510+J510</f>
        <v>0</v>
      </c>
      <c r="L510" s="147">
        <f>'F13-Year(n+1)'!Q525</f>
        <v>0</v>
      </c>
      <c r="M510" s="147" t="e">
        <f>'F13-Year(n+2)'!Q523</f>
        <v>#REF!</v>
      </c>
      <c r="N510" s="147">
        <f>'F13-Year(n+3)'!Q523</f>
        <v>0</v>
      </c>
      <c r="O510" s="147">
        <f>'F13-Year(n+4)'!Q523</f>
        <v>0</v>
      </c>
      <c r="P510" s="147">
        <f>'F13-Year(n+5)'!Q523</f>
        <v>0</v>
      </c>
    </row>
    <row r="511" spans="3:16">
      <c r="C511" s="141"/>
      <c r="D511" s="746" t="s">
        <v>477</v>
      </c>
      <c r="E511" s="147">
        <f>'[47]PP Cost'!$K$140</f>
        <v>-476.84</v>
      </c>
      <c r="F511" s="752"/>
      <c r="G511" s="147"/>
      <c r="H511" s="147">
        <f>'[48]PP Cost'!K144</f>
        <v>-548.83</v>
      </c>
      <c r="I511" s="147">
        <f>SUM('F13-Year(n)'!E508:J508)</f>
        <v>0</v>
      </c>
      <c r="J511" s="147">
        <f>SUM('F13-Year(n)'!K508:P508)</f>
        <v>0</v>
      </c>
      <c r="K511" s="147">
        <f>I511+J511</f>
        <v>0</v>
      </c>
      <c r="L511" s="147">
        <v>0</v>
      </c>
      <c r="M511" s="147"/>
      <c r="N511" s="147"/>
      <c r="O511" s="147"/>
      <c r="P511" s="147"/>
    </row>
    <row r="512" ht="15" spans="3:16">
      <c r="C512" s="44" t="s">
        <v>429</v>
      </c>
      <c r="D512" s="45"/>
      <c r="E512" s="316">
        <f>E509+E510+E511</f>
        <v>-536.96</v>
      </c>
      <c r="F512" s="316">
        <f>F509+F510+F511</f>
        <v>0</v>
      </c>
      <c r="G512" s="316">
        <f>F512-E512</f>
        <v>536.96</v>
      </c>
      <c r="H512" s="316">
        <f>H509+H510+H511</f>
        <v>-758.74</v>
      </c>
      <c r="I512" s="316">
        <f>I509+I510+I511</f>
        <v>0</v>
      </c>
      <c r="J512" s="316">
        <f>J509+J510+J511</f>
        <v>0</v>
      </c>
      <c r="K512" s="316">
        <f>I512+J512</f>
        <v>0</v>
      </c>
      <c r="L512" s="316">
        <f>'F13-Year(n+1)'!Q526</f>
        <v>655.552825354549</v>
      </c>
      <c r="M512" s="316" t="e">
        <f>'F13-Year(n+2)'!Q524</f>
        <v>#REF!</v>
      </c>
      <c r="N512" s="316">
        <f>'F13-Year(n+3)'!Q524</f>
        <v>1403.55219929638</v>
      </c>
      <c r="O512" s="316">
        <f>'F13-Year(n+4)'!Q524</f>
        <v>1905.12216392021</v>
      </c>
      <c r="P512" s="316">
        <f>'F13-Year(n+5)'!Q524</f>
        <v>2416.46701610101</v>
      </c>
    </row>
    <row r="513" ht="15" spans="3:16">
      <c r="C513" s="44" t="s">
        <v>224</v>
      </c>
      <c r="D513" s="45"/>
      <c r="E513" s="316" t="e">
        <f>E391+E436+E445+E455+E481+E507+E512</f>
        <v>#REF!</v>
      </c>
      <c r="F513" s="316">
        <f>F391+F436+F445+F455+F481+F507+F512</f>
        <v>9577.00020347945</v>
      </c>
      <c r="G513" s="316" t="e">
        <f>F513-E513</f>
        <v>#REF!</v>
      </c>
      <c r="H513" s="316">
        <f>H391+H436+H445+H455+H481+H507+H512</f>
        <v>6405.68783662</v>
      </c>
      <c r="I513" s="316">
        <f>I391+I436+I445+I455+I481+I507+I512</f>
        <v>11876.0390724268</v>
      </c>
      <c r="J513" s="316">
        <f>J391+J436+J445+J455+J481+J507+J512</f>
        <v>13674.7984716645</v>
      </c>
      <c r="K513" s="316">
        <f>I513+J513</f>
        <v>25550.8375440913</v>
      </c>
      <c r="L513" s="316">
        <f>'F13-Year(n+1)'!Q527</f>
        <v>22710.3538116709</v>
      </c>
      <c r="M513" s="316" t="e">
        <f>'F13-Year(n+2)'!Q525</f>
        <v>#REF!</v>
      </c>
      <c r="N513" s="316">
        <f>'F13-Year(n+3)'!Q525</f>
        <v>25280.4961669683</v>
      </c>
      <c r="O513" s="316">
        <f>'F13-Year(n+4)'!Q525</f>
        <v>29364.8632363334</v>
      </c>
      <c r="P513" s="316">
        <f>'F13-Year(n+5)'!Q525</f>
        <v>33855.8452545436</v>
      </c>
    </row>
    <row r="515" ht="15" spans="4:9">
      <c r="D515" s="11"/>
      <c r="E515" s="11"/>
      <c r="F515" s="11"/>
      <c r="G515" s="11"/>
      <c r="H515" s="11"/>
      <c r="I515" s="11"/>
    </row>
    <row r="516" spans="4:16">
      <c r="D516" s="13"/>
      <c r="E516" s="13"/>
      <c r="F516" s="13"/>
      <c r="G516" s="13"/>
      <c r="H516" s="13"/>
      <c r="I516" s="13"/>
      <c r="K516" s="119"/>
      <c r="L516" s="119"/>
      <c r="M516" s="119"/>
      <c r="N516" s="119"/>
      <c r="O516" s="119"/>
      <c r="P516" s="119"/>
    </row>
    <row r="517" spans="5:9">
      <c r="E517" s="13"/>
      <c r="F517" s="13"/>
      <c r="G517" s="13"/>
      <c r="H517" s="13"/>
      <c r="I517" s="13"/>
    </row>
    <row r="518" spans="5:9">
      <c r="E518" s="13"/>
      <c r="F518" s="13"/>
      <c r="G518" s="13"/>
      <c r="H518" s="13"/>
      <c r="I518" s="13"/>
    </row>
  </sheetData>
  <mergeCells count="98">
    <mergeCell ref="C2:P2"/>
    <mergeCell ref="C3:P3"/>
    <mergeCell ref="E6:G6"/>
    <mergeCell ref="H6:K6"/>
    <mergeCell ref="L6:P6"/>
    <mergeCell ref="C9:D9"/>
    <mergeCell ref="C10:D10"/>
    <mergeCell ref="C29:D29"/>
    <mergeCell ref="C30:D30"/>
    <mergeCell ref="C49:D49"/>
    <mergeCell ref="C50:D50"/>
    <mergeCell ref="C51:D51"/>
    <mergeCell ref="C52:D52"/>
    <mergeCell ref="C78:D78"/>
    <mergeCell ref="C79:D79"/>
    <mergeCell ref="C94:D94"/>
    <mergeCell ref="C95:D95"/>
    <mergeCell ref="C96:D96"/>
    <mergeCell ref="C104:D104"/>
    <mergeCell ref="C105:D105"/>
    <mergeCell ref="C114:D114"/>
    <mergeCell ref="C115:D115"/>
    <mergeCell ref="C140:D140"/>
    <mergeCell ref="C141:D141"/>
    <mergeCell ref="C166:D166"/>
    <mergeCell ref="C167:D167"/>
    <mergeCell ref="C171:D171"/>
    <mergeCell ref="C172:D172"/>
    <mergeCell ref="E176:G176"/>
    <mergeCell ref="H176:K176"/>
    <mergeCell ref="L176:P176"/>
    <mergeCell ref="C179:D179"/>
    <mergeCell ref="C180:D180"/>
    <mergeCell ref="C199:D199"/>
    <mergeCell ref="C200:D200"/>
    <mergeCell ref="C219:D219"/>
    <mergeCell ref="C220:D220"/>
    <mergeCell ref="C221:D221"/>
    <mergeCell ref="C222:D222"/>
    <mergeCell ref="C249:D249"/>
    <mergeCell ref="C250:D250"/>
    <mergeCell ref="C265:D265"/>
    <mergeCell ref="C266:D266"/>
    <mergeCell ref="C267:D267"/>
    <mergeCell ref="C275:D275"/>
    <mergeCell ref="C276:D276"/>
    <mergeCell ref="C285:D285"/>
    <mergeCell ref="C286:D286"/>
    <mergeCell ref="C311:D311"/>
    <mergeCell ref="C312:D312"/>
    <mergeCell ref="C337:D337"/>
    <mergeCell ref="C338:D338"/>
    <mergeCell ref="C342:D342"/>
    <mergeCell ref="C343:D343"/>
    <mergeCell ref="E347:G347"/>
    <mergeCell ref="H347:K347"/>
    <mergeCell ref="L347:P347"/>
    <mergeCell ref="C350:D350"/>
    <mergeCell ref="C351:D351"/>
    <mergeCell ref="C370:D370"/>
    <mergeCell ref="C371:D371"/>
    <mergeCell ref="C390:D390"/>
    <mergeCell ref="C391:D391"/>
    <mergeCell ref="C392:D392"/>
    <mergeCell ref="C393:D393"/>
    <mergeCell ref="C419:D419"/>
    <mergeCell ref="C420:D420"/>
    <mergeCell ref="C435:D435"/>
    <mergeCell ref="C436:D436"/>
    <mergeCell ref="C437:D437"/>
    <mergeCell ref="C445:D445"/>
    <mergeCell ref="C446:D446"/>
    <mergeCell ref="C455:D455"/>
    <mergeCell ref="C456:D456"/>
    <mergeCell ref="C481:D481"/>
    <mergeCell ref="C482:D482"/>
    <mergeCell ref="C507:D507"/>
    <mergeCell ref="C508:D508"/>
    <mergeCell ref="C512:D512"/>
    <mergeCell ref="C513:D513"/>
    <mergeCell ref="C6:C8"/>
    <mergeCell ref="C11:C28"/>
    <mergeCell ref="C31:C48"/>
    <mergeCell ref="C53:C61"/>
    <mergeCell ref="C80:C83"/>
    <mergeCell ref="C176:C178"/>
    <mergeCell ref="C181:C198"/>
    <mergeCell ref="C201:C218"/>
    <mergeCell ref="C223:C231"/>
    <mergeCell ref="C251:C254"/>
    <mergeCell ref="C347:C349"/>
    <mergeCell ref="C352:C369"/>
    <mergeCell ref="C372:C389"/>
    <mergeCell ref="C394:C402"/>
    <mergeCell ref="C421:C424"/>
    <mergeCell ref="D6:D8"/>
    <mergeCell ref="D176:D178"/>
    <mergeCell ref="D347:D349"/>
  </mergeCells>
  <printOptions horizontalCentered="1"/>
  <pageMargins left="0.472222222222222" right="0.275" top="0.432638888888889" bottom="0.393055555555556" header="0.314583333333333" footer="0.314583333333333"/>
  <pageSetup paperSize="9" scale="75" fitToHeight="18" orientation="portrait" horizontalDpi="600"/>
  <headerFooter/>
  <rowBreaks count="7" manualBreakCount="7">
    <brk id="50" max="11" man="1"/>
    <brk id="114" max="11" man="1"/>
    <brk id="172" max="16383" man="1"/>
    <brk id="249" max="11" man="1"/>
    <brk id="311" max="11" man="1"/>
    <brk id="370" max="11" man="1"/>
    <brk id="436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B2:T517"/>
  <sheetViews>
    <sheetView showGridLines="0" view="pageLayout" zoomScale="90" zoomScaleNormal="100" topLeftCell="E113" workbookViewId="0">
      <selection activeCell="G113" sqref="G113"/>
    </sheetView>
  </sheetViews>
  <sheetFormatPr defaultColWidth="9.14285714285714" defaultRowHeight="14.25"/>
  <cols>
    <col min="1" max="1" width="3.14285714285714" style="12" customWidth="1"/>
    <col min="2" max="2" width="8.14285714285714" style="12" customWidth="1"/>
    <col min="3" max="3" width="22.1428571428571" style="12" customWidth="1"/>
    <col min="4" max="4" width="39.8571428571429" style="12" customWidth="1"/>
    <col min="5" max="5" width="13.8571428571429" style="12" customWidth="1"/>
    <col min="6" max="6" width="12.5714285714286" style="12" customWidth="1"/>
    <col min="7" max="7" width="13.4285714285714" style="12" customWidth="1"/>
    <col min="8" max="8" width="15" style="12" customWidth="1"/>
    <col min="9" max="9" width="12.5714285714286" style="12" customWidth="1"/>
    <col min="10" max="10" width="14.8571428571429" style="12" customWidth="1"/>
    <col min="11" max="11" width="12.5714285714286" style="12" customWidth="1"/>
    <col min="12" max="12" width="11.8571428571429" style="12" customWidth="1"/>
    <col min="13" max="13" width="13.8571428571429" style="12" customWidth="1"/>
    <col min="14" max="16" width="11.8571428571429" style="12" customWidth="1"/>
    <col min="17" max="17" width="11.4285714285714" style="12" customWidth="1"/>
    <col min="18" max="18" width="12.4285714285714" style="12" customWidth="1"/>
    <col min="19" max="19" width="12.8571428571429" style="12" customWidth="1"/>
    <col min="20" max="20" width="11.1428571428571" style="12" customWidth="1"/>
    <col min="21" max="16384" width="9.14285714285714" style="12"/>
  </cols>
  <sheetData>
    <row r="2" ht="15" spans="3:17">
      <c r="C2" s="2" t="s">
        <v>0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ht="15" spans="10:10">
      <c r="J3" s="3" t="s">
        <v>521</v>
      </c>
    </row>
    <row r="4" ht="15" spans="3:10">
      <c r="C4" s="11" t="s">
        <v>522</v>
      </c>
      <c r="J4" s="3"/>
    </row>
    <row r="5" ht="15" spans="3:10">
      <c r="C5" s="11"/>
      <c r="J5" s="3"/>
    </row>
    <row r="6" ht="15" spans="3:17">
      <c r="C6" s="484"/>
      <c r="Q6" s="3" t="s">
        <v>109</v>
      </c>
    </row>
    <row r="7" ht="15" spans="3:17">
      <c r="C7" s="673" t="s">
        <v>345</v>
      </c>
      <c r="D7" s="658" t="s">
        <v>346</v>
      </c>
      <c r="E7" s="135" t="s">
        <v>523</v>
      </c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</row>
    <row r="8" ht="15" spans="3:17">
      <c r="C8" s="674"/>
      <c r="D8" s="660"/>
      <c r="E8" s="135" t="s">
        <v>246</v>
      </c>
      <c r="F8" s="135" t="s">
        <v>247</v>
      </c>
      <c r="G8" s="135" t="s">
        <v>248</v>
      </c>
      <c r="H8" s="135" t="s">
        <v>249</v>
      </c>
      <c r="I8" s="135" t="s">
        <v>250</v>
      </c>
      <c r="J8" s="135" t="s">
        <v>251</v>
      </c>
      <c r="K8" s="135" t="s">
        <v>252</v>
      </c>
      <c r="L8" s="135" t="s">
        <v>253</v>
      </c>
      <c r="M8" s="135" t="s">
        <v>254</v>
      </c>
      <c r="N8" s="135" t="s">
        <v>255</v>
      </c>
      <c r="O8" s="135" t="s">
        <v>256</v>
      </c>
      <c r="P8" s="135" t="s">
        <v>257</v>
      </c>
      <c r="Q8" s="135" t="s">
        <v>97</v>
      </c>
    </row>
    <row r="9" ht="15" spans="2:17">
      <c r="B9" s="656"/>
      <c r="C9" s="663" t="s">
        <v>349</v>
      </c>
      <c r="D9" s="676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customHeight="1" spans="3:17">
      <c r="C10" s="44" t="s">
        <v>350</v>
      </c>
      <c r="D10" s="4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spans="2:17">
      <c r="B11" s="656"/>
      <c r="C11" s="677" t="s">
        <v>351</v>
      </c>
      <c r="D11" s="47" t="s">
        <v>352</v>
      </c>
      <c r="E11" s="55">
        <f t="shared" ref="E11:P11" si="0">E181+E352</f>
        <v>37.182425099748</v>
      </c>
      <c r="F11" s="55">
        <f t="shared" si="0"/>
        <v>38.2300736957404</v>
      </c>
      <c r="G11" s="55">
        <f t="shared" si="0"/>
        <v>36.0364965542329</v>
      </c>
      <c r="H11" s="55">
        <f t="shared" si="0"/>
        <v>22.2798037999388</v>
      </c>
      <c r="I11" s="55">
        <f t="shared" si="0"/>
        <v>32.6516511537697</v>
      </c>
      <c r="J11" s="55">
        <f t="shared" si="0"/>
        <v>38.8000141408277</v>
      </c>
      <c r="K11" s="55">
        <f t="shared" si="0"/>
        <v>38.6481565945969</v>
      </c>
      <c r="L11" s="55">
        <f t="shared" si="0"/>
        <v>37.5973498435468</v>
      </c>
      <c r="M11" s="55">
        <f t="shared" si="0"/>
        <v>42.0401128296307</v>
      </c>
      <c r="N11" s="55">
        <f t="shared" si="0"/>
        <v>32.7925169246</v>
      </c>
      <c r="O11" s="55">
        <f t="shared" si="0"/>
        <v>30.57148017845</v>
      </c>
      <c r="P11" s="55">
        <f t="shared" si="0"/>
        <v>32.2476262511</v>
      </c>
      <c r="Q11" s="55">
        <f t="shared" ref="Q11:Q29" si="1">SUM(E11:P11)</f>
        <v>419.077707066182</v>
      </c>
    </row>
    <row r="12" spans="2:17">
      <c r="B12" s="656"/>
      <c r="C12" s="678"/>
      <c r="D12" s="47" t="s">
        <v>353</v>
      </c>
      <c r="E12" s="55">
        <f t="shared" ref="E12:P12" si="2">E182+E353</f>
        <v>43.2562874653246</v>
      </c>
      <c r="F12" s="55">
        <f t="shared" si="2"/>
        <v>40.6631798578645</v>
      </c>
      <c r="G12" s="55">
        <f t="shared" si="2"/>
        <v>41.1932754529757</v>
      </c>
      <c r="H12" s="55">
        <f t="shared" si="2"/>
        <v>45.6775778018466</v>
      </c>
      <c r="I12" s="55">
        <f t="shared" si="2"/>
        <v>45.0255111900102</v>
      </c>
      <c r="J12" s="55">
        <f t="shared" si="2"/>
        <v>45.1039987545356</v>
      </c>
      <c r="K12" s="55">
        <f t="shared" si="2"/>
        <v>40.4711198481923</v>
      </c>
      <c r="L12" s="55">
        <f t="shared" si="2"/>
        <v>45.046598097896</v>
      </c>
      <c r="M12" s="55">
        <f t="shared" si="2"/>
        <v>45.1504440570179</v>
      </c>
      <c r="N12" s="55">
        <f t="shared" si="2"/>
        <v>35.84589071585</v>
      </c>
      <c r="O12" s="55">
        <f t="shared" si="2"/>
        <v>34.9157927171</v>
      </c>
      <c r="P12" s="55">
        <f t="shared" si="2"/>
        <v>38.3271715165</v>
      </c>
      <c r="Q12" s="55">
        <f t="shared" si="1"/>
        <v>500.676847475113</v>
      </c>
    </row>
    <row r="13" spans="2:17">
      <c r="B13" s="656"/>
      <c r="C13" s="678"/>
      <c r="D13" s="47" t="s">
        <v>354</v>
      </c>
      <c r="E13" s="55">
        <f t="shared" ref="E13:P13" si="3">E183+E354</f>
        <v>59.9677281478374</v>
      </c>
      <c r="F13" s="55">
        <f t="shared" si="3"/>
        <v>70.1229525756695</v>
      </c>
      <c r="G13" s="55">
        <f t="shared" si="3"/>
        <v>67.538871871683</v>
      </c>
      <c r="H13" s="55">
        <f t="shared" si="3"/>
        <v>3.37619979960493</v>
      </c>
      <c r="I13" s="55">
        <f t="shared" si="3"/>
        <v>-0.38890822289909</v>
      </c>
      <c r="J13" s="55">
        <f t="shared" si="3"/>
        <v>4.21708394847252</v>
      </c>
      <c r="K13" s="55">
        <f t="shared" si="3"/>
        <v>56.6330091208964</v>
      </c>
      <c r="L13" s="55">
        <f t="shared" si="3"/>
        <v>50.2439172059376</v>
      </c>
      <c r="M13" s="55">
        <f t="shared" si="3"/>
        <v>67.280562101801</v>
      </c>
      <c r="N13" s="55">
        <f t="shared" si="3"/>
        <v>58.50010749115</v>
      </c>
      <c r="O13" s="55">
        <f t="shared" si="3"/>
        <v>57.71037958955</v>
      </c>
      <c r="P13" s="55">
        <f t="shared" si="3"/>
        <v>58.6995930445</v>
      </c>
      <c r="Q13" s="55">
        <f t="shared" si="1"/>
        <v>553.901496674203</v>
      </c>
    </row>
    <row r="14" spans="2:17">
      <c r="B14" s="656"/>
      <c r="C14" s="678"/>
      <c r="D14" s="47" t="s">
        <v>355</v>
      </c>
      <c r="E14" s="55">
        <f t="shared" ref="E14:P14" si="4">E184+E355</f>
        <v>2.42296025999826</v>
      </c>
      <c r="F14" s="55">
        <f t="shared" si="4"/>
        <v>6.24733672077666</v>
      </c>
      <c r="G14" s="55">
        <f t="shared" si="4"/>
        <v>5.8353119051744</v>
      </c>
      <c r="H14" s="55">
        <f t="shared" si="4"/>
        <v>4.75911708947879</v>
      </c>
      <c r="I14" s="55">
        <f t="shared" si="4"/>
        <v>6.08464461412407</v>
      </c>
      <c r="J14" s="55">
        <f t="shared" si="4"/>
        <v>5.57271525419911</v>
      </c>
      <c r="K14" s="55">
        <f t="shared" si="4"/>
        <v>3.90238935360378</v>
      </c>
      <c r="L14" s="55">
        <f t="shared" si="4"/>
        <v>4.75109506219846</v>
      </c>
      <c r="M14" s="55">
        <f t="shared" si="4"/>
        <v>2.29515579928602</v>
      </c>
      <c r="N14" s="55">
        <f t="shared" si="4"/>
        <v>3.29170474865</v>
      </c>
      <c r="O14" s="55">
        <f t="shared" si="4"/>
        <v>3.7261230239</v>
      </c>
      <c r="P14" s="55">
        <f t="shared" si="4"/>
        <v>3.8378246357</v>
      </c>
      <c r="Q14" s="55">
        <f t="shared" si="1"/>
        <v>52.7263784670896</v>
      </c>
    </row>
    <row r="15" spans="2:17">
      <c r="B15" s="656"/>
      <c r="C15" s="678"/>
      <c r="D15" s="47" t="s">
        <v>356</v>
      </c>
      <c r="E15" s="55">
        <f t="shared" ref="E15:P15" si="5">E185+E356</f>
        <v>39.8318570853987</v>
      </c>
      <c r="F15" s="55">
        <f t="shared" si="5"/>
        <v>34.968280475804</v>
      </c>
      <c r="G15" s="55">
        <f t="shared" si="5"/>
        <v>-0.214045726256938</v>
      </c>
      <c r="H15" s="55">
        <f t="shared" si="5"/>
        <v>9.08487726249155</v>
      </c>
      <c r="I15" s="55">
        <f t="shared" si="5"/>
        <v>42.3305060734299</v>
      </c>
      <c r="J15" s="55">
        <f t="shared" si="5"/>
        <v>42.7733970450631</v>
      </c>
      <c r="K15" s="55">
        <f t="shared" si="5"/>
        <v>41.7673922782728</v>
      </c>
      <c r="L15" s="55">
        <f t="shared" si="5"/>
        <v>46.2509431805553</v>
      </c>
      <c r="M15" s="55">
        <f t="shared" si="5"/>
        <v>49.4626748506891</v>
      </c>
      <c r="N15" s="55">
        <f t="shared" si="5"/>
        <v>44.2375563353</v>
      </c>
      <c r="O15" s="55">
        <f t="shared" si="5"/>
        <v>38.2778493044</v>
      </c>
      <c r="P15" s="55">
        <f t="shared" si="5"/>
        <v>45.25343058075</v>
      </c>
      <c r="Q15" s="55">
        <f t="shared" si="1"/>
        <v>434.024718745897</v>
      </c>
    </row>
    <row r="16" spans="2:17">
      <c r="B16" s="656"/>
      <c r="C16" s="678"/>
      <c r="D16" s="47" t="s">
        <v>357</v>
      </c>
      <c r="E16" s="55">
        <f t="shared" ref="E16:P16" si="6">E186+E357</f>
        <v>48.9733558841022</v>
      </c>
      <c r="F16" s="55">
        <f t="shared" si="6"/>
        <v>55.0356723888412</v>
      </c>
      <c r="G16" s="55">
        <f t="shared" si="6"/>
        <v>54.1395223529544</v>
      </c>
      <c r="H16" s="55">
        <f t="shared" si="6"/>
        <v>53.9770207017332</v>
      </c>
      <c r="I16" s="55">
        <f t="shared" si="6"/>
        <v>48.1851149458195</v>
      </c>
      <c r="J16" s="55">
        <f t="shared" si="6"/>
        <v>53.1946587756278</v>
      </c>
      <c r="K16" s="55">
        <f t="shared" si="6"/>
        <v>53.9084269261132</v>
      </c>
      <c r="L16" s="55">
        <f t="shared" si="6"/>
        <v>41.5407778674869</v>
      </c>
      <c r="M16" s="55">
        <f t="shared" si="6"/>
        <v>57.1479241212136</v>
      </c>
      <c r="N16" s="55">
        <f t="shared" si="6"/>
        <v>47.85749205375</v>
      </c>
      <c r="O16" s="55">
        <f t="shared" si="6"/>
        <v>48.7161010021</v>
      </c>
      <c r="P16" s="55">
        <f t="shared" si="6"/>
        <v>50.59060696075</v>
      </c>
      <c r="Q16" s="55">
        <f t="shared" si="1"/>
        <v>613.266673980492</v>
      </c>
    </row>
    <row r="17" spans="2:17">
      <c r="B17" s="656"/>
      <c r="C17" s="678"/>
      <c r="D17" s="47" t="s">
        <v>358</v>
      </c>
      <c r="E17" s="55">
        <f t="shared" ref="E17:P17" si="7">E187+E358</f>
        <v>79.5014294241838</v>
      </c>
      <c r="F17" s="55">
        <f t="shared" si="7"/>
        <v>72.8509095612833</v>
      </c>
      <c r="G17" s="55">
        <f t="shared" si="7"/>
        <v>64.4555638145115</v>
      </c>
      <c r="H17" s="55">
        <f t="shared" si="7"/>
        <v>47.9117609862402</v>
      </c>
      <c r="I17" s="55">
        <f t="shared" si="7"/>
        <v>67.5756807945274</v>
      </c>
      <c r="J17" s="55">
        <f t="shared" si="7"/>
        <v>75.8864026177795</v>
      </c>
      <c r="K17" s="55">
        <f t="shared" si="7"/>
        <v>84.8145357186703</v>
      </c>
      <c r="L17" s="55">
        <f t="shared" si="7"/>
        <v>75.5851829065772</v>
      </c>
      <c r="M17" s="55">
        <f t="shared" si="7"/>
        <v>80.0278743420054</v>
      </c>
      <c r="N17" s="55">
        <f t="shared" si="7"/>
        <v>93.658424934</v>
      </c>
      <c r="O17" s="55">
        <f t="shared" si="7"/>
        <v>85.50160845735</v>
      </c>
      <c r="P17" s="55">
        <f t="shared" si="7"/>
        <v>76.57193242065</v>
      </c>
      <c r="Q17" s="55">
        <f t="shared" si="1"/>
        <v>904.341305977779</v>
      </c>
    </row>
    <row r="18" spans="2:17">
      <c r="B18" s="656"/>
      <c r="C18" s="678"/>
      <c r="D18" s="47" t="s">
        <v>359</v>
      </c>
      <c r="E18" s="55">
        <f t="shared" ref="E18:P18" si="8">E188+E359</f>
        <v>0</v>
      </c>
      <c r="F18" s="55">
        <f t="shared" si="8"/>
        <v>0</v>
      </c>
      <c r="G18" s="55">
        <f t="shared" si="8"/>
        <v>0</v>
      </c>
      <c r="H18" s="55">
        <f t="shared" si="8"/>
        <v>0</v>
      </c>
      <c r="I18" s="55">
        <f t="shared" si="8"/>
        <v>0</v>
      </c>
      <c r="J18" s="55">
        <f t="shared" si="8"/>
        <v>0</v>
      </c>
      <c r="K18" s="55">
        <f t="shared" si="8"/>
        <v>0</v>
      </c>
      <c r="L18" s="55">
        <f t="shared" si="8"/>
        <v>0</v>
      </c>
      <c r="M18" s="55">
        <f t="shared" si="8"/>
        <v>0</v>
      </c>
      <c r="N18" s="55">
        <f t="shared" si="8"/>
        <v>0</v>
      </c>
      <c r="O18" s="55">
        <f t="shared" si="8"/>
        <v>0</v>
      </c>
      <c r="P18" s="55">
        <f t="shared" si="8"/>
        <v>0</v>
      </c>
      <c r="Q18" s="55">
        <f t="shared" si="1"/>
        <v>0</v>
      </c>
    </row>
    <row r="19" spans="2:17">
      <c r="B19" s="656"/>
      <c r="C19" s="678"/>
      <c r="D19" s="679" t="s">
        <v>492</v>
      </c>
      <c r="E19" s="55">
        <f t="shared" ref="E19:P19" si="9">E189+E360</f>
        <v>0</v>
      </c>
      <c r="F19" s="55">
        <f t="shared" si="9"/>
        <v>0</v>
      </c>
      <c r="G19" s="55">
        <f t="shared" si="9"/>
        <v>0</v>
      </c>
      <c r="H19" s="55">
        <f t="shared" si="9"/>
        <v>0</v>
      </c>
      <c r="I19" s="55">
        <f t="shared" si="9"/>
        <v>0</v>
      </c>
      <c r="J19" s="55">
        <f t="shared" si="9"/>
        <v>0</v>
      </c>
      <c r="K19" s="55">
        <f t="shared" si="9"/>
        <v>0</v>
      </c>
      <c r="L19" s="55">
        <f t="shared" si="9"/>
        <v>0</v>
      </c>
      <c r="M19" s="55">
        <f t="shared" si="9"/>
        <v>0</v>
      </c>
      <c r="N19" s="55">
        <f t="shared" si="9"/>
        <v>0</v>
      </c>
      <c r="O19" s="55">
        <f t="shared" si="9"/>
        <v>0</v>
      </c>
      <c r="P19" s="55">
        <f t="shared" si="9"/>
        <v>7.02315103675</v>
      </c>
      <c r="Q19" s="55">
        <f t="shared" si="1"/>
        <v>7.02315103675</v>
      </c>
    </row>
    <row r="20" spans="2:17">
      <c r="B20" s="656"/>
      <c r="C20" s="678"/>
      <c r="D20" s="47"/>
      <c r="E20" s="55">
        <f t="shared" ref="E20:P20" si="10">E190+E361</f>
        <v>0</v>
      </c>
      <c r="F20" s="55">
        <f t="shared" si="10"/>
        <v>0</v>
      </c>
      <c r="G20" s="55">
        <f t="shared" si="10"/>
        <v>0</v>
      </c>
      <c r="H20" s="55">
        <f t="shared" si="10"/>
        <v>0</v>
      </c>
      <c r="I20" s="55">
        <f t="shared" si="10"/>
        <v>0</v>
      </c>
      <c r="J20" s="55">
        <f t="shared" si="10"/>
        <v>0</v>
      </c>
      <c r="K20" s="55">
        <f t="shared" si="10"/>
        <v>0</v>
      </c>
      <c r="L20" s="55">
        <f t="shared" si="10"/>
        <v>0</v>
      </c>
      <c r="M20" s="55">
        <f t="shared" si="10"/>
        <v>0</v>
      </c>
      <c r="N20" s="55">
        <f t="shared" si="10"/>
        <v>0</v>
      </c>
      <c r="O20" s="55">
        <f t="shared" si="10"/>
        <v>0</v>
      </c>
      <c r="P20" s="55">
        <f t="shared" si="10"/>
        <v>0</v>
      </c>
      <c r="Q20" s="55">
        <f t="shared" si="1"/>
        <v>0</v>
      </c>
    </row>
    <row r="21" spans="2:17">
      <c r="B21" s="656"/>
      <c r="C21" s="678"/>
      <c r="D21" s="47"/>
      <c r="E21" s="55">
        <f t="shared" ref="E21:P21" si="11">E191+E362</f>
        <v>0</v>
      </c>
      <c r="F21" s="55">
        <f t="shared" si="11"/>
        <v>0</v>
      </c>
      <c r="G21" s="55">
        <f t="shared" si="11"/>
        <v>0</v>
      </c>
      <c r="H21" s="55">
        <f t="shared" si="11"/>
        <v>0</v>
      </c>
      <c r="I21" s="55">
        <f t="shared" si="11"/>
        <v>0</v>
      </c>
      <c r="J21" s="55">
        <f t="shared" si="11"/>
        <v>0</v>
      </c>
      <c r="K21" s="55">
        <f t="shared" si="11"/>
        <v>0</v>
      </c>
      <c r="L21" s="55">
        <f t="shared" si="11"/>
        <v>0</v>
      </c>
      <c r="M21" s="55">
        <f t="shared" si="11"/>
        <v>0</v>
      </c>
      <c r="N21" s="55">
        <f t="shared" si="11"/>
        <v>0</v>
      </c>
      <c r="O21" s="55">
        <f t="shared" si="11"/>
        <v>0</v>
      </c>
      <c r="P21" s="55">
        <f t="shared" si="11"/>
        <v>0</v>
      </c>
      <c r="Q21" s="55">
        <f t="shared" si="1"/>
        <v>0</v>
      </c>
    </row>
    <row r="22" spans="2:17">
      <c r="B22" s="656"/>
      <c r="C22" s="678"/>
      <c r="D22" s="47"/>
      <c r="E22" s="55">
        <f t="shared" ref="E22:P22" si="12">E192+E363</f>
        <v>0</v>
      </c>
      <c r="F22" s="55">
        <f t="shared" si="12"/>
        <v>0</v>
      </c>
      <c r="G22" s="55">
        <f t="shared" si="12"/>
        <v>0</v>
      </c>
      <c r="H22" s="55">
        <f t="shared" si="12"/>
        <v>0</v>
      </c>
      <c r="I22" s="55">
        <f t="shared" si="12"/>
        <v>0</v>
      </c>
      <c r="J22" s="55">
        <f t="shared" si="12"/>
        <v>0</v>
      </c>
      <c r="K22" s="55">
        <f t="shared" si="12"/>
        <v>0</v>
      </c>
      <c r="L22" s="55">
        <f t="shared" si="12"/>
        <v>0</v>
      </c>
      <c r="M22" s="55">
        <f t="shared" si="12"/>
        <v>0</v>
      </c>
      <c r="N22" s="55">
        <f t="shared" si="12"/>
        <v>0</v>
      </c>
      <c r="O22" s="55">
        <f t="shared" si="12"/>
        <v>0</v>
      </c>
      <c r="P22" s="55">
        <f t="shared" si="12"/>
        <v>0</v>
      </c>
      <c r="Q22" s="55">
        <f t="shared" si="1"/>
        <v>0</v>
      </c>
    </row>
    <row r="23" spans="2:17">
      <c r="B23" s="656"/>
      <c r="C23" s="678"/>
      <c r="D23" s="47"/>
      <c r="E23" s="55">
        <f t="shared" ref="E23:P23" si="13">E193+E364</f>
        <v>0</v>
      </c>
      <c r="F23" s="55">
        <f t="shared" si="13"/>
        <v>0</v>
      </c>
      <c r="G23" s="55">
        <f t="shared" si="13"/>
        <v>0</v>
      </c>
      <c r="H23" s="55">
        <f t="shared" si="13"/>
        <v>0</v>
      </c>
      <c r="I23" s="55">
        <f t="shared" si="13"/>
        <v>0</v>
      </c>
      <c r="J23" s="55">
        <f t="shared" si="13"/>
        <v>0</v>
      </c>
      <c r="K23" s="55">
        <f t="shared" si="13"/>
        <v>0</v>
      </c>
      <c r="L23" s="55">
        <f t="shared" si="13"/>
        <v>0</v>
      </c>
      <c r="M23" s="55">
        <f t="shared" si="13"/>
        <v>0</v>
      </c>
      <c r="N23" s="55">
        <f t="shared" si="13"/>
        <v>0</v>
      </c>
      <c r="O23" s="55">
        <f t="shared" si="13"/>
        <v>0</v>
      </c>
      <c r="P23" s="55">
        <f t="shared" si="13"/>
        <v>0</v>
      </c>
      <c r="Q23" s="55">
        <f t="shared" si="1"/>
        <v>0</v>
      </c>
    </row>
    <row r="24" spans="2:17">
      <c r="B24" s="656"/>
      <c r="C24" s="678"/>
      <c r="D24" s="47"/>
      <c r="E24" s="55">
        <f t="shared" ref="E24:P24" si="14">E194+E365</f>
        <v>0</v>
      </c>
      <c r="F24" s="55">
        <f t="shared" si="14"/>
        <v>0</v>
      </c>
      <c r="G24" s="55">
        <f t="shared" si="14"/>
        <v>0</v>
      </c>
      <c r="H24" s="55">
        <f t="shared" si="14"/>
        <v>0</v>
      </c>
      <c r="I24" s="55">
        <f t="shared" si="14"/>
        <v>0</v>
      </c>
      <c r="J24" s="55">
        <f t="shared" si="14"/>
        <v>0</v>
      </c>
      <c r="K24" s="55">
        <f t="shared" si="14"/>
        <v>0</v>
      </c>
      <c r="L24" s="55">
        <f t="shared" si="14"/>
        <v>0</v>
      </c>
      <c r="M24" s="55">
        <f t="shared" si="14"/>
        <v>0</v>
      </c>
      <c r="N24" s="55">
        <f t="shared" si="14"/>
        <v>0</v>
      </c>
      <c r="O24" s="55">
        <f t="shared" si="14"/>
        <v>0</v>
      </c>
      <c r="P24" s="55">
        <f t="shared" si="14"/>
        <v>0</v>
      </c>
      <c r="Q24" s="55">
        <f t="shared" si="1"/>
        <v>0</v>
      </c>
    </row>
    <row r="25" spans="2:17">
      <c r="B25" s="656"/>
      <c r="C25" s="678"/>
      <c r="D25" s="47"/>
      <c r="E25" s="55">
        <f t="shared" ref="E25:P25" si="15">E195+E366</f>
        <v>0</v>
      </c>
      <c r="F25" s="55">
        <f t="shared" si="15"/>
        <v>0</v>
      </c>
      <c r="G25" s="55">
        <f t="shared" si="15"/>
        <v>0</v>
      </c>
      <c r="H25" s="55">
        <f t="shared" si="15"/>
        <v>0</v>
      </c>
      <c r="I25" s="55">
        <f t="shared" si="15"/>
        <v>0</v>
      </c>
      <c r="J25" s="55">
        <f t="shared" si="15"/>
        <v>0</v>
      </c>
      <c r="K25" s="55">
        <f t="shared" si="15"/>
        <v>0</v>
      </c>
      <c r="L25" s="55">
        <f t="shared" si="15"/>
        <v>0</v>
      </c>
      <c r="M25" s="55">
        <f t="shared" si="15"/>
        <v>0</v>
      </c>
      <c r="N25" s="55">
        <f t="shared" si="15"/>
        <v>0</v>
      </c>
      <c r="O25" s="55">
        <f t="shared" si="15"/>
        <v>0</v>
      </c>
      <c r="P25" s="55">
        <f t="shared" si="15"/>
        <v>0</v>
      </c>
      <c r="Q25" s="55">
        <f t="shared" si="1"/>
        <v>0</v>
      </c>
    </row>
    <row r="26" spans="2:17">
      <c r="B26" s="656"/>
      <c r="C26" s="678"/>
      <c r="D26" s="47"/>
      <c r="E26" s="55">
        <f t="shared" ref="E26:P26" si="16">E196+E367</f>
        <v>0</v>
      </c>
      <c r="F26" s="55">
        <f t="shared" si="16"/>
        <v>0</v>
      </c>
      <c r="G26" s="55">
        <f t="shared" si="16"/>
        <v>0</v>
      </c>
      <c r="H26" s="55">
        <f t="shared" si="16"/>
        <v>0</v>
      </c>
      <c r="I26" s="55">
        <f t="shared" si="16"/>
        <v>0</v>
      </c>
      <c r="J26" s="55">
        <f t="shared" si="16"/>
        <v>0</v>
      </c>
      <c r="K26" s="55">
        <f t="shared" si="16"/>
        <v>0</v>
      </c>
      <c r="L26" s="55">
        <f t="shared" si="16"/>
        <v>0</v>
      </c>
      <c r="M26" s="55">
        <f t="shared" si="16"/>
        <v>0</v>
      </c>
      <c r="N26" s="55">
        <f t="shared" si="16"/>
        <v>0</v>
      </c>
      <c r="O26" s="55">
        <f t="shared" si="16"/>
        <v>0</v>
      </c>
      <c r="P26" s="55">
        <f t="shared" si="16"/>
        <v>0</v>
      </c>
      <c r="Q26" s="55">
        <f t="shared" si="1"/>
        <v>0</v>
      </c>
    </row>
    <row r="27" spans="2:17">
      <c r="B27" s="656"/>
      <c r="C27" s="678"/>
      <c r="D27" s="47"/>
      <c r="E27" s="55">
        <f t="shared" ref="E27:P27" si="17">E197+E368</f>
        <v>0</v>
      </c>
      <c r="F27" s="55">
        <f t="shared" si="17"/>
        <v>0</v>
      </c>
      <c r="G27" s="55">
        <f t="shared" si="17"/>
        <v>0</v>
      </c>
      <c r="H27" s="55">
        <f t="shared" si="17"/>
        <v>0</v>
      </c>
      <c r="I27" s="55">
        <f t="shared" si="17"/>
        <v>0</v>
      </c>
      <c r="J27" s="55">
        <f t="shared" si="17"/>
        <v>0</v>
      </c>
      <c r="K27" s="55">
        <f t="shared" si="17"/>
        <v>0</v>
      </c>
      <c r="L27" s="55">
        <f t="shared" si="17"/>
        <v>0</v>
      </c>
      <c r="M27" s="55">
        <f t="shared" si="17"/>
        <v>0</v>
      </c>
      <c r="N27" s="55">
        <f t="shared" si="17"/>
        <v>0</v>
      </c>
      <c r="O27" s="55">
        <f t="shared" si="17"/>
        <v>0</v>
      </c>
      <c r="P27" s="55">
        <f t="shared" si="17"/>
        <v>0</v>
      </c>
      <c r="Q27" s="55">
        <f t="shared" si="1"/>
        <v>0</v>
      </c>
    </row>
    <row r="28" spans="2:17">
      <c r="B28" s="656"/>
      <c r="C28" s="680"/>
      <c r="D28" s="47"/>
      <c r="E28" s="55">
        <f t="shared" ref="E28:P28" si="18">E198+E369</f>
        <v>0</v>
      </c>
      <c r="F28" s="55">
        <f t="shared" si="18"/>
        <v>0</v>
      </c>
      <c r="G28" s="55">
        <f t="shared" si="18"/>
        <v>0</v>
      </c>
      <c r="H28" s="55">
        <f t="shared" si="18"/>
        <v>0</v>
      </c>
      <c r="I28" s="55">
        <f t="shared" si="18"/>
        <v>0</v>
      </c>
      <c r="J28" s="55">
        <f t="shared" si="18"/>
        <v>0</v>
      </c>
      <c r="K28" s="55">
        <f t="shared" si="18"/>
        <v>0</v>
      </c>
      <c r="L28" s="55">
        <f t="shared" si="18"/>
        <v>0</v>
      </c>
      <c r="M28" s="55">
        <f t="shared" si="18"/>
        <v>0</v>
      </c>
      <c r="N28" s="55">
        <f t="shared" si="18"/>
        <v>0</v>
      </c>
      <c r="O28" s="55">
        <f t="shared" si="18"/>
        <v>0</v>
      </c>
      <c r="P28" s="55">
        <f t="shared" si="18"/>
        <v>0</v>
      </c>
      <c r="Q28" s="55">
        <f t="shared" si="1"/>
        <v>0</v>
      </c>
    </row>
    <row r="29" ht="15" spans="3:17">
      <c r="C29" s="537" t="s">
        <v>211</v>
      </c>
      <c r="D29" s="540"/>
      <c r="E29" s="54">
        <f t="shared" ref="E29:P29" si="19">SUM(E11:E28)</f>
        <v>311.136043366593</v>
      </c>
      <c r="F29" s="54">
        <f t="shared" si="19"/>
        <v>318.11840527598</v>
      </c>
      <c r="G29" s="54">
        <f t="shared" si="19"/>
        <v>268.984996225275</v>
      </c>
      <c r="H29" s="54">
        <f t="shared" si="19"/>
        <v>187.066357441334</v>
      </c>
      <c r="I29" s="54">
        <f t="shared" si="19"/>
        <v>241.464200548782</v>
      </c>
      <c r="J29" s="54">
        <f t="shared" si="19"/>
        <v>265.548270536505</v>
      </c>
      <c r="K29" s="54">
        <f t="shared" si="19"/>
        <v>320.145029840346</v>
      </c>
      <c r="L29" s="54">
        <f t="shared" si="19"/>
        <v>301.015864164198</v>
      </c>
      <c r="M29" s="54">
        <f t="shared" si="19"/>
        <v>343.404748101644</v>
      </c>
      <c r="N29" s="54">
        <f t="shared" si="19"/>
        <v>316.1836932033</v>
      </c>
      <c r="O29" s="54">
        <f t="shared" si="19"/>
        <v>299.41933427285</v>
      </c>
      <c r="P29" s="54">
        <f t="shared" si="19"/>
        <v>312.5513364467</v>
      </c>
      <c r="Q29" s="54">
        <f t="shared" si="1"/>
        <v>3485.03827942351</v>
      </c>
    </row>
    <row r="30" ht="15" spans="3:17">
      <c r="C30" s="44" t="s">
        <v>360</v>
      </c>
      <c r="D30" s="4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3:17">
      <c r="C31" s="682" t="s">
        <v>351</v>
      </c>
      <c r="D31" s="55" t="s">
        <v>361</v>
      </c>
      <c r="E31" s="55">
        <f t="shared" ref="E31:P31" si="20">E201+E372</f>
        <v>0</v>
      </c>
      <c r="F31" s="55">
        <f t="shared" si="20"/>
        <v>0</v>
      </c>
      <c r="G31" s="55">
        <f t="shared" si="20"/>
        <v>0</v>
      </c>
      <c r="H31" s="55">
        <f t="shared" si="20"/>
        <v>0</v>
      </c>
      <c r="I31" s="55">
        <f t="shared" si="20"/>
        <v>0</v>
      </c>
      <c r="J31" s="55">
        <f t="shared" si="20"/>
        <v>0</v>
      </c>
      <c r="K31" s="55">
        <f t="shared" si="20"/>
        <v>0</v>
      </c>
      <c r="L31" s="55">
        <f t="shared" si="20"/>
        <v>0</v>
      </c>
      <c r="M31" s="55">
        <f t="shared" si="20"/>
        <v>0</v>
      </c>
      <c r="N31" s="55">
        <f t="shared" si="20"/>
        <v>0</v>
      </c>
      <c r="O31" s="55">
        <f t="shared" si="20"/>
        <v>0</v>
      </c>
      <c r="P31" s="55">
        <f t="shared" si="20"/>
        <v>0</v>
      </c>
      <c r="Q31" s="55">
        <f t="shared" ref="Q31:Q50" si="21">SUM(E31:P31)</f>
        <v>0</v>
      </c>
    </row>
    <row r="32" spans="3:17">
      <c r="C32" s="683"/>
      <c r="D32" s="55" t="s">
        <v>362</v>
      </c>
      <c r="E32" s="55">
        <f t="shared" ref="E32:P32" si="22">E202+E373</f>
        <v>0</v>
      </c>
      <c r="F32" s="55">
        <f t="shared" si="22"/>
        <v>0</v>
      </c>
      <c r="G32" s="55">
        <f t="shared" si="22"/>
        <v>0</v>
      </c>
      <c r="H32" s="55">
        <f t="shared" si="22"/>
        <v>0</v>
      </c>
      <c r="I32" s="55">
        <f t="shared" si="22"/>
        <v>0</v>
      </c>
      <c r="J32" s="55">
        <f t="shared" si="22"/>
        <v>0</v>
      </c>
      <c r="K32" s="55">
        <f t="shared" si="22"/>
        <v>0</v>
      </c>
      <c r="L32" s="55">
        <f t="shared" si="22"/>
        <v>0</v>
      </c>
      <c r="M32" s="55">
        <f t="shared" si="22"/>
        <v>0</v>
      </c>
      <c r="N32" s="55">
        <f t="shared" si="22"/>
        <v>0</v>
      </c>
      <c r="O32" s="55">
        <f t="shared" si="22"/>
        <v>0</v>
      </c>
      <c r="P32" s="55">
        <f t="shared" si="22"/>
        <v>0</v>
      </c>
      <c r="Q32" s="55">
        <f t="shared" si="21"/>
        <v>0</v>
      </c>
    </row>
    <row r="33" spans="3:17">
      <c r="C33" s="683"/>
      <c r="D33" s="55" t="s">
        <v>363</v>
      </c>
      <c r="E33" s="55">
        <f t="shared" ref="E33:P33" si="23">E203+E374</f>
        <v>0</v>
      </c>
      <c r="F33" s="55">
        <f t="shared" si="23"/>
        <v>0</v>
      </c>
      <c r="G33" s="55">
        <f t="shared" si="23"/>
        <v>0</v>
      </c>
      <c r="H33" s="55">
        <f t="shared" si="23"/>
        <v>0</v>
      </c>
      <c r="I33" s="55">
        <f t="shared" si="23"/>
        <v>0</v>
      </c>
      <c r="J33" s="55">
        <f t="shared" si="23"/>
        <v>0</v>
      </c>
      <c r="K33" s="55">
        <f t="shared" si="23"/>
        <v>0</v>
      </c>
      <c r="L33" s="55">
        <f t="shared" si="23"/>
        <v>0</v>
      </c>
      <c r="M33" s="55">
        <f t="shared" si="23"/>
        <v>0</v>
      </c>
      <c r="N33" s="55">
        <f t="shared" si="23"/>
        <v>0</v>
      </c>
      <c r="O33" s="55">
        <f t="shared" si="23"/>
        <v>0</v>
      </c>
      <c r="P33" s="55">
        <f t="shared" si="23"/>
        <v>0</v>
      </c>
      <c r="Q33" s="55">
        <f t="shared" si="21"/>
        <v>0</v>
      </c>
    </row>
    <row r="34" spans="3:17">
      <c r="C34" s="683"/>
      <c r="D34" s="55" t="s">
        <v>364</v>
      </c>
      <c r="E34" s="55">
        <f t="shared" ref="E34:P34" si="24">E204+E375</f>
        <v>0</v>
      </c>
      <c r="F34" s="55">
        <f t="shared" si="24"/>
        <v>0</v>
      </c>
      <c r="G34" s="55">
        <f t="shared" si="24"/>
        <v>0</v>
      </c>
      <c r="H34" s="55">
        <f t="shared" si="24"/>
        <v>0</v>
      </c>
      <c r="I34" s="55">
        <f t="shared" si="24"/>
        <v>0</v>
      </c>
      <c r="J34" s="55">
        <f t="shared" si="24"/>
        <v>0</v>
      </c>
      <c r="K34" s="55">
        <f t="shared" si="24"/>
        <v>0</v>
      </c>
      <c r="L34" s="55">
        <f t="shared" si="24"/>
        <v>0</v>
      </c>
      <c r="M34" s="55">
        <f t="shared" si="24"/>
        <v>0</v>
      </c>
      <c r="N34" s="55">
        <f t="shared" si="24"/>
        <v>0</v>
      </c>
      <c r="O34" s="55">
        <f t="shared" si="24"/>
        <v>0</v>
      </c>
      <c r="P34" s="55">
        <f t="shared" si="24"/>
        <v>0</v>
      </c>
      <c r="Q34" s="55">
        <f t="shared" si="21"/>
        <v>0</v>
      </c>
    </row>
    <row r="35" spans="3:17">
      <c r="C35" s="683"/>
      <c r="D35" s="55" t="s">
        <v>365</v>
      </c>
      <c r="E35" s="55">
        <f t="shared" ref="E35:P35" si="25">E205+E376</f>
        <v>0</v>
      </c>
      <c r="F35" s="55">
        <f t="shared" si="25"/>
        <v>0</v>
      </c>
      <c r="G35" s="55">
        <f t="shared" si="25"/>
        <v>0</v>
      </c>
      <c r="H35" s="55">
        <f t="shared" si="25"/>
        <v>0</v>
      </c>
      <c r="I35" s="55">
        <f t="shared" si="25"/>
        <v>0</v>
      </c>
      <c r="J35" s="55">
        <f t="shared" si="25"/>
        <v>0</v>
      </c>
      <c r="K35" s="55">
        <f t="shared" si="25"/>
        <v>0</v>
      </c>
      <c r="L35" s="55">
        <f t="shared" si="25"/>
        <v>0</v>
      </c>
      <c r="M35" s="55">
        <f t="shared" si="25"/>
        <v>0</v>
      </c>
      <c r="N35" s="55">
        <f t="shared" si="25"/>
        <v>0</v>
      </c>
      <c r="O35" s="55">
        <f t="shared" si="25"/>
        <v>0</v>
      </c>
      <c r="P35" s="55">
        <f t="shared" si="25"/>
        <v>0</v>
      </c>
      <c r="Q35" s="55">
        <f t="shared" si="21"/>
        <v>0</v>
      </c>
    </row>
    <row r="36" spans="3:17">
      <c r="C36" s="683"/>
      <c r="D36" s="55" t="s">
        <v>366</v>
      </c>
      <c r="E36" s="55">
        <f t="shared" ref="E36:P36" si="26">E206+E377</f>
        <v>0</v>
      </c>
      <c r="F36" s="55">
        <f t="shared" si="26"/>
        <v>0</v>
      </c>
      <c r="G36" s="55">
        <f t="shared" si="26"/>
        <v>0</v>
      </c>
      <c r="H36" s="55">
        <f t="shared" si="26"/>
        <v>0</v>
      </c>
      <c r="I36" s="55">
        <f t="shared" si="26"/>
        <v>0</v>
      </c>
      <c r="J36" s="55">
        <f t="shared" si="26"/>
        <v>0</v>
      </c>
      <c r="K36" s="55">
        <f t="shared" si="26"/>
        <v>0</v>
      </c>
      <c r="L36" s="55">
        <f t="shared" si="26"/>
        <v>0</v>
      </c>
      <c r="M36" s="55">
        <f t="shared" si="26"/>
        <v>0</v>
      </c>
      <c r="N36" s="55">
        <f t="shared" si="26"/>
        <v>0</v>
      </c>
      <c r="O36" s="55">
        <f t="shared" si="26"/>
        <v>0</v>
      </c>
      <c r="P36" s="55">
        <f t="shared" si="26"/>
        <v>0</v>
      </c>
      <c r="Q36" s="55">
        <f t="shared" si="21"/>
        <v>0</v>
      </c>
    </row>
    <row r="37" spans="3:17">
      <c r="C37" s="683"/>
      <c r="D37" s="55" t="s">
        <v>367</v>
      </c>
      <c r="E37" s="55">
        <f t="shared" ref="E37:P37" si="27">E207+E378</f>
        <v>0</v>
      </c>
      <c r="F37" s="55">
        <f t="shared" si="27"/>
        <v>0</v>
      </c>
      <c r="G37" s="55">
        <f t="shared" si="27"/>
        <v>0</v>
      </c>
      <c r="H37" s="55">
        <f t="shared" si="27"/>
        <v>0</v>
      </c>
      <c r="I37" s="55">
        <f t="shared" si="27"/>
        <v>0</v>
      </c>
      <c r="J37" s="55">
        <f t="shared" si="27"/>
        <v>0</v>
      </c>
      <c r="K37" s="55">
        <f t="shared" si="27"/>
        <v>0</v>
      </c>
      <c r="L37" s="55">
        <f t="shared" si="27"/>
        <v>0</v>
      </c>
      <c r="M37" s="55">
        <f t="shared" si="27"/>
        <v>0</v>
      </c>
      <c r="N37" s="55">
        <f t="shared" si="27"/>
        <v>0</v>
      </c>
      <c r="O37" s="55">
        <f t="shared" si="27"/>
        <v>0</v>
      </c>
      <c r="P37" s="55">
        <f t="shared" si="27"/>
        <v>0</v>
      </c>
      <c r="Q37" s="55">
        <f t="shared" si="21"/>
        <v>0</v>
      </c>
    </row>
    <row r="38" spans="3:17">
      <c r="C38" s="683"/>
      <c r="D38" s="55" t="s">
        <v>368</v>
      </c>
      <c r="E38" s="55">
        <f t="shared" ref="E38:P38" si="28">E208+E379</f>
        <v>0</v>
      </c>
      <c r="F38" s="55">
        <f t="shared" si="28"/>
        <v>0</v>
      </c>
      <c r="G38" s="55">
        <f t="shared" si="28"/>
        <v>0</v>
      </c>
      <c r="H38" s="55">
        <f t="shared" si="28"/>
        <v>0</v>
      </c>
      <c r="I38" s="55">
        <f t="shared" si="28"/>
        <v>0</v>
      </c>
      <c r="J38" s="55">
        <f t="shared" si="28"/>
        <v>0</v>
      </c>
      <c r="K38" s="55">
        <f t="shared" si="28"/>
        <v>0</v>
      </c>
      <c r="L38" s="55">
        <f t="shared" si="28"/>
        <v>0</v>
      </c>
      <c r="M38" s="55">
        <f t="shared" si="28"/>
        <v>0</v>
      </c>
      <c r="N38" s="55">
        <f t="shared" si="28"/>
        <v>0</v>
      </c>
      <c r="O38" s="55">
        <f t="shared" si="28"/>
        <v>0</v>
      </c>
      <c r="P38" s="55">
        <f t="shared" si="28"/>
        <v>0</v>
      </c>
      <c r="Q38" s="55">
        <f t="shared" si="21"/>
        <v>0</v>
      </c>
    </row>
    <row r="39" spans="3:17">
      <c r="C39" s="683"/>
      <c r="D39" s="55"/>
      <c r="E39" s="55">
        <f t="shared" ref="E39:P39" si="29">E209+E380</f>
        <v>32.65980459315</v>
      </c>
      <c r="F39" s="55">
        <f t="shared" si="29"/>
        <v>32.65980459315</v>
      </c>
      <c r="G39" s="55">
        <f t="shared" si="29"/>
        <v>32.65980459315</v>
      </c>
      <c r="H39" s="55">
        <f t="shared" si="29"/>
        <v>32.65980459315</v>
      </c>
      <c r="I39" s="55">
        <f t="shared" si="29"/>
        <v>32.65980459315</v>
      </c>
      <c r="J39" s="55">
        <f t="shared" si="29"/>
        <v>32.6598045833333</v>
      </c>
      <c r="K39" s="55">
        <f t="shared" si="29"/>
        <v>32.6598045833333</v>
      </c>
      <c r="L39" s="55">
        <f t="shared" si="29"/>
        <v>32.6598045833333</v>
      </c>
      <c r="M39" s="55">
        <f t="shared" si="29"/>
        <v>32.6598045833333</v>
      </c>
      <c r="N39" s="55">
        <f t="shared" si="29"/>
        <v>32.6598045833333</v>
      </c>
      <c r="O39" s="55">
        <f t="shared" si="29"/>
        <v>32.6598045833333</v>
      </c>
      <c r="P39" s="55">
        <f t="shared" si="29"/>
        <v>32.6598045833333</v>
      </c>
      <c r="Q39" s="55">
        <f t="shared" si="21"/>
        <v>391.917655049083</v>
      </c>
    </row>
    <row r="40" spans="3:17">
      <c r="C40" s="683"/>
      <c r="D40" s="679" t="s">
        <v>493</v>
      </c>
      <c r="E40" s="55">
        <f t="shared" ref="E40:P40" si="30">E210+E381</f>
        <v>32.0867566863</v>
      </c>
      <c r="F40" s="55">
        <f t="shared" si="30"/>
        <v>32.0867566863</v>
      </c>
      <c r="G40" s="55">
        <f t="shared" si="30"/>
        <v>32.0867566863</v>
      </c>
      <c r="H40" s="55">
        <f t="shared" si="30"/>
        <v>32.0867566863</v>
      </c>
      <c r="I40" s="55">
        <f t="shared" si="30"/>
        <v>32.0867566863</v>
      </c>
      <c r="J40" s="55">
        <f t="shared" si="30"/>
        <v>32.0867566863</v>
      </c>
      <c r="K40" s="55">
        <f t="shared" si="30"/>
        <v>32.0867566863</v>
      </c>
      <c r="L40" s="55">
        <f t="shared" si="30"/>
        <v>32.0867566863</v>
      </c>
      <c r="M40" s="55">
        <f t="shared" si="30"/>
        <v>32.0867566863</v>
      </c>
      <c r="N40" s="55">
        <f t="shared" si="30"/>
        <v>32.0867566863</v>
      </c>
      <c r="O40" s="55">
        <f t="shared" si="30"/>
        <v>32.0867566863</v>
      </c>
      <c r="P40" s="55">
        <f t="shared" si="30"/>
        <v>32.0867566863</v>
      </c>
      <c r="Q40" s="55">
        <f t="shared" si="21"/>
        <v>385.0410802356</v>
      </c>
    </row>
    <row r="41" spans="3:17">
      <c r="C41" s="683"/>
      <c r="D41" s="679" t="s">
        <v>494</v>
      </c>
      <c r="E41" s="55">
        <f t="shared" ref="E41:P41" si="31">E211+E382</f>
        <v>0</v>
      </c>
      <c r="F41" s="55">
        <f t="shared" si="31"/>
        <v>0</v>
      </c>
      <c r="G41" s="55">
        <f t="shared" si="31"/>
        <v>0</v>
      </c>
      <c r="H41" s="55">
        <f t="shared" si="31"/>
        <v>0</v>
      </c>
      <c r="I41" s="55">
        <f t="shared" si="31"/>
        <v>0</v>
      </c>
      <c r="J41" s="55">
        <f t="shared" si="31"/>
        <v>0</v>
      </c>
      <c r="K41" s="55">
        <f t="shared" si="31"/>
        <v>0</v>
      </c>
      <c r="L41" s="55">
        <f t="shared" si="31"/>
        <v>0</v>
      </c>
      <c r="M41" s="55">
        <f t="shared" si="31"/>
        <v>0</v>
      </c>
      <c r="N41" s="55">
        <f t="shared" si="31"/>
        <v>0</v>
      </c>
      <c r="O41" s="55">
        <f t="shared" si="31"/>
        <v>0</v>
      </c>
      <c r="P41" s="55">
        <f t="shared" si="31"/>
        <v>336.51038957165</v>
      </c>
      <c r="Q41" s="55">
        <f t="shared" si="21"/>
        <v>336.51038957165</v>
      </c>
    </row>
    <row r="42" spans="3:17">
      <c r="C42" s="683"/>
      <c r="D42" s="679"/>
      <c r="E42" s="55">
        <f t="shared" ref="E42:P42" si="32">E212+E383</f>
        <v>0</v>
      </c>
      <c r="F42" s="55">
        <f t="shared" si="32"/>
        <v>0</v>
      </c>
      <c r="G42" s="55">
        <f t="shared" si="32"/>
        <v>0</v>
      </c>
      <c r="H42" s="55">
        <f t="shared" si="32"/>
        <v>0</v>
      </c>
      <c r="I42" s="55">
        <f t="shared" si="32"/>
        <v>0</v>
      </c>
      <c r="J42" s="55">
        <f t="shared" si="32"/>
        <v>0</v>
      </c>
      <c r="K42" s="55">
        <f t="shared" si="32"/>
        <v>0</v>
      </c>
      <c r="L42" s="55">
        <f t="shared" si="32"/>
        <v>0</v>
      </c>
      <c r="M42" s="55">
        <f t="shared" si="32"/>
        <v>0</v>
      </c>
      <c r="N42" s="55">
        <f t="shared" si="32"/>
        <v>0</v>
      </c>
      <c r="O42" s="55">
        <f t="shared" si="32"/>
        <v>0</v>
      </c>
      <c r="P42" s="55">
        <f t="shared" si="32"/>
        <v>0</v>
      </c>
      <c r="Q42" s="55">
        <f t="shared" si="21"/>
        <v>0</v>
      </c>
    </row>
    <row r="43" spans="3:17">
      <c r="C43" s="683"/>
      <c r="D43" s="55"/>
      <c r="E43" s="55">
        <f t="shared" ref="E43:P43" si="33">E213+E384</f>
        <v>0</v>
      </c>
      <c r="F43" s="55">
        <f t="shared" si="33"/>
        <v>0</v>
      </c>
      <c r="G43" s="55">
        <f t="shared" si="33"/>
        <v>0</v>
      </c>
      <c r="H43" s="55">
        <f t="shared" si="33"/>
        <v>0</v>
      </c>
      <c r="I43" s="55">
        <f t="shared" si="33"/>
        <v>0</v>
      </c>
      <c r="J43" s="55">
        <f t="shared" si="33"/>
        <v>0</v>
      </c>
      <c r="K43" s="55">
        <f t="shared" si="33"/>
        <v>0</v>
      </c>
      <c r="L43" s="55">
        <f t="shared" si="33"/>
        <v>0</v>
      </c>
      <c r="M43" s="55">
        <f t="shared" si="33"/>
        <v>0</v>
      </c>
      <c r="N43" s="55">
        <f t="shared" si="33"/>
        <v>0</v>
      </c>
      <c r="O43" s="55">
        <f t="shared" si="33"/>
        <v>0</v>
      </c>
      <c r="P43" s="55">
        <f t="shared" si="33"/>
        <v>0</v>
      </c>
      <c r="Q43" s="55">
        <f t="shared" si="21"/>
        <v>0</v>
      </c>
    </row>
    <row r="44" spans="3:17">
      <c r="C44" s="683"/>
      <c r="D44" s="55"/>
      <c r="E44" s="55">
        <f t="shared" ref="E44:P44" si="34">E214+E385</f>
        <v>0</v>
      </c>
      <c r="F44" s="55">
        <f t="shared" si="34"/>
        <v>0</v>
      </c>
      <c r="G44" s="55">
        <f t="shared" si="34"/>
        <v>0</v>
      </c>
      <c r="H44" s="55">
        <f t="shared" si="34"/>
        <v>0</v>
      </c>
      <c r="I44" s="55">
        <f t="shared" si="34"/>
        <v>0</v>
      </c>
      <c r="J44" s="55">
        <f t="shared" si="34"/>
        <v>0</v>
      </c>
      <c r="K44" s="55">
        <f t="shared" si="34"/>
        <v>0</v>
      </c>
      <c r="L44" s="55">
        <f t="shared" si="34"/>
        <v>0</v>
      </c>
      <c r="M44" s="55">
        <f t="shared" si="34"/>
        <v>0</v>
      </c>
      <c r="N44" s="55">
        <f t="shared" si="34"/>
        <v>0</v>
      </c>
      <c r="O44" s="55">
        <f t="shared" si="34"/>
        <v>0</v>
      </c>
      <c r="P44" s="55">
        <f t="shared" si="34"/>
        <v>0</v>
      </c>
      <c r="Q44" s="55">
        <f t="shared" si="21"/>
        <v>0</v>
      </c>
    </row>
    <row r="45" spans="3:17">
      <c r="C45" s="683"/>
      <c r="D45" s="55"/>
      <c r="E45" s="55">
        <f t="shared" ref="E45:P45" si="35">E215+E386</f>
        <v>0</v>
      </c>
      <c r="F45" s="55">
        <f t="shared" si="35"/>
        <v>0</v>
      </c>
      <c r="G45" s="55">
        <f t="shared" si="35"/>
        <v>0</v>
      </c>
      <c r="H45" s="55">
        <f t="shared" si="35"/>
        <v>0</v>
      </c>
      <c r="I45" s="55">
        <f t="shared" si="35"/>
        <v>0</v>
      </c>
      <c r="J45" s="55">
        <f t="shared" si="35"/>
        <v>0</v>
      </c>
      <c r="K45" s="55">
        <f t="shared" si="35"/>
        <v>0</v>
      </c>
      <c r="L45" s="55">
        <f t="shared" si="35"/>
        <v>0</v>
      </c>
      <c r="M45" s="55">
        <f t="shared" si="35"/>
        <v>0</v>
      </c>
      <c r="N45" s="55">
        <f t="shared" si="35"/>
        <v>0</v>
      </c>
      <c r="O45" s="55">
        <f t="shared" si="35"/>
        <v>0</v>
      </c>
      <c r="P45" s="55">
        <f t="shared" si="35"/>
        <v>0</v>
      </c>
      <c r="Q45" s="55">
        <f t="shared" si="21"/>
        <v>0</v>
      </c>
    </row>
    <row r="46" spans="3:17">
      <c r="C46" s="683"/>
      <c r="D46" s="55"/>
      <c r="E46" s="55">
        <f t="shared" ref="E46:P46" si="36">E216+E387</f>
        <v>0</v>
      </c>
      <c r="F46" s="55">
        <f t="shared" si="36"/>
        <v>0</v>
      </c>
      <c r="G46" s="55">
        <f t="shared" si="36"/>
        <v>0</v>
      </c>
      <c r="H46" s="55">
        <f t="shared" si="36"/>
        <v>0</v>
      </c>
      <c r="I46" s="55">
        <f t="shared" si="36"/>
        <v>0</v>
      </c>
      <c r="J46" s="55">
        <f t="shared" si="36"/>
        <v>0</v>
      </c>
      <c r="K46" s="55">
        <f t="shared" si="36"/>
        <v>0</v>
      </c>
      <c r="L46" s="55">
        <f t="shared" si="36"/>
        <v>0</v>
      </c>
      <c r="M46" s="55">
        <f t="shared" si="36"/>
        <v>0</v>
      </c>
      <c r="N46" s="55">
        <f t="shared" si="36"/>
        <v>0</v>
      </c>
      <c r="O46" s="55">
        <f t="shared" si="36"/>
        <v>0</v>
      </c>
      <c r="P46" s="55">
        <f t="shared" si="36"/>
        <v>0</v>
      </c>
      <c r="Q46" s="55">
        <f t="shared" si="21"/>
        <v>0</v>
      </c>
    </row>
    <row r="47" spans="3:17">
      <c r="C47" s="683"/>
      <c r="D47" s="55"/>
      <c r="E47" s="55">
        <f t="shared" ref="E47:P47" si="37">E217+E388</f>
        <v>0</v>
      </c>
      <c r="F47" s="55">
        <f t="shared" si="37"/>
        <v>0</v>
      </c>
      <c r="G47" s="55">
        <f t="shared" si="37"/>
        <v>0</v>
      </c>
      <c r="H47" s="55">
        <f t="shared" si="37"/>
        <v>0</v>
      </c>
      <c r="I47" s="55">
        <f t="shared" si="37"/>
        <v>0</v>
      </c>
      <c r="J47" s="55">
        <f t="shared" si="37"/>
        <v>0</v>
      </c>
      <c r="K47" s="55">
        <f t="shared" si="37"/>
        <v>0</v>
      </c>
      <c r="L47" s="55">
        <f t="shared" si="37"/>
        <v>0</v>
      </c>
      <c r="M47" s="55">
        <f t="shared" si="37"/>
        <v>0</v>
      </c>
      <c r="N47" s="55">
        <f t="shared" si="37"/>
        <v>0</v>
      </c>
      <c r="O47" s="55">
        <f t="shared" si="37"/>
        <v>0</v>
      </c>
      <c r="P47" s="55">
        <f t="shared" si="37"/>
        <v>0</v>
      </c>
      <c r="Q47" s="55">
        <f t="shared" si="21"/>
        <v>0</v>
      </c>
    </row>
    <row r="48" spans="3:17">
      <c r="C48" s="684"/>
      <c r="D48" s="67"/>
      <c r="E48" s="55">
        <f t="shared" ref="E48:P48" si="38">E218+E389</f>
        <v>0</v>
      </c>
      <c r="F48" s="55">
        <f t="shared" si="38"/>
        <v>0</v>
      </c>
      <c r="G48" s="55">
        <f t="shared" si="38"/>
        <v>0</v>
      </c>
      <c r="H48" s="55">
        <f t="shared" si="38"/>
        <v>0</v>
      </c>
      <c r="I48" s="55">
        <f t="shared" si="38"/>
        <v>0</v>
      </c>
      <c r="J48" s="55">
        <f t="shared" si="38"/>
        <v>0</v>
      </c>
      <c r="K48" s="55">
        <f t="shared" si="38"/>
        <v>0</v>
      </c>
      <c r="L48" s="55">
        <f t="shared" si="38"/>
        <v>0</v>
      </c>
      <c r="M48" s="55">
        <f t="shared" si="38"/>
        <v>0</v>
      </c>
      <c r="N48" s="55">
        <f t="shared" si="38"/>
        <v>0</v>
      </c>
      <c r="O48" s="55">
        <f t="shared" si="38"/>
        <v>0</v>
      </c>
      <c r="P48" s="55">
        <f t="shared" si="38"/>
        <v>0</v>
      </c>
      <c r="Q48" s="55">
        <f t="shared" si="21"/>
        <v>0</v>
      </c>
    </row>
    <row r="49" ht="15" spans="3:17">
      <c r="C49" s="537" t="s">
        <v>211</v>
      </c>
      <c r="D49" s="540"/>
      <c r="E49" s="54">
        <f t="shared" ref="E49:P49" si="39">SUM(E31:E48)</f>
        <v>64.74656127945</v>
      </c>
      <c r="F49" s="54">
        <f t="shared" si="39"/>
        <v>64.74656127945</v>
      </c>
      <c r="G49" s="54">
        <f t="shared" si="39"/>
        <v>64.74656127945</v>
      </c>
      <c r="H49" s="54">
        <f t="shared" si="39"/>
        <v>64.74656127945</v>
      </c>
      <c r="I49" s="54">
        <f t="shared" si="39"/>
        <v>64.74656127945</v>
      </c>
      <c r="J49" s="54">
        <f t="shared" si="39"/>
        <v>64.7465612696333</v>
      </c>
      <c r="K49" s="54">
        <f t="shared" si="39"/>
        <v>64.7465612696333</v>
      </c>
      <c r="L49" s="54">
        <f t="shared" si="39"/>
        <v>64.7465612696333</v>
      </c>
      <c r="M49" s="54">
        <f t="shared" si="39"/>
        <v>64.7465612696333</v>
      </c>
      <c r="N49" s="54">
        <f t="shared" si="39"/>
        <v>64.7465612696333</v>
      </c>
      <c r="O49" s="54">
        <f t="shared" si="39"/>
        <v>64.7465612696333</v>
      </c>
      <c r="P49" s="54">
        <f t="shared" si="39"/>
        <v>401.256950841283</v>
      </c>
      <c r="Q49" s="54">
        <f t="shared" si="21"/>
        <v>1113.46912485633</v>
      </c>
    </row>
    <row r="50" ht="15" spans="3:17">
      <c r="C50" s="44" t="s">
        <v>369</v>
      </c>
      <c r="D50" s="45"/>
      <c r="E50" s="54">
        <f t="shared" ref="E50:P50" si="40">E29+E49</f>
        <v>375.882604646043</v>
      </c>
      <c r="F50" s="54">
        <f t="shared" si="40"/>
        <v>382.86496655543</v>
      </c>
      <c r="G50" s="54">
        <f t="shared" si="40"/>
        <v>333.731557504725</v>
      </c>
      <c r="H50" s="54">
        <f t="shared" si="40"/>
        <v>251.812918720784</v>
      </c>
      <c r="I50" s="54">
        <f t="shared" si="40"/>
        <v>306.210761828232</v>
      </c>
      <c r="J50" s="54">
        <f t="shared" si="40"/>
        <v>330.294831806139</v>
      </c>
      <c r="K50" s="54">
        <f t="shared" si="40"/>
        <v>384.891591109979</v>
      </c>
      <c r="L50" s="54">
        <f t="shared" si="40"/>
        <v>365.762425433832</v>
      </c>
      <c r="M50" s="54">
        <f t="shared" si="40"/>
        <v>408.151309371277</v>
      </c>
      <c r="N50" s="54">
        <f t="shared" si="40"/>
        <v>380.930254472933</v>
      </c>
      <c r="O50" s="54">
        <f t="shared" si="40"/>
        <v>364.165895542483</v>
      </c>
      <c r="P50" s="54">
        <f t="shared" si="40"/>
        <v>713.808287287983</v>
      </c>
      <c r="Q50" s="54">
        <f t="shared" si="21"/>
        <v>4598.50740427984</v>
      </c>
    </row>
    <row r="51" ht="15" spans="3:17">
      <c r="C51" s="663" t="s">
        <v>370</v>
      </c>
      <c r="D51" s="676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ht="15" spans="3:17">
      <c r="C52" s="44" t="s">
        <v>350</v>
      </c>
      <c r="D52" s="4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</row>
    <row r="53" spans="3:17">
      <c r="C53" s="682" t="s">
        <v>371</v>
      </c>
      <c r="D53" s="55" t="s">
        <v>372</v>
      </c>
      <c r="E53" s="55">
        <f t="shared" ref="E53:P53" si="41">E223+E394</f>
        <v>21.4798591911459</v>
      </c>
      <c r="F53" s="55">
        <f t="shared" si="41"/>
        <v>25.3277812835264</v>
      </c>
      <c r="G53" s="55">
        <f t="shared" si="41"/>
        <v>36.9046295557492</v>
      </c>
      <c r="H53" s="55">
        <f t="shared" si="41"/>
        <v>31.6459126263754</v>
      </c>
      <c r="I53" s="55">
        <f t="shared" si="41"/>
        <v>21.8249808567834</v>
      </c>
      <c r="J53" s="55">
        <f t="shared" si="41"/>
        <v>20.53285073873</v>
      </c>
      <c r="K53" s="55">
        <f t="shared" si="41"/>
        <v>14.0388651265799</v>
      </c>
      <c r="L53" s="55">
        <f t="shared" si="41"/>
        <v>12.9257076319542</v>
      </c>
      <c r="M53" s="55">
        <f t="shared" si="41"/>
        <v>16.06262798225</v>
      </c>
      <c r="N53" s="55">
        <f t="shared" si="41"/>
        <v>20.5472291723669</v>
      </c>
      <c r="O53" s="55">
        <f t="shared" si="41"/>
        <v>29.1310476027721</v>
      </c>
      <c r="P53" s="55">
        <f t="shared" si="41"/>
        <v>37.1447608491355</v>
      </c>
      <c r="Q53" s="55">
        <f t="shared" ref="Q53:Q78" si="42">SUM(E53:P53)</f>
        <v>287.566252617369</v>
      </c>
    </row>
    <row r="54" spans="3:17">
      <c r="C54" s="683"/>
      <c r="D54" s="55" t="s">
        <v>373</v>
      </c>
      <c r="E54" s="55">
        <f t="shared" ref="E54:P54" si="43">E224+E395</f>
        <v>6.21354747837185</v>
      </c>
      <c r="F54" s="55">
        <f t="shared" si="43"/>
        <v>6.987081067846</v>
      </c>
      <c r="G54" s="55">
        <f t="shared" si="43"/>
        <v>3.0404120123438</v>
      </c>
      <c r="H54" s="55">
        <f t="shared" si="43"/>
        <v>-0.0093838302</v>
      </c>
      <c r="I54" s="55">
        <f t="shared" si="43"/>
        <v>4.3229187501276</v>
      </c>
      <c r="J54" s="55">
        <f t="shared" si="43"/>
        <v>7.18718906815</v>
      </c>
      <c r="K54" s="55">
        <f t="shared" si="43"/>
        <v>5.1247834851264</v>
      </c>
      <c r="L54" s="55">
        <f t="shared" si="43"/>
        <v>4.5973422725331</v>
      </c>
      <c r="M54" s="55">
        <f t="shared" si="43"/>
        <v>5.8224459214808</v>
      </c>
      <c r="N54" s="55">
        <f t="shared" si="43"/>
        <v>6.56048576558075</v>
      </c>
      <c r="O54" s="55">
        <f t="shared" si="43"/>
        <v>7.7839655215908</v>
      </c>
      <c r="P54" s="55">
        <f t="shared" si="43"/>
        <v>8.05035572320855</v>
      </c>
      <c r="Q54" s="55">
        <f t="shared" si="42"/>
        <v>65.6811432361596</v>
      </c>
    </row>
    <row r="55" spans="3:17">
      <c r="C55" s="683"/>
      <c r="D55" s="55" t="s">
        <v>374</v>
      </c>
      <c r="E55" s="55">
        <f t="shared" ref="E55:P55" si="44">E225+E396</f>
        <v>10.6512681299433</v>
      </c>
      <c r="F55" s="55">
        <f t="shared" si="44"/>
        <v>11.7342086086841</v>
      </c>
      <c r="G55" s="55">
        <f t="shared" si="44"/>
        <v>12.0000753695948</v>
      </c>
      <c r="H55" s="55">
        <f t="shared" si="44"/>
        <v>16.6240770011517</v>
      </c>
      <c r="I55" s="55">
        <f t="shared" si="44"/>
        <v>14.1743086299143</v>
      </c>
      <c r="J55" s="55">
        <f t="shared" si="44"/>
        <v>12.9057589666824</v>
      </c>
      <c r="K55" s="55">
        <f t="shared" si="44"/>
        <v>23.0822978581606</v>
      </c>
      <c r="L55" s="55">
        <f t="shared" si="44"/>
        <v>7.0229430582584</v>
      </c>
      <c r="M55" s="55">
        <f t="shared" si="44"/>
        <v>9.1038778287756</v>
      </c>
      <c r="N55" s="55">
        <f t="shared" si="44"/>
        <v>9.0551754692613</v>
      </c>
      <c r="O55" s="55">
        <f t="shared" si="44"/>
        <v>9.481852082417</v>
      </c>
      <c r="P55" s="55">
        <f t="shared" si="44"/>
        <v>14.3650196239116</v>
      </c>
      <c r="Q55" s="55">
        <f t="shared" si="42"/>
        <v>150.200862626755</v>
      </c>
    </row>
    <row r="56" customHeight="1" spans="3:17">
      <c r="C56" s="683"/>
      <c r="D56" s="55" t="s">
        <v>375</v>
      </c>
      <c r="E56" s="55">
        <f t="shared" ref="E56:P56" si="45">E226+E397</f>
        <v>50.22816763986</v>
      </c>
      <c r="F56" s="55">
        <f t="shared" si="45"/>
        <v>61.6307338953212</v>
      </c>
      <c r="G56" s="55">
        <f t="shared" si="45"/>
        <v>48.5855376894532</v>
      </c>
      <c r="H56" s="55">
        <f t="shared" si="45"/>
        <v>47.5709595015434</v>
      </c>
      <c r="I56" s="55">
        <f t="shared" si="45"/>
        <v>42.045193973924</v>
      </c>
      <c r="J56" s="55">
        <f t="shared" si="45"/>
        <v>43.965771255181</v>
      </c>
      <c r="K56" s="55">
        <f t="shared" si="45"/>
        <v>49.5577896759748</v>
      </c>
      <c r="L56" s="55">
        <f t="shared" si="45"/>
        <v>15.672209410587</v>
      </c>
      <c r="M56" s="55">
        <f t="shared" si="45"/>
        <v>44.4020481912</v>
      </c>
      <c r="N56" s="55">
        <f t="shared" si="45"/>
        <v>57.0045171244395</v>
      </c>
      <c r="O56" s="55">
        <f t="shared" si="45"/>
        <v>90.5472051736818</v>
      </c>
      <c r="P56" s="55">
        <f t="shared" si="45"/>
        <v>74.185810692655</v>
      </c>
      <c r="Q56" s="55">
        <f t="shared" si="42"/>
        <v>625.395944223821</v>
      </c>
    </row>
    <row r="57" spans="3:17">
      <c r="C57" s="683"/>
      <c r="D57" s="55" t="s">
        <v>376</v>
      </c>
      <c r="E57" s="55">
        <f t="shared" ref="E57:P57" si="46">E227+E398</f>
        <v>24.8877065798487</v>
      </c>
      <c r="F57" s="55">
        <f t="shared" si="46"/>
        <v>32.1296539248667</v>
      </c>
      <c r="G57" s="55">
        <f t="shared" si="46"/>
        <v>12.7929833115859</v>
      </c>
      <c r="H57" s="55">
        <f t="shared" si="46"/>
        <v>20.98458688033</v>
      </c>
      <c r="I57" s="55">
        <f t="shared" si="46"/>
        <v>23.64685298582</v>
      </c>
      <c r="J57" s="55">
        <f t="shared" si="46"/>
        <v>19.9327147558064</v>
      </c>
      <c r="K57" s="55">
        <f t="shared" si="46"/>
        <v>33.4179231277174</v>
      </c>
      <c r="L57" s="55">
        <f t="shared" si="46"/>
        <v>20.48829108639</v>
      </c>
      <c r="M57" s="55">
        <f t="shared" si="46"/>
        <v>23.721404823527</v>
      </c>
      <c r="N57" s="55">
        <f t="shared" si="46"/>
        <v>27.801855573405</v>
      </c>
      <c r="O57" s="55">
        <f t="shared" si="46"/>
        <v>30.1872010234312</v>
      </c>
      <c r="P57" s="55">
        <f t="shared" si="46"/>
        <v>34.7406084600075</v>
      </c>
      <c r="Q57" s="55">
        <f t="shared" si="42"/>
        <v>304.731782532736</v>
      </c>
    </row>
    <row r="58" spans="3:17">
      <c r="C58" s="683"/>
      <c r="D58" s="55" t="s">
        <v>377</v>
      </c>
      <c r="E58" s="55">
        <f t="shared" ref="E58:P58" si="47">E228+E399</f>
        <v>26.4428134131901</v>
      </c>
      <c r="F58" s="55">
        <f t="shared" si="47"/>
        <v>26.4562893455692</v>
      </c>
      <c r="G58" s="55">
        <f t="shared" si="47"/>
        <v>32.3331905942124</v>
      </c>
      <c r="H58" s="55">
        <f t="shared" si="47"/>
        <v>27.8997414693868</v>
      </c>
      <c r="I58" s="55">
        <f t="shared" si="47"/>
        <v>26.4790142713822</v>
      </c>
      <c r="J58" s="55">
        <f t="shared" si="47"/>
        <v>29.3965065339277</v>
      </c>
      <c r="K58" s="55">
        <f t="shared" si="47"/>
        <v>15.9292281781576</v>
      </c>
      <c r="L58" s="55">
        <f t="shared" si="47"/>
        <v>7.0998284998</v>
      </c>
      <c r="M58" s="55">
        <f t="shared" si="47"/>
        <v>16.635136844546</v>
      </c>
      <c r="N58" s="55">
        <f t="shared" si="47"/>
        <v>23.0793601291005</v>
      </c>
      <c r="O58" s="55">
        <f t="shared" si="47"/>
        <v>32.111720242083</v>
      </c>
      <c r="P58" s="55">
        <f t="shared" si="47"/>
        <v>23.972987044351</v>
      </c>
      <c r="Q58" s="55">
        <f t="shared" si="42"/>
        <v>287.835816565707</v>
      </c>
    </row>
    <row r="59" spans="3:17">
      <c r="C59" s="683"/>
      <c r="D59" s="55" t="s">
        <v>378</v>
      </c>
      <c r="E59" s="55">
        <f t="shared" ref="E59:P59" si="48">E229+E400</f>
        <v>13.01976021345</v>
      </c>
      <c r="F59" s="55">
        <f t="shared" si="48"/>
        <v>16.5344744392</v>
      </c>
      <c r="G59" s="55">
        <f t="shared" si="48"/>
        <v>22.57737303755</v>
      </c>
      <c r="H59" s="55">
        <f t="shared" si="48"/>
        <v>13.0182287519058</v>
      </c>
      <c r="I59" s="55">
        <f t="shared" si="48"/>
        <v>17.57872470205</v>
      </c>
      <c r="J59" s="55">
        <f t="shared" si="48"/>
        <v>13.0564032461049</v>
      </c>
      <c r="K59" s="55">
        <f t="shared" si="48"/>
        <v>12.05364359835</v>
      </c>
      <c r="L59" s="55">
        <f t="shared" si="48"/>
        <v>17.4032844847</v>
      </c>
      <c r="M59" s="55">
        <f t="shared" si="48"/>
        <v>13.53716602655</v>
      </c>
      <c r="N59" s="55">
        <f t="shared" si="48"/>
        <v>14.72213937425</v>
      </c>
      <c r="O59" s="55">
        <f t="shared" si="48"/>
        <v>24.77970293755</v>
      </c>
      <c r="P59" s="55">
        <f t="shared" si="48"/>
        <v>52.6866298734092</v>
      </c>
      <c r="Q59" s="55">
        <f t="shared" si="42"/>
        <v>230.96753068507</v>
      </c>
    </row>
    <row r="60" spans="3:17">
      <c r="C60" s="683"/>
      <c r="D60" s="55" t="s">
        <v>379</v>
      </c>
      <c r="E60" s="55">
        <f t="shared" ref="E60:P60" si="49">E230+E401</f>
        <v>3.98904123264</v>
      </c>
      <c r="F60" s="55">
        <f t="shared" si="49"/>
        <v>3.466730853647</v>
      </c>
      <c r="G60" s="55">
        <f t="shared" si="49"/>
        <v>4.2742501325385</v>
      </c>
      <c r="H60" s="55">
        <f t="shared" si="49"/>
        <v>3.8406337212995</v>
      </c>
      <c r="I60" s="55">
        <f t="shared" si="49"/>
        <v>3.5963048496755</v>
      </c>
      <c r="J60" s="55">
        <f t="shared" si="49"/>
        <v>4.003166426846</v>
      </c>
      <c r="K60" s="55">
        <f t="shared" si="49"/>
        <v>3.1299128189795</v>
      </c>
      <c r="L60" s="55">
        <f t="shared" si="49"/>
        <v>4.1655440534045</v>
      </c>
      <c r="M60" s="55">
        <f t="shared" si="49"/>
        <v>2.447627982315</v>
      </c>
      <c r="N60" s="55">
        <f t="shared" si="49"/>
        <v>4.3278493593035</v>
      </c>
      <c r="O60" s="55">
        <f t="shared" si="49"/>
        <v>2.9511088715165</v>
      </c>
      <c r="P60" s="55">
        <f t="shared" si="49"/>
        <v>19.0246259737437</v>
      </c>
      <c r="Q60" s="55">
        <f t="shared" si="42"/>
        <v>59.2167962759092</v>
      </c>
    </row>
    <row r="61" spans="3:17">
      <c r="C61" s="684"/>
      <c r="D61" s="55" t="s">
        <v>380</v>
      </c>
      <c r="E61" s="55">
        <f t="shared" ref="E61:P61" si="50">E231+E402</f>
        <v>0</v>
      </c>
      <c r="F61" s="55">
        <f t="shared" si="50"/>
        <v>0</v>
      </c>
      <c r="G61" s="55">
        <f t="shared" si="50"/>
        <v>0</v>
      </c>
      <c r="H61" s="55">
        <f t="shared" si="50"/>
        <v>0</v>
      </c>
      <c r="I61" s="55">
        <f t="shared" si="50"/>
        <v>0</v>
      </c>
      <c r="J61" s="55">
        <f t="shared" si="50"/>
        <v>0</v>
      </c>
      <c r="K61" s="55">
        <f t="shared" si="50"/>
        <v>0</v>
      </c>
      <c r="L61" s="55">
        <f t="shared" si="50"/>
        <v>0</v>
      </c>
      <c r="M61" s="55">
        <f t="shared" si="50"/>
        <v>0</v>
      </c>
      <c r="N61" s="55">
        <f t="shared" si="50"/>
        <v>0</v>
      </c>
      <c r="O61" s="55">
        <f t="shared" si="50"/>
        <v>0</v>
      </c>
      <c r="P61" s="55">
        <f t="shared" si="50"/>
        <v>0</v>
      </c>
      <c r="Q61" s="55">
        <f t="shared" si="42"/>
        <v>0</v>
      </c>
    </row>
    <row r="62" spans="3:17">
      <c r="C62" s="55"/>
      <c r="D62" s="55" t="s">
        <v>381</v>
      </c>
      <c r="E62" s="55">
        <f t="shared" ref="E62:P62" si="51">E232+E403</f>
        <v>0.690965361008833</v>
      </c>
      <c r="F62" s="55">
        <f t="shared" si="51"/>
        <v>0.9688191827</v>
      </c>
      <c r="G62" s="55">
        <f t="shared" si="51"/>
        <v>0.673023617923271</v>
      </c>
      <c r="H62" s="55">
        <f t="shared" si="51"/>
        <v>0.6970228356</v>
      </c>
      <c r="I62" s="55">
        <f t="shared" si="51"/>
        <v>0.4290419127</v>
      </c>
      <c r="J62" s="55">
        <f t="shared" si="51"/>
        <v>0.2733508948</v>
      </c>
      <c r="K62" s="55">
        <f t="shared" si="51"/>
        <v>0.221042339908579</v>
      </c>
      <c r="L62" s="55">
        <f t="shared" si="51"/>
        <v>0.3947502075375</v>
      </c>
      <c r="M62" s="55">
        <f t="shared" si="51"/>
        <v>0.45362379825</v>
      </c>
      <c r="N62" s="55">
        <f t="shared" si="51"/>
        <v>0.64863791672275</v>
      </c>
      <c r="O62" s="55">
        <f t="shared" si="51"/>
        <v>0.5546719417575</v>
      </c>
      <c r="P62" s="55">
        <f t="shared" si="51"/>
        <v>33.9407526609862</v>
      </c>
      <c r="Q62" s="55">
        <f t="shared" si="42"/>
        <v>39.9457026698946</v>
      </c>
    </row>
    <row r="63" spans="3:17">
      <c r="C63" s="55"/>
      <c r="D63" s="55" t="s">
        <v>382</v>
      </c>
      <c r="E63" s="55">
        <f t="shared" ref="E63:P63" si="52">E233+E404</f>
        <v>0.8679994313639</v>
      </c>
      <c r="F63" s="55">
        <f t="shared" si="52"/>
        <v>1.7656319297</v>
      </c>
      <c r="G63" s="55">
        <f t="shared" si="52"/>
        <v>0.8225374987</v>
      </c>
      <c r="H63" s="55">
        <f t="shared" si="52"/>
        <v>1.43928125405</v>
      </c>
      <c r="I63" s="55">
        <f t="shared" si="52"/>
        <v>1.1852448767</v>
      </c>
      <c r="J63" s="55">
        <f t="shared" si="52"/>
        <v>0.9069924417</v>
      </c>
      <c r="K63" s="55">
        <f t="shared" si="52"/>
        <v>0.355322004177147</v>
      </c>
      <c r="L63" s="55">
        <f t="shared" si="52"/>
        <v>0.353190804589243</v>
      </c>
      <c r="M63" s="55">
        <f t="shared" si="52"/>
        <v>0.32450180465</v>
      </c>
      <c r="N63" s="55">
        <f t="shared" si="52"/>
        <v>0.25932836903675</v>
      </c>
      <c r="O63" s="55">
        <f t="shared" si="52"/>
        <v>0.612358586767843</v>
      </c>
      <c r="P63" s="55">
        <f t="shared" si="52"/>
        <v>1.10848219439665</v>
      </c>
      <c r="Q63" s="55">
        <f t="shared" si="42"/>
        <v>10.0008711958315</v>
      </c>
    </row>
    <row r="64" spans="3:17">
      <c r="C64" s="55"/>
      <c r="D64" s="55" t="s">
        <v>383</v>
      </c>
      <c r="E64" s="55">
        <f t="shared" ref="E64:P64" si="53">E234+E405</f>
        <v>4.17988577847045</v>
      </c>
      <c r="F64" s="55">
        <f t="shared" si="53"/>
        <v>4.951420843</v>
      </c>
      <c r="G64" s="55">
        <f t="shared" si="53"/>
        <v>4.29317157004998</v>
      </c>
      <c r="H64" s="55">
        <f t="shared" si="53"/>
        <v>5.0724576336</v>
      </c>
      <c r="I64" s="55">
        <f t="shared" si="53"/>
        <v>4.572216164</v>
      </c>
      <c r="J64" s="55">
        <f t="shared" si="53"/>
        <v>4.305871542</v>
      </c>
      <c r="K64" s="55">
        <f t="shared" si="53"/>
        <v>4.2264027157715</v>
      </c>
      <c r="L64" s="55">
        <f t="shared" si="53"/>
        <v>4.18500256817072</v>
      </c>
      <c r="M64" s="55">
        <f t="shared" si="53"/>
        <v>2.6988731564</v>
      </c>
      <c r="N64" s="55">
        <f t="shared" si="53"/>
        <v>4.37856812718782</v>
      </c>
      <c r="O64" s="55">
        <f t="shared" si="53"/>
        <v>4.49225457414811</v>
      </c>
      <c r="P64" s="55">
        <f t="shared" si="53"/>
        <v>5.04586464114754</v>
      </c>
      <c r="Q64" s="55">
        <f t="shared" si="42"/>
        <v>52.4019893139461</v>
      </c>
    </row>
    <row r="65" spans="3:17">
      <c r="C65" s="55"/>
      <c r="D65" s="55" t="s">
        <v>384</v>
      </c>
      <c r="E65" s="55">
        <f t="shared" ref="E65:P65" si="54">E235+E406</f>
        <v>0</v>
      </c>
      <c r="F65" s="55">
        <f t="shared" si="54"/>
        <v>0</v>
      </c>
      <c r="G65" s="55">
        <f t="shared" si="54"/>
        <v>0</v>
      </c>
      <c r="H65" s="55">
        <f t="shared" si="54"/>
        <v>0</v>
      </c>
      <c r="I65" s="55">
        <f t="shared" si="54"/>
        <v>0</v>
      </c>
      <c r="J65" s="55">
        <f t="shared" si="54"/>
        <v>0</v>
      </c>
      <c r="K65" s="55">
        <f t="shared" si="54"/>
        <v>0.328709513691186</v>
      </c>
      <c r="L65" s="55">
        <f t="shared" si="54"/>
        <v>0.4627790951542</v>
      </c>
      <c r="M65" s="55">
        <f t="shared" si="54"/>
        <v>0.43610405215</v>
      </c>
      <c r="N65" s="55">
        <f t="shared" si="54"/>
        <v>0.41032104835</v>
      </c>
      <c r="O65" s="55">
        <f t="shared" si="54"/>
        <v>0.488282583821</v>
      </c>
      <c r="P65" s="55">
        <f t="shared" si="54"/>
        <v>0.36541227200275</v>
      </c>
      <c r="Q65" s="55">
        <f t="shared" si="42"/>
        <v>2.49160856516914</v>
      </c>
    </row>
    <row r="66" spans="3:17">
      <c r="C66" s="55"/>
      <c r="D66" s="55" t="s">
        <v>385</v>
      </c>
      <c r="E66" s="55">
        <f t="shared" ref="E66:P66" si="55">E236+E407</f>
        <v>0</v>
      </c>
      <c r="F66" s="55">
        <f t="shared" si="55"/>
        <v>0</v>
      </c>
      <c r="G66" s="55">
        <f t="shared" si="55"/>
        <v>0</v>
      </c>
      <c r="H66" s="55">
        <f t="shared" si="55"/>
        <v>0</v>
      </c>
      <c r="I66" s="55">
        <f t="shared" si="55"/>
        <v>0</v>
      </c>
      <c r="J66" s="55">
        <f t="shared" si="55"/>
        <v>0</v>
      </c>
      <c r="K66" s="55">
        <f t="shared" si="55"/>
        <v>0.359074244739314</v>
      </c>
      <c r="L66" s="55">
        <f t="shared" si="55"/>
        <v>0.167919026764884</v>
      </c>
      <c r="M66" s="55">
        <f t="shared" si="55"/>
        <v>0.3061666175</v>
      </c>
      <c r="N66" s="55">
        <f t="shared" si="55"/>
        <v>0.13320628879025</v>
      </c>
      <c r="O66" s="55">
        <f t="shared" si="55"/>
        <v>0.3541725324</v>
      </c>
      <c r="P66" s="55">
        <f t="shared" si="55"/>
        <v>0.143166419301154</v>
      </c>
      <c r="Q66" s="55">
        <f t="shared" si="42"/>
        <v>1.4637051294956</v>
      </c>
    </row>
    <row r="67" spans="3:17">
      <c r="C67" s="55"/>
      <c r="D67" s="55" t="s">
        <v>386</v>
      </c>
      <c r="E67" s="55">
        <f t="shared" ref="E67:P67" si="56">E238+E408</f>
        <v>11.823068548775</v>
      </c>
      <c r="F67" s="55">
        <f t="shared" si="56"/>
        <v>14.21563889615</v>
      </c>
      <c r="G67" s="55">
        <f t="shared" si="56"/>
        <v>12.5732933542</v>
      </c>
      <c r="H67" s="55">
        <f t="shared" si="56"/>
        <v>8.51718010585</v>
      </c>
      <c r="I67" s="55">
        <f t="shared" si="56"/>
        <v>8.3979149978</v>
      </c>
      <c r="J67" s="55">
        <f t="shared" si="56"/>
        <v>9.8729026393</v>
      </c>
      <c r="K67" s="55">
        <f t="shared" si="56"/>
        <v>6.7248625004</v>
      </c>
      <c r="L67" s="55">
        <f t="shared" si="56"/>
        <v>7.6261909414</v>
      </c>
      <c r="M67" s="55">
        <f t="shared" si="56"/>
        <v>7.7812510381085</v>
      </c>
      <c r="N67" s="55">
        <f t="shared" si="56"/>
        <v>7.35658169855</v>
      </c>
      <c r="O67" s="55">
        <f t="shared" si="56"/>
        <v>9.82026904078075</v>
      </c>
      <c r="P67" s="55">
        <f t="shared" si="56"/>
        <v>33.65650255945</v>
      </c>
      <c r="Q67" s="55">
        <f t="shared" si="42"/>
        <v>138.365656320764</v>
      </c>
    </row>
    <row r="68" spans="3:17">
      <c r="C68" s="55"/>
      <c r="D68" s="55" t="s">
        <v>387</v>
      </c>
      <c r="E68" s="55">
        <f t="shared" ref="E68:P68" si="57">E239+E409</f>
        <v>8.99590092905</v>
      </c>
      <c r="F68" s="55">
        <f t="shared" si="57"/>
        <v>23.5595258630702</v>
      </c>
      <c r="G68" s="55">
        <f t="shared" si="57"/>
        <v>15.04072953315</v>
      </c>
      <c r="H68" s="55">
        <f t="shared" si="57"/>
        <v>13.09906570615</v>
      </c>
      <c r="I68" s="55">
        <f t="shared" si="57"/>
        <v>14.57640510685</v>
      </c>
      <c r="J68" s="55">
        <f t="shared" si="57"/>
        <v>10.5424290112</v>
      </c>
      <c r="K68" s="55">
        <f t="shared" si="57"/>
        <v>9.80041109098827</v>
      </c>
      <c r="L68" s="55">
        <f t="shared" si="57"/>
        <v>8.94629764615</v>
      </c>
      <c r="M68" s="55">
        <f t="shared" si="57"/>
        <v>13.9291678791</v>
      </c>
      <c r="N68" s="55">
        <f t="shared" si="57"/>
        <v>13.9582556441</v>
      </c>
      <c r="O68" s="55">
        <f t="shared" si="57"/>
        <v>17.92143918185</v>
      </c>
      <c r="P68" s="55">
        <f t="shared" si="57"/>
        <v>32.914711218</v>
      </c>
      <c r="Q68" s="55">
        <f t="shared" si="42"/>
        <v>183.284338809658</v>
      </c>
    </row>
    <row r="69" spans="3:17">
      <c r="C69" s="55"/>
      <c r="D69" s="731" t="s">
        <v>467</v>
      </c>
      <c r="E69" s="55">
        <f t="shared" ref="E69:P69" si="58">E240+E410</f>
        <v>0</v>
      </c>
      <c r="F69" s="55">
        <f t="shared" si="58"/>
        <v>0</v>
      </c>
      <c r="G69" s="55">
        <f t="shared" si="58"/>
        <v>0</v>
      </c>
      <c r="H69" s="55">
        <f t="shared" si="58"/>
        <v>0</v>
      </c>
      <c r="I69" s="55">
        <f t="shared" si="58"/>
        <v>0</v>
      </c>
      <c r="J69" s="55">
        <f t="shared" si="58"/>
        <v>0</v>
      </c>
      <c r="K69" s="55">
        <f t="shared" si="58"/>
        <v>0</v>
      </c>
      <c r="L69" s="55">
        <f t="shared" si="58"/>
        <v>0</v>
      </c>
      <c r="M69" s="55">
        <f t="shared" si="58"/>
        <v>0</v>
      </c>
      <c r="N69" s="55">
        <f t="shared" si="58"/>
        <v>0</v>
      </c>
      <c r="O69" s="55">
        <f t="shared" si="58"/>
        <v>0</v>
      </c>
      <c r="P69" s="55">
        <f t="shared" si="58"/>
        <v>0</v>
      </c>
      <c r="Q69" s="55">
        <f t="shared" si="42"/>
        <v>0</v>
      </c>
    </row>
    <row r="70" spans="3:17">
      <c r="C70" s="55"/>
      <c r="D70" s="731" t="s">
        <v>468</v>
      </c>
      <c r="E70" s="55">
        <f t="shared" ref="E70:P70" si="59">E241+E411</f>
        <v>0</v>
      </c>
      <c r="F70" s="55">
        <f t="shared" si="59"/>
        <v>0</v>
      </c>
      <c r="G70" s="55">
        <f t="shared" si="59"/>
        <v>0</v>
      </c>
      <c r="H70" s="55">
        <f t="shared" si="59"/>
        <v>0</v>
      </c>
      <c r="I70" s="55">
        <f t="shared" si="59"/>
        <v>0</v>
      </c>
      <c r="J70" s="55">
        <f t="shared" si="59"/>
        <v>0</v>
      </c>
      <c r="K70" s="55">
        <f t="shared" si="59"/>
        <v>0</v>
      </c>
      <c r="L70" s="55">
        <f t="shared" si="59"/>
        <v>0</v>
      </c>
      <c r="M70" s="55">
        <f t="shared" si="59"/>
        <v>0</v>
      </c>
      <c r="N70" s="55">
        <f t="shared" si="59"/>
        <v>0</v>
      </c>
      <c r="O70" s="55">
        <f t="shared" si="59"/>
        <v>0</v>
      </c>
      <c r="P70" s="55">
        <f t="shared" si="59"/>
        <v>0</v>
      </c>
      <c r="Q70" s="55">
        <f t="shared" si="42"/>
        <v>0</v>
      </c>
    </row>
    <row r="71" spans="3:17">
      <c r="C71" s="55"/>
      <c r="D71" s="687" t="s">
        <v>470</v>
      </c>
      <c r="E71" s="55">
        <f t="shared" ref="E71:P71" si="60">E242+E412</f>
        <v>0</v>
      </c>
      <c r="F71" s="55">
        <f t="shared" si="60"/>
        <v>0</v>
      </c>
      <c r="G71" s="55">
        <f t="shared" si="60"/>
        <v>0</v>
      </c>
      <c r="H71" s="55">
        <f t="shared" si="60"/>
        <v>0</v>
      </c>
      <c r="I71" s="55">
        <f t="shared" si="60"/>
        <v>0</v>
      </c>
      <c r="J71" s="55">
        <f t="shared" si="60"/>
        <v>0</v>
      </c>
      <c r="K71" s="55">
        <f t="shared" si="60"/>
        <v>0</v>
      </c>
      <c r="L71" s="55">
        <f t="shared" si="60"/>
        <v>0</v>
      </c>
      <c r="M71" s="55">
        <f t="shared" si="60"/>
        <v>0</v>
      </c>
      <c r="N71" s="55">
        <f t="shared" si="60"/>
        <v>0</v>
      </c>
      <c r="O71" s="55">
        <f t="shared" si="60"/>
        <v>0</v>
      </c>
      <c r="P71" s="55">
        <f t="shared" si="60"/>
        <v>0</v>
      </c>
      <c r="Q71" s="55">
        <f t="shared" si="42"/>
        <v>0</v>
      </c>
    </row>
    <row r="72" spans="3:17">
      <c r="C72" s="55"/>
      <c r="D72" s="687" t="s">
        <v>471</v>
      </c>
      <c r="E72" s="55">
        <f t="shared" ref="E72:P72" si="61">E243+E413</f>
        <v>0</v>
      </c>
      <c r="F72" s="55">
        <f t="shared" si="61"/>
        <v>0</v>
      </c>
      <c r="G72" s="55">
        <f t="shared" si="61"/>
        <v>0</v>
      </c>
      <c r="H72" s="55">
        <f t="shared" si="61"/>
        <v>0</v>
      </c>
      <c r="I72" s="55">
        <f t="shared" si="61"/>
        <v>0</v>
      </c>
      <c r="J72" s="55">
        <f t="shared" si="61"/>
        <v>0</v>
      </c>
      <c r="K72" s="55">
        <f t="shared" si="61"/>
        <v>0</v>
      </c>
      <c r="L72" s="55">
        <f t="shared" si="61"/>
        <v>0</v>
      </c>
      <c r="M72" s="55">
        <f t="shared" si="61"/>
        <v>0</v>
      </c>
      <c r="N72" s="55">
        <f t="shared" si="61"/>
        <v>0</v>
      </c>
      <c r="O72" s="55">
        <f t="shared" si="61"/>
        <v>0</v>
      </c>
      <c r="P72" s="55">
        <f t="shared" si="61"/>
        <v>0</v>
      </c>
      <c r="Q72" s="55">
        <f t="shared" si="42"/>
        <v>0</v>
      </c>
    </row>
    <row r="73" spans="3:17">
      <c r="C73" s="55"/>
      <c r="D73" s="731" t="s">
        <v>472</v>
      </c>
      <c r="E73" s="55">
        <f t="shared" ref="E73:P73" si="62">E244+E414</f>
        <v>0</v>
      </c>
      <c r="F73" s="55">
        <f t="shared" si="62"/>
        <v>0</v>
      </c>
      <c r="G73" s="55">
        <f t="shared" si="62"/>
        <v>0</v>
      </c>
      <c r="H73" s="55">
        <f t="shared" si="62"/>
        <v>0</v>
      </c>
      <c r="I73" s="55">
        <f t="shared" si="62"/>
        <v>0</v>
      </c>
      <c r="J73" s="55">
        <f t="shared" si="62"/>
        <v>0</v>
      </c>
      <c r="K73" s="55">
        <f t="shared" si="62"/>
        <v>0</v>
      </c>
      <c r="L73" s="55">
        <f t="shared" si="62"/>
        <v>0</v>
      </c>
      <c r="M73" s="55">
        <f t="shared" si="62"/>
        <v>0</v>
      </c>
      <c r="N73" s="55">
        <f t="shared" si="62"/>
        <v>0</v>
      </c>
      <c r="O73" s="55">
        <f t="shared" si="62"/>
        <v>0</v>
      </c>
      <c r="P73" s="55">
        <f t="shared" si="62"/>
        <v>0</v>
      </c>
      <c r="Q73" s="55">
        <f t="shared" si="42"/>
        <v>0</v>
      </c>
    </row>
    <row r="74" spans="3:17">
      <c r="C74" s="55"/>
      <c r="D74" s="731" t="s">
        <v>473</v>
      </c>
      <c r="E74" s="55">
        <f t="shared" ref="E74:P74" si="63">E245+E415</f>
        <v>0</v>
      </c>
      <c r="F74" s="55">
        <f t="shared" si="63"/>
        <v>0</v>
      </c>
      <c r="G74" s="55">
        <f t="shared" si="63"/>
        <v>0</v>
      </c>
      <c r="H74" s="55">
        <f t="shared" si="63"/>
        <v>0</v>
      </c>
      <c r="I74" s="55">
        <f t="shared" si="63"/>
        <v>0</v>
      </c>
      <c r="J74" s="55">
        <f t="shared" si="63"/>
        <v>0</v>
      </c>
      <c r="K74" s="55">
        <f t="shared" si="63"/>
        <v>0</v>
      </c>
      <c r="L74" s="55">
        <f t="shared" si="63"/>
        <v>0</v>
      </c>
      <c r="M74" s="55">
        <f t="shared" si="63"/>
        <v>0</v>
      </c>
      <c r="N74" s="55">
        <f t="shared" si="63"/>
        <v>0</v>
      </c>
      <c r="O74" s="55">
        <f t="shared" si="63"/>
        <v>0</v>
      </c>
      <c r="P74" s="55">
        <f t="shared" si="63"/>
        <v>0</v>
      </c>
      <c r="Q74" s="55">
        <f t="shared" si="42"/>
        <v>0</v>
      </c>
    </row>
    <row r="75" spans="3:17">
      <c r="C75" s="55"/>
      <c r="D75" s="679" t="s">
        <v>498</v>
      </c>
      <c r="E75" s="55">
        <f t="shared" ref="E75:P75" si="64">E246+E416</f>
        <v>0</v>
      </c>
      <c r="F75" s="55">
        <f t="shared" si="64"/>
        <v>0</v>
      </c>
      <c r="G75" s="55">
        <f t="shared" si="64"/>
        <v>0</v>
      </c>
      <c r="H75" s="55">
        <f t="shared" si="64"/>
        <v>0</v>
      </c>
      <c r="I75" s="55">
        <f t="shared" si="64"/>
        <v>0</v>
      </c>
      <c r="J75" s="55">
        <f t="shared" si="64"/>
        <v>0</v>
      </c>
      <c r="K75" s="55">
        <f t="shared" si="64"/>
        <v>0</v>
      </c>
      <c r="L75" s="55">
        <f t="shared" si="64"/>
        <v>0</v>
      </c>
      <c r="M75" s="55">
        <f t="shared" si="64"/>
        <v>0</v>
      </c>
      <c r="N75" s="55">
        <f t="shared" si="64"/>
        <v>0</v>
      </c>
      <c r="O75" s="55">
        <f t="shared" si="64"/>
        <v>0</v>
      </c>
      <c r="P75" s="55">
        <f t="shared" si="64"/>
        <v>0.52445293305</v>
      </c>
      <c r="Q75" s="55">
        <f t="shared" si="42"/>
        <v>0.52445293305</v>
      </c>
    </row>
    <row r="76" spans="3:17">
      <c r="C76" s="55"/>
      <c r="D76" s="55"/>
      <c r="E76" s="55">
        <f t="shared" ref="E76:P76" si="65">E247+E417</f>
        <v>0</v>
      </c>
      <c r="F76" s="55">
        <f t="shared" si="65"/>
        <v>0</v>
      </c>
      <c r="G76" s="55">
        <f t="shared" si="65"/>
        <v>0</v>
      </c>
      <c r="H76" s="55">
        <f t="shared" si="65"/>
        <v>0</v>
      </c>
      <c r="I76" s="55">
        <f t="shared" si="65"/>
        <v>0</v>
      </c>
      <c r="J76" s="55">
        <f t="shared" si="65"/>
        <v>0</v>
      </c>
      <c r="K76" s="55">
        <f t="shared" si="65"/>
        <v>0</v>
      </c>
      <c r="L76" s="55">
        <f t="shared" si="65"/>
        <v>0</v>
      </c>
      <c r="M76" s="55">
        <f t="shared" si="65"/>
        <v>0</v>
      </c>
      <c r="N76" s="55">
        <f t="shared" si="65"/>
        <v>0</v>
      </c>
      <c r="O76" s="55">
        <f t="shared" si="65"/>
        <v>0</v>
      </c>
      <c r="P76" s="55">
        <f t="shared" si="65"/>
        <v>0</v>
      </c>
      <c r="Q76" s="55">
        <f t="shared" si="42"/>
        <v>0</v>
      </c>
    </row>
    <row r="77" spans="3:17">
      <c r="C77" s="55"/>
      <c r="D77" s="55"/>
      <c r="E77" s="55">
        <f t="shared" ref="E77:P77" si="66">E248+E418</f>
        <v>0</v>
      </c>
      <c r="F77" s="55">
        <f t="shared" si="66"/>
        <v>0</v>
      </c>
      <c r="G77" s="55">
        <f t="shared" si="66"/>
        <v>0</v>
      </c>
      <c r="H77" s="55">
        <f t="shared" si="66"/>
        <v>0</v>
      </c>
      <c r="I77" s="55">
        <f t="shared" si="66"/>
        <v>0</v>
      </c>
      <c r="J77" s="55">
        <f t="shared" si="66"/>
        <v>0</v>
      </c>
      <c r="K77" s="55">
        <f t="shared" si="66"/>
        <v>0</v>
      </c>
      <c r="L77" s="55">
        <f t="shared" si="66"/>
        <v>0</v>
      </c>
      <c r="M77" s="55">
        <f t="shared" si="66"/>
        <v>0</v>
      </c>
      <c r="N77" s="55">
        <f t="shared" si="66"/>
        <v>0</v>
      </c>
      <c r="O77" s="55">
        <f t="shared" si="66"/>
        <v>0</v>
      </c>
      <c r="P77" s="55">
        <f t="shared" si="66"/>
        <v>0</v>
      </c>
      <c r="Q77" s="55">
        <f t="shared" si="42"/>
        <v>0</v>
      </c>
    </row>
    <row r="78" ht="15" spans="3:17">
      <c r="C78" s="537" t="s">
        <v>211</v>
      </c>
      <c r="D78" s="540"/>
      <c r="E78" s="54">
        <f t="shared" ref="E78:P78" si="67">SUM(E53:E77)</f>
        <v>183.469983927118</v>
      </c>
      <c r="F78" s="54">
        <f t="shared" si="67"/>
        <v>229.727990133281</v>
      </c>
      <c r="G78" s="54">
        <f t="shared" si="67"/>
        <v>205.911207277051</v>
      </c>
      <c r="H78" s="54">
        <f t="shared" si="67"/>
        <v>190.399763657043</v>
      </c>
      <c r="I78" s="54">
        <f t="shared" si="67"/>
        <v>182.829122077727</v>
      </c>
      <c r="J78" s="54">
        <f t="shared" si="67"/>
        <v>176.881907520428</v>
      </c>
      <c r="K78" s="54">
        <f t="shared" si="67"/>
        <v>178.350268278722</v>
      </c>
      <c r="L78" s="54">
        <f t="shared" si="67"/>
        <v>111.511280787394</v>
      </c>
      <c r="M78" s="54">
        <f t="shared" si="67"/>
        <v>157.662023946803</v>
      </c>
      <c r="N78" s="54">
        <f t="shared" si="67"/>
        <v>190.243511060445</v>
      </c>
      <c r="O78" s="54">
        <f t="shared" si="67"/>
        <v>261.217251896568</v>
      </c>
      <c r="P78" s="54">
        <f t="shared" si="67"/>
        <v>371.870143138756</v>
      </c>
      <c r="Q78" s="54">
        <f t="shared" si="42"/>
        <v>2440.07445370134</v>
      </c>
    </row>
    <row r="79" ht="15" spans="3:17">
      <c r="C79" s="44" t="s">
        <v>388</v>
      </c>
      <c r="D79" s="4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</row>
    <row r="80" spans="3:20">
      <c r="C80" s="682" t="s">
        <v>389</v>
      </c>
      <c r="D80" s="55" t="s">
        <v>390</v>
      </c>
      <c r="E80" s="55">
        <f t="shared" ref="E80:P80" si="68">E251+E421</f>
        <v>0.43599473375</v>
      </c>
      <c r="F80" s="55">
        <f t="shared" si="68"/>
        <v>0.33468926645</v>
      </c>
      <c r="G80" s="55">
        <f t="shared" si="68"/>
        <v>0.3983237957</v>
      </c>
      <c r="H80" s="55">
        <f t="shared" si="68"/>
        <v>0.55339268235</v>
      </c>
      <c r="I80" s="55">
        <f t="shared" si="68"/>
        <v>0.40008057655</v>
      </c>
      <c r="J80" s="55">
        <f t="shared" si="68"/>
        <v>0.49196010015</v>
      </c>
      <c r="K80" s="55">
        <f t="shared" si="68"/>
        <v>0.4721720856</v>
      </c>
      <c r="L80" s="55">
        <f t="shared" si="68"/>
        <v>0.52259269435</v>
      </c>
      <c r="M80" s="55">
        <f t="shared" si="68"/>
        <v>0.5447676903</v>
      </c>
      <c r="N80" s="55">
        <f t="shared" si="68"/>
        <v>0.5423642758</v>
      </c>
      <c r="O80" s="55">
        <f t="shared" si="68"/>
        <v>0.3711181802</v>
      </c>
      <c r="P80" s="55">
        <f t="shared" si="68"/>
        <v>0.50965224655</v>
      </c>
      <c r="Q80" s="55">
        <f t="shared" ref="Q80:Q95" si="69">SUM(E80:P80)</f>
        <v>5.57710832775</v>
      </c>
      <c r="T80" s="12">
        <v>10000000</v>
      </c>
    </row>
    <row r="81" spans="3:17">
      <c r="C81" s="683"/>
      <c r="D81" s="55" t="s">
        <v>391</v>
      </c>
      <c r="E81" s="55">
        <f t="shared" ref="E81:P81" si="70">E252+E422</f>
        <v>9.75065825145</v>
      </c>
      <c r="F81" s="55">
        <f t="shared" si="70"/>
        <v>10.1228503848</v>
      </c>
      <c r="G81" s="55">
        <f t="shared" si="70"/>
        <v>10.8331156485</v>
      </c>
      <c r="H81" s="55">
        <f t="shared" si="70"/>
        <v>10.22600369235</v>
      </c>
      <c r="I81" s="55">
        <f t="shared" si="70"/>
        <v>9.9853850295</v>
      </c>
      <c r="J81" s="55">
        <f t="shared" si="70"/>
        <v>7.8640911631</v>
      </c>
      <c r="K81" s="55">
        <f t="shared" si="70"/>
        <v>9.49460599215</v>
      </c>
      <c r="L81" s="55">
        <f t="shared" si="70"/>
        <v>8.96591988665</v>
      </c>
      <c r="M81" s="55">
        <f t="shared" si="70"/>
        <v>7.2268164875</v>
      </c>
      <c r="N81" s="55">
        <f t="shared" si="70"/>
        <v>9.97498190535</v>
      </c>
      <c r="O81" s="55">
        <f t="shared" si="70"/>
        <v>8.8339257229</v>
      </c>
      <c r="P81" s="55">
        <f t="shared" si="70"/>
        <v>19.4273868721</v>
      </c>
      <c r="Q81" s="55">
        <f t="shared" si="69"/>
        <v>122.70574103635</v>
      </c>
    </row>
    <row r="82" spans="3:17">
      <c r="C82" s="683"/>
      <c r="D82" s="55" t="s">
        <v>392</v>
      </c>
      <c r="E82" s="55">
        <f t="shared" ref="E82:P82" si="71">E253+E423</f>
        <v>0</v>
      </c>
      <c r="F82" s="55">
        <f t="shared" si="71"/>
        <v>0</v>
      </c>
      <c r="G82" s="55">
        <f t="shared" si="71"/>
        <v>0</v>
      </c>
      <c r="H82" s="55">
        <f t="shared" si="71"/>
        <v>0</v>
      </c>
      <c r="I82" s="55">
        <f t="shared" si="71"/>
        <v>0</v>
      </c>
      <c r="J82" s="55">
        <f t="shared" si="71"/>
        <v>0</v>
      </c>
      <c r="K82" s="55">
        <f t="shared" si="71"/>
        <v>0</v>
      </c>
      <c r="L82" s="55">
        <f t="shared" si="71"/>
        <v>0</v>
      </c>
      <c r="M82" s="55">
        <f t="shared" si="71"/>
        <v>0</v>
      </c>
      <c r="N82" s="55">
        <f t="shared" si="71"/>
        <v>0</v>
      </c>
      <c r="O82" s="55">
        <f t="shared" si="71"/>
        <v>0</v>
      </c>
      <c r="P82" s="55">
        <f t="shared" si="71"/>
        <v>0</v>
      </c>
      <c r="Q82" s="55">
        <f t="shared" si="69"/>
        <v>0</v>
      </c>
    </row>
    <row r="83" spans="3:17">
      <c r="C83" s="684"/>
      <c r="D83" s="55" t="s">
        <v>393</v>
      </c>
      <c r="E83" s="55">
        <f t="shared" ref="E83:P83" si="72">E254+E424</f>
        <v>0</v>
      </c>
      <c r="F83" s="55">
        <f t="shared" si="72"/>
        <v>0</v>
      </c>
      <c r="G83" s="55">
        <f t="shared" si="72"/>
        <v>5.16381162195</v>
      </c>
      <c r="H83" s="55">
        <f t="shared" si="72"/>
        <v>4.1079317897</v>
      </c>
      <c r="I83" s="55">
        <f t="shared" si="72"/>
        <v>4.31193191025</v>
      </c>
      <c r="J83" s="55">
        <f t="shared" si="72"/>
        <v>4.4465164371</v>
      </c>
      <c r="K83" s="55">
        <f t="shared" si="72"/>
        <v>4.610211376</v>
      </c>
      <c r="L83" s="55">
        <f t="shared" si="72"/>
        <v>4.6278845566</v>
      </c>
      <c r="M83" s="55">
        <f t="shared" si="72"/>
        <v>4.81843497995</v>
      </c>
      <c r="N83" s="55">
        <f t="shared" si="72"/>
        <v>4.2125454344</v>
      </c>
      <c r="O83" s="55">
        <f t="shared" si="72"/>
        <v>4.4789516658</v>
      </c>
      <c r="P83" s="55">
        <f t="shared" si="72"/>
        <v>4.9825168624</v>
      </c>
      <c r="Q83" s="55">
        <f t="shared" si="69"/>
        <v>45.76073663415</v>
      </c>
    </row>
    <row r="84" spans="3:17">
      <c r="C84" s="55"/>
      <c r="D84" s="55"/>
      <c r="E84" s="55">
        <f t="shared" ref="E84:P84" si="73">E255+E425</f>
        <v>0</v>
      </c>
      <c r="F84" s="55">
        <f t="shared" si="73"/>
        <v>0</v>
      </c>
      <c r="G84" s="55">
        <f t="shared" si="73"/>
        <v>0</v>
      </c>
      <c r="H84" s="55">
        <f t="shared" si="73"/>
        <v>0</v>
      </c>
      <c r="I84" s="55">
        <f t="shared" si="73"/>
        <v>0</v>
      </c>
      <c r="J84" s="55">
        <f t="shared" si="73"/>
        <v>0</v>
      </c>
      <c r="K84" s="55">
        <f t="shared" si="73"/>
        <v>0</v>
      </c>
      <c r="L84" s="55">
        <f t="shared" si="73"/>
        <v>0</v>
      </c>
      <c r="M84" s="55">
        <f t="shared" si="73"/>
        <v>0</v>
      </c>
      <c r="N84" s="55">
        <f t="shared" si="73"/>
        <v>0</v>
      </c>
      <c r="O84" s="55">
        <f t="shared" si="73"/>
        <v>0</v>
      </c>
      <c r="P84" s="55">
        <f t="shared" si="73"/>
        <v>0</v>
      </c>
      <c r="Q84" s="55">
        <f t="shared" si="69"/>
        <v>0</v>
      </c>
    </row>
    <row r="85" spans="3:17">
      <c r="C85" s="55"/>
      <c r="D85" s="55"/>
      <c r="E85" s="55">
        <f t="shared" ref="E85:P85" si="74">E256+E426</f>
        <v>0</v>
      </c>
      <c r="F85" s="55">
        <f t="shared" si="74"/>
        <v>0</v>
      </c>
      <c r="G85" s="55">
        <f t="shared" si="74"/>
        <v>0</v>
      </c>
      <c r="H85" s="55">
        <f t="shared" si="74"/>
        <v>0</v>
      </c>
      <c r="I85" s="55">
        <f t="shared" si="74"/>
        <v>0</v>
      </c>
      <c r="J85" s="55">
        <f t="shared" si="74"/>
        <v>0</v>
      </c>
      <c r="K85" s="55">
        <f t="shared" si="74"/>
        <v>0</v>
      </c>
      <c r="L85" s="55">
        <f t="shared" si="74"/>
        <v>0</v>
      </c>
      <c r="M85" s="55">
        <f t="shared" si="74"/>
        <v>0</v>
      </c>
      <c r="N85" s="55">
        <f t="shared" si="74"/>
        <v>0</v>
      </c>
      <c r="O85" s="55">
        <f t="shared" si="74"/>
        <v>0</v>
      </c>
      <c r="P85" s="55">
        <f t="shared" si="74"/>
        <v>0</v>
      </c>
      <c r="Q85" s="55">
        <f t="shared" si="69"/>
        <v>0</v>
      </c>
    </row>
    <row r="86" spans="3:17">
      <c r="C86" s="55"/>
      <c r="D86" s="55"/>
      <c r="E86" s="55">
        <f t="shared" ref="E86:P86" si="75">E257+E427</f>
        <v>0</v>
      </c>
      <c r="F86" s="55">
        <f t="shared" si="75"/>
        <v>0</v>
      </c>
      <c r="G86" s="55">
        <f t="shared" si="75"/>
        <v>0</v>
      </c>
      <c r="H86" s="55">
        <f t="shared" si="75"/>
        <v>0</v>
      </c>
      <c r="I86" s="55">
        <f t="shared" si="75"/>
        <v>0</v>
      </c>
      <c r="J86" s="55">
        <f t="shared" si="75"/>
        <v>0</v>
      </c>
      <c r="K86" s="55">
        <f t="shared" si="75"/>
        <v>0</v>
      </c>
      <c r="L86" s="55">
        <f t="shared" si="75"/>
        <v>0</v>
      </c>
      <c r="M86" s="55">
        <f t="shared" si="75"/>
        <v>0</v>
      </c>
      <c r="N86" s="55">
        <f t="shared" si="75"/>
        <v>0</v>
      </c>
      <c r="O86" s="55">
        <f t="shared" si="75"/>
        <v>0</v>
      </c>
      <c r="P86" s="55">
        <f t="shared" si="75"/>
        <v>0</v>
      </c>
      <c r="Q86" s="55">
        <f t="shared" si="69"/>
        <v>0</v>
      </c>
    </row>
    <row r="87" spans="3:17">
      <c r="C87" s="55"/>
      <c r="D87" s="55"/>
      <c r="E87" s="55">
        <f t="shared" ref="E87:P87" si="76">E258+E428</f>
        <v>0</v>
      </c>
      <c r="F87" s="55">
        <f t="shared" si="76"/>
        <v>0</v>
      </c>
      <c r="G87" s="55">
        <f t="shared" si="76"/>
        <v>0</v>
      </c>
      <c r="H87" s="55">
        <f t="shared" si="76"/>
        <v>0</v>
      </c>
      <c r="I87" s="55">
        <f t="shared" si="76"/>
        <v>0</v>
      </c>
      <c r="J87" s="55">
        <f t="shared" si="76"/>
        <v>0</v>
      </c>
      <c r="K87" s="55">
        <f t="shared" si="76"/>
        <v>0</v>
      </c>
      <c r="L87" s="55">
        <f t="shared" si="76"/>
        <v>0</v>
      </c>
      <c r="M87" s="55">
        <f t="shared" si="76"/>
        <v>0</v>
      </c>
      <c r="N87" s="55">
        <f t="shared" si="76"/>
        <v>0</v>
      </c>
      <c r="O87" s="55">
        <f t="shared" si="76"/>
        <v>0</v>
      </c>
      <c r="P87" s="55">
        <f t="shared" si="76"/>
        <v>0</v>
      </c>
      <c r="Q87" s="55">
        <f t="shared" si="69"/>
        <v>0</v>
      </c>
    </row>
    <row r="88" spans="3:17">
      <c r="C88" s="55"/>
      <c r="D88" s="55"/>
      <c r="E88" s="55">
        <f t="shared" ref="E88:P88" si="77">E259+E429</f>
        <v>0</v>
      </c>
      <c r="F88" s="55">
        <f t="shared" si="77"/>
        <v>0</v>
      </c>
      <c r="G88" s="55">
        <f t="shared" si="77"/>
        <v>0</v>
      </c>
      <c r="H88" s="55">
        <f t="shared" si="77"/>
        <v>0</v>
      </c>
      <c r="I88" s="55">
        <f t="shared" si="77"/>
        <v>0</v>
      </c>
      <c r="J88" s="55">
        <f t="shared" si="77"/>
        <v>0</v>
      </c>
      <c r="K88" s="55">
        <f t="shared" si="77"/>
        <v>0</v>
      </c>
      <c r="L88" s="55">
        <f t="shared" si="77"/>
        <v>0</v>
      </c>
      <c r="M88" s="55">
        <f t="shared" si="77"/>
        <v>0</v>
      </c>
      <c r="N88" s="55">
        <f t="shared" si="77"/>
        <v>0</v>
      </c>
      <c r="O88" s="55">
        <f t="shared" si="77"/>
        <v>0</v>
      </c>
      <c r="P88" s="55">
        <f t="shared" si="77"/>
        <v>0</v>
      </c>
      <c r="Q88" s="55">
        <f t="shared" si="69"/>
        <v>0</v>
      </c>
    </row>
    <row r="89" spans="3:17">
      <c r="C89" s="55"/>
      <c r="D89" s="55"/>
      <c r="E89" s="55">
        <f t="shared" ref="E89:P89" si="78">E260+E430</f>
        <v>0</v>
      </c>
      <c r="F89" s="55">
        <f t="shared" si="78"/>
        <v>0</v>
      </c>
      <c r="G89" s="55">
        <f t="shared" si="78"/>
        <v>0</v>
      </c>
      <c r="H89" s="55">
        <f t="shared" si="78"/>
        <v>0</v>
      </c>
      <c r="I89" s="55">
        <f t="shared" si="78"/>
        <v>0</v>
      </c>
      <c r="J89" s="55">
        <f t="shared" si="78"/>
        <v>0</v>
      </c>
      <c r="K89" s="55">
        <f t="shared" si="78"/>
        <v>0</v>
      </c>
      <c r="L89" s="55">
        <f t="shared" si="78"/>
        <v>0</v>
      </c>
      <c r="M89" s="55">
        <f t="shared" si="78"/>
        <v>0</v>
      </c>
      <c r="N89" s="55">
        <f t="shared" si="78"/>
        <v>0</v>
      </c>
      <c r="O89" s="55">
        <f t="shared" si="78"/>
        <v>0</v>
      </c>
      <c r="P89" s="55">
        <f t="shared" si="78"/>
        <v>0</v>
      </c>
      <c r="Q89" s="55">
        <f t="shared" si="69"/>
        <v>0</v>
      </c>
    </row>
    <row r="90" spans="3:17">
      <c r="C90" s="55"/>
      <c r="D90" s="55"/>
      <c r="E90" s="55">
        <f t="shared" ref="E90:P90" si="79">E261+E431</f>
        <v>0</v>
      </c>
      <c r="F90" s="55">
        <f t="shared" si="79"/>
        <v>0</v>
      </c>
      <c r="G90" s="55">
        <f t="shared" si="79"/>
        <v>0</v>
      </c>
      <c r="H90" s="55">
        <f t="shared" si="79"/>
        <v>0</v>
      </c>
      <c r="I90" s="55">
        <f t="shared" si="79"/>
        <v>0</v>
      </c>
      <c r="J90" s="55">
        <f t="shared" si="79"/>
        <v>0</v>
      </c>
      <c r="K90" s="55">
        <f t="shared" si="79"/>
        <v>0</v>
      </c>
      <c r="L90" s="55">
        <f t="shared" si="79"/>
        <v>0</v>
      </c>
      <c r="M90" s="55">
        <f t="shared" si="79"/>
        <v>0</v>
      </c>
      <c r="N90" s="55">
        <f t="shared" si="79"/>
        <v>0</v>
      </c>
      <c r="O90" s="55">
        <f t="shared" si="79"/>
        <v>0</v>
      </c>
      <c r="P90" s="55">
        <f t="shared" si="79"/>
        <v>0</v>
      </c>
      <c r="Q90" s="55">
        <f t="shared" si="69"/>
        <v>0</v>
      </c>
    </row>
    <row r="91" spans="3:17">
      <c r="C91" s="55"/>
      <c r="D91" s="55"/>
      <c r="E91" s="55">
        <f t="shared" ref="E91:P91" si="80">E262+E432</f>
        <v>0</v>
      </c>
      <c r="F91" s="55">
        <f t="shared" si="80"/>
        <v>0</v>
      </c>
      <c r="G91" s="55">
        <f t="shared" si="80"/>
        <v>0</v>
      </c>
      <c r="H91" s="55">
        <f t="shared" si="80"/>
        <v>0</v>
      </c>
      <c r="I91" s="55">
        <f t="shared" si="80"/>
        <v>0</v>
      </c>
      <c r="J91" s="55">
        <f t="shared" si="80"/>
        <v>0</v>
      </c>
      <c r="K91" s="55">
        <f t="shared" si="80"/>
        <v>0</v>
      </c>
      <c r="L91" s="55">
        <f t="shared" si="80"/>
        <v>0</v>
      </c>
      <c r="M91" s="55">
        <f t="shared" si="80"/>
        <v>0</v>
      </c>
      <c r="N91" s="55">
        <f t="shared" si="80"/>
        <v>0</v>
      </c>
      <c r="O91" s="55">
        <f t="shared" si="80"/>
        <v>0</v>
      </c>
      <c r="P91" s="55">
        <f t="shared" si="80"/>
        <v>0</v>
      </c>
      <c r="Q91" s="55">
        <f t="shared" si="69"/>
        <v>0</v>
      </c>
    </row>
    <row r="92" spans="3:17">
      <c r="C92" s="55"/>
      <c r="D92" s="55"/>
      <c r="E92" s="55">
        <f t="shared" ref="E92:P92" si="81">E263+E433</f>
        <v>0</v>
      </c>
      <c r="F92" s="55">
        <f t="shared" si="81"/>
        <v>0</v>
      </c>
      <c r="G92" s="55">
        <f t="shared" si="81"/>
        <v>0</v>
      </c>
      <c r="H92" s="55">
        <f t="shared" si="81"/>
        <v>0</v>
      </c>
      <c r="I92" s="55">
        <f t="shared" si="81"/>
        <v>0</v>
      </c>
      <c r="J92" s="55">
        <f t="shared" si="81"/>
        <v>0</v>
      </c>
      <c r="K92" s="55">
        <f t="shared" si="81"/>
        <v>0</v>
      </c>
      <c r="L92" s="55">
        <f t="shared" si="81"/>
        <v>0</v>
      </c>
      <c r="M92" s="55">
        <f t="shared" si="81"/>
        <v>0</v>
      </c>
      <c r="N92" s="55">
        <f t="shared" si="81"/>
        <v>0</v>
      </c>
      <c r="O92" s="55">
        <f t="shared" si="81"/>
        <v>0</v>
      </c>
      <c r="P92" s="55">
        <f t="shared" si="81"/>
        <v>0</v>
      </c>
      <c r="Q92" s="55">
        <f t="shared" si="69"/>
        <v>0</v>
      </c>
    </row>
    <row r="93" spans="3:17">
      <c r="C93" s="55"/>
      <c r="D93" s="55"/>
      <c r="E93" s="55">
        <f t="shared" ref="E93:P93" si="82">E264+E434</f>
        <v>0</v>
      </c>
      <c r="F93" s="55">
        <f t="shared" si="82"/>
        <v>0</v>
      </c>
      <c r="G93" s="55">
        <f t="shared" si="82"/>
        <v>0</v>
      </c>
      <c r="H93" s="55">
        <f t="shared" si="82"/>
        <v>0</v>
      </c>
      <c r="I93" s="55">
        <f t="shared" si="82"/>
        <v>0</v>
      </c>
      <c r="J93" s="55">
        <f t="shared" si="82"/>
        <v>0</v>
      </c>
      <c r="K93" s="55">
        <f t="shared" si="82"/>
        <v>0</v>
      </c>
      <c r="L93" s="55">
        <f t="shared" si="82"/>
        <v>0</v>
      </c>
      <c r="M93" s="55">
        <f t="shared" si="82"/>
        <v>0</v>
      </c>
      <c r="N93" s="55">
        <f t="shared" si="82"/>
        <v>0</v>
      </c>
      <c r="O93" s="55">
        <f t="shared" si="82"/>
        <v>0</v>
      </c>
      <c r="P93" s="55">
        <f t="shared" si="82"/>
        <v>0</v>
      </c>
      <c r="Q93" s="55">
        <f t="shared" si="69"/>
        <v>0</v>
      </c>
    </row>
    <row r="94" ht="15" spans="3:17">
      <c r="C94" s="537" t="s">
        <v>211</v>
      </c>
      <c r="D94" s="540"/>
      <c r="E94" s="54">
        <f t="shared" ref="E94:P94" si="83">SUM(E80:E93)</f>
        <v>10.1866529852</v>
      </c>
      <c r="F94" s="54">
        <f t="shared" si="83"/>
        <v>10.45753965125</v>
      </c>
      <c r="G94" s="54">
        <f t="shared" si="83"/>
        <v>16.39525106615</v>
      </c>
      <c r="H94" s="54">
        <f t="shared" si="83"/>
        <v>14.8873281644</v>
      </c>
      <c r="I94" s="54">
        <f t="shared" si="83"/>
        <v>14.6973975163</v>
      </c>
      <c r="J94" s="54">
        <f t="shared" si="83"/>
        <v>12.80256770035</v>
      </c>
      <c r="K94" s="54">
        <f t="shared" si="83"/>
        <v>14.57698945375</v>
      </c>
      <c r="L94" s="54">
        <f t="shared" si="83"/>
        <v>14.1163971376</v>
      </c>
      <c r="M94" s="54">
        <f t="shared" si="83"/>
        <v>12.59001915775</v>
      </c>
      <c r="N94" s="54">
        <f t="shared" si="83"/>
        <v>14.72989161555</v>
      </c>
      <c r="O94" s="54">
        <f t="shared" si="83"/>
        <v>13.6839955689</v>
      </c>
      <c r="P94" s="54">
        <f t="shared" si="83"/>
        <v>24.91955598105</v>
      </c>
      <c r="Q94" s="54">
        <f t="shared" si="69"/>
        <v>174.04358599825</v>
      </c>
    </row>
    <row r="95" ht="15" spans="3:17">
      <c r="C95" s="44" t="s">
        <v>395</v>
      </c>
      <c r="D95" s="45"/>
      <c r="E95" s="54">
        <f t="shared" ref="E95:P95" si="84">E78+E94</f>
        <v>193.656636912318</v>
      </c>
      <c r="F95" s="54">
        <f t="shared" si="84"/>
        <v>240.185529784531</v>
      </c>
      <c r="G95" s="54">
        <f t="shared" si="84"/>
        <v>222.306458343201</v>
      </c>
      <c r="H95" s="54">
        <f t="shared" si="84"/>
        <v>205.287091821443</v>
      </c>
      <c r="I95" s="54">
        <f t="shared" si="84"/>
        <v>197.526519594027</v>
      </c>
      <c r="J95" s="54">
        <f t="shared" si="84"/>
        <v>189.684475220778</v>
      </c>
      <c r="K95" s="54">
        <f t="shared" si="84"/>
        <v>192.927257732472</v>
      </c>
      <c r="L95" s="54">
        <f t="shared" si="84"/>
        <v>125.627677924994</v>
      </c>
      <c r="M95" s="54">
        <f t="shared" si="84"/>
        <v>170.252043104553</v>
      </c>
      <c r="N95" s="54">
        <f t="shared" si="84"/>
        <v>204.973402675995</v>
      </c>
      <c r="O95" s="54">
        <f t="shared" si="84"/>
        <v>274.901247465468</v>
      </c>
      <c r="P95" s="54">
        <f t="shared" si="84"/>
        <v>396.789699119806</v>
      </c>
      <c r="Q95" s="54">
        <f t="shared" si="69"/>
        <v>2614.11803969959</v>
      </c>
    </row>
    <row r="96" ht="15" spans="3:17">
      <c r="C96" s="663" t="s">
        <v>396</v>
      </c>
      <c r="D96" s="676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</row>
    <row r="97" spans="3:17">
      <c r="C97" s="55" t="s">
        <v>397</v>
      </c>
      <c r="D97" s="55" t="s">
        <v>397</v>
      </c>
      <c r="E97" s="55">
        <f t="shared" ref="E97:P97" si="85">E268+E438</f>
        <v>55.38982401925</v>
      </c>
      <c r="F97" s="55">
        <f t="shared" si="85"/>
        <v>60.74336817915</v>
      </c>
      <c r="G97" s="55">
        <f t="shared" si="85"/>
        <v>35.3445206928</v>
      </c>
      <c r="H97" s="55">
        <f t="shared" si="85"/>
        <v>58.055101293</v>
      </c>
      <c r="I97" s="55">
        <f t="shared" si="85"/>
        <v>59.2066861155</v>
      </c>
      <c r="J97" s="55">
        <f t="shared" si="85"/>
        <v>48.8991680332</v>
      </c>
      <c r="K97" s="55">
        <f t="shared" si="85"/>
        <v>45.4559238626</v>
      </c>
      <c r="L97" s="55">
        <f t="shared" si="85"/>
        <v>53.99572686945</v>
      </c>
      <c r="M97" s="55">
        <f t="shared" si="85"/>
        <v>54.0768323167</v>
      </c>
      <c r="N97" s="55">
        <f t="shared" si="85"/>
        <v>56.3863692873</v>
      </c>
      <c r="O97" s="55">
        <f t="shared" si="85"/>
        <v>59.12071718334</v>
      </c>
      <c r="P97" s="55">
        <f t="shared" si="85"/>
        <v>131.5571871238</v>
      </c>
      <c r="Q97" s="55">
        <f t="shared" ref="Q97:Q104" si="86">SUM(E97:P97)</f>
        <v>718.23142497609</v>
      </c>
    </row>
    <row r="98" spans="3:17">
      <c r="C98" s="55" t="s">
        <v>398</v>
      </c>
      <c r="D98" s="55" t="s">
        <v>398</v>
      </c>
      <c r="E98" s="55">
        <f t="shared" ref="E98:P98" si="87">E269+E439</f>
        <v>19.4889082166</v>
      </c>
      <c r="F98" s="55">
        <f t="shared" si="87"/>
        <v>20.6559612982</v>
      </c>
      <c r="G98" s="55">
        <f t="shared" si="87"/>
        <v>14.9947676544</v>
      </c>
      <c r="H98" s="55">
        <f t="shared" si="87"/>
        <v>21.3039491181</v>
      </c>
      <c r="I98" s="55">
        <f t="shared" si="87"/>
        <v>21.5091649641</v>
      </c>
      <c r="J98" s="55">
        <f t="shared" si="87"/>
        <v>19.1848478631</v>
      </c>
      <c r="K98" s="55">
        <f t="shared" si="87"/>
        <v>21.7149922359805</v>
      </c>
      <c r="L98" s="55">
        <f t="shared" si="87"/>
        <v>30.0302831534</v>
      </c>
      <c r="M98" s="55">
        <f t="shared" si="87"/>
        <v>22.4540455965</v>
      </c>
      <c r="N98" s="55">
        <f t="shared" si="87"/>
        <v>21.96343006555</v>
      </c>
      <c r="O98" s="55">
        <f t="shared" si="87"/>
        <v>21.9719271857</v>
      </c>
      <c r="P98" s="55">
        <f t="shared" si="87"/>
        <v>-15.176010932994</v>
      </c>
      <c r="Q98" s="55">
        <f t="shared" si="86"/>
        <v>220.096266418637</v>
      </c>
    </row>
    <row r="99" spans="3:17">
      <c r="C99" s="55"/>
      <c r="D99" s="55"/>
      <c r="E99" s="55">
        <f t="shared" ref="E99:P99" si="88">E270+E440</f>
        <v>0</v>
      </c>
      <c r="F99" s="55">
        <f t="shared" si="88"/>
        <v>0</v>
      </c>
      <c r="G99" s="55">
        <f t="shared" si="88"/>
        <v>0</v>
      </c>
      <c r="H99" s="55">
        <f t="shared" si="88"/>
        <v>0</v>
      </c>
      <c r="I99" s="55">
        <f t="shared" si="88"/>
        <v>0</v>
      </c>
      <c r="J99" s="55">
        <f t="shared" si="88"/>
        <v>0</v>
      </c>
      <c r="K99" s="55">
        <f t="shared" si="88"/>
        <v>0</v>
      </c>
      <c r="L99" s="55">
        <f t="shared" si="88"/>
        <v>0</v>
      </c>
      <c r="M99" s="55">
        <f t="shared" si="88"/>
        <v>0</v>
      </c>
      <c r="N99" s="55">
        <f t="shared" si="88"/>
        <v>0</v>
      </c>
      <c r="O99" s="55">
        <f t="shared" si="88"/>
        <v>0</v>
      </c>
      <c r="P99" s="55">
        <f t="shared" si="88"/>
        <v>0</v>
      </c>
      <c r="Q99" s="55">
        <f t="shared" si="86"/>
        <v>0</v>
      </c>
    </row>
    <row r="100" spans="3:17">
      <c r="C100" s="55"/>
      <c r="D100" s="55"/>
      <c r="E100" s="55">
        <f t="shared" ref="E100:P100" si="89">E271+E441</f>
        <v>0</v>
      </c>
      <c r="F100" s="55">
        <f t="shared" si="89"/>
        <v>0</v>
      </c>
      <c r="G100" s="55">
        <f t="shared" si="89"/>
        <v>0</v>
      </c>
      <c r="H100" s="55">
        <f t="shared" si="89"/>
        <v>0</v>
      </c>
      <c r="I100" s="55">
        <f t="shared" si="89"/>
        <v>0</v>
      </c>
      <c r="J100" s="55">
        <f t="shared" si="89"/>
        <v>0</v>
      </c>
      <c r="K100" s="55">
        <f t="shared" si="89"/>
        <v>0</v>
      </c>
      <c r="L100" s="55">
        <f t="shared" si="89"/>
        <v>0</v>
      </c>
      <c r="M100" s="55">
        <f t="shared" si="89"/>
        <v>0</v>
      </c>
      <c r="N100" s="55">
        <f t="shared" si="89"/>
        <v>0</v>
      </c>
      <c r="O100" s="55">
        <f t="shared" si="89"/>
        <v>0</v>
      </c>
      <c r="P100" s="55">
        <f t="shared" si="89"/>
        <v>0</v>
      </c>
      <c r="Q100" s="55">
        <f t="shared" si="86"/>
        <v>0</v>
      </c>
    </row>
    <row r="101" spans="3:17">
      <c r="C101" s="55"/>
      <c r="D101" s="55"/>
      <c r="E101" s="55">
        <f t="shared" ref="E101:P101" si="90">E272+E442</f>
        <v>0</v>
      </c>
      <c r="F101" s="55">
        <f t="shared" si="90"/>
        <v>0</v>
      </c>
      <c r="G101" s="55">
        <f t="shared" si="90"/>
        <v>0</v>
      </c>
      <c r="H101" s="55">
        <f t="shared" si="90"/>
        <v>0</v>
      </c>
      <c r="I101" s="55">
        <f t="shared" si="90"/>
        <v>0</v>
      </c>
      <c r="J101" s="55">
        <f t="shared" si="90"/>
        <v>0</v>
      </c>
      <c r="K101" s="55">
        <f t="shared" si="90"/>
        <v>0</v>
      </c>
      <c r="L101" s="55">
        <f t="shared" si="90"/>
        <v>0</v>
      </c>
      <c r="M101" s="55">
        <f t="shared" si="90"/>
        <v>0</v>
      </c>
      <c r="N101" s="55">
        <f t="shared" si="90"/>
        <v>0</v>
      </c>
      <c r="O101" s="55">
        <f t="shared" si="90"/>
        <v>0</v>
      </c>
      <c r="P101" s="55">
        <f t="shared" si="90"/>
        <v>0</v>
      </c>
      <c r="Q101" s="55">
        <f t="shared" si="86"/>
        <v>0</v>
      </c>
    </row>
    <row r="102" customHeight="1" spans="3:17">
      <c r="C102" s="55"/>
      <c r="D102" s="55"/>
      <c r="E102" s="55">
        <f t="shared" ref="E102:P102" si="91">E273+E443</f>
        <v>0</v>
      </c>
      <c r="F102" s="55">
        <f t="shared" si="91"/>
        <v>0</v>
      </c>
      <c r="G102" s="55">
        <f t="shared" si="91"/>
        <v>0</v>
      </c>
      <c r="H102" s="55">
        <f t="shared" si="91"/>
        <v>0</v>
      </c>
      <c r="I102" s="55">
        <f t="shared" si="91"/>
        <v>0</v>
      </c>
      <c r="J102" s="55">
        <f t="shared" si="91"/>
        <v>0</v>
      </c>
      <c r="K102" s="55">
        <f t="shared" si="91"/>
        <v>0</v>
      </c>
      <c r="L102" s="55">
        <f t="shared" si="91"/>
        <v>0</v>
      </c>
      <c r="M102" s="55">
        <f t="shared" si="91"/>
        <v>0</v>
      </c>
      <c r="N102" s="55">
        <f t="shared" si="91"/>
        <v>0</v>
      </c>
      <c r="O102" s="55">
        <f t="shared" si="91"/>
        <v>0</v>
      </c>
      <c r="P102" s="55">
        <f t="shared" si="91"/>
        <v>0</v>
      </c>
      <c r="Q102" s="55">
        <f t="shared" si="86"/>
        <v>0</v>
      </c>
    </row>
    <row r="103" spans="3:17">
      <c r="C103" s="55"/>
      <c r="D103" s="55"/>
      <c r="E103" s="55">
        <f t="shared" ref="E103:P103" si="92">E274+E444</f>
        <v>0</v>
      </c>
      <c r="F103" s="55">
        <f t="shared" si="92"/>
        <v>0</v>
      </c>
      <c r="G103" s="55">
        <f t="shared" si="92"/>
        <v>0</v>
      </c>
      <c r="H103" s="55">
        <f t="shared" si="92"/>
        <v>0</v>
      </c>
      <c r="I103" s="55">
        <f t="shared" si="92"/>
        <v>0</v>
      </c>
      <c r="J103" s="55">
        <f t="shared" si="92"/>
        <v>0</v>
      </c>
      <c r="K103" s="55">
        <f t="shared" si="92"/>
        <v>0</v>
      </c>
      <c r="L103" s="55">
        <f t="shared" si="92"/>
        <v>0</v>
      </c>
      <c r="M103" s="55">
        <f t="shared" si="92"/>
        <v>0</v>
      </c>
      <c r="N103" s="55">
        <f t="shared" si="92"/>
        <v>0</v>
      </c>
      <c r="O103" s="55">
        <f t="shared" si="92"/>
        <v>0</v>
      </c>
      <c r="P103" s="55">
        <f t="shared" si="92"/>
        <v>0</v>
      </c>
      <c r="Q103" s="55">
        <f t="shared" si="86"/>
        <v>0</v>
      </c>
    </row>
    <row r="104" ht="15" spans="3:17">
      <c r="C104" s="44" t="s">
        <v>399</v>
      </c>
      <c r="D104" s="45"/>
      <c r="E104" s="54">
        <f t="shared" ref="E104:P104" si="93">SUM(E97:E103)</f>
        <v>74.87873223585</v>
      </c>
      <c r="F104" s="54">
        <f t="shared" si="93"/>
        <v>81.39932947735</v>
      </c>
      <c r="G104" s="54">
        <f t="shared" si="93"/>
        <v>50.3392883472</v>
      </c>
      <c r="H104" s="54">
        <f t="shared" si="93"/>
        <v>79.3590504111</v>
      </c>
      <c r="I104" s="54">
        <f t="shared" si="93"/>
        <v>80.7158510796</v>
      </c>
      <c r="J104" s="54">
        <f t="shared" si="93"/>
        <v>68.0840158963</v>
      </c>
      <c r="K104" s="54">
        <f t="shared" si="93"/>
        <v>67.1709160985805</v>
      </c>
      <c r="L104" s="54">
        <f t="shared" si="93"/>
        <v>84.02601002285</v>
      </c>
      <c r="M104" s="54">
        <f t="shared" si="93"/>
        <v>76.5308779132</v>
      </c>
      <c r="N104" s="54">
        <f t="shared" si="93"/>
        <v>78.34979935285</v>
      </c>
      <c r="O104" s="54">
        <f t="shared" si="93"/>
        <v>81.09264436904</v>
      </c>
      <c r="P104" s="54">
        <f t="shared" si="93"/>
        <v>116.381176190806</v>
      </c>
      <c r="Q104" s="54">
        <f t="shared" si="86"/>
        <v>938.327691394726</v>
      </c>
    </row>
    <row r="105" ht="15" spans="3:17">
      <c r="C105" s="663" t="s">
        <v>400</v>
      </c>
      <c r="D105" s="676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</row>
    <row r="106" spans="3:17">
      <c r="C106" s="55" t="s">
        <v>401</v>
      </c>
      <c r="D106" s="55" t="s">
        <v>401</v>
      </c>
      <c r="E106" s="55">
        <f t="shared" ref="E106:P106" si="94">E277+E447</f>
        <v>102.881705906667</v>
      </c>
      <c r="F106" s="55">
        <f t="shared" si="94"/>
        <v>96.23816002965</v>
      </c>
      <c r="G106" s="55">
        <f t="shared" si="94"/>
        <v>102.83167299735</v>
      </c>
      <c r="H106" s="55">
        <f t="shared" si="94"/>
        <v>107.979386876267</v>
      </c>
      <c r="I106" s="55">
        <f t="shared" si="94"/>
        <v>103.992141834467</v>
      </c>
      <c r="J106" s="55">
        <f t="shared" si="94"/>
        <v>110.566831481267</v>
      </c>
      <c r="K106" s="55">
        <f t="shared" si="94"/>
        <v>111.628307019667</v>
      </c>
      <c r="L106" s="55">
        <f t="shared" si="94"/>
        <v>114.508606842167</v>
      </c>
      <c r="M106" s="55">
        <f t="shared" si="94"/>
        <v>113.585647052217</v>
      </c>
      <c r="N106" s="55">
        <f t="shared" si="94"/>
        <v>117.763988490917</v>
      </c>
      <c r="O106" s="55">
        <f t="shared" si="94"/>
        <v>70.7911232530667</v>
      </c>
      <c r="P106" s="55">
        <f t="shared" si="94"/>
        <v>151.02712827405</v>
      </c>
      <c r="Q106" s="55">
        <f t="shared" ref="Q106:Q114" si="95">SUM(E106:P106)</f>
        <v>1303.79470005775</v>
      </c>
    </row>
    <row r="107" spans="3:17">
      <c r="C107" s="55" t="s">
        <v>402</v>
      </c>
      <c r="D107" s="55" t="s">
        <v>402</v>
      </c>
      <c r="E107" s="55">
        <f t="shared" ref="E107:P107" si="96">E278+E448</f>
        <v>0</v>
      </c>
      <c r="F107" s="55">
        <f t="shared" si="96"/>
        <v>0</v>
      </c>
      <c r="G107" s="55">
        <f t="shared" si="96"/>
        <v>0</v>
      </c>
      <c r="H107" s="55">
        <f t="shared" si="96"/>
        <v>0</v>
      </c>
      <c r="I107" s="55">
        <f t="shared" si="96"/>
        <v>0</v>
      </c>
      <c r="J107" s="55">
        <f t="shared" si="96"/>
        <v>0</v>
      </c>
      <c r="K107" s="55">
        <f t="shared" si="96"/>
        <v>0</v>
      </c>
      <c r="L107" s="55">
        <f t="shared" si="96"/>
        <v>0</v>
      </c>
      <c r="M107" s="55">
        <f t="shared" si="96"/>
        <v>0</v>
      </c>
      <c r="N107" s="55">
        <f t="shared" si="96"/>
        <v>0</v>
      </c>
      <c r="O107" s="55">
        <f t="shared" si="96"/>
        <v>0</v>
      </c>
      <c r="P107" s="55">
        <f t="shared" si="96"/>
        <v>216.5118019126</v>
      </c>
      <c r="Q107" s="55">
        <f t="shared" si="95"/>
        <v>216.5118019126</v>
      </c>
    </row>
    <row r="108" spans="3:17">
      <c r="C108" s="55" t="s">
        <v>403</v>
      </c>
      <c r="D108" s="55" t="s">
        <v>403</v>
      </c>
      <c r="E108" s="55">
        <f t="shared" ref="E108:P108" si="97">E279+E449</f>
        <v>0</v>
      </c>
      <c r="F108" s="55">
        <f t="shared" si="97"/>
        <v>0</v>
      </c>
      <c r="G108" s="55">
        <f t="shared" si="97"/>
        <v>0</v>
      </c>
      <c r="H108" s="55">
        <f t="shared" si="97"/>
        <v>0</v>
      </c>
      <c r="I108" s="55">
        <f t="shared" si="97"/>
        <v>0</v>
      </c>
      <c r="J108" s="55">
        <f t="shared" si="97"/>
        <v>0</v>
      </c>
      <c r="K108" s="55">
        <f t="shared" si="97"/>
        <v>0</v>
      </c>
      <c r="L108" s="55">
        <f t="shared" si="97"/>
        <v>0</v>
      </c>
      <c r="M108" s="55">
        <f t="shared" si="97"/>
        <v>0</v>
      </c>
      <c r="N108" s="55">
        <f t="shared" si="97"/>
        <v>0</v>
      </c>
      <c r="O108" s="55">
        <f t="shared" si="97"/>
        <v>0</v>
      </c>
      <c r="P108" s="55">
        <f t="shared" si="97"/>
        <v>0</v>
      </c>
      <c r="Q108" s="55">
        <f t="shared" si="95"/>
        <v>0</v>
      </c>
    </row>
    <row r="109" spans="3:17">
      <c r="C109" s="55"/>
      <c r="D109" s="55"/>
      <c r="E109" s="55">
        <f t="shared" ref="E109:P109" si="98">E280+E450</f>
        <v>0</v>
      </c>
      <c r="F109" s="55">
        <f t="shared" si="98"/>
        <v>0</v>
      </c>
      <c r="G109" s="55">
        <f t="shared" si="98"/>
        <v>0</v>
      </c>
      <c r="H109" s="55">
        <f t="shared" si="98"/>
        <v>0</v>
      </c>
      <c r="I109" s="55">
        <f t="shared" si="98"/>
        <v>0</v>
      </c>
      <c r="J109" s="55">
        <f t="shared" si="98"/>
        <v>0</v>
      </c>
      <c r="K109" s="55">
        <f t="shared" si="98"/>
        <v>0</v>
      </c>
      <c r="L109" s="55">
        <f t="shared" si="98"/>
        <v>0</v>
      </c>
      <c r="M109" s="55">
        <f t="shared" si="98"/>
        <v>0</v>
      </c>
      <c r="N109" s="55">
        <f t="shared" si="98"/>
        <v>0</v>
      </c>
      <c r="O109" s="55">
        <f t="shared" si="98"/>
        <v>0</v>
      </c>
      <c r="P109" s="55">
        <f t="shared" si="98"/>
        <v>0</v>
      </c>
      <c r="Q109" s="55">
        <f t="shared" si="95"/>
        <v>0</v>
      </c>
    </row>
    <row r="110" spans="3:17">
      <c r="C110" s="55"/>
      <c r="D110" s="55"/>
      <c r="E110" s="55">
        <f t="shared" ref="E110:P110" si="99">E281+E451</f>
        <v>0</v>
      </c>
      <c r="F110" s="55">
        <f t="shared" si="99"/>
        <v>0</v>
      </c>
      <c r="G110" s="55">
        <f t="shared" si="99"/>
        <v>0</v>
      </c>
      <c r="H110" s="55">
        <f t="shared" si="99"/>
        <v>0</v>
      </c>
      <c r="I110" s="55">
        <f t="shared" si="99"/>
        <v>0</v>
      </c>
      <c r="J110" s="55">
        <f t="shared" si="99"/>
        <v>0</v>
      </c>
      <c r="K110" s="55">
        <f t="shared" si="99"/>
        <v>0</v>
      </c>
      <c r="L110" s="55">
        <f t="shared" si="99"/>
        <v>0</v>
      </c>
      <c r="M110" s="55">
        <f t="shared" si="99"/>
        <v>0</v>
      </c>
      <c r="N110" s="55">
        <f t="shared" si="99"/>
        <v>0</v>
      </c>
      <c r="O110" s="55">
        <f t="shared" si="99"/>
        <v>0</v>
      </c>
      <c r="P110" s="55">
        <f t="shared" si="99"/>
        <v>0</v>
      </c>
      <c r="Q110" s="55">
        <f t="shared" si="95"/>
        <v>0</v>
      </c>
    </row>
    <row r="111" spans="3:17">
      <c r="C111" s="55"/>
      <c r="D111" s="55"/>
      <c r="E111" s="55">
        <f t="shared" ref="E111:P111" si="100">E282+E452</f>
        <v>0</v>
      </c>
      <c r="F111" s="55">
        <f t="shared" si="100"/>
        <v>0</v>
      </c>
      <c r="G111" s="55">
        <f t="shared" si="100"/>
        <v>0</v>
      </c>
      <c r="H111" s="55">
        <f t="shared" si="100"/>
        <v>0</v>
      </c>
      <c r="I111" s="55">
        <f t="shared" si="100"/>
        <v>0</v>
      </c>
      <c r="J111" s="55">
        <f t="shared" si="100"/>
        <v>0</v>
      </c>
      <c r="K111" s="55">
        <f t="shared" si="100"/>
        <v>0</v>
      </c>
      <c r="L111" s="55">
        <f t="shared" si="100"/>
        <v>0</v>
      </c>
      <c r="M111" s="55">
        <f t="shared" si="100"/>
        <v>0</v>
      </c>
      <c r="N111" s="55">
        <f t="shared" si="100"/>
        <v>0</v>
      </c>
      <c r="O111" s="55">
        <f t="shared" si="100"/>
        <v>0</v>
      </c>
      <c r="P111" s="55">
        <f t="shared" si="100"/>
        <v>0</v>
      </c>
      <c r="Q111" s="55">
        <f t="shared" si="95"/>
        <v>0</v>
      </c>
    </row>
    <row r="112" spans="3:17">
      <c r="C112" s="55"/>
      <c r="D112" s="55"/>
      <c r="E112" s="55">
        <f t="shared" ref="E112:P112" si="101">E283+E453</f>
        <v>0</v>
      </c>
      <c r="F112" s="55">
        <f t="shared" si="101"/>
        <v>0</v>
      </c>
      <c r="G112" s="55">
        <f t="shared" si="101"/>
        <v>0</v>
      </c>
      <c r="H112" s="55">
        <f t="shared" si="101"/>
        <v>0</v>
      </c>
      <c r="I112" s="55">
        <f t="shared" si="101"/>
        <v>0</v>
      </c>
      <c r="J112" s="55">
        <f t="shared" si="101"/>
        <v>0</v>
      </c>
      <c r="K112" s="55">
        <f t="shared" si="101"/>
        <v>0</v>
      </c>
      <c r="L112" s="55">
        <f t="shared" si="101"/>
        <v>0</v>
      </c>
      <c r="M112" s="55">
        <f t="shared" si="101"/>
        <v>0</v>
      </c>
      <c r="N112" s="55">
        <f t="shared" si="101"/>
        <v>0</v>
      </c>
      <c r="O112" s="55">
        <f t="shared" si="101"/>
        <v>0</v>
      </c>
      <c r="P112" s="55">
        <f t="shared" si="101"/>
        <v>0</v>
      </c>
      <c r="Q112" s="55">
        <f t="shared" si="95"/>
        <v>0</v>
      </c>
    </row>
    <row r="113" spans="3:17">
      <c r="C113" s="55"/>
      <c r="D113" s="55"/>
      <c r="E113" s="55">
        <f t="shared" ref="E113:P113" si="102">E284+E454</f>
        <v>0</v>
      </c>
      <c r="F113" s="55">
        <f t="shared" si="102"/>
        <v>0</v>
      </c>
      <c r="G113" s="55">
        <f t="shared" si="102"/>
        <v>0</v>
      </c>
      <c r="H113" s="55">
        <f t="shared" si="102"/>
        <v>0</v>
      </c>
      <c r="I113" s="55">
        <f t="shared" si="102"/>
        <v>0</v>
      </c>
      <c r="J113" s="55">
        <f t="shared" si="102"/>
        <v>0</v>
      </c>
      <c r="K113" s="55">
        <f t="shared" si="102"/>
        <v>0</v>
      </c>
      <c r="L113" s="55">
        <f t="shared" si="102"/>
        <v>0</v>
      </c>
      <c r="M113" s="55">
        <f t="shared" si="102"/>
        <v>0</v>
      </c>
      <c r="N113" s="55">
        <f t="shared" si="102"/>
        <v>0</v>
      </c>
      <c r="O113" s="55">
        <f t="shared" si="102"/>
        <v>0</v>
      </c>
      <c r="P113" s="55">
        <f t="shared" si="102"/>
        <v>0</v>
      </c>
      <c r="Q113" s="55">
        <f t="shared" si="95"/>
        <v>0</v>
      </c>
    </row>
    <row r="114" ht="15" spans="3:17">
      <c r="C114" s="44" t="s">
        <v>404</v>
      </c>
      <c r="D114" s="45"/>
      <c r="E114" s="54">
        <f t="shared" ref="E114:P114" si="103">SUM(E106:E113)</f>
        <v>102.881705906667</v>
      </c>
      <c r="F114" s="54">
        <f t="shared" si="103"/>
        <v>96.23816002965</v>
      </c>
      <c r="G114" s="54">
        <f t="shared" si="103"/>
        <v>102.83167299735</v>
      </c>
      <c r="H114" s="54">
        <f t="shared" si="103"/>
        <v>107.979386876267</v>
      </c>
      <c r="I114" s="54">
        <f t="shared" si="103"/>
        <v>103.992141834467</v>
      </c>
      <c r="J114" s="54">
        <f t="shared" si="103"/>
        <v>110.566831481267</v>
      </c>
      <c r="K114" s="54">
        <f t="shared" si="103"/>
        <v>111.628307019667</v>
      </c>
      <c r="L114" s="54">
        <f t="shared" si="103"/>
        <v>114.508606842167</v>
      </c>
      <c r="M114" s="54">
        <f t="shared" si="103"/>
        <v>113.585647052217</v>
      </c>
      <c r="N114" s="54">
        <f t="shared" si="103"/>
        <v>117.763988490917</v>
      </c>
      <c r="O114" s="54">
        <f t="shared" si="103"/>
        <v>70.7911232530667</v>
      </c>
      <c r="P114" s="54">
        <f t="shared" si="103"/>
        <v>367.53893018665</v>
      </c>
      <c r="Q114" s="54">
        <f t="shared" si="95"/>
        <v>1520.30650197035</v>
      </c>
    </row>
    <row r="115" ht="15" spans="3:17">
      <c r="C115" s="663" t="s">
        <v>405</v>
      </c>
      <c r="D115" s="676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</row>
    <row r="116" spans="3:17">
      <c r="C116" s="55"/>
      <c r="D116" s="55" t="s">
        <v>406</v>
      </c>
      <c r="E116" s="55">
        <f t="shared" ref="E116:P116" si="104">E287+E457</f>
        <v>4.39132631182102</v>
      </c>
      <c r="F116" s="55">
        <f t="shared" si="104"/>
        <v>2.46880526588889</v>
      </c>
      <c r="G116" s="55">
        <f t="shared" si="104"/>
        <v>2.95910514670968</v>
      </c>
      <c r="H116" s="55">
        <f t="shared" si="104"/>
        <v>1.65282621533333</v>
      </c>
      <c r="I116" s="55">
        <f t="shared" si="104"/>
        <v>0</v>
      </c>
      <c r="J116" s="55">
        <f t="shared" si="104"/>
        <v>0.947384007000001</v>
      </c>
      <c r="K116" s="55">
        <f t="shared" si="104"/>
        <v>0.394685679722227</v>
      </c>
      <c r="L116" s="55">
        <f t="shared" si="104"/>
        <v>0.351072831669634</v>
      </c>
      <c r="M116" s="55">
        <f t="shared" si="104"/>
        <v>0</v>
      </c>
      <c r="N116" s="55">
        <f t="shared" si="104"/>
        <v>0</v>
      </c>
      <c r="O116" s="55">
        <f t="shared" si="104"/>
        <v>0</v>
      </c>
      <c r="P116" s="55">
        <f t="shared" si="104"/>
        <v>0</v>
      </c>
      <c r="Q116" s="55">
        <f t="shared" ref="Q116:Q140" si="105">SUM(E116:P116)</f>
        <v>13.1652054581448</v>
      </c>
    </row>
    <row r="117" spans="3:17">
      <c r="C117" s="55"/>
      <c r="D117" s="55" t="s">
        <v>407</v>
      </c>
      <c r="E117" s="55">
        <f t="shared" ref="E117:P117" si="106">E288+E458</f>
        <v>12.459997215</v>
      </c>
      <c r="F117" s="55">
        <f t="shared" si="106"/>
        <v>0</v>
      </c>
      <c r="G117" s="55">
        <f t="shared" si="106"/>
        <v>-0.0451789035000004</v>
      </c>
      <c r="H117" s="55">
        <f t="shared" si="106"/>
        <v>-0.0464898531</v>
      </c>
      <c r="I117" s="55">
        <f t="shared" si="106"/>
        <v>-0.0495465976999999</v>
      </c>
      <c r="J117" s="55">
        <f t="shared" si="106"/>
        <v>-0.0526572824999998</v>
      </c>
      <c r="K117" s="55">
        <f t="shared" si="106"/>
        <v>-0.0547175460000001</v>
      </c>
      <c r="L117" s="55">
        <f t="shared" si="106"/>
        <v>2.25169183226801</v>
      </c>
      <c r="M117" s="55">
        <f t="shared" si="106"/>
        <v>9.00377499349599</v>
      </c>
      <c r="N117" s="55">
        <f t="shared" si="106"/>
        <v>7.12800898893601</v>
      </c>
      <c r="O117" s="55">
        <f t="shared" si="106"/>
        <v>8.722974784312</v>
      </c>
      <c r="P117" s="55">
        <f t="shared" si="106"/>
        <v>10.220007086458</v>
      </c>
      <c r="Q117" s="55">
        <f t="shared" si="105"/>
        <v>49.53786471767</v>
      </c>
    </row>
    <row r="118" spans="3:17">
      <c r="C118" s="55"/>
      <c r="D118" s="55" t="s">
        <v>408</v>
      </c>
      <c r="E118" s="55">
        <f t="shared" ref="E118:P118" si="107">E289+E459</f>
        <v>0</v>
      </c>
      <c r="F118" s="55">
        <f t="shared" si="107"/>
        <v>0</v>
      </c>
      <c r="G118" s="55">
        <f t="shared" si="107"/>
        <v>0</v>
      </c>
      <c r="H118" s="55">
        <f t="shared" si="107"/>
        <v>0</v>
      </c>
      <c r="I118" s="55">
        <f t="shared" si="107"/>
        <v>0</v>
      </c>
      <c r="J118" s="55">
        <f t="shared" si="107"/>
        <v>0</v>
      </c>
      <c r="K118" s="55">
        <f t="shared" si="107"/>
        <v>0</v>
      </c>
      <c r="L118" s="55">
        <f t="shared" si="107"/>
        <v>0</v>
      </c>
      <c r="M118" s="55">
        <f t="shared" si="107"/>
        <v>0</v>
      </c>
      <c r="N118" s="55">
        <f t="shared" si="107"/>
        <v>0</v>
      </c>
      <c r="O118" s="55">
        <f t="shared" si="107"/>
        <v>0</v>
      </c>
      <c r="P118" s="55">
        <f t="shared" si="107"/>
        <v>0</v>
      </c>
      <c r="Q118" s="55">
        <f t="shared" si="105"/>
        <v>0</v>
      </c>
    </row>
    <row r="119" spans="3:17">
      <c r="C119" s="55"/>
      <c r="D119" s="55" t="s">
        <v>409</v>
      </c>
      <c r="E119" s="55">
        <f t="shared" ref="E119:P119" si="108">E290+E460</f>
        <v>0</v>
      </c>
      <c r="F119" s="55">
        <f t="shared" si="108"/>
        <v>0</v>
      </c>
      <c r="G119" s="55">
        <f t="shared" si="108"/>
        <v>0</v>
      </c>
      <c r="H119" s="55">
        <f t="shared" si="108"/>
        <v>0</v>
      </c>
      <c r="I119" s="55">
        <f t="shared" si="108"/>
        <v>0</v>
      </c>
      <c r="J119" s="55">
        <f t="shared" si="108"/>
        <v>0</v>
      </c>
      <c r="K119" s="55">
        <f t="shared" si="108"/>
        <v>0</v>
      </c>
      <c r="L119" s="55">
        <f t="shared" si="108"/>
        <v>0</v>
      </c>
      <c r="M119" s="55">
        <f t="shared" si="108"/>
        <v>0</v>
      </c>
      <c r="N119" s="55">
        <f t="shared" si="108"/>
        <v>0</v>
      </c>
      <c r="O119" s="55">
        <f t="shared" si="108"/>
        <v>0</v>
      </c>
      <c r="P119" s="55">
        <f t="shared" si="108"/>
        <v>-0.2228549</v>
      </c>
      <c r="Q119" s="55">
        <f t="shared" si="105"/>
        <v>-0.2228549</v>
      </c>
    </row>
    <row r="120" spans="3:17">
      <c r="C120" s="55"/>
      <c r="D120" s="55" t="s">
        <v>410</v>
      </c>
      <c r="E120" s="55">
        <f t="shared" ref="E120:P120" si="109">E291+E461</f>
        <v>0</v>
      </c>
      <c r="F120" s="55">
        <f t="shared" si="109"/>
        <v>0</v>
      </c>
      <c r="G120" s="55">
        <f t="shared" si="109"/>
        <v>0</v>
      </c>
      <c r="H120" s="55">
        <f t="shared" si="109"/>
        <v>0</v>
      </c>
      <c r="I120" s="55">
        <f t="shared" si="109"/>
        <v>0</v>
      </c>
      <c r="J120" s="55">
        <f t="shared" si="109"/>
        <v>0</v>
      </c>
      <c r="K120" s="55">
        <f t="shared" si="109"/>
        <v>0</v>
      </c>
      <c r="L120" s="55">
        <f t="shared" si="109"/>
        <v>0</v>
      </c>
      <c r="M120" s="55">
        <f t="shared" si="109"/>
        <v>0</v>
      </c>
      <c r="N120" s="55">
        <f t="shared" si="109"/>
        <v>0</v>
      </c>
      <c r="O120" s="55">
        <f t="shared" si="109"/>
        <v>0</v>
      </c>
      <c r="P120" s="55">
        <f t="shared" si="109"/>
        <v>0</v>
      </c>
      <c r="Q120" s="55">
        <f t="shared" si="105"/>
        <v>0</v>
      </c>
    </row>
    <row r="121" spans="3:17">
      <c r="C121" s="55"/>
      <c r="D121" s="55" t="s">
        <v>368</v>
      </c>
      <c r="E121" s="55">
        <f t="shared" ref="E121:P121" si="110">E292+E462</f>
        <v>0</v>
      </c>
      <c r="F121" s="55">
        <f t="shared" si="110"/>
        <v>0</v>
      </c>
      <c r="G121" s="55">
        <f t="shared" si="110"/>
        <v>0</v>
      </c>
      <c r="H121" s="55">
        <f t="shared" si="110"/>
        <v>0.0117027160332327</v>
      </c>
      <c r="I121" s="55">
        <f t="shared" si="110"/>
        <v>0.0308263876344087</v>
      </c>
      <c r="J121" s="55">
        <f t="shared" si="110"/>
        <v>0.0870986693548387</v>
      </c>
      <c r="K121" s="55">
        <f t="shared" si="110"/>
        <v>0.0674874972222221</v>
      </c>
      <c r="L121" s="55">
        <f t="shared" si="110"/>
        <v>0.0298154967741935</v>
      </c>
      <c r="M121" s="55">
        <f t="shared" si="110"/>
        <v>-0.0073728</v>
      </c>
      <c r="N121" s="55">
        <f t="shared" si="110"/>
        <v>-0.0058894</v>
      </c>
      <c r="O121" s="55">
        <f t="shared" si="110"/>
        <v>-0.0071681</v>
      </c>
      <c r="P121" s="55">
        <f t="shared" si="110"/>
        <v>0.0015718</v>
      </c>
      <c r="Q121" s="55">
        <f t="shared" si="105"/>
        <v>0.208072267018896</v>
      </c>
    </row>
    <row r="122" spans="3:17">
      <c r="C122" s="55"/>
      <c r="D122" s="55" t="s">
        <v>411</v>
      </c>
      <c r="E122" s="55">
        <f t="shared" ref="E122:P122" si="111">E293+E463</f>
        <v>88.1402032250484</v>
      </c>
      <c r="F122" s="55">
        <f t="shared" si="111"/>
        <v>86.0568257143</v>
      </c>
      <c r="G122" s="55">
        <f t="shared" si="111"/>
        <v>81.263592312</v>
      </c>
      <c r="H122" s="55">
        <f t="shared" si="111"/>
        <v>47.927135055</v>
      </c>
      <c r="I122" s="55">
        <f t="shared" si="111"/>
        <v>65.2933284265</v>
      </c>
      <c r="J122" s="55">
        <f t="shared" si="111"/>
        <v>66.0125524608</v>
      </c>
      <c r="K122" s="55">
        <f t="shared" si="111"/>
        <v>69.1015610931</v>
      </c>
      <c r="L122" s="55">
        <f t="shared" si="111"/>
        <v>81.3360674784</v>
      </c>
      <c r="M122" s="55">
        <f t="shared" si="111"/>
        <v>71.1391228120999</v>
      </c>
      <c r="N122" s="55">
        <f t="shared" si="111"/>
        <v>78.2916338904</v>
      </c>
      <c r="O122" s="55">
        <f t="shared" si="111"/>
        <v>96.7526106668</v>
      </c>
      <c r="P122" s="55">
        <f t="shared" si="111"/>
        <v>95.996529187015</v>
      </c>
      <c r="Q122" s="55">
        <f t="shared" si="105"/>
        <v>927.311162321463</v>
      </c>
    </row>
    <row r="123" spans="3:17">
      <c r="C123" s="55"/>
      <c r="D123" s="55" t="s">
        <v>412</v>
      </c>
      <c r="E123" s="55">
        <f t="shared" ref="E123:P123" si="112">E294+E464</f>
        <v>8.78331080305</v>
      </c>
      <c r="F123" s="55">
        <f t="shared" si="112"/>
        <v>11.4247555465</v>
      </c>
      <c r="G123" s="55">
        <f t="shared" si="112"/>
        <v>9.20517563295</v>
      </c>
      <c r="H123" s="55">
        <f t="shared" si="112"/>
        <v>10.1386528425</v>
      </c>
      <c r="I123" s="55">
        <f t="shared" si="112"/>
        <v>3.7343745016</v>
      </c>
      <c r="J123" s="55">
        <f t="shared" si="112"/>
        <v>10.28045409185</v>
      </c>
      <c r="K123" s="55">
        <f t="shared" si="112"/>
        <v>9.400327501</v>
      </c>
      <c r="L123" s="55">
        <f t="shared" si="112"/>
        <v>8.59108511645</v>
      </c>
      <c r="M123" s="55">
        <f t="shared" si="112"/>
        <v>10.82115762325</v>
      </c>
      <c r="N123" s="55">
        <f t="shared" si="112"/>
        <v>8.46353932808</v>
      </c>
      <c r="O123" s="55">
        <f t="shared" si="112"/>
        <v>11.34701652875</v>
      </c>
      <c r="P123" s="55">
        <f t="shared" si="112"/>
        <v>13.65132730235</v>
      </c>
      <c r="Q123" s="55">
        <f t="shared" si="105"/>
        <v>115.84117681833</v>
      </c>
    </row>
    <row r="124" spans="3:17">
      <c r="C124" s="55"/>
      <c r="D124" s="55" t="s">
        <v>413</v>
      </c>
      <c r="E124" s="55">
        <f t="shared" ref="E124:P124" si="113">E295+E465</f>
        <v>3.68240022865</v>
      </c>
      <c r="F124" s="55">
        <f t="shared" si="113"/>
        <v>3.8467078748</v>
      </c>
      <c r="G124" s="55">
        <f t="shared" si="113"/>
        <v>4.57886193935</v>
      </c>
      <c r="H124" s="55">
        <f t="shared" si="113"/>
        <v>4.57663563715</v>
      </c>
      <c r="I124" s="55">
        <f t="shared" si="113"/>
        <v>8.245028140576</v>
      </c>
      <c r="J124" s="55">
        <f t="shared" si="113"/>
        <v>10.8126802346</v>
      </c>
      <c r="K124" s="55">
        <f t="shared" si="113"/>
        <v>12.47922990695</v>
      </c>
      <c r="L124" s="55">
        <f t="shared" si="113"/>
        <v>11.36456937665</v>
      </c>
      <c r="M124" s="55">
        <f t="shared" si="113"/>
        <v>15.8870754426</v>
      </c>
      <c r="N124" s="55">
        <f t="shared" si="113"/>
        <v>21.4828807802</v>
      </c>
      <c r="O124" s="55">
        <f t="shared" si="113"/>
        <v>22.04734913635</v>
      </c>
      <c r="P124" s="55">
        <f t="shared" si="113"/>
        <v>1.13799544395</v>
      </c>
      <c r="Q124" s="55">
        <f t="shared" si="105"/>
        <v>120.141414141826</v>
      </c>
    </row>
    <row r="125" spans="3:17">
      <c r="C125" s="55"/>
      <c r="D125" s="55" t="s">
        <v>414</v>
      </c>
      <c r="E125" s="55">
        <f t="shared" ref="E125:P125" si="114">E296+E466</f>
        <v>3.7773540951775</v>
      </c>
      <c r="F125" s="55">
        <f t="shared" si="114"/>
        <v>4.29982036215</v>
      </c>
      <c r="G125" s="55">
        <f t="shared" si="114"/>
        <v>3.84394107675</v>
      </c>
      <c r="H125" s="55">
        <f t="shared" si="114"/>
        <v>3.52342818625</v>
      </c>
      <c r="I125" s="55">
        <f t="shared" si="114"/>
        <v>3.85738594415</v>
      </c>
      <c r="J125" s="55">
        <f t="shared" si="114"/>
        <v>4.61194325393</v>
      </c>
      <c r="K125" s="55">
        <f t="shared" si="114"/>
        <v>4.73670339625</v>
      </c>
      <c r="L125" s="55">
        <f t="shared" si="114"/>
        <v>3.9600695831</v>
      </c>
      <c r="M125" s="55">
        <f t="shared" si="114"/>
        <v>4.00459288825</v>
      </c>
      <c r="N125" s="55">
        <f t="shared" si="114"/>
        <v>4.37827687025</v>
      </c>
      <c r="O125" s="55">
        <f t="shared" si="114"/>
        <v>4.1590670630725</v>
      </c>
      <c r="P125" s="55">
        <f t="shared" si="114"/>
        <v>4.70570008545</v>
      </c>
      <c r="Q125" s="55">
        <f t="shared" si="105"/>
        <v>49.85828280478</v>
      </c>
    </row>
    <row r="126" spans="3:17">
      <c r="C126" s="55"/>
      <c r="D126" s="55" t="s">
        <v>415</v>
      </c>
      <c r="E126" s="55">
        <f t="shared" ref="E126:P126" si="115">E297+E467</f>
        <v>0</v>
      </c>
      <c r="F126" s="55">
        <f t="shared" si="115"/>
        <v>0</v>
      </c>
      <c r="G126" s="55">
        <f t="shared" si="115"/>
        <v>0</v>
      </c>
      <c r="H126" s="55">
        <f t="shared" si="115"/>
        <v>0</v>
      </c>
      <c r="I126" s="55">
        <f t="shared" si="115"/>
        <v>0</v>
      </c>
      <c r="J126" s="55">
        <f t="shared" si="115"/>
        <v>0</v>
      </c>
      <c r="K126" s="55">
        <f t="shared" si="115"/>
        <v>0</v>
      </c>
      <c r="L126" s="55">
        <f t="shared" si="115"/>
        <v>0</v>
      </c>
      <c r="M126" s="55">
        <f t="shared" si="115"/>
        <v>0</v>
      </c>
      <c r="N126" s="55">
        <f t="shared" si="115"/>
        <v>0</v>
      </c>
      <c r="O126" s="55">
        <f t="shared" si="115"/>
        <v>0</v>
      </c>
      <c r="P126" s="55">
        <f t="shared" si="115"/>
        <v>0</v>
      </c>
      <c r="Q126" s="55">
        <f t="shared" si="105"/>
        <v>0</v>
      </c>
    </row>
    <row r="127" spans="3:17">
      <c r="C127" s="55"/>
      <c r="D127" s="55" t="s">
        <v>416</v>
      </c>
      <c r="E127" s="55">
        <f t="shared" ref="E127:P127" si="116">E298+E468</f>
        <v>0</v>
      </c>
      <c r="F127" s="55">
        <f t="shared" si="116"/>
        <v>0</v>
      </c>
      <c r="G127" s="55">
        <f t="shared" si="116"/>
        <v>0</v>
      </c>
      <c r="H127" s="55">
        <f t="shared" si="116"/>
        <v>0</v>
      </c>
      <c r="I127" s="55">
        <f t="shared" si="116"/>
        <v>0</v>
      </c>
      <c r="J127" s="55">
        <f t="shared" si="116"/>
        <v>0</v>
      </c>
      <c r="K127" s="55">
        <f t="shared" si="116"/>
        <v>0</v>
      </c>
      <c r="L127" s="55">
        <f t="shared" si="116"/>
        <v>0</v>
      </c>
      <c r="M127" s="55">
        <f t="shared" si="116"/>
        <v>0</v>
      </c>
      <c r="N127" s="55">
        <f t="shared" si="116"/>
        <v>0</v>
      </c>
      <c r="O127" s="55">
        <f t="shared" si="116"/>
        <v>0</v>
      </c>
      <c r="P127" s="55">
        <f t="shared" si="116"/>
        <v>0</v>
      </c>
      <c r="Q127" s="55">
        <f t="shared" si="105"/>
        <v>0</v>
      </c>
    </row>
    <row r="128" spans="3:17">
      <c r="C128" s="55"/>
      <c r="D128" s="55" t="s">
        <v>417</v>
      </c>
      <c r="E128" s="55">
        <f t="shared" ref="E128:P128" si="117">E299+E469</f>
        <v>0</v>
      </c>
      <c r="F128" s="55">
        <f t="shared" si="117"/>
        <v>0</v>
      </c>
      <c r="G128" s="55">
        <f t="shared" si="117"/>
        <v>0</v>
      </c>
      <c r="H128" s="55">
        <f t="shared" si="117"/>
        <v>0</v>
      </c>
      <c r="I128" s="55">
        <f t="shared" si="117"/>
        <v>0</v>
      </c>
      <c r="J128" s="55">
        <f t="shared" si="117"/>
        <v>0</v>
      </c>
      <c r="K128" s="55">
        <f t="shared" si="117"/>
        <v>0</v>
      </c>
      <c r="L128" s="55">
        <f t="shared" si="117"/>
        <v>0</v>
      </c>
      <c r="M128" s="55">
        <f t="shared" si="117"/>
        <v>0</v>
      </c>
      <c r="N128" s="55">
        <f t="shared" si="117"/>
        <v>0</v>
      </c>
      <c r="O128" s="55">
        <f t="shared" si="117"/>
        <v>0</v>
      </c>
      <c r="P128" s="55">
        <f t="shared" si="117"/>
        <v>0</v>
      </c>
      <c r="Q128" s="55">
        <f t="shared" si="105"/>
        <v>0</v>
      </c>
    </row>
    <row r="129" spans="3:17">
      <c r="C129" s="55"/>
      <c r="D129" s="55" t="s">
        <v>418</v>
      </c>
      <c r="E129" s="55">
        <f t="shared" ref="E129:P129" si="118">E300+E470</f>
        <v>0</v>
      </c>
      <c r="F129" s="55">
        <f t="shared" si="118"/>
        <v>0</v>
      </c>
      <c r="G129" s="55">
        <f t="shared" si="118"/>
        <v>0</v>
      </c>
      <c r="H129" s="55">
        <f t="shared" si="118"/>
        <v>0</v>
      </c>
      <c r="I129" s="55">
        <f t="shared" si="118"/>
        <v>0</v>
      </c>
      <c r="J129" s="55">
        <f t="shared" si="118"/>
        <v>0</v>
      </c>
      <c r="K129" s="55">
        <f t="shared" si="118"/>
        <v>0</v>
      </c>
      <c r="L129" s="55">
        <f t="shared" si="118"/>
        <v>0</v>
      </c>
      <c r="M129" s="55">
        <f t="shared" si="118"/>
        <v>0</v>
      </c>
      <c r="N129" s="55">
        <f t="shared" si="118"/>
        <v>0</v>
      </c>
      <c r="O129" s="55">
        <f t="shared" si="118"/>
        <v>0</v>
      </c>
      <c r="P129" s="55">
        <f t="shared" si="118"/>
        <v>0</v>
      </c>
      <c r="Q129" s="55">
        <f t="shared" si="105"/>
        <v>0</v>
      </c>
    </row>
    <row r="130" spans="3:17">
      <c r="C130" s="55"/>
      <c r="D130" s="687" t="s">
        <v>419</v>
      </c>
      <c r="E130" s="55">
        <f t="shared" ref="E130:P130" si="119">E301+E471</f>
        <v>1.2273657171125</v>
      </c>
      <c r="F130" s="55">
        <f t="shared" si="119"/>
        <v>1.028204350835</v>
      </c>
      <c r="G130" s="55">
        <f t="shared" si="119"/>
        <v>1.2366133074895</v>
      </c>
      <c r="H130" s="55">
        <f t="shared" si="119"/>
        <v>0.4518484017605</v>
      </c>
      <c r="I130" s="55">
        <f t="shared" si="119"/>
        <v>0.7826072824015</v>
      </c>
      <c r="J130" s="55">
        <f t="shared" si="119"/>
        <v>0.89486303467825</v>
      </c>
      <c r="K130" s="55">
        <f t="shared" si="119"/>
        <v>0.73667043777125</v>
      </c>
      <c r="L130" s="55">
        <f t="shared" si="119"/>
        <v>0.8953014646325</v>
      </c>
      <c r="M130" s="55">
        <f t="shared" si="119"/>
        <v>0.70605892388125</v>
      </c>
      <c r="N130" s="55">
        <f t="shared" si="119"/>
        <v>1.723267705947</v>
      </c>
      <c r="O130" s="55">
        <f t="shared" si="119"/>
        <v>1.575789807122</v>
      </c>
      <c r="P130" s="55">
        <f t="shared" si="119"/>
        <v>1.8311414730095</v>
      </c>
      <c r="Q130" s="55">
        <f t="shared" si="105"/>
        <v>13.0897319066408</v>
      </c>
    </row>
    <row r="131" spans="3:17">
      <c r="C131" s="55"/>
      <c r="D131" s="687" t="s">
        <v>420</v>
      </c>
      <c r="E131" s="55">
        <f t="shared" ref="E131:P131" si="120">E302+E472</f>
        <v>0</v>
      </c>
      <c r="F131" s="55">
        <f t="shared" si="120"/>
        <v>0</v>
      </c>
      <c r="G131" s="55">
        <f t="shared" si="120"/>
        <v>0</v>
      </c>
      <c r="H131" s="55">
        <f t="shared" si="120"/>
        <v>0</v>
      </c>
      <c r="I131" s="55">
        <f t="shared" si="120"/>
        <v>0</v>
      </c>
      <c r="J131" s="55">
        <f t="shared" si="120"/>
        <v>0</v>
      </c>
      <c r="K131" s="55">
        <f t="shared" si="120"/>
        <v>0</v>
      </c>
      <c r="L131" s="55">
        <f t="shared" si="120"/>
        <v>0</v>
      </c>
      <c r="M131" s="55">
        <f t="shared" si="120"/>
        <v>0</v>
      </c>
      <c r="N131" s="55">
        <f t="shared" si="120"/>
        <v>0</v>
      </c>
      <c r="O131" s="55">
        <f t="shared" si="120"/>
        <v>0</v>
      </c>
      <c r="P131" s="55">
        <f t="shared" si="120"/>
        <v>23.14071855355</v>
      </c>
      <c r="Q131" s="55">
        <f t="shared" si="105"/>
        <v>23.14071855355</v>
      </c>
    </row>
    <row r="132" spans="3:17">
      <c r="C132" s="55"/>
      <c r="D132" s="55"/>
      <c r="E132" s="55">
        <f t="shared" ref="E132:P132" si="121">E303+E473</f>
        <v>0</v>
      </c>
      <c r="F132" s="55">
        <f t="shared" si="121"/>
        <v>0</v>
      </c>
      <c r="G132" s="55">
        <f t="shared" si="121"/>
        <v>0</v>
      </c>
      <c r="H132" s="55">
        <f t="shared" si="121"/>
        <v>0</v>
      </c>
      <c r="I132" s="55">
        <f t="shared" si="121"/>
        <v>0</v>
      </c>
      <c r="J132" s="55">
        <f t="shared" si="121"/>
        <v>0</v>
      </c>
      <c r="K132" s="55">
        <f t="shared" si="121"/>
        <v>0</v>
      </c>
      <c r="L132" s="55">
        <f t="shared" si="121"/>
        <v>0</v>
      </c>
      <c r="M132" s="55">
        <f t="shared" si="121"/>
        <v>0</v>
      </c>
      <c r="N132" s="55">
        <f t="shared" si="121"/>
        <v>0</v>
      </c>
      <c r="O132" s="55">
        <f t="shared" si="121"/>
        <v>0</v>
      </c>
      <c r="P132" s="55">
        <f t="shared" si="121"/>
        <v>0</v>
      </c>
      <c r="Q132" s="55">
        <f t="shared" si="105"/>
        <v>0</v>
      </c>
    </row>
    <row r="133" spans="3:17">
      <c r="C133" s="55"/>
      <c r="D133" s="55"/>
      <c r="E133" s="55">
        <f t="shared" ref="E133:P133" si="122">E304+E474</f>
        <v>0</v>
      </c>
      <c r="F133" s="55">
        <f t="shared" si="122"/>
        <v>0</v>
      </c>
      <c r="G133" s="55">
        <f t="shared" si="122"/>
        <v>0</v>
      </c>
      <c r="H133" s="55">
        <f t="shared" si="122"/>
        <v>0</v>
      </c>
      <c r="I133" s="55">
        <f t="shared" si="122"/>
        <v>0</v>
      </c>
      <c r="J133" s="55">
        <f t="shared" si="122"/>
        <v>0</v>
      </c>
      <c r="K133" s="55">
        <f t="shared" si="122"/>
        <v>0</v>
      </c>
      <c r="L133" s="55">
        <f t="shared" si="122"/>
        <v>0</v>
      </c>
      <c r="M133" s="55">
        <f t="shared" si="122"/>
        <v>0</v>
      </c>
      <c r="N133" s="55">
        <f t="shared" si="122"/>
        <v>0</v>
      </c>
      <c r="O133" s="55">
        <f t="shared" si="122"/>
        <v>0</v>
      </c>
      <c r="P133" s="55">
        <f t="shared" si="122"/>
        <v>0</v>
      </c>
      <c r="Q133" s="55">
        <f t="shared" si="105"/>
        <v>0</v>
      </c>
    </row>
    <row r="134" spans="3:17">
      <c r="C134" s="55"/>
      <c r="D134" s="55"/>
      <c r="E134" s="55">
        <f t="shared" ref="E134:P134" si="123">E305+E475</f>
        <v>0</v>
      </c>
      <c r="F134" s="55">
        <f t="shared" si="123"/>
        <v>0</v>
      </c>
      <c r="G134" s="55">
        <f t="shared" si="123"/>
        <v>0</v>
      </c>
      <c r="H134" s="55">
        <f t="shared" si="123"/>
        <v>0</v>
      </c>
      <c r="I134" s="55">
        <f t="shared" si="123"/>
        <v>0</v>
      </c>
      <c r="J134" s="55">
        <f t="shared" si="123"/>
        <v>0</v>
      </c>
      <c r="K134" s="55">
        <f t="shared" si="123"/>
        <v>0</v>
      </c>
      <c r="L134" s="55">
        <f t="shared" si="123"/>
        <v>0</v>
      </c>
      <c r="M134" s="55">
        <f t="shared" si="123"/>
        <v>0</v>
      </c>
      <c r="N134" s="55">
        <f t="shared" si="123"/>
        <v>0</v>
      </c>
      <c r="O134" s="55">
        <f t="shared" si="123"/>
        <v>0</v>
      </c>
      <c r="P134" s="55">
        <f t="shared" si="123"/>
        <v>0</v>
      </c>
      <c r="Q134" s="55">
        <f t="shared" si="105"/>
        <v>0</v>
      </c>
    </row>
    <row r="135" spans="3:17">
      <c r="C135" s="55"/>
      <c r="D135" s="55"/>
      <c r="E135" s="55">
        <f t="shared" ref="E135:P135" si="124">E306+E476</f>
        <v>0</v>
      </c>
      <c r="F135" s="55">
        <f t="shared" si="124"/>
        <v>0</v>
      </c>
      <c r="G135" s="55">
        <f t="shared" si="124"/>
        <v>0</v>
      </c>
      <c r="H135" s="55">
        <f t="shared" si="124"/>
        <v>0</v>
      </c>
      <c r="I135" s="55">
        <f t="shared" si="124"/>
        <v>0</v>
      </c>
      <c r="J135" s="55">
        <f t="shared" si="124"/>
        <v>0</v>
      </c>
      <c r="K135" s="55">
        <f t="shared" si="124"/>
        <v>0</v>
      </c>
      <c r="L135" s="55">
        <f t="shared" si="124"/>
        <v>0</v>
      </c>
      <c r="M135" s="55">
        <f t="shared" si="124"/>
        <v>0</v>
      </c>
      <c r="N135" s="55">
        <f t="shared" si="124"/>
        <v>0</v>
      </c>
      <c r="O135" s="55">
        <f t="shared" si="124"/>
        <v>0</v>
      </c>
      <c r="P135" s="55">
        <f t="shared" si="124"/>
        <v>0</v>
      </c>
      <c r="Q135" s="55">
        <f t="shared" si="105"/>
        <v>0</v>
      </c>
    </row>
    <row r="136" spans="3:17">
      <c r="C136" s="55"/>
      <c r="D136" s="55"/>
      <c r="E136" s="55">
        <f t="shared" ref="E136:P136" si="125">E307+E477</f>
        <v>0</v>
      </c>
      <c r="F136" s="55">
        <f t="shared" si="125"/>
        <v>0</v>
      </c>
      <c r="G136" s="55">
        <f t="shared" si="125"/>
        <v>0</v>
      </c>
      <c r="H136" s="55">
        <f t="shared" si="125"/>
        <v>0</v>
      </c>
      <c r="I136" s="55">
        <f t="shared" si="125"/>
        <v>0</v>
      </c>
      <c r="J136" s="55">
        <f t="shared" si="125"/>
        <v>0</v>
      </c>
      <c r="K136" s="55">
        <f t="shared" si="125"/>
        <v>0</v>
      </c>
      <c r="L136" s="55">
        <f t="shared" si="125"/>
        <v>0</v>
      </c>
      <c r="M136" s="55">
        <f t="shared" si="125"/>
        <v>0</v>
      </c>
      <c r="N136" s="55">
        <f t="shared" si="125"/>
        <v>0</v>
      </c>
      <c r="O136" s="55">
        <f t="shared" si="125"/>
        <v>0</v>
      </c>
      <c r="P136" s="55">
        <f t="shared" si="125"/>
        <v>0</v>
      </c>
      <c r="Q136" s="55">
        <f t="shared" si="105"/>
        <v>0</v>
      </c>
    </row>
    <row r="137" spans="3:17">
      <c r="C137" s="55"/>
      <c r="D137" s="55"/>
      <c r="E137" s="55">
        <f t="shared" ref="E137:P137" si="126">E308+E478</f>
        <v>0</v>
      </c>
      <c r="F137" s="55">
        <f t="shared" si="126"/>
        <v>0</v>
      </c>
      <c r="G137" s="55">
        <f t="shared" si="126"/>
        <v>0</v>
      </c>
      <c r="H137" s="55">
        <f t="shared" si="126"/>
        <v>0</v>
      </c>
      <c r="I137" s="55">
        <f t="shared" si="126"/>
        <v>0</v>
      </c>
      <c r="J137" s="55">
        <f t="shared" si="126"/>
        <v>0</v>
      </c>
      <c r="K137" s="55">
        <f t="shared" si="126"/>
        <v>0</v>
      </c>
      <c r="L137" s="55">
        <f t="shared" si="126"/>
        <v>0</v>
      </c>
      <c r="M137" s="55">
        <f t="shared" si="126"/>
        <v>0</v>
      </c>
      <c r="N137" s="55">
        <f t="shared" si="126"/>
        <v>0</v>
      </c>
      <c r="O137" s="55">
        <f t="shared" si="126"/>
        <v>0</v>
      </c>
      <c r="P137" s="55">
        <f t="shared" si="126"/>
        <v>0</v>
      </c>
      <c r="Q137" s="55">
        <f t="shared" si="105"/>
        <v>0</v>
      </c>
    </row>
    <row r="138" spans="3:17">
      <c r="C138" s="55"/>
      <c r="D138" s="55"/>
      <c r="E138" s="55">
        <f t="shared" ref="E138:P138" si="127">E309+E479</f>
        <v>0</v>
      </c>
      <c r="F138" s="55">
        <f t="shared" si="127"/>
        <v>0</v>
      </c>
      <c r="G138" s="55">
        <f t="shared" si="127"/>
        <v>0</v>
      </c>
      <c r="H138" s="55">
        <f t="shared" si="127"/>
        <v>0</v>
      </c>
      <c r="I138" s="55">
        <f t="shared" si="127"/>
        <v>0</v>
      </c>
      <c r="J138" s="55">
        <f t="shared" si="127"/>
        <v>0</v>
      </c>
      <c r="K138" s="55">
        <f t="shared" si="127"/>
        <v>0</v>
      </c>
      <c r="L138" s="55">
        <f t="shared" si="127"/>
        <v>0</v>
      </c>
      <c r="M138" s="55">
        <f t="shared" si="127"/>
        <v>0</v>
      </c>
      <c r="N138" s="55">
        <f t="shared" si="127"/>
        <v>0</v>
      </c>
      <c r="O138" s="55">
        <f t="shared" si="127"/>
        <v>0</v>
      </c>
      <c r="P138" s="55">
        <f t="shared" si="127"/>
        <v>0</v>
      </c>
      <c r="Q138" s="55">
        <f t="shared" si="105"/>
        <v>0</v>
      </c>
    </row>
    <row r="139" spans="3:17">
      <c r="C139" s="55"/>
      <c r="D139" s="55"/>
      <c r="E139" s="55">
        <f t="shared" ref="E139:P139" si="128">E310+E480</f>
        <v>0</v>
      </c>
      <c r="F139" s="55">
        <f t="shared" si="128"/>
        <v>0</v>
      </c>
      <c r="G139" s="55">
        <f t="shared" si="128"/>
        <v>0</v>
      </c>
      <c r="H139" s="55">
        <f t="shared" si="128"/>
        <v>0</v>
      </c>
      <c r="I139" s="55">
        <f t="shared" si="128"/>
        <v>0</v>
      </c>
      <c r="J139" s="55">
        <f t="shared" si="128"/>
        <v>0</v>
      </c>
      <c r="K139" s="55">
        <f t="shared" si="128"/>
        <v>0</v>
      </c>
      <c r="L139" s="55">
        <f t="shared" si="128"/>
        <v>0</v>
      </c>
      <c r="M139" s="55">
        <f t="shared" si="128"/>
        <v>0</v>
      </c>
      <c r="N139" s="55">
        <f t="shared" si="128"/>
        <v>0</v>
      </c>
      <c r="O139" s="55">
        <f t="shared" si="128"/>
        <v>0</v>
      </c>
      <c r="P139" s="55">
        <f t="shared" si="128"/>
        <v>0</v>
      </c>
      <c r="Q139" s="55">
        <f t="shared" si="105"/>
        <v>0</v>
      </c>
    </row>
    <row r="140" ht="15" spans="3:17">
      <c r="C140" s="44" t="s">
        <v>421</v>
      </c>
      <c r="D140" s="45"/>
      <c r="E140" s="54">
        <f t="shared" ref="E140:P140" si="129">SUM(E116:E139)</f>
        <v>122.461957595859</v>
      </c>
      <c r="F140" s="54">
        <f t="shared" si="129"/>
        <v>109.125119114474</v>
      </c>
      <c r="G140" s="54">
        <f t="shared" si="129"/>
        <v>103.042110511749</v>
      </c>
      <c r="H140" s="54">
        <f t="shared" si="129"/>
        <v>68.2357392009271</v>
      </c>
      <c r="I140" s="54">
        <f t="shared" si="129"/>
        <v>81.8940040851619</v>
      </c>
      <c r="J140" s="54">
        <f t="shared" si="129"/>
        <v>93.5943184697131</v>
      </c>
      <c r="K140" s="54">
        <f t="shared" si="129"/>
        <v>96.8619479660157</v>
      </c>
      <c r="L140" s="54">
        <f t="shared" si="129"/>
        <v>108.779673179944</v>
      </c>
      <c r="M140" s="54">
        <f t="shared" si="129"/>
        <v>111.554409883577</v>
      </c>
      <c r="N140" s="54">
        <f t="shared" si="129"/>
        <v>121.461718163813</v>
      </c>
      <c r="O140" s="54">
        <f t="shared" si="129"/>
        <v>144.597639886407</v>
      </c>
      <c r="P140" s="54">
        <f t="shared" si="129"/>
        <v>150.462136031782</v>
      </c>
      <c r="Q140" s="54">
        <f t="shared" si="105"/>
        <v>1312.07077408942</v>
      </c>
    </row>
    <row r="141" ht="15" spans="3:17">
      <c r="C141" s="663" t="s">
        <v>422</v>
      </c>
      <c r="D141" s="676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</row>
    <row r="142" spans="3:17">
      <c r="C142" s="55"/>
      <c r="D142" s="55" t="s">
        <v>423</v>
      </c>
      <c r="E142" s="55">
        <f t="shared" ref="E142:P142" si="130">E313+E483</f>
        <v>405.213335362178</v>
      </c>
      <c r="F142" s="55">
        <f t="shared" si="130"/>
        <v>61.2487942490158</v>
      </c>
      <c r="G142" s="55">
        <f t="shared" si="130"/>
        <v>82.528528999538</v>
      </c>
      <c r="H142" s="55">
        <f t="shared" si="130"/>
        <v>74.7655318970102</v>
      </c>
      <c r="I142" s="55">
        <f t="shared" si="130"/>
        <v>62.8044549784858</v>
      </c>
      <c r="J142" s="55">
        <f t="shared" si="130"/>
        <v>66.2480019023261</v>
      </c>
      <c r="K142" s="55">
        <f t="shared" si="130"/>
        <v>12.3062525020502</v>
      </c>
      <c r="L142" s="55">
        <f t="shared" si="130"/>
        <v>38.0330487939445</v>
      </c>
      <c r="M142" s="55">
        <f t="shared" si="130"/>
        <v>155.579706717964</v>
      </c>
      <c r="N142" s="55">
        <f t="shared" si="130"/>
        <v>222.427585689161</v>
      </c>
      <c r="O142" s="55">
        <f t="shared" si="130"/>
        <v>306.391392532815</v>
      </c>
      <c r="P142" s="55">
        <f t="shared" si="130"/>
        <v>321.653798644667</v>
      </c>
      <c r="Q142" s="55">
        <f t="shared" ref="Q142:Q163" si="131">SUM(E142:P142)</f>
        <v>1809.20043226916</v>
      </c>
    </row>
    <row r="143" spans="3:17">
      <c r="C143" s="55"/>
      <c r="D143" s="55"/>
      <c r="E143" s="55">
        <f t="shared" ref="E143:P143" si="132">E314+E499</f>
        <v>0</v>
      </c>
      <c r="F143" s="55">
        <f t="shared" si="132"/>
        <v>0</v>
      </c>
      <c r="G143" s="55">
        <f t="shared" si="132"/>
        <v>0</v>
      </c>
      <c r="H143" s="55">
        <f t="shared" si="132"/>
        <v>0</v>
      </c>
      <c r="I143" s="55">
        <f t="shared" si="132"/>
        <v>0</v>
      </c>
      <c r="J143" s="55">
        <f t="shared" si="132"/>
        <v>0</v>
      </c>
      <c r="K143" s="55">
        <f t="shared" si="132"/>
        <v>0</v>
      </c>
      <c r="L143" s="55">
        <f t="shared" si="132"/>
        <v>0</v>
      </c>
      <c r="M143" s="55">
        <f t="shared" si="132"/>
        <v>0</v>
      </c>
      <c r="N143" s="55">
        <f t="shared" si="132"/>
        <v>0</v>
      </c>
      <c r="O143" s="55">
        <f t="shared" si="132"/>
        <v>0</v>
      </c>
      <c r="P143" s="55">
        <f t="shared" si="132"/>
        <v>0</v>
      </c>
      <c r="Q143" s="55">
        <f t="shared" si="131"/>
        <v>0</v>
      </c>
    </row>
    <row r="144" spans="3:20">
      <c r="C144" s="55"/>
      <c r="D144" s="55"/>
      <c r="E144" s="55">
        <f>E315+E500</f>
        <v>0</v>
      </c>
      <c r="F144" s="55">
        <f t="shared" ref="F144:P144" si="133">F330+F500</f>
        <v>0</v>
      </c>
      <c r="G144" s="55">
        <f t="shared" si="133"/>
        <v>0</v>
      </c>
      <c r="H144" s="55">
        <f t="shared" si="133"/>
        <v>0</v>
      </c>
      <c r="I144" s="55">
        <f t="shared" si="133"/>
        <v>0</v>
      </c>
      <c r="J144" s="55">
        <f t="shared" si="133"/>
        <v>0</v>
      </c>
      <c r="K144" s="55">
        <f t="shared" si="133"/>
        <v>0</v>
      </c>
      <c r="L144" s="55">
        <f t="shared" si="133"/>
        <v>0</v>
      </c>
      <c r="M144" s="55">
        <f t="shared" si="133"/>
        <v>0</v>
      </c>
      <c r="N144" s="55">
        <f t="shared" si="133"/>
        <v>0</v>
      </c>
      <c r="O144" s="55">
        <f t="shared" si="133"/>
        <v>0</v>
      </c>
      <c r="P144" s="55">
        <f t="shared" si="133"/>
        <v>0</v>
      </c>
      <c r="Q144" s="55">
        <f t="shared" si="131"/>
        <v>0</v>
      </c>
      <c r="T144" s="679"/>
    </row>
    <row r="145" spans="3:17">
      <c r="C145" s="55"/>
      <c r="D145" s="55"/>
      <c r="E145" s="55">
        <f>E316+E501</f>
        <v>0</v>
      </c>
      <c r="F145" s="55">
        <f t="shared" ref="F145:P145" si="134">F331+F501</f>
        <v>0</v>
      </c>
      <c r="G145" s="55">
        <f t="shared" si="134"/>
        <v>0</v>
      </c>
      <c r="H145" s="55">
        <f t="shared" si="134"/>
        <v>0</v>
      </c>
      <c r="I145" s="55">
        <f t="shared" si="134"/>
        <v>0</v>
      </c>
      <c r="J145" s="55">
        <f t="shared" si="134"/>
        <v>0</v>
      </c>
      <c r="K145" s="55">
        <f t="shared" si="134"/>
        <v>0</v>
      </c>
      <c r="L145" s="55">
        <f t="shared" si="134"/>
        <v>0</v>
      </c>
      <c r="M145" s="55">
        <f t="shared" si="134"/>
        <v>0</v>
      </c>
      <c r="N145" s="55">
        <f t="shared" si="134"/>
        <v>0</v>
      </c>
      <c r="O145" s="55">
        <f t="shared" si="134"/>
        <v>0</v>
      </c>
      <c r="P145" s="55">
        <f t="shared" si="134"/>
        <v>0</v>
      </c>
      <c r="Q145" s="55">
        <f t="shared" si="131"/>
        <v>0</v>
      </c>
    </row>
    <row r="146" spans="3:17">
      <c r="C146" s="55"/>
      <c r="D146" s="55"/>
      <c r="E146" s="55">
        <f>E317+E502</f>
        <v>0</v>
      </c>
      <c r="F146" s="55">
        <f t="shared" ref="F146:P146" si="135">F332+F502</f>
        <v>0</v>
      </c>
      <c r="G146" s="55">
        <f t="shared" si="135"/>
        <v>0</v>
      </c>
      <c r="H146" s="55">
        <f t="shared" si="135"/>
        <v>0</v>
      </c>
      <c r="I146" s="55">
        <f t="shared" si="135"/>
        <v>0</v>
      </c>
      <c r="J146" s="55">
        <f t="shared" si="135"/>
        <v>0</v>
      </c>
      <c r="K146" s="55">
        <f t="shared" si="135"/>
        <v>0</v>
      </c>
      <c r="L146" s="55">
        <f t="shared" si="135"/>
        <v>0</v>
      </c>
      <c r="M146" s="55">
        <f t="shared" si="135"/>
        <v>0</v>
      </c>
      <c r="N146" s="55">
        <f t="shared" si="135"/>
        <v>0</v>
      </c>
      <c r="O146" s="55">
        <f t="shared" si="135"/>
        <v>0</v>
      </c>
      <c r="P146" s="55">
        <f t="shared" si="135"/>
        <v>0</v>
      </c>
      <c r="Q146" s="55">
        <f t="shared" si="131"/>
        <v>0</v>
      </c>
    </row>
    <row r="147" spans="3:17">
      <c r="C147" s="55"/>
      <c r="D147" s="679" t="s">
        <v>502</v>
      </c>
      <c r="E147" s="55">
        <f t="shared" ref="E147:P147" si="136">E318+E488</f>
        <v>35.0434210067</v>
      </c>
      <c r="F147" s="55">
        <f t="shared" si="136"/>
        <v>30.17985926165</v>
      </c>
      <c r="G147" s="55">
        <f t="shared" si="136"/>
        <v>30.3311906488</v>
      </c>
      <c r="H147" s="55">
        <f t="shared" si="136"/>
        <v>33.71490544345</v>
      </c>
      <c r="I147" s="55">
        <f t="shared" si="136"/>
        <v>30.26495403535</v>
      </c>
      <c r="J147" s="55">
        <f t="shared" si="136"/>
        <v>31.6718869971</v>
      </c>
      <c r="K147" s="55">
        <f t="shared" si="136"/>
        <v>30.7880796569</v>
      </c>
      <c r="L147" s="55">
        <f t="shared" si="136"/>
        <v>35.8295032339</v>
      </c>
      <c r="M147" s="55">
        <f t="shared" si="136"/>
        <v>31.897822155</v>
      </c>
      <c r="N147" s="55">
        <f t="shared" si="136"/>
        <v>35.9835434026</v>
      </c>
      <c r="O147" s="55">
        <f t="shared" si="136"/>
        <v>45.92414967765</v>
      </c>
      <c r="P147" s="55">
        <f t="shared" si="136"/>
        <v>343.28332672325</v>
      </c>
      <c r="Q147" s="55">
        <f t="shared" si="131"/>
        <v>714.91264224235</v>
      </c>
    </row>
    <row r="148" spans="3:17">
      <c r="C148" s="55"/>
      <c r="D148" s="679" t="s">
        <v>503</v>
      </c>
      <c r="E148" s="55">
        <f t="shared" ref="E148:P148" si="137">E319+E489</f>
        <v>0.01759157465</v>
      </c>
      <c r="F148" s="55">
        <f t="shared" si="137"/>
        <v>0.01759157465</v>
      </c>
      <c r="G148" s="55">
        <f t="shared" si="137"/>
        <v>0.01759157465</v>
      </c>
      <c r="H148" s="55">
        <f t="shared" si="137"/>
        <v>0.01759157465</v>
      </c>
      <c r="I148" s="55">
        <f t="shared" si="137"/>
        <v>0.4484383306</v>
      </c>
      <c r="J148" s="55">
        <f t="shared" si="137"/>
        <v>0.01759157465</v>
      </c>
      <c r="K148" s="55">
        <f t="shared" si="137"/>
        <v>0.01759157465</v>
      </c>
      <c r="L148" s="55">
        <f t="shared" si="137"/>
        <v>0.01759157465</v>
      </c>
      <c r="M148" s="55">
        <f t="shared" si="137"/>
        <v>0.01759157465</v>
      </c>
      <c r="N148" s="55">
        <f t="shared" si="137"/>
        <v>0.01759157465</v>
      </c>
      <c r="O148" s="55">
        <f t="shared" si="137"/>
        <v>0.7548634013</v>
      </c>
      <c r="P148" s="55">
        <f t="shared" si="137"/>
        <v>0.01759157465</v>
      </c>
      <c r="Q148" s="55">
        <f t="shared" si="131"/>
        <v>1.3792174784</v>
      </c>
    </row>
    <row r="149" spans="3:17">
      <c r="C149" s="55"/>
      <c r="D149" s="688" t="s">
        <v>504</v>
      </c>
      <c r="E149" s="55">
        <f t="shared" ref="E149:P149" si="138">E320+E490</f>
        <v>0.5567889447</v>
      </c>
      <c r="F149" s="55">
        <f t="shared" si="138"/>
        <v>3.28690190381429</v>
      </c>
      <c r="G149" s="55">
        <f t="shared" si="138"/>
        <v>4.10928397803571</v>
      </c>
      <c r="H149" s="55">
        <f t="shared" si="138"/>
        <v>1.829799769</v>
      </c>
      <c r="I149" s="55">
        <f t="shared" si="138"/>
        <v>5.22855434207857</v>
      </c>
      <c r="J149" s="55">
        <f t="shared" si="138"/>
        <v>4.24556632683571</v>
      </c>
      <c r="K149" s="55">
        <f t="shared" si="138"/>
        <v>2.76201116706429</v>
      </c>
      <c r="L149" s="55">
        <f t="shared" si="138"/>
        <v>0.687642375321428</v>
      </c>
      <c r="M149" s="55">
        <f t="shared" si="138"/>
        <v>0.0159034712</v>
      </c>
      <c r="N149" s="55">
        <f t="shared" si="138"/>
        <v>2.5386758173</v>
      </c>
      <c r="O149" s="55">
        <f t="shared" si="138"/>
        <v>10.7753466378857</v>
      </c>
      <c r="P149" s="55">
        <f t="shared" si="138"/>
        <v>-3.82556697773571</v>
      </c>
      <c r="Q149" s="55">
        <f t="shared" si="131"/>
        <v>32.2109077555</v>
      </c>
    </row>
    <row r="150" spans="3:17">
      <c r="C150" s="55"/>
      <c r="D150" s="679" t="s">
        <v>505</v>
      </c>
      <c r="E150" s="55">
        <f t="shared" ref="E150:P150" si="139">E321+E491</f>
        <v>0.284543724907143</v>
      </c>
      <c r="F150" s="55">
        <f t="shared" si="139"/>
        <v>1.37133568655</v>
      </c>
      <c r="G150" s="55">
        <f t="shared" si="139"/>
        <v>1.37386704026429</v>
      </c>
      <c r="H150" s="55">
        <f t="shared" si="139"/>
        <v>1.34201710927857</v>
      </c>
      <c r="I150" s="55">
        <f t="shared" si="139"/>
        <v>0.875563759307143</v>
      </c>
      <c r="J150" s="55">
        <f t="shared" si="139"/>
        <v>0.550222680142857</v>
      </c>
      <c r="K150" s="55">
        <f t="shared" si="139"/>
        <v>0.765816213907143</v>
      </c>
      <c r="L150" s="55">
        <f t="shared" si="139"/>
        <v>0.826322938592857</v>
      </c>
      <c r="M150" s="55">
        <f t="shared" si="139"/>
        <v>0.658724456885714</v>
      </c>
      <c r="N150" s="55">
        <f t="shared" si="139"/>
        <v>0.790429749792857</v>
      </c>
      <c r="O150" s="55">
        <f t="shared" si="139"/>
        <v>0.45710355135</v>
      </c>
      <c r="P150" s="55">
        <f t="shared" si="139"/>
        <v>0.289930079421429</v>
      </c>
      <c r="Q150" s="55">
        <f t="shared" si="131"/>
        <v>9.5858769904</v>
      </c>
    </row>
    <row r="151" spans="3:17">
      <c r="C151" s="55"/>
      <c r="D151" s="679" t="s">
        <v>506</v>
      </c>
      <c r="E151" s="55">
        <f t="shared" ref="E151:P151" si="140">E322+E492</f>
        <v>0</v>
      </c>
      <c r="F151" s="55">
        <f t="shared" si="140"/>
        <v>0</v>
      </c>
      <c r="G151" s="55">
        <f t="shared" si="140"/>
        <v>0</v>
      </c>
      <c r="H151" s="55">
        <f t="shared" si="140"/>
        <v>0</v>
      </c>
      <c r="I151" s="55">
        <f t="shared" si="140"/>
        <v>0</v>
      </c>
      <c r="J151" s="55">
        <f t="shared" si="140"/>
        <v>0</v>
      </c>
      <c r="K151" s="55">
        <f t="shared" si="140"/>
        <v>0</v>
      </c>
      <c r="L151" s="55">
        <f t="shared" si="140"/>
        <v>0</v>
      </c>
      <c r="M151" s="55">
        <f t="shared" si="140"/>
        <v>0</v>
      </c>
      <c r="N151" s="55">
        <f t="shared" si="140"/>
        <v>0</v>
      </c>
      <c r="O151" s="55">
        <f t="shared" si="140"/>
        <v>-2.03098476405</v>
      </c>
      <c r="P151" s="55">
        <f t="shared" si="140"/>
        <v>-0.8332972329</v>
      </c>
      <c r="Q151" s="55">
        <f t="shared" si="131"/>
        <v>-2.86428199695</v>
      </c>
    </row>
    <row r="152" spans="3:17">
      <c r="C152" s="55"/>
      <c r="D152" s="679" t="s">
        <v>507</v>
      </c>
      <c r="E152" s="55">
        <f t="shared" ref="E152:P152" si="141">E323+E493</f>
        <v>0.0760482049</v>
      </c>
      <c r="F152" s="55">
        <f t="shared" si="141"/>
        <v>0.0764569594509813</v>
      </c>
      <c r="G152" s="55">
        <f t="shared" si="141"/>
        <v>0.09277041555</v>
      </c>
      <c r="H152" s="55">
        <f t="shared" si="141"/>
        <v>0.0810722571</v>
      </c>
      <c r="I152" s="55">
        <f t="shared" si="141"/>
        <v>0.08223821205</v>
      </c>
      <c r="J152" s="55">
        <f t="shared" si="141"/>
        <v>0.083416536</v>
      </c>
      <c r="K152" s="55">
        <f t="shared" si="141"/>
        <v>0.0834933416</v>
      </c>
      <c r="L152" s="55">
        <f t="shared" si="141"/>
        <v>0.08345337795</v>
      </c>
      <c r="M152" s="55">
        <f t="shared" si="141"/>
        <v>0.0794117427658051</v>
      </c>
      <c r="N152" s="55">
        <f t="shared" si="141"/>
        <v>0.0838366584106057</v>
      </c>
      <c r="O152" s="55">
        <f t="shared" si="141"/>
        <v>0.0838366584106057</v>
      </c>
      <c r="P152" s="55">
        <f t="shared" si="141"/>
        <v>0.2987572331</v>
      </c>
      <c r="Q152" s="55">
        <f t="shared" si="131"/>
        <v>1.204791597288</v>
      </c>
    </row>
    <row r="153" spans="3:17">
      <c r="C153" s="55"/>
      <c r="D153" s="679" t="s">
        <v>508</v>
      </c>
      <c r="E153" s="55">
        <f t="shared" ref="E153:P153" si="142">E324+E494</f>
        <v>83.7859947</v>
      </c>
      <c r="F153" s="55">
        <f t="shared" si="142"/>
        <v>83.7859947</v>
      </c>
      <c r="G153" s="55">
        <f t="shared" si="142"/>
        <v>83.7859947</v>
      </c>
      <c r="H153" s="55">
        <f t="shared" si="142"/>
        <v>83.7859947</v>
      </c>
      <c r="I153" s="55">
        <f t="shared" si="142"/>
        <v>83.7859947</v>
      </c>
      <c r="J153" s="55">
        <f t="shared" si="142"/>
        <v>83.7859947</v>
      </c>
      <c r="K153" s="55">
        <f t="shared" si="142"/>
        <v>83.7859947</v>
      </c>
      <c r="L153" s="55">
        <f t="shared" si="142"/>
        <v>83.7859947</v>
      </c>
      <c r="M153" s="55">
        <f t="shared" si="142"/>
        <v>83.7859947</v>
      </c>
      <c r="N153" s="55">
        <f t="shared" si="142"/>
        <v>83.7859947</v>
      </c>
      <c r="O153" s="55">
        <f t="shared" si="142"/>
        <v>83.7859947</v>
      </c>
      <c r="P153" s="55">
        <f t="shared" si="142"/>
        <v>84.3027282</v>
      </c>
      <c r="Q153" s="55">
        <f t="shared" si="131"/>
        <v>1005.9486699</v>
      </c>
    </row>
    <row r="154" spans="3:17">
      <c r="C154" s="55"/>
      <c r="D154" s="679" t="s">
        <v>509</v>
      </c>
      <c r="E154" s="55">
        <f t="shared" ref="E154:P154" si="143">E325+E495</f>
        <v>1.9007908</v>
      </c>
      <c r="F154" s="55">
        <f t="shared" si="143"/>
        <v>0.9439326</v>
      </c>
      <c r="G154" s="55">
        <f t="shared" si="143"/>
        <v>0.9439326</v>
      </c>
      <c r="H154" s="55">
        <f t="shared" si="143"/>
        <v>0.9439326</v>
      </c>
      <c r="I154" s="55">
        <f t="shared" si="143"/>
        <v>0.9439326</v>
      </c>
      <c r="J154" s="55">
        <f t="shared" si="143"/>
        <v>1.895562</v>
      </c>
      <c r="K154" s="55">
        <f t="shared" si="143"/>
        <v>0.9439326</v>
      </c>
      <c r="L154" s="55">
        <f t="shared" si="143"/>
        <v>0.9439326</v>
      </c>
      <c r="M154" s="55">
        <f t="shared" si="143"/>
        <v>0.9439326</v>
      </c>
      <c r="N154" s="55">
        <f t="shared" si="143"/>
        <v>0.9439326</v>
      </c>
      <c r="O154" s="55">
        <f t="shared" si="143"/>
        <v>0.9439326</v>
      </c>
      <c r="P154" s="55">
        <f t="shared" si="143"/>
        <v>0.9439326</v>
      </c>
      <c r="Q154" s="55">
        <f t="shared" si="131"/>
        <v>13.2356788</v>
      </c>
    </row>
    <row r="155" spans="3:17">
      <c r="C155" s="55"/>
      <c r="D155" s="679" t="s">
        <v>510</v>
      </c>
      <c r="E155" s="55">
        <f t="shared" ref="E155:P155" si="144">E326+E496</f>
        <v>0</v>
      </c>
      <c r="F155" s="55">
        <f t="shared" si="144"/>
        <v>0</v>
      </c>
      <c r="G155" s="55">
        <f t="shared" si="144"/>
        <v>0</v>
      </c>
      <c r="H155" s="55">
        <f t="shared" si="144"/>
        <v>0</v>
      </c>
      <c r="I155" s="55">
        <f t="shared" si="144"/>
        <v>0</v>
      </c>
      <c r="J155" s="55">
        <f t="shared" si="144"/>
        <v>0</v>
      </c>
      <c r="K155" s="55">
        <f t="shared" si="144"/>
        <v>0</v>
      </c>
      <c r="L155" s="55">
        <f t="shared" si="144"/>
        <v>0</v>
      </c>
      <c r="M155" s="55">
        <f t="shared" si="144"/>
        <v>0</v>
      </c>
      <c r="N155" s="55">
        <f t="shared" si="144"/>
        <v>0</v>
      </c>
      <c r="O155" s="55">
        <f t="shared" si="144"/>
        <v>0</v>
      </c>
      <c r="P155" s="55">
        <f t="shared" si="144"/>
        <v>-2.6582839884</v>
      </c>
      <c r="Q155" s="55">
        <f t="shared" si="131"/>
        <v>-2.6582839884</v>
      </c>
    </row>
    <row r="156" spans="3:17">
      <c r="C156" s="55"/>
      <c r="D156" s="679" t="s">
        <v>511</v>
      </c>
      <c r="E156" s="55">
        <f t="shared" ref="E156:P156" si="145">E327+E497</f>
        <v>1.07574961063679</v>
      </c>
      <c r="F156" s="55">
        <f t="shared" si="145"/>
        <v>0.374704016345582</v>
      </c>
      <c r="G156" s="55">
        <f t="shared" si="145"/>
        <v>0.36706835560555</v>
      </c>
      <c r="H156" s="55">
        <f t="shared" si="145"/>
        <v>0.49412513235725</v>
      </c>
      <c r="I156" s="55">
        <f t="shared" si="145"/>
        <v>0.694957156286965</v>
      </c>
      <c r="J156" s="55">
        <f t="shared" si="145"/>
        <v>0.836157487406193</v>
      </c>
      <c r="K156" s="55">
        <f t="shared" si="145"/>
        <v>0.643814243357562</v>
      </c>
      <c r="L156" s="55">
        <f t="shared" si="145"/>
        <v>0.344692266132182</v>
      </c>
      <c r="M156" s="55">
        <f t="shared" si="145"/>
        <v>0.65234802726344</v>
      </c>
      <c r="N156" s="55">
        <f t="shared" si="145"/>
        <v>0.814559318909574</v>
      </c>
      <c r="O156" s="55">
        <f t="shared" si="145"/>
        <v>1.1042024315405</v>
      </c>
      <c r="P156" s="55">
        <f t="shared" si="145"/>
        <v>14.6651827890562</v>
      </c>
      <c r="Q156" s="55">
        <f t="shared" si="131"/>
        <v>22.0675608348978</v>
      </c>
    </row>
    <row r="157" spans="3:17">
      <c r="C157" s="55"/>
      <c r="D157" s="679" t="s">
        <v>512</v>
      </c>
      <c r="E157" s="55">
        <f t="shared" ref="E157:P157" si="146">E328+E498</f>
        <v>0.0129608272</v>
      </c>
      <c r="F157" s="55">
        <f t="shared" si="146"/>
        <v>0.0129392698</v>
      </c>
      <c r="G157" s="55">
        <f t="shared" si="146"/>
        <v>0.0147246466</v>
      </c>
      <c r="H157" s="55">
        <f t="shared" si="146"/>
        <v>0.0129178302</v>
      </c>
      <c r="I157" s="55">
        <f t="shared" si="146"/>
        <v>0.01289312165</v>
      </c>
      <c r="J157" s="55">
        <f t="shared" si="146"/>
        <v>0.01288681935</v>
      </c>
      <c r="K157" s="55">
        <f t="shared" si="146"/>
        <v>0.0128823724</v>
      </c>
      <c r="L157" s="55">
        <f t="shared" si="146"/>
        <v>0.0128823724</v>
      </c>
      <c r="M157" s="55">
        <f t="shared" si="146"/>
        <v>0.0128698267</v>
      </c>
      <c r="N157" s="55">
        <f t="shared" si="146"/>
        <v>0.01276148015</v>
      </c>
      <c r="O157" s="55">
        <f t="shared" si="146"/>
        <v>0.0128416725</v>
      </c>
      <c r="P157" s="55">
        <f t="shared" si="146"/>
        <v>0.0475060306</v>
      </c>
      <c r="Q157" s="55">
        <f t="shared" si="131"/>
        <v>0.19106626955</v>
      </c>
    </row>
    <row r="158" spans="3:17">
      <c r="C158" s="55"/>
      <c r="D158" s="55"/>
      <c r="E158" s="55">
        <f t="shared" ref="E158:P158" si="147">E329+E499</f>
        <v>0</v>
      </c>
      <c r="F158" s="55">
        <f t="shared" si="147"/>
        <v>0</v>
      </c>
      <c r="G158" s="55">
        <f t="shared" si="147"/>
        <v>0</v>
      </c>
      <c r="H158" s="55">
        <f t="shared" si="147"/>
        <v>0</v>
      </c>
      <c r="I158" s="55">
        <f t="shared" si="147"/>
        <v>0</v>
      </c>
      <c r="J158" s="55">
        <f t="shared" si="147"/>
        <v>0</v>
      </c>
      <c r="K158" s="55">
        <f t="shared" si="147"/>
        <v>0</v>
      </c>
      <c r="L158" s="55">
        <f t="shared" si="147"/>
        <v>0</v>
      </c>
      <c r="M158" s="55">
        <f t="shared" si="147"/>
        <v>0</v>
      </c>
      <c r="N158" s="55">
        <f t="shared" si="147"/>
        <v>0</v>
      </c>
      <c r="O158" s="55">
        <f t="shared" si="147"/>
        <v>0</v>
      </c>
      <c r="P158" s="55">
        <f t="shared" si="147"/>
        <v>0</v>
      </c>
      <c r="Q158" s="55">
        <f t="shared" si="131"/>
        <v>0</v>
      </c>
    </row>
    <row r="159" spans="3:17">
      <c r="C159" s="745"/>
      <c r="D159" s="679"/>
      <c r="E159" s="55">
        <f t="shared" ref="E159:P159" si="148">E330+E500</f>
        <v>0</v>
      </c>
      <c r="F159" s="55">
        <f t="shared" si="148"/>
        <v>0</v>
      </c>
      <c r="G159" s="55">
        <f t="shared" si="148"/>
        <v>0</v>
      </c>
      <c r="H159" s="55">
        <f t="shared" si="148"/>
        <v>0</v>
      </c>
      <c r="I159" s="55">
        <f t="shared" si="148"/>
        <v>0</v>
      </c>
      <c r="J159" s="55">
        <f t="shared" si="148"/>
        <v>0</v>
      </c>
      <c r="K159" s="55">
        <f t="shared" si="148"/>
        <v>0</v>
      </c>
      <c r="L159" s="55">
        <f t="shared" si="148"/>
        <v>0</v>
      </c>
      <c r="M159" s="55">
        <f t="shared" si="148"/>
        <v>0</v>
      </c>
      <c r="N159" s="55">
        <f t="shared" si="148"/>
        <v>0</v>
      </c>
      <c r="O159" s="55">
        <f t="shared" si="148"/>
        <v>0</v>
      </c>
      <c r="P159" s="55">
        <f t="shared" si="148"/>
        <v>0</v>
      </c>
      <c r="Q159" s="55">
        <f t="shared" si="131"/>
        <v>0</v>
      </c>
    </row>
    <row r="160" spans="3:17">
      <c r="C160" s="55"/>
      <c r="D160" s="679"/>
      <c r="E160" s="55">
        <f t="shared" ref="E160:P160" si="149">E331+E501</f>
        <v>0</v>
      </c>
      <c r="F160" s="55">
        <f t="shared" si="149"/>
        <v>0</v>
      </c>
      <c r="G160" s="55">
        <f t="shared" si="149"/>
        <v>0</v>
      </c>
      <c r="H160" s="55">
        <f t="shared" si="149"/>
        <v>0</v>
      </c>
      <c r="I160" s="55">
        <f t="shared" si="149"/>
        <v>0</v>
      </c>
      <c r="J160" s="55">
        <f t="shared" si="149"/>
        <v>0</v>
      </c>
      <c r="K160" s="55">
        <f t="shared" si="149"/>
        <v>0</v>
      </c>
      <c r="L160" s="55">
        <f t="shared" si="149"/>
        <v>0</v>
      </c>
      <c r="M160" s="55">
        <f t="shared" si="149"/>
        <v>0</v>
      </c>
      <c r="N160" s="55">
        <f t="shared" si="149"/>
        <v>0</v>
      </c>
      <c r="O160" s="55">
        <f t="shared" si="149"/>
        <v>0</v>
      </c>
      <c r="P160" s="55">
        <f t="shared" si="149"/>
        <v>0</v>
      </c>
      <c r="Q160" s="55">
        <f t="shared" si="131"/>
        <v>0</v>
      </c>
    </row>
    <row r="161" spans="3:17">
      <c r="C161" s="55"/>
      <c r="D161" s="55"/>
      <c r="E161" s="55">
        <f t="shared" ref="E161:P161" si="150">E332+E502</f>
        <v>0</v>
      </c>
      <c r="F161" s="55">
        <f t="shared" si="150"/>
        <v>0</v>
      </c>
      <c r="G161" s="55">
        <f t="shared" si="150"/>
        <v>0</v>
      </c>
      <c r="H161" s="55">
        <f t="shared" si="150"/>
        <v>0</v>
      </c>
      <c r="I161" s="55">
        <f t="shared" si="150"/>
        <v>0</v>
      </c>
      <c r="J161" s="55">
        <f t="shared" si="150"/>
        <v>0</v>
      </c>
      <c r="K161" s="55">
        <f t="shared" si="150"/>
        <v>0</v>
      </c>
      <c r="L161" s="55">
        <f t="shared" si="150"/>
        <v>0</v>
      </c>
      <c r="M161" s="55">
        <f t="shared" si="150"/>
        <v>0</v>
      </c>
      <c r="N161" s="55">
        <f t="shared" si="150"/>
        <v>0</v>
      </c>
      <c r="O161" s="55">
        <f t="shared" si="150"/>
        <v>0</v>
      </c>
      <c r="P161" s="55">
        <f t="shared" si="150"/>
        <v>0</v>
      </c>
      <c r="Q161" s="55">
        <f t="shared" si="131"/>
        <v>0</v>
      </c>
    </row>
    <row r="162" spans="3:17">
      <c r="C162" s="55"/>
      <c r="D162" s="55"/>
      <c r="E162" s="55">
        <f t="shared" ref="E162:P162" si="151">E333+E503</f>
        <v>0</v>
      </c>
      <c r="F162" s="55">
        <f t="shared" si="151"/>
        <v>0</v>
      </c>
      <c r="G162" s="55">
        <f t="shared" si="151"/>
        <v>0</v>
      </c>
      <c r="H162" s="55">
        <f t="shared" si="151"/>
        <v>0</v>
      </c>
      <c r="I162" s="55">
        <f t="shared" si="151"/>
        <v>0</v>
      </c>
      <c r="J162" s="55">
        <f t="shared" si="151"/>
        <v>0</v>
      </c>
      <c r="K162" s="55">
        <f t="shared" si="151"/>
        <v>0</v>
      </c>
      <c r="L162" s="55">
        <f t="shared" si="151"/>
        <v>0</v>
      </c>
      <c r="M162" s="55">
        <f t="shared" si="151"/>
        <v>0</v>
      </c>
      <c r="N162" s="55">
        <f t="shared" si="151"/>
        <v>0</v>
      </c>
      <c r="O162" s="55">
        <f t="shared" si="151"/>
        <v>0</v>
      </c>
      <c r="P162" s="55">
        <f t="shared" si="151"/>
        <v>0</v>
      </c>
      <c r="Q162" s="55">
        <f t="shared" si="131"/>
        <v>0</v>
      </c>
    </row>
    <row r="163" spans="3:17">
      <c r="C163" s="55"/>
      <c r="D163" s="55"/>
      <c r="E163" s="55">
        <f t="shared" ref="E163:P163" si="152">E334+E504</f>
        <v>0</v>
      </c>
      <c r="F163" s="55">
        <f t="shared" si="152"/>
        <v>0</v>
      </c>
      <c r="G163" s="55">
        <f t="shared" si="152"/>
        <v>0</v>
      </c>
      <c r="H163" s="55">
        <f t="shared" si="152"/>
        <v>0</v>
      </c>
      <c r="I163" s="55">
        <f t="shared" si="152"/>
        <v>0</v>
      </c>
      <c r="J163" s="55">
        <f t="shared" si="152"/>
        <v>0</v>
      </c>
      <c r="K163" s="55">
        <f t="shared" si="152"/>
        <v>0</v>
      </c>
      <c r="L163" s="55">
        <f t="shared" si="152"/>
        <v>0</v>
      </c>
      <c r="M163" s="55">
        <f t="shared" si="152"/>
        <v>0</v>
      </c>
      <c r="N163" s="55">
        <f t="shared" si="152"/>
        <v>0</v>
      </c>
      <c r="O163" s="55">
        <f t="shared" si="152"/>
        <v>0</v>
      </c>
      <c r="P163" s="55">
        <f t="shared" si="152"/>
        <v>0</v>
      </c>
      <c r="Q163" s="55">
        <f t="shared" si="131"/>
        <v>0</v>
      </c>
    </row>
    <row r="164" spans="3:17">
      <c r="C164" s="55"/>
      <c r="D164" s="55"/>
      <c r="E164" s="55">
        <f t="shared" ref="E164:P164" si="153">E335+E505</f>
        <v>0</v>
      </c>
      <c r="F164" s="55">
        <f t="shared" si="153"/>
        <v>0</v>
      </c>
      <c r="G164" s="55">
        <f t="shared" si="153"/>
        <v>0</v>
      </c>
      <c r="H164" s="55">
        <f t="shared" si="153"/>
        <v>0</v>
      </c>
      <c r="I164" s="55">
        <f t="shared" si="153"/>
        <v>0</v>
      </c>
      <c r="J164" s="55">
        <f t="shared" si="153"/>
        <v>0</v>
      </c>
      <c r="K164" s="55">
        <f t="shared" si="153"/>
        <v>0</v>
      </c>
      <c r="L164" s="55">
        <f t="shared" si="153"/>
        <v>0</v>
      </c>
      <c r="M164" s="55">
        <f t="shared" si="153"/>
        <v>0</v>
      </c>
      <c r="N164" s="55">
        <f t="shared" si="153"/>
        <v>0</v>
      </c>
      <c r="O164" s="55">
        <f t="shared" si="153"/>
        <v>0</v>
      </c>
      <c r="P164" s="55">
        <f t="shared" si="153"/>
        <v>0</v>
      </c>
      <c r="Q164" s="55"/>
    </row>
    <row r="165" spans="3:17">
      <c r="C165" s="55"/>
      <c r="D165" s="55"/>
      <c r="E165" s="55">
        <f t="shared" ref="E165:J165" si="154">E336+E506</f>
        <v>0</v>
      </c>
      <c r="F165" s="55">
        <f t="shared" si="154"/>
        <v>0</v>
      </c>
      <c r="G165" s="55">
        <f t="shared" si="154"/>
        <v>0</v>
      </c>
      <c r="H165" s="55">
        <f t="shared" si="154"/>
        <v>0</v>
      </c>
      <c r="I165" s="55">
        <f t="shared" si="154"/>
        <v>0</v>
      </c>
      <c r="J165" s="55">
        <f t="shared" si="154"/>
        <v>0</v>
      </c>
      <c r="K165" s="55">
        <f>K339+K506</f>
        <v>0</v>
      </c>
      <c r="L165" s="55">
        <f>L336+L506</f>
        <v>0</v>
      </c>
      <c r="M165" s="55">
        <f>M336+M506</f>
        <v>0</v>
      </c>
      <c r="N165" s="55">
        <f>N336+N506</f>
        <v>0</v>
      </c>
      <c r="O165" s="55">
        <f>O336+O506</f>
        <v>0</v>
      </c>
      <c r="P165" s="55">
        <f>P336+P506</f>
        <v>0</v>
      </c>
      <c r="Q165" s="55">
        <f>SUM(E165:P165)</f>
        <v>0</v>
      </c>
    </row>
    <row r="166" ht="15" spans="3:17">
      <c r="C166" s="44" t="s">
        <v>424</v>
      </c>
      <c r="D166" s="45"/>
      <c r="E166" s="54">
        <f t="shared" ref="E166:P166" si="155">SUM(E142:E165)</f>
        <v>527.967224755872</v>
      </c>
      <c r="F166" s="54">
        <f t="shared" si="155"/>
        <v>181.298510221277</v>
      </c>
      <c r="G166" s="54">
        <f t="shared" si="155"/>
        <v>203.564952959044</v>
      </c>
      <c r="H166" s="54">
        <f t="shared" si="155"/>
        <v>196.987888313046</v>
      </c>
      <c r="I166" s="54">
        <f t="shared" si="155"/>
        <v>185.141981235808</v>
      </c>
      <c r="J166" s="54">
        <f t="shared" si="155"/>
        <v>189.347287023811</v>
      </c>
      <c r="K166" s="54">
        <f t="shared" si="155"/>
        <v>132.109868371929</v>
      </c>
      <c r="L166" s="54">
        <f t="shared" si="155"/>
        <v>160.565064232891</v>
      </c>
      <c r="M166" s="54">
        <f t="shared" si="155"/>
        <v>273.644305272429</v>
      </c>
      <c r="N166" s="54">
        <f t="shared" si="155"/>
        <v>347.398910990974</v>
      </c>
      <c r="O166" s="54">
        <f t="shared" si="155"/>
        <v>448.202679099402</v>
      </c>
      <c r="P166" s="54">
        <f t="shared" si="155"/>
        <v>758.185605675709</v>
      </c>
      <c r="Q166" s="54">
        <f>SUM(E166:P166)</f>
        <v>3604.41427815219</v>
      </c>
    </row>
    <row r="167" ht="15" spans="3:17">
      <c r="C167" s="663" t="s">
        <v>425</v>
      </c>
      <c r="D167" s="676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</row>
    <row r="168" spans="3:17">
      <c r="C168" s="55" t="s">
        <v>426</v>
      </c>
      <c r="D168" s="55" t="s">
        <v>427</v>
      </c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</row>
    <row r="169" spans="3:17">
      <c r="C169" s="55" t="s">
        <v>426</v>
      </c>
      <c r="D169" s="55" t="s">
        <v>428</v>
      </c>
      <c r="E169" s="55">
        <f t="shared" ref="E169:P169" si="156">E339+E509</f>
        <v>0</v>
      </c>
      <c r="F169" s="55">
        <f t="shared" si="156"/>
        <v>0</v>
      </c>
      <c r="G169" s="55">
        <f t="shared" si="156"/>
        <v>0</v>
      </c>
      <c r="H169" s="55">
        <f t="shared" si="156"/>
        <v>0</v>
      </c>
      <c r="I169" s="55">
        <f t="shared" si="156"/>
        <v>0</v>
      </c>
      <c r="J169" s="55">
        <f t="shared" si="156"/>
        <v>0</v>
      </c>
      <c r="K169" s="55">
        <f t="shared" si="156"/>
        <v>0</v>
      </c>
      <c r="L169" s="55">
        <f t="shared" si="156"/>
        <v>0</v>
      </c>
      <c r="M169" s="55">
        <f t="shared" si="156"/>
        <v>0</v>
      </c>
      <c r="N169" s="55">
        <f t="shared" si="156"/>
        <v>0</v>
      </c>
      <c r="O169" s="55">
        <f t="shared" si="156"/>
        <v>0</v>
      </c>
      <c r="P169" s="55">
        <f t="shared" si="156"/>
        <v>0</v>
      </c>
      <c r="Q169" s="55">
        <f>SUM(E169:P169)</f>
        <v>0</v>
      </c>
    </row>
    <row r="170" spans="3:17">
      <c r="C170" s="55"/>
      <c r="D170" s="55"/>
      <c r="E170" s="55">
        <f t="shared" ref="E170:P170" si="157">E340+E511</f>
        <v>0</v>
      </c>
      <c r="F170" s="55">
        <f t="shared" si="157"/>
        <v>0</v>
      </c>
      <c r="G170" s="55">
        <f t="shared" si="157"/>
        <v>0</v>
      </c>
      <c r="H170" s="55">
        <f t="shared" si="157"/>
        <v>0</v>
      </c>
      <c r="I170" s="55">
        <f t="shared" si="157"/>
        <v>0</v>
      </c>
      <c r="J170" s="55">
        <f t="shared" si="157"/>
        <v>0</v>
      </c>
      <c r="K170" s="55">
        <f t="shared" si="157"/>
        <v>0</v>
      </c>
      <c r="L170" s="55">
        <f t="shared" si="157"/>
        <v>0</v>
      </c>
      <c r="M170" s="55">
        <f t="shared" si="157"/>
        <v>0</v>
      </c>
      <c r="N170" s="55">
        <f t="shared" si="157"/>
        <v>0</v>
      </c>
      <c r="O170" s="55">
        <f t="shared" si="157"/>
        <v>0</v>
      </c>
      <c r="P170" s="55">
        <f t="shared" si="157"/>
        <v>0</v>
      </c>
      <c r="Q170" s="55">
        <f>SUM(E170:P170)</f>
        <v>0</v>
      </c>
    </row>
    <row r="171" ht="15" spans="3:17">
      <c r="C171" s="44" t="s">
        <v>429</v>
      </c>
      <c r="D171" s="45"/>
      <c r="E171" s="54">
        <f t="shared" ref="E171:P171" si="158">E169+E170</f>
        <v>0</v>
      </c>
      <c r="F171" s="54">
        <f t="shared" si="158"/>
        <v>0</v>
      </c>
      <c r="G171" s="54">
        <f t="shared" si="158"/>
        <v>0</v>
      </c>
      <c r="H171" s="54">
        <f t="shared" si="158"/>
        <v>0</v>
      </c>
      <c r="I171" s="54">
        <f t="shared" si="158"/>
        <v>0</v>
      </c>
      <c r="J171" s="54">
        <f t="shared" si="158"/>
        <v>0</v>
      </c>
      <c r="K171" s="54">
        <f t="shared" si="158"/>
        <v>0</v>
      </c>
      <c r="L171" s="54">
        <f t="shared" si="158"/>
        <v>0</v>
      </c>
      <c r="M171" s="54">
        <f t="shared" si="158"/>
        <v>0</v>
      </c>
      <c r="N171" s="54">
        <f t="shared" si="158"/>
        <v>0</v>
      </c>
      <c r="O171" s="54">
        <f t="shared" si="158"/>
        <v>0</v>
      </c>
      <c r="P171" s="54">
        <f t="shared" si="158"/>
        <v>0</v>
      </c>
      <c r="Q171" s="54">
        <f>SUM(E171:P171)</f>
        <v>0</v>
      </c>
    </row>
    <row r="172" ht="15" spans="3:17">
      <c r="C172" s="44" t="s">
        <v>224</v>
      </c>
      <c r="D172" s="45"/>
      <c r="E172" s="54">
        <f t="shared" ref="E172:P172" si="159">E50+E95+E104+E114+E140+E166+E171</f>
        <v>1397.72886205261</v>
      </c>
      <c r="F172" s="54">
        <f t="shared" si="159"/>
        <v>1091.11161518271</v>
      </c>
      <c r="G172" s="54">
        <f t="shared" si="159"/>
        <v>1015.81604066327</v>
      </c>
      <c r="H172" s="54">
        <f t="shared" si="159"/>
        <v>909.662075343566</v>
      </c>
      <c r="I172" s="54">
        <f t="shared" si="159"/>
        <v>955.481259657296</v>
      </c>
      <c r="J172" s="54">
        <f t="shared" si="159"/>
        <v>981.571759898008</v>
      </c>
      <c r="K172" s="54">
        <f t="shared" si="159"/>
        <v>985.589888298643</v>
      </c>
      <c r="L172" s="54">
        <f t="shared" si="159"/>
        <v>959.269457636677</v>
      </c>
      <c r="M172" s="54">
        <f t="shared" si="159"/>
        <v>1153.71859259725</v>
      </c>
      <c r="N172" s="54">
        <f t="shared" si="159"/>
        <v>1250.87807414748</v>
      </c>
      <c r="O172" s="54">
        <f t="shared" si="159"/>
        <v>1383.75122961587</v>
      </c>
      <c r="P172" s="54">
        <f t="shared" si="159"/>
        <v>2503.16583449274</v>
      </c>
      <c r="Q172" s="54">
        <f>SUM(E172:P172)</f>
        <v>14587.7446895861</v>
      </c>
    </row>
    <row r="174" ht="15" spans="3:10">
      <c r="C174" s="11" t="s">
        <v>513</v>
      </c>
      <c r="J174" s="3"/>
    </row>
    <row r="175" ht="15" spans="3:10">
      <c r="C175" s="11"/>
      <c r="J175" s="3"/>
    </row>
    <row r="176" ht="15" spans="3:10">
      <c r="C176" s="11"/>
      <c r="J176" s="3"/>
    </row>
    <row r="177" ht="15" spans="3:17">
      <c r="C177" s="658" t="s">
        <v>345</v>
      </c>
      <c r="D177" s="658" t="s">
        <v>346</v>
      </c>
      <c r="E177" s="135" t="s">
        <v>523</v>
      </c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</row>
    <row r="178" ht="15" spans="3:17">
      <c r="C178" s="660"/>
      <c r="D178" s="660"/>
      <c r="E178" s="135" t="s">
        <v>246</v>
      </c>
      <c r="F178" s="135" t="s">
        <v>247</v>
      </c>
      <c r="G178" s="135" t="s">
        <v>248</v>
      </c>
      <c r="H178" s="135" t="s">
        <v>249</v>
      </c>
      <c r="I178" s="135" t="s">
        <v>250</v>
      </c>
      <c r="J178" s="135" t="s">
        <v>251</v>
      </c>
      <c r="K178" s="135" t="s">
        <v>252</v>
      </c>
      <c r="L178" s="135" t="s">
        <v>253</v>
      </c>
      <c r="M178" s="135" t="s">
        <v>254</v>
      </c>
      <c r="N178" s="135" t="s">
        <v>255</v>
      </c>
      <c r="O178" s="135" t="s">
        <v>256</v>
      </c>
      <c r="P178" s="135" t="s">
        <v>257</v>
      </c>
      <c r="Q178" s="135" t="s">
        <v>97</v>
      </c>
    </row>
    <row r="179" ht="15" spans="2:17">
      <c r="B179" s="656"/>
      <c r="C179" s="663" t="s">
        <v>349</v>
      </c>
      <c r="D179" s="676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</row>
    <row r="180" ht="15" spans="3:17">
      <c r="C180" s="44" t="s">
        <v>350</v>
      </c>
      <c r="D180" s="4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</row>
    <row r="181" spans="2:17">
      <c r="B181" s="656"/>
      <c r="C181" s="677" t="s">
        <v>351</v>
      </c>
      <c r="D181" s="47" t="s">
        <v>352</v>
      </c>
      <c r="E181" s="55">
        <f>'[49]2022-23'!H219/10000000</f>
        <v>9.13956209315</v>
      </c>
      <c r="F181" s="55">
        <f>'[49]2022-23'!M219/10000000</f>
        <v>9.13956209315</v>
      </c>
      <c r="G181" s="55">
        <f>'[49]2022-23'!R219/10000000</f>
        <v>9.13956209315</v>
      </c>
      <c r="H181" s="55">
        <f>'[49]2022-23'!W219/10000000</f>
        <v>7.75948820875</v>
      </c>
      <c r="I181" s="55">
        <f>'[49]2022-23'!AB219/10000000</f>
        <v>8.0005441452</v>
      </c>
      <c r="J181" s="55">
        <f>'[49]2022-23'!AG219/10000000</f>
        <v>9.80103789525</v>
      </c>
      <c r="K181" s="55">
        <f>'[49]2022-23'!AL219/10000000</f>
        <v>9.50171722475</v>
      </c>
      <c r="L181" s="55">
        <f>'[49]2022-23'!AQ219/10000000</f>
        <v>9.23666993415</v>
      </c>
      <c r="M181" s="55">
        <f>'[49]2022-23'!AV219/10000000</f>
        <v>10.2603008973</v>
      </c>
      <c r="N181" s="55">
        <f>'[49]2022-23'!BA219/10000000</f>
        <v>9.41717628775</v>
      </c>
      <c r="O181" s="55">
        <f>'[49]2022-23'!BF219/10000000</f>
        <v>9.13956209315</v>
      </c>
      <c r="P181" s="55">
        <f>('[49]2022-23'!BK219+'[49]2022-23'!BR219+'[49]2022-23'!BU219)/10000000</f>
        <v>9.13956209315</v>
      </c>
      <c r="Q181" s="55">
        <f t="shared" ref="Q181:Q199" si="160">SUM(E181:P181)</f>
        <v>109.6747450589</v>
      </c>
    </row>
    <row r="182" spans="2:17">
      <c r="B182" s="656"/>
      <c r="C182" s="678"/>
      <c r="D182" s="47" t="s">
        <v>353</v>
      </c>
      <c r="E182" s="55">
        <f>'[49]2022-23'!H220/10000000</f>
        <v>12.80559625</v>
      </c>
      <c r="F182" s="55">
        <f>'[49]2022-23'!M220/10000000</f>
        <v>12.80559625</v>
      </c>
      <c r="G182" s="55">
        <f>'[49]2022-23'!R220/10000000</f>
        <v>12.80559625</v>
      </c>
      <c r="H182" s="55">
        <f>'[49]2022-23'!W220/10000000</f>
        <v>12.80559625</v>
      </c>
      <c r="I182" s="55">
        <f>'[49]2022-23'!AB220/10000000</f>
        <v>12.80559625</v>
      </c>
      <c r="J182" s="55">
        <f>'[49]2022-23'!AG220/10000000</f>
        <v>12.80559625</v>
      </c>
      <c r="K182" s="55">
        <f>'[49]2022-23'!AL220/10000000</f>
        <v>12.80559625</v>
      </c>
      <c r="L182" s="55">
        <f>'[49]2022-23'!AQ220/10000000</f>
        <v>12.80559625</v>
      </c>
      <c r="M182" s="55">
        <f>'[49]2022-23'!AV220/10000000</f>
        <v>12.80559625</v>
      </c>
      <c r="N182" s="55">
        <f>'[49]2022-23'!BA220/10000000</f>
        <v>12.80559625</v>
      </c>
      <c r="O182" s="55">
        <f>'[49]2022-23'!BF220/10000000</f>
        <v>12.80559625</v>
      </c>
      <c r="P182" s="55">
        <f>('[49]2022-23'!BK220+'[49]2022-23'!BR220+'[49]2022-23'!BU220)/10000000</f>
        <v>12.80559625</v>
      </c>
      <c r="Q182" s="55">
        <f t="shared" si="160"/>
        <v>153.667155</v>
      </c>
    </row>
    <row r="183" spans="2:17">
      <c r="B183" s="656"/>
      <c r="C183" s="678"/>
      <c r="D183" s="47" t="s">
        <v>354</v>
      </c>
      <c r="E183" s="55">
        <f>'[49]2022-23'!H221/10000000</f>
        <v>24.0499010445</v>
      </c>
      <c r="F183" s="55">
        <f>'[49]2022-23'!M221/10000000</f>
        <v>27.40641340425</v>
      </c>
      <c r="G183" s="55">
        <f>'[49]2022-23'!R221/10000000</f>
        <v>26.63772305125</v>
      </c>
      <c r="H183" s="55">
        <f>'[49]2022-23'!W221/10000000</f>
        <v>1.67825616515</v>
      </c>
      <c r="I183" s="55">
        <f>'[49]2022-23'!AB221/10000000</f>
        <v>-0.2541884277</v>
      </c>
      <c r="J183" s="55">
        <f>'[49]2022-23'!AG221/10000000</f>
        <v>1.7548189499</v>
      </c>
      <c r="K183" s="55">
        <f>'[49]2022-23'!AL221/10000000</f>
        <v>21.6488921972</v>
      </c>
      <c r="L183" s="55">
        <f>'[49]2022-23'!AQ221/10000000</f>
        <v>19.1866331221</v>
      </c>
      <c r="M183" s="55">
        <f>'[49]2022-23'!AV221/10000000</f>
        <v>24.4970276721</v>
      </c>
      <c r="N183" s="55">
        <f>'[49]2022-23'!BA221/10000000</f>
        <v>25.47703128745</v>
      </c>
      <c r="O183" s="55">
        <f>'[49]2022-23'!BF221/10000000</f>
        <v>26.06809596805</v>
      </c>
      <c r="P183" s="55">
        <f>('[49]2022-23'!BK221+'[49]2022-23'!BR221+'[49]2022-23'!BU221)/10000000</f>
        <v>25.5842191861</v>
      </c>
      <c r="Q183" s="55">
        <f t="shared" si="160"/>
        <v>223.73482362035</v>
      </c>
    </row>
    <row r="184" spans="2:17">
      <c r="B184" s="656"/>
      <c r="C184" s="678"/>
      <c r="D184" s="47" t="s">
        <v>355</v>
      </c>
      <c r="E184" s="55">
        <f>'[49]2022-23'!H222/10000000</f>
        <v>1.04197660505</v>
      </c>
      <c r="F184" s="55">
        <f>'[49]2022-23'!M222/10000000</f>
        <v>2.57011012885</v>
      </c>
      <c r="G184" s="55">
        <f>'[49]2022-23'!R222/10000000</f>
        <v>2.4685803998</v>
      </c>
      <c r="H184" s="55">
        <f>'[49]2022-23'!W222/10000000</f>
        <v>1.93202917115</v>
      </c>
      <c r="I184" s="55">
        <f>'[49]2022-23'!AB222/10000000</f>
        <v>2.447829812</v>
      </c>
      <c r="J184" s="55">
        <f>'[49]2022-23'!AG222/10000000</f>
        <v>2.23661832885</v>
      </c>
      <c r="K184" s="55">
        <f>'[49]2022-23'!AL222/10000000</f>
        <v>3.05256161915</v>
      </c>
      <c r="L184" s="55">
        <f>'[49]2022-23'!AQ222/10000000</f>
        <v>2.321102928</v>
      </c>
      <c r="M184" s="55">
        <f>'[49]2022-23'!AV222/10000000</f>
        <v>0.89486967315</v>
      </c>
      <c r="N184" s="55">
        <f>'[49]2022-23'!BA222/10000000</f>
        <v>1.6478200319</v>
      </c>
      <c r="O184" s="55">
        <f>'[49]2022-23'!BF222/10000000</f>
        <v>1.96760162</v>
      </c>
      <c r="P184" s="55">
        <f>('[49]2022-23'!BK222+'[49]2022-23'!BR222+'[49]2022-23'!BU222)/10000000</f>
        <v>2.2484758118</v>
      </c>
      <c r="Q184" s="55">
        <f t="shared" si="160"/>
        <v>24.8295761297</v>
      </c>
    </row>
    <row r="185" spans="2:17">
      <c r="B185" s="656"/>
      <c r="C185" s="678"/>
      <c r="D185" s="47" t="s">
        <v>356</v>
      </c>
      <c r="E185" s="55">
        <f>'[49]2022-23'!H223/10000000</f>
        <v>12.02615290685</v>
      </c>
      <c r="F185" s="55">
        <f>'[49]2022-23'!M223/10000000</f>
        <v>11.7766102461</v>
      </c>
      <c r="G185" s="55">
        <f>'[49]2022-23'!R223/10000000</f>
        <v>0.13078441665</v>
      </c>
      <c r="H185" s="55">
        <f>'[49]2022-23'!W223/10000000</f>
        <v>2.71039420255</v>
      </c>
      <c r="I185" s="55">
        <f>'[49]2022-23'!AB223/10000000</f>
        <v>12.8394215187</v>
      </c>
      <c r="J185" s="55">
        <f>'[49]2022-23'!AG223/10000000</f>
        <v>13.6151083671</v>
      </c>
      <c r="K185" s="55">
        <f>'[49]2022-23'!AL223/10000000</f>
        <v>13.53242858175</v>
      </c>
      <c r="L185" s="55">
        <f>'[49]2022-23'!AQ223/10000000</f>
        <v>13.9082458334</v>
      </c>
      <c r="M185" s="55">
        <f>'[49]2022-23'!AV223/10000000</f>
        <v>14.8568086582</v>
      </c>
      <c r="N185" s="55">
        <f>'[49]2022-23'!BA223/10000000</f>
        <v>14.9289655757</v>
      </c>
      <c r="O185" s="55">
        <f>'[49]2022-23'!BF223/10000000</f>
        <v>13.33099052285</v>
      </c>
      <c r="P185" s="55">
        <f>('[49]2022-23'!BK223+'[49]2022-23'!BR223+'[49]2022-23'!BU223)/10000000</f>
        <v>15.17399844015</v>
      </c>
      <c r="Q185" s="55">
        <f t="shared" si="160"/>
        <v>138.82990927</v>
      </c>
    </row>
    <row r="186" spans="2:17">
      <c r="B186" s="656"/>
      <c r="C186" s="678"/>
      <c r="D186" s="47" t="s">
        <v>357</v>
      </c>
      <c r="E186" s="55">
        <f>'[49]2022-23'!H224/10000000</f>
        <v>17.67269959315</v>
      </c>
      <c r="F186" s="55">
        <f>'[49]2022-23'!M224/10000000</f>
        <v>17.67269959315</v>
      </c>
      <c r="G186" s="55">
        <f>'[49]2022-23'!R224/10000000</f>
        <v>17.67269959315</v>
      </c>
      <c r="H186" s="55">
        <f>'[49]2022-23'!W224/10000000</f>
        <v>17.67269959315</v>
      </c>
      <c r="I186" s="55">
        <f>'[49]2022-23'!AB224/10000000</f>
        <v>17.67269959315</v>
      </c>
      <c r="J186" s="55">
        <f>'[49]2022-23'!AG224/10000000</f>
        <v>17.67269959315</v>
      </c>
      <c r="K186" s="55">
        <f>'[49]2022-23'!AL224/10000000</f>
        <v>17.67269959315</v>
      </c>
      <c r="L186" s="55">
        <f>'[49]2022-23'!AQ224/10000000</f>
        <v>17.67269959315</v>
      </c>
      <c r="M186" s="55">
        <f>'[49]2022-23'!AV224/10000000</f>
        <v>17.67269959315</v>
      </c>
      <c r="N186" s="55">
        <f>'[49]2022-23'!BA224/10000000</f>
        <v>17.67269959315</v>
      </c>
      <c r="O186" s="55">
        <f>'[49]2022-23'!BF224/10000000</f>
        <v>17.67269959315</v>
      </c>
      <c r="P186" s="55">
        <f>('[49]2022-23'!BK224+'[49]2022-23'!BR224+'[49]2022-23'!BU224)/10000000</f>
        <v>17.67269959315</v>
      </c>
      <c r="Q186" s="55">
        <f t="shared" si="160"/>
        <v>212.0723951178</v>
      </c>
    </row>
    <row r="187" spans="2:17">
      <c r="B187" s="656"/>
      <c r="C187" s="678"/>
      <c r="D187" s="47" t="s">
        <v>358</v>
      </c>
      <c r="E187" s="55">
        <f>'[49]2022-23'!H225/10000000</f>
        <v>39.3081692166</v>
      </c>
      <c r="F187" s="55">
        <f>'[49]2022-23'!M225/10000000</f>
        <v>33.66878697905</v>
      </c>
      <c r="G187" s="55">
        <f>'[49]2022-23'!R225/10000000</f>
        <v>30.6760059149</v>
      </c>
      <c r="H187" s="55">
        <f>'[49]2022-23'!W225/10000000</f>
        <v>21.01647002755</v>
      </c>
      <c r="I187" s="55">
        <f>'[49]2022-23'!AB225/10000000</f>
        <v>30.8323452451</v>
      </c>
      <c r="J187" s="55">
        <f>'[49]2022-23'!AG225/10000000</f>
        <v>34.98650402245</v>
      </c>
      <c r="K187" s="55">
        <f>'[49]2022-23'!AL225/10000000</f>
        <v>38.9396551232</v>
      </c>
      <c r="L187" s="55">
        <f>'[49]2022-23'!AQ225/10000000</f>
        <v>35.50019033</v>
      </c>
      <c r="M187" s="55">
        <f>'[49]2022-23'!AV225/10000000</f>
        <v>37.23667338595</v>
      </c>
      <c r="N187" s="55">
        <f>'[49]2022-23'!BA225/10000000</f>
        <v>49.20779764255</v>
      </c>
      <c r="O187" s="55">
        <f>'[49]2022-23'!BF225/10000000</f>
        <v>46.37693942245</v>
      </c>
      <c r="P187" s="55">
        <f>('[49]2022-23'!BK225+'[49]2022-23'!BR225+'[49]2022-23'!BU225)/10000000</f>
        <v>39.9781948249</v>
      </c>
      <c r="Q187" s="55">
        <f t="shared" si="160"/>
        <v>437.7277321347</v>
      </c>
    </row>
    <row r="188" spans="2:17">
      <c r="B188" s="656"/>
      <c r="C188" s="678"/>
      <c r="D188" s="47" t="s">
        <v>359</v>
      </c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>
        <f t="shared" si="160"/>
        <v>0</v>
      </c>
    </row>
    <row r="189" spans="2:17">
      <c r="B189" s="656"/>
      <c r="C189" s="678"/>
      <c r="D189" s="679" t="s">
        <v>492</v>
      </c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>
        <f>'[49]2022-23'!$BK$228/10000000</f>
        <v>7.02315103675</v>
      </c>
      <c r="Q189" s="55">
        <f t="shared" si="160"/>
        <v>7.02315103675</v>
      </c>
    </row>
    <row r="190" spans="2:17">
      <c r="B190" s="656"/>
      <c r="C190" s="678"/>
      <c r="D190" s="47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>
        <f t="shared" si="160"/>
        <v>0</v>
      </c>
    </row>
    <row r="191" spans="2:17">
      <c r="B191" s="656"/>
      <c r="C191" s="678"/>
      <c r="D191" s="47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>
        <f t="shared" si="160"/>
        <v>0</v>
      </c>
    </row>
    <row r="192" spans="2:17">
      <c r="B192" s="656"/>
      <c r="C192" s="678"/>
      <c r="D192" s="47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>
        <f t="shared" si="160"/>
        <v>0</v>
      </c>
    </row>
    <row r="193" spans="2:17">
      <c r="B193" s="656"/>
      <c r="C193" s="678"/>
      <c r="D193" s="47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>
        <f t="shared" si="160"/>
        <v>0</v>
      </c>
    </row>
    <row r="194" spans="2:17">
      <c r="B194" s="656"/>
      <c r="C194" s="678"/>
      <c r="D194" s="47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>
        <f t="shared" si="160"/>
        <v>0</v>
      </c>
    </row>
    <row r="195" spans="2:17">
      <c r="B195" s="656"/>
      <c r="C195" s="678"/>
      <c r="D195" s="47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>
        <f t="shared" si="160"/>
        <v>0</v>
      </c>
    </row>
    <row r="196" spans="2:17">
      <c r="B196" s="656"/>
      <c r="C196" s="678"/>
      <c r="D196" s="47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>
        <f t="shared" si="160"/>
        <v>0</v>
      </c>
    </row>
    <row r="197" spans="2:17">
      <c r="B197" s="656"/>
      <c r="C197" s="678"/>
      <c r="D197" s="47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>
        <f t="shared" si="160"/>
        <v>0</v>
      </c>
    </row>
    <row r="198" spans="2:17">
      <c r="B198" s="656"/>
      <c r="C198" s="680"/>
      <c r="D198" s="47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>
        <f t="shared" si="160"/>
        <v>0</v>
      </c>
    </row>
    <row r="199" ht="15" spans="3:17">
      <c r="C199" s="537" t="s">
        <v>211</v>
      </c>
      <c r="D199" s="540"/>
      <c r="E199" s="55">
        <f t="shared" ref="E199:P199" si="161">SUM(E181:E198)</f>
        <v>116.0440577093</v>
      </c>
      <c r="F199" s="55">
        <f t="shared" si="161"/>
        <v>115.03977869455</v>
      </c>
      <c r="G199" s="55">
        <f t="shared" si="161"/>
        <v>99.5309517189</v>
      </c>
      <c r="H199" s="55">
        <f t="shared" si="161"/>
        <v>65.5749336183</v>
      </c>
      <c r="I199" s="55">
        <f t="shared" si="161"/>
        <v>84.34424813645</v>
      </c>
      <c r="J199" s="55">
        <f t="shared" si="161"/>
        <v>92.8723834067</v>
      </c>
      <c r="K199" s="55">
        <f t="shared" si="161"/>
        <v>117.1535505892</v>
      </c>
      <c r="L199" s="55">
        <f t="shared" si="161"/>
        <v>110.6311379908</v>
      </c>
      <c r="M199" s="55">
        <f t="shared" si="161"/>
        <v>118.22397612985</v>
      </c>
      <c r="N199" s="55">
        <f t="shared" si="161"/>
        <v>131.1570866685</v>
      </c>
      <c r="O199" s="55">
        <f t="shared" si="161"/>
        <v>127.36148546965</v>
      </c>
      <c r="P199" s="55">
        <f t="shared" si="161"/>
        <v>129.625897236</v>
      </c>
      <c r="Q199" s="316">
        <f t="shared" si="160"/>
        <v>1307.5594873682</v>
      </c>
    </row>
    <row r="200" ht="15" spans="3:17">
      <c r="C200" s="44" t="s">
        <v>360</v>
      </c>
      <c r="D200" s="4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</row>
    <row r="201" spans="3:17">
      <c r="C201" s="682" t="s">
        <v>351</v>
      </c>
      <c r="D201" s="55" t="s">
        <v>361</v>
      </c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>
        <f t="shared" ref="Q201:Q219" si="162">SUM(E201:P201)</f>
        <v>0</v>
      </c>
    </row>
    <row r="202" spans="3:17">
      <c r="C202" s="683"/>
      <c r="D202" s="55" t="s">
        <v>362</v>
      </c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>
        <f t="shared" si="162"/>
        <v>0</v>
      </c>
    </row>
    <row r="203" spans="3:17">
      <c r="C203" s="683"/>
      <c r="D203" s="55" t="s">
        <v>363</v>
      </c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>
        <f t="shared" si="162"/>
        <v>0</v>
      </c>
    </row>
    <row r="204" spans="3:17">
      <c r="C204" s="683"/>
      <c r="D204" s="55" t="s">
        <v>364</v>
      </c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>
        <f t="shared" si="162"/>
        <v>0</v>
      </c>
    </row>
    <row r="205" spans="3:17">
      <c r="C205" s="683"/>
      <c r="D205" s="55" t="s">
        <v>365</v>
      </c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>
        <f t="shared" si="162"/>
        <v>0</v>
      </c>
    </row>
    <row r="206" spans="3:17">
      <c r="C206" s="683"/>
      <c r="D206" s="55" t="s">
        <v>366</v>
      </c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>
        <f t="shared" si="162"/>
        <v>0</v>
      </c>
    </row>
    <row r="207" spans="3:17">
      <c r="C207" s="683"/>
      <c r="D207" s="55" t="s">
        <v>367</v>
      </c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>
        <f t="shared" si="162"/>
        <v>0</v>
      </c>
    </row>
    <row r="208" spans="3:17">
      <c r="C208" s="683"/>
      <c r="D208" s="55" t="s">
        <v>368</v>
      </c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>
        <f t="shared" si="162"/>
        <v>0</v>
      </c>
    </row>
    <row r="209" spans="3:17">
      <c r="C209" s="683"/>
      <c r="D209" s="55"/>
      <c r="E209" s="55">
        <f>'[49]2022-23'!$H$227/10000000</f>
        <v>32.65980459315</v>
      </c>
      <c r="F209" s="55">
        <f>'[49]2022-23'!$M$227/10000000</f>
        <v>32.65980459315</v>
      </c>
      <c r="G209" s="55">
        <f>'[49]2022-23'!$R$227/10000000</f>
        <v>32.65980459315</v>
      </c>
      <c r="H209" s="55">
        <f>'[49]2022-23'!$W$227/10000000</f>
        <v>32.65980459315</v>
      </c>
      <c r="I209" s="55">
        <f>'[49]2022-23'!$AB$227/10000000</f>
        <v>32.65980459315</v>
      </c>
      <c r="J209" s="55">
        <f>'[49]2022-23'!$AG$227/10000000</f>
        <v>32.6598045833333</v>
      </c>
      <c r="K209" s="55">
        <f>'[49]2022-23'!$AL$227/10000000</f>
        <v>32.6598045833333</v>
      </c>
      <c r="L209" s="55">
        <f>'[49]2022-23'!$AQ$227/10000000</f>
        <v>32.6598045833333</v>
      </c>
      <c r="M209" s="55">
        <f>'[49]2022-23'!$AV$227/10000000</f>
        <v>32.6598045833333</v>
      </c>
      <c r="N209" s="55">
        <f>'[49]2022-23'!$BA$227/10000000</f>
        <v>32.6598045833333</v>
      </c>
      <c r="O209" s="55">
        <f>'[49]2022-23'!$BF$227/10000000</f>
        <v>32.6598045833333</v>
      </c>
      <c r="P209" s="55">
        <f>('[49]2022-23'!$BK$227+'[49]2022-23'!$BP$227+'[49]2022-23'!$BU$227)/10000000</f>
        <v>32.6598045833333</v>
      </c>
      <c r="Q209" s="55">
        <f t="shared" si="162"/>
        <v>391.917655049083</v>
      </c>
    </row>
    <row r="210" spans="3:17">
      <c r="C210" s="683"/>
      <c r="D210" s="679" t="s">
        <v>493</v>
      </c>
      <c r="E210" s="55">
        <f>'[49]2022-23'!$H$226/10000000</f>
        <v>32.0867566863</v>
      </c>
      <c r="F210" s="55">
        <f>'[49]2022-23'!$M$226/10000000</f>
        <v>32.0867566863</v>
      </c>
      <c r="G210" s="55">
        <f>'[49]2022-23'!$R$226/10000000</f>
        <v>32.0867566863</v>
      </c>
      <c r="H210" s="55">
        <f>'[49]2022-23'!$W$226/10000000</f>
        <v>32.0867566863</v>
      </c>
      <c r="I210" s="55">
        <f>'[49]2022-23'!$AB$226/10000000</f>
        <v>32.0867566863</v>
      </c>
      <c r="J210" s="55">
        <f>'[49]2022-23'!$AG$226/10000000</f>
        <v>32.0867566863</v>
      </c>
      <c r="K210" s="55">
        <f>'[49]2022-23'!$AL$226/10000000</f>
        <v>32.0867566863</v>
      </c>
      <c r="L210" s="55">
        <f>'[49]2022-23'!$AQ$226/10000000</f>
        <v>32.0867566863</v>
      </c>
      <c r="M210" s="55">
        <f>'[49]2022-23'!$AV$226/10000000</f>
        <v>32.0867566863</v>
      </c>
      <c r="N210" s="55">
        <f>'[49]2022-23'!$BA$226/10000000</f>
        <v>32.0867566863</v>
      </c>
      <c r="O210" s="55">
        <f>'[49]2022-23'!$BF$226/10000000</f>
        <v>32.0867566863</v>
      </c>
      <c r="P210" s="55">
        <f>('[49]2022-23'!$BK$226+'[49]2022-23'!$BP$226+'[49]2022-23'!$BU$226)/10000000</f>
        <v>32.0867566863</v>
      </c>
      <c r="Q210" s="55">
        <f t="shared" si="162"/>
        <v>385.0410802356</v>
      </c>
    </row>
    <row r="211" spans="3:17">
      <c r="C211" s="683"/>
      <c r="D211" s="679" t="s">
        <v>494</v>
      </c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>
        <f>'[49]2022-23'!$BU$229/10000000</f>
        <v>222.71338918545</v>
      </c>
      <c r="Q211" s="55">
        <f t="shared" si="162"/>
        <v>222.71338918545</v>
      </c>
    </row>
    <row r="212" spans="3:17">
      <c r="C212" s="683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>
        <f t="shared" si="162"/>
        <v>0</v>
      </c>
    </row>
    <row r="213" spans="3:17">
      <c r="C213" s="683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>
        <f t="shared" si="162"/>
        <v>0</v>
      </c>
    </row>
    <row r="214" spans="3:17">
      <c r="C214" s="683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>
        <f t="shared" si="162"/>
        <v>0</v>
      </c>
    </row>
    <row r="215" spans="3:17">
      <c r="C215" s="683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>
        <f t="shared" si="162"/>
        <v>0</v>
      </c>
    </row>
    <row r="216" spans="3:17">
      <c r="C216" s="683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>
        <f t="shared" si="162"/>
        <v>0</v>
      </c>
    </row>
    <row r="217" spans="3:17">
      <c r="C217" s="683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>
        <f t="shared" si="162"/>
        <v>0</v>
      </c>
    </row>
    <row r="218" spans="3:17">
      <c r="C218" s="684"/>
      <c r="D218" s="67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>
        <f t="shared" si="162"/>
        <v>0</v>
      </c>
    </row>
    <row r="219" ht="15" spans="3:17">
      <c r="C219" s="537" t="s">
        <v>211</v>
      </c>
      <c r="D219" s="540"/>
      <c r="E219" s="55">
        <f t="shared" ref="E219:P219" si="163">SUM(E201:E218)</f>
        <v>64.74656127945</v>
      </c>
      <c r="F219" s="55">
        <f t="shared" si="163"/>
        <v>64.74656127945</v>
      </c>
      <c r="G219" s="55">
        <f t="shared" si="163"/>
        <v>64.74656127945</v>
      </c>
      <c r="H219" s="55">
        <f t="shared" si="163"/>
        <v>64.74656127945</v>
      </c>
      <c r="I219" s="55">
        <f t="shared" si="163"/>
        <v>64.74656127945</v>
      </c>
      <c r="J219" s="55">
        <f t="shared" si="163"/>
        <v>64.7465612696333</v>
      </c>
      <c r="K219" s="55">
        <f t="shared" si="163"/>
        <v>64.7465612696333</v>
      </c>
      <c r="L219" s="55">
        <f t="shared" si="163"/>
        <v>64.7465612696333</v>
      </c>
      <c r="M219" s="55">
        <f t="shared" si="163"/>
        <v>64.7465612696333</v>
      </c>
      <c r="N219" s="55">
        <f t="shared" si="163"/>
        <v>64.7465612696333</v>
      </c>
      <c r="O219" s="55">
        <f t="shared" si="163"/>
        <v>64.7465612696333</v>
      </c>
      <c r="P219" s="55">
        <f t="shared" si="163"/>
        <v>287.459950455083</v>
      </c>
      <c r="Q219" s="316">
        <f t="shared" si="162"/>
        <v>999.672124470133</v>
      </c>
    </row>
    <row r="220" ht="15" spans="3:17">
      <c r="C220" s="44" t="s">
        <v>369</v>
      </c>
      <c r="D220" s="45"/>
      <c r="E220" s="55">
        <f t="shared" ref="E220:Q220" si="164">E199+E219</f>
        <v>180.79061898875</v>
      </c>
      <c r="F220" s="55">
        <f t="shared" si="164"/>
        <v>179.786339974</v>
      </c>
      <c r="G220" s="55">
        <f t="shared" si="164"/>
        <v>164.27751299835</v>
      </c>
      <c r="H220" s="55">
        <f t="shared" si="164"/>
        <v>130.32149489775</v>
      </c>
      <c r="I220" s="55">
        <f t="shared" si="164"/>
        <v>149.0908094159</v>
      </c>
      <c r="J220" s="55">
        <f t="shared" si="164"/>
        <v>157.618944676333</v>
      </c>
      <c r="K220" s="55">
        <f t="shared" si="164"/>
        <v>181.900111858833</v>
      </c>
      <c r="L220" s="55">
        <f t="shared" si="164"/>
        <v>175.377699260433</v>
      </c>
      <c r="M220" s="55">
        <f t="shared" si="164"/>
        <v>182.970537399483</v>
      </c>
      <c r="N220" s="55">
        <f t="shared" si="164"/>
        <v>195.903647938133</v>
      </c>
      <c r="O220" s="55">
        <f t="shared" si="164"/>
        <v>192.108046739283</v>
      </c>
      <c r="P220" s="55">
        <f t="shared" si="164"/>
        <v>417.085847691083</v>
      </c>
      <c r="Q220" s="316">
        <f t="shared" si="164"/>
        <v>2307.23161183833</v>
      </c>
    </row>
    <row r="221" ht="15" spans="3:17">
      <c r="C221" s="663" t="s">
        <v>370</v>
      </c>
      <c r="D221" s="676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</row>
    <row r="222" ht="15" spans="3:17">
      <c r="C222" s="44" t="s">
        <v>350</v>
      </c>
      <c r="D222" s="4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</row>
    <row r="223" spans="3:17">
      <c r="C223" s="682" t="s">
        <v>371</v>
      </c>
      <c r="D223" s="55" t="s">
        <v>372</v>
      </c>
      <c r="E223" s="55">
        <f>'[49]2022-23'!H195/10000000</f>
        <v>4.4415494001</v>
      </c>
      <c r="F223" s="55">
        <f>'[49]2022-23'!M195/10000000</f>
        <v>4.3409490836</v>
      </c>
      <c r="G223" s="55">
        <f>'[49]2022-23'!R195/10000000</f>
        <v>4.16608219885</v>
      </c>
      <c r="H223" s="55">
        <f>'[49]2022-23'!W195/10000000</f>
        <v>4.31854072585</v>
      </c>
      <c r="I223" s="55">
        <f>'[49]2022-23'!AB195/10000000</f>
        <v>4.2482606274</v>
      </c>
      <c r="J223" s="55">
        <f>'[49]2022-23'!AG195/10000000</f>
        <v>4.209115334</v>
      </c>
      <c r="K223" s="55">
        <f>'[49]2022-23'!AL195/10000000</f>
        <v>4.9430141049</v>
      </c>
      <c r="L223" s="55">
        <f>'[49]2022-23'!AQ195/10000000</f>
        <v>4.68560022485</v>
      </c>
      <c r="M223" s="55">
        <f>'[49]2022-23'!AV195/10000000</f>
        <v>5.1875958248</v>
      </c>
      <c r="N223" s="55">
        <f>'[49]2022-23'!BA195/10000000</f>
        <v>3.3801974339</v>
      </c>
      <c r="O223" s="55">
        <f>'[49]2022-23'!BF195/10000000</f>
        <v>5.4201468663</v>
      </c>
      <c r="P223" s="55">
        <f>('[49]2022-23'!BK195+'[49]2022-23'!BP195+'[49]2022-23'!BU195)/10000000</f>
        <v>6.95699084605</v>
      </c>
      <c r="Q223" s="55">
        <f t="shared" ref="Q223:Q249" si="165">SUM(E223:P223)</f>
        <v>56.2980426706</v>
      </c>
    </row>
    <row r="224" spans="3:17">
      <c r="C224" s="683"/>
      <c r="D224" s="55" t="s">
        <v>373</v>
      </c>
      <c r="E224" s="55">
        <f>'[49]2022-23'!H196/10000000</f>
        <v>1.34185081775</v>
      </c>
      <c r="F224" s="55">
        <f>'[49]2022-23'!M196/10000000</f>
        <v>1.56221397675</v>
      </c>
      <c r="G224" s="55">
        <f>'[49]2022-23'!R196/10000000</f>
        <v>0.67147516675</v>
      </c>
      <c r="H224" s="55">
        <f>'[49]2022-23'!W196/10000000</f>
        <v>-0.0093838302</v>
      </c>
      <c r="I224" s="55">
        <f>'[49]2022-23'!AB196/10000000</f>
        <v>0.7771016264</v>
      </c>
      <c r="J224" s="55">
        <f>'[49]2022-23'!AG196/10000000</f>
        <v>1.48302822775</v>
      </c>
      <c r="K224" s="55">
        <f>'[49]2022-23'!AL196/10000000</f>
        <v>1.7232014299</v>
      </c>
      <c r="L224" s="55">
        <f>'[49]2022-23'!AQ196/10000000</f>
        <v>1.47018372805</v>
      </c>
      <c r="M224" s="55">
        <f>'[49]2022-23'!AV196/10000000</f>
        <v>1.746344948</v>
      </c>
      <c r="N224" s="55">
        <f>'[49]2022-23'!BA196/10000000</f>
        <v>1.2598166942</v>
      </c>
      <c r="O224" s="55">
        <f>'[49]2022-23'!BF196/10000000</f>
        <v>1.709216744</v>
      </c>
      <c r="P224" s="55">
        <f>('[49]2022-23'!BK196+'[49]2022-23'!BP196+'[49]2022-23'!BU196)/10000000</f>
        <v>1.5902107076</v>
      </c>
      <c r="Q224" s="55">
        <f t="shared" si="165"/>
        <v>15.32526023695</v>
      </c>
    </row>
    <row r="225" spans="3:17">
      <c r="C225" s="683"/>
      <c r="D225" s="55" t="s">
        <v>374</v>
      </c>
      <c r="E225" s="55">
        <f>'[49]2022-23'!H199/10000000</f>
        <v>3.00848451095</v>
      </c>
      <c r="F225" s="55">
        <f>'[49]2022-23'!M199/10000000</f>
        <v>3.90228859475</v>
      </c>
      <c r="G225" s="55">
        <f>'[49]2022-23'!R199/10000000</f>
        <v>3.23376428855</v>
      </c>
      <c r="H225" s="55">
        <f>'[49]2022-23'!W199/10000000</f>
        <v>3.66563163425</v>
      </c>
      <c r="I225" s="55">
        <f>'[49]2022-23'!AB199/10000000</f>
        <v>3.27203756745</v>
      </c>
      <c r="J225" s="55">
        <f>'[49]2022-23'!AG199/10000000</f>
        <v>3.17408904675</v>
      </c>
      <c r="K225" s="55">
        <f>'[49]2022-23'!AL199/10000000</f>
        <v>15.35924777515</v>
      </c>
      <c r="L225" s="55">
        <f>'[49]2022-23'!AQ199/10000000</f>
        <v>2.108937471</v>
      </c>
      <c r="M225" s="55">
        <f>'[49]2022-23'!AV199/10000000</f>
        <v>3.21762150665</v>
      </c>
      <c r="N225" s="55">
        <f>'[49]2022-23'!BA199/10000000</f>
        <v>2.66780856015</v>
      </c>
      <c r="O225" s="55">
        <f>'[49]2022-23'!BF199/10000000</f>
        <v>3.1695475328</v>
      </c>
      <c r="P225" s="55">
        <f>('[49]2022-23'!BK199+'[49]2022-23'!BP199+'[49]2022-23'!BU199)/10000000</f>
        <v>3.88614445815</v>
      </c>
      <c r="Q225" s="55">
        <f t="shared" si="165"/>
        <v>50.6656029466</v>
      </c>
    </row>
    <row r="226" spans="3:17">
      <c r="C226" s="683"/>
      <c r="D226" s="55" t="s">
        <v>375</v>
      </c>
      <c r="E226" s="55">
        <f>'[49]2022-23'!H197/10000000</f>
        <v>9.0359144379</v>
      </c>
      <c r="F226" s="55">
        <f>'[49]2022-23'!M197/10000000</f>
        <v>23.8488459534</v>
      </c>
      <c r="G226" s="55">
        <f>'[49]2022-23'!R197/10000000</f>
        <v>8.7926870057</v>
      </c>
      <c r="H226" s="55">
        <f>'[49]2022-23'!W197/10000000</f>
        <v>8.57763465355</v>
      </c>
      <c r="I226" s="55">
        <f>'[49]2022-23'!AB197/10000000</f>
        <v>8.7113167146</v>
      </c>
      <c r="J226" s="55">
        <f>'[49]2022-23'!AG197/10000000</f>
        <v>8.738858119</v>
      </c>
      <c r="K226" s="55">
        <f>'[49]2022-23'!AL197/10000000</f>
        <v>35.4878751646</v>
      </c>
      <c r="L226" s="55">
        <f>'[49]2022-23'!AQ197/10000000</f>
        <v>9.9805346734</v>
      </c>
      <c r="M226" s="55">
        <f>'[49]2022-23'!AV197/10000000</f>
        <v>8.89204285355</v>
      </c>
      <c r="N226" s="55">
        <f>'[49]2022-23'!BA197/10000000</f>
        <v>11.99790169855</v>
      </c>
      <c r="O226" s="55">
        <f>'[49]2022-23'!BF197/10000000</f>
        <v>41.1580570662</v>
      </c>
      <c r="P226" s="55">
        <f>('[49]2022-23'!BK197+'[49]2022-23'!BP197+'[49]2022-23'!BU197)/10000000</f>
        <v>21.37544832875</v>
      </c>
      <c r="Q226" s="55">
        <f t="shared" si="165"/>
        <v>196.5971166692</v>
      </c>
    </row>
    <row r="227" spans="3:17">
      <c r="C227" s="683"/>
      <c r="D227" s="55" t="s">
        <v>376</v>
      </c>
      <c r="E227" s="55">
        <f>'[49]2022-23'!H198/10000000</f>
        <v>6.3042554211</v>
      </c>
      <c r="F227" s="55">
        <f>'[49]2022-23'!M198/10000000</f>
        <v>17.93546992755</v>
      </c>
      <c r="G227" s="55">
        <f>'[49]2022-23'!R198/10000000</f>
        <v>3.5812438078</v>
      </c>
      <c r="H227" s="55">
        <f>'[49]2022-23'!W198/10000000</f>
        <v>5.81720239775</v>
      </c>
      <c r="I227" s="55">
        <f>'[49]2022-23'!AB198/10000000</f>
        <v>7.53313933725</v>
      </c>
      <c r="J227" s="55">
        <f>'[49]2022-23'!AG198/10000000</f>
        <v>6.56950417915</v>
      </c>
      <c r="K227" s="55">
        <f>'[49]2022-23'!AL198/10000000</f>
        <v>20.46298931915</v>
      </c>
      <c r="L227" s="55">
        <f>'[49]2022-23'!AQ198/10000000</f>
        <v>7.77849576885</v>
      </c>
      <c r="M227" s="55">
        <f>'[49]2022-23'!AV198/10000000</f>
        <v>6.44112986215</v>
      </c>
      <c r="N227" s="55">
        <f>'[49]2022-23'!BA198/10000000</f>
        <v>8.2138053778</v>
      </c>
      <c r="O227" s="55">
        <f>'[49]2022-23'!BF198/10000000</f>
        <v>7.8517400098</v>
      </c>
      <c r="P227" s="55">
        <f>('[49]2022-23'!BK198+'[49]2022-23'!BP198+'[49]2022-23'!BU198)/10000000</f>
        <v>8.39423106785</v>
      </c>
      <c r="Q227" s="55">
        <f t="shared" si="165"/>
        <v>106.8832064762</v>
      </c>
    </row>
    <row r="228" spans="3:17">
      <c r="C228" s="683"/>
      <c r="D228" s="55" t="s">
        <v>377</v>
      </c>
      <c r="E228" s="55">
        <f>'[49]2022-23'!$H200/10000000</f>
        <v>6.985758519</v>
      </c>
      <c r="F228" s="55">
        <f>'[49]2022-23'!$M$200/10000000</f>
        <v>7.8007181793</v>
      </c>
      <c r="G228" s="55">
        <f>'[49]2022-23'!$R$200/10000000</f>
        <v>7.8077673313</v>
      </c>
      <c r="H228" s="55">
        <f>'[49]2022-23'!$W$200/10000000</f>
        <v>7.84247377345</v>
      </c>
      <c r="I228" s="55">
        <f>'[49]2022-23'!AB$200/10000000</f>
        <v>7.8396287562</v>
      </c>
      <c r="J228" s="55">
        <f>'[49]2022-23'!$AG$200/10000000</f>
        <v>10.07043489195</v>
      </c>
      <c r="K228" s="55">
        <f>'[49]2022-23'!$AL$200/10000000</f>
        <v>14.6759384204</v>
      </c>
      <c r="L228" s="55">
        <f>'[49]2022-23'!$AQ$200/10000000</f>
        <v>6.9093059656</v>
      </c>
      <c r="M228" s="55">
        <f>'[49]2022-23'!$AV$200/10000000</f>
        <v>6.9221004592</v>
      </c>
      <c r="N228" s="55">
        <f>'[49]2022-23'!$BA$200/10000000</f>
        <v>7.40488918145</v>
      </c>
      <c r="O228" s="55">
        <f>'[49]2022-23'!$BF$200/10000000</f>
        <v>8.904315876</v>
      </c>
      <c r="P228" s="55">
        <f>('[49]2022-23'!$BK$200+'[49]2022-23'!$BP$200+'[49]2022-23'!$BU$200)/10000000</f>
        <v>9.03539826775</v>
      </c>
      <c r="Q228" s="55">
        <f t="shared" si="165"/>
        <v>102.1987296216</v>
      </c>
    </row>
    <row r="229" spans="3:17">
      <c r="C229" s="683"/>
      <c r="D229" s="55" t="s">
        <v>378</v>
      </c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>
        <f>'[49]2022-23'!$BP$215/10000000</f>
        <v>15.37367038255</v>
      </c>
      <c r="Q229" s="55">
        <f t="shared" si="165"/>
        <v>15.37367038255</v>
      </c>
    </row>
    <row r="230" spans="3:17">
      <c r="C230" s="683"/>
      <c r="D230" s="55" t="s">
        <v>379</v>
      </c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>
        <f t="shared" si="165"/>
        <v>0</v>
      </c>
    </row>
    <row r="231" spans="3:17">
      <c r="C231" s="684"/>
      <c r="D231" s="55" t="s">
        <v>380</v>
      </c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>
        <f t="shared" si="165"/>
        <v>0</v>
      </c>
    </row>
    <row r="232" spans="3:17">
      <c r="C232" s="55"/>
      <c r="D232" s="55" t="s">
        <v>381</v>
      </c>
      <c r="E232" s="55">
        <f>'[49]2022-23'!H190/10000000</f>
        <v>0.180140879679183</v>
      </c>
      <c r="F232" s="55">
        <f>'[49]2022-23'!M190/10000000</f>
        <v>0.10296123465</v>
      </c>
      <c r="G232" s="55">
        <f>'[49]2022-23'!R190/10000000</f>
        <v>0.090449666823271</v>
      </c>
      <c r="H232" s="55">
        <f>'[49]2022-23'!W190/10000000</f>
        <v>0.06260307245</v>
      </c>
      <c r="I232" s="55">
        <f>'[49]2022-23'!AB190/10000000</f>
        <v>0.04538607235</v>
      </c>
      <c r="J232" s="55">
        <f>'[49]2022-23'!AG190/10000000</f>
        <v>0.03944176655</v>
      </c>
      <c r="K232" s="55">
        <f>'[49]2022-23'!AL190/10000000</f>
        <v>0.0266408284085788</v>
      </c>
      <c r="L232" s="55">
        <f>'[49]2022-23'!AQ190/10000000</f>
        <v>0.1014763288375</v>
      </c>
      <c r="M232" s="55">
        <f>'[49]2022-23'!AV190/10000000</f>
        <v>0.09239410345</v>
      </c>
      <c r="N232" s="55">
        <f>'[49]2022-23'!BA190/10000000</f>
        <v>0.133685620966</v>
      </c>
      <c r="O232" s="55">
        <f>'[49]2022-23'!BF190/10000000</f>
        <v>0.1341712064075</v>
      </c>
      <c r="P232" s="55">
        <f>('[49]2022-23'!BK190+'[49]2022-23'!BP190+'[49]2022-23'!BU190)/10000000</f>
        <v>8.68015128155</v>
      </c>
      <c r="Q232" s="55">
        <f t="shared" si="165"/>
        <v>9.68950206212203</v>
      </c>
    </row>
    <row r="233" spans="3:17">
      <c r="C233" s="55"/>
      <c r="D233" s="55" t="s">
        <v>382</v>
      </c>
      <c r="E233" s="55">
        <f>'[49]2022-23'!H191/10000000</f>
        <v>0.2360130394895</v>
      </c>
      <c r="F233" s="55">
        <f>'[49]2022-23'!M191/10000000</f>
        <v>0.14392382865</v>
      </c>
      <c r="G233" s="55">
        <f>'[49]2022-23'!R191/10000000</f>
        <v>0.10202130845</v>
      </c>
      <c r="H233" s="55">
        <f>'[49]2022-23'!W191/10000000</f>
        <v>0.12624587715</v>
      </c>
      <c r="I233" s="55">
        <f>'[49]2022-23'!AB191/10000000</f>
        <v>0.1229756019</v>
      </c>
      <c r="J233" s="55">
        <f>'[49]2022-23'!AG191/10000000</f>
        <v>0.1116087854</v>
      </c>
      <c r="K233" s="55">
        <f>'[49]2022-23'!AL191/10000000</f>
        <v>0.0553311710968966</v>
      </c>
      <c r="L233" s="55">
        <f>'[49]2022-23'!AQ191/10000000</f>
        <v>0.107609186067493</v>
      </c>
      <c r="M233" s="55">
        <f>'[49]2022-23'!AV191/10000000</f>
        <v>0.05809345285</v>
      </c>
      <c r="N233" s="55">
        <f>'[49]2022-23'!BA191/10000000</f>
        <v>0.0549506822585</v>
      </c>
      <c r="O233" s="55">
        <f>'[49]2022-23'!BF191/10000000</f>
        <v>0.152637637217843</v>
      </c>
      <c r="P233" s="55">
        <f>('[49]2022-23'!BK191+'[49]2022-23'!BP191+'[49]2022-23'!BU191)/10000000</f>
        <v>0.68246138049665</v>
      </c>
      <c r="Q233" s="55">
        <f t="shared" si="165"/>
        <v>1.95387195102688</v>
      </c>
    </row>
    <row r="234" spans="3:17">
      <c r="C234" s="55"/>
      <c r="D234" s="55" t="s">
        <v>383</v>
      </c>
      <c r="E234" s="55">
        <f>'[49]2022-23'!$H$194/10000000</f>
        <v>1.9002057647275</v>
      </c>
      <c r="F234" s="55">
        <f>'[49]2022-23'!$M$194/10000000</f>
        <v>2.0585742603</v>
      </c>
      <c r="G234" s="55">
        <f>'[49]2022-23'!$R$194/10000000</f>
        <v>1.93515218952833</v>
      </c>
      <c r="H234" s="55">
        <f>'[49]2022-23'!$W$194/10000000</f>
        <v>2.0915548441</v>
      </c>
      <c r="I234" s="55">
        <f>'[49]2022-23'!$AB$194/10000000</f>
        <v>1.97048998765</v>
      </c>
      <c r="J234" s="55">
        <f>'[49]2022-23'!$AG$194/10000000</f>
        <v>1.9225824063</v>
      </c>
      <c r="K234" s="55">
        <f>'[49]2022-23'!$AL$194/10000000</f>
        <v>1.8917673384275</v>
      </c>
      <c r="L234" s="55">
        <f>'[49]2022-23'!$AQ$194/10000000</f>
        <v>1.92071367446542</v>
      </c>
      <c r="M234" s="55">
        <f>'[49]2022-23'!$AV$194/10000000</f>
        <v>1.7220567673</v>
      </c>
      <c r="N234" s="55">
        <f>'[49]2022-23'!$BA$194/10000000</f>
        <v>1.96310418045007</v>
      </c>
      <c r="O234" s="55">
        <f>'[49]2022-23'!$BF$194/10000000</f>
        <v>2.09596930069811</v>
      </c>
      <c r="P234" s="55">
        <f>('[49]2022-23'!$BK$194+'[49]2022-23'!$BP$194+'[49]2022-23'!$BU$194)/10000000</f>
        <v>2.19725577236979</v>
      </c>
      <c r="Q234" s="55">
        <f t="shared" si="165"/>
        <v>23.6694264863167</v>
      </c>
    </row>
    <row r="235" spans="3:17">
      <c r="C235" s="55"/>
      <c r="D235" s="55" t="s">
        <v>384</v>
      </c>
      <c r="E235" s="55"/>
      <c r="F235" s="55"/>
      <c r="G235" s="55"/>
      <c r="H235" s="55"/>
      <c r="I235" s="55"/>
      <c r="J235" s="55"/>
      <c r="K235" s="55">
        <f>'[49]2022-23'!AL192/10000000</f>
        <v>0.093764484636186</v>
      </c>
      <c r="L235" s="55">
        <f>'[49]2022-23'!AQ192/10000000</f>
        <v>0.125499287255</v>
      </c>
      <c r="M235" s="55">
        <f>'[49]2022-23'!AV192/10000000</f>
        <v>0.11607873585</v>
      </c>
      <c r="N235" s="55">
        <f>'[49]2022-23'!BA192/10000000</f>
        <v>0.1228371869</v>
      </c>
      <c r="O235" s="55">
        <f>'[49]2022-23'!BF192/10000000</f>
        <v>0.152932105971</v>
      </c>
      <c r="P235" s="55">
        <f>('[49]2022-23'!BK192+'[49]2022-23'!BP192+'[49]2022-23'!BU192)/10000000</f>
        <v>0.11875058695275</v>
      </c>
      <c r="Q235" s="55">
        <f t="shared" si="165"/>
        <v>0.729862387564936</v>
      </c>
    </row>
    <row r="236" spans="3:17">
      <c r="C236" s="55"/>
      <c r="D236" s="55" t="s">
        <v>385</v>
      </c>
      <c r="E236" s="55"/>
      <c r="F236" s="55"/>
      <c r="G236" s="55"/>
      <c r="H236" s="55"/>
      <c r="I236" s="55"/>
      <c r="J236" s="55"/>
      <c r="K236" s="55">
        <f>'[49]2022-23'!AL193/10000000</f>
        <v>0.161979766339314</v>
      </c>
      <c r="L236" s="55">
        <f>'[49]2022-23'!AQ193/10000000</f>
        <v>0.0852797351648841</v>
      </c>
      <c r="M236" s="55">
        <f>'[49]2022-23'!AV193/10000000</f>
        <v>0.14225153985</v>
      </c>
      <c r="N236" s="55">
        <f>'[49]2022-23'!BA193/10000000</f>
        <v>0.06058529819025</v>
      </c>
      <c r="O236" s="55">
        <f>'[49]2022-23'!BF193/10000000</f>
        <v>0.1687112163</v>
      </c>
      <c r="P236" s="55">
        <f>('[49]2022-23'!BK193+'[49]2022-23'!BP193+'[49]2022-23'!BU193)/10000000</f>
        <v>0.0519118247011535</v>
      </c>
      <c r="Q236" s="55">
        <f t="shared" si="165"/>
        <v>0.670719380545602</v>
      </c>
    </row>
    <row r="237" spans="3:17">
      <c r="C237" s="55"/>
      <c r="D237" s="55" t="s">
        <v>380</v>
      </c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>
        <f t="shared" si="165"/>
        <v>0</v>
      </c>
    </row>
    <row r="238" spans="3:17">
      <c r="C238" s="55"/>
      <c r="D238" s="55" t="s">
        <v>386</v>
      </c>
      <c r="E238" s="55">
        <f>'[49]2022-23'!H202/10000000</f>
        <v>4.246018967025</v>
      </c>
      <c r="F238" s="55">
        <f>'[49]2022-23'!M202/10000000</f>
        <v>3.53110644915</v>
      </c>
      <c r="G238" s="55">
        <f>'[49]2022-23'!R202/10000000</f>
        <v>3.4310075778</v>
      </c>
      <c r="H238" s="55">
        <f>'[49]2022-23'!W202/10000000</f>
        <v>3.2820540131</v>
      </c>
      <c r="I238" s="55">
        <f>'[49]2022-23'!AB202/10000000</f>
        <v>3.0773154338</v>
      </c>
      <c r="J238" s="55">
        <f>'[49]2022-23'!AG202/10000000</f>
        <v>3.5144187539</v>
      </c>
      <c r="K238" s="55">
        <f>'[49]2022-23'!AL202/10000000</f>
        <v>3.20665833185</v>
      </c>
      <c r="L238" s="55">
        <f>'[49]2022-23'!AQ202/10000000</f>
        <v>3.07979497655</v>
      </c>
      <c r="M238" s="55">
        <f>'[49]2022-23'!AV202/10000000</f>
        <v>3.1865427744</v>
      </c>
      <c r="N238" s="55">
        <f>'[49]2022-23'!BA202/10000000</f>
        <v>3.22945445775</v>
      </c>
      <c r="O238" s="55">
        <f>'[49]2022-23'!BF202/10000000</f>
        <v>3.5626398732025</v>
      </c>
      <c r="P238" s="55">
        <f>('[49]2022-23'!BK202+'[49]2022-23'!BP202+'[49]2022-23'!BU202)/10000000</f>
        <v>27.0627307557</v>
      </c>
      <c r="Q238" s="55">
        <f t="shared" si="165"/>
        <v>64.4097423642275</v>
      </c>
    </row>
    <row r="239" spans="3:17">
      <c r="C239" s="55"/>
      <c r="D239" s="55" t="s">
        <v>387</v>
      </c>
      <c r="E239" s="55">
        <f>'[49]2022-23'!H203/10000000</f>
        <v>2.3263164026</v>
      </c>
      <c r="F239" s="55">
        <f>'[49]2022-23'!M203/10000000</f>
        <v>4.51240294612368</v>
      </c>
      <c r="G239" s="55">
        <f>'[49]2022-23'!R203/10000000</f>
        <v>4.12566101365</v>
      </c>
      <c r="H239" s="55">
        <f>'[49]2022-23'!W203/10000000</f>
        <v>3.7388921905</v>
      </c>
      <c r="I239" s="55">
        <f>'[49]2022-23'!AB203/10000000</f>
        <v>4.03131528815</v>
      </c>
      <c r="J239" s="55">
        <f>'[49]2022-23'!AG203/10000000</f>
        <v>4.05388417785</v>
      </c>
      <c r="K239" s="55">
        <f>'[49]2022-23'!AL203/10000000</f>
        <v>3.91723336018827</v>
      </c>
      <c r="L239" s="55">
        <f>'[49]2022-23'!AQ203/10000000</f>
        <v>3.86356926615</v>
      </c>
      <c r="M239" s="55">
        <f>'[49]2022-23'!AV203/10000000</f>
        <v>4.1411433204</v>
      </c>
      <c r="N239" s="55">
        <f>'[49]2022-23'!BA203/10000000</f>
        <v>4.03771394855</v>
      </c>
      <c r="O239" s="55">
        <f>'[49]2022-23'!BF203/10000000</f>
        <v>7.3304581644</v>
      </c>
      <c r="P239" s="55">
        <f>('[49]2022-23'!BK203+'[49]2022-23'!BP203+'[49]2022-23'!BU203)/10000000</f>
        <v>4.40883254105</v>
      </c>
      <c r="Q239" s="55">
        <f t="shared" si="165"/>
        <v>50.4874226196119</v>
      </c>
    </row>
    <row r="240" spans="3:17">
      <c r="C240" s="55"/>
      <c r="D240" s="731" t="s">
        <v>467</v>
      </c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>
        <f t="shared" si="165"/>
        <v>0</v>
      </c>
    </row>
    <row r="241" spans="3:17">
      <c r="C241" s="55"/>
      <c r="D241" s="731" t="s">
        <v>468</v>
      </c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>
        <f t="shared" si="165"/>
        <v>0</v>
      </c>
    </row>
    <row r="242" spans="3:17">
      <c r="C242" s="55"/>
      <c r="D242" s="687" t="s">
        <v>470</v>
      </c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>
        <f t="shared" si="165"/>
        <v>0</v>
      </c>
    </row>
    <row r="243" spans="3:17">
      <c r="C243" s="55"/>
      <c r="D243" s="687" t="s">
        <v>471</v>
      </c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>
        <f t="shared" si="165"/>
        <v>0</v>
      </c>
    </row>
    <row r="244" spans="3:17">
      <c r="C244" s="55"/>
      <c r="D244" s="731" t="s">
        <v>472</v>
      </c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>
        <f t="shared" si="165"/>
        <v>0</v>
      </c>
    </row>
    <row r="245" spans="3:17">
      <c r="C245" s="55"/>
      <c r="D245" s="731" t="s">
        <v>473</v>
      </c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>
        <f t="shared" si="165"/>
        <v>0</v>
      </c>
    </row>
    <row r="246" spans="3:17">
      <c r="C246" s="55"/>
      <c r="D246" s="679" t="s">
        <v>498</v>
      </c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>
        <f t="shared" si="165"/>
        <v>0</v>
      </c>
    </row>
    <row r="247" spans="3:17"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>
        <f t="shared" si="165"/>
        <v>0</v>
      </c>
    </row>
    <row r="248" spans="3:17"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>
        <f t="shared" si="165"/>
        <v>0</v>
      </c>
    </row>
    <row r="249" ht="15" spans="3:17">
      <c r="C249" s="537" t="s">
        <v>211</v>
      </c>
      <c r="D249" s="540"/>
      <c r="E249" s="55">
        <f t="shared" ref="E249:P249" si="166">SUM(E223:E248)</f>
        <v>40.0065081603212</v>
      </c>
      <c r="F249" s="55">
        <f t="shared" si="166"/>
        <v>69.7394544342237</v>
      </c>
      <c r="G249" s="55">
        <f t="shared" si="166"/>
        <v>37.9373115552016</v>
      </c>
      <c r="H249" s="55">
        <f t="shared" si="166"/>
        <v>39.51344935195</v>
      </c>
      <c r="I249" s="55">
        <f t="shared" si="166"/>
        <v>41.62896701315</v>
      </c>
      <c r="J249" s="55">
        <f t="shared" si="166"/>
        <v>43.8869656886</v>
      </c>
      <c r="K249" s="55">
        <f t="shared" si="166"/>
        <v>102.005641495047</v>
      </c>
      <c r="L249" s="55">
        <f t="shared" si="166"/>
        <v>42.2170002862403</v>
      </c>
      <c r="M249" s="55">
        <f t="shared" si="166"/>
        <v>41.86539614845</v>
      </c>
      <c r="N249" s="55">
        <f t="shared" si="166"/>
        <v>44.5267503211148</v>
      </c>
      <c r="O249" s="55">
        <f t="shared" si="166"/>
        <v>81.8105435992969</v>
      </c>
      <c r="P249" s="55">
        <f t="shared" si="166"/>
        <v>109.81418820152</v>
      </c>
      <c r="Q249" s="316">
        <f t="shared" si="165"/>
        <v>694.952176255116</v>
      </c>
    </row>
    <row r="250" ht="15" spans="3:17">
      <c r="C250" s="44" t="s">
        <v>388</v>
      </c>
      <c r="D250" s="4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</row>
    <row r="251" spans="3:17">
      <c r="C251" s="682" t="s">
        <v>389</v>
      </c>
      <c r="D251" s="55" t="s">
        <v>390</v>
      </c>
      <c r="E251" s="55">
        <f>'[49]2022-23'!$H$188/10000000</f>
        <v>0</v>
      </c>
      <c r="F251" s="55">
        <f>'[49]2022-23'!$M$188/10000000</f>
        <v>0</v>
      </c>
      <c r="G251" s="55">
        <f>'[49]2022-23'!$R$188/10000000</f>
        <v>0</v>
      </c>
      <c r="H251" s="55">
        <f>'[49]2022-23'!$W$188/10000000</f>
        <v>0</v>
      </c>
      <c r="I251" s="55">
        <f>'[49]2022-23'!$AB$188/10000000</f>
        <v>0</v>
      </c>
      <c r="J251" s="55">
        <f>'[49]2022-23'!$AG$188/10000000</f>
        <v>0</v>
      </c>
      <c r="K251" s="55">
        <f>'[49]2022-23'!$AL$188/10000000</f>
        <v>0</v>
      </c>
      <c r="L251" s="55">
        <f>'[49]2022-23'!$AQ$188/10000000</f>
        <v>0</v>
      </c>
      <c r="M251" s="55">
        <f>'[49]2022-23'!$AV$188/10000000</f>
        <v>0</v>
      </c>
      <c r="N251" s="55">
        <f>'[49]2022-23'!$BA$188/10000000</f>
        <v>0</v>
      </c>
      <c r="O251" s="55">
        <f>'[49]2022-23'!$BF$188/10000000</f>
        <v>0</v>
      </c>
      <c r="P251" s="55">
        <f>('[49]2022-23'!$BK$188+'[49]2022-23'!$BP$188+'[49]2022-23'!$BU$188)/10000000</f>
        <v>0</v>
      </c>
      <c r="Q251" s="55">
        <f t="shared" ref="Q251:Q265" si="167">SUM(E251:P251)</f>
        <v>0</v>
      </c>
    </row>
    <row r="252" spans="3:17">
      <c r="C252" s="683"/>
      <c r="D252" s="55" t="s">
        <v>391</v>
      </c>
      <c r="E252" s="55">
        <f>'[49]2022-23'!$H$187/10000000</f>
        <v>0</v>
      </c>
      <c r="F252" s="55">
        <f>'[49]2022-23'!$M$187/10000000</f>
        <v>0</v>
      </c>
      <c r="G252" s="55">
        <f>'[49]2022-23'!$R$187/10000000</f>
        <v>0</v>
      </c>
      <c r="H252" s="55">
        <f>'[49]2022-23'!$W$187/10000000</f>
        <v>0</v>
      </c>
      <c r="I252" s="55">
        <f>'[49]2022-23'!$AB$187/10000000</f>
        <v>0</v>
      </c>
      <c r="J252" s="55">
        <f>'[49]2022-23'!$AG$187/10000000</f>
        <v>0</v>
      </c>
      <c r="K252" s="55">
        <f>'[49]2022-23'!$AL$187/10000000</f>
        <v>0</v>
      </c>
      <c r="L252" s="55">
        <f>'[49]2022-23'!$AQ$187/10000000</f>
        <v>0</v>
      </c>
      <c r="M252" s="55">
        <f>'[49]2022-23'!$AV$187/10000000</f>
        <v>0</v>
      </c>
      <c r="N252" s="55">
        <f>'[49]2022-23'!$BA$187/10000000</f>
        <v>0</v>
      </c>
      <c r="O252" s="55">
        <f>'[49]2022-23'!$BF$187/10000000</f>
        <v>0</v>
      </c>
      <c r="P252" s="55">
        <f>('[49]2022-23'!$BK$188+'[49]2022-23'!$BP$187+'[49]2022-23'!$BU$187)/10000000</f>
        <v>0</v>
      </c>
      <c r="Q252" s="55">
        <f t="shared" si="167"/>
        <v>0</v>
      </c>
    </row>
    <row r="253" spans="3:17">
      <c r="C253" s="683"/>
      <c r="D253" s="55" t="s">
        <v>392</v>
      </c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>
        <f t="shared" si="167"/>
        <v>0</v>
      </c>
    </row>
    <row r="254" spans="3:17">
      <c r="C254" s="684"/>
      <c r="D254" s="55" t="s">
        <v>393</v>
      </c>
      <c r="E254" s="55">
        <f>'[49]2022-23'!$H$189/10000000</f>
        <v>0</v>
      </c>
      <c r="F254" s="55">
        <f>'[49]2022-23'!$M$189/10000000</f>
        <v>0</v>
      </c>
      <c r="G254" s="55">
        <f>'[49]2022-23'!$R$189/10000000</f>
        <v>0</v>
      </c>
      <c r="H254" s="55">
        <f>'[49]2022-23'!$W$189/10000000</f>
        <v>0</v>
      </c>
      <c r="I254" s="55">
        <f>'[49]2022-23'!$AB$189/10000000</f>
        <v>0</v>
      </c>
      <c r="J254" s="55">
        <f>'[49]2022-23'!$AG$189/10000000</f>
        <v>0</v>
      </c>
      <c r="K254" s="55">
        <f>'[49]2022-23'!$AL$189/10000000</f>
        <v>0</v>
      </c>
      <c r="L254" s="55">
        <f>'[49]2022-23'!$AQ$189/10000000</f>
        <v>0</v>
      </c>
      <c r="M254" s="55">
        <f>'[49]2022-23'!$AV$189/10000000</f>
        <v>0</v>
      </c>
      <c r="N254" s="55">
        <f>'[49]2022-23'!$BA$189/10000000</f>
        <v>0</v>
      </c>
      <c r="O254" s="55">
        <f>'[49]2022-23'!$BF$189/10000000</f>
        <v>0</v>
      </c>
      <c r="P254" s="55">
        <f>('[49]2022-23'!$BK$189+'[49]2022-23'!$BP$189+'[49]2022-23'!$BU$189)/10000000</f>
        <v>0</v>
      </c>
      <c r="Q254" s="55">
        <f t="shared" si="167"/>
        <v>0</v>
      </c>
    </row>
    <row r="255" spans="3:17"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>
        <f t="shared" si="167"/>
        <v>0</v>
      </c>
    </row>
    <row r="256" spans="3:17"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>
        <f t="shared" si="167"/>
        <v>0</v>
      </c>
    </row>
    <row r="257" spans="3:17"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>
        <f t="shared" si="167"/>
        <v>0</v>
      </c>
    </row>
    <row r="258" spans="3:17"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>
        <f t="shared" si="167"/>
        <v>0</v>
      </c>
    </row>
    <row r="259" spans="3:17"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>
        <f t="shared" si="167"/>
        <v>0</v>
      </c>
    </row>
    <row r="260" spans="3:17"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>
        <f t="shared" si="167"/>
        <v>0</v>
      </c>
    </row>
    <row r="261" spans="3:17"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>
        <f t="shared" si="167"/>
        <v>0</v>
      </c>
    </row>
    <row r="262" spans="3:17"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>
        <f t="shared" si="167"/>
        <v>0</v>
      </c>
    </row>
    <row r="263" spans="3:17"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>
        <f t="shared" si="167"/>
        <v>0</v>
      </c>
    </row>
    <row r="264" spans="3:17"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>
        <f t="shared" si="167"/>
        <v>0</v>
      </c>
    </row>
    <row r="265" ht="15" spans="3:17">
      <c r="C265" s="537" t="s">
        <v>211</v>
      </c>
      <c r="D265" s="540"/>
      <c r="E265" s="55">
        <f t="shared" ref="E265:P265" si="168">SUM(E251:E264)</f>
        <v>0</v>
      </c>
      <c r="F265" s="55">
        <f t="shared" si="168"/>
        <v>0</v>
      </c>
      <c r="G265" s="55">
        <f t="shared" si="168"/>
        <v>0</v>
      </c>
      <c r="H265" s="55">
        <f t="shared" si="168"/>
        <v>0</v>
      </c>
      <c r="I265" s="55">
        <f t="shared" si="168"/>
        <v>0</v>
      </c>
      <c r="J265" s="55">
        <f t="shared" si="168"/>
        <v>0</v>
      </c>
      <c r="K265" s="55">
        <f t="shared" si="168"/>
        <v>0</v>
      </c>
      <c r="L265" s="55">
        <f t="shared" si="168"/>
        <v>0</v>
      </c>
      <c r="M265" s="55">
        <f t="shared" si="168"/>
        <v>0</v>
      </c>
      <c r="N265" s="55">
        <f t="shared" si="168"/>
        <v>0</v>
      </c>
      <c r="O265" s="55">
        <f t="shared" si="168"/>
        <v>0</v>
      </c>
      <c r="P265" s="55">
        <f t="shared" si="168"/>
        <v>0</v>
      </c>
      <c r="Q265" s="316">
        <f t="shared" si="167"/>
        <v>0</v>
      </c>
    </row>
    <row r="266" ht="15" spans="3:17">
      <c r="C266" s="44" t="s">
        <v>395</v>
      </c>
      <c r="D266" s="45"/>
      <c r="E266" s="55">
        <f t="shared" ref="E266:Q266" si="169">E249+E265</f>
        <v>40.0065081603212</v>
      </c>
      <c r="F266" s="55">
        <f t="shared" si="169"/>
        <v>69.7394544342237</v>
      </c>
      <c r="G266" s="55">
        <f t="shared" si="169"/>
        <v>37.9373115552016</v>
      </c>
      <c r="H266" s="55">
        <f t="shared" si="169"/>
        <v>39.51344935195</v>
      </c>
      <c r="I266" s="55">
        <f t="shared" si="169"/>
        <v>41.62896701315</v>
      </c>
      <c r="J266" s="55">
        <f t="shared" si="169"/>
        <v>43.8869656886</v>
      </c>
      <c r="K266" s="55">
        <f t="shared" si="169"/>
        <v>102.005641495047</v>
      </c>
      <c r="L266" s="55">
        <f t="shared" si="169"/>
        <v>42.2170002862403</v>
      </c>
      <c r="M266" s="55">
        <f t="shared" si="169"/>
        <v>41.86539614845</v>
      </c>
      <c r="N266" s="55">
        <f t="shared" si="169"/>
        <v>44.5267503211148</v>
      </c>
      <c r="O266" s="55">
        <f t="shared" si="169"/>
        <v>81.8105435992969</v>
      </c>
      <c r="P266" s="55">
        <f t="shared" si="169"/>
        <v>109.81418820152</v>
      </c>
      <c r="Q266" s="316">
        <f t="shared" si="169"/>
        <v>694.952176255116</v>
      </c>
    </row>
    <row r="267" ht="15" spans="3:17">
      <c r="C267" s="663" t="s">
        <v>396</v>
      </c>
      <c r="D267" s="676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</row>
    <row r="268" spans="3:17">
      <c r="C268" s="55" t="s">
        <v>397</v>
      </c>
      <c r="D268" s="55" t="s">
        <v>397</v>
      </c>
      <c r="E268" s="55">
        <f>'[49]2022-23'!H206/10000000</f>
        <v>27.45304889285</v>
      </c>
      <c r="F268" s="55">
        <f>'[49]2022-23'!M206/10000000</f>
        <v>28.0635081949</v>
      </c>
      <c r="G268" s="55">
        <f>'[49]2022-23'!R206/10000000</f>
        <v>17.1800730984</v>
      </c>
      <c r="H268" s="55">
        <f>'[49]2022-23'!W206/10000000</f>
        <v>28.0635081949</v>
      </c>
      <c r="I268" s="55">
        <f>'[49]2022-23'!AB206/10000000</f>
        <v>28.17679059435</v>
      </c>
      <c r="J268" s="55">
        <f>'[49]2022-23'!AG206/10000000</f>
        <v>26.72824746255</v>
      </c>
      <c r="K268" s="55">
        <f>'[49]2022-23'!AL206/10000000</f>
        <v>28.0679929587</v>
      </c>
      <c r="L268" s="55">
        <f>'[49]2022-23'!AQ206/10000000</f>
        <v>27.1582337484</v>
      </c>
      <c r="M268" s="55">
        <f>'[49]2022-23'!AV206/10000000</f>
        <v>28.0635081949</v>
      </c>
      <c r="N268" s="55">
        <f>'[49]2022-23'!BA206/10000000</f>
        <v>27.795305219</v>
      </c>
      <c r="O268" s="55">
        <f>'[49]2022-23'!BF206/10000000</f>
        <v>26.74870915174</v>
      </c>
      <c r="P268" s="55">
        <f>('[49]2022-23'!BK206+'[49]2022-23'!BP206+'[49]2022-23'!BU206)/10000000</f>
        <v>36.5007500159</v>
      </c>
      <c r="Q268" s="55">
        <f t="shared" ref="Q268:Q275" si="170">SUM(E268:P268)</f>
        <v>329.99967572659</v>
      </c>
    </row>
    <row r="269" spans="3:17">
      <c r="C269" s="55" t="s">
        <v>398</v>
      </c>
      <c r="D269" s="55" t="s">
        <v>398</v>
      </c>
      <c r="E269" s="55">
        <f>'[49]2022-23'!H207/10000000</f>
        <v>7.69959851205</v>
      </c>
      <c r="F269" s="55">
        <f>'[49]2022-23'!M207/10000000</f>
        <v>8.02110015685</v>
      </c>
      <c r="G269" s="55">
        <f>'[49]2022-23'!R207/10000000</f>
        <v>7.1882320399</v>
      </c>
      <c r="H269" s="55">
        <f>'[49]2022-23'!W207/10000000</f>
        <v>8.42607311465</v>
      </c>
      <c r="I269" s="55">
        <f>'[49]2022-23'!AB207/10000000</f>
        <v>8.1240878965</v>
      </c>
      <c r="J269" s="55">
        <f>'[49]2022-23'!AG207/10000000</f>
        <v>7.4646810158</v>
      </c>
      <c r="K269" s="55">
        <f>'[49]2022-23'!AL207/10000000</f>
        <v>8.14947370815</v>
      </c>
      <c r="L269" s="55">
        <f>'[49]2022-23'!AQ207/10000000</f>
        <v>7.78282226835</v>
      </c>
      <c r="M269" s="55">
        <f>'[49]2022-23'!AV207/10000000</f>
        <v>8.08788292055</v>
      </c>
      <c r="N269" s="55">
        <f>'[49]2022-23'!BA207/10000000</f>
        <v>8.0251188155</v>
      </c>
      <c r="O269" s="55">
        <f>'[49]2022-23'!BF207/10000000</f>
        <v>7.4061897818</v>
      </c>
      <c r="P269" s="55">
        <f>('[49]2022-23'!BK207+'[49]2022-23'!BP207+'[49]2022-23'!BU207)/10000000</f>
        <v>9.85066220545</v>
      </c>
      <c r="Q269" s="55">
        <f t="shared" si="170"/>
        <v>96.22592243555</v>
      </c>
    </row>
    <row r="270" spans="3:17"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>
        <f t="shared" si="170"/>
        <v>0</v>
      </c>
    </row>
    <row r="271" spans="3:17"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>
        <f t="shared" si="170"/>
        <v>0</v>
      </c>
    </row>
    <row r="272" spans="3:17"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>
        <f t="shared" si="170"/>
        <v>0</v>
      </c>
    </row>
    <row r="273" spans="3:17"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>
        <f t="shared" si="170"/>
        <v>0</v>
      </c>
    </row>
    <row r="274" spans="3:17"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>
        <f t="shared" si="170"/>
        <v>0</v>
      </c>
    </row>
    <row r="275" ht="15" spans="3:17">
      <c r="C275" s="44" t="s">
        <v>399</v>
      </c>
      <c r="D275" s="45"/>
      <c r="E275" s="55">
        <f t="shared" ref="E275:P275" si="171">SUM(E268:E274)</f>
        <v>35.1526474049</v>
      </c>
      <c r="F275" s="55">
        <f t="shared" si="171"/>
        <v>36.08460835175</v>
      </c>
      <c r="G275" s="55">
        <f t="shared" si="171"/>
        <v>24.3683051383</v>
      </c>
      <c r="H275" s="55">
        <f t="shared" si="171"/>
        <v>36.48958130955</v>
      </c>
      <c r="I275" s="55">
        <f t="shared" si="171"/>
        <v>36.30087849085</v>
      </c>
      <c r="J275" s="55">
        <f t="shared" si="171"/>
        <v>34.19292847835</v>
      </c>
      <c r="K275" s="55">
        <f t="shared" si="171"/>
        <v>36.21746666685</v>
      </c>
      <c r="L275" s="55">
        <f t="shared" si="171"/>
        <v>34.94105601675</v>
      </c>
      <c r="M275" s="55">
        <f t="shared" si="171"/>
        <v>36.15139111545</v>
      </c>
      <c r="N275" s="55">
        <f t="shared" si="171"/>
        <v>35.8204240345</v>
      </c>
      <c r="O275" s="55">
        <f t="shared" si="171"/>
        <v>34.15489893354</v>
      </c>
      <c r="P275" s="55">
        <f t="shared" si="171"/>
        <v>46.35141222135</v>
      </c>
      <c r="Q275" s="316">
        <f t="shared" si="170"/>
        <v>426.22559816214</v>
      </c>
    </row>
    <row r="276" ht="15" spans="3:17">
      <c r="C276" s="663" t="s">
        <v>400</v>
      </c>
      <c r="D276" s="676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</row>
    <row r="277" spans="3:17">
      <c r="C277" s="55" t="s">
        <v>401</v>
      </c>
      <c r="D277" s="55" t="s">
        <v>401</v>
      </c>
      <c r="E277" s="55">
        <f>'[49]2022-23'!H231/10000000</f>
        <v>34.7549266666667</v>
      </c>
      <c r="F277" s="55">
        <f>'[49]2022-23'!M231/10000000</f>
        <v>34.75492665685</v>
      </c>
      <c r="G277" s="55">
        <f>'[49]2022-23'!R231/10000000</f>
        <v>34.75492665685</v>
      </c>
      <c r="H277" s="55">
        <f>'[49]2022-23'!W231/10000000</f>
        <v>34.7549266666667</v>
      </c>
      <c r="I277" s="55">
        <f>'[49]2022-23'!AB231/10000000</f>
        <v>34.7549266666667</v>
      </c>
      <c r="J277" s="55">
        <f>'[49]2022-23'!AG231/10000000</f>
        <v>34.7549266666667</v>
      </c>
      <c r="K277" s="55">
        <f>'[49]2022-23'!AL231/10000000</f>
        <v>34.7549266666667</v>
      </c>
      <c r="L277" s="55">
        <f>'[49]2022-23'!AQ231/10000000</f>
        <v>34.7549266666667</v>
      </c>
      <c r="M277" s="55">
        <f>'[49]2022-23'!AV231/10000000</f>
        <v>34.7549266666667</v>
      </c>
      <c r="N277" s="55">
        <f>'[49]2022-23'!BA231/10000000</f>
        <v>34.7549266666667</v>
      </c>
      <c r="O277" s="55">
        <f>'[49]2022-23'!BF231/10000000</f>
        <v>34.7549266666667</v>
      </c>
      <c r="P277" s="55">
        <f>('[49]2022-23'!BK231+'[49]2022-23'!BP231+'[49]2022-23'!BU231)/10000000</f>
        <v>29.77855400685</v>
      </c>
      <c r="Q277" s="55">
        <f t="shared" ref="Q277:Q285" si="172">SUM(E277:P277)</f>
        <v>412.08274732055</v>
      </c>
    </row>
    <row r="278" spans="3:17">
      <c r="C278" s="55" t="s">
        <v>402</v>
      </c>
      <c r="D278" s="55" t="s">
        <v>402</v>
      </c>
      <c r="E278" s="55">
        <f>'[49]2022-23'!H232/10000000</f>
        <v>0</v>
      </c>
      <c r="F278" s="55">
        <f>'[49]2022-23'!M232/10000000</f>
        <v>0</v>
      </c>
      <c r="G278" s="55">
        <f>'[49]2022-23'!R232/10000000</f>
        <v>0</v>
      </c>
      <c r="H278" s="55">
        <f>'[49]2022-23'!W232/10000000</f>
        <v>0</v>
      </c>
      <c r="I278" s="55">
        <f>'[49]2022-23'!AB232/10000000</f>
        <v>0</v>
      </c>
      <c r="J278" s="55">
        <f>'[49]2022-23'!AG232/10000000</f>
        <v>0</v>
      </c>
      <c r="K278" s="55">
        <f>'[49]2022-23'!AL232/10000000</f>
        <v>0</v>
      </c>
      <c r="L278" s="55">
        <f>'[49]2022-23'!AQ232/10000000</f>
        <v>0</v>
      </c>
      <c r="M278" s="55">
        <f>'[49]2022-23'!AV232/10000000</f>
        <v>0</v>
      </c>
      <c r="N278" s="55">
        <f>'[49]2022-23'!BA232/10000000</f>
        <v>0</v>
      </c>
      <c r="O278" s="55">
        <f>'[49]2022-23'!BF232/10000000</f>
        <v>0</v>
      </c>
      <c r="P278" s="55">
        <f>('[49]2022-23'!BK232+'[49]2022-23'!BP232+'[49]2022-23'!BU232)/10000000</f>
        <v>0</v>
      </c>
      <c r="Q278" s="55">
        <f t="shared" si="172"/>
        <v>0</v>
      </c>
    </row>
    <row r="279" spans="3:17">
      <c r="C279" s="55" t="s">
        <v>403</v>
      </c>
      <c r="D279" s="55" t="s">
        <v>403</v>
      </c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>
        <f t="shared" si="172"/>
        <v>0</v>
      </c>
    </row>
    <row r="280" spans="3:17"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>
        <f t="shared" si="172"/>
        <v>0</v>
      </c>
    </row>
    <row r="281" spans="3:17"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>
        <f t="shared" si="172"/>
        <v>0</v>
      </c>
    </row>
    <row r="282" spans="3:17"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>
        <f t="shared" si="172"/>
        <v>0</v>
      </c>
    </row>
    <row r="283" spans="3:17"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>
        <f t="shared" si="172"/>
        <v>0</v>
      </c>
    </row>
    <row r="284" spans="3:17"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>
        <f t="shared" si="172"/>
        <v>0</v>
      </c>
    </row>
    <row r="285" ht="15" spans="3:17">
      <c r="C285" s="44" t="s">
        <v>404</v>
      </c>
      <c r="D285" s="45"/>
      <c r="E285" s="55">
        <f t="shared" ref="E285:P285" si="173">SUM(E277:E284)</f>
        <v>34.7549266666667</v>
      </c>
      <c r="F285" s="55">
        <f t="shared" si="173"/>
        <v>34.75492665685</v>
      </c>
      <c r="G285" s="55">
        <f t="shared" si="173"/>
        <v>34.75492665685</v>
      </c>
      <c r="H285" s="55">
        <f t="shared" si="173"/>
        <v>34.7549266666667</v>
      </c>
      <c r="I285" s="55">
        <f t="shared" si="173"/>
        <v>34.7549266666667</v>
      </c>
      <c r="J285" s="55">
        <f t="shared" si="173"/>
        <v>34.7549266666667</v>
      </c>
      <c r="K285" s="55">
        <f t="shared" si="173"/>
        <v>34.7549266666667</v>
      </c>
      <c r="L285" s="55">
        <f t="shared" si="173"/>
        <v>34.7549266666667</v>
      </c>
      <c r="M285" s="55">
        <f t="shared" si="173"/>
        <v>34.7549266666667</v>
      </c>
      <c r="N285" s="55">
        <f t="shared" si="173"/>
        <v>34.7549266666667</v>
      </c>
      <c r="O285" s="55">
        <f t="shared" si="173"/>
        <v>34.7549266666667</v>
      </c>
      <c r="P285" s="55">
        <f t="shared" si="173"/>
        <v>29.77855400685</v>
      </c>
      <c r="Q285" s="316">
        <f t="shared" si="172"/>
        <v>412.08274732055</v>
      </c>
    </row>
    <row r="286" ht="15" spans="3:17">
      <c r="C286" s="663" t="s">
        <v>405</v>
      </c>
      <c r="D286" s="676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</row>
    <row r="287" spans="3:17">
      <c r="C287" s="55"/>
      <c r="D287" s="55" t="s">
        <v>406</v>
      </c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>
        <f t="shared" ref="Q287:Q311" si="174">SUM(E287:P287)</f>
        <v>0</v>
      </c>
    </row>
    <row r="288" spans="3:17">
      <c r="C288" s="55"/>
      <c r="D288" s="55" t="s">
        <v>407</v>
      </c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>
        <f t="shared" si="174"/>
        <v>0</v>
      </c>
    </row>
    <row r="289" spans="3:17">
      <c r="C289" s="55"/>
      <c r="D289" s="55" t="s">
        <v>408</v>
      </c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>
        <f t="shared" si="174"/>
        <v>0</v>
      </c>
    </row>
    <row r="290" spans="3:17">
      <c r="C290" s="55"/>
      <c r="D290" s="55" t="s">
        <v>409</v>
      </c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>
        <f t="shared" si="174"/>
        <v>0</v>
      </c>
    </row>
    <row r="291" spans="3:17">
      <c r="C291" s="55"/>
      <c r="D291" s="55" t="s">
        <v>410</v>
      </c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>
        <f t="shared" si="174"/>
        <v>0</v>
      </c>
    </row>
    <row r="292" spans="3:17">
      <c r="C292" s="55"/>
      <c r="D292" s="55" t="s">
        <v>368</v>
      </c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>
        <f t="shared" si="174"/>
        <v>0</v>
      </c>
    </row>
    <row r="293" spans="3:17">
      <c r="C293" s="55"/>
      <c r="D293" s="55" t="s">
        <v>411</v>
      </c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>
        <f t="shared" si="174"/>
        <v>0</v>
      </c>
    </row>
    <row r="294" spans="3:17">
      <c r="C294" s="55"/>
      <c r="D294" s="55" t="s">
        <v>412</v>
      </c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>
        <f t="shared" si="174"/>
        <v>0</v>
      </c>
    </row>
    <row r="295" spans="3:17">
      <c r="C295" s="55"/>
      <c r="D295" s="55" t="s">
        <v>413</v>
      </c>
      <c r="E295" s="55">
        <f>'[49]2022-23'!$H$216/10000000</f>
        <v>0.0017712997</v>
      </c>
      <c r="F295" s="55">
        <f>'[49]2022-23'!$M$216/10000000</f>
        <v>0</v>
      </c>
      <c r="G295" s="55">
        <f>'[49]2022-23'!$R$216/10000000</f>
        <v>0.005768666</v>
      </c>
      <c r="H295" s="55">
        <f>'[49]2022-23'!$W$216/10000000</f>
        <v>0.00297659985</v>
      </c>
      <c r="I295" s="55">
        <f>'[49]2022-23'!$AB$216/10000000</f>
        <v>0.0032779095735</v>
      </c>
      <c r="J295" s="55">
        <f>'[49]2022-23'!$AG$216/10000000</f>
        <v>10.80832849645</v>
      </c>
      <c r="K295" s="55">
        <f>'[49]2022-23'!$AL$216/10000000</f>
        <v>0.0046097496</v>
      </c>
      <c r="L295" s="55">
        <f>'[49]2022-23'!$AQ$216/10000000</f>
        <v>0.0045490826</v>
      </c>
      <c r="M295" s="55">
        <f>'[49]2022-23'!$AV$216/10000000</f>
        <v>0</v>
      </c>
      <c r="N295" s="55"/>
      <c r="O295" s="55"/>
      <c r="P295" s="55">
        <f>('[49]2022-23'!$BK$216+'[49]2022-23'!$BP$216+'[49]2022-23'!$BU$216)/10000000</f>
        <v>0.00952869475</v>
      </c>
      <c r="Q295" s="55">
        <f t="shared" si="174"/>
        <v>10.8408104985235</v>
      </c>
    </row>
    <row r="296" spans="3:17">
      <c r="C296" s="55"/>
      <c r="D296" s="55" t="s">
        <v>414</v>
      </c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>
        <f t="shared" si="174"/>
        <v>0</v>
      </c>
    </row>
    <row r="297" spans="3:17">
      <c r="C297" s="55"/>
      <c r="D297" s="55" t="s">
        <v>415</v>
      </c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>
        <f t="shared" si="174"/>
        <v>0</v>
      </c>
    </row>
    <row r="298" spans="3:17">
      <c r="C298" s="55"/>
      <c r="D298" s="55" t="s">
        <v>416</v>
      </c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>
        <f t="shared" si="174"/>
        <v>0</v>
      </c>
    </row>
    <row r="299" spans="3:17">
      <c r="C299" s="55"/>
      <c r="D299" s="55" t="s">
        <v>417</v>
      </c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>
        <f t="shared" si="174"/>
        <v>0</v>
      </c>
    </row>
    <row r="300" spans="3:17">
      <c r="C300" s="55"/>
      <c r="D300" s="55" t="s">
        <v>418</v>
      </c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>
        <f t="shared" si="174"/>
        <v>0</v>
      </c>
    </row>
    <row r="301" spans="3:17">
      <c r="C301" s="55"/>
      <c r="D301" s="687" t="s">
        <v>419</v>
      </c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>
        <f t="shared" si="174"/>
        <v>0</v>
      </c>
    </row>
    <row r="302" spans="3:17">
      <c r="C302" s="55"/>
      <c r="D302" s="687" t="s">
        <v>420</v>
      </c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>
        <f>'[49]2022-23'!$BK$217/10000000</f>
        <v>0.00356241925</v>
      </c>
      <c r="Q302" s="55">
        <f t="shared" si="174"/>
        <v>0.00356241925</v>
      </c>
    </row>
    <row r="303" spans="3:17"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>
        <f t="shared" si="174"/>
        <v>0</v>
      </c>
    </row>
    <row r="304" spans="3:17"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>
        <f t="shared" si="174"/>
        <v>0</v>
      </c>
    </row>
    <row r="305" spans="3:17"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>
        <f t="shared" si="174"/>
        <v>0</v>
      </c>
    </row>
    <row r="306" spans="3:17"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>
        <f t="shared" si="174"/>
        <v>0</v>
      </c>
    </row>
    <row r="307" spans="3:17"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>
        <f t="shared" si="174"/>
        <v>0</v>
      </c>
    </row>
    <row r="308" spans="3:17"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>
        <f t="shared" si="174"/>
        <v>0</v>
      </c>
    </row>
    <row r="309" spans="3:17"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>
        <f t="shared" si="174"/>
        <v>0</v>
      </c>
    </row>
    <row r="310" spans="3:17"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>
        <f t="shared" si="174"/>
        <v>0</v>
      </c>
    </row>
    <row r="311" ht="15" spans="3:17">
      <c r="C311" s="44" t="s">
        <v>421</v>
      </c>
      <c r="D311" s="45"/>
      <c r="E311" s="55">
        <f t="shared" ref="E311:P311" si="175">SUM(E287:E310)</f>
        <v>0.0017712997</v>
      </c>
      <c r="F311" s="55">
        <f t="shared" si="175"/>
        <v>0</v>
      </c>
      <c r="G311" s="55">
        <f t="shared" si="175"/>
        <v>0.005768666</v>
      </c>
      <c r="H311" s="55">
        <f t="shared" si="175"/>
        <v>0.00297659985</v>
      </c>
      <c r="I311" s="55">
        <f t="shared" si="175"/>
        <v>0.0032779095735</v>
      </c>
      <c r="J311" s="55">
        <f t="shared" si="175"/>
        <v>10.80832849645</v>
      </c>
      <c r="K311" s="55">
        <f t="shared" si="175"/>
        <v>0.0046097496</v>
      </c>
      <c r="L311" s="55">
        <f t="shared" si="175"/>
        <v>0.0045490826</v>
      </c>
      <c r="M311" s="55">
        <f t="shared" si="175"/>
        <v>0</v>
      </c>
      <c r="N311" s="55">
        <f t="shared" si="175"/>
        <v>0</v>
      </c>
      <c r="O311" s="55">
        <f t="shared" si="175"/>
        <v>0</v>
      </c>
      <c r="P311" s="55">
        <f t="shared" si="175"/>
        <v>0.013091114</v>
      </c>
      <c r="Q311" s="316">
        <f t="shared" si="174"/>
        <v>10.8443729177735</v>
      </c>
    </row>
    <row r="312" ht="15" spans="3:17">
      <c r="C312" s="663" t="s">
        <v>422</v>
      </c>
      <c r="D312" s="676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</row>
    <row r="313" spans="3:17">
      <c r="C313" s="55"/>
      <c r="D313" s="55" t="s">
        <v>423</v>
      </c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>
        <f>SUM(E313:P313)</f>
        <v>0</v>
      </c>
    </row>
    <row r="314" spans="3:17"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>
        <f>SUM(E314:P314)</f>
        <v>0</v>
      </c>
    </row>
    <row r="315" spans="3:17"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>
        <f>SUM(E315:P315)</f>
        <v>0</v>
      </c>
    </row>
    <row r="316" spans="3:17">
      <c r="C316" s="55"/>
      <c r="D316" s="679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</row>
    <row r="317" spans="3:17">
      <c r="C317" s="55"/>
      <c r="D317" s="679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</row>
    <row r="318" spans="3:17">
      <c r="C318" s="55"/>
      <c r="D318" s="679" t="s">
        <v>502</v>
      </c>
      <c r="E318" s="55">
        <f>'[49]2022-23'!H233/10000000</f>
        <v>35.0434210067</v>
      </c>
      <c r="F318" s="55">
        <f>'[49]2022-23'!M233/10000000</f>
        <v>30.17985926165</v>
      </c>
      <c r="G318" s="55">
        <f>'[49]2022-23'!R233/10000000</f>
        <v>30.3311906488</v>
      </c>
      <c r="H318" s="55">
        <f>'[49]2022-23'!W233/10000000</f>
        <v>33.71490544345</v>
      </c>
      <c r="I318" s="55">
        <f>'[49]2022-23'!AB233/10000000</f>
        <v>30.26495403535</v>
      </c>
      <c r="J318" s="55">
        <f>'[49]2022-23'!AG233/10000000</f>
        <v>31.6718869971</v>
      </c>
      <c r="K318" s="55">
        <f>'[49]2022-23'!AL233/10000000</f>
        <v>30.7880796569</v>
      </c>
      <c r="L318" s="55">
        <f>'[49]2022-23'!AQ233/10000000</f>
        <v>35.8295032339</v>
      </c>
      <c r="M318" s="55">
        <f>'[49]2022-23'!AV233/10000000</f>
        <v>31.897822155</v>
      </c>
      <c r="N318" s="55">
        <f>'[49]2022-23'!BA233/10000000</f>
        <v>35.9835434026</v>
      </c>
      <c r="O318" s="55">
        <f>'[49]2022-23'!BF233/10000000</f>
        <v>45.92414967765</v>
      </c>
      <c r="P318" s="55">
        <f>('[49]2022-23'!BK233+'[49]2022-23'!BP233+'[49]2022-23'!BU234)/10000000</f>
        <v>341.33497179735</v>
      </c>
      <c r="Q318" s="55">
        <f t="shared" ref="Q318:Q337" si="176">SUM(E318:P318)</f>
        <v>712.96428731645</v>
      </c>
    </row>
    <row r="319" spans="3:17">
      <c r="C319" s="55"/>
      <c r="D319" s="679" t="s">
        <v>503</v>
      </c>
      <c r="E319" s="55">
        <f>'[49]2022-23'!H234/10000000</f>
        <v>0.01759157465</v>
      </c>
      <c r="F319" s="55">
        <f>'[49]2022-23'!M234/10000000</f>
        <v>0.01759157465</v>
      </c>
      <c r="G319" s="55">
        <f>'[49]2022-23'!R234/10000000</f>
        <v>0.01759157465</v>
      </c>
      <c r="H319" s="55">
        <f>'[49]2022-23'!W234/10000000</f>
        <v>0.01759157465</v>
      </c>
      <c r="I319" s="55">
        <f>'[49]2022-23'!AB234/10000000</f>
        <v>0.4484383306</v>
      </c>
      <c r="J319" s="55">
        <f>'[49]2022-23'!AG234/10000000</f>
        <v>0.01759157465</v>
      </c>
      <c r="K319" s="55">
        <f>'[49]2022-23'!AL234/10000000</f>
        <v>0.01759157465</v>
      </c>
      <c r="L319" s="55">
        <f>'[49]2022-23'!AQ234/10000000</f>
        <v>0.01759157465</v>
      </c>
      <c r="M319" s="55">
        <f>'[49]2022-23'!AV234/10000000</f>
        <v>0.01759157465</v>
      </c>
      <c r="N319" s="55">
        <f>'[49]2022-23'!BA234/10000000</f>
        <v>0.01759157465</v>
      </c>
      <c r="O319" s="55">
        <f>'[49]2022-23'!BF234/10000000</f>
        <v>0.7548634013</v>
      </c>
      <c r="P319" s="55">
        <f>('[49]2022-23'!BK234+'[49]2022-23'!BP234+'[49]2022-23'!BU235)/10000000</f>
        <v>0.01759157465</v>
      </c>
      <c r="Q319" s="55">
        <f t="shared" si="176"/>
        <v>1.3792174784</v>
      </c>
    </row>
    <row r="320" spans="3:17">
      <c r="C320" s="55"/>
      <c r="D320" s="688" t="s">
        <v>504</v>
      </c>
      <c r="E320" s="55">
        <f>'[49]2022-23'!H235/10000000</f>
        <v>0</v>
      </c>
      <c r="F320" s="55">
        <f>'[49]2022-23'!M235/10000000</f>
        <v>0</v>
      </c>
      <c r="G320" s="55">
        <f>'[49]2022-23'!R235/10000000</f>
        <v>0</v>
      </c>
      <c r="H320" s="55">
        <f>'[49]2022-23'!W235/10000000</f>
        <v>0</v>
      </c>
      <c r="I320" s="55">
        <f>'[49]2022-23'!AB235/10000000</f>
        <v>0</v>
      </c>
      <c r="J320" s="55">
        <f>'[49]2022-23'!AG235/10000000</f>
        <v>0</v>
      </c>
      <c r="K320" s="55">
        <f>'[49]2022-23'!AL235/10000000</f>
        <v>0</v>
      </c>
      <c r="L320" s="55">
        <f>'[49]2022-23'!AQ235/10000000</f>
        <v>0</v>
      </c>
      <c r="M320" s="55">
        <f>'[49]2022-23'!AV235/10000000</f>
        <v>0</v>
      </c>
      <c r="N320" s="55">
        <f>'[49]2022-23'!BA235/10000000</f>
        <v>0</v>
      </c>
      <c r="O320" s="55">
        <f>'[49]2022-23'!BF235/10000000</f>
        <v>0</v>
      </c>
      <c r="P320" s="55">
        <f>('[49]2022-23'!BK235+'[49]2022-23'!BP235+'[49]2022-23'!BU236)/10000000</f>
        <v>0</v>
      </c>
      <c r="Q320" s="55">
        <f t="shared" si="176"/>
        <v>0</v>
      </c>
    </row>
    <row r="321" spans="3:17">
      <c r="C321" s="55"/>
      <c r="D321" s="679" t="s">
        <v>505</v>
      </c>
      <c r="E321" s="55">
        <f>'[49]2022-23'!H236/10000000</f>
        <v>0.284543724907143</v>
      </c>
      <c r="F321" s="55">
        <f>'[49]2022-23'!M236/10000000</f>
        <v>1.37133568655</v>
      </c>
      <c r="G321" s="55">
        <f>'[49]2022-23'!R236/10000000</f>
        <v>1.37386704026429</v>
      </c>
      <c r="H321" s="55">
        <f>'[49]2022-23'!W236/10000000</f>
        <v>1.34201710927857</v>
      </c>
      <c r="I321" s="55">
        <f>'[49]2022-23'!AB236/10000000</f>
        <v>0.875563759307143</v>
      </c>
      <c r="J321" s="55">
        <f>'[49]2022-23'!AG236/10000000</f>
        <v>0.550222680142857</v>
      </c>
      <c r="K321" s="55">
        <f>'[49]2022-23'!AL236/10000000</f>
        <v>0.765816213907143</v>
      </c>
      <c r="L321" s="55">
        <f>'[49]2022-23'!AQ236/10000000</f>
        <v>0.826322938592857</v>
      </c>
      <c r="M321" s="55">
        <f>'[49]2022-23'!AV236/10000000</f>
        <v>0.658724456885714</v>
      </c>
      <c r="N321" s="55">
        <f>'[49]2022-23'!BA236/10000000</f>
        <v>0.790429749792857</v>
      </c>
      <c r="O321" s="55">
        <f>'[49]2022-23'!BF236/10000000</f>
        <v>0.45710355135</v>
      </c>
      <c r="P321" s="55">
        <f>('[49]2022-23'!BK236+'[49]2022-23'!BP236+'[49]2022-23'!BU237)/10000000</f>
        <v>0.289930079421429</v>
      </c>
      <c r="Q321" s="55">
        <f t="shared" si="176"/>
        <v>9.5858769904</v>
      </c>
    </row>
    <row r="322" spans="3:17">
      <c r="C322" s="55"/>
      <c r="D322" s="679" t="s">
        <v>506</v>
      </c>
      <c r="E322" s="55">
        <f>'[49]2022-23'!H237/10000000</f>
        <v>0</v>
      </c>
      <c r="F322" s="55">
        <f>'[49]2022-23'!M237/10000000</f>
        <v>0</v>
      </c>
      <c r="G322" s="55">
        <f>'[49]2022-23'!R237/10000000</f>
        <v>0</v>
      </c>
      <c r="H322" s="55">
        <f>'[49]2022-23'!W237/10000000</f>
        <v>0</v>
      </c>
      <c r="I322" s="55">
        <f>'[49]2022-23'!AB237/10000000</f>
        <v>0</v>
      </c>
      <c r="J322" s="55">
        <f>'[49]2022-23'!AG237/10000000</f>
        <v>0</v>
      </c>
      <c r="K322" s="55">
        <f>'[49]2022-23'!AL237/10000000</f>
        <v>0</v>
      </c>
      <c r="L322" s="55">
        <f>'[49]2022-23'!AQ237/10000000</f>
        <v>0</v>
      </c>
      <c r="M322" s="55">
        <f>'[49]2022-23'!AV237/10000000</f>
        <v>0</v>
      </c>
      <c r="N322" s="55">
        <f>'[49]2022-23'!BA237/10000000</f>
        <v>0</v>
      </c>
      <c r="O322" s="55">
        <f>'[49]2022-23'!BF237/10000000</f>
        <v>0</v>
      </c>
      <c r="P322" s="55">
        <f>('[49]2022-23'!BK237+'[49]2022-23'!BP237+'[49]2022-23'!BU238)/10000000</f>
        <v>0</v>
      </c>
      <c r="Q322" s="55">
        <f t="shared" si="176"/>
        <v>0</v>
      </c>
    </row>
    <row r="323" spans="3:17">
      <c r="C323" s="55"/>
      <c r="D323" s="679" t="s">
        <v>507</v>
      </c>
      <c r="E323" s="55">
        <f>'[49]2022-23'!H238/10000000</f>
        <v>0.0760482049</v>
      </c>
      <c r="F323" s="55">
        <f>'[49]2022-23'!M238/10000000</f>
        <v>0.0764569594509813</v>
      </c>
      <c r="G323" s="55">
        <f>'[49]2022-23'!R238/10000000</f>
        <v>0.09277041555</v>
      </c>
      <c r="H323" s="55">
        <f>'[49]2022-23'!W238/10000000</f>
        <v>0.0810722571</v>
      </c>
      <c r="I323" s="55">
        <f>'[49]2022-23'!AB238/10000000</f>
        <v>0.08223821205</v>
      </c>
      <c r="J323" s="55">
        <f>'[49]2022-23'!AG238/10000000</f>
        <v>0.083416536</v>
      </c>
      <c r="K323" s="55">
        <f>'[49]2022-23'!AL238/10000000</f>
        <v>0.0834933416</v>
      </c>
      <c r="L323" s="55">
        <f>'[49]2022-23'!AQ238/10000000</f>
        <v>0.08345337795</v>
      </c>
      <c r="M323" s="55">
        <f>'[49]2022-23'!AV238/10000000</f>
        <v>0.0794117427658051</v>
      </c>
      <c r="N323" s="55">
        <f>'[49]2022-23'!BA238/10000000</f>
        <v>0.0838366584106057</v>
      </c>
      <c r="O323" s="55">
        <f>'[49]2022-23'!BF238/10000000</f>
        <v>0.0838366584106057</v>
      </c>
      <c r="P323" s="55">
        <f>('[49]2022-23'!BK238+'[49]2022-23'!BP238+'[49]2022-23'!BU239)/10000000</f>
        <v>0.2987572331</v>
      </c>
      <c r="Q323" s="55">
        <f t="shared" si="176"/>
        <v>1.204791597288</v>
      </c>
    </row>
    <row r="324" spans="3:17">
      <c r="C324" s="55"/>
      <c r="D324" s="679" t="s">
        <v>508</v>
      </c>
      <c r="E324" s="55">
        <f>'[49]2022-23'!H239/10000000</f>
        <v>83.7859947</v>
      </c>
      <c r="F324" s="55">
        <f>'[49]2022-23'!M239/10000000</f>
        <v>83.7859947</v>
      </c>
      <c r="G324" s="55">
        <f>'[49]2022-23'!R239/10000000</f>
        <v>83.7859947</v>
      </c>
      <c r="H324" s="55">
        <f>'[49]2022-23'!W239/10000000</f>
        <v>83.7859947</v>
      </c>
      <c r="I324" s="55">
        <f>'[49]2022-23'!AB239/10000000</f>
        <v>83.7859947</v>
      </c>
      <c r="J324" s="55">
        <f>'[49]2022-23'!AG239/10000000</f>
        <v>83.7859947</v>
      </c>
      <c r="K324" s="55">
        <f>'[49]2022-23'!AL239/10000000</f>
        <v>83.7859947</v>
      </c>
      <c r="L324" s="55">
        <f>'[49]2022-23'!AQ239/10000000</f>
        <v>83.7859947</v>
      </c>
      <c r="M324" s="55">
        <f>'[49]2022-23'!AV239/10000000</f>
        <v>83.7859947</v>
      </c>
      <c r="N324" s="55">
        <f>'[49]2022-23'!BA239/10000000</f>
        <v>83.7859947</v>
      </c>
      <c r="O324" s="55">
        <f>'[49]2022-23'!BF239/10000000</f>
        <v>83.7859947</v>
      </c>
      <c r="P324" s="55">
        <f>('[49]2022-23'!BK239+'[49]2022-23'!BP239+'[49]2022-23'!BU240)/10000000</f>
        <v>83.7859947</v>
      </c>
      <c r="Q324" s="55">
        <f t="shared" si="176"/>
        <v>1005.4319364</v>
      </c>
    </row>
    <row r="325" spans="3:17">
      <c r="C325" s="55"/>
      <c r="D325" s="679" t="s">
        <v>509</v>
      </c>
      <c r="E325" s="55">
        <f>'[49]2022-23'!$H$241/10000000</f>
        <v>1.9007908</v>
      </c>
      <c r="F325" s="55">
        <f>'[49]2022-23'!$M$241/10000000</f>
        <v>0.9439326</v>
      </c>
      <c r="G325" s="55">
        <f>'[49]2022-23'!$R$241/10000000</f>
        <v>0.9439326</v>
      </c>
      <c r="H325" s="55">
        <f>'[49]2022-23'!$W$241/10000000</f>
        <v>0.9439326</v>
      </c>
      <c r="I325" s="55">
        <f>'[49]2022-23'!$AB$241/10000000</f>
        <v>0.9439326</v>
      </c>
      <c r="J325" s="55">
        <f>'[49]2022-23'!$AG$241/10000000</f>
        <v>1.895562</v>
      </c>
      <c r="K325" s="55">
        <f>'[49]2022-23'!$AL$241/10000000</f>
        <v>0.9439326</v>
      </c>
      <c r="L325" s="55">
        <f>'[49]2022-23'!$AQ$241/10000000</f>
        <v>0.9439326</v>
      </c>
      <c r="M325" s="55">
        <f>'[49]2022-23'!$AV$241/10000000</f>
        <v>0.9439326</v>
      </c>
      <c r="N325" s="55">
        <f>'[49]2022-23'!$BA$241/10000000</f>
        <v>0.9439326</v>
      </c>
      <c r="O325" s="55">
        <f>'[49]2022-23'!$BF$241/10000000</f>
        <v>0.9439326</v>
      </c>
      <c r="P325" s="55">
        <f>('[49]2022-23'!$BK$241+'[49]2022-23'!$BP$241+'[49]2022-23'!$BU$241)/10000000</f>
        <v>0.9439326</v>
      </c>
      <c r="Q325" s="55">
        <f t="shared" si="176"/>
        <v>13.2356788</v>
      </c>
    </row>
    <row r="326" spans="3:17">
      <c r="C326" s="55"/>
      <c r="D326" s="679" t="s">
        <v>510</v>
      </c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>
        <f>'[49]2022-23'!$BP$243/10000000</f>
        <v>-2.6582839884</v>
      </c>
      <c r="Q326" s="55">
        <f t="shared" si="176"/>
        <v>-2.6582839884</v>
      </c>
    </row>
    <row r="327" spans="3:17">
      <c r="C327" s="55"/>
      <c r="D327" s="679" t="s">
        <v>511</v>
      </c>
      <c r="E327" s="55">
        <f>'[49]2022-23'!H245/10000000</f>
        <v>1.07574961063679</v>
      </c>
      <c r="F327" s="55">
        <f>'[49]2022-23'!M245/10000000</f>
        <v>0.374704016345582</v>
      </c>
      <c r="G327" s="55">
        <f>'[49]2022-23'!R245/10000000</f>
        <v>0.36706835560555</v>
      </c>
      <c r="H327" s="55">
        <f>'[49]2022-23'!W245/10000000</f>
        <v>0.49412513235725</v>
      </c>
      <c r="I327" s="55">
        <f>'[49]2022-23'!AB245/10000000</f>
        <v>0.694957156286965</v>
      </c>
      <c r="J327" s="55">
        <f>'[49]2022-23'!AG245/10000000</f>
        <v>0.836157487406193</v>
      </c>
      <c r="K327" s="55">
        <f>'[49]2022-23'!AL245/10000000</f>
        <v>0.643814243357562</v>
      </c>
      <c r="L327" s="55">
        <f>'[49]2022-23'!AQ245/10000000</f>
        <v>0.344692266132182</v>
      </c>
      <c r="M327" s="55">
        <f>'[49]2022-23'!AV245/10000000</f>
        <v>0.65234802726344</v>
      </c>
      <c r="N327" s="55">
        <f>'[49]2022-23'!BA245/10000000</f>
        <v>0.814559318909574</v>
      </c>
      <c r="O327" s="55">
        <f>'[49]2022-23'!BF245/10000000</f>
        <v>1.1042024315405</v>
      </c>
      <c r="P327" s="55">
        <f>('[49]2022-23'!BK245+'[49]2022-23'!BP245+'[49]2022-23'!BU245)/10000000</f>
        <v>14.6651827890562</v>
      </c>
      <c r="Q327" s="55">
        <f t="shared" si="176"/>
        <v>22.0675608348978</v>
      </c>
    </row>
    <row r="328" spans="3:17">
      <c r="C328" s="55"/>
      <c r="D328" s="679" t="s">
        <v>512</v>
      </c>
      <c r="E328" s="55">
        <f>'[49]2022-23'!H246/10000000</f>
        <v>0.0129608272</v>
      </c>
      <c r="F328" s="55">
        <f>'[49]2022-23'!M246/10000000</f>
        <v>0.0129392698</v>
      </c>
      <c r="G328" s="55">
        <f>'[49]2022-23'!R246/10000000</f>
        <v>0.0147246466</v>
      </c>
      <c r="H328" s="55">
        <f>'[49]2022-23'!W246/10000000</f>
        <v>0.0129178302</v>
      </c>
      <c r="I328" s="55">
        <f>'[49]2022-23'!AB246/10000000</f>
        <v>0.01289312165</v>
      </c>
      <c r="J328" s="55">
        <f>'[49]2022-23'!AG246/10000000</f>
        <v>0.01288681935</v>
      </c>
      <c r="K328" s="55">
        <f>'[49]2022-23'!AL246/10000000</f>
        <v>0.0128823724</v>
      </c>
      <c r="L328" s="55">
        <f>'[49]2022-23'!AQ246/10000000</f>
        <v>0.0128823724</v>
      </c>
      <c r="M328" s="55">
        <f>'[49]2022-23'!AV246/10000000</f>
        <v>0.0128698267</v>
      </c>
      <c r="N328" s="55">
        <f>'[49]2022-23'!BA246/10000000</f>
        <v>0.01276148015</v>
      </c>
      <c r="O328" s="55">
        <f>'[49]2022-23'!BF246/10000000</f>
        <v>0.0128416725</v>
      </c>
      <c r="P328" s="55">
        <f>('[49]2022-23'!BK246+'[49]2022-23'!BP246+'[49]2022-23'!BU246)/10000000</f>
        <v>0.0475060306</v>
      </c>
      <c r="Q328" s="55">
        <f t="shared" si="176"/>
        <v>0.19106626955</v>
      </c>
    </row>
    <row r="329" spans="3:17"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>
        <f t="shared" si="176"/>
        <v>0</v>
      </c>
    </row>
    <row r="330" spans="3:17"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>
        <f t="shared" si="176"/>
        <v>0</v>
      </c>
    </row>
    <row r="331" spans="3:17"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>
        <f t="shared" si="176"/>
        <v>0</v>
      </c>
    </row>
    <row r="332" spans="3:17"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>
        <f t="shared" si="176"/>
        <v>0</v>
      </c>
    </row>
    <row r="333" spans="3:17"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>
        <f t="shared" si="176"/>
        <v>0</v>
      </c>
    </row>
    <row r="334" spans="3:17"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>
        <f t="shared" si="176"/>
        <v>0</v>
      </c>
    </row>
    <row r="335" spans="3:17"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>
        <f t="shared" si="176"/>
        <v>0</v>
      </c>
    </row>
    <row r="336" spans="3:17"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>
        <f t="shared" si="176"/>
        <v>0</v>
      </c>
    </row>
    <row r="337" ht="15" spans="3:17">
      <c r="C337" s="44" t="s">
        <v>424</v>
      </c>
      <c r="D337" s="45"/>
      <c r="E337" s="55">
        <f t="shared" ref="E337:P337" si="177">SUM(E313:E336)</f>
        <v>122.197100448994</v>
      </c>
      <c r="F337" s="55">
        <f t="shared" si="177"/>
        <v>116.762814068447</v>
      </c>
      <c r="G337" s="55">
        <f t="shared" si="177"/>
        <v>116.92713998147</v>
      </c>
      <c r="H337" s="55">
        <f t="shared" si="177"/>
        <v>120.392556647036</v>
      </c>
      <c r="I337" s="55">
        <f t="shared" si="177"/>
        <v>117.108971915244</v>
      </c>
      <c r="J337" s="55">
        <f t="shared" si="177"/>
        <v>118.853718794649</v>
      </c>
      <c r="K337" s="55">
        <f t="shared" si="177"/>
        <v>117.041604702815</v>
      </c>
      <c r="L337" s="55">
        <f t="shared" si="177"/>
        <v>121.844373063625</v>
      </c>
      <c r="M337" s="55">
        <f t="shared" si="177"/>
        <v>118.048695083265</v>
      </c>
      <c r="N337" s="55">
        <f t="shared" si="177"/>
        <v>122.432649484513</v>
      </c>
      <c r="O337" s="55">
        <f t="shared" si="177"/>
        <v>133.066924692751</v>
      </c>
      <c r="P337" s="55">
        <f t="shared" si="177"/>
        <v>438.725582815778</v>
      </c>
      <c r="Q337" s="316">
        <f t="shared" si="176"/>
        <v>1763.40213169859</v>
      </c>
    </row>
    <row r="338" ht="15" spans="3:17">
      <c r="C338" s="663" t="s">
        <v>425</v>
      </c>
      <c r="D338" s="676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</row>
    <row r="339" spans="3:17">
      <c r="C339" s="55" t="s">
        <v>426</v>
      </c>
      <c r="D339" s="55" t="s">
        <v>427</v>
      </c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>
        <f>SUM(E339:P339)</f>
        <v>0</v>
      </c>
    </row>
    <row r="340" spans="3:17">
      <c r="C340" s="55" t="s">
        <v>426</v>
      </c>
      <c r="D340" s="55" t="s">
        <v>428</v>
      </c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>
        <f>SUM(E340:P340)</f>
        <v>0</v>
      </c>
    </row>
    <row r="341" spans="3:17">
      <c r="C341" s="141"/>
      <c r="D341" s="67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</row>
    <row r="342" ht="15" spans="3:17">
      <c r="C342" s="44" t="s">
        <v>429</v>
      </c>
      <c r="D342" s="45"/>
      <c r="E342" s="55">
        <f t="shared" ref="E342:Q342" si="178">E339+E340</f>
        <v>0</v>
      </c>
      <c r="F342" s="55">
        <f t="shared" si="178"/>
        <v>0</v>
      </c>
      <c r="G342" s="55">
        <f t="shared" si="178"/>
        <v>0</v>
      </c>
      <c r="H342" s="55">
        <f t="shared" si="178"/>
        <v>0</v>
      </c>
      <c r="I342" s="55">
        <f t="shared" si="178"/>
        <v>0</v>
      </c>
      <c r="J342" s="55">
        <f t="shared" si="178"/>
        <v>0</v>
      </c>
      <c r="K342" s="55">
        <f t="shared" si="178"/>
        <v>0</v>
      </c>
      <c r="L342" s="55">
        <f t="shared" si="178"/>
        <v>0</v>
      </c>
      <c r="M342" s="55">
        <f t="shared" si="178"/>
        <v>0</v>
      </c>
      <c r="N342" s="55">
        <f t="shared" si="178"/>
        <v>0</v>
      </c>
      <c r="O342" s="55">
        <f t="shared" si="178"/>
        <v>0</v>
      </c>
      <c r="P342" s="55">
        <f t="shared" si="178"/>
        <v>0</v>
      </c>
      <c r="Q342" s="55">
        <f t="shared" si="178"/>
        <v>0</v>
      </c>
    </row>
    <row r="343" ht="15" spans="3:17">
      <c r="C343" s="44" t="s">
        <v>224</v>
      </c>
      <c r="D343" s="45"/>
      <c r="E343" s="55">
        <f t="shared" ref="E343:Q343" si="179">E220+E266+E275+E285+E311+E337+E342</f>
        <v>412.903572969332</v>
      </c>
      <c r="F343" s="55">
        <f t="shared" si="179"/>
        <v>437.12814348527</v>
      </c>
      <c r="G343" s="55">
        <f t="shared" si="179"/>
        <v>378.270964996171</v>
      </c>
      <c r="H343" s="55">
        <f t="shared" si="179"/>
        <v>361.474985472803</v>
      </c>
      <c r="I343" s="55">
        <f t="shared" si="179"/>
        <v>378.887831411384</v>
      </c>
      <c r="J343" s="55">
        <f t="shared" si="179"/>
        <v>400.115812801049</v>
      </c>
      <c r="K343" s="55">
        <f t="shared" si="179"/>
        <v>471.924361139811</v>
      </c>
      <c r="L343" s="55">
        <f t="shared" si="179"/>
        <v>409.139604376315</v>
      </c>
      <c r="M343" s="55">
        <f t="shared" si="179"/>
        <v>413.790946413315</v>
      </c>
      <c r="N343" s="55">
        <f t="shared" si="179"/>
        <v>433.438398444928</v>
      </c>
      <c r="O343" s="55">
        <f t="shared" si="179"/>
        <v>475.895340631538</v>
      </c>
      <c r="P343" s="55">
        <f t="shared" si="179"/>
        <v>1041.76867605058</v>
      </c>
      <c r="Q343" s="316">
        <f t="shared" si="179"/>
        <v>5614.7386381925</v>
      </c>
    </row>
    <row r="345" ht="15" spans="3:10">
      <c r="C345" s="11" t="s">
        <v>524</v>
      </c>
      <c r="J345" s="3"/>
    </row>
    <row r="346" ht="15" spans="3:10">
      <c r="C346" s="11"/>
      <c r="J346" s="3"/>
    </row>
    <row r="347" ht="15" spans="3:17">
      <c r="C347" s="14"/>
      <c r="Q347" s="3" t="s">
        <v>109</v>
      </c>
    </row>
    <row r="348" ht="15" spans="3:17">
      <c r="C348" s="658" t="s">
        <v>345</v>
      </c>
      <c r="D348" s="658" t="s">
        <v>346</v>
      </c>
      <c r="E348" s="135" t="s">
        <v>523</v>
      </c>
      <c r="F348" s="135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</row>
    <row r="349" ht="15" spans="3:17">
      <c r="C349" s="660"/>
      <c r="D349" s="660"/>
      <c r="E349" s="135" t="s">
        <v>246</v>
      </c>
      <c r="F349" s="135" t="s">
        <v>247</v>
      </c>
      <c r="G349" s="135" t="s">
        <v>248</v>
      </c>
      <c r="H349" s="135" t="s">
        <v>249</v>
      </c>
      <c r="I349" s="135" t="s">
        <v>250</v>
      </c>
      <c r="J349" s="135" t="s">
        <v>251</v>
      </c>
      <c r="K349" s="135" t="s">
        <v>252</v>
      </c>
      <c r="L349" s="135" t="s">
        <v>253</v>
      </c>
      <c r="M349" s="135" t="s">
        <v>254</v>
      </c>
      <c r="N349" s="135" t="s">
        <v>255</v>
      </c>
      <c r="O349" s="135" t="s">
        <v>256</v>
      </c>
      <c r="P349" s="135" t="s">
        <v>257</v>
      </c>
      <c r="Q349" s="135" t="s">
        <v>97</v>
      </c>
    </row>
    <row r="350" ht="15" spans="2:17">
      <c r="B350" s="656"/>
      <c r="C350" s="663" t="s">
        <v>349</v>
      </c>
      <c r="D350" s="676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</row>
    <row r="351" ht="15" spans="3:17">
      <c r="C351" s="44" t="s">
        <v>350</v>
      </c>
      <c r="D351" s="4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</row>
    <row r="352" spans="2:17">
      <c r="B352" s="656"/>
      <c r="C352" s="677" t="s">
        <v>351</v>
      </c>
      <c r="D352" s="47" t="s">
        <v>352</v>
      </c>
      <c r="E352" s="55">
        <f>'[49]2022-23'!I219/10000000</f>
        <v>28.042863006598</v>
      </c>
      <c r="F352" s="55">
        <f>'[49]2022-23'!N219/10000000</f>
        <v>29.0905116025904</v>
      </c>
      <c r="G352" s="55">
        <f>'[49]2022-23'!S219/10000000</f>
        <v>26.8969344610829</v>
      </c>
      <c r="H352" s="55">
        <f>'[49]2022-23'!X219/10000000</f>
        <v>14.5203155911888</v>
      </c>
      <c r="I352" s="55">
        <f>'[49]2022-23'!AC219/10000000</f>
        <v>24.6511070085697</v>
      </c>
      <c r="J352" s="55">
        <f>'[49]2022-23'!AH219/10000000</f>
        <v>28.9989762455777</v>
      </c>
      <c r="K352" s="55">
        <f>'[49]2022-23'!AM219/10000000</f>
        <v>29.1464393698469</v>
      </c>
      <c r="L352" s="55">
        <f>'[49]2022-23'!AR219/10000000</f>
        <v>28.3606799093968</v>
      </c>
      <c r="M352" s="55">
        <f>'[49]2022-23'!AW219/10000000</f>
        <v>31.7798119323307</v>
      </c>
      <c r="N352" s="55">
        <f>'[49]2022-23'!BB219/10000000</f>
        <v>23.37534063685</v>
      </c>
      <c r="O352" s="55">
        <f>'[49]2022-23'!BG219/10000000</f>
        <v>21.4319180853</v>
      </c>
      <c r="P352" s="55">
        <f>('[49]2022-23'!BL219+'[49]2022-23'!BQ219+'[49]2022-23'!BV219)/10000000</f>
        <v>23.10806415795</v>
      </c>
      <c r="Q352" s="55">
        <f t="shared" ref="Q352:Q370" si="180">SUM(E352:P352)</f>
        <v>309.402962007282</v>
      </c>
    </row>
    <row r="353" spans="2:17">
      <c r="B353" s="656"/>
      <c r="C353" s="678"/>
      <c r="D353" s="47" t="s">
        <v>353</v>
      </c>
      <c r="E353" s="55">
        <f>'[49]2022-23'!I220/10000000</f>
        <v>30.4506912153246</v>
      </c>
      <c r="F353" s="55">
        <f>'[49]2022-23'!N220/10000000</f>
        <v>27.8575836078645</v>
      </c>
      <c r="G353" s="55">
        <f>'[49]2022-23'!S220/10000000</f>
        <v>28.3876792029757</v>
      </c>
      <c r="H353" s="55">
        <f>'[49]2022-23'!X220/10000000</f>
        <v>32.8719815518466</v>
      </c>
      <c r="I353" s="55">
        <f>'[49]2022-23'!AC220/10000000</f>
        <v>32.2199149400102</v>
      </c>
      <c r="J353" s="55">
        <f>'[49]2022-23'!AH220/10000000</f>
        <v>32.2984025045356</v>
      </c>
      <c r="K353" s="55">
        <f>'[49]2022-23'!AM220/10000000</f>
        <v>27.6655235981923</v>
      </c>
      <c r="L353" s="55">
        <f>'[49]2022-23'!AR220/10000000</f>
        <v>32.241001847896</v>
      </c>
      <c r="M353" s="55">
        <f>'[49]2022-23'!AW220/10000000</f>
        <v>32.3448478070179</v>
      </c>
      <c r="N353" s="55">
        <f>'[49]2022-23'!BB220/10000000</f>
        <v>23.04029446585</v>
      </c>
      <c r="O353" s="55">
        <f>'[49]2022-23'!BG220/10000000</f>
        <v>22.1101964671</v>
      </c>
      <c r="P353" s="55">
        <f>('[49]2022-23'!BL220+'[49]2022-23'!BQ220+'[49]2022-23'!BV220)/10000000</f>
        <v>25.5215752665</v>
      </c>
      <c r="Q353" s="55">
        <f t="shared" si="180"/>
        <v>347.009692475113</v>
      </c>
    </row>
    <row r="354" spans="2:17">
      <c r="B354" s="656"/>
      <c r="C354" s="678"/>
      <c r="D354" s="47" t="s">
        <v>354</v>
      </c>
      <c r="E354" s="55">
        <f>'[49]2022-23'!I221/10000000</f>
        <v>35.9178271033374</v>
      </c>
      <c r="F354" s="55">
        <f>'[49]2022-23'!N221/10000000</f>
        <v>42.7165391714195</v>
      </c>
      <c r="G354" s="55">
        <f>'[49]2022-23'!S221/10000000</f>
        <v>40.901148820433</v>
      </c>
      <c r="H354" s="55">
        <f>'[49]2022-23'!X221/10000000</f>
        <v>1.69794363445493</v>
      </c>
      <c r="I354" s="55">
        <f>'[49]2022-23'!AC221/10000000</f>
        <v>-0.13471979519909</v>
      </c>
      <c r="J354" s="55">
        <f>'[49]2022-23'!AH221/10000000</f>
        <v>2.46226499857252</v>
      </c>
      <c r="K354" s="55">
        <f>'[49]2022-23'!AM221/10000000</f>
        <v>34.9841169236964</v>
      </c>
      <c r="L354" s="55">
        <f>'[49]2022-23'!AR221/10000000</f>
        <v>31.0572840838376</v>
      </c>
      <c r="M354" s="55">
        <f>'[49]2022-23'!AW221/10000000</f>
        <v>42.783534429701</v>
      </c>
      <c r="N354" s="55">
        <f>'[49]2022-23'!BB221/10000000</f>
        <v>33.0230762037</v>
      </c>
      <c r="O354" s="55">
        <f>'[49]2022-23'!BG221/10000000</f>
        <v>31.6422836215</v>
      </c>
      <c r="P354" s="55">
        <f>('[49]2022-23'!BL221+'[49]2022-23'!BQ221+'[49]2022-23'!BV221)/10000000</f>
        <v>33.1153738584</v>
      </c>
      <c r="Q354" s="55">
        <f t="shared" si="180"/>
        <v>330.166673053853</v>
      </c>
    </row>
    <row r="355" spans="2:17">
      <c r="B355" s="656"/>
      <c r="C355" s="678"/>
      <c r="D355" s="47" t="s">
        <v>355</v>
      </c>
      <c r="E355" s="55">
        <f>'[49]2022-23'!I222/10000000</f>
        <v>1.38098365494826</v>
      </c>
      <c r="F355" s="55">
        <f>'[49]2022-23'!N222/10000000</f>
        <v>3.67722659192666</v>
      </c>
      <c r="G355" s="55">
        <f>'[49]2022-23'!S222/10000000</f>
        <v>3.3667315053744</v>
      </c>
      <c r="H355" s="55">
        <f>'[49]2022-23'!X222/10000000</f>
        <v>2.82708791832879</v>
      </c>
      <c r="I355" s="55">
        <f>'[49]2022-23'!AC222/10000000</f>
        <v>3.63681480212407</v>
      </c>
      <c r="J355" s="55">
        <f>'[49]2022-23'!AH222/10000000</f>
        <v>3.33609692534911</v>
      </c>
      <c r="K355" s="55">
        <f>'[49]2022-23'!AM222/10000000</f>
        <v>0.849827734453777</v>
      </c>
      <c r="L355" s="55">
        <f>'[49]2022-23'!AR222/10000000</f>
        <v>2.42999213419846</v>
      </c>
      <c r="M355" s="55">
        <f>'[49]2022-23'!AW222/10000000</f>
        <v>1.40028612613602</v>
      </c>
      <c r="N355" s="55">
        <f>'[49]2022-23'!BB222/10000000</f>
        <v>1.64388471675</v>
      </c>
      <c r="O355" s="55">
        <f>'[49]2022-23'!BG222/10000000</f>
        <v>1.7585214039</v>
      </c>
      <c r="P355" s="55">
        <f>('[49]2022-23'!BL222+'[49]2022-23'!BQ222+'[49]2022-23'!BV222)/10000000</f>
        <v>1.5893488239</v>
      </c>
      <c r="Q355" s="55">
        <f t="shared" si="180"/>
        <v>27.8968023373895</v>
      </c>
    </row>
    <row r="356" spans="2:17">
      <c r="B356" s="656"/>
      <c r="C356" s="678"/>
      <c r="D356" s="47" t="s">
        <v>356</v>
      </c>
      <c r="E356" s="55">
        <f>'[49]2022-23'!I223/10000000</f>
        <v>27.8057041785487</v>
      </c>
      <c r="F356" s="55">
        <f>'[49]2022-23'!N223/10000000</f>
        <v>23.191670229704</v>
      </c>
      <c r="G356" s="55">
        <f>'[49]2022-23'!S223/10000000</f>
        <v>-0.344830142906938</v>
      </c>
      <c r="H356" s="55">
        <f>'[49]2022-23'!X223/10000000</f>
        <v>6.37448305994155</v>
      </c>
      <c r="I356" s="55">
        <f>'[49]2022-23'!AC223/10000000</f>
        <v>29.4910845547299</v>
      </c>
      <c r="J356" s="55">
        <f>'[49]2022-23'!AH223/10000000</f>
        <v>29.1582886779631</v>
      </c>
      <c r="K356" s="55">
        <f>'[49]2022-23'!AM223/10000000</f>
        <v>28.2349636965228</v>
      </c>
      <c r="L356" s="55">
        <f>'[49]2022-23'!AR223/10000000</f>
        <v>32.3426973471553</v>
      </c>
      <c r="M356" s="55">
        <f>'[49]2022-23'!AW223/10000000</f>
        <v>34.6058661924891</v>
      </c>
      <c r="N356" s="55">
        <f>'[49]2022-23'!BB223/10000000</f>
        <v>29.3085907596</v>
      </c>
      <c r="O356" s="55">
        <f>'[49]2022-23'!BG223/10000000</f>
        <v>24.94685878155</v>
      </c>
      <c r="P356" s="55">
        <f>('[49]2022-23'!BL223+'[49]2022-23'!BQ223+'[49]2022-23'!BV223)/10000000</f>
        <v>30.0794321406</v>
      </c>
      <c r="Q356" s="55">
        <f t="shared" si="180"/>
        <v>295.194809475898</v>
      </c>
    </row>
    <row r="357" spans="2:17">
      <c r="B357" s="656"/>
      <c r="C357" s="678"/>
      <c r="D357" s="47" t="s">
        <v>357</v>
      </c>
      <c r="E357" s="55">
        <f>'[49]2022-23'!I224/10000000</f>
        <v>31.3006562909522</v>
      </c>
      <c r="F357" s="55">
        <f>'[49]2022-23'!N224/10000000</f>
        <v>37.3629727956912</v>
      </c>
      <c r="G357" s="55">
        <f>'[49]2022-23'!S224/10000000</f>
        <v>36.4668227598044</v>
      </c>
      <c r="H357" s="55">
        <f>'[49]2022-23'!X224/10000000</f>
        <v>36.3043211085832</v>
      </c>
      <c r="I357" s="55">
        <f>'[49]2022-23'!AC224/10000000</f>
        <v>30.5124153526695</v>
      </c>
      <c r="J357" s="55">
        <f>'[49]2022-23'!AH224/10000000</f>
        <v>35.5219591824778</v>
      </c>
      <c r="K357" s="55">
        <f>'[49]2022-23'!AM224/10000000</f>
        <v>36.2357273329632</v>
      </c>
      <c r="L357" s="55">
        <f>'[49]2022-23'!AR224/10000000</f>
        <v>23.8680782743369</v>
      </c>
      <c r="M357" s="55">
        <f>'[49]2022-23'!AW224/10000000</f>
        <v>39.4752245280636</v>
      </c>
      <c r="N357" s="55">
        <f>'[49]2022-23'!BB224/10000000</f>
        <v>30.1847924606</v>
      </c>
      <c r="O357" s="55">
        <f>'[49]2022-23'!BG224/10000000</f>
        <v>31.04340140895</v>
      </c>
      <c r="P357" s="55">
        <f>('[49]2022-23'!BL224+'[49]2022-23'!BQ224+'[49]2022-23'!BV224)/10000000</f>
        <v>32.9179073676</v>
      </c>
      <c r="Q357" s="55">
        <f t="shared" si="180"/>
        <v>401.194278862692</v>
      </c>
    </row>
    <row r="358" spans="2:17">
      <c r="B358" s="656"/>
      <c r="C358" s="678"/>
      <c r="D358" s="47" t="s">
        <v>358</v>
      </c>
      <c r="E358" s="55">
        <f>'[49]2022-23'!I225/10000000</f>
        <v>40.1932602075838</v>
      </c>
      <c r="F358" s="55">
        <f>'[49]2022-23'!N225/10000000</f>
        <v>39.1821225822333</v>
      </c>
      <c r="G358" s="55">
        <f>'[49]2022-23'!S225/10000000</f>
        <v>33.7795578996115</v>
      </c>
      <c r="H358" s="55">
        <f>'[49]2022-23'!X225/10000000</f>
        <v>26.8952909586902</v>
      </c>
      <c r="I358" s="55">
        <f>'[49]2022-23'!AC225/10000000</f>
        <v>36.7433355494274</v>
      </c>
      <c r="J358" s="55">
        <f>'[49]2022-23'!AH225/10000000</f>
        <v>40.8998985953295</v>
      </c>
      <c r="K358" s="55">
        <f>'[49]2022-23'!AM225/10000000</f>
        <v>45.8748805954703</v>
      </c>
      <c r="L358" s="55">
        <f>'[49]2022-23'!AR225/10000000</f>
        <v>40.0849925765772</v>
      </c>
      <c r="M358" s="55">
        <f>'[49]2022-23'!AW225/10000000</f>
        <v>42.7912009560554</v>
      </c>
      <c r="N358" s="55">
        <f>'[49]2022-23'!BB225/10000000</f>
        <v>44.45062729145</v>
      </c>
      <c r="O358" s="55">
        <f>'[49]2022-23'!BG225/10000000</f>
        <v>39.1246690349</v>
      </c>
      <c r="P358" s="55">
        <f>('[49]2022-23'!BL225+'[49]2022-23'!BQ225+'[49]2022-23'!BV225)/10000000</f>
        <v>36.59373759575</v>
      </c>
      <c r="Q358" s="55">
        <f t="shared" si="180"/>
        <v>466.613573843079</v>
      </c>
    </row>
    <row r="359" spans="2:17">
      <c r="B359" s="656"/>
      <c r="C359" s="678"/>
      <c r="D359" s="47" t="s">
        <v>359</v>
      </c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>
        <f t="shared" si="180"/>
        <v>0</v>
      </c>
    </row>
    <row r="360" spans="2:17">
      <c r="B360" s="656"/>
      <c r="C360" s="678"/>
      <c r="D360" s="679" t="s">
        <v>492</v>
      </c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>
        <f t="shared" si="180"/>
        <v>0</v>
      </c>
    </row>
    <row r="361" spans="2:17">
      <c r="B361" s="656"/>
      <c r="C361" s="678"/>
      <c r="D361" s="47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>
        <f t="shared" si="180"/>
        <v>0</v>
      </c>
    </row>
    <row r="362" spans="2:17">
      <c r="B362" s="656"/>
      <c r="C362" s="678"/>
      <c r="D362" s="47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>
        <f t="shared" si="180"/>
        <v>0</v>
      </c>
    </row>
    <row r="363" spans="2:17">
      <c r="B363" s="656"/>
      <c r="C363" s="678"/>
      <c r="D363" s="47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>
        <f t="shared" si="180"/>
        <v>0</v>
      </c>
    </row>
    <row r="364" spans="2:17">
      <c r="B364" s="656"/>
      <c r="C364" s="678"/>
      <c r="D364" s="47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>
        <f t="shared" si="180"/>
        <v>0</v>
      </c>
    </row>
    <row r="365" spans="2:17">
      <c r="B365" s="656"/>
      <c r="C365" s="678"/>
      <c r="D365" s="47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>
        <f t="shared" si="180"/>
        <v>0</v>
      </c>
    </row>
    <row r="366" spans="2:17">
      <c r="B366" s="656"/>
      <c r="C366" s="678"/>
      <c r="D366" s="47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>
        <f t="shared" si="180"/>
        <v>0</v>
      </c>
    </row>
    <row r="367" spans="2:17">
      <c r="B367" s="656"/>
      <c r="C367" s="678"/>
      <c r="D367" s="47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>
        <f t="shared" si="180"/>
        <v>0</v>
      </c>
    </row>
    <row r="368" spans="2:17">
      <c r="B368" s="656"/>
      <c r="C368" s="678"/>
      <c r="D368" s="47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>
        <f t="shared" si="180"/>
        <v>0</v>
      </c>
    </row>
    <row r="369" spans="2:17">
      <c r="B369" s="656"/>
      <c r="C369" s="680"/>
      <c r="D369" s="47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>
        <f t="shared" si="180"/>
        <v>0</v>
      </c>
    </row>
    <row r="370" ht="15" spans="3:17">
      <c r="C370" s="537" t="s">
        <v>211</v>
      </c>
      <c r="D370" s="540"/>
      <c r="E370" s="55">
        <f t="shared" ref="E370:P370" si="181">SUM(E352:E369)</f>
        <v>195.091985657293</v>
      </c>
      <c r="F370" s="55">
        <f t="shared" si="181"/>
        <v>203.07862658143</v>
      </c>
      <c r="G370" s="55">
        <f t="shared" si="181"/>
        <v>169.454044506375</v>
      </c>
      <c r="H370" s="55">
        <f t="shared" si="181"/>
        <v>121.491423823034</v>
      </c>
      <c r="I370" s="55">
        <f t="shared" si="181"/>
        <v>157.119952412332</v>
      </c>
      <c r="J370" s="55">
        <f t="shared" si="181"/>
        <v>172.675887129805</v>
      </c>
      <c r="K370" s="55">
        <f t="shared" si="181"/>
        <v>202.991479251146</v>
      </c>
      <c r="L370" s="55">
        <f t="shared" si="181"/>
        <v>190.384726173398</v>
      </c>
      <c r="M370" s="55">
        <f t="shared" si="181"/>
        <v>225.180771971794</v>
      </c>
      <c r="N370" s="55">
        <f t="shared" si="181"/>
        <v>185.0266065348</v>
      </c>
      <c r="O370" s="55">
        <f t="shared" si="181"/>
        <v>172.0578488032</v>
      </c>
      <c r="P370" s="55">
        <f t="shared" si="181"/>
        <v>182.9254392107</v>
      </c>
      <c r="Q370" s="316">
        <f t="shared" si="180"/>
        <v>2177.47879205531</v>
      </c>
    </row>
    <row r="371" ht="15" spans="3:17">
      <c r="C371" s="44" t="s">
        <v>360</v>
      </c>
      <c r="D371" s="4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</row>
    <row r="372" spans="3:17">
      <c r="C372" s="682" t="s">
        <v>351</v>
      </c>
      <c r="D372" s="55" t="s">
        <v>361</v>
      </c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>
        <f t="shared" ref="Q372:Q390" si="182">SUM(E372:P372)</f>
        <v>0</v>
      </c>
    </row>
    <row r="373" spans="3:17">
      <c r="C373" s="683"/>
      <c r="D373" s="55" t="s">
        <v>362</v>
      </c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>
        <f t="shared" si="182"/>
        <v>0</v>
      </c>
    </row>
    <row r="374" spans="3:17">
      <c r="C374" s="683"/>
      <c r="D374" s="55" t="s">
        <v>363</v>
      </c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>
        <f t="shared" si="182"/>
        <v>0</v>
      </c>
    </row>
    <row r="375" spans="3:17">
      <c r="C375" s="683"/>
      <c r="D375" s="55" t="s">
        <v>364</v>
      </c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>
        <f t="shared" si="182"/>
        <v>0</v>
      </c>
    </row>
    <row r="376" spans="3:17">
      <c r="C376" s="683"/>
      <c r="D376" s="55" t="s">
        <v>365</v>
      </c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>
        <f t="shared" si="182"/>
        <v>0</v>
      </c>
    </row>
    <row r="377" spans="3:17">
      <c r="C377" s="683"/>
      <c r="D377" s="55" t="s">
        <v>366</v>
      </c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>
        <f t="shared" si="182"/>
        <v>0</v>
      </c>
    </row>
    <row r="378" spans="3:17">
      <c r="C378" s="683"/>
      <c r="D378" s="55" t="s">
        <v>367</v>
      </c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>
        <f t="shared" si="182"/>
        <v>0</v>
      </c>
    </row>
    <row r="379" spans="3:17">
      <c r="C379" s="683"/>
      <c r="D379" s="55" t="s">
        <v>368</v>
      </c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>
        <f t="shared" si="182"/>
        <v>0</v>
      </c>
    </row>
    <row r="380" spans="3:17">
      <c r="C380" s="683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>
        <f t="shared" si="182"/>
        <v>0</v>
      </c>
    </row>
    <row r="381" spans="3:17">
      <c r="C381" s="683"/>
      <c r="D381" s="679" t="s">
        <v>493</v>
      </c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>
        <f t="shared" si="182"/>
        <v>0</v>
      </c>
    </row>
    <row r="382" spans="3:17">
      <c r="C382" s="683"/>
      <c r="D382" s="679" t="s">
        <v>494</v>
      </c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>
        <f>'[49]2022-23'!$BV$229/10000000</f>
        <v>113.7970003862</v>
      </c>
      <c r="Q382" s="55">
        <f t="shared" si="182"/>
        <v>113.7970003862</v>
      </c>
    </row>
    <row r="383" spans="3:17">
      <c r="C383" s="683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>
        <f t="shared" si="182"/>
        <v>0</v>
      </c>
    </row>
    <row r="384" spans="3:17">
      <c r="C384" s="683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>
        <f t="shared" si="182"/>
        <v>0</v>
      </c>
    </row>
    <row r="385" spans="3:17">
      <c r="C385" s="683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>
        <f t="shared" si="182"/>
        <v>0</v>
      </c>
    </row>
    <row r="386" spans="3:17">
      <c r="C386" s="683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>
        <f t="shared" si="182"/>
        <v>0</v>
      </c>
    </row>
    <row r="387" spans="3:17">
      <c r="C387" s="683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>
        <f t="shared" si="182"/>
        <v>0</v>
      </c>
    </row>
    <row r="388" spans="3:17">
      <c r="C388" s="683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>
        <f t="shared" si="182"/>
        <v>0</v>
      </c>
    </row>
    <row r="389" spans="3:17">
      <c r="C389" s="683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>
        <f t="shared" si="182"/>
        <v>0</v>
      </c>
    </row>
    <row r="390" ht="15" spans="3:17">
      <c r="C390" s="537" t="s">
        <v>211</v>
      </c>
      <c r="D390" s="540"/>
      <c r="E390" s="55">
        <f t="shared" ref="E390:P390" si="183">SUM(E372:E389)</f>
        <v>0</v>
      </c>
      <c r="F390" s="55">
        <f t="shared" si="183"/>
        <v>0</v>
      </c>
      <c r="G390" s="55">
        <f t="shared" si="183"/>
        <v>0</v>
      </c>
      <c r="H390" s="55">
        <f t="shared" si="183"/>
        <v>0</v>
      </c>
      <c r="I390" s="55">
        <f t="shared" si="183"/>
        <v>0</v>
      </c>
      <c r="J390" s="55">
        <f t="shared" si="183"/>
        <v>0</v>
      </c>
      <c r="K390" s="55">
        <f t="shared" si="183"/>
        <v>0</v>
      </c>
      <c r="L390" s="55">
        <f t="shared" si="183"/>
        <v>0</v>
      </c>
      <c r="M390" s="55">
        <f t="shared" si="183"/>
        <v>0</v>
      </c>
      <c r="N390" s="55">
        <f t="shared" si="183"/>
        <v>0</v>
      </c>
      <c r="O390" s="55">
        <f t="shared" si="183"/>
        <v>0</v>
      </c>
      <c r="P390" s="55">
        <f t="shared" si="183"/>
        <v>113.7970003862</v>
      </c>
      <c r="Q390" s="316">
        <f t="shared" si="182"/>
        <v>113.7970003862</v>
      </c>
    </row>
    <row r="391" ht="15" spans="3:17">
      <c r="C391" s="44" t="s">
        <v>369</v>
      </c>
      <c r="D391" s="45"/>
      <c r="E391" s="55">
        <f t="shared" ref="E391:Q391" si="184">E370+E390</f>
        <v>195.091985657293</v>
      </c>
      <c r="F391" s="55">
        <f t="shared" si="184"/>
        <v>203.07862658143</v>
      </c>
      <c r="G391" s="55">
        <f t="shared" si="184"/>
        <v>169.454044506375</v>
      </c>
      <c r="H391" s="55">
        <f t="shared" si="184"/>
        <v>121.491423823034</v>
      </c>
      <c r="I391" s="55">
        <f t="shared" si="184"/>
        <v>157.119952412332</v>
      </c>
      <c r="J391" s="55">
        <f t="shared" si="184"/>
        <v>172.675887129805</v>
      </c>
      <c r="K391" s="55">
        <f t="shared" si="184"/>
        <v>202.991479251146</v>
      </c>
      <c r="L391" s="55">
        <f t="shared" si="184"/>
        <v>190.384726173398</v>
      </c>
      <c r="M391" s="55">
        <f t="shared" si="184"/>
        <v>225.180771971794</v>
      </c>
      <c r="N391" s="55">
        <f t="shared" si="184"/>
        <v>185.0266065348</v>
      </c>
      <c r="O391" s="55">
        <f t="shared" si="184"/>
        <v>172.0578488032</v>
      </c>
      <c r="P391" s="55">
        <f t="shared" si="184"/>
        <v>296.7224395969</v>
      </c>
      <c r="Q391" s="316">
        <f t="shared" si="184"/>
        <v>2291.27579244151</v>
      </c>
    </row>
    <row r="392" ht="15" spans="3:17">
      <c r="C392" s="663" t="s">
        <v>370</v>
      </c>
      <c r="D392" s="676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</row>
    <row r="393" ht="15" spans="3:17">
      <c r="C393" s="44" t="s">
        <v>350</v>
      </c>
      <c r="D393" s="4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</row>
    <row r="394" spans="3:17">
      <c r="C394" s="682" t="s">
        <v>371</v>
      </c>
      <c r="D394" s="55" t="s">
        <v>372</v>
      </c>
      <c r="E394" s="55">
        <f>'[49]2022-23'!I195/10000000</f>
        <v>17.0383097910459</v>
      </c>
      <c r="F394" s="55">
        <f>'[49]2022-23'!N195/10000000</f>
        <v>20.9868321999264</v>
      </c>
      <c r="G394" s="55">
        <f>'[49]2022-23'!S195/10000000</f>
        <v>32.7385473568992</v>
      </c>
      <c r="H394" s="55">
        <f>'[49]2022-23'!X195/10000000</f>
        <v>27.3273719005254</v>
      </c>
      <c r="I394" s="55">
        <f>'[49]2022-23'!AC195/10000000</f>
        <v>17.5767202293834</v>
      </c>
      <c r="J394" s="55">
        <f>'[49]2022-23'!AH195/10000000</f>
        <v>16.32373540473</v>
      </c>
      <c r="K394" s="55">
        <f>'[49]2022-23'!AM195/10000000</f>
        <v>9.09585102167995</v>
      </c>
      <c r="L394" s="55">
        <f>'[49]2022-23'!AR195/10000000</f>
        <v>8.2401074071042</v>
      </c>
      <c r="M394" s="55">
        <f>'[49]2022-23'!AW195/10000000</f>
        <v>10.87503215745</v>
      </c>
      <c r="N394" s="55">
        <f>'[49]2022-23'!BB195/10000000</f>
        <v>17.1670317384669</v>
      </c>
      <c r="O394" s="55">
        <f>'[49]2022-23'!BG195/10000000</f>
        <v>23.7109007364721</v>
      </c>
      <c r="P394" s="55">
        <f>('[49]2022-23'!BL195+'[49]2022-23'!BQ195+'[49]2022-23'!BV195)/10000000</f>
        <v>30.1877700030855</v>
      </c>
      <c r="Q394" s="55">
        <f t="shared" ref="Q394:Q419" si="185">SUM(E394:P394)</f>
        <v>231.268209946769</v>
      </c>
    </row>
    <row r="395" spans="3:17">
      <c r="C395" s="683"/>
      <c r="D395" s="55" t="s">
        <v>373</v>
      </c>
      <c r="E395" s="55">
        <f>'[49]2022-23'!I196/10000000</f>
        <v>4.87169666062185</v>
      </c>
      <c r="F395" s="55">
        <f>'[49]2022-23'!N196/10000000</f>
        <v>5.424867091096</v>
      </c>
      <c r="G395" s="55">
        <f>'[49]2022-23'!S196/10000000</f>
        <v>2.3689368455938</v>
      </c>
      <c r="H395" s="55">
        <f>'[49]2022-23'!X196/10000000</f>
        <v>0</v>
      </c>
      <c r="I395" s="55">
        <f>'[49]2022-23'!AC196/10000000</f>
        <v>3.5458171237276</v>
      </c>
      <c r="J395" s="55">
        <f>'[49]2022-23'!AH196/10000000</f>
        <v>5.7041608404</v>
      </c>
      <c r="K395" s="55">
        <f>'[49]2022-23'!AM196/10000000</f>
        <v>3.4015820552264</v>
      </c>
      <c r="L395" s="55">
        <f>'[49]2022-23'!AR196/10000000</f>
        <v>3.1271585444831</v>
      </c>
      <c r="M395" s="55">
        <f>'[49]2022-23'!AW196/10000000</f>
        <v>4.0761009734808</v>
      </c>
      <c r="N395" s="55">
        <f>'[49]2022-23'!BB196/10000000</f>
        <v>5.30066907138075</v>
      </c>
      <c r="O395" s="55">
        <f>'[49]2022-23'!BG196/10000000</f>
        <v>6.0747487775908</v>
      </c>
      <c r="P395" s="55">
        <f>('[49]2022-23'!BL196+'[49]2022-23'!BQ196+'[49]2022-23'!BV196)/10000000</f>
        <v>6.46014501560855</v>
      </c>
      <c r="Q395" s="55">
        <f t="shared" si="185"/>
        <v>50.3558829992097</v>
      </c>
    </row>
    <row r="396" spans="3:17">
      <c r="C396" s="683"/>
      <c r="D396" s="55" t="s">
        <v>374</v>
      </c>
      <c r="E396" s="55">
        <f>'[49]2022-23'!I199/10000000</f>
        <v>7.6427836189933</v>
      </c>
      <c r="F396" s="55">
        <f>'[49]2022-23'!N199/10000000</f>
        <v>7.83192001393415</v>
      </c>
      <c r="G396" s="55">
        <f>'[49]2022-23'!S199/10000000</f>
        <v>8.7663110810448</v>
      </c>
      <c r="H396" s="55">
        <f>'[49]2022-23'!X199/10000000</f>
        <v>12.9584453669017</v>
      </c>
      <c r="I396" s="55">
        <f>'[49]2022-23'!AC199/10000000</f>
        <v>10.9022710624643</v>
      </c>
      <c r="J396" s="55">
        <f>'[49]2022-23'!AH199/10000000</f>
        <v>9.73166991993235</v>
      </c>
      <c r="K396" s="55">
        <f>'[49]2022-23'!AM199/10000000</f>
        <v>7.72305008301055</v>
      </c>
      <c r="L396" s="55">
        <f>'[49]2022-23'!AR199/10000000</f>
        <v>4.9140055872584</v>
      </c>
      <c r="M396" s="55">
        <f>'[49]2022-23'!AW199/10000000</f>
        <v>5.8862563221256</v>
      </c>
      <c r="N396" s="55">
        <f>'[49]2022-23'!BB199/10000000</f>
        <v>6.3873669091113</v>
      </c>
      <c r="O396" s="55">
        <f>'[49]2022-23'!BG199/10000000</f>
        <v>6.312304549617</v>
      </c>
      <c r="P396" s="55">
        <f>('[49]2022-23'!BL199+'[49]2022-23'!BQ199+'[49]2022-23'!BV199)/10000000</f>
        <v>10.4788751657616</v>
      </c>
      <c r="Q396" s="55">
        <f t="shared" si="185"/>
        <v>99.5352596801551</v>
      </c>
    </row>
    <row r="397" spans="3:17">
      <c r="C397" s="683"/>
      <c r="D397" s="55" t="s">
        <v>375</v>
      </c>
      <c r="E397" s="55">
        <f>'[49]2022-23'!I197/10000000</f>
        <v>41.19225320196</v>
      </c>
      <c r="F397" s="55">
        <f>'[49]2022-23'!N197/10000000</f>
        <v>37.7818879419212</v>
      </c>
      <c r="G397" s="55">
        <f>'[49]2022-23'!S197/10000000</f>
        <v>39.7928506837532</v>
      </c>
      <c r="H397" s="55">
        <f>'[49]2022-23'!X197/10000000</f>
        <v>38.9933248479934</v>
      </c>
      <c r="I397" s="55">
        <f>'[49]2022-23'!AC197/10000000</f>
        <v>33.333877259324</v>
      </c>
      <c r="J397" s="55">
        <f>'[49]2022-23'!AH197/10000000</f>
        <v>35.226913136181</v>
      </c>
      <c r="K397" s="55">
        <f>'[49]2022-23'!AM197/10000000</f>
        <v>14.0699145113748</v>
      </c>
      <c r="L397" s="55">
        <f>'[49]2022-23'!AR197/10000000</f>
        <v>5.691674737187</v>
      </c>
      <c r="M397" s="55">
        <f>'[49]2022-23'!AW197/10000000</f>
        <v>35.51000533765</v>
      </c>
      <c r="N397" s="55">
        <f>'[49]2022-23'!BB197/10000000</f>
        <v>45.0066154258895</v>
      </c>
      <c r="O397" s="55">
        <f>'[49]2022-23'!BG197/10000000</f>
        <v>49.3891481074818</v>
      </c>
      <c r="P397" s="55">
        <f>('[49]2022-23'!BL197+'[49]2022-23'!BQ197+'[49]2022-23'!BV197)/10000000</f>
        <v>52.810362363905</v>
      </c>
      <c r="Q397" s="55">
        <f t="shared" si="185"/>
        <v>428.798827554621</v>
      </c>
    </row>
    <row r="398" spans="3:17">
      <c r="C398" s="683"/>
      <c r="D398" s="55" t="s">
        <v>376</v>
      </c>
      <c r="E398" s="55">
        <f>'[49]2022-23'!I198/10000000</f>
        <v>18.5834511587487</v>
      </c>
      <c r="F398" s="55">
        <f>'[49]2022-23'!N198/10000000</f>
        <v>14.1941839973167</v>
      </c>
      <c r="G398" s="55">
        <f>'[49]2022-23'!S198/10000000</f>
        <v>9.2117395037859</v>
      </c>
      <c r="H398" s="55">
        <f>'[49]2022-23'!X198/10000000</f>
        <v>15.16738448258</v>
      </c>
      <c r="I398" s="55">
        <f>'[49]2022-23'!AC198/10000000</f>
        <v>16.11371364857</v>
      </c>
      <c r="J398" s="55">
        <f>'[49]2022-23'!AH198/10000000</f>
        <v>13.3632105766564</v>
      </c>
      <c r="K398" s="55">
        <f>'[49]2022-23'!AM198/10000000</f>
        <v>12.9549338085674</v>
      </c>
      <c r="L398" s="55">
        <f>'[49]2022-23'!AR198/10000000</f>
        <v>12.70979531754</v>
      </c>
      <c r="M398" s="55">
        <f>'[49]2022-23'!AW198/10000000</f>
        <v>17.280274961377</v>
      </c>
      <c r="N398" s="55">
        <f>'[49]2022-23'!BB198/10000000</f>
        <v>19.588050195605</v>
      </c>
      <c r="O398" s="55">
        <f>'[49]2022-23'!BG198/10000000</f>
        <v>22.3354610136312</v>
      </c>
      <c r="P398" s="55">
        <f>('[49]2022-23'!BL198+'[49]2022-23'!BQ198+'[49]2022-23'!BV198)/10000000</f>
        <v>26.3463773921575</v>
      </c>
      <c r="Q398" s="55">
        <f t="shared" si="185"/>
        <v>197.848576056536</v>
      </c>
    </row>
    <row r="399" spans="3:17">
      <c r="C399" s="683"/>
      <c r="D399" s="55" t="s">
        <v>377</v>
      </c>
      <c r="E399" s="55">
        <f>'[49]2022-23'!$I$200/10000000</f>
        <v>19.4570548941901</v>
      </c>
      <c r="F399" s="55">
        <f>'[49]2022-23'!$N$200/10000000</f>
        <v>18.6555711662692</v>
      </c>
      <c r="G399" s="55">
        <f>'[49]2022-23'!$S$200/10000000</f>
        <v>24.5254232629124</v>
      </c>
      <c r="H399" s="55">
        <f>'[49]2022-23'!$X$200/10000000</f>
        <v>20.0572676959368</v>
      </c>
      <c r="I399" s="55">
        <f>'[49]2022-23'!$AC$200/10000000</f>
        <v>18.6393855151822</v>
      </c>
      <c r="J399" s="55">
        <f>'[49]2022-23'!$AH$200/10000000</f>
        <v>19.3260716419777</v>
      </c>
      <c r="K399" s="55">
        <f>'[49]2022-23'!$AM$200/10000000</f>
        <v>1.25328975775765</v>
      </c>
      <c r="L399" s="55">
        <f>'[49]2022-23'!$AR$200/10000000</f>
        <v>0.1905225342</v>
      </c>
      <c r="M399" s="55">
        <f>'[49]2022-23'!$AW$200/10000000</f>
        <v>9.713036385346</v>
      </c>
      <c r="N399" s="55">
        <f>'[49]2022-23'!$BB$200/10000000</f>
        <v>15.6744709476505</v>
      </c>
      <c r="O399" s="55">
        <f>'[49]2022-23'!$BG$200/10000000</f>
        <v>23.207404366083</v>
      </c>
      <c r="P399" s="55">
        <f>('[49]2022-23'!$BL$200+'[49]2022-23'!$BQ$200+'[49]2022-23'!$BV$200)/10000000</f>
        <v>14.937588776601</v>
      </c>
      <c r="Q399" s="55">
        <f t="shared" si="185"/>
        <v>185.637086944107</v>
      </c>
    </row>
    <row r="400" spans="3:17">
      <c r="C400" s="683"/>
      <c r="D400" s="55" t="s">
        <v>378</v>
      </c>
      <c r="E400" s="55">
        <f>'[49]2022-23'!$I$215/10000000</f>
        <v>13.01976021345</v>
      </c>
      <c r="F400" s="55">
        <f>'[49]2022-23'!$N$215/10000000</f>
        <v>16.5344744392</v>
      </c>
      <c r="G400" s="55">
        <f>'[49]2022-23'!$S$215/10000000</f>
        <v>22.57737303755</v>
      </c>
      <c r="H400" s="55">
        <f>'[49]2022-23'!$X$215/10000000</f>
        <v>13.0182287519058</v>
      </c>
      <c r="I400" s="55">
        <f>'[49]2022-23'!$AC$215/10000000</f>
        <v>17.57872470205</v>
      </c>
      <c r="J400" s="55">
        <f>'[49]2022-23'!$AH$215/10000000</f>
        <v>13.0564032461049</v>
      </c>
      <c r="K400" s="55">
        <f>'[49]2022-23'!$AM$215/10000000</f>
        <v>12.05364359835</v>
      </c>
      <c r="L400" s="55">
        <f>'[49]2022-23'!$AR$215/10000000</f>
        <v>17.4032844847</v>
      </c>
      <c r="M400" s="55">
        <f>'[49]2022-23'!$AW$215/10000000</f>
        <v>13.53716602655</v>
      </c>
      <c r="N400" s="55">
        <f>'[49]2022-23'!$BB$215/10000000</f>
        <v>14.72213937425</v>
      </c>
      <c r="O400" s="55">
        <f>'[49]2022-23'!$BG$215/10000000</f>
        <v>24.77970293755</v>
      </c>
      <c r="P400" s="55">
        <f>('[49]2022-23'!$BL$215+'[49]2022-23'!$BQ$215+'[49]2022-23'!$BV$215)/10000000</f>
        <v>37.3129594908592</v>
      </c>
      <c r="Q400" s="55">
        <f t="shared" si="185"/>
        <v>215.59386030252</v>
      </c>
    </row>
    <row r="401" spans="3:17">
      <c r="C401" s="683"/>
      <c r="D401" s="55" t="s">
        <v>379</v>
      </c>
      <c r="E401" s="55">
        <f>'[49]2022-23'!$I$213/10000000</f>
        <v>3.98904123264</v>
      </c>
      <c r="F401" s="55">
        <f>'[49]2022-23'!$N$213/10000000</f>
        <v>3.466730853647</v>
      </c>
      <c r="G401" s="55">
        <f>'[49]2022-23'!$S$213/10000000</f>
        <v>4.2742501325385</v>
      </c>
      <c r="H401" s="55">
        <f>'[49]2022-23'!$X$213/10000000</f>
        <v>3.8406337212995</v>
      </c>
      <c r="I401" s="55">
        <f>'[49]2022-23'!$AC$213/10000000</f>
        <v>3.5963048496755</v>
      </c>
      <c r="J401" s="55">
        <f>'[49]2022-23'!$AH$213/10000000</f>
        <v>4.003166426846</v>
      </c>
      <c r="K401" s="55">
        <f>'[49]2022-23'!$AM$213/10000000</f>
        <v>3.1299128189795</v>
      </c>
      <c r="L401" s="55">
        <f>'[49]2022-23'!$AR$213/10000000</f>
        <v>4.1655440534045</v>
      </c>
      <c r="M401" s="55">
        <f>'[49]2022-23'!$AW$213/10000000</f>
        <v>2.447627982315</v>
      </c>
      <c r="N401" s="55">
        <f>'[49]2022-23'!$BB$213/10000000</f>
        <v>4.3278493593035</v>
      </c>
      <c r="O401" s="55">
        <f>'[49]2022-23'!$BG$213/10000000</f>
        <v>2.9511088715165</v>
      </c>
      <c r="P401" s="55">
        <f>('[49]2022-23'!$BL$213+'[49]2022-23'!$BQ$213+'[49]2022-23'!$BV$213)/10000000</f>
        <v>19.0246259737437</v>
      </c>
      <c r="Q401" s="55">
        <f t="shared" si="185"/>
        <v>59.2167962759092</v>
      </c>
    </row>
    <row r="402" spans="3:17">
      <c r="C402" s="684"/>
      <c r="D402" s="55" t="s">
        <v>380</v>
      </c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>
        <f t="shared" si="185"/>
        <v>0</v>
      </c>
    </row>
    <row r="403" spans="3:17">
      <c r="C403" s="55"/>
      <c r="D403" s="55" t="s">
        <v>381</v>
      </c>
      <c r="E403" s="55">
        <f>'[49]2022-23'!I190/10000000</f>
        <v>0.51082448132965</v>
      </c>
      <c r="F403" s="55">
        <f>'[49]2022-23'!N190/10000000</f>
        <v>0.86585794805</v>
      </c>
      <c r="G403" s="55">
        <f>'[49]2022-23'!S190/10000000</f>
        <v>0.5825739511</v>
      </c>
      <c r="H403" s="55">
        <f>'[49]2022-23'!X190/10000000</f>
        <v>0.63441976315</v>
      </c>
      <c r="I403" s="55">
        <f>'[49]2022-23'!AC190/10000000</f>
        <v>0.38365584035</v>
      </c>
      <c r="J403" s="55">
        <f>'[49]2022-23'!AH190/10000000</f>
        <v>0.23390912825</v>
      </c>
      <c r="K403" s="55">
        <f>'[49]2022-23'!AM190/10000000</f>
        <v>0.1944015115</v>
      </c>
      <c r="L403" s="55">
        <f>'[49]2022-23'!AR190/10000000</f>
        <v>0.2932738787</v>
      </c>
      <c r="M403" s="55">
        <f>'[49]2022-23'!AW190/10000000</f>
        <v>0.3612296948</v>
      </c>
      <c r="N403" s="55">
        <f>'[49]2022-23'!BB190/10000000</f>
        <v>0.51495229575675</v>
      </c>
      <c r="O403" s="55">
        <f>'[49]2022-23'!BG190/10000000</f>
        <v>0.42050073535</v>
      </c>
      <c r="P403" s="55">
        <f>('[49]2022-23'!BL190+'[49]2022-23'!BQ190+'[49]2022-23'!BV190)/10000000</f>
        <v>25.2606013794362</v>
      </c>
      <c r="Q403" s="55">
        <f t="shared" si="185"/>
        <v>30.2562006077726</v>
      </c>
    </row>
    <row r="404" spans="3:17">
      <c r="C404" s="55"/>
      <c r="D404" s="55" t="s">
        <v>382</v>
      </c>
      <c r="E404" s="55">
        <f>'[49]2022-23'!I191/10000000</f>
        <v>0.6319863918744</v>
      </c>
      <c r="F404" s="55">
        <f>'[49]2022-23'!N191/10000000</f>
        <v>1.62170810105</v>
      </c>
      <c r="G404" s="55">
        <f>'[49]2022-23'!S191/10000000</f>
        <v>0.72051619025</v>
      </c>
      <c r="H404" s="55">
        <f>'[49]2022-23'!X191/10000000</f>
        <v>1.3130353769</v>
      </c>
      <c r="I404" s="55">
        <f>'[49]2022-23'!AC191/10000000</f>
        <v>1.0622692748</v>
      </c>
      <c r="J404" s="55">
        <f>'[49]2022-23'!AH191/10000000</f>
        <v>0.7953836563</v>
      </c>
      <c r="K404" s="55">
        <f>'[49]2022-23'!AM191/10000000</f>
        <v>0.29999083308025</v>
      </c>
      <c r="L404" s="55">
        <f>'[49]2022-23'!AR191/10000000</f>
        <v>0.24558161852175</v>
      </c>
      <c r="M404" s="55">
        <f>'[49]2022-23'!AW191/10000000</f>
        <v>0.2664083518</v>
      </c>
      <c r="N404" s="55">
        <f>'[49]2022-23'!BB191/10000000</f>
        <v>0.20437768677825</v>
      </c>
      <c r="O404" s="55">
        <f>'[49]2022-23'!BG191/10000000</f>
        <v>0.45972094955</v>
      </c>
      <c r="P404" s="55">
        <f>('[49]2022-23'!BL191+'[49]2022-23'!BQ191+'[49]2022-23'!BV191)/10000000</f>
        <v>0.4260208139</v>
      </c>
      <c r="Q404" s="55">
        <f t="shared" si="185"/>
        <v>8.04699924480465</v>
      </c>
    </row>
    <row r="405" spans="3:17">
      <c r="C405" s="55"/>
      <c r="D405" s="55" t="s">
        <v>383</v>
      </c>
      <c r="E405" s="55">
        <f>'[49]2022-23'!$I$194/10000000</f>
        <v>2.27968001374295</v>
      </c>
      <c r="F405" s="55">
        <f>'[49]2022-23'!$N$194/10000000</f>
        <v>2.8928465827</v>
      </c>
      <c r="G405" s="55">
        <f>'[49]2022-23'!$S$194/10000000</f>
        <v>2.35801938052165</v>
      </c>
      <c r="H405" s="55">
        <f>'[49]2022-23'!$X$194/10000000</f>
        <v>2.9809027895</v>
      </c>
      <c r="I405" s="55">
        <f>'[49]2022-23'!$AC$194/10000000</f>
        <v>2.60172617635</v>
      </c>
      <c r="J405" s="55">
        <f>'[49]2022-23'!$AH$194/10000000</f>
        <v>2.3832891357</v>
      </c>
      <c r="K405" s="55">
        <f>'[49]2022-23'!$AM$194/10000000</f>
        <v>2.334635377344</v>
      </c>
      <c r="L405" s="55">
        <f>'[49]2022-23'!$AR$194/10000000</f>
        <v>2.2642888937053</v>
      </c>
      <c r="M405" s="55">
        <f>'[49]2022-23'!$AW$194/10000000</f>
        <v>0.9768163891</v>
      </c>
      <c r="N405" s="55">
        <f>'[49]2022-23'!$BB$194/10000000</f>
        <v>2.41546394673775</v>
      </c>
      <c r="O405" s="55">
        <f>'[49]2022-23'!$BG$194/10000000</f>
        <v>2.39628527345</v>
      </c>
      <c r="P405" s="55">
        <f>('[49]2022-23'!$BL$194+'[49]2022-23'!$BQ$194+'[49]2022-23'!$BV$194)/10000000</f>
        <v>2.84860886877775</v>
      </c>
      <c r="Q405" s="55">
        <f t="shared" si="185"/>
        <v>28.7325628276294</v>
      </c>
    </row>
    <row r="406" spans="3:17">
      <c r="C406" s="55"/>
      <c r="D406" s="55" t="s">
        <v>384</v>
      </c>
      <c r="E406" s="55"/>
      <c r="F406" s="55"/>
      <c r="G406" s="55"/>
      <c r="H406" s="55"/>
      <c r="I406" s="55"/>
      <c r="J406" s="55"/>
      <c r="K406" s="55">
        <f>'[49]2022-23'!AM192/10000000</f>
        <v>0.234945029055</v>
      </c>
      <c r="L406" s="55">
        <f>'[49]2022-23'!AR192/10000000</f>
        <v>0.3372798078992</v>
      </c>
      <c r="M406" s="55">
        <f>'[49]2022-23'!AW192/10000000</f>
        <v>0.3200253163</v>
      </c>
      <c r="N406" s="55">
        <f>'[49]2022-23'!BB192/10000000</f>
        <v>0.28748386145</v>
      </c>
      <c r="O406" s="55">
        <f>'[49]2022-23'!BG192/10000000</f>
        <v>0.33535047785</v>
      </c>
      <c r="P406" s="55">
        <f>('[49]2022-23'!BL192+'[49]2022-23'!BQ192+'[49]2022-23'!BV192)/10000000</f>
        <v>0.24666168505</v>
      </c>
      <c r="Q406" s="55">
        <f t="shared" si="185"/>
        <v>1.7617461776042</v>
      </c>
    </row>
    <row r="407" spans="3:17">
      <c r="C407" s="55"/>
      <c r="D407" s="55" t="s">
        <v>385</v>
      </c>
      <c r="E407" s="55"/>
      <c r="F407" s="55"/>
      <c r="G407" s="55"/>
      <c r="H407" s="55"/>
      <c r="I407" s="55"/>
      <c r="J407" s="55"/>
      <c r="K407" s="55">
        <f>'[49]2022-23'!AM193/10000000</f>
        <v>0.1970944784</v>
      </c>
      <c r="L407" s="55">
        <f>'[49]2022-23'!AR193/10000000</f>
        <v>0.0826392916</v>
      </c>
      <c r="M407" s="55">
        <f>'[49]2022-23'!AW193/10000000</f>
        <v>0.16391507765</v>
      </c>
      <c r="N407" s="55">
        <f>'[49]2022-23'!BB193/10000000</f>
        <v>0.0726209906</v>
      </c>
      <c r="O407" s="55">
        <f>'[49]2022-23'!BG193/10000000</f>
        <v>0.1854613161</v>
      </c>
      <c r="P407" s="55">
        <f>('[49]2022-23'!BL193+'[49]2022-23'!BQ193+'[49]2022-23'!BV193)/10000000</f>
        <v>0.0912545946</v>
      </c>
      <c r="Q407" s="55">
        <f t="shared" si="185"/>
        <v>0.79298574895</v>
      </c>
    </row>
    <row r="408" spans="3:17">
      <c r="C408" s="55"/>
      <c r="D408" s="55" t="s">
        <v>386</v>
      </c>
      <c r="E408" s="55">
        <f>'[49]2022-23'!I202/10000000</f>
        <v>7.57704958175</v>
      </c>
      <c r="F408" s="55">
        <f>'[49]2022-23'!N202/10000000</f>
        <v>10.684532447</v>
      </c>
      <c r="G408" s="55">
        <f>'[49]2022-23'!S202/10000000</f>
        <v>9.1422857764</v>
      </c>
      <c r="H408" s="55">
        <f>'[49]2022-23'!X202/10000000</f>
        <v>5.23512609275</v>
      </c>
      <c r="I408" s="55">
        <f>'[49]2022-23'!AC202/10000000</f>
        <v>5.320599564</v>
      </c>
      <c r="J408" s="55">
        <f>'[49]2022-23'!AH202/10000000</f>
        <v>6.3584838854</v>
      </c>
      <c r="K408" s="55">
        <f>'[49]2022-23'!AM202/10000000</f>
        <v>3.51820416855</v>
      </c>
      <c r="L408" s="55">
        <f>'[49]2022-23'!AR202/10000000</f>
        <v>4.54639596485</v>
      </c>
      <c r="M408" s="55">
        <f>'[49]2022-23'!AW202/10000000</f>
        <v>4.5947082637085</v>
      </c>
      <c r="N408" s="55">
        <f>'[49]2022-23'!BB202/10000000</f>
        <v>4.1271272408</v>
      </c>
      <c r="O408" s="55">
        <f>'[49]2022-23'!BG202/10000000</f>
        <v>6.25762916757825</v>
      </c>
      <c r="P408" s="55">
        <f>('[49]2022-23'!BL202+'[49]2022-23'!BQ202+'[49]2022-23'!BV202)/10000000</f>
        <v>6.59377180375</v>
      </c>
      <c r="Q408" s="55">
        <f t="shared" si="185"/>
        <v>73.9559139565367</v>
      </c>
    </row>
    <row r="409" spans="3:17">
      <c r="C409" s="55"/>
      <c r="D409" s="55" t="s">
        <v>387</v>
      </c>
      <c r="E409" s="55">
        <f>'[49]2022-23'!I203/10000000</f>
        <v>6.66958452645</v>
      </c>
      <c r="F409" s="55">
        <f>'[49]2022-23'!N203/10000000</f>
        <v>19.0471229169465</v>
      </c>
      <c r="G409" s="55">
        <f>'[49]2022-23'!S203/10000000</f>
        <v>10.9150685195</v>
      </c>
      <c r="H409" s="55">
        <f>'[49]2022-23'!X203/10000000</f>
        <v>9.36017351565</v>
      </c>
      <c r="I409" s="55">
        <f>'[49]2022-23'!AC203/10000000</f>
        <v>10.5450898187</v>
      </c>
      <c r="J409" s="55">
        <f>'[49]2022-23'!AH203/10000000</f>
        <v>6.48854483335</v>
      </c>
      <c r="K409" s="55">
        <f>'[49]2022-23'!AM203/10000000</f>
        <v>5.8831777308</v>
      </c>
      <c r="L409" s="55">
        <f>'[49]2022-23'!AR203/10000000</f>
        <v>5.08272838</v>
      </c>
      <c r="M409" s="55">
        <f>'[49]2022-23'!AW203/10000000</f>
        <v>9.7880245587</v>
      </c>
      <c r="N409" s="55">
        <f>'[49]2022-23'!BB203/10000000</f>
        <v>9.92054169555</v>
      </c>
      <c r="O409" s="55">
        <f>'[49]2022-23'!BG203/10000000</f>
        <v>10.59098101745</v>
      </c>
      <c r="P409" s="55">
        <f>('[49]2022-23'!BL203+'[49]2022-23'!BQ203+'[49]2022-23'!BV203)/10000000</f>
        <v>28.50587867695</v>
      </c>
      <c r="Q409" s="55">
        <f t="shared" si="185"/>
        <v>132.796916190047</v>
      </c>
    </row>
    <row r="410" spans="3:17">
      <c r="C410" s="55"/>
      <c r="D410" s="731" t="s">
        <v>467</v>
      </c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>
        <f t="shared" si="185"/>
        <v>0</v>
      </c>
    </row>
    <row r="411" spans="3:17">
      <c r="C411" s="55"/>
      <c r="D411" s="731" t="s">
        <v>468</v>
      </c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>
        <f t="shared" si="185"/>
        <v>0</v>
      </c>
    </row>
    <row r="412" spans="3:17">
      <c r="C412" s="55"/>
      <c r="D412" s="687" t="s">
        <v>470</v>
      </c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>
        <f t="shared" si="185"/>
        <v>0</v>
      </c>
    </row>
    <row r="413" spans="3:17">
      <c r="C413" s="55"/>
      <c r="D413" s="687" t="s">
        <v>471</v>
      </c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>
        <f t="shared" si="185"/>
        <v>0</v>
      </c>
    </row>
    <row r="414" spans="3:17">
      <c r="C414" s="55"/>
      <c r="D414" s="731" t="s">
        <v>472</v>
      </c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>
        <f t="shared" si="185"/>
        <v>0</v>
      </c>
    </row>
    <row r="415" spans="3:17">
      <c r="C415" s="55"/>
      <c r="D415" s="731" t="s">
        <v>473</v>
      </c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>
        <f t="shared" si="185"/>
        <v>0</v>
      </c>
    </row>
    <row r="416" spans="3:17">
      <c r="C416" s="55"/>
      <c r="D416" s="679" t="s">
        <v>498</v>
      </c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>
        <f>'[49]2022-23'!$BV$201/10000000</f>
        <v>0.52445293305</v>
      </c>
      <c r="Q416" s="55">
        <f t="shared" si="185"/>
        <v>0.52445293305</v>
      </c>
    </row>
    <row r="417" spans="3:17"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>
        <f t="shared" si="185"/>
        <v>0</v>
      </c>
    </row>
    <row r="418" spans="3:17"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>
        <f t="shared" si="185"/>
        <v>0</v>
      </c>
    </row>
    <row r="419" ht="15" spans="3:17">
      <c r="C419" s="537" t="s">
        <v>211</v>
      </c>
      <c r="D419" s="540"/>
      <c r="E419" s="55">
        <f t="shared" ref="E419:P419" si="186">SUM(E394:E418)</f>
        <v>143.463475766797</v>
      </c>
      <c r="F419" s="55">
        <f t="shared" si="186"/>
        <v>159.988535699057</v>
      </c>
      <c r="G419" s="55">
        <f t="shared" si="186"/>
        <v>167.973895721849</v>
      </c>
      <c r="H419" s="55">
        <f t="shared" si="186"/>
        <v>150.886314305093</v>
      </c>
      <c r="I419" s="55">
        <f t="shared" si="186"/>
        <v>141.200155064577</v>
      </c>
      <c r="J419" s="55">
        <f t="shared" si="186"/>
        <v>132.994941831828</v>
      </c>
      <c r="K419" s="55">
        <f t="shared" si="186"/>
        <v>76.3446267836755</v>
      </c>
      <c r="L419" s="55">
        <f t="shared" si="186"/>
        <v>69.2942805011535</v>
      </c>
      <c r="M419" s="55">
        <f t="shared" si="186"/>
        <v>115.796627798353</v>
      </c>
      <c r="N419" s="55">
        <f t="shared" si="186"/>
        <v>145.71676073933</v>
      </c>
      <c r="O419" s="55">
        <f t="shared" si="186"/>
        <v>179.406708297271</v>
      </c>
      <c r="P419" s="55">
        <f t="shared" si="186"/>
        <v>262.055954937236</v>
      </c>
      <c r="Q419" s="316">
        <f t="shared" si="185"/>
        <v>1745.12227744622</v>
      </c>
    </row>
    <row r="420" ht="15" spans="3:17">
      <c r="C420" s="44" t="s">
        <v>388</v>
      </c>
      <c r="D420" s="4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</row>
    <row r="421" spans="3:17">
      <c r="C421" s="682" t="s">
        <v>389</v>
      </c>
      <c r="D421" s="55" t="s">
        <v>390</v>
      </c>
      <c r="E421" s="55">
        <f>'[49]2022-23'!$I$188/10000000</f>
        <v>0.43599473375</v>
      </c>
      <c r="F421" s="55">
        <f>'[49]2022-23'!$N$188/10000000</f>
        <v>0.33468926645</v>
      </c>
      <c r="G421" s="55">
        <f>'[49]2022-23'!$S$188/10000000</f>
        <v>0.3983237957</v>
      </c>
      <c r="H421" s="55">
        <f>'[49]2022-23'!$X$188/10000000</f>
        <v>0.55339268235</v>
      </c>
      <c r="I421" s="55">
        <f>'[49]2022-23'!$AC$188/10000000</f>
        <v>0.40008057655</v>
      </c>
      <c r="J421" s="55">
        <f>'[49]2022-23'!$AH$188/10000000</f>
        <v>0.49196010015</v>
      </c>
      <c r="K421" s="55">
        <f>'[49]2022-23'!$AM$188/10000000</f>
        <v>0.4721720856</v>
      </c>
      <c r="L421" s="55">
        <f>'[49]2022-23'!$AR$188/10000000</f>
        <v>0.52259269435</v>
      </c>
      <c r="M421" s="55">
        <f>'[49]2022-23'!$AW$188/10000000</f>
        <v>0.5447676903</v>
      </c>
      <c r="N421" s="55">
        <f>'[49]2022-23'!$BB$188/10000000</f>
        <v>0.5423642758</v>
      </c>
      <c r="O421" s="55">
        <f>'[49]2022-23'!$BG$188/10000000</f>
        <v>0.3711181802</v>
      </c>
      <c r="P421" s="55">
        <f>('[49]2022-23'!$BL$188+'[49]2022-23'!$BQ$188+'[49]2022-23'!$BV$188)/10000000</f>
        <v>0.50965224655</v>
      </c>
      <c r="Q421" s="55">
        <f t="shared" ref="Q421:Q436" si="187">SUM(E421:P421)</f>
        <v>5.57710832775</v>
      </c>
    </row>
    <row r="422" spans="3:17">
      <c r="C422" s="683"/>
      <c r="D422" s="55" t="s">
        <v>391</v>
      </c>
      <c r="E422" s="55">
        <f>'[49]2022-23'!$I$187/10000000</f>
        <v>9.75065825145</v>
      </c>
      <c r="F422" s="55">
        <f>'[49]2022-23'!$N$187/10000000</f>
        <v>10.1228503848</v>
      </c>
      <c r="G422" s="55">
        <f>'[49]2022-23'!$S$187/10000000</f>
        <v>10.8331156485</v>
      </c>
      <c r="H422" s="55">
        <f>'[49]2022-23'!$X$187/10000000</f>
        <v>10.22600369235</v>
      </c>
      <c r="I422" s="55">
        <f>'[49]2022-23'!$AC$187/10000000</f>
        <v>9.9853850295</v>
      </c>
      <c r="J422" s="55">
        <f>'[49]2022-23'!$AH$187/10000000</f>
        <v>7.8640911631</v>
      </c>
      <c r="K422" s="55">
        <f>'[49]2022-23'!$AM$187/10000000</f>
        <v>9.49460599215</v>
      </c>
      <c r="L422" s="55">
        <f>'[49]2022-23'!$AR$187/10000000</f>
        <v>8.96591988665</v>
      </c>
      <c r="M422" s="55">
        <f>'[49]2022-23'!$AW$187/10000000</f>
        <v>7.2268164875</v>
      </c>
      <c r="N422" s="55">
        <f>'[49]2022-23'!$BB$187/10000000</f>
        <v>9.97498190535</v>
      </c>
      <c r="O422" s="55">
        <f>'[49]2022-23'!$BG$187/10000000</f>
        <v>8.8339257229</v>
      </c>
      <c r="P422" s="55">
        <f>('[49]2022-23'!$BL$187+'[49]2022-23'!$BQ$187+'[49]2022-23'!$BV$187)/10000000</f>
        <v>19.4273868721</v>
      </c>
      <c r="Q422" s="55">
        <f t="shared" si="187"/>
        <v>122.70574103635</v>
      </c>
    </row>
    <row r="423" spans="3:17">
      <c r="C423" s="683"/>
      <c r="D423" s="55" t="s">
        <v>392</v>
      </c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>
        <f t="shared" si="187"/>
        <v>0</v>
      </c>
    </row>
    <row r="424" spans="3:17">
      <c r="C424" s="684"/>
      <c r="D424" s="55" t="s">
        <v>393</v>
      </c>
      <c r="E424" s="55">
        <f>'[49]2022-23'!$I$189/10000000</f>
        <v>0</v>
      </c>
      <c r="F424" s="55">
        <f>'[49]2022-23'!$N$189/10000000</f>
        <v>0</v>
      </c>
      <c r="G424" s="55">
        <f>'[49]2022-23'!$S$189/10000000</f>
        <v>5.16381162195</v>
      </c>
      <c r="H424" s="55">
        <f>'[49]2022-23'!$X$189/10000000</f>
        <v>4.1079317897</v>
      </c>
      <c r="I424" s="55">
        <f>'[49]2022-23'!$AC$189/10000000</f>
        <v>4.31193191025</v>
      </c>
      <c r="J424" s="55">
        <f>'[49]2022-23'!$AH$189/10000000</f>
        <v>4.4465164371</v>
      </c>
      <c r="K424" s="55">
        <f>'[49]2022-23'!$AM$189/10000000</f>
        <v>4.610211376</v>
      </c>
      <c r="L424" s="55">
        <f>'[49]2022-23'!$AR$189/10000000</f>
        <v>4.6278845566</v>
      </c>
      <c r="M424" s="55">
        <f>'[49]2022-23'!$AW$189/10000000</f>
        <v>4.81843497995</v>
      </c>
      <c r="N424" s="55">
        <f>'[49]2022-23'!$BB$189/10000000</f>
        <v>4.2125454344</v>
      </c>
      <c r="O424" s="55">
        <f>'[49]2022-23'!$BG$189/10000000</f>
        <v>4.4789516658</v>
      </c>
      <c r="P424" s="55">
        <f>('[49]2022-23'!$BL$189+'[49]2022-23'!$BQ$189+'[49]2022-23'!$BV$189)/10000000</f>
        <v>4.9825168624</v>
      </c>
      <c r="Q424" s="55">
        <f t="shared" si="187"/>
        <v>45.76073663415</v>
      </c>
    </row>
    <row r="425" spans="3:17"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>
        <f t="shared" si="187"/>
        <v>0</v>
      </c>
    </row>
    <row r="426" spans="3:17"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>
        <f t="shared" si="187"/>
        <v>0</v>
      </c>
    </row>
    <row r="427" spans="3:17"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>
        <f t="shared" si="187"/>
        <v>0</v>
      </c>
    </row>
    <row r="428" spans="3:17"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>
        <f t="shared" si="187"/>
        <v>0</v>
      </c>
    </row>
    <row r="429" spans="3:17"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>
        <f t="shared" si="187"/>
        <v>0</v>
      </c>
    </row>
    <row r="430" spans="3:17"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>
        <f t="shared" si="187"/>
        <v>0</v>
      </c>
    </row>
    <row r="431" spans="3:17"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>
        <f t="shared" si="187"/>
        <v>0</v>
      </c>
    </row>
    <row r="432" spans="3:17"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>
        <f t="shared" si="187"/>
        <v>0</v>
      </c>
    </row>
    <row r="433" spans="3:17"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>
        <f t="shared" si="187"/>
        <v>0</v>
      </c>
    </row>
    <row r="434" spans="3:17"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>
        <f t="shared" si="187"/>
        <v>0</v>
      </c>
    </row>
    <row r="435" ht="15" spans="3:17">
      <c r="C435" s="537" t="s">
        <v>211</v>
      </c>
      <c r="D435" s="540"/>
      <c r="E435" s="55">
        <f t="shared" ref="E435:P435" si="188">SUM(E421:E434)</f>
        <v>10.1866529852</v>
      </c>
      <c r="F435" s="55">
        <f t="shared" si="188"/>
        <v>10.45753965125</v>
      </c>
      <c r="G435" s="55">
        <f t="shared" si="188"/>
        <v>16.39525106615</v>
      </c>
      <c r="H435" s="55">
        <f t="shared" si="188"/>
        <v>14.8873281644</v>
      </c>
      <c r="I435" s="55">
        <f t="shared" si="188"/>
        <v>14.6973975163</v>
      </c>
      <c r="J435" s="55">
        <f t="shared" si="188"/>
        <v>12.80256770035</v>
      </c>
      <c r="K435" s="55">
        <f t="shared" si="188"/>
        <v>14.57698945375</v>
      </c>
      <c r="L435" s="55">
        <f t="shared" si="188"/>
        <v>14.1163971376</v>
      </c>
      <c r="M435" s="55">
        <f t="shared" si="188"/>
        <v>12.59001915775</v>
      </c>
      <c r="N435" s="55">
        <f t="shared" si="188"/>
        <v>14.72989161555</v>
      </c>
      <c r="O435" s="55">
        <f t="shared" si="188"/>
        <v>13.6839955689</v>
      </c>
      <c r="P435" s="55">
        <f t="shared" si="188"/>
        <v>24.91955598105</v>
      </c>
      <c r="Q435" s="54">
        <f t="shared" si="187"/>
        <v>174.04358599825</v>
      </c>
    </row>
    <row r="436" ht="15" spans="3:17">
      <c r="C436" s="44" t="s">
        <v>395</v>
      </c>
      <c r="D436" s="45"/>
      <c r="E436" s="55">
        <f t="shared" ref="E436:P436" si="189">E419+E435</f>
        <v>153.650128751997</v>
      </c>
      <c r="F436" s="55">
        <f t="shared" si="189"/>
        <v>170.446075350307</v>
      </c>
      <c r="G436" s="55">
        <f t="shared" si="189"/>
        <v>184.369146787999</v>
      </c>
      <c r="H436" s="55">
        <f t="shared" si="189"/>
        <v>165.773642469493</v>
      </c>
      <c r="I436" s="55">
        <f t="shared" si="189"/>
        <v>155.897552580877</v>
      </c>
      <c r="J436" s="55">
        <f t="shared" si="189"/>
        <v>145.797509532178</v>
      </c>
      <c r="K436" s="55">
        <f t="shared" si="189"/>
        <v>90.9216162374255</v>
      </c>
      <c r="L436" s="55">
        <f t="shared" si="189"/>
        <v>83.4106776387535</v>
      </c>
      <c r="M436" s="55">
        <f t="shared" si="189"/>
        <v>128.386646956103</v>
      </c>
      <c r="N436" s="55">
        <f t="shared" si="189"/>
        <v>160.44665235488</v>
      </c>
      <c r="O436" s="55">
        <f t="shared" si="189"/>
        <v>193.090703866171</v>
      </c>
      <c r="P436" s="55">
        <f t="shared" si="189"/>
        <v>286.975510918286</v>
      </c>
      <c r="Q436" s="54">
        <f t="shared" si="187"/>
        <v>1919.16586344447</v>
      </c>
    </row>
    <row r="437" ht="15" spans="3:17">
      <c r="C437" s="663" t="s">
        <v>396</v>
      </c>
      <c r="D437" s="676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</row>
    <row r="438" spans="3:17">
      <c r="C438" s="55" t="s">
        <v>397</v>
      </c>
      <c r="D438" s="55" t="s">
        <v>397</v>
      </c>
      <c r="E438" s="55">
        <f>'[49]2022-23'!I206/10000000</f>
        <v>27.9367751264</v>
      </c>
      <c r="F438" s="55">
        <f>'[49]2022-23'!N206/10000000</f>
        <v>32.67985998425</v>
      </c>
      <c r="G438" s="55">
        <f>'[49]2022-23'!S206/10000000</f>
        <v>18.1644475944</v>
      </c>
      <c r="H438" s="55">
        <f>'[49]2022-23'!X206/10000000</f>
        <v>29.9915930981</v>
      </c>
      <c r="I438" s="55">
        <f>'[49]2022-23'!AC206/10000000</f>
        <v>31.02989552115</v>
      </c>
      <c r="J438" s="55">
        <f>'[49]2022-23'!AH206/10000000</f>
        <v>22.17092057065</v>
      </c>
      <c r="K438" s="55">
        <f>'[49]2022-23'!AM206/10000000</f>
        <v>17.3879309039</v>
      </c>
      <c r="L438" s="55">
        <f>'[49]2022-23'!AR206/10000000</f>
        <v>26.83749312105</v>
      </c>
      <c r="M438" s="55">
        <f>'[49]2022-23'!AW206/10000000</f>
        <v>26.0133241218</v>
      </c>
      <c r="N438" s="55">
        <f>'[49]2022-23'!BB206/10000000</f>
        <v>28.5910640683</v>
      </c>
      <c r="O438" s="55">
        <f>'[49]2022-23'!BG206/10000000</f>
        <v>32.3720080316</v>
      </c>
      <c r="P438" s="55">
        <f>('[49]2022-23'!BL206+'[49]2022-23'!BQ206+'[49]2022-23'!BV206)/10000000</f>
        <v>95.0564371079</v>
      </c>
      <c r="Q438" s="55">
        <f t="shared" ref="Q438:Q443" si="190">SUM(E438:P438)</f>
        <v>388.2317492495</v>
      </c>
    </row>
    <row r="439" spans="3:17">
      <c r="C439" s="55" t="s">
        <v>398</v>
      </c>
      <c r="D439" s="55" t="s">
        <v>398</v>
      </c>
      <c r="E439" s="55">
        <f>'[49]2022-23'!I207/10000000</f>
        <v>11.78930970455</v>
      </c>
      <c r="F439" s="55">
        <f>'[49]2022-23'!N207/10000000</f>
        <v>12.63486114135</v>
      </c>
      <c r="G439" s="55">
        <f>'[49]2022-23'!S207/10000000</f>
        <v>7.8065356145</v>
      </c>
      <c r="H439" s="55">
        <f>'[49]2022-23'!X207/10000000</f>
        <v>12.87787600345</v>
      </c>
      <c r="I439" s="55">
        <f>'[49]2022-23'!AC207/10000000</f>
        <v>13.3850770676</v>
      </c>
      <c r="J439" s="55">
        <f>'[49]2022-23'!AH207/10000000</f>
        <v>11.7201668473</v>
      </c>
      <c r="K439" s="55">
        <f>'[49]2022-23'!AM207/10000000</f>
        <v>13.5655185278305</v>
      </c>
      <c r="L439" s="55">
        <f>'[49]2022-23'!AR207/10000000</f>
        <v>22.24746088505</v>
      </c>
      <c r="M439" s="55">
        <f>'[49]2022-23'!AW207/10000000</f>
        <v>14.36616267595</v>
      </c>
      <c r="N439" s="55">
        <f>'[49]2022-23'!BB207/10000000</f>
        <v>13.93831125005</v>
      </c>
      <c r="O439" s="55">
        <f>'[49]2022-23'!BG207/10000000</f>
        <v>14.5657374039</v>
      </c>
      <c r="P439" s="55">
        <f>('[49]2022-23'!BL207+'[49]2022-23'!BQ207+'[49]2022-23'!BV207)/10000000</f>
        <v>-25.026673138444</v>
      </c>
      <c r="Q439" s="55">
        <f t="shared" si="190"/>
        <v>123.870343983086</v>
      </c>
    </row>
    <row r="440" spans="3:17"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>
        <f t="shared" si="190"/>
        <v>0</v>
      </c>
    </row>
    <row r="441" spans="3:17"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>
        <f t="shared" si="190"/>
        <v>0</v>
      </c>
    </row>
    <row r="442" spans="3:17"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>
        <f t="shared" si="190"/>
        <v>0</v>
      </c>
    </row>
    <row r="443" spans="3:17"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>
        <f t="shared" si="190"/>
        <v>0</v>
      </c>
    </row>
    <row r="444" spans="3:17"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</row>
    <row r="445" ht="15" spans="3:17">
      <c r="C445" s="44" t="s">
        <v>399</v>
      </c>
      <c r="D445" s="45"/>
      <c r="E445" s="55">
        <f t="shared" ref="E445:P445" si="191">SUM(E438:E444)</f>
        <v>39.72608483095</v>
      </c>
      <c r="F445" s="55">
        <f t="shared" si="191"/>
        <v>45.3147211256</v>
      </c>
      <c r="G445" s="55">
        <f t="shared" si="191"/>
        <v>25.9709832089</v>
      </c>
      <c r="H445" s="55">
        <f t="shared" si="191"/>
        <v>42.86946910155</v>
      </c>
      <c r="I445" s="55">
        <f t="shared" si="191"/>
        <v>44.41497258875</v>
      </c>
      <c r="J445" s="55">
        <f t="shared" si="191"/>
        <v>33.89108741795</v>
      </c>
      <c r="K445" s="55">
        <f t="shared" si="191"/>
        <v>30.9534494317305</v>
      </c>
      <c r="L445" s="55">
        <f t="shared" si="191"/>
        <v>49.0849540061</v>
      </c>
      <c r="M445" s="55">
        <f t="shared" si="191"/>
        <v>40.37948679775</v>
      </c>
      <c r="N445" s="55">
        <f t="shared" si="191"/>
        <v>42.52937531835</v>
      </c>
      <c r="O445" s="55">
        <f t="shared" si="191"/>
        <v>46.9377454355</v>
      </c>
      <c r="P445" s="55">
        <f t="shared" si="191"/>
        <v>70.029763969456</v>
      </c>
      <c r="Q445" s="316">
        <f>SUM(E445:P445)</f>
        <v>512.102093232587</v>
      </c>
    </row>
    <row r="446" ht="15" spans="3:17">
      <c r="C446" s="663" t="s">
        <v>400</v>
      </c>
      <c r="D446" s="676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</row>
    <row r="447" spans="3:17">
      <c r="C447" s="55" t="s">
        <v>401</v>
      </c>
      <c r="D447" s="55" t="s">
        <v>401</v>
      </c>
      <c r="E447" s="55">
        <f>'[49]2022-23'!I231/10000000</f>
        <v>68.12677924</v>
      </c>
      <c r="F447" s="55">
        <f>'[49]2022-23'!N231/10000000</f>
        <v>61.4832333728</v>
      </c>
      <c r="G447" s="55">
        <f>'[49]2022-23'!S231/10000000</f>
        <v>68.0767463405</v>
      </c>
      <c r="H447" s="55">
        <f>'[49]2022-23'!X231/10000000</f>
        <v>73.2244602096</v>
      </c>
      <c r="I447" s="55">
        <f>'[49]2022-23'!AC231/10000000</f>
        <v>69.2372151678</v>
      </c>
      <c r="J447" s="55">
        <f>'[49]2022-23'!AH231/10000000</f>
        <v>75.8119048146</v>
      </c>
      <c r="K447" s="55">
        <f>'[49]2022-23'!AM231/10000000</f>
        <v>76.873380353</v>
      </c>
      <c r="L447" s="55">
        <f>'[49]2022-23'!AR231/10000000</f>
        <v>79.7536801755</v>
      </c>
      <c r="M447" s="55">
        <f>'[49]2022-23'!AW231/10000000</f>
        <v>78.83072038555</v>
      </c>
      <c r="N447" s="55">
        <f>'[49]2022-23'!BB231/10000000</f>
        <v>83.00906182425</v>
      </c>
      <c r="O447" s="55">
        <f>'[49]2022-23'!BG231/10000000</f>
        <v>36.0361965864</v>
      </c>
      <c r="P447" s="55">
        <f>('[49]2022-23'!BL231+'[49]2022-23'!BQ231+'[49]2022-23'!BV231)/10000000</f>
        <v>121.2485742672</v>
      </c>
      <c r="Q447" s="55">
        <f t="shared" ref="Q447:Q455" si="192">SUM(E447:P447)</f>
        <v>891.7119527372</v>
      </c>
    </row>
    <row r="448" spans="3:17">
      <c r="C448" s="55" t="s">
        <v>402</v>
      </c>
      <c r="D448" s="55" t="s">
        <v>402</v>
      </c>
      <c r="E448" s="55">
        <f>'[49]2022-23'!I232/10000000</f>
        <v>0</v>
      </c>
      <c r="F448" s="55">
        <f>'[49]2022-23'!N232/10000000</f>
        <v>0</v>
      </c>
      <c r="G448" s="55">
        <f>'[49]2022-23'!S232/10000000</f>
        <v>0</v>
      </c>
      <c r="H448" s="55">
        <f>'[49]2022-23'!X232/10000000</f>
        <v>0</v>
      </c>
      <c r="I448" s="55">
        <f>'[49]2022-23'!AC232/10000000</f>
        <v>0</v>
      </c>
      <c r="J448" s="55">
        <f>'[49]2022-23'!AH232/10000000</f>
        <v>0</v>
      </c>
      <c r="K448" s="55">
        <f>'[49]2022-23'!AM232/10000000</f>
        <v>0</v>
      </c>
      <c r="L448" s="55">
        <f>'[49]2022-23'!AR232/10000000</f>
        <v>0</v>
      </c>
      <c r="M448" s="55">
        <f>'[49]2022-23'!AW232/10000000</f>
        <v>0</v>
      </c>
      <c r="N448" s="55">
        <f>'[49]2022-23'!BB232/10000000</f>
        <v>0</v>
      </c>
      <c r="O448" s="55">
        <f>'[49]2022-23'!BG232/10000000</f>
        <v>0</v>
      </c>
      <c r="P448" s="55">
        <f>('[49]2022-23'!BL232+'[49]2022-23'!BQ232+'[49]2022-23'!BV232)/10000000</f>
        <v>216.5118019126</v>
      </c>
      <c r="Q448" s="55">
        <f t="shared" si="192"/>
        <v>216.5118019126</v>
      </c>
    </row>
    <row r="449" spans="3:17">
      <c r="C449" s="55" t="s">
        <v>403</v>
      </c>
      <c r="D449" s="55" t="s">
        <v>403</v>
      </c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>
        <f t="shared" si="192"/>
        <v>0</v>
      </c>
    </row>
    <row r="450" spans="3:17"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>
        <f t="shared" si="192"/>
        <v>0</v>
      </c>
    </row>
    <row r="451" spans="3:17"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>
        <f t="shared" si="192"/>
        <v>0</v>
      </c>
    </row>
    <row r="452" spans="3:17"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>
        <f t="shared" si="192"/>
        <v>0</v>
      </c>
    </row>
    <row r="453" spans="3:17"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>
        <f t="shared" si="192"/>
        <v>0</v>
      </c>
    </row>
    <row r="454" spans="3:17"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>
        <f t="shared" si="192"/>
        <v>0</v>
      </c>
    </row>
    <row r="455" ht="15" spans="3:17">
      <c r="C455" s="44" t="s">
        <v>404</v>
      </c>
      <c r="D455" s="45"/>
      <c r="E455" s="55">
        <f t="shared" ref="E455:P455" si="193">SUM(E447:E454)</f>
        <v>68.12677924</v>
      </c>
      <c r="F455" s="55">
        <f t="shared" si="193"/>
        <v>61.4832333728</v>
      </c>
      <c r="G455" s="55">
        <f t="shared" si="193"/>
        <v>68.0767463405</v>
      </c>
      <c r="H455" s="55">
        <f t="shared" si="193"/>
        <v>73.2244602096</v>
      </c>
      <c r="I455" s="55">
        <f t="shared" si="193"/>
        <v>69.2372151678</v>
      </c>
      <c r="J455" s="55">
        <f t="shared" si="193"/>
        <v>75.8119048146</v>
      </c>
      <c r="K455" s="55">
        <f t="shared" si="193"/>
        <v>76.873380353</v>
      </c>
      <c r="L455" s="55">
        <f t="shared" si="193"/>
        <v>79.7536801755</v>
      </c>
      <c r="M455" s="55">
        <f t="shared" si="193"/>
        <v>78.83072038555</v>
      </c>
      <c r="N455" s="55">
        <f t="shared" si="193"/>
        <v>83.00906182425</v>
      </c>
      <c r="O455" s="55">
        <f t="shared" si="193"/>
        <v>36.0361965864</v>
      </c>
      <c r="P455" s="55">
        <f t="shared" si="193"/>
        <v>337.7603761798</v>
      </c>
      <c r="Q455" s="316">
        <f t="shared" si="192"/>
        <v>1108.2237546498</v>
      </c>
    </row>
    <row r="456" ht="15" spans="3:17">
      <c r="C456" s="663" t="s">
        <v>405</v>
      </c>
      <c r="D456" s="676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</row>
    <row r="457" spans="3:17">
      <c r="C457" s="55"/>
      <c r="D457" s="55" t="s">
        <v>406</v>
      </c>
      <c r="E457" s="55">
        <f>'[49]NCEs NP 22-23'!$F$47/10000000</f>
        <v>4.39132631182102</v>
      </c>
      <c r="F457" s="55">
        <f>'[49]NCEs NP 22-23'!$H$47/10000000</f>
        <v>2.46880526588889</v>
      </c>
      <c r="G457" s="55">
        <f>'[49]NCEs NP 22-23'!$J$47/10000000</f>
        <v>2.95910514670968</v>
      </c>
      <c r="H457" s="55">
        <f>'[49]NCEs NP 22-23'!$L$47/10000000</f>
        <v>1.65282621533333</v>
      </c>
      <c r="I457" s="55">
        <f>'[49]NCEs NP 22-23'!$N$47/10000000</f>
        <v>0</v>
      </c>
      <c r="J457" s="55">
        <f>'[49]NCEs NP 22-23'!$P$47/10000000</f>
        <v>0.947384007000001</v>
      </c>
      <c r="K457" s="55">
        <f>'[49]NCEs NP 22-23'!$R$47/10000000</f>
        <v>0.394685679722227</v>
      </c>
      <c r="L457" s="55">
        <f>'[49]NCEs NP 22-23'!$T$47/10000000</f>
        <v>0.351072831669634</v>
      </c>
      <c r="M457" s="55">
        <f>'[49]NCEs NP 22-23'!$V$47/10000000</f>
        <v>0</v>
      </c>
      <c r="N457" s="55">
        <f>'[49]NCEs NP 22-23'!$X$47/10000000</f>
        <v>0</v>
      </c>
      <c r="O457" s="55">
        <f>'[49]NCEs NP 22-23'!$Z$47/10000000</f>
        <v>0</v>
      </c>
      <c r="P457" s="55">
        <f>('[49]NCEs NP 22-23'!$AB$47+'[49]NCEs NP 22-23'!$AD$47)/10000000</f>
        <v>0</v>
      </c>
      <c r="Q457" s="55">
        <f t="shared" ref="Q457:Q481" si="194">SUM(E457:P457)</f>
        <v>13.1652054581448</v>
      </c>
    </row>
    <row r="458" spans="3:17">
      <c r="C458" s="55"/>
      <c r="D458" s="55" t="s">
        <v>407</v>
      </c>
      <c r="E458" s="55">
        <f>'[49]NCEs NP 22-23'!$F$52/10000000</f>
        <v>12.459997215</v>
      </c>
      <c r="F458" s="55">
        <f>'[49]NCEs NP 22-23'!$H$52/10000000</f>
        <v>0</v>
      </c>
      <c r="G458" s="55">
        <f>'[49]NCEs NP 22-23'!$J$52/10000000</f>
        <v>-0.0451789035000004</v>
      </c>
      <c r="H458" s="55">
        <f>'[49]NCEs NP 22-23'!$L$52/10000000</f>
        <v>-0.0464898531</v>
      </c>
      <c r="I458" s="55">
        <f>'[49]NCEs NP 22-23'!$N$52/10000000</f>
        <v>-0.0495465976999999</v>
      </c>
      <c r="J458" s="55">
        <f>'[49]NCEs NP 22-23'!$P$52/10000000</f>
        <v>-0.0526572824999998</v>
      </c>
      <c r="K458" s="55">
        <f>'[49]NCEs NP 22-23'!$R$52/10000000</f>
        <v>-0.0547175460000001</v>
      </c>
      <c r="L458" s="55">
        <f>'[49]NCEs NP 22-23'!$T$52/10000000</f>
        <v>2.25169183226801</v>
      </c>
      <c r="M458" s="55">
        <f>'[49]NCEs NP 22-23'!$V$52/10000000</f>
        <v>9.00377499349599</v>
      </c>
      <c r="N458" s="55">
        <f>'[49]NCEs NP 22-23'!$X$52/10000000</f>
        <v>7.12800898893601</v>
      </c>
      <c r="O458" s="55">
        <f>'[49]NCEs NP 22-23'!$Z$52/10000000</f>
        <v>8.722974784312</v>
      </c>
      <c r="P458" s="55">
        <f>('[49]NCEs NP 22-23'!$AB$52+'[49]NCEs NP 22-23'!$AD$52)/10000000</f>
        <v>10.220007086458</v>
      </c>
      <c r="Q458" s="55">
        <f t="shared" si="194"/>
        <v>49.53786471767</v>
      </c>
    </row>
    <row r="459" spans="3:17">
      <c r="C459" s="55"/>
      <c r="D459" s="55" t="s">
        <v>408</v>
      </c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>
        <f t="shared" si="194"/>
        <v>0</v>
      </c>
    </row>
    <row r="460" spans="3:17">
      <c r="C460" s="55"/>
      <c r="D460" s="55" t="s">
        <v>409</v>
      </c>
      <c r="E460" s="55">
        <f>'[49]NCEs NP 22-23'!$F$55/10000000</f>
        <v>0</v>
      </c>
      <c r="F460" s="55">
        <f>'[49]NCEs NP 22-23'!$H$55/10000000</f>
        <v>0</v>
      </c>
      <c r="G460" s="55"/>
      <c r="H460" s="55"/>
      <c r="I460" s="55"/>
      <c r="J460" s="55"/>
      <c r="K460" s="55"/>
      <c r="L460" s="55"/>
      <c r="M460" s="55"/>
      <c r="N460" s="55"/>
      <c r="O460" s="55"/>
      <c r="P460" s="55">
        <f>'[49]NCEs NP 22-23'!$AD$55/10000000</f>
        <v>-0.2228549</v>
      </c>
      <c r="Q460" s="55">
        <f t="shared" si="194"/>
        <v>-0.2228549</v>
      </c>
    </row>
    <row r="461" spans="3:17">
      <c r="C461" s="55"/>
      <c r="D461" s="55" t="s">
        <v>410</v>
      </c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>
        <f t="shared" si="194"/>
        <v>0</v>
      </c>
    </row>
    <row r="462" spans="3:17">
      <c r="C462" s="55"/>
      <c r="D462" s="55" t="s">
        <v>368</v>
      </c>
      <c r="E462" s="55">
        <f>'[49]NCEs NP 22-23'!$F$43/10000000</f>
        <v>0</v>
      </c>
      <c r="F462" s="55">
        <f>'[49]NCEs NP 22-23'!$H$43/10000000</f>
        <v>0</v>
      </c>
      <c r="G462" s="55">
        <f>'[49]NCEs NP 22-23'!$J$43/10000000</f>
        <v>0</v>
      </c>
      <c r="H462" s="55">
        <f>'[49]NCEs NP 22-23'!$L$43/10000000</f>
        <v>0.0117027160332327</v>
      </c>
      <c r="I462" s="55">
        <f>'[49]NCEs NP 22-23'!$N$43/10000000</f>
        <v>0.0308263876344087</v>
      </c>
      <c r="J462" s="55">
        <f>'[49]NCEs NP 22-23'!$P$43/10000000</f>
        <v>0.0870986693548387</v>
      </c>
      <c r="K462" s="55">
        <f>'[49]NCEs NP 22-23'!$R$43/10000000</f>
        <v>0.0674874972222221</v>
      </c>
      <c r="L462" s="55">
        <f>'[49]NCEs NP 22-23'!$T$43/10000000</f>
        <v>0.0298154967741935</v>
      </c>
      <c r="M462" s="55">
        <f>'[49]NCEs NP 22-23'!$V$43/10000000</f>
        <v>-0.0073728</v>
      </c>
      <c r="N462" s="55">
        <f>'[49]NCEs NP 22-23'!$X$43/10000000</f>
        <v>-0.0058894</v>
      </c>
      <c r="O462" s="55">
        <f>'[49]NCEs NP 22-23'!$Z$43/10000000</f>
        <v>-0.0071681</v>
      </c>
      <c r="P462" s="55">
        <f>('[49]NCEs NP 22-23'!$AB$43+'[49]NCEs NP 22-23'!$AD$43)/10000000</f>
        <v>0.0015718</v>
      </c>
      <c r="Q462" s="55">
        <f t="shared" si="194"/>
        <v>0.208072267018896</v>
      </c>
    </row>
    <row r="463" spans="3:17">
      <c r="C463" s="55"/>
      <c r="D463" s="55" t="s">
        <v>411</v>
      </c>
      <c r="E463" s="55">
        <f>'[49]NCEs NP 22-23'!$F$39/10000000</f>
        <v>88.1402032250484</v>
      </c>
      <c r="F463" s="55">
        <f>'[49]NCEs NP 22-23'!$H$39/10000000</f>
        <v>86.0568257143</v>
      </c>
      <c r="G463" s="55">
        <f>'[49]NCEs NP 22-23'!$J$39/10000000</f>
        <v>81.263592312</v>
      </c>
      <c r="H463" s="55">
        <f>'[49]NCEs NP 22-23'!$L$39/10000000</f>
        <v>47.927135055</v>
      </c>
      <c r="I463" s="55">
        <f>'[49]NCEs NP 22-23'!$N$39/10000000</f>
        <v>65.2933284265</v>
      </c>
      <c r="J463" s="55">
        <f>'[49]NCEs NP 22-23'!$P$39/10000000</f>
        <v>66.0125524608</v>
      </c>
      <c r="K463" s="55">
        <f>'[49]NCEs NP 22-23'!$R$39/10000000</f>
        <v>69.1015610931</v>
      </c>
      <c r="L463" s="55">
        <f>'[49]NCEs NP 22-23'!$T$39/10000000</f>
        <v>81.3360674784</v>
      </c>
      <c r="M463" s="55">
        <f>'[49]NCEs NP 22-23'!$V$39/10000000</f>
        <v>71.1391228120999</v>
      </c>
      <c r="N463" s="55">
        <f>'[49]NCEs NP 22-23'!$X$39/10000000</f>
        <v>78.2916338904</v>
      </c>
      <c r="O463" s="55">
        <f>'[49]NCEs NP 22-23'!$Z$39/10000000</f>
        <v>96.7526106668</v>
      </c>
      <c r="P463" s="55">
        <f>('[49]NCEs NP 22-23'!$AB$39+'[49]NCEs NP 22-23'!$AD$39)/10000000</f>
        <v>95.996529187015</v>
      </c>
      <c r="Q463" s="55">
        <f t="shared" si="194"/>
        <v>927.311162321463</v>
      </c>
    </row>
    <row r="464" spans="3:17">
      <c r="C464" s="55"/>
      <c r="D464" s="55" t="s">
        <v>412</v>
      </c>
      <c r="E464" s="55">
        <f>'[49]2022-23'!$I$214/10000000</f>
        <v>8.78331080305</v>
      </c>
      <c r="F464" s="55">
        <f>'[49]2022-23'!$N$214/10000000</f>
        <v>11.4247555465</v>
      </c>
      <c r="G464" s="55">
        <f>'[49]2022-23'!$S$214/10000000</f>
        <v>9.20517563295</v>
      </c>
      <c r="H464" s="55">
        <f>'[49]2022-23'!$X$214/10000000</f>
        <v>10.1386528425</v>
      </c>
      <c r="I464" s="55">
        <f>'[49]2022-23'!$AC$214/10000000</f>
        <v>3.7343745016</v>
      </c>
      <c r="J464" s="55">
        <f>'[49]2022-23'!$AH$214/10000000</f>
        <v>10.28045409185</v>
      </c>
      <c r="K464" s="55">
        <f>'[49]2022-23'!$AM$214/10000000</f>
        <v>9.400327501</v>
      </c>
      <c r="L464" s="55">
        <f>'[49]2022-23'!$AR$214/10000000</f>
        <v>8.59108511645</v>
      </c>
      <c r="M464" s="55">
        <f>'[49]2022-23'!$AW$214/10000000</f>
        <v>10.82115762325</v>
      </c>
      <c r="N464" s="55">
        <f>'[49]2022-23'!$BB$214/10000000</f>
        <v>8.46353932808</v>
      </c>
      <c r="O464" s="55">
        <f>'[49]2022-23'!$BG$214/10000000</f>
        <v>11.34701652875</v>
      </c>
      <c r="P464" s="55">
        <f>('[49]2022-23'!$BL$214+'[49]2022-23'!$BQ$214+'[49]2022-23'!$BV$214)/10000000</f>
        <v>13.65132730235</v>
      </c>
      <c r="Q464" s="55">
        <f t="shared" si="194"/>
        <v>115.84117681833</v>
      </c>
    </row>
    <row r="465" spans="3:17">
      <c r="C465" s="55"/>
      <c r="D465" s="55" t="s">
        <v>413</v>
      </c>
      <c r="E465" s="55">
        <f>'[49]2022-23'!$I$216/10000000</f>
        <v>3.68062892895</v>
      </c>
      <c r="F465" s="55">
        <f>'[49]2022-23'!$N$216/10000000</f>
        <v>3.8467078748</v>
      </c>
      <c r="G465" s="55">
        <f>'[49]2022-23'!$S$216/10000000</f>
        <v>4.57309327335</v>
      </c>
      <c r="H465" s="55">
        <f>'[49]2022-23'!$X$216/10000000</f>
        <v>4.5736590373</v>
      </c>
      <c r="I465" s="55">
        <f>'[49]2022-23'!$AC$216/10000000</f>
        <v>8.2417502310025</v>
      </c>
      <c r="J465" s="55">
        <f>'[49]2022-23'!$AH$216/10000000</f>
        <v>0.00435173815</v>
      </c>
      <c r="K465" s="55">
        <f>'[49]2022-23'!$AM$216/10000000</f>
        <v>12.47462015735</v>
      </c>
      <c r="L465" s="55">
        <f>'[49]2022-23'!$AR$216/10000000</f>
        <v>11.36002029405</v>
      </c>
      <c r="M465" s="55">
        <f>'[49]2022-23'!$AW$216/10000000</f>
        <v>15.8870754426</v>
      </c>
      <c r="N465" s="55">
        <f>'[49]2022-23'!$BB$216/10000000</f>
        <v>21.4828807802</v>
      </c>
      <c r="O465" s="55">
        <f>'[49]2022-23'!$BG$216/10000000</f>
        <v>22.04734913635</v>
      </c>
      <c r="P465" s="55">
        <f>('[49]2022-23'!$BL$216+'[49]2022-23'!$BQ$216+'[49]2022-23'!$BV$216)/10000000</f>
        <v>1.1284667492</v>
      </c>
      <c r="Q465" s="55">
        <f t="shared" si="194"/>
        <v>109.300603643302</v>
      </c>
    </row>
    <row r="466" spans="3:17">
      <c r="C466" s="55"/>
      <c r="D466" s="55" t="s">
        <v>414</v>
      </c>
      <c r="E466" s="55">
        <f>'[49]2022-23'!$I$218/10000000</f>
        <v>3.7773540951775</v>
      </c>
      <c r="F466" s="55">
        <f>'[49]2022-23'!$N$218/10000000</f>
        <v>4.29982036215</v>
      </c>
      <c r="G466" s="55">
        <f>'[49]2022-23'!$S$218/10000000</f>
        <v>3.84394107675</v>
      </c>
      <c r="H466" s="55">
        <f>'[49]2022-23'!$X$218/10000000</f>
        <v>3.52342818625</v>
      </c>
      <c r="I466" s="55">
        <f>'[49]2022-23'!$AC$218/10000000</f>
        <v>3.85738594415</v>
      </c>
      <c r="J466" s="55">
        <f>'[49]2022-23'!$AH$218/10000000</f>
        <v>4.61194325393</v>
      </c>
      <c r="K466" s="55">
        <f>'[49]2022-23'!$AM$218/10000000</f>
        <v>4.73670339625</v>
      </c>
      <c r="L466" s="55">
        <f>'[49]2022-23'!$AR$218/10000000</f>
        <v>3.9600695831</v>
      </c>
      <c r="M466" s="736">
        <f>'[49]2022-23'!$AW$218/10000000</f>
        <v>4.00459288825</v>
      </c>
      <c r="N466" s="55">
        <f>'[49]2022-23'!$BB$218/10000000</f>
        <v>4.37827687025</v>
      </c>
      <c r="O466" s="55">
        <f>'[49]2022-23'!$BG$218/10000000</f>
        <v>4.1590670630725</v>
      </c>
      <c r="P466" s="55">
        <f>('[49]2022-23'!$BL$218+'[49]2022-23'!$BQ$218+'[49]2022-23'!$BV$218)/10000000</f>
        <v>4.70570008545</v>
      </c>
      <c r="Q466" s="55">
        <f t="shared" si="194"/>
        <v>49.85828280478</v>
      </c>
    </row>
    <row r="467" spans="3:17">
      <c r="C467" s="55"/>
      <c r="D467" s="55" t="s">
        <v>415</v>
      </c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>
        <f t="shared" si="194"/>
        <v>0</v>
      </c>
    </row>
    <row r="468" spans="3:17">
      <c r="C468" s="55"/>
      <c r="D468" s="55" t="s">
        <v>416</v>
      </c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>
        <f t="shared" si="194"/>
        <v>0</v>
      </c>
    </row>
    <row r="469" spans="3:17">
      <c r="C469" s="55"/>
      <c r="D469" s="55" t="s">
        <v>417</v>
      </c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>
        <f t="shared" si="194"/>
        <v>0</v>
      </c>
    </row>
    <row r="470" spans="3:17">
      <c r="C470" s="55"/>
      <c r="D470" s="55" t="s">
        <v>418</v>
      </c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>
        <f t="shared" si="194"/>
        <v>0</v>
      </c>
    </row>
    <row r="471" spans="3:17">
      <c r="C471" s="55"/>
      <c r="D471" s="687" t="s">
        <v>419</v>
      </c>
      <c r="E471" s="55">
        <f>'[49]2022-23'!$I$212/10000000</f>
        <v>1.2273657171125</v>
      </c>
      <c r="F471" s="55">
        <f>'[49]2022-23'!$N$212/10000000</f>
        <v>1.028204350835</v>
      </c>
      <c r="G471" s="55">
        <f>'[49]2022-23'!$S$212/10000000</f>
        <v>1.2366133074895</v>
      </c>
      <c r="H471" s="55">
        <f>'[49]2022-23'!$X$212/10000000</f>
        <v>0.4518484017605</v>
      </c>
      <c r="I471" s="55">
        <f>'[49]2022-23'!$AC$212/10000000</f>
        <v>0.7826072824015</v>
      </c>
      <c r="J471" s="55">
        <f>'[49]2022-23'!$AH$212/10000000</f>
        <v>0.89486303467825</v>
      </c>
      <c r="K471" s="55">
        <f>'[49]2022-23'!$AM$212/10000000</f>
        <v>0.73667043777125</v>
      </c>
      <c r="L471" s="55">
        <f>'[49]2022-23'!$AR$212/10000000</f>
        <v>0.8953014646325</v>
      </c>
      <c r="M471" s="55">
        <f>'[49]2022-23'!$AW$212/10000000</f>
        <v>0.70605892388125</v>
      </c>
      <c r="N471" s="55">
        <f>'[49]2022-23'!$BB$212/10000000</f>
        <v>1.723267705947</v>
      </c>
      <c r="O471" s="55">
        <f>'[49]2022-23'!$BG$212/10000000</f>
        <v>1.575789807122</v>
      </c>
      <c r="P471" s="55">
        <f>('[49]2022-23'!$BL$212+'[49]2022-23'!$BQ$212+'[49]2022-23'!$BV$212)/10000000</f>
        <v>1.8311414730095</v>
      </c>
      <c r="Q471" s="55">
        <f t="shared" si="194"/>
        <v>13.0897319066408</v>
      </c>
    </row>
    <row r="472" spans="3:17">
      <c r="C472" s="55"/>
      <c r="D472" s="687" t="s">
        <v>420</v>
      </c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>
        <f>'[49]2022-23'!$BL$217/10000000</f>
        <v>23.1371561343</v>
      </c>
      <c r="Q472" s="55">
        <f t="shared" si="194"/>
        <v>23.1371561343</v>
      </c>
    </row>
    <row r="473" spans="3:17"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>
        <f t="shared" si="194"/>
        <v>0</v>
      </c>
    </row>
    <row r="474" spans="3:19"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>
        <f t="shared" si="194"/>
        <v>0</v>
      </c>
      <c r="S474" s="747"/>
    </row>
    <row r="475" spans="3:17"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>
        <f t="shared" si="194"/>
        <v>0</v>
      </c>
    </row>
    <row r="476" spans="3:17"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>
        <f t="shared" si="194"/>
        <v>0</v>
      </c>
    </row>
    <row r="477" spans="3:17"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>
        <f t="shared" si="194"/>
        <v>0</v>
      </c>
    </row>
    <row r="478" spans="3:17"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>
        <f t="shared" si="194"/>
        <v>0</v>
      </c>
    </row>
    <row r="479" spans="3:17"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>
        <f t="shared" si="194"/>
        <v>0</v>
      </c>
    </row>
    <row r="480" spans="3:17"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>
        <f t="shared" si="194"/>
        <v>0</v>
      </c>
    </row>
    <row r="481" ht="15" spans="3:17">
      <c r="C481" s="44" t="s">
        <v>421</v>
      </c>
      <c r="D481" s="45"/>
      <c r="E481" s="55">
        <f t="shared" ref="E481:P481" si="195">SUM(E457:E480)</f>
        <v>122.460186296159</v>
      </c>
      <c r="F481" s="55">
        <f t="shared" si="195"/>
        <v>109.125119114474</v>
      </c>
      <c r="G481" s="55">
        <f t="shared" si="195"/>
        <v>103.036341845749</v>
      </c>
      <c r="H481" s="55">
        <f t="shared" si="195"/>
        <v>68.2327626010771</v>
      </c>
      <c r="I481" s="55">
        <f t="shared" si="195"/>
        <v>81.8907261755884</v>
      </c>
      <c r="J481" s="55">
        <f t="shared" si="195"/>
        <v>82.7859899732631</v>
      </c>
      <c r="K481" s="55">
        <f t="shared" si="195"/>
        <v>96.8573382164157</v>
      </c>
      <c r="L481" s="55">
        <f t="shared" si="195"/>
        <v>108.775124097344</v>
      </c>
      <c r="M481" s="55">
        <f t="shared" si="195"/>
        <v>111.554409883577</v>
      </c>
      <c r="N481" s="55">
        <f t="shared" si="195"/>
        <v>121.461718163813</v>
      </c>
      <c r="O481" s="55">
        <f t="shared" si="195"/>
        <v>144.597639886407</v>
      </c>
      <c r="P481" s="55">
        <f t="shared" si="195"/>
        <v>150.449044917782</v>
      </c>
      <c r="Q481" s="316">
        <f t="shared" si="194"/>
        <v>1301.22640117165</v>
      </c>
    </row>
    <row r="482" ht="15" spans="3:17">
      <c r="C482" s="663" t="s">
        <v>422</v>
      </c>
      <c r="D482" s="676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</row>
    <row r="483" spans="3:17">
      <c r="C483" s="55"/>
      <c r="D483" s="55" t="s">
        <v>423</v>
      </c>
      <c r="E483" s="55">
        <f>'[49]2022-23'!$I$209/10000000</f>
        <v>405.213335362178</v>
      </c>
      <c r="F483" s="55">
        <f>'[49]2022-23'!$N$209/10000000</f>
        <v>61.2487942490158</v>
      </c>
      <c r="G483" s="55">
        <f>'[49]2022-23'!$S$209/10000000</f>
        <v>82.528528999538</v>
      </c>
      <c r="H483" s="55">
        <f>'[49]2022-23'!$X$209/10000000</f>
        <v>74.7655318970102</v>
      </c>
      <c r="I483" s="55">
        <f>'[49]2022-23'!$AC$209/10000000</f>
        <v>62.8044549784858</v>
      </c>
      <c r="J483" s="55">
        <f>'[49]2022-23'!$AH$209/10000000</f>
        <v>66.2480019023261</v>
      </c>
      <c r="K483" s="55">
        <f>'[49]2022-23'!$AM$209/10000000</f>
        <v>12.3062525020502</v>
      </c>
      <c r="L483" s="55">
        <f>'[49]2022-23'!$AR$209/10000000</f>
        <v>38.0330487939445</v>
      </c>
      <c r="M483" s="55">
        <f>'[49]2022-23'!$AW$209/10000000</f>
        <v>155.579706717964</v>
      </c>
      <c r="N483" s="55">
        <f>'[49]2022-23'!$BB$209/10000000</f>
        <v>222.427585689161</v>
      </c>
      <c r="O483" s="55">
        <f>'[49]2022-23'!$BG$209/10000000</f>
        <v>306.391392532815</v>
      </c>
      <c r="P483" s="55">
        <f>('[49]2022-23'!$BL$209+'[49]2022-23'!$BQ$209+'[49]2022-23'!$BV$209)/10000000</f>
        <v>321.653798644667</v>
      </c>
      <c r="Q483" s="55">
        <f>SUM(E483:P483)</f>
        <v>1809.20043226916</v>
      </c>
    </row>
    <row r="484" spans="3:17"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>
        <f>SUM(E484:P484)</f>
        <v>0</v>
      </c>
    </row>
    <row r="485" spans="3:17">
      <c r="C485" s="55"/>
      <c r="D485" s="679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>
        <f>SUM(E485:P485)</f>
        <v>0</v>
      </c>
    </row>
    <row r="486" spans="3:17">
      <c r="C486" s="55"/>
      <c r="D486" s="679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</row>
    <row r="487" spans="3:17">
      <c r="C487" s="55"/>
      <c r="D487" s="679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>
        <f t="shared" ref="Q487:Q507" si="196">SUM(E487:P487)</f>
        <v>0</v>
      </c>
    </row>
    <row r="488" spans="3:17">
      <c r="C488" s="55"/>
      <c r="D488" s="679" t="s">
        <v>502</v>
      </c>
      <c r="E488" s="55">
        <f>'[49]2022-23'!I233/10000000</f>
        <v>0</v>
      </c>
      <c r="F488" s="55">
        <f>'[49]2022-23'!N233/10000000</f>
        <v>0</v>
      </c>
      <c r="G488" s="55">
        <f>'[49]2022-23'!S233/10000000</f>
        <v>0</v>
      </c>
      <c r="H488" s="55">
        <f>'[49]2022-23'!X233/10000000</f>
        <v>0</v>
      </c>
      <c r="I488" s="55">
        <f>'[49]2022-23'!AC233/10000000</f>
        <v>0</v>
      </c>
      <c r="J488" s="55">
        <f>'[49]2022-23'!AH233/10000000</f>
        <v>0</v>
      </c>
      <c r="K488" s="55">
        <f>'[49]2022-23'!AM233/10000000</f>
        <v>0</v>
      </c>
      <c r="L488" s="55">
        <f>'[49]2022-23'!AR233/10000000</f>
        <v>0</v>
      </c>
      <c r="M488" s="55">
        <f>'[49]2022-23'!AW233/10000000</f>
        <v>0</v>
      </c>
      <c r="N488" s="55">
        <f>'[49]2022-23'!BB233/10000000</f>
        <v>0</v>
      </c>
      <c r="O488" s="55">
        <f>'[49]2022-23'!BG233/10000000</f>
        <v>0</v>
      </c>
      <c r="P488" s="55">
        <f>('[49]2022-23'!BL233+'[49]2022-23'!BQ233+'[49]2022-23'!BV233)/10000000</f>
        <v>1.9483549259</v>
      </c>
      <c r="Q488" s="55">
        <f t="shared" si="196"/>
        <v>1.9483549259</v>
      </c>
    </row>
    <row r="489" spans="3:17">
      <c r="C489" s="55"/>
      <c r="D489" s="679" t="s">
        <v>503</v>
      </c>
      <c r="E489" s="55">
        <f>'[49]2022-23'!I234/10000000</f>
        <v>0</v>
      </c>
      <c r="F489" s="55">
        <f>'[49]2022-23'!N234/10000000</f>
        <v>0</v>
      </c>
      <c r="G489" s="55">
        <f>'[49]2022-23'!S234/10000000</f>
        <v>0</v>
      </c>
      <c r="H489" s="55">
        <f>'[49]2022-23'!X234/10000000</f>
        <v>0</v>
      </c>
      <c r="I489" s="55">
        <f>'[49]2022-23'!AC234/10000000</f>
        <v>0</v>
      </c>
      <c r="J489" s="55">
        <f>'[49]2022-23'!AH234/10000000</f>
        <v>0</v>
      </c>
      <c r="K489" s="55">
        <f>'[49]2022-23'!AM234/10000000</f>
        <v>0</v>
      </c>
      <c r="L489" s="55">
        <f>'[49]2022-23'!AR234/10000000</f>
        <v>0</v>
      </c>
      <c r="M489" s="55">
        <f>'[49]2022-23'!AW234/10000000</f>
        <v>0</v>
      </c>
      <c r="N489" s="55">
        <f>'[49]2022-23'!BB234/10000000</f>
        <v>0</v>
      </c>
      <c r="O489" s="55">
        <f>'[49]2022-23'!BG234/10000000</f>
        <v>0</v>
      </c>
      <c r="P489" s="55">
        <f>('[49]2022-23'!BL234+'[49]2022-23'!BQ234+'[49]2022-23'!BV234)/10000000</f>
        <v>0</v>
      </c>
      <c r="Q489" s="55">
        <f t="shared" si="196"/>
        <v>0</v>
      </c>
    </row>
    <row r="490" spans="3:17">
      <c r="C490" s="55"/>
      <c r="D490" s="688" t="s">
        <v>504</v>
      </c>
      <c r="E490" s="55">
        <f>'[49]2022-23'!I235/10000000</f>
        <v>0.5567889447</v>
      </c>
      <c r="F490" s="55">
        <f>'[49]2022-23'!N235/10000000</f>
        <v>3.28690190381429</v>
      </c>
      <c r="G490" s="55">
        <f>'[49]2022-23'!S235/10000000</f>
        <v>4.10928397803571</v>
      </c>
      <c r="H490" s="55">
        <f>'[49]2022-23'!X235/10000000</f>
        <v>1.829799769</v>
      </c>
      <c r="I490" s="55">
        <f>'[49]2022-23'!AC235/10000000</f>
        <v>5.22855434207857</v>
      </c>
      <c r="J490" s="55">
        <f>'[49]2022-23'!AH235/10000000</f>
        <v>4.24556632683571</v>
      </c>
      <c r="K490" s="55">
        <f>'[49]2022-23'!AM235/10000000</f>
        <v>2.76201116706429</v>
      </c>
      <c r="L490" s="55">
        <f>'[49]2022-23'!AR235/10000000</f>
        <v>0.687642375321428</v>
      </c>
      <c r="M490" s="55">
        <f>'[49]2022-23'!AW235/10000000</f>
        <v>0.0159034712</v>
      </c>
      <c r="N490" s="55">
        <f>'[49]2022-23'!BB235/10000000</f>
        <v>2.5386758173</v>
      </c>
      <c r="O490" s="55">
        <f>'[49]2022-23'!BG235/10000000</f>
        <v>10.7753466378857</v>
      </c>
      <c r="P490" s="55">
        <f>('[49]2022-23'!BL235+'[49]2022-23'!BQ235+'[49]2022-23'!BV235)/10000000</f>
        <v>-3.82556697773571</v>
      </c>
      <c r="Q490" s="55">
        <f t="shared" si="196"/>
        <v>32.2109077555</v>
      </c>
    </row>
    <row r="491" spans="3:17">
      <c r="C491" s="55"/>
      <c r="D491" s="679" t="s">
        <v>505</v>
      </c>
      <c r="E491" s="55">
        <f>'[49]2022-23'!I236/10000000</f>
        <v>0</v>
      </c>
      <c r="F491" s="55">
        <f>'[49]2022-23'!N236/10000000</f>
        <v>0</v>
      </c>
      <c r="G491" s="55">
        <f>'[49]2022-23'!S236/10000000</f>
        <v>0</v>
      </c>
      <c r="H491" s="55">
        <f>'[49]2022-23'!X236/10000000</f>
        <v>0</v>
      </c>
      <c r="I491" s="55">
        <f>'[49]2022-23'!AC236/10000000</f>
        <v>0</v>
      </c>
      <c r="J491" s="55">
        <f>'[49]2022-23'!AH236/10000000</f>
        <v>0</v>
      </c>
      <c r="K491" s="55">
        <f>'[49]2022-23'!AM236/10000000</f>
        <v>0</v>
      </c>
      <c r="L491" s="55">
        <f>'[49]2022-23'!AR236/10000000</f>
        <v>0</v>
      </c>
      <c r="M491" s="55">
        <f>'[49]2022-23'!AW236/10000000</f>
        <v>0</v>
      </c>
      <c r="N491" s="55">
        <f>'[49]2022-23'!BB236/10000000</f>
        <v>0</v>
      </c>
      <c r="O491" s="55">
        <f>'[49]2022-23'!BG236/10000000</f>
        <v>0</v>
      </c>
      <c r="P491" s="55">
        <f>('[49]2022-23'!BL236+'[49]2022-23'!BQ236+'[49]2022-23'!BV236)/10000000</f>
        <v>0</v>
      </c>
      <c r="Q491" s="55">
        <f t="shared" si="196"/>
        <v>0</v>
      </c>
    </row>
    <row r="492" spans="3:17">
      <c r="C492" s="55"/>
      <c r="D492" s="679" t="s">
        <v>506</v>
      </c>
      <c r="E492" s="55">
        <f>'[49]2022-23'!I237/10000000</f>
        <v>0</v>
      </c>
      <c r="F492" s="55">
        <f>'[49]2022-23'!N237/10000000</f>
        <v>0</v>
      </c>
      <c r="G492" s="55">
        <f>'[49]2022-23'!S237/10000000</f>
        <v>0</v>
      </c>
      <c r="H492" s="55">
        <f>'[49]2022-23'!X237/10000000</f>
        <v>0</v>
      </c>
      <c r="I492" s="55">
        <f>'[49]2022-23'!AC237/10000000</f>
        <v>0</v>
      </c>
      <c r="J492" s="55">
        <f>'[49]2022-23'!AH237/10000000</f>
        <v>0</v>
      </c>
      <c r="K492" s="55">
        <f>'[49]2022-23'!AM237/10000000</f>
        <v>0</v>
      </c>
      <c r="L492" s="55">
        <f>'[49]2022-23'!AR237/10000000</f>
        <v>0</v>
      </c>
      <c r="M492" s="55">
        <f>'[49]2022-23'!AW237/10000000</f>
        <v>0</v>
      </c>
      <c r="N492" s="55">
        <f>'[49]2022-23'!BB237/10000000</f>
        <v>0</v>
      </c>
      <c r="O492" s="55">
        <f>'[49]2022-23'!BG237/10000000</f>
        <v>-2.03098476405</v>
      </c>
      <c r="P492" s="55">
        <f>('[49]2022-23'!BL237+'[49]2022-23'!BQ237+'[49]2022-23'!BV237)/10000000</f>
        <v>-0.8332972329</v>
      </c>
      <c r="Q492" s="55">
        <f t="shared" si="196"/>
        <v>-2.86428199695</v>
      </c>
    </row>
    <row r="493" spans="3:17">
      <c r="C493" s="55"/>
      <c r="D493" s="679" t="s">
        <v>507</v>
      </c>
      <c r="E493" s="55">
        <f>'[49]2022-23'!I238/10000000</f>
        <v>0</v>
      </c>
      <c r="F493" s="55">
        <f>'[49]2022-23'!N238/10000000</f>
        <v>0</v>
      </c>
      <c r="G493" s="55">
        <f>'[49]2022-23'!S238/10000000</f>
        <v>0</v>
      </c>
      <c r="H493" s="55">
        <f>'[49]2022-23'!X238/10000000</f>
        <v>0</v>
      </c>
      <c r="I493" s="55">
        <f>'[49]2022-23'!AC238/10000000</f>
        <v>0</v>
      </c>
      <c r="J493" s="55">
        <f>'[49]2022-23'!AH238/10000000</f>
        <v>0</v>
      </c>
      <c r="K493" s="55">
        <f>'[49]2022-23'!AM238/10000000</f>
        <v>0</v>
      </c>
      <c r="L493" s="55">
        <f>'[49]2022-23'!AR238/10000000</f>
        <v>0</v>
      </c>
      <c r="M493" s="55">
        <f>'[49]2022-23'!AW238/10000000</f>
        <v>0</v>
      </c>
      <c r="N493" s="55">
        <f>'[49]2022-23'!BB238/10000000</f>
        <v>0</v>
      </c>
      <c r="O493" s="55">
        <f>'[49]2022-23'!BG238/10000000</f>
        <v>0</v>
      </c>
      <c r="P493" s="55">
        <f>('[49]2022-23'!BL238+'[49]2022-23'!BQ238+'[49]2022-23'!BV238)/10000000</f>
        <v>0</v>
      </c>
      <c r="Q493" s="55">
        <f t="shared" si="196"/>
        <v>0</v>
      </c>
    </row>
    <row r="494" spans="3:17">
      <c r="C494" s="55"/>
      <c r="D494" s="679" t="s">
        <v>508</v>
      </c>
      <c r="E494" s="55">
        <f>'[49]2022-23'!I239/10000000</f>
        <v>0</v>
      </c>
      <c r="F494" s="55">
        <f>'[49]2022-23'!N239/10000000</f>
        <v>0</v>
      </c>
      <c r="G494" s="55">
        <f>'[49]2022-23'!S239/10000000</f>
        <v>0</v>
      </c>
      <c r="H494" s="55">
        <f>'[49]2022-23'!X239/10000000</f>
        <v>0</v>
      </c>
      <c r="I494" s="55">
        <f>'[49]2022-23'!AC239/10000000</f>
        <v>0</v>
      </c>
      <c r="J494" s="55">
        <f>'[49]2022-23'!AH239/10000000</f>
        <v>0</v>
      </c>
      <c r="K494" s="55">
        <f>'[49]2022-23'!AM239/10000000</f>
        <v>0</v>
      </c>
      <c r="L494" s="55">
        <f>'[49]2022-23'!AR239/10000000</f>
        <v>0</v>
      </c>
      <c r="M494" s="55">
        <f>'[49]2022-23'!AW239/10000000</f>
        <v>0</v>
      </c>
      <c r="N494" s="55">
        <f>'[49]2022-23'!BB239/10000000</f>
        <v>0</v>
      </c>
      <c r="O494" s="55">
        <f>'[49]2022-23'!BG239/10000000</f>
        <v>0</v>
      </c>
      <c r="P494" s="55">
        <f>('[49]2022-23'!BL239+'[49]2022-23'!BQ239+'[49]2022-23'!BV239)/10000000</f>
        <v>0.5167335</v>
      </c>
      <c r="Q494" s="55">
        <f t="shared" si="196"/>
        <v>0.5167335</v>
      </c>
    </row>
    <row r="495" spans="3:17">
      <c r="C495" s="55"/>
      <c r="D495" s="679" t="s">
        <v>509</v>
      </c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>
        <f t="shared" si="196"/>
        <v>0</v>
      </c>
    </row>
    <row r="496" spans="3:17">
      <c r="C496" s="55"/>
      <c r="D496" s="679" t="s">
        <v>510</v>
      </c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>
        <f t="shared" si="196"/>
        <v>0</v>
      </c>
    </row>
    <row r="497" spans="3:17">
      <c r="C497" s="55"/>
      <c r="D497" s="679" t="s">
        <v>511</v>
      </c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>
        <f t="shared" si="196"/>
        <v>0</v>
      </c>
    </row>
    <row r="498" spans="3:17">
      <c r="C498" s="55"/>
      <c r="D498" s="679" t="s">
        <v>512</v>
      </c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>
        <f t="shared" si="196"/>
        <v>0</v>
      </c>
    </row>
    <row r="499" spans="3:17"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>
        <f t="shared" si="196"/>
        <v>0</v>
      </c>
    </row>
    <row r="500" spans="3:17"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>
        <f t="shared" si="196"/>
        <v>0</v>
      </c>
    </row>
    <row r="501" spans="3:17"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>
        <f t="shared" si="196"/>
        <v>0</v>
      </c>
    </row>
    <row r="502" spans="3:17"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>
        <f t="shared" si="196"/>
        <v>0</v>
      </c>
    </row>
    <row r="503" spans="3:17"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>
        <f t="shared" si="196"/>
        <v>0</v>
      </c>
    </row>
    <row r="504" spans="3:17"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>
        <f t="shared" si="196"/>
        <v>0</v>
      </c>
    </row>
    <row r="505" spans="3:17"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>
        <f t="shared" si="196"/>
        <v>0</v>
      </c>
    </row>
    <row r="506" spans="3:17"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>
        <f t="shared" si="196"/>
        <v>0</v>
      </c>
    </row>
    <row r="507" ht="15" spans="3:17">
      <c r="C507" s="44" t="s">
        <v>424</v>
      </c>
      <c r="D507" s="45"/>
      <c r="E507" s="55">
        <f t="shared" ref="E507:P507" si="197">SUM(E483:E506)</f>
        <v>405.770124306878</v>
      </c>
      <c r="F507" s="55">
        <f t="shared" si="197"/>
        <v>64.5356961528301</v>
      </c>
      <c r="G507" s="55">
        <f t="shared" si="197"/>
        <v>86.6378129775737</v>
      </c>
      <c r="H507" s="55">
        <f t="shared" si="197"/>
        <v>76.5953316660102</v>
      </c>
      <c r="I507" s="55">
        <f t="shared" si="197"/>
        <v>68.0330093205644</v>
      </c>
      <c r="J507" s="55">
        <f t="shared" si="197"/>
        <v>70.4935682291618</v>
      </c>
      <c r="K507" s="55">
        <f t="shared" si="197"/>
        <v>15.0682636691145</v>
      </c>
      <c r="L507" s="55">
        <f t="shared" si="197"/>
        <v>38.7206911692659</v>
      </c>
      <c r="M507" s="55">
        <f t="shared" si="197"/>
        <v>155.595610189164</v>
      </c>
      <c r="N507" s="55">
        <f t="shared" si="197"/>
        <v>224.966261506461</v>
      </c>
      <c r="O507" s="55">
        <f t="shared" si="197"/>
        <v>315.135754406651</v>
      </c>
      <c r="P507" s="55">
        <f t="shared" si="197"/>
        <v>319.460022859931</v>
      </c>
      <c r="Q507" s="316">
        <f t="shared" si="196"/>
        <v>1841.01214645361</v>
      </c>
    </row>
    <row r="508" ht="15" spans="3:17">
      <c r="C508" s="663" t="s">
        <v>425</v>
      </c>
      <c r="D508" s="676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</row>
    <row r="509" spans="3:17">
      <c r="C509" s="55" t="s">
        <v>426</v>
      </c>
      <c r="D509" s="55" t="s">
        <v>427</v>
      </c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>
        <f>SUM(E509:P509)</f>
        <v>0</v>
      </c>
    </row>
    <row r="510" spans="3:17">
      <c r="C510" s="55" t="s">
        <v>426</v>
      </c>
      <c r="D510" s="55" t="s">
        <v>428</v>
      </c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</row>
    <row r="511" spans="3:17">
      <c r="C511" s="55"/>
      <c r="D511" s="746" t="s">
        <v>477</v>
      </c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>
        <f>SUM(E511:P511)</f>
        <v>0</v>
      </c>
    </row>
    <row r="512" ht="15" spans="3:17">
      <c r="C512" s="44" t="s">
        <v>429</v>
      </c>
      <c r="D512" s="45"/>
      <c r="E512" s="55">
        <f t="shared" ref="E512:Q512" si="198">E509+E511</f>
        <v>0</v>
      </c>
      <c r="F512" s="55">
        <f t="shared" si="198"/>
        <v>0</v>
      </c>
      <c r="G512" s="55">
        <f t="shared" si="198"/>
        <v>0</v>
      </c>
      <c r="H512" s="55">
        <f t="shared" si="198"/>
        <v>0</v>
      </c>
      <c r="I512" s="55">
        <f t="shared" si="198"/>
        <v>0</v>
      </c>
      <c r="J512" s="55">
        <f t="shared" si="198"/>
        <v>0</v>
      </c>
      <c r="K512" s="55">
        <f t="shared" si="198"/>
        <v>0</v>
      </c>
      <c r="L512" s="55">
        <f t="shared" si="198"/>
        <v>0</v>
      </c>
      <c r="M512" s="55">
        <f t="shared" si="198"/>
        <v>0</v>
      </c>
      <c r="N512" s="55">
        <f t="shared" si="198"/>
        <v>0</v>
      </c>
      <c r="O512" s="55">
        <f t="shared" si="198"/>
        <v>0</v>
      </c>
      <c r="P512" s="55">
        <f t="shared" si="198"/>
        <v>0</v>
      </c>
      <c r="Q512" s="55">
        <f t="shared" si="198"/>
        <v>0</v>
      </c>
    </row>
    <row r="513" ht="15" spans="3:17">
      <c r="C513" s="44" t="s">
        <v>224</v>
      </c>
      <c r="D513" s="45"/>
      <c r="E513" s="55">
        <f t="shared" ref="E513:Q513" si="199">E391+E436+E445+E455+E481+E507+E512</f>
        <v>984.825289083277</v>
      </c>
      <c r="F513" s="55">
        <f t="shared" si="199"/>
        <v>653.983471697441</v>
      </c>
      <c r="G513" s="55">
        <f t="shared" si="199"/>
        <v>637.545075667097</v>
      </c>
      <c r="H513" s="55">
        <f t="shared" si="199"/>
        <v>548.187089870764</v>
      </c>
      <c r="I513" s="55">
        <f t="shared" si="199"/>
        <v>576.593428245911</v>
      </c>
      <c r="J513" s="55">
        <f t="shared" si="199"/>
        <v>581.455947096959</v>
      </c>
      <c r="K513" s="55">
        <f t="shared" si="199"/>
        <v>513.665527158832</v>
      </c>
      <c r="L513" s="55">
        <f t="shared" si="199"/>
        <v>550.129853260362</v>
      </c>
      <c r="M513" s="55">
        <f t="shared" si="199"/>
        <v>739.927646183938</v>
      </c>
      <c r="N513" s="55">
        <f t="shared" si="199"/>
        <v>817.439675702554</v>
      </c>
      <c r="O513" s="55">
        <f t="shared" si="199"/>
        <v>907.855888984328</v>
      </c>
      <c r="P513" s="55">
        <f t="shared" si="199"/>
        <v>1461.39715844216</v>
      </c>
      <c r="Q513" s="316">
        <f t="shared" si="199"/>
        <v>8973.00605139362</v>
      </c>
    </row>
    <row r="514" ht="15" spans="4:5">
      <c r="D514" s="11"/>
      <c r="E514" s="11"/>
    </row>
    <row r="515" spans="4:5">
      <c r="D515" s="13"/>
      <c r="E515" s="13"/>
    </row>
    <row r="516" spans="5:5">
      <c r="E516" s="13"/>
    </row>
    <row r="517" spans="5:5">
      <c r="E517" s="13"/>
    </row>
  </sheetData>
  <mergeCells count="91">
    <mergeCell ref="C2:Q2"/>
    <mergeCell ref="E7:Q7"/>
    <mergeCell ref="C9:D9"/>
    <mergeCell ref="C10:D10"/>
    <mergeCell ref="C29:D29"/>
    <mergeCell ref="C30:D30"/>
    <mergeCell ref="C49:D49"/>
    <mergeCell ref="C50:D50"/>
    <mergeCell ref="C51:D51"/>
    <mergeCell ref="C52:D52"/>
    <mergeCell ref="C78:D78"/>
    <mergeCell ref="C79:D79"/>
    <mergeCell ref="C94:D94"/>
    <mergeCell ref="C95:D95"/>
    <mergeCell ref="C96:D96"/>
    <mergeCell ref="C104:D104"/>
    <mergeCell ref="C105:D105"/>
    <mergeCell ref="C114:D114"/>
    <mergeCell ref="C115:D115"/>
    <mergeCell ref="C140:D140"/>
    <mergeCell ref="C141:D141"/>
    <mergeCell ref="C166:D166"/>
    <mergeCell ref="C167:D167"/>
    <mergeCell ref="C171:D171"/>
    <mergeCell ref="C172:D172"/>
    <mergeCell ref="E177:Q177"/>
    <mergeCell ref="C179:D179"/>
    <mergeCell ref="C180:D180"/>
    <mergeCell ref="C199:D199"/>
    <mergeCell ref="C200:D200"/>
    <mergeCell ref="C219:D219"/>
    <mergeCell ref="C220:D220"/>
    <mergeCell ref="C221:D221"/>
    <mergeCell ref="C222:D222"/>
    <mergeCell ref="C249:D249"/>
    <mergeCell ref="C250:D250"/>
    <mergeCell ref="C265:D265"/>
    <mergeCell ref="C266:D266"/>
    <mergeCell ref="C267:D267"/>
    <mergeCell ref="C275:D275"/>
    <mergeCell ref="C276:D276"/>
    <mergeCell ref="C285:D285"/>
    <mergeCell ref="C286:D286"/>
    <mergeCell ref="C311:D311"/>
    <mergeCell ref="C312:D312"/>
    <mergeCell ref="C337:D337"/>
    <mergeCell ref="C338:D338"/>
    <mergeCell ref="C342:D342"/>
    <mergeCell ref="C343:D343"/>
    <mergeCell ref="E348:Q348"/>
    <mergeCell ref="C350:D350"/>
    <mergeCell ref="C351:D351"/>
    <mergeCell ref="C370:D370"/>
    <mergeCell ref="C371:D371"/>
    <mergeCell ref="C390:D390"/>
    <mergeCell ref="C391:D391"/>
    <mergeCell ref="C392:D392"/>
    <mergeCell ref="C393:D393"/>
    <mergeCell ref="C419:D419"/>
    <mergeCell ref="C420:D420"/>
    <mergeCell ref="C435:D435"/>
    <mergeCell ref="C436:D436"/>
    <mergeCell ref="C437:D437"/>
    <mergeCell ref="C445:D445"/>
    <mergeCell ref="C446:D446"/>
    <mergeCell ref="C455:D455"/>
    <mergeCell ref="C456:D456"/>
    <mergeCell ref="C481:D481"/>
    <mergeCell ref="C482:D482"/>
    <mergeCell ref="C507:D507"/>
    <mergeCell ref="C508:D508"/>
    <mergeCell ref="C512:D512"/>
    <mergeCell ref="C513:D513"/>
    <mergeCell ref="C7:C8"/>
    <mergeCell ref="C11:C28"/>
    <mergeCell ref="C31:C48"/>
    <mergeCell ref="C53:C61"/>
    <mergeCell ref="C80:C83"/>
    <mergeCell ref="C177:C178"/>
    <mergeCell ref="C181:C198"/>
    <mergeCell ref="C201:C218"/>
    <mergeCell ref="C223:C231"/>
    <mergeCell ref="C251:C254"/>
    <mergeCell ref="C348:C349"/>
    <mergeCell ref="C352:C369"/>
    <mergeCell ref="C372:C389"/>
    <mergeCell ref="C394:C402"/>
    <mergeCell ref="C421:C424"/>
    <mergeCell ref="D7:D8"/>
    <mergeCell ref="D177:D178"/>
    <mergeCell ref="D348:D349"/>
  </mergeCells>
  <pageMargins left="0.7" right="0.7" top="0.75" bottom="0.75" header="0.3" footer="0.3"/>
  <pageSetup paperSize="1" orientation="portrait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B2:S679"/>
  <sheetViews>
    <sheetView showGridLines="0" zoomScale="59" zoomScaleNormal="59" workbookViewId="0">
      <pane xSplit="4" ySplit="7" topLeftCell="E222" activePane="bottomRight" state="frozen"/>
      <selection/>
      <selection pane="topRight"/>
      <selection pane="bottomLeft"/>
      <selection pane="bottomRight" activeCell="E65" sqref="E65:Q66"/>
    </sheetView>
  </sheetViews>
  <sheetFormatPr defaultColWidth="9.14285714285714" defaultRowHeight="14.25"/>
  <cols>
    <col min="1" max="1" width="3.14285714285714" style="12" customWidth="1"/>
    <col min="2" max="2" width="8.14285714285714" style="12" customWidth="1"/>
    <col min="3" max="3" width="22.1428571428571" style="12" customWidth="1"/>
    <col min="4" max="4" width="38.4285714285714" style="12" customWidth="1"/>
    <col min="5" max="5" width="14.1428571428571" style="12" customWidth="1"/>
    <col min="6" max="6" width="12.8571428571429" style="12" customWidth="1"/>
    <col min="7" max="7" width="15.1428571428571" style="12" customWidth="1"/>
    <col min="8" max="8" width="15.8571428571429" style="12" customWidth="1"/>
    <col min="9" max="9" width="12.8571428571429" style="12" customWidth="1"/>
    <col min="10" max="10" width="13.8571428571429" style="12" customWidth="1"/>
    <col min="11" max="11" width="12.5714285714286" style="12" customWidth="1"/>
    <col min="12" max="12" width="10.5714285714286" style="12" customWidth="1"/>
    <col min="13" max="13" width="14.1428571428571" style="12" customWidth="1"/>
    <col min="14" max="16" width="12.1428571428571" style="12" customWidth="1"/>
    <col min="17" max="17" width="13.4285714285714" style="12" customWidth="1"/>
    <col min="18" max="18" width="12.4285714285714" style="12" customWidth="1"/>
    <col min="19" max="19" width="12.8571428571429" style="12" customWidth="1"/>
    <col min="20" max="16384" width="9.14285714285714" style="12"/>
  </cols>
  <sheetData>
    <row r="2" ht="15" spans="3:17">
      <c r="C2" s="2" t="s">
        <v>0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ht="15" spans="10:10">
      <c r="J3" s="3" t="s">
        <v>525</v>
      </c>
    </row>
    <row r="4" ht="15" spans="3:10">
      <c r="C4" s="11" t="s">
        <v>522</v>
      </c>
      <c r="J4" s="3"/>
    </row>
    <row r="5" ht="15" spans="3:17">
      <c r="C5" s="14"/>
      <c r="Q5" s="3" t="s">
        <v>109</v>
      </c>
    </row>
    <row r="6" ht="15" spans="3:17">
      <c r="C6" s="673" t="s">
        <v>345</v>
      </c>
      <c r="D6" s="658" t="s">
        <v>346</v>
      </c>
      <c r="E6" s="135" t="s">
        <v>526</v>
      </c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</row>
    <row r="7" ht="15" spans="3:17">
      <c r="C7" s="673"/>
      <c r="D7" s="658"/>
      <c r="E7" s="135" t="s">
        <v>246</v>
      </c>
      <c r="F7" s="135" t="s">
        <v>247</v>
      </c>
      <c r="G7" s="135" t="s">
        <v>248</v>
      </c>
      <c r="H7" s="135" t="s">
        <v>249</v>
      </c>
      <c r="I7" s="135" t="s">
        <v>250</v>
      </c>
      <c r="J7" s="135" t="s">
        <v>251</v>
      </c>
      <c r="K7" s="135" t="s">
        <v>252</v>
      </c>
      <c r="L7" s="135" t="s">
        <v>253</v>
      </c>
      <c r="M7" s="135" t="s">
        <v>254</v>
      </c>
      <c r="N7" s="135" t="s">
        <v>255</v>
      </c>
      <c r="O7" s="135" t="s">
        <v>256</v>
      </c>
      <c r="P7" s="135" t="s">
        <v>257</v>
      </c>
      <c r="Q7" s="135" t="s">
        <v>97</v>
      </c>
    </row>
    <row r="8" ht="15" spans="3:17">
      <c r="C8" s="673"/>
      <c r="D8" s="658"/>
      <c r="E8" s="135" t="s">
        <v>130</v>
      </c>
      <c r="F8" s="135" t="s">
        <v>130</v>
      </c>
      <c r="G8" s="135" t="s">
        <v>130</v>
      </c>
      <c r="H8" s="135" t="s">
        <v>130</v>
      </c>
      <c r="I8" s="135" t="s">
        <v>130</v>
      </c>
      <c r="J8" s="135" t="s">
        <v>130</v>
      </c>
      <c r="K8" s="135" t="s">
        <v>131</v>
      </c>
      <c r="L8" s="135" t="s">
        <v>131</v>
      </c>
      <c r="M8" s="135" t="s">
        <v>131</v>
      </c>
      <c r="N8" s="135" t="s">
        <v>131</v>
      </c>
      <c r="O8" s="135" t="s">
        <v>131</v>
      </c>
      <c r="P8" s="135" t="s">
        <v>131</v>
      </c>
      <c r="Q8" s="135" t="s">
        <v>131</v>
      </c>
    </row>
    <row r="9" ht="15" spans="2:17">
      <c r="B9" s="656"/>
      <c r="C9" s="663" t="s">
        <v>349</v>
      </c>
      <c r="D9" s="663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ht="15" spans="3:17">
      <c r="C10" s="44" t="s">
        <v>350</v>
      </c>
      <c r="D10" s="44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customHeight="1" spans="2:17">
      <c r="B11" s="656"/>
      <c r="C11" s="677" t="s">
        <v>351</v>
      </c>
      <c r="D11" s="47" t="s">
        <v>352</v>
      </c>
      <c r="E11" s="690">
        <f t="shared" ref="E11:P11" si="0">E180+E350+E519</f>
        <v>94.6487969164</v>
      </c>
      <c r="F11" s="690">
        <f t="shared" si="0"/>
        <v>89.06763869395</v>
      </c>
      <c r="G11" s="690">
        <f t="shared" si="0"/>
        <v>102.641828795099</v>
      </c>
      <c r="H11" s="690">
        <f t="shared" si="0"/>
        <v>99.1334596659905</v>
      </c>
      <c r="I11" s="690">
        <f t="shared" si="0"/>
        <v>100.722760084946</v>
      </c>
      <c r="J11" s="690">
        <f t="shared" si="0"/>
        <v>96.9853423664</v>
      </c>
      <c r="K11" s="690">
        <f t="shared" si="0"/>
        <v>74.7552755432001</v>
      </c>
      <c r="L11" s="690">
        <f t="shared" si="0"/>
        <v>124.830306081325</v>
      </c>
      <c r="M11" s="690">
        <f t="shared" si="0"/>
        <v>100.96992332905</v>
      </c>
      <c r="N11" s="690">
        <f t="shared" si="0"/>
        <v>102.34878399435</v>
      </c>
      <c r="O11" s="690">
        <f t="shared" si="0"/>
        <v>94.11153799525</v>
      </c>
      <c r="P11" s="690">
        <f t="shared" si="0"/>
        <v>99.30504633205</v>
      </c>
      <c r="Q11" s="690">
        <f t="shared" ref="Q11:Q29" si="1">SUM(E11:P11)</f>
        <v>1179.52069979801</v>
      </c>
    </row>
    <row r="12" spans="2:17">
      <c r="B12" s="656"/>
      <c r="C12" s="677"/>
      <c r="D12" s="47" t="s">
        <v>353</v>
      </c>
      <c r="E12" s="690">
        <f t="shared" ref="E12:P12" si="2">E181+E351+E520</f>
        <v>116.58704558755</v>
      </c>
      <c r="F12" s="690">
        <f t="shared" si="2"/>
        <v>114.3900321638</v>
      </c>
      <c r="G12" s="690">
        <f t="shared" si="2"/>
        <v>119.676614199441</v>
      </c>
      <c r="H12" s="690">
        <f t="shared" si="2"/>
        <v>124.548741614099</v>
      </c>
      <c r="I12" s="690">
        <f t="shared" si="2"/>
        <v>109.755151784126</v>
      </c>
      <c r="J12" s="690">
        <f t="shared" si="2"/>
        <v>106.18412129995</v>
      </c>
      <c r="K12" s="690">
        <f t="shared" si="2"/>
        <v>94.4734533574002</v>
      </c>
      <c r="L12" s="690">
        <f t="shared" si="2"/>
        <v>101.98897219019</v>
      </c>
      <c r="M12" s="690">
        <f t="shared" si="2"/>
        <v>96.8825507342</v>
      </c>
      <c r="N12" s="690">
        <f t="shared" si="2"/>
        <v>112.63074776715</v>
      </c>
      <c r="O12" s="690">
        <f t="shared" si="2"/>
        <v>105.57897726395</v>
      </c>
      <c r="P12" s="690">
        <f t="shared" si="2"/>
        <v>107.82366590845</v>
      </c>
      <c r="Q12" s="690">
        <f t="shared" si="1"/>
        <v>1310.52007387031</v>
      </c>
    </row>
    <row r="13" spans="2:17">
      <c r="B13" s="656"/>
      <c r="C13" s="677"/>
      <c r="D13" s="47" t="s">
        <v>354</v>
      </c>
      <c r="E13" s="690">
        <f t="shared" ref="E13:P13" si="3">E182+E352+E521</f>
        <v>197.2413063977</v>
      </c>
      <c r="F13" s="690">
        <f t="shared" si="3"/>
        <v>203.91269027885</v>
      </c>
      <c r="G13" s="690">
        <f t="shared" si="3"/>
        <v>203.692278212637</v>
      </c>
      <c r="H13" s="690">
        <f t="shared" si="3"/>
        <v>218.559322504736</v>
      </c>
      <c r="I13" s="690">
        <f t="shared" si="3"/>
        <v>193.129253817544</v>
      </c>
      <c r="J13" s="690">
        <f t="shared" si="3"/>
        <v>178.25707681275</v>
      </c>
      <c r="K13" s="690">
        <f t="shared" si="3"/>
        <v>170.85395475165</v>
      </c>
      <c r="L13" s="690">
        <f t="shared" si="3"/>
        <v>196.849040530626</v>
      </c>
      <c r="M13" s="690">
        <f t="shared" si="3"/>
        <v>205.272931882</v>
      </c>
      <c r="N13" s="690">
        <f t="shared" si="3"/>
        <v>204.4977574075</v>
      </c>
      <c r="O13" s="690">
        <f t="shared" si="3"/>
        <v>194.1468056117</v>
      </c>
      <c r="P13" s="690">
        <f t="shared" si="3"/>
        <v>203.55160832385</v>
      </c>
      <c r="Q13" s="690">
        <f t="shared" si="1"/>
        <v>2369.96402653154</v>
      </c>
    </row>
    <row r="14" spans="2:17">
      <c r="B14" s="656"/>
      <c r="C14" s="677"/>
      <c r="D14" s="47" t="s">
        <v>355</v>
      </c>
      <c r="E14" s="690">
        <f t="shared" ref="E14:P14" si="4">E183+E353+E522</f>
        <v>10.2730255111</v>
      </c>
      <c r="F14" s="690">
        <f t="shared" si="4"/>
        <v>14.2583693309</v>
      </c>
      <c r="G14" s="690">
        <f t="shared" si="4"/>
        <v>11.8866763116101</v>
      </c>
      <c r="H14" s="690">
        <f t="shared" si="4"/>
        <v>13.8906632146944</v>
      </c>
      <c r="I14" s="690">
        <f t="shared" si="4"/>
        <v>13.5472950000649</v>
      </c>
      <c r="J14" s="690">
        <f t="shared" si="4"/>
        <v>2.0428407204</v>
      </c>
      <c r="K14" s="690">
        <f t="shared" si="4"/>
        <v>0.69295698605</v>
      </c>
      <c r="L14" s="690">
        <f t="shared" si="4"/>
        <v>10.7808519418683</v>
      </c>
      <c r="M14" s="690">
        <f t="shared" si="4"/>
        <v>12.7860218729</v>
      </c>
      <c r="N14" s="690">
        <f t="shared" si="4"/>
        <v>13.6932855603</v>
      </c>
      <c r="O14" s="690">
        <f t="shared" si="4"/>
        <v>11.41514923135</v>
      </c>
      <c r="P14" s="690">
        <f t="shared" si="4"/>
        <v>7.35071251205</v>
      </c>
      <c r="Q14" s="690">
        <f t="shared" si="1"/>
        <v>122.617848193288</v>
      </c>
    </row>
    <row r="15" spans="2:17">
      <c r="B15" s="656"/>
      <c r="C15" s="677"/>
      <c r="D15" s="47" t="s">
        <v>356</v>
      </c>
      <c r="E15" s="690">
        <f t="shared" ref="E15:P15" si="5">E184+E354+E523</f>
        <v>90.8820404192</v>
      </c>
      <c r="F15" s="690">
        <f t="shared" si="5"/>
        <v>94.94334224925</v>
      </c>
      <c r="G15" s="690">
        <f t="shared" si="5"/>
        <v>95.7042739043929</v>
      </c>
      <c r="H15" s="690">
        <f t="shared" si="5"/>
        <v>98.5809285859815</v>
      </c>
      <c r="I15" s="690">
        <f t="shared" si="5"/>
        <v>95.030524817141</v>
      </c>
      <c r="J15" s="690">
        <f t="shared" si="5"/>
        <v>95.62521604195</v>
      </c>
      <c r="K15" s="690">
        <f t="shared" si="5"/>
        <v>85.0765787015</v>
      </c>
      <c r="L15" s="690">
        <f t="shared" si="5"/>
        <v>110.57632945093</v>
      </c>
      <c r="M15" s="690">
        <f t="shared" si="5"/>
        <v>101.27221907325</v>
      </c>
      <c r="N15" s="690">
        <f t="shared" si="5"/>
        <v>101.78351199635</v>
      </c>
      <c r="O15" s="690">
        <f t="shared" si="5"/>
        <v>96.0645981261</v>
      </c>
      <c r="P15" s="690">
        <f t="shared" si="5"/>
        <v>102.4801828755</v>
      </c>
      <c r="Q15" s="690">
        <f t="shared" si="1"/>
        <v>1168.01974624155</v>
      </c>
    </row>
    <row r="16" spans="2:17">
      <c r="B16" s="656"/>
      <c r="C16" s="677"/>
      <c r="D16" s="47" t="s">
        <v>357</v>
      </c>
      <c r="E16" s="690">
        <f t="shared" ref="E16:P16" si="6">E185+E355+E524</f>
        <v>138.1941406014</v>
      </c>
      <c r="F16" s="690">
        <f t="shared" si="6"/>
        <v>126.46225135995</v>
      </c>
      <c r="G16" s="690">
        <f t="shared" si="6"/>
        <v>124.82799840612</v>
      </c>
      <c r="H16" s="690">
        <f t="shared" si="6"/>
        <v>108.799227077008</v>
      </c>
      <c r="I16" s="690">
        <f t="shared" si="6"/>
        <v>133.646655172822</v>
      </c>
      <c r="J16" s="690">
        <f t="shared" si="6"/>
        <v>126.6964115368</v>
      </c>
      <c r="K16" s="690">
        <f t="shared" si="6"/>
        <v>116.1746054196</v>
      </c>
      <c r="L16" s="690">
        <f t="shared" si="6"/>
        <v>141.36350118462</v>
      </c>
      <c r="M16" s="690">
        <f t="shared" si="6"/>
        <v>131.5856463307</v>
      </c>
      <c r="N16" s="690">
        <f t="shared" si="6"/>
        <v>133.79709075695</v>
      </c>
      <c r="O16" s="690">
        <f t="shared" si="6"/>
        <v>126.9034750813</v>
      </c>
      <c r="P16" s="690">
        <f t="shared" si="6"/>
        <v>139.7393447622</v>
      </c>
      <c r="Q16" s="690">
        <f t="shared" si="1"/>
        <v>1548.19034768947</v>
      </c>
    </row>
    <row r="17" spans="2:17">
      <c r="B17" s="656"/>
      <c r="C17" s="677"/>
      <c r="D17" s="47" t="s">
        <v>358</v>
      </c>
      <c r="E17" s="690">
        <f t="shared" ref="E17:P17" si="7">E186+E356+E525</f>
        <v>187.556389073</v>
      </c>
      <c r="F17" s="690">
        <f t="shared" si="7"/>
        <v>200.6871124608</v>
      </c>
      <c r="G17" s="690">
        <f t="shared" si="7"/>
        <v>191.294733883266</v>
      </c>
      <c r="H17" s="690">
        <f t="shared" si="7"/>
        <v>148.022594979327</v>
      </c>
      <c r="I17" s="690">
        <f t="shared" si="7"/>
        <v>158.755748254545</v>
      </c>
      <c r="J17" s="690">
        <f t="shared" si="7"/>
        <v>175.64432712505</v>
      </c>
      <c r="K17" s="690">
        <f t="shared" si="7"/>
        <v>161.15501843645</v>
      </c>
      <c r="L17" s="690">
        <f t="shared" si="7"/>
        <v>253.743068025462</v>
      </c>
      <c r="M17" s="690">
        <f t="shared" si="7"/>
        <v>212.44541943195</v>
      </c>
      <c r="N17" s="690">
        <f t="shared" si="7"/>
        <v>225.5104189336</v>
      </c>
      <c r="O17" s="690">
        <f t="shared" si="7"/>
        <v>219.61479861945</v>
      </c>
      <c r="P17" s="690">
        <f t="shared" si="7"/>
        <v>215.5509215733</v>
      </c>
      <c r="Q17" s="690">
        <f t="shared" si="1"/>
        <v>2349.9805507962</v>
      </c>
    </row>
    <row r="18" spans="2:17">
      <c r="B18" s="656"/>
      <c r="C18" s="677"/>
      <c r="D18" s="47" t="s">
        <v>359</v>
      </c>
      <c r="E18" s="690">
        <f t="shared" ref="E18:P18" si="8">E187+E357+E526</f>
        <v>0</v>
      </c>
      <c r="F18" s="690">
        <f t="shared" si="8"/>
        <v>0</v>
      </c>
      <c r="G18" s="690">
        <f t="shared" si="8"/>
        <v>0</v>
      </c>
      <c r="H18" s="690">
        <f t="shared" si="8"/>
        <v>0</v>
      </c>
      <c r="I18" s="690">
        <f t="shared" si="8"/>
        <v>0</v>
      </c>
      <c r="J18" s="690">
        <f t="shared" si="8"/>
        <v>0</v>
      </c>
      <c r="K18" s="690">
        <f t="shared" si="8"/>
        <v>0</v>
      </c>
      <c r="L18" s="690">
        <f t="shared" si="8"/>
        <v>0</v>
      </c>
      <c r="M18" s="690">
        <f t="shared" si="8"/>
        <v>0</v>
      </c>
      <c r="N18" s="690">
        <f t="shared" si="8"/>
        <v>0</v>
      </c>
      <c r="O18" s="690">
        <f t="shared" si="8"/>
        <v>0</v>
      </c>
      <c r="P18" s="690">
        <f t="shared" si="8"/>
        <v>0</v>
      </c>
      <c r="Q18" s="690">
        <f t="shared" si="1"/>
        <v>0</v>
      </c>
    </row>
    <row r="19" spans="2:17">
      <c r="B19" s="656"/>
      <c r="C19" s="677"/>
      <c r="D19" s="679" t="s">
        <v>492</v>
      </c>
      <c r="E19" s="690">
        <f t="shared" ref="E19:P19" si="9">E188+E358+E527</f>
        <v>0</v>
      </c>
      <c r="F19" s="690">
        <f t="shared" si="9"/>
        <v>0</v>
      </c>
      <c r="G19" s="690">
        <f t="shared" si="9"/>
        <v>0</v>
      </c>
      <c r="H19" s="690">
        <f t="shared" si="9"/>
        <v>0</v>
      </c>
      <c r="I19" s="690">
        <f t="shared" si="9"/>
        <v>0</v>
      </c>
      <c r="J19" s="690">
        <f t="shared" si="9"/>
        <v>0</v>
      </c>
      <c r="K19" s="690">
        <f t="shared" si="9"/>
        <v>0</v>
      </c>
      <c r="L19" s="690">
        <f t="shared" si="9"/>
        <v>0</v>
      </c>
      <c r="M19" s="690">
        <f t="shared" si="9"/>
        <v>0</v>
      </c>
      <c r="N19" s="690">
        <f t="shared" si="9"/>
        <v>0</v>
      </c>
      <c r="O19" s="690">
        <f t="shared" si="9"/>
        <v>0</v>
      </c>
      <c r="P19" s="690">
        <f t="shared" si="9"/>
        <v>0</v>
      </c>
      <c r="Q19" s="690">
        <f t="shared" si="1"/>
        <v>0</v>
      </c>
    </row>
    <row r="20" spans="2:17">
      <c r="B20" s="656"/>
      <c r="C20" s="677"/>
      <c r="D20" s="47"/>
      <c r="E20" s="690">
        <f t="shared" ref="E20:P20" si="10">E189+E359+E528</f>
        <v>0</v>
      </c>
      <c r="F20" s="690">
        <f t="shared" si="10"/>
        <v>0</v>
      </c>
      <c r="G20" s="690">
        <f t="shared" si="10"/>
        <v>0</v>
      </c>
      <c r="H20" s="690">
        <f t="shared" si="10"/>
        <v>0</v>
      </c>
      <c r="I20" s="690">
        <f t="shared" si="10"/>
        <v>0</v>
      </c>
      <c r="J20" s="690">
        <f t="shared" si="10"/>
        <v>0</v>
      </c>
      <c r="K20" s="690">
        <f t="shared" si="10"/>
        <v>0</v>
      </c>
      <c r="L20" s="690">
        <f t="shared" si="10"/>
        <v>0</v>
      </c>
      <c r="M20" s="690">
        <f t="shared" si="10"/>
        <v>0</v>
      </c>
      <c r="N20" s="690">
        <f t="shared" si="10"/>
        <v>0</v>
      </c>
      <c r="O20" s="690">
        <f t="shared" si="10"/>
        <v>0</v>
      </c>
      <c r="P20" s="690">
        <f t="shared" si="10"/>
        <v>0</v>
      </c>
      <c r="Q20" s="690">
        <f t="shared" si="1"/>
        <v>0</v>
      </c>
    </row>
    <row r="21" spans="2:17">
      <c r="B21" s="656"/>
      <c r="C21" s="677"/>
      <c r="D21" s="47"/>
      <c r="E21" s="690">
        <f t="shared" ref="E21:P21" si="11">E190+E360+E529</f>
        <v>0</v>
      </c>
      <c r="F21" s="690">
        <f t="shared" si="11"/>
        <v>0</v>
      </c>
      <c r="G21" s="690">
        <f t="shared" si="11"/>
        <v>0</v>
      </c>
      <c r="H21" s="690">
        <f t="shared" si="11"/>
        <v>0</v>
      </c>
      <c r="I21" s="690">
        <f t="shared" si="11"/>
        <v>0</v>
      </c>
      <c r="J21" s="690">
        <f t="shared" si="11"/>
        <v>0</v>
      </c>
      <c r="K21" s="690">
        <f t="shared" si="11"/>
        <v>0</v>
      </c>
      <c r="L21" s="690">
        <f t="shared" si="11"/>
        <v>0</v>
      </c>
      <c r="M21" s="690">
        <f t="shared" si="11"/>
        <v>0</v>
      </c>
      <c r="N21" s="690">
        <f t="shared" si="11"/>
        <v>0</v>
      </c>
      <c r="O21" s="690">
        <f t="shared" si="11"/>
        <v>0</v>
      </c>
      <c r="P21" s="690">
        <f t="shared" si="11"/>
        <v>0</v>
      </c>
      <c r="Q21" s="690">
        <f t="shared" si="1"/>
        <v>0</v>
      </c>
    </row>
    <row r="22" spans="2:17">
      <c r="B22" s="656"/>
      <c r="C22" s="677"/>
      <c r="D22" s="47"/>
      <c r="E22" s="690">
        <f t="shared" ref="E22:P22" si="12">E191+E361+E530</f>
        <v>0</v>
      </c>
      <c r="F22" s="690">
        <f t="shared" si="12"/>
        <v>0</v>
      </c>
      <c r="G22" s="690">
        <f t="shared" si="12"/>
        <v>0</v>
      </c>
      <c r="H22" s="690">
        <f t="shared" si="12"/>
        <v>0</v>
      </c>
      <c r="I22" s="690">
        <f t="shared" si="12"/>
        <v>0</v>
      </c>
      <c r="J22" s="690">
        <f t="shared" si="12"/>
        <v>0</v>
      </c>
      <c r="K22" s="690">
        <f t="shared" si="12"/>
        <v>0</v>
      </c>
      <c r="L22" s="690">
        <f t="shared" si="12"/>
        <v>0</v>
      </c>
      <c r="M22" s="690">
        <f t="shared" si="12"/>
        <v>0</v>
      </c>
      <c r="N22" s="690">
        <f t="shared" si="12"/>
        <v>0</v>
      </c>
      <c r="O22" s="690">
        <f t="shared" si="12"/>
        <v>0</v>
      </c>
      <c r="P22" s="690">
        <f t="shared" si="12"/>
        <v>0</v>
      </c>
      <c r="Q22" s="690">
        <f t="shared" si="1"/>
        <v>0</v>
      </c>
    </row>
    <row r="23" spans="2:17">
      <c r="B23" s="656"/>
      <c r="C23" s="677"/>
      <c r="D23" s="47"/>
      <c r="E23" s="690">
        <f t="shared" ref="E23:P23" si="13">E192+E362+E531</f>
        <v>0</v>
      </c>
      <c r="F23" s="690">
        <f t="shared" si="13"/>
        <v>0</v>
      </c>
      <c r="G23" s="690">
        <f t="shared" si="13"/>
        <v>0</v>
      </c>
      <c r="H23" s="690">
        <f t="shared" si="13"/>
        <v>0</v>
      </c>
      <c r="I23" s="690">
        <f t="shared" si="13"/>
        <v>0</v>
      </c>
      <c r="J23" s="690">
        <f t="shared" si="13"/>
        <v>0</v>
      </c>
      <c r="K23" s="690">
        <f t="shared" si="13"/>
        <v>0</v>
      </c>
      <c r="L23" s="690">
        <f t="shared" si="13"/>
        <v>0</v>
      </c>
      <c r="M23" s="690">
        <f t="shared" si="13"/>
        <v>0</v>
      </c>
      <c r="N23" s="690">
        <f t="shared" si="13"/>
        <v>0</v>
      </c>
      <c r="O23" s="690">
        <f t="shared" si="13"/>
        <v>0</v>
      </c>
      <c r="P23" s="690">
        <f t="shared" si="13"/>
        <v>0</v>
      </c>
      <c r="Q23" s="690">
        <f t="shared" si="1"/>
        <v>0</v>
      </c>
    </row>
    <row r="24" spans="2:17">
      <c r="B24" s="656"/>
      <c r="C24" s="677"/>
      <c r="D24" s="47"/>
      <c r="E24" s="690">
        <f t="shared" ref="E24:P24" si="14">E193+E363+E532</f>
        <v>0</v>
      </c>
      <c r="F24" s="690">
        <f t="shared" si="14"/>
        <v>0</v>
      </c>
      <c r="G24" s="690">
        <f t="shared" si="14"/>
        <v>0</v>
      </c>
      <c r="H24" s="690">
        <f t="shared" si="14"/>
        <v>0</v>
      </c>
      <c r="I24" s="690">
        <f t="shared" si="14"/>
        <v>0</v>
      </c>
      <c r="J24" s="690">
        <f t="shared" si="14"/>
        <v>0</v>
      </c>
      <c r="K24" s="690">
        <f t="shared" si="14"/>
        <v>0</v>
      </c>
      <c r="L24" s="690">
        <f t="shared" si="14"/>
        <v>0</v>
      </c>
      <c r="M24" s="690">
        <f t="shared" si="14"/>
        <v>0</v>
      </c>
      <c r="N24" s="690">
        <f t="shared" si="14"/>
        <v>0</v>
      </c>
      <c r="O24" s="690">
        <f t="shared" si="14"/>
        <v>0</v>
      </c>
      <c r="P24" s="690">
        <f t="shared" si="14"/>
        <v>0</v>
      </c>
      <c r="Q24" s="690">
        <f t="shared" si="1"/>
        <v>0</v>
      </c>
    </row>
    <row r="25" spans="2:17">
      <c r="B25" s="656"/>
      <c r="C25" s="677"/>
      <c r="D25" s="47"/>
      <c r="E25" s="690">
        <f>E194+E533+E364</f>
        <v>0</v>
      </c>
      <c r="F25" s="690">
        <f t="shared" ref="F25:P25" si="15">F194+F364+F533</f>
        <v>0</v>
      </c>
      <c r="G25" s="690">
        <f t="shared" si="15"/>
        <v>0</v>
      </c>
      <c r="H25" s="690">
        <f t="shared" si="15"/>
        <v>0</v>
      </c>
      <c r="I25" s="690">
        <f t="shared" si="15"/>
        <v>0</v>
      </c>
      <c r="J25" s="690">
        <f t="shared" si="15"/>
        <v>0</v>
      </c>
      <c r="K25" s="690">
        <f t="shared" si="15"/>
        <v>0</v>
      </c>
      <c r="L25" s="690">
        <f t="shared" si="15"/>
        <v>0</v>
      </c>
      <c r="M25" s="690">
        <f t="shared" si="15"/>
        <v>0</v>
      </c>
      <c r="N25" s="690">
        <f t="shared" si="15"/>
        <v>0</v>
      </c>
      <c r="O25" s="690">
        <f t="shared" si="15"/>
        <v>0</v>
      </c>
      <c r="P25" s="690">
        <f t="shared" si="15"/>
        <v>0</v>
      </c>
      <c r="Q25" s="690">
        <f t="shared" si="1"/>
        <v>0</v>
      </c>
    </row>
    <row r="26" spans="2:17">
      <c r="B26" s="656"/>
      <c r="C26" s="677"/>
      <c r="D26" s="47"/>
      <c r="E26" s="690">
        <f>E195+E365+E534</f>
        <v>0</v>
      </c>
      <c r="F26" s="690">
        <f t="shared" ref="F26:P26" si="16">F195+F365+F534</f>
        <v>0</v>
      </c>
      <c r="G26" s="690">
        <f t="shared" si="16"/>
        <v>0</v>
      </c>
      <c r="H26" s="690">
        <f t="shared" si="16"/>
        <v>0</v>
      </c>
      <c r="I26" s="690">
        <f t="shared" si="16"/>
        <v>0</v>
      </c>
      <c r="J26" s="690">
        <f t="shared" si="16"/>
        <v>0</v>
      </c>
      <c r="K26" s="690">
        <f t="shared" si="16"/>
        <v>0</v>
      </c>
      <c r="L26" s="690">
        <f t="shared" si="16"/>
        <v>0</v>
      </c>
      <c r="M26" s="690">
        <f t="shared" si="16"/>
        <v>0</v>
      </c>
      <c r="N26" s="690">
        <f t="shared" si="16"/>
        <v>0</v>
      </c>
      <c r="O26" s="690">
        <f t="shared" si="16"/>
        <v>0</v>
      </c>
      <c r="P26" s="690">
        <f t="shared" si="16"/>
        <v>0</v>
      </c>
      <c r="Q26" s="690">
        <f t="shared" si="1"/>
        <v>0</v>
      </c>
    </row>
    <row r="27" spans="2:17">
      <c r="B27" s="656"/>
      <c r="C27" s="677"/>
      <c r="D27" s="47"/>
      <c r="E27" s="690">
        <f>E196+E366+E535</f>
        <v>0</v>
      </c>
      <c r="F27" s="690">
        <f t="shared" ref="F27:P27" si="17">F196+F366+F535</f>
        <v>0</v>
      </c>
      <c r="G27" s="690">
        <f t="shared" si="17"/>
        <v>0</v>
      </c>
      <c r="H27" s="690">
        <f t="shared" si="17"/>
        <v>0</v>
      </c>
      <c r="I27" s="690">
        <f t="shared" si="17"/>
        <v>0</v>
      </c>
      <c r="J27" s="690">
        <f t="shared" si="17"/>
        <v>0</v>
      </c>
      <c r="K27" s="690">
        <f t="shared" si="17"/>
        <v>0</v>
      </c>
      <c r="L27" s="690">
        <f t="shared" si="17"/>
        <v>0</v>
      </c>
      <c r="M27" s="690">
        <f t="shared" si="17"/>
        <v>0</v>
      </c>
      <c r="N27" s="690">
        <f t="shared" si="17"/>
        <v>0</v>
      </c>
      <c r="O27" s="690">
        <f t="shared" si="17"/>
        <v>0</v>
      </c>
      <c r="P27" s="690">
        <f t="shared" si="17"/>
        <v>0</v>
      </c>
      <c r="Q27" s="690">
        <f t="shared" si="1"/>
        <v>0</v>
      </c>
    </row>
    <row r="28" spans="2:17">
      <c r="B28" s="656"/>
      <c r="C28" s="677"/>
      <c r="D28" s="47"/>
      <c r="E28" s="690">
        <f>E197+E367+E536</f>
        <v>0</v>
      </c>
      <c r="F28" s="690">
        <f t="shared" ref="F28:P28" si="18">F197+F367+F536</f>
        <v>0</v>
      </c>
      <c r="G28" s="690">
        <f t="shared" si="18"/>
        <v>0</v>
      </c>
      <c r="H28" s="690">
        <f t="shared" si="18"/>
        <v>0</v>
      </c>
      <c r="I28" s="690">
        <f t="shared" si="18"/>
        <v>0</v>
      </c>
      <c r="J28" s="690">
        <f t="shared" si="18"/>
        <v>0</v>
      </c>
      <c r="K28" s="690">
        <f t="shared" si="18"/>
        <v>0</v>
      </c>
      <c r="L28" s="690">
        <f t="shared" si="18"/>
        <v>0</v>
      </c>
      <c r="M28" s="690">
        <f t="shared" si="18"/>
        <v>0</v>
      </c>
      <c r="N28" s="690">
        <f t="shared" si="18"/>
        <v>0</v>
      </c>
      <c r="O28" s="690">
        <f t="shared" si="18"/>
        <v>0</v>
      </c>
      <c r="P28" s="690">
        <f t="shared" si="18"/>
        <v>0</v>
      </c>
      <c r="Q28" s="690">
        <f t="shared" si="1"/>
        <v>0</v>
      </c>
    </row>
    <row r="29" ht="15" spans="3:17">
      <c r="C29" s="537" t="s">
        <v>211</v>
      </c>
      <c r="D29" s="537"/>
      <c r="E29" s="700">
        <f t="shared" ref="E29:P29" si="19">SUM(E11:E28)</f>
        <v>835.38274450635</v>
      </c>
      <c r="F29" s="700">
        <f t="shared" si="19"/>
        <v>843.7214365375</v>
      </c>
      <c r="G29" s="700">
        <f t="shared" si="19"/>
        <v>849.724403712567</v>
      </c>
      <c r="H29" s="700">
        <f t="shared" si="19"/>
        <v>811.534937641836</v>
      </c>
      <c r="I29" s="700">
        <f t="shared" si="19"/>
        <v>804.58738893119</v>
      </c>
      <c r="J29" s="700">
        <f t="shared" si="19"/>
        <v>781.4353359033</v>
      </c>
      <c r="K29" s="700">
        <f t="shared" si="19"/>
        <v>703.18184319585</v>
      </c>
      <c r="L29" s="700">
        <f t="shared" si="19"/>
        <v>940.132069405021</v>
      </c>
      <c r="M29" s="700">
        <f t="shared" si="19"/>
        <v>861.21471265405</v>
      </c>
      <c r="N29" s="700">
        <f t="shared" si="19"/>
        <v>894.2615964162</v>
      </c>
      <c r="O29" s="700">
        <f t="shared" si="19"/>
        <v>847.8353419291</v>
      </c>
      <c r="P29" s="700">
        <f t="shared" si="19"/>
        <v>875.8014822874</v>
      </c>
      <c r="Q29" s="700">
        <f t="shared" si="1"/>
        <v>10048.8132931204</v>
      </c>
    </row>
    <row r="30" ht="15" spans="3:17">
      <c r="C30" s="44" t="s">
        <v>360</v>
      </c>
      <c r="D30" s="44"/>
      <c r="E30" s="690"/>
      <c r="F30" s="690"/>
      <c r="G30" s="690"/>
      <c r="H30" s="690"/>
      <c r="I30" s="690"/>
      <c r="J30" s="690"/>
      <c r="K30" s="690"/>
      <c r="L30" s="690"/>
      <c r="M30" s="690"/>
      <c r="N30" s="690"/>
      <c r="O30" s="690"/>
      <c r="P30" s="690"/>
      <c r="Q30" s="690"/>
    </row>
    <row r="31" spans="3:17">
      <c r="C31" s="682" t="s">
        <v>351</v>
      </c>
      <c r="D31" s="55" t="s">
        <v>361</v>
      </c>
      <c r="E31" s="690">
        <f t="shared" ref="E31:P31" si="20">E200+E370+E539</f>
        <v>0</v>
      </c>
      <c r="F31" s="690">
        <f t="shared" si="20"/>
        <v>0</v>
      </c>
      <c r="G31" s="690">
        <f t="shared" si="20"/>
        <v>0</v>
      </c>
      <c r="H31" s="690">
        <f t="shared" si="20"/>
        <v>0</v>
      </c>
      <c r="I31" s="690">
        <f t="shared" si="20"/>
        <v>0</v>
      </c>
      <c r="J31" s="690">
        <f t="shared" si="20"/>
        <v>0</v>
      </c>
      <c r="K31" s="690">
        <f t="shared" si="20"/>
        <v>0</v>
      </c>
      <c r="L31" s="690">
        <f t="shared" si="20"/>
        <v>0</v>
      </c>
      <c r="M31" s="690">
        <f t="shared" si="20"/>
        <v>0</v>
      </c>
      <c r="N31" s="690">
        <f t="shared" si="20"/>
        <v>0</v>
      </c>
      <c r="O31" s="690">
        <f t="shared" si="20"/>
        <v>0</v>
      </c>
      <c r="P31" s="690">
        <f t="shared" si="20"/>
        <v>0</v>
      </c>
      <c r="Q31" s="690">
        <f t="shared" ref="Q31:Q49" si="21">SUM(E31:P31)</f>
        <v>0</v>
      </c>
    </row>
    <row r="32" spans="3:17">
      <c r="C32" s="682"/>
      <c r="D32" s="55" t="s">
        <v>362</v>
      </c>
      <c r="E32" s="690">
        <f t="shared" ref="E32:P32" si="22">E201+E371+E540</f>
        <v>0</v>
      </c>
      <c r="F32" s="690">
        <f t="shared" si="22"/>
        <v>0</v>
      </c>
      <c r="G32" s="690">
        <f t="shared" si="22"/>
        <v>0</v>
      </c>
      <c r="H32" s="690">
        <f t="shared" si="22"/>
        <v>0</v>
      </c>
      <c r="I32" s="690">
        <f t="shared" si="22"/>
        <v>0</v>
      </c>
      <c r="J32" s="690">
        <f t="shared" si="22"/>
        <v>0</v>
      </c>
      <c r="K32" s="690">
        <f t="shared" si="22"/>
        <v>0</v>
      </c>
      <c r="L32" s="690">
        <f t="shared" si="22"/>
        <v>0</v>
      </c>
      <c r="M32" s="690">
        <f t="shared" si="22"/>
        <v>0</v>
      </c>
      <c r="N32" s="690">
        <f t="shared" si="22"/>
        <v>0</v>
      </c>
      <c r="O32" s="690">
        <f t="shared" si="22"/>
        <v>0</v>
      </c>
      <c r="P32" s="690">
        <f t="shared" si="22"/>
        <v>0</v>
      </c>
      <c r="Q32" s="690">
        <f t="shared" si="21"/>
        <v>0</v>
      </c>
    </row>
    <row r="33" spans="3:17">
      <c r="C33" s="682"/>
      <c r="D33" s="55" t="s">
        <v>363</v>
      </c>
      <c r="E33" s="690">
        <f t="shared" ref="E33:P33" si="23">E202+E372+E541</f>
        <v>0</v>
      </c>
      <c r="F33" s="690">
        <f t="shared" si="23"/>
        <v>0</v>
      </c>
      <c r="G33" s="690">
        <f t="shared" si="23"/>
        <v>0</v>
      </c>
      <c r="H33" s="690">
        <f t="shared" si="23"/>
        <v>0</v>
      </c>
      <c r="I33" s="690">
        <f t="shared" si="23"/>
        <v>0</v>
      </c>
      <c r="J33" s="690">
        <f t="shared" si="23"/>
        <v>0</v>
      </c>
      <c r="K33" s="690">
        <f t="shared" si="23"/>
        <v>0</v>
      </c>
      <c r="L33" s="690">
        <f t="shared" si="23"/>
        <v>0</v>
      </c>
      <c r="M33" s="690">
        <f t="shared" si="23"/>
        <v>0</v>
      </c>
      <c r="N33" s="690">
        <f t="shared" si="23"/>
        <v>0</v>
      </c>
      <c r="O33" s="690">
        <f t="shared" si="23"/>
        <v>0</v>
      </c>
      <c r="P33" s="690">
        <f t="shared" si="23"/>
        <v>0</v>
      </c>
      <c r="Q33" s="690">
        <f t="shared" si="21"/>
        <v>0</v>
      </c>
    </row>
    <row r="34" spans="3:17">
      <c r="C34" s="682"/>
      <c r="D34" s="55" t="s">
        <v>364</v>
      </c>
      <c r="E34" s="690">
        <f t="shared" ref="E34:P34" si="24">E203+E373+E542</f>
        <v>0</v>
      </c>
      <c r="F34" s="690">
        <f t="shared" si="24"/>
        <v>0</v>
      </c>
      <c r="G34" s="690">
        <f t="shared" si="24"/>
        <v>0</v>
      </c>
      <c r="H34" s="690">
        <f t="shared" si="24"/>
        <v>0</v>
      </c>
      <c r="I34" s="690">
        <f t="shared" si="24"/>
        <v>0</v>
      </c>
      <c r="J34" s="690">
        <f t="shared" si="24"/>
        <v>0</v>
      </c>
      <c r="K34" s="690">
        <f t="shared" si="24"/>
        <v>0</v>
      </c>
      <c r="L34" s="690">
        <f t="shared" si="24"/>
        <v>0</v>
      </c>
      <c r="M34" s="690">
        <f t="shared" si="24"/>
        <v>0</v>
      </c>
      <c r="N34" s="690">
        <f t="shared" si="24"/>
        <v>0</v>
      </c>
      <c r="O34" s="690">
        <f t="shared" si="24"/>
        <v>0</v>
      </c>
      <c r="P34" s="690">
        <f t="shared" si="24"/>
        <v>0</v>
      </c>
      <c r="Q34" s="690">
        <f t="shared" si="21"/>
        <v>0</v>
      </c>
    </row>
    <row r="35" spans="3:17">
      <c r="C35" s="682"/>
      <c r="D35" s="55" t="s">
        <v>365</v>
      </c>
      <c r="E35" s="690">
        <f t="shared" ref="E35:P35" si="25">E204+E374+E543</f>
        <v>0</v>
      </c>
      <c r="F35" s="690">
        <f t="shared" si="25"/>
        <v>0</v>
      </c>
      <c r="G35" s="690">
        <f t="shared" si="25"/>
        <v>0</v>
      </c>
      <c r="H35" s="690">
        <f t="shared" si="25"/>
        <v>0</v>
      </c>
      <c r="I35" s="690">
        <f t="shared" si="25"/>
        <v>0</v>
      </c>
      <c r="J35" s="690">
        <f t="shared" si="25"/>
        <v>0</v>
      </c>
      <c r="K35" s="690">
        <f t="shared" si="25"/>
        <v>0</v>
      </c>
      <c r="L35" s="690">
        <f t="shared" si="25"/>
        <v>0</v>
      </c>
      <c r="M35" s="690">
        <f t="shared" si="25"/>
        <v>0</v>
      </c>
      <c r="N35" s="690">
        <f t="shared" si="25"/>
        <v>0</v>
      </c>
      <c r="O35" s="690">
        <f t="shared" si="25"/>
        <v>0</v>
      </c>
      <c r="P35" s="690">
        <f t="shared" si="25"/>
        <v>0</v>
      </c>
      <c r="Q35" s="690">
        <f t="shared" si="21"/>
        <v>0</v>
      </c>
    </row>
    <row r="36" spans="3:17">
      <c r="C36" s="682"/>
      <c r="D36" s="55" t="s">
        <v>366</v>
      </c>
      <c r="E36" s="690">
        <f t="shared" ref="E36:P36" si="26">E205+E375+E544</f>
        <v>0</v>
      </c>
      <c r="F36" s="690">
        <f t="shared" si="26"/>
        <v>0</v>
      </c>
      <c r="G36" s="690">
        <f t="shared" si="26"/>
        <v>0</v>
      </c>
      <c r="H36" s="690">
        <f t="shared" si="26"/>
        <v>0</v>
      </c>
      <c r="I36" s="690">
        <f t="shared" si="26"/>
        <v>0</v>
      </c>
      <c r="J36" s="690">
        <f t="shared" si="26"/>
        <v>0</v>
      </c>
      <c r="K36" s="690">
        <f t="shared" si="26"/>
        <v>0</v>
      </c>
      <c r="L36" s="690">
        <f t="shared" si="26"/>
        <v>0</v>
      </c>
      <c r="M36" s="690">
        <f t="shared" si="26"/>
        <v>0</v>
      </c>
      <c r="N36" s="690">
        <f t="shared" si="26"/>
        <v>0</v>
      </c>
      <c r="O36" s="690">
        <f t="shared" si="26"/>
        <v>0</v>
      </c>
      <c r="P36" s="690">
        <f t="shared" si="26"/>
        <v>0</v>
      </c>
      <c r="Q36" s="690">
        <f t="shared" si="21"/>
        <v>0</v>
      </c>
    </row>
    <row r="37" spans="3:17">
      <c r="C37" s="682"/>
      <c r="D37" s="55" t="s">
        <v>367</v>
      </c>
      <c r="E37" s="690">
        <f t="shared" ref="E37:P37" si="27">E206+E376+E545</f>
        <v>0</v>
      </c>
      <c r="F37" s="690">
        <f t="shared" si="27"/>
        <v>0</v>
      </c>
      <c r="G37" s="690">
        <f t="shared" si="27"/>
        <v>0</v>
      </c>
      <c r="H37" s="690">
        <f t="shared" si="27"/>
        <v>0</v>
      </c>
      <c r="I37" s="690">
        <f t="shared" si="27"/>
        <v>0</v>
      </c>
      <c r="J37" s="690">
        <f t="shared" si="27"/>
        <v>0</v>
      </c>
      <c r="K37" s="690">
        <f t="shared" si="27"/>
        <v>0</v>
      </c>
      <c r="L37" s="690">
        <f t="shared" si="27"/>
        <v>0</v>
      </c>
      <c r="M37" s="690">
        <f t="shared" si="27"/>
        <v>0</v>
      </c>
      <c r="N37" s="690">
        <f t="shared" si="27"/>
        <v>0</v>
      </c>
      <c r="O37" s="690">
        <f t="shared" si="27"/>
        <v>0</v>
      </c>
      <c r="P37" s="690">
        <f t="shared" si="27"/>
        <v>0</v>
      </c>
      <c r="Q37" s="690">
        <f t="shared" si="21"/>
        <v>0</v>
      </c>
    </row>
    <row r="38" spans="3:17">
      <c r="C38" s="682"/>
      <c r="D38" s="55" t="s">
        <v>368</v>
      </c>
      <c r="E38" s="690">
        <f t="shared" ref="E38:P38" si="28">E207+E377+E546</f>
        <v>0</v>
      </c>
      <c r="F38" s="690">
        <f t="shared" si="28"/>
        <v>0</v>
      </c>
      <c r="G38" s="690">
        <f t="shared" si="28"/>
        <v>0</v>
      </c>
      <c r="H38" s="690">
        <f t="shared" si="28"/>
        <v>0</v>
      </c>
      <c r="I38" s="690">
        <f t="shared" si="28"/>
        <v>0</v>
      </c>
      <c r="J38" s="690">
        <f t="shared" si="28"/>
        <v>0</v>
      </c>
      <c r="K38" s="690">
        <f t="shared" si="28"/>
        <v>0</v>
      </c>
      <c r="L38" s="690">
        <f t="shared" si="28"/>
        <v>0</v>
      </c>
      <c r="M38" s="690">
        <f t="shared" si="28"/>
        <v>0</v>
      </c>
      <c r="N38" s="690">
        <f t="shared" si="28"/>
        <v>0</v>
      </c>
      <c r="O38" s="690">
        <f t="shared" si="28"/>
        <v>0</v>
      </c>
      <c r="P38" s="690">
        <f t="shared" si="28"/>
        <v>0</v>
      </c>
      <c r="Q38" s="690">
        <f t="shared" si="21"/>
        <v>0</v>
      </c>
    </row>
    <row r="39" spans="3:17">
      <c r="C39" s="682"/>
      <c r="D39" s="679" t="s">
        <v>493</v>
      </c>
      <c r="E39" s="690">
        <f>E208+E378+E548</f>
        <v>68.67337</v>
      </c>
      <c r="F39" s="690">
        <f t="shared" ref="F39:P39" si="29">F208+F378+F548</f>
        <v>68.67337</v>
      </c>
      <c r="G39" s="690">
        <f t="shared" si="29"/>
        <v>68.67337</v>
      </c>
      <c r="H39" s="690">
        <f t="shared" si="29"/>
        <v>68.67337</v>
      </c>
      <c r="I39" s="690">
        <f t="shared" si="29"/>
        <v>68.67337</v>
      </c>
      <c r="J39" s="690">
        <f t="shared" si="29"/>
        <v>68.67337</v>
      </c>
      <c r="K39" s="690">
        <f t="shared" si="29"/>
        <v>68.67337</v>
      </c>
      <c r="L39" s="690">
        <f t="shared" si="29"/>
        <v>68.67337</v>
      </c>
      <c r="M39" s="690">
        <f t="shared" si="29"/>
        <v>68.67337</v>
      </c>
      <c r="N39" s="690">
        <f t="shared" si="29"/>
        <v>68.67337</v>
      </c>
      <c r="O39" s="690">
        <f t="shared" si="29"/>
        <v>68.67337</v>
      </c>
      <c r="P39" s="690">
        <f t="shared" si="29"/>
        <v>68.67337</v>
      </c>
      <c r="Q39" s="690">
        <f t="shared" si="21"/>
        <v>824.08044</v>
      </c>
    </row>
    <row r="40" spans="3:17">
      <c r="C40" s="682"/>
      <c r="D40" s="679" t="s">
        <v>494</v>
      </c>
      <c r="E40" s="690">
        <f t="shared" ref="E40:P40" si="30">E209+E379+E549</f>
        <v>0</v>
      </c>
      <c r="F40" s="690">
        <f t="shared" si="30"/>
        <v>0</v>
      </c>
      <c r="G40" s="690">
        <f t="shared" si="30"/>
        <v>0</v>
      </c>
      <c r="H40" s="690">
        <f t="shared" si="30"/>
        <v>0</v>
      </c>
      <c r="I40" s="690">
        <f t="shared" si="30"/>
        <v>0</v>
      </c>
      <c r="J40" s="690">
        <f t="shared" si="30"/>
        <v>0</v>
      </c>
      <c r="K40" s="690">
        <f t="shared" si="30"/>
        <v>0</v>
      </c>
      <c r="L40" s="690">
        <f t="shared" si="30"/>
        <v>0</v>
      </c>
      <c r="M40" s="690">
        <f t="shared" si="30"/>
        <v>0</v>
      </c>
      <c r="N40" s="690">
        <f t="shared" si="30"/>
        <v>0</v>
      </c>
      <c r="O40" s="690">
        <f t="shared" si="30"/>
        <v>0</v>
      </c>
      <c r="P40" s="690">
        <f t="shared" si="30"/>
        <v>0</v>
      </c>
      <c r="Q40" s="690">
        <f t="shared" si="21"/>
        <v>0</v>
      </c>
    </row>
    <row r="41" spans="3:17">
      <c r="C41" s="682"/>
      <c r="D41" s="687" t="s">
        <v>495</v>
      </c>
      <c r="E41" s="690">
        <f t="shared" ref="E41:E43" si="31">E210+E380+E550</f>
        <v>4.01664666666667</v>
      </c>
      <c r="F41" s="690">
        <f t="shared" ref="F41:P41" si="32">F210+F380+F550</f>
        <v>4.01664666666667</v>
      </c>
      <c r="G41" s="690">
        <f t="shared" si="32"/>
        <v>4.01664666666667</v>
      </c>
      <c r="H41" s="690">
        <f t="shared" si="32"/>
        <v>4.01664666666667</v>
      </c>
      <c r="I41" s="690">
        <f t="shared" si="32"/>
        <v>4.01664666666667</v>
      </c>
      <c r="J41" s="690">
        <f t="shared" si="32"/>
        <v>4.01664666666667</v>
      </c>
      <c r="K41" s="690">
        <f t="shared" si="32"/>
        <v>4.01664666666667</v>
      </c>
      <c r="L41" s="690">
        <f t="shared" si="32"/>
        <v>4.01664666666667</v>
      </c>
      <c r="M41" s="690">
        <f t="shared" si="32"/>
        <v>4.01664666666667</v>
      </c>
      <c r="N41" s="690">
        <f t="shared" si="32"/>
        <v>4.01664666666667</v>
      </c>
      <c r="O41" s="690">
        <f t="shared" si="32"/>
        <v>4.01664666666667</v>
      </c>
      <c r="P41" s="690">
        <f t="shared" si="32"/>
        <v>4.01664666666667</v>
      </c>
      <c r="Q41" s="690">
        <f t="shared" si="21"/>
        <v>48.1997600000001</v>
      </c>
    </row>
    <row r="42" spans="3:17">
      <c r="C42" s="682"/>
      <c r="D42" s="55" t="s">
        <v>496</v>
      </c>
      <c r="E42" s="690">
        <f t="shared" si="31"/>
        <v>73.039533125</v>
      </c>
      <c r="F42" s="690">
        <f t="shared" ref="F42:P42" si="33">F211+F381+F551</f>
        <v>73.039533125</v>
      </c>
      <c r="G42" s="690">
        <f t="shared" si="33"/>
        <v>73.039533125</v>
      </c>
      <c r="H42" s="690">
        <f t="shared" si="33"/>
        <v>73.039533125</v>
      </c>
      <c r="I42" s="690">
        <f t="shared" si="33"/>
        <v>73.039533125</v>
      </c>
      <c r="J42" s="690">
        <f t="shared" si="33"/>
        <v>73.039533125</v>
      </c>
      <c r="K42" s="690">
        <f t="shared" si="33"/>
        <v>73.039533125</v>
      </c>
      <c r="L42" s="690">
        <f t="shared" si="33"/>
        <v>73.039533125</v>
      </c>
      <c r="M42" s="690">
        <f t="shared" si="33"/>
        <v>73.039533125</v>
      </c>
      <c r="N42" s="690">
        <f t="shared" si="33"/>
        <v>73.039533125</v>
      </c>
      <c r="O42" s="690">
        <f t="shared" si="33"/>
        <v>73.039533125</v>
      </c>
      <c r="P42" s="690">
        <f t="shared" si="33"/>
        <v>73.039533125</v>
      </c>
      <c r="Q42" s="690">
        <f t="shared" si="21"/>
        <v>876.4743975</v>
      </c>
    </row>
    <row r="43" spans="3:17">
      <c r="C43" s="682"/>
      <c r="D43" s="55"/>
      <c r="E43" s="690">
        <f t="shared" si="31"/>
        <v>0</v>
      </c>
      <c r="F43" s="690">
        <f t="shared" ref="F43:P43" si="34">F212+F382+F552</f>
        <v>0</v>
      </c>
      <c r="G43" s="690">
        <f t="shared" si="34"/>
        <v>0</v>
      </c>
      <c r="H43" s="690">
        <f t="shared" si="34"/>
        <v>0</v>
      </c>
      <c r="I43" s="690">
        <f t="shared" si="34"/>
        <v>0</v>
      </c>
      <c r="J43" s="690">
        <f t="shared" si="34"/>
        <v>0</v>
      </c>
      <c r="K43" s="690">
        <f t="shared" si="34"/>
        <v>0</v>
      </c>
      <c r="L43" s="690">
        <f t="shared" si="34"/>
        <v>0</v>
      </c>
      <c r="M43" s="690">
        <f t="shared" si="34"/>
        <v>0</v>
      </c>
      <c r="N43" s="690">
        <f t="shared" si="34"/>
        <v>0</v>
      </c>
      <c r="O43" s="690">
        <f t="shared" si="34"/>
        <v>0</v>
      </c>
      <c r="P43" s="690">
        <f t="shared" si="34"/>
        <v>0</v>
      </c>
      <c r="Q43" s="690">
        <f t="shared" si="21"/>
        <v>0</v>
      </c>
    </row>
    <row r="44" spans="3:17">
      <c r="C44" s="682"/>
      <c r="D44" s="55"/>
      <c r="E44" s="690">
        <f t="shared" ref="E44:P44" si="35">E213+E383+E553</f>
        <v>0</v>
      </c>
      <c r="F44" s="690">
        <f t="shared" si="35"/>
        <v>0</v>
      </c>
      <c r="G44" s="690">
        <f t="shared" si="35"/>
        <v>0</v>
      </c>
      <c r="H44" s="690">
        <f t="shared" si="35"/>
        <v>0</v>
      </c>
      <c r="I44" s="690">
        <f t="shared" si="35"/>
        <v>0</v>
      </c>
      <c r="J44" s="690">
        <f t="shared" si="35"/>
        <v>0</v>
      </c>
      <c r="K44" s="690">
        <f t="shared" si="35"/>
        <v>0</v>
      </c>
      <c r="L44" s="690">
        <f t="shared" si="35"/>
        <v>0</v>
      </c>
      <c r="M44" s="690">
        <f t="shared" si="35"/>
        <v>0</v>
      </c>
      <c r="N44" s="690">
        <f t="shared" si="35"/>
        <v>0</v>
      </c>
      <c r="O44" s="690">
        <f t="shared" si="35"/>
        <v>0</v>
      </c>
      <c r="P44" s="690">
        <f t="shared" si="35"/>
        <v>0</v>
      </c>
      <c r="Q44" s="690">
        <f t="shared" si="21"/>
        <v>0</v>
      </c>
    </row>
    <row r="45" spans="3:17">
      <c r="C45" s="682"/>
      <c r="D45" s="55"/>
      <c r="E45" s="690">
        <f t="shared" ref="E45:P45" si="36">E214+E384+E554</f>
        <v>0</v>
      </c>
      <c r="F45" s="690">
        <f t="shared" si="36"/>
        <v>0</v>
      </c>
      <c r="G45" s="690">
        <f t="shared" si="36"/>
        <v>0</v>
      </c>
      <c r="H45" s="690">
        <f t="shared" si="36"/>
        <v>0</v>
      </c>
      <c r="I45" s="690">
        <f t="shared" si="36"/>
        <v>0</v>
      </c>
      <c r="J45" s="690">
        <f t="shared" si="36"/>
        <v>0</v>
      </c>
      <c r="K45" s="690">
        <f t="shared" si="36"/>
        <v>0</v>
      </c>
      <c r="L45" s="690">
        <f t="shared" si="36"/>
        <v>0</v>
      </c>
      <c r="M45" s="690">
        <f t="shared" si="36"/>
        <v>0</v>
      </c>
      <c r="N45" s="690">
        <f t="shared" si="36"/>
        <v>0</v>
      </c>
      <c r="O45" s="690">
        <f t="shared" si="36"/>
        <v>0</v>
      </c>
      <c r="P45" s="690">
        <f t="shared" si="36"/>
        <v>0</v>
      </c>
      <c r="Q45" s="690">
        <f t="shared" si="21"/>
        <v>0</v>
      </c>
    </row>
    <row r="46" spans="3:17">
      <c r="C46" s="682"/>
      <c r="D46" s="55"/>
      <c r="E46" s="690">
        <f t="shared" ref="E46:P46" si="37">E215+E385+E555</f>
        <v>0</v>
      </c>
      <c r="F46" s="690">
        <f t="shared" si="37"/>
        <v>0</v>
      </c>
      <c r="G46" s="690">
        <f t="shared" si="37"/>
        <v>0</v>
      </c>
      <c r="H46" s="690">
        <f t="shared" si="37"/>
        <v>0</v>
      </c>
      <c r="I46" s="690">
        <f t="shared" si="37"/>
        <v>0</v>
      </c>
      <c r="J46" s="690">
        <f t="shared" si="37"/>
        <v>0</v>
      </c>
      <c r="K46" s="690">
        <f t="shared" si="37"/>
        <v>0</v>
      </c>
      <c r="L46" s="690">
        <f t="shared" si="37"/>
        <v>0</v>
      </c>
      <c r="M46" s="690">
        <f t="shared" si="37"/>
        <v>0</v>
      </c>
      <c r="N46" s="690">
        <f t="shared" si="37"/>
        <v>0</v>
      </c>
      <c r="O46" s="690">
        <f t="shared" si="37"/>
        <v>0</v>
      </c>
      <c r="P46" s="690">
        <f t="shared" si="37"/>
        <v>0</v>
      </c>
      <c r="Q46" s="690">
        <f t="shared" si="21"/>
        <v>0</v>
      </c>
    </row>
    <row r="47" spans="3:17">
      <c r="C47" s="682"/>
      <c r="D47" s="67"/>
      <c r="E47" s="690">
        <f t="shared" ref="E47:P47" si="38">E216+E386+E556</f>
        <v>0</v>
      </c>
      <c r="F47" s="690">
        <f t="shared" si="38"/>
        <v>0</v>
      </c>
      <c r="G47" s="690">
        <f t="shared" si="38"/>
        <v>0</v>
      </c>
      <c r="H47" s="690">
        <f t="shared" si="38"/>
        <v>0</v>
      </c>
      <c r="I47" s="690">
        <f t="shared" si="38"/>
        <v>0</v>
      </c>
      <c r="J47" s="690">
        <f t="shared" si="38"/>
        <v>0</v>
      </c>
      <c r="K47" s="690">
        <f t="shared" si="38"/>
        <v>0</v>
      </c>
      <c r="L47" s="690">
        <f t="shared" si="38"/>
        <v>0</v>
      </c>
      <c r="M47" s="690">
        <f t="shared" si="38"/>
        <v>0</v>
      </c>
      <c r="N47" s="690">
        <f t="shared" si="38"/>
        <v>0</v>
      </c>
      <c r="O47" s="690">
        <f t="shared" si="38"/>
        <v>0</v>
      </c>
      <c r="P47" s="690">
        <f t="shared" si="38"/>
        <v>0</v>
      </c>
      <c r="Q47" s="690">
        <f t="shared" si="21"/>
        <v>0</v>
      </c>
    </row>
    <row r="48" ht="15" spans="3:17">
      <c r="C48" s="537" t="s">
        <v>211</v>
      </c>
      <c r="D48" s="537"/>
      <c r="E48" s="700">
        <f t="shared" ref="E48:P48" si="39">SUM(E31:E47)</f>
        <v>145.729549791667</v>
      </c>
      <c r="F48" s="700">
        <f t="shared" si="39"/>
        <v>145.729549791667</v>
      </c>
      <c r="G48" s="700">
        <f t="shared" si="39"/>
        <v>145.729549791667</v>
      </c>
      <c r="H48" s="700">
        <f t="shared" si="39"/>
        <v>145.729549791667</v>
      </c>
      <c r="I48" s="700">
        <f t="shared" si="39"/>
        <v>145.729549791667</v>
      </c>
      <c r="J48" s="700">
        <f t="shared" si="39"/>
        <v>145.729549791667</v>
      </c>
      <c r="K48" s="700">
        <f t="shared" si="39"/>
        <v>145.729549791667</v>
      </c>
      <c r="L48" s="700">
        <f t="shared" si="39"/>
        <v>145.729549791667</v>
      </c>
      <c r="M48" s="700">
        <f t="shared" si="39"/>
        <v>145.729549791667</v>
      </c>
      <c r="N48" s="700">
        <f t="shared" si="39"/>
        <v>145.729549791667</v>
      </c>
      <c r="O48" s="700">
        <f t="shared" si="39"/>
        <v>145.729549791667</v>
      </c>
      <c r="P48" s="700">
        <f t="shared" si="39"/>
        <v>145.729549791667</v>
      </c>
      <c r="Q48" s="700">
        <f t="shared" si="21"/>
        <v>1748.7545975</v>
      </c>
    </row>
    <row r="49" ht="15" spans="3:17">
      <c r="C49" s="44" t="s">
        <v>369</v>
      </c>
      <c r="D49" s="44"/>
      <c r="E49" s="700">
        <f t="shared" ref="E49:P49" si="40">E29+E48</f>
        <v>981.112294298017</v>
      </c>
      <c r="F49" s="700">
        <f t="shared" si="40"/>
        <v>989.450986329167</v>
      </c>
      <c r="G49" s="700">
        <f t="shared" si="40"/>
        <v>995.453953504233</v>
      </c>
      <c r="H49" s="700">
        <f t="shared" si="40"/>
        <v>957.264487433503</v>
      </c>
      <c r="I49" s="700">
        <f t="shared" si="40"/>
        <v>950.316938722856</v>
      </c>
      <c r="J49" s="700">
        <f t="shared" si="40"/>
        <v>927.164885694967</v>
      </c>
      <c r="K49" s="700">
        <f t="shared" si="40"/>
        <v>848.911392987517</v>
      </c>
      <c r="L49" s="700">
        <f t="shared" si="40"/>
        <v>1085.86161919669</v>
      </c>
      <c r="M49" s="700">
        <f t="shared" si="40"/>
        <v>1006.94426244572</v>
      </c>
      <c r="N49" s="700">
        <f t="shared" si="40"/>
        <v>1039.99114620787</v>
      </c>
      <c r="O49" s="700">
        <f t="shared" si="40"/>
        <v>993.564891720767</v>
      </c>
      <c r="P49" s="700">
        <f t="shared" si="40"/>
        <v>1021.53103207907</v>
      </c>
      <c r="Q49" s="730">
        <f t="shared" si="21"/>
        <v>11797.5678906204</v>
      </c>
    </row>
    <row r="50" ht="15" spans="3:17">
      <c r="C50" s="663" t="s">
        <v>370</v>
      </c>
      <c r="D50" s="663"/>
      <c r="E50" s="690"/>
      <c r="F50" s="690"/>
      <c r="G50" s="690"/>
      <c r="H50" s="690"/>
      <c r="I50" s="690"/>
      <c r="J50" s="690"/>
      <c r="K50" s="690"/>
      <c r="L50" s="690"/>
      <c r="M50" s="690"/>
      <c r="N50" s="690"/>
      <c r="O50" s="690"/>
      <c r="P50" s="690"/>
      <c r="Q50" s="690"/>
    </row>
    <row r="51" ht="15" spans="3:17">
      <c r="C51" s="44" t="s">
        <v>350</v>
      </c>
      <c r="D51" s="44"/>
      <c r="E51" s="690"/>
      <c r="F51" s="690"/>
      <c r="G51" s="690"/>
      <c r="H51" s="690"/>
      <c r="I51" s="690"/>
      <c r="J51" s="690"/>
      <c r="K51" s="690"/>
      <c r="L51" s="690"/>
      <c r="M51" s="690"/>
      <c r="N51" s="690"/>
      <c r="O51" s="690"/>
      <c r="P51" s="690"/>
      <c r="Q51" s="690"/>
    </row>
    <row r="52" spans="3:17">
      <c r="C52" s="682" t="s">
        <v>371</v>
      </c>
      <c r="D52" s="55" t="s">
        <v>372</v>
      </c>
      <c r="E52" s="690">
        <f t="shared" ref="E52:P52" si="41">E221+E391+E561</f>
        <v>56.439755751667</v>
      </c>
      <c r="F52" s="690">
        <f t="shared" si="41"/>
        <v>51.8760483171908</v>
      </c>
      <c r="G52" s="690">
        <f t="shared" si="41"/>
        <v>46.8631953226861</v>
      </c>
      <c r="H52" s="690">
        <f t="shared" si="41"/>
        <v>103.955508022887</v>
      </c>
      <c r="I52" s="690">
        <f t="shared" si="41"/>
        <v>62.9547245234678</v>
      </c>
      <c r="J52" s="690">
        <f t="shared" si="41"/>
        <v>38.4823608909</v>
      </c>
      <c r="K52" s="690">
        <f t="shared" si="41"/>
        <v>52.7981126816125</v>
      </c>
      <c r="L52" s="690">
        <f t="shared" si="41"/>
        <v>62.6314977553557</v>
      </c>
      <c r="M52" s="690">
        <f t="shared" si="41"/>
        <v>56.8891984529467</v>
      </c>
      <c r="N52" s="690">
        <f t="shared" si="41"/>
        <v>58.527071826735</v>
      </c>
      <c r="O52" s="690">
        <f t="shared" si="41"/>
        <v>54.9314313047532</v>
      </c>
      <c r="P52" s="690">
        <f t="shared" si="41"/>
        <v>62.0715399154469</v>
      </c>
      <c r="Q52" s="690">
        <f t="shared" ref="Q52:Q77" si="42">SUM(E52:P52)</f>
        <v>708.420444765649</v>
      </c>
    </row>
    <row r="53" spans="3:17">
      <c r="C53" s="682"/>
      <c r="D53" s="55" t="s">
        <v>373</v>
      </c>
      <c r="E53" s="690">
        <f t="shared" ref="E53:P53" si="43">E222+E392+E562</f>
        <v>13.2499473279661</v>
      </c>
      <c r="F53" s="690">
        <f t="shared" si="43"/>
        <v>13.0525395201115</v>
      </c>
      <c r="G53" s="690">
        <f t="shared" si="43"/>
        <v>15.706627485756</v>
      </c>
      <c r="H53" s="690">
        <f t="shared" si="43"/>
        <v>15.6997391156845</v>
      </c>
      <c r="I53" s="690">
        <f t="shared" si="43"/>
        <v>17.9709435773838</v>
      </c>
      <c r="J53" s="690">
        <f t="shared" si="43"/>
        <v>14.6516565143</v>
      </c>
      <c r="K53" s="690">
        <f t="shared" si="43"/>
        <v>15.2999951593868</v>
      </c>
      <c r="L53" s="690">
        <f t="shared" si="43"/>
        <v>16.7677911058421</v>
      </c>
      <c r="M53" s="690">
        <f t="shared" si="43"/>
        <v>11.7614181209185</v>
      </c>
      <c r="N53" s="690">
        <f t="shared" si="43"/>
        <v>14.3388544181164</v>
      </c>
      <c r="O53" s="690">
        <f t="shared" si="43"/>
        <v>14.6276345433239</v>
      </c>
      <c r="P53" s="690">
        <f t="shared" si="43"/>
        <v>14.3088188318145</v>
      </c>
      <c r="Q53" s="690">
        <f t="shared" si="42"/>
        <v>177.435965720604</v>
      </c>
    </row>
    <row r="54" spans="3:17">
      <c r="C54" s="682"/>
      <c r="D54" s="55" t="s">
        <v>374</v>
      </c>
      <c r="E54" s="690">
        <f t="shared" ref="E54:P54" si="44">E223+E393+E563</f>
        <v>56.2721936169504</v>
      </c>
      <c r="F54" s="690">
        <f t="shared" si="44"/>
        <v>26.2694398875571</v>
      </c>
      <c r="G54" s="690">
        <f t="shared" si="44"/>
        <v>24.7691793075238</v>
      </c>
      <c r="H54" s="690">
        <f t="shared" si="44"/>
        <v>26.9570721055138</v>
      </c>
      <c r="I54" s="690">
        <f t="shared" si="44"/>
        <v>24.012546023777</v>
      </c>
      <c r="J54" s="690">
        <f t="shared" si="44"/>
        <v>23.86546527875</v>
      </c>
      <c r="K54" s="690">
        <f t="shared" si="44"/>
        <v>30.624569107483</v>
      </c>
      <c r="L54" s="690">
        <f t="shared" si="44"/>
        <v>26.3932083469037</v>
      </c>
      <c r="M54" s="690">
        <f t="shared" si="44"/>
        <v>26.5960130937159</v>
      </c>
      <c r="N54" s="690">
        <f t="shared" si="44"/>
        <v>26.4814519409152</v>
      </c>
      <c r="O54" s="690">
        <f t="shared" si="44"/>
        <v>26.3095588264533</v>
      </c>
      <c r="P54" s="690">
        <f t="shared" si="44"/>
        <v>26.727468168918</v>
      </c>
      <c r="Q54" s="690">
        <f t="shared" si="42"/>
        <v>345.278165704461</v>
      </c>
    </row>
    <row r="55" spans="3:17">
      <c r="C55" s="682"/>
      <c r="D55" s="55" t="s">
        <v>375</v>
      </c>
      <c r="E55" s="690">
        <f t="shared" ref="E55:P55" si="45">E224+E394+E564</f>
        <v>94.602865200622</v>
      </c>
      <c r="F55" s="690">
        <f t="shared" si="45"/>
        <v>94.866014870555</v>
      </c>
      <c r="G55" s="690">
        <f t="shared" si="45"/>
        <v>112.466454108602</v>
      </c>
      <c r="H55" s="690">
        <f t="shared" si="45"/>
        <v>113.987230917114</v>
      </c>
      <c r="I55" s="690">
        <f t="shared" si="45"/>
        <v>106.933233971899</v>
      </c>
      <c r="J55" s="690">
        <f t="shared" si="45"/>
        <v>96.34437254655</v>
      </c>
      <c r="K55" s="690">
        <f t="shared" si="45"/>
        <v>107.294210801614</v>
      </c>
      <c r="L55" s="690">
        <f t="shared" si="45"/>
        <v>84.3912676772389</v>
      </c>
      <c r="M55" s="690">
        <f t="shared" si="45"/>
        <v>66.0318949151636</v>
      </c>
      <c r="N55" s="690">
        <f t="shared" si="45"/>
        <v>113.968113314843</v>
      </c>
      <c r="O55" s="690">
        <f t="shared" si="45"/>
        <v>117.520648172056</v>
      </c>
      <c r="P55" s="690">
        <f t="shared" si="45"/>
        <v>118.038082884266</v>
      </c>
      <c r="Q55" s="690">
        <f t="shared" si="42"/>
        <v>1226.44438938052</v>
      </c>
    </row>
    <row r="56" spans="3:17">
      <c r="C56" s="682"/>
      <c r="D56" s="55" t="s">
        <v>376</v>
      </c>
      <c r="E56" s="690">
        <f t="shared" ref="E56:P56" si="46">E225+E395+E565</f>
        <v>52.4419866316503</v>
      </c>
      <c r="F56" s="690">
        <f t="shared" si="46"/>
        <v>48.0627075327982</v>
      </c>
      <c r="G56" s="690">
        <f t="shared" si="46"/>
        <v>52.2852616377755</v>
      </c>
      <c r="H56" s="690">
        <f t="shared" si="46"/>
        <v>35.3753927702172</v>
      </c>
      <c r="I56" s="690">
        <f t="shared" si="46"/>
        <v>48.8867665679988</v>
      </c>
      <c r="J56" s="690">
        <f t="shared" si="46"/>
        <v>51.0846501043</v>
      </c>
      <c r="K56" s="690">
        <f t="shared" si="46"/>
        <v>49.6509213603752</v>
      </c>
      <c r="L56" s="690">
        <f t="shared" si="46"/>
        <v>56.0617721732999</v>
      </c>
      <c r="M56" s="690">
        <f t="shared" si="46"/>
        <v>59.7400804317735</v>
      </c>
      <c r="N56" s="690">
        <f t="shared" si="46"/>
        <v>61.3618671480892</v>
      </c>
      <c r="O56" s="690">
        <f t="shared" si="46"/>
        <v>55.3447842874552</v>
      </c>
      <c r="P56" s="690">
        <f t="shared" si="46"/>
        <v>57.8986565234936</v>
      </c>
      <c r="Q56" s="690">
        <f t="shared" si="42"/>
        <v>628.194847169227</v>
      </c>
    </row>
    <row r="57" customHeight="1" spans="3:17">
      <c r="C57" s="682"/>
      <c r="D57" s="55" t="s">
        <v>377</v>
      </c>
      <c r="E57" s="690">
        <f t="shared" ref="E57:P57" si="47">E226+E396+E566</f>
        <v>30.7669490302393</v>
      </c>
      <c r="F57" s="690">
        <f t="shared" si="47"/>
        <v>40.9382463826614</v>
      </c>
      <c r="G57" s="690">
        <f t="shared" si="47"/>
        <v>55.4108011629545</v>
      </c>
      <c r="H57" s="690">
        <f t="shared" si="47"/>
        <v>38.6032790963006</v>
      </c>
      <c r="I57" s="690">
        <f t="shared" si="47"/>
        <v>55.6278736790606</v>
      </c>
      <c r="J57" s="690">
        <f t="shared" si="47"/>
        <v>54.60084820595</v>
      </c>
      <c r="K57" s="690">
        <f t="shared" si="47"/>
        <v>62.38803388455</v>
      </c>
      <c r="L57" s="690">
        <f t="shared" si="47"/>
        <v>17.0095324459175</v>
      </c>
      <c r="M57" s="690">
        <f t="shared" si="47"/>
        <v>37.8117707842228</v>
      </c>
      <c r="N57" s="690">
        <f t="shared" si="47"/>
        <v>59.9582353113892</v>
      </c>
      <c r="O57" s="690">
        <f t="shared" si="47"/>
        <v>39.3624781241498</v>
      </c>
      <c r="P57" s="690">
        <f t="shared" si="47"/>
        <v>32.6315925740238</v>
      </c>
      <c r="Q57" s="690">
        <f t="shared" si="42"/>
        <v>525.109640681419</v>
      </c>
    </row>
    <row r="58" spans="3:17">
      <c r="C58" s="682"/>
      <c r="D58" s="55" t="s">
        <v>378</v>
      </c>
      <c r="E58" s="690">
        <f t="shared" ref="E58:P58" si="48">E227+E397+E567</f>
        <v>36.4390913676</v>
      </c>
      <c r="F58" s="690">
        <f t="shared" si="48"/>
        <v>31.2014664226</v>
      </c>
      <c r="G58" s="690">
        <f t="shared" si="48"/>
        <v>55.66753655035</v>
      </c>
      <c r="H58" s="690">
        <f t="shared" si="48"/>
        <v>45.2249909858583</v>
      </c>
      <c r="I58" s="690">
        <f t="shared" si="48"/>
        <v>48.1132794269588</v>
      </c>
      <c r="J58" s="690">
        <f t="shared" si="48"/>
        <v>67.0839457043153</v>
      </c>
      <c r="K58" s="690">
        <f t="shared" si="48"/>
        <v>56.3861199773</v>
      </c>
      <c r="L58" s="690">
        <f t="shared" si="48"/>
        <v>60.89275160925</v>
      </c>
      <c r="M58" s="690">
        <f t="shared" si="48"/>
        <v>46.20921199785</v>
      </c>
      <c r="N58" s="690">
        <f t="shared" si="48"/>
        <v>41.61470519075</v>
      </c>
      <c r="O58" s="690">
        <f t="shared" si="48"/>
        <v>41.58619170275</v>
      </c>
      <c r="P58" s="690">
        <f t="shared" si="48"/>
        <v>39.7734250443</v>
      </c>
      <c r="Q58" s="690">
        <f t="shared" si="42"/>
        <v>570.192715979882</v>
      </c>
    </row>
    <row r="59" spans="3:17">
      <c r="C59" s="682"/>
      <c r="D59" s="55" t="s">
        <v>379</v>
      </c>
      <c r="E59" s="690">
        <f t="shared" ref="E59:P59" si="49">E228+E398+E568</f>
        <v>10.4371697888415</v>
      </c>
      <c r="F59" s="690">
        <f t="shared" si="49"/>
        <v>8.890115490272</v>
      </c>
      <c r="G59" s="690">
        <f t="shared" si="49"/>
        <v>9.642595928978</v>
      </c>
      <c r="H59" s="690">
        <f t="shared" si="49"/>
        <v>8.635067855711</v>
      </c>
      <c r="I59" s="690">
        <f t="shared" si="49"/>
        <v>11.4508530575315</v>
      </c>
      <c r="J59" s="690">
        <f t="shared" si="49"/>
        <v>9.68748137979</v>
      </c>
      <c r="K59" s="690">
        <f t="shared" si="49"/>
        <v>8.6711887819585</v>
      </c>
      <c r="L59" s="690">
        <f t="shared" si="49"/>
        <v>8.1216703915415</v>
      </c>
      <c r="M59" s="690">
        <f t="shared" si="49"/>
        <v>9.2014395962825</v>
      </c>
      <c r="N59" s="690">
        <f t="shared" si="49"/>
        <v>10.4183629113035</v>
      </c>
      <c r="O59" s="690">
        <f t="shared" si="49"/>
        <v>12.9258819105476</v>
      </c>
      <c r="P59" s="690">
        <f t="shared" si="49"/>
        <v>14.8224255950735</v>
      </c>
      <c r="Q59" s="690">
        <f t="shared" si="42"/>
        <v>122.904252687831</v>
      </c>
    </row>
    <row r="60" spans="3:17">
      <c r="C60" s="682"/>
      <c r="D60" s="55" t="s">
        <v>380</v>
      </c>
      <c r="E60" s="690">
        <f t="shared" ref="E60:P60" si="50">E229+E399+E569</f>
        <v>0</v>
      </c>
      <c r="F60" s="690">
        <f t="shared" si="50"/>
        <v>0</v>
      </c>
      <c r="G60" s="690">
        <f t="shared" si="50"/>
        <v>0</v>
      </c>
      <c r="H60" s="690">
        <f t="shared" si="50"/>
        <v>0</v>
      </c>
      <c r="I60" s="690">
        <f t="shared" si="50"/>
        <v>0</v>
      </c>
      <c r="J60" s="690">
        <f t="shared" si="50"/>
        <v>2.2779835882</v>
      </c>
      <c r="K60" s="690">
        <f t="shared" si="50"/>
        <v>205.097540807575</v>
      </c>
      <c r="L60" s="690">
        <f t="shared" si="50"/>
        <v>100.199352511923</v>
      </c>
      <c r="M60" s="690">
        <f t="shared" si="50"/>
        <v>97.8053841364344</v>
      </c>
      <c r="N60" s="690">
        <f t="shared" si="50"/>
        <v>142.717420188298</v>
      </c>
      <c r="O60" s="690">
        <f t="shared" si="50"/>
        <v>153.074139258937</v>
      </c>
      <c r="P60" s="690">
        <f t="shared" si="50"/>
        <v>271.420877255135</v>
      </c>
      <c r="Q60" s="690">
        <f t="shared" si="42"/>
        <v>972.592697746502</v>
      </c>
    </row>
    <row r="61" spans="3:17">
      <c r="C61" s="55"/>
      <c r="D61" s="55" t="s">
        <v>381</v>
      </c>
      <c r="E61" s="690">
        <f t="shared" ref="E61:P61" si="51">E230+E400+E570</f>
        <v>0.698523915946815</v>
      </c>
      <c r="F61" s="690">
        <f t="shared" si="51"/>
        <v>20.703222940064</v>
      </c>
      <c r="G61" s="690">
        <f t="shared" si="51"/>
        <v>0.69426004984125</v>
      </c>
      <c r="H61" s="690">
        <f t="shared" si="51"/>
        <v>17.9140348046244</v>
      </c>
      <c r="I61" s="690">
        <f t="shared" si="51"/>
        <v>0.5092159927607</v>
      </c>
      <c r="J61" s="690">
        <f t="shared" si="51"/>
        <v>1.0167911514</v>
      </c>
      <c r="K61" s="690">
        <f t="shared" si="51"/>
        <v>0.860793299011772</v>
      </c>
      <c r="L61" s="690">
        <f t="shared" si="51"/>
        <v>0.4696416833801</v>
      </c>
      <c r="M61" s="690">
        <f t="shared" si="51"/>
        <v>5.2298464894606</v>
      </c>
      <c r="N61" s="690">
        <f t="shared" si="51"/>
        <v>0.8605918991589</v>
      </c>
      <c r="O61" s="690">
        <f t="shared" si="51"/>
        <v>0.7575355481201</v>
      </c>
      <c r="P61" s="690">
        <f t="shared" si="51"/>
        <v>0.893835948132163</v>
      </c>
      <c r="Q61" s="690">
        <f t="shared" si="42"/>
        <v>50.6082937219007</v>
      </c>
    </row>
    <row r="62" spans="3:17">
      <c r="C62" s="55"/>
      <c r="D62" s="55" t="s">
        <v>382</v>
      </c>
      <c r="E62" s="690">
        <f t="shared" ref="E62:P62" si="52">E231+E401+E571</f>
        <v>0.70688059295</v>
      </c>
      <c r="F62" s="690">
        <f t="shared" si="52"/>
        <v>0.270544081273937</v>
      </c>
      <c r="G62" s="690">
        <f t="shared" si="52"/>
        <v>0.304257361692077</v>
      </c>
      <c r="H62" s="690">
        <f t="shared" si="52"/>
        <v>26.2902701200993</v>
      </c>
      <c r="I62" s="690">
        <f t="shared" si="52"/>
        <v>0.70271094685</v>
      </c>
      <c r="J62" s="690">
        <f t="shared" si="52"/>
        <v>0.9579539266005</v>
      </c>
      <c r="K62" s="690">
        <f t="shared" si="52"/>
        <v>0.933077200701117</v>
      </c>
      <c r="L62" s="690">
        <f t="shared" si="52"/>
        <v>0.22564303889415</v>
      </c>
      <c r="M62" s="690">
        <f t="shared" si="52"/>
        <v>0.41590496360385</v>
      </c>
      <c r="N62" s="690">
        <f t="shared" si="52"/>
        <v>0.804168804396637</v>
      </c>
      <c r="O62" s="690">
        <f t="shared" si="52"/>
        <v>0.727316609638963</v>
      </c>
      <c r="P62" s="690">
        <f t="shared" si="52"/>
        <v>0.9212455086325</v>
      </c>
      <c r="Q62" s="690">
        <f t="shared" si="42"/>
        <v>33.259973155333</v>
      </c>
    </row>
    <row r="63" spans="3:17">
      <c r="C63" s="55"/>
      <c r="D63" s="55" t="s">
        <v>383</v>
      </c>
      <c r="E63" s="690">
        <f t="shared" ref="E63:P63" si="53">E232+E402+E572</f>
        <v>12.1152943284944</v>
      </c>
      <c r="F63" s="690">
        <f t="shared" si="53"/>
        <v>10.616026543829</v>
      </c>
      <c r="G63" s="690">
        <f t="shared" si="53"/>
        <v>11.9856023453275</v>
      </c>
      <c r="H63" s="690">
        <f t="shared" si="53"/>
        <v>30.3736706578991</v>
      </c>
      <c r="I63" s="690">
        <f t="shared" si="53"/>
        <v>8.59304445111106</v>
      </c>
      <c r="J63" s="690">
        <f t="shared" si="53"/>
        <v>7.00850705615</v>
      </c>
      <c r="K63" s="690">
        <f t="shared" si="53"/>
        <v>10.99273604485</v>
      </c>
      <c r="L63" s="690">
        <f t="shared" si="53"/>
        <v>11.42786854975</v>
      </c>
      <c r="M63" s="690">
        <f t="shared" si="53"/>
        <v>13.0809788712084</v>
      </c>
      <c r="N63" s="690">
        <f t="shared" si="53"/>
        <v>13.4804729397341</v>
      </c>
      <c r="O63" s="690">
        <f t="shared" si="53"/>
        <v>9.76556607477736</v>
      </c>
      <c r="P63" s="690">
        <f t="shared" si="53"/>
        <v>12.766961033705</v>
      </c>
      <c r="Q63" s="690">
        <f t="shared" si="42"/>
        <v>152.206728896836</v>
      </c>
    </row>
    <row r="64" spans="3:17">
      <c r="C64" s="55"/>
      <c r="D64" s="55" t="s">
        <v>384</v>
      </c>
      <c r="E64" s="690">
        <f t="shared" ref="E64:P64" si="54">E233+E403+E573</f>
        <v>0.9198877288716</v>
      </c>
      <c r="F64" s="690">
        <f t="shared" si="54"/>
        <v>0.721333618405396</v>
      </c>
      <c r="G64" s="690">
        <f t="shared" si="54"/>
        <v>0.6303905150595</v>
      </c>
      <c r="H64" s="690">
        <f t="shared" si="54"/>
        <v>1.8748449733222</v>
      </c>
      <c r="I64" s="690">
        <f t="shared" si="54"/>
        <v>0.8791617310956</v>
      </c>
      <c r="J64" s="690">
        <f t="shared" si="54"/>
        <v>1.25131739874042</v>
      </c>
      <c r="K64" s="690">
        <f t="shared" si="54"/>
        <v>0.850557397394805</v>
      </c>
      <c r="L64" s="690">
        <f t="shared" si="54"/>
        <v>0.5814906312517</v>
      </c>
      <c r="M64" s="690">
        <f t="shared" si="54"/>
        <v>0.5711213985399</v>
      </c>
      <c r="N64" s="690">
        <f t="shared" si="54"/>
        <v>1.2791820226423</v>
      </c>
      <c r="O64" s="690">
        <f t="shared" si="54"/>
        <v>0.9593687298099</v>
      </c>
      <c r="P64" s="690">
        <f t="shared" si="54"/>
        <v>0.9891712295227</v>
      </c>
      <c r="Q64" s="690">
        <f t="shared" si="42"/>
        <v>11.507827374656</v>
      </c>
    </row>
    <row r="65" spans="3:17">
      <c r="C65" s="55"/>
      <c r="D65" s="55" t="s">
        <v>385</v>
      </c>
      <c r="E65" s="690">
        <f t="shared" ref="E65:P65" si="55">E234+E404+E574</f>
        <v>0.991013362284006</v>
      </c>
      <c r="F65" s="690">
        <f t="shared" si="55"/>
        <v>0.6624261735714</v>
      </c>
      <c r="G65" s="690">
        <f t="shared" si="55"/>
        <v>0.729429057285</v>
      </c>
      <c r="H65" s="690">
        <f t="shared" si="55"/>
        <v>1.31668416284321</v>
      </c>
      <c r="I65" s="690">
        <f t="shared" si="55"/>
        <v>0.490356531909</v>
      </c>
      <c r="J65" s="690">
        <f t="shared" si="55"/>
        <v>1.01445225383358</v>
      </c>
      <c r="K65" s="690">
        <f t="shared" si="55"/>
        <v>0.768251753151735</v>
      </c>
      <c r="L65" s="690">
        <f t="shared" si="55"/>
        <v>0.89738226454995</v>
      </c>
      <c r="M65" s="690">
        <f t="shared" si="55"/>
        <v>0.54369383088485</v>
      </c>
      <c r="N65" s="690">
        <f t="shared" si="55"/>
        <v>0.7237604565</v>
      </c>
      <c r="O65" s="690">
        <f t="shared" si="55"/>
        <v>0.492689728823295</v>
      </c>
      <c r="P65" s="690">
        <f t="shared" si="55"/>
        <v>0.770899092293</v>
      </c>
      <c r="Q65" s="690">
        <f t="shared" si="42"/>
        <v>9.40103866792902</v>
      </c>
    </row>
    <row r="66" spans="3:17">
      <c r="C66" s="55"/>
      <c r="D66" s="55" t="s">
        <v>386</v>
      </c>
      <c r="E66" s="690">
        <f t="shared" ref="E66:P66" si="56">E235+E405+E575</f>
        <v>21.846215544268</v>
      </c>
      <c r="F66" s="690">
        <f t="shared" si="56"/>
        <v>16.8155670126837</v>
      </c>
      <c r="G66" s="690">
        <f t="shared" si="56"/>
        <v>20.2930681759</v>
      </c>
      <c r="H66" s="690">
        <f t="shared" si="56"/>
        <v>24.9080490401542</v>
      </c>
      <c r="I66" s="690">
        <f t="shared" si="56"/>
        <v>20.6350395382393</v>
      </c>
      <c r="J66" s="690">
        <f t="shared" si="56"/>
        <v>16.27844222585</v>
      </c>
      <c r="K66" s="690">
        <f t="shared" si="56"/>
        <v>17.0636148721699</v>
      </c>
      <c r="L66" s="690">
        <f t="shared" si="56"/>
        <v>10.301271038912</v>
      </c>
      <c r="M66" s="690">
        <f t="shared" si="56"/>
        <v>11.6723131295685</v>
      </c>
      <c r="N66" s="690">
        <f t="shared" si="56"/>
        <v>7.86161308345837</v>
      </c>
      <c r="O66" s="690">
        <f t="shared" si="56"/>
        <v>8.5350696638833</v>
      </c>
      <c r="P66" s="690">
        <f t="shared" si="56"/>
        <v>9.878191681215</v>
      </c>
      <c r="Q66" s="690">
        <f t="shared" si="42"/>
        <v>186.088455006302</v>
      </c>
    </row>
    <row r="67" spans="3:17">
      <c r="C67" s="55"/>
      <c r="D67" s="55" t="s">
        <v>387</v>
      </c>
      <c r="E67" s="690">
        <f t="shared" ref="E67:P67" si="57">E236+E406+E576</f>
        <v>27.50572887125</v>
      </c>
      <c r="F67" s="690">
        <f t="shared" si="57"/>
        <v>19.9677880883</v>
      </c>
      <c r="G67" s="690">
        <f t="shared" si="57"/>
        <v>29.8292370336473</v>
      </c>
      <c r="H67" s="690">
        <f t="shared" si="57"/>
        <v>19.0932717356669</v>
      </c>
      <c r="I67" s="690">
        <f t="shared" si="57"/>
        <v>16.168961101912</v>
      </c>
      <c r="J67" s="690">
        <f t="shared" si="57"/>
        <v>27.6775843776713</v>
      </c>
      <c r="K67" s="690">
        <f t="shared" si="57"/>
        <v>34.8187235997904</v>
      </c>
      <c r="L67" s="690">
        <f t="shared" si="57"/>
        <v>19.8490401626</v>
      </c>
      <c r="M67" s="690">
        <f t="shared" si="57"/>
        <v>16.200556893256</v>
      </c>
      <c r="N67" s="690">
        <f t="shared" si="57"/>
        <v>20.6835288332995</v>
      </c>
      <c r="O67" s="690">
        <f t="shared" si="57"/>
        <v>20.7933568149784</v>
      </c>
      <c r="P67" s="690">
        <f t="shared" si="57"/>
        <v>26.1790069287183</v>
      </c>
      <c r="Q67" s="690">
        <f t="shared" si="42"/>
        <v>278.76678444109</v>
      </c>
    </row>
    <row r="68" spans="3:17">
      <c r="C68" s="55"/>
      <c r="D68" s="731" t="s">
        <v>467</v>
      </c>
      <c r="E68" s="690">
        <f t="shared" ref="E68:P68" si="58">E237+E407+E577</f>
        <v>0</v>
      </c>
      <c r="F68" s="690">
        <f t="shared" si="58"/>
        <v>0</v>
      </c>
      <c r="G68" s="690">
        <f t="shared" si="58"/>
        <v>0.05239729359785</v>
      </c>
      <c r="H68" s="690">
        <f t="shared" si="58"/>
        <v>-5.820375e-5</v>
      </c>
      <c r="I68" s="690">
        <f t="shared" si="58"/>
        <v>0.0035015376</v>
      </c>
      <c r="J68" s="690">
        <f t="shared" si="58"/>
        <v>0.00038428585</v>
      </c>
      <c r="K68" s="690">
        <f t="shared" si="58"/>
        <v>0.00037723085</v>
      </c>
      <c r="L68" s="690">
        <f t="shared" si="58"/>
        <v>0.0003859085</v>
      </c>
      <c r="M68" s="690">
        <f t="shared" si="58"/>
        <v>-6.032025e-5</v>
      </c>
      <c r="N68" s="690">
        <f t="shared" si="58"/>
        <v>0.00010716545</v>
      </c>
      <c r="O68" s="690">
        <f t="shared" si="58"/>
        <v>0.000701267</v>
      </c>
      <c r="P68" s="690">
        <f t="shared" si="58"/>
        <v>-0.0002673845</v>
      </c>
      <c r="Q68" s="690">
        <f t="shared" si="42"/>
        <v>0.05746878034785</v>
      </c>
    </row>
    <row r="69" spans="3:17">
      <c r="C69" s="55"/>
      <c r="D69" s="731" t="s">
        <v>468</v>
      </c>
      <c r="E69" s="690">
        <f t="shared" ref="E69:P69" si="59">E238+E408+E578</f>
        <v>0</v>
      </c>
      <c r="F69" s="690">
        <f t="shared" si="59"/>
        <v>0</v>
      </c>
      <c r="G69" s="690">
        <f t="shared" si="59"/>
        <v>0.405152011488</v>
      </c>
      <c r="H69" s="690">
        <f t="shared" si="59"/>
        <v>-0.00134362475</v>
      </c>
      <c r="I69" s="690">
        <f t="shared" si="59"/>
        <v>0.00175888205</v>
      </c>
      <c r="J69" s="690">
        <f t="shared" si="59"/>
        <v>-0.00354845335</v>
      </c>
      <c r="K69" s="690">
        <f t="shared" si="59"/>
        <v>0.0064156759</v>
      </c>
      <c r="L69" s="690">
        <f t="shared" si="59"/>
        <v>-0.00182336475</v>
      </c>
      <c r="M69" s="690">
        <f t="shared" si="59"/>
        <v>0.00039148195</v>
      </c>
      <c r="N69" s="690">
        <f t="shared" si="59"/>
        <v>0</v>
      </c>
      <c r="O69" s="690">
        <f t="shared" si="59"/>
        <v>-0.01148673935</v>
      </c>
      <c r="P69" s="690">
        <f t="shared" si="59"/>
        <v>-0.0004309194</v>
      </c>
      <c r="Q69" s="690">
        <f t="shared" si="42"/>
        <v>0.395084949788</v>
      </c>
    </row>
    <row r="70" spans="3:17">
      <c r="C70" s="55"/>
      <c r="D70" s="687" t="s">
        <v>470</v>
      </c>
      <c r="E70" s="690">
        <f t="shared" ref="E70:P70" si="60">E239+E409+E579</f>
        <v>0</v>
      </c>
      <c r="F70" s="690">
        <f t="shared" si="60"/>
        <v>0.073013606</v>
      </c>
      <c r="G70" s="690">
        <f t="shared" si="60"/>
        <v>1.389835e-5</v>
      </c>
      <c r="H70" s="690">
        <f t="shared" si="60"/>
        <v>4.621025e-5</v>
      </c>
      <c r="I70" s="690">
        <f t="shared" si="60"/>
        <v>0.0006262018</v>
      </c>
      <c r="J70" s="690">
        <f t="shared" si="60"/>
        <v>-0.0005470447</v>
      </c>
      <c r="K70" s="690">
        <f t="shared" si="60"/>
        <v>0.0001804669</v>
      </c>
      <c r="L70" s="690">
        <f t="shared" si="60"/>
        <v>0.0001474495</v>
      </c>
      <c r="M70" s="690">
        <f t="shared" si="60"/>
        <v>0.00013270455</v>
      </c>
      <c r="N70" s="690">
        <f t="shared" si="60"/>
        <v>0.00024657225</v>
      </c>
      <c r="O70" s="690">
        <f t="shared" si="60"/>
        <v>-8.981015e-5</v>
      </c>
      <c r="P70" s="690">
        <f t="shared" si="60"/>
        <v>0.00010406125</v>
      </c>
      <c r="Q70" s="690">
        <f t="shared" si="42"/>
        <v>0.073874316</v>
      </c>
    </row>
    <row r="71" spans="3:17">
      <c r="C71" s="55"/>
      <c r="D71" s="687" t="s">
        <v>471</v>
      </c>
      <c r="E71" s="690">
        <f t="shared" ref="E71:P71" si="61">E240+E410+E580</f>
        <v>0</v>
      </c>
      <c r="F71" s="690">
        <f t="shared" si="61"/>
        <v>0.19133773785</v>
      </c>
      <c r="G71" s="690">
        <f t="shared" si="61"/>
        <v>5.12193e-5</v>
      </c>
      <c r="H71" s="690">
        <f t="shared" si="61"/>
        <v>-3.322905e-5</v>
      </c>
      <c r="I71" s="690">
        <f t="shared" si="61"/>
        <v>0</v>
      </c>
      <c r="J71" s="690">
        <f t="shared" si="61"/>
        <v>0</v>
      </c>
      <c r="K71" s="690">
        <f t="shared" si="61"/>
        <v>0</v>
      </c>
      <c r="L71" s="690">
        <f t="shared" si="61"/>
        <v>0</v>
      </c>
      <c r="M71" s="690">
        <f t="shared" si="61"/>
        <v>-0.00655261345</v>
      </c>
      <c r="N71" s="690">
        <f t="shared" si="61"/>
        <v>0.0031400394</v>
      </c>
      <c r="O71" s="690">
        <f t="shared" si="61"/>
        <v>0</v>
      </c>
      <c r="P71" s="690">
        <f t="shared" si="61"/>
        <v>0.9829509401545</v>
      </c>
      <c r="Q71" s="690">
        <f t="shared" si="42"/>
        <v>1.1708940942045</v>
      </c>
    </row>
    <row r="72" spans="3:17">
      <c r="C72" s="55"/>
      <c r="D72" s="731" t="s">
        <v>472</v>
      </c>
      <c r="E72" s="690">
        <f t="shared" ref="E72:P72" si="62">E241+E411+E581</f>
        <v>0</v>
      </c>
      <c r="F72" s="690">
        <f t="shared" si="62"/>
        <v>0</v>
      </c>
      <c r="G72" s="690">
        <f t="shared" si="62"/>
        <v>0</v>
      </c>
      <c r="H72" s="690">
        <f t="shared" si="62"/>
        <v>0</v>
      </c>
      <c r="I72" s="690">
        <f t="shared" si="62"/>
        <v>0</v>
      </c>
      <c r="J72" s="690">
        <f t="shared" si="62"/>
        <v>0.0026381467</v>
      </c>
      <c r="K72" s="690">
        <f t="shared" si="62"/>
        <v>0.0252722799</v>
      </c>
      <c r="L72" s="690">
        <f t="shared" si="62"/>
        <v>-0.0004398087</v>
      </c>
      <c r="M72" s="690">
        <f t="shared" si="62"/>
        <v>0</v>
      </c>
      <c r="N72" s="690">
        <f t="shared" si="62"/>
        <v>0</v>
      </c>
      <c r="O72" s="690">
        <f t="shared" si="62"/>
        <v>0.0080494728</v>
      </c>
      <c r="P72" s="690">
        <f t="shared" si="62"/>
        <v>-0.003435785</v>
      </c>
      <c r="Q72" s="690">
        <f t="shared" si="42"/>
        <v>0.0320843057</v>
      </c>
    </row>
    <row r="73" spans="3:17">
      <c r="C73" s="55"/>
      <c r="D73" s="731" t="s">
        <v>473</v>
      </c>
      <c r="E73" s="690">
        <f t="shared" ref="E73:P73" si="63">E242+E412+E582</f>
        <v>0</v>
      </c>
      <c r="F73" s="690">
        <f t="shared" si="63"/>
        <v>0</v>
      </c>
      <c r="G73" s="690">
        <f t="shared" si="63"/>
        <v>0</v>
      </c>
      <c r="H73" s="690">
        <f t="shared" si="63"/>
        <v>0</v>
      </c>
      <c r="I73" s="690">
        <f t="shared" si="63"/>
        <v>0</v>
      </c>
      <c r="J73" s="690">
        <f t="shared" si="63"/>
        <v>5.9262e-6</v>
      </c>
      <c r="K73" s="690">
        <f t="shared" si="63"/>
        <v>0</v>
      </c>
      <c r="L73" s="690">
        <f t="shared" si="63"/>
        <v>0</v>
      </c>
      <c r="M73" s="690">
        <f t="shared" si="63"/>
        <v>-4.233e-7</v>
      </c>
      <c r="N73" s="690">
        <f t="shared" si="63"/>
        <v>-4.233e-7</v>
      </c>
      <c r="O73" s="690">
        <f t="shared" si="63"/>
        <v>-2.00362e-5</v>
      </c>
      <c r="P73" s="690">
        <f t="shared" si="63"/>
        <v>-2.1165e-7</v>
      </c>
      <c r="Q73" s="690">
        <f t="shared" si="42"/>
        <v>-1.516825e-5</v>
      </c>
    </row>
    <row r="74" spans="3:17">
      <c r="C74" s="55"/>
      <c r="D74" s="679" t="s">
        <v>498</v>
      </c>
      <c r="E74" s="690">
        <f t="shared" ref="E74:P74" si="64">E243+E413+E583</f>
        <v>0</v>
      </c>
      <c r="F74" s="690">
        <f t="shared" si="64"/>
        <v>0</v>
      </c>
      <c r="G74" s="690">
        <f t="shared" si="64"/>
        <v>0</v>
      </c>
      <c r="H74" s="690">
        <f t="shared" si="64"/>
        <v>0</v>
      </c>
      <c r="I74" s="690">
        <f t="shared" si="64"/>
        <v>0</v>
      </c>
      <c r="J74" s="690">
        <f t="shared" si="64"/>
        <v>0</v>
      </c>
      <c r="K74" s="690">
        <f t="shared" si="64"/>
        <v>0</v>
      </c>
      <c r="L74" s="690">
        <f t="shared" si="64"/>
        <v>0</v>
      </c>
      <c r="M74" s="690">
        <f t="shared" si="64"/>
        <v>0</v>
      </c>
      <c r="N74" s="690">
        <f t="shared" si="64"/>
        <v>0</v>
      </c>
      <c r="O74" s="690">
        <f t="shared" si="64"/>
        <v>0</v>
      </c>
      <c r="P74" s="690">
        <f t="shared" si="64"/>
        <v>0</v>
      </c>
      <c r="Q74" s="690">
        <f t="shared" si="42"/>
        <v>0</v>
      </c>
    </row>
    <row r="75" spans="3:17">
      <c r="C75" s="55"/>
      <c r="D75" s="55"/>
      <c r="E75" s="690">
        <f t="shared" ref="E75:P75" si="65">E244+E414+E584</f>
        <v>0</v>
      </c>
      <c r="F75" s="690">
        <f t="shared" si="65"/>
        <v>0</v>
      </c>
      <c r="G75" s="690">
        <f t="shared" si="65"/>
        <v>0</v>
      </c>
      <c r="H75" s="690">
        <f t="shared" si="65"/>
        <v>0</v>
      </c>
      <c r="I75" s="690">
        <f t="shared" si="65"/>
        <v>0</v>
      </c>
      <c r="J75" s="690">
        <f t="shared" si="65"/>
        <v>0</v>
      </c>
      <c r="K75" s="690">
        <f t="shared" si="65"/>
        <v>0</v>
      </c>
      <c r="L75" s="690">
        <f t="shared" si="65"/>
        <v>0</v>
      </c>
      <c r="M75" s="690">
        <f t="shared" si="65"/>
        <v>0</v>
      </c>
      <c r="N75" s="690">
        <f t="shared" si="65"/>
        <v>0</v>
      </c>
      <c r="O75" s="690">
        <f t="shared" si="65"/>
        <v>0</v>
      </c>
      <c r="P75" s="690">
        <f t="shared" si="65"/>
        <v>0</v>
      </c>
      <c r="Q75" s="690">
        <f t="shared" si="42"/>
        <v>0</v>
      </c>
    </row>
    <row r="76" spans="3:17">
      <c r="C76" s="55"/>
      <c r="D76" s="55"/>
      <c r="E76" s="690">
        <f t="shared" ref="E76:P76" si="66">E245+E415+E585</f>
        <v>0</v>
      </c>
      <c r="F76" s="690">
        <f t="shared" si="66"/>
        <v>0</v>
      </c>
      <c r="G76" s="690">
        <f t="shared" si="66"/>
        <v>0</v>
      </c>
      <c r="H76" s="690">
        <f t="shared" si="66"/>
        <v>0</v>
      </c>
      <c r="I76" s="690">
        <f t="shared" si="66"/>
        <v>0</v>
      </c>
      <c r="J76" s="690">
        <f t="shared" si="66"/>
        <v>0</v>
      </c>
      <c r="K76" s="690">
        <f t="shared" si="66"/>
        <v>0</v>
      </c>
      <c r="L76" s="690">
        <f t="shared" si="66"/>
        <v>0</v>
      </c>
      <c r="M76" s="690">
        <f t="shared" si="66"/>
        <v>0</v>
      </c>
      <c r="N76" s="690">
        <f t="shared" si="66"/>
        <v>0</v>
      </c>
      <c r="O76" s="690">
        <f t="shared" si="66"/>
        <v>0</v>
      </c>
      <c r="P76" s="690">
        <f t="shared" si="66"/>
        <v>0</v>
      </c>
      <c r="Q76" s="690">
        <f t="shared" si="42"/>
        <v>0</v>
      </c>
    </row>
    <row r="77" ht="15" spans="3:17">
      <c r="C77" s="537" t="s">
        <v>211</v>
      </c>
      <c r="D77" s="537"/>
      <c r="E77" s="700">
        <f t="shared" ref="E77:P77" si="67">SUM(E52:E76)</f>
        <v>415.433503059601</v>
      </c>
      <c r="F77" s="700">
        <f t="shared" si="67"/>
        <v>385.177838225723</v>
      </c>
      <c r="G77" s="700">
        <f t="shared" si="67"/>
        <v>437.735510466115</v>
      </c>
      <c r="H77" s="700">
        <f t="shared" si="67"/>
        <v>510.207717516597</v>
      </c>
      <c r="I77" s="700">
        <f t="shared" si="67"/>
        <v>423.934597743405</v>
      </c>
      <c r="J77" s="700">
        <f t="shared" si="67"/>
        <v>413.282745464001</v>
      </c>
      <c r="K77" s="700">
        <f t="shared" si="67"/>
        <v>654.530692382474</v>
      </c>
      <c r="L77" s="700">
        <f t="shared" si="67"/>
        <v>476.21945157116</v>
      </c>
      <c r="M77" s="700">
        <f t="shared" si="67"/>
        <v>459.75473793533</v>
      </c>
      <c r="N77" s="700">
        <f t="shared" si="67"/>
        <v>575.082893643429</v>
      </c>
      <c r="O77" s="700">
        <f t="shared" si="67"/>
        <v>557.710805454557</v>
      </c>
      <c r="P77" s="700">
        <f t="shared" si="67"/>
        <v>691.071118915545</v>
      </c>
      <c r="Q77" s="700">
        <f t="shared" si="42"/>
        <v>6000.14161237794</v>
      </c>
    </row>
    <row r="78" ht="15" spans="3:17">
      <c r="C78" s="44" t="s">
        <v>388</v>
      </c>
      <c r="D78" s="44"/>
      <c r="E78" s="690"/>
      <c r="F78" s="690"/>
      <c r="G78" s="690"/>
      <c r="H78" s="690"/>
      <c r="I78" s="690"/>
      <c r="J78" s="690"/>
      <c r="K78" s="690"/>
      <c r="L78" s="690"/>
      <c r="M78" s="690"/>
      <c r="N78" s="690"/>
      <c r="O78" s="690"/>
      <c r="P78" s="690"/>
      <c r="Q78" s="690"/>
    </row>
    <row r="79" spans="3:17">
      <c r="C79" s="682" t="s">
        <v>389</v>
      </c>
      <c r="D79" s="55" t="s">
        <v>390</v>
      </c>
      <c r="E79" s="690">
        <f t="shared" ref="E79:P79" si="68">E249+E418+E588</f>
        <v>1.21228527195</v>
      </c>
      <c r="F79" s="690">
        <f t="shared" si="68"/>
        <v>1.24475788485</v>
      </c>
      <c r="G79" s="690">
        <f t="shared" si="68"/>
        <v>1.11429273295</v>
      </c>
      <c r="H79" s="690">
        <f t="shared" si="68"/>
        <v>0</v>
      </c>
      <c r="I79" s="690">
        <f t="shared" si="68"/>
        <v>0</v>
      </c>
      <c r="J79" s="690">
        <f t="shared" si="68"/>
        <v>0.6084106421</v>
      </c>
      <c r="K79" s="690">
        <f t="shared" si="68"/>
        <v>1.06756902005</v>
      </c>
      <c r="L79" s="690">
        <f t="shared" si="68"/>
        <v>1.2012786959</v>
      </c>
      <c r="M79" s="690">
        <f t="shared" si="68"/>
        <v>1.30724571305</v>
      </c>
      <c r="N79" s="690">
        <f t="shared" si="68"/>
        <v>1.25285970575</v>
      </c>
      <c r="O79" s="690">
        <f t="shared" si="68"/>
        <v>1.12905461495</v>
      </c>
      <c r="P79" s="690">
        <f t="shared" si="68"/>
        <v>1.24918786045</v>
      </c>
      <c r="Q79" s="690">
        <f t="shared" ref="Q79:Q94" si="69">SUM(E79:P79)</f>
        <v>11.386942142</v>
      </c>
    </row>
    <row r="80" spans="3:17">
      <c r="C80" s="682"/>
      <c r="D80" s="55" t="s">
        <v>391</v>
      </c>
      <c r="E80" s="690">
        <f t="shared" ref="E80:P80" si="70">E250+E419+E589</f>
        <v>23.497565019</v>
      </c>
      <c r="F80" s="690">
        <f t="shared" si="70"/>
        <v>21.146160328</v>
      </c>
      <c r="G80" s="690">
        <f t="shared" si="70"/>
        <v>20.33767447165</v>
      </c>
      <c r="H80" s="690">
        <f t="shared" si="70"/>
        <v>22.25206791125</v>
      </c>
      <c r="I80" s="690">
        <f t="shared" si="70"/>
        <v>24.10334167685</v>
      </c>
      <c r="J80" s="690">
        <f t="shared" si="70"/>
        <v>23.25745888815</v>
      </c>
      <c r="K80" s="690">
        <f t="shared" si="70"/>
        <v>19.5702997935</v>
      </c>
      <c r="L80" s="690">
        <f t="shared" si="70"/>
        <v>21.523207748</v>
      </c>
      <c r="M80" s="690">
        <f t="shared" si="70"/>
        <v>23.9939827568</v>
      </c>
      <c r="N80" s="690">
        <f t="shared" si="70"/>
        <v>22.18500294015</v>
      </c>
      <c r="O80" s="690">
        <f t="shared" si="70"/>
        <v>23.2580426894</v>
      </c>
      <c r="P80" s="690">
        <f t="shared" si="70"/>
        <v>24.79285067275</v>
      </c>
      <c r="Q80" s="690">
        <f t="shared" si="69"/>
        <v>269.9176548955</v>
      </c>
    </row>
    <row r="81" spans="3:17">
      <c r="C81" s="682"/>
      <c r="D81" s="55" t="s">
        <v>392</v>
      </c>
      <c r="E81" s="690">
        <f t="shared" ref="E81:P81" si="71">E251+E420+E590</f>
        <v>0</v>
      </c>
      <c r="F81" s="690">
        <f t="shared" si="71"/>
        <v>0</v>
      </c>
      <c r="G81" s="690">
        <f t="shared" si="71"/>
        <v>0</v>
      </c>
      <c r="H81" s="690">
        <f t="shared" si="71"/>
        <v>0</v>
      </c>
      <c r="I81" s="690">
        <f t="shared" si="71"/>
        <v>0</v>
      </c>
      <c r="J81" s="690">
        <f t="shared" si="71"/>
        <v>0</v>
      </c>
      <c r="K81" s="690">
        <f t="shared" si="71"/>
        <v>0</v>
      </c>
      <c r="L81" s="690">
        <f t="shared" si="71"/>
        <v>0</v>
      </c>
      <c r="M81" s="690">
        <f t="shared" si="71"/>
        <v>0</v>
      </c>
      <c r="N81" s="690">
        <f t="shared" si="71"/>
        <v>0</v>
      </c>
      <c r="O81" s="690">
        <f t="shared" si="71"/>
        <v>0</v>
      </c>
      <c r="P81" s="690">
        <f t="shared" si="71"/>
        <v>0</v>
      </c>
      <c r="Q81" s="690">
        <f t="shared" si="69"/>
        <v>0</v>
      </c>
    </row>
    <row r="82" spans="3:17">
      <c r="C82" s="682"/>
      <c r="D82" s="55" t="s">
        <v>393</v>
      </c>
      <c r="E82" s="690">
        <f t="shared" ref="E82:P82" si="72">E252+E421+E591</f>
        <v>8.4428858446</v>
      </c>
      <c r="F82" s="690">
        <f t="shared" si="72"/>
        <v>2.3870962182</v>
      </c>
      <c r="G82" s="690">
        <f t="shared" si="72"/>
        <v>0.86931392525</v>
      </c>
      <c r="H82" s="690">
        <f t="shared" si="72"/>
        <v>3.84159502005</v>
      </c>
      <c r="I82" s="690">
        <f t="shared" si="72"/>
        <v>11.21276851365</v>
      </c>
      <c r="J82" s="690">
        <f t="shared" si="72"/>
        <v>11.02591556875</v>
      </c>
      <c r="K82" s="690">
        <f t="shared" si="72"/>
        <v>11.5417809079</v>
      </c>
      <c r="L82" s="690">
        <f t="shared" si="72"/>
        <v>11.3464505339</v>
      </c>
      <c r="M82" s="690">
        <f t="shared" si="72"/>
        <v>8.785965415</v>
      </c>
      <c r="N82" s="690">
        <f t="shared" si="72"/>
        <v>11.4219408682</v>
      </c>
      <c r="O82" s="690">
        <f t="shared" si="72"/>
        <v>9.67455910315</v>
      </c>
      <c r="P82" s="690">
        <f t="shared" si="72"/>
        <v>10.4606190899</v>
      </c>
      <c r="Q82" s="690">
        <f t="shared" si="69"/>
        <v>101.01089100855</v>
      </c>
    </row>
    <row r="83" spans="3:17">
      <c r="C83" s="55"/>
      <c r="D83" s="55"/>
      <c r="E83" s="690">
        <f t="shared" ref="E83:P83" si="73">E253+E422+E592</f>
        <v>0</v>
      </c>
      <c r="F83" s="690">
        <f t="shared" si="73"/>
        <v>0</v>
      </c>
      <c r="G83" s="690">
        <f t="shared" si="73"/>
        <v>0</v>
      </c>
      <c r="H83" s="690">
        <f t="shared" si="73"/>
        <v>0</v>
      </c>
      <c r="I83" s="690">
        <f t="shared" si="73"/>
        <v>0</v>
      </c>
      <c r="J83" s="690">
        <f t="shared" si="73"/>
        <v>0</v>
      </c>
      <c r="K83" s="690">
        <f t="shared" si="73"/>
        <v>0</v>
      </c>
      <c r="L83" s="690">
        <f t="shared" si="73"/>
        <v>0</v>
      </c>
      <c r="M83" s="690">
        <f t="shared" si="73"/>
        <v>0</v>
      </c>
      <c r="N83" s="690">
        <f t="shared" si="73"/>
        <v>0</v>
      </c>
      <c r="O83" s="690">
        <f t="shared" si="73"/>
        <v>0</v>
      </c>
      <c r="P83" s="690">
        <f t="shared" si="73"/>
        <v>0</v>
      </c>
      <c r="Q83" s="690">
        <f t="shared" si="69"/>
        <v>0</v>
      </c>
    </row>
    <row r="84" spans="3:17">
      <c r="C84" s="55"/>
      <c r="D84" s="55"/>
      <c r="E84" s="690">
        <f t="shared" ref="E84:P84" si="74">E254+E423+E593</f>
        <v>0</v>
      </c>
      <c r="F84" s="690">
        <f t="shared" si="74"/>
        <v>0</v>
      </c>
      <c r="G84" s="690">
        <f t="shared" si="74"/>
        <v>0</v>
      </c>
      <c r="H84" s="690">
        <f t="shared" si="74"/>
        <v>0</v>
      </c>
      <c r="I84" s="690">
        <f t="shared" si="74"/>
        <v>0</v>
      </c>
      <c r="J84" s="690">
        <f t="shared" si="74"/>
        <v>0</v>
      </c>
      <c r="K84" s="690">
        <f t="shared" si="74"/>
        <v>0</v>
      </c>
      <c r="L84" s="690">
        <f t="shared" si="74"/>
        <v>0</v>
      </c>
      <c r="M84" s="690">
        <f t="shared" si="74"/>
        <v>0</v>
      </c>
      <c r="N84" s="690">
        <f t="shared" si="74"/>
        <v>0</v>
      </c>
      <c r="O84" s="690">
        <f t="shared" si="74"/>
        <v>0</v>
      </c>
      <c r="P84" s="690">
        <f t="shared" si="74"/>
        <v>0</v>
      </c>
      <c r="Q84" s="690">
        <f t="shared" si="69"/>
        <v>0</v>
      </c>
    </row>
    <row r="85" spans="3:17">
      <c r="C85" s="55"/>
      <c r="D85" s="55"/>
      <c r="E85" s="690">
        <f t="shared" ref="E85:P85" si="75">E255+E424+E594</f>
        <v>0</v>
      </c>
      <c r="F85" s="690">
        <f t="shared" si="75"/>
        <v>0</v>
      </c>
      <c r="G85" s="690">
        <f t="shared" si="75"/>
        <v>0</v>
      </c>
      <c r="H85" s="690">
        <f t="shared" si="75"/>
        <v>0</v>
      </c>
      <c r="I85" s="690">
        <f t="shared" si="75"/>
        <v>0</v>
      </c>
      <c r="J85" s="690">
        <f t="shared" si="75"/>
        <v>0</v>
      </c>
      <c r="K85" s="690">
        <f t="shared" si="75"/>
        <v>0</v>
      </c>
      <c r="L85" s="690">
        <f t="shared" si="75"/>
        <v>0</v>
      </c>
      <c r="M85" s="690">
        <f t="shared" si="75"/>
        <v>0</v>
      </c>
      <c r="N85" s="690">
        <f t="shared" si="75"/>
        <v>0</v>
      </c>
      <c r="O85" s="690">
        <f t="shared" si="75"/>
        <v>0</v>
      </c>
      <c r="P85" s="690">
        <f t="shared" si="75"/>
        <v>0</v>
      </c>
      <c r="Q85" s="690">
        <f t="shared" si="69"/>
        <v>0</v>
      </c>
    </row>
    <row r="86" spans="3:17">
      <c r="C86" s="55"/>
      <c r="D86" s="55"/>
      <c r="E86" s="690">
        <f t="shared" ref="E86:P86" si="76">E256+E425+E595</f>
        <v>0</v>
      </c>
      <c r="F86" s="690">
        <f t="shared" si="76"/>
        <v>0</v>
      </c>
      <c r="G86" s="690">
        <f t="shared" si="76"/>
        <v>0</v>
      </c>
      <c r="H86" s="690">
        <f t="shared" si="76"/>
        <v>0</v>
      </c>
      <c r="I86" s="690">
        <f t="shared" si="76"/>
        <v>0</v>
      </c>
      <c r="J86" s="690">
        <f t="shared" si="76"/>
        <v>0</v>
      </c>
      <c r="K86" s="690">
        <f t="shared" si="76"/>
        <v>0</v>
      </c>
      <c r="L86" s="690">
        <f t="shared" si="76"/>
        <v>0</v>
      </c>
      <c r="M86" s="690">
        <f t="shared" si="76"/>
        <v>0</v>
      </c>
      <c r="N86" s="690">
        <f t="shared" si="76"/>
        <v>0</v>
      </c>
      <c r="O86" s="690">
        <f t="shared" si="76"/>
        <v>0</v>
      </c>
      <c r="P86" s="690">
        <f t="shared" si="76"/>
        <v>0</v>
      </c>
      <c r="Q86" s="690">
        <f t="shared" si="69"/>
        <v>0</v>
      </c>
    </row>
    <row r="87" spans="3:17">
      <c r="C87" s="55"/>
      <c r="D87" s="55"/>
      <c r="E87" s="690">
        <f t="shared" ref="E87:P87" si="77">E257+E426+E596</f>
        <v>0</v>
      </c>
      <c r="F87" s="690">
        <f t="shared" si="77"/>
        <v>0</v>
      </c>
      <c r="G87" s="690">
        <f t="shared" si="77"/>
        <v>0</v>
      </c>
      <c r="H87" s="690">
        <f t="shared" si="77"/>
        <v>0</v>
      </c>
      <c r="I87" s="690">
        <f t="shared" si="77"/>
        <v>0</v>
      </c>
      <c r="J87" s="690">
        <f t="shared" si="77"/>
        <v>0</v>
      </c>
      <c r="K87" s="690">
        <f t="shared" si="77"/>
        <v>0</v>
      </c>
      <c r="L87" s="690">
        <f t="shared" si="77"/>
        <v>0</v>
      </c>
      <c r="M87" s="690">
        <f t="shared" si="77"/>
        <v>0</v>
      </c>
      <c r="N87" s="690">
        <f t="shared" si="77"/>
        <v>0</v>
      </c>
      <c r="O87" s="690">
        <f t="shared" si="77"/>
        <v>0</v>
      </c>
      <c r="P87" s="690">
        <f t="shared" si="77"/>
        <v>0</v>
      </c>
      <c r="Q87" s="690">
        <f t="shared" si="69"/>
        <v>0</v>
      </c>
    </row>
    <row r="88" spans="3:17">
      <c r="C88" s="55"/>
      <c r="D88" s="55"/>
      <c r="E88" s="690">
        <f t="shared" ref="E88:P88" si="78">E258+E427+E597</f>
        <v>0</v>
      </c>
      <c r="F88" s="690">
        <f t="shared" si="78"/>
        <v>0</v>
      </c>
      <c r="G88" s="690">
        <f t="shared" si="78"/>
        <v>0</v>
      </c>
      <c r="H88" s="690">
        <f t="shared" si="78"/>
        <v>0</v>
      </c>
      <c r="I88" s="690">
        <f t="shared" si="78"/>
        <v>0</v>
      </c>
      <c r="J88" s="690">
        <f t="shared" si="78"/>
        <v>0</v>
      </c>
      <c r="K88" s="690">
        <f t="shared" si="78"/>
        <v>0</v>
      </c>
      <c r="L88" s="690">
        <f t="shared" si="78"/>
        <v>0</v>
      </c>
      <c r="M88" s="690">
        <f t="shared" si="78"/>
        <v>0</v>
      </c>
      <c r="N88" s="690">
        <f t="shared" si="78"/>
        <v>0</v>
      </c>
      <c r="O88" s="690">
        <f t="shared" si="78"/>
        <v>0</v>
      </c>
      <c r="P88" s="690">
        <f t="shared" si="78"/>
        <v>0</v>
      </c>
      <c r="Q88" s="690">
        <f t="shared" si="69"/>
        <v>0</v>
      </c>
    </row>
    <row r="89" spans="3:17">
      <c r="C89" s="55"/>
      <c r="D89" s="55"/>
      <c r="E89" s="690">
        <f t="shared" ref="E89:P89" si="79">E259+E428+E598</f>
        <v>0</v>
      </c>
      <c r="F89" s="690">
        <f t="shared" si="79"/>
        <v>0</v>
      </c>
      <c r="G89" s="690">
        <f t="shared" si="79"/>
        <v>0</v>
      </c>
      <c r="H89" s="690">
        <f t="shared" si="79"/>
        <v>0</v>
      </c>
      <c r="I89" s="690">
        <f t="shared" si="79"/>
        <v>0</v>
      </c>
      <c r="J89" s="690">
        <f t="shared" si="79"/>
        <v>0</v>
      </c>
      <c r="K89" s="690">
        <f t="shared" si="79"/>
        <v>0</v>
      </c>
      <c r="L89" s="690">
        <f t="shared" si="79"/>
        <v>0</v>
      </c>
      <c r="M89" s="690">
        <f t="shared" si="79"/>
        <v>0</v>
      </c>
      <c r="N89" s="690">
        <f t="shared" si="79"/>
        <v>0</v>
      </c>
      <c r="O89" s="690">
        <f t="shared" si="79"/>
        <v>0</v>
      </c>
      <c r="P89" s="690">
        <f t="shared" si="79"/>
        <v>0</v>
      </c>
      <c r="Q89" s="690">
        <f t="shared" si="69"/>
        <v>0</v>
      </c>
    </row>
    <row r="90" spans="3:17">
      <c r="C90" s="55"/>
      <c r="D90" s="55"/>
      <c r="E90" s="690">
        <f t="shared" ref="E90:P90" si="80">E260+E429+E599</f>
        <v>0</v>
      </c>
      <c r="F90" s="690">
        <f t="shared" si="80"/>
        <v>0</v>
      </c>
      <c r="G90" s="690">
        <f t="shared" si="80"/>
        <v>0</v>
      </c>
      <c r="H90" s="690">
        <f t="shared" si="80"/>
        <v>0</v>
      </c>
      <c r="I90" s="690">
        <f t="shared" si="80"/>
        <v>0</v>
      </c>
      <c r="J90" s="690">
        <f t="shared" si="80"/>
        <v>0</v>
      </c>
      <c r="K90" s="690">
        <f t="shared" si="80"/>
        <v>0</v>
      </c>
      <c r="L90" s="690">
        <f t="shared" si="80"/>
        <v>0</v>
      </c>
      <c r="M90" s="690">
        <f t="shared" si="80"/>
        <v>0</v>
      </c>
      <c r="N90" s="690">
        <f t="shared" si="80"/>
        <v>0</v>
      </c>
      <c r="O90" s="690">
        <f t="shared" si="80"/>
        <v>0</v>
      </c>
      <c r="P90" s="690">
        <f t="shared" si="80"/>
        <v>0</v>
      </c>
      <c r="Q90" s="690">
        <f t="shared" si="69"/>
        <v>0</v>
      </c>
    </row>
    <row r="91" spans="3:17">
      <c r="C91" s="55"/>
      <c r="D91" s="55"/>
      <c r="E91" s="690">
        <f t="shared" ref="E91:P91" si="81">E261+E430+E600</f>
        <v>0</v>
      </c>
      <c r="F91" s="690">
        <f t="shared" si="81"/>
        <v>0</v>
      </c>
      <c r="G91" s="690">
        <f t="shared" si="81"/>
        <v>0</v>
      </c>
      <c r="H91" s="690">
        <f t="shared" si="81"/>
        <v>0</v>
      </c>
      <c r="I91" s="690">
        <f t="shared" si="81"/>
        <v>0</v>
      </c>
      <c r="J91" s="690">
        <f t="shared" si="81"/>
        <v>0</v>
      </c>
      <c r="K91" s="690">
        <f t="shared" si="81"/>
        <v>0</v>
      </c>
      <c r="L91" s="690">
        <f t="shared" si="81"/>
        <v>0</v>
      </c>
      <c r="M91" s="690">
        <f t="shared" si="81"/>
        <v>0</v>
      </c>
      <c r="N91" s="690">
        <f t="shared" si="81"/>
        <v>0</v>
      </c>
      <c r="O91" s="690">
        <f t="shared" si="81"/>
        <v>0</v>
      </c>
      <c r="P91" s="690">
        <f t="shared" si="81"/>
        <v>0</v>
      </c>
      <c r="Q91" s="690">
        <f t="shared" si="69"/>
        <v>0</v>
      </c>
    </row>
    <row r="92" spans="3:17">
      <c r="C92" s="55"/>
      <c r="D92" s="55"/>
      <c r="E92" s="690">
        <f t="shared" ref="E92:P92" si="82">E262+E431+E601</f>
        <v>0</v>
      </c>
      <c r="F92" s="690">
        <f t="shared" si="82"/>
        <v>0</v>
      </c>
      <c r="G92" s="690">
        <f t="shared" si="82"/>
        <v>0</v>
      </c>
      <c r="H92" s="690">
        <f t="shared" si="82"/>
        <v>0</v>
      </c>
      <c r="I92" s="690">
        <f t="shared" si="82"/>
        <v>0</v>
      </c>
      <c r="J92" s="690">
        <f t="shared" si="82"/>
        <v>0</v>
      </c>
      <c r="K92" s="690">
        <f t="shared" si="82"/>
        <v>0</v>
      </c>
      <c r="L92" s="690">
        <f t="shared" si="82"/>
        <v>0</v>
      </c>
      <c r="M92" s="690">
        <f t="shared" si="82"/>
        <v>0</v>
      </c>
      <c r="N92" s="690">
        <f t="shared" si="82"/>
        <v>0</v>
      </c>
      <c r="O92" s="690">
        <f t="shared" si="82"/>
        <v>0</v>
      </c>
      <c r="P92" s="690">
        <f t="shared" si="82"/>
        <v>0</v>
      </c>
      <c r="Q92" s="690">
        <f t="shared" si="69"/>
        <v>0</v>
      </c>
    </row>
    <row r="93" ht="15" spans="3:17">
      <c r="C93" s="537" t="s">
        <v>211</v>
      </c>
      <c r="D93" s="537"/>
      <c r="E93" s="700">
        <f>SUM(E79:E92)</f>
        <v>33.15273613555</v>
      </c>
      <c r="F93" s="700">
        <f t="shared" ref="F93:P93" si="83">SUM(F79:F92)</f>
        <v>24.77801443105</v>
      </c>
      <c r="G93" s="700">
        <f t="shared" si="83"/>
        <v>22.32128112985</v>
      </c>
      <c r="H93" s="700">
        <f t="shared" si="83"/>
        <v>26.0936629313</v>
      </c>
      <c r="I93" s="700">
        <f t="shared" si="83"/>
        <v>35.3161101905</v>
      </c>
      <c r="J93" s="700">
        <f t="shared" si="83"/>
        <v>34.891785099</v>
      </c>
      <c r="K93" s="700">
        <f t="shared" si="83"/>
        <v>32.17964972145</v>
      </c>
      <c r="L93" s="700">
        <f t="shared" si="83"/>
        <v>34.0709369778</v>
      </c>
      <c r="M93" s="700">
        <f t="shared" si="83"/>
        <v>34.08719388485</v>
      </c>
      <c r="N93" s="700">
        <f t="shared" si="83"/>
        <v>34.8598035141</v>
      </c>
      <c r="O93" s="700">
        <f t="shared" si="83"/>
        <v>34.0616564075</v>
      </c>
      <c r="P93" s="700">
        <f t="shared" si="83"/>
        <v>36.5026576231</v>
      </c>
      <c r="Q93" s="700">
        <f t="shared" si="69"/>
        <v>382.31548804605</v>
      </c>
    </row>
    <row r="94" ht="15" spans="3:17">
      <c r="C94" s="44" t="s">
        <v>395</v>
      </c>
      <c r="D94" s="44"/>
      <c r="E94" s="700">
        <f t="shared" ref="E94:P94" si="84">E77+E93</f>
        <v>448.586239195151</v>
      </c>
      <c r="F94" s="700">
        <f t="shared" si="84"/>
        <v>409.955852656773</v>
      </c>
      <c r="G94" s="700">
        <f t="shared" si="84"/>
        <v>460.056791595965</v>
      </c>
      <c r="H94" s="700">
        <f t="shared" si="84"/>
        <v>536.301380447896</v>
      </c>
      <c r="I94" s="700">
        <f t="shared" si="84"/>
        <v>459.250707933905</v>
      </c>
      <c r="J94" s="700">
        <f t="shared" si="84"/>
        <v>448.174530563001</v>
      </c>
      <c r="K94" s="700">
        <f t="shared" si="84"/>
        <v>686.710342103924</v>
      </c>
      <c r="L94" s="700">
        <f t="shared" si="84"/>
        <v>510.29038854896</v>
      </c>
      <c r="M94" s="700">
        <f t="shared" si="84"/>
        <v>493.84193182018</v>
      </c>
      <c r="N94" s="700">
        <f t="shared" si="84"/>
        <v>609.942697157529</v>
      </c>
      <c r="O94" s="700">
        <f t="shared" si="84"/>
        <v>591.772461862057</v>
      </c>
      <c r="P94" s="700">
        <f t="shared" si="84"/>
        <v>727.573776538645</v>
      </c>
      <c r="Q94" s="730">
        <f t="shared" si="69"/>
        <v>6382.45710042399</v>
      </c>
    </row>
    <row r="95" ht="15" spans="3:17">
      <c r="C95" s="663" t="s">
        <v>396</v>
      </c>
      <c r="D95" s="663"/>
      <c r="E95" s="690"/>
      <c r="F95" s="690"/>
      <c r="G95" s="690"/>
      <c r="H95" s="690"/>
      <c r="I95" s="690"/>
      <c r="J95" s="690"/>
      <c r="K95" s="690"/>
      <c r="L95" s="690"/>
      <c r="M95" s="690"/>
      <c r="N95" s="690"/>
      <c r="O95" s="690"/>
      <c r="P95" s="690"/>
      <c r="Q95" s="690"/>
    </row>
    <row r="96" spans="3:17">
      <c r="C96" s="55" t="s">
        <v>397</v>
      </c>
      <c r="D96" s="55" t="s">
        <v>397</v>
      </c>
      <c r="E96" s="690">
        <f t="shared" ref="E96:P96" si="85">E266+E435+E605</f>
        <v>139.165019865805</v>
      </c>
      <c r="F96" s="690">
        <f t="shared" si="85"/>
        <v>141.7785858805</v>
      </c>
      <c r="G96" s="690">
        <f t="shared" si="85"/>
        <v>133.975677779604</v>
      </c>
      <c r="H96" s="690">
        <f t="shared" si="85"/>
        <v>145.063528151683</v>
      </c>
      <c r="I96" s="690">
        <f t="shared" si="85"/>
        <v>156.0315849454</v>
      </c>
      <c r="J96" s="690">
        <f t="shared" si="85"/>
        <v>148.1375940451</v>
      </c>
      <c r="K96" s="690">
        <f t="shared" si="85"/>
        <v>139.5569810549</v>
      </c>
      <c r="L96" s="690">
        <f t="shared" si="85"/>
        <v>110.925909246248</v>
      </c>
      <c r="M96" s="690">
        <f t="shared" si="85"/>
        <v>81.6165068468563</v>
      </c>
      <c r="N96" s="690">
        <f t="shared" si="85"/>
        <v>141.09158162125</v>
      </c>
      <c r="O96" s="690">
        <f t="shared" si="85"/>
        <v>132.08970653835</v>
      </c>
      <c r="P96" s="690">
        <f t="shared" si="85"/>
        <v>164.7964969705</v>
      </c>
      <c r="Q96" s="690">
        <f t="shared" ref="Q96:Q103" si="86">SUM(E96:P96)</f>
        <v>1634.2291729462</v>
      </c>
    </row>
    <row r="97" spans="3:17">
      <c r="C97" s="55" t="s">
        <v>398</v>
      </c>
      <c r="D97" s="55" t="s">
        <v>398</v>
      </c>
      <c r="E97" s="690">
        <f t="shared" ref="E97:P97" si="87">E267+E436+E606</f>
        <v>54.4988077590063</v>
      </c>
      <c r="F97" s="690">
        <f t="shared" si="87"/>
        <v>56.4611986286455</v>
      </c>
      <c r="G97" s="690">
        <f t="shared" si="87"/>
        <v>52.3038056809358</v>
      </c>
      <c r="H97" s="690">
        <f t="shared" si="87"/>
        <v>61.379844402211</v>
      </c>
      <c r="I97" s="690">
        <f t="shared" si="87"/>
        <v>51.8436325072</v>
      </c>
      <c r="J97" s="690">
        <f t="shared" si="87"/>
        <v>50.2414432739958</v>
      </c>
      <c r="K97" s="690">
        <f t="shared" si="87"/>
        <v>48.1100886233315</v>
      </c>
      <c r="L97" s="690">
        <f t="shared" si="87"/>
        <v>48.6478253220627</v>
      </c>
      <c r="M97" s="690">
        <f t="shared" si="87"/>
        <v>45.286701278676</v>
      </c>
      <c r="N97" s="690">
        <f t="shared" si="87"/>
        <v>56.1796440736211</v>
      </c>
      <c r="O97" s="690">
        <f t="shared" si="87"/>
        <v>51.50923689397</v>
      </c>
      <c r="P97" s="690">
        <f t="shared" si="87"/>
        <v>60.48591402845</v>
      </c>
      <c r="Q97" s="690">
        <f t="shared" si="86"/>
        <v>636.948142472106</v>
      </c>
    </row>
    <row r="98" spans="3:17">
      <c r="C98" s="55"/>
      <c r="D98" s="55"/>
      <c r="E98" s="690">
        <f t="shared" ref="E98:P98" si="88">E268+E437+E607</f>
        <v>0</v>
      </c>
      <c r="F98" s="690">
        <f t="shared" si="88"/>
        <v>0</v>
      </c>
      <c r="G98" s="690">
        <f t="shared" si="88"/>
        <v>0</v>
      </c>
      <c r="H98" s="690">
        <f t="shared" si="88"/>
        <v>0</v>
      </c>
      <c r="I98" s="690">
        <f t="shared" si="88"/>
        <v>0</v>
      </c>
      <c r="J98" s="690">
        <f t="shared" si="88"/>
        <v>0</v>
      </c>
      <c r="K98" s="690">
        <f t="shared" si="88"/>
        <v>0</v>
      </c>
      <c r="L98" s="690">
        <f t="shared" si="88"/>
        <v>0</v>
      </c>
      <c r="M98" s="690">
        <f t="shared" si="88"/>
        <v>0</v>
      </c>
      <c r="N98" s="690">
        <f t="shared" si="88"/>
        <v>0</v>
      </c>
      <c r="O98" s="690">
        <f t="shared" si="88"/>
        <v>0</v>
      </c>
      <c r="P98" s="690">
        <f t="shared" si="88"/>
        <v>0</v>
      </c>
      <c r="Q98" s="690">
        <f t="shared" si="86"/>
        <v>0</v>
      </c>
    </row>
    <row r="99" spans="3:17">
      <c r="C99" s="55"/>
      <c r="D99" s="55"/>
      <c r="E99" s="690">
        <f t="shared" ref="E99:P99" si="89">E269+E438+E608</f>
        <v>0</v>
      </c>
      <c r="F99" s="690">
        <f t="shared" si="89"/>
        <v>0</v>
      </c>
      <c r="G99" s="690">
        <f t="shared" si="89"/>
        <v>0</v>
      </c>
      <c r="H99" s="690">
        <f t="shared" si="89"/>
        <v>0</v>
      </c>
      <c r="I99" s="690">
        <f t="shared" si="89"/>
        <v>0</v>
      </c>
      <c r="J99" s="690">
        <f t="shared" si="89"/>
        <v>0</v>
      </c>
      <c r="K99" s="690">
        <f t="shared" si="89"/>
        <v>0</v>
      </c>
      <c r="L99" s="690">
        <f t="shared" si="89"/>
        <v>0</v>
      </c>
      <c r="M99" s="690">
        <f t="shared" si="89"/>
        <v>0</v>
      </c>
      <c r="N99" s="690">
        <f t="shared" si="89"/>
        <v>0</v>
      </c>
      <c r="O99" s="690">
        <f t="shared" si="89"/>
        <v>0</v>
      </c>
      <c r="P99" s="690">
        <f t="shared" si="89"/>
        <v>0</v>
      </c>
      <c r="Q99" s="690">
        <f t="shared" si="86"/>
        <v>0</v>
      </c>
    </row>
    <row r="100" spans="3:17">
      <c r="C100" s="55"/>
      <c r="D100" s="55"/>
      <c r="E100" s="690">
        <f t="shared" ref="E100:P100" si="90">E270+E439+E609</f>
        <v>0</v>
      </c>
      <c r="F100" s="690">
        <f t="shared" si="90"/>
        <v>0</v>
      </c>
      <c r="G100" s="690">
        <f t="shared" si="90"/>
        <v>0</v>
      </c>
      <c r="H100" s="690">
        <f t="shared" si="90"/>
        <v>0</v>
      </c>
      <c r="I100" s="690">
        <f t="shared" si="90"/>
        <v>0</v>
      </c>
      <c r="J100" s="690">
        <f t="shared" si="90"/>
        <v>0</v>
      </c>
      <c r="K100" s="690">
        <f t="shared" si="90"/>
        <v>0</v>
      </c>
      <c r="L100" s="690">
        <f t="shared" si="90"/>
        <v>0</v>
      </c>
      <c r="M100" s="690">
        <f t="shared" si="90"/>
        <v>0</v>
      </c>
      <c r="N100" s="690">
        <f t="shared" si="90"/>
        <v>0</v>
      </c>
      <c r="O100" s="690">
        <f t="shared" si="90"/>
        <v>0</v>
      </c>
      <c r="P100" s="690">
        <f t="shared" si="90"/>
        <v>0</v>
      </c>
      <c r="Q100" s="690">
        <f t="shared" si="86"/>
        <v>0</v>
      </c>
    </row>
    <row r="101" spans="3:17">
      <c r="C101" s="55"/>
      <c r="D101" s="55"/>
      <c r="E101" s="690">
        <f t="shared" ref="E101:P101" si="91">E271+E440+E610</f>
        <v>0</v>
      </c>
      <c r="F101" s="690">
        <f t="shared" si="91"/>
        <v>0</v>
      </c>
      <c r="G101" s="690">
        <f t="shared" si="91"/>
        <v>0</v>
      </c>
      <c r="H101" s="690">
        <f t="shared" si="91"/>
        <v>0</v>
      </c>
      <c r="I101" s="690">
        <f t="shared" si="91"/>
        <v>0</v>
      </c>
      <c r="J101" s="690">
        <f t="shared" si="91"/>
        <v>0</v>
      </c>
      <c r="K101" s="690">
        <f t="shared" si="91"/>
        <v>0</v>
      </c>
      <c r="L101" s="690">
        <f t="shared" si="91"/>
        <v>0</v>
      </c>
      <c r="M101" s="690">
        <f t="shared" si="91"/>
        <v>0</v>
      </c>
      <c r="N101" s="690">
        <f t="shared" si="91"/>
        <v>0</v>
      </c>
      <c r="O101" s="690">
        <f t="shared" si="91"/>
        <v>0</v>
      </c>
      <c r="P101" s="690">
        <f t="shared" si="91"/>
        <v>0</v>
      </c>
      <c r="Q101" s="690">
        <f t="shared" si="86"/>
        <v>0</v>
      </c>
    </row>
    <row r="102" spans="3:17">
      <c r="C102" s="55"/>
      <c r="D102" s="55"/>
      <c r="E102" s="690">
        <f t="shared" ref="E102:P102" si="92">E272+E441+E611</f>
        <v>0</v>
      </c>
      <c r="F102" s="690">
        <f t="shared" si="92"/>
        <v>0</v>
      </c>
      <c r="G102" s="690">
        <f t="shared" si="92"/>
        <v>0</v>
      </c>
      <c r="H102" s="690">
        <f t="shared" si="92"/>
        <v>0</v>
      </c>
      <c r="I102" s="690">
        <f t="shared" si="92"/>
        <v>0</v>
      </c>
      <c r="J102" s="690">
        <f t="shared" si="92"/>
        <v>0</v>
      </c>
      <c r="K102" s="690">
        <f t="shared" si="92"/>
        <v>0</v>
      </c>
      <c r="L102" s="690">
        <f t="shared" si="92"/>
        <v>0</v>
      </c>
      <c r="M102" s="690">
        <f t="shared" si="92"/>
        <v>0</v>
      </c>
      <c r="N102" s="690">
        <f t="shared" si="92"/>
        <v>0</v>
      </c>
      <c r="O102" s="690">
        <f t="shared" si="92"/>
        <v>0</v>
      </c>
      <c r="P102" s="690">
        <f t="shared" si="92"/>
        <v>0</v>
      </c>
      <c r="Q102" s="690">
        <f t="shared" si="86"/>
        <v>0</v>
      </c>
    </row>
    <row r="103" ht="15" spans="3:17">
      <c r="C103" s="44" t="s">
        <v>399</v>
      </c>
      <c r="D103" s="44"/>
      <c r="E103" s="700">
        <f t="shared" ref="E103:P103" si="93">SUM(E96:E102)</f>
        <v>193.663827624811</v>
      </c>
      <c r="F103" s="700">
        <f t="shared" si="93"/>
        <v>198.239784509146</v>
      </c>
      <c r="G103" s="700">
        <f t="shared" si="93"/>
        <v>186.27948346054</v>
      </c>
      <c r="H103" s="700">
        <f t="shared" si="93"/>
        <v>206.443372553894</v>
      </c>
      <c r="I103" s="700">
        <f t="shared" si="93"/>
        <v>207.8752174526</v>
      </c>
      <c r="J103" s="700">
        <f t="shared" si="93"/>
        <v>198.379037319096</v>
      </c>
      <c r="K103" s="700">
        <f t="shared" si="93"/>
        <v>187.667069678232</v>
      </c>
      <c r="L103" s="700">
        <f t="shared" si="93"/>
        <v>159.57373456831</v>
      </c>
      <c r="M103" s="700">
        <f t="shared" si="93"/>
        <v>126.903208125532</v>
      </c>
      <c r="N103" s="700">
        <f t="shared" si="93"/>
        <v>197.271225694871</v>
      </c>
      <c r="O103" s="700">
        <f t="shared" si="93"/>
        <v>183.59894343232</v>
      </c>
      <c r="P103" s="700">
        <f t="shared" si="93"/>
        <v>225.28241099895</v>
      </c>
      <c r="Q103" s="730">
        <f t="shared" si="86"/>
        <v>2271.1773154183</v>
      </c>
    </row>
    <row r="104" customHeight="1" spans="3:17">
      <c r="C104" s="663" t="s">
        <v>400</v>
      </c>
      <c r="D104" s="663"/>
      <c r="E104" s="690"/>
      <c r="F104" s="690"/>
      <c r="G104" s="690"/>
      <c r="H104" s="690"/>
      <c r="I104" s="690"/>
      <c r="J104" s="690"/>
      <c r="K104" s="690"/>
      <c r="L104" s="690"/>
      <c r="M104" s="690"/>
      <c r="N104" s="690"/>
      <c r="O104" s="690"/>
      <c r="P104" s="690"/>
      <c r="Q104" s="690"/>
    </row>
    <row r="105" spans="3:17">
      <c r="C105" s="55" t="s">
        <v>401</v>
      </c>
      <c r="D105" s="55" t="s">
        <v>401</v>
      </c>
      <c r="E105" s="690">
        <f t="shared" ref="E105:P105" si="94">E275+E444+E614</f>
        <v>213.7947305825</v>
      </c>
      <c r="F105" s="690">
        <f t="shared" si="94"/>
        <v>306.12756240105</v>
      </c>
      <c r="G105" s="690">
        <f t="shared" si="94"/>
        <v>177.71284804545</v>
      </c>
      <c r="H105" s="690">
        <f t="shared" si="94"/>
        <v>245.0882983369</v>
      </c>
      <c r="I105" s="690">
        <f t="shared" si="94"/>
        <v>313.63174014105</v>
      </c>
      <c r="J105" s="690">
        <f t="shared" si="94"/>
        <v>282.71613596895</v>
      </c>
      <c r="K105" s="690">
        <f t="shared" si="94"/>
        <v>304.43492440235</v>
      </c>
      <c r="L105" s="690">
        <f t="shared" si="94"/>
        <v>231.6588906594</v>
      </c>
      <c r="M105" s="690">
        <f t="shared" si="94"/>
        <v>225.53387278725</v>
      </c>
      <c r="N105" s="690">
        <f t="shared" si="94"/>
        <v>300.13477801655</v>
      </c>
      <c r="O105" s="690">
        <f t="shared" si="94"/>
        <v>256.49517812055</v>
      </c>
      <c r="P105" s="690">
        <f t="shared" si="94"/>
        <v>275.06611924435</v>
      </c>
      <c r="Q105" s="690">
        <f t="shared" ref="Q105:Q113" si="95">SUM(E105:P105)</f>
        <v>3132.39507870635</v>
      </c>
    </row>
    <row r="106" spans="3:17">
      <c r="C106" s="55" t="s">
        <v>402</v>
      </c>
      <c r="D106" s="55" t="s">
        <v>402</v>
      </c>
      <c r="E106" s="690">
        <f t="shared" ref="E106:P106" si="96">E276+E445+E615</f>
        <v>0</v>
      </c>
      <c r="F106" s="690">
        <f t="shared" si="96"/>
        <v>0</v>
      </c>
      <c r="G106" s="690">
        <f t="shared" si="96"/>
        <v>0</v>
      </c>
      <c r="H106" s="690">
        <f t="shared" si="96"/>
        <v>0</v>
      </c>
      <c r="I106" s="690">
        <f t="shared" si="96"/>
        <v>0</v>
      </c>
      <c r="J106" s="690">
        <f t="shared" si="96"/>
        <v>0</v>
      </c>
      <c r="K106" s="690">
        <f t="shared" si="96"/>
        <v>0</v>
      </c>
      <c r="L106" s="690">
        <f t="shared" si="96"/>
        <v>0</v>
      </c>
      <c r="M106" s="690">
        <f t="shared" si="96"/>
        <v>0</v>
      </c>
      <c r="N106" s="690">
        <f t="shared" si="96"/>
        <v>0</v>
      </c>
      <c r="O106" s="690">
        <f t="shared" si="96"/>
        <v>0</v>
      </c>
      <c r="P106" s="690">
        <f t="shared" si="96"/>
        <v>0</v>
      </c>
      <c r="Q106" s="690">
        <f t="shared" si="95"/>
        <v>0</v>
      </c>
    </row>
    <row r="107" spans="3:17">
      <c r="C107" s="55" t="s">
        <v>403</v>
      </c>
      <c r="D107" s="55" t="s">
        <v>403</v>
      </c>
      <c r="E107" s="690">
        <f t="shared" ref="E107:P107" si="97">E277+E446+E616</f>
        <v>0</v>
      </c>
      <c r="F107" s="690">
        <f t="shared" si="97"/>
        <v>0</v>
      </c>
      <c r="G107" s="690">
        <f t="shared" si="97"/>
        <v>0</v>
      </c>
      <c r="H107" s="690">
        <f t="shared" si="97"/>
        <v>0</v>
      </c>
      <c r="I107" s="690">
        <f t="shared" si="97"/>
        <v>0</v>
      </c>
      <c r="J107" s="690">
        <f t="shared" si="97"/>
        <v>0</v>
      </c>
      <c r="K107" s="690">
        <f t="shared" si="97"/>
        <v>0</v>
      </c>
      <c r="L107" s="690">
        <f t="shared" si="97"/>
        <v>0</v>
      </c>
      <c r="M107" s="690">
        <f t="shared" si="97"/>
        <v>0</v>
      </c>
      <c r="N107" s="690">
        <f t="shared" si="97"/>
        <v>0</v>
      </c>
      <c r="O107" s="690">
        <f t="shared" si="97"/>
        <v>0</v>
      </c>
      <c r="P107" s="690">
        <f t="shared" si="97"/>
        <v>0</v>
      </c>
      <c r="Q107" s="690">
        <f t="shared" si="95"/>
        <v>0</v>
      </c>
    </row>
    <row r="108" spans="3:17">
      <c r="C108" s="55"/>
      <c r="D108" s="55"/>
      <c r="E108" s="690">
        <f t="shared" ref="E108:P108" si="98">E278+E447+E617</f>
        <v>0</v>
      </c>
      <c r="F108" s="690">
        <f t="shared" si="98"/>
        <v>0</v>
      </c>
      <c r="G108" s="690">
        <f t="shared" si="98"/>
        <v>0</v>
      </c>
      <c r="H108" s="690">
        <f t="shared" si="98"/>
        <v>0</v>
      </c>
      <c r="I108" s="690">
        <f t="shared" si="98"/>
        <v>0</v>
      </c>
      <c r="J108" s="690">
        <f t="shared" si="98"/>
        <v>0</v>
      </c>
      <c r="K108" s="690">
        <f t="shared" si="98"/>
        <v>0</v>
      </c>
      <c r="L108" s="690">
        <f t="shared" si="98"/>
        <v>0</v>
      </c>
      <c r="M108" s="690">
        <f t="shared" si="98"/>
        <v>0</v>
      </c>
      <c r="N108" s="690">
        <f t="shared" si="98"/>
        <v>0</v>
      </c>
      <c r="O108" s="690">
        <f t="shared" si="98"/>
        <v>0</v>
      </c>
      <c r="P108" s="690">
        <f t="shared" si="98"/>
        <v>0</v>
      </c>
      <c r="Q108" s="690">
        <f t="shared" si="95"/>
        <v>0</v>
      </c>
    </row>
    <row r="109" spans="3:17">
      <c r="C109" s="55"/>
      <c r="D109" s="55"/>
      <c r="E109" s="690">
        <f t="shared" ref="E109:P109" si="99">E279+E448+E618</f>
        <v>0</v>
      </c>
      <c r="F109" s="690">
        <f t="shared" si="99"/>
        <v>0</v>
      </c>
      <c r="G109" s="690">
        <f t="shared" si="99"/>
        <v>0</v>
      </c>
      <c r="H109" s="690">
        <f t="shared" si="99"/>
        <v>0</v>
      </c>
      <c r="I109" s="690">
        <f t="shared" si="99"/>
        <v>0</v>
      </c>
      <c r="J109" s="690">
        <f t="shared" si="99"/>
        <v>0</v>
      </c>
      <c r="K109" s="690">
        <f t="shared" si="99"/>
        <v>0</v>
      </c>
      <c r="L109" s="690">
        <f t="shared" si="99"/>
        <v>0</v>
      </c>
      <c r="M109" s="690">
        <f t="shared" si="99"/>
        <v>0</v>
      </c>
      <c r="N109" s="690">
        <f t="shared" si="99"/>
        <v>0</v>
      </c>
      <c r="O109" s="690">
        <f t="shared" si="99"/>
        <v>0</v>
      </c>
      <c r="P109" s="690">
        <f t="shared" si="99"/>
        <v>0</v>
      </c>
      <c r="Q109" s="690">
        <f t="shared" si="95"/>
        <v>0</v>
      </c>
    </row>
    <row r="110" spans="3:17">
      <c r="C110" s="55"/>
      <c r="D110" s="55"/>
      <c r="E110" s="690">
        <f t="shared" ref="E110:P110" si="100">E280+E449+E619</f>
        <v>0</v>
      </c>
      <c r="F110" s="690">
        <f t="shared" si="100"/>
        <v>0</v>
      </c>
      <c r="G110" s="690">
        <f t="shared" si="100"/>
        <v>0</v>
      </c>
      <c r="H110" s="690">
        <f t="shared" si="100"/>
        <v>0</v>
      </c>
      <c r="I110" s="690">
        <f t="shared" si="100"/>
        <v>0</v>
      </c>
      <c r="J110" s="690">
        <f t="shared" si="100"/>
        <v>0</v>
      </c>
      <c r="K110" s="690">
        <f t="shared" si="100"/>
        <v>0</v>
      </c>
      <c r="L110" s="690">
        <f t="shared" si="100"/>
        <v>0</v>
      </c>
      <c r="M110" s="690">
        <f t="shared" si="100"/>
        <v>0</v>
      </c>
      <c r="N110" s="690">
        <f t="shared" si="100"/>
        <v>0</v>
      </c>
      <c r="O110" s="690">
        <f t="shared" si="100"/>
        <v>0</v>
      </c>
      <c r="P110" s="690">
        <f t="shared" si="100"/>
        <v>0</v>
      </c>
      <c r="Q110" s="690">
        <f t="shared" si="95"/>
        <v>0</v>
      </c>
    </row>
    <row r="111" spans="3:17">
      <c r="C111" s="55"/>
      <c r="D111" s="55"/>
      <c r="E111" s="690">
        <f t="shared" ref="E111:P111" si="101">E281+E450+E620</f>
        <v>0</v>
      </c>
      <c r="F111" s="690">
        <f t="shared" si="101"/>
        <v>0</v>
      </c>
      <c r="G111" s="690">
        <f t="shared" si="101"/>
        <v>0</v>
      </c>
      <c r="H111" s="690">
        <f t="shared" si="101"/>
        <v>0</v>
      </c>
      <c r="I111" s="690">
        <f t="shared" si="101"/>
        <v>0</v>
      </c>
      <c r="J111" s="690">
        <f t="shared" si="101"/>
        <v>0</v>
      </c>
      <c r="K111" s="690">
        <f t="shared" si="101"/>
        <v>0</v>
      </c>
      <c r="L111" s="690">
        <f t="shared" si="101"/>
        <v>0</v>
      </c>
      <c r="M111" s="690">
        <f t="shared" si="101"/>
        <v>0</v>
      </c>
      <c r="N111" s="690">
        <f t="shared" si="101"/>
        <v>0</v>
      </c>
      <c r="O111" s="690">
        <f t="shared" si="101"/>
        <v>0</v>
      </c>
      <c r="P111" s="690">
        <f t="shared" si="101"/>
        <v>0</v>
      </c>
      <c r="Q111" s="690">
        <f t="shared" si="95"/>
        <v>0</v>
      </c>
    </row>
    <row r="112" spans="3:17">
      <c r="C112" s="55"/>
      <c r="D112" s="55"/>
      <c r="E112" s="690">
        <f t="shared" ref="E112:P112" si="102">E282+E451+E621</f>
        <v>0</v>
      </c>
      <c r="F112" s="690">
        <f t="shared" si="102"/>
        <v>0</v>
      </c>
      <c r="G112" s="690">
        <f t="shared" si="102"/>
        <v>0</v>
      </c>
      <c r="H112" s="690">
        <f t="shared" si="102"/>
        <v>0</v>
      </c>
      <c r="I112" s="690">
        <f t="shared" si="102"/>
        <v>0</v>
      </c>
      <c r="J112" s="690">
        <f t="shared" si="102"/>
        <v>0</v>
      </c>
      <c r="K112" s="690">
        <f t="shared" si="102"/>
        <v>0</v>
      </c>
      <c r="L112" s="690">
        <f t="shared" si="102"/>
        <v>0</v>
      </c>
      <c r="M112" s="690">
        <f t="shared" si="102"/>
        <v>0</v>
      </c>
      <c r="N112" s="690">
        <f t="shared" si="102"/>
        <v>0</v>
      </c>
      <c r="O112" s="690">
        <f t="shared" si="102"/>
        <v>0</v>
      </c>
      <c r="P112" s="690">
        <f t="shared" si="102"/>
        <v>0</v>
      </c>
      <c r="Q112" s="690">
        <f t="shared" si="95"/>
        <v>0</v>
      </c>
    </row>
    <row r="113" ht="15" spans="3:17">
      <c r="C113" s="44" t="s">
        <v>404</v>
      </c>
      <c r="D113" s="44"/>
      <c r="E113" s="700">
        <f t="shared" ref="E113:P113" si="103">SUM(E105:E112)</f>
        <v>213.7947305825</v>
      </c>
      <c r="F113" s="700">
        <f t="shared" si="103"/>
        <v>306.12756240105</v>
      </c>
      <c r="G113" s="700">
        <f t="shared" si="103"/>
        <v>177.71284804545</v>
      </c>
      <c r="H113" s="700">
        <f t="shared" si="103"/>
        <v>245.0882983369</v>
      </c>
      <c r="I113" s="700">
        <f t="shared" si="103"/>
        <v>313.63174014105</v>
      </c>
      <c r="J113" s="700">
        <f t="shared" si="103"/>
        <v>282.71613596895</v>
      </c>
      <c r="K113" s="700">
        <f t="shared" si="103"/>
        <v>304.43492440235</v>
      </c>
      <c r="L113" s="700">
        <f t="shared" si="103"/>
        <v>231.6588906594</v>
      </c>
      <c r="M113" s="700">
        <f t="shared" si="103"/>
        <v>225.53387278725</v>
      </c>
      <c r="N113" s="700">
        <f t="shared" si="103"/>
        <v>300.13477801655</v>
      </c>
      <c r="O113" s="700">
        <f t="shared" si="103"/>
        <v>256.49517812055</v>
      </c>
      <c r="P113" s="700">
        <f t="shared" si="103"/>
        <v>275.06611924435</v>
      </c>
      <c r="Q113" s="730">
        <f t="shared" si="95"/>
        <v>3132.39507870635</v>
      </c>
    </row>
    <row r="114" ht="15" spans="3:17">
      <c r="C114" s="663" t="s">
        <v>405</v>
      </c>
      <c r="D114" s="663"/>
      <c r="E114" s="690"/>
      <c r="F114" s="690"/>
      <c r="G114" s="690"/>
      <c r="H114" s="690"/>
      <c r="I114" s="690"/>
      <c r="J114" s="690"/>
      <c r="K114" s="690"/>
      <c r="L114" s="690"/>
      <c r="M114" s="690"/>
      <c r="N114" s="690"/>
      <c r="O114" s="690"/>
      <c r="P114" s="690"/>
      <c r="Q114" s="690"/>
    </row>
    <row r="115" spans="3:17">
      <c r="C115" s="55"/>
      <c r="D115" s="55" t="s">
        <v>406</v>
      </c>
      <c r="E115" s="690">
        <f t="shared" ref="E115:P115" si="104">E285+E454+E624</f>
        <v>0</v>
      </c>
      <c r="F115" s="690">
        <f t="shared" si="104"/>
        <v>0</v>
      </c>
      <c r="G115" s="690">
        <f t="shared" si="104"/>
        <v>0</v>
      </c>
      <c r="H115" s="690">
        <f t="shared" si="104"/>
        <v>0</v>
      </c>
      <c r="I115" s="690">
        <f t="shared" si="104"/>
        <v>0</v>
      </c>
      <c r="J115" s="690">
        <f t="shared" si="104"/>
        <v>0</v>
      </c>
      <c r="K115" s="690">
        <f t="shared" si="104"/>
        <v>0</v>
      </c>
      <c r="L115" s="690">
        <f t="shared" si="104"/>
        <v>0</v>
      </c>
      <c r="M115" s="690">
        <f t="shared" si="104"/>
        <v>0</v>
      </c>
      <c r="N115" s="690">
        <f t="shared" si="104"/>
        <v>0</v>
      </c>
      <c r="O115" s="690">
        <f t="shared" si="104"/>
        <v>0</v>
      </c>
      <c r="P115" s="690">
        <f t="shared" si="104"/>
        <v>0</v>
      </c>
      <c r="Q115" s="690">
        <f t="shared" ref="Q115:Q139" si="105">SUM(E115:P115)</f>
        <v>0</v>
      </c>
    </row>
    <row r="116" spans="3:17">
      <c r="C116" s="55"/>
      <c r="D116" s="55" t="s">
        <v>407</v>
      </c>
      <c r="E116" s="690">
        <f t="shared" ref="E116:P116" si="106">E286+E455+E625</f>
        <v>0</v>
      </c>
      <c r="F116" s="690">
        <f t="shared" si="106"/>
        <v>0</v>
      </c>
      <c r="G116" s="690">
        <f t="shared" si="106"/>
        <v>0</v>
      </c>
      <c r="H116" s="690">
        <f t="shared" si="106"/>
        <v>0</v>
      </c>
      <c r="I116" s="690">
        <f t="shared" si="106"/>
        <v>0</v>
      </c>
      <c r="J116" s="690">
        <f t="shared" si="106"/>
        <v>0</v>
      </c>
      <c r="K116" s="690">
        <f t="shared" si="106"/>
        <v>0</v>
      </c>
      <c r="L116" s="690">
        <f t="shared" si="106"/>
        <v>0</v>
      </c>
      <c r="M116" s="690">
        <f t="shared" si="106"/>
        <v>0</v>
      </c>
      <c r="N116" s="690">
        <f t="shared" si="106"/>
        <v>0</v>
      </c>
      <c r="O116" s="690">
        <f t="shared" si="106"/>
        <v>0</v>
      </c>
      <c r="P116" s="690">
        <f t="shared" si="106"/>
        <v>0</v>
      </c>
      <c r="Q116" s="690">
        <f t="shared" si="105"/>
        <v>0</v>
      </c>
    </row>
    <row r="117" spans="3:17">
      <c r="C117" s="55"/>
      <c r="D117" s="55" t="s">
        <v>408</v>
      </c>
      <c r="E117" s="690">
        <f t="shared" ref="E117:P117" si="107">E287+E456+E626</f>
        <v>0</v>
      </c>
      <c r="F117" s="690">
        <f t="shared" si="107"/>
        <v>0</v>
      </c>
      <c r="G117" s="690">
        <f t="shared" si="107"/>
        <v>0</v>
      </c>
      <c r="H117" s="690">
        <f t="shared" si="107"/>
        <v>0</v>
      </c>
      <c r="I117" s="690">
        <f t="shared" si="107"/>
        <v>0</v>
      </c>
      <c r="J117" s="690">
        <f t="shared" si="107"/>
        <v>0</v>
      </c>
      <c r="K117" s="690">
        <f t="shared" si="107"/>
        <v>0</v>
      </c>
      <c r="L117" s="690">
        <f t="shared" si="107"/>
        <v>0</v>
      </c>
      <c r="M117" s="690">
        <f t="shared" si="107"/>
        <v>0</v>
      </c>
      <c r="N117" s="690">
        <f t="shared" si="107"/>
        <v>0</v>
      </c>
      <c r="O117" s="690">
        <f t="shared" si="107"/>
        <v>0</v>
      </c>
      <c r="P117" s="690">
        <f t="shared" si="107"/>
        <v>0</v>
      </c>
      <c r="Q117" s="690">
        <f t="shared" si="105"/>
        <v>0</v>
      </c>
    </row>
    <row r="118" spans="3:17">
      <c r="C118" s="55"/>
      <c r="D118" s="55" t="s">
        <v>409</v>
      </c>
      <c r="E118" s="690">
        <f t="shared" ref="E118:P118" si="108">E288+E457+E627</f>
        <v>0</v>
      </c>
      <c r="F118" s="690">
        <f t="shared" si="108"/>
        <v>0</v>
      </c>
      <c r="G118" s="690">
        <f t="shared" si="108"/>
        <v>0</v>
      </c>
      <c r="H118" s="690">
        <f t="shared" si="108"/>
        <v>0</v>
      </c>
      <c r="I118" s="690">
        <f t="shared" si="108"/>
        <v>0</v>
      </c>
      <c r="J118" s="690">
        <f t="shared" si="108"/>
        <v>0</v>
      </c>
      <c r="K118" s="690">
        <f t="shared" si="108"/>
        <v>0</v>
      </c>
      <c r="L118" s="690">
        <f t="shared" si="108"/>
        <v>0</v>
      </c>
      <c r="M118" s="690">
        <f t="shared" si="108"/>
        <v>0</v>
      </c>
      <c r="N118" s="690">
        <f t="shared" si="108"/>
        <v>0</v>
      </c>
      <c r="O118" s="690">
        <f t="shared" si="108"/>
        <v>0</v>
      </c>
      <c r="P118" s="690">
        <f t="shared" si="108"/>
        <v>0</v>
      </c>
      <c r="Q118" s="690">
        <f t="shared" si="105"/>
        <v>0</v>
      </c>
    </row>
    <row r="119" spans="3:17">
      <c r="C119" s="55"/>
      <c r="D119" s="55" t="s">
        <v>410</v>
      </c>
      <c r="E119" s="690">
        <f t="shared" ref="E119:P119" si="109">E289+E458+E628</f>
        <v>0</v>
      </c>
      <c r="F119" s="690">
        <f t="shared" si="109"/>
        <v>0</v>
      </c>
      <c r="G119" s="690">
        <f t="shared" si="109"/>
        <v>0</v>
      </c>
      <c r="H119" s="690">
        <f t="shared" si="109"/>
        <v>0</v>
      </c>
      <c r="I119" s="690">
        <f t="shared" si="109"/>
        <v>0</v>
      </c>
      <c r="J119" s="690">
        <f t="shared" si="109"/>
        <v>0</v>
      </c>
      <c r="K119" s="690">
        <f t="shared" si="109"/>
        <v>0</v>
      </c>
      <c r="L119" s="690">
        <f t="shared" si="109"/>
        <v>0</v>
      </c>
      <c r="M119" s="690">
        <f t="shared" si="109"/>
        <v>0</v>
      </c>
      <c r="N119" s="690">
        <f t="shared" si="109"/>
        <v>0</v>
      </c>
      <c r="O119" s="690">
        <f t="shared" si="109"/>
        <v>0</v>
      </c>
      <c r="P119" s="690">
        <f t="shared" si="109"/>
        <v>0</v>
      </c>
      <c r="Q119" s="690">
        <f t="shared" si="105"/>
        <v>0</v>
      </c>
    </row>
    <row r="120" spans="3:17">
      <c r="C120" s="55"/>
      <c r="D120" s="55" t="s">
        <v>368</v>
      </c>
      <c r="E120" s="690">
        <f t="shared" ref="E120:P120" si="110">E290+E459+E629</f>
        <v>0</v>
      </c>
      <c r="F120" s="690">
        <f t="shared" si="110"/>
        <v>0</v>
      </c>
      <c r="G120" s="690">
        <f t="shared" si="110"/>
        <v>0</v>
      </c>
      <c r="H120" s="690">
        <f t="shared" si="110"/>
        <v>0</v>
      </c>
      <c r="I120" s="690">
        <f t="shared" si="110"/>
        <v>0</v>
      </c>
      <c r="J120" s="690">
        <f t="shared" si="110"/>
        <v>0</v>
      </c>
      <c r="K120" s="690">
        <f t="shared" si="110"/>
        <v>0</v>
      </c>
      <c r="L120" s="690">
        <f t="shared" si="110"/>
        <v>0</v>
      </c>
      <c r="M120" s="690">
        <f t="shared" si="110"/>
        <v>0</v>
      </c>
      <c r="N120" s="690">
        <f t="shared" si="110"/>
        <v>0</v>
      </c>
      <c r="O120" s="690">
        <f t="shared" si="110"/>
        <v>0</v>
      </c>
      <c r="P120" s="690">
        <f t="shared" si="110"/>
        <v>0</v>
      </c>
      <c r="Q120" s="690">
        <f t="shared" si="105"/>
        <v>0</v>
      </c>
    </row>
    <row r="121" spans="3:17">
      <c r="C121" s="55"/>
      <c r="D121" s="55" t="s">
        <v>411</v>
      </c>
      <c r="E121" s="690">
        <f t="shared" ref="E121:P121" si="111">E291+E460+E630</f>
        <v>0</v>
      </c>
      <c r="F121" s="690">
        <f t="shared" si="111"/>
        <v>0</v>
      </c>
      <c r="G121" s="690">
        <f t="shared" si="111"/>
        <v>0</v>
      </c>
      <c r="H121" s="690">
        <f t="shared" si="111"/>
        <v>0</v>
      </c>
      <c r="I121" s="690">
        <f t="shared" si="111"/>
        <v>0</v>
      </c>
      <c r="J121" s="690">
        <f t="shared" si="111"/>
        <v>0</v>
      </c>
      <c r="K121" s="690">
        <f t="shared" si="111"/>
        <v>0</v>
      </c>
      <c r="L121" s="690">
        <f t="shared" si="111"/>
        <v>0</v>
      </c>
      <c r="M121" s="690">
        <f t="shared" si="111"/>
        <v>0</v>
      </c>
      <c r="N121" s="690">
        <f t="shared" si="111"/>
        <v>0</v>
      </c>
      <c r="O121" s="690">
        <f t="shared" si="111"/>
        <v>0</v>
      </c>
      <c r="P121" s="690">
        <f t="shared" si="111"/>
        <v>0</v>
      </c>
      <c r="Q121" s="690">
        <f t="shared" si="105"/>
        <v>0</v>
      </c>
    </row>
    <row r="122" spans="3:17">
      <c r="C122" s="55"/>
      <c r="D122" s="55" t="s">
        <v>412</v>
      </c>
      <c r="E122" s="690">
        <f t="shared" ref="E122:P122" si="112">E292+E461+E631</f>
        <v>0</v>
      </c>
      <c r="F122" s="690">
        <f t="shared" si="112"/>
        <v>0</v>
      </c>
      <c r="G122" s="690">
        <f t="shared" si="112"/>
        <v>0</v>
      </c>
      <c r="H122" s="690">
        <f t="shared" si="112"/>
        <v>0</v>
      </c>
      <c r="I122" s="690">
        <f t="shared" si="112"/>
        <v>0</v>
      </c>
      <c r="J122" s="690">
        <f t="shared" si="112"/>
        <v>0</v>
      </c>
      <c r="K122" s="690">
        <f t="shared" si="112"/>
        <v>0</v>
      </c>
      <c r="L122" s="690">
        <f t="shared" si="112"/>
        <v>0</v>
      </c>
      <c r="M122" s="690">
        <f t="shared" si="112"/>
        <v>0</v>
      </c>
      <c r="N122" s="690">
        <f t="shared" si="112"/>
        <v>0</v>
      </c>
      <c r="O122" s="690">
        <f t="shared" si="112"/>
        <v>0</v>
      </c>
      <c r="P122" s="690">
        <f t="shared" si="112"/>
        <v>0</v>
      </c>
      <c r="Q122" s="690">
        <f t="shared" si="105"/>
        <v>0</v>
      </c>
    </row>
    <row r="123" spans="3:17">
      <c r="C123" s="55"/>
      <c r="D123" s="55" t="s">
        <v>413</v>
      </c>
      <c r="E123" s="690">
        <f t="shared" ref="E123:P123" si="113">E293+E462+E632</f>
        <v>0</v>
      </c>
      <c r="F123" s="690">
        <f t="shared" si="113"/>
        <v>0</v>
      </c>
      <c r="G123" s="690">
        <f t="shared" si="113"/>
        <v>0</v>
      </c>
      <c r="H123" s="690">
        <f t="shared" si="113"/>
        <v>0</v>
      </c>
      <c r="I123" s="690">
        <f t="shared" si="113"/>
        <v>0</v>
      </c>
      <c r="J123" s="690">
        <f t="shared" si="113"/>
        <v>0</v>
      </c>
      <c r="K123" s="690">
        <f t="shared" si="113"/>
        <v>0</v>
      </c>
      <c r="L123" s="690">
        <f t="shared" si="113"/>
        <v>0</v>
      </c>
      <c r="M123" s="690">
        <f t="shared" si="113"/>
        <v>0</v>
      </c>
      <c r="N123" s="690">
        <f t="shared" si="113"/>
        <v>0</v>
      </c>
      <c r="O123" s="690">
        <f t="shared" si="113"/>
        <v>0</v>
      </c>
      <c r="P123" s="690">
        <f t="shared" si="113"/>
        <v>0</v>
      </c>
      <c r="Q123" s="690">
        <f t="shared" si="105"/>
        <v>0</v>
      </c>
    </row>
    <row r="124" spans="3:17">
      <c r="C124" s="55"/>
      <c r="D124" s="55" t="s">
        <v>414</v>
      </c>
      <c r="E124" s="690">
        <f t="shared" ref="E124:P124" si="114">E294+E463+E633</f>
        <v>0</v>
      </c>
      <c r="F124" s="690">
        <f t="shared" si="114"/>
        <v>0</v>
      </c>
      <c r="G124" s="690">
        <f t="shared" si="114"/>
        <v>0</v>
      </c>
      <c r="H124" s="690">
        <f t="shared" si="114"/>
        <v>0</v>
      </c>
      <c r="I124" s="690">
        <f t="shared" si="114"/>
        <v>0</v>
      </c>
      <c r="J124" s="690">
        <f t="shared" si="114"/>
        <v>0</v>
      </c>
      <c r="K124" s="690">
        <f t="shared" si="114"/>
        <v>0</v>
      </c>
      <c r="L124" s="690">
        <f t="shared" si="114"/>
        <v>0</v>
      </c>
      <c r="M124" s="690">
        <f t="shared" si="114"/>
        <v>0</v>
      </c>
      <c r="N124" s="690">
        <f t="shared" si="114"/>
        <v>0</v>
      </c>
      <c r="O124" s="690">
        <f t="shared" si="114"/>
        <v>0</v>
      </c>
      <c r="P124" s="690">
        <f t="shared" si="114"/>
        <v>0</v>
      </c>
      <c r="Q124" s="690">
        <f t="shared" si="105"/>
        <v>0</v>
      </c>
    </row>
    <row r="125" spans="3:17">
      <c r="C125" s="55"/>
      <c r="D125" s="55" t="s">
        <v>415</v>
      </c>
      <c r="E125" s="690">
        <f t="shared" ref="E125:P125" si="115">E295+E464+E634</f>
        <v>0</v>
      </c>
      <c r="F125" s="690">
        <f t="shared" si="115"/>
        <v>0</v>
      </c>
      <c r="G125" s="690">
        <f t="shared" si="115"/>
        <v>0</v>
      </c>
      <c r="H125" s="690">
        <f t="shared" si="115"/>
        <v>0</v>
      </c>
      <c r="I125" s="690">
        <f t="shared" si="115"/>
        <v>0</v>
      </c>
      <c r="J125" s="690">
        <f t="shared" si="115"/>
        <v>0</v>
      </c>
      <c r="K125" s="690">
        <f t="shared" si="115"/>
        <v>0</v>
      </c>
      <c r="L125" s="690">
        <f t="shared" si="115"/>
        <v>0</v>
      </c>
      <c r="M125" s="690">
        <f t="shared" si="115"/>
        <v>0</v>
      </c>
      <c r="N125" s="690">
        <f t="shared" si="115"/>
        <v>0</v>
      </c>
      <c r="O125" s="690">
        <f t="shared" si="115"/>
        <v>0</v>
      </c>
      <c r="P125" s="690">
        <f t="shared" si="115"/>
        <v>0</v>
      </c>
      <c r="Q125" s="690">
        <f t="shared" si="105"/>
        <v>0</v>
      </c>
    </row>
    <row r="126" spans="3:17">
      <c r="C126" s="55"/>
      <c r="D126" s="55" t="s">
        <v>416</v>
      </c>
      <c r="E126" s="690">
        <f t="shared" ref="E126:P126" si="116">E296+E465+E635</f>
        <v>0</v>
      </c>
      <c r="F126" s="690">
        <f t="shared" si="116"/>
        <v>0</v>
      </c>
      <c r="G126" s="690">
        <f t="shared" si="116"/>
        <v>0</v>
      </c>
      <c r="H126" s="690">
        <f t="shared" si="116"/>
        <v>0</v>
      </c>
      <c r="I126" s="690">
        <f t="shared" si="116"/>
        <v>0</v>
      </c>
      <c r="J126" s="690">
        <f t="shared" si="116"/>
        <v>0</v>
      </c>
      <c r="K126" s="690">
        <f t="shared" si="116"/>
        <v>0</v>
      </c>
      <c r="L126" s="690">
        <f t="shared" si="116"/>
        <v>0</v>
      </c>
      <c r="M126" s="690">
        <f t="shared" si="116"/>
        <v>0</v>
      </c>
      <c r="N126" s="690">
        <f t="shared" si="116"/>
        <v>0</v>
      </c>
      <c r="O126" s="690">
        <f t="shared" si="116"/>
        <v>0</v>
      </c>
      <c r="P126" s="690">
        <f t="shared" si="116"/>
        <v>0</v>
      </c>
      <c r="Q126" s="690">
        <f t="shared" si="105"/>
        <v>0</v>
      </c>
    </row>
    <row r="127" spans="3:17">
      <c r="C127" s="55"/>
      <c r="D127" s="55" t="s">
        <v>417</v>
      </c>
      <c r="E127" s="690">
        <f t="shared" ref="E127:P127" si="117">E297+E466+E636</f>
        <v>0</v>
      </c>
      <c r="F127" s="690">
        <f t="shared" si="117"/>
        <v>0</v>
      </c>
      <c r="G127" s="690">
        <f t="shared" si="117"/>
        <v>0</v>
      </c>
      <c r="H127" s="690">
        <f t="shared" si="117"/>
        <v>0</v>
      </c>
      <c r="I127" s="690">
        <f t="shared" si="117"/>
        <v>0</v>
      </c>
      <c r="J127" s="690">
        <f t="shared" si="117"/>
        <v>0</v>
      </c>
      <c r="K127" s="690">
        <f t="shared" si="117"/>
        <v>0</v>
      </c>
      <c r="L127" s="690">
        <f t="shared" si="117"/>
        <v>0</v>
      </c>
      <c r="M127" s="690">
        <f t="shared" si="117"/>
        <v>0</v>
      </c>
      <c r="N127" s="690">
        <f t="shared" si="117"/>
        <v>0</v>
      </c>
      <c r="O127" s="690">
        <f t="shared" si="117"/>
        <v>0</v>
      </c>
      <c r="P127" s="690">
        <f t="shared" si="117"/>
        <v>0</v>
      </c>
      <c r="Q127" s="690">
        <f t="shared" si="105"/>
        <v>0</v>
      </c>
    </row>
    <row r="128" spans="3:17">
      <c r="C128" s="55"/>
      <c r="D128" s="55" t="s">
        <v>418</v>
      </c>
      <c r="E128" s="690">
        <f t="shared" ref="E128:P128" si="118">E298+E467+E637</f>
        <v>0</v>
      </c>
      <c r="F128" s="690">
        <f t="shared" si="118"/>
        <v>0</v>
      </c>
      <c r="G128" s="690">
        <f t="shared" si="118"/>
        <v>0</v>
      </c>
      <c r="H128" s="690">
        <f t="shared" si="118"/>
        <v>0</v>
      </c>
      <c r="I128" s="690">
        <f t="shared" si="118"/>
        <v>0</v>
      </c>
      <c r="J128" s="690">
        <f t="shared" si="118"/>
        <v>0</v>
      </c>
      <c r="K128" s="690">
        <f t="shared" si="118"/>
        <v>0</v>
      </c>
      <c r="L128" s="690">
        <f t="shared" si="118"/>
        <v>0</v>
      </c>
      <c r="M128" s="690">
        <f t="shared" si="118"/>
        <v>0</v>
      </c>
      <c r="N128" s="690">
        <f t="shared" si="118"/>
        <v>0</v>
      </c>
      <c r="O128" s="690">
        <f t="shared" si="118"/>
        <v>0</v>
      </c>
      <c r="P128" s="690">
        <f t="shared" si="118"/>
        <v>0</v>
      </c>
      <c r="Q128" s="690">
        <f t="shared" si="105"/>
        <v>0</v>
      </c>
    </row>
    <row r="129" spans="3:17">
      <c r="C129" s="55"/>
      <c r="D129" s="687" t="s">
        <v>419</v>
      </c>
      <c r="E129" s="690">
        <f t="shared" ref="E129:P129" si="119">E299+E468+E638</f>
        <v>0</v>
      </c>
      <c r="F129" s="690">
        <f t="shared" si="119"/>
        <v>0</v>
      </c>
      <c r="G129" s="690">
        <f t="shared" si="119"/>
        <v>0</v>
      </c>
      <c r="H129" s="690">
        <f t="shared" si="119"/>
        <v>0</v>
      </c>
      <c r="I129" s="690">
        <f t="shared" si="119"/>
        <v>0</v>
      </c>
      <c r="J129" s="690">
        <f t="shared" si="119"/>
        <v>0</v>
      </c>
      <c r="K129" s="690">
        <f t="shared" si="119"/>
        <v>0</v>
      </c>
      <c r="L129" s="690">
        <f t="shared" si="119"/>
        <v>0</v>
      </c>
      <c r="M129" s="690">
        <f t="shared" si="119"/>
        <v>0</v>
      </c>
      <c r="N129" s="690">
        <f t="shared" si="119"/>
        <v>0</v>
      </c>
      <c r="O129" s="690">
        <f t="shared" si="119"/>
        <v>0</v>
      </c>
      <c r="P129" s="690">
        <f t="shared" si="119"/>
        <v>0</v>
      </c>
      <c r="Q129" s="690">
        <f t="shared" si="105"/>
        <v>0</v>
      </c>
    </row>
    <row r="130" spans="3:17">
      <c r="C130" s="55"/>
      <c r="D130" s="687" t="s">
        <v>420</v>
      </c>
      <c r="E130" s="690">
        <f t="shared" ref="E130:P130" si="120">E300+E469+E639</f>
        <v>0</v>
      </c>
      <c r="F130" s="690">
        <f t="shared" si="120"/>
        <v>0</v>
      </c>
      <c r="G130" s="690">
        <f t="shared" si="120"/>
        <v>0</v>
      </c>
      <c r="H130" s="690">
        <f t="shared" si="120"/>
        <v>0</v>
      </c>
      <c r="I130" s="690">
        <f t="shared" si="120"/>
        <v>0</v>
      </c>
      <c r="J130" s="690">
        <f t="shared" si="120"/>
        <v>0</v>
      </c>
      <c r="K130" s="690">
        <f t="shared" si="120"/>
        <v>0</v>
      </c>
      <c r="L130" s="690">
        <f t="shared" si="120"/>
        <v>0</v>
      </c>
      <c r="M130" s="690">
        <f t="shared" si="120"/>
        <v>0</v>
      </c>
      <c r="N130" s="690">
        <f t="shared" si="120"/>
        <v>0</v>
      </c>
      <c r="O130" s="690">
        <f t="shared" si="120"/>
        <v>0</v>
      </c>
      <c r="P130" s="690">
        <f t="shared" si="120"/>
        <v>0</v>
      </c>
      <c r="Q130" s="690">
        <f t="shared" si="105"/>
        <v>0</v>
      </c>
    </row>
    <row r="131" spans="3:17">
      <c r="C131" s="55"/>
      <c r="D131" s="55" t="s">
        <v>499</v>
      </c>
      <c r="E131" s="690">
        <f t="shared" ref="E131:P131" si="121">E301+E470+E640</f>
        <v>389.345397836101</v>
      </c>
      <c r="F131" s="690">
        <f t="shared" si="121"/>
        <v>329.830782064071</v>
      </c>
      <c r="G131" s="690">
        <f t="shared" si="121"/>
        <v>380.484383292273</v>
      </c>
      <c r="H131" s="690">
        <f t="shared" si="121"/>
        <v>241.725425455406</v>
      </c>
      <c r="I131" s="690">
        <f t="shared" si="121"/>
        <v>282.764609249309</v>
      </c>
      <c r="J131" s="690">
        <f t="shared" si="121"/>
        <v>269.032456836158</v>
      </c>
      <c r="K131" s="690">
        <f t="shared" si="121"/>
        <v>303.112043316435</v>
      </c>
      <c r="L131" s="690">
        <f t="shared" si="121"/>
        <v>258.12816735542</v>
      </c>
      <c r="M131" s="690">
        <f t="shared" si="121"/>
        <v>270.193288236365</v>
      </c>
      <c r="N131" s="690">
        <f t="shared" si="121"/>
        <v>283.494324218587</v>
      </c>
      <c r="O131" s="690">
        <f t="shared" si="121"/>
        <v>310.010810308145</v>
      </c>
      <c r="P131" s="690">
        <f t="shared" si="121"/>
        <v>450.490851384105</v>
      </c>
      <c r="Q131" s="690">
        <f t="shared" si="105"/>
        <v>3768.61253955237</v>
      </c>
    </row>
    <row r="132" spans="3:17">
      <c r="C132" s="55"/>
      <c r="D132" s="55"/>
      <c r="E132" s="690">
        <f t="shared" ref="E132:P132" si="122">E302+E471+E641</f>
        <v>0</v>
      </c>
      <c r="F132" s="690">
        <f t="shared" si="122"/>
        <v>0</v>
      </c>
      <c r="G132" s="690">
        <f t="shared" si="122"/>
        <v>0</v>
      </c>
      <c r="H132" s="690">
        <f t="shared" si="122"/>
        <v>0</v>
      </c>
      <c r="I132" s="690">
        <f t="shared" si="122"/>
        <v>0</v>
      </c>
      <c r="J132" s="690">
        <f t="shared" si="122"/>
        <v>0</v>
      </c>
      <c r="K132" s="690">
        <f t="shared" si="122"/>
        <v>0</v>
      </c>
      <c r="L132" s="690">
        <f t="shared" si="122"/>
        <v>0</v>
      </c>
      <c r="M132" s="690">
        <f t="shared" si="122"/>
        <v>0</v>
      </c>
      <c r="N132" s="690">
        <f t="shared" si="122"/>
        <v>0</v>
      </c>
      <c r="O132" s="690">
        <f t="shared" si="122"/>
        <v>0</v>
      </c>
      <c r="P132" s="690">
        <f t="shared" si="122"/>
        <v>0</v>
      </c>
      <c r="Q132" s="690">
        <f t="shared" si="105"/>
        <v>0</v>
      </c>
    </row>
    <row r="133" spans="3:17">
      <c r="C133" s="55"/>
      <c r="D133" s="55"/>
      <c r="E133" s="690">
        <f t="shared" ref="E133:P133" si="123">E303+E472+E642</f>
        <v>0</v>
      </c>
      <c r="F133" s="690">
        <f t="shared" si="123"/>
        <v>0</v>
      </c>
      <c r="G133" s="690">
        <f t="shared" si="123"/>
        <v>0</v>
      </c>
      <c r="H133" s="690">
        <f t="shared" si="123"/>
        <v>0</v>
      </c>
      <c r="I133" s="690">
        <f t="shared" si="123"/>
        <v>0</v>
      </c>
      <c r="J133" s="690">
        <f t="shared" si="123"/>
        <v>0</v>
      </c>
      <c r="K133" s="690">
        <f t="shared" si="123"/>
        <v>0</v>
      </c>
      <c r="L133" s="690">
        <f t="shared" si="123"/>
        <v>0</v>
      </c>
      <c r="M133" s="690">
        <f t="shared" si="123"/>
        <v>0</v>
      </c>
      <c r="N133" s="690">
        <f t="shared" si="123"/>
        <v>0</v>
      </c>
      <c r="O133" s="690">
        <f t="shared" si="123"/>
        <v>0</v>
      </c>
      <c r="P133" s="690">
        <f t="shared" si="123"/>
        <v>0</v>
      </c>
      <c r="Q133" s="690">
        <f t="shared" si="105"/>
        <v>0</v>
      </c>
    </row>
    <row r="134" spans="3:17">
      <c r="C134" s="55"/>
      <c r="D134" s="55"/>
      <c r="E134" s="690">
        <f t="shared" ref="E134:P134" si="124">E304+E473+E643</f>
        <v>0</v>
      </c>
      <c r="F134" s="690">
        <f t="shared" si="124"/>
        <v>0</v>
      </c>
      <c r="G134" s="690">
        <f t="shared" si="124"/>
        <v>0</v>
      </c>
      <c r="H134" s="690">
        <f t="shared" si="124"/>
        <v>0</v>
      </c>
      <c r="I134" s="690">
        <f t="shared" si="124"/>
        <v>0</v>
      </c>
      <c r="J134" s="690">
        <f t="shared" si="124"/>
        <v>0</v>
      </c>
      <c r="K134" s="690">
        <f t="shared" si="124"/>
        <v>0</v>
      </c>
      <c r="L134" s="690">
        <f t="shared" si="124"/>
        <v>0</v>
      </c>
      <c r="M134" s="690">
        <f t="shared" si="124"/>
        <v>0</v>
      </c>
      <c r="N134" s="690">
        <f t="shared" si="124"/>
        <v>0</v>
      </c>
      <c r="O134" s="690">
        <f t="shared" si="124"/>
        <v>0</v>
      </c>
      <c r="P134" s="690">
        <f t="shared" si="124"/>
        <v>0</v>
      </c>
      <c r="Q134" s="690">
        <f t="shared" si="105"/>
        <v>0</v>
      </c>
    </row>
    <row r="135" spans="3:17">
      <c r="C135" s="55"/>
      <c r="D135" s="55"/>
      <c r="E135" s="690">
        <f t="shared" ref="E135:P135" si="125">E305+E474+E644</f>
        <v>0</v>
      </c>
      <c r="F135" s="690">
        <f t="shared" si="125"/>
        <v>0</v>
      </c>
      <c r="G135" s="690">
        <f t="shared" si="125"/>
        <v>0</v>
      </c>
      <c r="H135" s="690">
        <f t="shared" si="125"/>
        <v>0</v>
      </c>
      <c r="I135" s="690">
        <f t="shared" si="125"/>
        <v>0</v>
      </c>
      <c r="J135" s="690">
        <f t="shared" si="125"/>
        <v>0</v>
      </c>
      <c r="K135" s="690">
        <f t="shared" si="125"/>
        <v>0</v>
      </c>
      <c r="L135" s="690">
        <f t="shared" si="125"/>
        <v>0</v>
      </c>
      <c r="M135" s="690">
        <f t="shared" si="125"/>
        <v>0</v>
      </c>
      <c r="N135" s="690">
        <f t="shared" si="125"/>
        <v>0</v>
      </c>
      <c r="O135" s="690">
        <f t="shared" si="125"/>
        <v>0</v>
      </c>
      <c r="P135" s="690">
        <f t="shared" si="125"/>
        <v>0</v>
      </c>
      <c r="Q135" s="690">
        <f t="shared" si="105"/>
        <v>0</v>
      </c>
    </row>
    <row r="136" spans="3:17">
      <c r="C136" s="55"/>
      <c r="D136" s="55"/>
      <c r="E136" s="690">
        <f t="shared" ref="E136:P136" si="126">E306+E475+E645</f>
        <v>0</v>
      </c>
      <c r="F136" s="690">
        <f t="shared" si="126"/>
        <v>0</v>
      </c>
      <c r="G136" s="690">
        <f t="shared" si="126"/>
        <v>0</v>
      </c>
      <c r="H136" s="690">
        <f t="shared" si="126"/>
        <v>0</v>
      </c>
      <c r="I136" s="690">
        <f t="shared" si="126"/>
        <v>0</v>
      </c>
      <c r="J136" s="690">
        <f t="shared" si="126"/>
        <v>0</v>
      </c>
      <c r="K136" s="690">
        <f t="shared" si="126"/>
        <v>0</v>
      </c>
      <c r="L136" s="690">
        <f t="shared" si="126"/>
        <v>0</v>
      </c>
      <c r="M136" s="690">
        <f t="shared" si="126"/>
        <v>0</v>
      </c>
      <c r="N136" s="690">
        <f t="shared" si="126"/>
        <v>0</v>
      </c>
      <c r="O136" s="690">
        <f t="shared" si="126"/>
        <v>0</v>
      </c>
      <c r="P136" s="690">
        <f t="shared" si="126"/>
        <v>0</v>
      </c>
      <c r="Q136" s="690">
        <f t="shared" si="105"/>
        <v>0</v>
      </c>
    </row>
    <row r="137" spans="3:17">
      <c r="C137" s="55"/>
      <c r="D137" s="55"/>
      <c r="E137" s="690">
        <f t="shared" ref="E137:P137" si="127">E307+E476+E646</f>
        <v>0</v>
      </c>
      <c r="F137" s="690">
        <f t="shared" si="127"/>
        <v>0</v>
      </c>
      <c r="G137" s="690">
        <f t="shared" si="127"/>
        <v>0</v>
      </c>
      <c r="H137" s="690">
        <f t="shared" si="127"/>
        <v>0</v>
      </c>
      <c r="I137" s="690">
        <f t="shared" si="127"/>
        <v>0</v>
      </c>
      <c r="J137" s="690">
        <f t="shared" si="127"/>
        <v>0</v>
      </c>
      <c r="K137" s="690">
        <f t="shared" si="127"/>
        <v>0</v>
      </c>
      <c r="L137" s="690">
        <f t="shared" si="127"/>
        <v>0</v>
      </c>
      <c r="M137" s="690">
        <f t="shared" si="127"/>
        <v>0</v>
      </c>
      <c r="N137" s="690">
        <f t="shared" si="127"/>
        <v>0</v>
      </c>
      <c r="O137" s="690">
        <f t="shared" si="127"/>
        <v>0</v>
      </c>
      <c r="P137" s="690">
        <f t="shared" si="127"/>
        <v>0</v>
      </c>
      <c r="Q137" s="690">
        <f t="shared" si="105"/>
        <v>0</v>
      </c>
    </row>
    <row r="138" spans="3:17">
      <c r="C138" s="55"/>
      <c r="D138" s="55"/>
      <c r="E138" s="690">
        <f t="shared" ref="E138:P138" si="128">E308+E477+E647</f>
        <v>0</v>
      </c>
      <c r="F138" s="690">
        <f t="shared" si="128"/>
        <v>0</v>
      </c>
      <c r="G138" s="690">
        <f t="shared" si="128"/>
        <v>0</v>
      </c>
      <c r="H138" s="690">
        <f t="shared" si="128"/>
        <v>0</v>
      </c>
      <c r="I138" s="690">
        <f t="shared" si="128"/>
        <v>0</v>
      </c>
      <c r="J138" s="690">
        <f t="shared" si="128"/>
        <v>0</v>
      </c>
      <c r="K138" s="690">
        <f t="shared" si="128"/>
        <v>0</v>
      </c>
      <c r="L138" s="690">
        <f t="shared" si="128"/>
        <v>0</v>
      </c>
      <c r="M138" s="690">
        <f t="shared" si="128"/>
        <v>0</v>
      </c>
      <c r="N138" s="690">
        <f t="shared" si="128"/>
        <v>0</v>
      </c>
      <c r="O138" s="690">
        <f t="shared" si="128"/>
        <v>0</v>
      </c>
      <c r="P138" s="690">
        <f t="shared" si="128"/>
        <v>0</v>
      </c>
      <c r="Q138" s="690">
        <f t="shared" si="105"/>
        <v>0</v>
      </c>
    </row>
    <row r="139" ht="15" spans="3:17">
      <c r="C139" s="44" t="s">
        <v>421</v>
      </c>
      <c r="D139" s="44"/>
      <c r="E139" s="700">
        <f t="shared" ref="E139:P139" si="129">SUM(E115:E138)</f>
        <v>389.345397836101</v>
      </c>
      <c r="F139" s="700">
        <f t="shared" si="129"/>
        <v>329.830782064071</v>
      </c>
      <c r="G139" s="700">
        <f t="shared" si="129"/>
        <v>380.484383292273</v>
      </c>
      <c r="H139" s="700">
        <f t="shared" si="129"/>
        <v>241.725425455406</v>
      </c>
      <c r="I139" s="700">
        <f t="shared" si="129"/>
        <v>282.764609249309</v>
      </c>
      <c r="J139" s="700">
        <f t="shared" si="129"/>
        <v>269.032456836158</v>
      </c>
      <c r="K139" s="700">
        <f t="shared" si="129"/>
        <v>303.112043316435</v>
      </c>
      <c r="L139" s="700">
        <f t="shared" si="129"/>
        <v>258.12816735542</v>
      </c>
      <c r="M139" s="700">
        <f t="shared" si="129"/>
        <v>270.193288236365</v>
      </c>
      <c r="N139" s="700">
        <f t="shared" si="129"/>
        <v>283.494324218587</v>
      </c>
      <c r="O139" s="700">
        <f t="shared" si="129"/>
        <v>310.010810308145</v>
      </c>
      <c r="P139" s="700">
        <f t="shared" si="129"/>
        <v>450.490851384105</v>
      </c>
      <c r="Q139" s="730">
        <f t="shared" si="105"/>
        <v>3768.61253955237</v>
      </c>
    </row>
    <row r="140" ht="15" spans="3:17">
      <c r="C140" s="663" t="s">
        <v>422</v>
      </c>
      <c r="D140" s="663"/>
      <c r="E140" s="690"/>
      <c r="F140" s="690"/>
      <c r="G140" s="690"/>
      <c r="H140" s="690"/>
      <c r="I140" s="690"/>
      <c r="J140" s="690"/>
      <c r="K140" s="690"/>
      <c r="L140" s="690"/>
      <c r="M140" s="690"/>
      <c r="N140" s="690"/>
      <c r="O140" s="690"/>
      <c r="P140" s="690"/>
      <c r="Q140" s="690"/>
    </row>
    <row r="141" spans="3:17">
      <c r="C141" s="55"/>
      <c r="D141" s="55"/>
      <c r="E141" s="690">
        <f t="shared" ref="E141:P141" si="130">E311+E480+E650</f>
        <v>0</v>
      </c>
      <c r="F141" s="690">
        <f t="shared" si="130"/>
        <v>0</v>
      </c>
      <c r="G141" s="690">
        <f t="shared" si="130"/>
        <v>0</v>
      </c>
      <c r="H141" s="690">
        <f t="shared" si="130"/>
        <v>0</v>
      </c>
      <c r="I141" s="690">
        <f t="shared" si="130"/>
        <v>0</v>
      </c>
      <c r="J141" s="690">
        <f t="shared" si="130"/>
        <v>0</v>
      </c>
      <c r="K141" s="690">
        <f t="shared" si="130"/>
        <v>0</v>
      </c>
      <c r="L141" s="690">
        <f t="shared" si="130"/>
        <v>0</v>
      </c>
      <c r="M141" s="690">
        <f t="shared" si="130"/>
        <v>0</v>
      </c>
      <c r="N141" s="690">
        <f t="shared" si="130"/>
        <v>0</v>
      </c>
      <c r="O141" s="690">
        <f t="shared" si="130"/>
        <v>0</v>
      </c>
      <c r="P141" s="690">
        <f t="shared" si="130"/>
        <v>0</v>
      </c>
      <c r="Q141" s="690">
        <f t="shared" ref="Q141:Q165" si="131">SUM(E141:P141)</f>
        <v>0</v>
      </c>
    </row>
    <row r="142" spans="3:17">
      <c r="C142" s="55"/>
      <c r="D142" s="55"/>
      <c r="E142" s="690">
        <f t="shared" ref="E142:P142" si="132">E312+E481+E651</f>
        <v>0</v>
      </c>
      <c r="F142" s="690">
        <f t="shared" si="132"/>
        <v>0</v>
      </c>
      <c r="G142" s="690">
        <f t="shared" si="132"/>
        <v>0</v>
      </c>
      <c r="H142" s="690">
        <f t="shared" si="132"/>
        <v>0</v>
      </c>
      <c r="I142" s="690">
        <f t="shared" si="132"/>
        <v>0</v>
      </c>
      <c r="J142" s="690">
        <f t="shared" si="132"/>
        <v>0</v>
      </c>
      <c r="K142" s="690">
        <f t="shared" si="132"/>
        <v>0</v>
      </c>
      <c r="L142" s="690">
        <f t="shared" si="132"/>
        <v>0</v>
      </c>
      <c r="M142" s="690">
        <f t="shared" si="132"/>
        <v>0</v>
      </c>
      <c r="N142" s="690">
        <f t="shared" si="132"/>
        <v>0</v>
      </c>
      <c r="O142" s="690">
        <f t="shared" si="132"/>
        <v>0</v>
      </c>
      <c r="P142" s="690">
        <f t="shared" si="132"/>
        <v>0</v>
      </c>
      <c r="Q142" s="690">
        <f t="shared" si="131"/>
        <v>0</v>
      </c>
    </row>
    <row r="143" spans="3:17">
      <c r="C143" s="55"/>
      <c r="D143" s="55"/>
      <c r="E143" s="690">
        <f t="shared" ref="E143:P143" si="133">E313+E482+E652</f>
        <v>0</v>
      </c>
      <c r="F143" s="690">
        <f t="shared" si="133"/>
        <v>0</v>
      </c>
      <c r="G143" s="690">
        <f t="shared" si="133"/>
        <v>0</v>
      </c>
      <c r="H143" s="690">
        <f t="shared" si="133"/>
        <v>0</v>
      </c>
      <c r="I143" s="690">
        <f t="shared" si="133"/>
        <v>0</v>
      </c>
      <c r="J143" s="690">
        <f t="shared" si="133"/>
        <v>0</v>
      </c>
      <c r="K143" s="690">
        <f t="shared" si="133"/>
        <v>0</v>
      </c>
      <c r="L143" s="690">
        <f t="shared" si="133"/>
        <v>0</v>
      </c>
      <c r="M143" s="690">
        <f t="shared" si="133"/>
        <v>0</v>
      </c>
      <c r="N143" s="690">
        <f t="shared" si="133"/>
        <v>0</v>
      </c>
      <c r="O143" s="690">
        <f t="shared" si="133"/>
        <v>0</v>
      </c>
      <c r="P143" s="690">
        <f t="shared" si="133"/>
        <v>0</v>
      </c>
      <c r="Q143" s="690">
        <f t="shared" si="131"/>
        <v>0</v>
      </c>
    </row>
    <row r="144" spans="3:17">
      <c r="C144" s="55"/>
      <c r="D144" s="679"/>
      <c r="E144" s="690">
        <f t="shared" ref="E144:P144" si="134">E314+E483+E653</f>
        <v>0</v>
      </c>
      <c r="F144" s="690">
        <f t="shared" si="134"/>
        <v>0</v>
      </c>
      <c r="G144" s="690">
        <f t="shared" si="134"/>
        <v>0</v>
      </c>
      <c r="H144" s="690">
        <f t="shared" si="134"/>
        <v>0</v>
      </c>
      <c r="I144" s="690">
        <f t="shared" si="134"/>
        <v>0</v>
      </c>
      <c r="J144" s="690">
        <f t="shared" si="134"/>
        <v>0</v>
      </c>
      <c r="K144" s="690">
        <f t="shared" si="134"/>
        <v>0</v>
      </c>
      <c r="L144" s="690">
        <f t="shared" si="134"/>
        <v>0</v>
      </c>
      <c r="M144" s="690">
        <f t="shared" si="134"/>
        <v>0</v>
      </c>
      <c r="N144" s="690">
        <f t="shared" si="134"/>
        <v>0</v>
      </c>
      <c r="O144" s="690">
        <f t="shared" si="134"/>
        <v>0</v>
      </c>
      <c r="P144" s="690">
        <f t="shared" si="134"/>
        <v>0</v>
      </c>
      <c r="Q144" s="690">
        <f t="shared" si="131"/>
        <v>0</v>
      </c>
    </row>
    <row r="145" spans="3:17">
      <c r="C145" s="55"/>
      <c r="D145" s="679"/>
      <c r="E145" s="690">
        <f t="shared" ref="E145:P145" si="135">E315+E484+E654</f>
        <v>0</v>
      </c>
      <c r="F145" s="690">
        <f t="shared" si="135"/>
        <v>0</v>
      </c>
      <c r="G145" s="690">
        <f t="shared" si="135"/>
        <v>0</v>
      </c>
      <c r="H145" s="690">
        <f t="shared" si="135"/>
        <v>0</v>
      </c>
      <c r="I145" s="690">
        <f t="shared" si="135"/>
        <v>0</v>
      </c>
      <c r="J145" s="690">
        <f t="shared" si="135"/>
        <v>0</v>
      </c>
      <c r="K145" s="690">
        <f t="shared" si="135"/>
        <v>0</v>
      </c>
      <c r="L145" s="690">
        <f t="shared" si="135"/>
        <v>0</v>
      </c>
      <c r="M145" s="690">
        <f t="shared" si="135"/>
        <v>0</v>
      </c>
      <c r="N145" s="690">
        <f t="shared" si="135"/>
        <v>0</v>
      </c>
      <c r="O145" s="690">
        <f t="shared" si="135"/>
        <v>0</v>
      </c>
      <c r="P145" s="690">
        <f t="shared" si="135"/>
        <v>0</v>
      </c>
      <c r="Q145" s="690">
        <f t="shared" si="131"/>
        <v>0</v>
      </c>
    </row>
    <row r="146" spans="3:17">
      <c r="C146" s="55"/>
      <c r="D146" s="679" t="s">
        <v>502</v>
      </c>
      <c r="E146" s="690">
        <f t="shared" ref="E146:P146" si="136">E316+E485+E655</f>
        <v>0</v>
      </c>
      <c r="F146" s="690">
        <f t="shared" si="136"/>
        <v>0</v>
      </c>
      <c r="G146" s="690">
        <f t="shared" si="136"/>
        <v>0</v>
      </c>
      <c r="H146" s="690">
        <f t="shared" si="136"/>
        <v>0</v>
      </c>
      <c r="I146" s="690">
        <f t="shared" si="136"/>
        <v>0</v>
      </c>
      <c r="J146" s="690">
        <f t="shared" si="136"/>
        <v>0</v>
      </c>
      <c r="K146" s="690">
        <f t="shared" si="136"/>
        <v>0</v>
      </c>
      <c r="L146" s="690">
        <f t="shared" si="136"/>
        <v>0</v>
      </c>
      <c r="M146" s="690">
        <f t="shared" si="136"/>
        <v>0</v>
      </c>
      <c r="N146" s="690">
        <f t="shared" si="136"/>
        <v>0</v>
      </c>
      <c r="O146" s="690">
        <f t="shared" si="136"/>
        <v>0</v>
      </c>
      <c r="P146" s="690">
        <f t="shared" si="136"/>
        <v>0</v>
      </c>
      <c r="Q146" s="690">
        <f t="shared" si="131"/>
        <v>0</v>
      </c>
    </row>
    <row r="147" spans="3:17">
      <c r="C147" s="55"/>
      <c r="D147" s="679" t="s">
        <v>503</v>
      </c>
      <c r="E147" s="690">
        <f t="shared" ref="E147:P147" si="137">E317+E486+E656</f>
        <v>0</v>
      </c>
      <c r="F147" s="690">
        <f t="shared" si="137"/>
        <v>0</v>
      </c>
      <c r="G147" s="690">
        <f t="shared" si="137"/>
        <v>0</v>
      </c>
      <c r="H147" s="690">
        <f t="shared" si="137"/>
        <v>0</v>
      </c>
      <c r="I147" s="690">
        <f t="shared" si="137"/>
        <v>0</v>
      </c>
      <c r="J147" s="690">
        <f t="shared" si="137"/>
        <v>0</v>
      </c>
      <c r="K147" s="690">
        <f t="shared" si="137"/>
        <v>0</v>
      </c>
      <c r="L147" s="690">
        <f t="shared" si="137"/>
        <v>0</v>
      </c>
      <c r="M147" s="690">
        <f t="shared" si="137"/>
        <v>0</v>
      </c>
      <c r="N147" s="690">
        <f t="shared" si="137"/>
        <v>0</v>
      </c>
      <c r="O147" s="690">
        <f t="shared" si="137"/>
        <v>0</v>
      </c>
      <c r="P147" s="690">
        <f t="shared" si="137"/>
        <v>0</v>
      </c>
      <c r="Q147" s="690">
        <f t="shared" si="131"/>
        <v>0</v>
      </c>
    </row>
    <row r="148" spans="3:17">
      <c r="C148" s="55"/>
      <c r="D148" s="688" t="s">
        <v>504</v>
      </c>
      <c r="E148" s="690">
        <f t="shared" ref="E148:P148" si="138">E318+E487+E657</f>
        <v>0</v>
      </c>
      <c r="F148" s="690">
        <f t="shared" si="138"/>
        <v>0</v>
      </c>
      <c r="G148" s="690">
        <f t="shared" si="138"/>
        <v>0</v>
      </c>
      <c r="H148" s="690">
        <f t="shared" si="138"/>
        <v>0</v>
      </c>
      <c r="I148" s="690">
        <f t="shared" si="138"/>
        <v>0</v>
      </c>
      <c r="J148" s="690">
        <f t="shared" si="138"/>
        <v>0</v>
      </c>
      <c r="K148" s="690">
        <f t="shared" si="138"/>
        <v>0</v>
      </c>
      <c r="L148" s="690">
        <f t="shared" si="138"/>
        <v>0</v>
      </c>
      <c r="M148" s="690">
        <f t="shared" si="138"/>
        <v>0</v>
      </c>
      <c r="N148" s="690">
        <f t="shared" si="138"/>
        <v>0</v>
      </c>
      <c r="O148" s="690">
        <f t="shared" si="138"/>
        <v>0</v>
      </c>
      <c r="P148" s="690">
        <f t="shared" si="138"/>
        <v>0</v>
      </c>
      <c r="Q148" s="690">
        <f t="shared" si="131"/>
        <v>0</v>
      </c>
    </row>
    <row r="149" spans="3:17">
      <c r="C149" s="55"/>
      <c r="D149" s="679" t="s">
        <v>505</v>
      </c>
      <c r="E149" s="690">
        <f t="shared" ref="E149:P149" si="139">E319+E488+E658</f>
        <v>0</v>
      </c>
      <c r="F149" s="690">
        <f t="shared" si="139"/>
        <v>0</v>
      </c>
      <c r="G149" s="690">
        <f t="shared" si="139"/>
        <v>0</v>
      </c>
      <c r="H149" s="690">
        <f t="shared" si="139"/>
        <v>0</v>
      </c>
      <c r="I149" s="690">
        <f t="shared" si="139"/>
        <v>0</v>
      </c>
      <c r="J149" s="690">
        <f t="shared" si="139"/>
        <v>0</v>
      </c>
      <c r="K149" s="690">
        <f t="shared" si="139"/>
        <v>0</v>
      </c>
      <c r="L149" s="690">
        <f t="shared" si="139"/>
        <v>0</v>
      </c>
      <c r="M149" s="690">
        <f t="shared" si="139"/>
        <v>0</v>
      </c>
      <c r="N149" s="690">
        <f t="shared" si="139"/>
        <v>0</v>
      </c>
      <c r="O149" s="690">
        <f t="shared" si="139"/>
        <v>0</v>
      </c>
      <c r="P149" s="690">
        <f t="shared" si="139"/>
        <v>0</v>
      </c>
      <c r="Q149" s="690">
        <f t="shared" si="131"/>
        <v>0</v>
      </c>
    </row>
    <row r="150" spans="3:17">
      <c r="C150" s="55"/>
      <c r="D150" s="679" t="s">
        <v>506</v>
      </c>
      <c r="E150" s="690">
        <f t="shared" ref="E150:P150" si="140">E320+E489+E659</f>
        <v>0</v>
      </c>
      <c r="F150" s="690">
        <f t="shared" si="140"/>
        <v>0</v>
      </c>
      <c r="G150" s="690">
        <f t="shared" si="140"/>
        <v>0</v>
      </c>
      <c r="H150" s="690">
        <f t="shared" si="140"/>
        <v>0</v>
      </c>
      <c r="I150" s="690">
        <f t="shared" si="140"/>
        <v>0</v>
      </c>
      <c r="J150" s="690">
        <f t="shared" si="140"/>
        <v>0</v>
      </c>
      <c r="K150" s="690">
        <f t="shared" si="140"/>
        <v>0</v>
      </c>
      <c r="L150" s="690">
        <f t="shared" si="140"/>
        <v>0</v>
      </c>
      <c r="M150" s="690">
        <f t="shared" si="140"/>
        <v>0</v>
      </c>
      <c r="N150" s="690">
        <f t="shared" si="140"/>
        <v>0</v>
      </c>
      <c r="O150" s="690">
        <f t="shared" si="140"/>
        <v>0</v>
      </c>
      <c r="P150" s="690">
        <f t="shared" si="140"/>
        <v>0</v>
      </c>
      <c r="Q150" s="690">
        <f t="shared" si="131"/>
        <v>0</v>
      </c>
    </row>
    <row r="151" spans="3:17">
      <c r="C151" s="55"/>
      <c r="D151" s="679" t="s">
        <v>507</v>
      </c>
      <c r="E151" s="690">
        <f t="shared" ref="E151:P151" si="141">E321+E490+E660</f>
        <v>0</v>
      </c>
      <c r="F151" s="690">
        <f t="shared" si="141"/>
        <v>0</v>
      </c>
      <c r="G151" s="690">
        <f t="shared" si="141"/>
        <v>0</v>
      </c>
      <c r="H151" s="690">
        <f t="shared" si="141"/>
        <v>0</v>
      </c>
      <c r="I151" s="690">
        <f t="shared" si="141"/>
        <v>0</v>
      </c>
      <c r="J151" s="690">
        <f t="shared" si="141"/>
        <v>0</v>
      </c>
      <c r="K151" s="690">
        <f t="shared" si="141"/>
        <v>0</v>
      </c>
      <c r="L151" s="690">
        <f t="shared" si="141"/>
        <v>0</v>
      </c>
      <c r="M151" s="690">
        <f t="shared" si="141"/>
        <v>0</v>
      </c>
      <c r="N151" s="690">
        <f t="shared" si="141"/>
        <v>0</v>
      </c>
      <c r="O151" s="690">
        <f t="shared" si="141"/>
        <v>0</v>
      </c>
      <c r="P151" s="690">
        <f t="shared" si="141"/>
        <v>0</v>
      </c>
      <c r="Q151" s="690">
        <f t="shared" si="131"/>
        <v>0</v>
      </c>
    </row>
    <row r="152" spans="3:17">
      <c r="C152" s="55"/>
      <c r="D152" s="679" t="s">
        <v>508</v>
      </c>
      <c r="E152" s="690">
        <f t="shared" ref="E152:P152" si="142">E322+E491+E661</f>
        <v>0</v>
      </c>
      <c r="F152" s="690">
        <f t="shared" si="142"/>
        <v>0</v>
      </c>
      <c r="G152" s="690">
        <f t="shared" si="142"/>
        <v>0</v>
      </c>
      <c r="H152" s="690">
        <f t="shared" si="142"/>
        <v>0</v>
      </c>
      <c r="I152" s="690">
        <f t="shared" si="142"/>
        <v>0</v>
      </c>
      <c r="J152" s="690">
        <f t="shared" si="142"/>
        <v>0</v>
      </c>
      <c r="K152" s="690">
        <f t="shared" si="142"/>
        <v>0</v>
      </c>
      <c r="L152" s="690">
        <f t="shared" si="142"/>
        <v>0</v>
      </c>
      <c r="M152" s="690">
        <f t="shared" si="142"/>
        <v>0</v>
      </c>
      <c r="N152" s="690">
        <f t="shared" si="142"/>
        <v>0</v>
      </c>
      <c r="O152" s="690">
        <f t="shared" si="142"/>
        <v>0</v>
      </c>
      <c r="P152" s="690">
        <f t="shared" si="142"/>
        <v>0</v>
      </c>
      <c r="Q152" s="690">
        <f t="shared" si="131"/>
        <v>0</v>
      </c>
    </row>
    <row r="153" spans="3:17">
      <c r="C153" s="55"/>
      <c r="D153" s="679" t="s">
        <v>509</v>
      </c>
      <c r="E153" s="690">
        <f t="shared" ref="E153:P153" si="143">E323+E492+E662</f>
        <v>0</v>
      </c>
      <c r="F153" s="690">
        <f t="shared" si="143"/>
        <v>0</v>
      </c>
      <c r="G153" s="690">
        <f t="shared" si="143"/>
        <v>0</v>
      </c>
      <c r="H153" s="690">
        <f t="shared" si="143"/>
        <v>0</v>
      </c>
      <c r="I153" s="690">
        <f t="shared" si="143"/>
        <v>0</v>
      </c>
      <c r="J153" s="690">
        <f t="shared" si="143"/>
        <v>0</v>
      </c>
      <c r="K153" s="690">
        <f t="shared" si="143"/>
        <v>0</v>
      </c>
      <c r="L153" s="690">
        <f t="shared" si="143"/>
        <v>0</v>
      </c>
      <c r="M153" s="690">
        <f t="shared" si="143"/>
        <v>0</v>
      </c>
      <c r="N153" s="690">
        <f t="shared" si="143"/>
        <v>0</v>
      </c>
      <c r="O153" s="690">
        <f t="shared" si="143"/>
        <v>0</v>
      </c>
      <c r="P153" s="690">
        <f t="shared" si="143"/>
        <v>0</v>
      </c>
      <c r="Q153" s="690">
        <f t="shared" si="131"/>
        <v>0</v>
      </c>
    </row>
    <row r="154" spans="3:17">
      <c r="C154" s="55"/>
      <c r="D154" s="679" t="s">
        <v>510</v>
      </c>
      <c r="E154" s="690">
        <f t="shared" ref="E154:P154" si="144">E324+E493+E663</f>
        <v>0</v>
      </c>
      <c r="F154" s="690">
        <f t="shared" si="144"/>
        <v>0</v>
      </c>
      <c r="G154" s="690">
        <f t="shared" si="144"/>
        <v>0</v>
      </c>
      <c r="H154" s="690">
        <f t="shared" si="144"/>
        <v>0</v>
      </c>
      <c r="I154" s="690">
        <f t="shared" si="144"/>
        <v>0</v>
      </c>
      <c r="J154" s="690">
        <f t="shared" si="144"/>
        <v>0</v>
      </c>
      <c r="K154" s="690">
        <f t="shared" si="144"/>
        <v>0</v>
      </c>
      <c r="L154" s="690">
        <f t="shared" si="144"/>
        <v>0</v>
      </c>
      <c r="M154" s="690">
        <f t="shared" si="144"/>
        <v>0</v>
      </c>
      <c r="N154" s="690">
        <f t="shared" si="144"/>
        <v>0</v>
      </c>
      <c r="O154" s="690">
        <f t="shared" si="144"/>
        <v>0</v>
      </c>
      <c r="P154" s="690">
        <f t="shared" si="144"/>
        <v>0</v>
      </c>
      <c r="Q154" s="690">
        <f t="shared" si="131"/>
        <v>0</v>
      </c>
    </row>
    <row r="155" spans="3:17">
      <c r="C155" s="55"/>
      <c r="D155" s="679" t="s">
        <v>511</v>
      </c>
      <c r="E155" s="690">
        <f t="shared" ref="E155:P155" si="145">E325+E494+E664</f>
        <v>0</v>
      </c>
      <c r="F155" s="690">
        <f t="shared" si="145"/>
        <v>0</v>
      </c>
      <c r="G155" s="690">
        <f t="shared" si="145"/>
        <v>0</v>
      </c>
      <c r="H155" s="690">
        <f t="shared" si="145"/>
        <v>0</v>
      </c>
      <c r="I155" s="690">
        <f t="shared" si="145"/>
        <v>0</v>
      </c>
      <c r="J155" s="690">
        <f t="shared" si="145"/>
        <v>0</v>
      </c>
      <c r="K155" s="690">
        <f t="shared" si="145"/>
        <v>0</v>
      </c>
      <c r="L155" s="690">
        <f t="shared" si="145"/>
        <v>0</v>
      </c>
      <c r="M155" s="690">
        <f t="shared" si="145"/>
        <v>0</v>
      </c>
      <c r="N155" s="690">
        <f t="shared" si="145"/>
        <v>0</v>
      </c>
      <c r="O155" s="690">
        <f t="shared" si="145"/>
        <v>0</v>
      </c>
      <c r="P155" s="690">
        <f t="shared" si="145"/>
        <v>0</v>
      </c>
      <c r="Q155" s="690">
        <f t="shared" si="131"/>
        <v>0</v>
      </c>
    </row>
    <row r="156" spans="3:17">
      <c r="C156" s="55"/>
      <c r="D156" s="679" t="s">
        <v>512</v>
      </c>
      <c r="E156" s="690">
        <f t="shared" ref="E156:P156" si="146">E326+E495+E665</f>
        <v>0</v>
      </c>
      <c r="F156" s="690">
        <f t="shared" si="146"/>
        <v>0</v>
      </c>
      <c r="G156" s="690">
        <f t="shared" si="146"/>
        <v>0</v>
      </c>
      <c r="H156" s="690">
        <f t="shared" si="146"/>
        <v>0</v>
      </c>
      <c r="I156" s="690">
        <f t="shared" si="146"/>
        <v>0</v>
      </c>
      <c r="J156" s="690">
        <f t="shared" si="146"/>
        <v>0</v>
      </c>
      <c r="K156" s="690">
        <f t="shared" si="146"/>
        <v>0</v>
      </c>
      <c r="L156" s="690">
        <f t="shared" si="146"/>
        <v>0</v>
      </c>
      <c r="M156" s="690">
        <f t="shared" si="146"/>
        <v>0</v>
      </c>
      <c r="N156" s="690">
        <f t="shared" si="146"/>
        <v>0</v>
      </c>
      <c r="O156" s="690">
        <f t="shared" si="146"/>
        <v>0</v>
      </c>
      <c r="P156" s="690">
        <f t="shared" si="146"/>
        <v>0</v>
      </c>
      <c r="Q156" s="690">
        <f t="shared" si="131"/>
        <v>0</v>
      </c>
    </row>
    <row r="157" ht="15" spans="3:17">
      <c r="C157" s="55"/>
      <c r="D157" s="55" t="s">
        <v>481</v>
      </c>
      <c r="E157" s="690">
        <f t="shared" ref="E157:P157" si="147">E327+E496+E666</f>
        <v>475.815516284971</v>
      </c>
      <c r="F157" s="690">
        <f t="shared" si="147"/>
        <v>110.322403078546</v>
      </c>
      <c r="G157" s="690">
        <f t="shared" si="147"/>
        <v>260.687160021013</v>
      </c>
      <c r="H157" s="690">
        <f t="shared" si="147"/>
        <v>327.796315556907</v>
      </c>
      <c r="I157" s="690">
        <f t="shared" si="147"/>
        <v>799.481801415325</v>
      </c>
      <c r="J157" s="690">
        <f t="shared" si="147"/>
        <v>486.9792429925</v>
      </c>
      <c r="K157" s="690">
        <f t="shared" si="147"/>
        <v>991.580159191996</v>
      </c>
      <c r="L157" s="690">
        <f t="shared" si="147"/>
        <v>355.386030022045</v>
      </c>
      <c r="M157" s="690">
        <f t="shared" si="147"/>
        <v>432.472199459666</v>
      </c>
      <c r="N157" s="690">
        <f t="shared" si="147"/>
        <v>537.343501784917</v>
      </c>
      <c r="O157" s="690">
        <f t="shared" si="147"/>
        <v>576.99205768569</v>
      </c>
      <c r="P157" s="690">
        <f t="shared" si="147"/>
        <v>688.271292750335</v>
      </c>
      <c r="Q157" s="730">
        <f t="shared" si="131"/>
        <v>6043.12768024391</v>
      </c>
    </row>
    <row r="158" spans="3:17">
      <c r="C158" s="55"/>
      <c r="D158" s="55"/>
      <c r="E158" s="690">
        <f t="shared" ref="E158:P158" si="148">E328+E497+E667</f>
        <v>0</v>
      </c>
      <c r="F158" s="690">
        <f t="shared" si="148"/>
        <v>0</v>
      </c>
      <c r="G158" s="690">
        <f t="shared" si="148"/>
        <v>0</v>
      </c>
      <c r="H158" s="690">
        <f t="shared" si="148"/>
        <v>0</v>
      </c>
      <c r="I158" s="690">
        <f t="shared" si="148"/>
        <v>0</v>
      </c>
      <c r="J158" s="690">
        <f t="shared" si="148"/>
        <v>0</v>
      </c>
      <c r="K158" s="690">
        <f t="shared" si="148"/>
        <v>0</v>
      </c>
      <c r="L158" s="690">
        <f t="shared" si="148"/>
        <v>0</v>
      </c>
      <c r="M158" s="690">
        <f t="shared" si="148"/>
        <v>0</v>
      </c>
      <c r="N158" s="690">
        <f t="shared" si="148"/>
        <v>0</v>
      </c>
      <c r="O158" s="690">
        <f t="shared" si="148"/>
        <v>0</v>
      </c>
      <c r="P158" s="690">
        <f t="shared" si="148"/>
        <v>0</v>
      </c>
      <c r="Q158" s="690">
        <f t="shared" si="131"/>
        <v>0</v>
      </c>
    </row>
    <row r="159" spans="3:17">
      <c r="C159" s="55"/>
      <c r="D159" s="55"/>
      <c r="E159" s="690">
        <f t="shared" ref="E159:P159" si="149">E329+E498+E668</f>
        <v>0</v>
      </c>
      <c r="F159" s="690">
        <f t="shared" si="149"/>
        <v>0</v>
      </c>
      <c r="G159" s="690">
        <f t="shared" si="149"/>
        <v>0</v>
      </c>
      <c r="H159" s="690">
        <f t="shared" si="149"/>
        <v>0</v>
      </c>
      <c r="I159" s="690">
        <f t="shared" si="149"/>
        <v>0</v>
      </c>
      <c r="J159" s="690">
        <f t="shared" si="149"/>
        <v>0</v>
      </c>
      <c r="K159" s="690">
        <f t="shared" si="149"/>
        <v>0</v>
      </c>
      <c r="L159" s="690">
        <f t="shared" si="149"/>
        <v>0</v>
      </c>
      <c r="M159" s="690">
        <f t="shared" si="149"/>
        <v>0</v>
      </c>
      <c r="N159" s="690">
        <f t="shared" si="149"/>
        <v>0</v>
      </c>
      <c r="O159" s="690">
        <f t="shared" si="149"/>
        <v>0</v>
      </c>
      <c r="P159" s="690">
        <f t="shared" si="149"/>
        <v>0</v>
      </c>
      <c r="Q159" s="690">
        <f t="shared" si="131"/>
        <v>0</v>
      </c>
    </row>
    <row r="160" spans="3:17">
      <c r="C160" s="55"/>
      <c r="D160" s="55"/>
      <c r="E160" s="690">
        <f t="shared" ref="E160:P160" si="150">E330+E499+E669</f>
        <v>0</v>
      </c>
      <c r="F160" s="690">
        <f t="shared" si="150"/>
        <v>0</v>
      </c>
      <c r="G160" s="690">
        <f t="shared" si="150"/>
        <v>0</v>
      </c>
      <c r="H160" s="690">
        <f t="shared" si="150"/>
        <v>0</v>
      </c>
      <c r="I160" s="690">
        <f t="shared" si="150"/>
        <v>0</v>
      </c>
      <c r="J160" s="690">
        <f t="shared" si="150"/>
        <v>0</v>
      </c>
      <c r="K160" s="690">
        <f t="shared" si="150"/>
        <v>0</v>
      </c>
      <c r="L160" s="690">
        <f t="shared" si="150"/>
        <v>0</v>
      </c>
      <c r="M160" s="690">
        <f t="shared" si="150"/>
        <v>0</v>
      </c>
      <c r="N160" s="690">
        <f t="shared" si="150"/>
        <v>0</v>
      </c>
      <c r="O160" s="690">
        <f t="shared" si="150"/>
        <v>0</v>
      </c>
      <c r="P160" s="690">
        <f t="shared" si="150"/>
        <v>0</v>
      </c>
      <c r="Q160" s="690">
        <f t="shared" si="131"/>
        <v>0</v>
      </c>
    </row>
    <row r="161" spans="3:17">
      <c r="C161" s="55"/>
      <c r="D161" s="55"/>
      <c r="E161" s="690">
        <f t="shared" ref="E161:P161" si="151">E331+E500+E670</f>
        <v>0</v>
      </c>
      <c r="F161" s="690">
        <f t="shared" si="151"/>
        <v>0</v>
      </c>
      <c r="G161" s="690">
        <f t="shared" si="151"/>
        <v>0</v>
      </c>
      <c r="H161" s="690">
        <f t="shared" si="151"/>
        <v>0</v>
      </c>
      <c r="I161" s="690">
        <f t="shared" si="151"/>
        <v>0</v>
      </c>
      <c r="J161" s="690">
        <f t="shared" si="151"/>
        <v>0</v>
      </c>
      <c r="K161" s="690">
        <f t="shared" si="151"/>
        <v>0</v>
      </c>
      <c r="L161" s="690">
        <f t="shared" si="151"/>
        <v>0</v>
      </c>
      <c r="M161" s="690">
        <f t="shared" si="151"/>
        <v>0</v>
      </c>
      <c r="N161" s="690">
        <f t="shared" si="151"/>
        <v>0</v>
      </c>
      <c r="O161" s="690">
        <f t="shared" si="151"/>
        <v>0</v>
      </c>
      <c r="P161" s="690">
        <f t="shared" si="151"/>
        <v>0</v>
      </c>
      <c r="Q161" s="690">
        <f t="shared" si="131"/>
        <v>0</v>
      </c>
    </row>
    <row r="162" spans="3:17">
      <c r="C162" s="55"/>
      <c r="D162" s="55"/>
      <c r="E162" s="690">
        <f t="shared" ref="E162:P162" si="152">E332+E501+E671</f>
        <v>0</v>
      </c>
      <c r="F162" s="690">
        <f t="shared" si="152"/>
        <v>0</v>
      </c>
      <c r="G162" s="690">
        <f t="shared" si="152"/>
        <v>0</v>
      </c>
      <c r="H162" s="690">
        <f t="shared" si="152"/>
        <v>0</v>
      </c>
      <c r="I162" s="690">
        <f t="shared" si="152"/>
        <v>0</v>
      </c>
      <c r="J162" s="690">
        <f t="shared" si="152"/>
        <v>0</v>
      </c>
      <c r="K162" s="690">
        <f t="shared" si="152"/>
        <v>0</v>
      </c>
      <c r="L162" s="690">
        <f t="shared" si="152"/>
        <v>0</v>
      </c>
      <c r="M162" s="690">
        <f t="shared" si="152"/>
        <v>0</v>
      </c>
      <c r="N162" s="690">
        <f t="shared" si="152"/>
        <v>0</v>
      </c>
      <c r="O162" s="690">
        <f t="shared" si="152"/>
        <v>0</v>
      </c>
      <c r="P162" s="690">
        <f t="shared" si="152"/>
        <v>0</v>
      </c>
      <c r="Q162" s="690">
        <f t="shared" si="131"/>
        <v>0</v>
      </c>
    </row>
    <row r="163" spans="3:17">
      <c r="C163" s="55"/>
      <c r="D163" s="55"/>
      <c r="E163" s="690">
        <f t="shared" ref="E163:P163" si="153">E333+E502+E672</f>
        <v>0</v>
      </c>
      <c r="F163" s="690">
        <f t="shared" si="153"/>
        <v>0</v>
      </c>
      <c r="G163" s="690">
        <f t="shared" si="153"/>
        <v>0</v>
      </c>
      <c r="H163" s="690">
        <f t="shared" si="153"/>
        <v>0</v>
      </c>
      <c r="I163" s="690">
        <f t="shared" si="153"/>
        <v>0</v>
      </c>
      <c r="J163" s="690">
        <f t="shared" si="153"/>
        <v>0</v>
      </c>
      <c r="K163" s="690">
        <f t="shared" si="153"/>
        <v>0</v>
      </c>
      <c r="L163" s="690">
        <f t="shared" si="153"/>
        <v>0</v>
      </c>
      <c r="M163" s="690">
        <f t="shared" si="153"/>
        <v>0</v>
      </c>
      <c r="N163" s="690">
        <f t="shared" si="153"/>
        <v>0</v>
      </c>
      <c r="O163" s="690">
        <f t="shared" si="153"/>
        <v>0</v>
      </c>
      <c r="P163" s="690">
        <f t="shared" si="153"/>
        <v>0</v>
      </c>
      <c r="Q163" s="690">
        <f t="shared" si="131"/>
        <v>0</v>
      </c>
    </row>
    <row r="164" spans="3:17">
      <c r="C164" s="55"/>
      <c r="D164" s="55"/>
      <c r="E164" s="690">
        <f t="shared" ref="E164:P164" si="154">E334+E503+E673</f>
        <v>0</v>
      </c>
      <c r="F164" s="690">
        <f t="shared" si="154"/>
        <v>0</v>
      </c>
      <c r="G164" s="690">
        <f t="shared" si="154"/>
        <v>0</v>
      </c>
      <c r="H164" s="690">
        <f t="shared" si="154"/>
        <v>0</v>
      </c>
      <c r="I164" s="690">
        <f t="shared" si="154"/>
        <v>0</v>
      </c>
      <c r="J164" s="690">
        <f t="shared" si="154"/>
        <v>0</v>
      </c>
      <c r="K164" s="690">
        <f t="shared" si="154"/>
        <v>0</v>
      </c>
      <c r="L164" s="690">
        <f t="shared" si="154"/>
        <v>0</v>
      </c>
      <c r="M164" s="690">
        <f t="shared" si="154"/>
        <v>0</v>
      </c>
      <c r="N164" s="690">
        <f t="shared" si="154"/>
        <v>0</v>
      </c>
      <c r="O164" s="690">
        <f t="shared" si="154"/>
        <v>0</v>
      </c>
      <c r="P164" s="690">
        <f t="shared" si="154"/>
        <v>0</v>
      </c>
      <c r="Q164" s="690">
        <f t="shared" si="131"/>
        <v>0</v>
      </c>
    </row>
    <row r="165" ht="15" spans="3:17">
      <c r="C165" s="44" t="s">
        <v>424</v>
      </c>
      <c r="D165" s="44"/>
      <c r="E165" s="700">
        <f t="shared" ref="E165:P165" si="155">SUM(E141:E164)</f>
        <v>475.815516284971</v>
      </c>
      <c r="F165" s="700">
        <f t="shared" si="155"/>
        <v>110.322403078546</v>
      </c>
      <c r="G165" s="700">
        <f t="shared" si="155"/>
        <v>260.687160021013</v>
      </c>
      <c r="H165" s="700">
        <f t="shared" si="155"/>
        <v>327.796315556907</v>
      </c>
      <c r="I165" s="700">
        <f t="shared" si="155"/>
        <v>799.481801415325</v>
      </c>
      <c r="J165" s="700">
        <f t="shared" si="155"/>
        <v>486.9792429925</v>
      </c>
      <c r="K165" s="700">
        <f t="shared" si="155"/>
        <v>991.580159191996</v>
      </c>
      <c r="L165" s="700">
        <f t="shared" si="155"/>
        <v>355.386030022045</v>
      </c>
      <c r="M165" s="700">
        <f t="shared" si="155"/>
        <v>432.472199459666</v>
      </c>
      <c r="N165" s="700">
        <f t="shared" si="155"/>
        <v>537.343501784917</v>
      </c>
      <c r="O165" s="700">
        <f t="shared" si="155"/>
        <v>576.99205768569</v>
      </c>
      <c r="P165" s="700">
        <f t="shared" si="155"/>
        <v>688.271292750335</v>
      </c>
      <c r="Q165" s="700">
        <f t="shared" si="131"/>
        <v>6043.12768024391</v>
      </c>
    </row>
    <row r="166" ht="15" spans="3:17">
      <c r="C166" s="663" t="s">
        <v>425</v>
      </c>
      <c r="D166" s="663"/>
      <c r="E166" s="690"/>
      <c r="F166" s="690"/>
      <c r="G166" s="690"/>
      <c r="H166" s="690"/>
      <c r="I166" s="690"/>
      <c r="J166" s="690"/>
      <c r="K166" s="690"/>
      <c r="L166" s="690"/>
      <c r="M166" s="690"/>
      <c r="N166" s="690"/>
      <c r="O166" s="690"/>
      <c r="P166" s="690"/>
      <c r="Q166" s="690"/>
    </row>
    <row r="167" spans="3:17">
      <c r="C167" s="55" t="s">
        <v>426</v>
      </c>
      <c r="D167" s="55" t="s">
        <v>427</v>
      </c>
      <c r="E167" s="690">
        <f t="shared" ref="E167:P167" si="156">E337+E506</f>
        <v>0</v>
      </c>
      <c r="F167" s="690">
        <f t="shared" si="156"/>
        <v>0</v>
      </c>
      <c r="G167" s="690">
        <f t="shared" si="156"/>
        <v>0</v>
      </c>
      <c r="H167" s="690">
        <f t="shared" si="156"/>
        <v>0</v>
      </c>
      <c r="I167" s="690">
        <f t="shared" si="156"/>
        <v>0</v>
      </c>
      <c r="J167" s="690">
        <f t="shared" si="156"/>
        <v>0</v>
      </c>
      <c r="K167" s="690">
        <f t="shared" si="156"/>
        <v>0</v>
      </c>
      <c r="L167" s="690">
        <f t="shared" si="156"/>
        <v>0</v>
      </c>
      <c r="M167" s="690">
        <f t="shared" si="156"/>
        <v>0</v>
      </c>
      <c r="N167" s="690">
        <f t="shared" si="156"/>
        <v>0</v>
      </c>
      <c r="O167" s="690">
        <f t="shared" si="156"/>
        <v>0</v>
      </c>
      <c r="P167" s="690">
        <f t="shared" si="156"/>
        <v>0</v>
      </c>
      <c r="Q167" s="690">
        <f>SUM(E167:P167)</f>
        <v>0</v>
      </c>
    </row>
    <row r="168" spans="3:17">
      <c r="C168" s="55" t="s">
        <v>426</v>
      </c>
      <c r="D168" s="55" t="s">
        <v>428</v>
      </c>
      <c r="E168" s="690">
        <f t="shared" ref="E168:P168" si="157">E338+E507</f>
        <v>0</v>
      </c>
      <c r="F168" s="690">
        <f t="shared" si="157"/>
        <v>0</v>
      </c>
      <c r="G168" s="690">
        <f t="shared" si="157"/>
        <v>0</v>
      </c>
      <c r="H168" s="690">
        <f t="shared" si="157"/>
        <v>0</v>
      </c>
      <c r="I168" s="690">
        <f t="shared" si="157"/>
        <v>0</v>
      </c>
      <c r="J168" s="690">
        <f t="shared" si="157"/>
        <v>0</v>
      </c>
      <c r="K168" s="690">
        <f t="shared" si="157"/>
        <v>0</v>
      </c>
      <c r="L168" s="690">
        <f t="shared" si="157"/>
        <v>0</v>
      </c>
      <c r="M168" s="690">
        <f t="shared" si="157"/>
        <v>0</v>
      </c>
      <c r="N168" s="690">
        <f t="shared" si="157"/>
        <v>0</v>
      </c>
      <c r="O168" s="690">
        <f t="shared" si="157"/>
        <v>0</v>
      </c>
      <c r="P168" s="690">
        <f t="shared" si="157"/>
        <v>0</v>
      </c>
      <c r="Q168" s="690">
        <f>SUM(E168:P168)</f>
        <v>0</v>
      </c>
    </row>
    <row r="169" spans="3:17">
      <c r="C169" s="141"/>
      <c r="D169" s="67"/>
      <c r="E169" s="690"/>
      <c r="F169" s="690"/>
      <c r="G169" s="690"/>
      <c r="H169" s="690"/>
      <c r="I169" s="690"/>
      <c r="J169" s="690"/>
      <c r="K169" s="690"/>
      <c r="L169" s="690"/>
      <c r="M169" s="690"/>
      <c r="N169" s="690"/>
      <c r="O169" s="690"/>
      <c r="P169" s="690"/>
      <c r="Q169" s="690"/>
    </row>
    <row r="170" ht="15" spans="3:17">
      <c r="C170" s="732" t="s">
        <v>429</v>
      </c>
      <c r="D170" s="732"/>
      <c r="E170" s="733">
        <f t="shared" ref="E170:P170" si="158">E167+E168</f>
        <v>0</v>
      </c>
      <c r="F170" s="733">
        <f t="shared" si="158"/>
        <v>0</v>
      </c>
      <c r="G170" s="733">
        <f t="shared" si="158"/>
        <v>0</v>
      </c>
      <c r="H170" s="733">
        <f t="shared" si="158"/>
        <v>0</v>
      </c>
      <c r="I170" s="733">
        <f t="shared" si="158"/>
        <v>0</v>
      </c>
      <c r="J170" s="733">
        <f t="shared" si="158"/>
        <v>0</v>
      </c>
      <c r="K170" s="733">
        <f t="shared" si="158"/>
        <v>0</v>
      </c>
      <c r="L170" s="733">
        <f t="shared" si="158"/>
        <v>0</v>
      </c>
      <c r="M170" s="733">
        <f t="shared" si="158"/>
        <v>0</v>
      </c>
      <c r="N170" s="733">
        <f t="shared" si="158"/>
        <v>0</v>
      </c>
      <c r="O170" s="733">
        <f t="shared" si="158"/>
        <v>0</v>
      </c>
      <c r="P170" s="733">
        <f t="shared" si="158"/>
        <v>0</v>
      </c>
      <c r="Q170" s="733">
        <f>SUM(E170:P170)</f>
        <v>0</v>
      </c>
    </row>
    <row r="171" ht="15" spans="3:19">
      <c r="C171" s="732" t="s">
        <v>224</v>
      </c>
      <c r="D171" s="732"/>
      <c r="E171" s="733">
        <f t="shared" ref="E171:P171" si="159">E49+E94+E103+E113+E139+E165+E170</f>
        <v>2702.31800582155</v>
      </c>
      <c r="F171" s="733">
        <f t="shared" si="159"/>
        <v>2343.92737103875</v>
      </c>
      <c r="G171" s="733">
        <f t="shared" si="159"/>
        <v>2460.67461991947</v>
      </c>
      <c r="H171" s="733">
        <f t="shared" si="159"/>
        <v>2514.61927978451</v>
      </c>
      <c r="I171" s="733">
        <f t="shared" si="159"/>
        <v>3013.32101491505</v>
      </c>
      <c r="J171" s="733">
        <f t="shared" si="159"/>
        <v>2612.44628937467</v>
      </c>
      <c r="K171" s="733">
        <f t="shared" si="159"/>
        <v>3322.41593168045</v>
      </c>
      <c r="L171" s="733">
        <f t="shared" si="159"/>
        <v>2600.89883035082</v>
      </c>
      <c r="M171" s="733">
        <f t="shared" si="159"/>
        <v>2555.88876287471</v>
      </c>
      <c r="N171" s="733">
        <f t="shared" si="159"/>
        <v>2968.17767308032</v>
      </c>
      <c r="O171" s="733">
        <f t="shared" si="159"/>
        <v>2912.43434312953</v>
      </c>
      <c r="P171" s="733">
        <f t="shared" si="159"/>
        <v>3388.21548299545</v>
      </c>
      <c r="Q171" s="733">
        <f>SUM(E171:P171)</f>
        <v>33395.3376049653</v>
      </c>
      <c r="S171" s="734">
        <f>Q171-'F12'!K516</f>
        <v>33395.3376049653</v>
      </c>
    </row>
    <row r="173" ht="15" spans="3:10">
      <c r="C173" s="11" t="s">
        <v>513</v>
      </c>
      <c r="J173" s="3"/>
    </row>
    <row r="174" ht="15" spans="3:17">
      <c r="C174" s="14"/>
      <c r="Q174" s="3" t="s">
        <v>109</v>
      </c>
    </row>
    <row r="175" ht="15" spans="3:17">
      <c r="C175" s="658" t="s">
        <v>345</v>
      </c>
      <c r="D175" s="658" t="s">
        <v>346</v>
      </c>
      <c r="E175" s="135" t="s">
        <v>526</v>
      </c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</row>
    <row r="176" ht="15" spans="3:17">
      <c r="C176" s="658"/>
      <c r="D176" s="658"/>
      <c r="E176" s="135" t="s">
        <v>246</v>
      </c>
      <c r="F176" s="135" t="s">
        <v>247</v>
      </c>
      <c r="G176" s="135" t="s">
        <v>248</v>
      </c>
      <c r="H176" s="135" t="s">
        <v>249</v>
      </c>
      <c r="I176" s="135" t="s">
        <v>250</v>
      </c>
      <c r="J176" s="135" t="s">
        <v>251</v>
      </c>
      <c r="K176" s="135" t="s">
        <v>252</v>
      </c>
      <c r="L176" s="135" t="s">
        <v>253</v>
      </c>
      <c r="M176" s="135" t="s">
        <v>254</v>
      </c>
      <c r="N176" s="135" t="s">
        <v>255</v>
      </c>
      <c r="O176" s="135" t="s">
        <v>256</v>
      </c>
      <c r="P176" s="135" t="s">
        <v>257</v>
      </c>
      <c r="Q176" s="135" t="s">
        <v>97</v>
      </c>
    </row>
    <row r="177" ht="15" spans="3:17">
      <c r="C177" s="658"/>
      <c r="D177" s="658"/>
      <c r="E177" s="135" t="s">
        <v>130</v>
      </c>
      <c r="F177" s="135" t="s">
        <v>130</v>
      </c>
      <c r="G177" s="135" t="s">
        <v>130</v>
      </c>
      <c r="H177" s="135" t="s">
        <v>130</v>
      </c>
      <c r="I177" s="135" t="s">
        <v>130</v>
      </c>
      <c r="J177" s="135" t="s">
        <v>130</v>
      </c>
      <c r="K177" s="135" t="s">
        <v>131</v>
      </c>
      <c r="L177" s="135" t="s">
        <v>131</v>
      </c>
      <c r="M177" s="135" t="s">
        <v>131</v>
      </c>
      <c r="N177" s="135" t="s">
        <v>131</v>
      </c>
      <c r="O177" s="135" t="s">
        <v>131</v>
      </c>
      <c r="P177" s="135" t="s">
        <v>131</v>
      </c>
      <c r="Q177" s="135" t="s">
        <v>131</v>
      </c>
    </row>
    <row r="178" ht="15" spans="2:17">
      <c r="B178" s="656"/>
      <c r="C178" s="663" t="s">
        <v>349</v>
      </c>
      <c r="D178" s="663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</row>
    <row r="179" ht="15" spans="3:17">
      <c r="C179" s="44" t="s">
        <v>350</v>
      </c>
      <c r="D179" s="44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</row>
    <row r="180" spans="2:17">
      <c r="B180" s="656"/>
      <c r="C180" s="677" t="s">
        <v>351</v>
      </c>
      <c r="D180" s="47" t="s">
        <v>352</v>
      </c>
      <c r="E180" s="147">
        <f>'[50]2023-24'!$H137/10^7</f>
        <v>22.48957625</v>
      </c>
      <c r="F180" s="147">
        <f>'[50]2023-24'!$N137/10^7</f>
        <v>22.48957625</v>
      </c>
      <c r="G180" s="147">
        <f>'[50]2023-24'!$T137/10^7</f>
        <v>22.48957625</v>
      </c>
      <c r="H180" s="147">
        <f>'[50]2023-24'!$Z137/10^7</f>
        <v>22.48957625</v>
      </c>
      <c r="I180" s="147">
        <f>'[50]2023-24'!$AF137/10^7</f>
        <v>22.48957625</v>
      </c>
      <c r="J180" s="147">
        <f>'[50]2023-24'!$AL137/10^7</f>
        <v>22.48957625</v>
      </c>
      <c r="K180" s="147">
        <f>'[50]2023-24'!$AR137/10^7</f>
        <v>22.48957625</v>
      </c>
      <c r="L180" s="147">
        <f>'[50]2023-24'!$AX137/10^7</f>
        <v>22.48957625</v>
      </c>
      <c r="M180" s="147">
        <f>'[50]2023-24'!$BD137/10^7</f>
        <v>22.48957625</v>
      </c>
      <c r="N180" s="147">
        <f>'[50]2023-24'!$BJ137/10^7</f>
        <v>22.48957625</v>
      </c>
      <c r="O180" s="147">
        <f>'[50]2023-24'!$BP137/10^7</f>
        <v>22.48957625</v>
      </c>
      <c r="P180" s="147">
        <f>'[50]2023-24'!$BV137/10^7</f>
        <v>22.48957625</v>
      </c>
      <c r="Q180" s="147">
        <f t="shared" ref="Q180:Q198" si="160">SUM(E180:P180)</f>
        <v>269.874915</v>
      </c>
    </row>
    <row r="181" spans="2:17">
      <c r="B181" s="656"/>
      <c r="C181" s="677"/>
      <c r="D181" s="47" t="s">
        <v>353</v>
      </c>
      <c r="E181" s="147">
        <f>'[50]2023-24'!$H138/10^7</f>
        <v>35.15036164315</v>
      </c>
      <c r="F181" s="147">
        <f>'[50]2023-24'!$N138/10^7</f>
        <v>35.15036164315</v>
      </c>
      <c r="G181" s="147">
        <f>'[50]2023-24'!$T138/10^7</f>
        <v>35.15036164315</v>
      </c>
      <c r="H181" s="147">
        <f>'[50]2023-24'!$Z138/10^7</f>
        <v>35.15036164315</v>
      </c>
      <c r="I181" s="147">
        <f>'[50]2023-24'!$AF138/10^7</f>
        <v>35.15036164315</v>
      </c>
      <c r="J181" s="147">
        <f>'[50]2023-24'!$AL138/10^7</f>
        <v>35.15036164315</v>
      </c>
      <c r="K181" s="147">
        <f>'[50]2023-24'!$AR138/10^7</f>
        <v>35.15036164315</v>
      </c>
      <c r="L181" s="147">
        <f>'[50]2023-24'!$AX138/10^7</f>
        <v>35.15036164315</v>
      </c>
      <c r="M181" s="147">
        <f>'[50]2023-24'!$BD138/10^7</f>
        <v>35.15036164315</v>
      </c>
      <c r="N181" s="147">
        <f>'[50]2023-24'!$BJ138/10^7</f>
        <v>35.15036164315</v>
      </c>
      <c r="O181" s="147">
        <f>'[50]2023-24'!$BP138/10^7</f>
        <v>35.15036164315</v>
      </c>
      <c r="P181" s="147">
        <f>'[50]2023-24'!$BV138/10^7</f>
        <v>35.15036164315</v>
      </c>
      <c r="Q181" s="147">
        <f t="shared" si="160"/>
        <v>421.8043397178</v>
      </c>
    </row>
    <row r="182" spans="2:17">
      <c r="B182" s="656"/>
      <c r="C182" s="677"/>
      <c r="D182" s="47" t="s">
        <v>354</v>
      </c>
      <c r="E182" s="147">
        <f>'[50]2023-24'!$H139/10^7</f>
        <v>79.09889625</v>
      </c>
      <c r="F182" s="147">
        <f>'[50]2023-24'!$N139/10^7</f>
        <v>79.09889625</v>
      </c>
      <c r="G182" s="147">
        <f>'[50]2023-24'!$T139/10^7</f>
        <v>79.09889625</v>
      </c>
      <c r="H182" s="147">
        <f>'[50]2023-24'!$Z139/10^7</f>
        <v>79.09889625</v>
      </c>
      <c r="I182" s="147">
        <f>'[50]2023-24'!$AF139/10^7</f>
        <v>79.09889625</v>
      </c>
      <c r="J182" s="147">
        <f>'[50]2023-24'!$AL139/10^7</f>
        <v>79.09889625</v>
      </c>
      <c r="K182" s="147">
        <f>'[50]2023-24'!$AR139/10^7</f>
        <v>79.09889625</v>
      </c>
      <c r="L182" s="147">
        <f>'[50]2023-24'!$AX139/10^7</f>
        <v>79.09889625</v>
      </c>
      <c r="M182" s="147">
        <f>'[50]2023-24'!$BD139/10^7</f>
        <v>79.09889625</v>
      </c>
      <c r="N182" s="147">
        <f>'[50]2023-24'!$BJ139/10^7</f>
        <v>79.09889625</v>
      </c>
      <c r="O182" s="147">
        <f>'[50]2023-24'!$BP139/10^7</f>
        <v>79.09889625</v>
      </c>
      <c r="P182" s="147">
        <f>'[50]2023-24'!$BV139/10^7</f>
        <v>79.09889625</v>
      </c>
      <c r="Q182" s="147">
        <f t="shared" si="160"/>
        <v>949.186755</v>
      </c>
    </row>
    <row r="183" spans="2:17">
      <c r="B183" s="656"/>
      <c r="C183" s="677"/>
      <c r="D183" s="47" t="s">
        <v>355</v>
      </c>
      <c r="E183" s="147">
        <f>'[50]2023-24'!$H140/10^7</f>
        <v>4.47750562885</v>
      </c>
      <c r="F183" s="147">
        <f>'[50]2023-24'!$N140/10^7</f>
        <v>6.2212206282</v>
      </c>
      <c r="G183" s="147">
        <f>'[50]2023-24'!$T140/10^7</f>
        <v>4.8561725241</v>
      </c>
      <c r="H183" s="147">
        <f>'[50]2023-24'!$Z140/10^7</f>
        <v>5.436179454</v>
      </c>
      <c r="I183" s="147">
        <f>'[50]2023-24'!$AF140/10^7</f>
        <v>5.2985663172</v>
      </c>
      <c r="J183" s="147">
        <f>'[50]2023-24'!$AL140/10^7</f>
        <v>0.86354533395</v>
      </c>
      <c r="K183" s="147">
        <f>'[50]2023-24'!$AR140/10^7</f>
        <v>0.32325226895</v>
      </c>
      <c r="L183" s="147">
        <f>'[50]2023-24'!$AX140/10^7</f>
        <v>4.2429167902</v>
      </c>
      <c r="M183" s="147">
        <f>'[50]2023-24'!$BD140/10^7</f>
        <v>5.095379213</v>
      </c>
      <c r="N183" s="147">
        <f>'[50]2023-24'!$BJ140/10^7</f>
        <v>5.4758933189</v>
      </c>
      <c r="O183" s="147">
        <f>'[50]2023-24'!$BP140/10^7</f>
        <v>4.72687165885</v>
      </c>
      <c r="P183" s="147">
        <f>'[50]2023-24'!$BV140/10^7</f>
        <v>2.81229464815</v>
      </c>
      <c r="Q183" s="147">
        <f t="shared" si="160"/>
        <v>49.82979778435</v>
      </c>
    </row>
    <row r="184" spans="2:17">
      <c r="B184" s="656"/>
      <c r="C184" s="677"/>
      <c r="D184" s="47" t="s">
        <v>356</v>
      </c>
      <c r="E184" s="147">
        <f>'[50]2023-24'!$H141/10^7</f>
        <v>24.68485710685</v>
      </c>
      <c r="F184" s="147">
        <f>'[50]2023-24'!$N141/10^7</f>
        <v>24.68485710685</v>
      </c>
      <c r="G184" s="147">
        <f>'[50]2023-24'!$T141/10^7</f>
        <v>24.68485710685</v>
      </c>
      <c r="H184" s="147">
        <f>'[50]2023-24'!$Z141/10^7</f>
        <v>24.68485710685</v>
      </c>
      <c r="I184" s="147">
        <f>'[50]2023-24'!$AF141/10^7</f>
        <v>24.68485710685</v>
      </c>
      <c r="J184" s="147">
        <f>'[50]2023-24'!$AL141/10^7</f>
        <v>24.68485710685</v>
      </c>
      <c r="K184" s="147">
        <f>'[50]2023-24'!$AR141/10^7</f>
        <v>24.68485710685</v>
      </c>
      <c r="L184" s="147">
        <f>'[50]2023-24'!$AX141/10^7</f>
        <v>24.68485710685</v>
      </c>
      <c r="M184" s="147">
        <f>'[50]2023-24'!$BD141/10^7</f>
        <v>24.68485710685</v>
      </c>
      <c r="N184" s="147">
        <f>'[50]2023-24'!$BJ141/10^7</f>
        <v>24.68485710685</v>
      </c>
      <c r="O184" s="147">
        <f>'[50]2023-24'!$BP141/10^7</f>
        <v>24.68485710685</v>
      </c>
      <c r="P184" s="147">
        <f>'[50]2023-24'!$BV141/10^7</f>
        <v>24.68485710685</v>
      </c>
      <c r="Q184" s="147">
        <f t="shared" si="160"/>
        <v>296.2182852822</v>
      </c>
    </row>
    <row r="185" spans="2:17">
      <c r="B185" s="656"/>
      <c r="C185" s="677"/>
      <c r="D185" s="47" t="s">
        <v>357</v>
      </c>
      <c r="E185" s="147">
        <f>'[50]2023-24'!$H142/10^7</f>
        <v>44.04671664315</v>
      </c>
      <c r="F185" s="147">
        <f>'[50]2023-24'!$N142/10^7</f>
        <v>44.04671664315</v>
      </c>
      <c r="G185" s="147">
        <f>'[50]2023-24'!$T142/10^7</f>
        <v>44.04671664315</v>
      </c>
      <c r="H185" s="147">
        <f>'[50]2023-24'!$Z142/10^7</f>
        <v>44.04671664315</v>
      </c>
      <c r="I185" s="147">
        <f>'[50]2023-24'!$AF142/10^7</f>
        <v>44.04671664315</v>
      </c>
      <c r="J185" s="147">
        <f>'[50]2023-24'!$AL142/10^7</f>
        <v>44.04671664315</v>
      </c>
      <c r="K185" s="147">
        <f>'[50]2023-24'!$AR142/10^7</f>
        <v>44.04671664315</v>
      </c>
      <c r="L185" s="147">
        <f>'[50]2023-24'!$AX142/10^7</f>
        <v>44.04671664315</v>
      </c>
      <c r="M185" s="147">
        <f>'[50]2023-24'!$BD142/10^7</f>
        <v>44.04671664315</v>
      </c>
      <c r="N185" s="147">
        <f>'[50]2023-24'!$BJ142/10^7</f>
        <v>44.04671664315</v>
      </c>
      <c r="O185" s="147">
        <f>'[50]2023-24'!$BP142/10^7</f>
        <v>44.04671664315</v>
      </c>
      <c r="P185" s="147">
        <f>'[50]2023-24'!$BV142/10^7</f>
        <v>44.04671664315</v>
      </c>
      <c r="Q185" s="147">
        <f t="shared" si="160"/>
        <v>528.5605997178</v>
      </c>
    </row>
    <row r="186" spans="2:17">
      <c r="B186" s="656"/>
      <c r="C186" s="677"/>
      <c r="D186" s="47" t="s">
        <v>358</v>
      </c>
      <c r="E186" s="147">
        <f>'[50]2023-24'!$H143/10^7</f>
        <v>71.2005644082</v>
      </c>
      <c r="F186" s="147">
        <f>'[50]2023-24'!$N143/10^7</f>
        <v>73.93073772755</v>
      </c>
      <c r="G186" s="147">
        <f>'[50]2023-24'!$T143/10^7</f>
        <v>71.94694284195</v>
      </c>
      <c r="H186" s="147">
        <f>'[50]2023-24'!$Z143/10^7</f>
        <v>53.4249752</v>
      </c>
      <c r="I186" s="147">
        <f>'[50]2023-24'!$AF143/10^7</f>
        <v>56.62654541745</v>
      </c>
      <c r="J186" s="147">
        <f>'[50]2023-24'!$AL143/10^7</f>
        <v>64.4242347917</v>
      </c>
      <c r="K186" s="147">
        <f>'[50]2023-24'!$AR143/10^7</f>
        <v>71.789810425</v>
      </c>
      <c r="L186" s="147">
        <f>'[50]2023-24'!$AX143/10^7</f>
        <v>82.5337300949</v>
      </c>
      <c r="M186" s="147">
        <f>'[50]2023-24'!$BD143/10^7</f>
        <v>77.25015713425</v>
      </c>
      <c r="N186" s="147">
        <f>'[50]2023-24'!$BJ143/10^7</f>
        <v>84.94963886255</v>
      </c>
      <c r="O186" s="147">
        <f>'[50]2023-24'!$BP143/10^7</f>
        <v>86.57988625095</v>
      </c>
      <c r="P186" s="147">
        <f>'[50]2023-24'!$BV143/10^7</f>
        <v>77.58406322925</v>
      </c>
      <c r="Q186" s="147">
        <f t="shared" si="160"/>
        <v>872.24128638375</v>
      </c>
    </row>
    <row r="187" spans="2:17">
      <c r="B187" s="656"/>
      <c r="C187" s="677"/>
      <c r="D187" s="47" t="s">
        <v>359</v>
      </c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55">
        <f t="shared" si="160"/>
        <v>0</v>
      </c>
    </row>
    <row r="188" spans="2:17">
      <c r="B188" s="656"/>
      <c r="C188" s="677"/>
      <c r="D188" s="679" t="s">
        <v>492</v>
      </c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55">
        <f t="shared" si="160"/>
        <v>0</v>
      </c>
    </row>
    <row r="189" spans="2:17">
      <c r="B189" s="656"/>
      <c r="C189" s="677"/>
      <c r="D189" s="47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>
        <f t="shared" si="160"/>
        <v>0</v>
      </c>
    </row>
    <row r="190" spans="2:17">
      <c r="B190" s="656"/>
      <c r="C190" s="677"/>
      <c r="D190" s="47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>
        <f t="shared" si="160"/>
        <v>0</v>
      </c>
    </row>
    <row r="191" spans="2:17">
      <c r="B191" s="656"/>
      <c r="C191" s="677"/>
      <c r="D191" s="47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>
        <f t="shared" si="160"/>
        <v>0</v>
      </c>
    </row>
    <row r="192" spans="2:17">
      <c r="B192" s="656"/>
      <c r="C192" s="677"/>
      <c r="D192" s="47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>
        <f t="shared" si="160"/>
        <v>0</v>
      </c>
    </row>
    <row r="193" spans="2:17">
      <c r="B193" s="656"/>
      <c r="C193" s="677"/>
      <c r="D193" s="47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>
        <f t="shared" si="160"/>
        <v>0</v>
      </c>
    </row>
    <row r="194" spans="2:17">
      <c r="B194" s="656"/>
      <c r="C194" s="677"/>
      <c r="D194" s="47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>
        <f t="shared" si="160"/>
        <v>0</v>
      </c>
    </row>
    <row r="195" spans="2:17">
      <c r="B195" s="656"/>
      <c r="C195" s="677"/>
      <c r="D195" s="47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>
        <f t="shared" si="160"/>
        <v>0</v>
      </c>
    </row>
    <row r="196" spans="2:17">
      <c r="B196" s="656"/>
      <c r="C196" s="677"/>
      <c r="D196" s="47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>
        <f t="shared" si="160"/>
        <v>0</v>
      </c>
    </row>
    <row r="197" spans="2:17">
      <c r="B197" s="656"/>
      <c r="C197" s="677"/>
      <c r="D197" s="47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>
        <f t="shared" si="160"/>
        <v>0</v>
      </c>
    </row>
    <row r="198" ht="15" spans="3:17">
      <c r="C198" s="537" t="s">
        <v>211</v>
      </c>
      <c r="D198" s="537"/>
      <c r="E198" s="147">
        <f t="shared" ref="E198:P198" si="161">SUM(E180:E197)</f>
        <v>281.1484779302</v>
      </c>
      <c r="F198" s="147">
        <f t="shared" si="161"/>
        <v>285.6223662489</v>
      </c>
      <c r="G198" s="147">
        <f t="shared" si="161"/>
        <v>282.2735232592</v>
      </c>
      <c r="H198" s="147">
        <f t="shared" si="161"/>
        <v>264.33156254715</v>
      </c>
      <c r="I198" s="147">
        <f t="shared" si="161"/>
        <v>267.3955196278</v>
      </c>
      <c r="J198" s="147">
        <f t="shared" si="161"/>
        <v>270.7581880188</v>
      </c>
      <c r="K198" s="147">
        <f t="shared" si="161"/>
        <v>277.5834705871</v>
      </c>
      <c r="L198" s="147">
        <f t="shared" si="161"/>
        <v>292.24705477825</v>
      </c>
      <c r="M198" s="147">
        <f t="shared" si="161"/>
        <v>287.8159442404</v>
      </c>
      <c r="N198" s="147">
        <f t="shared" si="161"/>
        <v>295.8959400746</v>
      </c>
      <c r="O198" s="147">
        <f t="shared" si="161"/>
        <v>296.77716580295</v>
      </c>
      <c r="P198" s="147">
        <f t="shared" si="161"/>
        <v>285.86676577055</v>
      </c>
      <c r="Q198" s="316">
        <f t="shared" si="160"/>
        <v>3387.7159788859</v>
      </c>
    </row>
    <row r="199" ht="15" spans="3:17">
      <c r="C199" s="44" t="s">
        <v>360</v>
      </c>
      <c r="D199" s="44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</row>
    <row r="200" spans="3:17">
      <c r="C200" s="682" t="s">
        <v>351</v>
      </c>
      <c r="D200" s="55" t="s">
        <v>361</v>
      </c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>
        <f t="shared" ref="Q200:Q208" si="162">SUM(E200:P200)</f>
        <v>0</v>
      </c>
    </row>
    <row r="201" spans="3:17">
      <c r="C201" s="682"/>
      <c r="D201" s="55" t="s">
        <v>362</v>
      </c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>
        <f t="shared" si="162"/>
        <v>0</v>
      </c>
    </row>
    <row r="202" spans="3:17">
      <c r="C202" s="682"/>
      <c r="D202" s="55" t="s">
        <v>363</v>
      </c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>
        <f t="shared" si="162"/>
        <v>0</v>
      </c>
    </row>
    <row r="203" spans="3:17">
      <c r="C203" s="682"/>
      <c r="D203" s="55" t="s">
        <v>364</v>
      </c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>
        <f t="shared" si="162"/>
        <v>0</v>
      </c>
    </row>
    <row r="204" spans="3:17">
      <c r="C204" s="682"/>
      <c r="D204" s="55" t="s">
        <v>365</v>
      </c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>
        <f t="shared" si="162"/>
        <v>0</v>
      </c>
    </row>
    <row r="205" spans="3:17">
      <c r="C205" s="682"/>
      <c r="D205" s="55" t="s">
        <v>366</v>
      </c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>
        <f t="shared" si="162"/>
        <v>0</v>
      </c>
    </row>
    <row r="206" spans="3:17">
      <c r="C206" s="682"/>
      <c r="D206" s="55" t="s">
        <v>367</v>
      </c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>
        <f t="shared" si="162"/>
        <v>0</v>
      </c>
    </row>
    <row r="207" spans="3:17">
      <c r="C207" s="682"/>
      <c r="D207" s="55" t="s">
        <v>368</v>
      </c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>
        <f t="shared" si="162"/>
        <v>0</v>
      </c>
    </row>
    <row r="208" spans="3:17">
      <c r="C208" s="682"/>
      <c r="D208" s="679" t="s">
        <v>493</v>
      </c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55">
        <f t="shared" si="162"/>
        <v>0</v>
      </c>
    </row>
    <row r="209" spans="3:17">
      <c r="C209" s="682"/>
      <c r="D209" s="679" t="s">
        <v>494</v>
      </c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>
        <f t="shared" ref="Q209:Q217" si="163">SUM(E209:P209)</f>
        <v>0</v>
      </c>
    </row>
    <row r="210" spans="3:17">
      <c r="C210" s="682"/>
      <c r="D210" s="687" t="s">
        <v>495</v>
      </c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>
        <f t="shared" si="163"/>
        <v>0</v>
      </c>
    </row>
    <row r="211" spans="3:17">
      <c r="C211" s="682"/>
      <c r="D211" s="679" t="s">
        <v>496</v>
      </c>
      <c r="E211" s="147">
        <f>'[50]2023-24'!$H146/10^7</f>
        <v>73.039533125</v>
      </c>
      <c r="F211" s="147">
        <f>'[50]2023-24'!$N146/10^7</f>
        <v>73.039533125</v>
      </c>
      <c r="G211" s="147">
        <f>'[50]2023-24'!$T146/10^7</f>
        <v>73.039533125</v>
      </c>
      <c r="H211" s="147">
        <f>'[50]2023-24'!$Z146/10^7</f>
        <v>73.039533125</v>
      </c>
      <c r="I211" s="147">
        <f>'[50]2023-24'!$AF146/10^7</f>
        <v>73.039533125</v>
      </c>
      <c r="J211" s="147">
        <f>'[50]2023-24'!$AL146/10^7</f>
        <v>73.039533125</v>
      </c>
      <c r="K211" s="147">
        <f>'[50]2023-24'!$AR146/10^7</f>
        <v>73.039533125</v>
      </c>
      <c r="L211" s="147">
        <f>'[50]2023-24'!$AX146/10^7</f>
        <v>73.039533125</v>
      </c>
      <c r="M211" s="147">
        <f>'[50]2023-24'!$BD146/10^7</f>
        <v>73.039533125</v>
      </c>
      <c r="N211" s="147">
        <f>'[50]2023-24'!$BJ146/10^7</f>
        <v>73.039533125</v>
      </c>
      <c r="O211" s="147">
        <f>'[50]2023-24'!$BP146/10^7</f>
        <v>73.039533125</v>
      </c>
      <c r="P211" s="147">
        <f>'[50]2023-24'!$BV146/10^7</f>
        <v>73.039533125</v>
      </c>
      <c r="Q211" s="55">
        <f t="shared" si="163"/>
        <v>876.4743975</v>
      </c>
    </row>
    <row r="212" spans="3:17">
      <c r="C212" s="682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>
        <f t="shared" si="163"/>
        <v>0</v>
      </c>
    </row>
    <row r="213" spans="3:17">
      <c r="C213" s="682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>
        <f t="shared" si="163"/>
        <v>0</v>
      </c>
    </row>
    <row r="214" spans="3:17">
      <c r="C214" s="682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>
        <f t="shared" si="163"/>
        <v>0</v>
      </c>
    </row>
    <row r="215" spans="3:17">
      <c r="C215" s="682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>
        <f t="shared" si="163"/>
        <v>0</v>
      </c>
    </row>
    <row r="216" spans="3:17">
      <c r="C216" s="682"/>
      <c r="D216" s="67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>
        <f t="shared" si="163"/>
        <v>0</v>
      </c>
    </row>
    <row r="217" ht="15" spans="3:17">
      <c r="C217" s="537" t="s">
        <v>211</v>
      </c>
      <c r="D217" s="537"/>
      <c r="E217" s="12">
        <f t="shared" ref="E217:P217" si="164">SUM(E200:E216)</f>
        <v>73.039533125</v>
      </c>
      <c r="F217" s="12">
        <f t="shared" si="164"/>
        <v>73.039533125</v>
      </c>
      <c r="G217" s="12">
        <f t="shared" si="164"/>
        <v>73.039533125</v>
      </c>
      <c r="H217" s="12">
        <f t="shared" si="164"/>
        <v>73.039533125</v>
      </c>
      <c r="I217" s="12">
        <f t="shared" si="164"/>
        <v>73.039533125</v>
      </c>
      <c r="J217" s="12">
        <f t="shared" si="164"/>
        <v>73.039533125</v>
      </c>
      <c r="K217" s="12">
        <f t="shared" si="164"/>
        <v>73.039533125</v>
      </c>
      <c r="L217" s="12">
        <f t="shared" si="164"/>
        <v>73.039533125</v>
      </c>
      <c r="M217" s="12">
        <f t="shared" si="164"/>
        <v>73.039533125</v>
      </c>
      <c r="N217" s="12">
        <f t="shared" si="164"/>
        <v>73.039533125</v>
      </c>
      <c r="O217" s="12">
        <f t="shared" si="164"/>
        <v>73.039533125</v>
      </c>
      <c r="P217" s="12">
        <f t="shared" si="164"/>
        <v>73.039533125</v>
      </c>
      <c r="Q217" s="55">
        <f t="shared" si="163"/>
        <v>876.4743975</v>
      </c>
    </row>
    <row r="218" ht="15" spans="3:18">
      <c r="C218" s="44" t="s">
        <v>369</v>
      </c>
      <c r="D218" s="44"/>
      <c r="E218" s="690">
        <f t="shared" ref="E218:P218" si="165">E198+E211</f>
        <v>354.1880110552</v>
      </c>
      <c r="F218" s="690">
        <f t="shared" si="165"/>
        <v>358.6618993739</v>
      </c>
      <c r="G218" s="690">
        <f t="shared" si="165"/>
        <v>355.3130563842</v>
      </c>
      <c r="H218" s="690">
        <f t="shared" si="165"/>
        <v>337.37109567215</v>
      </c>
      <c r="I218" s="690">
        <f t="shared" si="165"/>
        <v>340.4350527528</v>
      </c>
      <c r="J218" s="690">
        <f t="shared" si="165"/>
        <v>343.7977211438</v>
      </c>
      <c r="K218" s="690">
        <f t="shared" si="165"/>
        <v>350.6230037121</v>
      </c>
      <c r="L218" s="690">
        <f t="shared" si="165"/>
        <v>365.28658790325</v>
      </c>
      <c r="M218" s="690">
        <f t="shared" si="165"/>
        <v>360.8554773654</v>
      </c>
      <c r="N218" s="690">
        <f t="shared" si="165"/>
        <v>368.9354731996</v>
      </c>
      <c r="O218" s="690">
        <f t="shared" si="165"/>
        <v>369.81669892795</v>
      </c>
      <c r="P218" s="690">
        <f t="shared" si="165"/>
        <v>358.90629889555</v>
      </c>
      <c r="Q218" s="693">
        <f t="shared" ref="Q218" si="166">Q198+Q217</f>
        <v>4264.1903763859</v>
      </c>
      <c r="R218" s="735"/>
    </row>
    <row r="219" ht="15" spans="3:17">
      <c r="C219" s="663" t="s">
        <v>370</v>
      </c>
      <c r="D219" s="663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</row>
    <row r="220" ht="15" spans="3:17">
      <c r="C220" s="44" t="s">
        <v>350</v>
      </c>
      <c r="D220" s="44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</row>
    <row r="221" spans="3:17">
      <c r="C221" s="682" t="s">
        <v>371</v>
      </c>
      <c r="D221" s="55" t="s">
        <v>372</v>
      </c>
      <c r="E221" s="147">
        <f>'[50]2023-24'!$H118/10^7</f>
        <v>10.54998526875</v>
      </c>
      <c r="F221" s="147">
        <f>'[50]2023-24'!$N118/10^7</f>
        <v>9.50243290635</v>
      </c>
      <c r="G221" s="147">
        <f>'[50]2023-24'!$T118/10^7</f>
        <v>9.42748933455</v>
      </c>
      <c r="H221" s="147">
        <f>'[50]2023-24'!$Z118/10^7</f>
        <v>55.4357805764</v>
      </c>
      <c r="I221" s="147">
        <f>'[50]2023-24'!$AF118/10^7</f>
        <v>10.1623918231</v>
      </c>
      <c r="J221" s="147">
        <f>'[50]2023-24'!$AL118/10^7</f>
        <v>-10.5209905592</v>
      </c>
      <c r="K221" s="147">
        <f>'[50]2023-24'!$AR118/10^7</f>
        <v>13.9890478101</v>
      </c>
      <c r="L221" s="147">
        <f>'[50]2023-24'!$AX118/10^7</f>
        <v>13.0132241971</v>
      </c>
      <c r="M221" s="147">
        <f>'[50]2023-24'!$BD118/10^7</f>
        <v>13.7475814047</v>
      </c>
      <c r="N221" s="147">
        <f>'[50]2023-24'!$BJ118/10^7</f>
        <v>12.0123829897</v>
      </c>
      <c r="O221" s="147">
        <f>'[50]2023-24'!$BP118/10^7</f>
        <v>11.65486500905</v>
      </c>
      <c r="P221" s="147">
        <f>'[50]2023-24'!$BV118/10^7</f>
        <v>12.16967400305</v>
      </c>
      <c r="Q221" s="147">
        <f t="shared" ref="Q221:Q247" si="167">SUM(E221:P221)</f>
        <v>161.14386476365</v>
      </c>
    </row>
    <row r="222" spans="3:17">
      <c r="C222" s="682"/>
      <c r="D222" s="55" t="s">
        <v>373</v>
      </c>
      <c r="E222" s="147">
        <f>'[50]2023-24'!$H119/10^7</f>
        <v>3.1568487841</v>
      </c>
      <c r="F222" s="147">
        <f>'[50]2023-24'!$N119/10^7</f>
        <v>2.88256964425</v>
      </c>
      <c r="G222" s="147">
        <f>'[50]2023-24'!$T119/10^7</f>
        <v>3.7395812016</v>
      </c>
      <c r="H222" s="147">
        <f>'[50]2023-24'!$Z119/10^7</f>
        <v>3.00564073285</v>
      </c>
      <c r="I222" s="147">
        <f>'[50]2023-24'!$AF119/10^7</f>
        <v>3.06489017495</v>
      </c>
      <c r="J222" s="147">
        <f>'[50]2023-24'!$AL119/10^7</f>
        <v>2.85447705755</v>
      </c>
      <c r="K222" s="147">
        <f>'[50]2023-24'!$AR119/10^7</f>
        <v>3.05115606535</v>
      </c>
      <c r="L222" s="147">
        <f>'[50]2023-24'!$AX119/10^7</f>
        <v>3.05175023745</v>
      </c>
      <c r="M222" s="147">
        <f>'[50]2023-24'!$BD119/10^7</f>
        <v>3.042925914</v>
      </c>
      <c r="N222" s="147">
        <f>'[50]2023-24'!$BJ119/10^7</f>
        <v>3.0597678922</v>
      </c>
      <c r="O222" s="147">
        <f>'[50]2023-24'!$BP119/10^7</f>
        <v>2.8520015286</v>
      </c>
      <c r="P222" s="147">
        <f>'[50]2023-24'!$BV119/10^7</f>
        <v>2.99439562725</v>
      </c>
      <c r="Q222" s="147">
        <f t="shared" si="167"/>
        <v>36.75600486015</v>
      </c>
    </row>
    <row r="223" spans="3:17">
      <c r="C223" s="682"/>
      <c r="D223" s="55" t="s">
        <v>374</v>
      </c>
      <c r="E223" s="147">
        <f>'[50]2023-24'!$H122/10^7</f>
        <v>41.006748679</v>
      </c>
      <c r="F223" s="147">
        <f>'[50]2023-24'!$N122/10^7</f>
        <v>9.53126993665</v>
      </c>
      <c r="G223" s="147">
        <f>'[50]2023-24'!$T122/10^7</f>
        <v>9.6163094251</v>
      </c>
      <c r="H223" s="147">
        <f>'[50]2023-24'!$Z122/10^7</f>
        <v>8.33103848495</v>
      </c>
      <c r="I223" s="147">
        <f>'[50]2023-24'!$AF122/10^7</f>
        <v>7.8347037845</v>
      </c>
      <c r="J223" s="147">
        <f>'[50]2023-24'!$AL122/10^7</f>
        <v>8.493425607</v>
      </c>
      <c r="K223" s="147">
        <f>'[50]2023-24'!$AR122/10^7</f>
        <v>11.0219081171</v>
      </c>
      <c r="L223" s="147">
        <f>'[50]2023-24'!$AX122/10^7</f>
        <v>9.30860411855</v>
      </c>
      <c r="M223" s="147">
        <f>'[50]2023-24'!$BD122/10^7</f>
        <v>9.96190008165</v>
      </c>
      <c r="N223" s="147">
        <f>'[50]2023-24'!$BJ122/10^7</f>
        <v>11.4444577473</v>
      </c>
      <c r="O223" s="147">
        <f>'[50]2023-24'!$BP122/10^7</f>
        <v>9.57438177175</v>
      </c>
      <c r="P223" s="147">
        <f>'[50]2023-24'!$BV122/10^7</f>
        <v>9.5126428318</v>
      </c>
      <c r="Q223" s="147">
        <f t="shared" si="167"/>
        <v>145.63739058535</v>
      </c>
    </row>
    <row r="224" spans="3:17">
      <c r="C224" s="682"/>
      <c r="D224" s="55" t="s">
        <v>375</v>
      </c>
      <c r="E224" s="147">
        <f>'[50]2023-24'!$H120/10^7</f>
        <v>23.33545021995</v>
      </c>
      <c r="F224" s="147">
        <f>'[50]2023-24'!$N120/10^7</f>
        <v>49.61496442725</v>
      </c>
      <c r="G224" s="147">
        <f>'[50]2023-24'!$T120/10^7</f>
        <v>28.47470334915</v>
      </c>
      <c r="H224" s="147">
        <f>'[50]2023-24'!$Z120/10^7</f>
        <v>26.37380675155</v>
      </c>
      <c r="I224" s="147">
        <f>'[50]2023-24'!$AF120/10^7</f>
        <v>23.8429572184</v>
      </c>
      <c r="J224" s="147">
        <f>'[50]2023-24'!$AL120/10^7</f>
        <v>23.0693668736</v>
      </c>
      <c r="K224" s="147">
        <f>'[50]2023-24'!$AR120/10^7</f>
        <v>25.22788539535</v>
      </c>
      <c r="L224" s="147">
        <f>'[50]2023-24'!$AX120/10^7</f>
        <v>23.9310695121</v>
      </c>
      <c r="M224" s="147">
        <f>'[50]2023-24'!$BD120/10^7</f>
        <v>25.6062277606</v>
      </c>
      <c r="N224" s="147">
        <f>'[50]2023-24'!$BJ120/10^7</f>
        <v>25.68302644465</v>
      </c>
      <c r="O224" s="147">
        <f>'[50]2023-24'!$BP120/10^7</f>
        <v>22.76204719335</v>
      </c>
      <c r="P224" s="147">
        <f>'[50]2023-24'!$BV120/10^7</f>
        <v>26.835185338</v>
      </c>
      <c r="Q224" s="147">
        <f t="shared" si="167"/>
        <v>324.75669048395</v>
      </c>
    </row>
    <row r="225" spans="3:17">
      <c r="C225" s="682"/>
      <c r="D225" s="55" t="s">
        <v>376</v>
      </c>
      <c r="E225" s="147">
        <f>'[50]2023-24'!$H121/10^7</f>
        <v>14.4363274729</v>
      </c>
      <c r="F225" s="147">
        <f>'[50]2023-24'!$N121/10^7</f>
        <v>28.0963807379</v>
      </c>
      <c r="G225" s="147">
        <f>'[50]2023-24'!$T121/10^7</f>
        <v>14.73579634915</v>
      </c>
      <c r="H225" s="147">
        <f>'[50]2023-24'!$Z121/10^7</f>
        <v>14.9910021554</v>
      </c>
      <c r="I225" s="147">
        <f>'[50]2023-24'!$AF121/10^7</f>
        <v>19.2335779069</v>
      </c>
      <c r="J225" s="147">
        <f>'[50]2023-24'!$AL121/10^7</f>
        <v>17.9876894583</v>
      </c>
      <c r="K225" s="147">
        <f>'[50]2023-24'!$AR121/10^7</f>
        <v>15.82454723065</v>
      </c>
      <c r="L225" s="147">
        <f>'[50]2023-24'!$AX121/10^7</f>
        <v>15.2062561316</v>
      </c>
      <c r="M225" s="147">
        <f>'[50]2023-24'!$BD121/10^7</f>
        <v>16.2889426762</v>
      </c>
      <c r="N225" s="147">
        <f>'[50]2023-24'!$BJ121/10^7</f>
        <v>16.81419370515</v>
      </c>
      <c r="O225" s="147">
        <f>'[50]2023-24'!$BP121/10^7</f>
        <v>14.85399553695</v>
      </c>
      <c r="P225" s="147">
        <f>'[50]2023-24'!$BV121/10^7</f>
        <v>16.838816149</v>
      </c>
      <c r="Q225" s="147">
        <f t="shared" si="167"/>
        <v>205.3075255101</v>
      </c>
    </row>
    <row r="226" spans="3:17">
      <c r="C226" s="682"/>
      <c r="D226" s="55" t="s">
        <v>377</v>
      </c>
      <c r="E226" s="147">
        <f>'[50]2023-24'!$H123/10^7</f>
        <v>17.5058905271</v>
      </c>
      <c r="F226" s="147">
        <f>'[50]2023-24'!$N123/10^7</f>
        <v>23.4308803124</v>
      </c>
      <c r="G226" s="147">
        <f>'[50]2023-24'!$T123/10^7</f>
        <v>17.21245748555</v>
      </c>
      <c r="H226" s="147">
        <f>'[50]2023-24'!$Z123/10^7</f>
        <v>17.9807336516</v>
      </c>
      <c r="I226" s="147">
        <f>'[50]2023-24'!$AF123/10^7</f>
        <v>18.4932095571</v>
      </c>
      <c r="J226" s="147">
        <f>'[50]2023-24'!$AL123/10^7</f>
        <v>18.21593669855</v>
      </c>
      <c r="K226" s="147">
        <f>'[50]2023-24'!$AR123/10^7</f>
        <v>18.27941914065</v>
      </c>
      <c r="L226" s="147">
        <f>'[50]2023-24'!$AX123/10^7</f>
        <v>17.91992399625</v>
      </c>
      <c r="M226" s="147">
        <f>'[50]2023-24'!$BD123/10^7</f>
        <v>18.54119646775</v>
      </c>
      <c r="N226" s="147">
        <f>'[50]2023-24'!$BJ123/10^7</f>
        <v>17.9913662421</v>
      </c>
      <c r="O226" s="147">
        <f>'[50]2023-24'!$BP123/10^7</f>
        <v>15.8182027397</v>
      </c>
      <c r="P226" s="147">
        <f>'[50]2023-24'!$BV123/10^7</f>
        <v>16.86023477625</v>
      </c>
      <c r="Q226" s="147">
        <f t="shared" si="167"/>
        <v>218.249451595</v>
      </c>
    </row>
    <row r="227" spans="3:17">
      <c r="C227" s="682"/>
      <c r="D227" s="55" t="s">
        <v>378</v>
      </c>
      <c r="E227" s="147">
        <f>'[50]2023-24'!$H136/10^7</f>
        <v>0</v>
      </c>
      <c r="F227" s="147">
        <f>'[50]2023-24'!$N136/10^7</f>
        <v>0</v>
      </c>
      <c r="G227" s="147">
        <f>'[50]2023-24'!$T136/10^7</f>
        <v>0</v>
      </c>
      <c r="H227" s="147">
        <f>'[50]2023-24'!$Z136/10^7</f>
        <v>0</v>
      </c>
      <c r="I227" s="147">
        <f>'[50]2023-24'!$AF136/10^7</f>
        <v>0</v>
      </c>
      <c r="J227" s="147">
        <f>'[50]2023-24'!$AL136/10^7</f>
        <v>0</v>
      </c>
      <c r="K227" s="147">
        <f>'[50]2023-24'!$AR136/10^7</f>
        <v>0</v>
      </c>
      <c r="L227" s="147">
        <f>'[50]2023-24'!$AX136/10^7</f>
        <v>0</v>
      </c>
      <c r="M227" s="147">
        <f>'[50]2023-24'!$BD136/10^7</f>
        <v>0</v>
      </c>
      <c r="N227" s="147">
        <f>'[50]2023-24'!$BJ136/10^7</f>
        <v>0</v>
      </c>
      <c r="O227" s="147">
        <f>'[50]2023-24'!$BP136/10^7</f>
        <v>0</v>
      </c>
      <c r="P227" s="147">
        <f>'[50]2023-24'!$BV136/10^7</f>
        <v>0</v>
      </c>
      <c r="Q227" s="147">
        <f t="shared" si="167"/>
        <v>0</v>
      </c>
    </row>
    <row r="228" spans="3:17">
      <c r="C228" s="682"/>
      <c r="D228" s="55" t="s">
        <v>379</v>
      </c>
      <c r="E228" s="147">
        <f>'[50]2023-24'!$H135/10^7</f>
        <v>0</v>
      </c>
      <c r="F228" s="147">
        <f>'[50]2023-24'!$N135/10^7</f>
        <v>0</v>
      </c>
      <c r="G228" s="147">
        <f>'[50]2023-24'!$T135/10^7</f>
        <v>0</v>
      </c>
      <c r="H228" s="147">
        <f>'[50]2023-24'!$Z135/10^7</f>
        <v>0</v>
      </c>
      <c r="I228" s="147">
        <f>'[50]2023-24'!$AF135/10^7</f>
        <v>0</v>
      </c>
      <c r="J228" s="147">
        <f>'[50]2023-24'!$AL135/10^7</f>
        <v>0</v>
      </c>
      <c r="K228" s="147">
        <f>'[50]2023-24'!$AR135/10^7</f>
        <v>0</v>
      </c>
      <c r="L228" s="147">
        <f>'[50]2023-24'!$AX135/10^7</f>
        <v>0</v>
      </c>
      <c r="M228" s="147">
        <f>'[50]2023-24'!$BD135/10^7</f>
        <v>0</v>
      </c>
      <c r="N228" s="147">
        <f>'[50]2023-24'!$BJ135/10^7</f>
        <v>0</v>
      </c>
      <c r="O228" s="147">
        <f>'[50]2023-24'!$BP135/10^7</f>
        <v>0</v>
      </c>
      <c r="P228" s="147">
        <f>('[50]2023-24'!$BV135/10^7)</f>
        <v>0</v>
      </c>
      <c r="Q228" s="147">
        <f t="shared" si="167"/>
        <v>0</v>
      </c>
    </row>
    <row r="229" spans="3:17">
      <c r="C229" s="682"/>
      <c r="D229" s="55" t="s">
        <v>380</v>
      </c>
      <c r="E229" s="147">
        <f>'[50]2023-24'!$H124/10^7</f>
        <v>0</v>
      </c>
      <c r="F229" s="147">
        <f>'[50]2023-24'!$N124/10^7</f>
        <v>0</v>
      </c>
      <c r="G229" s="147">
        <f>'[50]2023-24'!$T124/10^7</f>
        <v>0</v>
      </c>
      <c r="H229" s="147">
        <f>'[50]2023-24'!$Z124/10^7</f>
        <v>0</v>
      </c>
      <c r="I229" s="147">
        <f>'[50]2023-24'!$AF124/10^7</f>
        <v>0</v>
      </c>
      <c r="J229" s="147">
        <f>'[50]2023-24'!$AL124/10^7</f>
        <v>0.0374707982</v>
      </c>
      <c r="K229" s="147">
        <f>'[50]2023-24'!$AR124/10^7</f>
        <v>62.6362500201</v>
      </c>
      <c r="L229" s="147">
        <f>'[50]2023-24'!$AX124/10^7</f>
        <v>46.22029145205</v>
      </c>
      <c r="M229" s="147">
        <f>'[50]2023-24'!$BD124/10^7</f>
        <v>44.787070248</v>
      </c>
      <c r="N229" s="147">
        <f>'[50]2023-24'!$BJ124/10^7</f>
        <v>55.72417479585</v>
      </c>
      <c r="O229" s="147">
        <f>'[50]2023-24'!$BP124/10^7</f>
        <v>55.2833015669</v>
      </c>
      <c r="P229" s="147">
        <f>'[50]2023-24'!$BV124/10^7</f>
        <v>59.5191980677</v>
      </c>
      <c r="Q229" s="147">
        <f t="shared" si="167"/>
        <v>324.2077569488</v>
      </c>
    </row>
    <row r="230" spans="3:17">
      <c r="C230" s="55"/>
      <c r="D230" s="55" t="s">
        <v>381</v>
      </c>
      <c r="E230" s="147">
        <f>'[50]2023-24'!$H106/10^7</f>
        <v>0.145480419996815</v>
      </c>
      <c r="F230" s="147">
        <f>'[50]2023-24'!$N106/10^7</f>
        <v>0.118717441013951</v>
      </c>
      <c r="G230" s="147">
        <f>'[50]2023-24'!$T106/10^7</f>
        <v>0.13539638525</v>
      </c>
      <c r="H230" s="147">
        <f>'[50]2023-24'!$Z106/10^7</f>
        <v>0.0874852123762672</v>
      </c>
      <c r="I230" s="147">
        <f>'[50]2023-24'!$AF106/10^7</f>
        <v>0.0700522608607</v>
      </c>
      <c r="J230" s="147">
        <f>'[50]2023-24'!$AL106/10^7</f>
        <v>0.0813558613</v>
      </c>
      <c r="K230" s="147">
        <f>'[50]2023-24'!$AR106/10^7</f>
        <v>0.0838260146845719</v>
      </c>
      <c r="L230" s="147">
        <f>'[50]2023-24'!$AX106/10^7</f>
        <v>0.0948734227545999</v>
      </c>
      <c r="M230" s="147">
        <f>'[50]2023-24'!$BD106/10^7</f>
        <v>0.1044378459</v>
      </c>
      <c r="N230" s="147">
        <f>'[50]2023-24'!$BJ106/10^7</f>
        <v>0.1096094431</v>
      </c>
      <c r="O230" s="147">
        <f>'[50]2023-24'!$BP106/10^7</f>
        <v>0.1129323433026</v>
      </c>
      <c r="P230" s="147">
        <f>'[50]2023-24'!$BV106/10^7</f>
        <v>0.157562047303663</v>
      </c>
      <c r="Q230" s="147">
        <f t="shared" si="167"/>
        <v>1.30172869784317</v>
      </c>
    </row>
    <row r="231" spans="3:17">
      <c r="C231" s="55"/>
      <c r="D231" s="55" t="s">
        <v>382</v>
      </c>
      <c r="E231" s="147">
        <f>'[50]2023-24'!$H107/10^7</f>
        <v>0.1567080587</v>
      </c>
      <c r="F231" s="147">
        <f>'[50]2023-24'!$N107/10^7</f>
        <v>0.0747983088739375</v>
      </c>
      <c r="G231" s="147">
        <f>'[50]2023-24'!$T107/10^7</f>
        <v>0.0201501129920774</v>
      </c>
      <c r="H231" s="147">
        <f>'[50]2023-24'!$Z107/10^7</f>
        <v>0.0892060240005</v>
      </c>
      <c r="I231" s="147">
        <f>'[50]2023-24'!$AF107/10^7</f>
        <v>0.1078689746</v>
      </c>
      <c r="J231" s="147">
        <f>'[50]2023-24'!$AL107/10^7</f>
        <v>0.08579451455</v>
      </c>
      <c r="K231" s="147">
        <f>'[50]2023-24'!$AR107/10^7</f>
        <v>0.123633698651117</v>
      </c>
      <c r="L231" s="147">
        <f>'[50]2023-24'!$AX107/10^7</f>
        <v>0.104096707019</v>
      </c>
      <c r="M231" s="147">
        <f>'[50]2023-24'!$BD107/10^7</f>
        <v>0.09435699555525</v>
      </c>
      <c r="N231" s="147">
        <f>'[50]2023-24'!$BJ107/10^7</f>
        <v>0.148134320995137</v>
      </c>
      <c r="O231" s="147">
        <f>'[50]2023-24'!$BP107/10^7</f>
        <v>0.162848406837463</v>
      </c>
      <c r="P231" s="147">
        <f>'[50]2023-24'!$BV107/10^7</f>
        <v>0.19841884135</v>
      </c>
      <c r="Q231" s="147">
        <f t="shared" si="167"/>
        <v>1.36601496412448</v>
      </c>
    </row>
    <row r="232" spans="3:17">
      <c r="C232" s="55"/>
      <c r="D232" s="55" t="s">
        <v>383</v>
      </c>
      <c r="E232" s="147">
        <f>'[50]2023-24'!$H108/10^7</f>
        <v>4.77141310239438</v>
      </c>
      <c r="F232" s="147">
        <f>'[50]2023-24'!$N108/10^7</f>
        <v>4.54261657060325</v>
      </c>
      <c r="G232" s="147">
        <f>'[50]2023-24'!$T108/10^7</f>
        <v>4.88683270202749</v>
      </c>
      <c r="H232" s="147">
        <f>'[50]2023-24'!$Z108/10^7</f>
        <v>4.64204662417458</v>
      </c>
      <c r="I232" s="147">
        <f>'[50]2023-24'!$AF108/10^7</f>
        <v>3.81607523726106</v>
      </c>
      <c r="J232" s="147">
        <f>'[50]2023-24'!$AL108/10^7</f>
        <v>2.8854904848</v>
      </c>
      <c r="K232" s="147">
        <f>'[50]2023-24'!$AR108/10^7</f>
        <v>4.3874913777</v>
      </c>
      <c r="L232" s="147">
        <f>'[50]2023-24'!$AX108/10^7</f>
        <v>4.86262509765</v>
      </c>
      <c r="M232" s="147">
        <f>'[50]2023-24'!$BD108/10^7</f>
        <v>5.52560912785</v>
      </c>
      <c r="N232" s="147">
        <f>'[50]2023-24'!$BJ108/10^7</f>
        <v>5.61699907688406</v>
      </c>
      <c r="O232" s="147">
        <f>'[50]2023-24'!$BP108/10^7</f>
        <v>4.40299295175576</v>
      </c>
      <c r="P232" s="147">
        <f>'[50]2023-24'!$BV108/10^7</f>
        <v>4.800762504715</v>
      </c>
      <c r="Q232" s="147">
        <f t="shared" si="167"/>
        <v>55.1409548578156</v>
      </c>
    </row>
    <row r="233" spans="3:17">
      <c r="C233" s="55"/>
      <c r="D233" s="55" t="s">
        <v>384</v>
      </c>
      <c r="E233" s="147">
        <f>'[50]2023-24'!$H109/10^7</f>
        <v>0.19705680305</v>
      </c>
      <c r="F233" s="147">
        <f>'[50]2023-24'!$N109/10^7</f>
        <v>0.199074941037496</v>
      </c>
      <c r="G233" s="147">
        <f>'[50]2023-24'!$T109/10^7</f>
        <v>0.1645194457095</v>
      </c>
      <c r="H233" s="147">
        <f>'[50]2023-24'!$Z109/10^7</f>
        <v>0.290650243124993</v>
      </c>
      <c r="I233" s="147">
        <f>'[50]2023-24'!$AF109/10^7</f>
        <v>0.207695281653</v>
      </c>
      <c r="J233" s="147">
        <f>'[50]2023-24'!$AL109/10^7</f>
        <v>0.199816783900921</v>
      </c>
      <c r="K233" s="147">
        <f>'[50]2023-24'!$AR109/10^7</f>
        <v>0.127680089181205</v>
      </c>
      <c r="L233" s="147">
        <f>'[50]2023-24'!$AX109/10^7</f>
        <v>0.20745305105</v>
      </c>
      <c r="M233" s="147">
        <f>'[50]2023-24'!$BD109/10^7</f>
        <v>0.1512557911651</v>
      </c>
      <c r="N233" s="147">
        <f>'[50]2023-24'!$BJ109/10^7</f>
        <v>0.317728178552</v>
      </c>
      <c r="O233" s="147">
        <f>'[50]2023-24'!$BP109/10^7</f>
        <v>0.2353964822099</v>
      </c>
      <c r="P233" s="147">
        <f>'[50]2023-24'!$BV109/10^7</f>
        <v>0.23954626714445</v>
      </c>
      <c r="Q233" s="147">
        <f t="shared" si="167"/>
        <v>2.53787335777857</v>
      </c>
    </row>
    <row r="234" spans="3:17">
      <c r="C234" s="55"/>
      <c r="D234" s="55" t="s">
        <v>385</v>
      </c>
      <c r="E234" s="147">
        <f>'[50]2023-24'!$H110/10^7</f>
        <v>0.404362524694206</v>
      </c>
      <c r="F234" s="147">
        <f>'[50]2023-24'!$N110/10^7</f>
        <v>0.2852929647714</v>
      </c>
      <c r="G234" s="147">
        <f>'[50]2023-24'!$T110/10^7</f>
        <v>0.294306773669</v>
      </c>
      <c r="H234" s="147">
        <f>'[50]2023-24'!$Z110/10^7</f>
        <v>0.42438045914</v>
      </c>
      <c r="I234" s="147">
        <f>'[50]2023-24'!$AF110/10^7</f>
        <v>0.20735625645</v>
      </c>
      <c r="J234" s="147">
        <f>'[50]2023-24'!$AL110/10^7</f>
        <v>0.41393690033058</v>
      </c>
      <c r="K234" s="147">
        <f>'[50]2023-24'!$AR110/10^7</f>
        <v>0.308887864744935</v>
      </c>
      <c r="L234" s="147">
        <f>'[50]2023-24'!$AX110/10^7</f>
        <v>0.387923731119</v>
      </c>
      <c r="M234" s="147">
        <f>'[50]2023-24'!$BD110/10^7</f>
        <v>0.2268471403661</v>
      </c>
      <c r="N234" s="147">
        <f>'[50]2023-24'!$BJ110/10^7</f>
        <v>0.29646048315</v>
      </c>
      <c r="O234" s="147">
        <f>'[50]2023-24'!$BP110/10^7</f>
        <v>0.212666506743295</v>
      </c>
      <c r="P234" s="147">
        <f>'[50]2023-24'!$BV110/10^7</f>
        <v>0.316751131602</v>
      </c>
      <c r="Q234" s="147">
        <f t="shared" si="167"/>
        <v>3.77917273678052</v>
      </c>
    </row>
    <row r="235" spans="3:17">
      <c r="C235" s="55"/>
      <c r="D235" s="55" t="s">
        <v>386</v>
      </c>
      <c r="E235" s="147">
        <f>'[50]2023-24'!$H125/10^7</f>
        <v>7.8795659651</v>
      </c>
      <c r="F235" s="147">
        <f>'[50]2023-24'!$N125/10^7</f>
        <v>5.88440921365</v>
      </c>
      <c r="G235" s="147">
        <f>'[50]2023-24'!$T125/10^7</f>
        <v>7.6978343858</v>
      </c>
      <c r="H235" s="147">
        <f>'[50]2023-24'!$Z125/10^7</f>
        <v>8.4889799693</v>
      </c>
      <c r="I235" s="147">
        <f>'[50]2023-24'!$AF125/10^7</f>
        <v>6.479183098095</v>
      </c>
      <c r="J235" s="147">
        <f>'[50]2023-24'!$AL125/10^7</f>
        <v>5.4456870542</v>
      </c>
      <c r="K235" s="147">
        <f>'[50]2023-24'!$AR125/10^7</f>
        <v>5.48250152575</v>
      </c>
      <c r="L235" s="147">
        <f>'[50]2023-24'!$AX125/10^7</f>
        <v>4.8408492052</v>
      </c>
      <c r="M235" s="147">
        <f>'[50]2023-24'!$BD125/10^7</f>
        <v>3.0877178268</v>
      </c>
      <c r="N235" s="147">
        <f>'[50]2023-24'!$BJ125/10^7</f>
        <v>2.9809686218</v>
      </c>
      <c r="O235" s="147">
        <f>'[50]2023-24'!$BP125/10^7</f>
        <v>3.9082390193</v>
      </c>
      <c r="P235" s="147">
        <f>'[50]2023-24'!$BV125/10^7</f>
        <v>2.75083529785</v>
      </c>
      <c r="Q235" s="147">
        <f t="shared" si="167"/>
        <v>64.926771182845</v>
      </c>
    </row>
    <row r="236" spans="3:17">
      <c r="C236" s="55"/>
      <c r="D236" s="55" t="s">
        <v>387</v>
      </c>
      <c r="E236" s="147">
        <f>'[50]2023-24'!$H126/10^7</f>
        <v>9.15469477835</v>
      </c>
      <c r="F236" s="147">
        <f>'[50]2023-24'!$N126/10^7</f>
        <v>7.7752191287</v>
      </c>
      <c r="G236" s="147">
        <f>'[50]2023-24'!$T126/10^7</f>
        <v>10.1071363572473</v>
      </c>
      <c r="H236" s="147">
        <f>'[50]2023-24'!$Z126/10^7</f>
        <v>6.07273615986694</v>
      </c>
      <c r="I236" s="147">
        <f>'[50]2023-24'!$AF126/10^7</f>
        <v>4.8258078041</v>
      </c>
      <c r="J236" s="147">
        <f>'[50]2023-24'!$AL126/10^7</f>
        <v>7.40537403525512</v>
      </c>
      <c r="K236" s="147">
        <f>'[50]2023-24'!$AR126/10^7</f>
        <v>10.3023687478904</v>
      </c>
      <c r="L236" s="147">
        <f>'[50]2023-24'!$AX126/10^7</f>
        <v>6.2907664195</v>
      </c>
      <c r="M236" s="147">
        <f>'[50]2023-24'!$BD126/10^7</f>
        <v>6.42789071833112</v>
      </c>
      <c r="N236" s="147">
        <f>'[50]2023-24'!$BJ126/10^7</f>
        <v>6.068773711677</v>
      </c>
      <c r="O236" s="147">
        <f>'[50]2023-24'!$BP126/10^7</f>
        <v>7.71869637355</v>
      </c>
      <c r="P236" s="147">
        <f>'[50]2023-24'!$BV126/10^7</f>
        <v>8.42745705345</v>
      </c>
      <c r="Q236" s="147">
        <f t="shared" si="167"/>
        <v>90.5769212879179</v>
      </c>
    </row>
    <row r="237" spans="3:17">
      <c r="C237" s="55"/>
      <c r="D237" s="731" t="s">
        <v>467</v>
      </c>
      <c r="E237" s="147">
        <f>'[50]2023-24'!$H111/10^7</f>
        <v>0</v>
      </c>
      <c r="F237" s="147">
        <f>'[50]2023-24'!$N111/10^7</f>
        <v>0</v>
      </c>
      <c r="G237" s="147">
        <f>'[50]2023-24'!$T111/10^7</f>
        <v>0.0086279828</v>
      </c>
      <c r="H237" s="147">
        <f>'[50]2023-24'!$Z111/10^7</f>
        <v>-5.820375e-5</v>
      </c>
      <c r="I237" s="147">
        <f>'[50]2023-24'!$AF111/10^7</f>
        <v>0.0035015376</v>
      </c>
      <c r="J237" s="147">
        <f>'[50]2023-24'!$AL111/10^7</f>
        <v>0.00038428585</v>
      </c>
      <c r="K237" s="147">
        <f>'[50]2023-24'!$AR111/10^7</f>
        <v>0.00037723085</v>
      </c>
      <c r="L237" s="147">
        <f>'[50]2023-24'!$AX111/10^7</f>
        <v>0.0003859085</v>
      </c>
      <c r="M237" s="147">
        <f>'[50]2023-24'!$BD111/10^7</f>
        <v>-6.032025e-5</v>
      </c>
      <c r="N237" s="147">
        <f>'[50]2023-24'!$BJ111/10^7</f>
        <v>0.00010716545</v>
      </c>
      <c r="O237" s="147">
        <f>'[50]2023-24'!$BP111/10^7</f>
        <v>0.000701267</v>
      </c>
      <c r="P237" s="147">
        <f>'[50]2023-24'!$BV111/10^7</f>
        <v>-0.0002673845</v>
      </c>
      <c r="Q237" s="147">
        <f t="shared" si="167"/>
        <v>0.01369946955</v>
      </c>
    </row>
    <row r="238" spans="3:17">
      <c r="C238" s="55"/>
      <c r="D238" s="731" t="s">
        <v>468</v>
      </c>
      <c r="E238" s="147">
        <f>'[50]2023-24'!$H112/10^7</f>
        <v>0</v>
      </c>
      <c r="F238" s="147">
        <f>'[50]2023-24'!$N112/10^7</f>
        <v>0</v>
      </c>
      <c r="G238" s="147">
        <f>'[50]2023-24'!$T112/10^7</f>
        <v>0.09244582745</v>
      </c>
      <c r="H238" s="147">
        <f>'[50]2023-24'!$Z112/10^7</f>
        <v>-0.00134362475</v>
      </c>
      <c r="I238" s="147">
        <f>'[50]2023-24'!$AF112/10^7</f>
        <v>0.00175888205</v>
      </c>
      <c r="J238" s="147">
        <f>'[50]2023-24'!$AL112/10^7</f>
        <v>-0.00354845335</v>
      </c>
      <c r="K238" s="147">
        <f>'[50]2023-24'!$AR112/10^7</f>
        <v>0.0064156759</v>
      </c>
      <c r="L238" s="147">
        <f>'[50]2023-24'!$AX112/10^7</f>
        <v>-0.00182336475</v>
      </c>
      <c r="M238" s="147">
        <f>'[50]2023-24'!$BD112/10^7</f>
        <v>0.00039148195</v>
      </c>
      <c r="N238" s="147">
        <f>'[50]2023-24'!$BJ112/10^7</f>
        <v>0</v>
      </c>
      <c r="O238" s="147">
        <f>'[50]2023-24'!$BP112/10^7</f>
        <v>-0.00162751795</v>
      </c>
      <c r="P238" s="147">
        <f>'[50]2023-24'!$BV112/10^7</f>
        <v>-0.0004309194</v>
      </c>
      <c r="Q238" s="147">
        <f t="shared" si="167"/>
        <v>0.09223798715</v>
      </c>
    </row>
    <row r="239" spans="3:17">
      <c r="C239" s="55"/>
      <c r="D239" s="687" t="s">
        <v>470</v>
      </c>
      <c r="E239" s="147">
        <f>'[50]2023-24'!$H114/10^7</f>
        <v>0</v>
      </c>
      <c r="F239" s="147">
        <f>'[50]2023-24'!$N114/10^7</f>
        <v>0.0153697408</v>
      </c>
      <c r="G239" s="147">
        <f>'[50]2023-24'!$T114/10^7</f>
        <v>1.389835e-5</v>
      </c>
      <c r="H239" s="147">
        <f>'[50]2023-24'!$Z114/10^7</f>
        <v>4.621025e-5</v>
      </c>
      <c r="I239" s="147">
        <f>'[50]2023-24'!$AF114/10^7</f>
        <v>0.0006262018</v>
      </c>
      <c r="J239" s="147">
        <f>'[50]2023-24'!$AL114/10^7</f>
        <v>-0.0005470447</v>
      </c>
      <c r="K239" s="147">
        <f>'[50]2023-24'!$AR114/10^7</f>
        <v>0.0001804669</v>
      </c>
      <c r="L239" s="147">
        <f>'[50]2023-24'!$AX114/10^7</f>
        <v>0.0001474495</v>
      </c>
      <c r="M239" s="147">
        <f>'[50]2023-24'!$BD114/10^7</f>
        <v>0.00013270455</v>
      </c>
      <c r="N239" s="147">
        <f>'[50]2023-24'!$BJ114/10^7</f>
        <v>0.00024657225</v>
      </c>
      <c r="O239" s="147">
        <f>'[50]2023-24'!$BP114/10^7</f>
        <v>-8.981015e-5</v>
      </c>
      <c r="P239" s="147">
        <f>'[50]2023-24'!$BV114/10^7</f>
        <v>0.00010406125</v>
      </c>
      <c r="Q239" s="147">
        <f t="shared" si="167"/>
        <v>0.0162304508</v>
      </c>
    </row>
    <row r="240" spans="3:17">
      <c r="C240" s="55"/>
      <c r="D240" s="687" t="s">
        <v>471</v>
      </c>
      <c r="E240" s="147">
        <f>'[50]2023-24'!$H115/10^7</f>
        <v>0</v>
      </c>
      <c r="F240" s="147">
        <f>'[50]2023-24'!$N115/10^7</f>
        <v>0.0793007398</v>
      </c>
      <c r="G240" s="147">
        <f>'[50]2023-24'!$T115/10^7</f>
        <v>5.12193e-5</v>
      </c>
      <c r="H240" s="147">
        <f>'[50]2023-24'!$Z115/10^7</f>
        <v>-3.322905e-5</v>
      </c>
      <c r="I240" s="147">
        <f>'[50]2023-24'!$AF115/10^7</f>
        <v>0</v>
      </c>
      <c r="J240" s="147">
        <f>'[50]2023-24'!$AL115/10^7</f>
        <v>0</v>
      </c>
      <c r="K240" s="147">
        <f>'[50]2023-24'!$AR115/10^7</f>
        <v>0</v>
      </c>
      <c r="L240" s="147">
        <f>'[50]2023-24'!$AX115/10^7</f>
        <v>0</v>
      </c>
      <c r="M240" s="147">
        <f>'[50]2023-24'!$BD115/10^7</f>
        <v>0</v>
      </c>
      <c r="N240" s="147">
        <f>'[50]2023-24'!$BJ115/10^7</f>
        <v>0.0031400394</v>
      </c>
      <c r="O240" s="147">
        <f>'[50]2023-24'!$BP115/10^7</f>
        <v>0</v>
      </c>
      <c r="P240" s="147">
        <f>('[50]2023-24'!$BV115/10^7)</f>
        <v>0</v>
      </c>
      <c r="Q240" s="147">
        <f t="shared" si="167"/>
        <v>0.08245876945</v>
      </c>
    </row>
    <row r="241" spans="3:17">
      <c r="C241" s="55"/>
      <c r="D241" s="731" t="s">
        <v>472</v>
      </c>
      <c r="E241" s="147">
        <f>'[50]2023-24'!$H116/10^7</f>
        <v>0</v>
      </c>
      <c r="F241" s="147">
        <f>'[50]2023-24'!$N116/10^7</f>
        <v>0</v>
      </c>
      <c r="G241" s="147">
        <f>'[50]2023-24'!$T116/10^7</f>
        <v>0</v>
      </c>
      <c r="H241" s="147">
        <f>'[50]2023-24'!$Z116/10^7</f>
        <v>0</v>
      </c>
      <c r="I241" s="147">
        <f>'[50]2023-24'!$AF116/10^7</f>
        <v>0</v>
      </c>
      <c r="J241" s="147">
        <f>'[50]2023-24'!$AL116/10^7</f>
        <v>0.0026381467</v>
      </c>
      <c r="K241" s="147">
        <f>'[50]2023-24'!$AR116/10^7</f>
        <v>0.00941793115</v>
      </c>
      <c r="L241" s="147">
        <f>'[50]2023-24'!$AX116/10^7</f>
        <v>0.00014949545</v>
      </c>
      <c r="M241" s="147">
        <f>'[50]2023-24'!$BD116/10^7</f>
        <v>0</v>
      </c>
      <c r="N241" s="147">
        <f>'[50]2023-24'!$BJ116/10^7</f>
        <v>0</v>
      </c>
      <c r="O241" s="147">
        <f>'[50]2023-24'!$BP116/10^7</f>
        <v>0</v>
      </c>
      <c r="P241" s="147">
        <f>'[50]2023-24'!$BV116/10^7</f>
        <v>0</v>
      </c>
      <c r="Q241" s="147">
        <f t="shared" si="167"/>
        <v>0.0122055733</v>
      </c>
    </row>
    <row r="242" spans="3:17">
      <c r="C242" s="55"/>
      <c r="D242" s="731" t="s">
        <v>473</v>
      </c>
      <c r="E242" s="147">
        <f>'[50]2023-24'!$H117/10^7</f>
        <v>0</v>
      </c>
      <c r="F242" s="147">
        <f>'[50]2023-24'!$N117/10^7</f>
        <v>0</v>
      </c>
      <c r="G242" s="147">
        <f>'[50]2023-24'!$T117/10^7</f>
        <v>0</v>
      </c>
      <c r="H242" s="147">
        <f>'[50]2023-24'!$Z117/10^7</f>
        <v>0</v>
      </c>
      <c r="I242" s="147">
        <f>'[50]2023-24'!$AF117/10^7</f>
        <v>0</v>
      </c>
      <c r="J242" s="147">
        <f>'[50]2023-24'!$AL117/10^7</f>
        <v>5.9262e-6</v>
      </c>
      <c r="K242" s="147">
        <f>'[50]2023-24'!$AR117/10^7</f>
        <v>0</v>
      </c>
      <c r="L242" s="147">
        <f>'[50]2023-24'!$AX117/10^7</f>
        <v>0</v>
      </c>
      <c r="M242" s="147">
        <f>'[50]2023-24'!$BD117/10^7</f>
        <v>-4.233e-7</v>
      </c>
      <c r="N242" s="147">
        <f>'[50]2023-24'!$BJ117/10^7</f>
        <v>-4.233e-7</v>
      </c>
      <c r="O242" s="147">
        <f>'[50]2023-24'!$BP117/10^7</f>
        <v>-2.00362e-5</v>
      </c>
      <c r="P242" s="147">
        <f>'[50]2023-24'!$BV117/10^7</f>
        <v>-2.1165e-7</v>
      </c>
      <c r="Q242" s="147">
        <f t="shared" si="167"/>
        <v>-1.516825e-5</v>
      </c>
    </row>
    <row r="243" spans="3:17">
      <c r="C243" s="55"/>
      <c r="D243" s="679" t="s">
        <v>498</v>
      </c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147">
        <f t="shared" si="167"/>
        <v>0</v>
      </c>
    </row>
    <row r="244" spans="3:17"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147">
        <f t="shared" si="167"/>
        <v>0</v>
      </c>
    </row>
    <row r="245" spans="3:17"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147">
        <f t="shared" si="167"/>
        <v>0</v>
      </c>
    </row>
    <row r="246" spans="3:17"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147">
        <f t="shared" si="167"/>
        <v>0</v>
      </c>
    </row>
    <row r="247" ht="15" spans="3:17">
      <c r="C247" s="537" t="s">
        <v>211</v>
      </c>
      <c r="D247" s="537"/>
      <c r="E247" s="690">
        <f t="shared" ref="E247:P247" si="168">SUM(E221:E246)</f>
        <v>132.700532604085</v>
      </c>
      <c r="F247" s="690">
        <f t="shared" si="168"/>
        <v>142.03329701405</v>
      </c>
      <c r="G247" s="690">
        <f t="shared" si="168"/>
        <v>106.613652235695</v>
      </c>
      <c r="H247" s="690">
        <f t="shared" si="168"/>
        <v>146.212098197433</v>
      </c>
      <c r="I247" s="690">
        <f t="shared" si="168"/>
        <v>98.3516559994197</v>
      </c>
      <c r="J247" s="690">
        <f t="shared" si="168"/>
        <v>76.6537644290366</v>
      </c>
      <c r="K247" s="690">
        <f t="shared" si="168"/>
        <v>170.862994402702</v>
      </c>
      <c r="L247" s="690">
        <f t="shared" si="168"/>
        <v>145.438566768093</v>
      </c>
      <c r="M247" s="690">
        <f t="shared" si="168"/>
        <v>147.594423441818</v>
      </c>
      <c r="N247" s="690">
        <f t="shared" si="168"/>
        <v>158.271537006908</v>
      </c>
      <c r="O247" s="690">
        <f t="shared" si="168"/>
        <v>149.551531332699</v>
      </c>
      <c r="P247" s="690">
        <f t="shared" si="168"/>
        <v>161.620885482165</v>
      </c>
      <c r="Q247" s="693">
        <f t="shared" si="167"/>
        <v>1635.90493891411</v>
      </c>
    </row>
    <row r="248" ht="15" spans="3:17">
      <c r="C248" s="44" t="s">
        <v>388</v>
      </c>
      <c r="D248" s="44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</row>
    <row r="249" spans="3:17">
      <c r="C249" s="682" t="s">
        <v>389</v>
      </c>
      <c r="D249" s="55" t="s">
        <v>390</v>
      </c>
      <c r="E249" s="147">
        <f>'[50]2023-24'!$H104/10^7</f>
        <v>0</v>
      </c>
      <c r="F249" s="147">
        <f>'[50]2023-24'!$N104/10^7</f>
        <v>0</v>
      </c>
      <c r="G249" s="147">
        <f>'[50]2023-24'!$T104/10^7</f>
        <v>0</v>
      </c>
      <c r="H249" s="147">
        <f>'[50]2023-24'!$Z104/10^7</f>
        <v>0</v>
      </c>
      <c r="I249" s="147">
        <f>'[50]2023-24'!$AF104/10^7</f>
        <v>0</v>
      </c>
      <c r="J249" s="147">
        <f>'[50]2023-24'!$AL104/10^7</f>
        <v>0</v>
      </c>
      <c r="K249" s="147">
        <f>'[50]2023-24'!$AR104/10^7</f>
        <v>0</v>
      </c>
      <c r="L249" s="147">
        <f>'[50]2023-24'!$AX104/10^7</f>
        <v>0</v>
      </c>
      <c r="M249" s="147">
        <f>'[50]2023-24'!$BD104/10^7</f>
        <v>0</v>
      </c>
      <c r="N249" s="147">
        <f>'[50]2023-24'!$BJ104/10^7</f>
        <v>0</v>
      </c>
      <c r="O249" s="147">
        <f>'[50]2023-24'!$BP104/10^7</f>
        <v>0</v>
      </c>
      <c r="P249" s="147">
        <f>'[50]2023-24'!$BV104/10^7</f>
        <v>0</v>
      </c>
      <c r="Q249" s="55">
        <f t="shared" ref="Q249:Q263" si="169">SUM(E249:P249)</f>
        <v>0</v>
      </c>
    </row>
    <row r="250" spans="3:17">
      <c r="C250" s="682"/>
      <c r="D250" s="55" t="s">
        <v>391</v>
      </c>
      <c r="E250" s="147">
        <f>'[50]2023-24'!$H103/10^7</f>
        <v>0</v>
      </c>
      <c r="F250" s="147">
        <f>'[50]2023-24'!$N103/10^7</f>
        <v>0</v>
      </c>
      <c r="G250" s="147">
        <f>'[50]2023-24'!$T103/10^7</f>
        <v>0</v>
      </c>
      <c r="H250" s="147">
        <f>'[50]2023-24'!$Z103/10^7</f>
        <v>0</v>
      </c>
      <c r="I250" s="147">
        <f>'[50]2023-24'!$AF103/10^7</f>
        <v>0</v>
      </c>
      <c r="J250" s="147">
        <f>'[50]2023-24'!$AL103/10^7</f>
        <v>0</v>
      </c>
      <c r="K250" s="147">
        <f>'[50]2023-24'!$AR103/10^7</f>
        <v>0</v>
      </c>
      <c r="L250" s="147">
        <f>'[50]2023-24'!$AX103/10^7</f>
        <v>0</v>
      </c>
      <c r="M250" s="147">
        <f>'[50]2023-24'!$BD103/10^7</f>
        <v>0</v>
      </c>
      <c r="N250" s="147">
        <f>'[50]2023-24'!$BJ103/10^7</f>
        <v>0</v>
      </c>
      <c r="O250" s="147">
        <f>'[50]2023-24'!$BP103/10^7</f>
        <v>0</v>
      </c>
      <c r="P250" s="147">
        <f>('[50]2023-24'!$BV103/10^7)</f>
        <v>0</v>
      </c>
      <c r="Q250" s="55">
        <f t="shared" si="169"/>
        <v>0</v>
      </c>
    </row>
    <row r="251" spans="3:17">
      <c r="C251" s="682"/>
      <c r="D251" s="55" t="s">
        <v>392</v>
      </c>
      <c r="E251" s="147"/>
      <c r="F251" s="147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55">
        <f t="shared" si="169"/>
        <v>0</v>
      </c>
    </row>
    <row r="252" spans="3:17">
      <c r="C252" s="682"/>
      <c r="D252" s="55" t="s">
        <v>393</v>
      </c>
      <c r="E252" s="147">
        <f>'[50]2023-24'!$H105/10^7</f>
        <v>0</v>
      </c>
      <c r="F252" s="147">
        <f>'[50]2023-24'!$N105/10^7</f>
        <v>0</v>
      </c>
      <c r="G252" s="147">
        <f>'[50]2023-24'!$T105/10^7</f>
        <v>0</v>
      </c>
      <c r="H252" s="147">
        <f>'[50]2023-24'!$Z105/10^7</f>
        <v>0</v>
      </c>
      <c r="I252" s="147">
        <f>'[50]2023-24'!$AF105/10^7</f>
        <v>0</v>
      </c>
      <c r="J252" s="147">
        <f>'[50]2023-24'!$AL105/10^7</f>
        <v>0</v>
      </c>
      <c r="K252" s="147">
        <f>'[50]2023-24'!$AR105/10^7</f>
        <v>0</v>
      </c>
      <c r="L252" s="147">
        <f>'[50]2023-24'!$AX105/10^7</f>
        <v>0</v>
      </c>
      <c r="M252" s="147">
        <f>'[50]2023-24'!$BD105/10^7</f>
        <v>0</v>
      </c>
      <c r="N252" s="147">
        <f>'[50]2023-24'!$BJ105/10^7</f>
        <v>0</v>
      </c>
      <c r="O252" s="147">
        <f>'[50]2023-24'!$BP105/10^7</f>
        <v>0</v>
      </c>
      <c r="P252" s="147">
        <f>'[50]2023-24'!$BV105/10^7</f>
        <v>0</v>
      </c>
      <c r="Q252" s="55">
        <f t="shared" si="169"/>
        <v>0</v>
      </c>
    </row>
    <row r="253" spans="3:17"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>
        <f t="shared" si="169"/>
        <v>0</v>
      </c>
    </row>
    <row r="254" spans="3:17"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>
        <f t="shared" si="169"/>
        <v>0</v>
      </c>
    </row>
    <row r="255" spans="3:17"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>
        <f t="shared" si="169"/>
        <v>0</v>
      </c>
    </row>
    <row r="256" spans="3:17"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>
        <f t="shared" si="169"/>
        <v>0</v>
      </c>
    </row>
    <row r="257" spans="3:17"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>
        <f t="shared" si="169"/>
        <v>0</v>
      </c>
    </row>
    <row r="258" spans="3:17"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>
        <f t="shared" si="169"/>
        <v>0</v>
      </c>
    </row>
    <row r="259" spans="3:17"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>
        <f t="shared" si="169"/>
        <v>0</v>
      </c>
    </row>
    <row r="260" spans="3:17"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>
        <f t="shared" si="169"/>
        <v>0</v>
      </c>
    </row>
    <row r="261" spans="3:17"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>
        <f t="shared" si="169"/>
        <v>0</v>
      </c>
    </row>
    <row r="262" spans="3:17"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>
        <f t="shared" si="169"/>
        <v>0</v>
      </c>
    </row>
    <row r="263" ht="15" spans="3:17">
      <c r="C263" s="537" t="s">
        <v>211</v>
      </c>
      <c r="D263" s="537"/>
      <c r="E263" s="55">
        <f t="shared" ref="E263:P263" si="170">SUM(E249:E262)</f>
        <v>0</v>
      </c>
      <c r="F263" s="55">
        <f t="shared" si="170"/>
        <v>0</v>
      </c>
      <c r="G263" s="55">
        <f t="shared" si="170"/>
        <v>0</v>
      </c>
      <c r="H263" s="55">
        <f t="shared" si="170"/>
        <v>0</v>
      </c>
      <c r="I263" s="55">
        <f t="shared" si="170"/>
        <v>0</v>
      </c>
      <c r="J263" s="55">
        <f t="shared" si="170"/>
        <v>0</v>
      </c>
      <c r="K263" s="55">
        <f t="shared" si="170"/>
        <v>0</v>
      </c>
      <c r="L263" s="55">
        <f t="shared" si="170"/>
        <v>0</v>
      </c>
      <c r="M263" s="55">
        <f t="shared" si="170"/>
        <v>0</v>
      </c>
      <c r="N263" s="55">
        <f t="shared" si="170"/>
        <v>0</v>
      </c>
      <c r="O263" s="55">
        <f t="shared" si="170"/>
        <v>0</v>
      </c>
      <c r="P263" s="55">
        <f t="shared" si="170"/>
        <v>0</v>
      </c>
      <c r="Q263" s="316">
        <f t="shared" si="169"/>
        <v>0</v>
      </c>
    </row>
    <row r="264" ht="15" spans="3:17">
      <c r="C264" s="44" t="s">
        <v>395</v>
      </c>
      <c r="D264" s="44"/>
      <c r="E264" s="690">
        <f t="shared" ref="E264:Q264" si="171">E247+E263</f>
        <v>132.700532604085</v>
      </c>
      <c r="F264" s="690">
        <f t="shared" si="171"/>
        <v>142.03329701405</v>
      </c>
      <c r="G264" s="690">
        <f t="shared" si="171"/>
        <v>106.613652235695</v>
      </c>
      <c r="H264" s="690">
        <f t="shared" si="171"/>
        <v>146.212098197433</v>
      </c>
      <c r="I264" s="690">
        <f t="shared" si="171"/>
        <v>98.3516559994197</v>
      </c>
      <c r="J264" s="690">
        <f t="shared" si="171"/>
        <v>76.6537644290366</v>
      </c>
      <c r="K264" s="690">
        <f t="shared" si="171"/>
        <v>170.862994402702</v>
      </c>
      <c r="L264" s="690">
        <f t="shared" si="171"/>
        <v>145.438566768093</v>
      </c>
      <c r="M264" s="690">
        <f t="shared" si="171"/>
        <v>147.594423441818</v>
      </c>
      <c r="N264" s="690">
        <f t="shared" si="171"/>
        <v>158.271537006908</v>
      </c>
      <c r="O264" s="690">
        <f t="shared" si="171"/>
        <v>149.551531332699</v>
      </c>
      <c r="P264" s="690">
        <f t="shared" si="171"/>
        <v>161.620885482165</v>
      </c>
      <c r="Q264" s="693">
        <f t="shared" si="171"/>
        <v>1635.90493891411</v>
      </c>
    </row>
    <row r="265" ht="15" spans="3:17">
      <c r="C265" s="663" t="s">
        <v>396</v>
      </c>
      <c r="D265" s="663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</row>
    <row r="266" spans="3:17">
      <c r="C266" s="55" t="s">
        <v>397</v>
      </c>
      <c r="D266" s="55" t="s">
        <v>397</v>
      </c>
      <c r="E266" s="147">
        <f>'[50]2023-24'!$H129/10^7</f>
        <v>65.665310044155</v>
      </c>
      <c r="F266" s="147">
        <f>'[50]2023-24'!$N129/10^7</f>
        <v>67.04270770705</v>
      </c>
      <c r="G266" s="147">
        <f>'[50]2023-24'!$T129/10^7</f>
        <v>65.554885810004</v>
      </c>
      <c r="H266" s="147">
        <f>'[50]2023-24'!$Z129/10^7</f>
        <v>67.2862475209333</v>
      </c>
      <c r="I266" s="147">
        <f>'[50]2023-24'!$AF129/10^7</f>
        <v>67.04173976105</v>
      </c>
      <c r="J266" s="147">
        <f>'[50]2023-24'!$AL129/10^7</f>
        <v>64.8796460475</v>
      </c>
      <c r="K266" s="147">
        <f>'[50]2023-24'!$AR129/10^7</f>
        <v>63.11137047665</v>
      </c>
      <c r="L266" s="147">
        <f>'[50]2023-24'!$AX129/10^7</f>
        <v>52.7813776463478</v>
      </c>
      <c r="M266" s="147">
        <f>'[50]2023-24'!$BD129/10^7</f>
        <v>38.6046503389063</v>
      </c>
      <c r="N266" s="147">
        <f>'[50]2023-24'!$BJ129/10^7</f>
        <v>68.6237741966</v>
      </c>
      <c r="O266" s="147">
        <f>'[50]2023-24'!$BP129/10^7</f>
        <v>64.7474186977</v>
      </c>
      <c r="P266" s="147">
        <f>'[50]2023-24'!$BV129/10^7</f>
        <v>101.35490240335</v>
      </c>
      <c r="Q266" s="55">
        <f t="shared" ref="Q266:Q273" si="172">SUM(E266:P266)</f>
        <v>786.694030650246</v>
      </c>
    </row>
    <row r="267" spans="3:17">
      <c r="C267" s="55" t="s">
        <v>398</v>
      </c>
      <c r="D267" s="55" t="s">
        <v>398</v>
      </c>
      <c r="E267" s="147">
        <f>'[50]2023-24'!$H130/10^7</f>
        <v>18.407203891519</v>
      </c>
      <c r="F267" s="147">
        <f>'[50]2023-24'!$N130/10^7</f>
        <v>19.0367231353455</v>
      </c>
      <c r="G267" s="147">
        <f>'[50]2023-24'!$T130/10^7</f>
        <v>18.4167076769</v>
      </c>
      <c r="H267" s="147">
        <f>'[50]2023-24'!$Z130/10^7</f>
        <v>19.0803926919</v>
      </c>
      <c r="I267" s="147">
        <f>'[50]2023-24'!$AF130/10^7</f>
        <v>18.93395918245</v>
      </c>
      <c r="J267" s="147">
        <f>'[50]2023-24'!$AL130/10^7</f>
        <v>18.3336023167</v>
      </c>
      <c r="K267" s="147">
        <f>'[50]2023-24'!$AR130/10^7</f>
        <v>18.64995437235</v>
      </c>
      <c r="L267" s="147">
        <f>'[50]2023-24'!$AX130/10^7</f>
        <v>17.7336778519</v>
      </c>
      <c r="M267" s="147">
        <f>'[50]2023-24'!$BD130/10^7</f>
        <v>17.7393404771</v>
      </c>
      <c r="N267" s="147">
        <f>'[50]2023-24'!$BJ130/10^7</f>
        <v>19.0186872632</v>
      </c>
      <c r="O267" s="147">
        <f>'[50]2023-24'!$BP130/10^7</f>
        <v>17.836914054925</v>
      </c>
      <c r="P267" s="147">
        <f>'[50]2023-24'!$BV130/10^7</f>
        <v>19.00110697925</v>
      </c>
      <c r="Q267" s="55">
        <f t="shared" si="172"/>
        <v>222.18826989354</v>
      </c>
    </row>
    <row r="268" spans="3:17">
      <c r="C268" s="55"/>
      <c r="D268" s="55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55">
        <f t="shared" si="172"/>
        <v>0</v>
      </c>
    </row>
    <row r="269" spans="3:17">
      <c r="C269" s="55"/>
      <c r="D269" s="55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55">
        <f t="shared" si="172"/>
        <v>0</v>
      </c>
    </row>
    <row r="270" spans="3:17">
      <c r="C270" s="55"/>
      <c r="D270" s="55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55">
        <f t="shared" si="172"/>
        <v>0</v>
      </c>
    </row>
    <row r="271" spans="3:17">
      <c r="C271" s="55"/>
      <c r="D271" s="55"/>
      <c r="E271" s="147"/>
      <c r="F271" s="147"/>
      <c r="G271" s="147"/>
      <c r="H271" s="147"/>
      <c r="I271" s="147"/>
      <c r="J271" s="147"/>
      <c r="K271" s="147"/>
      <c r="L271" s="147"/>
      <c r="M271" s="147"/>
      <c r="N271" s="147"/>
      <c r="O271" s="147"/>
      <c r="P271" s="147"/>
      <c r="Q271" s="55">
        <f t="shared" si="172"/>
        <v>0</v>
      </c>
    </row>
    <row r="272" spans="3:17"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>
        <f t="shared" si="172"/>
        <v>0</v>
      </c>
    </row>
    <row r="273" ht="15" spans="3:17">
      <c r="C273" s="44" t="s">
        <v>399</v>
      </c>
      <c r="D273" s="44"/>
      <c r="E273" s="690">
        <f t="shared" ref="E273:P273" si="173">SUM(E266:E272)</f>
        <v>84.072513935674</v>
      </c>
      <c r="F273" s="690">
        <f t="shared" si="173"/>
        <v>86.0794308423955</v>
      </c>
      <c r="G273" s="690">
        <f t="shared" si="173"/>
        <v>83.971593486904</v>
      </c>
      <c r="H273" s="690">
        <f t="shared" si="173"/>
        <v>86.3666402128333</v>
      </c>
      <c r="I273" s="690">
        <f t="shared" si="173"/>
        <v>85.9756989435</v>
      </c>
      <c r="J273" s="690">
        <f t="shared" si="173"/>
        <v>83.2132483642</v>
      </c>
      <c r="K273" s="690">
        <f t="shared" si="173"/>
        <v>81.761324849</v>
      </c>
      <c r="L273" s="690">
        <f t="shared" si="173"/>
        <v>70.5150554982478</v>
      </c>
      <c r="M273" s="690">
        <f t="shared" si="173"/>
        <v>56.3439908160063</v>
      </c>
      <c r="N273" s="690">
        <f t="shared" si="173"/>
        <v>87.6424614598</v>
      </c>
      <c r="O273" s="690">
        <f t="shared" si="173"/>
        <v>82.584332752625</v>
      </c>
      <c r="P273" s="690">
        <f t="shared" si="173"/>
        <v>120.3560093826</v>
      </c>
      <c r="Q273" s="693">
        <f t="shared" si="172"/>
        <v>1008.88230054379</v>
      </c>
    </row>
    <row r="274" ht="15" spans="3:17">
      <c r="C274" s="663" t="s">
        <v>400</v>
      </c>
      <c r="D274" s="663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</row>
    <row r="275" spans="3:17">
      <c r="C275" s="55" t="s">
        <v>401</v>
      </c>
      <c r="D275" s="55" t="s">
        <v>401</v>
      </c>
      <c r="E275" s="147">
        <f>'[50]2023-24'!$H151/10^7</f>
        <v>78.17527914315</v>
      </c>
      <c r="F275" s="147">
        <f>'[50]2023-24'!$N151/10^7</f>
        <v>78.17527914315</v>
      </c>
      <c r="G275" s="147">
        <f>'[50]2023-24'!$T151/10^7</f>
        <v>78.17527914315</v>
      </c>
      <c r="H275" s="147">
        <f>'[50]2023-24'!$Z151/10^7</f>
        <v>78.34797989915</v>
      </c>
      <c r="I275" s="147">
        <f>'[50]2023-24'!$AF151/10^7</f>
        <v>78.2074493082</v>
      </c>
      <c r="J275" s="147">
        <f>'[50]2023-24'!$AL151/10^7</f>
        <v>78.17527914315</v>
      </c>
      <c r="K275" s="147">
        <f>'[50]2023-24'!$AR151/10^7</f>
        <v>78.17527914315</v>
      </c>
      <c r="L275" s="147">
        <f>'[50]2023-24'!$AX151/10^7</f>
        <v>78.17527914315</v>
      </c>
      <c r="M275" s="147">
        <f>'[50]2023-24'!$BD151/10^7</f>
        <v>75.3895035345</v>
      </c>
      <c r="N275" s="147">
        <f>'[50]2023-24'!$BJ151/10^7</f>
        <v>78.17527914315</v>
      </c>
      <c r="O275" s="147">
        <f>'[50]2023-24'!$BP151/10^7</f>
        <v>78.17527914315</v>
      </c>
      <c r="P275" s="147">
        <f>'[50]2023-24'!$BV151/10^7</f>
        <v>78.17527914315</v>
      </c>
      <c r="Q275" s="55">
        <f t="shared" ref="Q275:Q283" si="174">SUM(E275:P275)</f>
        <v>935.5224450302</v>
      </c>
    </row>
    <row r="276" spans="3:17">
      <c r="C276" s="55" t="s">
        <v>402</v>
      </c>
      <c r="D276" s="55" t="s">
        <v>402</v>
      </c>
      <c r="E276" s="147">
        <f>'[50]2023-24'!$H152/10^7</f>
        <v>0</v>
      </c>
      <c r="F276" s="147">
        <f>'[50]2023-24'!$N152/10^7</f>
        <v>0</v>
      </c>
      <c r="G276" s="147">
        <f>'[50]2023-24'!$T152/10^7</f>
        <v>0</v>
      </c>
      <c r="H276" s="147">
        <f>'[50]2023-24'!$Z152/10^7</f>
        <v>0</v>
      </c>
      <c r="I276" s="147">
        <f>'[50]2023-24'!$AF152/10^7</f>
        <v>0</v>
      </c>
      <c r="J276" s="147">
        <f>'[50]2023-24'!$AL152/10^7</f>
        <v>0</v>
      </c>
      <c r="K276" s="147">
        <f>'[50]2023-24'!$AR152/10^7</f>
        <v>0</v>
      </c>
      <c r="L276" s="147">
        <f>'[50]2023-24'!$AX152/10^7</f>
        <v>0</v>
      </c>
      <c r="M276" s="147">
        <f>'[50]2023-24'!$BD152/10^7</f>
        <v>0</v>
      </c>
      <c r="N276" s="147">
        <f>'[50]2023-24'!$BJ152/10^7</f>
        <v>0</v>
      </c>
      <c r="O276" s="147">
        <f>'[50]2023-24'!$BP152/10^7</f>
        <v>0</v>
      </c>
      <c r="P276" s="147">
        <f>'[50]2023-24'!$BV152/10^7</f>
        <v>0</v>
      </c>
      <c r="Q276" s="55">
        <f t="shared" si="174"/>
        <v>0</v>
      </c>
    </row>
    <row r="277" spans="3:17">
      <c r="C277" s="55" t="s">
        <v>403</v>
      </c>
      <c r="D277" s="55" t="s">
        <v>403</v>
      </c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>
        <f t="shared" si="174"/>
        <v>0</v>
      </c>
    </row>
    <row r="278" spans="3:17"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>
        <f t="shared" si="174"/>
        <v>0</v>
      </c>
    </row>
    <row r="279" spans="3:17"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>
        <f t="shared" si="174"/>
        <v>0</v>
      </c>
    </row>
    <row r="280" spans="3:17"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>
        <f t="shared" si="174"/>
        <v>0</v>
      </c>
    </row>
    <row r="281" spans="3:17"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>
        <f t="shared" si="174"/>
        <v>0</v>
      </c>
    </row>
    <row r="282" spans="3:17"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>
        <f t="shared" si="174"/>
        <v>0</v>
      </c>
    </row>
    <row r="283" ht="15" spans="3:17">
      <c r="C283" s="44" t="s">
        <v>404</v>
      </c>
      <c r="D283" s="44"/>
      <c r="E283" s="147">
        <f t="shared" ref="E283:P283" si="175">SUM(E275:E282)</f>
        <v>78.17527914315</v>
      </c>
      <c r="F283" s="147">
        <f t="shared" si="175"/>
        <v>78.17527914315</v>
      </c>
      <c r="G283" s="147">
        <f t="shared" si="175"/>
        <v>78.17527914315</v>
      </c>
      <c r="H283" s="147">
        <f t="shared" si="175"/>
        <v>78.34797989915</v>
      </c>
      <c r="I283" s="147">
        <f t="shared" si="175"/>
        <v>78.2074493082</v>
      </c>
      <c r="J283" s="147">
        <f t="shared" si="175"/>
        <v>78.17527914315</v>
      </c>
      <c r="K283" s="147">
        <f t="shared" si="175"/>
        <v>78.17527914315</v>
      </c>
      <c r="L283" s="147">
        <f t="shared" si="175"/>
        <v>78.17527914315</v>
      </c>
      <c r="M283" s="147">
        <f t="shared" si="175"/>
        <v>75.3895035345</v>
      </c>
      <c r="N283" s="147">
        <f t="shared" si="175"/>
        <v>78.17527914315</v>
      </c>
      <c r="O283" s="147">
        <f t="shared" si="175"/>
        <v>78.17527914315</v>
      </c>
      <c r="P283" s="147">
        <f t="shared" si="175"/>
        <v>78.17527914315</v>
      </c>
      <c r="Q283" s="316">
        <f t="shared" si="174"/>
        <v>935.5224450302</v>
      </c>
    </row>
    <row r="284" ht="15" spans="3:17">
      <c r="C284" s="663" t="s">
        <v>405</v>
      </c>
      <c r="D284" s="663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</row>
    <row r="285" spans="3:17">
      <c r="C285" s="55"/>
      <c r="D285" s="55" t="s">
        <v>406</v>
      </c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>
        <f t="shared" ref="Q285:Q309" si="176">SUM(E285:P285)</f>
        <v>0</v>
      </c>
    </row>
    <row r="286" spans="3:17">
      <c r="C286" s="55"/>
      <c r="D286" s="55" t="s">
        <v>407</v>
      </c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>
        <f t="shared" si="176"/>
        <v>0</v>
      </c>
    </row>
    <row r="287" spans="3:17">
      <c r="C287" s="55"/>
      <c r="D287" s="55" t="s">
        <v>408</v>
      </c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>
        <f t="shared" si="176"/>
        <v>0</v>
      </c>
    </row>
    <row r="288" spans="3:17">
      <c r="C288" s="55"/>
      <c r="D288" s="55" t="s">
        <v>409</v>
      </c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>
        <f t="shared" si="176"/>
        <v>0</v>
      </c>
    </row>
    <row r="289" spans="3:17">
      <c r="C289" s="55"/>
      <c r="D289" s="55" t="s">
        <v>410</v>
      </c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>
        <f t="shared" si="176"/>
        <v>0</v>
      </c>
    </row>
    <row r="290" spans="3:17">
      <c r="C290" s="55"/>
      <c r="D290" s="55" t="s">
        <v>368</v>
      </c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>
        <f t="shared" si="176"/>
        <v>0</v>
      </c>
    </row>
    <row r="291" spans="3:17">
      <c r="C291" s="55"/>
      <c r="D291" s="55" t="s">
        <v>411</v>
      </c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>
        <f t="shared" si="176"/>
        <v>0</v>
      </c>
    </row>
    <row r="292" spans="3:17">
      <c r="C292" s="55"/>
      <c r="D292" s="55" t="s">
        <v>412</v>
      </c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>
        <f t="shared" si="176"/>
        <v>0</v>
      </c>
    </row>
    <row r="293" spans="3:17">
      <c r="C293" s="55"/>
      <c r="D293" s="55" t="s">
        <v>413</v>
      </c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>
        <f t="shared" si="176"/>
        <v>0</v>
      </c>
    </row>
    <row r="294" spans="3:17">
      <c r="C294" s="55"/>
      <c r="D294" s="55" t="s">
        <v>414</v>
      </c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>
        <f t="shared" si="176"/>
        <v>0</v>
      </c>
    </row>
    <row r="295" spans="3:17">
      <c r="C295" s="55"/>
      <c r="D295" s="55" t="s">
        <v>415</v>
      </c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>
        <f t="shared" si="176"/>
        <v>0</v>
      </c>
    </row>
    <row r="296" spans="3:17">
      <c r="C296" s="55"/>
      <c r="D296" s="55" t="s">
        <v>416</v>
      </c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>
        <f t="shared" si="176"/>
        <v>0</v>
      </c>
    </row>
    <row r="297" spans="3:17">
      <c r="C297" s="55"/>
      <c r="D297" s="55" t="s">
        <v>417</v>
      </c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>
        <f t="shared" si="176"/>
        <v>0</v>
      </c>
    </row>
    <row r="298" spans="3:17">
      <c r="C298" s="55"/>
      <c r="D298" s="55" t="s">
        <v>418</v>
      </c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>
        <f t="shared" si="176"/>
        <v>0</v>
      </c>
    </row>
    <row r="299" spans="3:17">
      <c r="C299" s="55"/>
      <c r="D299" s="687" t="s">
        <v>419</v>
      </c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>
        <f t="shared" si="176"/>
        <v>0</v>
      </c>
    </row>
    <row r="300" spans="3:17">
      <c r="C300" s="55"/>
      <c r="D300" s="687" t="s">
        <v>420</v>
      </c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>
        <f t="shared" si="176"/>
        <v>0</v>
      </c>
    </row>
    <row r="301" spans="3:17"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>
        <f t="shared" si="176"/>
        <v>0</v>
      </c>
    </row>
    <row r="302" spans="3:17"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>
        <f t="shared" si="176"/>
        <v>0</v>
      </c>
    </row>
    <row r="303" spans="3:17"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>
        <f t="shared" si="176"/>
        <v>0</v>
      </c>
    </row>
    <row r="304" spans="3:17"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>
        <f t="shared" si="176"/>
        <v>0</v>
      </c>
    </row>
    <row r="305" spans="3:17"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>
        <f t="shared" si="176"/>
        <v>0</v>
      </c>
    </row>
    <row r="306" spans="3:17"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>
        <f t="shared" si="176"/>
        <v>0</v>
      </c>
    </row>
    <row r="307" spans="3:17"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>
        <f t="shared" si="176"/>
        <v>0</v>
      </c>
    </row>
    <row r="308" spans="3:17"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>
        <f t="shared" si="176"/>
        <v>0</v>
      </c>
    </row>
    <row r="309" ht="15" spans="3:17">
      <c r="C309" s="44" t="s">
        <v>421</v>
      </c>
      <c r="D309" s="44"/>
      <c r="E309" s="681">
        <v>0</v>
      </c>
      <c r="F309" s="681">
        <v>0</v>
      </c>
      <c r="G309" s="681">
        <v>0</v>
      </c>
      <c r="H309" s="681">
        <v>0</v>
      </c>
      <c r="I309" s="681">
        <v>0</v>
      </c>
      <c r="J309" s="681">
        <v>0</v>
      </c>
      <c r="K309" s="681">
        <v>0</v>
      </c>
      <c r="L309" s="681">
        <v>0</v>
      </c>
      <c r="M309" s="681">
        <v>0</v>
      </c>
      <c r="N309" s="681">
        <v>0</v>
      </c>
      <c r="O309" s="681">
        <v>0</v>
      </c>
      <c r="P309" s="701">
        <v>0</v>
      </c>
      <c r="Q309" s="54">
        <f t="shared" si="176"/>
        <v>0</v>
      </c>
    </row>
    <row r="310" ht="15" spans="3:17">
      <c r="C310" s="663" t="s">
        <v>422</v>
      </c>
      <c r="D310" s="663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690"/>
    </row>
    <row r="311" spans="3:17"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690">
        <f t="shared" ref="Q311:Q319" si="177">SUM(E311:P311)</f>
        <v>0</v>
      </c>
    </row>
    <row r="312" spans="3:17"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690">
        <f t="shared" si="177"/>
        <v>0</v>
      </c>
    </row>
    <row r="313" spans="3:17"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690">
        <f t="shared" si="177"/>
        <v>0</v>
      </c>
    </row>
    <row r="314" spans="3:17"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690">
        <f t="shared" si="177"/>
        <v>0</v>
      </c>
    </row>
    <row r="315" spans="3:17"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690">
        <f t="shared" si="177"/>
        <v>0</v>
      </c>
    </row>
    <row r="316" spans="3:17">
      <c r="C316" s="55"/>
      <c r="D316" s="679" t="s">
        <v>502</v>
      </c>
      <c r="E316" s="147">
        <v>0</v>
      </c>
      <c r="F316" s="147">
        <v>0</v>
      </c>
      <c r="G316" s="147">
        <v>0</v>
      </c>
      <c r="H316" s="147">
        <v>0</v>
      </c>
      <c r="I316" s="147">
        <v>0</v>
      </c>
      <c r="J316" s="147">
        <v>0</v>
      </c>
      <c r="K316" s="147">
        <v>0</v>
      </c>
      <c r="L316" s="147">
        <v>0</v>
      </c>
      <c r="M316" s="147">
        <v>0</v>
      </c>
      <c r="N316" s="147">
        <v>0</v>
      </c>
      <c r="O316" s="147">
        <v>0</v>
      </c>
      <c r="P316" s="147">
        <v>0</v>
      </c>
      <c r="Q316" s="690">
        <f t="shared" si="177"/>
        <v>0</v>
      </c>
    </row>
    <row r="317" spans="3:17">
      <c r="C317" s="55"/>
      <c r="D317" s="679" t="s">
        <v>503</v>
      </c>
      <c r="E317" s="147">
        <v>0</v>
      </c>
      <c r="F317" s="147">
        <v>0</v>
      </c>
      <c r="G317" s="147">
        <v>0</v>
      </c>
      <c r="H317" s="147">
        <v>0</v>
      </c>
      <c r="I317" s="147">
        <v>0</v>
      </c>
      <c r="J317" s="147">
        <v>0</v>
      </c>
      <c r="K317" s="147">
        <v>0</v>
      </c>
      <c r="L317" s="147">
        <v>0</v>
      </c>
      <c r="M317" s="147">
        <v>0</v>
      </c>
      <c r="N317" s="147">
        <v>0</v>
      </c>
      <c r="O317" s="147">
        <v>0</v>
      </c>
      <c r="P317" s="147">
        <v>0</v>
      </c>
      <c r="Q317" s="690">
        <f t="shared" si="177"/>
        <v>0</v>
      </c>
    </row>
    <row r="318" spans="3:17">
      <c r="C318" s="55"/>
      <c r="D318" s="688" t="s">
        <v>504</v>
      </c>
      <c r="E318" s="147">
        <v>0</v>
      </c>
      <c r="F318" s="147">
        <v>0</v>
      </c>
      <c r="G318" s="147">
        <v>0</v>
      </c>
      <c r="H318" s="147">
        <v>0</v>
      </c>
      <c r="I318" s="147">
        <v>0</v>
      </c>
      <c r="J318" s="147">
        <v>0</v>
      </c>
      <c r="K318" s="147">
        <v>0</v>
      </c>
      <c r="L318" s="147">
        <v>0</v>
      </c>
      <c r="M318" s="147">
        <v>0</v>
      </c>
      <c r="N318" s="147">
        <v>0</v>
      </c>
      <c r="O318" s="147">
        <v>0</v>
      </c>
      <c r="P318" s="147">
        <v>0</v>
      </c>
      <c r="Q318" s="690">
        <f t="shared" si="177"/>
        <v>0</v>
      </c>
    </row>
    <row r="319" spans="3:17">
      <c r="C319" s="55"/>
      <c r="D319" s="679" t="s">
        <v>505</v>
      </c>
      <c r="E319" s="147">
        <v>0</v>
      </c>
      <c r="F319" s="147">
        <v>0</v>
      </c>
      <c r="G319" s="147">
        <v>0</v>
      </c>
      <c r="H319" s="147">
        <v>0</v>
      </c>
      <c r="I319" s="147">
        <v>0</v>
      </c>
      <c r="J319" s="147">
        <v>0</v>
      </c>
      <c r="K319" s="147">
        <v>0</v>
      </c>
      <c r="L319" s="147">
        <v>0</v>
      </c>
      <c r="M319" s="147">
        <v>0</v>
      </c>
      <c r="N319" s="147">
        <v>0</v>
      </c>
      <c r="O319" s="147">
        <v>0</v>
      </c>
      <c r="P319" s="147">
        <v>0</v>
      </c>
      <c r="Q319" s="690">
        <f t="shared" si="177"/>
        <v>0</v>
      </c>
    </row>
    <row r="320" spans="3:17">
      <c r="C320" s="55"/>
      <c r="D320" s="679" t="s">
        <v>506</v>
      </c>
      <c r="E320" s="147">
        <v>0</v>
      </c>
      <c r="F320" s="147">
        <v>0</v>
      </c>
      <c r="G320" s="147">
        <v>0</v>
      </c>
      <c r="H320" s="147">
        <v>0</v>
      </c>
      <c r="I320" s="147">
        <v>0</v>
      </c>
      <c r="J320" s="147">
        <v>0</v>
      </c>
      <c r="K320" s="147">
        <v>0</v>
      </c>
      <c r="L320" s="147">
        <v>0</v>
      </c>
      <c r="M320" s="147">
        <v>0</v>
      </c>
      <c r="N320" s="147">
        <v>0</v>
      </c>
      <c r="O320" s="147">
        <v>0</v>
      </c>
      <c r="P320" s="147">
        <v>0</v>
      </c>
      <c r="Q320" s="690">
        <f>SUM(E321:P321)</f>
        <v>0</v>
      </c>
    </row>
    <row r="321" spans="3:17">
      <c r="C321" s="55"/>
      <c r="D321" s="679" t="s">
        <v>507</v>
      </c>
      <c r="E321" s="147">
        <v>0</v>
      </c>
      <c r="F321" s="147">
        <v>0</v>
      </c>
      <c r="G321" s="147">
        <v>0</v>
      </c>
      <c r="H321" s="147">
        <v>0</v>
      </c>
      <c r="I321" s="147">
        <v>0</v>
      </c>
      <c r="J321" s="147">
        <v>0</v>
      </c>
      <c r="K321" s="147">
        <v>0</v>
      </c>
      <c r="L321" s="147">
        <v>0</v>
      </c>
      <c r="M321" s="147">
        <v>0</v>
      </c>
      <c r="N321" s="147">
        <v>0</v>
      </c>
      <c r="O321" s="147">
        <v>0</v>
      </c>
      <c r="P321" s="147">
        <v>0</v>
      </c>
      <c r="Q321" s="690">
        <f>SUM(E322:P322)</f>
        <v>0</v>
      </c>
    </row>
    <row r="322" spans="3:17">
      <c r="C322" s="55"/>
      <c r="D322" s="679" t="s">
        <v>527</v>
      </c>
      <c r="E322" s="147"/>
      <c r="F322" s="147"/>
      <c r="G322" s="147"/>
      <c r="H322" s="147"/>
      <c r="I322" s="147"/>
      <c r="J322" s="147"/>
      <c r="K322" s="147"/>
      <c r="L322" s="147"/>
      <c r="M322" s="147"/>
      <c r="N322" s="147"/>
      <c r="O322" s="147"/>
      <c r="P322" s="147"/>
      <c r="Q322" s="690">
        <f>SUM(E323:P323)</f>
        <v>0</v>
      </c>
    </row>
    <row r="323" spans="3:17">
      <c r="C323" s="55"/>
      <c r="D323" s="679" t="s">
        <v>509</v>
      </c>
      <c r="E323" s="147"/>
      <c r="F323" s="147"/>
      <c r="G323" s="147"/>
      <c r="H323" s="147"/>
      <c r="I323" s="147"/>
      <c r="J323" s="147"/>
      <c r="K323" s="147"/>
      <c r="L323" s="147"/>
      <c r="M323" s="147"/>
      <c r="N323" s="147"/>
      <c r="O323" s="147"/>
      <c r="P323" s="147"/>
      <c r="Q323" s="690">
        <f>SUM(E324:P324)</f>
        <v>0</v>
      </c>
    </row>
    <row r="324" spans="3:17">
      <c r="C324" s="55"/>
      <c r="D324" s="679" t="s">
        <v>510</v>
      </c>
      <c r="E324" s="147"/>
      <c r="F324" s="147"/>
      <c r="G324" s="147"/>
      <c r="H324" s="147"/>
      <c r="I324" s="147"/>
      <c r="J324" s="147"/>
      <c r="K324" s="147"/>
      <c r="L324" s="147"/>
      <c r="M324" s="147"/>
      <c r="N324" s="147"/>
      <c r="O324" s="147"/>
      <c r="P324" s="147"/>
      <c r="Q324" s="690">
        <f t="shared" ref="Q324:Q335" si="178">SUM(E324:P324)</f>
        <v>0</v>
      </c>
    </row>
    <row r="325" spans="3:17">
      <c r="C325" s="55"/>
      <c r="D325" s="679" t="s">
        <v>511</v>
      </c>
      <c r="E325" s="147"/>
      <c r="F325" s="147"/>
      <c r="G325" s="147"/>
      <c r="H325" s="147"/>
      <c r="I325" s="147"/>
      <c r="J325" s="147"/>
      <c r="K325" s="147"/>
      <c r="L325" s="147"/>
      <c r="M325" s="147"/>
      <c r="N325" s="147"/>
      <c r="O325" s="147"/>
      <c r="P325" s="147"/>
      <c r="Q325" s="690">
        <f t="shared" si="178"/>
        <v>0</v>
      </c>
    </row>
    <row r="326" spans="3:17">
      <c r="C326" s="55"/>
      <c r="D326" s="679" t="s">
        <v>512</v>
      </c>
      <c r="E326" s="147"/>
      <c r="F326" s="147"/>
      <c r="G326" s="147"/>
      <c r="H326" s="147"/>
      <c r="I326" s="147"/>
      <c r="J326" s="147"/>
      <c r="K326" s="147"/>
      <c r="L326" s="147"/>
      <c r="M326" s="147"/>
      <c r="N326" s="147"/>
      <c r="O326" s="147"/>
      <c r="P326" s="147"/>
      <c r="Q326" s="690">
        <f t="shared" si="178"/>
        <v>0</v>
      </c>
    </row>
    <row r="327" spans="3:17">
      <c r="C327" s="55"/>
      <c r="D327" s="55" t="s">
        <v>481</v>
      </c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690">
        <f t="shared" si="178"/>
        <v>0</v>
      </c>
    </row>
    <row r="328" spans="3:17"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690">
        <f t="shared" si="178"/>
        <v>0</v>
      </c>
    </row>
    <row r="329" spans="3:17"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690">
        <f t="shared" si="178"/>
        <v>0</v>
      </c>
    </row>
    <row r="330" spans="3:17"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690">
        <f t="shared" si="178"/>
        <v>0</v>
      </c>
    </row>
    <row r="331" spans="3:17"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690">
        <f t="shared" si="178"/>
        <v>0</v>
      </c>
    </row>
    <row r="332" spans="3:17"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690">
        <f t="shared" si="178"/>
        <v>0</v>
      </c>
    </row>
    <row r="333" spans="3:17"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690">
        <f t="shared" si="178"/>
        <v>0</v>
      </c>
    </row>
    <row r="334" spans="3:17"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690">
        <f t="shared" si="178"/>
        <v>0</v>
      </c>
    </row>
    <row r="335" ht="15" spans="3:17">
      <c r="C335" s="44" t="s">
        <v>424</v>
      </c>
      <c r="D335" s="44"/>
      <c r="E335" s="690">
        <f t="shared" ref="E335:P335" si="179">SUM(E311:E334)</f>
        <v>0</v>
      </c>
      <c r="F335" s="690">
        <f t="shared" si="179"/>
        <v>0</v>
      </c>
      <c r="G335" s="690">
        <f t="shared" si="179"/>
        <v>0</v>
      </c>
      <c r="H335" s="690">
        <f t="shared" si="179"/>
        <v>0</v>
      </c>
      <c r="I335" s="690">
        <f t="shared" si="179"/>
        <v>0</v>
      </c>
      <c r="J335" s="690">
        <f t="shared" si="179"/>
        <v>0</v>
      </c>
      <c r="K335" s="690">
        <f t="shared" si="179"/>
        <v>0</v>
      </c>
      <c r="L335" s="690">
        <f t="shared" si="179"/>
        <v>0</v>
      </c>
      <c r="M335" s="690">
        <f t="shared" si="179"/>
        <v>0</v>
      </c>
      <c r="N335" s="690">
        <f t="shared" si="179"/>
        <v>0</v>
      </c>
      <c r="O335" s="690">
        <f t="shared" si="179"/>
        <v>0</v>
      </c>
      <c r="P335" s="690">
        <f t="shared" si="179"/>
        <v>0</v>
      </c>
      <c r="Q335" s="690">
        <f t="shared" si="178"/>
        <v>0</v>
      </c>
    </row>
    <row r="336" ht="15" spans="3:17">
      <c r="C336" s="663" t="s">
        <v>425</v>
      </c>
      <c r="D336" s="663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</row>
    <row r="337" spans="3:17">
      <c r="C337" s="55" t="s">
        <v>426</v>
      </c>
      <c r="D337" s="55" t="s">
        <v>427</v>
      </c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>
        <f>SUM(E337:P337)</f>
        <v>0</v>
      </c>
    </row>
    <row r="338" spans="3:17">
      <c r="C338" s="55" t="s">
        <v>426</v>
      </c>
      <c r="D338" s="55" t="s">
        <v>428</v>
      </c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>
        <f>SUM(E338:P338)</f>
        <v>0</v>
      </c>
    </row>
    <row r="339" spans="3:17">
      <c r="C339" s="141"/>
      <c r="D339" s="67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</row>
    <row r="340" ht="15" spans="3:17">
      <c r="C340" s="44" t="s">
        <v>429</v>
      </c>
      <c r="D340" s="44"/>
      <c r="E340" s="55">
        <f t="shared" ref="E340:Q340" si="180">E337+E338</f>
        <v>0</v>
      </c>
      <c r="F340" s="55">
        <f t="shared" si="180"/>
        <v>0</v>
      </c>
      <c r="G340" s="55">
        <f t="shared" si="180"/>
        <v>0</v>
      </c>
      <c r="H340" s="55">
        <f t="shared" si="180"/>
        <v>0</v>
      </c>
      <c r="I340" s="55">
        <f t="shared" si="180"/>
        <v>0</v>
      </c>
      <c r="J340" s="55">
        <f t="shared" si="180"/>
        <v>0</v>
      </c>
      <c r="K340" s="55">
        <f t="shared" si="180"/>
        <v>0</v>
      </c>
      <c r="L340" s="55">
        <f t="shared" si="180"/>
        <v>0</v>
      </c>
      <c r="M340" s="55">
        <f t="shared" si="180"/>
        <v>0</v>
      </c>
      <c r="N340" s="55">
        <f t="shared" si="180"/>
        <v>0</v>
      </c>
      <c r="O340" s="55">
        <f t="shared" si="180"/>
        <v>0</v>
      </c>
      <c r="P340" s="55">
        <f t="shared" si="180"/>
        <v>0</v>
      </c>
      <c r="Q340" s="55">
        <f t="shared" si="180"/>
        <v>0</v>
      </c>
    </row>
    <row r="341" ht="15" spans="3:17">
      <c r="C341" s="732" t="s">
        <v>224</v>
      </c>
      <c r="D341" s="732"/>
      <c r="E341" s="733">
        <f t="shared" ref="E341:Q341" si="181">E218+E264+E273+E283+E309+E335+E340</f>
        <v>649.136336738109</v>
      </c>
      <c r="F341" s="733">
        <f t="shared" si="181"/>
        <v>664.949906373496</v>
      </c>
      <c r="G341" s="733">
        <f t="shared" si="181"/>
        <v>624.073581249949</v>
      </c>
      <c r="H341" s="733">
        <f t="shared" si="181"/>
        <v>648.297813981566</v>
      </c>
      <c r="I341" s="733">
        <f t="shared" si="181"/>
        <v>602.96985700392</v>
      </c>
      <c r="J341" s="733">
        <f t="shared" si="181"/>
        <v>581.840013080187</v>
      </c>
      <c r="K341" s="733">
        <f t="shared" si="181"/>
        <v>681.422602106952</v>
      </c>
      <c r="L341" s="733">
        <f t="shared" si="181"/>
        <v>659.41548931274</v>
      </c>
      <c r="M341" s="733">
        <f t="shared" si="181"/>
        <v>640.183395157724</v>
      </c>
      <c r="N341" s="733">
        <f t="shared" si="181"/>
        <v>693.024750809458</v>
      </c>
      <c r="O341" s="733">
        <f t="shared" si="181"/>
        <v>680.127842156424</v>
      </c>
      <c r="P341" s="733">
        <f t="shared" si="181"/>
        <v>719.058472903465</v>
      </c>
      <c r="Q341" s="733">
        <f t="shared" si="181"/>
        <v>7844.50006087399</v>
      </c>
    </row>
    <row r="343" ht="15" spans="3:10">
      <c r="C343" s="11" t="s">
        <v>524</v>
      </c>
      <c r="J343" s="3"/>
    </row>
    <row r="344" ht="15" spans="3:17">
      <c r="C344" s="14"/>
      <c r="Q344" s="3" t="s">
        <v>109</v>
      </c>
    </row>
    <row r="345" ht="15" spans="3:17">
      <c r="C345" s="658" t="s">
        <v>345</v>
      </c>
      <c r="D345" s="658" t="s">
        <v>346</v>
      </c>
      <c r="E345" s="135" t="s">
        <v>526</v>
      </c>
      <c r="F345" s="135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</row>
    <row r="346" ht="15" spans="3:17">
      <c r="C346" s="658"/>
      <c r="D346" s="658"/>
      <c r="E346" s="135" t="s">
        <v>246</v>
      </c>
      <c r="F346" s="135" t="s">
        <v>247</v>
      </c>
      <c r="G346" s="135" t="s">
        <v>248</v>
      </c>
      <c r="H346" s="135" t="s">
        <v>249</v>
      </c>
      <c r="I346" s="135" t="s">
        <v>250</v>
      </c>
      <c r="J346" s="135" t="s">
        <v>251</v>
      </c>
      <c r="K346" s="135" t="s">
        <v>252</v>
      </c>
      <c r="L346" s="135" t="s">
        <v>253</v>
      </c>
      <c r="M346" s="135" t="s">
        <v>254</v>
      </c>
      <c r="N346" s="135" t="s">
        <v>255</v>
      </c>
      <c r="O346" s="135" t="s">
        <v>256</v>
      </c>
      <c r="P346" s="135" t="s">
        <v>257</v>
      </c>
      <c r="Q346" s="135" t="s">
        <v>97</v>
      </c>
    </row>
    <row r="347" ht="15" spans="3:17">
      <c r="C347" s="658"/>
      <c r="D347" s="658"/>
      <c r="E347" s="135" t="s">
        <v>130</v>
      </c>
      <c r="F347" s="135" t="s">
        <v>130</v>
      </c>
      <c r="G347" s="135" t="s">
        <v>130</v>
      </c>
      <c r="H347" s="135" t="s">
        <v>130</v>
      </c>
      <c r="I347" s="135" t="s">
        <v>130</v>
      </c>
      <c r="J347" s="135" t="s">
        <v>130</v>
      </c>
      <c r="K347" s="135" t="s">
        <v>131</v>
      </c>
      <c r="L347" s="135" t="s">
        <v>131</v>
      </c>
      <c r="M347" s="135" t="s">
        <v>131</v>
      </c>
      <c r="N347" s="135" t="s">
        <v>131</v>
      </c>
      <c r="O347" s="135" t="s">
        <v>131</v>
      </c>
      <c r="P347" s="135" t="s">
        <v>131</v>
      </c>
      <c r="Q347" s="135" t="s">
        <v>131</v>
      </c>
    </row>
    <row r="348" ht="15" spans="2:17">
      <c r="B348" s="656"/>
      <c r="C348" s="663" t="s">
        <v>349</v>
      </c>
      <c r="D348" s="663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</row>
    <row r="349" ht="15" spans="3:17">
      <c r="C349" s="44" t="s">
        <v>350</v>
      </c>
      <c r="D349" s="44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</row>
    <row r="350" spans="2:17">
      <c r="B350" s="656"/>
      <c r="C350" s="677" t="s">
        <v>351</v>
      </c>
      <c r="D350" s="47" t="s">
        <v>352</v>
      </c>
      <c r="E350" s="147">
        <f>'[50]2023-24'!$I137/10^7</f>
        <v>72.1592206664</v>
      </c>
      <c r="F350" s="147">
        <f>'[50]2023-24'!$O137/10^7</f>
        <v>66.57806244395</v>
      </c>
      <c r="G350" s="147">
        <f>'[50]2023-24'!$U137/10^7</f>
        <v>80.1522525450992</v>
      </c>
      <c r="H350" s="147">
        <f>'[50]2023-24'!$AA137/10^7</f>
        <v>76.6438834159905</v>
      </c>
      <c r="I350" s="147">
        <f>'[50]2023-24'!$AG137/10^7</f>
        <v>78.2331838349459</v>
      </c>
      <c r="J350" s="147">
        <f>'[50]2023-24'!$AM137/10^7</f>
        <v>74.4957661164</v>
      </c>
      <c r="K350" s="147">
        <f>'[50]2023-24'!$AS137/10^7</f>
        <v>52.2656992932001</v>
      </c>
      <c r="L350" s="147">
        <f>'[50]2023-24'!$AY137/10^7</f>
        <v>102.340729831325</v>
      </c>
      <c r="M350" s="147">
        <f>'[50]2023-24'!$BE137/10^7</f>
        <v>78.48034707905</v>
      </c>
      <c r="N350" s="147">
        <f>'[50]2023-24'!$BK137/10^7</f>
        <v>79.85920774435</v>
      </c>
      <c r="O350" s="147">
        <f>'[50]2023-24'!$BQ137/10^7</f>
        <v>71.62196174525</v>
      </c>
      <c r="P350" s="147">
        <f>'[50]2023-24'!$BW137/10^7</f>
        <v>76.81547008205</v>
      </c>
      <c r="Q350" s="690">
        <f t="shared" ref="Q350:Q368" si="182">SUM(E350:P350)</f>
        <v>909.645784798011</v>
      </c>
    </row>
    <row r="351" spans="2:17">
      <c r="B351" s="656"/>
      <c r="C351" s="677"/>
      <c r="D351" s="47" t="s">
        <v>353</v>
      </c>
      <c r="E351" s="147">
        <f>'[50]2023-24'!$I138/10^7</f>
        <v>81.4366839444</v>
      </c>
      <c r="F351" s="147">
        <f>'[50]2023-24'!$O138/10^7</f>
        <v>79.23967052065</v>
      </c>
      <c r="G351" s="147">
        <f>'[50]2023-24'!$U138/10^7</f>
        <v>84.5262525562914</v>
      </c>
      <c r="H351" s="147">
        <f>'[50]2023-24'!$AA138/10^7</f>
        <v>89.3983799709487</v>
      </c>
      <c r="I351" s="147">
        <f>'[50]2023-24'!$AG138/10^7</f>
        <v>74.6047901409765</v>
      </c>
      <c r="J351" s="147">
        <f>'[50]2023-24'!$AM138/10^7</f>
        <v>71.0337596568</v>
      </c>
      <c r="K351" s="147">
        <f>'[50]2023-24'!$AS138/10^7</f>
        <v>59.3230917142502</v>
      </c>
      <c r="L351" s="147">
        <f>'[50]2023-24'!$AY138/10^7</f>
        <v>66.8386105470396</v>
      </c>
      <c r="M351" s="147">
        <f>'[50]2023-24'!$BE138/10^7</f>
        <v>61.73218909105</v>
      </c>
      <c r="N351" s="147">
        <f>'[50]2023-24'!$BK138/10^7</f>
        <v>77.480386124</v>
      </c>
      <c r="O351" s="147">
        <f>'[50]2023-24'!$BQ138/10^7</f>
        <v>70.4286156208</v>
      </c>
      <c r="P351" s="147">
        <f>'[50]2023-24'!$BW138/10^7</f>
        <v>72.6733042653</v>
      </c>
      <c r="Q351" s="690">
        <f t="shared" si="182"/>
        <v>888.715734152506</v>
      </c>
    </row>
    <row r="352" spans="2:17">
      <c r="B352" s="656"/>
      <c r="C352" s="677"/>
      <c r="D352" s="47" t="s">
        <v>354</v>
      </c>
      <c r="E352" s="147">
        <f>'[50]2023-24'!$I139/10^7</f>
        <v>118.1424101477</v>
      </c>
      <c r="F352" s="147">
        <f>'[50]2023-24'!$O139/10^7</f>
        <v>124.81379402885</v>
      </c>
      <c r="G352" s="147">
        <f>'[50]2023-24'!$U139/10^7</f>
        <v>124.593381962637</v>
      </c>
      <c r="H352" s="147">
        <f>'[50]2023-24'!$AA139/10^7</f>
        <v>139.460426254736</v>
      </c>
      <c r="I352" s="147">
        <f>'[50]2023-24'!$AG139/10^7</f>
        <v>114.030357567544</v>
      </c>
      <c r="J352" s="147">
        <f>'[50]2023-24'!$AM139/10^7</f>
        <v>99.15818056275</v>
      </c>
      <c r="K352" s="147">
        <f>'[50]2023-24'!$AS139/10^7</f>
        <v>91.75505850165</v>
      </c>
      <c r="L352" s="147">
        <f>'[50]2023-24'!$AY139/10^7</f>
        <v>117.750144280626</v>
      </c>
      <c r="M352" s="147">
        <f>'[50]2023-24'!$BE139/10^7</f>
        <v>126.174035632</v>
      </c>
      <c r="N352" s="147">
        <f>'[50]2023-24'!$BK139/10^7</f>
        <v>125.3988611575</v>
      </c>
      <c r="O352" s="147">
        <f>'[50]2023-24'!$BQ139/10^7</f>
        <v>115.0479093617</v>
      </c>
      <c r="P352" s="147">
        <f>'[50]2023-24'!$BW139/10^7</f>
        <v>124.45271207385</v>
      </c>
      <c r="Q352" s="690">
        <f t="shared" si="182"/>
        <v>1420.77727153154</v>
      </c>
    </row>
    <row r="353" spans="2:17">
      <c r="B353" s="656"/>
      <c r="C353" s="677"/>
      <c r="D353" s="47" t="s">
        <v>355</v>
      </c>
      <c r="E353" s="147">
        <f>'[50]2023-24'!$I140/10^7</f>
        <v>5.79551988225</v>
      </c>
      <c r="F353" s="147">
        <f>'[50]2023-24'!$O140/10^7</f>
        <v>8.0371487027</v>
      </c>
      <c r="G353" s="147">
        <f>'[50]2023-24'!$U140/10^7</f>
        <v>7.03050378751009</v>
      </c>
      <c r="H353" s="147">
        <f>'[50]2023-24'!$AA140/10^7</f>
        <v>8.45448376069444</v>
      </c>
      <c r="I353" s="147">
        <f>'[50]2023-24'!$AG140/10^7</f>
        <v>8.24872868286491</v>
      </c>
      <c r="J353" s="147">
        <f>'[50]2023-24'!$AM140/10^7</f>
        <v>1.17929538645</v>
      </c>
      <c r="K353" s="147">
        <f>'[50]2023-24'!$AS140/10^7</f>
        <v>0.3697047171</v>
      </c>
      <c r="L353" s="147">
        <f>'[50]2023-24'!$AY140/10^7</f>
        <v>6.5379351516683</v>
      </c>
      <c r="M353" s="147">
        <f>'[50]2023-24'!$BE140/10^7</f>
        <v>7.6906426599</v>
      </c>
      <c r="N353" s="147">
        <f>'[50]2023-24'!$BK140/10^7</f>
        <v>8.2173922414</v>
      </c>
      <c r="O353" s="147">
        <f>'[50]2023-24'!$BQ140/10^7</f>
        <v>6.6882775725</v>
      </c>
      <c r="P353" s="147">
        <f>'[50]2023-24'!$BW140/10^7</f>
        <v>4.5384178639</v>
      </c>
      <c r="Q353" s="690">
        <f t="shared" si="182"/>
        <v>72.7880504089377</v>
      </c>
    </row>
    <row r="354" spans="2:17">
      <c r="B354" s="656"/>
      <c r="C354" s="677"/>
      <c r="D354" s="47" t="s">
        <v>356</v>
      </c>
      <c r="E354" s="147">
        <f>'[50]2023-24'!$I141/10^7</f>
        <v>66.19718331235</v>
      </c>
      <c r="F354" s="147">
        <f>'[50]2023-24'!$O141/10^7</f>
        <v>70.2584851424</v>
      </c>
      <c r="G354" s="147">
        <f>'[50]2023-24'!$U141/10^7</f>
        <v>71.0194167975429</v>
      </c>
      <c r="H354" s="147">
        <f>'[50]2023-24'!$AA141/10^7</f>
        <v>73.8960714791315</v>
      </c>
      <c r="I354" s="147">
        <f>'[50]2023-24'!$AG141/10^7</f>
        <v>70.345667710291</v>
      </c>
      <c r="J354" s="147">
        <f>'[50]2023-24'!$AM141/10^7</f>
        <v>70.9403589351</v>
      </c>
      <c r="K354" s="147">
        <f>'[50]2023-24'!$AS141/10^7</f>
        <v>60.39172159465</v>
      </c>
      <c r="L354" s="147">
        <f>'[50]2023-24'!$AY141/10^7</f>
        <v>85.8914723440801</v>
      </c>
      <c r="M354" s="147">
        <f>'[50]2023-24'!$BE141/10^7</f>
        <v>76.5873619664</v>
      </c>
      <c r="N354" s="147">
        <f>'[50]2023-24'!$BK141/10^7</f>
        <v>77.0986548895</v>
      </c>
      <c r="O354" s="147">
        <f>'[50]2023-24'!$BQ141/10^7</f>
        <v>71.37974101925</v>
      </c>
      <c r="P354" s="147">
        <f>'[50]2023-24'!$BW141/10^7</f>
        <v>77.79532576865</v>
      </c>
      <c r="Q354" s="690">
        <f t="shared" si="182"/>
        <v>871.801460959346</v>
      </c>
    </row>
    <row r="355" spans="2:17">
      <c r="B355" s="656"/>
      <c r="C355" s="677"/>
      <c r="D355" s="47" t="s">
        <v>357</v>
      </c>
      <c r="E355" s="147">
        <f>'[50]2023-24'!$I142/10^7</f>
        <v>94.14742395825</v>
      </c>
      <c r="F355" s="147">
        <f>'[50]2023-24'!$O142/10^7</f>
        <v>82.4155347168</v>
      </c>
      <c r="G355" s="147">
        <f>'[50]2023-24'!$U142/10^7</f>
        <v>80.7812817629701</v>
      </c>
      <c r="H355" s="147">
        <f>'[50]2023-24'!$AA142/10^7</f>
        <v>64.752510433858</v>
      </c>
      <c r="I355" s="147">
        <f>'[50]2023-24'!$AG142/10^7</f>
        <v>89.5999385296723</v>
      </c>
      <c r="J355" s="147">
        <f>'[50]2023-24'!$AM142/10^7</f>
        <v>82.64969489365</v>
      </c>
      <c r="K355" s="147">
        <f>'[50]2023-24'!$AS142/10^7</f>
        <v>72.1278887764499</v>
      </c>
      <c r="L355" s="147">
        <f>'[50]2023-24'!$AY142/10^7</f>
        <v>97.3167845414702</v>
      </c>
      <c r="M355" s="147">
        <f>'[50]2023-24'!$BE142/10^7</f>
        <v>87.53892968755</v>
      </c>
      <c r="N355" s="147">
        <f>'[50]2023-24'!$BK142/10^7</f>
        <v>89.7503741138</v>
      </c>
      <c r="O355" s="147">
        <f>'[50]2023-24'!$BQ142/10^7</f>
        <v>82.85675843815</v>
      </c>
      <c r="P355" s="147">
        <f>'[50]2023-24'!$BW142/10^7</f>
        <v>95.69262811905</v>
      </c>
      <c r="Q355" s="690">
        <f t="shared" si="182"/>
        <v>1019.62974797167</v>
      </c>
    </row>
    <row r="356" spans="2:17">
      <c r="B356" s="656"/>
      <c r="C356" s="677"/>
      <c r="D356" s="47" t="s">
        <v>358</v>
      </c>
      <c r="E356" s="147">
        <f>'[50]2023-24'!$I143/10^7</f>
        <v>116.3558246648</v>
      </c>
      <c r="F356" s="147">
        <f>'[50]2023-24'!$O143/10^7</f>
        <v>126.75637473325</v>
      </c>
      <c r="G356" s="147">
        <f>'[50]2023-24'!$U143/10^7</f>
        <v>119.347791041316</v>
      </c>
      <c r="H356" s="147">
        <f>'[50]2023-24'!$AA143/10^7</f>
        <v>94.5976197793268</v>
      </c>
      <c r="I356" s="147">
        <f>'[50]2023-24'!$AG143/10^7</f>
        <v>102.129202837095</v>
      </c>
      <c r="J356" s="147">
        <f>'[50]2023-24'!$AM143/10^7</f>
        <v>111.22009233335</v>
      </c>
      <c r="K356" s="147">
        <f>'[50]2023-24'!$AS143/10^7</f>
        <v>89.3652080114499</v>
      </c>
      <c r="L356" s="147">
        <f>'[50]2023-24'!$AY143/10^7</f>
        <v>171.209337930562</v>
      </c>
      <c r="M356" s="147">
        <f>'[50]2023-24'!$BE143/10^7</f>
        <v>135.1952622977</v>
      </c>
      <c r="N356" s="147">
        <f>'[50]2023-24'!$BK143/10^7</f>
        <v>140.56078007105</v>
      </c>
      <c r="O356" s="147">
        <f>'[50]2023-24'!$BQ143/10^7</f>
        <v>133.0349123685</v>
      </c>
      <c r="P356" s="147">
        <f>'[50]2023-24'!$BW143/10^7</f>
        <v>137.96685834405</v>
      </c>
      <c r="Q356" s="690">
        <f t="shared" si="182"/>
        <v>1477.73926441245</v>
      </c>
    </row>
    <row r="357" spans="2:17">
      <c r="B357" s="656"/>
      <c r="C357" s="677"/>
      <c r="D357" s="47" t="s">
        <v>359</v>
      </c>
      <c r="E357" s="147"/>
      <c r="F357" s="147"/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690">
        <f t="shared" si="182"/>
        <v>0</v>
      </c>
    </row>
    <row r="358" spans="2:17">
      <c r="B358" s="656"/>
      <c r="C358" s="677"/>
      <c r="D358" s="679" t="s">
        <v>492</v>
      </c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690">
        <f t="shared" si="182"/>
        <v>0</v>
      </c>
    </row>
    <row r="359" spans="2:17">
      <c r="B359" s="656"/>
      <c r="C359" s="677"/>
      <c r="D359" s="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690">
        <f t="shared" si="182"/>
        <v>0</v>
      </c>
    </row>
    <row r="360" spans="2:17">
      <c r="B360" s="656"/>
      <c r="C360" s="677"/>
      <c r="D360" s="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690">
        <f t="shared" si="182"/>
        <v>0</v>
      </c>
    </row>
    <row r="361" spans="2:17">
      <c r="B361" s="656"/>
      <c r="C361" s="677"/>
      <c r="D361" s="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690">
        <f t="shared" si="182"/>
        <v>0</v>
      </c>
    </row>
    <row r="362" spans="2:17">
      <c r="B362" s="656"/>
      <c r="C362" s="677"/>
      <c r="D362" s="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690">
        <f t="shared" si="182"/>
        <v>0</v>
      </c>
    </row>
    <row r="363" spans="2:17">
      <c r="B363" s="656"/>
      <c r="C363" s="677"/>
      <c r="D363" s="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690">
        <f t="shared" si="182"/>
        <v>0</v>
      </c>
    </row>
    <row r="364" spans="2:17">
      <c r="B364" s="656"/>
      <c r="C364" s="677"/>
      <c r="D364" s="47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690">
        <f t="shared" si="182"/>
        <v>0</v>
      </c>
    </row>
    <row r="365" spans="2:17">
      <c r="B365" s="656"/>
      <c r="C365" s="677"/>
      <c r="D365" s="47"/>
      <c r="E365" s="147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690">
        <f t="shared" si="182"/>
        <v>0</v>
      </c>
    </row>
    <row r="366" spans="2:17">
      <c r="B366" s="656"/>
      <c r="C366" s="677"/>
      <c r="D366" s="47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690">
        <f t="shared" si="182"/>
        <v>0</v>
      </c>
    </row>
    <row r="367" spans="2:17">
      <c r="B367" s="656"/>
      <c r="C367" s="677"/>
      <c r="D367" s="47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690">
        <f t="shared" si="182"/>
        <v>0</v>
      </c>
    </row>
    <row r="368" ht="15" spans="3:17">
      <c r="C368" s="537" t="s">
        <v>211</v>
      </c>
      <c r="D368" s="537"/>
      <c r="E368" s="690">
        <f t="shared" ref="E368:P368" si="183">SUM(E350:E367)</f>
        <v>554.23426657615</v>
      </c>
      <c r="F368" s="690">
        <f t="shared" si="183"/>
        <v>558.0990702886</v>
      </c>
      <c r="G368" s="690">
        <f t="shared" si="183"/>
        <v>567.450880453367</v>
      </c>
      <c r="H368" s="690">
        <f t="shared" si="183"/>
        <v>547.203375094686</v>
      </c>
      <c r="I368" s="690">
        <f t="shared" si="183"/>
        <v>537.19186930339</v>
      </c>
      <c r="J368" s="690">
        <f t="shared" si="183"/>
        <v>510.6771478845</v>
      </c>
      <c r="K368" s="690">
        <f t="shared" si="183"/>
        <v>425.59837260875</v>
      </c>
      <c r="L368" s="690">
        <f t="shared" si="183"/>
        <v>647.885014626771</v>
      </c>
      <c r="M368" s="690">
        <f t="shared" si="183"/>
        <v>573.39876841365</v>
      </c>
      <c r="N368" s="690">
        <f t="shared" si="183"/>
        <v>598.3656563416</v>
      </c>
      <c r="O368" s="690">
        <f t="shared" si="183"/>
        <v>551.05817612615</v>
      </c>
      <c r="P368" s="690">
        <f t="shared" si="183"/>
        <v>589.93471651685</v>
      </c>
      <c r="Q368" s="693">
        <f t="shared" si="182"/>
        <v>6661.09731423446</v>
      </c>
    </row>
    <row r="369" ht="15" spans="3:17">
      <c r="C369" s="44" t="s">
        <v>360</v>
      </c>
      <c r="D369" s="44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</row>
    <row r="370" spans="3:17">
      <c r="C370" s="682" t="s">
        <v>351</v>
      </c>
      <c r="D370" s="55" t="s">
        <v>361</v>
      </c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>
        <f t="shared" ref="Q370:Q387" si="184">SUM(E370:P370)</f>
        <v>0</v>
      </c>
    </row>
    <row r="371" spans="3:17">
      <c r="C371" s="682"/>
      <c r="D371" s="55" t="s">
        <v>362</v>
      </c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>
        <f t="shared" si="184"/>
        <v>0</v>
      </c>
    </row>
    <row r="372" spans="3:17">
      <c r="C372" s="682"/>
      <c r="D372" s="55" t="s">
        <v>363</v>
      </c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>
        <f t="shared" si="184"/>
        <v>0</v>
      </c>
    </row>
    <row r="373" spans="3:17">
      <c r="C373" s="682"/>
      <c r="D373" s="55" t="s">
        <v>364</v>
      </c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>
        <f t="shared" si="184"/>
        <v>0</v>
      </c>
    </row>
    <row r="374" spans="3:17">
      <c r="C374" s="682"/>
      <c r="D374" s="55" t="s">
        <v>365</v>
      </c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>
        <f t="shared" si="184"/>
        <v>0</v>
      </c>
    </row>
    <row r="375" spans="3:17">
      <c r="C375" s="682"/>
      <c r="D375" s="55" t="s">
        <v>366</v>
      </c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>
        <f t="shared" si="184"/>
        <v>0</v>
      </c>
    </row>
    <row r="376" spans="3:17">
      <c r="C376" s="682"/>
      <c r="D376" s="55" t="s">
        <v>367</v>
      </c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>
        <f t="shared" si="184"/>
        <v>0</v>
      </c>
    </row>
    <row r="377" spans="3:17">
      <c r="C377" s="682"/>
      <c r="D377" s="55" t="s">
        <v>368</v>
      </c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>
        <f t="shared" si="184"/>
        <v>0</v>
      </c>
    </row>
    <row r="378" spans="3:17">
      <c r="C378" s="682"/>
      <c r="D378" s="679" t="s">
        <v>493</v>
      </c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>
        <f t="shared" si="184"/>
        <v>0</v>
      </c>
    </row>
    <row r="379" spans="3:17">
      <c r="C379" s="682"/>
      <c r="D379" s="679" t="s">
        <v>494</v>
      </c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>
        <f t="shared" si="184"/>
        <v>0</v>
      </c>
    </row>
    <row r="380" spans="3:17">
      <c r="C380" s="682"/>
      <c r="D380" s="687" t="s">
        <v>495</v>
      </c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>
        <f t="shared" si="184"/>
        <v>0</v>
      </c>
    </row>
    <row r="381" spans="3:17">
      <c r="C381" s="682"/>
      <c r="D381" s="679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>
        <f t="shared" si="184"/>
        <v>0</v>
      </c>
    </row>
    <row r="382" spans="3:17">
      <c r="C382" s="682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>
        <f t="shared" si="184"/>
        <v>0</v>
      </c>
    </row>
    <row r="383" spans="3:17">
      <c r="C383" s="682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>
        <f t="shared" si="184"/>
        <v>0</v>
      </c>
    </row>
    <row r="384" spans="3:17">
      <c r="C384" s="682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>
        <f t="shared" si="184"/>
        <v>0</v>
      </c>
    </row>
    <row r="385" spans="3:17">
      <c r="C385" s="682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>
        <f t="shared" si="184"/>
        <v>0</v>
      </c>
    </row>
    <row r="386" spans="3:17">
      <c r="C386" s="682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>
        <f t="shared" si="184"/>
        <v>0</v>
      </c>
    </row>
    <row r="387" ht="15" spans="3:17">
      <c r="C387" s="537" t="s">
        <v>211</v>
      </c>
      <c r="D387" s="537"/>
      <c r="E387" s="55">
        <f t="shared" ref="E387:P387" si="185">SUM(E370:E386)</f>
        <v>0</v>
      </c>
      <c r="F387" s="55">
        <f t="shared" si="185"/>
        <v>0</v>
      </c>
      <c r="G387" s="55">
        <f t="shared" si="185"/>
        <v>0</v>
      </c>
      <c r="H387" s="55">
        <f t="shared" si="185"/>
        <v>0</v>
      </c>
      <c r="I387" s="55">
        <f t="shared" si="185"/>
        <v>0</v>
      </c>
      <c r="J387" s="55">
        <f t="shared" si="185"/>
        <v>0</v>
      </c>
      <c r="K387" s="55">
        <f t="shared" si="185"/>
        <v>0</v>
      </c>
      <c r="L387" s="55">
        <f t="shared" si="185"/>
        <v>0</v>
      </c>
      <c r="M387" s="55">
        <f t="shared" si="185"/>
        <v>0</v>
      </c>
      <c r="N387" s="55">
        <f t="shared" si="185"/>
        <v>0</v>
      </c>
      <c r="O387" s="55">
        <f t="shared" si="185"/>
        <v>0</v>
      </c>
      <c r="P387" s="55">
        <f t="shared" si="185"/>
        <v>0</v>
      </c>
      <c r="Q387" s="316">
        <f t="shared" si="184"/>
        <v>0</v>
      </c>
    </row>
    <row r="388" ht="15" spans="3:17">
      <c r="C388" s="44" t="s">
        <v>369</v>
      </c>
      <c r="D388" s="44"/>
      <c r="E388" s="690">
        <f t="shared" ref="E388:Q388" si="186">E368+E387</f>
        <v>554.23426657615</v>
      </c>
      <c r="F388" s="690">
        <f t="shared" si="186"/>
        <v>558.0990702886</v>
      </c>
      <c r="G388" s="690">
        <f t="shared" si="186"/>
        <v>567.450880453367</v>
      </c>
      <c r="H388" s="690">
        <f t="shared" si="186"/>
        <v>547.203375094686</v>
      </c>
      <c r="I388" s="690">
        <f t="shared" si="186"/>
        <v>537.19186930339</v>
      </c>
      <c r="J388" s="690">
        <f t="shared" si="186"/>
        <v>510.6771478845</v>
      </c>
      <c r="K388" s="690">
        <f t="shared" si="186"/>
        <v>425.59837260875</v>
      </c>
      <c r="L388" s="690">
        <f t="shared" si="186"/>
        <v>647.885014626771</v>
      </c>
      <c r="M388" s="690">
        <f t="shared" si="186"/>
        <v>573.39876841365</v>
      </c>
      <c r="N388" s="690">
        <f t="shared" si="186"/>
        <v>598.3656563416</v>
      </c>
      <c r="O388" s="690">
        <f t="shared" si="186"/>
        <v>551.05817612615</v>
      </c>
      <c r="P388" s="690">
        <f t="shared" si="186"/>
        <v>589.93471651685</v>
      </c>
      <c r="Q388" s="693">
        <f t="shared" si="186"/>
        <v>6661.09731423446</v>
      </c>
    </row>
    <row r="389" ht="15" spans="3:17">
      <c r="C389" s="663" t="s">
        <v>370</v>
      </c>
      <c r="D389" s="663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</row>
    <row r="390" ht="15" spans="3:17">
      <c r="C390" s="44" t="s">
        <v>350</v>
      </c>
      <c r="D390" s="44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</row>
    <row r="391" spans="3:17">
      <c r="C391" s="682" t="s">
        <v>371</v>
      </c>
      <c r="D391" s="55" t="s">
        <v>372</v>
      </c>
      <c r="E391" s="147">
        <f>'[50]2023-24'!$I118/10^7</f>
        <v>45.889770482917</v>
      </c>
      <c r="F391" s="147">
        <f>'[50]2023-24'!$O118/10^7</f>
        <v>42.3736154108408</v>
      </c>
      <c r="G391" s="147">
        <f>'[50]2023-24'!$U118/10^7</f>
        <v>37.4357059881361</v>
      </c>
      <c r="H391" s="147">
        <f>'[50]2023-24'!$AA118/10^7</f>
        <v>48.5197274464873</v>
      </c>
      <c r="I391" s="147">
        <f>'[50]2023-24'!$AG118/10^7</f>
        <v>52.7923327003678</v>
      </c>
      <c r="J391" s="147">
        <f>'[50]2023-24'!$AM118/10^7</f>
        <v>49.0033514501</v>
      </c>
      <c r="K391" s="147">
        <f>'[50]2023-24'!$AS118/10^7</f>
        <v>38.8090648715125</v>
      </c>
      <c r="L391" s="147">
        <f>'[50]2023-24'!$AY118/10^7</f>
        <v>50.69306084775</v>
      </c>
      <c r="M391" s="147">
        <f>'[50]2023-24'!$BE118/10^7</f>
        <v>42.4864002271795</v>
      </c>
      <c r="N391" s="147">
        <f>'[50]2023-24'!$BK118/10^7</f>
        <v>45.87785272963</v>
      </c>
      <c r="O391" s="147">
        <f>'[50]2023-24'!$BQ118/10^7</f>
        <v>42.7092197510124</v>
      </c>
      <c r="P391" s="147">
        <f>'[50]2023-24'!$BW118/10^7</f>
        <v>49.4051289728267</v>
      </c>
      <c r="Q391" s="690">
        <f t="shared" ref="Q391:Q396" si="187">SUM(E391:P391)</f>
        <v>545.99523087876</v>
      </c>
    </row>
    <row r="392" spans="3:17">
      <c r="C392" s="682"/>
      <c r="D392" s="55" t="s">
        <v>373</v>
      </c>
      <c r="E392" s="147">
        <f>'[50]2023-24'!$I119/10^7</f>
        <v>10.1628482246661</v>
      </c>
      <c r="F392" s="147">
        <f>'[50]2023-24'!$O119/10^7</f>
        <v>10.1699698758615</v>
      </c>
      <c r="G392" s="147">
        <f>'[50]2023-24'!$U119/10^7</f>
        <v>11.967046284156</v>
      </c>
      <c r="H392" s="147">
        <f>'[50]2023-24'!$AA119/10^7</f>
        <v>12.6940983828345</v>
      </c>
      <c r="I392" s="147">
        <f>'[50]2023-24'!$AG119/10^7</f>
        <v>14.9060534024338</v>
      </c>
      <c r="J392" s="147">
        <f>'[50]2023-24'!$AM119/10^7</f>
        <v>11.79717945675</v>
      </c>
      <c r="K392" s="147">
        <f>'[50]2023-24'!$AS119/10^7</f>
        <v>12.2488390940368</v>
      </c>
      <c r="L392" s="147">
        <f>'[50]2023-24'!$AY119/10^7</f>
        <v>12.4895414600805</v>
      </c>
      <c r="M392" s="147">
        <f>'[50]2023-24'!$BE119/10^7</f>
        <v>8.5830310086243</v>
      </c>
      <c r="N392" s="147">
        <f>'[50]2023-24'!$BK119/10^7</f>
        <v>11.123064706487</v>
      </c>
      <c r="O392" s="147">
        <f>'[50]2023-24'!$BQ119/10^7</f>
        <v>11.621256979971</v>
      </c>
      <c r="P392" s="147">
        <f>'[50]2023-24'!$BW119/10^7</f>
        <v>11.2017963147102</v>
      </c>
      <c r="Q392" s="690">
        <f t="shared" si="187"/>
        <v>138.964725190612</v>
      </c>
    </row>
    <row r="393" spans="3:17">
      <c r="C393" s="682"/>
      <c r="D393" s="55" t="s">
        <v>374</v>
      </c>
      <c r="E393" s="147">
        <f>'[50]2023-24'!$I122/10^7</f>
        <v>15.2654449379504</v>
      </c>
      <c r="F393" s="147">
        <f>'[50]2023-24'!$O122/10^7</f>
        <v>16.7381699509071</v>
      </c>
      <c r="G393" s="147">
        <f>'[50]2023-24'!$U122/10^7</f>
        <v>15.1528698824238</v>
      </c>
      <c r="H393" s="147">
        <f>'[50]2023-24'!$AA122/10^7</f>
        <v>18.6260336205638</v>
      </c>
      <c r="I393" s="147">
        <f>'[50]2023-24'!$AG122/10^7</f>
        <v>16.177842239277</v>
      </c>
      <c r="J393" s="147">
        <f>'[50]2023-24'!$AM122/10^7</f>
        <v>15.37203967175</v>
      </c>
      <c r="K393" s="147">
        <f>'[50]2023-24'!$AS122/10^7</f>
        <v>19.602660990383</v>
      </c>
      <c r="L393" s="147">
        <f>'[50]2023-24'!$AY122/10^7</f>
        <v>14.6894337817</v>
      </c>
      <c r="M393" s="147">
        <f>'[50]2023-24'!$BE122/10^7</f>
        <v>16.3277955453725</v>
      </c>
      <c r="N393" s="147">
        <f>'[50]2023-24'!$BK122/10^7</f>
        <v>14.748848140069</v>
      </c>
      <c r="O393" s="147">
        <f>'[50]2023-24'!$BQ122/10^7</f>
        <v>16.5157824564374</v>
      </c>
      <c r="P393" s="147">
        <f>'[50]2023-24'!$BW122/10^7</f>
        <v>17.04346421671</v>
      </c>
      <c r="Q393" s="690">
        <f t="shared" si="187"/>
        <v>196.260385433544</v>
      </c>
    </row>
    <row r="394" spans="3:17">
      <c r="C394" s="682"/>
      <c r="D394" s="55" t="s">
        <v>375</v>
      </c>
      <c r="E394" s="147">
        <f>'[50]2023-24'!$I120/10^7</f>
        <v>71.267414980672</v>
      </c>
      <c r="F394" s="147">
        <f>'[50]2023-24'!$O120/10^7</f>
        <v>45.251050443305</v>
      </c>
      <c r="G394" s="147">
        <f>'[50]2023-24'!$U120/10^7</f>
        <v>83.9917507594522</v>
      </c>
      <c r="H394" s="147">
        <f>'[50]2023-24'!$AA120/10^7</f>
        <v>87.6134241655645</v>
      </c>
      <c r="I394" s="147">
        <f>'[50]2023-24'!$AG120/10^7</f>
        <v>83.0902767534987</v>
      </c>
      <c r="J394" s="147">
        <f>'[50]2023-24'!$AM120/10^7</f>
        <v>73.27500567295</v>
      </c>
      <c r="K394" s="147">
        <f>'[50]2023-24'!$AS120/10^7</f>
        <v>82.0663254062636</v>
      </c>
      <c r="L394" s="147">
        <f>'[50]2023-24'!$AY120/10^7</f>
        <v>52.3393606028057</v>
      </c>
      <c r="M394" s="147">
        <f>'[50]2023-24'!$BE120/10^7</f>
        <v>39.6651500537445</v>
      </c>
      <c r="N394" s="147">
        <f>'[50]2023-24'!$BK120/10^7</f>
        <v>87.0449939117312</v>
      </c>
      <c r="O394" s="147">
        <f>'[50]2023-24'!$BQ120/10^7</f>
        <v>93.5163359506155</v>
      </c>
      <c r="P394" s="147">
        <f>'[50]2023-24'!$BW120/10^7</f>
        <v>90.2950387442207</v>
      </c>
      <c r="Q394" s="690">
        <f t="shared" si="187"/>
        <v>889.416127444824</v>
      </c>
    </row>
    <row r="395" spans="3:17">
      <c r="C395" s="682"/>
      <c r="D395" s="55" t="s">
        <v>376</v>
      </c>
      <c r="E395" s="147">
        <f>'[50]2023-24'!$I121/10^7</f>
        <v>38.0056591587503</v>
      </c>
      <c r="F395" s="147">
        <f>'[50]2023-24'!$O121/10^7</f>
        <v>19.9663267948982</v>
      </c>
      <c r="G395" s="147">
        <f>'[50]2023-24'!$U121/10^7</f>
        <v>37.5494652886255</v>
      </c>
      <c r="H395" s="147">
        <f>'[50]2023-24'!$AA121/10^7</f>
        <v>20.3843906148172</v>
      </c>
      <c r="I395" s="147">
        <f>'[50]2023-24'!$AG121/10^7</f>
        <v>29.6531886610988</v>
      </c>
      <c r="J395" s="147">
        <f>'[50]2023-24'!$AM121/10^7</f>
        <v>33.096960646</v>
      </c>
      <c r="K395" s="147">
        <f>'[50]2023-24'!$AS121/10^7</f>
        <v>33.8263741297252</v>
      </c>
      <c r="L395" s="147">
        <f>'[50]2023-24'!$AY121/10^7</f>
        <v>36.9112022184366</v>
      </c>
      <c r="M395" s="147">
        <f>'[50]2023-24'!$BE121/10^7</f>
        <v>42.7630861279314</v>
      </c>
      <c r="N395" s="147">
        <f>'[50]2023-24'!$BK121/10^7</f>
        <v>43.8799917804535</v>
      </c>
      <c r="O395" s="147">
        <f>'[50]2023-24'!$BQ121/10^7</f>
        <v>39.9599631546749</v>
      </c>
      <c r="P395" s="147">
        <f>'[50]2023-24'!$BW121/10^7</f>
        <v>40.6511193963508</v>
      </c>
      <c r="Q395" s="690">
        <f t="shared" si="187"/>
        <v>416.647727971762</v>
      </c>
    </row>
    <row r="396" spans="3:17">
      <c r="C396" s="682"/>
      <c r="D396" s="55" t="s">
        <v>377</v>
      </c>
      <c r="E396" s="147">
        <f>'[50]2023-24'!$I123/10^7</f>
        <v>13.2610585031393</v>
      </c>
      <c r="F396" s="147">
        <f>'[50]2023-24'!$O123/10^7</f>
        <v>17.5073660702614</v>
      </c>
      <c r="G396" s="147">
        <f>'[50]2023-24'!$U123/10^7</f>
        <v>38.1983436774045</v>
      </c>
      <c r="H396" s="147">
        <f>'[50]2023-24'!$AA123/10^7</f>
        <v>20.6225454447006</v>
      </c>
      <c r="I396" s="147">
        <f>'[50]2023-24'!$AG123/10^7</f>
        <v>37.1346641219606</v>
      </c>
      <c r="J396" s="147">
        <f>'[50]2023-24'!$AM123/10^7</f>
        <v>36.3849115074</v>
      </c>
      <c r="K396" s="147">
        <f>'[50]2023-24'!$AS123/10^7</f>
        <v>44.1086147439</v>
      </c>
      <c r="L396" s="147">
        <f>'[50]2023-24'!$AY123/10^7</f>
        <v>16.781935674308</v>
      </c>
      <c r="M396" s="147">
        <f>'[50]2023-24'!$BE123/10^7</f>
        <v>18.8561554550935</v>
      </c>
      <c r="N396" s="147">
        <f>'[50]2023-24'!$BK123/10^7</f>
        <v>41.3144603976984</v>
      </c>
      <c r="O396" s="147">
        <f>'[50]2023-24'!$BQ123/10^7</f>
        <v>23.2356149608075</v>
      </c>
      <c r="P396" s="147">
        <f>'[50]2023-24'!$BW123/10^7</f>
        <v>15.6143653514575</v>
      </c>
      <c r="Q396" s="690">
        <f t="shared" si="187"/>
        <v>323.020035908131</v>
      </c>
    </row>
    <row r="397" spans="3:17">
      <c r="C397" s="682"/>
      <c r="D397" s="55" t="s">
        <v>378</v>
      </c>
      <c r="E397" s="147">
        <f>'[50]2023-24'!$I136/10^7</f>
        <v>36.4390913676</v>
      </c>
      <c r="F397" s="147">
        <f>'[50]2023-24'!$O136/10^7</f>
        <v>31.2014664226</v>
      </c>
      <c r="G397" s="147">
        <f>'[50]2023-24'!$U136/10^7</f>
        <v>55.66753655035</v>
      </c>
      <c r="H397" s="147">
        <f>'[50]2023-24'!$AA136/10^7</f>
        <v>45.2249909858583</v>
      </c>
      <c r="I397" s="147">
        <f>'[50]2023-24'!$AG136/10^7</f>
        <v>48.1132794269588</v>
      </c>
      <c r="J397" s="147">
        <f>'[50]2023-24'!$AM136/10^7</f>
        <v>67.0839457043153</v>
      </c>
      <c r="K397" s="147">
        <f>'[50]2023-24'!$AS136/10^7</f>
        <v>56.3861199773</v>
      </c>
      <c r="L397" s="147">
        <f>'[50]2023-24'!$AY136/10^7</f>
        <v>60.89275160925</v>
      </c>
      <c r="M397" s="147">
        <f>'[50]2023-24'!$BE136/10^7</f>
        <v>46.20921199785</v>
      </c>
      <c r="N397" s="147">
        <f>'[50]2023-24'!$BK136/10^7</f>
        <v>41.61470519075</v>
      </c>
      <c r="O397" s="147">
        <f>'[50]2023-24'!$BQ136/10^7</f>
        <v>41.58619170275</v>
      </c>
      <c r="P397" s="147">
        <f>'[50]2023-24'!$BW136/10^7</f>
        <v>39.7734250443</v>
      </c>
      <c r="Q397" s="690">
        <f>SUM(E398:P398)</f>
        <v>122.904252687831</v>
      </c>
    </row>
    <row r="398" spans="3:17">
      <c r="C398" s="682"/>
      <c r="D398" s="55" t="s">
        <v>379</v>
      </c>
      <c r="E398" s="147">
        <f>'[50]2023-24'!$I135/10^7</f>
        <v>10.4371697888415</v>
      </c>
      <c r="F398" s="147">
        <f>'[50]2023-24'!$O135/10^7</f>
        <v>8.890115490272</v>
      </c>
      <c r="G398" s="147">
        <f>'[50]2023-24'!$U135/10^7</f>
        <v>9.642595928978</v>
      </c>
      <c r="H398" s="147">
        <f>'[50]2023-24'!$AA135/10^7</f>
        <v>8.635067855711</v>
      </c>
      <c r="I398" s="147">
        <f>'[50]2023-24'!$AG135/10^7</f>
        <v>11.4508530575315</v>
      </c>
      <c r="J398" s="147">
        <f>'[50]2023-24'!$AM135/10^7</f>
        <v>9.68748137979</v>
      </c>
      <c r="K398" s="147">
        <f>'[50]2023-24'!$AS135/10^7</f>
        <v>8.6711887819585</v>
      </c>
      <c r="L398" s="147">
        <f>'[50]2023-24'!$AY135/10^7</f>
        <v>8.1216703915415</v>
      </c>
      <c r="M398" s="147">
        <f>'[50]2023-24'!$BE135/10^7</f>
        <v>9.2014395962825</v>
      </c>
      <c r="N398" s="147">
        <f>'[50]2023-24'!$BK135/10^7</f>
        <v>10.4183629113035</v>
      </c>
      <c r="O398" s="147">
        <f>'[50]2023-24'!$BQ135/10^7</f>
        <v>12.9258819105476</v>
      </c>
      <c r="P398" s="147">
        <f>'[50]2023-24'!$BW135/10^7</f>
        <v>14.8224255950735</v>
      </c>
      <c r="Q398" s="690">
        <f>SUM(E397:P397)</f>
        <v>570.192715979882</v>
      </c>
    </row>
    <row r="399" spans="3:17">
      <c r="C399" s="682"/>
      <c r="D399" s="55" t="s">
        <v>380</v>
      </c>
      <c r="E399" s="147">
        <f>'[50]2023-24'!$I124/10^7</f>
        <v>0</v>
      </c>
      <c r="F399" s="147">
        <f>'[50]2023-24'!$O124/10^7</f>
        <v>0</v>
      </c>
      <c r="G399" s="147">
        <f>'[50]2023-24'!$U124/10^7</f>
        <v>0</v>
      </c>
      <c r="H399" s="147">
        <f>'[50]2023-24'!$AA124/10^7</f>
        <v>0</v>
      </c>
      <c r="I399" s="147">
        <f>'[50]2023-24'!$AG124/10^7</f>
        <v>0</v>
      </c>
      <c r="J399" s="147">
        <f>'[50]2023-24'!$AM124/10^7</f>
        <v>2.24051279</v>
      </c>
      <c r="K399" s="147">
        <f>'[50]2023-24'!$AS124/10^7</f>
        <v>142.461290787475</v>
      </c>
      <c r="L399" s="147">
        <f>'[50]2023-24'!$AY124/10^7</f>
        <v>50.8987677863</v>
      </c>
      <c r="M399" s="147">
        <f>'[50]2023-24'!$BE124/10^7</f>
        <v>51.8918481511797</v>
      </c>
      <c r="N399" s="147">
        <f>'[50]2023-24'!$BK124/10^7</f>
        <v>85.4403297331666</v>
      </c>
      <c r="O399" s="147">
        <f>'[50]2023-24'!$BQ124/10^7</f>
        <v>96.5088206880095</v>
      </c>
      <c r="P399" s="147">
        <f>'[50]2023-24'!$BW124/10^7</f>
        <v>209.792351416122</v>
      </c>
      <c r="Q399" s="690">
        <f t="shared" ref="Q399:Q406" si="188">SUM(E399:P399)</f>
        <v>639.233921352253</v>
      </c>
    </row>
    <row r="400" spans="3:17">
      <c r="C400" s="55"/>
      <c r="D400" s="55" t="s">
        <v>381</v>
      </c>
      <c r="E400" s="147">
        <f>'[50]2023-24'!$I106/10^7</f>
        <v>0.55304349595</v>
      </c>
      <c r="F400" s="147">
        <f>'[50]2023-24'!$O106/10^7</f>
        <v>0.39911383735</v>
      </c>
      <c r="G400" s="147">
        <f>'[50]2023-24'!$U106/10^7</f>
        <v>0.55886366459125</v>
      </c>
      <c r="H400" s="147">
        <f>'[50]2023-24'!$AA106/10^7</f>
        <v>0.44536035005</v>
      </c>
      <c r="I400" s="147">
        <f>'[50]2023-24'!$AG106/10^7</f>
        <v>0.4391637319</v>
      </c>
      <c r="J400" s="147">
        <f>'[50]2023-24'!$AM106/10^7</f>
        <v>0.9354352901</v>
      </c>
      <c r="K400" s="147">
        <f>'[50]2023-24'!$AS106/10^7</f>
        <v>0.7769672843272</v>
      </c>
      <c r="L400" s="147">
        <f>'[50]2023-24'!$AY106/10^7</f>
        <v>0.3747682606255</v>
      </c>
      <c r="M400" s="147">
        <f>'[50]2023-24'!$BE106/10^7</f>
        <v>5.1254086435606</v>
      </c>
      <c r="N400" s="147">
        <f>'[50]2023-24'!$BK106/10^7</f>
        <v>0.7509824560589</v>
      </c>
      <c r="O400" s="147">
        <f>'[50]2023-24'!$BQ106/10^7</f>
        <v>0.6446032048175</v>
      </c>
      <c r="P400" s="147">
        <f>'[50]2023-24'!$BW106/10^7</f>
        <v>0.7362739008285</v>
      </c>
      <c r="Q400" s="690">
        <f t="shared" si="188"/>
        <v>11.7399841201595</v>
      </c>
    </row>
    <row r="401" spans="3:17">
      <c r="C401" s="55"/>
      <c r="D401" s="55" t="s">
        <v>382</v>
      </c>
      <c r="E401" s="147">
        <f>'[50]2023-24'!$I107/10^7</f>
        <v>0.55017253425</v>
      </c>
      <c r="F401" s="147">
        <f>'[50]2023-24'!$O107/10^7</f>
        <v>0.1957457724</v>
      </c>
      <c r="G401" s="147">
        <f>'[50]2023-24'!$U107/10^7</f>
        <v>0.2841072487</v>
      </c>
      <c r="H401" s="147">
        <f>'[50]2023-24'!$AA107/10^7</f>
        <v>0.4847288727</v>
      </c>
      <c r="I401" s="147">
        <f>'[50]2023-24'!$AG107/10^7</f>
        <v>0.59484197225</v>
      </c>
      <c r="J401" s="147">
        <f>'[50]2023-24'!$AM107/10^7</f>
        <v>0.8721594120505</v>
      </c>
      <c r="K401" s="147">
        <f>'[50]2023-24'!$AS107/10^7</f>
        <v>0.80944350205</v>
      </c>
      <c r="L401" s="147">
        <f>'[50]2023-24'!$AY107/10^7</f>
        <v>0.12154633187515</v>
      </c>
      <c r="M401" s="147">
        <f>'[50]2023-24'!$BE107/10^7</f>
        <v>0.3215479680486</v>
      </c>
      <c r="N401" s="147">
        <f>'[50]2023-24'!$BK107/10^7</f>
        <v>0.6560344834015</v>
      </c>
      <c r="O401" s="147">
        <f>'[50]2023-24'!$BQ107/10^7</f>
        <v>0.5644682028015</v>
      </c>
      <c r="P401" s="147">
        <f>'[50]2023-24'!$BW107/10^7</f>
        <v>0.7228266672825</v>
      </c>
      <c r="Q401" s="690">
        <f t="shared" si="188"/>
        <v>6.17762296780975</v>
      </c>
    </row>
    <row r="402" spans="3:17">
      <c r="C402" s="55"/>
      <c r="D402" s="55" t="s">
        <v>383</v>
      </c>
      <c r="E402" s="147">
        <f>'[50]2023-24'!$I108/10^7</f>
        <v>7.3438812261</v>
      </c>
      <c r="F402" s="147">
        <f>'[50]2023-24'!$O108/10^7</f>
        <v>6.07340997322575</v>
      </c>
      <c r="G402" s="147">
        <f>'[50]2023-24'!$U108/10^7</f>
        <v>7.0987696433</v>
      </c>
      <c r="H402" s="147">
        <f>'[50]2023-24'!$AA108/10^7</f>
        <v>7.11112219376775</v>
      </c>
      <c r="I402" s="147">
        <f>'[50]2023-24'!$AG108/10^7</f>
        <v>4.77696921385</v>
      </c>
      <c r="J402" s="147">
        <f>'[50]2023-24'!$AM108/10^7</f>
        <v>4.12301657135</v>
      </c>
      <c r="K402" s="147">
        <f>'[50]2023-24'!$AS108/10^7</f>
        <v>6.60524466715</v>
      </c>
      <c r="L402" s="147">
        <f>'[50]2023-24'!$AY108/10^7</f>
        <v>6.5652434521</v>
      </c>
      <c r="M402" s="147">
        <f>'[50]2023-24'!$BE108/10^7</f>
        <v>7.5553697433584</v>
      </c>
      <c r="N402" s="147">
        <f>'[50]2023-24'!$BK108/10^7</f>
        <v>7.86347386285</v>
      </c>
      <c r="O402" s="147">
        <f>'[50]2023-24'!$BQ108/10^7</f>
        <v>5.3625731230216</v>
      </c>
      <c r="P402" s="147">
        <f>'[50]2023-24'!$BW108/10^7</f>
        <v>7.96619852899</v>
      </c>
      <c r="Q402" s="690">
        <f t="shared" si="188"/>
        <v>78.4452721990635</v>
      </c>
    </row>
    <row r="403" spans="3:17">
      <c r="C403" s="55"/>
      <c r="D403" s="55" t="s">
        <v>384</v>
      </c>
      <c r="E403" s="147">
        <f>'[50]2023-24'!$I109/10^7</f>
        <v>0.7228309258216</v>
      </c>
      <c r="F403" s="147">
        <f>'[50]2023-24'!$O109/10^7</f>
        <v>0.5222586773679</v>
      </c>
      <c r="G403" s="147">
        <f>'[50]2023-24'!$U109/10^7</f>
        <v>0.46587106935</v>
      </c>
      <c r="H403" s="147">
        <f>'[50]2023-24'!$AA109/10^7</f>
        <v>1.0362413837006</v>
      </c>
      <c r="I403" s="147">
        <f>'[50]2023-24'!$AG109/10^7</f>
        <v>0.6714664494426</v>
      </c>
      <c r="J403" s="147">
        <f>'[50]2023-24'!$AM109/10^7</f>
        <v>1.0515006148395</v>
      </c>
      <c r="K403" s="147">
        <f>'[50]2023-24'!$AS109/10^7</f>
        <v>0.7228773082136</v>
      </c>
      <c r="L403" s="147">
        <f>'[50]2023-24'!$AY109/10^7</f>
        <v>0.3740375802017</v>
      </c>
      <c r="M403" s="147">
        <f>'[50]2023-24'!$BE109/10^7</f>
        <v>0.4198656073748</v>
      </c>
      <c r="N403" s="147">
        <f>'[50]2023-24'!$BK109/10^7</f>
        <v>0.9614538440903</v>
      </c>
      <c r="O403" s="147">
        <f>'[50]2023-24'!$BQ109/10^7</f>
        <v>0.7239722476</v>
      </c>
      <c r="P403" s="147">
        <f>'[50]2023-24'!$BW109/10^7</f>
        <v>0.74962496237825</v>
      </c>
      <c r="Q403" s="690">
        <f t="shared" si="188"/>
        <v>8.42200067038085</v>
      </c>
    </row>
    <row r="404" spans="3:17">
      <c r="C404" s="55"/>
      <c r="D404" s="55" t="s">
        <v>385</v>
      </c>
      <c r="E404" s="147">
        <f>'[50]2023-24'!$I110/10^7</f>
        <v>0.5866508375898</v>
      </c>
      <c r="F404" s="147">
        <f>'[50]2023-24'!$O110/10^7</f>
        <v>0.3771332088</v>
      </c>
      <c r="G404" s="147">
        <f>'[50]2023-24'!$U110/10^7</f>
        <v>0.435122283616</v>
      </c>
      <c r="H404" s="147">
        <f>'[50]2023-24'!$AA110/10^7</f>
        <v>0.66525115445</v>
      </c>
      <c r="I404" s="147">
        <f>'[50]2023-24'!$AG110/10^7</f>
        <v>0.283000275459</v>
      </c>
      <c r="J404" s="147">
        <f>'[50]2023-24'!$AM110/10^7</f>
        <v>0.600515353503</v>
      </c>
      <c r="K404" s="147">
        <f>'[50]2023-24'!$AS110/10^7</f>
        <v>0.4593638884068</v>
      </c>
      <c r="L404" s="147">
        <f>'[50]2023-24'!$AY110/10^7</f>
        <v>0.50945853343095</v>
      </c>
      <c r="M404" s="147">
        <f>'[50]2023-24'!$BE110/10^7</f>
        <v>0.31684669051875</v>
      </c>
      <c r="N404" s="147">
        <f>'[50]2023-24'!$BK110/10^7</f>
        <v>0.42729997335</v>
      </c>
      <c r="O404" s="147">
        <f>'[50]2023-24'!$BQ110/10^7</f>
        <v>0.28002322208</v>
      </c>
      <c r="P404" s="147">
        <f>'[50]2023-24'!$BW110/10^7</f>
        <v>0.454147960691</v>
      </c>
      <c r="Q404" s="690">
        <f t="shared" si="188"/>
        <v>5.3948133818953</v>
      </c>
    </row>
    <row r="405" spans="3:17">
      <c r="C405" s="55"/>
      <c r="D405" s="55" t="s">
        <v>386</v>
      </c>
      <c r="E405" s="147">
        <f>'[50]2023-24'!$I125/10^7</f>
        <v>13.966649579168</v>
      </c>
      <c r="F405" s="147">
        <f>'[50]2023-24'!$O125/10^7</f>
        <v>10.9311577990337</v>
      </c>
      <c r="G405" s="147">
        <f>'[50]2023-24'!$U125/10^7</f>
        <v>12.5952337901</v>
      </c>
      <c r="H405" s="147">
        <f>'[50]2023-24'!$AA125/10^7</f>
        <v>16.4190690708542</v>
      </c>
      <c r="I405" s="147">
        <f>'[50]2023-24'!$AG125/10^7</f>
        <v>14.1558564401443</v>
      </c>
      <c r="J405" s="147">
        <f>'[50]2023-24'!$AM125/10^7</f>
        <v>10.83275517165</v>
      </c>
      <c r="K405" s="147">
        <f>'[50]2023-24'!$AS125/10^7</f>
        <v>11.5811133464199</v>
      </c>
      <c r="L405" s="147">
        <f>'[50]2023-24'!$AY125/10^7</f>
        <v>5.460421833712</v>
      </c>
      <c r="M405" s="147">
        <f>'[50]2023-24'!$BE125/10^7</f>
        <v>8.5845953027685</v>
      </c>
      <c r="N405" s="147">
        <f>'[50]2023-24'!$BK125/10^7</f>
        <v>4.88064446165837</v>
      </c>
      <c r="O405" s="147">
        <f>'[50]2023-24'!$BQ125/10^7</f>
        <v>4.6268306445833</v>
      </c>
      <c r="P405" s="147">
        <f>'[50]2023-24'!$BW125/10^7</f>
        <v>7.127356383365</v>
      </c>
      <c r="Q405" s="690">
        <f t="shared" si="188"/>
        <v>121.161683823457</v>
      </c>
    </row>
    <row r="406" spans="3:17">
      <c r="C406" s="55"/>
      <c r="D406" s="55" t="s">
        <v>387</v>
      </c>
      <c r="E406" s="147">
        <f>'[50]2023-24'!$I126/10^7</f>
        <v>18.3510340929</v>
      </c>
      <c r="F406" s="147">
        <f>'[50]2023-24'!$O126/10^7</f>
        <v>12.1925689596</v>
      </c>
      <c r="G406" s="147">
        <f>'[50]2023-24'!$U126/10^7</f>
        <v>19.7221006764</v>
      </c>
      <c r="H406" s="147">
        <f>'[50]2023-24'!$AA126/10^7</f>
        <v>13.0205355758</v>
      </c>
      <c r="I406" s="147">
        <f>'[50]2023-24'!$AG126/10^7</f>
        <v>11.343153297812</v>
      </c>
      <c r="J406" s="147">
        <f>'[50]2023-24'!$AM126/10^7</f>
        <v>20.2722103424162</v>
      </c>
      <c r="K406" s="147">
        <f>'[50]2023-24'!$AS126/10^7</f>
        <v>24.5163548519</v>
      </c>
      <c r="L406" s="147">
        <f>'[50]2023-24'!$AY126/10^7</f>
        <v>13.5582737431</v>
      </c>
      <c r="M406" s="147">
        <f>'[50]2023-24'!$BE126/10^7</f>
        <v>9.77266617492485</v>
      </c>
      <c r="N406" s="147">
        <f>'[50]2023-24'!$BK126/10^7</f>
        <v>14.6147551216225</v>
      </c>
      <c r="O406" s="147">
        <f>'[50]2023-24'!$BQ126/10^7</f>
        <v>13.0746604414284</v>
      </c>
      <c r="P406" s="147">
        <f>'[50]2023-24'!$BW126/10^7</f>
        <v>17.7515498752683</v>
      </c>
      <c r="Q406" s="690">
        <f t="shared" si="188"/>
        <v>188.189863153172</v>
      </c>
    </row>
    <row r="407" spans="3:17">
      <c r="C407" s="55"/>
      <c r="D407" s="731" t="s">
        <v>467</v>
      </c>
      <c r="E407" s="147">
        <f>'[50]2023-24'!$I111/10^7</f>
        <v>0</v>
      </c>
      <c r="F407" s="147">
        <f>'[50]2023-24'!$O111/10^7</f>
        <v>0</v>
      </c>
      <c r="G407" s="147">
        <f>'[50]2023-24'!$U111/10^7</f>
        <v>0.04376931079785</v>
      </c>
      <c r="H407" s="147">
        <f>'[50]2023-24'!$AA111/10^7</f>
        <v>0</v>
      </c>
      <c r="I407" s="147">
        <f>'[50]2023-24'!$AG111/10^7</f>
        <v>0</v>
      </c>
      <c r="J407" s="147">
        <f>'[50]2023-24'!$AM111/10^7</f>
        <v>0</v>
      </c>
      <c r="K407" s="147">
        <f>'[50]2023-24'!$AS111/10^7</f>
        <v>0</v>
      </c>
      <c r="L407" s="147">
        <f>'[50]2023-24'!$AY111/10^7</f>
        <v>0</v>
      </c>
      <c r="M407" s="147">
        <f>'[50]2023-24'!$BE111/10^7</f>
        <v>0</v>
      </c>
      <c r="N407" s="147">
        <f>'[50]2023-24'!$BK111/10^7</f>
        <v>0</v>
      </c>
      <c r="O407" s="147">
        <f>'[50]2023-24'!$BQ111/10^7</f>
        <v>0</v>
      </c>
      <c r="P407" s="147">
        <f>'[50]2023-24'!$BW111/10^7</f>
        <v>0</v>
      </c>
      <c r="Q407" s="690">
        <f t="shared" ref="Q407:Q413" si="189">SUM(E408:P408)</f>
        <v>0.302846962638</v>
      </c>
    </row>
    <row r="408" spans="3:17">
      <c r="C408" s="55"/>
      <c r="D408" s="731" t="s">
        <v>468</v>
      </c>
      <c r="E408" s="147">
        <f>'[50]2023-24'!$I112/10^7</f>
        <v>0</v>
      </c>
      <c r="F408" s="147">
        <f>'[50]2023-24'!$O112/10^7</f>
        <v>0</v>
      </c>
      <c r="G408" s="147">
        <f>'[50]2023-24'!$U112/10^7</f>
        <v>0.312706184038</v>
      </c>
      <c r="H408" s="147">
        <f>'[50]2023-24'!$AA112/10^7</f>
        <v>0</v>
      </c>
      <c r="I408" s="147">
        <f>'[50]2023-24'!$AG112/10^7</f>
        <v>0</v>
      </c>
      <c r="J408" s="147">
        <f>'[50]2023-24'!$AM112/10^7</f>
        <v>0</v>
      </c>
      <c r="K408" s="147">
        <f>'[50]2023-24'!$AS112/10^7</f>
        <v>0</v>
      </c>
      <c r="L408" s="147">
        <f>'[50]2023-24'!$AY112/10^7</f>
        <v>0</v>
      </c>
      <c r="M408" s="147">
        <f>'[50]2023-24'!$BE112/10^7</f>
        <v>0</v>
      </c>
      <c r="N408" s="147">
        <f>'[50]2023-24'!$BK112/10^7</f>
        <v>0</v>
      </c>
      <c r="O408" s="147">
        <f>'[50]2023-24'!$BQ112/10^7</f>
        <v>-0.0098592214</v>
      </c>
      <c r="P408" s="147">
        <f>'[50]2023-24'!$BW112/10^7</f>
        <v>0</v>
      </c>
      <c r="Q408" s="690">
        <f t="shared" si="189"/>
        <v>0.0576438652</v>
      </c>
    </row>
    <row r="409" spans="3:17">
      <c r="C409" s="55"/>
      <c r="D409" s="687" t="s">
        <v>470</v>
      </c>
      <c r="E409" s="147">
        <f>'[50]2023-24'!$I114/10^7</f>
        <v>0</v>
      </c>
      <c r="F409" s="147">
        <f>'[50]2023-24'!$O114/10^7</f>
        <v>0.0576438652</v>
      </c>
      <c r="G409" s="147">
        <f>'[50]2023-24'!$U114/10^7</f>
        <v>0</v>
      </c>
      <c r="H409" s="147">
        <f>'[50]2023-24'!$AA114/10^7</f>
        <v>0</v>
      </c>
      <c r="I409" s="147">
        <f>'[50]2023-24'!$AG114/10^7</f>
        <v>0</v>
      </c>
      <c r="J409" s="147">
        <f>'[50]2023-24'!$AM114/10^7</f>
        <v>0</v>
      </c>
      <c r="K409" s="147">
        <f>'[50]2023-24'!$AS114/10^7</f>
        <v>0</v>
      </c>
      <c r="L409" s="147">
        <f>'[50]2023-24'!$AY114/10^7</f>
        <v>0</v>
      </c>
      <c r="M409" s="147">
        <f>'[50]2023-24'!$BE114/10^7</f>
        <v>0</v>
      </c>
      <c r="N409" s="147">
        <f>'[50]2023-24'!$BK114/10^7</f>
        <v>0</v>
      </c>
      <c r="O409" s="147">
        <f>'[50]2023-24'!$BQ114/10^7</f>
        <v>0</v>
      </c>
      <c r="P409" s="147">
        <f>'[50]2023-24'!$BW114/10^7</f>
        <v>0</v>
      </c>
      <c r="Q409" s="690">
        <f t="shared" si="189"/>
        <v>1.0884353247545</v>
      </c>
    </row>
    <row r="410" spans="3:17">
      <c r="C410" s="55"/>
      <c r="D410" s="687" t="s">
        <v>471</v>
      </c>
      <c r="E410" s="147">
        <f>'[50]2023-24'!$I115/10^7</f>
        <v>0</v>
      </c>
      <c r="F410" s="147">
        <f>'[50]2023-24'!$O115/10^7</f>
        <v>0.11203699805</v>
      </c>
      <c r="G410" s="147">
        <f>'[50]2023-24'!$U115/10^7</f>
        <v>0</v>
      </c>
      <c r="H410" s="147">
        <f>'[50]2023-24'!$AA115/10^7</f>
        <v>0</v>
      </c>
      <c r="I410" s="147">
        <f>'[50]2023-24'!$AG115/10^7</f>
        <v>0</v>
      </c>
      <c r="J410" s="147">
        <f>'[50]2023-24'!$AM115/10^7</f>
        <v>0</v>
      </c>
      <c r="K410" s="147">
        <f>'[50]2023-24'!$AS115/10^7</f>
        <v>0</v>
      </c>
      <c r="L410" s="147">
        <f>'[50]2023-24'!$AY115/10^7</f>
        <v>0</v>
      </c>
      <c r="M410" s="147">
        <f>'[50]2023-24'!$BE115/10^7</f>
        <v>-0.00655261345</v>
      </c>
      <c r="N410" s="147">
        <f>'[50]2023-24'!$BK115/10^7</f>
        <v>0</v>
      </c>
      <c r="O410" s="147">
        <f>'[50]2023-24'!$BQ115/10^7</f>
        <v>0</v>
      </c>
      <c r="P410" s="147">
        <f>('[50]2023-24'!$BW115+'[50]2023-24'!$CC$115)/10^7</f>
        <v>0.9829509401545</v>
      </c>
      <c r="Q410" s="690">
        <f t="shared" si="189"/>
        <v>0.0198787324</v>
      </c>
    </row>
    <row r="411" spans="3:17">
      <c r="C411" s="55"/>
      <c r="D411" s="731" t="s">
        <v>472</v>
      </c>
      <c r="E411" s="147">
        <f>'[50]2023-24'!$I116/10^7</f>
        <v>0</v>
      </c>
      <c r="F411" s="147">
        <f>'[50]2023-24'!$O116/10^7</f>
        <v>0</v>
      </c>
      <c r="G411" s="147">
        <f>'[50]2023-24'!$U116/10^7</f>
        <v>0</v>
      </c>
      <c r="H411" s="147">
        <f>'[50]2023-24'!$AA116/10^7</f>
        <v>0</v>
      </c>
      <c r="I411" s="147">
        <f>'[50]2023-24'!$AG116/10^7</f>
        <v>0</v>
      </c>
      <c r="J411" s="147">
        <f>'[50]2023-24'!$AM116/10^7</f>
        <v>0</v>
      </c>
      <c r="K411" s="147">
        <f>'[50]2023-24'!$AS116/10^7</f>
        <v>0.01585434875</v>
      </c>
      <c r="L411" s="147">
        <f>'[50]2023-24'!$AY116/10^7</f>
        <v>-0.00058930415</v>
      </c>
      <c r="M411" s="147">
        <f>'[50]2023-24'!$BE116/10^7</f>
        <v>0</v>
      </c>
      <c r="N411" s="147">
        <f>'[50]2023-24'!$BK116/10^7</f>
        <v>0</v>
      </c>
      <c r="O411" s="147">
        <f>'[50]2023-24'!$BQ116/10^7</f>
        <v>0.0080494728</v>
      </c>
      <c r="P411" s="147">
        <f>'[50]2023-24'!$BW116/10^7</f>
        <v>-0.003435785</v>
      </c>
      <c r="Q411" s="690">
        <f t="shared" si="189"/>
        <v>0</v>
      </c>
    </row>
    <row r="412" spans="3:17">
      <c r="C412" s="55"/>
      <c r="D412" s="731" t="s">
        <v>473</v>
      </c>
      <c r="E412" s="147">
        <f>'[50]2023-24'!$I117/10^7</f>
        <v>0</v>
      </c>
      <c r="F412" s="147">
        <f>'[50]2023-24'!$O117/10^7</f>
        <v>0</v>
      </c>
      <c r="G412" s="147">
        <f>'[50]2023-24'!$U117/10^7</f>
        <v>0</v>
      </c>
      <c r="H412" s="147">
        <f>'[50]2023-24'!$AA117/10^7</f>
        <v>0</v>
      </c>
      <c r="I412" s="147">
        <f>'[50]2023-24'!$AG117/10^7</f>
        <v>0</v>
      </c>
      <c r="J412" s="147">
        <f>'[50]2023-24'!$AM117/10^7</f>
        <v>0</v>
      </c>
      <c r="K412" s="147">
        <f>'[50]2023-24'!$AS117/10^7</f>
        <v>0</v>
      </c>
      <c r="L412" s="147">
        <f>'[50]2023-24'!$AY117/10^7</f>
        <v>0</v>
      </c>
      <c r="M412" s="147">
        <f>'[50]2023-24'!$BE117/10^7</f>
        <v>0</v>
      </c>
      <c r="N412" s="147">
        <f>'[50]2023-24'!$BK117/10^7</f>
        <v>0</v>
      </c>
      <c r="O412" s="147">
        <f>'[50]2023-24'!$BQ117/10^7</f>
        <v>0</v>
      </c>
      <c r="P412" s="147">
        <f>'[50]2023-24'!$BW117/10^7</f>
        <v>0</v>
      </c>
      <c r="Q412" s="690">
        <f t="shared" si="189"/>
        <v>0</v>
      </c>
    </row>
    <row r="413" spans="3:17">
      <c r="C413" s="55"/>
      <c r="D413" s="679" t="s">
        <v>498</v>
      </c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690">
        <f t="shared" si="189"/>
        <v>0</v>
      </c>
    </row>
    <row r="414" spans="3:17"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690">
        <f>SUM(E414:P414)</f>
        <v>0</v>
      </c>
    </row>
    <row r="415" spans="3:17"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690">
        <f>SUM(E415:P415)</f>
        <v>0</v>
      </c>
    </row>
    <row r="416" ht="15" spans="3:17">
      <c r="C416" s="537" t="s">
        <v>211</v>
      </c>
      <c r="D416" s="537"/>
      <c r="E416" s="690">
        <f t="shared" ref="E416:P416" si="190">SUM(E391:E415)</f>
        <v>282.802720136316</v>
      </c>
      <c r="F416" s="690">
        <f t="shared" si="190"/>
        <v>222.959149549973</v>
      </c>
      <c r="G416" s="690">
        <f t="shared" si="190"/>
        <v>331.121858230419</v>
      </c>
      <c r="H416" s="690">
        <f t="shared" si="190"/>
        <v>301.50258711786</v>
      </c>
      <c r="I416" s="690">
        <f t="shared" si="190"/>
        <v>325.582941743985</v>
      </c>
      <c r="J416" s="690">
        <f t="shared" si="190"/>
        <v>336.628981034964</v>
      </c>
      <c r="K416" s="690">
        <f t="shared" si="190"/>
        <v>483.667697979772</v>
      </c>
      <c r="L416" s="690">
        <f t="shared" si="190"/>
        <v>330.780884803068</v>
      </c>
      <c r="M416" s="690">
        <f t="shared" si="190"/>
        <v>308.073865680362</v>
      </c>
      <c r="N416" s="690">
        <f t="shared" si="190"/>
        <v>411.617253704321</v>
      </c>
      <c r="O416" s="690">
        <f t="shared" si="190"/>
        <v>403.854388892558</v>
      </c>
      <c r="P416" s="690">
        <f t="shared" si="190"/>
        <v>525.08660848573</v>
      </c>
      <c r="Q416" s="693">
        <f>SUM(E416:P416)</f>
        <v>4263.67893735933</v>
      </c>
    </row>
    <row r="417" ht="15" spans="3:17">
      <c r="C417" s="44" t="s">
        <v>388</v>
      </c>
      <c r="D417" s="44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</row>
    <row r="418" spans="3:17">
      <c r="C418" s="682" t="s">
        <v>389</v>
      </c>
      <c r="D418" s="55" t="s">
        <v>390</v>
      </c>
      <c r="E418" s="147">
        <f>'[50]2023-24'!$I104/10^7</f>
        <v>1.21228527195</v>
      </c>
      <c r="F418" s="147">
        <f>'[50]2023-24'!$O104/10^7</f>
        <v>1.24475788485</v>
      </c>
      <c r="G418" s="147">
        <f>'[50]2023-24'!$U104/10^7</f>
        <v>1.11429273295</v>
      </c>
      <c r="H418" s="147">
        <f>'[50]2023-24'!$AA104/10^7</f>
        <v>0</v>
      </c>
      <c r="I418" s="147">
        <f>'[50]2023-24'!$AG104/10^7</f>
        <v>0</v>
      </c>
      <c r="J418" s="147">
        <f>'[50]2023-24'!$AM104/10^7</f>
        <v>0.6084106421</v>
      </c>
      <c r="K418" s="147">
        <f>'[50]2023-24'!$AS104/10^7</f>
        <v>1.06756902005</v>
      </c>
      <c r="L418" s="147">
        <f>'[50]2023-24'!$AY104/10^7</f>
        <v>1.2012786959</v>
      </c>
      <c r="M418" s="147">
        <f>'[50]2023-24'!$BE104/10^7</f>
        <v>1.30724571305</v>
      </c>
      <c r="N418" s="147">
        <f>'[50]2023-24'!$BK104/10^7</f>
        <v>1.25285970575</v>
      </c>
      <c r="O418" s="147">
        <f>'[50]2023-24'!$BQ104/10^7</f>
        <v>1.12905461495</v>
      </c>
      <c r="P418" s="147">
        <f>'[50]2023-24'!$BW104/10^7</f>
        <v>1.24918786045</v>
      </c>
      <c r="Q418" s="690">
        <f t="shared" ref="Q418:Q432" si="191">SUM(E418:P418)</f>
        <v>11.386942142</v>
      </c>
    </row>
    <row r="419" spans="3:17">
      <c r="C419" s="682"/>
      <c r="D419" s="55" t="s">
        <v>391</v>
      </c>
      <c r="E419" s="147">
        <f>'[50]2023-24'!$I103/10^7</f>
        <v>23.497565019</v>
      </c>
      <c r="F419" s="147">
        <f>'[50]2023-24'!$O103/10^7</f>
        <v>21.146160328</v>
      </c>
      <c r="G419" s="147">
        <f>'[50]2023-24'!$U103/10^7</f>
        <v>20.33767447165</v>
      </c>
      <c r="H419" s="147">
        <f>'[50]2023-24'!$AA103/10^7</f>
        <v>22.25206791125</v>
      </c>
      <c r="I419" s="147">
        <f>'[50]2023-24'!$AG103/10^7</f>
        <v>24.10334167685</v>
      </c>
      <c r="J419" s="147">
        <f>'[50]2023-24'!$AM103/10^7</f>
        <v>23.25745888815</v>
      </c>
      <c r="K419" s="147">
        <f>'[50]2023-24'!$AS103/10^7</f>
        <v>19.5702997935</v>
      </c>
      <c r="L419" s="147">
        <f>'[50]2023-24'!$AY103/10^7</f>
        <v>21.523207748</v>
      </c>
      <c r="M419" s="147">
        <f>'[50]2023-24'!$BE103/10^7</f>
        <v>23.9939827568</v>
      </c>
      <c r="N419" s="147">
        <f>'[50]2023-24'!$BK103/10^7</f>
        <v>22.18500294015</v>
      </c>
      <c r="O419" s="147">
        <f>'[50]2023-24'!$BQ103/10^7</f>
        <v>23.2580426894</v>
      </c>
      <c r="P419" s="147">
        <f>('[50]2023-24'!$BW103+'[50]2023-24'!$CC$103)/10^7</f>
        <v>24.79285067275</v>
      </c>
      <c r="Q419" s="690">
        <f t="shared" si="191"/>
        <v>269.9176548955</v>
      </c>
    </row>
    <row r="420" spans="3:17">
      <c r="C420" s="682"/>
      <c r="D420" s="55" t="s">
        <v>392</v>
      </c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690">
        <f t="shared" si="191"/>
        <v>0</v>
      </c>
    </row>
    <row r="421" spans="3:17">
      <c r="C421" s="682"/>
      <c r="D421" s="55" t="s">
        <v>393</v>
      </c>
      <c r="E421" s="147">
        <f>'[50]2023-24'!$I105/10^7</f>
        <v>8.4428858446</v>
      </c>
      <c r="F421" s="147">
        <f>'[50]2023-24'!$O105/10^7</f>
        <v>2.3870962182</v>
      </c>
      <c r="G421" s="147">
        <f>'[50]2023-24'!$U105/10^7</f>
        <v>0.86931392525</v>
      </c>
      <c r="H421" s="147">
        <f>'[50]2023-24'!$AA105/10^7</f>
        <v>3.11568419955</v>
      </c>
      <c r="I421" s="147">
        <f>'[50]2023-24'!$AG105/10^7</f>
        <v>11.21276851365</v>
      </c>
      <c r="J421" s="147">
        <f>'[50]2023-24'!$AM105/10^7</f>
        <v>11.02591556875</v>
      </c>
      <c r="K421" s="147">
        <f>'[50]2023-24'!$AS105/10^7</f>
        <v>11.5417809079</v>
      </c>
      <c r="L421" s="147">
        <f>'[50]2023-24'!$AY105/10^7</f>
        <v>11.3464505339</v>
      </c>
      <c r="M421" s="147">
        <f>'[50]2023-24'!$BE105/10^7</f>
        <v>8.785965415</v>
      </c>
      <c r="N421" s="147">
        <f>'[50]2023-24'!$BK105/10^7</f>
        <v>11.4219408682</v>
      </c>
      <c r="O421" s="147">
        <f>'[50]2023-24'!$BQ105/10^7</f>
        <v>9.67455910315</v>
      </c>
      <c r="P421" s="147">
        <f>'[50]2023-24'!$BW105/10^7</f>
        <v>10.4606190899</v>
      </c>
      <c r="Q421" s="690">
        <f t="shared" si="191"/>
        <v>100.28498018805</v>
      </c>
    </row>
    <row r="422" spans="3:17"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690">
        <f t="shared" si="191"/>
        <v>0</v>
      </c>
    </row>
    <row r="423" spans="3:17"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690">
        <f t="shared" si="191"/>
        <v>0</v>
      </c>
    </row>
    <row r="424" spans="3:17"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690">
        <f t="shared" si="191"/>
        <v>0</v>
      </c>
    </row>
    <row r="425" spans="3:17"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690">
        <f t="shared" si="191"/>
        <v>0</v>
      </c>
    </row>
    <row r="426" spans="3:17"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690">
        <f t="shared" si="191"/>
        <v>0</v>
      </c>
    </row>
    <row r="427" spans="3:17"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690">
        <f t="shared" si="191"/>
        <v>0</v>
      </c>
    </row>
    <row r="428" spans="3:17"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690">
        <f t="shared" si="191"/>
        <v>0</v>
      </c>
    </row>
    <row r="429" spans="3:17"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690">
        <f t="shared" si="191"/>
        <v>0</v>
      </c>
    </row>
    <row r="430" spans="3:17"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690">
        <f t="shared" si="191"/>
        <v>0</v>
      </c>
    </row>
    <row r="431" spans="3:17"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690">
        <f t="shared" si="191"/>
        <v>0</v>
      </c>
    </row>
    <row r="432" ht="15" spans="3:17">
      <c r="C432" s="537" t="s">
        <v>211</v>
      </c>
      <c r="D432" s="537"/>
      <c r="E432" s="690">
        <f t="shared" ref="E432:P432" si="192">SUM(E418:E431)</f>
        <v>33.15273613555</v>
      </c>
      <c r="F432" s="690">
        <f t="shared" si="192"/>
        <v>24.77801443105</v>
      </c>
      <c r="G432" s="690">
        <f t="shared" si="192"/>
        <v>22.32128112985</v>
      </c>
      <c r="H432" s="690">
        <f t="shared" si="192"/>
        <v>25.3677521108</v>
      </c>
      <c r="I432" s="690">
        <f t="shared" si="192"/>
        <v>35.3161101905</v>
      </c>
      <c r="J432" s="690">
        <f t="shared" si="192"/>
        <v>34.891785099</v>
      </c>
      <c r="K432" s="690">
        <f t="shared" si="192"/>
        <v>32.17964972145</v>
      </c>
      <c r="L432" s="690">
        <f t="shared" si="192"/>
        <v>34.0709369778</v>
      </c>
      <c r="M432" s="690">
        <f t="shared" si="192"/>
        <v>34.08719388485</v>
      </c>
      <c r="N432" s="690">
        <f t="shared" si="192"/>
        <v>34.8598035141</v>
      </c>
      <c r="O432" s="690">
        <f t="shared" si="192"/>
        <v>34.0616564075</v>
      </c>
      <c r="P432" s="690">
        <f t="shared" si="192"/>
        <v>36.5026576231</v>
      </c>
      <c r="Q432" s="693">
        <f t="shared" si="191"/>
        <v>381.58957722555</v>
      </c>
    </row>
    <row r="433" ht="15" spans="3:17">
      <c r="C433" s="44" t="s">
        <v>395</v>
      </c>
      <c r="D433" s="44"/>
      <c r="E433" s="690">
        <f t="shared" ref="E433:Q433" si="193">E416+E432</f>
        <v>315.955456271866</v>
      </c>
      <c r="F433" s="690">
        <f t="shared" si="193"/>
        <v>247.737163981023</v>
      </c>
      <c r="G433" s="690">
        <f t="shared" si="193"/>
        <v>353.443139360269</v>
      </c>
      <c r="H433" s="690">
        <f t="shared" si="193"/>
        <v>326.87033922866</v>
      </c>
      <c r="I433" s="690">
        <f t="shared" si="193"/>
        <v>360.899051934485</v>
      </c>
      <c r="J433" s="690">
        <f t="shared" si="193"/>
        <v>371.520766133964</v>
      </c>
      <c r="K433" s="690">
        <f t="shared" si="193"/>
        <v>515.847347701222</v>
      </c>
      <c r="L433" s="690">
        <f t="shared" si="193"/>
        <v>364.851821780868</v>
      </c>
      <c r="M433" s="690">
        <f t="shared" si="193"/>
        <v>342.161059565212</v>
      </c>
      <c r="N433" s="690">
        <f t="shared" si="193"/>
        <v>446.477057218421</v>
      </c>
      <c r="O433" s="690">
        <f t="shared" si="193"/>
        <v>437.916045300058</v>
      </c>
      <c r="P433" s="690">
        <f t="shared" si="193"/>
        <v>561.58926610883</v>
      </c>
      <c r="Q433" s="693">
        <f t="shared" si="193"/>
        <v>4645.26851458488</v>
      </c>
    </row>
    <row r="434" ht="15" spans="3:17">
      <c r="C434" s="663" t="s">
        <v>396</v>
      </c>
      <c r="D434" s="663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</row>
    <row r="435" spans="3:17">
      <c r="C435" s="55" t="s">
        <v>397</v>
      </c>
      <c r="D435" s="55" t="s">
        <v>397</v>
      </c>
      <c r="E435" s="147">
        <f>'[50]2023-24'!$I129/10^7</f>
        <v>73.49970982165</v>
      </c>
      <c r="F435" s="147">
        <f>'[50]2023-24'!$O129/10^7</f>
        <v>74.73587817345</v>
      </c>
      <c r="G435" s="147">
        <f>'[50]2023-24'!$U129/10^7</f>
        <v>68.4207919696</v>
      </c>
      <c r="H435" s="147">
        <f>'[50]2023-24'!$AA129/10^7</f>
        <v>77.77728063075</v>
      </c>
      <c r="I435" s="147">
        <f>'[50]2023-24'!$AG129/10^7</f>
        <v>88.98984518435</v>
      </c>
      <c r="J435" s="147">
        <f>'[50]2023-24'!$AM129/10^7</f>
        <v>83.2579479976</v>
      </c>
      <c r="K435" s="147">
        <f>'[50]2023-24'!$AS129/10^7</f>
        <v>76.44561057825</v>
      </c>
      <c r="L435" s="147">
        <f>'[50]2023-24'!$AY129/10^7</f>
        <v>58.1445315999</v>
      </c>
      <c r="M435" s="147">
        <f>'[50]2023-24'!$BE129/10^7</f>
        <v>43.0106854485</v>
      </c>
      <c r="N435" s="147">
        <f>'[50]2023-24'!$BK129/10^7</f>
        <v>72.46780742465</v>
      </c>
      <c r="O435" s="147">
        <f>'[50]2023-24'!$BQ129/10^7</f>
        <v>67.34228784065</v>
      </c>
      <c r="P435" s="147">
        <f>'[50]2023-24'!$BW129/10^7</f>
        <v>63.4246330067</v>
      </c>
      <c r="Q435" s="690">
        <f t="shared" ref="Q435:Q442" si="194">SUM(E435:P435)</f>
        <v>847.51700967605</v>
      </c>
    </row>
    <row r="436" spans="3:17">
      <c r="C436" s="55" t="s">
        <v>398</v>
      </c>
      <c r="D436" s="55" t="s">
        <v>398</v>
      </c>
      <c r="E436" s="147">
        <f>'[50]2023-24'!$I130/10^7</f>
        <v>36.0916038674873</v>
      </c>
      <c r="F436" s="147">
        <f>'[50]2023-24'!$O130/10^7</f>
        <v>37.4244754933</v>
      </c>
      <c r="G436" s="147">
        <f>'[50]2023-24'!$U130/10^7</f>
        <v>33.8870980040358</v>
      </c>
      <c r="H436" s="147">
        <f>'[50]2023-24'!$AA130/10^7</f>
        <v>42.299451710311</v>
      </c>
      <c r="I436" s="147">
        <f>'[50]2023-24'!$AG130/10^7</f>
        <v>32.90967332475</v>
      </c>
      <c r="J436" s="147">
        <f>'[50]2023-24'!$AM130/10^7</f>
        <v>31.9078409572958</v>
      </c>
      <c r="K436" s="147">
        <f>'[50]2023-24'!$AS130/10^7</f>
        <v>29.4601342509815</v>
      </c>
      <c r="L436" s="147">
        <f>'[50]2023-24'!$AY130/10^7</f>
        <v>30.9141474701627</v>
      </c>
      <c r="M436" s="147">
        <f>'[50]2023-24'!$BE130/10^7</f>
        <v>27.547360801576</v>
      </c>
      <c r="N436" s="147">
        <f>'[50]2023-24'!$BK130/10^7</f>
        <v>37.1609568104211</v>
      </c>
      <c r="O436" s="147">
        <f>'[50]2023-24'!$BQ130/10^7</f>
        <v>33.672322839045</v>
      </c>
      <c r="P436" s="147">
        <f>'[50]2023-24'!$BW130/10^7</f>
        <v>41.4848070492</v>
      </c>
      <c r="Q436" s="690">
        <f t="shared" si="194"/>
        <v>414.759872578566</v>
      </c>
    </row>
    <row r="437" spans="3:17"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690">
        <f t="shared" si="194"/>
        <v>0</v>
      </c>
    </row>
    <row r="438" spans="3:17"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690">
        <f t="shared" si="194"/>
        <v>0</v>
      </c>
    </row>
    <row r="439" spans="3:17"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690">
        <f t="shared" si="194"/>
        <v>0</v>
      </c>
    </row>
    <row r="440" spans="3:17"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690">
        <f t="shared" si="194"/>
        <v>0</v>
      </c>
    </row>
    <row r="441" spans="3:17"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690">
        <f t="shared" si="194"/>
        <v>0</v>
      </c>
    </row>
    <row r="442" ht="15" spans="3:17">
      <c r="C442" s="44" t="s">
        <v>399</v>
      </c>
      <c r="D442" s="44"/>
      <c r="E442" s="690">
        <f t="shared" ref="E442:P442" si="195">SUM(E435:E441)</f>
        <v>109.591313689137</v>
      </c>
      <c r="F442" s="690">
        <f t="shared" si="195"/>
        <v>112.16035366675</v>
      </c>
      <c r="G442" s="690">
        <f t="shared" si="195"/>
        <v>102.307889973636</v>
      </c>
      <c r="H442" s="690">
        <f t="shared" si="195"/>
        <v>120.076732341061</v>
      </c>
      <c r="I442" s="690">
        <f t="shared" si="195"/>
        <v>121.8995185091</v>
      </c>
      <c r="J442" s="690">
        <f t="shared" si="195"/>
        <v>115.165788954896</v>
      </c>
      <c r="K442" s="690">
        <f t="shared" si="195"/>
        <v>105.905744829231</v>
      </c>
      <c r="L442" s="690">
        <f t="shared" si="195"/>
        <v>89.0586790700627</v>
      </c>
      <c r="M442" s="690">
        <f t="shared" si="195"/>
        <v>70.558046250076</v>
      </c>
      <c r="N442" s="690">
        <f t="shared" si="195"/>
        <v>109.628764235071</v>
      </c>
      <c r="O442" s="690">
        <f t="shared" si="195"/>
        <v>101.014610679695</v>
      </c>
      <c r="P442" s="690">
        <f t="shared" si="195"/>
        <v>104.9094400559</v>
      </c>
      <c r="Q442" s="693">
        <f t="shared" si="194"/>
        <v>1262.27688225462</v>
      </c>
    </row>
    <row r="443" ht="15" spans="3:17">
      <c r="C443" s="663" t="s">
        <v>400</v>
      </c>
      <c r="D443" s="663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</row>
    <row r="444" spans="3:17">
      <c r="C444" s="55" t="s">
        <v>401</v>
      </c>
      <c r="D444" s="55" t="s">
        <v>401</v>
      </c>
      <c r="E444" s="147">
        <f>'[50]2023-24'!$I151/10^7</f>
        <v>181.39934643935</v>
      </c>
      <c r="F444" s="147">
        <f>'[50]2023-24'!$O151/10^7</f>
        <v>204.6778382579</v>
      </c>
      <c r="G444" s="147">
        <f>'[50]2023-24'!$U151/10^7</f>
        <v>99.5375689023</v>
      </c>
      <c r="H444" s="147">
        <f>'[50]2023-24'!$AA151/10^7</f>
        <v>177.489879074</v>
      </c>
      <c r="I444" s="147">
        <f>'[50]2023-24'!$AG151/10^7</f>
        <v>234.69149221585</v>
      </c>
      <c r="J444" s="147">
        <f>'[50]2023-24'!$AM151/10^7</f>
        <v>194.7289655865</v>
      </c>
      <c r="K444" s="147">
        <f>'[50]2023-24'!$AS151/10^7</f>
        <v>226.2596452592</v>
      </c>
      <c r="L444" s="147">
        <f>'[50]2023-24'!$AY151/10^7</f>
        <v>153.48361151625</v>
      </c>
      <c r="M444" s="147">
        <f>'[50]2023-24'!$BE151/10^7</f>
        <v>150.14436925275</v>
      </c>
      <c r="N444" s="147">
        <f>'[50]2023-24'!$BK151/10^7</f>
        <v>221.9554526898</v>
      </c>
      <c r="O444" s="147">
        <f>'[50]2023-24'!$BQ151/10^7</f>
        <v>175.5381694818</v>
      </c>
      <c r="P444" s="147">
        <f>'[50]2023-24'!$BW151/10^7</f>
        <v>196.8908401012</v>
      </c>
      <c r="Q444" s="55">
        <f t="shared" ref="Q444:Q452" si="196">SUM(E444:P444)</f>
        <v>2216.7971787769</v>
      </c>
    </row>
    <row r="445" spans="3:17">
      <c r="C445" s="55" t="s">
        <v>402</v>
      </c>
      <c r="D445" s="55" t="s">
        <v>402</v>
      </c>
      <c r="E445" s="147">
        <f>'[50]2023-24'!$I152/10^7</f>
        <v>0</v>
      </c>
      <c r="F445" s="147">
        <f>'[50]2023-24'!$O152/10^7</f>
        <v>0</v>
      </c>
      <c r="G445" s="147">
        <f>'[50]2023-24'!$U152/10^7</f>
        <v>0</v>
      </c>
      <c r="H445" s="147">
        <f>'[50]2023-24'!$AA152/10^7</f>
        <v>0</v>
      </c>
      <c r="I445" s="147">
        <f>'[50]2023-24'!$AG152/10^7</f>
        <v>0</v>
      </c>
      <c r="J445" s="147">
        <f>'[50]2023-24'!$AM152/10^7</f>
        <v>0</v>
      </c>
      <c r="K445" s="147">
        <f>'[50]2023-24'!$AS152/10^7</f>
        <v>0</v>
      </c>
      <c r="L445" s="147">
        <f>'[50]2023-24'!$AY152/10^7</f>
        <v>0</v>
      </c>
      <c r="M445" s="147">
        <f>'[50]2023-24'!$BE152/10^7</f>
        <v>0</v>
      </c>
      <c r="N445" s="147">
        <f>'[50]2023-24'!$BK152/10^7</f>
        <v>0</v>
      </c>
      <c r="O445" s="147">
        <f>'[50]2023-24'!$BQ152/10^7</f>
        <v>0</v>
      </c>
      <c r="P445" s="147">
        <f>'[50]2023-24'!$BW152/10^7</f>
        <v>0</v>
      </c>
      <c r="Q445" s="55">
        <f t="shared" si="196"/>
        <v>0</v>
      </c>
    </row>
    <row r="446" spans="3:17">
      <c r="C446" s="55" t="s">
        <v>403</v>
      </c>
      <c r="D446" s="55" t="s">
        <v>403</v>
      </c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>
        <f t="shared" si="196"/>
        <v>0</v>
      </c>
    </row>
    <row r="447" spans="3:17"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>
        <f t="shared" si="196"/>
        <v>0</v>
      </c>
    </row>
    <row r="448" spans="3:17"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>
        <f t="shared" si="196"/>
        <v>0</v>
      </c>
    </row>
    <row r="449" spans="3:17"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>
        <f t="shared" si="196"/>
        <v>0</v>
      </c>
    </row>
    <row r="450" spans="3:17"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>
        <f t="shared" si="196"/>
        <v>0</v>
      </c>
    </row>
    <row r="451" spans="3:17"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>
        <f t="shared" si="196"/>
        <v>0</v>
      </c>
    </row>
    <row r="452" ht="15" spans="3:17">
      <c r="C452" s="44" t="s">
        <v>404</v>
      </c>
      <c r="D452" s="44"/>
      <c r="E452" s="690">
        <f t="shared" ref="E452:P452" si="197">SUM(E444:E451)</f>
        <v>181.39934643935</v>
      </c>
      <c r="F452" s="690">
        <f t="shared" si="197"/>
        <v>204.6778382579</v>
      </c>
      <c r="G452" s="690">
        <f t="shared" si="197"/>
        <v>99.5375689023</v>
      </c>
      <c r="H452" s="690">
        <f t="shared" si="197"/>
        <v>177.489879074</v>
      </c>
      <c r="I452" s="690">
        <f t="shared" si="197"/>
        <v>234.69149221585</v>
      </c>
      <c r="J452" s="690">
        <f t="shared" si="197"/>
        <v>194.7289655865</v>
      </c>
      <c r="K452" s="690">
        <f t="shared" si="197"/>
        <v>226.2596452592</v>
      </c>
      <c r="L452" s="690">
        <f t="shared" si="197"/>
        <v>153.48361151625</v>
      </c>
      <c r="M452" s="690">
        <f t="shared" si="197"/>
        <v>150.14436925275</v>
      </c>
      <c r="N452" s="690">
        <f t="shared" si="197"/>
        <v>221.9554526898</v>
      </c>
      <c r="O452" s="690">
        <f t="shared" si="197"/>
        <v>175.5381694818</v>
      </c>
      <c r="P452" s="690">
        <f t="shared" si="197"/>
        <v>196.8908401012</v>
      </c>
      <c r="Q452" s="693">
        <f t="shared" si="196"/>
        <v>2216.7971787769</v>
      </c>
    </row>
    <row r="453" ht="15" spans="3:17">
      <c r="C453" s="663" t="s">
        <v>405</v>
      </c>
      <c r="D453" s="663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</row>
    <row r="454" spans="3:17">
      <c r="C454" s="55"/>
      <c r="D454" s="55" t="s">
        <v>406</v>
      </c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>
        <f t="shared" ref="Q454:Q466" si="198">SUM(E454:P454)</f>
        <v>0</v>
      </c>
    </row>
    <row r="455" spans="3:17">
      <c r="C455" s="55"/>
      <c r="D455" s="55" t="s">
        <v>407</v>
      </c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>
        <f t="shared" si="198"/>
        <v>0</v>
      </c>
    </row>
    <row r="456" spans="3:17">
      <c r="C456" s="55"/>
      <c r="D456" s="55" t="s">
        <v>408</v>
      </c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>
        <f t="shared" si="198"/>
        <v>0</v>
      </c>
    </row>
    <row r="457" spans="3:17">
      <c r="C457" s="55"/>
      <c r="D457" s="55" t="s">
        <v>409</v>
      </c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>
        <f t="shared" si="198"/>
        <v>0</v>
      </c>
    </row>
    <row r="458" spans="3:17">
      <c r="C458" s="55"/>
      <c r="D458" s="55" t="s">
        <v>410</v>
      </c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>
        <f t="shared" si="198"/>
        <v>0</v>
      </c>
    </row>
    <row r="459" spans="3:17">
      <c r="C459" s="55"/>
      <c r="D459" s="55" t="s">
        <v>368</v>
      </c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>
        <f t="shared" si="198"/>
        <v>0</v>
      </c>
    </row>
    <row r="460" spans="3:17">
      <c r="C460" s="55"/>
      <c r="D460" s="55" t="s">
        <v>411</v>
      </c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>
        <f t="shared" si="198"/>
        <v>0</v>
      </c>
    </row>
    <row r="461" spans="3:17">
      <c r="C461" s="55"/>
      <c r="D461" s="55" t="s">
        <v>528</v>
      </c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>
        <f t="shared" si="198"/>
        <v>0</v>
      </c>
    </row>
    <row r="462" spans="3:17">
      <c r="C462" s="55"/>
      <c r="D462" s="55" t="s">
        <v>413</v>
      </c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>
        <f t="shared" si="198"/>
        <v>0</v>
      </c>
    </row>
    <row r="463" spans="3:17">
      <c r="C463" s="55"/>
      <c r="D463" s="55" t="s">
        <v>414</v>
      </c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>
        <f t="shared" si="198"/>
        <v>0</v>
      </c>
    </row>
    <row r="464" spans="3:17">
      <c r="C464" s="55"/>
      <c r="D464" s="55" t="s">
        <v>415</v>
      </c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147">
        <f t="shared" si="198"/>
        <v>0</v>
      </c>
    </row>
    <row r="465" spans="3:17">
      <c r="C465" s="55"/>
      <c r="D465" s="55" t="s">
        <v>416</v>
      </c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147">
        <f t="shared" si="198"/>
        <v>0</v>
      </c>
    </row>
    <row r="466" spans="3:17">
      <c r="C466" s="55"/>
      <c r="D466" s="55" t="s">
        <v>417</v>
      </c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147">
        <f t="shared" si="198"/>
        <v>0</v>
      </c>
    </row>
    <row r="467" spans="3:17">
      <c r="C467" s="55"/>
      <c r="D467" s="55" t="s">
        <v>418</v>
      </c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147">
        <f t="shared" ref="Q467:Q477" si="199">SUM(E467:P467)</f>
        <v>0</v>
      </c>
    </row>
    <row r="468" spans="3:17">
      <c r="C468" s="55"/>
      <c r="D468" s="687" t="s">
        <v>419</v>
      </c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>
        <f t="shared" si="199"/>
        <v>0</v>
      </c>
    </row>
    <row r="469" spans="3:17">
      <c r="C469" s="55"/>
      <c r="D469" s="687" t="s">
        <v>420</v>
      </c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>
        <f t="shared" si="199"/>
        <v>0</v>
      </c>
    </row>
    <row r="470" ht="15" spans="3:17">
      <c r="C470" s="55"/>
      <c r="D470" s="55" t="s">
        <v>529</v>
      </c>
      <c r="E470" s="681">
        <f>'[50]2023-24'!$I134/10^7</f>
        <v>389.345397836101</v>
      </c>
      <c r="F470" s="681">
        <f>'[50]2023-24'!$O134/10^7</f>
        <v>329.830782064071</v>
      </c>
      <c r="G470" s="681">
        <f>'[50]2023-24'!$U134/10^7</f>
        <v>380.484383292273</v>
      </c>
      <c r="H470" s="681">
        <f>'[50]2023-24'!$AA134/10^7</f>
        <v>241.725425455406</v>
      </c>
      <c r="I470" s="681">
        <f>'[50]2023-24'!$AG134/10^7</f>
        <v>282.764609249309</v>
      </c>
      <c r="J470" s="681">
        <f>'[50]2023-24'!$AM134/10^7</f>
        <v>269.032456836158</v>
      </c>
      <c r="K470" s="681">
        <f>'[50]2023-24'!$AS134/10^7</f>
        <v>303.112043316435</v>
      </c>
      <c r="L470" s="681">
        <f>'[50]2023-24'!$AY134/10^7</f>
        <v>258.12816735542</v>
      </c>
      <c r="M470" s="681">
        <f>'[50]2023-24'!$BE134/10^7</f>
        <v>270.193288236365</v>
      </c>
      <c r="N470" s="681">
        <f>'[50]2023-24'!$BK134/10^7</f>
        <v>283.494324218587</v>
      </c>
      <c r="O470" s="681">
        <f>'[50]2023-24'!$BQ134/10^7</f>
        <v>310.010810308145</v>
      </c>
      <c r="P470" s="681">
        <f>('[50]2023-24'!$BW134+'[50]2023-24'!$CC134)/10^7</f>
        <v>450.490851384105</v>
      </c>
      <c r="Q470" s="736">
        <f t="shared" si="199"/>
        <v>3768.61253955237</v>
      </c>
    </row>
    <row r="471" spans="3:17"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147">
        <f t="shared" si="199"/>
        <v>0</v>
      </c>
    </row>
    <row r="472" spans="3:17"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147">
        <f t="shared" si="199"/>
        <v>0</v>
      </c>
    </row>
    <row r="473" spans="3:17"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147">
        <f t="shared" si="199"/>
        <v>0</v>
      </c>
    </row>
    <row r="474" spans="3:17"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147">
        <f t="shared" si="199"/>
        <v>0</v>
      </c>
    </row>
    <row r="475" spans="3:17"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147">
        <f t="shared" si="199"/>
        <v>0</v>
      </c>
    </row>
    <row r="476" spans="3:17"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147">
        <f t="shared" si="199"/>
        <v>0</v>
      </c>
    </row>
    <row r="477" ht="15" spans="3:17">
      <c r="C477" s="55"/>
      <c r="D477" s="55"/>
      <c r="E477" s="681"/>
      <c r="F477" s="681"/>
      <c r="G477" s="681"/>
      <c r="H477" s="681"/>
      <c r="I477" s="681"/>
      <c r="J477" s="681"/>
      <c r="K477" s="681"/>
      <c r="L477" s="681"/>
      <c r="M477" s="681"/>
      <c r="N477" s="681"/>
      <c r="O477" s="681"/>
      <c r="P477" s="681"/>
      <c r="Q477" s="147">
        <f t="shared" si="199"/>
        <v>0</v>
      </c>
    </row>
    <row r="478" s="11" customFormat="1" ht="15" spans="3:17">
      <c r="C478" s="44" t="s">
        <v>421</v>
      </c>
      <c r="D478" s="44"/>
      <c r="E478" s="681">
        <f t="shared" ref="E478:P478" si="200">SUM(E454:E477)</f>
        <v>389.345397836101</v>
      </c>
      <c r="F478" s="681">
        <f t="shared" si="200"/>
        <v>329.830782064071</v>
      </c>
      <c r="G478" s="681">
        <f t="shared" si="200"/>
        <v>380.484383292273</v>
      </c>
      <c r="H478" s="681">
        <f t="shared" si="200"/>
        <v>241.725425455406</v>
      </c>
      <c r="I478" s="681">
        <f t="shared" si="200"/>
        <v>282.764609249309</v>
      </c>
      <c r="J478" s="681">
        <f t="shared" si="200"/>
        <v>269.032456836158</v>
      </c>
      <c r="K478" s="681">
        <f t="shared" si="200"/>
        <v>303.112043316435</v>
      </c>
      <c r="L478" s="681">
        <f t="shared" si="200"/>
        <v>258.12816735542</v>
      </c>
      <c r="M478" s="681">
        <f t="shared" si="200"/>
        <v>270.193288236365</v>
      </c>
      <c r="N478" s="681">
        <f t="shared" si="200"/>
        <v>283.494324218587</v>
      </c>
      <c r="O478" s="681">
        <f t="shared" si="200"/>
        <v>310.010810308145</v>
      </c>
      <c r="P478" s="681">
        <f t="shared" si="200"/>
        <v>450.490851384105</v>
      </c>
      <c r="Q478" s="681">
        <f>SUM(E470:P470)</f>
        <v>3768.61253955237</v>
      </c>
    </row>
    <row r="479" ht="15" spans="3:17">
      <c r="C479" s="663" t="s">
        <v>422</v>
      </c>
      <c r="D479" s="663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</row>
    <row r="480" spans="3:17">
      <c r="C480" s="55"/>
      <c r="D480" s="55"/>
      <c r="E480" s="690">
        <f>'[51]2023-24'!J108/10^7</f>
        <v>0</v>
      </c>
      <c r="F480" s="690">
        <f>'[51]2023-24'!P108/10^7</f>
        <v>0</v>
      </c>
      <c r="G480" s="690">
        <f>'[51]2023-24'!V108/10^7</f>
        <v>0</v>
      </c>
      <c r="H480" s="690">
        <f>'[51]2023-24'!AB108/10^7</f>
        <v>0</v>
      </c>
      <c r="I480" s="690">
        <f>'[51]2023-24'!AH108/10^7</f>
        <v>0</v>
      </c>
      <c r="J480" s="690">
        <f>'[51]2023-24'!AN108/10^7</f>
        <v>0</v>
      </c>
      <c r="K480" s="690">
        <f>'[51]2023-24'!AT108/10^7</f>
        <v>0</v>
      </c>
      <c r="L480" s="690">
        <f>'[51]2023-24'!AZ108/10^7</f>
        <v>0</v>
      </c>
      <c r="M480" s="690">
        <f>'[51]2023-24'!BF108/10^7</f>
        <v>0</v>
      </c>
      <c r="N480" s="690">
        <f>'[51]2023-24'!BL108/10^7</f>
        <v>0</v>
      </c>
      <c r="O480" s="690">
        <f>'[51]2023-24'!BR108/10^7</f>
        <v>0</v>
      </c>
      <c r="P480" s="690">
        <f>'[51]2023-24'!BX108/10^7</f>
        <v>0</v>
      </c>
      <c r="Q480" s="690">
        <f t="shared" ref="Q480:Q504" si="201">SUM(E480:P480)</f>
        <v>0</v>
      </c>
    </row>
    <row r="481" spans="3:17"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>
        <f t="shared" si="201"/>
        <v>0</v>
      </c>
    </row>
    <row r="482" spans="3:17"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>
        <f t="shared" si="201"/>
        <v>0</v>
      </c>
    </row>
    <row r="483" spans="3:17"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>
        <f t="shared" si="201"/>
        <v>0</v>
      </c>
    </row>
    <row r="484" spans="3:17">
      <c r="C484" s="55"/>
      <c r="D484" s="679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>
        <f t="shared" si="201"/>
        <v>0</v>
      </c>
    </row>
    <row r="485" spans="3:17">
      <c r="C485" s="55"/>
      <c r="D485" s="679" t="s">
        <v>502</v>
      </c>
      <c r="E485" s="147">
        <v>0</v>
      </c>
      <c r="F485" s="147">
        <v>0</v>
      </c>
      <c r="G485" s="147">
        <v>0</v>
      </c>
      <c r="H485" s="147">
        <v>0</v>
      </c>
      <c r="I485" s="147">
        <v>0</v>
      </c>
      <c r="J485" s="147">
        <v>0</v>
      </c>
      <c r="K485" s="147">
        <v>0</v>
      </c>
      <c r="L485" s="147">
        <v>0</v>
      </c>
      <c r="M485" s="147">
        <v>0</v>
      </c>
      <c r="N485" s="147">
        <v>0</v>
      </c>
      <c r="O485" s="147">
        <v>0</v>
      </c>
      <c r="P485" s="147">
        <v>0</v>
      </c>
      <c r="Q485" s="55">
        <f t="shared" si="201"/>
        <v>0</v>
      </c>
    </row>
    <row r="486" spans="3:17">
      <c r="C486" s="55"/>
      <c r="D486" s="679" t="s">
        <v>503</v>
      </c>
      <c r="E486" s="147">
        <v>0</v>
      </c>
      <c r="F486" s="147">
        <v>0</v>
      </c>
      <c r="G486" s="147">
        <v>0</v>
      </c>
      <c r="H486" s="147">
        <v>0</v>
      </c>
      <c r="I486" s="147">
        <v>0</v>
      </c>
      <c r="J486" s="147">
        <v>0</v>
      </c>
      <c r="K486" s="147">
        <v>0</v>
      </c>
      <c r="L486" s="147">
        <v>0</v>
      </c>
      <c r="M486" s="147">
        <v>0</v>
      </c>
      <c r="N486" s="147">
        <v>0</v>
      </c>
      <c r="O486" s="147">
        <v>0</v>
      </c>
      <c r="P486" s="147">
        <v>0</v>
      </c>
      <c r="Q486" s="55">
        <f t="shared" si="201"/>
        <v>0</v>
      </c>
    </row>
    <row r="487" spans="3:17">
      <c r="C487" s="55"/>
      <c r="D487" s="688" t="s">
        <v>504</v>
      </c>
      <c r="E487" s="147">
        <v>0</v>
      </c>
      <c r="F487" s="147">
        <v>0</v>
      </c>
      <c r="G487" s="147">
        <v>0</v>
      </c>
      <c r="H487" s="147">
        <v>0</v>
      </c>
      <c r="I487" s="147">
        <v>0</v>
      </c>
      <c r="J487" s="147">
        <v>0</v>
      </c>
      <c r="K487" s="147">
        <v>0</v>
      </c>
      <c r="L487" s="147">
        <v>0</v>
      </c>
      <c r="M487" s="147">
        <v>0</v>
      </c>
      <c r="N487" s="147">
        <v>0</v>
      </c>
      <c r="O487" s="147">
        <v>0</v>
      </c>
      <c r="P487" s="147">
        <v>0</v>
      </c>
      <c r="Q487" s="55">
        <f t="shared" si="201"/>
        <v>0</v>
      </c>
    </row>
    <row r="488" spans="3:17">
      <c r="C488" s="55"/>
      <c r="D488" s="679" t="s">
        <v>505</v>
      </c>
      <c r="E488" s="147">
        <v>0</v>
      </c>
      <c r="F488" s="147">
        <v>0</v>
      </c>
      <c r="G488" s="147">
        <v>0</v>
      </c>
      <c r="H488" s="147">
        <v>0</v>
      </c>
      <c r="I488" s="147">
        <v>0</v>
      </c>
      <c r="J488" s="147">
        <v>0</v>
      </c>
      <c r="K488" s="147">
        <v>0</v>
      </c>
      <c r="L488" s="147">
        <v>0</v>
      </c>
      <c r="M488" s="147">
        <v>0</v>
      </c>
      <c r="N488" s="147">
        <v>0</v>
      </c>
      <c r="O488" s="147">
        <v>0</v>
      </c>
      <c r="P488" s="147">
        <v>0</v>
      </c>
      <c r="Q488" s="55">
        <f t="shared" si="201"/>
        <v>0</v>
      </c>
    </row>
    <row r="489" spans="3:17">
      <c r="C489" s="55"/>
      <c r="D489" s="679" t="s">
        <v>506</v>
      </c>
      <c r="E489" s="147">
        <v>0</v>
      </c>
      <c r="F489" s="147">
        <v>0</v>
      </c>
      <c r="G489" s="147">
        <v>0</v>
      </c>
      <c r="H489" s="147">
        <v>0</v>
      </c>
      <c r="I489" s="147">
        <v>0</v>
      </c>
      <c r="J489" s="147">
        <v>0</v>
      </c>
      <c r="K489" s="147">
        <v>0</v>
      </c>
      <c r="L489" s="147">
        <v>0</v>
      </c>
      <c r="M489" s="147">
        <v>0</v>
      </c>
      <c r="N489" s="147">
        <v>0</v>
      </c>
      <c r="O489" s="147">
        <v>0</v>
      </c>
      <c r="P489" s="147">
        <v>0</v>
      </c>
      <c r="Q489" s="55">
        <f t="shared" si="201"/>
        <v>0</v>
      </c>
    </row>
    <row r="490" spans="3:17">
      <c r="C490" s="55"/>
      <c r="D490" s="679" t="s">
        <v>507</v>
      </c>
      <c r="E490" s="147">
        <v>0</v>
      </c>
      <c r="F490" s="147">
        <v>0</v>
      </c>
      <c r="G490" s="147">
        <v>0</v>
      </c>
      <c r="H490" s="147">
        <v>0</v>
      </c>
      <c r="I490" s="147">
        <v>0</v>
      </c>
      <c r="J490" s="147">
        <v>0</v>
      </c>
      <c r="K490" s="147">
        <v>0</v>
      </c>
      <c r="L490" s="147">
        <v>0</v>
      </c>
      <c r="M490" s="147">
        <v>0</v>
      </c>
      <c r="N490" s="147">
        <v>0</v>
      </c>
      <c r="O490" s="147">
        <v>0</v>
      </c>
      <c r="P490" s="147">
        <v>0</v>
      </c>
      <c r="Q490" s="55">
        <f t="shared" si="201"/>
        <v>0</v>
      </c>
    </row>
    <row r="491" spans="3:17">
      <c r="C491" s="55"/>
      <c r="D491" s="679" t="s">
        <v>527</v>
      </c>
      <c r="E491" s="690"/>
      <c r="F491" s="690"/>
      <c r="G491" s="690"/>
      <c r="H491" s="690"/>
      <c r="I491" s="690"/>
      <c r="J491" s="690"/>
      <c r="K491" s="690"/>
      <c r="L491" s="690"/>
      <c r="M491" s="690"/>
      <c r="N491" s="690"/>
      <c r="O491" s="690"/>
      <c r="P491" s="690"/>
      <c r="Q491" s="55">
        <f t="shared" si="201"/>
        <v>0</v>
      </c>
    </row>
    <row r="492" spans="3:17">
      <c r="C492" s="55"/>
      <c r="D492" s="679" t="s">
        <v>530</v>
      </c>
      <c r="E492" s="690"/>
      <c r="F492" s="690"/>
      <c r="G492" s="690"/>
      <c r="H492" s="690"/>
      <c r="I492" s="690"/>
      <c r="J492" s="690"/>
      <c r="K492" s="690"/>
      <c r="L492" s="690"/>
      <c r="M492" s="690"/>
      <c r="N492" s="690"/>
      <c r="O492" s="690"/>
      <c r="P492" s="690"/>
      <c r="Q492" s="55">
        <f t="shared" si="201"/>
        <v>0</v>
      </c>
    </row>
    <row r="493" spans="3:17">
      <c r="C493" s="55"/>
      <c r="D493" s="679" t="s">
        <v>510</v>
      </c>
      <c r="E493" s="690"/>
      <c r="F493" s="690"/>
      <c r="G493" s="690"/>
      <c r="H493" s="690"/>
      <c r="I493" s="690"/>
      <c r="J493" s="690"/>
      <c r="K493" s="690"/>
      <c r="L493" s="690"/>
      <c r="M493" s="690"/>
      <c r="N493" s="690"/>
      <c r="O493" s="690"/>
      <c r="P493" s="690"/>
      <c r="Q493" s="55">
        <f t="shared" si="201"/>
        <v>0</v>
      </c>
    </row>
    <row r="494" spans="3:17">
      <c r="C494" s="55"/>
      <c r="D494" s="679" t="s">
        <v>511</v>
      </c>
      <c r="E494" s="690"/>
      <c r="F494" s="690"/>
      <c r="G494" s="690"/>
      <c r="H494" s="690"/>
      <c r="I494" s="690"/>
      <c r="J494" s="690"/>
      <c r="K494" s="690"/>
      <c r="L494" s="690"/>
      <c r="M494" s="690"/>
      <c r="N494" s="690"/>
      <c r="O494" s="690"/>
      <c r="P494" s="690"/>
      <c r="Q494" s="55">
        <f t="shared" si="201"/>
        <v>0</v>
      </c>
    </row>
    <row r="495" spans="3:17">
      <c r="C495" s="55"/>
      <c r="D495" s="679" t="s">
        <v>512</v>
      </c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>
        <f t="shared" si="201"/>
        <v>0</v>
      </c>
    </row>
    <row r="496" spans="3:17">
      <c r="C496" s="55"/>
      <c r="D496" s="55" t="s">
        <v>481</v>
      </c>
      <c r="E496" s="147">
        <f>'[50]2023-24'!$I132/10^7</f>
        <v>475.815516284971</v>
      </c>
      <c r="F496" s="147">
        <f>'[50]2023-24'!$O132/10^7</f>
        <v>110.322403078546</v>
      </c>
      <c r="G496" s="147">
        <f>'[50]2023-24'!$U132/10^7</f>
        <v>260.687160021013</v>
      </c>
      <c r="H496" s="147">
        <f>'[50]2023-24'!$AA132/10^7</f>
        <v>327.796315556907</v>
      </c>
      <c r="I496" s="147">
        <f>'[50]2023-24'!$AG132/10^7</f>
        <v>799.481801415325</v>
      </c>
      <c r="J496" s="147">
        <f>'[50]2023-24'!$AM132/10^7</f>
        <v>486.9792429925</v>
      </c>
      <c r="K496" s="147">
        <f>'[50]2023-24'!$AS132/10^7</f>
        <v>991.580159191996</v>
      </c>
      <c r="L496" s="147">
        <f>'[50]2023-24'!$AY132/10^7</f>
        <v>355.386030022045</v>
      </c>
      <c r="M496" s="147">
        <f>'[50]2023-24'!$BE132/10^7</f>
        <v>432.472199459666</v>
      </c>
      <c r="N496" s="147">
        <f>'[50]2023-24'!$BK132/10^7</f>
        <v>537.343501784917</v>
      </c>
      <c r="O496" s="147">
        <f>'[50]2023-24'!$BQ132/10^7</f>
        <v>576.99205768569</v>
      </c>
      <c r="P496" s="147">
        <f>'[50]2023-24'!$BW132/10^7</f>
        <v>688.271292750335</v>
      </c>
      <c r="Q496" s="55">
        <f t="shared" si="201"/>
        <v>6043.12768024391</v>
      </c>
    </row>
    <row r="497" spans="3:17"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>
        <f t="shared" si="201"/>
        <v>0</v>
      </c>
    </row>
    <row r="498" spans="3:17"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147">
        <f t="shared" si="201"/>
        <v>0</v>
      </c>
    </row>
    <row r="499" spans="3:17"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147">
        <f t="shared" si="201"/>
        <v>0</v>
      </c>
    </row>
    <row r="500" spans="3:17"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147">
        <f t="shared" si="201"/>
        <v>0</v>
      </c>
    </row>
    <row r="501" spans="3:17"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147">
        <f t="shared" si="201"/>
        <v>0</v>
      </c>
    </row>
    <row r="502" spans="3:17"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147">
        <f t="shared" si="201"/>
        <v>0</v>
      </c>
    </row>
    <row r="503" spans="3:17"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147">
        <f t="shared" si="201"/>
        <v>0</v>
      </c>
    </row>
    <row r="504" ht="15" spans="3:17">
      <c r="C504" s="44" t="s">
        <v>424</v>
      </c>
      <c r="D504" s="44"/>
      <c r="E504" s="690">
        <f t="shared" ref="E504:P504" si="202">SUM(E480:E503)</f>
        <v>475.815516284971</v>
      </c>
      <c r="F504" s="690">
        <f t="shared" si="202"/>
        <v>110.322403078546</v>
      </c>
      <c r="G504" s="690">
        <f t="shared" si="202"/>
        <v>260.687160021013</v>
      </c>
      <c r="H504" s="690">
        <f t="shared" si="202"/>
        <v>327.796315556907</v>
      </c>
      <c r="I504" s="690">
        <f t="shared" si="202"/>
        <v>799.481801415325</v>
      </c>
      <c r="J504" s="690">
        <f t="shared" si="202"/>
        <v>486.9792429925</v>
      </c>
      <c r="K504" s="690">
        <f t="shared" si="202"/>
        <v>991.580159191996</v>
      </c>
      <c r="L504" s="690">
        <f t="shared" si="202"/>
        <v>355.386030022045</v>
      </c>
      <c r="M504" s="690">
        <f t="shared" si="202"/>
        <v>432.472199459666</v>
      </c>
      <c r="N504" s="690">
        <f t="shared" si="202"/>
        <v>537.343501784917</v>
      </c>
      <c r="O504" s="690">
        <f t="shared" si="202"/>
        <v>576.99205768569</v>
      </c>
      <c r="P504" s="690">
        <f t="shared" si="202"/>
        <v>688.271292750335</v>
      </c>
      <c r="Q504" s="316">
        <f t="shared" si="201"/>
        <v>6043.12768024391</v>
      </c>
    </row>
    <row r="505" ht="15" spans="3:17">
      <c r="C505" s="663" t="s">
        <v>425</v>
      </c>
      <c r="D505" s="663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</row>
    <row r="506" spans="3:17">
      <c r="C506" s="55" t="s">
        <v>426</v>
      </c>
      <c r="D506" s="55" t="s">
        <v>427</v>
      </c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>
        <f>SUM(E506:P506)</f>
        <v>0</v>
      </c>
    </row>
    <row r="507" spans="3:17">
      <c r="C507" s="55" t="s">
        <v>426</v>
      </c>
      <c r="D507" s="55" t="s">
        <v>428</v>
      </c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>
        <f>SUM(E507:P507)</f>
        <v>0</v>
      </c>
    </row>
    <row r="508" spans="3:17">
      <c r="C508" s="141"/>
      <c r="D508" s="67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</row>
    <row r="509" ht="15" spans="3:17">
      <c r="C509" s="44" t="s">
        <v>429</v>
      </c>
      <c r="D509" s="44"/>
      <c r="E509" s="55">
        <f t="shared" ref="E509:Q509" si="203">E506+E507</f>
        <v>0</v>
      </c>
      <c r="F509" s="55">
        <f t="shared" si="203"/>
        <v>0</v>
      </c>
      <c r="G509" s="55">
        <f t="shared" si="203"/>
        <v>0</v>
      </c>
      <c r="H509" s="55">
        <f t="shared" si="203"/>
        <v>0</v>
      </c>
      <c r="I509" s="55">
        <f t="shared" si="203"/>
        <v>0</v>
      </c>
      <c r="J509" s="55">
        <f t="shared" si="203"/>
        <v>0</v>
      </c>
      <c r="K509" s="55">
        <f t="shared" si="203"/>
        <v>0</v>
      </c>
      <c r="L509" s="55">
        <f t="shared" si="203"/>
        <v>0</v>
      </c>
      <c r="M509" s="55">
        <f t="shared" si="203"/>
        <v>0</v>
      </c>
      <c r="N509" s="55">
        <f t="shared" si="203"/>
        <v>0</v>
      </c>
      <c r="O509" s="55">
        <f t="shared" si="203"/>
        <v>0</v>
      </c>
      <c r="P509" s="55">
        <f t="shared" si="203"/>
        <v>0</v>
      </c>
      <c r="Q509" s="55">
        <f t="shared" si="203"/>
        <v>0</v>
      </c>
    </row>
    <row r="510" ht="15" spans="3:17">
      <c r="C510" s="44" t="s">
        <v>224</v>
      </c>
      <c r="D510" s="44"/>
      <c r="E510" s="690">
        <f t="shared" ref="E510:P510" si="204">E388+E433+E442+E452+E470+E504+E509</f>
        <v>2026.34129709758</v>
      </c>
      <c r="F510" s="690">
        <f t="shared" si="204"/>
        <v>1562.82761133689</v>
      </c>
      <c r="G510" s="690">
        <f t="shared" si="204"/>
        <v>1763.91102200286</v>
      </c>
      <c r="H510" s="690">
        <f t="shared" si="204"/>
        <v>1741.16206675072</v>
      </c>
      <c r="I510" s="690">
        <f t="shared" si="204"/>
        <v>2336.92834262746</v>
      </c>
      <c r="J510" s="690">
        <f t="shared" si="204"/>
        <v>1948.10436838852</v>
      </c>
      <c r="K510" s="690">
        <f t="shared" si="204"/>
        <v>2568.30331290683</v>
      </c>
      <c r="L510" s="690">
        <f t="shared" si="204"/>
        <v>1868.79332437142</v>
      </c>
      <c r="M510" s="690">
        <f t="shared" si="204"/>
        <v>1838.92773117772</v>
      </c>
      <c r="N510" s="690">
        <f t="shared" si="204"/>
        <v>2197.2647564884</v>
      </c>
      <c r="O510" s="690">
        <f t="shared" si="204"/>
        <v>2152.52986958154</v>
      </c>
      <c r="P510" s="690">
        <f t="shared" si="204"/>
        <v>2592.08640691722</v>
      </c>
      <c r="Q510" s="693">
        <f t="shared" ref="Q510" si="205">Q388+Q433+Q442+Q452+Q478+Q504+Q509</f>
        <v>24597.1801096471</v>
      </c>
    </row>
    <row r="511" ht="15" spans="4:17">
      <c r="D511" s="11"/>
      <c r="E511" s="11"/>
      <c r="Q511" s="735"/>
    </row>
    <row r="512" ht="15" spans="3:5">
      <c r="C512" s="11" t="s">
        <v>440</v>
      </c>
      <c r="D512" s="13"/>
      <c r="E512" s="13"/>
    </row>
    <row r="513" spans="5:5">
      <c r="E513" s="13"/>
    </row>
    <row r="514" ht="15" spans="3:17">
      <c r="C514" s="737" t="s">
        <v>345</v>
      </c>
      <c r="D514" s="658" t="s">
        <v>346</v>
      </c>
      <c r="E514" s="135" t="s">
        <v>526</v>
      </c>
      <c r="F514" s="135"/>
      <c r="G514" s="135"/>
      <c r="H514" s="135"/>
      <c r="I514" s="135"/>
      <c r="J514" s="135"/>
      <c r="K514" s="135"/>
      <c r="L514" s="135"/>
      <c r="M514" s="135"/>
      <c r="N514" s="135"/>
      <c r="O514" s="135"/>
      <c r="P514" s="135"/>
      <c r="Q514" s="135"/>
    </row>
    <row r="515" ht="15" spans="3:17">
      <c r="C515" s="738"/>
      <c r="D515" s="658"/>
      <c r="E515" s="135" t="s">
        <v>246</v>
      </c>
      <c r="F515" s="135" t="s">
        <v>247</v>
      </c>
      <c r="G515" s="135" t="s">
        <v>248</v>
      </c>
      <c r="H515" s="135" t="s">
        <v>249</v>
      </c>
      <c r="I515" s="135" t="s">
        <v>250</v>
      </c>
      <c r="J515" s="135" t="s">
        <v>251</v>
      </c>
      <c r="K515" s="135" t="s">
        <v>252</v>
      </c>
      <c r="L515" s="135" t="s">
        <v>253</v>
      </c>
      <c r="M515" s="135" t="s">
        <v>254</v>
      </c>
      <c r="N515" s="135" t="s">
        <v>255</v>
      </c>
      <c r="O515" s="135" t="s">
        <v>256</v>
      </c>
      <c r="P515" s="135" t="s">
        <v>257</v>
      </c>
      <c r="Q515" s="135" t="s">
        <v>97</v>
      </c>
    </row>
    <row r="516" ht="15" spans="3:17">
      <c r="C516" s="739"/>
      <c r="D516" s="658"/>
      <c r="E516" s="135" t="s">
        <v>130</v>
      </c>
      <c r="F516" s="135" t="s">
        <v>130</v>
      </c>
      <c r="G516" s="135" t="s">
        <v>130</v>
      </c>
      <c r="H516" s="135" t="s">
        <v>130</v>
      </c>
      <c r="I516" s="135" t="s">
        <v>130</v>
      </c>
      <c r="J516" s="135" t="s">
        <v>130</v>
      </c>
      <c r="K516" s="135" t="s">
        <v>131</v>
      </c>
      <c r="L516" s="135" t="s">
        <v>131</v>
      </c>
      <c r="M516" s="135" t="s">
        <v>131</v>
      </c>
      <c r="N516" s="135" t="s">
        <v>131</v>
      </c>
      <c r="O516" s="135" t="s">
        <v>131</v>
      </c>
      <c r="P516" s="135" t="s">
        <v>131</v>
      </c>
      <c r="Q516" s="135" t="s">
        <v>131</v>
      </c>
    </row>
    <row r="517" ht="15" spans="3:17">
      <c r="C517" s="663" t="s">
        <v>349</v>
      </c>
      <c r="D517" s="663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</row>
    <row r="518" ht="15" spans="3:17">
      <c r="C518" s="44" t="s">
        <v>350</v>
      </c>
      <c r="D518" s="44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</row>
    <row r="519" spans="3:17">
      <c r="C519" s="677" t="s">
        <v>351</v>
      </c>
      <c r="D519" s="47" t="s">
        <v>352</v>
      </c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>
        <f t="shared" ref="Q519:Q537" si="206">SUM(E519:P519)</f>
        <v>0</v>
      </c>
    </row>
    <row r="520" spans="3:17">
      <c r="C520" s="677"/>
      <c r="D520" s="47" t="s">
        <v>353</v>
      </c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>
        <f t="shared" si="206"/>
        <v>0</v>
      </c>
    </row>
    <row r="521" spans="3:17">
      <c r="C521" s="677"/>
      <c r="D521" s="47" t="s">
        <v>354</v>
      </c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>
        <f t="shared" si="206"/>
        <v>0</v>
      </c>
    </row>
    <row r="522" spans="3:17">
      <c r="C522" s="677"/>
      <c r="D522" s="47" t="s">
        <v>355</v>
      </c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>
        <f t="shared" si="206"/>
        <v>0</v>
      </c>
    </row>
    <row r="523" spans="3:17">
      <c r="C523" s="677"/>
      <c r="D523" s="47" t="s">
        <v>356</v>
      </c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>
        <f t="shared" si="206"/>
        <v>0</v>
      </c>
    </row>
    <row r="524" spans="3:17">
      <c r="C524" s="677"/>
      <c r="D524" s="47" t="s">
        <v>357</v>
      </c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>
        <f t="shared" si="206"/>
        <v>0</v>
      </c>
    </row>
    <row r="525" spans="3:17">
      <c r="C525" s="677"/>
      <c r="D525" s="47" t="s">
        <v>358</v>
      </c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>
        <f t="shared" si="206"/>
        <v>0</v>
      </c>
    </row>
    <row r="526" spans="3:17">
      <c r="C526" s="677"/>
      <c r="D526" s="47" t="s">
        <v>359</v>
      </c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>
        <f t="shared" si="206"/>
        <v>0</v>
      </c>
    </row>
    <row r="527" spans="3:17">
      <c r="C527" s="677"/>
      <c r="D527" s="679" t="s">
        <v>492</v>
      </c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>
        <f t="shared" si="206"/>
        <v>0</v>
      </c>
    </row>
    <row r="528" spans="3:17">
      <c r="C528" s="677"/>
      <c r="D528" s="47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>
        <f t="shared" si="206"/>
        <v>0</v>
      </c>
    </row>
    <row r="529" spans="3:17">
      <c r="C529" s="677"/>
      <c r="D529" s="47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>
        <f t="shared" si="206"/>
        <v>0</v>
      </c>
    </row>
    <row r="530" spans="3:17">
      <c r="C530" s="677"/>
      <c r="D530" s="47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>
        <f t="shared" si="206"/>
        <v>0</v>
      </c>
    </row>
    <row r="531" spans="3:17">
      <c r="C531" s="677"/>
      <c r="D531" s="47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>
        <f t="shared" si="206"/>
        <v>0</v>
      </c>
    </row>
    <row r="532" spans="3:17">
      <c r="C532" s="677"/>
      <c r="D532" s="47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>
        <f t="shared" si="206"/>
        <v>0</v>
      </c>
    </row>
    <row r="533" spans="3:17">
      <c r="C533" s="677"/>
      <c r="D533" s="47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>
        <f t="shared" si="206"/>
        <v>0</v>
      </c>
    </row>
    <row r="534" spans="3:17">
      <c r="C534" s="677"/>
      <c r="D534" s="47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>
        <f t="shared" si="206"/>
        <v>0</v>
      </c>
    </row>
    <row r="535" spans="3:17">
      <c r="C535" s="677"/>
      <c r="D535" s="47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>
        <f t="shared" si="206"/>
        <v>0</v>
      </c>
    </row>
    <row r="536" spans="3:17">
      <c r="C536" s="677"/>
      <c r="D536" s="47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>
        <f t="shared" si="206"/>
        <v>0</v>
      </c>
    </row>
    <row r="537" ht="15" spans="3:17">
      <c r="C537" s="537" t="s">
        <v>211</v>
      </c>
      <c r="D537" s="537"/>
      <c r="E537" s="55">
        <f t="shared" ref="E537:P537" si="207">SUM(E519:E536)</f>
        <v>0</v>
      </c>
      <c r="F537" s="55">
        <f t="shared" si="207"/>
        <v>0</v>
      </c>
      <c r="G537" s="55">
        <f t="shared" si="207"/>
        <v>0</v>
      </c>
      <c r="H537" s="55">
        <f t="shared" si="207"/>
        <v>0</v>
      </c>
      <c r="I537" s="55">
        <f t="shared" si="207"/>
        <v>0</v>
      </c>
      <c r="J537" s="55">
        <f t="shared" si="207"/>
        <v>0</v>
      </c>
      <c r="K537" s="55">
        <f t="shared" si="207"/>
        <v>0</v>
      </c>
      <c r="L537" s="55">
        <f t="shared" si="207"/>
        <v>0</v>
      </c>
      <c r="M537" s="55">
        <f t="shared" si="207"/>
        <v>0</v>
      </c>
      <c r="N537" s="55">
        <f t="shared" si="207"/>
        <v>0</v>
      </c>
      <c r="O537" s="55">
        <f t="shared" si="207"/>
        <v>0</v>
      </c>
      <c r="P537" s="55">
        <f t="shared" si="207"/>
        <v>0</v>
      </c>
      <c r="Q537" s="316">
        <f t="shared" si="206"/>
        <v>0</v>
      </c>
    </row>
    <row r="538" ht="15" spans="3:17">
      <c r="C538" s="44" t="s">
        <v>360</v>
      </c>
      <c r="D538" s="44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</row>
    <row r="539" spans="3:17">
      <c r="C539" s="682" t="s">
        <v>351</v>
      </c>
      <c r="D539" s="55" t="s">
        <v>361</v>
      </c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>
        <f t="shared" ref="Q539:Q557" si="208">SUM(E539:P539)</f>
        <v>0</v>
      </c>
    </row>
    <row r="540" spans="3:17">
      <c r="C540" s="682"/>
      <c r="D540" s="55" t="s">
        <v>362</v>
      </c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>
        <f t="shared" si="208"/>
        <v>0</v>
      </c>
    </row>
    <row r="541" spans="3:17">
      <c r="C541" s="682"/>
      <c r="D541" s="55" t="s">
        <v>363</v>
      </c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>
        <f t="shared" si="208"/>
        <v>0</v>
      </c>
    </row>
    <row r="542" spans="3:17">
      <c r="C542" s="682"/>
      <c r="D542" s="55" t="s">
        <v>364</v>
      </c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>
        <f t="shared" si="208"/>
        <v>0</v>
      </c>
    </row>
    <row r="543" spans="3:17">
      <c r="C543" s="682"/>
      <c r="D543" s="55" t="s">
        <v>365</v>
      </c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>
        <f t="shared" si="208"/>
        <v>0</v>
      </c>
    </row>
    <row r="544" spans="3:17">
      <c r="C544" s="682"/>
      <c r="D544" s="55" t="s">
        <v>366</v>
      </c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>
        <f t="shared" si="208"/>
        <v>0</v>
      </c>
    </row>
    <row r="545" spans="3:17">
      <c r="C545" s="682"/>
      <c r="D545" s="55" t="s">
        <v>367</v>
      </c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>
        <f t="shared" si="208"/>
        <v>0</v>
      </c>
    </row>
    <row r="546" spans="3:17">
      <c r="C546" s="682"/>
      <c r="D546" s="55" t="s">
        <v>368</v>
      </c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>
        <f t="shared" si="208"/>
        <v>0</v>
      </c>
    </row>
    <row r="547" spans="3:17">
      <c r="C547" s="682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>
        <f t="shared" si="208"/>
        <v>0</v>
      </c>
    </row>
    <row r="548" spans="3:17">
      <c r="C548" s="682"/>
      <c r="D548" s="679" t="s">
        <v>493</v>
      </c>
      <c r="E548" s="147">
        <f>'[50]2023-24'!$J145/10^7</f>
        <v>68.67337</v>
      </c>
      <c r="F548" s="147">
        <f>'[50]2023-24'!$P145/10^7</f>
        <v>68.67337</v>
      </c>
      <c r="G548" s="147">
        <f>'[50]2023-24'!$V145/10^7</f>
        <v>68.67337</v>
      </c>
      <c r="H548" s="147">
        <f>'[50]2023-24'!$AB145/10^7</f>
        <v>68.67337</v>
      </c>
      <c r="I548" s="147">
        <f>'[50]2023-24'!$AH145/10^7</f>
        <v>68.67337</v>
      </c>
      <c r="J548" s="147">
        <f>'[50]2023-24'!$AN145/10^7</f>
        <v>68.67337</v>
      </c>
      <c r="K548" s="147">
        <f>'[50]2023-24'!$AT145/10^7</f>
        <v>68.67337</v>
      </c>
      <c r="L548" s="147">
        <f>'[50]2023-24'!$AZ145/10^7</f>
        <v>68.67337</v>
      </c>
      <c r="M548" s="147">
        <f>'[50]2023-24'!$BF145/10^7</f>
        <v>68.67337</v>
      </c>
      <c r="N548" s="147">
        <f>'[50]2023-24'!$BL145/10^7</f>
        <v>68.67337</v>
      </c>
      <c r="O548" s="147">
        <f>'[50]2023-24'!$BR145/10^7</f>
        <v>68.67337</v>
      </c>
      <c r="P548" s="147">
        <f>'[50]2023-24'!$BX145/10^7</f>
        <v>68.67337</v>
      </c>
      <c r="Q548" s="147">
        <f t="shared" si="208"/>
        <v>824.08044</v>
      </c>
    </row>
    <row r="549" spans="3:17">
      <c r="C549" s="682"/>
      <c r="D549" s="679" t="s">
        <v>494</v>
      </c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55">
        <f t="shared" si="208"/>
        <v>0</v>
      </c>
    </row>
    <row r="550" spans="3:17">
      <c r="C550" s="682"/>
      <c r="D550" s="687" t="s">
        <v>495</v>
      </c>
      <c r="E550" s="147">
        <f>'[50]2023-24'!$J147/10^7</f>
        <v>4.01664666666667</v>
      </c>
      <c r="F550" s="147">
        <f>'[50]2023-24'!$P147/10^7</f>
        <v>4.01664666666667</v>
      </c>
      <c r="G550" s="147">
        <f>'[50]2023-24'!$V147/10^7</f>
        <v>4.01664666666667</v>
      </c>
      <c r="H550" s="147">
        <f>'[50]2023-24'!$AB147/10^7</f>
        <v>4.01664666666667</v>
      </c>
      <c r="I550" s="147">
        <f>'[50]2023-24'!$AH147/10^7</f>
        <v>4.01664666666667</v>
      </c>
      <c r="J550" s="147">
        <f>'[50]2023-24'!$AN147/10^7</f>
        <v>4.01664666666667</v>
      </c>
      <c r="K550" s="147">
        <f>'[50]2023-24'!$AT147/10^7</f>
        <v>4.01664666666667</v>
      </c>
      <c r="L550" s="147">
        <f>'[50]2023-24'!$AZ147/10^7</f>
        <v>4.01664666666667</v>
      </c>
      <c r="M550" s="147">
        <f>'[50]2023-24'!$BF147/10^7</f>
        <v>4.01664666666667</v>
      </c>
      <c r="N550" s="147">
        <f>'[50]2023-24'!$BL147/10^7</f>
        <v>4.01664666666667</v>
      </c>
      <c r="O550" s="147">
        <f>'[50]2023-24'!$BR147/10^7</f>
        <v>4.01664666666667</v>
      </c>
      <c r="P550" s="147">
        <f>'[50]2023-24'!$BX147/10^7</f>
        <v>4.01664666666667</v>
      </c>
      <c r="Q550" s="147">
        <f t="shared" si="208"/>
        <v>48.1997600000001</v>
      </c>
    </row>
    <row r="551" spans="3:17">
      <c r="C551" s="682"/>
      <c r="D551" s="679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>
        <f t="shared" si="208"/>
        <v>0</v>
      </c>
    </row>
    <row r="552" spans="3:17">
      <c r="C552" s="682"/>
      <c r="D552" s="55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>
        <f t="shared" si="208"/>
        <v>0</v>
      </c>
    </row>
    <row r="553" spans="3:17">
      <c r="C553" s="682"/>
      <c r="D553" s="55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>
        <f t="shared" si="208"/>
        <v>0</v>
      </c>
    </row>
    <row r="554" spans="3:17">
      <c r="C554" s="682"/>
      <c r="D554" s="55"/>
      <c r="Q554" s="147">
        <f t="shared" si="208"/>
        <v>0</v>
      </c>
    </row>
    <row r="555" spans="3:17">
      <c r="C555" s="682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>
        <f t="shared" si="208"/>
        <v>0</v>
      </c>
    </row>
    <row r="556" spans="3:17">
      <c r="C556" s="682"/>
      <c r="D556" s="67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>
        <f t="shared" si="208"/>
        <v>0</v>
      </c>
    </row>
    <row r="557" ht="15" spans="3:17">
      <c r="C557" s="537" t="s">
        <v>211</v>
      </c>
      <c r="D557" s="537"/>
      <c r="E557" s="740">
        <f t="shared" ref="E557:P557" si="209">SUM(E539:E556)</f>
        <v>72.6900166666667</v>
      </c>
      <c r="F557" s="740">
        <f t="shared" si="209"/>
        <v>72.6900166666667</v>
      </c>
      <c r="G557" s="740">
        <f t="shared" si="209"/>
        <v>72.6900166666667</v>
      </c>
      <c r="H557" s="740">
        <f t="shared" si="209"/>
        <v>72.6900166666667</v>
      </c>
      <c r="I557" s="740">
        <f t="shared" si="209"/>
        <v>72.6900166666667</v>
      </c>
      <c r="J557" s="740">
        <f t="shared" si="209"/>
        <v>72.6900166666667</v>
      </c>
      <c r="K557" s="740">
        <f t="shared" si="209"/>
        <v>72.6900166666667</v>
      </c>
      <c r="L557" s="740">
        <f t="shared" si="209"/>
        <v>72.6900166666667</v>
      </c>
      <c r="M557" s="740">
        <f t="shared" si="209"/>
        <v>72.6900166666667</v>
      </c>
      <c r="N557" s="740">
        <f t="shared" si="209"/>
        <v>72.6900166666667</v>
      </c>
      <c r="O557" s="740">
        <f t="shared" si="209"/>
        <v>72.6900166666667</v>
      </c>
      <c r="P557" s="740">
        <f t="shared" si="209"/>
        <v>72.6900166666667</v>
      </c>
      <c r="Q557" s="743">
        <f t="shared" si="208"/>
        <v>872.2802</v>
      </c>
    </row>
    <row r="558" ht="15" spans="3:17">
      <c r="C558" s="44" t="s">
        <v>369</v>
      </c>
      <c r="D558" s="44"/>
      <c r="E558" s="740">
        <f t="shared" ref="E558:Q558" si="210">E537+E557</f>
        <v>72.6900166666667</v>
      </c>
      <c r="F558" s="740">
        <f t="shared" si="210"/>
        <v>72.6900166666667</v>
      </c>
      <c r="G558" s="740">
        <f t="shared" si="210"/>
        <v>72.6900166666667</v>
      </c>
      <c r="H558" s="740">
        <f t="shared" si="210"/>
        <v>72.6900166666667</v>
      </c>
      <c r="I558" s="740">
        <f t="shared" si="210"/>
        <v>72.6900166666667</v>
      </c>
      <c r="J558" s="740">
        <f t="shared" si="210"/>
        <v>72.6900166666667</v>
      </c>
      <c r="K558" s="740">
        <f t="shared" si="210"/>
        <v>72.6900166666667</v>
      </c>
      <c r="L558" s="740">
        <f t="shared" si="210"/>
        <v>72.6900166666667</v>
      </c>
      <c r="M558" s="740">
        <f t="shared" si="210"/>
        <v>72.6900166666667</v>
      </c>
      <c r="N558" s="740">
        <f t="shared" si="210"/>
        <v>72.6900166666667</v>
      </c>
      <c r="O558" s="740">
        <f t="shared" si="210"/>
        <v>72.6900166666667</v>
      </c>
      <c r="P558" s="740">
        <f t="shared" si="210"/>
        <v>72.6900166666667</v>
      </c>
      <c r="Q558" s="743">
        <f t="shared" si="210"/>
        <v>872.2802</v>
      </c>
    </row>
    <row r="559" ht="15" spans="3:17">
      <c r="C559" s="663" t="s">
        <v>370</v>
      </c>
      <c r="D559" s="663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</row>
    <row r="560" ht="15" spans="3:17">
      <c r="C560" s="44" t="s">
        <v>350</v>
      </c>
      <c r="D560" s="44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</row>
    <row r="561" spans="3:17">
      <c r="C561" s="682" t="s">
        <v>371</v>
      </c>
      <c r="D561" s="55" t="s">
        <v>372</v>
      </c>
      <c r="E561" s="147">
        <f>'[50]2023-24'!$J118/10^7</f>
        <v>0</v>
      </c>
      <c r="F561" s="147">
        <f>'[50]2023-24'!$P118/10^7</f>
        <v>0</v>
      </c>
      <c r="G561" s="147">
        <f>'[50]2023-24'!$V118/10^7</f>
        <v>0</v>
      </c>
      <c r="H561" s="147">
        <f>'[50]2023-24'!$AB118/10^7</f>
        <v>0</v>
      </c>
      <c r="I561" s="147">
        <f>'[50]2023-24'!$AH118/10^7</f>
        <v>0</v>
      </c>
      <c r="J561" s="147">
        <f>'[50]2023-24'!$AN118/10^7</f>
        <v>0</v>
      </c>
      <c r="K561" s="147">
        <f>'[50]2023-24'!$AT118/10^7</f>
        <v>0</v>
      </c>
      <c r="L561" s="147">
        <f>'[50]2023-24'!$AZ118/10^7</f>
        <v>-1.07478728949435</v>
      </c>
      <c r="M561" s="147">
        <f>'[50]2023-24'!$BF118/10^7</f>
        <v>0.655216821067188</v>
      </c>
      <c r="N561" s="147">
        <f>'[50]2023-24'!$BL118/10^7</f>
        <v>0.636836107405048</v>
      </c>
      <c r="O561" s="147">
        <f>'[50]2023-24'!$BR118/10^7</f>
        <v>0.567346544690802</v>
      </c>
      <c r="P561" s="147">
        <f>'[50]2023-24'!$BX118/10^7</f>
        <v>0.496736939570204</v>
      </c>
      <c r="Q561" s="690">
        <f t="shared" ref="Q561:Q582" si="211">SUM(E561:P561)</f>
        <v>1.28134912323889</v>
      </c>
    </row>
    <row r="562" spans="3:17">
      <c r="C562" s="682"/>
      <c r="D562" s="55" t="s">
        <v>373</v>
      </c>
      <c r="E562" s="147">
        <f>'[50]2023-24'!$J119/10^7</f>
        <v>-0.0697496808</v>
      </c>
      <c r="F562" s="147">
        <f>'[50]2023-24'!$P119/10^7</f>
        <v>0</v>
      </c>
      <c r="G562" s="147">
        <f>'[50]2023-24'!$V119/10^7</f>
        <v>0</v>
      </c>
      <c r="H562" s="147">
        <f>'[50]2023-24'!$AB119/10^7</f>
        <v>0</v>
      </c>
      <c r="I562" s="147">
        <f>'[50]2023-24'!$AH119/10^7</f>
        <v>0</v>
      </c>
      <c r="J562" s="147">
        <f>'[50]2023-24'!$AN119/10^7</f>
        <v>0</v>
      </c>
      <c r="K562" s="147">
        <f>'[50]2023-24'!$AT119/10^7</f>
        <v>0</v>
      </c>
      <c r="L562" s="147">
        <f>'[50]2023-24'!$AZ119/10^7</f>
        <v>1.2264994083116</v>
      </c>
      <c r="M562" s="147">
        <f>'[50]2023-24'!$BF119/10^7</f>
        <v>0.135461198294156</v>
      </c>
      <c r="N562" s="147">
        <f>'[50]2023-24'!$BL119/10^7</f>
        <v>0.156021819429375</v>
      </c>
      <c r="O562" s="147">
        <f>'[50]2023-24'!$BR119/10^7</f>
        <v>0.154376034752874</v>
      </c>
      <c r="P562" s="147">
        <f>'[50]2023-24'!$BX119/10^7</f>
        <v>0.112626889854257</v>
      </c>
      <c r="Q562" s="690">
        <f t="shared" si="211"/>
        <v>1.71523566984226</v>
      </c>
    </row>
    <row r="563" spans="3:17">
      <c r="C563" s="682"/>
      <c r="D563" s="55" t="s">
        <v>374</v>
      </c>
      <c r="E563" s="147">
        <f>'[50]2023-24'!$J122/10^7</f>
        <v>0</v>
      </c>
      <c r="F563" s="147">
        <f>'[50]2023-24'!$P122/10^7</f>
        <v>0</v>
      </c>
      <c r="G563" s="147">
        <f>'[50]2023-24'!$V122/10^7</f>
        <v>0</v>
      </c>
      <c r="H563" s="147">
        <f>'[50]2023-24'!$AB122/10^7</f>
        <v>0</v>
      </c>
      <c r="I563" s="147">
        <f>'[50]2023-24'!$AH122/10^7</f>
        <v>0</v>
      </c>
      <c r="J563" s="147">
        <f>'[50]2023-24'!$AN122/10^7</f>
        <v>0</v>
      </c>
      <c r="K563" s="147">
        <f>'[50]2023-24'!$AT122/10^7</f>
        <v>0</v>
      </c>
      <c r="L563" s="147">
        <f>'[50]2023-24'!$AZ122/10^7</f>
        <v>2.39517044665366</v>
      </c>
      <c r="M563" s="147">
        <f>'[50]2023-24'!$BF122/10^7</f>
        <v>0.30631746669342</v>
      </c>
      <c r="N563" s="147">
        <f>'[50]2023-24'!$BL122/10^7</f>
        <v>0.288146053546158</v>
      </c>
      <c r="O563" s="147">
        <f>'[50]2023-24'!$BR122/10^7</f>
        <v>0.21939459826593</v>
      </c>
      <c r="P563" s="147">
        <f>'[50]2023-24'!$BX122/10^7</f>
        <v>0.171361120407949</v>
      </c>
      <c r="Q563" s="690">
        <f t="shared" si="211"/>
        <v>3.38038968556712</v>
      </c>
    </row>
    <row r="564" spans="3:17">
      <c r="C564" s="683"/>
      <c r="D564" s="55" t="s">
        <v>375</v>
      </c>
      <c r="E564" s="147">
        <f>'[50]2023-24'!$J120/10^7</f>
        <v>0</v>
      </c>
      <c r="F564" s="147">
        <f>'[50]2023-24'!$P120/10^7</f>
        <v>0</v>
      </c>
      <c r="G564" s="147">
        <f>'[50]2023-24'!$V120/10^7</f>
        <v>0</v>
      </c>
      <c r="H564" s="147">
        <f>'[50]2023-24'!$AB120/10^7</f>
        <v>0</v>
      </c>
      <c r="I564" s="147">
        <f>'[50]2023-24'!$AH120/10^7</f>
        <v>0</v>
      </c>
      <c r="J564" s="147">
        <f>'[50]2023-24'!$AN120/10^7</f>
        <v>0</v>
      </c>
      <c r="K564" s="147">
        <f>'[50]2023-24'!$AT120/10^7</f>
        <v>0</v>
      </c>
      <c r="L564" s="147">
        <f>'[50]2023-24'!$AZ120/10^7</f>
        <v>8.12083756233324</v>
      </c>
      <c r="M564" s="147">
        <f>'[50]2023-24'!$BF120/10^7</f>
        <v>0.760517100819076</v>
      </c>
      <c r="N564" s="147">
        <f>'[50]2023-24'!$BL120/10^7</f>
        <v>1.2400929584618</v>
      </c>
      <c r="O564" s="147">
        <f>'[50]2023-24'!$BR120/10^7</f>
        <v>1.24226502809076</v>
      </c>
      <c r="P564" s="147">
        <f>'[50]2023-24'!$BX120/10^7</f>
        <v>0.907858802045567</v>
      </c>
      <c r="Q564" s="690">
        <f t="shared" si="211"/>
        <v>12.2715714517504</v>
      </c>
    </row>
    <row r="565" spans="3:17">
      <c r="C565" s="682"/>
      <c r="D565" s="55" t="s">
        <v>376</v>
      </c>
      <c r="E565" s="147">
        <f>'[50]2023-24'!$J121/10^7</f>
        <v>0</v>
      </c>
      <c r="F565" s="147">
        <f>'[50]2023-24'!$P121/10^7</f>
        <v>0</v>
      </c>
      <c r="G565" s="147">
        <f>'[50]2023-24'!$V121/10^7</f>
        <v>0</v>
      </c>
      <c r="H565" s="147">
        <f>'[50]2023-24'!$AB121/10^7</f>
        <v>0</v>
      </c>
      <c r="I565" s="147">
        <f>'[50]2023-24'!$AH121/10^7</f>
        <v>0</v>
      </c>
      <c r="J565" s="147">
        <f>'[50]2023-24'!$AN121/10^7</f>
        <v>0</v>
      </c>
      <c r="K565" s="147">
        <f>'[50]2023-24'!$AT121/10^7</f>
        <v>0</v>
      </c>
      <c r="L565" s="147">
        <f>'[50]2023-24'!$AZ121/10^7</f>
        <v>3.94431382326329</v>
      </c>
      <c r="M565" s="147">
        <f>'[50]2023-24'!$BF121/10^7</f>
        <v>0.688051627642106</v>
      </c>
      <c r="N565" s="147">
        <f>'[50]2023-24'!$BL121/10^7</f>
        <v>0.667681662485706</v>
      </c>
      <c r="O565" s="147">
        <f>'[50]2023-24'!$BR121/10^7</f>
        <v>0.530825595830257</v>
      </c>
      <c r="P565" s="147">
        <f>'[50]2023-24'!$BX121/10^7</f>
        <v>0.408720978142827</v>
      </c>
      <c r="Q565" s="690">
        <f t="shared" si="211"/>
        <v>6.23959368736419</v>
      </c>
    </row>
    <row r="566" spans="3:17">
      <c r="C566" s="682"/>
      <c r="D566" s="55" t="s">
        <v>377</v>
      </c>
      <c r="E566" s="741">
        <f>'[50]2023-24'!$J123/10^7</f>
        <v>0</v>
      </c>
      <c r="F566" s="741">
        <f>'[50]2023-24'!$P123/10^7</f>
        <v>0</v>
      </c>
      <c r="G566" s="741">
        <f>'[50]2023-24'!$V123/10^7</f>
        <v>0</v>
      </c>
      <c r="H566" s="741">
        <f>'[50]2023-24'!$AB123/10^7</f>
        <v>0</v>
      </c>
      <c r="I566" s="741">
        <f>'[50]2023-24'!$AH123/10^7</f>
        <v>0</v>
      </c>
      <c r="J566" s="741">
        <f>'[50]2023-24'!$AN123/10^7</f>
        <v>0</v>
      </c>
      <c r="K566" s="741">
        <f>'[50]2023-24'!$AT123/10^7</f>
        <v>0</v>
      </c>
      <c r="L566" s="741">
        <f>'[50]2023-24'!$AZ123/10^7</f>
        <v>-17.6923272246405</v>
      </c>
      <c r="M566" s="741">
        <f>'[50]2023-24'!$BF123/10^7</f>
        <v>0.414418861379313</v>
      </c>
      <c r="N566" s="741">
        <f>'[50]2023-24'!$BL123/10^7</f>
        <v>0.652408671590825</v>
      </c>
      <c r="O566" s="741">
        <f>'[50]2023-24'!$BR123/10^7</f>
        <v>0.308660423642311</v>
      </c>
      <c r="P566" s="741">
        <f>'[50]2023-24'!$BX123/10^7</f>
        <v>0.156992446316253</v>
      </c>
      <c r="Q566" s="690">
        <f t="shared" si="211"/>
        <v>-16.1598468217118</v>
      </c>
    </row>
    <row r="567" spans="3:17">
      <c r="C567" s="682"/>
      <c r="D567" s="141" t="s">
        <v>378</v>
      </c>
      <c r="E567" s="147">
        <f>'[50]2023-24'!$J136/10^7</f>
        <v>0</v>
      </c>
      <c r="F567" s="147">
        <f>'[50]2023-24'!$P136/10^7</f>
        <v>0</v>
      </c>
      <c r="G567" s="147">
        <f>'[50]2023-24'!$V136/10^7</f>
        <v>0</v>
      </c>
      <c r="H567" s="147">
        <f>'[50]2023-24'!$AB136/10^7</f>
        <v>0</v>
      </c>
      <c r="I567" s="147">
        <f>'[50]2023-24'!$AH136/10^7</f>
        <v>0</v>
      </c>
      <c r="J567" s="147">
        <f>'[50]2023-24'!$AN136/10^7</f>
        <v>0</v>
      </c>
      <c r="K567" s="147">
        <f>'[50]2023-24'!$AT136/10^7</f>
        <v>0</v>
      </c>
      <c r="L567" s="147">
        <f>'[50]2023-24'!$AZ136/10^7</f>
        <v>0</v>
      </c>
      <c r="M567" s="147">
        <f>'[50]2023-24'!$BF136/10^7</f>
        <v>0</v>
      </c>
      <c r="N567" s="147">
        <f>'[50]2023-24'!$BL136/10^7</f>
        <v>0</v>
      </c>
      <c r="O567" s="147">
        <f>'[50]2023-24'!$BR136/10^7</f>
        <v>0</v>
      </c>
      <c r="P567" s="147">
        <f>'[50]2023-24'!$BX136/10^7</f>
        <v>0</v>
      </c>
      <c r="Q567" s="744">
        <f t="shared" si="211"/>
        <v>0</v>
      </c>
    </row>
    <row r="568" spans="3:17">
      <c r="C568" s="682"/>
      <c r="D568" s="141" t="s">
        <v>379</v>
      </c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744">
        <f t="shared" si="211"/>
        <v>0</v>
      </c>
    </row>
    <row r="569" spans="3:17">
      <c r="C569" s="682"/>
      <c r="D569" s="55" t="s">
        <v>380</v>
      </c>
      <c r="E569" s="742">
        <f>'[50]2023-24'!$J124/10^7</f>
        <v>0</v>
      </c>
      <c r="F569" s="742">
        <f>'[50]2023-24'!$P124/10^7</f>
        <v>0</v>
      </c>
      <c r="G569" s="742">
        <f>'[50]2023-24'!$V124/10^7</f>
        <v>0</v>
      </c>
      <c r="H569" s="742">
        <f>'[50]2023-24'!$AB124/10^7</f>
        <v>0</v>
      </c>
      <c r="I569" s="742">
        <f>'[50]2023-24'!$AH124/10^7</f>
        <v>0</v>
      </c>
      <c r="J569" s="742">
        <f>'[50]2023-24'!$AN124/10^7</f>
        <v>0</v>
      </c>
      <c r="K569" s="742">
        <f>'[50]2023-24'!$AT124/10^7</f>
        <v>0</v>
      </c>
      <c r="L569" s="742">
        <f>'[50]2023-24'!$AZ124/10^7</f>
        <v>3.08029327357305</v>
      </c>
      <c r="M569" s="742">
        <f>'[50]2023-24'!$BF124/10^7</f>
        <v>1.12646573725474</v>
      </c>
      <c r="N569" s="742">
        <f>'[50]2023-24'!$BL124/10^7</f>
        <v>1.55291565928109</v>
      </c>
      <c r="O569" s="742">
        <f>'[50]2023-24'!$BR124/10^7</f>
        <v>1.28201700402706</v>
      </c>
      <c r="P569" s="742">
        <f>'[50]2023-24'!$BX124/10^7</f>
        <v>2.10932777131294</v>
      </c>
      <c r="Q569" s="690">
        <f t="shared" si="211"/>
        <v>9.15101944544888</v>
      </c>
    </row>
    <row r="570" spans="3:17">
      <c r="C570" s="55"/>
      <c r="D570" s="55" t="s">
        <v>381</v>
      </c>
      <c r="E570" s="147">
        <f>'[50]2023-24'!$J106/10^7</f>
        <v>0</v>
      </c>
      <c r="F570" s="147">
        <f>'[50]2023-24'!$P106/10^7</f>
        <v>20.1853916617</v>
      </c>
      <c r="G570" s="147">
        <f>'[50]2023-24'!$V106/10^7</f>
        <v>0</v>
      </c>
      <c r="H570" s="147">
        <f>'[50]2023-24'!$AB106/10^7</f>
        <v>17.3811892421981</v>
      </c>
      <c r="I570" s="147">
        <f>'[50]2023-24'!$AH106/10^7</f>
        <v>0</v>
      </c>
      <c r="J570" s="147">
        <f>'[50]2023-24'!$AN106/10^7</f>
        <v>0</v>
      </c>
      <c r="K570" s="147">
        <f>'[50]2023-24'!$AT106/10^7</f>
        <v>0</v>
      </c>
      <c r="L570" s="147">
        <f>'[50]2023-24'!$AZ106/10^7</f>
        <v>0</v>
      </c>
      <c r="M570" s="147">
        <f>'[50]2023-24'!$BF106/10^7</f>
        <v>0</v>
      </c>
      <c r="N570" s="147">
        <f>'[50]2023-24'!$BL106/10^7</f>
        <v>0</v>
      </c>
      <c r="O570" s="147">
        <f>'[50]2023-24'!$BR106/10^7</f>
        <v>0</v>
      </c>
      <c r="P570" s="147">
        <f>'[50]2023-24'!$BX106/10^7</f>
        <v>0</v>
      </c>
      <c r="Q570" s="690">
        <f t="shared" si="211"/>
        <v>37.5665809038981</v>
      </c>
    </row>
    <row r="571" spans="3:17">
      <c r="C571" s="55"/>
      <c r="D571" s="55" t="s">
        <v>382</v>
      </c>
      <c r="E571" s="147">
        <f>'[50]2023-24'!$J107/10^7</f>
        <v>0</v>
      </c>
      <c r="F571" s="147">
        <f>'[50]2023-24'!$P107/10^7</f>
        <v>0</v>
      </c>
      <c r="G571" s="147">
        <f>'[50]2023-24'!$V107/10^7</f>
        <v>0</v>
      </c>
      <c r="H571" s="147">
        <f>'[50]2023-24'!$AB107/10^7</f>
        <v>25.7163352233988</v>
      </c>
      <c r="I571" s="147">
        <f>'[50]2023-24'!$AH107/10^7</f>
        <v>0</v>
      </c>
      <c r="J571" s="147">
        <f>'[50]2023-24'!$AN107/10^7</f>
        <v>0</v>
      </c>
      <c r="K571" s="147">
        <f>'[50]2023-24'!$AT107/10^7</f>
        <v>0</v>
      </c>
      <c r="L571" s="147">
        <f>'[50]2023-24'!$AZ107/10^7</f>
        <v>0</v>
      </c>
      <c r="M571" s="147">
        <f>'[50]2023-24'!$BF107/10^7</f>
        <v>0</v>
      </c>
      <c r="N571" s="147">
        <f>'[50]2023-24'!$BL107/10^7</f>
        <v>0</v>
      </c>
      <c r="O571" s="147">
        <f>'[50]2023-24'!$BR107/10^7</f>
        <v>0</v>
      </c>
      <c r="P571" s="147">
        <f>'[50]2023-24'!$BX107/10^7</f>
        <v>0</v>
      </c>
      <c r="Q571" s="690">
        <f t="shared" si="211"/>
        <v>25.7163352233988</v>
      </c>
    </row>
    <row r="572" spans="3:17">
      <c r="C572" s="55"/>
      <c r="D572" s="55" t="s">
        <v>383</v>
      </c>
      <c r="E572" s="147">
        <f>'[50]2023-24'!$J108/10^7</f>
        <v>0</v>
      </c>
      <c r="F572" s="147">
        <f>'[50]2023-24'!$P108/10^7</f>
        <v>0</v>
      </c>
      <c r="G572" s="147">
        <f>'[50]2023-24'!$V108/10^7</f>
        <v>0</v>
      </c>
      <c r="H572" s="147">
        <f>'[50]2023-24'!$AB108/10^7</f>
        <v>18.6205018399568</v>
      </c>
      <c r="I572" s="147">
        <f>'[50]2023-24'!$AH108/10^7</f>
        <v>0</v>
      </c>
      <c r="J572" s="147">
        <f>'[50]2023-24'!$AN108/10^7</f>
        <v>0</v>
      </c>
      <c r="K572" s="147">
        <f>'[50]2023-24'!$AT108/10^7</f>
        <v>0</v>
      </c>
      <c r="L572" s="147">
        <f>'[50]2023-24'!$AZ108/10^7</f>
        <v>0</v>
      </c>
      <c r="M572" s="147">
        <f>'[50]2023-24'!$BF108/10^7</f>
        <v>0</v>
      </c>
      <c r="N572" s="147">
        <f>'[50]2023-24'!$BL108/10^7</f>
        <v>0</v>
      </c>
      <c r="O572" s="147">
        <f>'[50]2023-24'!$BR108/10^7</f>
        <v>0</v>
      </c>
      <c r="P572" s="147">
        <f>'[50]2023-24'!$BX108/10^7</f>
        <v>0</v>
      </c>
      <c r="Q572" s="690">
        <f t="shared" si="211"/>
        <v>18.6205018399568</v>
      </c>
    </row>
    <row r="573" spans="3:17">
      <c r="C573" s="55"/>
      <c r="D573" s="55" t="s">
        <v>384</v>
      </c>
      <c r="E573" s="147">
        <f>'[50]2023-24'!$J109/10^7</f>
        <v>0</v>
      </c>
      <c r="F573" s="147">
        <f>'[50]2023-24'!$P109/10^7</f>
        <v>0</v>
      </c>
      <c r="G573" s="147">
        <f>'[50]2023-24'!$V109/10^7</f>
        <v>0</v>
      </c>
      <c r="H573" s="147">
        <f>'[50]2023-24'!$AB109/10^7</f>
        <v>0.547953346496605</v>
      </c>
      <c r="I573" s="147">
        <f>'[50]2023-24'!$AH109/10^7</f>
        <v>0</v>
      </c>
      <c r="J573" s="147">
        <f>'[50]2023-24'!$AN109/10^7</f>
        <v>0</v>
      </c>
      <c r="K573" s="147">
        <f>'[50]2023-24'!$AT109/10^7</f>
        <v>0</v>
      </c>
      <c r="L573" s="147">
        <f>'[50]2023-24'!$AZ109/10^7</f>
        <v>0</v>
      </c>
      <c r="M573" s="147">
        <f>'[50]2023-24'!$BF109/10^7</f>
        <v>0</v>
      </c>
      <c r="N573" s="147">
        <f>'[50]2023-24'!$BL109/10^7</f>
        <v>0</v>
      </c>
      <c r="O573" s="147">
        <f>'[50]2023-24'!$BR109/10^7</f>
        <v>0</v>
      </c>
      <c r="P573" s="147">
        <f>'[50]2023-24'!$BX109/10^7</f>
        <v>0</v>
      </c>
      <c r="Q573" s="690">
        <f t="shared" si="211"/>
        <v>0.547953346496605</v>
      </c>
    </row>
    <row r="574" spans="3:17">
      <c r="C574" s="55"/>
      <c r="D574" s="55" t="s">
        <v>385</v>
      </c>
      <c r="E574" s="147">
        <f>'[50]2023-24'!$J110/10^7</f>
        <v>0</v>
      </c>
      <c r="F574" s="147">
        <f>'[50]2023-24'!$P110/10^7</f>
        <v>0</v>
      </c>
      <c r="G574" s="147">
        <f>'[50]2023-24'!$V110/10^7</f>
        <v>0</v>
      </c>
      <c r="H574" s="147">
        <f>'[50]2023-24'!$AB110/10^7</f>
        <v>0.227052549253208</v>
      </c>
      <c r="I574" s="147">
        <f>'[50]2023-24'!$AH110/10^7</f>
        <v>0</v>
      </c>
      <c r="J574" s="147">
        <f>'[50]2023-24'!$AN110/10^7</f>
        <v>0</v>
      </c>
      <c r="K574" s="147">
        <f>'[50]2023-24'!$AT110/10^7</f>
        <v>0</v>
      </c>
      <c r="L574" s="147">
        <f>'[50]2023-24'!$AZ110/10^7</f>
        <v>0</v>
      </c>
      <c r="M574" s="147">
        <f>'[50]2023-24'!$BF110/10^7</f>
        <v>0</v>
      </c>
      <c r="N574" s="147">
        <f>'[50]2023-24'!$BL110/10^7</f>
        <v>0</v>
      </c>
      <c r="O574" s="147">
        <f>'[50]2023-24'!$BR110/10^7</f>
        <v>0</v>
      </c>
      <c r="P574" s="147">
        <f>'[50]2023-24'!$BX110/10^7</f>
        <v>0</v>
      </c>
      <c r="Q574" s="690">
        <f t="shared" si="211"/>
        <v>0.227052549253208</v>
      </c>
    </row>
    <row r="575" spans="3:17">
      <c r="C575" s="55"/>
      <c r="D575" s="55" t="s">
        <v>386</v>
      </c>
      <c r="E575" s="147">
        <f>'[50]2023-24'!$J125/10^7</f>
        <v>0</v>
      </c>
      <c r="F575" s="147">
        <f>'[50]2023-24'!$P125/10^7</f>
        <v>0</v>
      </c>
      <c r="G575" s="147">
        <f>'[50]2023-24'!$V125/10^7</f>
        <v>0</v>
      </c>
      <c r="H575" s="147">
        <f>'[50]2023-24'!$AB125/10^7</f>
        <v>0</v>
      </c>
      <c r="I575" s="147">
        <f>'[50]2023-24'!$AH125/10^7</f>
        <v>0</v>
      </c>
      <c r="J575" s="147">
        <f>'[50]2023-24'!$AN125/10^7</f>
        <v>0</v>
      </c>
      <c r="K575" s="147">
        <f>'[50]2023-24'!$AT125/10^7</f>
        <v>0</v>
      </c>
      <c r="L575" s="147">
        <f>'[50]2023-24'!$AZ125/10^7</f>
        <v>0</v>
      </c>
      <c r="M575" s="147">
        <f>'[50]2023-24'!$BF125/10^7</f>
        <v>0</v>
      </c>
      <c r="N575" s="147">
        <f>'[50]2023-24'!$BL125/10^7</f>
        <v>0</v>
      </c>
      <c r="O575" s="147">
        <f>'[50]2023-24'!$BR125/10^7</f>
        <v>0</v>
      </c>
      <c r="P575" s="147">
        <f>'[50]2023-24'!$BX125/10^7</f>
        <v>0</v>
      </c>
      <c r="Q575" s="690">
        <f t="shared" si="211"/>
        <v>0</v>
      </c>
    </row>
    <row r="576" spans="3:17">
      <c r="C576" s="55"/>
      <c r="D576" s="55" t="s">
        <v>387</v>
      </c>
      <c r="E576" s="147">
        <f>'[50]2023-24'!$J126/10^7</f>
        <v>0</v>
      </c>
      <c r="F576" s="147">
        <f>'[50]2023-24'!$P126/10^7</f>
        <v>0</v>
      </c>
      <c r="G576" s="147">
        <f>'[50]2023-24'!$V126/10^7</f>
        <v>0</v>
      </c>
      <c r="H576" s="147">
        <f>'[50]2023-24'!$AB126/10^7</f>
        <v>0</v>
      </c>
      <c r="I576" s="147">
        <f>'[50]2023-24'!$AH126/10^7</f>
        <v>0</v>
      </c>
      <c r="J576" s="147">
        <f>'[50]2023-24'!$AN126/10^7</f>
        <v>0</v>
      </c>
      <c r="K576" s="147">
        <f>'[50]2023-24'!$AT126/10^7</f>
        <v>0</v>
      </c>
      <c r="L576" s="147">
        <f>'[50]2023-24'!$AZ126/10^7</f>
        <v>0</v>
      </c>
      <c r="M576" s="147">
        <f>'[50]2023-24'!$BF126/10^7</f>
        <v>0</v>
      </c>
      <c r="N576" s="147">
        <f>'[50]2023-24'!$BL126/10^7</f>
        <v>0</v>
      </c>
      <c r="O576" s="147">
        <f>'[50]2023-24'!$BR126/10^7</f>
        <v>0</v>
      </c>
      <c r="P576" s="147">
        <f>'[50]2023-24'!$BX126/10^7</f>
        <v>0</v>
      </c>
      <c r="Q576" s="690">
        <f t="shared" si="211"/>
        <v>0</v>
      </c>
    </row>
    <row r="577" spans="3:17">
      <c r="C577" s="55"/>
      <c r="D577" s="731" t="s">
        <v>467</v>
      </c>
      <c r="E577" s="147">
        <f>'[50]2023-24'!$J111/10^7</f>
        <v>0</v>
      </c>
      <c r="F577" s="147">
        <f>'[50]2023-24'!$P111/10^7</f>
        <v>0</v>
      </c>
      <c r="G577" s="147">
        <f>'[50]2023-24'!$V111/10^7</f>
        <v>0</v>
      </c>
      <c r="H577" s="147">
        <f>'[50]2023-24'!$AB111/10^7</f>
        <v>0</v>
      </c>
      <c r="I577" s="147">
        <f>'[50]2023-24'!$AH111/10^7</f>
        <v>0</v>
      </c>
      <c r="J577" s="147">
        <f>'[50]2023-24'!$AN111/10^7</f>
        <v>0</v>
      </c>
      <c r="K577" s="147">
        <f>'[50]2023-24'!$AT111/10^7</f>
        <v>0</v>
      </c>
      <c r="L577" s="147">
        <f>'[50]2023-24'!$AZ111/10^7</f>
        <v>0</v>
      </c>
      <c r="M577" s="147">
        <f>'[50]2023-24'!$BF111/10^7</f>
        <v>0</v>
      </c>
      <c r="N577" s="147">
        <f>'[50]2023-24'!$BL111/10^7</f>
        <v>0</v>
      </c>
      <c r="O577" s="147">
        <f>'[50]2023-24'!$BR111/10^7</f>
        <v>0</v>
      </c>
      <c r="P577" s="147">
        <f>'[50]2023-24'!$BX111/10^7</f>
        <v>0</v>
      </c>
      <c r="Q577" s="690">
        <f t="shared" si="211"/>
        <v>0</v>
      </c>
    </row>
    <row r="578" spans="3:17">
      <c r="C578" s="55"/>
      <c r="D578" s="731" t="s">
        <v>468</v>
      </c>
      <c r="E578" s="147">
        <f>'[50]2023-24'!$J112/10^7</f>
        <v>0</v>
      </c>
      <c r="F578" s="147">
        <f>'[50]2023-24'!$P112/10^7</f>
        <v>0</v>
      </c>
      <c r="G578" s="147">
        <f>'[50]2023-24'!$V112/10^7</f>
        <v>0</v>
      </c>
      <c r="H578" s="147">
        <f>'[50]2023-24'!$AB112/10^7</f>
        <v>0</v>
      </c>
      <c r="I578" s="147">
        <f>'[50]2023-24'!$AH112/10^7</f>
        <v>0</v>
      </c>
      <c r="J578" s="147">
        <f>'[50]2023-24'!$AN112/10^7</f>
        <v>0</v>
      </c>
      <c r="K578" s="147">
        <f>'[50]2023-24'!$AT112/10^7</f>
        <v>0</v>
      </c>
      <c r="L578" s="147">
        <f>'[50]2023-24'!$AZ112/10^7</f>
        <v>0</v>
      </c>
      <c r="M578" s="147">
        <f>'[50]2023-24'!$BF112/10^7</f>
        <v>0</v>
      </c>
      <c r="N578" s="147">
        <f>'[50]2023-24'!$BL112/10^7</f>
        <v>0</v>
      </c>
      <c r="O578" s="147">
        <f>'[50]2023-24'!$BR112/10^7</f>
        <v>0</v>
      </c>
      <c r="P578" s="147">
        <f>'[50]2023-24'!$BX112/10^7</f>
        <v>0</v>
      </c>
      <c r="Q578" s="690">
        <f t="shared" si="211"/>
        <v>0</v>
      </c>
    </row>
    <row r="579" spans="3:17">
      <c r="C579" s="55"/>
      <c r="D579" s="687" t="s">
        <v>470</v>
      </c>
      <c r="E579" s="147">
        <f>'[50]2023-24'!$J114/10^7</f>
        <v>0</v>
      </c>
      <c r="F579" s="147">
        <f>'[50]2023-24'!$P114/10^7</f>
        <v>0</v>
      </c>
      <c r="G579" s="147">
        <f>'[50]2023-24'!$V114/10^7</f>
        <v>0</v>
      </c>
      <c r="H579" s="147">
        <f>'[50]2023-24'!$AB114/10^7</f>
        <v>0</v>
      </c>
      <c r="I579" s="147">
        <f>'[50]2023-24'!$AH114/10^7</f>
        <v>0</v>
      </c>
      <c r="J579" s="147">
        <f>'[50]2023-24'!$AN114/10^7</f>
        <v>0</v>
      </c>
      <c r="K579" s="147">
        <f>'[50]2023-24'!$AT114/10^7</f>
        <v>0</v>
      </c>
      <c r="L579" s="147">
        <f>'[50]2023-24'!$AZ114/10^7</f>
        <v>0</v>
      </c>
      <c r="M579" s="147">
        <f>'[50]2023-24'!$BF114/10^7</f>
        <v>0</v>
      </c>
      <c r="N579" s="147">
        <f>'[50]2023-24'!$BL114/10^7</f>
        <v>0</v>
      </c>
      <c r="O579" s="147">
        <f>'[50]2023-24'!$BR114/10^7</f>
        <v>0</v>
      </c>
      <c r="P579" s="147">
        <f>'[50]2023-24'!$BX114/10^7</f>
        <v>0</v>
      </c>
      <c r="Q579" s="690">
        <f t="shared" si="211"/>
        <v>0</v>
      </c>
    </row>
    <row r="580" spans="3:17">
      <c r="C580" s="55"/>
      <c r="D580" s="687" t="s">
        <v>471</v>
      </c>
      <c r="E580" s="147">
        <f>'[50]2023-24'!$J115/10^7</f>
        <v>0</v>
      </c>
      <c r="F580" s="147">
        <f>'[50]2023-24'!$P115/10^7</f>
        <v>0</v>
      </c>
      <c r="G580" s="147">
        <f>'[50]2023-24'!$V115/10^7</f>
        <v>0</v>
      </c>
      <c r="H580" s="147">
        <f>'[50]2023-24'!$AB115/10^7</f>
        <v>0</v>
      </c>
      <c r="I580" s="147">
        <f>'[50]2023-24'!$AH115/10^7</f>
        <v>0</v>
      </c>
      <c r="J580" s="147">
        <f>'[50]2023-24'!$AN115/10^7</f>
        <v>0</v>
      </c>
      <c r="K580" s="147">
        <f>'[50]2023-24'!$AT115/10^7</f>
        <v>0</v>
      </c>
      <c r="L580" s="147">
        <f>'[50]2023-24'!$AZ115/10^7</f>
        <v>0</v>
      </c>
      <c r="M580" s="147">
        <f>'[50]2023-24'!$BF115/10^7</f>
        <v>0</v>
      </c>
      <c r="N580" s="147">
        <f>'[50]2023-24'!$BL115/10^7</f>
        <v>0</v>
      </c>
      <c r="O580" s="147">
        <f>'[50]2023-24'!$BR115/10^7</f>
        <v>0</v>
      </c>
      <c r="P580" s="147">
        <f>'[50]2023-24'!$BX115/10^7</f>
        <v>0</v>
      </c>
      <c r="Q580" s="690">
        <f t="shared" si="211"/>
        <v>0</v>
      </c>
    </row>
    <row r="581" spans="3:17">
      <c r="C581" s="55"/>
      <c r="D581" s="731" t="s">
        <v>472</v>
      </c>
      <c r="E581" s="147">
        <f>'[50]2023-24'!$J116/10^7</f>
        <v>0</v>
      </c>
      <c r="F581" s="147">
        <f>'[50]2023-24'!$P116/10^7</f>
        <v>0</v>
      </c>
      <c r="G581" s="147">
        <f>'[50]2023-24'!$V116/10^7</f>
        <v>0</v>
      </c>
      <c r="H581" s="147">
        <f>'[50]2023-24'!$AB116/10^7</f>
        <v>0</v>
      </c>
      <c r="I581" s="147">
        <f>'[50]2023-24'!$AH116/10^7</f>
        <v>0</v>
      </c>
      <c r="J581" s="147">
        <f>'[50]2023-24'!$AN116/10^7</f>
        <v>0</v>
      </c>
      <c r="K581" s="147">
        <f>'[50]2023-24'!$AT116/10^7</f>
        <v>0</v>
      </c>
      <c r="L581" s="147">
        <f>'[50]2023-24'!$AZ116/10^7</f>
        <v>0</v>
      </c>
      <c r="M581" s="147">
        <f>'[50]2023-24'!$BF116/10^7</f>
        <v>0</v>
      </c>
      <c r="N581" s="147">
        <f>'[50]2023-24'!$BL116/10^7</f>
        <v>0</v>
      </c>
      <c r="O581" s="147">
        <f>'[50]2023-24'!$BR116/10^7</f>
        <v>0</v>
      </c>
      <c r="P581" s="147">
        <f>'[50]2023-24'!$BX116/10^7</f>
        <v>0</v>
      </c>
      <c r="Q581" s="690">
        <f t="shared" si="211"/>
        <v>0</v>
      </c>
    </row>
    <row r="582" spans="3:17">
      <c r="C582" s="55"/>
      <c r="D582" s="731" t="s">
        <v>473</v>
      </c>
      <c r="E582" s="147">
        <f>'[50]2023-24'!$J117/10^7</f>
        <v>0</v>
      </c>
      <c r="F582" s="147">
        <f>'[50]2023-24'!$P117/10^7</f>
        <v>0</v>
      </c>
      <c r="G582" s="147">
        <f>'[50]2023-24'!$V117/10^7</f>
        <v>0</v>
      </c>
      <c r="H582" s="147">
        <f>'[50]2023-24'!$AB117/10^7</f>
        <v>0</v>
      </c>
      <c r="I582" s="147">
        <f>'[50]2023-24'!$AH117/10^7</f>
        <v>0</v>
      </c>
      <c r="J582" s="147">
        <f>'[50]2023-24'!$AN117/10^7</f>
        <v>0</v>
      </c>
      <c r="K582" s="147">
        <f>'[50]2023-24'!$AT117/10^7</f>
        <v>0</v>
      </c>
      <c r="L582" s="147">
        <f>'[50]2023-24'!$AZ117/10^7</f>
        <v>0</v>
      </c>
      <c r="M582" s="147">
        <f>'[50]2023-24'!$BF117/10^7</f>
        <v>0</v>
      </c>
      <c r="N582" s="147">
        <f>'[50]2023-24'!$BL117/10^7</f>
        <v>0</v>
      </c>
      <c r="O582" s="147">
        <f>'[50]2023-24'!$BR117/10^7</f>
        <v>0</v>
      </c>
      <c r="P582" s="147">
        <f>'[50]2023-24'!$BX117/10^7</f>
        <v>0</v>
      </c>
      <c r="Q582" s="690">
        <f t="shared" si="211"/>
        <v>0</v>
      </c>
    </row>
    <row r="583" spans="3:17">
      <c r="C583" s="55"/>
      <c r="D583" s="679" t="s">
        <v>498</v>
      </c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690">
        <f>SUM(E582:P582)</f>
        <v>0</v>
      </c>
    </row>
    <row r="584" spans="3:17"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690">
        <f>SUM(E584:P584)</f>
        <v>0</v>
      </c>
    </row>
    <row r="585" spans="3:17"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690">
        <f>SUM(E585:P585)</f>
        <v>0</v>
      </c>
    </row>
    <row r="586" ht="15" spans="3:18">
      <c r="C586" s="537" t="s">
        <v>211</v>
      </c>
      <c r="D586" s="540"/>
      <c r="E586" s="690">
        <f t="shared" ref="E586:P586" si="212">SUM(E561:E585)</f>
        <v>-0.0697496808</v>
      </c>
      <c r="F586" s="690">
        <f t="shared" si="212"/>
        <v>20.1853916617</v>
      </c>
      <c r="G586" s="690">
        <f t="shared" si="212"/>
        <v>0</v>
      </c>
      <c r="H586" s="690">
        <f t="shared" si="212"/>
        <v>62.4930322013035</v>
      </c>
      <c r="I586" s="690">
        <f t="shared" si="212"/>
        <v>0</v>
      </c>
      <c r="J586" s="690">
        <f t="shared" si="212"/>
        <v>0</v>
      </c>
      <c r="K586" s="690">
        <f t="shared" si="212"/>
        <v>0</v>
      </c>
      <c r="L586" s="690">
        <f t="shared" si="212"/>
        <v>-1.24344978758018e-14</v>
      </c>
      <c r="M586" s="690">
        <f t="shared" si="212"/>
        <v>4.08644881315</v>
      </c>
      <c r="N586" s="690">
        <f t="shared" si="212"/>
        <v>5.1941029322</v>
      </c>
      <c r="O586" s="690">
        <f t="shared" si="212"/>
        <v>4.30488522929999</v>
      </c>
      <c r="P586" s="690">
        <f t="shared" si="212"/>
        <v>4.36362494765</v>
      </c>
      <c r="Q586" s="693">
        <f>SUM(E586:P586)</f>
        <v>100.557736104503</v>
      </c>
      <c r="R586" s="735">
        <f>Q586+Q416</f>
        <v>4364.23667346383</v>
      </c>
    </row>
    <row r="587" ht="15" spans="3:17">
      <c r="C587" s="44" t="s">
        <v>388</v>
      </c>
      <c r="D587" s="4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</row>
    <row r="588" spans="3:17">
      <c r="C588" s="682" t="s">
        <v>389</v>
      </c>
      <c r="D588" s="55" t="s">
        <v>390</v>
      </c>
      <c r="E588" s="147">
        <f>'[50]2023-24'!$J104/10^7</f>
        <v>0</v>
      </c>
      <c r="F588" s="147">
        <f>'[50]2023-24'!$P104/10^7</f>
        <v>0</v>
      </c>
      <c r="G588" s="147">
        <f>'[50]2023-24'!$V104/10^7</f>
        <v>0</v>
      </c>
      <c r="H588" s="147">
        <f>'[50]2023-24'!$AB104/10^7</f>
        <v>0</v>
      </c>
      <c r="I588" s="147">
        <f>'[50]2023-24'!$AH104/10^7</f>
        <v>0</v>
      </c>
      <c r="J588" s="147">
        <f>'[50]2023-24'!$AN104/10^7</f>
        <v>0</v>
      </c>
      <c r="K588" s="147">
        <f>'[50]2023-24'!$AT104/10^7</f>
        <v>0</v>
      </c>
      <c r="L588" s="147">
        <f>'[50]2023-24'!$AZ104/10^7</f>
        <v>0</v>
      </c>
      <c r="M588" s="147">
        <f>'[50]2023-24'!$BF104/10^7</f>
        <v>0</v>
      </c>
      <c r="N588" s="147">
        <f>'[50]2023-24'!$BL104/10^7</f>
        <v>0</v>
      </c>
      <c r="O588" s="147">
        <f>'[50]2023-24'!$BR104/10^7</f>
        <v>0</v>
      </c>
      <c r="P588" s="147">
        <f>'[50]2023-24'!$BX104/10^7</f>
        <v>0</v>
      </c>
      <c r="Q588" s="55">
        <f t="shared" ref="Q588:Q602" si="213">SUM(E588:P588)</f>
        <v>0</v>
      </c>
    </row>
    <row r="589" spans="3:17">
      <c r="C589" s="683"/>
      <c r="D589" s="55" t="s">
        <v>391</v>
      </c>
      <c r="E589" s="147">
        <f>'[50]2023-24'!$J103/10^7</f>
        <v>0</v>
      </c>
      <c r="F589" s="147">
        <f>'[50]2023-24'!$P103/10^7</f>
        <v>0</v>
      </c>
      <c r="G589" s="147">
        <f>'[50]2023-24'!$V103/10^7</f>
        <v>0</v>
      </c>
      <c r="H589" s="147">
        <f>'[50]2023-24'!$AB103/10^7</f>
        <v>0</v>
      </c>
      <c r="I589" s="147">
        <f>'[50]2023-24'!$AH103/10^7</f>
        <v>0</v>
      </c>
      <c r="J589" s="147">
        <f>'[50]2023-24'!$AN103/10^7</f>
        <v>0</v>
      </c>
      <c r="K589" s="147">
        <f>'[50]2023-24'!$AT103/10^7</f>
        <v>0</v>
      </c>
      <c r="L589" s="147">
        <f>'[50]2023-24'!$AZ103/10^7</f>
        <v>0</v>
      </c>
      <c r="M589" s="147">
        <f>'[50]2023-24'!$BF103/10^7</f>
        <v>0</v>
      </c>
      <c r="N589" s="147">
        <f>'[50]2023-24'!$BL103/10^7</f>
        <v>0</v>
      </c>
      <c r="O589" s="147">
        <f>'[50]2023-24'!$BR103/10^7</f>
        <v>0</v>
      </c>
      <c r="P589" s="147">
        <f>'[50]2023-24'!$BX103/10^7</f>
        <v>0</v>
      </c>
      <c r="Q589" s="55">
        <f t="shared" si="213"/>
        <v>0</v>
      </c>
    </row>
    <row r="590" spans="3:17">
      <c r="C590" s="683"/>
      <c r="D590" s="55" t="s">
        <v>392</v>
      </c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>
        <f t="shared" si="213"/>
        <v>0</v>
      </c>
    </row>
    <row r="591" spans="3:17">
      <c r="C591" s="684"/>
      <c r="D591" s="55" t="s">
        <v>393</v>
      </c>
      <c r="E591" s="147">
        <f>'[50]2023-24'!$J105/10^7</f>
        <v>0</v>
      </c>
      <c r="F591" s="147">
        <f>'[50]2023-24'!$P105/10^7</f>
        <v>0</v>
      </c>
      <c r="G591" s="147">
        <f>'[50]2023-24'!$V105/10^7</f>
        <v>0</v>
      </c>
      <c r="H591" s="147">
        <f>'[50]2023-24'!$AB105/10^7</f>
        <v>0.7259108205</v>
      </c>
      <c r="I591" s="147">
        <f>'[50]2023-24'!$AH105/10^7</f>
        <v>0</v>
      </c>
      <c r="J591" s="147">
        <f>'[50]2023-24'!$AN105/10^7</f>
        <v>0</v>
      </c>
      <c r="K591" s="147">
        <f>'[50]2023-24'!$AT105/10^7</f>
        <v>0</v>
      </c>
      <c r="L591" s="147">
        <f>'[50]2023-24'!$AZ105/10^7</f>
        <v>0</v>
      </c>
      <c r="M591" s="147">
        <f>'[50]2023-24'!$BF105/10^7</f>
        <v>0</v>
      </c>
      <c r="N591" s="147">
        <f>'[50]2023-24'!$BL105/10^7</f>
        <v>0</v>
      </c>
      <c r="O591" s="147">
        <f>'[50]2023-24'!$BR105/10^7</f>
        <v>0</v>
      </c>
      <c r="P591" s="147">
        <f>'[50]2023-24'!$BX105/10^7</f>
        <v>0</v>
      </c>
      <c r="Q591" s="55">
        <f t="shared" si="213"/>
        <v>0.7259108205</v>
      </c>
    </row>
    <row r="592" spans="3:17"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>
        <f t="shared" si="213"/>
        <v>0</v>
      </c>
    </row>
    <row r="593" spans="3:17"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>
        <f t="shared" si="213"/>
        <v>0</v>
      </c>
    </row>
    <row r="594" spans="3:17"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>
        <f t="shared" si="213"/>
        <v>0</v>
      </c>
    </row>
    <row r="595" spans="3:17"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>
        <f t="shared" si="213"/>
        <v>0</v>
      </c>
    </row>
    <row r="596" spans="3:17"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>
        <f t="shared" si="213"/>
        <v>0</v>
      </c>
    </row>
    <row r="597" spans="3:17"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>
        <f t="shared" si="213"/>
        <v>0</v>
      </c>
    </row>
    <row r="598" spans="3:17"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>
        <f t="shared" si="213"/>
        <v>0</v>
      </c>
    </row>
    <row r="599" spans="3:17"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>
        <f t="shared" si="213"/>
        <v>0</v>
      </c>
    </row>
    <row r="600" spans="3:17"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>
        <f t="shared" si="213"/>
        <v>0</v>
      </c>
    </row>
    <row r="601" spans="3:17"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>
        <f t="shared" si="213"/>
        <v>0</v>
      </c>
    </row>
    <row r="602" ht="15" spans="3:18">
      <c r="C602" s="537" t="s">
        <v>211</v>
      </c>
      <c r="D602" s="540"/>
      <c r="E602" s="690">
        <f t="shared" ref="E602:P602" si="214">SUM(E588:E601)</f>
        <v>0</v>
      </c>
      <c r="F602" s="690">
        <f t="shared" si="214"/>
        <v>0</v>
      </c>
      <c r="G602" s="690">
        <f t="shared" si="214"/>
        <v>0</v>
      </c>
      <c r="H602" s="690">
        <f t="shared" si="214"/>
        <v>0.7259108205</v>
      </c>
      <c r="I602" s="690">
        <f t="shared" si="214"/>
        <v>0</v>
      </c>
      <c r="J602" s="690">
        <f t="shared" si="214"/>
        <v>0</v>
      </c>
      <c r="K602" s="690">
        <f t="shared" si="214"/>
        <v>0</v>
      </c>
      <c r="L602" s="690">
        <f t="shared" si="214"/>
        <v>0</v>
      </c>
      <c r="M602" s="690">
        <f t="shared" si="214"/>
        <v>0</v>
      </c>
      <c r="N602" s="690">
        <f t="shared" si="214"/>
        <v>0</v>
      </c>
      <c r="O602" s="690">
        <f t="shared" si="214"/>
        <v>0</v>
      </c>
      <c r="P602" s="690">
        <f t="shared" si="214"/>
        <v>0</v>
      </c>
      <c r="Q602" s="693">
        <f t="shared" si="213"/>
        <v>0.7259108205</v>
      </c>
      <c r="R602" s="735">
        <f>Q602+Q432</f>
        <v>382.31548804605</v>
      </c>
    </row>
    <row r="603" ht="15" spans="3:17">
      <c r="C603" s="44" t="s">
        <v>395</v>
      </c>
      <c r="D603" s="45"/>
      <c r="E603" s="700">
        <f t="shared" ref="E603:Q603" si="215">E586+E602</f>
        <v>-0.0697496808</v>
      </c>
      <c r="F603" s="700">
        <f t="shared" si="215"/>
        <v>20.1853916617</v>
      </c>
      <c r="G603" s="700">
        <f t="shared" si="215"/>
        <v>0</v>
      </c>
      <c r="H603" s="700">
        <f t="shared" si="215"/>
        <v>63.2189430218035</v>
      </c>
      <c r="I603" s="700">
        <f t="shared" si="215"/>
        <v>0</v>
      </c>
      <c r="J603" s="700">
        <f t="shared" si="215"/>
        <v>0</v>
      </c>
      <c r="K603" s="700">
        <f t="shared" si="215"/>
        <v>0</v>
      </c>
      <c r="L603" s="700">
        <f t="shared" si="215"/>
        <v>-1.24344978758018e-14</v>
      </c>
      <c r="M603" s="700">
        <f t="shared" si="215"/>
        <v>4.08644881315</v>
      </c>
      <c r="N603" s="700">
        <f t="shared" si="215"/>
        <v>5.1941029322</v>
      </c>
      <c r="O603" s="700">
        <f t="shared" si="215"/>
        <v>4.30488522929999</v>
      </c>
      <c r="P603" s="700">
        <f t="shared" si="215"/>
        <v>4.36362494765</v>
      </c>
      <c r="Q603" s="693">
        <f t="shared" si="215"/>
        <v>101.283646925003</v>
      </c>
    </row>
    <row r="604" ht="15" spans="3:17">
      <c r="C604" s="663" t="s">
        <v>396</v>
      </c>
      <c r="D604" s="676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</row>
    <row r="605" spans="3:17">
      <c r="C605" s="55" t="s">
        <v>397</v>
      </c>
      <c r="D605" s="55" t="s">
        <v>397</v>
      </c>
      <c r="E605" s="147">
        <f>'[50]2023-24'!$J129/10^7</f>
        <v>0</v>
      </c>
      <c r="F605" s="147">
        <f>'[50]2023-24'!$P129/10^7</f>
        <v>0</v>
      </c>
      <c r="G605" s="147">
        <f>'[50]2023-24'!$V129/10^7</f>
        <v>0</v>
      </c>
      <c r="H605" s="147">
        <f>'[50]2023-24'!$AB129/10^7</f>
        <v>0</v>
      </c>
      <c r="I605" s="147">
        <f>'[50]2023-24'!$AH129/10^7</f>
        <v>0</v>
      </c>
      <c r="J605" s="147">
        <f>'[50]2023-24'!$AN129/10^7</f>
        <v>0</v>
      </c>
      <c r="K605" s="147">
        <f>'[50]2023-24'!$AT129/10^7</f>
        <v>0</v>
      </c>
      <c r="L605" s="147">
        <f>'[50]2023-24'!$AZ129/10^7</f>
        <v>0</v>
      </c>
      <c r="M605" s="147">
        <f>'[50]2023-24'!$BF129/10^7</f>
        <v>0.00117105945</v>
      </c>
      <c r="N605" s="147">
        <f>'[50]2023-24'!$BL129/10^7</f>
        <v>0</v>
      </c>
      <c r="O605" s="147">
        <f>'[50]2023-24'!$BR129/10^7</f>
        <v>0</v>
      </c>
      <c r="P605" s="147">
        <f>'[50]2023-24'!$BX129/10^7</f>
        <v>0.01696156045</v>
      </c>
      <c r="Q605" s="147">
        <f>SUM(E605:P605)</f>
        <v>0.0181326199</v>
      </c>
    </row>
    <row r="606" spans="3:17">
      <c r="C606" s="55" t="s">
        <v>398</v>
      </c>
      <c r="D606" s="55" t="s">
        <v>398</v>
      </c>
      <c r="E606" s="147">
        <f>'[50]2023-24'!$J130/10^7</f>
        <v>0</v>
      </c>
      <c r="F606" s="147">
        <f>'[50]2023-24'!$P130/10^7</f>
        <v>0</v>
      </c>
      <c r="G606" s="147">
        <f>'[50]2023-24'!$V130/10^7</f>
        <v>0</v>
      </c>
      <c r="H606" s="147">
        <f>'[50]2023-24'!$AB130/10^7</f>
        <v>0</v>
      </c>
      <c r="I606" s="147">
        <f>'[50]2023-24'!$AH130/10^7</f>
        <v>0</v>
      </c>
      <c r="J606" s="147">
        <f>'[50]2023-24'!$AN130/10^7</f>
        <v>0</v>
      </c>
      <c r="K606" s="147">
        <f>'[50]2023-24'!$AT130/10^7</f>
        <v>0</v>
      </c>
      <c r="L606" s="147">
        <f>'[50]2023-24'!$AZ130/10^7</f>
        <v>0</v>
      </c>
      <c r="M606" s="147">
        <f>'[50]2023-24'!$BF130/10^7</f>
        <v>0</v>
      </c>
      <c r="N606" s="147">
        <f>'[50]2023-24'!$BL130/10^7</f>
        <v>0</v>
      </c>
      <c r="O606" s="147">
        <f>'[50]2023-24'!$BR130/10^7</f>
        <v>0</v>
      </c>
      <c r="P606" s="147">
        <f>'[50]2023-24'!$BX130/10^7</f>
        <v>0</v>
      </c>
      <c r="Q606" s="147">
        <f>SUM(E606:P606)</f>
        <v>0</v>
      </c>
    </row>
    <row r="607" spans="3:17"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</row>
    <row r="608" spans="3:17"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</row>
    <row r="609" spans="3:17"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</row>
    <row r="610" spans="3:17"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</row>
    <row r="611" spans="3:17"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</row>
    <row r="612" ht="15" spans="3:17">
      <c r="C612" s="44" t="s">
        <v>399</v>
      </c>
      <c r="D612" s="45"/>
      <c r="E612" s="690">
        <f t="shared" ref="E612:P612" si="216">SUM(E605:E611)</f>
        <v>0</v>
      </c>
      <c r="F612" s="690">
        <f t="shared" si="216"/>
        <v>0</v>
      </c>
      <c r="G612" s="690">
        <f t="shared" si="216"/>
        <v>0</v>
      </c>
      <c r="H612" s="690">
        <f t="shared" si="216"/>
        <v>0</v>
      </c>
      <c r="I612" s="690">
        <f t="shared" si="216"/>
        <v>0</v>
      </c>
      <c r="J612" s="690">
        <f t="shared" si="216"/>
        <v>0</v>
      </c>
      <c r="K612" s="690">
        <f t="shared" si="216"/>
        <v>0</v>
      </c>
      <c r="L612" s="690">
        <f t="shared" si="216"/>
        <v>0</v>
      </c>
      <c r="M612" s="690">
        <f t="shared" si="216"/>
        <v>0.00117105945</v>
      </c>
      <c r="N612" s="690">
        <f t="shared" si="216"/>
        <v>0</v>
      </c>
      <c r="O612" s="690">
        <f t="shared" si="216"/>
        <v>0</v>
      </c>
      <c r="P612" s="690">
        <f t="shared" si="216"/>
        <v>0.01696156045</v>
      </c>
      <c r="Q612" s="693">
        <f>SUM(E612:P612)</f>
        <v>0.0181326199</v>
      </c>
    </row>
    <row r="613" ht="15" spans="3:17">
      <c r="C613" s="663" t="s">
        <v>400</v>
      </c>
      <c r="D613" s="676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</row>
    <row r="614" spans="3:17">
      <c r="C614" s="55" t="s">
        <v>401</v>
      </c>
      <c r="D614" s="55" t="s">
        <v>401</v>
      </c>
      <c r="E614" s="147">
        <f>'[50]2023-24'!$J151/10^7</f>
        <v>-45.779895</v>
      </c>
      <c r="F614" s="147">
        <f>'[50]2023-24'!$P151/10^7</f>
        <v>23.274445</v>
      </c>
      <c r="G614" s="147">
        <f>'[50]2023-24'!$V151/10^7</f>
        <v>0</v>
      </c>
      <c r="H614" s="147">
        <f>'[50]2023-24'!$AB151/10^7</f>
        <v>-10.74956063625</v>
      </c>
      <c r="I614" s="147">
        <f>'[50]2023-24'!$AH151/10^7</f>
        <v>0.732798617</v>
      </c>
      <c r="J614" s="147">
        <f>'[50]2023-24'!$AN151/10^7</f>
        <v>9.8118912393</v>
      </c>
      <c r="K614" s="147">
        <f>'[50]2023-24'!$AT151/10^7</f>
        <v>0</v>
      </c>
      <c r="L614" s="147">
        <f>'[50]2023-24'!$AZ151/10^7</f>
        <v>0</v>
      </c>
      <c r="M614" s="147">
        <f>'[50]2023-24'!$BF151/10^7</f>
        <v>0</v>
      </c>
      <c r="N614" s="147">
        <f>'[50]2023-24'!$BL151/10^7</f>
        <v>0.0040461836</v>
      </c>
      <c r="O614" s="147">
        <f>'[50]2023-24'!$BR151/10^7</f>
        <v>2.7817294956</v>
      </c>
      <c r="P614" s="147">
        <f>'[50]2023-24'!$BX151/10^7</f>
        <v>0</v>
      </c>
      <c r="Q614" s="55">
        <f t="shared" ref="Q614:Q622" si="217">SUM(E614:P614)</f>
        <v>-19.92454510075</v>
      </c>
    </row>
    <row r="615" spans="3:17">
      <c r="C615" s="55" t="s">
        <v>402</v>
      </c>
      <c r="D615" s="55" t="s">
        <v>402</v>
      </c>
      <c r="E615" s="147">
        <f>'[50]2023-24'!$J152/10^7</f>
        <v>0</v>
      </c>
      <c r="F615" s="147">
        <f>'[50]2023-24'!$P152/10^7</f>
        <v>0</v>
      </c>
      <c r="G615" s="147">
        <f>'[50]2023-24'!$V152/10^7</f>
        <v>0</v>
      </c>
      <c r="H615" s="147">
        <f>'[50]2023-24'!$AB152/10^7</f>
        <v>0</v>
      </c>
      <c r="I615" s="147">
        <f>'[50]2023-24'!$AH152/10^7</f>
        <v>0</v>
      </c>
      <c r="J615" s="147">
        <f>'[50]2023-24'!$AN152/10^7</f>
        <v>0</v>
      </c>
      <c r="K615" s="147">
        <f>'[50]2023-24'!$AT152/10^7</f>
        <v>0</v>
      </c>
      <c r="L615" s="147">
        <f>'[50]2023-24'!$AZ152/10^7</f>
        <v>0</v>
      </c>
      <c r="M615" s="147">
        <f>'[50]2023-24'!$BF152/10^7</f>
        <v>0</v>
      </c>
      <c r="N615" s="147">
        <f>'[50]2023-24'!$BL152/10^7</f>
        <v>0</v>
      </c>
      <c r="O615" s="147">
        <f>'[50]2023-24'!$BR152/10^7</f>
        <v>0</v>
      </c>
      <c r="P615" s="147">
        <f>'[50]2023-24'!$BX152/10^7</f>
        <v>0</v>
      </c>
      <c r="Q615" s="55">
        <f t="shared" si="217"/>
        <v>0</v>
      </c>
    </row>
    <row r="616" spans="3:17">
      <c r="C616" s="55" t="s">
        <v>403</v>
      </c>
      <c r="D616" s="55" t="s">
        <v>403</v>
      </c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>
        <f t="shared" si="217"/>
        <v>0</v>
      </c>
    </row>
    <row r="617" spans="3:17"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>
        <f t="shared" si="217"/>
        <v>0</v>
      </c>
    </row>
    <row r="618" spans="3:17"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>
        <f t="shared" si="217"/>
        <v>0</v>
      </c>
    </row>
    <row r="619" spans="3:17"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>
        <f t="shared" si="217"/>
        <v>0</v>
      </c>
    </row>
    <row r="620" spans="3:17"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>
        <f t="shared" si="217"/>
        <v>0</v>
      </c>
    </row>
    <row r="621" spans="3:17"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>
        <f t="shared" si="217"/>
        <v>0</v>
      </c>
    </row>
    <row r="622" ht="15" spans="3:18">
      <c r="C622" s="44" t="s">
        <v>404</v>
      </c>
      <c r="D622" s="45"/>
      <c r="E622" s="690">
        <f t="shared" ref="E622:P622" si="218">SUM(E614:E621)</f>
        <v>-45.779895</v>
      </c>
      <c r="F622" s="690">
        <f t="shared" si="218"/>
        <v>23.274445</v>
      </c>
      <c r="G622" s="690">
        <f t="shared" si="218"/>
        <v>0</v>
      </c>
      <c r="H622" s="690">
        <f t="shared" si="218"/>
        <v>-10.74956063625</v>
      </c>
      <c r="I622" s="690">
        <f t="shared" si="218"/>
        <v>0.732798617</v>
      </c>
      <c r="J622" s="690">
        <f t="shared" si="218"/>
        <v>9.8118912393</v>
      </c>
      <c r="K622" s="690">
        <f t="shared" si="218"/>
        <v>0</v>
      </c>
      <c r="L622" s="690">
        <f t="shared" si="218"/>
        <v>0</v>
      </c>
      <c r="M622" s="690">
        <f t="shared" si="218"/>
        <v>0</v>
      </c>
      <c r="N622" s="690">
        <f t="shared" si="218"/>
        <v>0.0040461836</v>
      </c>
      <c r="O622" s="690">
        <f t="shared" si="218"/>
        <v>2.7817294956</v>
      </c>
      <c r="P622" s="690">
        <f t="shared" si="218"/>
        <v>0</v>
      </c>
      <c r="Q622" s="693">
        <f t="shared" si="217"/>
        <v>-19.92454510075</v>
      </c>
      <c r="R622" s="735">
        <f>Q622+Q444</f>
        <v>2196.87263367615</v>
      </c>
    </row>
    <row r="623" ht="15" spans="3:17">
      <c r="C623" s="663" t="s">
        <v>405</v>
      </c>
      <c r="D623" s="676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</row>
    <row r="624" spans="3:17">
      <c r="C624" s="55"/>
      <c r="D624" s="55" t="s">
        <v>406</v>
      </c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>
        <f t="shared" ref="Q624:Q648" si="219">SUM(E624:P624)</f>
        <v>0</v>
      </c>
    </row>
    <row r="625" spans="3:17">
      <c r="C625" s="55"/>
      <c r="D625" s="55" t="s">
        <v>407</v>
      </c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>
        <f t="shared" si="219"/>
        <v>0</v>
      </c>
    </row>
    <row r="626" spans="3:17">
      <c r="C626" s="55"/>
      <c r="D626" s="55" t="s">
        <v>408</v>
      </c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>
        <f t="shared" si="219"/>
        <v>0</v>
      </c>
    </row>
    <row r="627" spans="3:17">
      <c r="C627" s="55"/>
      <c r="D627" s="55" t="s">
        <v>409</v>
      </c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>
        <f t="shared" si="219"/>
        <v>0</v>
      </c>
    </row>
    <row r="628" spans="3:17">
      <c r="C628" s="55"/>
      <c r="D628" s="55" t="s">
        <v>410</v>
      </c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>
        <f t="shared" si="219"/>
        <v>0</v>
      </c>
    </row>
    <row r="629" spans="3:17">
      <c r="C629" s="55"/>
      <c r="D629" s="55" t="s">
        <v>368</v>
      </c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>
        <f t="shared" si="219"/>
        <v>0</v>
      </c>
    </row>
    <row r="630" spans="3:17">
      <c r="C630" s="55"/>
      <c r="D630" s="55" t="s">
        <v>411</v>
      </c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>
        <f t="shared" si="219"/>
        <v>0</v>
      </c>
    </row>
    <row r="631" spans="3:17">
      <c r="C631" s="55"/>
      <c r="D631" s="55" t="s">
        <v>412</v>
      </c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>
        <f t="shared" si="219"/>
        <v>0</v>
      </c>
    </row>
    <row r="632" spans="3:17">
      <c r="C632" s="55"/>
      <c r="D632" s="55" t="s">
        <v>413</v>
      </c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>
        <f t="shared" si="219"/>
        <v>0</v>
      </c>
    </row>
    <row r="633" spans="3:17">
      <c r="C633" s="55"/>
      <c r="D633" s="55" t="s">
        <v>414</v>
      </c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>
        <f t="shared" si="219"/>
        <v>0</v>
      </c>
    </row>
    <row r="634" spans="3:17">
      <c r="C634" s="55"/>
      <c r="D634" s="55" t="s">
        <v>415</v>
      </c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>
        <f t="shared" si="219"/>
        <v>0</v>
      </c>
    </row>
    <row r="635" spans="3:17">
      <c r="C635" s="55"/>
      <c r="D635" s="55" t="s">
        <v>416</v>
      </c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>
        <f t="shared" si="219"/>
        <v>0</v>
      </c>
    </row>
    <row r="636" spans="3:17">
      <c r="C636" s="55"/>
      <c r="D636" s="55" t="s">
        <v>417</v>
      </c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>
        <f t="shared" si="219"/>
        <v>0</v>
      </c>
    </row>
    <row r="637" spans="3:17">
      <c r="C637" s="55"/>
      <c r="D637" s="55" t="s">
        <v>418</v>
      </c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>
        <f t="shared" si="219"/>
        <v>0</v>
      </c>
    </row>
    <row r="638" spans="3:17">
      <c r="C638" s="55"/>
      <c r="D638" s="687" t="s">
        <v>419</v>
      </c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>
        <f t="shared" si="219"/>
        <v>0</v>
      </c>
    </row>
    <row r="639" spans="3:17">
      <c r="C639" s="55"/>
      <c r="D639" s="687" t="s">
        <v>420</v>
      </c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>
        <f t="shared" si="219"/>
        <v>0</v>
      </c>
    </row>
    <row r="640" spans="3:17"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>
        <f t="shared" si="219"/>
        <v>0</v>
      </c>
    </row>
    <row r="641" spans="3:17"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>
        <f t="shared" si="219"/>
        <v>0</v>
      </c>
    </row>
    <row r="642" spans="3:17"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>
        <f t="shared" si="219"/>
        <v>0</v>
      </c>
    </row>
    <row r="643" spans="3:17"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>
        <f t="shared" si="219"/>
        <v>0</v>
      </c>
    </row>
    <row r="644" spans="3:17"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>
        <f t="shared" si="219"/>
        <v>0</v>
      </c>
    </row>
    <row r="645" spans="3:17"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>
        <f t="shared" si="219"/>
        <v>0</v>
      </c>
    </row>
    <row r="646" spans="3:17"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>
        <f t="shared" si="219"/>
        <v>0</v>
      </c>
    </row>
    <row r="647" spans="3:17"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>
        <f t="shared" si="219"/>
        <v>0</v>
      </c>
    </row>
    <row r="648" ht="15" spans="3:17">
      <c r="C648" s="44" t="s">
        <v>421</v>
      </c>
      <c r="D648" s="45"/>
      <c r="E648" s="55">
        <f t="shared" ref="E648:P648" si="220">SUM(E624:E647)</f>
        <v>0</v>
      </c>
      <c r="F648" s="55">
        <f t="shared" si="220"/>
        <v>0</v>
      </c>
      <c r="G648" s="55">
        <f t="shared" si="220"/>
        <v>0</v>
      </c>
      <c r="H648" s="55">
        <f t="shared" si="220"/>
        <v>0</v>
      </c>
      <c r="I648" s="55">
        <f t="shared" si="220"/>
        <v>0</v>
      </c>
      <c r="J648" s="55">
        <f t="shared" si="220"/>
        <v>0</v>
      </c>
      <c r="K648" s="55">
        <f t="shared" si="220"/>
        <v>0</v>
      </c>
      <c r="L648" s="55">
        <f t="shared" si="220"/>
        <v>0</v>
      </c>
      <c r="M648" s="55">
        <f t="shared" si="220"/>
        <v>0</v>
      </c>
      <c r="N648" s="55">
        <f t="shared" si="220"/>
        <v>0</v>
      </c>
      <c r="O648" s="55">
        <f t="shared" si="220"/>
        <v>0</v>
      </c>
      <c r="P648" s="55">
        <f t="shared" si="220"/>
        <v>0</v>
      </c>
      <c r="Q648" s="316">
        <f t="shared" si="219"/>
        <v>0</v>
      </c>
    </row>
    <row r="649" ht="15" spans="3:17">
      <c r="C649" s="663" t="s">
        <v>422</v>
      </c>
      <c r="D649" s="676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</row>
    <row r="650" spans="3:17">
      <c r="C650" s="55"/>
      <c r="D650" s="55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>
        <f t="shared" ref="Q650:Q674" si="221">SUM(E650:P650)</f>
        <v>0</v>
      </c>
    </row>
    <row r="651" spans="3:17"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147">
        <f t="shared" si="221"/>
        <v>0</v>
      </c>
    </row>
    <row r="652" spans="3:17"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147">
        <f t="shared" si="221"/>
        <v>0</v>
      </c>
    </row>
    <row r="653" spans="3:17"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147">
        <f t="shared" si="221"/>
        <v>0</v>
      </c>
    </row>
    <row r="654" spans="3:17">
      <c r="C654" s="55"/>
      <c r="D654" s="679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147">
        <f t="shared" si="221"/>
        <v>0</v>
      </c>
    </row>
    <row r="655" spans="3:17">
      <c r="C655" s="55"/>
      <c r="D655" s="679" t="s">
        <v>502</v>
      </c>
      <c r="E655" s="147">
        <v>0</v>
      </c>
      <c r="F655" s="147">
        <v>0</v>
      </c>
      <c r="G655" s="147">
        <v>0</v>
      </c>
      <c r="H655" s="147">
        <v>0</v>
      </c>
      <c r="I655" s="147">
        <v>0</v>
      </c>
      <c r="J655" s="147">
        <v>0</v>
      </c>
      <c r="K655" s="147">
        <v>0</v>
      </c>
      <c r="L655" s="147">
        <v>0</v>
      </c>
      <c r="M655" s="147">
        <v>0</v>
      </c>
      <c r="N655" s="147">
        <v>0</v>
      </c>
      <c r="O655" s="147">
        <v>0</v>
      </c>
      <c r="P655" s="147">
        <v>0</v>
      </c>
      <c r="Q655" s="147">
        <f t="shared" si="221"/>
        <v>0</v>
      </c>
    </row>
    <row r="656" spans="3:17">
      <c r="C656" s="55"/>
      <c r="D656" s="679" t="s">
        <v>503</v>
      </c>
      <c r="E656" s="147">
        <v>0</v>
      </c>
      <c r="F656" s="147">
        <v>0</v>
      </c>
      <c r="G656" s="147">
        <v>0</v>
      </c>
      <c r="H656" s="147">
        <v>0</v>
      </c>
      <c r="I656" s="147">
        <v>0</v>
      </c>
      <c r="J656" s="147">
        <v>0</v>
      </c>
      <c r="K656" s="147">
        <v>0</v>
      </c>
      <c r="L656" s="147">
        <v>0</v>
      </c>
      <c r="M656" s="147">
        <v>0</v>
      </c>
      <c r="N656" s="147">
        <v>0</v>
      </c>
      <c r="O656" s="147">
        <v>0</v>
      </c>
      <c r="P656" s="147">
        <v>0</v>
      </c>
      <c r="Q656" s="147">
        <f t="shared" si="221"/>
        <v>0</v>
      </c>
    </row>
    <row r="657" spans="3:17">
      <c r="C657" s="55"/>
      <c r="D657" s="688" t="s">
        <v>504</v>
      </c>
      <c r="E657" s="147">
        <v>0</v>
      </c>
      <c r="F657" s="147">
        <v>0</v>
      </c>
      <c r="G657" s="147">
        <v>0</v>
      </c>
      <c r="H657" s="147">
        <v>0</v>
      </c>
      <c r="I657" s="147">
        <v>0</v>
      </c>
      <c r="J657" s="147">
        <v>0</v>
      </c>
      <c r="K657" s="147">
        <v>0</v>
      </c>
      <c r="L657" s="147">
        <v>0</v>
      </c>
      <c r="M657" s="147">
        <v>0</v>
      </c>
      <c r="N657" s="147">
        <v>0</v>
      </c>
      <c r="O657" s="147">
        <v>0</v>
      </c>
      <c r="P657" s="147">
        <v>0</v>
      </c>
      <c r="Q657" s="147">
        <f t="shared" si="221"/>
        <v>0</v>
      </c>
    </row>
    <row r="658" spans="3:17">
      <c r="C658" s="55"/>
      <c r="D658" s="679" t="s">
        <v>505</v>
      </c>
      <c r="E658" s="147">
        <v>0</v>
      </c>
      <c r="F658" s="147">
        <v>0</v>
      </c>
      <c r="G658" s="147">
        <v>0</v>
      </c>
      <c r="H658" s="147">
        <v>0</v>
      </c>
      <c r="I658" s="147">
        <v>0</v>
      </c>
      <c r="J658" s="147">
        <v>0</v>
      </c>
      <c r="K658" s="147">
        <v>0</v>
      </c>
      <c r="L658" s="147">
        <v>0</v>
      </c>
      <c r="M658" s="147">
        <v>0</v>
      </c>
      <c r="N658" s="147">
        <v>0</v>
      </c>
      <c r="O658" s="147">
        <v>0</v>
      </c>
      <c r="P658" s="147">
        <v>0</v>
      </c>
      <c r="Q658" s="147">
        <f t="shared" si="221"/>
        <v>0</v>
      </c>
    </row>
    <row r="659" spans="3:17">
      <c r="C659" s="55"/>
      <c r="D659" s="679" t="s">
        <v>506</v>
      </c>
      <c r="E659" s="147">
        <v>0</v>
      </c>
      <c r="F659" s="147">
        <v>0</v>
      </c>
      <c r="G659" s="147">
        <v>0</v>
      </c>
      <c r="H659" s="147">
        <v>0</v>
      </c>
      <c r="I659" s="147">
        <v>0</v>
      </c>
      <c r="J659" s="147">
        <v>0</v>
      </c>
      <c r="K659" s="147">
        <v>0</v>
      </c>
      <c r="L659" s="147">
        <v>0</v>
      </c>
      <c r="M659" s="147">
        <v>0</v>
      </c>
      <c r="N659" s="147">
        <v>0</v>
      </c>
      <c r="O659" s="147">
        <v>0</v>
      </c>
      <c r="P659" s="147">
        <v>0</v>
      </c>
      <c r="Q659" s="147">
        <f t="shared" si="221"/>
        <v>0</v>
      </c>
    </row>
    <row r="660" spans="3:17">
      <c r="C660" s="55"/>
      <c r="D660" s="679" t="s">
        <v>507</v>
      </c>
      <c r="E660" s="147">
        <v>0</v>
      </c>
      <c r="F660" s="147">
        <v>0</v>
      </c>
      <c r="G660" s="147">
        <v>0</v>
      </c>
      <c r="H660" s="147">
        <v>0</v>
      </c>
      <c r="I660" s="147">
        <v>0</v>
      </c>
      <c r="J660" s="147">
        <v>0</v>
      </c>
      <c r="K660" s="147">
        <v>0</v>
      </c>
      <c r="L660" s="147">
        <v>0</v>
      </c>
      <c r="M660" s="147">
        <v>0</v>
      </c>
      <c r="N660" s="147">
        <v>0</v>
      </c>
      <c r="O660" s="147">
        <v>0</v>
      </c>
      <c r="P660" s="147">
        <v>0</v>
      </c>
      <c r="Q660" s="147">
        <f t="shared" si="221"/>
        <v>0</v>
      </c>
    </row>
    <row r="661" spans="3:17">
      <c r="C661" s="55"/>
      <c r="D661" s="679" t="s">
        <v>527</v>
      </c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>
        <f t="shared" si="221"/>
        <v>0</v>
      </c>
    </row>
    <row r="662" spans="3:17">
      <c r="C662" s="55"/>
      <c r="D662" s="679" t="s">
        <v>509</v>
      </c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>
        <f t="shared" si="221"/>
        <v>0</v>
      </c>
    </row>
    <row r="663" spans="3:17">
      <c r="C663" s="55"/>
      <c r="D663" s="679" t="s">
        <v>510</v>
      </c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>
        <f t="shared" si="221"/>
        <v>0</v>
      </c>
    </row>
    <row r="664" spans="3:17">
      <c r="C664" s="55"/>
      <c r="D664" s="679" t="s">
        <v>511</v>
      </c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>
        <f t="shared" si="221"/>
        <v>0</v>
      </c>
    </row>
    <row r="665" spans="3:17">
      <c r="C665" s="55"/>
      <c r="D665" s="679" t="s">
        <v>512</v>
      </c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>
        <f t="shared" si="221"/>
        <v>0</v>
      </c>
    </row>
    <row r="666" spans="3:17">
      <c r="C666" s="55"/>
      <c r="D666" s="55" t="s">
        <v>481</v>
      </c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147">
        <f t="shared" si="221"/>
        <v>0</v>
      </c>
    </row>
    <row r="667" spans="3:17"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147">
        <f t="shared" si="221"/>
        <v>0</v>
      </c>
    </row>
    <row r="668" spans="3:17"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147">
        <f t="shared" si="221"/>
        <v>0</v>
      </c>
    </row>
    <row r="669" spans="3:17"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147">
        <f t="shared" si="221"/>
        <v>0</v>
      </c>
    </row>
    <row r="670" spans="3:17"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147">
        <f t="shared" si="221"/>
        <v>0</v>
      </c>
    </row>
    <row r="671" spans="3:17"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147">
        <f t="shared" si="221"/>
        <v>0</v>
      </c>
    </row>
    <row r="672" spans="3:17"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147">
        <f t="shared" si="221"/>
        <v>0</v>
      </c>
    </row>
    <row r="673" spans="3:17"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147">
        <f t="shared" si="221"/>
        <v>0</v>
      </c>
    </row>
    <row r="674" ht="15" spans="3:17">
      <c r="C674" s="44" t="s">
        <v>424</v>
      </c>
      <c r="D674" s="45"/>
      <c r="E674" s="147">
        <f t="shared" ref="E674:P674" si="222">SUM(E650:E673)</f>
        <v>0</v>
      </c>
      <c r="F674" s="147">
        <f t="shared" si="222"/>
        <v>0</v>
      </c>
      <c r="G674" s="147">
        <f t="shared" si="222"/>
        <v>0</v>
      </c>
      <c r="H674" s="147">
        <f t="shared" si="222"/>
        <v>0</v>
      </c>
      <c r="I674" s="147">
        <f t="shared" si="222"/>
        <v>0</v>
      </c>
      <c r="J674" s="147">
        <f t="shared" si="222"/>
        <v>0</v>
      </c>
      <c r="K674" s="147">
        <f t="shared" si="222"/>
        <v>0</v>
      </c>
      <c r="L674" s="147">
        <f t="shared" si="222"/>
        <v>0</v>
      </c>
      <c r="M674" s="147">
        <f t="shared" si="222"/>
        <v>0</v>
      </c>
      <c r="N674" s="147">
        <f t="shared" si="222"/>
        <v>0</v>
      </c>
      <c r="O674" s="147">
        <f t="shared" si="222"/>
        <v>0</v>
      </c>
      <c r="P674" s="147">
        <f t="shared" si="222"/>
        <v>0</v>
      </c>
      <c r="Q674" s="316">
        <f t="shared" si="221"/>
        <v>0</v>
      </c>
    </row>
    <row r="675" ht="15" spans="3:17">
      <c r="C675" s="663" t="s">
        <v>425</v>
      </c>
      <c r="D675" s="676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</row>
    <row r="676" spans="3:17">
      <c r="C676" s="55" t="s">
        <v>426</v>
      </c>
      <c r="D676" s="55" t="s">
        <v>427</v>
      </c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>
        <f>SUM(E676:P676)</f>
        <v>0</v>
      </c>
    </row>
    <row r="677" spans="3:17">
      <c r="C677" s="55" t="s">
        <v>426</v>
      </c>
      <c r="D677" s="55" t="s">
        <v>428</v>
      </c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>
        <f>SUM(E677:P677)</f>
        <v>0</v>
      </c>
    </row>
    <row r="678" ht="15" spans="3:17">
      <c r="C678" s="44" t="s">
        <v>429</v>
      </c>
      <c r="D678" s="45"/>
      <c r="E678" s="55">
        <f t="shared" ref="E678:Q678" si="223">E676+E677</f>
        <v>0</v>
      </c>
      <c r="F678" s="55">
        <f t="shared" si="223"/>
        <v>0</v>
      </c>
      <c r="G678" s="55">
        <f t="shared" si="223"/>
        <v>0</v>
      </c>
      <c r="H678" s="55">
        <f t="shared" si="223"/>
        <v>0</v>
      </c>
      <c r="I678" s="55">
        <f t="shared" si="223"/>
        <v>0</v>
      </c>
      <c r="J678" s="55">
        <f t="shared" si="223"/>
        <v>0</v>
      </c>
      <c r="K678" s="55">
        <f t="shared" si="223"/>
        <v>0</v>
      </c>
      <c r="L678" s="55">
        <f t="shared" si="223"/>
        <v>0</v>
      </c>
      <c r="M678" s="55">
        <f t="shared" si="223"/>
        <v>0</v>
      </c>
      <c r="N678" s="55">
        <f t="shared" si="223"/>
        <v>0</v>
      </c>
      <c r="O678" s="55">
        <f t="shared" si="223"/>
        <v>0</v>
      </c>
      <c r="P678" s="55">
        <f t="shared" si="223"/>
        <v>0</v>
      </c>
      <c r="Q678" s="55">
        <f t="shared" si="223"/>
        <v>0</v>
      </c>
    </row>
    <row r="679" ht="15" spans="3:17">
      <c r="C679" s="44" t="s">
        <v>224</v>
      </c>
      <c r="D679" s="45"/>
      <c r="E679" s="690">
        <f t="shared" ref="E679:Q679" si="224">E558+E603+E612+E622+E648+E674+E678</f>
        <v>26.8403719858667</v>
      </c>
      <c r="F679" s="690">
        <f t="shared" si="224"/>
        <v>116.149853328367</v>
      </c>
      <c r="G679" s="690">
        <f t="shared" si="224"/>
        <v>72.6900166666667</v>
      </c>
      <c r="H679" s="690">
        <f t="shared" si="224"/>
        <v>125.15939905222</v>
      </c>
      <c r="I679" s="690">
        <f t="shared" si="224"/>
        <v>73.4228152836667</v>
      </c>
      <c r="J679" s="690">
        <f t="shared" si="224"/>
        <v>82.5019079059667</v>
      </c>
      <c r="K679" s="690">
        <f t="shared" si="224"/>
        <v>72.6900166666667</v>
      </c>
      <c r="L679" s="690">
        <f t="shared" si="224"/>
        <v>72.6900166666667</v>
      </c>
      <c r="M679" s="690">
        <f t="shared" si="224"/>
        <v>76.7776365392667</v>
      </c>
      <c r="N679" s="690">
        <f t="shared" si="224"/>
        <v>77.8881657824667</v>
      </c>
      <c r="O679" s="690">
        <f t="shared" si="224"/>
        <v>79.7766313915667</v>
      </c>
      <c r="P679" s="690">
        <f t="shared" si="224"/>
        <v>77.0706031747667</v>
      </c>
      <c r="Q679" s="693">
        <f t="shared" si="224"/>
        <v>953.657434444154</v>
      </c>
    </row>
  </sheetData>
  <mergeCells count="120">
    <mergeCell ref="C2:Q2"/>
    <mergeCell ref="E6:Q6"/>
    <mergeCell ref="C9:D9"/>
    <mergeCell ref="C10:D10"/>
    <mergeCell ref="C29:D29"/>
    <mergeCell ref="C30:D30"/>
    <mergeCell ref="C48:D48"/>
    <mergeCell ref="C49:D49"/>
    <mergeCell ref="C50:D50"/>
    <mergeCell ref="C51:D51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65:D165"/>
    <mergeCell ref="C166:D166"/>
    <mergeCell ref="C170:D170"/>
    <mergeCell ref="C171:D171"/>
    <mergeCell ref="E175:Q175"/>
    <mergeCell ref="C178:D178"/>
    <mergeCell ref="C179:D179"/>
    <mergeCell ref="C198:D198"/>
    <mergeCell ref="C199:D199"/>
    <mergeCell ref="C217:D217"/>
    <mergeCell ref="C218:D218"/>
    <mergeCell ref="C219:D219"/>
    <mergeCell ref="C220:D220"/>
    <mergeCell ref="C247:D247"/>
    <mergeCell ref="C248:D248"/>
    <mergeCell ref="C263:D263"/>
    <mergeCell ref="C264:D264"/>
    <mergeCell ref="C265:D265"/>
    <mergeCell ref="C273:D273"/>
    <mergeCell ref="C274:D274"/>
    <mergeCell ref="C283:D283"/>
    <mergeCell ref="C284:D284"/>
    <mergeCell ref="C309:D309"/>
    <mergeCell ref="C310:D310"/>
    <mergeCell ref="C335:D335"/>
    <mergeCell ref="C336:D336"/>
    <mergeCell ref="C340:D340"/>
    <mergeCell ref="C341:D341"/>
    <mergeCell ref="E345:Q345"/>
    <mergeCell ref="C348:D348"/>
    <mergeCell ref="C349:D349"/>
    <mergeCell ref="C368:D368"/>
    <mergeCell ref="C369:D369"/>
    <mergeCell ref="C387:D387"/>
    <mergeCell ref="C388:D388"/>
    <mergeCell ref="C389:D389"/>
    <mergeCell ref="C390:D390"/>
    <mergeCell ref="C416:D416"/>
    <mergeCell ref="C417:D417"/>
    <mergeCell ref="C432:D432"/>
    <mergeCell ref="C433:D433"/>
    <mergeCell ref="C434:D434"/>
    <mergeCell ref="C442:D442"/>
    <mergeCell ref="C443:D443"/>
    <mergeCell ref="C452:D452"/>
    <mergeCell ref="C453:D453"/>
    <mergeCell ref="C478:D478"/>
    <mergeCell ref="C479:D479"/>
    <mergeCell ref="C504:D504"/>
    <mergeCell ref="C505:D505"/>
    <mergeCell ref="C509:D509"/>
    <mergeCell ref="C510:D510"/>
    <mergeCell ref="E514:Q514"/>
    <mergeCell ref="C517:D517"/>
    <mergeCell ref="C518:D518"/>
    <mergeCell ref="C537:D537"/>
    <mergeCell ref="C538:D538"/>
    <mergeCell ref="C557:D557"/>
    <mergeCell ref="C558:D558"/>
    <mergeCell ref="C559:D559"/>
    <mergeCell ref="C560:D560"/>
    <mergeCell ref="C586:D586"/>
    <mergeCell ref="C587:D587"/>
    <mergeCell ref="C602:D602"/>
    <mergeCell ref="C603:D603"/>
    <mergeCell ref="C604:D604"/>
    <mergeCell ref="C612:D612"/>
    <mergeCell ref="C613:D613"/>
    <mergeCell ref="C622:D622"/>
    <mergeCell ref="C623:D623"/>
    <mergeCell ref="C648:D648"/>
    <mergeCell ref="C649:D649"/>
    <mergeCell ref="C674:D674"/>
    <mergeCell ref="C675:D675"/>
    <mergeCell ref="C678:D678"/>
    <mergeCell ref="C679:D679"/>
    <mergeCell ref="C6:C8"/>
    <mergeCell ref="C11:C28"/>
    <mergeCell ref="C31:C47"/>
    <mergeCell ref="C52:C60"/>
    <mergeCell ref="C79:C82"/>
    <mergeCell ref="C175:C177"/>
    <mergeCell ref="C180:C197"/>
    <mergeCell ref="C200:C216"/>
    <mergeCell ref="C221:C229"/>
    <mergeCell ref="C249:C252"/>
    <mergeCell ref="C345:C347"/>
    <mergeCell ref="C350:C367"/>
    <mergeCell ref="C370:C386"/>
    <mergeCell ref="C391:C399"/>
    <mergeCell ref="C418:C421"/>
    <mergeCell ref="C519:C536"/>
    <mergeCell ref="C539:C556"/>
    <mergeCell ref="C561:C569"/>
    <mergeCell ref="C588:C591"/>
    <mergeCell ref="D6:D8"/>
    <mergeCell ref="D175:D177"/>
    <mergeCell ref="D345:D347"/>
    <mergeCell ref="D514:D516"/>
  </mergeCells>
  <pageMargins left="0.7" right="0.7" top="0.75" bottom="0.75" header="0.3" footer="0.3"/>
  <pageSetup paperSize="1" orientation="portrait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</sheetPr>
  <dimension ref="C2:U530"/>
  <sheetViews>
    <sheetView showGridLines="0" view="pageBreakPreview" zoomScale="85" zoomScaleNormal="58" workbookViewId="0">
      <selection activeCell="H4" sqref="H4"/>
    </sheetView>
  </sheetViews>
  <sheetFormatPr defaultColWidth="9.14285714285714" defaultRowHeight="14.25"/>
  <cols>
    <col min="1" max="1" width="1.28571428571429" style="368" customWidth="1"/>
    <col min="2" max="2" width="2.42857142857143" style="368" customWidth="1"/>
    <col min="3" max="3" width="13.7142857142857" style="368" customWidth="1"/>
    <col min="4" max="4" width="35.1428571428571" style="368" customWidth="1"/>
    <col min="5" max="5" width="15.1428571428571" style="368" customWidth="1"/>
    <col min="6" max="6" width="14.4285714285714" style="368" customWidth="1"/>
    <col min="7" max="8" width="15.1428571428571" style="368" customWidth="1"/>
    <col min="9" max="10" width="14.8571428571429" style="368" customWidth="1"/>
    <col min="11" max="11" width="12.5714285714286" style="368" customWidth="1"/>
    <col min="12" max="12" width="15.1428571428571" style="368" customWidth="1"/>
    <col min="13" max="13" width="14.8571428571429" style="368" customWidth="1"/>
    <col min="14" max="14" width="14.4285714285714" style="368" customWidth="1"/>
    <col min="15" max="16" width="15.1428571428571" style="368" customWidth="1"/>
    <col min="17" max="17" width="17.2857142857143" style="368" customWidth="1"/>
    <col min="18" max="18" width="12.4285714285714" style="368" customWidth="1"/>
    <col min="19" max="19" width="12.8571428571429" style="368" customWidth="1"/>
    <col min="20" max="16384" width="9.14285714285714" style="368"/>
  </cols>
  <sheetData>
    <row r="2" ht="15" spans="3:17">
      <c r="C2" s="276" t="s">
        <v>0</v>
      </c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</row>
    <row r="3" ht="15" spans="10:10">
      <c r="J3" s="370" t="s">
        <v>531</v>
      </c>
    </row>
    <row r="4" ht="15" spans="3:10">
      <c r="C4" s="367" t="s">
        <v>522</v>
      </c>
      <c r="J4" s="370"/>
    </row>
    <row r="5" ht="15" spans="3:17">
      <c r="C5" s="369"/>
      <c r="Q5" s="370" t="s">
        <v>109</v>
      </c>
    </row>
    <row r="6" ht="15" customHeight="1" spans="3:17">
      <c r="C6" s="702" t="s">
        <v>345</v>
      </c>
      <c r="D6" s="703" t="s">
        <v>346</v>
      </c>
      <c r="E6" s="403" t="s">
        <v>532</v>
      </c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</row>
    <row r="7" ht="15" spans="3:17">
      <c r="C7" s="704"/>
      <c r="D7" s="705"/>
      <c r="E7" s="403" t="s">
        <v>246</v>
      </c>
      <c r="F7" s="403" t="s">
        <v>247</v>
      </c>
      <c r="G7" s="403" t="s">
        <v>248</v>
      </c>
      <c r="H7" s="403" t="s">
        <v>249</v>
      </c>
      <c r="I7" s="403" t="s">
        <v>250</v>
      </c>
      <c r="J7" s="403" t="s">
        <v>251</v>
      </c>
      <c r="K7" s="403" t="s">
        <v>252</v>
      </c>
      <c r="L7" s="403" t="s">
        <v>253</v>
      </c>
      <c r="M7" s="403" t="s">
        <v>254</v>
      </c>
      <c r="N7" s="403" t="s">
        <v>255</v>
      </c>
      <c r="O7" s="403" t="s">
        <v>256</v>
      </c>
      <c r="P7" s="403" t="s">
        <v>257</v>
      </c>
      <c r="Q7" s="403" t="s">
        <v>97</v>
      </c>
    </row>
    <row r="8" customHeight="1" spans="3:17">
      <c r="C8" s="706"/>
      <c r="D8" s="707"/>
      <c r="E8" s="384"/>
      <c r="F8" s="384"/>
      <c r="G8" s="384"/>
      <c r="H8" s="384"/>
      <c r="I8" s="384"/>
      <c r="J8" s="384"/>
      <c r="K8" s="384"/>
      <c r="L8" s="384"/>
      <c r="M8" s="384"/>
      <c r="N8" s="384"/>
      <c r="O8" s="384"/>
      <c r="P8" s="384"/>
      <c r="Q8" s="384"/>
    </row>
    <row r="9" ht="15" spans="3:17">
      <c r="C9" s="708" t="s">
        <v>349</v>
      </c>
      <c r="D9" s="709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</row>
    <row r="10" ht="15" spans="3:17">
      <c r="C10" s="285" t="s">
        <v>350</v>
      </c>
      <c r="D10" s="28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</row>
    <row r="11" customHeight="1" spans="3:17">
      <c r="C11" s="710" t="s">
        <v>444</v>
      </c>
      <c r="D11" s="296" t="s">
        <v>352</v>
      </c>
      <c r="E11" s="296">
        <f t="shared" ref="E11:P11" si="0">E188+E360</f>
        <v>86.2345810166477</v>
      </c>
      <c r="F11" s="296">
        <f t="shared" si="0"/>
        <v>79.7742537203764</v>
      </c>
      <c r="G11" s="296">
        <f t="shared" si="0"/>
        <v>77.2008906971384</v>
      </c>
      <c r="H11" s="296">
        <f t="shared" si="0"/>
        <v>0</v>
      </c>
      <c r="I11" s="296">
        <f t="shared" si="0"/>
        <v>41.2469152758765</v>
      </c>
      <c r="J11" s="296">
        <f t="shared" si="0"/>
        <v>77.2008906971384</v>
      </c>
      <c r="K11" s="296">
        <f t="shared" si="0"/>
        <v>96.0917147086353</v>
      </c>
      <c r="L11" s="296">
        <f t="shared" si="0"/>
        <v>114.066418833443</v>
      </c>
      <c r="M11" s="296">
        <f t="shared" si="0"/>
        <v>82.4938305517529</v>
      </c>
      <c r="N11" s="296">
        <f t="shared" si="0"/>
        <v>84.002340981702</v>
      </c>
      <c r="O11" s="296">
        <f t="shared" si="0"/>
        <v>96.6180844179339</v>
      </c>
      <c r="P11" s="296">
        <f t="shared" si="0"/>
        <v>109.689598865518</v>
      </c>
      <c r="Q11" s="296">
        <f t="shared" ref="Q11:Q29" si="1">SUM(E11:P11)</f>
        <v>944.619519766162</v>
      </c>
    </row>
    <row r="12" spans="3:17">
      <c r="C12" s="711"/>
      <c r="D12" s="296" t="s">
        <v>353</v>
      </c>
      <c r="E12" s="296">
        <f t="shared" ref="E12:P12" si="2">E189+E361</f>
        <v>90.9051508470397</v>
      </c>
      <c r="F12" s="296">
        <f t="shared" si="2"/>
        <v>105.803618507489</v>
      </c>
      <c r="G12" s="296">
        <f t="shared" si="2"/>
        <v>72.396597792524</v>
      </c>
      <c r="H12" s="296">
        <f t="shared" si="2"/>
        <v>77.1731617117242</v>
      </c>
      <c r="I12" s="296">
        <f t="shared" si="2"/>
        <v>84.440445424992</v>
      </c>
      <c r="J12" s="296">
        <f t="shared" si="2"/>
        <v>71.2320448791132</v>
      </c>
      <c r="K12" s="296">
        <f t="shared" si="2"/>
        <v>98.665442702795</v>
      </c>
      <c r="L12" s="296">
        <f t="shared" si="2"/>
        <v>56.2376839899747</v>
      </c>
      <c r="M12" s="296">
        <f t="shared" si="2"/>
        <v>78.6481635092867</v>
      </c>
      <c r="N12" s="296">
        <f t="shared" si="2"/>
        <v>81.1063384929755</v>
      </c>
      <c r="O12" s="296">
        <f t="shared" si="2"/>
        <v>91.3828649199206</v>
      </c>
      <c r="P12" s="296">
        <f t="shared" si="2"/>
        <v>107.946323733391</v>
      </c>
      <c r="Q12" s="296">
        <f t="shared" si="1"/>
        <v>1015.93783651122</v>
      </c>
    </row>
    <row r="13" spans="3:17">
      <c r="C13" s="711"/>
      <c r="D13" s="296" t="s">
        <v>354</v>
      </c>
      <c r="E13" s="296">
        <f t="shared" ref="E13:P13" si="3">E190+E362</f>
        <v>195.066240515872</v>
      </c>
      <c r="F13" s="296">
        <f t="shared" si="3"/>
        <v>0</v>
      </c>
      <c r="G13" s="296">
        <f t="shared" si="3"/>
        <v>73.2250611317675</v>
      </c>
      <c r="H13" s="296">
        <f t="shared" si="3"/>
        <v>156.330335415277</v>
      </c>
      <c r="I13" s="296">
        <f t="shared" si="3"/>
        <v>193.298448223019</v>
      </c>
      <c r="J13" s="296">
        <f t="shared" si="3"/>
        <v>151.278148272223</v>
      </c>
      <c r="K13" s="296">
        <f t="shared" si="3"/>
        <v>212.785630149263</v>
      </c>
      <c r="L13" s="296">
        <f t="shared" si="3"/>
        <v>227.063742588787</v>
      </c>
      <c r="M13" s="296">
        <f t="shared" si="3"/>
        <v>180.731161856441</v>
      </c>
      <c r="N13" s="296">
        <f t="shared" si="3"/>
        <v>186.977319122566</v>
      </c>
      <c r="O13" s="296">
        <f t="shared" si="3"/>
        <v>186.254514468496</v>
      </c>
      <c r="P13" s="296">
        <f t="shared" si="3"/>
        <v>224.865599518737</v>
      </c>
      <c r="Q13" s="296">
        <f t="shared" si="1"/>
        <v>1987.87620126245</v>
      </c>
    </row>
    <row r="14" spans="3:17">
      <c r="C14" s="711"/>
      <c r="D14" s="296" t="s">
        <v>355</v>
      </c>
      <c r="E14" s="296">
        <f t="shared" ref="E14:P14" si="4">E191+E363</f>
        <v>0</v>
      </c>
      <c r="F14" s="296">
        <f t="shared" si="4"/>
        <v>0</v>
      </c>
      <c r="G14" s="296">
        <f t="shared" si="4"/>
        <v>0</v>
      </c>
      <c r="H14" s="296">
        <f t="shared" si="4"/>
        <v>0</v>
      </c>
      <c r="I14" s="296">
        <f t="shared" si="4"/>
        <v>0</v>
      </c>
      <c r="J14" s="296">
        <f t="shared" si="4"/>
        <v>0</v>
      </c>
      <c r="K14" s="296">
        <f t="shared" si="4"/>
        <v>0</v>
      </c>
      <c r="L14" s="296">
        <f t="shared" si="4"/>
        <v>0</v>
      </c>
      <c r="M14" s="296">
        <f t="shared" si="4"/>
        <v>0</v>
      </c>
      <c r="N14" s="296">
        <f t="shared" si="4"/>
        <v>0</v>
      </c>
      <c r="O14" s="296">
        <f t="shared" si="4"/>
        <v>0</v>
      </c>
      <c r="P14" s="296">
        <f t="shared" si="4"/>
        <v>0</v>
      </c>
      <c r="Q14" s="296">
        <f t="shared" si="1"/>
        <v>0</v>
      </c>
    </row>
    <row r="15" spans="3:17">
      <c r="C15" s="711"/>
      <c r="D15" s="296" t="s">
        <v>356</v>
      </c>
      <c r="E15" s="296">
        <f t="shared" ref="E15:P15" si="5">E192+E364</f>
        <v>103.421283095186</v>
      </c>
      <c r="F15" s="296">
        <f t="shared" si="5"/>
        <v>101.434684124568</v>
      </c>
      <c r="G15" s="296">
        <f t="shared" si="5"/>
        <v>83.0436469355859</v>
      </c>
      <c r="H15" s="296">
        <f t="shared" si="5"/>
        <v>80.7747208781017</v>
      </c>
      <c r="I15" s="296">
        <f t="shared" si="5"/>
        <v>92.6101063622946</v>
      </c>
      <c r="J15" s="296">
        <f t="shared" si="5"/>
        <v>76.788181577609</v>
      </c>
      <c r="K15" s="296">
        <f t="shared" si="5"/>
        <v>0</v>
      </c>
      <c r="L15" s="296">
        <f t="shared" si="5"/>
        <v>52.4025896641594</v>
      </c>
      <c r="M15" s="296">
        <f t="shared" si="5"/>
        <v>89.9946821556315</v>
      </c>
      <c r="N15" s="296">
        <f t="shared" si="5"/>
        <v>92.2826825494188</v>
      </c>
      <c r="O15" s="296">
        <f t="shared" si="5"/>
        <v>93.6850053714174</v>
      </c>
      <c r="P15" s="296">
        <f t="shared" si="5"/>
        <v>112.880567072174</v>
      </c>
      <c r="Q15" s="296">
        <f t="shared" si="1"/>
        <v>979.318149786146</v>
      </c>
    </row>
    <row r="16" spans="3:17">
      <c r="C16" s="711"/>
      <c r="D16" s="296" t="s">
        <v>357</v>
      </c>
      <c r="E16" s="296">
        <f t="shared" ref="E16:P16" si="6">E193+E365</f>
        <v>127.673854008481</v>
      </c>
      <c r="F16" s="296">
        <f t="shared" si="6"/>
        <v>121.581806216263</v>
      </c>
      <c r="G16" s="296">
        <f t="shared" si="6"/>
        <v>117.782225809921</v>
      </c>
      <c r="H16" s="296">
        <f t="shared" si="6"/>
        <v>135.325801586624</v>
      </c>
      <c r="I16" s="296">
        <f t="shared" si="6"/>
        <v>142.626647721186</v>
      </c>
      <c r="J16" s="296">
        <f t="shared" si="6"/>
        <v>128.913501263371</v>
      </c>
      <c r="K16" s="296">
        <f t="shared" si="6"/>
        <v>142.626647721186</v>
      </c>
      <c r="L16" s="296">
        <f t="shared" si="6"/>
        <v>0</v>
      </c>
      <c r="M16" s="296">
        <f t="shared" si="6"/>
        <v>64.0182402332232</v>
      </c>
      <c r="N16" s="296">
        <f t="shared" si="6"/>
        <v>134.603898786869</v>
      </c>
      <c r="O16" s="296">
        <f t="shared" si="6"/>
        <v>128.824068909458</v>
      </c>
      <c r="P16" s="296">
        <f t="shared" si="6"/>
        <v>142.626647721186</v>
      </c>
      <c r="Q16" s="296">
        <f t="shared" si="1"/>
        <v>1386.60333997777</v>
      </c>
    </row>
    <row r="17" spans="3:17">
      <c r="C17" s="711"/>
      <c r="D17" s="296" t="s">
        <v>358</v>
      </c>
      <c r="E17" s="296">
        <f t="shared" ref="E17:P17" si="7">E194+E366</f>
        <v>243.967301595799</v>
      </c>
      <c r="F17" s="296">
        <f t="shared" si="7"/>
        <v>176.909044844953</v>
      </c>
      <c r="G17" s="296">
        <f t="shared" si="7"/>
        <v>200.386405208813</v>
      </c>
      <c r="H17" s="296">
        <f t="shared" si="7"/>
        <v>228.29895797346</v>
      </c>
      <c r="I17" s="296">
        <f t="shared" si="7"/>
        <v>206.945111238264</v>
      </c>
      <c r="J17" s="296">
        <f t="shared" si="7"/>
        <v>179.661820404674</v>
      </c>
      <c r="K17" s="296">
        <f t="shared" si="7"/>
        <v>279.085716768541</v>
      </c>
      <c r="L17" s="296">
        <f t="shared" si="7"/>
        <v>254.622781979334</v>
      </c>
      <c r="M17" s="296">
        <f t="shared" si="7"/>
        <v>247.68857363208</v>
      </c>
      <c r="N17" s="296">
        <f t="shared" si="7"/>
        <v>257.770134283206</v>
      </c>
      <c r="O17" s="296">
        <f t="shared" si="7"/>
        <v>252.077421597392</v>
      </c>
      <c r="P17" s="296">
        <f t="shared" si="7"/>
        <v>279.085716768541</v>
      </c>
      <c r="Q17" s="296">
        <f t="shared" si="1"/>
        <v>2806.49898629506</v>
      </c>
    </row>
    <row r="18" spans="3:17">
      <c r="C18" s="711"/>
      <c r="D18" s="296" t="s">
        <v>359</v>
      </c>
      <c r="E18" s="296">
        <f t="shared" ref="E18:P18" si="8">E195+E367</f>
        <v>612.916285334062</v>
      </c>
      <c r="F18" s="296">
        <f t="shared" si="8"/>
        <v>610.86550771798</v>
      </c>
      <c r="G18" s="296">
        <f t="shared" si="8"/>
        <v>767.210423901683</v>
      </c>
      <c r="H18" s="296">
        <f t="shared" si="8"/>
        <v>975.989882903618</v>
      </c>
      <c r="I18" s="296">
        <f t="shared" si="8"/>
        <v>1014.05158118335</v>
      </c>
      <c r="J18" s="296">
        <f t="shared" si="8"/>
        <v>899.701838945844</v>
      </c>
      <c r="K18" s="296">
        <f t="shared" si="8"/>
        <v>1153.12493469383</v>
      </c>
      <c r="L18" s="296">
        <f t="shared" si="8"/>
        <v>744.270730988725</v>
      </c>
      <c r="M18" s="296">
        <f t="shared" si="8"/>
        <v>808.509004238023</v>
      </c>
      <c r="N18" s="296">
        <f t="shared" si="8"/>
        <v>977.63696328113</v>
      </c>
      <c r="O18" s="296">
        <f t="shared" si="8"/>
        <v>999.069030494917</v>
      </c>
      <c r="P18" s="296">
        <f t="shared" si="8"/>
        <v>1207.2477951312</v>
      </c>
      <c r="Q18" s="296">
        <f t="shared" si="1"/>
        <v>10770.5939788144</v>
      </c>
    </row>
    <row r="19" spans="3:17">
      <c r="C19" s="711"/>
      <c r="D19" s="712" t="s">
        <v>492</v>
      </c>
      <c r="E19" s="296">
        <f t="shared" ref="E19:P19" si="9">E196+E368</f>
        <v>0</v>
      </c>
      <c r="F19" s="296">
        <f t="shared" si="9"/>
        <v>0</v>
      </c>
      <c r="G19" s="296">
        <f t="shared" si="9"/>
        <v>0</v>
      </c>
      <c r="H19" s="296">
        <f t="shared" si="9"/>
        <v>0</v>
      </c>
      <c r="I19" s="296">
        <f t="shared" si="9"/>
        <v>0</v>
      </c>
      <c r="J19" s="296">
        <f t="shared" si="9"/>
        <v>0</v>
      </c>
      <c r="K19" s="296">
        <f t="shared" si="9"/>
        <v>0</v>
      </c>
      <c r="L19" s="296">
        <f t="shared" si="9"/>
        <v>0</v>
      </c>
      <c r="M19" s="296">
        <f t="shared" si="9"/>
        <v>0</v>
      </c>
      <c r="N19" s="296">
        <f t="shared" si="9"/>
        <v>0</v>
      </c>
      <c r="O19" s="296">
        <f t="shared" si="9"/>
        <v>0</v>
      </c>
      <c r="P19" s="296">
        <f t="shared" si="9"/>
        <v>0</v>
      </c>
      <c r="Q19" s="296">
        <f t="shared" si="1"/>
        <v>0</v>
      </c>
    </row>
    <row r="20" spans="3:17">
      <c r="C20" s="711"/>
      <c r="D20" s="296"/>
      <c r="E20" s="296">
        <f t="shared" ref="E20:P20" si="10">E197+E369</f>
        <v>0</v>
      </c>
      <c r="F20" s="296">
        <f t="shared" si="10"/>
        <v>0</v>
      </c>
      <c r="G20" s="296">
        <f t="shared" si="10"/>
        <v>0</v>
      </c>
      <c r="H20" s="296">
        <f t="shared" si="10"/>
        <v>0</v>
      </c>
      <c r="I20" s="296">
        <f t="shared" si="10"/>
        <v>0</v>
      </c>
      <c r="J20" s="296">
        <f t="shared" si="10"/>
        <v>0</v>
      </c>
      <c r="K20" s="296">
        <f t="shared" si="10"/>
        <v>0</v>
      </c>
      <c r="L20" s="296">
        <f t="shared" si="10"/>
        <v>0</v>
      </c>
      <c r="M20" s="296">
        <f t="shared" si="10"/>
        <v>0</v>
      </c>
      <c r="N20" s="296">
        <f t="shared" si="10"/>
        <v>0</v>
      </c>
      <c r="O20" s="296">
        <f t="shared" si="10"/>
        <v>0</v>
      </c>
      <c r="P20" s="296">
        <f t="shared" si="10"/>
        <v>0</v>
      </c>
      <c r="Q20" s="296">
        <f t="shared" si="1"/>
        <v>0</v>
      </c>
    </row>
    <row r="21" spans="3:17">
      <c r="C21" s="711"/>
      <c r="D21" s="296"/>
      <c r="E21" s="296">
        <f t="shared" ref="E21:P21" si="11">E198+E370</f>
        <v>0</v>
      </c>
      <c r="F21" s="296">
        <f t="shared" si="11"/>
        <v>0</v>
      </c>
      <c r="G21" s="296">
        <f t="shared" si="11"/>
        <v>0</v>
      </c>
      <c r="H21" s="296">
        <f t="shared" si="11"/>
        <v>0</v>
      </c>
      <c r="I21" s="296">
        <f t="shared" si="11"/>
        <v>0</v>
      </c>
      <c r="J21" s="296">
        <f t="shared" si="11"/>
        <v>0</v>
      </c>
      <c r="K21" s="296">
        <f t="shared" si="11"/>
        <v>0</v>
      </c>
      <c r="L21" s="296">
        <f t="shared" si="11"/>
        <v>0</v>
      </c>
      <c r="M21" s="296">
        <f t="shared" si="11"/>
        <v>0</v>
      </c>
      <c r="N21" s="296">
        <f t="shared" si="11"/>
        <v>0</v>
      </c>
      <c r="O21" s="296">
        <f t="shared" si="11"/>
        <v>0</v>
      </c>
      <c r="P21" s="296">
        <f t="shared" si="11"/>
        <v>0</v>
      </c>
      <c r="Q21" s="296">
        <f t="shared" si="1"/>
        <v>0</v>
      </c>
    </row>
    <row r="22" spans="3:17">
      <c r="C22" s="711"/>
      <c r="D22" s="296"/>
      <c r="E22" s="296">
        <f t="shared" ref="E22:P22" si="12">E199+E371</f>
        <v>0</v>
      </c>
      <c r="F22" s="296">
        <f t="shared" si="12"/>
        <v>0</v>
      </c>
      <c r="G22" s="296">
        <f t="shared" si="12"/>
        <v>0</v>
      </c>
      <c r="H22" s="296">
        <f t="shared" si="12"/>
        <v>0</v>
      </c>
      <c r="I22" s="296">
        <f t="shared" si="12"/>
        <v>0</v>
      </c>
      <c r="J22" s="296">
        <f t="shared" si="12"/>
        <v>0</v>
      </c>
      <c r="K22" s="296">
        <f t="shared" si="12"/>
        <v>0</v>
      </c>
      <c r="L22" s="296">
        <f t="shared" si="12"/>
        <v>0</v>
      </c>
      <c r="M22" s="296">
        <f t="shared" si="12"/>
        <v>0</v>
      </c>
      <c r="N22" s="296">
        <f t="shared" si="12"/>
        <v>0</v>
      </c>
      <c r="O22" s="296">
        <f t="shared" si="12"/>
        <v>0</v>
      </c>
      <c r="P22" s="296">
        <f t="shared" si="12"/>
        <v>0</v>
      </c>
      <c r="Q22" s="296">
        <f t="shared" si="1"/>
        <v>0</v>
      </c>
    </row>
    <row r="23" spans="3:17">
      <c r="C23" s="711"/>
      <c r="D23" s="296"/>
      <c r="E23" s="296">
        <f t="shared" ref="E23:P23" si="13">E200+E372</f>
        <v>0</v>
      </c>
      <c r="F23" s="296">
        <f t="shared" si="13"/>
        <v>0</v>
      </c>
      <c r="G23" s="296">
        <f t="shared" si="13"/>
        <v>0</v>
      </c>
      <c r="H23" s="296">
        <f t="shared" si="13"/>
        <v>0</v>
      </c>
      <c r="I23" s="296">
        <f t="shared" si="13"/>
        <v>0</v>
      </c>
      <c r="J23" s="296">
        <f t="shared" si="13"/>
        <v>0</v>
      </c>
      <c r="K23" s="296">
        <f t="shared" si="13"/>
        <v>0</v>
      </c>
      <c r="L23" s="296">
        <f t="shared" si="13"/>
        <v>0</v>
      </c>
      <c r="M23" s="296">
        <f t="shared" si="13"/>
        <v>0</v>
      </c>
      <c r="N23" s="296">
        <f t="shared" si="13"/>
        <v>0</v>
      </c>
      <c r="O23" s="296">
        <f t="shared" si="13"/>
        <v>0</v>
      </c>
      <c r="P23" s="296">
        <f t="shared" si="13"/>
        <v>0</v>
      </c>
      <c r="Q23" s="296">
        <f t="shared" si="1"/>
        <v>0</v>
      </c>
    </row>
    <row r="24" spans="3:17">
      <c r="C24" s="711"/>
      <c r="D24" s="296"/>
      <c r="E24" s="296">
        <f t="shared" ref="E24:P24" si="14">E201+E373</f>
        <v>0</v>
      </c>
      <c r="F24" s="296">
        <f t="shared" si="14"/>
        <v>0</v>
      </c>
      <c r="G24" s="296">
        <f t="shared" si="14"/>
        <v>0</v>
      </c>
      <c r="H24" s="296">
        <f t="shared" si="14"/>
        <v>0</v>
      </c>
      <c r="I24" s="296">
        <f t="shared" si="14"/>
        <v>0</v>
      </c>
      <c r="J24" s="296">
        <f t="shared" si="14"/>
        <v>0</v>
      </c>
      <c r="K24" s="296">
        <f t="shared" si="14"/>
        <v>0</v>
      </c>
      <c r="L24" s="296">
        <f t="shared" si="14"/>
        <v>0</v>
      </c>
      <c r="M24" s="296">
        <f t="shared" si="14"/>
        <v>0</v>
      </c>
      <c r="N24" s="296">
        <f t="shared" si="14"/>
        <v>0</v>
      </c>
      <c r="O24" s="296">
        <f t="shared" si="14"/>
        <v>0</v>
      </c>
      <c r="P24" s="296">
        <f t="shared" si="14"/>
        <v>0</v>
      </c>
      <c r="Q24" s="296">
        <f t="shared" si="1"/>
        <v>0</v>
      </c>
    </row>
    <row r="25" spans="3:17">
      <c r="C25" s="711"/>
      <c r="D25" s="296"/>
      <c r="E25" s="296">
        <f t="shared" ref="E25:P25" si="15">E202+E374</f>
        <v>0</v>
      </c>
      <c r="F25" s="296">
        <f t="shared" si="15"/>
        <v>0</v>
      </c>
      <c r="G25" s="296">
        <f t="shared" si="15"/>
        <v>0</v>
      </c>
      <c r="H25" s="296">
        <f t="shared" si="15"/>
        <v>0</v>
      </c>
      <c r="I25" s="296">
        <f t="shared" si="15"/>
        <v>0</v>
      </c>
      <c r="J25" s="296">
        <f t="shared" si="15"/>
        <v>0</v>
      </c>
      <c r="K25" s="296">
        <f t="shared" si="15"/>
        <v>0</v>
      </c>
      <c r="L25" s="296">
        <f t="shared" si="15"/>
        <v>0</v>
      </c>
      <c r="M25" s="296">
        <f t="shared" si="15"/>
        <v>0</v>
      </c>
      <c r="N25" s="296">
        <f t="shared" si="15"/>
        <v>0</v>
      </c>
      <c r="O25" s="296">
        <f t="shared" si="15"/>
        <v>0</v>
      </c>
      <c r="P25" s="296">
        <f t="shared" si="15"/>
        <v>0</v>
      </c>
      <c r="Q25" s="296">
        <f t="shared" si="1"/>
        <v>0</v>
      </c>
    </row>
    <row r="26" spans="3:17">
      <c r="C26" s="711"/>
      <c r="D26" s="296"/>
      <c r="E26" s="296">
        <f t="shared" ref="E26:P26" si="16">E203+E375</f>
        <v>0</v>
      </c>
      <c r="F26" s="296">
        <f t="shared" si="16"/>
        <v>0</v>
      </c>
      <c r="G26" s="296">
        <f t="shared" si="16"/>
        <v>0</v>
      </c>
      <c r="H26" s="296">
        <f t="shared" si="16"/>
        <v>0</v>
      </c>
      <c r="I26" s="296">
        <f t="shared" si="16"/>
        <v>0</v>
      </c>
      <c r="J26" s="296">
        <f t="shared" si="16"/>
        <v>0</v>
      </c>
      <c r="K26" s="296">
        <f t="shared" si="16"/>
        <v>0</v>
      </c>
      <c r="L26" s="296">
        <f t="shared" si="16"/>
        <v>0</v>
      </c>
      <c r="M26" s="296">
        <f t="shared" si="16"/>
        <v>0</v>
      </c>
      <c r="N26" s="296">
        <f t="shared" si="16"/>
        <v>0</v>
      </c>
      <c r="O26" s="296">
        <f t="shared" si="16"/>
        <v>0</v>
      </c>
      <c r="P26" s="296">
        <f t="shared" si="16"/>
        <v>0</v>
      </c>
      <c r="Q26" s="296">
        <f t="shared" si="1"/>
        <v>0</v>
      </c>
    </row>
    <row r="27" spans="3:17">
      <c r="C27" s="711"/>
      <c r="D27" s="296"/>
      <c r="E27" s="296">
        <f t="shared" ref="E27:P27" si="17">E204+E376</f>
        <v>0</v>
      </c>
      <c r="F27" s="296">
        <f t="shared" si="17"/>
        <v>0</v>
      </c>
      <c r="G27" s="296">
        <f t="shared" si="17"/>
        <v>0</v>
      </c>
      <c r="H27" s="296">
        <f t="shared" si="17"/>
        <v>0</v>
      </c>
      <c r="I27" s="296">
        <f t="shared" si="17"/>
        <v>0</v>
      </c>
      <c r="J27" s="296">
        <f t="shared" si="17"/>
        <v>0</v>
      </c>
      <c r="K27" s="296">
        <f t="shared" si="17"/>
        <v>0</v>
      </c>
      <c r="L27" s="296">
        <f t="shared" si="17"/>
        <v>0</v>
      </c>
      <c r="M27" s="296">
        <f t="shared" si="17"/>
        <v>0</v>
      </c>
      <c r="N27" s="296">
        <f t="shared" si="17"/>
        <v>0</v>
      </c>
      <c r="O27" s="296">
        <f t="shared" si="17"/>
        <v>0</v>
      </c>
      <c r="P27" s="296">
        <f t="shared" si="17"/>
        <v>0</v>
      </c>
      <c r="Q27" s="296">
        <f t="shared" si="1"/>
        <v>0</v>
      </c>
    </row>
    <row r="28" spans="3:17">
      <c r="C28" s="713"/>
      <c r="D28" s="296"/>
      <c r="E28" s="296">
        <f t="shared" ref="E28:P28" si="18">E205+E377</f>
        <v>0</v>
      </c>
      <c r="F28" s="296">
        <f t="shared" si="18"/>
        <v>0</v>
      </c>
      <c r="G28" s="296">
        <f t="shared" si="18"/>
        <v>0</v>
      </c>
      <c r="H28" s="296">
        <f t="shared" si="18"/>
        <v>0</v>
      </c>
      <c r="I28" s="296">
        <f t="shared" si="18"/>
        <v>0</v>
      </c>
      <c r="J28" s="296">
        <f t="shared" si="18"/>
        <v>0</v>
      </c>
      <c r="K28" s="296">
        <f t="shared" si="18"/>
        <v>0</v>
      </c>
      <c r="L28" s="296">
        <f t="shared" si="18"/>
        <v>0</v>
      </c>
      <c r="M28" s="296">
        <f t="shared" si="18"/>
        <v>0</v>
      </c>
      <c r="N28" s="296">
        <f t="shared" si="18"/>
        <v>0</v>
      </c>
      <c r="O28" s="296">
        <f t="shared" si="18"/>
        <v>0</v>
      </c>
      <c r="P28" s="296">
        <f t="shared" si="18"/>
        <v>0</v>
      </c>
      <c r="Q28" s="296">
        <f t="shared" si="1"/>
        <v>0</v>
      </c>
    </row>
    <row r="29" ht="15" spans="3:17">
      <c r="C29" s="285" t="s">
        <v>211</v>
      </c>
      <c r="D29" s="286"/>
      <c r="E29" s="390">
        <f t="shared" ref="E29:P29" si="19">SUM(E11:E28)</f>
        <v>1460.18469641309</v>
      </c>
      <c r="F29" s="390">
        <f t="shared" si="19"/>
        <v>1196.36891513163</v>
      </c>
      <c r="G29" s="390">
        <f t="shared" si="19"/>
        <v>1391.24525147743</v>
      </c>
      <c r="H29" s="390">
        <f t="shared" si="19"/>
        <v>1653.89286046881</v>
      </c>
      <c r="I29" s="390">
        <f t="shared" si="19"/>
        <v>1775.21925542898</v>
      </c>
      <c r="J29" s="390">
        <f t="shared" si="19"/>
        <v>1584.77642603997</v>
      </c>
      <c r="K29" s="390">
        <f t="shared" si="19"/>
        <v>1982.38008674425</v>
      </c>
      <c r="L29" s="390">
        <f t="shared" si="19"/>
        <v>1448.66394804442</v>
      </c>
      <c r="M29" s="390">
        <f t="shared" si="19"/>
        <v>1552.08365617644</v>
      </c>
      <c r="N29" s="390">
        <f t="shared" si="19"/>
        <v>1814.37967749787</v>
      </c>
      <c r="O29" s="390">
        <f t="shared" si="19"/>
        <v>1847.91099017954</v>
      </c>
      <c r="P29" s="390">
        <f t="shared" si="19"/>
        <v>2184.34224881074</v>
      </c>
      <c r="Q29" s="390">
        <f t="shared" si="1"/>
        <v>19891.4480124132</v>
      </c>
    </row>
    <row r="30" ht="15" spans="3:17">
      <c r="C30" s="285" t="s">
        <v>360</v>
      </c>
      <c r="D30" s="286"/>
      <c r="E30" s="296"/>
      <c r="F30" s="296"/>
      <c r="G30" s="296"/>
      <c r="H30" s="296"/>
      <c r="I30" s="296"/>
      <c r="J30" s="296"/>
      <c r="K30" s="296"/>
      <c r="L30" s="296"/>
      <c r="M30" s="296"/>
      <c r="N30" s="296"/>
      <c r="O30" s="296"/>
      <c r="P30" s="296"/>
      <c r="Q30" s="296"/>
    </row>
    <row r="31" spans="3:17">
      <c r="C31" s="710" t="s">
        <v>444</v>
      </c>
      <c r="D31" s="296" t="s">
        <v>361</v>
      </c>
      <c r="E31" s="296">
        <f t="shared" ref="E31:P31" si="20">E208+E380</f>
        <v>1.13882146670992</v>
      </c>
      <c r="F31" s="296">
        <f t="shared" si="20"/>
        <v>1.220325078517</v>
      </c>
      <c r="G31" s="296">
        <f t="shared" si="20"/>
        <v>1.26431587469525</v>
      </c>
      <c r="H31" s="296">
        <f t="shared" si="20"/>
        <v>2.76408013799252</v>
      </c>
      <c r="I31" s="296">
        <f t="shared" si="20"/>
        <v>6.48955557821322</v>
      </c>
      <c r="J31" s="296">
        <f t="shared" si="20"/>
        <v>3.27765626531826</v>
      </c>
      <c r="K31" s="296">
        <f t="shared" si="20"/>
        <v>3.61280629978975</v>
      </c>
      <c r="L31" s="296">
        <f t="shared" si="20"/>
        <v>1.23911788525435</v>
      </c>
      <c r="M31" s="296">
        <f t="shared" si="20"/>
        <v>2.12571291551722</v>
      </c>
      <c r="N31" s="296">
        <f t="shared" si="20"/>
        <v>4.05615266084837</v>
      </c>
      <c r="O31" s="296">
        <f t="shared" si="20"/>
        <v>3.64287854750933</v>
      </c>
      <c r="P31" s="296">
        <f t="shared" si="20"/>
        <v>1.6921272896348</v>
      </c>
      <c r="Q31" s="296">
        <f t="shared" ref="Q31:Q48" si="21">SUM(E31:P31)</f>
        <v>32.52355</v>
      </c>
    </row>
    <row r="32" spans="3:17">
      <c r="C32" s="711"/>
      <c r="D32" s="296" t="s">
        <v>362</v>
      </c>
      <c r="E32" s="296">
        <f t="shared" ref="E32:P32" si="22">E209+E381</f>
        <v>7.27891361279584</v>
      </c>
      <c r="F32" s="296">
        <f t="shared" si="22"/>
        <v>7.79985369587005</v>
      </c>
      <c r="G32" s="296">
        <f t="shared" si="22"/>
        <v>8.08102613114623</v>
      </c>
      <c r="H32" s="296">
        <f t="shared" si="22"/>
        <v>17.6669487987596</v>
      </c>
      <c r="I32" s="296">
        <f t="shared" si="22"/>
        <v>41.4787706590394</v>
      </c>
      <c r="J32" s="296">
        <f t="shared" si="22"/>
        <v>20.9495320426444</v>
      </c>
      <c r="K32" s="296">
        <f t="shared" si="22"/>
        <v>23.0916835734645</v>
      </c>
      <c r="L32" s="296">
        <f t="shared" si="22"/>
        <v>7.91997016783854</v>
      </c>
      <c r="M32" s="296">
        <f t="shared" si="22"/>
        <v>13.5867483446336</v>
      </c>
      <c r="N32" s="296">
        <f t="shared" si="22"/>
        <v>25.9253848664479</v>
      </c>
      <c r="O32" s="296">
        <f t="shared" si="22"/>
        <v>23.2838939415443</v>
      </c>
      <c r="P32" s="296">
        <f t="shared" si="22"/>
        <v>10.8154339579581</v>
      </c>
      <c r="Q32" s="296">
        <f t="shared" si="21"/>
        <v>207.878159792142</v>
      </c>
    </row>
    <row r="33" spans="3:17">
      <c r="C33" s="711"/>
      <c r="D33" s="296" t="s">
        <v>363</v>
      </c>
      <c r="E33" s="296">
        <f t="shared" ref="E33:P33" si="23">E210+E382</f>
        <v>9.3996001753389</v>
      </c>
      <c r="F33" s="296">
        <f t="shared" si="23"/>
        <v>10.0723143682368</v>
      </c>
      <c r="G33" s="296">
        <f t="shared" si="23"/>
        <v>10.4354054299684</v>
      </c>
      <c r="H33" s="296">
        <f t="shared" si="23"/>
        <v>22.8141538504589</v>
      </c>
      <c r="I33" s="296">
        <f t="shared" si="23"/>
        <v>53.5634684926277</v>
      </c>
      <c r="J33" s="296">
        <f t="shared" si="23"/>
        <v>27.0531064848937</v>
      </c>
      <c r="K33" s="296">
        <f t="shared" si="23"/>
        <v>29.8193665308026</v>
      </c>
      <c r="L33" s="296">
        <f t="shared" si="23"/>
        <v>10.227426363108</v>
      </c>
      <c r="M33" s="296">
        <f t="shared" si="23"/>
        <v>17.5452009621323</v>
      </c>
      <c r="N33" s="296">
        <f t="shared" si="23"/>
        <v>33.4786569946378</v>
      </c>
      <c r="O33" s="296">
        <f t="shared" si="23"/>
        <v>30.0675767316118</v>
      </c>
      <c r="P33" s="296">
        <f t="shared" si="23"/>
        <v>13.9664736161831</v>
      </c>
      <c r="Q33" s="296">
        <f t="shared" si="21"/>
        <v>268.44275</v>
      </c>
    </row>
    <row r="34" spans="3:17">
      <c r="C34" s="711"/>
      <c r="D34" s="296" t="s">
        <v>364</v>
      </c>
      <c r="E34" s="296">
        <f t="shared" ref="E34:P34" si="24">E211+E383</f>
        <v>5.32578134507573</v>
      </c>
      <c r="F34" s="296">
        <f t="shared" si="24"/>
        <v>5.70693890840518</v>
      </c>
      <c r="G34" s="296">
        <f t="shared" si="24"/>
        <v>5.91266506346092</v>
      </c>
      <c r="H34" s="296">
        <f t="shared" si="24"/>
        <v>12.9264216258092</v>
      </c>
      <c r="I34" s="296">
        <f t="shared" si="24"/>
        <v>30.348878245271</v>
      </c>
      <c r="J34" s="296">
        <f t="shared" si="24"/>
        <v>15.328197705856</v>
      </c>
      <c r="K34" s="296">
        <f t="shared" si="24"/>
        <v>16.8955511967825</v>
      </c>
      <c r="L34" s="296">
        <f t="shared" si="24"/>
        <v>5.79482483475021</v>
      </c>
      <c r="M34" s="296">
        <f t="shared" si="24"/>
        <v>9.94105092096222</v>
      </c>
      <c r="N34" s="296">
        <f t="shared" si="24"/>
        <v>18.9688926714165</v>
      </c>
      <c r="O34" s="296">
        <f t="shared" si="24"/>
        <v>17.0361862485366</v>
      </c>
      <c r="P34" s="296">
        <f t="shared" si="24"/>
        <v>7.91335623367392</v>
      </c>
      <c r="Q34" s="296">
        <f t="shared" si="21"/>
        <v>152.098745</v>
      </c>
    </row>
    <row r="35" spans="3:17">
      <c r="C35" s="711"/>
      <c r="D35" s="296" t="s">
        <v>365</v>
      </c>
      <c r="E35" s="296">
        <f t="shared" ref="E35:P35" si="25">E212+E384</f>
        <v>2.31395676326937</v>
      </c>
      <c r="F35" s="296">
        <f t="shared" si="25"/>
        <v>2.47956290899538</v>
      </c>
      <c r="G35" s="296">
        <f t="shared" si="25"/>
        <v>2.56894724474412</v>
      </c>
      <c r="H35" s="296">
        <f t="shared" si="25"/>
        <v>5.61629905695792</v>
      </c>
      <c r="I35" s="296">
        <f t="shared" si="25"/>
        <v>13.1860449243218</v>
      </c>
      <c r="J35" s="296">
        <f t="shared" si="25"/>
        <v>6.65982781718788</v>
      </c>
      <c r="K35" s="296">
        <f t="shared" si="25"/>
        <v>7.34081488289168</v>
      </c>
      <c r="L35" s="296">
        <f t="shared" si="25"/>
        <v>2.51774777248969</v>
      </c>
      <c r="M35" s="296">
        <f t="shared" si="25"/>
        <v>4.319208867603</v>
      </c>
      <c r="N35" s="296">
        <f t="shared" si="25"/>
        <v>8.24164467986264</v>
      </c>
      <c r="O35" s="296">
        <f t="shared" si="25"/>
        <v>7.40191829816052</v>
      </c>
      <c r="P35" s="296">
        <f t="shared" si="25"/>
        <v>3.4382117835161</v>
      </c>
      <c r="Q35" s="296">
        <f t="shared" si="21"/>
        <v>66.0841850000001</v>
      </c>
    </row>
    <row r="36" spans="3:17">
      <c r="C36" s="711"/>
      <c r="D36" s="287" t="s">
        <v>366</v>
      </c>
      <c r="E36" s="296">
        <f t="shared" ref="E36:P36" si="26">E213+E385</f>
        <v>0.125986756620837</v>
      </c>
      <c r="F36" s="296">
        <f t="shared" si="26"/>
        <v>0.135003425172162</v>
      </c>
      <c r="G36" s="296">
        <f t="shared" si="26"/>
        <v>0.139870085920732</v>
      </c>
      <c r="H36" s="296">
        <f t="shared" si="26"/>
        <v>0.305787607456872</v>
      </c>
      <c r="I36" s="296">
        <f t="shared" si="26"/>
        <v>0.717933480453092</v>
      </c>
      <c r="J36" s="296">
        <f t="shared" si="26"/>
        <v>0.36260405538228</v>
      </c>
      <c r="K36" s="296">
        <f t="shared" si="26"/>
        <v>0.399681391083032</v>
      </c>
      <c r="L36" s="296">
        <f t="shared" si="26"/>
        <v>0.137082455852433</v>
      </c>
      <c r="M36" s="296">
        <f t="shared" si="26"/>
        <v>0.235165637074572</v>
      </c>
      <c r="N36" s="296">
        <f t="shared" si="26"/>
        <v>0.448728385473464</v>
      </c>
      <c r="O36" s="296">
        <f t="shared" si="26"/>
        <v>0.403008255798212</v>
      </c>
      <c r="P36" s="296">
        <f t="shared" si="26"/>
        <v>0.18719846371231</v>
      </c>
      <c r="Q36" s="296">
        <f t="shared" si="21"/>
        <v>3.59805</v>
      </c>
    </row>
    <row r="37" spans="3:17">
      <c r="C37" s="711"/>
      <c r="D37" s="714" t="s">
        <v>445</v>
      </c>
      <c r="E37" s="296">
        <f t="shared" ref="E37:P37" si="27">E214+E386</f>
        <v>0.53547672482559</v>
      </c>
      <c r="F37" s="296">
        <f t="shared" si="27"/>
        <v>0.573799928582888</v>
      </c>
      <c r="G37" s="296">
        <f t="shared" si="27"/>
        <v>0.594484511854798</v>
      </c>
      <c r="H37" s="296">
        <f t="shared" si="27"/>
        <v>1.29967744963901</v>
      </c>
      <c r="I37" s="296">
        <f t="shared" si="27"/>
        <v>3.05140539424028</v>
      </c>
      <c r="J37" s="296">
        <f t="shared" si="27"/>
        <v>1.54116223952754</v>
      </c>
      <c r="K37" s="296">
        <f t="shared" si="27"/>
        <v>1.69875063071098</v>
      </c>
      <c r="L37" s="296">
        <f t="shared" si="27"/>
        <v>0.582636353690918</v>
      </c>
      <c r="M37" s="296">
        <f t="shared" si="27"/>
        <v>0.999515572189822</v>
      </c>
      <c r="N37" s="296">
        <f t="shared" si="27"/>
        <v>1.90721320743854</v>
      </c>
      <c r="O37" s="296">
        <f t="shared" si="27"/>
        <v>1.7128906774064</v>
      </c>
      <c r="P37" s="296">
        <f t="shared" si="27"/>
        <v>0.79564251775072</v>
      </c>
      <c r="Q37" s="296">
        <f t="shared" si="21"/>
        <v>15.2926552078575</v>
      </c>
    </row>
    <row r="38" spans="3:17">
      <c r="C38" s="711"/>
      <c r="D38" s="714" t="s">
        <v>446</v>
      </c>
      <c r="E38" s="296">
        <f t="shared" ref="E38:P38" si="28">E215+E387</f>
        <v>0.941639840955502</v>
      </c>
      <c r="F38" s="296">
        <f t="shared" si="28"/>
        <v>1.00903148249264</v>
      </c>
      <c r="G38" s="296">
        <f t="shared" si="28"/>
        <v>1.04540547747578</v>
      </c>
      <c r="H38" s="296">
        <f t="shared" si="28"/>
        <v>2.28549255314532</v>
      </c>
      <c r="I38" s="296">
        <f t="shared" si="28"/>
        <v>5.36591929566882</v>
      </c>
      <c r="J38" s="296">
        <f t="shared" si="28"/>
        <v>2.7101453692278</v>
      </c>
      <c r="K38" s="296">
        <f t="shared" si="28"/>
        <v>2.9872657382947</v>
      </c>
      <c r="L38" s="296">
        <f t="shared" si="28"/>
        <v>1.02457040238883</v>
      </c>
      <c r="M38" s="296">
        <f t="shared" si="28"/>
        <v>1.7576556380409</v>
      </c>
      <c r="N38" s="296">
        <f t="shared" si="28"/>
        <v>3.35384874460344</v>
      </c>
      <c r="O38" s="296">
        <f t="shared" si="28"/>
        <v>3.01213111657182</v>
      </c>
      <c r="P38" s="296">
        <f t="shared" si="28"/>
        <v>1.39914334113448</v>
      </c>
      <c r="Q38" s="296">
        <f t="shared" si="21"/>
        <v>26.892249</v>
      </c>
    </row>
    <row r="39" spans="3:17">
      <c r="C39" s="711"/>
      <c r="D39" s="714" t="s">
        <v>447</v>
      </c>
      <c r="E39" s="296">
        <f t="shared" ref="E39:P39" si="29">E216+E388</f>
        <v>0</v>
      </c>
      <c r="F39" s="296">
        <f t="shared" si="29"/>
        <v>0</v>
      </c>
      <c r="G39" s="296">
        <f t="shared" si="29"/>
        <v>0</v>
      </c>
      <c r="H39" s="296">
        <f t="shared" si="29"/>
        <v>0</v>
      </c>
      <c r="I39" s="296">
        <f t="shared" si="29"/>
        <v>0</v>
      </c>
      <c r="J39" s="296">
        <f t="shared" si="29"/>
        <v>0</v>
      </c>
      <c r="K39" s="296">
        <f t="shared" si="29"/>
        <v>0</v>
      </c>
      <c r="L39" s="296">
        <f t="shared" si="29"/>
        <v>0</v>
      </c>
      <c r="M39" s="296">
        <f t="shared" si="29"/>
        <v>0</v>
      </c>
      <c r="N39" s="296">
        <f t="shared" si="29"/>
        <v>0</v>
      </c>
      <c r="O39" s="296">
        <f t="shared" si="29"/>
        <v>0</v>
      </c>
      <c r="P39" s="296">
        <f t="shared" si="29"/>
        <v>0</v>
      </c>
      <c r="Q39" s="296">
        <f t="shared" si="21"/>
        <v>0</v>
      </c>
    </row>
    <row r="40" spans="3:17">
      <c r="C40" s="711"/>
      <c r="D40" s="714" t="s">
        <v>448</v>
      </c>
      <c r="E40" s="296">
        <f t="shared" ref="E40:P40" si="30">E217+E389</f>
        <v>0.125986756620837</v>
      </c>
      <c r="F40" s="296">
        <f t="shared" si="30"/>
        <v>0.135003425172162</v>
      </c>
      <c r="G40" s="296">
        <f t="shared" si="30"/>
        <v>0.139870085920732</v>
      </c>
      <c r="H40" s="296">
        <f t="shared" si="30"/>
        <v>0.305787607456872</v>
      </c>
      <c r="I40" s="296">
        <f t="shared" si="30"/>
        <v>0.717933480453092</v>
      </c>
      <c r="J40" s="296">
        <f t="shared" si="30"/>
        <v>0.36260405538228</v>
      </c>
      <c r="K40" s="296">
        <f t="shared" si="30"/>
        <v>0.399681391083032</v>
      </c>
      <c r="L40" s="296">
        <f t="shared" si="30"/>
        <v>0.137082455852433</v>
      </c>
      <c r="M40" s="296">
        <f t="shared" si="30"/>
        <v>0.235165637074572</v>
      </c>
      <c r="N40" s="296">
        <f t="shared" si="30"/>
        <v>0.448728385473464</v>
      </c>
      <c r="O40" s="296">
        <f t="shared" si="30"/>
        <v>0.403008255798212</v>
      </c>
      <c r="P40" s="296">
        <f t="shared" si="30"/>
        <v>0.18719846371231</v>
      </c>
      <c r="Q40" s="296">
        <f t="shared" si="21"/>
        <v>3.59805</v>
      </c>
    </row>
    <row r="41" spans="3:17">
      <c r="C41" s="711"/>
      <c r="D41" s="714" t="s">
        <v>449</v>
      </c>
      <c r="E41" s="296">
        <f t="shared" ref="E41" si="31">E218+E390</f>
        <v>0.627759893970334</v>
      </c>
      <c r="F41" s="296">
        <f t="shared" ref="F41:P41" si="32">F218+F390</f>
        <v>0.672687654995094</v>
      </c>
      <c r="G41" s="296">
        <f t="shared" si="32"/>
        <v>0.696936984983852</v>
      </c>
      <c r="H41" s="296">
        <f t="shared" si="32"/>
        <v>1.52366170209687</v>
      </c>
      <c r="I41" s="296">
        <f t="shared" si="32"/>
        <v>3.57727953044588</v>
      </c>
      <c r="J41" s="296">
        <f t="shared" si="32"/>
        <v>1.8067635794852</v>
      </c>
      <c r="K41" s="296">
        <f t="shared" si="32"/>
        <v>1.99151049219647</v>
      </c>
      <c r="L41" s="296">
        <f t="shared" si="32"/>
        <v>0.683046934925888</v>
      </c>
      <c r="M41" s="296">
        <f t="shared" si="32"/>
        <v>1.1717704253606</v>
      </c>
      <c r="N41" s="296">
        <f t="shared" si="32"/>
        <v>2.23589916306896</v>
      </c>
      <c r="O41" s="296">
        <f t="shared" si="32"/>
        <v>2.00808741104788</v>
      </c>
      <c r="P41" s="296">
        <f t="shared" si="32"/>
        <v>0.932762227422984</v>
      </c>
      <c r="Q41" s="296">
        <f t="shared" si="21"/>
        <v>17.928166</v>
      </c>
    </row>
    <row r="42" spans="3:17">
      <c r="C42" s="711"/>
      <c r="D42" s="296"/>
      <c r="E42" s="296">
        <f t="shared" ref="E42" si="33">E219+E391</f>
        <v>0</v>
      </c>
      <c r="F42" s="296">
        <f t="shared" ref="F42:P42" si="34">F219+F391</f>
        <v>0</v>
      </c>
      <c r="G42" s="296">
        <f t="shared" si="34"/>
        <v>0</v>
      </c>
      <c r="H42" s="296">
        <f t="shared" si="34"/>
        <v>0</v>
      </c>
      <c r="I42" s="296">
        <f t="shared" si="34"/>
        <v>0</v>
      </c>
      <c r="J42" s="296">
        <f t="shared" si="34"/>
        <v>0</v>
      </c>
      <c r="K42" s="296">
        <f t="shared" si="34"/>
        <v>0</v>
      </c>
      <c r="L42" s="296">
        <f t="shared" si="34"/>
        <v>0</v>
      </c>
      <c r="M42" s="296">
        <f t="shared" si="34"/>
        <v>0</v>
      </c>
      <c r="N42" s="296">
        <f t="shared" si="34"/>
        <v>0</v>
      </c>
      <c r="O42" s="296">
        <f t="shared" si="34"/>
        <v>0</v>
      </c>
      <c r="P42" s="296">
        <f t="shared" si="34"/>
        <v>0</v>
      </c>
      <c r="Q42" s="296">
        <f t="shared" si="21"/>
        <v>0</v>
      </c>
    </row>
    <row r="43" spans="3:17">
      <c r="C43" s="711"/>
      <c r="D43" s="296"/>
      <c r="E43" s="296">
        <f t="shared" ref="E43:Q43" si="35">E220+E392</f>
        <v>0</v>
      </c>
      <c r="F43" s="296">
        <f t="shared" si="35"/>
        <v>0</v>
      </c>
      <c r="G43" s="296">
        <f t="shared" si="35"/>
        <v>0</v>
      </c>
      <c r="H43" s="296">
        <f t="shared" si="35"/>
        <v>0</v>
      </c>
      <c r="I43" s="296">
        <f t="shared" si="35"/>
        <v>0</v>
      </c>
      <c r="J43" s="296">
        <f t="shared" si="35"/>
        <v>0</v>
      </c>
      <c r="K43" s="296">
        <f t="shared" si="35"/>
        <v>0</v>
      </c>
      <c r="L43" s="296">
        <f t="shared" si="35"/>
        <v>0</v>
      </c>
      <c r="M43" s="296">
        <f t="shared" si="35"/>
        <v>0</v>
      </c>
      <c r="N43" s="296">
        <f t="shared" si="35"/>
        <v>0</v>
      </c>
      <c r="O43" s="296">
        <f t="shared" si="35"/>
        <v>0</v>
      </c>
      <c r="P43" s="296">
        <f t="shared" si="35"/>
        <v>0</v>
      </c>
      <c r="Q43" s="296">
        <f t="shared" si="35"/>
        <v>0</v>
      </c>
    </row>
    <row r="44" ht="42.75" spans="3:17">
      <c r="C44" s="711"/>
      <c r="D44" s="715" t="s">
        <v>533</v>
      </c>
      <c r="E44" s="296">
        <f t="shared" ref="E44:Q44" si="36">E221+E393</f>
        <v>0</v>
      </c>
      <c r="F44" s="296">
        <f t="shared" si="36"/>
        <v>0</v>
      </c>
      <c r="G44" s="296">
        <f t="shared" si="36"/>
        <v>0</v>
      </c>
      <c r="H44" s="296">
        <f t="shared" si="36"/>
        <v>0</v>
      </c>
      <c r="I44" s="296">
        <f t="shared" si="36"/>
        <v>0</v>
      </c>
      <c r="J44" s="296">
        <f t="shared" si="36"/>
        <v>0</v>
      </c>
      <c r="K44" s="296">
        <f t="shared" si="36"/>
        <v>0</v>
      </c>
      <c r="L44" s="296">
        <f t="shared" si="36"/>
        <v>0</v>
      </c>
      <c r="M44" s="296">
        <f t="shared" si="36"/>
        <v>0</v>
      </c>
      <c r="N44" s="296">
        <f t="shared" si="36"/>
        <v>0</v>
      </c>
      <c r="O44" s="296">
        <f t="shared" si="36"/>
        <v>0</v>
      </c>
      <c r="P44" s="296">
        <f t="shared" si="36"/>
        <v>0</v>
      </c>
      <c r="Q44" s="296">
        <f t="shared" si="36"/>
        <v>1050.81403</v>
      </c>
    </row>
    <row r="45" spans="3:17">
      <c r="C45" s="711"/>
      <c r="D45" s="712" t="s">
        <v>495</v>
      </c>
      <c r="E45" s="296">
        <f t="shared" ref="E45:Q45" si="37">E222+E394</f>
        <v>0</v>
      </c>
      <c r="F45" s="296">
        <f t="shared" si="37"/>
        <v>0</v>
      </c>
      <c r="G45" s="296">
        <f t="shared" si="37"/>
        <v>0</v>
      </c>
      <c r="H45" s="296">
        <f t="shared" si="37"/>
        <v>0</v>
      </c>
      <c r="I45" s="296">
        <f t="shared" si="37"/>
        <v>0</v>
      </c>
      <c r="J45" s="296">
        <f t="shared" si="37"/>
        <v>0</v>
      </c>
      <c r="K45" s="296">
        <f t="shared" si="37"/>
        <v>0</v>
      </c>
      <c r="L45" s="296">
        <f t="shared" si="37"/>
        <v>0</v>
      </c>
      <c r="M45" s="296">
        <f t="shared" si="37"/>
        <v>0</v>
      </c>
      <c r="N45" s="296">
        <f t="shared" si="37"/>
        <v>0</v>
      </c>
      <c r="O45" s="296">
        <f t="shared" si="37"/>
        <v>0</v>
      </c>
      <c r="P45" s="296">
        <f t="shared" si="37"/>
        <v>0</v>
      </c>
      <c r="Q45" s="296">
        <f t="shared" si="37"/>
        <v>23.740075</v>
      </c>
    </row>
    <row r="46" spans="3:17">
      <c r="C46" s="711"/>
      <c r="D46" s="296"/>
      <c r="E46" s="296">
        <f t="shared" ref="E46:P46" si="38">E223+E395</f>
        <v>0</v>
      </c>
      <c r="F46" s="296">
        <f t="shared" si="38"/>
        <v>0</v>
      </c>
      <c r="G46" s="296">
        <f t="shared" si="38"/>
        <v>0</v>
      </c>
      <c r="H46" s="296">
        <f t="shared" si="38"/>
        <v>0</v>
      </c>
      <c r="I46" s="296">
        <f t="shared" si="38"/>
        <v>0</v>
      </c>
      <c r="J46" s="296">
        <f t="shared" si="38"/>
        <v>0</v>
      </c>
      <c r="K46" s="296">
        <f t="shared" si="38"/>
        <v>0</v>
      </c>
      <c r="L46" s="296">
        <f t="shared" si="38"/>
        <v>0</v>
      </c>
      <c r="M46" s="296">
        <f t="shared" si="38"/>
        <v>0</v>
      </c>
      <c r="N46" s="296">
        <f t="shared" si="38"/>
        <v>0</v>
      </c>
      <c r="O46" s="296">
        <f t="shared" si="38"/>
        <v>0</v>
      </c>
      <c r="P46" s="296">
        <f t="shared" si="38"/>
        <v>0</v>
      </c>
      <c r="Q46" s="296">
        <f t="shared" si="21"/>
        <v>0</v>
      </c>
    </row>
    <row r="47" spans="3:17">
      <c r="C47" s="711"/>
      <c r="D47" s="296"/>
      <c r="E47" s="296">
        <f t="shared" ref="E47:P47" si="39">E224+E396</f>
        <v>0</v>
      </c>
      <c r="F47" s="296">
        <f t="shared" si="39"/>
        <v>0</v>
      </c>
      <c r="G47" s="296">
        <f t="shared" si="39"/>
        <v>0</v>
      </c>
      <c r="H47" s="296">
        <f t="shared" si="39"/>
        <v>0</v>
      </c>
      <c r="I47" s="296">
        <f t="shared" si="39"/>
        <v>0</v>
      </c>
      <c r="J47" s="296">
        <f t="shared" si="39"/>
        <v>0</v>
      </c>
      <c r="K47" s="296">
        <f t="shared" si="39"/>
        <v>0</v>
      </c>
      <c r="L47" s="296">
        <f t="shared" si="39"/>
        <v>0</v>
      </c>
      <c r="M47" s="296">
        <f t="shared" si="39"/>
        <v>0</v>
      </c>
      <c r="N47" s="296">
        <f t="shared" si="39"/>
        <v>0</v>
      </c>
      <c r="O47" s="296">
        <f t="shared" si="39"/>
        <v>0</v>
      </c>
      <c r="P47" s="296">
        <f t="shared" si="39"/>
        <v>0</v>
      </c>
      <c r="Q47" s="296">
        <f t="shared" si="21"/>
        <v>0</v>
      </c>
    </row>
    <row r="48" spans="3:17">
      <c r="C48" s="713"/>
      <c r="D48" s="716"/>
      <c r="E48" s="296">
        <f t="shared" ref="E48:P48" si="40">E225+E397</f>
        <v>0</v>
      </c>
      <c r="F48" s="296">
        <f t="shared" si="40"/>
        <v>0</v>
      </c>
      <c r="G48" s="296">
        <f t="shared" si="40"/>
        <v>0</v>
      </c>
      <c r="H48" s="296">
        <f t="shared" si="40"/>
        <v>0</v>
      </c>
      <c r="I48" s="296">
        <f t="shared" si="40"/>
        <v>0</v>
      </c>
      <c r="J48" s="296">
        <f t="shared" si="40"/>
        <v>0</v>
      </c>
      <c r="K48" s="296">
        <f t="shared" si="40"/>
        <v>0</v>
      </c>
      <c r="L48" s="296">
        <f t="shared" si="40"/>
        <v>0</v>
      </c>
      <c r="M48" s="296">
        <f t="shared" si="40"/>
        <v>0</v>
      </c>
      <c r="N48" s="296">
        <f t="shared" si="40"/>
        <v>0</v>
      </c>
      <c r="O48" s="296">
        <f t="shared" si="40"/>
        <v>0</v>
      </c>
      <c r="P48" s="296">
        <f t="shared" si="40"/>
        <v>0</v>
      </c>
      <c r="Q48" s="296">
        <f t="shared" si="21"/>
        <v>0</v>
      </c>
    </row>
    <row r="49" ht="15" spans="3:17">
      <c r="C49" s="285" t="s">
        <v>211</v>
      </c>
      <c r="D49" s="286"/>
      <c r="E49" s="296">
        <f t="shared" ref="E49:Q49" si="41">E226+E398</f>
        <v>27.8139233361829</v>
      </c>
      <c r="F49" s="296">
        <f t="shared" si="41"/>
        <v>29.8045208764393</v>
      </c>
      <c r="G49" s="296">
        <f t="shared" si="41"/>
        <v>30.8789268901708</v>
      </c>
      <c r="H49" s="296">
        <f t="shared" si="41"/>
        <v>67.5083103897731</v>
      </c>
      <c r="I49" s="296">
        <f t="shared" si="41"/>
        <v>158.497189080734</v>
      </c>
      <c r="J49" s="296">
        <f t="shared" si="41"/>
        <v>80.0515996149053</v>
      </c>
      <c r="K49" s="296">
        <f t="shared" si="41"/>
        <v>88.2371121270993</v>
      </c>
      <c r="L49" s="296">
        <f t="shared" si="41"/>
        <v>30.2635056261513</v>
      </c>
      <c r="M49" s="296">
        <f t="shared" si="41"/>
        <v>51.9171949205889</v>
      </c>
      <c r="N49" s="296">
        <f t="shared" si="41"/>
        <v>99.0651497592711</v>
      </c>
      <c r="O49" s="296">
        <f t="shared" si="41"/>
        <v>88.9715794839851</v>
      </c>
      <c r="P49" s="296">
        <f t="shared" si="41"/>
        <v>41.3275478946989</v>
      </c>
      <c r="Q49" s="384">
        <f t="shared" si="41"/>
        <v>1868.890665</v>
      </c>
    </row>
    <row r="50" ht="15" spans="3:17">
      <c r="C50" s="285" t="s">
        <v>369</v>
      </c>
      <c r="D50" s="286"/>
      <c r="E50" s="390">
        <f t="shared" ref="E50:Q50" si="42">E29+E49</f>
        <v>1487.99861974927</v>
      </c>
      <c r="F50" s="390">
        <f t="shared" si="42"/>
        <v>1226.17343600807</v>
      </c>
      <c r="G50" s="390">
        <f t="shared" si="42"/>
        <v>1422.1241783676</v>
      </c>
      <c r="H50" s="390">
        <f t="shared" si="42"/>
        <v>1721.40117085858</v>
      </c>
      <c r="I50" s="390">
        <f t="shared" si="42"/>
        <v>1933.71644450972</v>
      </c>
      <c r="J50" s="390">
        <f t="shared" si="42"/>
        <v>1664.82802565488</v>
      </c>
      <c r="K50" s="390">
        <f t="shared" si="42"/>
        <v>2070.61719887135</v>
      </c>
      <c r="L50" s="390">
        <f t="shared" si="42"/>
        <v>1478.92745367057</v>
      </c>
      <c r="M50" s="390">
        <f t="shared" si="42"/>
        <v>1604.00085109703</v>
      </c>
      <c r="N50" s="390">
        <f t="shared" si="42"/>
        <v>1913.44482725714</v>
      </c>
      <c r="O50" s="390">
        <f t="shared" si="42"/>
        <v>1936.88256966352</v>
      </c>
      <c r="P50" s="390">
        <f t="shared" si="42"/>
        <v>2225.66979670544</v>
      </c>
      <c r="Q50" s="390">
        <f t="shared" si="42"/>
        <v>21760.3386774132</v>
      </c>
    </row>
    <row r="51" ht="15" spans="3:17">
      <c r="C51" s="708" t="s">
        <v>370</v>
      </c>
      <c r="D51" s="709"/>
      <c r="E51" s="296"/>
      <c r="F51" s="296"/>
      <c r="G51" s="296"/>
      <c r="H51" s="296"/>
      <c r="I51" s="296"/>
      <c r="J51" s="296"/>
      <c r="K51" s="296"/>
      <c r="L51" s="296"/>
      <c r="M51" s="296"/>
      <c r="N51" s="296"/>
      <c r="O51" s="296"/>
      <c r="P51" s="296"/>
      <c r="Q51" s="296"/>
    </row>
    <row r="52" ht="15" spans="3:17">
      <c r="C52" s="285" t="s">
        <v>350</v>
      </c>
      <c r="D52" s="286"/>
      <c r="E52" s="296"/>
      <c r="F52" s="296"/>
      <c r="G52" s="296"/>
      <c r="H52" s="296"/>
      <c r="I52" s="296"/>
      <c r="J52" s="296"/>
      <c r="K52" s="296"/>
      <c r="L52" s="296"/>
      <c r="M52" s="296"/>
      <c r="N52" s="296"/>
      <c r="O52" s="296"/>
      <c r="P52" s="296"/>
      <c r="Q52" s="296"/>
    </row>
    <row r="53" ht="15" customHeight="1" spans="3:17">
      <c r="C53" s="710" t="s">
        <v>371</v>
      </c>
      <c r="D53" s="296" t="s">
        <v>372</v>
      </c>
      <c r="E53" s="296">
        <f t="shared" ref="E53:P53" si="43">E230+E402</f>
        <v>51.4501634439717</v>
      </c>
      <c r="F53" s="296">
        <f t="shared" si="43"/>
        <v>59.6302287977395</v>
      </c>
      <c r="G53" s="296">
        <f t="shared" si="43"/>
        <v>42.7343011846627</v>
      </c>
      <c r="H53" s="296">
        <f t="shared" si="43"/>
        <v>45.9987269696022</v>
      </c>
      <c r="I53" s="296">
        <f t="shared" si="43"/>
        <v>50.236851081025</v>
      </c>
      <c r="J53" s="296">
        <f t="shared" si="43"/>
        <v>42.7343011846627</v>
      </c>
      <c r="K53" s="296">
        <f t="shared" si="43"/>
        <v>62.5582686786589</v>
      </c>
      <c r="L53" s="296">
        <f t="shared" si="43"/>
        <v>73.0044311904652</v>
      </c>
      <c r="M53" s="296">
        <f t="shared" si="43"/>
        <v>36.2813344659533</v>
      </c>
      <c r="N53" s="296">
        <f t="shared" si="43"/>
        <v>37.6125046365772</v>
      </c>
      <c r="O53" s="296">
        <f t="shared" si="43"/>
        <v>54.5093333276103</v>
      </c>
      <c r="P53" s="296">
        <f t="shared" si="43"/>
        <v>66.2381668362272</v>
      </c>
      <c r="Q53" s="296">
        <f t="shared" ref="Q53:Q79" si="44">SUM(E53:P53)</f>
        <v>622.988611797156</v>
      </c>
    </row>
    <row r="54" spans="3:17">
      <c r="C54" s="711"/>
      <c r="D54" s="296" t="s">
        <v>373</v>
      </c>
      <c r="E54" s="296">
        <f t="shared" ref="E54:P54" si="45">E231+E403</f>
        <v>14.7881171997254</v>
      </c>
      <c r="F54" s="296">
        <f t="shared" si="45"/>
        <v>15.7471113461653</v>
      </c>
      <c r="G54" s="296">
        <f t="shared" si="45"/>
        <v>11.0910878997941</v>
      </c>
      <c r="H54" s="296">
        <f t="shared" si="45"/>
        <v>0</v>
      </c>
      <c r="I54" s="296">
        <f t="shared" si="45"/>
        <v>6.44669484175528</v>
      </c>
      <c r="J54" s="296">
        <f t="shared" si="45"/>
        <v>11.0910878997941</v>
      </c>
      <c r="K54" s="296">
        <f t="shared" si="45"/>
        <v>16.1510166525161</v>
      </c>
      <c r="L54" s="296">
        <f t="shared" si="45"/>
        <v>18.9472751621482</v>
      </c>
      <c r="M54" s="296">
        <f t="shared" si="45"/>
        <v>12.4158567322695</v>
      </c>
      <c r="N54" s="296">
        <f t="shared" si="45"/>
        <v>12.4158567322695</v>
      </c>
      <c r="O54" s="296">
        <f t="shared" si="45"/>
        <v>14.6648828897277</v>
      </c>
      <c r="P54" s="296">
        <f t="shared" si="45"/>
        <v>17.1911862446808</v>
      </c>
      <c r="Q54" s="296">
        <f t="shared" si="44"/>
        <v>150.950173600846</v>
      </c>
    </row>
    <row r="55" customHeight="1" spans="3:17">
      <c r="C55" s="711"/>
      <c r="D55" s="296" t="s">
        <v>374</v>
      </c>
      <c r="E55" s="296">
        <f t="shared" ref="E55:P55" si="46">E232+E404</f>
        <v>24.9600301086481</v>
      </c>
      <c r="F55" s="296">
        <f t="shared" si="46"/>
        <v>24.7464082293399</v>
      </c>
      <c r="G55" s="296">
        <f t="shared" si="46"/>
        <v>23.9481369961354</v>
      </c>
      <c r="H55" s="296">
        <f t="shared" si="46"/>
        <v>20.9589801096345</v>
      </c>
      <c r="I55" s="296">
        <f t="shared" si="46"/>
        <v>20.9585427281285</v>
      </c>
      <c r="J55" s="296">
        <f t="shared" si="46"/>
        <v>25.7468925261751</v>
      </c>
      <c r="K55" s="296">
        <f t="shared" si="46"/>
        <v>27.8832768781294</v>
      </c>
      <c r="L55" s="296">
        <f t="shared" si="46"/>
        <v>19.4368994076554</v>
      </c>
      <c r="M55" s="296">
        <f t="shared" si="46"/>
        <v>16.0552333892583</v>
      </c>
      <c r="N55" s="296">
        <f t="shared" si="46"/>
        <v>23.460102097437</v>
      </c>
      <c r="O55" s="296">
        <f t="shared" si="46"/>
        <v>25.1848952447621</v>
      </c>
      <c r="P55" s="296">
        <f t="shared" si="46"/>
        <v>27.8832768781294</v>
      </c>
      <c r="Q55" s="296">
        <f t="shared" si="44"/>
        <v>281.222674593433</v>
      </c>
    </row>
    <row r="56" spans="3:17">
      <c r="C56" s="711"/>
      <c r="D56" s="296" t="s">
        <v>375</v>
      </c>
      <c r="E56" s="296">
        <f t="shared" ref="E56:P56" si="47">E233+E405</f>
        <v>95.9604899114213</v>
      </c>
      <c r="F56" s="296">
        <f t="shared" si="47"/>
        <v>79.9408238273072</v>
      </c>
      <c r="G56" s="296">
        <f t="shared" si="47"/>
        <v>74.299697060936</v>
      </c>
      <c r="H56" s="296">
        <f t="shared" si="47"/>
        <v>76.7763536296338</v>
      </c>
      <c r="I56" s="296">
        <f t="shared" si="47"/>
        <v>79.9753683642019</v>
      </c>
      <c r="J56" s="296">
        <f t="shared" si="47"/>
        <v>74.299697060936</v>
      </c>
      <c r="K56" s="296">
        <f t="shared" si="47"/>
        <v>98.516820461098</v>
      </c>
      <c r="L56" s="296">
        <f t="shared" si="47"/>
        <v>62.6189094483006</v>
      </c>
      <c r="M56" s="296">
        <f t="shared" si="47"/>
        <v>82.8275744555023</v>
      </c>
      <c r="N56" s="296">
        <f t="shared" si="47"/>
        <v>83.17438309877</v>
      </c>
      <c r="O56" s="296">
        <f t="shared" si="47"/>
        <v>98.2407105583487</v>
      </c>
      <c r="P56" s="296">
        <f t="shared" si="47"/>
        <v>111.965515709883</v>
      </c>
      <c r="Q56" s="296">
        <f t="shared" si="44"/>
        <v>1018.59634358634</v>
      </c>
    </row>
    <row r="57" spans="3:17">
      <c r="C57" s="711"/>
      <c r="D57" s="296" t="s">
        <v>376</v>
      </c>
      <c r="E57" s="296">
        <f t="shared" ref="E57:P57" si="48">E234+E406</f>
        <v>50.475511919347</v>
      </c>
      <c r="F57" s="296">
        <f t="shared" si="48"/>
        <v>49.6458702421241</v>
      </c>
      <c r="G57" s="296">
        <f t="shared" si="48"/>
        <v>38.1407757070844</v>
      </c>
      <c r="H57" s="296">
        <f t="shared" si="48"/>
        <v>19.6939841153269</v>
      </c>
      <c r="I57" s="296">
        <f t="shared" si="48"/>
        <v>43.159409679905</v>
      </c>
      <c r="J57" s="296">
        <f t="shared" si="48"/>
        <v>38.1407757070844</v>
      </c>
      <c r="K57" s="296">
        <f t="shared" si="48"/>
        <v>52.6366293729342</v>
      </c>
      <c r="L57" s="296">
        <f t="shared" si="48"/>
        <v>65.174866832936</v>
      </c>
      <c r="M57" s="296">
        <f t="shared" si="48"/>
        <v>42.6994655832084</v>
      </c>
      <c r="N57" s="296">
        <f t="shared" si="48"/>
        <v>42.6994655832084</v>
      </c>
      <c r="O57" s="296">
        <f t="shared" si="48"/>
        <v>50.438636768256</v>
      </c>
      <c r="P57" s="296">
        <f t="shared" si="48"/>
        <v>57.4887036697036</v>
      </c>
      <c r="Q57" s="296">
        <f t="shared" si="44"/>
        <v>550.394095181118</v>
      </c>
    </row>
    <row r="58" customHeight="1" spans="3:17">
      <c r="C58" s="711"/>
      <c r="D58" s="296" t="s">
        <v>377</v>
      </c>
      <c r="E58" s="296">
        <f t="shared" ref="E58:P58" si="49">E235+E407</f>
        <v>59.2623275516231</v>
      </c>
      <c r="F58" s="296">
        <f t="shared" si="49"/>
        <v>58.7882289312101</v>
      </c>
      <c r="G58" s="296">
        <f t="shared" si="49"/>
        <v>38.0187058717443</v>
      </c>
      <c r="H58" s="296">
        <f t="shared" si="49"/>
        <v>29.4671886429639</v>
      </c>
      <c r="I58" s="296">
        <f t="shared" si="49"/>
        <v>51.0450697948148</v>
      </c>
      <c r="J58" s="296">
        <f t="shared" si="49"/>
        <v>56.8918344495582</v>
      </c>
      <c r="K58" s="296">
        <f t="shared" si="49"/>
        <v>73.4852861640128</v>
      </c>
      <c r="L58" s="296">
        <f t="shared" si="49"/>
        <v>72.2561702042255</v>
      </c>
      <c r="M58" s="296">
        <f t="shared" si="49"/>
        <v>40.7001632501216</v>
      </c>
      <c r="N58" s="296">
        <f t="shared" si="49"/>
        <v>61.2377384700105</v>
      </c>
      <c r="O58" s="296">
        <f t="shared" si="49"/>
        <v>73.5354469042652</v>
      </c>
      <c r="P58" s="296">
        <f t="shared" si="49"/>
        <v>85.7328338580148</v>
      </c>
      <c r="Q58" s="296">
        <f t="shared" si="44"/>
        <v>700.420994092565</v>
      </c>
    </row>
    <row r="59" spans="3:17">
      <c r="C59" s="711"/>
      <c r="D59" s="296" t="s">
        <v>378</v>
      </c>
      <c r="E59" s="296">
        <f t="shared" ref="E59:P59" si="50">E236+E408</f>
        <v>5.00235510389702</v>
      </c>
      <c r="F59" s="296">
        <f t="shared" si="50"/>
        <v>4.96233626306585</v>
      </c>
      <c r="G59" s="296">
        <f t="shared" si="50"/>
        <v>4.80226089974114</v>
      </c>
      <c r="H59" s="296">
        <f t="shared" si="50"/>
        <v>4.96233626306585</v>
      </c>
      <c r="I59" s="296">
        <f t="shared" si="50"/>
        <v>5.16910027402692</v>
      </c>
      <c r="J59" s="296">
        <f t="shared" si="50"/>
        <v>4.80226089974114</v>
      </c>
      <c r="K59" s="296">
        <f t="shared" si="50"/>
        <v>6.2029203288323</v>
      </c>
      <c r="L59" s="296">
        <f t="shared" si="50"/>
        <v>7.60357975792346</v>
      </c>
      <c r="M59" s="296">
        <f t="shared" si="50"/>
        <v>5.16910027402692</v>
      </c>
      <c r="N59" s="296">
        <f t="shared" si="50"/>
        <v>5.16910027402692</v>
      </c>
      <c r="O59" s="296">
        <f t="shared" si="50"/>
        <v>6.34965607854661</v>
      </c>
      <c r="P59" s="296">
        <f t="shared" si="50"/>
        <v>7.23674038363768</v>
      </c>
      <c r="Q59" s="296">
        <f t="shared" si="44"/>
        <v>67.4317468005318</v>
      </c>
    </row>
    <row r="60" spans="3:17">
      <c r="C60" s="711"/>
      <c r="D60" s="296" t="s">
        <v>379</v>
      </c>
      <c r="E60" s="296">
        <f t="shared" ref="E60:P60" si="51">E237+E409</f>
        <v>28.875830732373</v>
      </c>
      <c r="F60" s="296">
        <f t="shared" si="51"/>
        <v>28.644824086514</v>
      </c>
      <c r="G60" s="296">
        <f t="shared" si="51"/>
        <v>27.7207975030781</v>
      </c>
      <c r="H60" s="296">
        <f t="shared" si="51"/>
        <v>28.644824086514</v>
      </c>
      <c r="I60" s="296">
        <f t="shared" si="51"/>
        <v>29.8383584234521</v>
      </c>
      <c r="J60" s="296">
        <f t="shared" si="51"/>
        <v>27.7207975030781</v>
      </c>
      <c r="K60" s="296">
        <f t="shared" si="51"/>
        <v>35.8060301081426</v>
      </c>
      <c r="L60" s="296">
        <f t="shared" si="51"/>
        <v>40.2636960370448</v>
      </c>
      <c r="M60" s="296">
        <f t="shared" si="51"/>
        <v>28.8057135632576</v>
      </c>
      <c r="N60" s="296">
        <f t="shared" si="51"/>
        <v>29.8383584234521</v>
      </c>
      <c r="O60" s="296">
        <f t="shared" si="51"/>
        <v>35.5750234622836</v>
      </c>
      <c r="P60" s="296">
        <f t="shared" si="51"/>
        <v>41.773701792833</v>
      </c>
      <c r="Q60" s="296">
        <f t="shared" si="44"/>
        <v>383.507955722023</v>
      </c>
    </row>
    <row r="61" spans="3:17">
      <c r="C61" s="713"/>
      <c r="D61" s="296" t="s">
        <v>380</v>
      </c>
      <c r="E61" s="296">
        <f t="shared" ref="E61:P61" si="52">E238+E410</f>
        <v>174.206084033372</v>
      </c>
      <c r="F61" s="296">
        <f t="shared" si="52"/>
        <v>171.621273027105</v>
      </c>
      <c r="G61" s="296">
        <f t="shared" si="52"/>
        <v>131.171526517815</v>
      </c>
      <c r="H61" s="296">
        <f t="shared" si="52"/>
        <v>67.5846295553467</v>
      </c>
      <c r="I61" s="296">
        <f t="shared" si="52"/>
        <v>0</v>
      </c>
      <c r="J61" s="296">
        <f t="shared" si="52"/>
        <v>130.808960429703</v>
      </c>
      <c r="K61" s="296">
        <f t="shared" si="52"/>
        <v>180.548524026827</v>
      </c>
      <c r="L61" s="296">
        <f t="shared" si="52"/>
        <v>180.338566805999</v>
      </c>
      <c r="M61" s="296">
        <f t="shared" si="52"/>
        <v>154.487527075039</v>
      </c>
      <c r="N61" s="296">
        <f t="shared" si="52"/>
        <v>155.409494323539</v>
      </c>
      <c r="O61" s="296">
        <f t="shared" si="52"/>
        <v>157.803002755897</v>
      </c>
      <c r="P61" s="296">
        <f t="shared" si="52"/>
        <v>188.797019848435</v>
      </c>
      <c r="Q61" s="296">
        <f t="shared" si="44"/>
        <v>1692.77660839908</v>
      </c>
    </row>
    <row r="62" spans="3:17">
      <c r="C62" s="296"/>
      <c r="D62" s="296" t="s">
        <v>450</v>
      </c>
      <c r="E62" s="296">
        <f t="shared" ref="E62:P62" si="53">E239+E411</f>
        <v>169.370664088883</v>
      </c>
      <c r="F62" s="296">
        <f t="shared" si="53"/>
        <v>174.666327686493</v>
      </c>
      <c r="G62" s="296">
        <f t="shared" si="53"/>
        <v>123.643351927307</v>
      </c>
      <c r="H62" s="296">
        <f t="shared" si="53"/>
        <v>134.167707271624</v>
      </c>
      <c r="I62" s="296">
        <f t="shared" si="53"/>
        <v>158.85881221755</v>
      </c>
      <c r="J62" s="296">
        <f t="shared" si="53"/>
        <v>126.30299331166</v>
      </c>
      <c r="K62" s="296">
        <f t="shared" si="53"/>
        <v>0</v>
      </c>
      <c r="L62" s="296">
        <f t="shared" si="53"/>
        <v>184.634877405573</v>
      </c>
      <c r="M62" s="296">
        <f t="shared" si="53"/>
        <v>77.256260322872</v>
      </c>
      <c r="N62" s="296">
        <f t="shared" si="53"/>
        <v>155.711044590891</v>
      </c>
      <c r="O62" s="296">
        <f t="shared" si="53"/>
        <v>153.330339894392</v>
      </c>
      <c r="P62" s="296">
        <f t="shared" si="53"/>
        <v>185.179074030573</v>
      </c>
      <c r="Q62" s="296">
        <f t="shared" si="44"/>
        <v>1643.12145274782</v>
      </c>
    </row>
    <row r="63" spans="3:17">
      <c r="C63" s="296"/>
      <c r="D63" s="296" t="s">
        <v>381</v>
      </c>
      <c r="E63" s="296">
        <f t="shared" ref="E63:P63" si="54">E240+E412</f>
        <v>5.76525017380677</v>
      </c>
      <c r="F63" s="296">
        <f t="shared" si="54"/>
        <v>6.35209342558067</v>
      </c>
      <c r="G63" s="296">
        <f t="shared" si="54"/>
        <v>4.45768550029705</v>
      </c>
      <c r="H63" s="296">
        <f t="shared" si="54"/>
        <v>4.84980009872958</v>
      </c>
      <c r="I63" s="296">
        <f t="shared" si="54"/>
        <v>5.3813585135238</v>
      </c>
      <c r="J63" s="296">
        <f t="shared" si="54"/>
        <v>3.73009708781274</v>
      </c>
      <c r="K63" s="296">
        <f t="shared" si="54"/>
        <v>6.34496692787543</v>
      </c>
      <c r="L63" s="296">
        <f t="shared" si="54"/>
        <v>7.18008632612957</v>
      </c>
      <c r="M63" s="296">
        <f t="shared" si="54"/>
        <v>4.9606472935031</v>
      </c>
      <c r="N63" s="296">
        <f t="shared" si="54"/>
        <v>5.12010236771459</v>
      </c>
      <c r="O63" s="296">
        <f t="shared" si="54"/>
        <v>5.87599720153182</v>
      </c>
      <c r="P63" s="296">
        <f t="shared" si="54"/>
        <v>6.66616973265931</v>
      </c>
      <c r="Q63" s="296">
        <f t="shared" si="44"/>
        <v>66.6842546491644</v>
      </c>
    </row>
    <row r="64" spans="3:17">
      <c r="C64" s="296"/>
      <c r="D64" s="296" t="s">
        <v>382</v>
      </c>
      <c r="E64" s="296">
        <f t="shared" ref="E64:P64" si="55">E241+E413</f>
        <v>1.04364206642907</v>
      </c>
      <c r="F64" s="296">
        <f t="shared" si="55"/>
        <v>0.990989854068686</v>
      </c>
      <c r="G64" s="296">
        <f t="shared" si="55"/>
        <v>0.959022439421309</v>
      </c>
      <c r="H64" s="296">
        <f t="shared" si="55"/>
        <v>1.10029020562038</v>
      </c>
      <c r="I64" s="296">
        <f t="shared" si="55"/>
        <v>1.1658704165514</v>
      </c>
      <c r="J64" s="296">
        <f t="shared" si="55"/>
        <v>0</v>
      </c>
      <c r="K64" s="296">
        <f t="shared" si="55"/>
        <v>1.1658704165514</v>
      </c>
      <c r="L64" s="296">
        <f t="shared" si="55"/>
        <v>1.06479697318101</v>
      </c>
      <c r="M64" s="296">
        <f t="shared" si="55"/>
        <v>1.03470999468936</v>
      </c>
      <c r="N64" s="296">
        <f t="shared" si="55"/>
        <v>1.10029020562037</v>
      </c>
      <c r="O64" s="296">
        <f t="shared" si="55"/>
        <v>1.05304424720771</v>
      </c>
      <c r="P64" s="296">
        <f t="shared" si="55"/>
        <v>1.1658704165514</v>
      </c>
      <c r="Q64" s="296">
        <f t="shared" si="44"/>
        <v>11.8443972358921</v>
      </c>
    </row>
    <row r="65" spans="3:17">
      <c r="C65" s="296"/>
      <c r="D65" s="296" t="s">
        <v>383</v>
      </c>
      <c r="E65" s="296">
        <f t="shared" ref="E65:P65" si="56">E242+E414</f>
        <v>0.196567280849375</v>
      </c>
      <c r="F65" s="296">
        <f t="shared" si="56"/>
        <v>0.186650372986704</v>
      </c>
      <c r="G65" s="296">
        <f t="shared" si="56"/>
        <v>0.180629393212939</v>
      </c>
      <c r="H65" s="296">
        <f t="shared" si="56"/>
        <v>0.207236811183767</v>
      </c>
      <c r="I65" s="296">
        <f t="shared" si="56"/>
        <v>0.219588674102005</v>
      </c>
      <c r="J65" s="296">
        <f t="shared" si="56"/>
        <v>0</v>
      </c>
      <c r="K65" s="296">
        <f t="shared" si="56"/>
        <v>0.219588674102005</v>
      </c>
      <c r="L65" s="296">
        <f t="shared" si="56"/>
        <v>0.200551752758482</v>
      </c>
      <c r="M65" s="296">
        <f t="shared" si="56"/>
        <v>0.194884948265529</v>
      </c>
      <c r="N65" s="296">
        <f t="shared" si="56"/>
        <v>0.207236811183767</v>
      </c>
      <c r="O65" s="296">
        <f t="shared" si="56"/>
        <v>0.198338157253424</v>
      </c>
      <c r="P65" s="296">
        <f t="shared" si="56"/>
        <v>0.219588674102005</v>
      </c>
      <c r="Q65" s="296">
        <f t="shared" si="44"/>
        <v>2.23086155</v>
      </c>
    </row>
    <row r="66" spans="3:17">
      <c r="C66" s="296"/>
      <c r="D66" s="296" t="s">
        <v>384</v>
      </c>
      <c r="E66" s="296">
        <f t="shared" ref="E66:P66" si="57">E243+E415</f>
        <v>7.56540975791476</v>
      </c>
      <c r="F66" s="296">
        <f t="shared" si="57"/>
        <v>7.48950250363854</v>
      </c>
      <c r="G66" s="296">
        <f t="shared" si="57"/>
        <v>7.24790564868246</v>
      </c>
      <c r="H66" s="296">
        <f t="shared" si="57"/>
        <v>8.43471136080602</v>
      </c>
      <c r="I66" s="296">
        <f t="shared" si="57"/>
        <v>0.297553382496527</v>
      </c>
      <c r="J66" s="296">
        <f t="shared" si="57"/>
        <v>7.44700523447972</v>
      </c>
      <c r="K66" s="296">
        <f t="shared" si="57"/>
        <v>8.45144873857145</v>
      </c>
      <c r="L66" s="296">
        <f t="shared" si="57"/>
        <v>7.86671640479343</v>
      </c>
      <c r="M66" s="296">
        <f t="shared" si="57"/>
        <v>7.80643183133497</v>
      </c>
      <c r="N66" s="296">
        <f t="shared" si="57"/>
        <v>8.1289402849532</v>
      </c>
      <c r="O66" s="296">
        <f t="shared" si="57"/>
        <v>7.63356660258066</v>
      </c>
      <c r="P66" s="296">
        <f t="shared" si="57"/>
        <v>8.45144873857145</v>
      </c>
      <c r="Q66" s="296">
        <f t="shared" si="44"/>
        <v>86.8206404888232</v>
      </c>
    </row>
    <row r="67" spans="3:17">
      <c r="C67" s="296"/>
      <c r="D67" s="296" t="s">
        <v>385</v>
      </c>
      <c r="E67" s="296">
        <f t="shared" ref="E67:P67" si="58">E244+E416</f>
        <v>5.26360122054381</v>
      </c>
      <c r="F67" s="296">
        <f t="shared" si="58"/>
        <v>5.21855238126888</v>
      </c>
      <c r="G67" s="296">
        <f t="shared" si="58"/>
        <v>5.05021198187311</v>
      </c>
      <c r="H67" s="296">
        <f t="shared" si="58"/>
        <v>5.88005902114804</v>
      </c>
      <c r="I67" s="296">
        <f t="shared" si="58"/>
        <v>0</v>
      </c>
      <c r="J67" s="296">
        <f t="shared" si="58"/>
        <v>5.37029583987916</v>
      </c>
      <c r="K67" s="296">
        <f t="shared" si="58"/>
        <v>5.88005902114804</v>
      </c>
      <c r="L67" s="296">
        <f t="shared" si="58"/>
        <v>5.4769904592145</v>
      </c>
      <c r="M67" s="296">
        <f t="shared" si="58"/>
        <v>5.43905459456194</v>
      </c>
      <c r="N67" s="296">
        <f t="shared" si="58"/>
        <v>5.65955680785499</v>
      </c>
      <c r="O67" s="296">
        <f t="shared" si="58"/>
        <v>5.31102105135952</v>
      </c>
      <c r="P67" s="296">
        <f t="shared" si="58"/>
        <v>5.88005902114804</v>
      </c>
      <c r="Q67" s="296">
        <f t="shared" si="44"/>
        <v>60.4294614</v>
      </c>
    </row>
    <row r="68" spans="3:17">
      <c r="C68" s="296"/>
      <c r="D68" s="296" t="s">
        <v>386</v>
      </c>
      <c r="E68" s="296">
        <f t="shared" ref="E68:P68" si="59">E245+E417</f>
        <v>21.6383852883798</v>
      </c>
      <c r="F68" s="296">
        <f t="shared" si="59"/>
        <v>14.5654681472706</v>
      </c>
      <c r="G68" s="296">
        <f t="shared" si="59"/>
        <v>12.9651234930455</v>
      </c>
      <c r="H68" s="296">
        <f t="shared" si="59"/>
        <v>17.2016924158877</v>
      </c>
      <c r="I68" s="296">
        <f t="shared" si="59"/>
        <v>19.2836688380478</v>
      </c>
      <c r="J68" s="296">
        <f t="shared" si="59"/>
        <v>16.2287889662848</v>
      </c>
      <c r="K68" s="296">
        <f t="shared" si="59"/>
        <v>23.4761059876714</v>
      </c>
      <c r="L68" s="296">
        <f t="shared" si="59"/>
        <v>27.7241811507366</v>
      </c>
      <c r="M68" s="296">
        <f t="shared" si="59"/>
        <v>18.1672276483689</v>
      </c>
      <c r="N68" s="296">
        <f t="shared" si="59"/>
        <v>18.4525441768491</v>
      </c>
      <c r="O68" s="296">
        <f t="shared" si="59"/>
        <v>21.8353443339691</v>
      </c>
      <c r="P68" s="296">
        <f t="shared" si="59"/>
        <v>24.9650841375331</v>
      </c>
      <c r="Q68" s="296">
        <f t="shared" si="44"/>
        <v>236.503614584044</v>
      </c>
    </row>
    <row r="69" spans="3:17">
      <c r="C69" s="296"/>
      <c r="D69" s="296" t="s">
        <v>387</v>
      </c>
      <c r="E69" s="296">
        <f t="shared" ref="E69:P69" si="60">E246+E418</f>
        <v>18.8047360094778</v>
      </c>
      <c r="F69" s="296">
        <f t="shared" si="60"/>
        <v>0</v>
      </c>
      <c r="G69" s="296">
        <f t="shared" si="60"/>
        <v>7.05177600355418</v>
      </c>
      <c r="H69" s="296">
        <f t="shared" si="60"/>
        <v>14.6044433131875</v>
      </c>
      <c r="I69" s="296">
        <f t="shared" si="60"/>
        <v>16.3953792082635</v>
      </c>
      <c r="J69" s="296">
        <f t="shared" si="60"/>
        <v>14.1035520071084</v>
      </c>
      <c r="K69" s="296">
        <f t="shared" si="60"/>
        <v>20.0387968100998</v>
      </c>
      <c r="L69" s="296">
        <f t="shared" si="60"/>
        <v>24.0935680121434</v>
      </c>
      <c r="M69" s="296">
        <f t="shared" si="60"/>
        <v>15.7881429412908</v>
      </c>
      <c r="N69" s="296">
        <f t="shared" si="60"/>
        <v>15.7881429412908</v>
      </c>
      <c r="O69" s="296">
        <f t="shared" si="60"/>
        <v>18.6480298760655</v>
      </c>
      <c r="P69" s="296">
        <f t="shared" si="60"/>
        <v>21.4509707208952</v>
      </c>
      <c r="Q69" s="296">
        <f t="shared" si="44"/>
        <v>186.767537843377</v>
      </c>
    </row>
    <row r="70" spans="3:17">
      <c r="C70" s="296"/>
      <c r="D70" s="296"/>
      <c r="E70" s="296">
        <f t="shared" ref="E70:P70" si="61">E247+E420</f>
        <v>0</v>
      </c>
      <c r="F70" s="296">
        <f t="shared" si="61"/>
        <v>0</v>
      </c>
      <c r="G70" s="296">
        <f t="shared" si="61"/>
        <v>0</v>
      </c>
      <c r="H70" s="296">
        <f t="shared" si="61"/>
        <v>0</v>
      </c>
      <c r="I70" s="296">
        <f t="shared" si="61"/>
        <v>0</v>
      </c>
      <c r="J70" s="296">
        <f t="shared" si="61"/>
        <v>0</v>
      </c>
      <c r="K70" s="296">
        <f t="shared" si="61"/>
        <v>0</v>
      </c>
      <c r="L70" s="296">
        <f t="shared" si="61"/>
        <v>0</v>
      </c>
      <c r="M70" s="296">
        <f t="shared" si="61"/>
        <v>0</v>
      </c>
      <c r="N70" s="296">
        <f t="shared" si="61"/>
        <v>0</v>
      </c>
      <c r="O70" s="296">
        <f t="shared" si="61"/>
        <v>0</v>
      </c>
      <c r="P70" s="296">
        <f t="shared" si="61"/>
        <v>0</v>
      </c>
      <c r="Q70" s="296">
        <f t="shared" si="44"/>
        <v>0</v>
      </c>
    </row>
    <row r="71" spans="3:17">
      <c r="C71" s="296"/>
      <c r="D71" s="296"/>
      <c r="E71" s="296">
        <f t="shared" ref="E71:P71" si="62">E248+E421</f>
        <v>0</v>
      </c>
      <c r="F71" s="296">
        <f t="shared" si="62"/>
        <v>0</v>
      </c>
      <c r="G71" s="296">
        <f t="shared" si="62"/>
        <v>0</v>
      </c>
      <c r="H71" s="296">
        <f t="shared" si="62"/>
        <v>0</v>
      </c>
      <c r="I71" s="296">
        <f t="shared" si="62"/>
        <v>0</v>
      </c>
      <c r="J71" s="296">
        <f t="shared" si="62"/>
        <v>0</v>
      </c>
      <c r="K71" s="296">
        <f t="shared" si="62"/>
        <v>0</v>
      </c>
      <c r="L71" s="296">
        <f t="shared" si="62"/>
        <v>0</v>
      </c>
      <c r="M71" s="296">
        <f t="shared" si="62"/>
        <v>0</v>
      </c>
      <c r="N71" s="296">
        <f t="shared" si="62"/>
        <v>0</v>
      </c>
      <c r="O71" s="296">
        <f t="shared" si="62"/>
        <v>0</v>
      </c>
      <c r="P71" s="296">
        <f t="shared" si="62"/>
        <v>0</v>
      </c>
      <c r="Q71" s="296">
        <f t="shared" si="44"/>
        <v>0</v>
      </c>
    </row>
    <row r="72" spans="3:17">
      <c r="C72" s="296"/>
      <c r="D72" s="296"/>
      <c r="E72" s="296">
        <f t="shared" ref="E72:P72" si="63">E249+E422</f>
        <v>0</v>
      </c>
      <c r="F72" s="296">
        <f t="shared" si="63"/>
        <v>0</v>
      </c>
      <c r="G72" s="296">
        <f t="shared" si="63"/>
        <v>0</v>
      </c>
      <c r="H72" s="296">
        <f t="shared" si="63"/>
        <v>0</v>
      </c>
      <c r="I72" s="296">
        <f t="shared" si="63"/>
        <v>0</v>
      </c>
      <c r="J72" s="296">
        <f t="shared" si="63"/>
        <v>0</v>
      </c>
      <c r="K72" s="296">
        <f t="shared" si="63"/>
        <v>0</v>
      </c>
      <c r="L72" s="296">
        <f t="shared" si="63"/>
        <v>0</v>
      </c>
      <c r="M72" s="296">
        <f t="shared" si="63"/>
        <v>0</v>
      </c>
      <c r="N72" s="296">
        <f t="shared" si="63"/>
        <v>0</v>
      </c>
      <c r="O72" s="296">
        <f t="shared" si="63"/>
        <v>0</v>
      </c>
      <c r="P72" s="296">
        <f t="shared" si="63"/>
        <v>0</v>
      </c>
      <c r="Q72" s="296">
        <f t="shared" si="44"/>
        <v>0</v>
      </c>
    </row>
    <row r="73" spans="3:17">
      <c r="C73" s="296"/>
      <c r="D73" s="296"/>
      <c r="E73" s="296">
        <f t="shared" ref="E73:P73" si="64">E250+E423</f>
        <v>0</v>
      </c>
      <c r="F73" s="296">
        <f t="shared" si="64"/>
        <v>0</v>
      </c>
      <c r="G73" s="296">
        <f t="shared" si="64"/>
        <v>0</v>
      </c>
      <c r="H73" s="296">
        <f t="shared" si="64"/>
        <v>0</v>
      </c>
      <c r="I73" s="296">
        <f t="shared" si="64"/>
        <v>0</v>
      </c>
      <c r="J73" s="296">
        <f t="shared" si="64"/>
        <v>0</v>
      </c>
      <c r="K73" s="296">
        <f t="shared" si="64"/>
        <v>0</v>
      </c>
      <c r="L73" s="296">
        <f t="shared" si="64"/>
        <v>0</v>
      </c>
      <c r="M73" s="296">
        <f t="shared" si="64"/>
        <v>0</v>
      </c>
      <c r="N73" s="296">
        <f t="shared" si="64"/>
        <v>0</v>
      </c>
      <c r="O73" s="296">
        <f t="shared" si="64"/>
        <v>0</v>
      </c>
      <c r="P73" s="296">
        <f t="shared" si="64"/>
        <v>0</v>
      </c>
      <c r="Q73" s="296">
        <f t="shared" si="44"/>
        <v>0</v>
      </c>
    </row>
    <row r="74" spans="3:17">
      <c r="C74" s="296"/>
      <c r="D74" s="296"/>
      <c r="E74" s="296">
        <f t="shared" ref="E74:P74" si="65">E251+E424</f>
        <v>0</v>
      </c>
      <c r="F74" s="296">
        <f t="shared" si="65"/>
        <v>0</v>
      </c>
      <c r="G74" s="296">
        <f t="shared" si="65"/>
        <v>0</v>
      </c>
      <c r="H74" s="296">
        <f t="shared" si="65"/>
        <v>0</v>
      </c>
      <c r="I74" s="296">
        <f t="shared" si="65"/>
        <v>0</v>
      </c>
      <c r="J74" s="296">
        <f t="shared" si="65"/>
        <v>0</v>
      </c>
      <c r="K74" s="296">
        <f t="shared" si="65"/>
        <v>0</v>
      </c>
      <c r="L74" s="296">
        <f t="shared" si="65"/>
        <v>0</v>
      </c>
      <c r="M74" s="296">
        <f t="shared" si="65"/>
        <v>0</v>
      </c>
      <c r="N74" s="296">
        <f t="shared" si="65"/>
        <v>0</v>
      </c>
      <c r="O74" s="296">
        <f t="shared" si="65"/>
        <v>0</v>
      </c>
      <c r="P74" s="296">
        <f t="shared" si="65"/>
        <v>0</v>
      </c>
      <c r="Q74" s="296">
        <f t="shared" si="44"/>
        <v>0</v>
      </c>
    </row>
    <row r="75" spans="3:17">
      <c r="C75" s="296"/>
      <c r="D75" s="296"/>
      <c r="E75" s="296">
        <f t="shared" ref="E75:P75" si="66">E252+E425</f>
        <v>0</v>
      </c>
      <c r="F75" s="296">
        <f t="shared" si="66"/>
        <v>0</v>
      </c>
      <c r="G75" s="296">
        <f t="shared" si="66"/>
        <v>0</v>
      </c>
      <c r="H75" s="296">
        <f t="shared" si="66"/>
        <v>0</v>
      </c>
      <c r="I75" s="296">
        <f t="shared" si="66"/>
        <v>0</v>
      </c>
      <c r="J75" s="296">
        <f t="shared" si="66"/>
        <v>0</v>
      </c>
      <c r="K75" s="296">
        <f t="shared" si="66"/>
        <v>0</v>
      </c>
      <c r="L75" s="296">
        <f t="shared" si="66"/>
        <v>0</v>
      </c>
      <c r="M75" s="296">
        <f t="shared" si="66"/>
        <v>0</v>
      </c>
      <c r="N75" s="296">
        <f t="shared" si="66"/>
        <v>0</v>
      </c>
      <c r="O75" s="296">
        <f t="shared" si="66"/>
        <v>0</v>
      </c>
      <c r="P75" s="296">
        <f t="shared" si="66"/>
        <v>0</v>
      </c>
      <c r="Q75" s="296">
        <f t="shared" si="44"/>
        <v>0</v>
      </c>
    </row>
    <row r="76" spans="3:17">
      <c r="C76" s="296"/>
      <c r="D76" s="296"/>
      <c r="E76" s="296">
        <f t="shared" ref="E76:P76" si="67">E253+E426</f>
        <v>0</v>
      </c>
      <c r="F76" s="296">
        <f t="shared" si="67"/>
        <v>0</v>
      </c>
      <c r="G76" s="296">
        <f t="shared" si="67"/>
        <v>0</v>
      </c>
      <c r="H76" s="296">
        <f t="shared" si="67"/>
        <v>0</v>
      </c>
      <c r="I76" s="296">
        <f t="shared" si="67"/>
        <v>0</v>
      </c>
      <c r="J76" s="296">
        <f t="shared" si="67"/>
        <v>0</v>
      </c>
      <c r="K76" s="296">
        <f t="shared" si="67"/>
        <v>0</v>
      </c>
      <c r="L76" s="296">
        <f t="shared" si="67"/>
        <v>0</v>
      </c>
      <c r="M76" s="296">
        <f t="shared" si="67"/>
        <v>0</v>
      </c>
      <c r="N76" s="296">
        <f t="shared" si="67"/>
        <v>0</v>
      </c>
      <c r="O76" s="296">
        <f t="shared" si="67"/>
        <v>0</v>
      </c>
      <c r="P76" s="296">
        <f t="shared" si="67"/>
        <v>0</v>
      </c>
      <c r="Q76" s="296">
        <f t="shared" si="44"/>
        <v>0</v>
      </c>
    </row>
    <row r="77" spans="3:17">
      <c r="C77" s="296"/>
      <c r="D77" s="296"/>
      <c r="E77" s="296">
        <f t="shared" ref="E77:P77" si="68">E254+E427</f>
        <v>0</v>
      </c>
      <c r="F77" s="296">
        <f t="shared" si="68"/>
        <v>0</v>
      </c>
      <c r="G77" s="296">
        <f t="shared" si="68"/>
        <v>0</v>
      </c>
      <c r="H77" s="296">
        <f t="shared" si="68"/>
        <v>0</v>
      </c>
      <c r="I77" s="296">
        <f t="shared" si="68"/>
        <v>0</v>
      </c>
      <c r="J77" s="296">
        <f t="shared" si="68"/>
        <v>0</v>
      </c>
      <c r="K77" s="296">
        <f t="shared" si="68"/>
        <v>0</v>
      </c>
      <c r="L77" s="296">
        <f t="shared" si="68"/>
        <v>0</v>
      </c>
      <c r="M77" s="296">
        <f t="shared" si="68"/>
        <v>0</v>
      </c>
      <c r="N77" s="296">
        <f t="shared" si="68"/>
        <v>0</v>
      </c>
      <c r="O77" s="296">
        <f t="shared" si="68"/>
        <v>0</v>
      </c>
      <c r="P77" s="296">
        <f t="shared" si="68"/>
        <v>0</v>
      </c>
      <c r="Q77" s="296">
        <f t="shared" si="44"/>
        <v>0</v>
      </c>
    </row>
    <row r="78" spans="3:17">
      <c r="C78" s="296"/>
      <c r="D78" s="296"/>
      <c r="E78" s="296">
        <f t="shared" ref="E78:P78" si="69">E255+E428</f>
        <v>0</v>
      </c>
      <c r="F78" s="296">
        <f t="shared" si="69"/>
        <v>0</v>
      </c>
      <c r="G78" s="296">
        <f t="shared" si="69"/>
        <v>0</v>
      </c>
      <c r="H78" s="296">
        <f t="shared" si="69"/>
        <v>0</v>
      </c>
      <c r="I78" s="296">
        <f t="shared" si="69"/>
        <v>0</v>
      </c>
      <c r="J78" s="296">
        <f t="shared" si="69"/>
        <v>0</v>
      </c>
      <c r="K78" s="296">
        <f t="shared" si="69"/>
        <v>0</v>
      </c>
      <c r="L78" s="296">
        <f t="shared" si="69"/>
        <v>0</v>
      </c>
      <c r="M78" s="296">
        <f t="shared" si="69"/>
        <v>0</v>
      </c>
      <c r="N78" s="296">
        <f t="shared" si="69"/>
        <v>0</v>
      </c>
      <c r="O78" s="296">
        <f t="shared" si="69"/>
        <v>0</v>
      </c>
      <c r="P78" s="296">
        <f t="shared" si="69"/>
        <v>0</v>
      </c>
      <c r="Q78" s="296">
        <f t="shared" si="44"/>
        <v>0</v>
      </c>
    </row>
    <row r="79" ht="15" spans="3:17">
      <c r="C79" s="285" t="s">
        <v>211</v>
      </c>
      <c r="D79" s="286"/>
      <c r="E79" s="390">
        <f t="shared" ref="E79:P79" si="70">SUM(E53:E78)</f>
        <v>734.629165890663</v>
      </c>
      <c r="F79" s="390">
        <f t="shared" si="70"/>
        <v>703.196689121878</v>
      </c>
      <c r="G79" s="390">
        <f t="shared" si="70"/>
        <v>553.482996028385</v>
      </c>
      <c r="H79" s="390">
        <f t="shared" si="70"/>
        <v>480.532963870275</v>
      </c>
      <c r="I79" s="390">
        <f t="shared" si="70"/>
        <v>488.431626437844</v>
      </c>
      <c r="J79" s="390">
        <f t="shared" si="70"/>
        <v>585.419340107959</v>
      </c>
      <c r="K79" s="390">
        <f t="shared" si="70"/>
        <v>619.365609247171</v>
      </c>
      <c r="L79" s="390">
        <f t="shared" si="70"/>
        <v>797.886163331228</v>
      </c>
      <c r="M79" s="390">
        <f t="shared" si="70"/>
        <v>550.089328363523</v>
      </c>
      <c r="N79" s="390">
        <f t="shared" si="70"/>
        <v>661.184861825648</v>
      </c>
      <c r="O79" s="390">
        <f t="shared" si="70"/>
        <v>730.187269354056</v>
      </c>
      <c r="P79" s="390">
        <f t="shared" si="70"/>
        <v>858.285410693577</v>
      </c>
      <c r="Q79" s="390">
        <f t="shared" si="44"/>
        <v>7762.69142427221</v>
      </c>
    </row>
    <row r="80" ht="15" spans="3:17">
      <c r="C80" s="285" t="s">
        <v>388</v>
      </c>
      <c r="D80" s="286"/>
      <c r="E80" s="296"/>
      <c r="F80" s="296"/>
      <c r="G80" s="296"/>
      <c r="H80" s="296"/>
      <c r="I80" s="296"/>
      <c r="J80" s="296"/>
      <c r="K80" s="296"/>
      <c r="L80" s="296"/>
      <c r="M80" s="296"/>
      <c r="N80" s="296"/>
      <c r="O80" s="296"/>
      <c r="P80" s="296"/>
      <c r="Q80" s="296"/>
    </row>
    <row r="81" spans="3:17">
      <c r="C81" s="710" t="s">
        <v>389</v>
      </c>
      <c r="D81" s="296" t="s">
        <v>390</v>
      </c>
      <c r="E81" s="296">
        <f t="shared" ref="E81:P81" si="71">E258+E431</f>
        <v>3.06304565642507</v>
      </c>
      <c r="F81" s="296">
        <f t="shared" si="71"/>
        <v>3.16514717830591</v>
      </c>
      <c r="G81" s="296">
        <f t="shared" si="71"/>
        <v>3.06304565642507</v>
      </c>
      <c r="H81" s="296">
        <f t="shared" si="71"/>
        <v>3.16514717830591</v>
      </c>
      <c r="I81" s="296">
        <f t="shared" si="71"/>
        <v>3.16514717830591</v>
      </c>
      <c r="J81" s="296">
        <f t="shared" si="71"/>
        <v>3.06304565642507</v>
      </c>
      <c r="K81" s="296">
        <f t="shared" si="71"/>
        <v>3.16514717830591</v>
      </c>
      <c r="L81" s="296">
        <f t="shared" si="71"/>
        <v>3.06304565642507</v>
      </c>
      <c r="M81" s="296">
        <f t="shared" si="71"/>
        <v>3.16514717830591</v>
      </c>
      <c r="N81" s="296">
        <f t="shared" si="71"/>
        <v>3.16514717830591</v>
      </c>
      <c r="O81" s="296">
        <f t="shared" si="71"/>
        <v>2.8588426126634</v>
      </c>
      <c r="P81" s="384">
        <f t="shared" si="71"/>
        <v>3.16514717830591</v>
      </c>
      <c r="Q81" s="296">
        <f t="shared" ref="Q81:Q96" si="72">SUM(E81:P81)</f>
        <v>37.2670554865051</v>
      </c>
    </row>
    <row r="82" spans="3:17">
      <c r="C82" s="711"/>
      <c r="D82" s="296" t="s">
        <v>391</v>
      </c>
      <c r="E82" s="296">
        <f t="shared" ref="E82:P82" si="73">E259+E432</f>
        <v>12.7142694109264</v>
      </c>
      <c r="F82" s="296">
        <f t="shared" si="73"/>
        <v>13.1380783912907</v>
      </c>
      <c r="G82" s="296">
        <f t="shared" si="73"/>
        <v>12.7142694109264</v>
      </c>
      <c r="H82" s="296">
        <f t="shared" si="73"/>
        <v>13.1380783912907</v>
      </c>
      <c r="I82" s="296">
        <f t="shared" si="73"/>
        <v>13.1380783912907</v>
      </c>
      <c r="J82" s="296">
        <f t="shared" si="73"/>
        <v>12.7142694109264</v>
      </c>
      <c r="K82" s="296">
        <f t="shared" si="73"/>
        <v>13.1380783912907</v>
      </c>
      <c r="L82" s="296">
        <f t="shared" si="73"/>
        <v>12.7142694109264</v>
      </c>
      <c r="M82" s="296">
        <f t="shared" si="73"/>
        <v>13.1380783912907</v>
      </c>
      <c r="N82" s="296">
        <f t="shared" si="73"/>
        <v>13.1380783912907</v>
      </c>
      <c r="O82" s="296">
        <f t="shared" si="73"/>
        <v>11.866651450198</v>
      </c>
      <c r="P82" s="296">
        <f t="shared" si="73"/>
        <v>13.1380783912907</v>
      </c>
      <c r="Q82" s="296">
        <f t="shared" si="72"/>
        <v>154.690277832938</v>
      </c>
    </row>
    <row r="83" spans="3:17">
      <c r="C83" s="711"/>
      <c r="D83" s="296" t="s">
        <v>392</v>
      </c>
      <c r="E83" s="296">
        <f t="shared" ref="E83:P83" si="74">E260+E433</f>
        <v>9.70184012806962</v>
      </c>
      <c r="F83" s="296">
        <f t="shared" si="74"/>
        <v>10.0252347990053</v>
      </c>
      <c r="G83" s="296">
        <f t="shared" si="74"/>
        <v>9.70184012806962</v>
      </c>
      <c r="H83" s="296">
        <f t="shared" si="74"/>
        <v>10.0252347990053</v>
      </c>
      <c r="I83" s="296">
        <f t="shared" si="74"/>
        <v>10.0252347990053</v>
      </c>
      <c r="J83" s="296">
        <f t="shared" si="74"/>
        <v>9.70184012806962</v>
      </c>
      <c r="K83" s="296">
        <f t="shared" si="74"/>
        <v>10.0252347990053</v>
      </c>
      <c r="L83" s="296">
        <f t="shared" si="74"/>
        <v>9.70184012806962</v>
      </c>
      <c r="M83" s="296">
        <f t="shared" si="74"/>
        <v>10.0252347990053</v>
      </c>
      <c r="N83" s="296">
        <f t="shared" si="74"/>
        <v>10.0252347990053</v>
      </c>
      <c r="O83" s="296">
        <f t="shared" si="74"/>
        <v>9.05505078619832</v>
      </c>
      <c r="P83" s="296">
        <f t="shared" si="74"/>
        <v>10.0252347990053</v>
      </c>
      <c r="Q83" s="296">
        <f t="shared" si="72"/>
        <v>118.039054891514</v>
      </c>
    </row>
    <row r="84" spans="3:17">
      <c r="C84" s="713"/>
      <c r="D84" s="296" t="s">
        <v>393</v>
      </c>
      <c r="E84" s="384">
        <f>E261+E434</f>
        <v>12.3090090847644</v>
      </c>
      <c r="F84" s="384">
        <f t="shared" ref="F84:P84" si="75">F261+F434</f>
        <v>12.7193093875899</v>
      </c>
      <c r="G84" s="384">
        <f t="shared" si="75"/>
        <v>12.3090090847644</v>
      </c>
      <c r="H84" s="384">
        <f t="shared" si="75"/>
        <v>12.7193093875899</v>
      </c>
      <c r="I84" s="384">
        <f t="shared" si="75"/>
        <v>12.7193093875899</v>
      </c>
      <c r="J84" s="384">
        <f t="shared" si="75"/>
        <v>12.3090090847644</v>
      </c>
      <c r="K84" s="384">
        <f t="shared" si="75"/>
        <v>12.7193093875899</v>
      </c>
      <c r="L84" s="384">
        <f t="shared" si="75"/>
        <v>12.3090090847644</v>
      </c>
      <c r="M84" s="384">
        <f t="shared" si="75"/>
        <v>12.7193093875899</v>
      </c>
      <c r="N84" s="384">
        <f t="shared" si="75"/>
        <v>12.7193093875899</v>
      </c>
      <c r="O84" s="384">
        <f t="shared" si="75"/>
        <v>11.4884084791135</v>
      </c>
      <c r="P84" s="384">
        <f t="shared" si="75"/>
        <v>12.7193093875899</v>
      </c>
      <c r="Q84" s="296">
        <f t="shared" si="72"/>
        <v>149.7596105313</v>
      </c>
    </row>
    <row r="85" spans="3:17">
      <c r="C85" s="296"/>
      <c r="D85" s="296"/>
      <c r="E85" s="296">
        <f t="shared" ref="E85:P85" si="76">E262+E435</f>
        <v>0</v>
      </c>
      <c r="F85" s="296">
        <f t="shared" si="76"/>
        <v>0</v>
      </c>
      <c r="G85" s="296">
        <f t="shared" si="76"/>
        <v>0</v>
      </c>
      <c r="H85" s="296">
        <f t="shared" si="76"/>
        <v>0</v>
      </c>
      <c r="I85" s="296">
        <f t="shared" si="76"/>
        <v>0</v>
      </c>
      <c r="J85" s="296">
        <f t="shared" si="76"/>
        <v>0</v>
      </c>
      <c r="K85" s="296">
        <f t="shared" si="76"/>
        <v>0</v>
      </c>
      <c r="L85" s="296">
        <f t="shared" si="76"/>
        <v>0</v>
      </c>
      <c r="M85" s="296">
        <f t="shared" si="76"/>
        <v>0</v>
      </c>
      <c r="N85" s="296">
        <f t="shared" si="76"/>
        <v>0</v>
      </c>
      <c r="O85" s="296">
        <f t="shared" si="76"/>
        <v>0</v>
      </c>
      <c r="P85" s="296">
        <f t="shared" si="76"/>
        <v>0</v>
      </c>
      <c r="Q85" s="296">
        <f t="shared" si="72"/>
        <v>0</v>
      </c>
    </row>
    <row r="86" spans="3:17">
      <c r="C86" s="296"/>
      <c r="D86" s="296"/>
      <c r="E86" s="296">
        <f t="shared" ref="E86:P86" si="77">E263+E436</f>
        <v>0</v>
      </c>
      <c r="F86" s="296">
        <f t="shared" si="77"/>
        <v>0</v>
      </c>
      <c r="G86" s="296">
        <f t="shared" si="77"/>
        <v>0</v>
      </c>
      <c r="H86" s="296">
        <f t="shared" si="77"/>
        <v>0</v>
      </c>
      <c r="I86" s="296">
        <f t="shared" si="77"/>
        <v>0</v>
      </c>
      <c r="J86" s="296">
        <f t="shared" si="77"/>
        <v>0</v>
      </c>
      <c r="K86" s="296">
        <f t="shared" si="77"/>
        <v>0</v>
      </c>
      <c r="L86" s="296">
        <f t="shared" si="77"/>
        <v>0</v>
      </c>
      <c r="M86" s="296">
        <f t="shared" si="77"/>
        <v>0</v>
      </c>
      <c r="N86" s="296">
        <f t="shared" si="77"/>
        <v>0</v>
      </c>
      <c r="O86" s="296">
        <f t="shared" si="77"/>
        <v>0</v>
      </c>
      <c r="P86" s="296">
        <f t="shared" si="77"/>
        <v>0</v>
      </c>
      <c r="Q86" s="296">
        <f t="shared" si="72"/>
        <v>0</v>
      </c>
    </row>
    <row r="87" spans="3:17">
      <c r="C87" s="296"/>
      <c r="D87" s="296"/>
      <c r="E87" s="296">
        <f t="shared" ref="E87:P87" si="78">E264+E437</f>
        <v>0</v>
      </c>
      <c r="F87" s="296">
        <f t="shared" si="78"/>
        <v>0</v>
      </c>
      <c r="G87" s="296">
        <f t="shared" si="78"/>
        <v>0</v>
      </c>
      <c r="H87" s="296">
        <f t="shared" si="78"/>
        <v>0</v>
      </c>
      <c r="I87" s="296">
        <f t="shared" si="78"/>
        <v>0</v>
      </c>
      <c r="J87" s="296">
        <f t="shared" si="78"/>
        <v>0</v>
      </c>
      <c r="K87" s="296">
        <f t="shared" si="78"/>
        <v>0</v>
      </c>
      <c r="L87" s="296">
        <f t="shared" si="78"/>
        <v>0</v>
      </c>
      <c r="M87" s="296">
        <f t="shared" si="78"/>
        <v>0</v>
      </c>
      <c r="N87" s="296">
        <f t="shared" si="78"/>
        <v>0</v>
      </c>
      <c r="O87" s="296">
        <f t="shared" si="78"/>
        <v>0</v>
      </c>
      <c r="P87" s="296">
        <f t="shared" si="78"/>
        <v>0</v>
      </c>
      <c r="Q87" s="296">
        <f t="shared" si="72"/>
        <v>0</v>
      </c>
    </row>
    <row r="88" spans="3:17">
      <c r="C88" s="296"/>
      <c r="D88" s="296"/>
      <c r="E88" s="296">
        <f t="shared" ref="E88:P88" si="79">E265+E438</f>
        <v>0</v>
      </c>
      <c r="F88" s="296">
        <f t="shared" si="79"/>
        <v>0</v>
      </c>
      <c r="G88" s="296">
        <f t="shared" si="79"/>
        <v>0</v>
      </c>
      <c r="H88" s="296">
        <f t="shared" si="79"/>
        <v>0</v>
      </c>
      <c r="I88" s="296">
        <f t="shared" si="79"/>
        <v>0</v>
      </c>
      <c r="J88" s="296">
        <f t="shared" si="79"/>
        <v>0</v>
      </c>
      <c r="K88" s="296">
        <f t="shared" si="79"/>
        <v>0</v>
      </c>
      <c r="L88" s="296">
        <f t="shared" si="79"/>
        <v>0</v>
      </c>
      <c r="M88" s="296">
        <f t="shared" si="79"/>
        <v>0</v>
      </c>
      <c r="N88" s="296">
        <f t="shared" si="79"/>
        <v>0</v>
      </c>
      <c r="O88" s="296">
        <f t="shared" si="79"/>
        <v>0</v>
      </c>
      <c r="P88" s="296">
        <f t="shared" si="79"/>
        <v>0</v>
      </c>
      <c r="Q88" s="296">
        <f t="shared" si="72"/>
        <v>0</v>
      </c>
    </row>
    <row r="89" spans="3:17">
      <c r="C89" s="296"/>
      <c r="D89" s="296"/>
      <c r="E89" s="296">
        <f t="shared" ref="E89:P89" si="80">E266+E439</f>
        <v>0</v>
      </c>
      <c r="F89" s="296">
        <f t="shared" si="80"/>
        <v>0</v>
      </c>
      <c r="G89" s="296">
        <f t="shared" si="80"/>
        <v>0</v>
      </c>
      <c r="H89" s="296">
        <f t="shared" si="80"/>
        <v>0</v>
      </c>
      <c r="I89" s="296">
        <f t="shared" si="80"/>
        <v>0</v>
      </c>
      <c r="J89" s="296">
        <f t="shared" si="80"/>
        <v>0</v>
      </c>
      <c r="K89" s="296">
        <f t="shared" si="80"/>
        <v>0</v>
      </c>
      <c r="L89" s="296">
        <f t="shared" si="80"/>
        <v>0</v>
      </c>
      <c r="M89" s="296">
        <f t="shared" si="80"/>
        <v>0</v>
      </c>
      <c r="N89" s="296">
        <f t="shared" si="80"/>
        <v>0</v>
      </c>
      <c r="O89" s="296">
        <f t="shared" si="80"/>
        <v>0</v>
      </c>
      <c r="P89" s="296">
        <f t="shared" si="80"/>
        <v>0</v>
      </c>
      <c r="Q89" s="296">
        <f t="shared" si="72"/>
        <v>0</v>
      </c>
    </row>
    <row r="90" spans="3:17">
      <c r="C90" s="296"/>
      <c r="D90" s="296"/>
      <c r="E90" s="296">
        <f t="shared" ref="E90:P90" si="81">E267+E440</f>
        <v>0</v>
      </c>
      <c r="F90" s="296">
        <f t="shared" si="81"/>
        <v>0</v>
      </c>
      <c r="G90" s="296">
        <f t="shared" si="81"/>
        <v>0</v>
      </c>
      <c r="H90" s="296">
        <f t="shared" si="81"/>
        <v>0</v>
      </c>
      <c r="I90" s="296">
        <f t="shared" si="81"/>
        <v>0</v>
      </c>
      <c r="J90" s="296">
        <f t="shared" si="81"/>
        <v>0</v>
      </c>
      <c r="K90" s="296">
        <f t="shared" si="81"/>
        <v>0</v>
      </c>
      <c r="L90" s="296">
        <f t="shared" si="81"/>
        <v>0</v>
      </c>
      <c r="M90" s="296">
        <f t="shared" si="81"/>
        <v>0</v>
      </c>
      <c r="N90" s="296">
        <f t="shared" si="81"/>
        <v>0</v>
      </c>
      <c r="O90" s="296">
        <f t="shared" si="81"/>
        <v>0</v>
      </c>
      <c r="P90" s="296">
        <f t="shared" si="81"/>
        <v>0</v>
      </c>
      <c r="Q90" s="296">
        <f t="shared" si="72"/>
        <v>0</v>
      </c>
    </row>
    <row r="91" spans="3:17">
      <c r="C91" s="296"/>
      <c r="D91" s="296"/>
      <c r="E91" s="296">
        <f t="shared" ref="E91:P91" si="82">E268+E441</f>
        <v>0</v>
      </c>
      <c r="F91" s="296">
        <f t="shared" si="82"/>
        <v>0</v>
      </c>
      <c r="G91" s="296">
        <f t="shared" si="82"/>
        <v>0</v>
      </c>
      <c r="H91" s="296">
        <f t="shared" si="82"/>
        <v>0</v>
      </c>
      <c r="I91" s="296">
        <f t="shared" si="82"/>
        <v>0</v>
      </c>
      <c r="J91" s="296">
        <f t="shared" si="82"/>
        <v>0</v>
      </c>
      <c r="K91" s="296">
        <f t="shared" si="82"/>
        <v>0</v>
      </c>
      <c r="L91" s="296">
        <f t="shared" si="82"/>
        <v>0</v>
      </c>
      <c r="M91" s="296">
        <f t="shared" si="82"/>
        <v>0</v>
      </c>
      <c r="N91" s="296">
        <f t="shared" si="82"/>
        <v>0</v>
      </c>
      <c r="O91" s="296">
        <f t="shared" si="82"/>
        <v>0</v>
      </c>
      <c r="P91" s="296">
        <f t="shared" si="82"/>
        <v>0</v>
      </c>
      <c r="Q91" s="296">
        <f t="shared" si="72"/>
        <v>0</v>
      </c>
    </row>
    <row r="92" spans="3:17">
      <c r="C92" s="296"/>
      <c r="D92" s="296"/>
      <c r="E92" s="296">
        <f t="shared" ref="E92:P92" si="83">E269+E442</f>
        <v>0</v>
      </c>
      <c r="F92" s="296">
        <f t="shared" si="83"/>
        <v>0</v>
      </c>
      <c r="G92" s="296">
        <f t="shared" si="83"/>
        <v>0</v>
      </c>
      <c r="H92" s="296">
        <f t="shared" si="83"/>
        <v>0</v>
      </c>
      <c r="I92" s="296">
        <f t="shared" si="83"/>
        <v>0</v>
      </c>
      <c r="J92" s="296">
        <f t="shared" si="83"/>
        <v>0</v>
      </c>
      <c r="K92" s="296">
        <f t="shared" si="83"/>
        <v>0</v>
      </c>
      <c r="L92" s="296">
        <f t="shared" si="83"/>
        <v>0</v>
      </c>
      <c r="M92" s="296">
        <f t="shared" si="83"/>
        <v>0</v>
      </c>
      <c r="N92" s="296">
        <f t="shared" si="83"/>
        <v>0</v>
      </c>
      <c r="O92" s="296">
        <f t="shared" si="83"/>
        <v>0</v>
      </c>
      <c r="P92" s="296">
        <f t="shared" si="83"/>
        <v>0</v>
      </c>
      <c r="Q92" s="296">
        <f t="shared" si="72"/>
        <v>0</v>
      </c>
    </row>
    <row r="93" spans="3:17">
      <c r="C93" s="296"/>
      <c r="D93" s="296"/>
      <c r="E93" s="296">
        <f t="shared" ref="E93:P93" si="84">E270+E443</f>
        <v>0</v>
      </c>
      <c r="F93" s="296">
        <f t="shared" si="84"/>
        <v>0</v>
      </c>
      <c r="G93" s="296">
        <f t="shared" si="84"/>
        <v>0</v>
      </c>
      <c r="H93" s="296">
        <f t="shared" si="84"/>
        <v>0</v>
      </c>
      <c r="I93" s="296">
        <f t="shared" si="84"/>
        <v>0</v>
      </c>
      <c r="J93" s="296">
        <f t="shared" si="84"/>
        <v>0</v>
      </c>
      <c r="K93" s="296">
        <f t="shared" si="84"/>
        <v>0</v>
      </c>
      <c r="L93" s="296">
        <f t="shared" si="84"/>
        <v>0</v>
      </c>
      <c r="M93" s="296">
        <f t="shared" si="84"/>
        <v>0</v>
      </c>
      <c r="N93" s="296">
        <f t="shared" si="84"/>
        <v>0</v>
      </c>
      <c r="O93" s="296">
        <f t="shared" si="84"/>
        <v>0</v>
      </c>
      <c r="P93" s="296">
        <f t="shared" si="84"/>
        <v>0</v>
      </c>
      <c r="Q93" s="296">
        <f t="shared" si="72"/>
        <v>0</v>
      </c>
    </row>
    <row r="94" spans="3:17">
      <c r="C94" s="296"/>
      <c r="D94" s="296"/>
      <c r="E94" s="296">
        <f t="shared" ref="E94:P94" si="85">E271+E444</f>
        <v>0</v>
      </c>
      <c r="F94" s="296">
        <f t="shared" si="85"/>
        <v>0</v>
      </c>
      <c r="G94" s="296">
        <f t="shared" si="85"/>
        <v>0</v>
      </c>
      <c r="H94" s="296">
        <f t="shared" si="85"/>
        <v>0</v>
      </c>
      <c r="I94" s="296">
        <f t="shared" si="85"/>
        <v>0</v>
      </c>
      <c r="J94" s="296">
        <f t="shared" si="85"/>
        <v>0</v>
      </c>
      <c r="K94" s="296">
        <f t="shared" si="85"/>
        <v>0</v>
      </c>
      <c r="L94" s="296">
        <f t="shared" si="85"/>
        <v>0</v>
      </c>
      <c r="M94" s="296">
        <f t="shared" si="85"/>
        <v>0</v>
      </c>
      <c r="N94" s="296">
        <f t="shared" si="85"/>
        <v>0</v>
      </c>
      <c r="O94" s="296">
        <f t="shared" si="85"/>
        <v>0</v>
      </c>
      <c r="P94" s="296">
        <f t="shared" si="85"/>
        <v>0</v>
      </c>
      <c r="Q94" s="296">
        <f t="shared" si="72"/>
        <v>0</v>
      </c>
    </row>
    <row r="95" ht="15" spans="3:17">
      <c r="C95" s="285" t="s">
        <v>211</v>
      </c>
      <c r="D95" s="286"/>
      <c r="E95" s="390">
        <f t="shared" ref="E95:P95" si="86">SUM(E81:E94)</f>
        <v>37.7881642801855</v>
      </c>
      <c r="F95" s="390">
        <f t="shared" si="86"/>
        <v>39.0477697561918</v>
      </c>
      <c r="G95" s="390">
        <f t="shared" si="86"/>
        <v>37.7881642801855</v>
      </c>
      <c r="H95" s="390">
        <f t="shared" si="86"/>
        <v>39.0477697561918</v>
      </c>
      <c r="I95" s="390">
        <f t="shared" si="86"/>
        <v>39.0477697561918</v>
      </c>
      <c r="J95" s="390">
        <f t="shared" si="86"/>
        <v>37.7881642801855</v>
      </c>
      <c r="K95" s="390">
        <f t="shared" si="86"/>
        <v>39.0477697561918</v>
      </c>
      <c r="L95" s="390">
        <f t="shared" si="86"/>
        <v>37.7881642801855</v>
      </c>
      <c r="M95" s="390">
        <f t="shared" si="86"/>
        <v>39.0477697561918</v>
      </c>
      <c r="N95" s="390">
        <f t="shared" si="86"/>
        <v>39.0477697561918</v>
      </c>
      <c r="O95" s="390">
        <f t="shared" si="86"/>
        <v>35.2689533281732</v>
      </c>
      <c r="P95" s="390">
        <f t="shared" si="86"/>
        <v>39.0477697561918</v>
      </c>
      <c r="Q95" s="390">
        <f t="shared" si="72"/>
        <v>459.755998742258</v>
      </c>
    </row>
    <row r="96" ht="15" spans="3:19">
      <c r="C96" s="285" t="s">
        <v>395</v>
      </c>
      <c r="D96" s="286"/>
      <c r="E96" s="390">
        <f t="shared" ref="E96:P96" si="87">E79+E95</f>
        <v>772.417330170848</v>
      </c>
      <c r="F96" s="390">
        <f t="shared" si="87"/>
        <v>742.24445887807</v>
      </c>
      <c r="G96" s="390">
        <f t="shared" si="87"/>
        <v>591.27116030857</v>
      </c>
      <c r="H96" s="390">
        <f t="shared" si="87"/>
        <v>519.580733626466</v>
      </c>
      <c r="I96" s="390">
        <f t="shared" si="87"/>
        <v>527.479396194036</v>
      </c>
      <c r="J96" s="390">
        <f t="shared" si="87"/>
        <v>623.207504388144</v>
      </c>
      <c r="K96" s="390">
        <f t="shared" si="87"/>
        <v>658.413379003363</v>
      </c>
      <c r="L96" s="390">
        <f t="shared" si="87"/>
        <v>835.674327611414</v>
      </c>
      <c r="M96" s="390">
        <f t="shared" si="87"/>
        <v>589.137098119715</v>
      </c>
      <c r="N96" s="390">
        <f t="shared" si="87"/>
        <v>700.23263158184</v>
      </c>
      <c r="O96" s="390">
        <f t="shared" si="87"/>
        <v>765.456222682229</v>
      </c>
      <c r="P96" s="390">
        <f t="shared" si="87"/>
        <v>897.333180449769</v>
      </c>
      <c r="Q96" s="390">
        <f t="shared" si="72"/>
        <v>8222.44742301446</v>
      </c>
      <c r="R96" s="368">
        <f>10322-Q96</f>
        <v>2099.55257698554</v>
      </c>
      <c r="S96" s="368">
        <f>R96+Q179</f>
        <v>38629.4004406077</v>
      </c>
    </row>
    <row r="97" ht="15" spans="3:19">
      <c r="C97" s="708" t="s">
        <v>396</v>
      </c>
      <c r="D97" s="709"/>
      <c r="E97" s="296"/>
      <c r="F97" s="296"/>
      <c r="G97" s="296"/>
      <c r="H97" s="296"/>
      <c r="I97" s="296"/>
      <c r="J97" s="296"/>
      <c r="K97" s="296"/>
      <c r="L97" s="296"/>
      <c r="M97" s="296"/>
      <c r="N97" s="296"/>
      <c r="O97" s="296"/>
      <c r="P97" s="296"/>
      <c r="Q97" s="296"/>
      <c r="S97" s="368">
        <f>S96+962</f>
        <v>39591.4004406077</v>
      </c>
    </row>
    <row r="98" spans="3:17">
      <c r="C98" s="296" t="s">
        <v>397</v>
      </c>
      <c r="D98" s="296" t="s">
        <v>397</v>
      </c>
      <c r="E98" s="296">
        <f t="shared" ref="E98:P98" si="88">E275+E448</f>
        <v>52.6772021492109</v>
      </c>
      <c r="F98" s="296">
        <f t="shared" si="88"/>
        <v>51.3497279751628</v>
      </c>
      <c r="G98" s="296">
        <f t="shared" si="88"/>
        <v>49.849390230736</v>
      </c>
      <c r="H98" s="296">
        <f t="shared" si="88"/>
        <v>58.3019262285613</v>
      </c>
      <c r="I98" s="296">
        <f t="shared" si="88"/>
        <v>58.846604202722</v>
      </c>
      <c r="J98" s="296">
        <f t="shared" si="88"/>
        <v>0</v>
      </c>
      <c r="K98" s="296">
        <f t="shared" si="88"/>
        <v>58.846604202722</v>
      </c>
      <c r="L98" s="296">
        <f t="shared" si="88"/>
        <v>27.0124272038911</v>
      </c>
      <c r="M98" s="296">
        <f t="shared" si="88"/>
        <v>54.2850875873569</v>
      </c>
      <c r="N98" s="296">
        <f t="shared" si="88"/>
        <v>55.8945698037273</v>
      </c>
      <c r="O98" s="296">
        <f t="shared" si="88"/>
        <v>53.1517715379425</v>
      </c>
      <c r="P98" s="296">
        <f t="shared" si="88"/>
        <v>58.846604202722</v>
      </c>
      <c r="Q98" s="296">
        <f t="shared" ref="Q98:Q105" si="89">SUM(E98:P98)</f>
        <v>579.061915324755</v>
      </c>
    </row>
    <row r="99" spans="3:17">
      <c r="C99" s="296" t="s">
        <v>398</v>
      </c>
      <c r="D99" s="296" t="s">
        <v>398</v>
      </c>
      <c r="E99" s="296">
        <f t="shared" ref="E99:P99" si="90">E276+E449</f>
        <v>0</v>
      </c>
      <c r="F99" s="296">
        <f t="shared" si="90"/>
        <v>0</v>
      </c>
      <c r="G99" s="296">
        <f t="shared" si="90"/>
        <v>0</v>
      </c>
      <c r="H99" s="296">
        <f t="shared" si="90"/>
        <v>0</v>
      </c>
      <c r="I99" s="296">
        <f t="shared" si="90"/>
        <v>0</v>
      </c>
      <c r="J99" s="296">
        <f t="shared" si="90"/>
        <v>0</v>
      </c>
      <c r="K99" s="296">
        <f t="shared" si="90"/>
        <v>0</v>
      </c>
      <c r="L99" s="296">
        <f t="shared" si="90"/>
        <v>0</v>
      </c>
      <c r="M99" s="296">
        <f t="shared" si="90"/>
        <v>0</v>
      </c>
      <c r="N99" s="296">
        <f t="shared" si="90"/>
        <v>0</v>
      </c>
      <c r="O99" s="296">
        <f t="shared" si="90"/>
        <v>0</v>
      </c>
      <c r="P99" s="296">
        <f t="shared" si="90"/>
        <v>0</v>
      </c>
      <c r="Q99" s="296">
        <f t="shared" si="89"/>
        <v>0</v>
      </c>
    </row>
    <row r="100" ht="15" customHeight="1" spans="3:17">
      <c r="C100" s="296"/>
      <c r="D100" s="296"/>
      <c r="E100" s="296">
        <f t="shared" ref="E100:P100" si="91">E277+E450</f>
        <v>0</v>
      </c>
      <c r="F100" s="296">
        <f t="shared" si="91"/>
        <v>0</v>
      </c>
      <c r="G100" s="296">
        <f t="shared" si="91"/>
        <v>0</v>
      </c>
      <c r="H100" s="296">
        <f t="shared" si="91"/>
        <v>0</v>
      </c>
      <c r="I100" s="296">
        <f t="shared" si="91"/>
        <v>0</v>
      </c>
      <c r="J100" s="296">
        <f t="shared" si="91"/>
        <v>0</v>
      </c>
      <c r="K100" s="296">
        <f t="shared" si="91"/>
        <v>0</v>
      </c>
      <c r="L100" s="296">
        <f t="shared" si="91"/>
        <v>0</v>
      </c>
      <c r="M100" s="296">
        <f t="shared" si="91"/>
        <v>0</v>
      </c>
      <c r="N100" s="296">
        <f t="shared" si="91"/>
        <v>0</v>
      </c>
      <c r="O100" s="296">
        <f t="shared" si="91"/>
        <v>0</v>
      </c>
      <c r="P100" s="296">
        <f t="shared" si="91"/>
        <v>0</v>
      </c>
      <c r="Q100" s="296">
        <f t="shared" si="89"/>
        <v>0</v>
      </c>
    </row>
    <row r="101" spans="3:17">
      <c r="C101" s="296"/>
      <c r="D101" s="296"/>
      <c r="E101" s="296">
        <f t="shared" ref="E101:P101" si="92">E278+E451</f>
        <v>0</v>
      </c>
      <c r="F101" s="296">
        <f t="shared" si="92"/>
        <v>0</v>
      </c>
      <c r="G101" s="296">
        <f t="shared" si="92"/>
        <v>0</v>
      </c>
      <c r="H101" s="296">
        <f t="shared" si="92"/>
        <v>0</v>
      </c>
      <c r="I101" s="296">
        <f t="shared" si="92"/>
        <v>0</v>
      </c>
      <c r="J101" s="296">
        <f t="shared" si="92"/>
        <v>0</v>
      </c>
      <c r="K101" s="296">
        <f t="shared" si="92"/>
        <v>0</v>
      </c>
      <c r="L101" s="296">
        <f t="shared" si="92"/>
        <v>0</v>
      </c>
      <c r="M101" s="296">
        <f t="shared" si="92"/>
        <v>0</v>
      </c>
      <c r="N101" s="296">
        <f t="shared" si="92"/>
        <v>0</v>
      </c>
      <c r="O101" s="296">
        <f t="shared" si="92"/>
        <v>0</v>
      </c>
      <c r="P101" s="296">
        <f t="shared" si="92"/>
        <v>0</v>
      </c>
      <c r="Q101" s="296">
        <f t="shared" si="89"/>
        <v>0</v>
      </c>
    </row>
    <row r="102" customHeight="1" spans="3:17">
      <c r="C102" s="296"/>
      <c r="D102" s="296"/>
      <c r="E102" s="296">
        <f t="shared" ref="E102:P102" si="93">E279+E452</f>
        <v>0</v>
      </c>
      <c r="F102" s="296">
        <f t="shared" si="93"/>
        <v>0</v>
      </c>
      <c r="G102" s="296">
        <f t="shared" si="93"/>
        <v>0</v>
      </c>
      <c r="H102" s="296">
        <f t="shared" si="93"/>
        <v>0</v>
      </c>
      <c r="I102" s="296">
        <f t="shared" si="93"/>
        <v>0</v>
      </c>
      <c r="J102" s="296">
        <f t="shared" si="93"/>
        <v>0</v>
      </c>
      <c r="K102" s="296">
        <f t="shared" si="93"/>
        <v>0</v>
      </c>
      <c r="L102" s="296">
        <f t="shared" si="93"/>
        <v>0</v>
      </c>
      <c r="M102" s="296">
        <f t="shared" si="93"/>
        <v>0</v>
      </c>
      <c r="N102" s="296">
        <f t="shared" si="93"/>
        <v>0</v>
      </c>
      <c r="O102" s="296">
        <f t="shared" si="93"/>
        <v>0</v>
      </c>
      <c r="P102" s="296">
        <f t="shared" si="93"/>
        <v>0</v>
      </c>
      <c r="Q102" s="296">
        <f t="shared" si="89"/>
        <v>0</v>
      </c>
    </row>
    <row r="103" spans="3:17">
      <c r="C103" s="296"/>
      <c r="D103" s="296"/>
      <c r="E103" s="296">
        <f t="shared" ref="E103:P103" si="94">E280+E453</f>
        <v>0</v>
      </c>
      <c r="F103" s="296">
        <f t="shared" si="94"/>
        <v>0</v>
      </c>
      <c r="G103" s="296">
        <f t="shared" si="94"/>
        <v>0</v>
      </c>
      <c r="H103" s="296">
        <f t="shared" si="94"/>
        <v>0</v>
      </c>
      <c r="I103" s="296">
        <f t="shared" si="94"/>
        <v>0</v>
      </c>
      <c r="J103" s="296">
        <f t="shared" si="94"/>
        <v>0</v>
      </c>
      <c r="K103" s="296">
        <f t="shared" si="94"/>
        <v>0</v>
      </c>
      <c r="L103" s="296">
        <f t="shared" si="94"/>
        <v>0</v>
      </c>
      <c r="M103" s="296">
        <f t="shared" si="94"/>
        <v>0</v>
      </c>
      <c r="N103" s="296">
        <f t="shared" si="94"/>
        <v>0</v>
      </c>
      <c r="O103" s="296">
        <f t="shared" si="94"/>
        <v>0</v>
      </c>
      <c r="P103" s="296">
        <f t="shared" si="94"/>
        <v>0</v>
      </c>
      <c r="Q103" s="296">
        <f t="shared" si="89"/>
        <v>0</v>
      </c>
    </row>
    <row r="104" spans="3:17">
      <c r="C104" s="296"/>
      <c r="D104" s="296"/>
      <c r="E104" s="296">
        <f t="shared" ref="E104:P104" si="95">E281+E454</f>
        <v>0</v>
      </c>
      <c r="F104" s="296">
        <f t="shared" si="95"/>
        <v>0</v>
      </c>
      <c r="G104" s="296">
        <f t="shared" si="95"/>
        <v>0</v>
      </c>
      <c r="H104" s="296">
        <f t="shared" si="95"/>
        <v>0</v>
      </c>
      <c r="I104" s="296">
        <f t="shared" si="95"/>
        <v>0</v>
      </c>
      <c r="J104" s="296">
        <f t="shared" si="95"/>
        <v>0</v>
      </c>
      <c r="K104" s="296">
        <f t="shared" si="95"/>
        <v>0</v>
      </c>
      <c r="L104" s="296">
        <f t="shared" si="95"/>
        <v>0</v>
      </c>
      <c r="M104" s="296">
        <f t="shared" si="95"/>
        <v>0</v>
      </c>
      <c r="N104" s="296">
        <f t="shared" si="95"/>
        <v>0</v>
      </c>
      <c r="O104" s="296">
        <f t="shared" si="95"/>
        <v>0</v>
      </c>
      <c r="P104" s="296">
        <f t="shared" si="95"/>
        <v>0</v>
      </c>
      <c r="Q104" s="296">
        <f t="shared" si="89"/>
        <v>0</v>
      </c>
    </row>
    <row r="105" customHeight="1" spans="3:17">
      <c r="C105" s="285" t="s">
        <v>399</v>
      </c>
      <c r="D105" s="286"/>
      <c r="E105" s="390">
        <f t="shared" ref="E105:P105" si="96">SUM(E98:E104)</f>
        <v>52.6772021492109</v>
      </c>
      <c r="F105" s="390">
        <f t="shared" si="96"/>
        <v>51.3497279751628</v>
      </c>
      <c r="G105" s="390">
        <f t="shared" si="96"/>
        <v>49.849390230736</v>
      </c>
      <c r="H105" s="390">
        <f t="shared" si="96"/>
        <v>58.3019262285613</v>
      </c>
      <c r="I105" s="390">
        <f t="shared" si="96"/>
        <v>58.846604202722</v>
      </c>
      <c r="J105" s="390">
        <f t="shared" si="96"/>
        <v>0</v>
      </c>
      <c r="K105" s="390">
        <f t="shared" si="96"/>
        <v>58.846604202722</v>
      </c>
      <c r="L105" s="390">
        <f t="shared" si="96"/>
        <v>27.0124272038911</v>
      </c>
      <c r="M105" s="390">
        <f t="shared" si="96"/>
        <v>54.2850875873569</v>
      </c>
      <c r="N105" s="390">
        <f t="shared" si="96"/>
        <v>55.8945698037273</v>
      </c>
      <c r="O105" s="390">
        <f t="shared" si="96"/>
        <v>53.1517715379425</v>
      </c>
      <c r="P105" s="390">
        <f t="shared" si="96"/>
        <v>58.846604202722</v>
      </c>
      <c r="Q105" s="390">
        <f t="shared" si="89"/>
        <v>579.061915324755</v>
      </c>
    </row>
    <row r="106" ht="15" spans="3:17">
      <c r="C106" s="708" t="s">
        <v>400</v>
      </c>
      <c r="D106" s="709"/>
      <c r="E106" s="296"/>
      <c r="F106" s="296"/>
      <c r="G106" s="296"/>
      <c r="H106" s="296"/>
      <c r="I106" s="296"/>
      <c r="J106" s="296"/>
      <c r="K106" s="296"/>
      <c r="L106" s="296"/>
      <c r="M106" s="296"/>
      <c r="N106" s="296"/>
      <c r="O106" s="296"/>
      <c r="P106" s="296"/>
      <c r="Q106" s="296"/>
    </row>
    <row r="107" spans="3:17">
      <c r="C107" s="296" t="s">
        <v>401</v>
      </c>
      <c r="D107" s="296" t="s">
        <v>401</v>
      </c>
      <c r="E107" s="296">
        <f t="shared" ref="E107:P107" si="97">E284+E457</f>
        <v>264.099501202347</v>
      </c>
      <c r="F107" s="296">
        <f t="shared" si="97"/>
        <v>148.823652318637</v>
      </c>
      <c r="G107" s="296">
        <f t="shared" si="97"/>
        <v>50.6853995040696</v>
      </c>
      <c r="H107" s="296">
        <f t="shared" si="97"/>
        <v>162.008590896781</v>
      </c>
      <c r="I107" s="296">
        <f t="shared" si="97"/>
        <v>257.235991963807</v>
      </c>
      <c r="J107" s="296">
        <f t="shared" si="97"/>
        <v>204.874960119167</v>
      </c>
      <c r="K107" s="296">
        <f t="shared" si="97"/>
        <v>283.922247095015</v>
      </c>
      <c r="L107" s="296">
        <f t="shared" si="97"/>
        <v>0</v>
      </c>
      <c r="M107" s="296">
        <f t="shared" si="97"/>
        <v>223.741596404907</v>
      </c>
      <c r="N107" s="296">
        <f t="shared" si="97"/>
        <v>230.078948573355</v>
      </c>
      <c r="O107" s="296">
        <f t="shared" si="97"/>
        <v>251.014605353143</v>
      </c>
      <c r="P107" s="296">
        <f t="shared" si="97"/>
        <v>304.013307864149</v>
      </c>
      <c r="Q107" s="296">
        <f t="shared" ref="Q107:Q115" si="98">SUM(E107:P107)</f>
        <v>2380.49880129538</v>
      </c>
    </row>
    <row r="108" spans="3:17">
      <c r="C108" s="296" t="s">
        <v>402</v>
      </c>
      <c r="D108" s="296" t="s">
        <v>402</v>
      </c>
      <c r="E108" s="296">
        <f t="shared" ref="E108:P108" si="99">E285+E458</f>
        <v>0</v>
      </c>
      <c r="F108" s="296">
        <f t="shared" si="99"/>
        <v>0</v>
      </c>
      <c r="G108" s="296">
        <f t="shared" si="99"/>
        <v>0</v>
      </c>
      <c r="H108" s="296">
        <f t="shared" si="99"/>
        <v>0</v>
      </c>
      <c r="I108" s="296">
        <f t="shared" si="99"/>
        <v>0</v>
      </c>
      <c r="J108" s="296">
        <f t="shared" si="99"/>
        <v>0</v>
      </c>
      <c r="K108" s="296">
        <f t="shared" si="99"/>
        <v>0</v>
      </c>
      <c r="L108" s="296">
        <f t="shared" si="99"/>
        <v>0</v>
      </c>
      <c r="M108" s="296">
        <f t="shared" si="99"/>
        <v>0</v>
      </c>
      <c r="N108" s="296">
        <f t="shared" si="99"/>
        <v>0</v>
      </c>
      <c r="O108" s="296">
        <f t="shared" si="99"/>
        <v>0</v>
      </c>
      <c r="P108" s="296">
        <f t="shared" si="99"/>
        <v>0</v>
      </c>
      <c r="Q108" s="296">
        <f t="shared" si="98"/>
        <v>0</v>
      </c>
    </row>
    <row r="109" spans="3:17">
      <c r="C109" s="296" t="s">
        <v>403</v>
      </c>
      <c r="D109" s="296" t="s">
        <v>403</v>
      </c>
      <c r="E109" s="296">
        <f t="shared" ref="E109:P109" si="100">E286+E459</f>
        <v>0</v>
      </c>
      <c r="F109" s="296">
        <f t="shared" si="100"/>
        <v>0</v>
      </c>
      <c r="G109" s="296">
        <f t="shared" si="100"/>
        <v>0</v>
      </c>
      <c r="H109" s="296">
        <f t="shared" si="100"/>
        <v>0</v>
      </c>
      <c r="I109" s="296">
        <f t="shared" si="100"/>
        <v>0</v>
      </c>
      <c r="J109" s="296">
        <f t="shared" si="100"/>
        <v>0</v>
      </c>
      <c r="K109" s="296">
        <f t="shared" si="100"/>
        <v>0</v>
      </c>
      <c r="L109" s="296">
        <f t="shared" si="100"/>
        <v>0</v>
      </c>
      <c r="M109" s="296">
        <f t="shared" si="100"/>
        <v>0</v>
      </c>
      <c r="N109" s="296">
        <f t="shared" si="100"/>
        <v>0</v>
      </c>
      <c r="O109" s="296">
        <f t="shared" si="100"/>
        <v>0</v>
      </c>
      <c r="P109" s="296">
        <f t="shared" si="100"/>
        <v>0</v>
      </c>
      <c r="Q109" s="296">
        <f t="shared" si="98"/>
        <v>0</v>
      </c>
    </row>
    <row r="110" spans="3:17">
      <c r="C110" s="296"/>
      <c r="D110" s="296"/>
      <c r="E110" s="296">
        <f t="shared" ref="E110:P110" si="101">E287+E460</f>
        <v>0</v>
      </c>
      <c r="F110" s="296">
        <f t="shared" si="101"/>
        <v>0</v>
      </c>
      <c r="G110" s="296">
        <f t="shared" si="101"/>
        <v>0</v>
      </c>
      <c r="H110" s="296">
        <f t="shared" si="101"/>
        <v>0</v>
      </c>
      <c r="I110" s="296">
        <f t="shared" si="101"/>
        <v>0</v>
      </c>
      <c r="J110" s="296">
        <f t="shared" si="101"/>
        <v>0</v>
      </c>
      <c r="K110" s="296">
        <f t="shared" si="101"/>
        <v>0</v>
      </c>
      <c r="L110" s="296">
        <f t="shared" si="101"/>
        <v>0</v>
      </c>
      <c r="M110" s="296">
        <f t="shared" si="101"/>
        <v>0</v>
      </c>
      <c r="N110" s="296">
        <f t="shared" si="101"/>
        <v>0</v>
      </c>
      <c r="O110" s="296">
        <f t="shared" si="101"/>
        <v>0</v>
      </c>
      <c r="P110" s="296">
        <f t="shared" si="101"/>
        <v>0</v>
      </c>
      <c r="Q110" s="296">
        <f t="shared" si="98"/>
        <v>0</v>
      </c>
    </row>
    <row r="111" spans="3:17">
      <c r="C111" s="296"/>
      <c r="D111" s="296"/>
      <c r="E111" s="296">
        <f t="shared" ref="E111:P111" si="102">E288+E461</f>
        <v>0</v>
      </c>
      <c r="F111" s="296">
        <f t="shared" si="102"/>
        <v>0</v>
      </c>
      <c r="G111" s="296">
        <f t="shared" si="102"/>
        <v>0</v>
      </c>
      <c r="H111" s="296">
        <f t="shared" si="102"/>
        <v>0</v>
      </c>
      <c r="I111" s="296">
        <f t="shared" si="102"/>
        <v>0</v>
      </c>
      <c r="J111" s="296">
        <f t="shared" si="102"/>
        <v>0</v>
      </c>
      <c r="K111" s="296">
        <f t="shared" si="102"/>
        <v>0</v>
      </c>
      <c r="L111" s="296">
        <f t="shared" si="102"/>
        <v>0</v>
      </c>
      <c r="M111" s="296">
        <f t="shared" si="102"/>
        <v>0</v>
      </c>
      <c r="N111" s="296">
        <f t="shared" si="102"/>
        <v>0</v>
      </c>
      <c r="O111" s="296">
        <f t="shared" si="102"/>
        <v>0</v>
      </c>
      <c r="P111" s="296">
        <f t="shared" si="102"/>
        <v>0</v>
      </c>
      <c r="Q111" s="296">
        <f t="shared" si="98"/>
        <v>0</v>
      </c>
    </row>
    <row r="112" spans="3:17">
      <c r="C112" s="296"/>
      <c r="D112" s="296"/>
      <c r="E112" s="296">
        <f t="shared" ref="E112:P112" si="103">E289+E462</f>
        <v>0</v>
      </c>
      <c r="F112" s="296">
        <f t="shared" si="103"/>
        <v>0</v>
      </c>
      <c r="G112" s="296">
        <f t="shared" si="103"/>
        <v>0</v>
      </c>
      <c r="H112" s="296">
        <f t="shared" si="103"/>
        <v>0</v>
      </c>
      <c r="I112" s="296">
        <f t="shared" si="103"/>
        <v>0</v>
      </c>
      <c r="J112" s="296">
        <f t="shared" si="103"/>
        <v>0</v>
      </c>
      <c r="K112" s="296">
        <f t="shared" si="103"/>
        <v>0</v>
      </c>
      <c r="L112" s="296">
        <f t="shared" si="103"/>
        <v>0</v>
      </c>
      <c r="M112" s="296">
        <f t="shared" si="103"/>
        <v>0</v>
      </c>
      <c r="N112" s="296">
        <f t="shared" si="103"/>
        <v>0</v>
      </c>
      <c r="O112" s="296">
        <f t="shared" si="103"/>
        <v>0</v>
      </c>
      <c r="P112" s="296">
        <f t="shared" si="103"/>
        <v>0</v>
      </c>
      <c r="Q112" s="296">
        <f t="shared" si="98"/>
        <v>0</v>
      </c>
    </row>
    <row r="113" spans="3:17">
      <c r="C113" s="296"/>
      <c r="D113" s="296"/>
      <c r="E113" s="296">
        <f t="shared" ref="E113:P113" si="104">E290+E463</f>
        <v>0</v>
      </c>
      <c r="F113" s="296">
        <f t="shared" si="104"/>
        <v>0</v>
      </c>
      <c r="G113" s="296">
        <f t="shared" si="104"/>
        <v>0</v>
      </c>
      <c r="H113" s="296">
        <f t="shared" si="104"/>
        <v>0</v>
      </c>
      <c r="I113" s="296">
        <f t="shared" si="104"/>
        <v>0</v>
      </c>
      <c r="J113" s="296">
        <f t="shared" si="104"/>
        <v>0</v>
      </c>
      <c r="K113" s="296">
        <f t="shared" si="104"/>
        <v>0</v>
      </c>
      <c r="L113" s="296">
        <f t="shared" si="104"/>
        <v>0</v>
      </c>
      <c r="M113" s="296">
        <f t="shared" si="104"/>
        <v>0</v>
      </c>
      <c r="N113" s="296">
        <f t="shared" si="104"/>
        <v>0</v>
      </c>
      <c r="O113" s="296">
        <f t="shared" si="104"/>
        <v>0</v>
      </c>
      <c r="P113" s="296">
        <f t="shared" si="104"/>
        <v>0</v>
      </c>
      <c r="Q113" s="296">
        <f t="shared" si="98"/>
        <v>0</v>
      </c>
    </row>
    <row r="114" spans="3:17">
      <c r="C114" s="296"/>
      <c r="D114" s="296"/>
      <c r="E114" s="296">
        <f t="shared" ref="E114:P114" si="105">E291+E464</f>
        <v>0</v>
      </c>
      <c r="F114" s="296">
        <f t="shared" si="105"/>
        <v>0</v>
      </c>
      <c r="G114" s="296">
        <f t="shared" si="105"/>
        <v>0</v>
      </c>
      <c r="H114" s="296">
        <f t="shared" si="105"/>
        <v>0</v>
      </c>
      <c r="I114" s="296">
        <f t="shared" si="105"/>
        <v>0</v>
      </c>
      <c r="J114" s="296">
        <f t="shared" si="105"/>
        <v>0</v>
      </c>
      <c r="K114" s="296">
        <f t="shared" si="105"/>
        <v>0</v>
      </c>
      <c r="L114" s="296">
        <f t="shared" si="105"/>
        <v>0</v>
      </c>
      <c r="M114" s="296">
        <f t="shared" si="105"/>
        <v>0</v>
      </c>
      <c r="N114" s="296">
        <f t="shared" si="105"/>
        <v>0</v>
      </c>
      <c r="O114" s="296">
        <f t="shared" si="105"/>
        <v>0</v>
      </c>
      <c r="P114" s="296">
        <f t="shared" si="105"/>
        <v>0</v>
      </c>
      <c r="Q114" s="296">
        <f t="shared" si="98"/>
        <v>0</v>
      </c>
    </row>
    <row r="115" ht="15" spans="3:17">
      <c r="C115" s="285" t="s">
        <v>404</v>
      </c>
      <c r="D115" s="286"/>
      <c r="E115" s="390">
        <f t="shared" ref="E115:P115" si="106">SUM(E107:E114)</f>
        <v>264.099501202347</v>
      </c>
      <c r="F115" s="390">
        <f t="shared" si="106"/>
        <v>148.823652318637</v>
      </c>
      <c r="G115" s="390">
        <f t="shared" si="106"/>
        <v>50.6853995040696</v>
      </c>
      <c r="H115" s="390">
        <f t="shared" si="106"/>
        <v>162.008590896781</v>
      </c>
      <c r="I115" s="390">
        <f t="shared" si="106"/>
        <v>257.235991963807</v>
      </c>
      <c r="J115" s="390">
        <f t="shared" si="106"/>
        <v>204.874960119167</v>
      </c>
      <c r="K115" s="390">
        <f t="shared" si="106"/>
        <v>283.922247095015</v>
      </c>
      <c r="L115" s="390">
        <f t="shared" si="106"/>
        <v>0</v>
      </c>
      <c r="M115" s="390">
        <f t="shared" si="106"/>
        <v>223.741596404907</v>
      </c>
      <c r="N115" s="390">
        <f t="shared" si="106"/>
        <v>230.078948573355</v>
      </c>
      <c r="O115" s="390">
        <f t="shared" si="106"/>
        <v>251.014605353143</v>
      </c>
      <c r="P115" s="390">
        <f t="shared" si="106"/>
        <v>304.013307864149</v>
      </c>
      <c r="Q115" s="390">
        <f t="shared" si="98"/>
        <v>2380.49880129538</v>
      </c>
    </row>
    <row r="116" ht="15" spans="3:17">
      <c r="C116" s="708" t="s">
        <v>405</v>
      </c>
      <c r="D116" s="709"/>
      <c r="E116" s="296"/>
      <c r="F116" s="296"/>
      <c r="G116" s="296"/>
      <c r="H116" s="296"/>
      <c r="I116" s="296"/>
      <c r="J116" s="296"/>
      <c r="K116" s="296"/>
      <c r="L116" s="296"/>
      <c r="M116" s="296"/>
      <c r="N116" s="296"/>
      <c r="O116" s="296"/>
      <c r="P116" s="296"/>
      <c r="Q116" s="296"/>
    </row>
    <row r="117" spans="3:17">
      <c r="C117" s="296"/>
      <c r="D117" s="296" t="s">
        <v>406</v>
      </c>
      <c r="E117" s="296">
        <f t="shared" ref="E117:P117" si="107">E294+E467</f>
        <v>0.0164429390800705</v>
      </c>
      <c r="F117" s="296">
        <f t="shared" si="107"/>
        <v>0.0141004136636132</v>
      </c>
      <c r="G117" s="296">
        <f t="shared" si="107"/>
        <v>0.033540130866178</v>
      </c>
      <c r="H117" s="296">
        <f t="shared" si="107"/>
        <v>0.0487861945990641</v>
      </c>
      <c r="I117" s="296">
        <f t="shared" si="107"/>
        <v>0.026621641392757</v>
      </c>
      <c r="J117" s="296">
        <f t="shared" si="107"/>
        <v>0.019576775691013</v>
      </c>
      <c r="K117" s="296">
        <f t="shared" si="107"/>
        <v>0.0118719298590637</v>
      </c>
      <c r="L117" s="296">
        <f t="shared" si="107"/>
        <v>0.0164851143579221</v>
      </c>
      <c r="M117" s="296">
        <f t="shared" si="107"/>
        <v>0.0188502279314498</v>
      </c>
      <c r="N117" s="296">
        <f t="shared" si="107"/>
        <v>0.0182307528594947</v>
      </c>
      <c r="O117" s="296">
        <f t="shared" si="107"/>
        <v>0.012499831948099</v>
      </c>
      <c r="P117" s="296">
        <f t="shared" si="107"/>
        <v>0.0162340477512748</v>
      </c>
      <c r="Q117" s="296">
        <f t="shared" ref="Q117:Q141" si="108">SUM(E117:P117)</f>
        <v>0.25324</v>
      </c>
    </row>
    <row r="118" spans="3:17">
      <c r="C118" s="296"/>
      <c r="D118" s="296" t="s">
        <v>407</v>
      </c>
      <c r="E118" s="296">
        <f t="shared" ref="E118:P118" si="109">E295+E468</f>
        <v>0</v>
      </c>
      <c r="F118" s="296">
        <f t="shared" si="109"/>
        <v>0</v>
      </c>
      <c r="G118" s="296">
        <f t="shared" si="109"/>
        <v>0</v>
      </c>
      <c r="H118" s="296">
        <f t="shared" si="109"/>
        <v>0</v>
      </c>
      <c r="I118" s="296">
        <f t="shared" si="109"/>
        <v>0</v>
      </c>
      <c r="J118" s="296">
        <f t="shared" si="109"/>
        <v>0</v>
      </c>
      <c r="K118" s="296">
        <f t="shared" si="109"/>
        <v>0</v>
      </c>
      <c r="L118" s="296">
        <f t="shared" si="109"/>
        <v>0</v>
      </c>
      <c r="M118" s="296">
        <f t="shared" si="109"/>
        <v>0</v>
      </c>
      <c r="N118" s="296">
        <f t="shared" si="109"/>
        <v>0</v>
      </c>
      <c r="O118" s="296">
        <f t="shared" si="109"/>
        <v>0</v>
      </c>
      <c r="P118" s="296">
        <f t="shared" si="109"/>
        <v>0</v>
      </c>
      <c r="Q118" s="296">
        <f t="shared" si="108"/>
        <v>0</v>
      </c>
    </row>
    <row r="119" spans="3:17">
      <c r="C119" s="296"/>
      <c r="D119" s="296" t="s">
        <v>408</v>
      </c>
      <c r="E119" s="296">
        <f t="shared" ref="E119:P119" si="110">E296+E469</f>
        <v>7.10068038045162</v>
      </c>
      <c r="F119" s="296">
        <f t="shared" si="110"/>
        <v>4.99278515168004</v>
      </c>
      <c r="G119" s="296">
        <f t="shared" si="110"/>
        <v>4.15122869622003</v>
      </c>
      <c r="H119" s="296">
        <f t="shared" si="110"/>
        <v>5.86161234488573</v>
      </c>
      <c r="I119" s="296">
        <f t="shared" si="110"/>
        <v>5.86161234488573</v>
      </c>
      <c r="J119" s="296">
        <f t="shared" si="110"/>
        <v>4.17848601992844</v>
      </c>
      <c r="K119" s="296">
        <f t="shared" si="110"/>
        <v>5.86161234488573</v>
      </c>
      <c r="L119" s="296">
        <f t="shared" si="110"/>
        <v>5.50766732212123</v>
      </c>
      <c r="M119" s="296">
        <f t="shared" si="110"/>
        <v>8.98864799703123</v>
      </c>
      <c r="N119" s="296">
        <f t="shared" si="110"/>
        <v>9.13884497220999</v>
      </c>
      <c r="O119" s="296">
        <f t="shared" si="110"/>
        <v>9.63930034558005</v>
      </c>
      <c r="P119" s="296">
        <f t="shared" si="110"/>
        <v>9.68007007615315</v>
      </c>
      <c r="Q119" s="296">
        <f t="shared" si="108"/>
        <v>80.962547996033</v>
      </c>
    </row>
    <row r="120" spans="3:17">
      <c r="C120" s="296"/>
      <c r="D120" s="296" t="s">
        <v>409</v>
      </c>
      <c r="E120" s="296">
        <f t="shared" ref="E120:P120" si="111">E297+E470</f>
        <v>2.02486956950539</v>
      </c>
      <c r="F120" s="296">
        <f t="shared" si="111"/>
        <v>1.42377042466912</v>
      </c>
      <c r="G120" s="296">
        <f t="shared" si="111"/>
        <v>1.18378749819167</v>
      </c>
      <c r="H120" s="296">
        <f t="shared" si="111"/>
        <v>1.67153002662562</v>
      </c>
      <c r="I120" s="296">
        <f t="shared" si="111"/>
        <v>1.67153002662562</v>
      </c>
      <c r="J120" s="296">
        <f t="shared" si="111"/>
        <v>1.19156034844912</v>
      </c>
      <c r="K120" s="296">
        <f t="shared" si="111"/>
        <v>1.67153002662562</v>
      </c>
      <c r="L120" s="296">
        <f t="shared" si="111"/>
        <v>1.57059709238922</v>
      </c>
      <c r="M120" s="296">
        <f t="shared" si="111"/>
        <v>2.56325293140805</v>
      </c>
      <c r="N120" s="296">
        <f t="shared" si="111"/>
        <v>2.60608393747732</v>
      </c>
      <c r="O120" s="296">
        <f t="shared" si="111"/>
        <v>2.74879657938448</v>
      </c>
      <c r="P120" s="296">
        <f t="shared" si="111"/>
        <v>2.76042270285028</v>
      </c>
      <c r="Q120" s="296">
        <f t="shared" si="108"/>
        <v>23.0877311642015</v>
      </c>
    </row>
    <row r="121" spans="3:17">
      <c r="C121" s="296"/>
      <c r="D121" s="296" t="s">
        <v>410</v>
      </c>
      <c r="E121" s="296">
        <f t="shared" ref="E121:P121" si="112">E298+E471</f>
        <v>7.82756847799204</v>
      </c>
      <c r="F121" s="296">
        <f t="shared" si="112"/>
        <v>6.7124224557714</v>
      </c>
      <c r="G121" s="296">
        <f t="shared" si="112"/>
        <v>15.9665902693776</v>
      </c>
      <c r="H121" s="296">
        <f t="shared" si="112"/>
        <v>23.2243929838352</v>
      </c>
      <c r="I121" s="296">
        <f t="shared" si="112"/>
        <v>12.673082347603</v>
      </c>
      <c r="J121" s="296">
        <f t="shared" si="112"/>
        <v>9.31941373458137</v>
      </c>
      <c r="K121" s="296">
        <f t="shared" si="112"/>
        <v>5.65156530017018</v>
      </c>
      <c r="L121" s="296">
        <f t="shared" si="112"/>
        <v>7.84764578131683</v>
      </c>
      <c r="M121" s="296">
        <f t="shared" si="112"/>
        <v>8.97354476840578</v>
      </c>
      <c r="N121" s="296">
        <f t="shared" si="112"/>
        <v>8.67864715171296</v>
      </c>
      <c r="O121" s="296">
        <f t="shared" si="112"/>
        <v>5.95047455085007</v>
      </c>
      <c r="P121" s="296">
        <f t="shared" si="112"/>
        <v>7.72812693821348</v>
      </c>
      <c r="Q121" s="296">
        <f t="shared" si="108"/>
        <v>120.55347475983</v>
      </c>
    </row>
    <row r="122" spans="3:17">
      <c r="C122" s="296"/>
      <c r="D122" s="296" t="s">
        <v>368</v>
      </c>
      <c r="E122" s="296">
        <f t="shared" ref="E122:P122" si="113">E299+E472</f>
        <v>0.00413853598160642</v>
      </c>
      <c r="F122" s="296">
        <f t="shared" si="113"/>
        <v>0.00443472431310052</v>
      </c>
      <c r="G122" s="296">
        <f t="shared" si="113"/>
        <v>0.00459458913666165</v>
      </c>
      <c r="H122" s="296">
        <f t="shared" si="113"/>
        <v>0.0100448098683755</v>
      </c>
      <c r="I122" s="296">
        <f t="shared" si="113"/>
        <v>0.023583379880133</v>
      </c>
      <c r="J122" s="296">
        <f t="shared" si="113"/>
        <v>0.0119111720193913</v>
      </c>
      <c r="K122" s="296">
        <f t="shared" si="113"/>
        <v>0.0131291245408731</v>
      </c>
      <c r="L122" s="296">
        <f t="shared" si="113"/>
        <v>0.00450301834263142</v>
      </c>
      <c r="M122" s="296">
        <f t="shared" si="113"/>
        <v>0.00772495043744583</v>
      </c>
      <c r="N122" s="296">
        <f t="shared" si="113"/>
        <v>0.0147402680969005</v>
      </c>
      <c r="O122" s="296">
        <f t="shared" si="113"/>
        <v>0.0132384086410357</v>
      </c>
      <c r="P122" s="296">
        <f t="shared" si="113"/>
        <v>0.00614927789677466</v>
      </c>
      <c r="Q122" s="296">
        <f t="shared" si="108"/>
        <v>0.11819225915493</v>
      </c>
    </row>
    <row r="123" spans="3:17">
      <c r="C123" s="296"/>
      <c r="D123" s="296" t="s">
        <v>411</v>
      </c>
      <c r="E123" s="296">
        <f t="shared" ref="E123:P123" si="114">E300+E473</f>
        <v>242.174728429862</v>
      </c>
      <c r="F123" s="296">
        <f t="shared" si="114"/>
        <v>249.720733914742</v>
      </c>
      <c r="G123" s="296">
        <f t="shared" si="114"/>
        <v>233.801221992976</v>
      </c>
      <c r="H123" s="296">
        <f t="shared" si="114"/>
        <v>183.116246421169</v>
      </c>
      <c r="I123" s="296">
        <f t="shared" si="114"/>
        <v>225.220070817952</v>
      </c>
      <c r="J123" s="296">
        <f t="shared" si="114"/>
        <v>198.524231826431</v>
      </c>
      <c r="K123" s="296">
        <f t="shared" si="114"/>
        <v>243.386171001418</v>
      </c>
      <c r="L123" s="296">
        <f t="shared" si="114"/>
        <v>187.668098504833</v>
      </c>
      <c r="M123" s="296">
        <f t="shared" si="114"/>
        <v>205.725571051038</v>
      </c>
      <c r="N123" s="296">
        <f t="shared" si="114"/>
        <v>219.333591672641</v>
      </c>
      <c r="O123" s="296">
        <f t="shared" si="114"/>
        <v>225.131901570079</v>
      </c>
      <c r="P123" s="296">
        <f t="shared" si="114"/>
        <v>241.4047302297</v>
      </c>
      <c r="Q123" s="296">
        <f t="shared" si="108"/>
        <v>2655.20729743284</v>
      </c>
    </row>
    <row r="124" spans="3:17">
      <c r="C124" s="296"/>
      <c r="D124" s="296" t="s">
        <v>412</v>
      </c>
      <c r="E124" s="296">
        <f t="shared" ref="E124:P124" si="115">E301+E474</f>
        <v>7.09022558972541</v>
      </c>
      <c r="F124" s="296">
        <f t="shared" si="115"/>
        <v>7.31115236245678</v>
      </c>
      <c r="G124" s="296">
        <f t="shared" si="115"/>
        <v>6.8450718117096</v>
      </c>
      <c r="H124" s="296">
        <f t="shared" si="115"/>
        <v>5.36115186207739</v>
      </c>
      <c r="I124" s="296">
        <f t="shared" si="115"/>
        <v>6.59383875347546</v>
      </c>
      <c r="J124" s="296">
        <f t="shared" si="115"/>
        <v>5.8122562903338</v>
      </c>
      <c r="K124" s="296">
        <f t="shared" si="115"/>
        <v>7.12569337439901</v>
      </c>
      <c r="L124" s="296">
        <f t="shared" si="115"/>
        <v>5.49441786523753</v>
      </c>
      <c r="M124" s="296">
        <f t="shared" si="115"/>
        <v>6.02309216070575</v>
      </c>
      <c r="N124" s="296">
        <f t="shared" si="115"/>
        <v>6.42149845463393</v>
      </c>
      <c r="O124" s="296">
        <f t="shared" si="115"/>
        <v>6.59125739471208</v>
      </c>
      <c r="P124" s="296">
        <f t="shared" si="115"/>
        <v>7.06768211056792</v>
      </c>
      <c r="Q124" s="296">
        <f t="shared" si="108"/>
        <v>77.7373380300347</v>
      </c>
    </row>
    <row r="125" spans="3:17">
      <c r="C125" s="296"/>
      <c r="D125" s="296" t="s">
        <v>413</v>
      </c>
      <c r="E125" s="296">
        <f t="shared" ref="E125:P125" si="116">E302+E475</f>
        <v>28.2102345703822</v>
      </c>
      <c r="F125" s="296">
        <f t="shared" si="116"/>
        <v>29.0892469519714</v>
      </c>
      <c r="G125" s="296">
        <f t="shared" si="116"/>
        <v>27.234828993208</v>
      </c>
      <c r="H125" s="296">
        <f t="shared" si="116"/>
        <v>21.330682597153</v>
      </c>
      <c r="I125" s="296">
        <f t="shared" si="116"/>
        <v>26.2352354802893</v>
      </c>
      <c r="J125" s="296">
        <f t="shared" si="116"/>
        <v>23.1255143096013</v>
      </c>
      <c r="K125" s="296">
        <f t="shared" si="116"/>
        <v>28.3513520161774</v>
      </c>
      <c r="L125" s="296">
        <f t="shared" si="116"/>
        <v>21.8609146979274</v>
      </c>
      <c r="M125" s="296">
        <f t="shared" si="116"/>
        <v>23.9643775141321</v>
      </c>
      <c r="N125" s="296">
        <f t="shared" si="116"/>
        <v>25.549536528299</v>
      </c>
      <c r="O125" s="296">
        <f t="shared" si="116"/>
        <v>26.2249648992896</v>
      </c>
      <c r="P125" s="296">
        <f t="shared" si="116"/>
        <v>28.1205397042574</v>
      </c>
      <c r="Q125" s="296">
        <f t="shared" si="108"/>
        <v>309.297428262688</v>
      </c>
    </row>
    <row r="126" spans="3:17">
      <c r="C126" s="296"/>
      <c r="D126" s="296" t="s">
        <v>414</v>
      </c>
      <c r="E126" s="296">
        <f t="shared" ref="E126:P126" si="117">E303+E476</f>
        <v>24.4459575609906</v>
      </c>
      <c r="F126" s="296">
        <f t="shared" si="117"/>
        <v>25.2076775432298</v>
      </c>
      <c r="G126" s="296">
        <f t="shared" si="117"/>
        <v>23.6007067607938</v>
      </c>
      <c r="H126" s="296">
        <f t="shared" si="117"/>
        <v>18.4843894231362</v>
      </c>
      <c r="I126" s="296">
        <f t="shared" si="117"/>
        <v>22.7344955800932</v>
      </c>
      <c r="J126" s="296">
        <f t="shared" si="117"/>
        <v>20.0397249437311</v>
      </c>
      <c r="K126" s="296">
        <f t="shared" si="117"/>
        <v>24.5682447785045</v>
      </c>
      <c r="L126" s="296">
        <f t="shared" si="117"/>
        <v>18.9438691697745</v>
      </c>
      <c r="M126" s="296">
        <f t="shared" si="117"/>
        <v>20.7666531174857</v>
      </c>
      <c r="N126" s="296">
        <f t="shared" si="117"/>
        <v>22.1402939459966</v>
      </c>
      <c r="O126" s="296">
        <f t="shared" si="117"/>
        <v>22.7255954702193</v>
      </c>
      <c r="P126" s="296">
        <f t="shared" si="117"/>
        <v>24.3682312703688</v>
      </c>
      <c r="Q126" s="296">
        <f t="shared" si="108"/>
        <v>268.025839564324</v>
      </c>
    </row>
    <row r="127" spans="3:17">
      <c r="C127" s="296"/>
      <c r="D127" s="296" t="s">
        <v>415</v>
      </c>
      <c r="E127" s="296">
        <f t="shared" ref="E127:P127" si="118">E304+E477</f>
        <v>58.1767399275229</v>
      </c>
      <c r="F127" s="296">
        <f t="shared" si="118"/>
        <v>59.9894889349517</v>
      </c>
      <c r="G127" s="296">
        <f t="shared" si="118"/>
        <v>56.1652034248561</v>
      </c>
      <c r="H127" s="296">
        <f t="shared" si="118"/>
        <v>43.9893390760379</v>
      </c>
      <c r="I127" s="296">
        <f t="shared" si="118"/>
        <v>54.1037851942058</v>
      </c>
      <c r="J127" s="296">
        <f t="shared" si="118"/>
        <v>47.6907424616871</v>
      </c>
      <c r="K127" s="296">
        <f t="shared" si="118"/>
        <v>58.4677602989695</v>
      </c>
      <c r="L127" s="296">
        <f t="shared" si="118"/>
        <v>45.08281367835</v>
      </c>
      <c r="M127" s="296">
        <f t="shared" si="118"/>
        <v>49.4206935673046</v>
      </c>
      <c r="N127" s="296">
        <f t="shared" si="118"/>
        <v>52.6896980656855</v>
      </c>
      <c r="O127" s="296">
        <f t="shared" si="118"/>
        <v>54.0826046216646</v>
      </c>
      <c r="P127" s="296">
        <f t="shared" si="118"/>
        <v>57.9917661058284</v>
      </c>
      <c r="Q127" s="296">
        <f t="shared" si="108"/>
        <v>637.850635357064</v>
      </c>
    </row>
    <row r="128" spans="3:17">
      <c r="C128" s="296"/>
      <c r="D128" s="296" t="s">
        <v>416</v>
      </c>
      <c r="E128" s="296">
        <f t="shared" ref="E128:P128" si="119">E305+E478</f>
        <v>0</v>
      </c>
      <c r="F128" s="296">
        <f t="shared" si="119"/>
        <v>0</v>
      </c>
      <c r="G128" s="296">
        <f t="shared" si="119"/>
        <v>0</v>
      </c>
      <c r="H128" s="296">
        <f t="shared" si="119"/>
        <v>0</v>
      </c>
      <c r="I128" s="296">
        <f t="shared" si="119"/>
        <v>0</v>
      </c>
      <c r="J128" s="296">
        <f t="shared" si="119"/>
        <v>0</v>
      </c>
      <c r="K128" s="296">
        <f t="shared" si="119"/>
        <v>0</v>
      </c>
      <c r="L128" s="296">
        <f t="shared" si="119"/>
        <v>0</v>
      </c>
      <c r="M128" s="296">
        <f t="shared" si="119"/>
        <v>0</v>
      </c>
      <c r="N128" s="296">
        <f t="shared" si="119"/>
        <v>0</v>
      </c>
      <c r="O128" s="296">
        <f t="shared" si="119"/>
        <v>0</v>
      </c>
      <c r="P128" s="296">
        <f t="shared" si="119"/>
        <v>0</v>
      </c>
      <c r="Q128" s="296">
        <f t="shared" si="108"/>
        <v>0</v>
      </c>
    </row>
    <row r="129" spans="3:17">
      <c r="C129" s="296"/>
      <c r="D129" s="296" t="s">
        <v>417</v>
      </c>
      <c r="E129" s="296">
        <f t="shared" ref="E129:P129" si="120">E306+E479</f>
        <v>71.1102367292291</v>
      </c>
      <c r="F129" s="296">
        <f t="shared" si="120"/>
        <v>73.3259850026719</v>
      </c>
      <c r="G129" s="296">
        <f t="shared" si="120"/>
        <v>68.6515077411091</v>
      </c>
      <c r="H129" s="296">
        <f t="shared" si="120"/>
        <v>53.7687797418072</v>
      </c>
      <c r="I129" s="296">
        <f t="shared" si="120"/>
        <v>66.1318076244969</v>
      </c>
      <c r="J129" s="296">
        <f t="shared" si="120"/>
        <v>58.2930564770076</v>
      </c>
      <c r="K129" s="296">
        <f t="shared" si="120"/>
        <v>71.4659549687245</v>
      </c>
      <c r="L129" s="296">
        <f t="shared" si="120"/>
        <v>55.105348926067</v>
      </c>
      <c r="M129" s="296">
        <f t="shared" si="120"/>
        <v>60.4075997257992</v>
      </c>
      <c r="N129" s="296">
        <f t="shared" si="120"/>
        <v>64.4033492992262</v>
      </c>
      <c r="O129" s="296">
        <f t="shared" si="120"/>
        <v>66.1059183166851</v>
      </c>
      <c r="P129" s="296">
        <f t="shared" si="120"/>
        <v>70.8841406594636</v>
      </c>
      <c r="Q129" s="296">
        <f t="shared" si="108"/>
        <v>779.653685212287</v>
      </c>
    </row>
    <row r="130" spans="3:17">
      <c r="C130" s="296"/>
      <c r="D130" s="296" t="s">
        <v>418</v>
      </c>
      <c r="E130" s="296">
        <f t="shared" ref="E130:P130" si="121">E307+E480</f>
        <v>36.3920358751914</v>
      </c>
      <c r="F130" s="296">
        <f t="shared" si="121"/>
        <v>37.5259878118804</v>
      </c>
      <c r="G130" s="296">
        <f t="shared" si="121"/>
        <v>35.1337338689169</v>
      </c>
      <c r="H130" s="296">
        <f t="shared" si="121"/>
        <v>27.5172106201808</v>
      </c>
      <c r="I130" s="296">
        <f t="shared" si="121"/>
        <v>33.8442287110641</v>
      </c>
      <c r="J130" s="296">
        <f t="shared" si="121"/>
        <v>29.8325965453274</v>
      </c>
      <c r="K130" s="296">
        <f t="shared" si="121"/>
        <v>36.5740815486218</v>
      </c>
      <c r="L130" s="296">
        <f t="shared" si="121"/>
        <v>28.2012256922789</v>
      </c>
      <c r="M130" s="296">
        <f t="shared" si="121"/>
        <v>30.9147548576768</v>
      </c>
      <c r="N130" s="296">
        <f t="shared" si="121"/>
        <v>32.9596568086876</v>
      </c>
      <c r="O130" s="296">
        <f t="shared" si="121"/>
        <v>33.8309793582001</v>
      </c>
      <c r="P130" s="296">
        <f t="shared" si="121"/>
        <v>36.2763268484661</v>
      </c>
      <c r="Q130" s="296">
        <f t="shared" si="108"/>
        <v>399.002818546492</v>
      </c>
    </row>
    <row r="131" spans="3:17">
      <c r="C131" s="296"/>
      <c r="D131" s="712" t="s">
        <v>419</v>
      </c>
      <c r="E131" s="296">
        <f t="shared" ref="E131:P131" si="122">E308+E481</f>
        <v>0</v>
      </c>
      <c r="F131" s="296">
        <f t="shared" si="122"/>
        <v>0</v>
      </c>
      <c r="G131" s="296">
        <f t="shared" si="122"/>
        <v>0</v>
      </c>
      <c r="H131" s="296">
        <f t="shared" si="122"/>
        <v>0</v>
      </c>
      <c r="I131" s="296">
        <f t="shared" si="122"/>
        <v>0</v>
      </c>
      <c r="J131" s="296">
        <f t="shared" si="122"/>
        <v>0</v>
      </c>
      <c r="K131" s="296">
        <f t="shared" si="122"/>
        <v>0</v>
      </c>
      <c r="L131" s="296">
        <f t="shared" si="122"/>
        <v>0</v>
      </c>
      <c r="M131" s="296">
        <f t="shared" si="122"/>
        <v>0</v>
      </c>
      <c r="N131" s="296">
        <f t="shared" si="122"/>
        <v>0</v>
      </c>
      <c r="O131" s="296">
        <f t="shared" si="122"/>
        <v>0</v>
      </c>
      <c r="P131" s="296">
        <f t="shared" si="122"/>
        <v>0</v>
      </c>
      <c r="Q131" s="296">
        <f t="shared" si="108"/>
        <v>0</v>
      </c>
    </row>
    <row r="132" spans="3:17">
      <c r="C132" s="296"/>
      <c r="D132" s="712" t="s">
        <v>420</v>
      </c>
      <c r="E132" s="296">
        <f t="shared" ref="E132:P132" si="123">E309+E482</f>
        <v>0</v>
      </c>
      <c r="F132" s="296">
        <f t="shared" si="123"/>
        <v>0</v>
      </c>
      <c r="G132" s="296">
        <f t="shared" si="123"/>
        <v>0</v>
      </c>
      <c r="H132" s="296">
        <f t="shared" si="123"/>
        <v>0</v>
      </c>
      <c r="I132" s="296">
        <f t="shared" si="123"/>
        <v>0</v>
      </c>
      <c r="J132" s="296">
        <f t="shared" si="123"/>
        <v>0</v>
      </c>
      <c r="K132" s="296">
        <f t="shared" si="123"/>
        <v>0</v>
      </c>
      <c r="L132" s="296">
        <f t="shared" si="123"/>
        <v>0</v>
      </c>
      <c r="M132" s="296">
        <f t="shared" si="123"/>
        <v>0</v>
      </c>
      <c r="N132" s="296">
        <f t="shared" si="123"/>
        <v>0</v>
      </c>
      <c r="O132" s="296">
        <f t="shared" si="123"/>
        <v>0</v>
      </c>
      <c r="P132" s="296">
        <f t="shared" si="123"/>
        <v>0</v>
      </c>
      <c r="Q132" s="296">
        <f t="shared" si="108"/>
        <v>0</v>
      </c>
    </row>
    <row r="133" spans="3:17">
      <c r="C133" s="296"/>
      <c r="D133" s="296"/>
      <c r="E133" s="296">
        <f t="shared" ref="E133:P133" si="124">E310+E483</f>
        <v>0</v>
      </c>
      <c r="F133" s="296">
        <f t="shared" si="124"/>
        <v>0</v>
      </c>
      <c r="G133" s="296">
        <f t="shared" si="124"/>
        <v>0</v>
      </c>
      <c r="H133" s="296">
        <f t="shared" si="124"/>
        <v>0</v>
      </c>
      <c r="I133" s="296">
        <f t="shared" si="124"/>
        <v>0</v>
      </c>
      <c r="J133" s="296">
        <f t="shared" si="124"/>
        <v>0</v>
      </c>
      <c r="K133" s="296">
        <f t="shared" si="124"/>
        <v>0</v>
      </c>
      <c r="L133" s="296">
        <f t="shared" si="124"/>
        <v>0</v>
      </c>
      <c r="M133" s="296">
        <f t="shared" si="124"/>
        <v>0</v>
      </c>
      <c r="N133" s="296">
        <f t="shared" si="124"/>
        <v>0</v>
      </c>
      <c r="O133" s="296">
        <f t="shared" si="124"/>
        <v>0</v>
      </c>
      <c r="P133" s="296">
        <f t="shared" si="124"/>
        <v>0</v>
      </c>
      <c r="Q133" s="296">
        <f t="shared" si="108"/>
        <v>0</v>
      </c>
    </row>
    <row r="134" spans="3:17">
      <c r="C134" s="296"/>
      <c r="D134" s="296"/>
      <c r="E134" s="296">
        <f t="shared" ref="E134:P134" si="125">E311+E484</f>
        <v>0</v>
      </c>
      <c r="F134" s="296">
        <f t="shared" si="125"/>
        <v>0</v>
      </c>
      <c r="G134" s="296">
        <f t="shared" si="125"/>
        <v>0</v>
      </c>
      <c r="H134" s="296">
        <f t="shared" si="125"/>
        <v>0</v>
      </c>
      <c r="I134" s="296">
        <f t="shared" si="125"/>
        <v>0</v>
      </c>
      <c r="J134" s="296">
        <f t="shared" si="125"/>
        <v>0</v>
      </c>
      <c r="K134" s="296">
        <f t="shared" si="125"/>
        <v>0</v>
      </c>
      <c r="L134" s="296">
        <f t="shared" si="125"/>
        <v>0</v>
      </c>
      <c r="M134" s="296">
        <f t="shared" si="125"/>
        <v>0</v>
      </c>
      <c r="N134" s="296">
        <f t="shared" si="125"/>
        <v>0</v>
      </c>
      <c r="O134" s="296">
        <f t="shared" si="125"/>
        <v>0</v>
      </c>
      <c r="P134" s="296">
        <f t="shared" si="125"/>
        <v>0</v>
      </c>
      <c r="Q134" s="296">
        <f t="shared" si="108"/>
        <v>0</v>
      </c>
    </row>
    <row r="135" spans="3:17">
      <c r="C135" s="296"/>
      <c r="D135" s="296"/>
      <c r="E135" s="296">
        <f t="shared" ref="E135:P135" si="126">E312+E485</f>
        <v>0</v>
      </c>
      <c r="F135" s="296">
        <f t="shared" si="126"/>
        <v>0</v>
      </c>
      <c r="G135" s="296">
        <f t="shared" si="126"/>
        <v>0</v>
      </c>
      <c r="H135" s="296">
        <f t="shared" si="126"/>
        <v>0</v>
      </c>
      <c r="I135" s="296">
        <f t="shared" si="126"/>
        <v>0</v>
      </c>
      <c r="J135" s="296">
        <f t="shared" si="126"/>
        <v>0</v>
      </c>
      <c r="K135" s="296">
        <f t="shared" si="126"/>
        <v>0</v>
      </c>
      <c r="L135" s="296">
        <f t="shared" si="126"/>
        <v>0</v>
      </c>
      <c r="M135" s="296">
        <f t="shared" si="126"/>
        <v>0</v>
      </c>
      <c r="N135" s="296">
        <f t="shared" si="126"/>
        <v>0</v>
      </c>
      <c r="O135" s="296">
        <f t="shared" si="126"/>
        <v>0</v>
      </c>
      <c r="P135" s="296">
        <f t="shared" si="126"/>
        <v>0</v>
      </c>
      <c r="Q135" s="296">
        <f t="shared" si="108"/>
        <v>0</v>
      </c>
    </row>
    <row r="136" spans="3:17">
      <c r="C136" s="296"/>
      <c r="D136" s="296"/>
      <c r="E136" s="296">
        <f t="shared" ref="E136:P136" si="127">E313+E486</f>
        <v>0</v>
      </c>
      <c r="F136" s="296">
        <f t="shared" si="127"/>
        <v>0</v>
      </c>
      <c r="G136" s="296">
        <f t="shared" si="127"/>
        <v>0</v>
      </c>
      <c r="H136" s="296">
        <f t="shared" si="127"/>
        <v>0</v>
      </c>
      <c r="I136" s="296">
        <f t="shared" si="127"/>
        <v>0</v>
      </c>
      <c r="J136" s="296">
        <f t="shared" si="127"/>
        <v>0</v>
      </c>
      <c r="K136" s="296">
        <f t="shared" si="127"/>
        <v>0</v>
      </c>
      <c r="L136" s="296">
        <f t="shared" si="127"/>
        <v>0</v>
      </c>
      <c r="M136" s="296">
        <f t="shared" si="127"/>
        <v>0</v>
      </c>
      <c r="N136" s="296">
        <f t="shared" si="127"/>
        <v>0</v>
      </c>
      <c r="O136" s="296">
        <f t="shared" si="127"/>
        <v>0</v>
      </c>
      <c r="P136" s="296">
        <f t="shared" si="127"/>
        <v>0</v>
      </c>
      <c r="Q136" s="296">
        <f t="shared" si="108"/>
        <v>0</v>
      </c>
    </row>
    <row r="137" spans="3:17">
      <c r="C137" s="296"/>
      <c r="D137" s="296"/>
      <c r="E137" s="296">
        <f t="shared" ref="E137:P137" si="128">E314+E487</f>
        <v>0</v>
      </c>
      <c r="F137" s="296">
        <f t="shared" si="128"/>
        <v>0</v>
      </c>
      <c r="G137" s="296">
        <f t="shared" si="128"/>
        <v>0</v>
      </c>
      <c r="H137" s="296">
        <f t="shared" si="128"/>
        <v>0</v>
      </c>
      <c r="I137" s="296">
        <f t="shared" si="128"/>
        <v>0</v>
      </c>
      <c r="J137" s="296">
        <f t="shared" si="128"/>
        <v>0</v>
      </c>
      <c r="K137" s="296">
        <f t="shared" si="128"/>
        <v>0</v>
      </c>
      <c r="L137" s="296">
        <f t="shared" si="128"/>
        <v>0</v>
      </c>
      <c r="M137" s="296">
        <f t="shared" si="128"/>
        <v>0</v>
      </c>
      <c r="N137" s="296">
        <f t="shared" si="128"/>
        <v>0</v>
      </c>
      <c r="O137" s="296">
        <f t="shared" si="128"/>
        <v>0</v>
      </c>
      <c r="P137" s="296">
        <f t="shared" si="128"/>
        <v>0</v>
      </c>
      <c r="Q137" s="296">
        <f t="shared" si="108"/>
        <v>0</v>
      </c>
    </row>
    <row r="138" spans="3:17">
      <c r="C138" s="296"/>
      <c r="D138" s="296"/>
      <c r="E138" s="296">
        <f t="shared" ref="E138:P138" si="129">E315+E488</f>
        <v>0</v>
      </c>
      <c r="F138" s="296">
        <f t="shared" si="129"/>
        <v>0</v>
      </c>
      <c r="G138" s="296">
        <f t="shared" si="129"/>
        <v>0</v>
      </c>
      <c r="H138" s="296">
        <f t="shared" si="129"/>
        <v>0</v>
      </c>
      <c r="I138" s="296">
        <f t="shared" si="129"/>
        <v>0</v>
      </c>
      <c r="J138" s="296">
        <f t="shared" si="129"/>
        <v>0</v>
      </c>
      <c r="K138" s="296">
        <f t="shared" si="129"/>
        <v>0</v>
      </c>
      <c r="L138" s="296">
        <f t="shared" si="129"/>
        <v>0</v>
      </c>
      <c r="M138" s="296">
        <f t="shared" si="129"/>
        <v>0</v>
      </c>
      <c r="N138" s="296">
        <f t="shared" si="129"/>
        <v>0</v>
      </c>
      <c r="O138" s="296">
        <f t="shared" si="129"/>
        <v>0</v>
      </c>
      <c r="P138" s="296">
        <f t="shared" si="129"/>
        <v>0</v>
      </c>
      <c r="Q138" s="296">
        <f t="shared" si="108"/>
        <v>0</v>
      </c>
    </row>
    <row r="139" spans="3:17">
      <c r="C139" s="296"/>
      <c r="D139" s="296"/>
      <c r="E139" s="296">
        <f t="shared" ref="E139:P139" si="130">E316+E489</f>
        <v>0</v>
      </c>
      <c r="F139" s="296">
        <f t="shared" si="130"/>
        <v>0</v>
      </c>
      <c r="G139" s="296">
        <f t="shared" si="130"/>
        <v>0</v>
      </c>
      <c r="H139" s="296">
        <f t="shared" si="130"/>
        <v>0</v>
      </c>
      <c r="I139" s="296">
        <f t="shared" si="130"/>
        <v>0</v>
      </c>
      <c r="J139" s="296">
        <f t="shared" si="130"/>
        <v>0</v>
      </c>
      <c r="K139" s="296">
        <f t="shared" si="130"/>
        <v>0</v>
      </c>
      <c r="L139" s="296">
        <f t="shared" si="130"/>
        <v>0</v>
      </c>
      <c r="M139" s="296">
        <f t="shared" si="130"/>
        <v>0</v>
      </c>
      <c r="N139" s="296">
        <f t="shared" si="130"/>
        <v>0</v>
      </c>
      <c r="O139" s="296">
        <f t="shared" si="130"/>
        <v>0</v>
      </c>
      <c r="P139" s="296">
        <f t="shared" si="130"/>
        <v>0</v>
      </c>
      <c r="Q139" s="296">
        <f t="shared" si="108"/>
        <v>0</v>
      </c>
    </row>
    <row r="140" spans="3:17">
      <c r="C140" s="296"/>
      <c r="D140" s="296"/>
      <c r="E140" s="296">
        <f t="shared" ref="E140:P140" si="131">E317+E490</f>
        <v>0</v>
      </c>
      <c r="F140" s="296">
        <f t="shared" si="131"/>
        <v>0</v>
      </c>
      <c r="G140" s="296">
        <f t="shared" si="131"/>
        <v>0</v>
      </c>
      <c r="H140" s="296">
        <f t="shared" si="131"/>
        <v>0</v>
      </c>
      <c r="I140" s="296">
        <f t="shared" si="131"/>
        <v>0</v>
      </c>
      <c r="J140" s="296">
        <f t="shared" si="131"/>
        <v>0</v>
      </c>
      <c r="K140" s="296">
        <f t="shared" si="131"/>
        <v>0</v>
      </c>
      <c r="L140" s="296">
        <f t="shared" si="131"/>
        <v>0</v>
      </c>
      <c r="M140" s="296">
        <f t="shared" si="131"/>
        <v>0</v>
      </c>
      <c r="N140" s="296">
        <f t="shared" si="131"/>
        <v>0</v>
      </c>
      <c r="O140" s="296">
        <f t="shared" si="131"/>
        <v>0</v>
      </c>
      <c r="P140" s="296">
        <f t="shared" si="131"/>
        <v>0</v>
      </c>
      <c r="Q140" s="296">
        <f t="shared" si="108"/>
        <v>0</v>
      </c>
    </row>
    <row r="141" ht="15" spans="3:17">
      <c r="C141" s="285" t="s">
        <v>421</v>
      </c>
      <c r="D141" s="286"/>
      <c r="E141" s="390">
        <f t="shared" ref="E141:P141" si="132">SUM(E117:E140)</f>
        <v>484.573858585914</v>
      </c>
      <c r="F141" s="390">
        <f t="shared" si="132"/>
        <v>495.317785692001</v>
      </c>
      <c r="G141" s="390">
        <f t="shared" si="132"/>
        <v>472.772015777362</v>
      </c>
      <c r="H141" s="390">
        <f t="shared" si="132"/>
        <v>384.384166101376</v>
      </c>
      <c r="I141" s="390">
        <f t="shared" si="132"/>
        <v>455.119891901964</v>
      </c>
      <c r="J141" s="390">
        <f t="shared" si="132"/>
        <v>398.039070904789</v>
      </c>
      <c r="K141" s="390">
        <f t="shared" si="132"/>
        <v>483.148966712896</v>
      </c>
      <c r="L141" s="390">
        <f t="shared" si="132"/>
        <v>377.303586862996</v>
      </c>
      <c r="M141" s="390">
        <f t="shared" si="132"/>
        <v>417.774762869356</v>
      </c>
      <c r="N141" s="390">
        <f t="shared" si="132"/>
        <v>443.954171857527</v>
      </c>
      <c r="O141" s="390">
        <f t="shared" si="132"/>
        <v>453.057531347254</v>
      </c>
      <c r="P141" s="390">
        <f t="shared" si="132"/>
        <v>486.304419971517</v>
      </c>
      <c r="Q141" s="390">
        <f t="shared" si="108"/>
        <v>5351.75022858495</v>
      </c>
    </row>
    <row r="142" ht="15" spans="3:17">
      <c r="C142" s="708" t="s">
        <v>422</v>
      </c>
      <c r="D142" s="709"/>
      <c r="E142" s="296"/>
      <c r="F142" s="296"/>
      <c r="G142" s="296"/>
      <c r="H142" s="296"/>
      <c r="I142" s="296"/>
      <c r="J142" s="296"/>
      <c r="K142" s="296"/>
      <c r="L142" s="296"/>
      <c r="M142" s="296"/>
      <c r="N142" s="296"/>
      <c r="O142" s="296"/>
      <c r="P142" s="296"/>
      <c r="Q142" s="296"/>
    </row>
    <row r="143" spans="3:17">
      <c r="C143" s="296"/>
      <c r="D143" s="296" t="s">
        <v>451</v>
      </c>
      <c r="E143" s="296">
        <f t="shared" ref="E143:P143" si="133">E320+E493</f>
        <v>0</v>
      </c>
      <c r="F143" s="296">
        <f t="shared" si="133"/>
        <v>0</v>
      </c>
      <c r="G143" s="296">
        <f t="shared" si="133"/>
        <v>0</v>
      </c>
      <c r="H143" s="296">
        <f t="shared" si="133"/>
        <v>0</v>
      </c>
      <c r="I143" s="296">
        <f t="shared" si="133"/>
        <v>1.89631056193818</v>
      </c>
      <c r="J143" s="296">
        <f t="shared" si="133"/>
        <v>0</v>
      </c>
      <c r="K143" s="296">
        <f t="shared" si="133"/>
        <v>41.1733912706136</v>
      </c>
      <c r="L143" s="296">
        <f t="shared" si="133"/>
        <v>114.254731948116</v>
      </c>
      <c r="M143" s="296">
        <f t="shared" si="133"/>
        <v>0</v>
      </c>
      <c r="N143" s="296">
        <f t="shared" si="133"/>
        <v>0</v>
      </c>
      <c r="O143" s="296">
        <f t="shared" si="133"/>
        <v>9.13899789588893</v>
      </c>
      <c r="P143" s="296">
        <f t="shared" si="133"/>
        <v>181.315535147461</v>
      </c>
      <c r="Q143" s="296">
        <f>SUM(E143:P143)</f>
        <v>347.778966824018</v>
      </c>
    </row>
    <row r="144" spans="3:17">
      <c r="C144" s="296"/>
      <c r="D144" s="296" t="s">
        <v>423</v>
      </c>
      <c r="E144" s="296">
        <v>0</v>
      </c>
      <c r="F144" s="296">
        <v>0</v>
      </c>
      <c r="G144" s="296">
        <v>0</v>
      </c>
      <c r="H144" s="296">
        <v>0</v>
      </c>
      <c r="I144" s="296">
        <v>0</v>
      </c>
      <c r="J144" s="296">
        <v>0</v>
      </c>
      <c r="K144" s="296">
        <v>0</v>
      </c>
      <c r="L144" s="296">
        <v>0</v>
      </c>
      <c r="M144" s="296">
        <v>0</v>
      </c>
      <c r="N144" s="296">
        <v>0</v>
      </c>
      <c r="O144" s="296">
        <v>0</v>
      </c>
      <c r="P144" s="296">
        <v>0</v>
      </c>
      <c r="Q144" s="296">
        <f>SUM(E144:P144)</f>
        <v>0</v>
      </c>
    </row>
    <row r="145" spans="3:17">
      <c r="C145" s="296"/>
      <c r="D145" s="296" t="s">
        <v>520</v>
      </c>
      <c r="E145" s="296">
        <f t="shared" ref="E145:P145" si="134">E321+E495</f>
        <v>-230.631747849091</v>
      </c>
      <c r="F145" s="296">
        <f t="shared" si="134"/>
        <v>-230.631747849091</v>
      </c>
      <c r="G145" s="296">
        <f t="shared" si="134"/>
        <v>-230.631747849091</v>
      </c>
      <c r="H145" s="296">
        <f t="shared" si="134"/>
        <v>-230.631747849091</v>
      </c>
      <c r="I145" s="296">
        <f t="shared" si="134"/>
        <v>-230.631747849091</v>
      </c>
      <c r="J145" s="296">
        <f t="shared" si="134"/>
        <v>-230.631747849091</v>
      </c>
      <c r="K145" s="296">
        <f t="shared" si="134"/>
        <v>-230.631747849091</v>
      </c>
      <c r="L145" s="296">
        <f t="shared" si="134"/>
        <v>-230.631747849091</v>
      </c>
      <c r="M145" s="296">
        <f t="shared" si="134"/>
        <v>-230.631747849091</v>
      </c>
      <c r="N145" s="296">
        <f t="shared" si="134"/>
        <v>-230.631747849091</v>
      </c>
      <c r="O145" s="296">
        <f t="shared" si="134"/>
        <v>-230.631747849091</v>
      </c>
      <c r="P145" s="296">
        <f t="shared" si="134"/>
        <v>-230.631747849091</v>
      </c>
      <c r="Q145" s="296">
        <f>SUM(E145:P145)</f>
        <v>-2767.58097418909</v>
      </c>
    </row>
    <row r="146" spans="3:17">
      <c r="C146" s="296"/>
      <c r="D146" s="296"/>
      <c r="E146" s="296">
        <f t="shared" ref="E146:P146" si="135">E322+E496</f>
        <v>0</v>
      </c>
      <c r="F146" s="296">
        <f t="shared" si="135"/>
        <v>0</v>
      </c>
      <c r="G146" s="296">
        <f t="shared" si="135"/>
        <v>0</v>
      </c>
      <c r="H146" s="296">
        <f t="shared" si="135"/>
        <v>0</v>
      </c>
      <c r="I146" s="296">
        <f t="shared" si="135"/>
        <v>0</v>
      </c>
      <c r="J146" s="296">
        <f t="shared" si="135"/>
        <v>0</v>
      </c>
      <c r="K146" s="296">
        <f t="shared" si="135"/>
        <v>0</v>
      </c>
      <c r="L146" s="296">
        <f t="shared" si="135"/>
        <v>0</v>
      </c>
      <c r="M146" s="296">
        <f t="shared" si="135"/>
        <v>0</v>
      </c>
      <c r="N146" s="296">
        <f t="shared" si="135"/>
        <v>0</v>
      </c>
      <c r="O146" s="296">
        <f t="shared" si="135"/>
        <v>0</v>
      </c>
      <c r="P146" s="296">
        <f t="shared" si="135"/>
        <v>0</v>
      </c>
      <c r="Q146" s="296">
        <f>SUM(E146:P146)</f>
        <v>0</v>
      </c>
    </row>
    <row r="147" spans="3:17">
      <c r="C147" s="296"/>
      <c r="D147" s="296"/>
      <c r="E147" s="296">
        <f t="shared" ref="E147:P147" si="136">E323+E514</f>
        <v>0</v>
      </c>
      <c r="F147" s="296">
        <f t="shared" si="136"/>
        <v>0</v>
      </c>
      <c r="G147" s="296">
        <f t="shared" si="136"/>
        <v>0</v>
      </c>
      <c r="H147" s="296">
        <f t="shared" si="136"/>
        <v>0</v>
      </c>
      <c r="I147" s="296">
        <f t="shared" si="136"/>
        <v>0</v>
      </c>
      <c r="J147" s="296">
        <f t="shared" si="136"/>
        <v>0</v>
      </c>
      <c r="K147" s="296">
        <f t="shared" si="136"/>
        <v>0</v>
      </c>
      <c r="L147" s="296">
        <f t="shared" si="136"/>
        <v>0</v>
      </c>
      <c r="M147" s="296">
        <f t="shared" si="136"/>
        <v>0</v>
      </c>
      <c r="N147" s="296">
        <f t="shared" si="136"/>
        <v>0</v>
      </c>
      <c r="O147" s="296">
        <f t="shared" si="136"/>
        <v>0</v>
      </c>
      <c r="P147" s="296">
        <f t="shared" si="136"/>
        <v>0</v>
      </c>
      <c r="Q147" s="296">
        <f>SUM(E147:P147)</f>
        <v>0</v>
      </c>
    </row>
    <row r="148" spans="3:17">
      <c r="C148" s="296"/>
      <c r="D148" s="296"/>
      <c r="E148" s="296"/>
      <c r="F148" s="296"/>
      <c r="G148" s="296"/>
      <c r="H148" s="296"/>
      <c r="I148" s="296"/>
      <c r="J148" s="296"/>
      <c r="K148" s="296"/>
      <c r="L148" s="296"/>
      <c r="M148" s="296"/>
      <c r="N148" s="296"/>
      <c r="O148" s="296"/>
      <c r="P148" s="296"/>
      <c r="Q148" s="296"/>
    </row>
    <row r="149" spans="3:17">
      <c r="C149" s="296"/>
      <c r="D149" s="712" t="s">
        <v>534</v>
      </c>
      <c r="E149" s="296"/>
      <c r="F149" s="296"/>
      <c r="G149" s="296"/>
      <c r="H149" s="296"/>
      <c r="I149" s="296"/>
      <c r="J149" s="296"/>
      <c r="K149" s="296"/>
      <c r="L149" s="296"/>
      <c r="M149" s="296"/>
      <c r="N149" s="296"/>
      <c r="O149" s="296"/>
      <c r="P149" s="296"/>
      <c r="Q149" s="296"/>
    </row>
    <row r="150" spans="3:17">
      <c r="C150" s="296"/>
      <c r="D150" s="712" t="s">
        <v>535</v>
      </c>
      <c r="E150" s="296"/>
      <c r="F150" s="296"/>
      <c r="G150" s="296"/>
      <c r="H150" s="296"/>
      <c r="I150" s="296"/>
      <c r="J150" s="296"/>
      <c r="K150" s="296"/>
      <c r="L150" s="296"/>
      <c r="M150" s="296"/>
      <c r="N150" s="296"/>
      <c r="O150" s="296"/>
      <c r="P150" s="296"/>
      <c r="Q150" s="296"/>
    </row>
    <row r="151" spans="3:17">
      <c r="C151" s="296"/>
      <c r="D151" s="712" t="s">
        <v>502</v>
      </c>
      <c r="E151" s="296"/>
      <c r="F151" s="296"/>
      <c r="G151" s="296"/>
      <c r="H151" s="296"/>
      <c r="I151" s="296"/>
      <c r="J151" s="296"/>
      <c r="K151" s="296"/>
      <c r="L151" s="296"/>
      <c r="M151" s="296"/>
      <c r="N151" s="296"/>
      <c r="O151" s="296"/>
      <c r="P151" s="296"/>
      <c r="Q151" s="296"/>
    </row>
    <row r="152" spans="3:17">
      <c r="C152" s="296"/>
      <c r="D152" s="712" t="s">
        <v>503</v>
      </c>
      <c r="E152" s="296"/>
      <c r="F152" s="296"/>
      <c r="G152" s="296"/>
      <c r="H152" s="296"/>
      <c r="I152" s="296"/>
      <c r="J152" s="296"/>
      <c r="K152" s="296"/>
      <c r="L152" s="296"/>
      <c r="M152" s="296"/>
      <c r="N152" s="296"/>
      <c r="O152" s="296"/>
      <c r="P152" s="296"/>
      <c r="Q152" s="296"/>
    </row>
    <row r="153" spans="3:17">
      <c r="C153" s="296"/>
      <c r="D153" s="717" t="s">
        <v>504</v>
      </c>
      <c r="E153" s="296"/>
      <c r="F153" s="296"/>
      <c r="G153" s="296"/>
      <c r="H153" s="296"/>
      <c r="I153" s="296"/>
      <c r="J153" s="296"/>
      <c r="K153" s="296"/>
      <c r="L153" s="296"/>
      <c r="M153" s="296"/>
      <c r="N153" s="296"/>
      <c r="O153" s="296"/>
      <c r="P153" s="296"/>
      <c r="Q153" s="296"/>
    </row>
    <row r="154" spans="3:17">
      <c r="C154" s="296"/>
      <c r="D154" s="712" t="s">
        <v>505</v>
      </c>
      <c r="E154" s="296"/>
      <c r="F154" s="296"/>
      <c r="G154" s="296"/>
      <c r="H154" s="296"/>
      <c r="I154" s="296"/>
      <c r="J154" s="296"/>
      <c r="K154" s="296"/>
      <c r="L154" s="296"/>
      <c r="M154" s="296"/>
      <c r="N154" s="296"/>
      <c r="O154" s="296"/>
      <c r="P154" s="296"/>
      <c r="Q154" s="296"/>
    </row>
    <row r="155" spans="3:17">
      <c r="C155" s="296"/>
      <c r="D155" s="712" t="s">
        <v>506</v>
      </c>
      <c r="E155" s="296"/>
      <c r="F155" s="296"/>
      <c r="G155" s="296"/>
      <c r="H155" s="296"/>
      <c r="I155" s="296"/>
      <c r="J155" s="296"/>
      <c r="K155" s="296"/>
      <c r="L155" s="296"/>
      <c r="M155" s="296"/>
      <c r="N155" s="296"/>
      <c r="O155" s="296"/>
      <c r="P155" s="296"/>
      <c r="Q155" s="296"/>
    </row>
    <row r="156" spans="3:17">
      <c r="C156" s="296"/>
      <c r="D156" s="712" t="s">
        <v>507</v>
      </c>
      <c r="E156" s="296"/>
      <c r="F156" s="296"/>
      <c r="G156" s="296"/>
      <c r="H156" s="296"/>
      <c r="I156" s="296"/>
      <c r="J156" s="296"/>
      <c r="K156" s="296"/>
      <c r="L156" s="296"/>
      <c r="M156" s="296"/>
      <c r="N156" s="296"/>
      <c r="O156" s="296"/>
      <c r="P156" s="296"/>
      <c r="Q156" s="296"/>
    </row>
    <row r="157" spans="3:17">
      <c r="C157" s="296"/>
      <c r="D157" s="712" t="s">
        <v>508</v>
      </c>
      <c r="E157" s="296"/>
      <c r="F157" s="296"/>
      <c r="G157" s="296"/>
      <c r="H157" s="296"/>
      <c r="I157" s="296"/>
      <c r="J157" s="296"/>
      <c r="K157" s="296"/>
      <c r="L157" s="296"/>
      <c r="M157" s="296"/>
      <c r="N157" s="296"/>
      <c r="O157" s="296"/>
      <c r="P157" s="296"/>
      <c r="Q157" s="296"/>
    </row>
    <row r="158" spans="3:17">
      <c r="C158" s="296"/>
      <c r="D158" s="712" t="s">
        <v>509</v>
      </c>
      <c r="E158" s="296"/>
      <c r="F158" s="296"/>
      <c r="G158" s="296"/>
      <c r="H158" s="296"/>
      <c r="I158" s="296"/>
      <c r="J158" s="296"/>
      <c r="K158" s="296"/>
      <c r="L158" s="296"/>
      <c r="M158" s="296"/>
      <c r="N158" s="296"/>
      <c r="O158" s="296"/>
      <c r="P158" s="296"/>
      <c r="Q158" s="296"/>
    </row>
    <row r="159" spans="3:17">
      <c r="C159" s="296"/>
      <c r="D159" s="712" t="s">
        <v>510</v>
      </c>
      <c r="E159" s="296"/>
      <c r="F159" s="296"/>
      <c r="G159" s="296"/>
      <c r="H159" s="296"/>
      <c r="I159" s="296"/>
      <c r="J159" s="296"/>
      <c r="K159" s="296"/>
      <c r="L159" s="296"/>
      <c r="M159" s="296"/>
      <c r="N159" s="296"/>
      <c r="O159" s="296"/>
      <c r="P159" s="296"/>
      <c r="Q159" s="296"/>
    </row>
    <row r="160" spans="3:17">
      <c r="C160" s="296"/>
      <c r="D160" s="712" t="s">
        <v>511</v>
      </c>
      <c r="E160" s="296"/>
      <c r="F160" s="296"/>
      <c r="G160" s="296"/>
      <c r="H160" s="296"/>
      <c r="I160" s="296"/>
      <c r="J160" s="296"/>
      <c r="K160" s="296"/>
      <c r="L160" s="296"/>
      <c r="M160" s="296"/>
      <c r="N160" s="296"/>
      <c r="O160" s="296"/>
      <c r="P160" s="296"/>
      <c r="Q160" s="296"/>
    </row>
    <row r="161" spans="3:17">
      <c r="C161" s="296"/>
      <c r="D161" s="712" t="s">
        <v>512</v>
      </c>
      <c r="E161" s="296"/>
      <c r="F161" s="296"/>
      <c r="G161" s="296"/>
      <c r="H161" s="296"/>
      <c r="I161" s="296"/>
      <c r="J161" s="296"/>
      <c r="K161" s="296"/>
      <c r="L161" s="296"/>
      <c r="M161" s="296"/>
      <c r="N161" s="296"/>
      <c r="O161" s="296"/>
      <c r="P161" s="296"/>
      <c r="Q161" s="296"/>
    </row>
    <row r="162" spans="3:17">
      <c r="C162" s="296"/>
      <c r="D162" s="296"/>
      <c r="E162" s="296"/>
      <c r="F162" s="296"/>
      <c r="G162" s="296"/>
      <c r="H162" s="296"/>
      <c r="I162" s="296"/>
      <c r="J162" s="296"/>
      <c r="K162" s="296"/>
      <c r="L162" s="296"/>
      <c r="M162" s="296"/>
      <c r="N162" s="296"/>
      <c r="O162" s="296"/>
      <c r="P162" s="296"/>
      <c r="Q162" s="296"/>
    </row>
    <row r="163" spans="3:17">
      <c r="C163" s="296"/>
      <c r="D163" s="296"/>
      <c r="E163" s="296"/>
      <c r="F163" s="296"/>
      <c r="G163" s="296"/>
      <c r="H163" s="296"/>
      <c r="I163" s="296"/>
      <c r="J163" s="296"/>
      <c r="K163" s="296"/>
      <c r="L163" s="296"/>
      <c r="M163" s="296"/>
      <c r="N163" s="296"/>
      <c r="O163" s="296"/>
      <c r="P163" s="296"/>
      <c r="Q163" s="296"/>
    </row>
    <row r="164" spans="3:17">
      <c r="C164" s="296"/>
      <c r="D164" s="296"/>
      <c r="E164" s="296"/>
      <c r="F164" s="296"/>
      <c r="G164" s="296"/>
      <c r="H164" s="296"/>
      <c r="I164" s="296"/>
      <c r="J164" s="296"/>
      <c r="K164" s="296"/>
      <c r="L164" s="296"/>
      <c r="M164" s="296"/>
      <c r="N164" s="296"/>
      <c r="O164" s="296"/>
      <c r="P164" s="296"/>
      <c r="Q164" s="296"/>
    </row>
    <row r="165" spans="3:17">
      <c r="C165" s="296"/>
      <c r="D165" s="296"/>
      <c r="E165" s="296"/>
      <c r="F165" s="296"/>
      <c r="G165" s="296"/>
      <c r="H165" s="296"/>
      <c r="I165" s="296"/>
      <c r="J165" s="296"/>
      <c r="K165" s="296"/>
      <c r="L165" s="296"/>
      <c r="M165" s="296"/>
      <c r="N165" s="296"/>
      <c r="O165" s="296"/>
      <c r="P165" s="296"/>
      <c r="Q165" s="296"/>
    </row>
    <row r="166" spans="3:17">
      <c r="C166" s="296"/>
      <c r="D166" s="296"/>
      <c r="E166" s="296"/>
      <c r="F166" s="296"/>
      <c r="G166" s="296"/>
      <c r="H166" s="296"/>
      <c r="I166" s="296"/>
      <c r="J166" s="296"/>
      <c r="K166" s="296"/>
      <c r="L166" s="296"/>
      <c r="M166" s="296"/>
      <c r="N166" s="296"/>
      <c r="O166" s="296"/>
      <c r="P166" s="296"/>
      <c r="Q166" s="296"/>
    </row>
    <row r="167" spans="3:17">
      <c r="C167" s="296"/>
      <c r="D167" s="296"/>
      <c r="E167" s="296">
        <f t="shared" ref="E167:P167" si="137">E339+E515</f>
        <v>0</v>
      </c>
      <c r="F167" s="296">
        <f t="shared" si="137"/>
        <v>0</v>
      </c>
      <c r="G167" s="296">
        <f t="shared" si="137"/>
        <v>0</v>
      </c>
      <c r="H167" s="296">
        <f t="shared" si="137"/>
        <v>0</v>
      </c>
      <c r="I167" s="296">
        <f t="shared" si="137"/>
        <v>0</v>
      </c>
      <c r="J167" s="296">
        <f t="shared" si="137"/>
        <v>0</v>
      </c>
      <c r="K167" s="296">
        <f t="shared" si="137"/>
        <v>0</v>
      </c>
      <c r="L167" s="296">
        <f t="shared" si="137"/>
        <v>0</v>
      </c>
      <c r="M167" s="296">
        <f t="shared" si="137"/>
        <v>0</v>
      </c>
      <c r="N167" s="296">
        <f t="shared" si="137"/>
        <v>0</v>
      </c>
      <c r="O167" s="296">
        <f t="shared" si="137"/>
        <v>0</v>
      </c>
      <c r="P167" s="296">
        <f t="shared" si="137"/>
        <v>0</v>
      </c>
      <c r="Q167" s="296">
        <f t="shared" ref="Q167:Q174" si="138">SUM(E167:P167)</f>
        <v>0</v>
      </c>
    </row>
    <row r="168" spans="3:17">
      <c r="C168" s="296"/>
      <c r="D168" s="296"/>
      <c r="E168" s="296">
        <f t="shared" ref="E168:P168" si="139">E340+E516</f>
        <v>0</v>
      </c>
      <c r="F168" s="296">
        <f t="shared" si="139"/>
        <v>0</v>
      </c>
      <c r="G168" s="296">
        <f t="shared" si="139"/>
        <v>0</v>
      </c>
      <c r="H168" s="296">
        <f t="shared" si="139"/>
        <v>0</v>
      </c>
      <c r="I168" s="296">
        <f t="shared" si="139"/>
        <v>0</v>
      </c>
      <c r="J168" s="296">
        <f t="shared" si="139"/>
        <v>0</v>
      </c>
      <c r="K168" s="296">
        <f t="shared" si="139"/>
        <v>0</v>
      </c>
      <c r="L168" s="296">
        <f t="shared" si="139"/>
        <v>0</v>
      </c>
      <c r="M168" s="296">
        <f t="shared" si="139"/>
        <v>0</v>
      </c>
      <c r="N168" s="296">
        <f t="shared" si="139"/>
        <v>0</v>
      </c>
      <c r="O168" s="296">
        <f t="shared" si="139"/>
        <v>0</v>
      </c>
      <c r="P168" s="296">
        <f t="shared" si="139"/>
        <v>0</v>
      </c>
      <c r="Q168" s="296">
        <f t="shared" si="138"/>
        <v>0</v>
      </c>
    </row>
    <row r="169" spans="3:17">
      <c r="C169" s="296"/>
      <c r="D169" s="296"/>
      <c r="E169" s="296">
        <f t="shared" ref="E169:P169" si="140">E341+E517</f>
        <v>0</v>
      </c>
      <c r="F169" s="296">
        <f t="shared" si="140"/>
        <v>0</v>
      </c>
      <c r="G169" s="296">
        <f t="shared" si="140"/>
        <v>0</v>
      </c>
      <c r="H169" s="296">
        <f t="shared" si="140"/>
        <v>0</v>
      </c>
      <c r="I169" s="296">
        <f t="shared" si="140"/>
        <v>0</v>
      </c>
      <c r="J169" s="296">
        <f t="shared" si="140"/>
        <v>0</v>
      </c>
      <c r="K169" s="296">
        <f t="shared" si="140"/>
        <v>0</v>
      </c>
      <c r="L169" s="296">
        <f t="shared" si="140"/>
        <v>0</v>
      </c>
      <c r="M169" s="296">
        <f t="shared" si="140"/>
        <v>0</v>
      </c>
      <c r="N169" s="296">
        <f t="shared" si="140"/>
        <v>0</v>
      </c>
      <c r="O169" s="296">
        <f t="shared" si="140"/>
        <v>0</v>
      </c>
      <c r="P169" s="296">
        <f t="shared" si="140"/>
        <v>0</v>
      </c>
      <c r="Q169" s="296">
        <f t="shared" si="138"/>
        <v>0</v>
      </c>
    </row>
    <row r="170" spans="3:17">
      <c r="C170" s="296"/>
      <c r="D170" s="296"/>
      <c r="E170" s="296">
        <f t="shared" ref="E170:P170" si="141">E342+E518</f>
        <v>0</v>
      </c>
      <c r="F170" s="296">
        <f t="shared" si="141"/>
        <v>0</v>
      </c>
      <c r="G170" s="296">
        <f t="shared" si="141"/>
        <v>0</v>
      </c>
      <c r="H170" s="296">
        <f t="shared" si="141"/>
        <v>0</v>
      </c>
      <c r="I170" s="296">
        <f t="shared" si="141"/>
        <v>0</v>
      </c>
      <c r="J170" s="296">
        <f t="shared" si="141"/>
        <v>0</v>
      </c>
      <c r="K170" s="296">
        <f t="shared" si="141"/>
        <v>0</v>
      </c>
      <c r="L170" s="296">
        <f t="shared" si="141"/>
        <v>0</v>
      </c>
      <c r="M170" s="296">
        <f t="shared" si="141"/>
        <v>0</v>
      </c>
      <c r="N170" s="296">
        <f t="shared" si="141"/>
        <v>0</v>
      </c>
      <c r="O170" s="296">
        <f t="shared" si="141"/>
        <v>0</v>
      </c>
      <c r="P170" s="296">
        <f t="shared" si="141"/>
        <v>0</v>
      </c>
      <c r="Q170" s="296">
        <f t="shared" si="138"/>
        <v>0</v>
      </c>
    </row>
    <row r="171" spans="3:17">
      <c r="C171" s="296"/>
      <c r="D171" s="296"/>
      <c r="E171" s="296">
        <f t="shared" ref="E171:P171" si="142">E343+E519</f>
        <v>0</v>
      </c>
      <c r="F171" s="296">
        <f t="shared" si="142"/>
        <v>0</v>
      </c>
      <c r="G171" s="296">
        <f t="shared" si="142"/>
        <v>0</v>
      </c>
      <c r="H171" s="296">
        <f t="shared" si="142"/>
        <v>0</v>
      </c>
      <c r="I171" s="296">
        <f t="shared" si="142"/>
        <v>0</v>
      </c>
      <c r="J171" s="296">
        <f t="shared" si="142"/>
        <v>0</v>
      </c>
      <c r="K171" s="296">
        <f t="shared" si="142"/>
        <v>0</v>
      </c>
      <c r="L171" s="296">
        <f t="shared" si="142"/>
        <v>0</v>
      </c>
      <c r="M171" s="296">
        <f t="shared" si="142"/>
        <v>0</v>
      </c>
      <c r="N171" s="296">
        <f t="shared" si="142"/>
        <v>0</v>
      </c>
      <c r="O171" s="296">
        <f t="shared" si="142"/>
        <v>0</v>
      </c>
      <c r="P171" s="296">
        <f t="shared" si="142"/>
        <v>0</v>
      </c>
      <c r="Q171" s="296">
        <f t="shared" si="138"/>
        <v>0</v>
      </c>
    </row>
    <row r="172" spans="3:17">
      <c r="C172" s="296"/>
      <c r="D172" s="296"/>
      <c r="E172" s="296">
        <f t="shared" ref="E172:P172" si="143">E344+E520</f>
        <v>0</v>
      </c>
      <c r="F172" s="296">
        <f t="shared" si="143"/>
        <v>0</v>
      </c>
      <c r="G172" s="296">
        <f t="shared" si="143"/>
        <v>0</v>
      </c>
      <c r="H172" s="296">
        <f t="shared" si="143"/>
        <v>0</v>
      </c>
      <c r="I172" s="296">
        <f t="shared" si="143"/>
        <v>0</v>
      </c>
      <c r="J172" s="296">
        <f t="shared" si="143"/>
        <v>0</v>
      </c>
      <c r="K172" s="296">
        <f t="shared" si="143"/>
        <v>0</v>
      </c>
      <c r="L172" s="296">
        <f t="shared" si="143"/>
        <v>0</v>
      </c>
      <c r="M172" s="296">
        <f t="shared" si="143"/>
        <v>0</v>
      </c>
      <c r="N172" s="296">
        <f t="shared" si="143"/>
        <v>0</v>
      </c>
      <c r="O172" s="296">
        <f t="shared" si="143"/>
        <v>0</v>
      </c>
      <c r="P172" s="296">
        <f t="shared" si="143"/>
        <v>0</v>
      </c>
      <c r="Q172" s="296">
        <f t="shared" si="138"/>
        <v>0</v>
      </c>
    </row>
    <row r="173" spans="3:17">
      <c r="C173" s="296"/>
      <c r="D173" s="296"/>
      <c r="E173" s="296">
        <f t="shared" ref="E173:P173" si="144">E345+E521</f>
        <v>0</v>
      </c>
      <c r="F173" s="296">
        <f t="shared" si="144"/>
        <v>0</v>
      </c>
      <c r="G173" s="296">
        <f t="shared" si="144"/>
        <v>0</v>
      </c>
      <c r="H173" s="296">
        <f t="shared" si="144"/>
        <v>0</v>
      </c>
      <c r="I173" s="296">
        <f t="shared" si="144"/>
        <v>0</v>
      </c>
      <c r="J173" s="296">
        <f t="shared" si="144"/>
        <v>0</v>
      </c>
      <c r="K173" s="296">
        <f t="shared" si="144"/>
        <v>0</v>
      </c>
      <c r="L173" s="296">
        <f t="shared" si="144"/>
        <v>0</v>
      </c>
      <c r="M173" s="296">
        <f t="shared" si="144"/>
        <v>0</v>
      </c>
      <c r="N173" s="296">
        <f t="shared" si="144"/>
        <v>0</v>
      </c>
      <c r="O173" s="296">
        <f t="shared" si="144"/>
        <v>0</v>
      </c>
      <c r="P173" s="296">
        <f t="shared" si="144"/>
        <v>0</v>
      </c>
      <c r="Q173" s="296">
        <f t="shared" si="138"/>
        <v>0</v>
      </c>
    </row>
    <row r="174" ht="15" spans="3:17">
      <c r="C174" s="285" t="s">
        <v>424</v>
      </c>
      <c r="D174" s="286"/>
      <c r="E174" s="390">
        <f t="shared" ref="E174:P174" si="145">SUM(E143:E173)</f>
        <v>-230.631747849091</v>
      </c>
      <c r="F174" s="390">
        <f t="shared" si="145"/>
        <v>-230.631747849091</v>
      </c>
      <c r="G174" s="390">
        <f t="shared" si="145"/>
        <v>-230.631747849091</v>
      </c>
      <c r="H174" s="390">
        <f t="shared" si="145"/>
        <v>-230.631747849091</v>
      </c>
      <c r="I174" s="390">
        <f t="shared" si="145"/>
        <v>-228.735437287153</v>
      </c>
      <c r="J174" s="390">
        <f t="shared" si="145"/>
        <v>-230.631747849091</v>
      </c>
      <c r="K174" s="390">
        <f t="shared" si="145"/>
        <v>-189.458356578477</v>
      </c>
      <c r="L174" s="390">
        <f t="shared" si="145"/>
        <v>-116.377015900975</v>
      </c>
      <c r="M174" s="390">
        <f t="shared" si="145"/>
        <v>-230.631747849091</v>
      </c>
      <c r="N174" s="390">
        <f t="shared" si="145"/>
        <v>-230.631747849091</v>
      </c>
      <c r="O174" s="390">
        <f t="shared" si="145"/>
        <v>-221.492749953202</v>
      </c>
      <c r="P174" s="390">
        <f t="shared" si="145"/>
        <v>-49.3162127016298</v>
      </c>
      <c r="Q174" s="390">
        <f t="shared" si="138"/>
        <v>-2419.80200736507</v>
      </c>
    </row>
    <row r="175" ht="15" spans="3:17">
      <c r="C175" s="708" t="s">
        <v>425</v>
      </c>
      <c r="D175" s="709"/>
      <c r="E175" s="296"/>
      <c r="F175" s="296"/>
      <c r="G175" s="296"/>
      <c r="H175" s="296"/>
      <c r="I175" s="296"/>
      <c r="J175" s="296"/>
      <c r="K175" s="296"/>
      <c r="L175" s="296"/>
      <c r="M175" s="296"/>
      <c r="N175" s="296"/>
      <c r="O175" s="296"/>
      <c r="P175" s="296"/>
      <c r="Q175" s="296"/>
    </row>
    <row r="176" spans="3:17">
      <c r="C176" s="296" t="s">
        <v>426</v>
      </c>
      <c r="D176" s="296" t="s">
        <v>427</v>
      </c>
      <c r="E176" s="296">
        <f t="shared" ref="E176:P176" si="146">E348+E524</f>
        <v>141.656983194721</v>
      </c>
      <c r="F176" s="296">
        <f t="shared" si="146"/>
        <v>111.139073051789</v>
      </c>
      <c r="G176" s="296">
        <f t="shared" si="146"/>
        <v>44.895720919969</v>
      </c>
      <c r="H176" s="296">
        <f t="shared" si="146"/>
        <v>99.6700715879036</v>
      </c>
      <c r="I176" s="296">
        <f t="shared" si="146"/>
        <v>0</v>
      </c>
      <c r="J176" s="296">
        <f t="shared" si="146"/>
        <v>75.9134361287803</v>
      </c>
      <c r="K176" s="296">
        <f t="shared" si="146"/>
        <v>37.0331772853707</v>
      </c>
      <c r="L176" s="296">
        <f t="shared" si="146"/>
        <v>92.2226929025454</v>
      </c>
      <c r="M176" s="296">
        <f t="shared" si="146"/>
        <v>74.2883544123709</v>
      </c>
      <c r="N176" s="296">
        <f t="shared" si="146"/>
        <v>-21.2666841289011</v>
      </c>
      <c r="O176" s="296">
        <f t="shared" si="146"/>
        <v>0</v>
      </c>
      <c r="P176" s="296">
        <f t="shared" si="146"/>
        <v>0</v>
      </c>
      <c r="Q176" s="296">
        <f>SUM(E176:P176)</f>
        <v>655.552825354549</v>
      </c>
    </row>
    <row r="177" spans="3:17">
      <c r="C177" s="296" t="s">
        <v>426</v>
      </c>
      <c r="D177" s="296" t="s">
        <v>428</v>
      </c>
      <c r="E177" s="296">
        <f t="shared" ref="E177:P177" si="147">E349+E525</f>
        <v>0</v>
      </c>
      <c r="F177" s="296">
        <f t="shared" si="147"/>
        <v>0</v>
      </c>
      <c r="G177" s="296">
        <f t="shared" si="147"/>
        <v>0</v>
      </c>
      <c r="H177" s="296">
        <f t="shared" si="147"/>
        <v>0</v>
      </c>
      <c r="I177" s="296">
        <f t="shared" si="147"/>
        <v>0</v>
      </c>
      <c r="J177" s="296">
        <f t="shared" si="147"/>
        <v>0</v>
      </c>
      <c r="K177" s="296">
        <f t="shared" si="147"/>
        <v>0</v>
      </c>
      <c r="L177" s="296">
        <f t="shared" si="147"/>
        <v>0</v>
      </c>
      <c r="M177" s="296">
        <f t="shared" si="147"/>
        <v>0</v>
      </c>
      <c r="N177" s="296">
        <f t="shared" si="147"/>
        <v>0</v>
      </c>
      <c r="O177" s="296">
        <f t="shared" si="147"/>
        <v>0</v>
      </c>
      <c r="P177" s="296">
        <f t="shared" si="147"/>
        <v>0</v>
      </c>
      <c r="Q177" s="296">
        <f>SUM(E177:P177)</f>
        <v>0</v>
      </c>
    </row>
    <row r="178" ht="15" spans="3:17">
      <c r="C178" s="285" t="s">
        <v>429</v>
      </c>
      <c r="D178" s="286"/>
      <c r="E178" s="390">
        <f t="shared" ref="E178:P178" si="148">E176+E177</f>
        <v>141.656983194721</v>
      </c>
      <c r="F178" s="390">
        <f t="shared" si="148"/>
        <v>111.139073051789</v>
      </c>
      <c r="G178" s="390">
        <f t="shared" si="148"/>
        <v>44.895720919969</v>
      </c>
      <c r="H178" s="390">
        <f t="shared" si="148"/>
        <v>99.6700715879036</v>
      </c>
      <c r="I178" s="390">
        <f t="shared" si="148"/>
        <v>0</v>
      </c>
      <c r="J178" s="390">
        <f t="shared" si="148"/>
        <v>75.9134361287803</v>
      </c>
      <c r="K178" s="390">
        <f t="shared" si="148"/>
        <v>37.0331772853707</v>
      </c>
      <c r="L178" s="390">
        <f t="shared" si="148"/>
        <v>92.2226929025454</v>
      </c>
      <c r="M178" s="390">
        <f t="shared" si="148"/>
        <v>74.2883544123709</v>
      </c>
      <c r="N178" s="390">
        <f t="shared" si="148"/>
        <v>-21.2666841289011</v>
      </c>
      <c r="O178" s="390">
        <f t="shared" si="148"/>
        <v>0</v>
      </c>
      <c r="P178" s="390">
        <f t="shared" si="148"/>
        <v>0</v>
      </c>
      <c r="Q178" s="390">
        <f>SUM(E178:P178)</f>
        <v>655.552825354549</v>
      </c>
    </row>
    <row r="179" ht="15" spans="3:18">
      <c r="C179" s="285" t="s">
        <v>224</v>
      </c>
      <c r="D179" s="286"/>
      <c r="E179" s="390">
        <f t="shared" ref="E179:Q179" si="149">E50+E96+E105+E115+E141+E174+E178</f>
        <v>2972.79174720322</v>
      </c>
      <c r="F179" s="390">
        <f t="shared" si="149"/>
        <v>2544.41638607464</v>
      </c>
      <c r="G179" s="390">
        <f t="shared" si="149"/>
        <v>2400.96611725922</v>
      </c>
      <c r="H179" s="390">
        <f t="shared" si="149"/>
        <v>2714.71491145058</v>
      </c>
      <c r="I179" s="390">
        <f t="shared" si="149"/>
        <v>3003.66289148509</v>
      </c>
      <c r="J179" s="390">
        <f t="shared" si="149"/>
        <v>2736.23124934667</v>
      </c>
      <c r="K179" s="390">
        <f t="shared" si="149"/>
        <v>3402.52321659224</v>
      </c>
      <c r="L179" s="390">
        <f t="shared" si="149"/>
        <v>2694.76347235045</v>
      </c>
      <c r="M179" s="390">
        <f t="shared" si="149"/>
        <v>2732.59600264164</v>
      </c>
      <c r="N179" s="390">
        <f t="shared" si="149"/>
        <v>3091.70671709559</v>
      </c>
      <c r="O179" s="390">
        <f t="shared" si="149"/>
        <v>3238.06995063089</v>
      </c>
      <c r="P179" s="390">
        <f t="shared" si="149"/>
        <v>3922.85109649197</v>
      </c>
      <c r="Q179" s="719">
        <f t="shared" si="149"/>
        <v>36529.8478636222</v>
      </c>
      <c r="R179" s="720">
        <f>Q179-Q145</f>
        <v>39297.4288378113</v>
      </c>
    </row>
    <row r="181" ht="15" spans="3:10">
      <c r="C181" s="367" t="s">
        <v>513</v>
      </c>
      <c r="J181" s="370"/>
    </row>
    <row r="182" ht="15" spans="3:17">
      <c r="C182" s="369"/>
      <c r="Q182" s="370" t="s">
        <v>109</v>
      </c>
    </row>
    <row r="183" ht="15" spans="3:17">
      <c r="C183" s="703" t="s">
        <v>345</v>
      </c>
      <c r="D183" s="703" t="s">
        <v>346</v>
      </c>
      <c r="E183" s="403" t="s">
        <v>532</v>
      </c>
      <c r="F183" s="403"/>
      <c r="G183" s="403"/>
      <c r="H183" s="403"/>
      <c r="I183" s="403"/>
      <c r="J183" s="403"/>
      <c r="K183" s="403"/>
      <c r="L183" s="403"/>
      <c r="M183" s="403"/>
      <c r="N183" s="403"/>
      <c r="O183" s="403"/>
      <c r="P183" s="403"/>
      <c r="Q183" s="403"/>
    </row>
    <row r="184" ht="15" spans="3:17">
      <c r="C184" s="705"/>
      <c r="D184" s="705"/>
      <c r="E184" s="403" t="s">
        <v>246</v>
      </c>
      <c r="F184" s="403" t="s">
        <v>247</v>
      </c>
      <c r="G184" s="403" t="s">
        <v>248</v>
      </c>
      <c r="H184" s="403" t="s">
        <v>249</v>
      </c>
      <c r="I184" s="403" t="s">
        <v>250</v>
      </c>
      <c r="J184" s="403" t="s">
        <v>251</v>
      </c>
      <c r="K184" s="403" t="s">
        <v>252</v>
      </c>
      <c r="L184" s="403" t="s">
        <v>253</v>
      </c>
      <c r="M184" s="403" t="s">
        <v>254</v>
      </c>
      <c r="N184" s="403" t="s">
        <v>255</v>
      </c>
      <c r="O184" s="403" t="s">
        <v>256</v>
      </c>
      <c r="P184" s="403" t="s">
        <v>257</v>
      </c>
      <c r="Q184" s="403" t="s">
        <v>97</v>
      </c>
    </row>
    <row r="185" spans="3:17">
      <c r="C185" s="707"/>
      <c r="D185" s="707"/>
      <c r="E185" s="384"/>
      <c r="F185" s="384"/>
      <c r="G185" s="384"/>
      <c r="H185" s="384"/>
      <c r="I185" s="384"/>
      <c r="J185" s="384"/>
      <c r="K185" s="384"/>
      <c r="L185" s="384"/>
      <c r="M185" s="384"/>
      <c r="N185" s="384"/>
      <c r="O185" s="384"/>
      <c r="P185" s="384"/>
      <c r="Q185" s="384"/>
    </row>
    <row r="186" ht="15" spans="3:17">
      <c r="C186" s="708" t="s">
        <v>349</v>
      </c>
      <c r="D186" s="709"/>
      <c r="E186" s="296"/>
      <c r="F186" s="296"/>
      <c r="G186" s="296"/>
      <c r="H186" s="296"/>
      <c r="I186" s="296"/>
      <c r="J186" s="296"/>
      <c r="K186" s="296"/>
      <c r="L186" s="296"/>
      <c r="M186" s="296"/>
      <c r="N186" s="296"/>
      <c r="O186" s="296"/>
      <c r="P186" s="296"/>
      <c r="Q186" s="296"/>
    </row>
    <row r="187" ht="15" spans="3:17">
      <c r="C187" s="285" t="s">
        <v>350</v>
      </c>
      <c r="D187" s="286"/>
      <c r="E187" s="296"/>
      <c r="F187" s="296"/>
      <c r="G187" s="296"/>
      <c r="H187" s="296"/>
      <c r="I187" s="296"/>
      <c r="J187" s="296"/>
      <c r="K187" s="296"/>
      <c r="L187" s="296"/>
      <c r="M187" s="296"/>
      <c r="N187" s="296"/>
      <c r="O187" s="296"/>
      <c r="P187" s="296"/>
      <c r="Q187" s="296"/>
    </row>
    <row r="188" spans="3:17">
      <c r="C188" s="710" t="s">
        <v>444</v>
      </c>
      <c r="D188" s="296" t="s">
        <v>352</v>
      </c>
      <c r="E188" s="718">
        <f>'[7]TGSPDCL MoD'!U4+'[7]TGSPDCL MoD'!U5</f>
        <v>24.5096231437911</v>
      </c>
      <c r="F188" s="718">
        <f>'[7]TGSPDCL MoD'!V4+'[7]TGSPDCL MoD'!V5</f>
        <v>22.677997300663</v>
      </c>
      <c r="G188" s="718">
        <f>'[7]TGSPDCL MoD'!W4+'[7]TGSPDCL MoD'!W5</f>
        <v>21.9464490006416</v>
      </c>
      <c r="H188" s="718">
        <f>'[7]TGSPDCL MoD'!X4+'[7]TGSPDCL MoD'!X5</f>
        <v>0</v>
      </c>
      <c r="I188" s="718">
        <f>'[7]TGSPDCL MoD'!Y4+'[7]TGSPDCL MoD'!Y5</f>
        <v>11.7255554225019</v>
      </c>
      <c r="J188" s="718">
        <f>'[7]TGSPDCL MoD'!Z4+'[7]TGSPDCL MoD'!Z5</f>
        <v>21.9464490006416</v>
      </c>
      <c r="K188" s="718">
        <f>'[7]TGSPDCL MoD'!AA4+'[7]TGSPDCL MoD'!AA5</f>
        <v>27.3166785667077</v>
      </c>
      <c r="L188" s="718">
        <f>'[7]TGSPDCL MoD'!AB4+'[7]TGSPDCL MoD'!AB5</f>
        <v>32.4264531995229</v>
      </c>
      <c r="M188" s="718">
        <f>'[7]TGSPDCL MoD'!AC4+'[7]TGSPDCL MoD'!AC5</f>
        <v>23.4511108450037</v>
      </c>
      <c r="N188" s="718">
        <f>'[7]TGSPDCL MoD'!AD4+'[7]TGSPDCL MoD'!AD5</f>
        <v>23.8785337858575</v>
      </c>
      <c r="O188" s="718">
        <f>'[7]TGSPDCL MoD'!AE4+'[7]TGSPDCL MoD'!AE5</f>
        <v>27.4663134462575</v>
      </c>
      <c r="P188" s="718">
        <f>'[7]TGSPDCL MoD'!AF4+'[7]TGSPDCL MoD'!AF5</f>
        <v>31.1822462884116</v>
      </c>
      <c r="Q188" s="718">
        <f t="shared" ref="Q188:Q206" si="150">SUM(E188:P188)</f>
        <v>268.52741</v>
      </c>
    </row>
    <row r="189" spans="3:17">
      <c r="C189" s="711"/>
      <c r="D189" s="296" t="s">
        <v>353</v>
      </c>
      <c r="E189" s="718">
        <f>'[7]TGSPDCL MoD'!U6</f>
        <v>27.9250670310889</v>
      </c>
      <c r="F189" s="718">
        <f>'[7]TGSPDCL MoD'!V6</f>
        <v>32.5017131749206</v>
      </c>
      <c r="G189" s="718">
        <f>'[7]TGSPDCL MoD'!W6</f>
        <v>22.2394421805731</v>
      </c>
      <c r="H189" s="718">
        <f>'[7]TGSPDCL MoD'!X6</f>
        <v>23.7067503185507</v>
      </c>
      <c r="I189" s="718">
        <f>'[7]TGSPDCL MoD'!Y6</f>
        <v>25.9391803066866</v>
      </c>
      <c r="J189" s="718">
        <f>'[7]TGSPDCL MoD'!Z6</f>
        <v>21.8817042761174</v>
      </c>
      <c r="K189" s="718">
        <f>'[7]TGSPDCL MoD'!AA6</f>
        <v>30.3089437227124</v>
      </c>
      <c r="L189" s="718">
        <f>'[7]TGSPDCL MoD'!AB6</f>
        <v>17.2756007823552</v>
      </c>
      <c r="M189" s="718">
        <f>'[7]TGSPDCL MoD'!AC6</f>
        <v>24.1598547211518</v>
      </c>
      <c r="N189" s="718">
        <f>'[7]TGSPDCL MoD'!AD6</f>
        <v>24.9149791618907</v>
      </c>
      <c r="O189" s="718">
        <f>'[7]TGSPDCL MoD'!AE6</f>
        <v>28.0718155638463</v>
      </c>
      <c r="P189" s="718">
        <f>'[7]TGSPDCL MoD'!AF6</f>
        <v>33.1599287601063</v>
      </c>
      <c r="Q189" s="718">
        <f t="shared" si="150"/>
        <v>312.08498</v>
      </c>
    </row>
    <row r="190" spans="3:17">
      <c r="C190" s="711"/>
      <c r="D190" s="296" t="s">
        <v>354</v>
      </c>
      <c r="E190" s="718">
        <f>'[7]TGSPDCL MoD'!U7</f>
        <v>90.0132908712754</v>
      </c>
      <c r="F190" s="718">
        <f>'[7]TGSPDCL MoD'!V7</f>
        <v>0</v>
      </c>
      <c r="G190" s="718">
        <f>'[7]TGSPDCL MoD'!W7</f>
        <v>33.7896947687593</v>
      </c>
      <c r="H190" s="718">
        <f>'[7]TGSPDCL MoD'!X7</f>
        <v>72.1386125888572</v>
      </c>
      <c r="I190" s="718">
        <f>'[7]TGSPDCL MoD'!Y7</f>
        <v>89.1975433516855</v>
      </c>
      <c r="J190" s="718">
        <f>'[7]TGSPDCL MoD'!Z7</f>
        <v>69.807281500294</v>
      </c>
      <c r="K190" s="718">
        <f>'[7]TGSPDCL MoD'!AA7</f>
        <v>98.1899008726462</v>
      </c>
      <c r="L190" s="718">
        <f>'[7]TGSPDCL MoD'!AB7</f>
        <v>104.77853396832</v>
      </c>
      <c r="M190" s="718">
        <f>'[7]TGSPDCL MoD'!AC7</f>
        <v>83.3983707209635</v>
      </c>
      <c r="N190" s="718">
        <f>'[7]TGSPDCL MoD'!AD7</f>
        <v>86.2806591648097</v>
      </c>
      <c r="O190" s="718">
        <f>'[7]TGSPDCL MoD'!AE7</f>
        <v>85.9471210528442</v>
      </c>
      <c r="P190" s="718">
        <f>'[7]TGSPDCL MoD'!AF7</f>
        <v>103.764201139545</v>
      </c>
      <c r="Q190" s="718">
        <f t="shared" si="150"/>
        <v>917.30521</v>
      </c>
    </row>
    <row r="191" spans="3:17">
      <c r="C191" s="711"/>
      <c r="D191" s="296" t="s">
        <v>355</v>
      </c>
      <c r="E191" s="718">
        <f>'[7]TGSPDCL MoD'!U8</f>
        <v>0</v>
      </c>
      <c r="F191" s="718">
        <f>'[7]TGSPDCL MoD'!V8</f>
        <v>0</v>
      </c>
      <c r="G191" s="718">
        <f>'[7]TGSPDCL MoD'!W8</f>
        <v>0</v>
      </c>
      <c r="H191" s="718">
        <f>'[7]TGSPDCL MoD'!X8</f>
        <v>0</v>
      </c>
      <c r="I191" s="718">
        <f>'[7]TGSPDCL MoD'!Y8</f>
        <v>0</v>
      </c>
      <c r="J191" s="718">
        <f>'[7]TGSPDCL MoD'!Z8</f>
        <v>0</v>
      </c>
      <c r="K191" s="718">
        <f>'[7]TGSPDCL MoD'!AA8</f>
        <v>0</v>
      </c>
      <c r="L191" s="718">
        <f>'[7]TGSPDCL MoD'!AB8</f>
        <v>0</v>
      </c>
      <c r="M191" s="718">
        <f>'[7]TGSPDCL MoD'!AC8</f>
        <v>0</v>
      </c>
      <c r="N191" s="718">
        <f>'[7]TGSPDCL MoD'!AD8</f>
        <v>0</v>
      </c>
      <c r="O191" s="718">
        <f>'[7]TGSPDCL MoD'!AE8</f>
        <v>0</v>
      </c>
      <c r="P191" s="718">
        <f>'[7]TGSPDCL MoD'!AF8</f>
        <v>0</v>
      </c>
      <c r="Q191" s="718">
        <f t="shared" si="150"/>
        <v>0</v>
      </c>
    </row>
    <row r="192" spans="3:17">
      <c r="C192" s="711"/>
      <c r="D192" s="296" t="s">
        <v>356</v>
      </c>
      <c r="E192" s="718">
        <f>'[7]TGSPDCL MoD'!U9</f>
        <v>32.7470105187528</v>
      </c>
      <c r="F192" s="718">
        <f>'[7]TGSPDCL MoD'!V9</f>
        <v>32.1179796709389</v>
      </c>
      <c r="G192" s="718">
        <f>'[7]TGSPDCL MoD'!W9</f>
        <v>26.2946958143262</v>
      </c>
      <c r="H192" s="718">
        <f>'[7]TGSPDCL MoD'!X9</f>
        <v>25.5762697491388</v>
      </c>
      <c r="I192" s="718">
        <f>'[7]TGSPDCL MoD'!Y9</f>
        <v>29.3237913553796</v>
      </c>
      <c r="J192" s="718">
        <f>'[7]TGSPDCL MoD'!Z9</f>
        <v>24.3139836848042</v>
      </c>
      <c r="K192" s="718">
        <f>'[7]TGSPDCL MoD'!AA9</f>
        <v>0</v>
      </c>
      <c r="L192" s="718">
        <f>'[7]TGSPDCL MoD'!AB9</f>
        <v>16.5926016733203</v>
      </c>
      <c r="M192" s="718">
        <f>'[7]TGSPDCL MoD'!AC9</f>
        <v>28.4956511366224</v>
      </c>
      <c r="N192" s="718">
        <f>'[7]TGSPDCL MoD'!AD9</f>
        <v>29.2201168434857</v>
      </c>
      <c r="O192" s="718">
        <f>'[7]TGSPDCL MoD'!AE9</f>
        <v>29.6641442122084</v>
      </c>
      <c r="P192" s="718">
        <f>'[7]TGSPDCL MoD'!AF9</f>
        <v>35.7421703410227</v>
      </c>
      <c r="Q192" s="718">
        <f t="shared" si="150"/>
        <v>310.088415</v>
      </c>
    </row>
    <row r="193" spans="3:17">
      <c r="C193" s="711"/>
      <c r="D193" s="296" t="s">
        <v>357</v>
      </c>
      <c r="E193" s="718">
        <f>'[7]TGSPDCL MoD'!U10</f>
        <v>43.5544538331261</v>
      </c>
      <c r="F193" s="718">
        <f>'[7]TGSPDCL MoD'!V10</f>
        <v>41.4762224178066</v>
      </c>
      <c r="G193" s="718">
        <f>'[7]TGSPDCL MoD'!W10</f>
        <v>40.1800396505637</v>
      </c>
      <c r="H193" s="718">
        <f>'[7]TGSPDCL MoD'!X10</f>
        <v>46.1648269601377</v>
      </c>
      <c r="I193" s="718">
        <f>'[7]TGSPDCL MoD'!Y10</f>
        <v>48.6554259036724</v>
      </c>
      <c r="J193" s="718">
        <f>'[7]TGSPDCL MoD'!Z10</f>
        <v>43.9773451099016</v>
      </c>
      <c r="K193" s="718">
        <f>'[7]TGSPDCL MoD'!AA10</f>
        <v>48.6554259036724</v>
      </c>
      <c r="L193" s="718">
        <f>'[7]TGSPDCL MoD'!AB10</f>
        <v>0</v>
      </c>
      <c r="M193" s="718">
        <f>'[7]TGSPDCL MoD'!AC10</f>
        <v>21.8390798207649</v>
      </c>
      <c r="N193" s="718">
        <f>'[7]TGSPDCL MoD'!AD10</f>
        <v>45.9185581965909</v>
      </c>
      <c r="O193" s="718">
        <f>'[7]TGSPDCL MoD'!AE10</f>
        <v>43.9468363000912</v>
      </c>
      <c r="P193" s="718">
        <f>'[7]TGSPDCL MoD'!AF10</f>
        <v>48.6554259036724</v>
      </c>
      <c r="Q193" s="718">
        <f t="shared" si="150"/>
        <v>473.02364</v>
      </c>
    </row>
    <row r="194" spans="3:17">
      <c r="C194" s="711"/>
      <c r="D194" s="296" t="s">
        <v>358</v>
      </c>
      <c r="E194" s="718">
        <f>SUM('[7]TGSPDCL MoD'!U11:U14)</f>
        <v>87.966350578015</v>
      </c>
      <c r="F194" s="718">
        <f>SUM('[7]TGSPDCL MoD'!V11:V14)</f>
        <v>63.1394838707532</v>
      </c>
      <c r="G194" s="718">
        <f>SUM('[7]TGSPDCL MoD'!W11:W14)</f>
        <v>71.9369008831031</v>
      </c>
      <c r="H194" s="718">
        <f>SUM('[7]TGSPDCL MoD'!X11:X14)</f>
        <v>82.6491016653582</v>
      </c>
      <c r="I194" s="718">
        <f>SUM('[7]TGSPDCL MoD'!Y11:Y14)</f>
        <v>74.5941049461084</v>
      </c>
      <c r="J194" s="718">
        <f>SUM('[7]TGSPDCL MoD'!Z11:Z14)</f>
        <v>64.1719612420387</v>
      </c>
      <c r="K194" s="718">
        <f>SUM('[7]TGSPDCL MoD'!AA11:AA14)</f>
        <v>100.623660338424</v>
      </c>
      <c r="L194" s="718">
        <f>SUM('[7]TGSPDCL MoD'!AB11:AB14)</f>
        <v>91.8007456922667</v>
      </c>
      <c r="M194" s="718">
        <f>SUM('[7]TGSPDCL MoD'!AC11:AC14)</f>
        <v>89.303498550351</v>
      </c>
      <c r="N194" s="718">
        <f>SUM('[7]TGSPDCL MoD'!AD11:AD14)</f>
        <v>92.9333951378727</v>
      </c>
      <c r="O194" s="718">
        <f>SUM('[7]TGSPDCL MoD'!AE11:AE14)</f>
        <v>90.8858867572859</v>
      </c>
      <c r="P194" s="718">
        <f>SUM('[7]TGSPDCL MoD'!AF11:AF14)</f>
        <v>100.623660338424</v>
      </c>
      <c r="Q194" s="718">
        <f t="shared" si="150"/>
        <v>1010.62875</v>
      </c>
    </row>
    <row r="195" spans="3:17">
      <c r="C195" s="711"/>
      <c r="D195" s="296" t="s">
        <v>359</v>
      </c>
      <c r="E195" s="718">
        <f>SUM('[7]TGSPDCL MoD'!U15:U19)</f>
        <v>269.852879068746</v>
      </c>
      <c r="F195" s="718">
        <f>SUM('[7]TGSPDCL MoD'!V15:V19)</f>
        <v>272.264109891081</v>
      </c>
      <c r="G195" s="718">
        <f>SUM('[7]TGSPDCL MoD'!W15:W19)</f>
        <v>344.121405255498</v>
      </c>
      <c r="H195" s="718">
        <f>SUM('[7]TGSPDCL MoD'!X15:X19)</f>
        <v>439.029265050968</v>
      </c>
      <c r="I195" s="718">
        <f>SUM('[7]TGSPDCL MoD'!Y15:Y19)</f>
        <v>456.631464867846</v>
      </c>
      <c r="J195" s="718">
        <f>SUM('[7]TGSPDCL MoD'!Z15:Z19)</f>
        <v>404.837674748261</v>
      </c>
      <c r="K195" s="718">
        <f>SUM('[7]TGSPDCL MoD'!AA15:AA19)</f>
        <v>519.731590297681</v>
      </c>
      <c r="L195" s="718">
        <f>SUM('[7]TGSPDCL MoD'!AB15:AB19)</f>
        <v>332.720196782464</v>
      </c>
      <c r="M195" s="718">
        <f>SUM('[7]TGSPDCL MoD'!AC15:AC19)</f>
        <v>363.901728798465</v>
      </c>
      <c r="N195" s="718">
        <f>SUM('[7]TGSPDCL MoD'!AD15:AD19)</f>
        <v>440.23846944862</v>
      </c>
      <c r="O195" s="718">
        <f>SUM('[7]TGSPDCL MoD'!AE15:AE19)</f>
        <v>449.901210651132</v>
      </c>
      <c r="P195" s="718">
        <f>SUM('[7]TGSPDCL MoD'!AF15:AF19)</f>
        <v>544.769060889237</v>
      </c>
      <c r="Q195" s="718">
        <f t="shared" si="150"/>
        <v>4837.99905575</v>
      </c>
    </row>
    <row r="196" spans="3:17">
      <c r="C196" s="711"/>
      <c r="D196" s="712"/>
      <c r="E196" s="718"/>
      <c r="F196" s="718"/>
      <c r="G196" s="718"/>
      <c r="H196" s="718"/>
      <c r="I196" s="718"/>
      <c r="J196" s="718"/>
      <c r="K196" s="718"/>
      <c r="L196" s="718"/>
      <c r="M196" s="718"/>
      <c r="N196" s="718"/>
      <c r="O196" s="718"/>
      <c r="P196" s="718"/>
      <c r="Q196" s="718">
        <f t="shared" si="150"/>
        <v>0</v>
      </c>
    </row>
    <row r="197" spans="3:17">
      <c r="C197" s="711"/>
      <c r="D197" s="296"/>
      <c r="E197" s="718"/>
      <c r="F197" s="718"/>
      <c r="G197" s="718"/>
      <c r="H197" s="718"/>
      <c r="I197" s="718"/>
      <c r="J197" s="718"/>
      <c r="K197" s="718"/>
      <c r="L197" s="718"/>
      <c r="M197" s="718"/>
      <c r="N197" s="718"/>
      <c r="O197" s="718"/>
      <c r="P197" s="718"/>
      <c r="Q197" s="718">
        <f t="shared" si="150"/>
        <v>0</v>
      </c>
    </row>
    <row r="198" spans="3:17">
      <c r="C198" s="711"/>
      <c r="D198" s="296"/>
      <c r="E198" s="718"/>
      <c r="F198" s="718"/>
      <c r="G198" s="718"/>
      <c r="H198" s="718"/>
      <c r="I198" s="718"/>
      <c r="J198" s="718"/>
      <c r="K198" s="718"/>
      <c r="L198" s="718"/>
      <c r="M198" s="718"/>
      <c r="N198" s="718"/>
      <c r="O198" s="718"/>
      <c r="P198" s="718"/>
      <c r="Q198" s="718">
        <f t="shared" si="150"/>
        <v>0</v>
      </c>
    </row>
    <row r="199" spans="3:17">
      <c r="C199" s="711"/>
      <c r="D199" s="296"/>
      <c r="E199" s="718"/>
      <c r="F199" s="718"/>
      <c r="G199" s="718"/>
      <c r="H199" s="718"/>
      <c r="I199" s="718"/>
      <c r="J199" s="718"/>
      <c r="K199" s="718"/>
      <c r="L199" s="718"/>
      <c r="M199" s="718"/>
      <c r="N199" s="718"/>
      <c r="O199" s="718"/>
      <c r="P199" s="718"/>
      <c r="Q199" s="718">
        <f t="shared" si="150"/>
        <v>0</v>
      </c>
    </row>
    <row r="200" spans="3:17">
      <c r="C200" s="711"/>
      <c r="D200" s="296"/>
      <c r="E200" s="718"/>
      <c r="F200" s="718"/>
      <c r="G200" s="718"/>
      <c r="H200" s="718"/>
      <c r="I200" s="718"/>
      <c r="J200" s="718"/>
      <c r="K200" s="718"/>
      <c r="L200" s="718"/>
      <c r="M200" s="718"/>
      <c r="N200" s="718"/>
      <c r="O200" s="718"/>
      <c r="P200" s="718"/>
      <c r="Q200" s="718">
        <f t="shared" si="150"/>
        <v>0</v>
      </c>
    </row>
    <row r="201" spans="3:17">
      <c r="C201" s="711"/>
      <c r="D201" s="296"/>
      <c r="E201" s="718"/>
      <c r="F201" s="718"/>
      <c r="G201" s="718"/>
      <c r="H201" s="718"/>
      <c r="I201" s="718"/>
      <c r="J201" s="718"/>
      <c r="K201" s="718"/>
      <c r="L201" s="718"/>
      <c r="M201" s="718"/>
      <c r="N201" s="718"/>
      <c r="O201" s="718"/>
      <c r="P201" s="718"/>
      <c r="Q201" s="718">
        <f t="shared" si="150"/>
        <v>0</v>
      </c>
    </row>
    <row r="202" spans="3:17">
      <c r="C202" s="711"/>
      <c r="D202" s="296"/>
      <c r="E202" s="718"/>
      <c r="F202" s="718"/>
      <c r="G202" s="718"/>
      <c r="H202" s="718"/>
      <c r="I202" s="718"/>
      <c r="J202" s="718"/>
      <c r="K202" s="718"/>
      <c r="L202" s="718"/>
      <c r="M202" s="718"/>
      <c r="N202" s="718"/>
      <c r="O202" s="718"/>
      <c r="P202" s="718"/>
      <c r="Q202" s="718">
        <f t="shared" si="150"/>
        <v>0</v>
      </c>
    </row>
    <row r="203" spans="3:17">
      <c r="C203" s="711"/>
      <c r="D203" s="296"/>
      <c r="E203" s="718"/>
      <c r="F203" s="718"/>
      <c r="G203" s="718"/>
      <c r="H203" s="718"/>
      <c r="I203" s="718"/>
      <c r="J203" s="718"/>
      <c r="K203" s="718"/>
      <c r="L203" s="718"/>
      <c r="M203" s="718"/>
      <c r="N203" s="718"/>
      <c r="O203" s="718"/>
      <c r="P203" s="718"/>
      <c r="Q203" s="718">
        <f t="shared" si="150"/>
        <v>0</v>
      </c>
    </row>
    <row r="204" spans="3:17">
      <c r="C204" s="711"/>
      <c r="D204" s="296"/>
      <c r="E204" s="718"/>
      <c r="F204" s="718"/>
      <c r="G204" s="718"/>
      <c r="H204" s="718"/>
      <c r="I204" s="718"/>
      <c r="J204" s="718"/>
      <c r="K204" s="718"/>
      <c r="L204" s="718"/>
      <c r="M204" s="718"/>
      <c r="N204" s="718"/>
      <c r="O204" s="718"/>
      <c r="P204" s="718"/>
      <c r="Q204" s="718">
        <f t="shared" si="150"/>
        <v>0</v>
      </c>
    </row>
    <row r="205" spans="3:17">
      <c r="C205" s="713"/>
      <c r="D205" s="296"/>
      <c r="E205" s="718"/>
      <c r="F205" s="718"/>
      <c r="G205" s="718"/>
      <c r="H205" s="718"/>
      <c r="I205" s="718"/>
      <c r="J205" s="718"/>
      <c r="K205" s="718"/>
      <c r="L205" s="718"/>
      <c r="M205" s="718"/>
      <c r="N205" s="718"/>
      <c r="O205" s="718"/>
      <c r="P205" s="718"/>
      <c r="Q205" s="718">
        <f t="shared" si="150"/>
        <v>0</v>
      </c>
    </row>
    <row r="206" ht="15" spans="3:17">
      <c r="C206" s="285" t="s">
        <v>211</v>
      </c>
      <c r="D206" s="286"/>
      <c r="E206" s="718">
        <f t="shared" ref="E206:P206" si="151">SUM(E188:E205)</f>
        <v>576.568675044795</v>
      </c>
      <c r="F206" s="718">
        <f t="shared" si="151"/>
        <v>464.177506326163</v>
      </c>
      <c r="G206" s="718">
        <f t="shared" si="151"/>
        <v>560.508627553465</v>
      </c>
      <c r="H206" s="718">
        <f t="shared" si="151"/>
        <v>689.264826333011</v>
      </c>
      <c r="I206" s="718">
        <f t="shared" si="151"/>
        <v>736.06706615388</v>
      </c>
      <c r="J206" s="718">
        <f t="shared" si="151"/>
        <v>650.936399562058</v>
      </c>
      <c r="K206" s="718">
        <f t="shared" si="151"/>
        <v>824.826199701844</v>
      </c>
      <c r="L206" s="718">
        <f t="shared" si="151"/>
        <v>595.594132098249</v>
      </c>
      <c r="M206" s="718">
        <f t="shared" si="151"/>
        <v>634.549294593323</v>
      </c>
      <c r="N206" s="718">
        <f t="shared" si="151"/>
        <v>743.384711739127</v>
      </c>
      <c r="O206" s="718">
        <f t="shared" si="151"/>
        <v>755.883327983666</v>
      </c>
      <c r="P206" s="718">
        <f t="shared" si="151"/>
        <v>897.896693660419</v>
      </c>
      <c r="Q206" s="721">
        <f t="shared" si="150"/>
        <v>8129.65746075</v>
      </c>
    </row>
    <row r="207" ht="15" spans="3:17">
      <c r="C207" s="285" t="s">
        <v>360</v>
      </c>
      <c r="D207" s="286"/>
      <c r="E207" s="296"/>
      <c r="F207" s="296"/>
      <c r="G207" s="296"/>
      <c r="H207" s="296"/>
      <c r="I207" s="296"/>
      <c r="J207" s="296"/>
      <c r="K207" s="296"/>
      <c r="L207" s="296"/>
      <c r="M207" s="296"/>
      <c r="N207" s="296"/>
      <c r="O207" s="296"/>
      <c r="P207" s="296"/>
      <c r="Q207" s="296"/>
    </row>
    <row r="208" spans="3:17">
      <c r="C208" s="710" t="s">
        <v>444</v>
      </c>
      <c r="D208" s="296" t="s">
        <v>361</v>
      </c>
      <c r="E208" s="718">
        <f>SUM('[7]TGSPDCL MoD'!U81:U86)</f>
        <v>1.13882146670992</v>
      </c>
      <c r="F208" s="718">
        <f>SUM('[7]TGSPDCL MoD'!V81:V86)</f>
        <v>1.220325078517</v>
      </c>
      <c r="G208" s="718">
        <f>SUM('[7]TGSPDCL MoD'!W81:W86)</f>
        <v>1.26431587469525</v>
      </c>
      <c r="H208" s="718">
        <f>SUM('[7]TGSPDCL MoD'!X81:X86)</f>
        <v>2.76408013799252</v>
      </c>
      <c r="I208" s="718">
        <f>SUM('[7]TGSPDCL MoD'!Y81:Y86)</f>
        <v>6.48955557821322</v>
      </c>
      <c r="J208" s="718">
        <f>SUM('[7]TGSPDCL MoD'!Z81:Z86)</f>
        <v>3.27765626531826</v>
      </c>
      <c r="K208" s="718">
        <f>SUM('[7]TGSPDCL MoD'!AA81:AA86)</f>
        <v>3.61280629978975</v>
      </c>
      <c r="L208" s="718">
        <f>SUM('[7]TGSPDCL MoD'!AB81:AB86)</f>
        <v>1.23911788525435</v>
      </c>
      <c r="M208" s="718">
        <f>SUM('[7]TGSPDCL MoD'!AC81:AC86)</f>
        <v>2.12571291551722</v>
      </c>
      <c r="N208" s="718">
        <f>SUM('[7]TGSPDCL MoD'!AD81:AD86)</f>
        <v>4.05615266084837</v>
      </c>
      <c r="O208" s="718">
        <f>SUM('[7]TGSPDCL MoD'!AE81:AE86)</f>
        <v>3.64287854750933</v>
      </c>
      <c r="P208" s="718">
        <f>SUM('[7]TGSPDCL MoD'!AF81:AF86)</f>
        <v>1.6921272896348</v>
      </c>
      <c r="Q208" s="296">
        <f t="shared" ref="Q208:Q218" si="152">SUM(E208:P208)</f>
        <v>32.52355</v>
      </c>
    </row>
    <row r="209" spans="3:17">
      <c r="C209" s="711"/>
      <c r="D209" s="296" t="s">
        <v>362</v>
      </c>
      <c r="E209" s="718">
        <f>SUM('[7]TGSPDCL MoD'!U59:U66)</f>
        <v>7.27891361279584</v>
      </c>
      <c r="F209" s="718">
        <f>SUM('[7]TGSPDCL MoD'!V59:V66)</f>
        <v>7.79985369587005</v>
      </c>
      <c r="G209" s="718">
        <f>SUM('[7]TGSPDCL MoD'!W59:W66)</f>
        <v>8.08102613114623</v>
      </c>
      <c r="H209" s="718">
        <f>SUM('[7]TGSPDCL MoD'!X59:X66)</f>
        <v>17.6669487987596</v>
      </c>
      <c r="I209" s="718">
        <f>SUM('[7]TGSPDCL MoD'!Y59:Y66)</f>
        <v>41.4787706590394</v>
      </c>
      <c r="J209" s="718">
        <f>SUM('[7]TGSPDCL MoD'!Z59:Z66)</f>
        <v>20.9495320426444</v>
      </c>
      <c r="K209" s="718">
        <f>SUM('[7]TGSPDCL MoD'!AA59:AA66)</f>
        <v>23.0916835734645</v>
      </c>
      <c r="L209" s="718">
        <f>SUM('[7]TGSPDCL MoD'!AB59:AB66)</f>
        <v>7.91997016783854</v>
      </c>
      <c r="M209" s="718">
        <f>SUM('[7]TGSPDCL MoD'!AC59:AC66)</f>
        <v>13.5867483446336</v>
      </c>
      <c r="N209" s="718">
        <f>SUM('[7]TGSPDCL MoD'!AD59:AD66)</f>
        <v>25.9253848664479</v>
      </c>
      <c r="O209" s="718">
        <f>SUM('[7]TGSPDCL MoD'!AE59:AE66)</f>
        <v>23.2838939415443</v>
      </c>
      <c r="P209" s="718">
        <f>SUM('[7]TGSPDCL MoD'!AF59:AF66)</f>
        <v>10.8154339579581</v>
      </c>
      <c r="Q209" s="296">
        <f t="shared" si="152"/>
        <v>207.878159792142</v>
      </c>
    </row>
    <row r="210" spans="3:17">
      <c r="C210" s="711"/>
      <c r="D210" s="296" t="s">
        <v>363</v>
      </c>
      <c r="E210" s="718">
        <f>SUM('[7]TGSPDCL MoD'!U67:U72)</f>
        <v>9.3996001753389</v>
      </c>
      <c r="F210" s="718">
        <f>SUM('[7]TGSPDCL MoD'!V67:V72)</f>
        <v>10.0723143682368</v>
      </c>
      <c r="G210" s="718">
        <f>SUM('[7]TGSPDCL MoD'!W67:W72)</f>
        <v>10.4354054299684</v>
      </c>
      <c r="H210" s="718">
        <f>SUM('[7]TGSPDCL MoD'!X67:X72)</f>
        <v>22.8141538504589</v>
      </c>
      <c r="I210" s="718">
        <f>SUM('[7]TGSPDCL MoD'!Y67:Y72)</f>
        <v>53.5634684926277</v>
      </c>
      <c r="J210" s="718">
        <f>SUM('[7]TGSPDCL MoD'!Z67:Z72)</f>
        <v>27.0531064848937</v>
      </c>
      <c r="K210" s="718">
        <f>SUM('[7]TGSPDCL MoD'!AA67:AA72)</f>
        <v>29.8193665308026</v>
      </c>
      <c r="L210" s="718">
        <f>SUM('[7]TGSPDCL MoD'!AB67:AB72)</f>
        <v>10.227426363108</v>
      </c>
      <c r="M210" s="718">
        <f>SUM('[7]TGSPDCL MoD'!AC67:AC72)</f>
        <v>17.5452009621323</v>
      </c>
      <c r="N210" s="718">
        <f>SUM('[7]TGSPDCL MoD'!AD67:AD72)</f>
        <v>33.4786569946378</v>
      </c>
      <c r="O210" s="718">
        <f>SUM('[7]TGSPDCL MoD'!AE67:AE72)</f>
        <v>30.0675767316118</v>
      </c>
      <c r="P210" s="718">
        <f>SUM('[7]TGSPDCL MoD'!AF67:AF72)</f>
        <v>13.9664736161831</v>
      </c>
      <c r="Q210" s="296">
        <f t="shared" si="152"/>
        <v>268.44275</v>
      </c>
    </row>
    <row r="211" spans="3:17">
      <c r="C211" s="711"/>
      <c r="D211" s="296" t="s">
        <v>364</v>
      </c>
      <c r="E211" s="718">
        <f>SUM('[7]TGSPDCL MoD'!U87:U92)</f>
        <v>5.32578134507573</v>
      </c>
      <c r="F211" s="718">
        <f>SUM('[7]TGSPDCL MoD'!V87:V92)</f>
        <v>5.70693890840518</v>
      </c>
      <c r="G211" s="718">
        <f>SUM('[7]TGSPDCL MoD'!W87:W92)</f>
        <v>5.91266506346092</v>
      </c>
      <c r="H211" s="718">
        <f>SUM('[7]TGSPDCL MoD'!X87:X92)</f>
        <v>12.9264216258092</v>
      </c>
      <c r="I211" s="718">
        <f>SUM('[7]TGSPDCL MoD'!Y87:Y92)</f>
        <v>30.348878245271</v>
      </c>
      <c r="J211" s="718">
        <f>SUM('[7]TGSPDCL MoD'!Z87:Z92)</f>
        <v>15.328197705856</v>
      </c>
      <c r="K211" s="718">
        <f>SUM('[7]TGSPDCL MoD'!AA87:AA92)</f>
        <v>16.8955511967825</v>
      </c>
      <c r="L211" s="718">
        <f>SUM('[7]TGSPDCL MoD'!AB87:AB92)</f>
        <v>5.79482483475021</v>
      </c>
      <c r="M211" s="718">
        <f>SUM('[7]TGSPDCL MoD'!AC87:AC92)</f>
        <v>9.94105092096222</v>
      </c>
      <c r="N211" s="718">
        <f>SUM('[7]TGSPDCL MoD'!AD87:AD92)</f>
        <v>18.9688926714165</v>
      </c>
      <c r="O211" s="718">
        <f>SUM('[7]TGSPDCL MoD'!AE87:AE92)</f>
        <v>17.0361862485366</v>
      </c>
      <c r="P211" s="718">
        <f>SUM('[7]TGSPDCL MoD'!AF87:AF92)</f>
        <v>7.91335623367392</v>
      </c>
      <c r="Q211" s="296">
        <f t="shared" si="152"/>
        <v>152.098745</v>
      </c>
    </row>
    <row r="212" spans="3:17">
      <c r="C212" s="711"/>
      <c r="D212" s="296" t="s">
        <v>365</v>
      </c>
      <c r="E212" s="718">
        <f>SUM('[7]TGSPDCL MoD'!U93:U96)</f>
        <v>2.31395676326937</v>
      </c>
      <c r="F212" s="718">
        <f>SUM('[7]TGSPDCL MoD'!V93:V96)</f>
        <v>2.47956290899538</v>
      </c>
      <c r="G212" s="718">
        <f>SUM('[7]TGSPDCL MoD'!W93:W96)</f>
        <v>2.56894724474412</v>
      </c>
      <c r="H212" s="718">
        <f>SUM('[7]TGSPDCL MoD'!X93:X96)</f>
        <v>5.61629905695792</v>
      </c>
      <c r="I212" s="718">
        <f>SUM('[7]TGSPDCL MoD'!Y93:Y96)</f>
        <v>13.1860449243218</v>
      </c>
      <c r="J212" s="718">
        <f>SUM('[7]TGSPDCL MoD'!Z93:Z96)</f>
        <v>6.65982781718788</v>
      </c>
      <c r="K212" s="718">
        <f>SUM('[7]TGSPDCL MoD'!AA93:AA96)</f>
        <v>7.34081488289168</v>
      </c>
      <c r="L212" s="718">
        <f>SUM('[7]TGSPDCL MoD'!AB93:AB96)</f>
        <v>2.51774777248969</v>
      </c>
      <c r="M212" s="718">
        <f>SUM('[7]TGSPDCL MoD'!AC93:AC96)</f>
        <v>4.319208867603</v>
      </c>
      <c r="N212" s="718">
        <f>SUM('[7]TGSPDCL MoD'!AD93:AD96)</f>
        <v>8.24164467986264</v>
      </c>
      <c r="O212" s="718">
        <f>SUM('[7]TGSPDCL MoD'!AE93:AE96)</f>
        <v>7.40191829816052</v>
      </c>
      <c r="P212" s="718">
        <f>SUM('[7]TGSPDCL MoD'!AF93:AF96)</f>
        <v>3.4382117835161</v>
      </c>
      <c r="Q212" s="296">
        <f t="shared" si="152"/>
        <v>66.0841850000001</v>
      </c>
    </row>
    <row r="213" spans="3:17">
      <c r="C213" s="711"/>
      <c r="D213" s="287" t="s">
        <v>366</v>
      </c>
      <c r="E213" s="718">
        <f>SUM('[7]TGSPDCL MoD'!U77:U78)</f>
        <v>0.125986756620837</v>
      </c>
      <c r="F213" s="718">
        <f>SUM('[7]TGSPDCL MoD'!V77:V78)</f>
        <v>0.135003425172162</v>
      </c>
      <c r="G213" s="718">
        <f>SUM('[7]TGSPDCL MoD'!W77:W78)</f>
        <v>0.139870085920732</v>
      </c>
      <c r="H213" s="718">
        <f>SUM('[7]TGSPDCL MoD'!X77:X78)</f>
        <v>0.305787607456872</v>
      </c>
      <c r="I213" s="718">
        <f>SUM('[7]TGSPDCL MoD'!Y77:Y78)</f>
        <v>0.717933480453092</v>
      </c>
      <c r="J213" s="718">
        <f>SUM('[7]TGSPDCL MoD'!Z77:Z78)</f>
        <v>0.36260405538228</v>
      </c>
      <c r="K213" s="718">
        <f>SUM('[7]TGSPDCL MoD'!AA77:AA78)</f>
        <v>0.399681391083032</v>
      </c>
      <c r="L213" s="718">
        <f>SUM('[7]TGSPDCL MoD'!AB77:AB78)</f>
        <v>0.137082455852433</v>
      </c>
      <c r="M213" s="718">
        <f>SUM('[7]TGSPDCL MoD'!AC77:AC78)</f>
        <v>0.235165637074572</v>
      </c>
      <c r="N213" s="718">
        <f>SUM('[7]TGSPDCL MoD'!AD77:AD78)</f>
        <v>0.448728385473464</v>
      </c>
      <c r="O213" s="718">
        <f>SUM('[7]TGSPDCL MoD'!AE77:AE78)</f>
        <v>0.403008255798212</v>
      </c>
      <c r="P213" s="718">
        <f>SUM('[7]TGSPDCL MoD'!AF77:AF78)</f>
        <v>0.18719846371231</v>
      </c>
      <c r="Q213" s="296">
        <f t="shared" si="152"/>
        <v>3.59805</v>
      </c>
    </row>
    <row r="214" spans="3:17">
      <c r="C214" s="711"/>
      <c r="D214" s="714" t="s">
        <v>445</v>
      </c>
      <c r="E214" s="718">
        <f>SUM('[7]TGSPDCL MoD'!U73:U74)</f>
        <v>0.53547672482559</v>
      </c>
      <c r="F214" s="718">
        <f>SUM('[7]TGSPDCL MoD'!V73:V74)</f>
        <v>0.573799928582888</v>
      </c>
      <c r="G214" s="718">
        <f>SUM('[7]TGSPDCL MoD'!W73:W74)</f>
        <v>0.594484511854798</v>
      </c>
      <c r="H214" s="718">
        <f>SUM('[7]TGSPDCL MoD'!X73:X74)</f>
        <v>1.29967744963901</v>
      </c>
      <c r="I214" s="718">
        <f>SUM('[7]TGSPDCL MoD'!Y73:Y74)</f>
        <v>3.05140539424028</v>
      </c>
      <c r="J214" s="718">
        <f>SUM('[7]TGSPDCL MoD'!Z73:Z74)</f>
        <v>1.54116223952754</v>
      </c>
      <c r="K214" s="718">
        <f>SUM('[7]TGSPDCL MoD'!AA73:AA74)</f>
        <v>1.69875063071098</v>
      </c>
      <c r="L214" s="718">
        <f>SUM('[7]TGSPDCL MoD'!AB73:AB74)</f>
        <v>0.582636353690918</v>
      </c>
      <c r="M214" s="718">
        <f>SUM('[7]TGSPDCL MoD'!AC73:AC74)</f>
        <v>0.999515572189822</v>
      </c>
      <c r="N214" s="718">
        <f>SUM('[7]TGSPDCL MoD'!AD73:AD74)</f>
        <v>1.90721320743854</v>
      </c>
      <c r="O214" s="718">
        <f>SUM('[7]TGSPDCL MoD'!AE73:AE74)</f>
        <v>1.7128906774064</v>
      </c>
      <c r="P214" s="718">
        <f>SUM('[7]TGSPDCL MoD'!AF73:AF74)</f>
        <v>0.79564251775072</v>
      </c>
      <c r="Q214" s="296">
        <f t="shared" si="152"/>
        <v>15.2926552078575</v>
      </c>
    </row>
    <row r="215" spans="3:17">
      <c r="C215" s="711"/>
      <c r="D215" s="714" t="s">
        <v>446</v>
      </c>
      <c r="E215" s="718">
        <f>SUM('[7]TGSPDCL MoD'!U79:U80)</f>
        <v>0.941639840955502</v>
      </c>
      <c r="F215" s="718">
        <f>SUM('[7]TGSPDCL MoD'!V79:V80)</f>
        <v>1.00903148249264</v>
      </c>
      <c r="G215" s="718">
        <f>SUM('[7]TGSPDCL MoD'!W79:W80)</f>
        <v>1.04540547747578</v>
      </c>
      <c r="H215" s="718">
        <f>SUM('[7]TGSPDCL MoD'!X79:X80)</f>
        <v>2.28549255314532</v>
      </c>
      <c r="I215" s="718">
        <f>SUM('[7]TGSPDCL MoD'!Y79:Y80)</f>
        <v>5.36591929566882</v>
      </c>
      <c r="J215" s="718">
        <f>SUM('[7]TGSPDCL MoD'!Z79:Z80)</f>
        <v>2.7101453692278</v>
      </c>
      <c r="K215" s="718">
        <f>SUM('[7]TGSPDCL MoD'!AA79:AA80)</f>
        <v>2.9872657382947</v>
      </c>
      <c r="L215" s="718">
        <f>SUM('[7]TGSPDCL MoD'!AB79:AB80)</f>
        <v>1.02457040238883</v>
      </c>
      <c r="M215" s="718">
        <f>SUM('[7]TGSPDCL MoD'!AC79:AC80)</f>
        <v>1.7576556380409</v>
      </c>
      <c r="N215" s="718">
        <f>SUM('[7]TGSPDCL MoD'!AD79:AD80)</f>
        <v>3.35384874460344</v>
      </c>
      <c r="O215" s="718">
        <f>SUM('[7]TGSPDCL MoD'!AE79:AE80)</f>
        <v>3.01213111657182</v>
      </c>
      <c r="P215" s="718">
        <f>SUM('[7]TGSPDCL MoD'!AF79:AF80)</f>
        <v>1.39914334113448</v>
      </c>
      <c r="Q215" s="296">
        <f t="shared" si="152"/>
        <v>26.892249</v>
      </c>
    </row>
    <row r="216" spans="3:17">
      <c r="C216" s="711"/>
      <c r="D216" s="714" t="s">
        <v>447</v>
      </c>
      <c r="E216" s="718">
        <v>0</v>
      </c>
      <c r="F216" s="718">
        <v>0</v>
      </c>
      <c r="G216" s="718">
        <v>0</v>
      </c>
      <c r="H216" s="718">
        <v>0</v>
      </c>
      <c r="I216" s="718">
        <v>0</v>
      </c>
      <c r="J216" s="718">
        <v>0</v>
      </c>
      <c r="K216" s="718">
        <v>0</v>
      </c>
      <c r="L216" s="718">
        <v>0</v>
      </c>
      <c r="M216" s="718">
        <v>0</v>
      </c>
      <c r="N216" s="718">
        <v>0</v>
      </c>
      <c r="O216" s="718">
        <v>0</v>
      </c>
      <c r="P216" s="718">
        <v>0</v>
      </c>
      <c r="Q216" s="296">
        <f t="shared" si="152"/>
        <v>0</v>
      </c>
    </row>
    <row r="217" spans="3:17">
      <c r="C217" s="711"/>
      <c r="D217" s="714" t="s">
        <v>448</v>
      </c>
      <c r="E217" s="718">
        <f>SUM('[7]TGSPDCL MoD'!U75:U76)</f>
        <v>0.125986756620837</v>
      </c>
      <c r="F217" s="718">
        <f>SUM('[7]TGSPDCL MoD'!V75:V76)</f>
        <v>0.135003425172162</v>
      </c>
      <c r="G217" s="718">
        <f>SUM('[7]TGSPDCL MoD'!W75:W76)</f>
        <v>0.139870085920732</v>
      </c>
      <c r="H217" s="718">
        <f>SUM('[7]TGSPDCL MoD'!X75:X76)</f>
        <v>0.305787607456872</v>
      </c>
      <c r="I217" s="718">
        <f>SUM('[7]TGSPDCL MoD'!Y75:Y76)</f>
        <v>0.717933480453092</v>
      </c>
      <c r="J217" s="718">
        <f>SUM('[7]TGSPDCL MoD'!Z75:Z76)</f>
        <v>0.36260405538228</v>
      </c>
      <c r="K217" s="718">
        <f>SUM('[7]TGSPDCL MoD'!AA75:AA76)</f>
        <v>0.399681391083032</v>
      </c>
      <c r="L217" s="718">
        <f>SUM('[7]TGSPDCL MoD'!AB75:AB76)</f>
        <v>0.137082455852433</v>
      </c>
      <c r="M217" s="718">
        <f>SUM('[7]TGSPDCL MoD'!AC75:AC76)</f>
        <v>0.235165637074572</v>
      </c>
      <c r="N217" s="718">
        <f>SUM('[7]TGSPDCL MoD'!AD75:AD76)</f>
        <v>0.448728385473464</v>
      </c>
      <c r="O217" s="718">
        <f>SUM('[7]TGSPDCL MoD'!AE75:AE76)</f>
        <v>0.403008255798212</v>
      </c>
      <c r="P217" s="718">
        <f>SUM('[7]TGSPDCL MoD'!AF75:AF76)</f>
        <v>0.18719846371231</v>
      </c>
      <c r="Q217" s="296">
        <f t="shared" si="152"/>
        <v>3.59805</v>
      </c>
    </row>
    <row r="218" spans="3:17">
      <c r="C218" s="711"/>
      <c r="D218" s="714" t="s">
        <v>449</v>
      </c>
      <c r="E218" s="718">
        <f>SUM('[7]TGSPDCL MoD'!U57:U58)</f>
        <v>0.627759893970334</v>
      </c>
      <c r="F218" s="718">
        <f>SUM('[7]TGSPDCL MoD'!V57:V58)</f>
        <v>0.672687654995094</v>
      </c>
      <c r="G218" s="718">
        <f>SUM('[7]TGSPDCL MoD'!W57:W58)</f>
        <v>0.696936984983852</v>
      </c>
      <c r="H218" s="718">
        <f>SUM('[7]TGSPDCL MoD'!X57:X58)</f>
        <v>1.52366170209687</v>
      </c>
      <c r="I218" s="718">
        <f>SUM('[7]TGSPDCL MoD'!Y57:Y58)</f>
        <v>3.57727953044588</v>
      </c>
      <c r="J218" s="718">
        <f>SUM('[7]TGSPDCL MoD'!Z57:Z58)</f>
        <v>1.8067635794852</v>
      </c>
      <c r="K218" s="718">
        <f>SUM('[7]TGSPDCL MoD'!AA57:AA58)</f>
        <v>1.99151049219647</v>
      </c>
      <c r="L218" s="718">
        <f>SUM('[7]TGSPDCL MoD'!AB57:AB58)</f>
        <v>0.683046934925888</v>
      </c>
      <c r="M218" s="718">
        <f>SUM('[7]TGSPDCL MoD'!AC57:AC58)</f>
        <v>1.1717704253606</v>
      </c>
      <c r="N218" s="718">
        <f>SUM('[7]TGSPDCL MoD'!AD57:AD58)</f>
        <v>2.23589916306896</v>
      </c>
      <c r="O218" s="718">
        <f>SUM('[7]TGSPDCL MoD'!AE57:AE58)</f>
        <v>2.00808741104788</v>
      </c>
      <c r="P218" s="718">
        <f>SUM('[7]TGSPDCL MoD'!AF57:AF58)</f>
        <v>0.932762227422984</v>
      </c>
      <c r="Q218" s="296">
        <f t="shared" si="152"/>
        <v>17.928166</v>
      </c>
    </row>
    <row r="219" spans="3:17">
      <c r="C219" s="711"/>
      <c r="D219" s="296"/>
      <c r="E219" s="296"/>
      <c r="F219" s="296"/>
      <c r="G219" s="296"/>
      <c r="H219" s="296"/>
      <c r="I219" s="296"/>
      <c r="J219" s="296"/>
      <c r="K219" s="296"/>
      <c r="L219" s="296"/>
      <c r="M219" s="296"/>
      <c r="N219" s="296"/>
      <c r="O219" s="296"/>
      <c r="P219" s="296"/>
      <c r="Q219" s="368">
        <v>0</v>
      </c>
    </row>
    <row r="220" spans="3:17">
      <c r="C220" s="711"/>
      <c r="D220" s="296"/>
      <c r="E220" s="296"/>
      <c r="F220" s="296"/>
      <c r="G220" s="296"/>
      <c r="H220" s="296"/>
      <c r="I220" s="296"/>
      <c r="J220" s="296"/>
      <c r="K220" s="296"/>
      <c r="L220" s="296"/>
      <c r="M220" s="296"/>
      <c r="N220" s="296"/>
      <c r="O220" s="296"/>
      <c r="P220" s="296"/>
      <c r="Q220" s="296">
        <f t="shared" ref="Q220:Q225" si="153">SUM(E220:P220)</f>
        <v>0</v>
      </c>
    </row>
    <row r="221" ht="42.75" spans="3:17">
      <c r="C221" s="711"/>
      <c r="D221" s="715" t="s">
        <v>533</v>
      </c>
      <c r="E221" s="296"/>
      <c r="F221" s="296"/>
      <c r="G221" s="296"/>
      <c r="H221" s="296"/>
      <c r="I221" s="296"/>
      <c r="J221" s="296"/>
      <c r="K221" s="296"/>
      <c r="L221" s="296"/>
      <c r="M221" s="296"/>
      <c r="N221" s="296"/>
      <c r="O221" s="296"/>
      <c r="P221" s="296"/>
      <c r="Q221" s="296">
        <f>'[7]PP summary'!$G$59</f>
        <v>1050.81403</v>
      </c>
    </row>
    <row r="222" spans="3:17">
      <c r="C222" s="711"/>
      <c r="D222" s="712" t="s">
        <v>495</v>
      </c>
      <c r="E222" s="296"/>
      <c r="F222" s="296"/>
      <c r="G222" s="296"/>
      <c r="H222" s="296"/>
      <c r="I222" s="296"/>
      <c r="J222" s="296"/>
      <c r="K222" s="296"/>
      <c r="L222" s="296"/>
      <c r="M222" s="296"/>
      <c r="N222" s="296"/>
      <c r="O222" s="296"/>
      <c r="P222" s="296"/>
      <c r="Q222" s="296">
        <f>'[7]PP summary'!$G$60</f>
        <v>23.740075</v>
      </c>
    </row>
    <row r="223" spans="3:17">
      <c r="C223" s="711"/>
      <c r="D223" s="296"/>
      <c r="E223" s="296"/>
      <c r="F223" s="296"/>
      <c r="G223" s="296"/>
      <c r="H223" s="296"/>
      <c r="I223" s="296"/>
      <c r="J223" s="296"/>
      <c r="K223" s="296"/>
      <c r="L223" s="296"/>
      <c r="M223" s="296"/>
      <c r="N223" s="296"/>
      <c r="O223" s="296"/>
      <c r="P223" s="296"/>
      <c r="Q223" s="296">
        <f t="shared" si="153"/>
        <v>0</v>
      </c>
    </row>
    <row r="224" spans="3:17">
      <c r="C224" s="711"/>
      <c r="D224" s="296"/>
      <c r="E224" s="296"/>
      <c r="F224" s="296"/>
      <c r="G224" s="296"/>
      <c r="H224" s="296"/>
      <c r="I224" s="296"/>
      <c r="J224" s="296"/>
      <c r="K224" s="296"/>
      <c r="L224" s="296"/>
      <c r="M224" s="296"/>
      <c r="N224" s="296"/>
      <c r="O224" s="296"/>
      <c r="P224" s="296"/>
      <c r="Q224" s="296">
        <f t="shared" si="153"/>
        <v>0</v>
      </c>
    </row>
    <row r="225" spans="3:17">
      <c r="C225" s="713"/>
      <c r="D225" s="716"/>
      <c r="E225" s="296"/>
      <c r="F225" s="296"/>
      <c r="G225" s="296"/>
      <c r="H225" s="296"/>
      <c r="I225" s="296"/>
      <c r="J225" s="296"/>
      <c r="K225" s="296"/>
      <c r="L225" s="296"/>
      <c r="M225" s="296"/>
      <c r="N225" s="296"/>
      <c r="O225" s="296"/>
      <c r="P225" s="296"/>
      <c r="Q225" s="296">
        <f t="shared" si="153"/>
        <v>0</v>
      </c>
    </row>
    <row r="226" ht="15" spans="3:17">
      <c r="C226" s="285" t="s">
        <v>211</v>
      </c>
      <c r="D226" s="286"/>
      <c r="E226" s="384">
        <f>SUM(E208:E218)</f>
        <v>27.8139233361829</v>
      </c>
      <c r="F226" s="384">
        <f t="shared" ref="F226:P226" si="154">SUM(F208:F218)</f>
        <v>29.8045208764393</v>
      </c>
      <c r="G226" s="384">
        <f t="shared" si="154"/>
        <v>30.8789268901708</v>
      </c>
      <c r="H226" s="384">
        <f t="shared" si="154"/>
        <v>67.5083103897731</v>
      </c>
      <c r="I226" s="384">
        <f t="shared" si="154"/>
        <v>158.497189080734</v>
      </c>
      <c r="J226" s="384">
        <f t="shared" si="154"/>
        <v>80.0515996149053</v>
      </c>
      <c r="K226" s="384">
        <f t="shared" si="154"/>
        <v>88.2371121270993</v>
      </c>
      <c r="L226" s="384">
        <f t="shared" si="154"/>
        <v>30.2635056261513</v>
      </c>
      <c r="M226" s="384">
        <f t="shared" si="154"/>
        <v>51.9171949205889</v>
      </c>
      <c r="N226" s="384">
        <f t="shared" si="154"/>
        <v>99.0651497592711</v>
      </c>
      <c r="O226" s="384">
        <f t="shared" si="154"/>
        <v>88.9715794839851</v>
      </c>
      <c r="P226" s="384">
        <f t="shared" si="154"/>
        <v>41.3275478946989</v>
      </c>
      <c r="Q226" s="722">
        <f>SUM(E226:P226)+Q221+Q222</f>
        <v>1868.890665</v>
      </c>
    </row>
    <row r="227" ht="15" spans="3:17">
      <c r="C227" s="285" t="s">
        <v>369</v>
      </c>
      <c r="D227" s="286"/>
      <c r="E227" s="296">
        <f t="shared" ref="E227:Q227" si="155">E206+E226</f>
        <v>604.382598380978</v>
      </c>
      <c r="F227" s="296">
        <f t="shared" si="155"/>
        <v>493.982027202603</v>
      </c>
      <c r="G227" s="296">
        <f t="shared" si="155"/>
        <v>591.387554443636</v>
      </c>
      <c r="H227" s="296">
        <f t="shared" si="155"/>
        <v>756.773136722784</v>
      </c>
      <c r="I227" s="296">
        <f t="shared" si="155"/>
        <v>894.564255234614</v>
      </c>
      <c r="J227" s="296">
        <f t="shared" si="155"/>
        <v>730.987999176964</v>
      </c>
      <c r="K227" s="296">
        <f t="shared" si="155"/>
        <v>913.063311828943</v>
      </c>
      <c r="L227" s="296">
        <f t="shared" si="155"/>
        <v>625.8576377244</v>
      </c>
      <c r="M227" s="296">
        <f t="shared" si="155"/>
        <v>686.466489513911</v>
      </c>
      <c r="N227" s="296">
        <f t="shared" si="155"/>
        <v>842.449861498398</v>
      </c>
      <c r="O227" s="296">
        <f t="shared" si="155"/>
        <v>844.854907467651</v>
      </c>
      <c r="P227" s="296">
        <f t="shared" si="155"/>
        <v>939.224241555118</v>
      </c>
      <c r="Q227" s="722">
        <f t="shared" si="155"/>
        <v>9998.54812575</v>
      </c>
    </row>
    <row r="228" ht="15" spans="3:17">
      <c r="C228" s="708" t="s">
        <v>370</v>
      </c>
      <c r="D228" s="709"/>
      <c r="E228" s="296"/>
      <c r="F228" s="296"/>
      <c r="G228" s="296"/>
      <c r="H228" s="296"/>
      <c r="I228" s="296"/>
      <c r="J228" s="296"/>
      <c r="K228" s="296"/>
      <c r="L228" s="296"/>
      <c r="M228" s="296"/>
      <c r="N228" s="296"/>
      <c r="O228" s="296"/>
      <c r="P228" s="296"/>
      <c r="Q228" s="296"/>
    </row>
    <row r="229" ht="15" spans="3:17">
      <c r="C229" s="285" t="s">
        <v>350</v>
      </c>
      <c r="D229" s="286"/>
      <c r="E229" s="296"/>
      <c r="F229" s="296"/>
      <c r="G229" s="296"/>
      <c r="H229" s="296"/>
      <c r="I229" s="296"/>
      <c r="J229" s="296"/>
      <c r="K229" s="296"/>
      <c r="L229" s="296"/>
      <c r="M229" s="296"/>
      <c r="N229" s="296"/>
      <c r="O229" s="296"/>
      <c r="P229" s="296"/>
      <c r="Q229" s="296"/>
    </row>
    <row r="230" spans="3:17">
      <c r="C230" s="710" t="s">
        <v>371</v>
      </c>
      <c r="D230" s="296" t="s">
        <v>372</v>
      </c>
      <c r="E230" s="384">
        <f>SUM('[7]TGSPDCL MoD'!U25:U30)</f>
        <v>11.4152470319422</v>
      </c>
      <c r="F230" s="384">
        <f>SUM('[7]TGSPDCL MoD'!V25:V30)</f>
        <v>13.280173833406</v>
      </c>
      <c r="G230" s="384">
        <f>SUM('[7]TGSPDCL MoD'!W25:W30)</f>
        <v>9.54746257995403</v>
      </c>
      <c r="H230" s="384">
        <f>SUM('[7]TGSPDCL MoD'!X25:X30)</f>
        <v>10.276782638145</v>
      </c>
      <c r="I230" s="384">
        <f>SUM('[7]TGSPDCL MoD'!Y25:Y30)</f>
        <v>11.2263203315857</v>
      </c>
      <c r="J230" s="384">
        <f>SUM('[7]TGSPDCL MoD'!Z25:Z30)</f>
        <v>9.54746257995403</v>
      </c>
      <c r="K230" s="384">
        <f>SUM('[7]TGSPDCL MoD'!AA25:AA30)</f>
        <v>13.9764243878771</v>
      </c>
      <c r="L230" s="384">
        <f>SUM('[7]TGSPDCL MoD'!AB25:AB30)</f>
        <v>16.3102485740881</v>
      </c>
      <c r="M230" s="384">
        <f>SUM('[7]TGSPDCL MoD'!AC25:AC30)</f>
        <v>7.97594619569387</v>
      </c>
      <c r="N230" s="384">
        <f>SUM('[7]TGSPDCL MoD'!AD25:AD30)</f>
        <v>8.28648938541902</v>
      </c>
      <c r="O230" s="384">
        <f>SUM('[7]TGSPDCL MoD'!AE25:AE30)</f>
        <v>12.1446238130063</v>
      </c>
      <c r="P230" s="384">
        <f>SUM('[7]TGSPDCL MoD'!AF25:AF30)</f>
        <v>14.7985669989287</v>
      </c>
      <c r="Q230" s="384">
        <f t="shared" ref="Q230:Q256" si="156">SUM(E230:P230)</f>
        <v>138.78574835</v>
      </c>
    </row>
    <row r="231" spans="3:17">
      <c r="C231" s="711"/>
      <c r="D231" s="296" t="s">
        <v>373</v>
      </c>
      <c r="E231" s="384">
        <f>'[7]TGSPDCL MoD'!U31</f>
        <v>3.75736076144449</v>
      </c>
      <c r="F231" s="384">
        <f>'[7]TGSPDCL MoD'!V31</f>
        <v>4.00102173110162</v>
      </c>
      <c r="G231" s="384">
        <f>'[7]TGSPDCL MoD'!W31</f>
        <v>2.81802057108337</v>
      </c>
      <c r="H231" s="384">
        <f>'[7]TGSPDCL MoD'!X31</f>
        <v>0</v>
      </c>
      <c r="I231" s="384">
        <f>'[7]TGSPDCL MoD'!Y31</f>
        <v>1.6379744569422</v>
      </c>
      <c r="J231" s="384">
        <f>'[7]TGSPDCL MoD'!Z31</f>
        <v>2.81802057108337</v>
      </c>
      <c r="K231" s="384">
        <f>'[7]TGSPDCL MoD'!AA31</f>
        <v>4.10364588054033</v>
      </c>
      <c r="L231" s="384">
        <f>'[7]TGSPDCL MoD'!AB31</f>
        <v>4.81411847560076</v>
      </c>
      <c r="M231" s="384">
        <f>'[7]TGSPDCL MoD'!AC31</f>
        <v>3.15461747262944</v>
      </c>
      <c r="N231" s="384">
        <f>'[7]TGSPDCL MoD'!AD31</f>
        <v>3.15461747262944</v>
      </c>
      <c r="O231" s="384">
        <f>'[7]TGSPDCL MoD'!AE31</f>
        <v>3.72604942176579</v>
      </c>
      <c r="P231" s="384">
        <f>'[7]TGSPDCL MoD'!AF31</f>
        <v>4.36793188517922</v>
      </c>
      <c r="Q231" s="384">
        <f t="shared" si="156"/>
        <v>38.3533787</v>
      </c>
    </row>
    <row r="232" spans="3:17">
      <c r="C232" s="711"/>
      <c r="D232" s="296" t="s">
        <v>374</v>
      </c>
      <c r="E232" s="384">
        <f>SUM('[7]TGSPDCL MoD'!U42:U45)</f>
        <v>7.99848119623416</v>
      </c>
      <c r="F232" s="384">
        <f>SUM('[7]TGSPDCL MoD'!V42:V45)</f>
        <v>7.93002572653666</v>
      </c>
      <c r="G232" s="384">
        <f>SUM('[7]TGSPDCL MoD'!W42:W45)</f>
        <v>7.67421844503547</v>
      </c>
      <c r="H232" s="384">
        <f>SUM('[7]TGSPDCL MoD'!X42:X45)</f>
        <v>6.74795264247687</v>
      </c>
      <c r="I232" s="384">
        <f>SUM('[7]TGSPDCL MoD'!Y42:Y45)</f>
        <v>6.74751526097089</v>
      </c>
      <c r="J232" s="384">
        <f>SUM('[7]TGSPDCL MoD'!Z42:Z45)</f>
        <v>8.24949615972643</v>
      </c>
      <c r="K232" s="384">
        <f>SUM('[7]TGSPDCL MoD'!AA42:AA45)</f>
        <v>8.93524025525258</v>
      </c>
      <c r="L232" s="384">
        <f>SUM('[7]TGSPDCL MoD'!AB42:AB45)</f>
        <v>6.2000149523594</v>
      </c>
      <c r="M232" s="384">
        <f>SUM('[7]TGSPDCL MoD'!AC42:AC45)</f>
        <v>5.10089971665763</v>
      </c>
      <c r="N232" s="384">
        <f>SUM('[7]TGSPDCL MoD'!AD42:AD45)</f>
        <v>7.50230250410794</v>
      </c>
      <c r="O232" s="384">
        <f>SUM('[7]TGSPDCL MoD'!AE42:AE45)</f>
        <v>8.07053958538942</v>
      </c>
      <c r="P232" s="384">
        <f>SUM('[7]TGSPDCL MoD'!AF42:AF45)</f>
        <v>8.93524025525258</v>
      </c>
      <c r="Q232" s="384">
        <f t="shared" si="156"/>
        <v>90.0919267</v>
      </c>
    </row>
    <row r="233" spans="3:17">
      <c r="C233" s="711"/>
      <c r="D233" s="296" t="s">
        <v>375</v>
      </c>
      <c r="E233" s="384">
        <f>'[7]TGSPDCL MoD'!U40</f>
        <v>26.2461355467928</v>
      </c>
      <c r="F233" s="384">
        <f>'[7]TGSPDCL MoD'!V40</f>
        <v>21.8645996892109</v>
      </c>
      <c r="G233" s="384">
        <f>'[7]TGSPDCL MoD'!W40</f>
        <v>20.3216961683609</v>
      </c>
      <c r="H233" s="384">
        <f>'[7]TGSPDCL MoD'!X40</f>
        <v>20.9990860406396</v>
      </c>
      <c r="I233" s="384">
        <f>'[7]TGSPDCL MoD'!Y40</f>
        <v>21.8740479589996</v>
      </c>
      <c r="J233" s="384">
        <f>'[7]TGSPDCL MoD'!Z40</f>
        <v>20.3216961683609</v>
      </c>
      <c r="K233" s="384">
        <f>'[7]TGSPDCL MoD'!AA40</f>
        <v>26.9453170346234</v>
      </c>
      <c r="L233" s="384">
        <f>'[7]TGSPDCL MoD'!AB40</f>
        <v>17.1268861454284</v>
      </c>
      <c r="M233" s="384">
        <f>'[7]TGSPDCL MoD'!AC40</f>
        <v>22.6541543105695</v>
      </c>
      <c r="N233" s="384">
        <f>'[7]TGSPDCL MoD'!AD40</f>
        <v>22.7490098773596</v>
      </c>
      <c r="O233" s="384">
        <f>'[7]TGSPDCL MoD'!AE40</f>
        <v>26.869798267055</v>
      </c>
      <c r="P233" s="384">
        <f>'[7]TGSPDCL MoD'!AF40</f>
        <v>30.6236671425995</v>
      </c>
      <c r="Q233" s="384">
        <f t="shared" si="156"/>
        <v>278.59609435</v>
      </c>
    </row>
    <row r="234" spans="3:17">
      <c r="C234" s="711"/>
      <c r="D234" s="296" t="s">
        <v>376</v>
      </c>
      <c r="E234" s="384">
        <f>'[7]TGSPDCL MoD'!U41</f>
        <v>17.1865135586787</v>
      </c>
      <c r="F234" s="384">
        <f>'[7]TGSPDCL MoD'!V41</f>
        <v>16.9041669567827</v>
      </c>
      <c r="G234" s="384">
        <f>'[7]TGSPDCL MoD'!W41</f>
        <v>12.9887123266171</v>
      </c>
      <c r="H234" s="384">
        <f>'[7]TGSPDCL MoD'!X41</f>
        <v>6.71083470208552</v>
      </c>
      <c r="I234" s="384">
        <f>'[7]TGSPDCL MoD'!Y41</f>
        <v>14.6966716629042</v>
      </c>
      <c r="J234" s="384">
        <f>'[7]TGSPDCL MoD'!Z41</f>
        <v>12.9887123266171</v>
      </c>
      <c r="K234" s="384">
        <f>'[7]TGSPDCL MoD'!AA41</f>
        <v>17.9219927252522</v>
      </c>
      <c r="L234" s="384">
        <f>'[7]TGSPDCL MoD'!AB41</f>
        <v>22.1890502246376</v>
      </c>
      <c r="M234" s="384">
        <f>'[7]TGSPDCL MoD'!AC41</f>
        <v>14.5401418545186</v>
      </c>
      <c r="N234" s="384">
        <f>'[7]TGSPDCL MoD'!AD41</f>
        <v>14.5401418545186</v>
      </c>
      <c r="O234" s="384">
        <f>'[7]TGSPDCL MoD'!AE41</f>
        <v>17.1739640763048</v>
      </c>
      <c r="P234" s="384">
        <f>'[7]TGSPDCL MoD'!AF41</f>
        <v>19.5732678810827</v>
      </c>
      <c r="Q234" s="384">
        <f t="shared" si="156"/>
        <v>187.41417015</v>
      </c>
    </row>
    <row r="235" spans="3:17">
      <c r="C235" s="711"/>
      <c r="D235" s="296" t="s">
        <v>377</v>
      </c>
      <c r="E235" s="384">
        <f>SUM('[7]TGSPDCL MoD'!U49:U51)</f>
        <v>20.2271331534413</v>
      </c>
      <c r="F235" s="384">
        <f>SUM('[7]TGSPDCL MoD'!V49:V51)</f>
        <v>20.0653160882138</v>
      </c>
      <c r="G235" s="384">
        <f>SUM('[7]TGSPDCL MoD'!W49:W51)</f>
        <v>13.0361814569079</v>
      </c>
      <c r="H235" s="384">
        <f>SUM('[7]TGSPDCL MoD'!X49:X51)</f>
        <v>10.1057322214657</v>
      </c>
      <c r="I235" s="384">
        <f>SUM('[7]TGSPDCL MoD'!Y49:Y51)</f>
        <v>17.4314301741583</v>
      </c>
      <c r="J235" s="384">
        <f>SUM('[7]TGSPDCL MoD'!Z49:Z51)</f>
        <v>19.4180478273036</v>
      </c>
      <c r="K235" s="384">
        <f>SUM('[7]TGSPDCL MoD'!AA49:AA51)</f>
        <v>25.0816451102672</v>
      </c>
      <c r="L235" s="384">
        <f>SUM('[7]TGSPDCL MoD'!AB49:AB51)</f>
        <v>24.6013198756823</v>
      </c>
      <c r="M235" s="384">
        <f>SUM('[7]TGSPDCL MoD'!AC49:AC51)</f>
        <v>13.8092515535964</v>
      </c>
      <c r="N235" s="384">
        <f>SUM('[7]TGSPDCL MoD'!AD49:AD51)</f>
        <v>20.9013709252227</v>
      </c>
      <c r="O235" s="384">
        <f>SUM('[7]TGSPDCL MoD'!AE49:AE51)</f>
        <v>25.0971040684293</v>
      </c>
      <c r="P235" s="384">
        <f>SUM('[7]TGSPDCL MoD'!AF49:AF51)</f>
        <v>29.2619192953117</v>
      </c>
      <c r="Q235" s="384">
        <f t="shared" si="156"/>
        <v>239.03645175</v>
      </c>
    </row>
    <row r="236" spans="3:17">
      <c r="C236" s="711"/>
      <c r="D236" s="296" t="s">
        <v>378</v>
      </c>
      <c r="E236" s="296">
        <f>'[7]TGSPDCL MoD'!U53</f>
        <v>0</v>
      </c>
      <c r="F236" s="296">
        <f>'[7]TGSPDCL MoD'!V53</f>
        <v>0</v>
      </c>
      <c r="G236" s="296">
        <f>'[7]TGSPDCL MoD'!W53</f>
        <v>0</v>
      </c>
      <c r="H236" s="296">
        <f>'[7]TGSPDCL MoD'!X53</f>
        <v>0</v>
      </c>
      <c r="I236" s="296">
        <f>'[7]TGSPDCL MoD'!Y53</f>
        <v>0</v>
      </c>
      <c r="J236" s="296">
        <f>'[7]TGSPDCL MoD'!Z53</f>
        <v>0</v>
      </c>
      <c r="K236" s="296">
        <f>'[7]TGSPDCL MoD'!AA53</f>
        <v>0</v>
      </c>
      <c r="L236" s="296">
        <f>'[7]TGSPDCL MoD'!AB53</f>
        <v>0</v>
      </c>
      <c r="M236" s="296">
        <f>'[7]TGSPDCL MoD'!AC53</f>
        <v>0</v>
      </c>
      <c r="N236" s="296">
        <f>'[7]TGSPDCL MoD'!AD53</f>
        <v>0</v>
      </c>
      <c r="O236" s="296">
        <f>'[7]TGSPDCL MoD'!AE53</f>
        <v>0</v>
      </c>
      <c r="P236" s="296">
        <f>'[7]TGSPDCL MoD'!AF53</f>
        <v>0</v>
      </c>
      <c r="Q236" s="296">
        <f t="shared" si="156"/>
        <v>0</v>
      </c>
    </row>
    <row r="237" spans="3:17">
      <c r="C237" s="711"/>
      <c r="D237" s="296" t="s">
        <v>379</v>
      </c>
      <c r="E237" s="296">
        <f>'[7]TGSPDCL MoD'!U54</f>
        <v>0</v>
      </c>
      <c r="F237" s="296">
        <f>'[7]TGSPDCL MoD'!V54</f>
        <v>0</v>
      </c>
      <c r="G237" s="296">
        <f>'[7]TGSPDCL MoD'!W54</f>
        <v>0</v>
      </c>
      <c r="H237" s="296">
        <f>'[7]TGSPDCL MoD'!X54</f>
        <v>0</v>
      </c>
      <c r="I237" s="296">
        <f>'[7]TGSPDCL MoD'!Y54</f>
        <v>0</v>
      </c>
      <c r="J237" s="296">
        <f>'[7]TGSPDCL MoD'!Z54</f>
        <v>0</v>
      </c>
      <c r="K237" s="296">
        <f>'[7]TGSPDCL MoD'!AA54</f>
        <v>0</v>
      </c>
      <c r="L237" s="296">
        <f>'[7]TGSPDCL MoD'!AB54</f>
        <v>0</v>
      </c>
      <c r="M237" s="296">
        <f>'[7]TGSPDCL MoD'!AC54</f>
        <v>0</v>
      </c>
      <c r="N237" s="296">
        <f>'[7]TGSPDCL MoD'!AD54</f>
        <v>0</v>
      </c>
      <c r="O237" s="296">
        <f>'[7]TGSPDCL MoD'!AE54</f>
        <v>0</v>
      </c>
      <c r="P237" s="296">
        <f>'[7]TGSPDCL MoD'!AF54</f>
        <v>0</v>
      </c>
      <c r="Q237" s="296">
        <f t="shared" si="156"/>
        <v>0</v>
      </c>
    </row>
    <row r="238" spans="3:17">
      <c r="C238" s="713"/>
      <c r="D238" s="296" t="s">
        <v>380</v>
      </c>
      <c r="E238" s="384">
        <f>'[7]TGSPDCL MoD'!U55</f>
        <v>75.7842247086342</v>
      </c>
      <c r="F238" s="384">
        <f>'[7]TGSPDCL MoD'!V55</f>
        <v>74.6597639918044</v>
      </c>
      <c r="G238" s="384">
        <f>'[7]TGSPDCL MoD'!W55</f>
        <v>57.0630612366924</v>
      </c>
      <c r="H238" s="384">
        <f>'[7]TGSPDCL MoD'!X55</f>
        <v>29.4010899877126</v>
      </c>
      <c r="I238" s="384">
        <f>'[7]TGSPDCL MoD'!Y55</f>
        <v>0</v>
      </c>
      <c r="J238" s="384">
        <f>'[7]TGSPDCL MoD'!Z55</f>
        <v>56.905335460089</v>
      </c>
      <c r="K238" s="384">
        <f>'[7]TGSPDCL MoD'!AA55</f>
        <v>78.543352785774</v>
      </c>
      <c r="L238" s="384">
        <f>'[7]TGSPDCL MoD'!AB55</f>
        <v>78.4520158770158</v>
      </c>
      <c r="M238" s="384">
        <f>'[7]TGSPDCL MoD'!AC55</f>
        <v>67.206134226019</v>
      </c>
      <c r="N238" s="384">
        <f>'[7]TGSPDCL MoD'!AD55</f>
        <v>67.6072142085124</v>
      </c>
      <c r="O238" s="384">
        <f>'[7]TGSPDCL MoD'!AE55</f>
        <v>68.64845327824</v>
      </c>
      <c r="P238" s="384">
        <f>'[7]TGSPDCL MoD'!AF55</f>
        <v>82.1316652395065</v>
      </c>
      <c r="Q238" s="384">
        <f t="shared" si="156"/>
        <v>736.402311000001</v>
      </c>
    </row>
    <row r="239" spans="3:17">
      <c r="C239" s="296"/>
      <c r="D239" s="296" t="s">
        <v>450</v>
      </c>
      <c r="E239" s="384">
        <f>'[7]TGSPDCL MoD'!U56</f>
        <v>75.9073215446603</v>
      </c>
      <c r="F239" s="384">
        <f>'[7]TGSPDCL MoD'!V56</f>
        <v>78.2806938264459</v>
      </c>
      <c r="G239" s="384">
        <f>'[7]TGSPDCL MoD'!W56</f>
        <v>55.4135848855168</v>
      </c>
      <c r="H239" s="384">
        <f>'[7]TGSPDCL MoD'!X56</f>
        <v>60.1303144884197</v>
      </c>
      <c r="I239" s="384">
        <f>'[7]TGSPDCL MoD'!Y56</f>
        <v>71.196195658017</v>
      </c>
      <c r="J239" s="384">
        <f>'[7]TGSPDCL MoD'!Z56</f>
        <v>56.6055637612073</v>
      </c>
      <c r="K239" s="384">
        <f>'[7]TGSPDCL MoD'!AA56</f>
        <v>0</v>
      </c>
      <c r="L239" s="384">
        <f>'[7]TGSPDCL MoD'!AB56</f>
        <v>82.7483264765904</v>
      </c>
      <c r="M239" s="384">
        <f>'[7]TGSPDCL MoD'!AC56</f>
        <v>34.6241530386203</v>
      </c>
      <c r="N239" s="384">
        <f>'[7]TGSPDCL MoD'!AD56</f>
        <v>69.7854518868329</v>
      </c>
      <c r="O239" s="384">
        <f>'[7]TGSPDCL MoD'!AE56</f>
        <v>68.7184848422614</v>
      </c>
      <c r="P239" s="384">
        <f>'[7]TGSPDCL MoD'!AF56</f>
        <v>82.9922205914278</v>
      </c>
      <c r="Q239" s="384">
        <f t="shared" si="156"/>
        <v>736.402311</v>
      </c>
    </row>
    <row r="240" spans="3:17">
      <c r="C240" s="296"/>
      <c r="D240" s="296" t="s">
        <v>386</v>
      </c>
      <c r="E240" s="296">
        <f>'[7]TGSPDCL MoD'!U46</f>
        <v>4.97346278375032</v>
      </c>
      <c r="F240" s="296">
        <f>'[7]TGSPDCL MoD'!V46</f>
        <v>5.60025206601356</v>
      </c>
      <c r="G240" s="296">
        <f>'[7]TGSPDCL MoD'!W46</f>
        <v>3.73009708781274</v>
      </c>
      <c r="H240" s="296">
        <f>'[7]TGSPDCL MoD'!X46</f>
        <v>4.01503505979844</v>
      </c>
      <c r="I240" s="296">
        <f>'[7]TGSPDCL MoD'!Y46</f>
        <v>4.49683926697425</v>
      </c>
      <c r="J240" s="296">
        <f>'[7]TGSPDCL MoD'!Z46</f>
        <v>3.73009708781274</v>
      </c>
      <c r="K240" s="296">
        <f>'[7]TGSPDCL MoD'!AA46</f>
        <v>5.46044768132588</v>
      </c>
      <c r="L240" s="296">
        <f>'[7]TGSPDCL MoD'!AB46</f>
        <v>6.37224919168009</v>
      </c>
      <c r="M240" s="296">
        <f>'[7]TGSPDCL MoD'!AC46</f>
        <v>4.17563646219038</v>
      </c>
      <c r="N240" s="296">
        <f>'[7]TGSPDCL MoD'!AD46</f>
        <v>4.28533732878345</v>
      </c>
      <c r="O240" s="296">
        <f>'[7]TGSPDCL MoD'!AE46</f>
        <v>5.07707659174513</v>
      </c>
      <c r="P240" s="296">
        <f>'[7]TGSPDCL MoD'!AF46</f>
        <v>5.78165048610976</v>
      </c>
      <c r="Q240" s="296">
        <f t="shared" si="156"/>
        <v>57.6981810939967</v>
      </c>
    </row>
    <row r="241" spans="3:17">
      <c r="C241" s="296"/>
      <c r="D241" s="296" t="s">
        <v>387</v>
      </c>
      <c r="E241" s="296">
        <f>'[7]TGSPDCL MoD'!U35</f>
        <v>0</v>
      </c>
      <c r="F241" s="296">
        <f>'[7]TGSPDCL MoD'!V35</f>
        <v>0</v>
      </c>
      <c r="G241" s="296">
        <f>'[7]TGSPDCL MoD'!W35</f>
        <v>0</v>
      </c>
      <c r="H241" s="296">
        <f>'[7]TGSPDCL MoD'!X35</f>
        <v>0</v>
      </c>
      <c r="I241" s="296">
        <f>'[7]TGSPDCL MoD'!Y35</f>
        <v>0</v>
      </c>
      <c r="J241" s="296">
        <f>'[7]TGSPDCL MoD'!Z35</f>
        <v>0</v>
      </c>
      <c r="K241" s="296">
        <f>'[7]TGSPDCL MoD'!AA35</f>
        <v>0</v>
      </c>
      <c r="L241" s="296">
        <f>'[7]TGSPDCL MoD'!AB35</f>
        <v>0</v>
      </c>
      <c r="M241" s="296">
        <f>'[7]TGSPDCL MoD'!AC35</f>
        <v>0</v>
      </c>
      <c r="N241" s="296">
        <f>'[7]TGSPDCL MoD'!AD35</f>
        <v>0</v>
      </c>
      <c r="O241" s="296">
        <f>'[7]TGSPDCL MoD'!AE35</f>
        <v>0</v>
      </c>
      <c r="P241" s="296">
        <f>'[7]TGSPDCL MoD'!AF35</f>
        <v>0</v>
      </c>
      <c r="Q241" s="296">
        <f t="shared" si="156"/>
        <v>0</v>
      </c>
    </row>
    <row r="242" spans="3:17">
      <c r="C242" s="296"/>
      <c r="D242" s="296" t="s">
        <v>381</v>
      </c>
      <c r="E242" s="384">
        <f>'[7]TGSPDCL MoD'!U33</f>
        <v>0.196567280849375</v>
      </c>
      <c r="F242" s="384">
        <f>'[7]TGSPDCL MoD'!V33</f>
        <v>0.186650372986704</v>
      </c>
      <c r="G242" s="384">
        <f>'[7]TGSPDCL MoD'!W33</f>
        <v>0.180629393212939</v>
      </c>
      <c r="H242" s="384">
        <f>'[7]TGSPDCL MoD'!X33</f>
        <v>0.207236811183767</v>
      </c>
      <c r="I242" s="384">
        <f>'[7]TGSPDCL MoD'!Y33</f>
        <v>0.219588674102005</v>
      </c>
      <c r="J242" s="384">
        <f>'[7]TGSPDCL MoD'!Z33</f>
        <v>0</v>
      </c>
      <c r="K242" s="384">
        <f>'[7]TGSPDCL MoD'!AA33</f>
        <v>0.219588674102005</v>
      </c>
      <c r="L242" s="384">
        <f>'[7]TGSPDCL MoD'!AB33</f>
        <v>0.200551752758482</v>
      </c>
      <c r="M242" s="384">
        <f>'[7]TGSPDCL MoD'!AC33</f>
        <v>0.194884948265529</v>
      </c>
      <c r="N242" s="384">
        <f>'[7]TGSPDCL MoD'!AD33</f>
        <v>0.207236811183767</v>
      </c>
      <c r="O242" s="384">
        <f>'[7]TGSPDCL MoD'!AE33</f>
        <v>0.198338157253424</v>
      </c>
      <c r="P242" s="384">
        <f>'[7]TGSPDCL MoD'!AF33</f>
        <v>0.219588674102005</v>
      </c>
      <c r="Q242" s="384">
        <f t="shared" si="156"/>
        <v>2.23086155</v>
      </c>
    </row>
    <row r="243" spans="3:17">
      <c r="C243" s="296"/>
      <c r="D243" s="296" t="s">
        <v>382</v>
      </c>
      <c r="E243" s="296">
        <f>'[7]TGSPDCL MoD'!U34</f>
        <v>0.26635826981544</v>
      </c>
      <c r="F243" s="296">
        <f>'[7]TGSPDCL MoD'!V34</f>
        <v>0.252920375122048</v>
      </c>
      <c r="G243" s="296">
        <f>'[7]TGSPDCL MoD'!W34</f>
        <v>0.244761653343918</v>
      </c>
      <c r="H243" s="296">
        <f>'[7]TGSPDCL MoD'!X34</f>
        <v>0.280816004731098</v>
      </c>
      <c r="I243" s="296">
        <f>'[7]TGSPDCL MoD'!Y34</f>
        <v>0.297553382496527</v>
      </c>
      <c r="J243" s="296">
        <f>'[7]TGSPDCL MoD'!Z34</f>
        <v>0</v>
      </c>
      <c r="K243" s="296">
        <f>'[7]TGSPDCL MoD'!AA34</f>
        <v>0.297553382496527</v>
      </c>
      <c r="L243" s="296">
        <f>'[7]TGSPDCL MoD'!AB34</f>
        <v>0.27175742393332</v>
      </c>
      <c r="M243" s="296">
        <f>'[7]TGSPDCL MoD'!AC34</f>
        <v>0.264078626965668</v>
      </c>
      <c r="N243" s="296">
        <f>'[7]TGSPDCL MoD'!AD34</f>
        <v>0.280816004731095</v>
      </c>
      <c r="O243" s="296">
        <f>'[7]TGSPDCL MoD'!AE34</f>
        <v>0.268757893867831</v>
      </c>
      <c r="P243" s="296">
        <f>'[7]TGSPDCL MoD'!AF34</f>
        <v>0.297553382496527</v>
      </c>
      <c r="Q243" s="296">
        <f t="shared" si="156"/>
        <v>3.0229264</v>
      </c>
    </row>
    <row r="244" spans="3:17">
      <c r="C244" s="296"/>
      <c r="D244" s="296" t="s">
        <v>383</v>
      </c>
      <c r="E244" s="384">
        <f>'[7]TGSPDCL MoD'!U52</f>
        <v>5.26360122054381</v>
      </c>
      <c r="F244" s="384">
        <f>'[7]TGSPDCL MoD'!V52</f>
        <v>5.21855238126888</v>
      </c>
      <c r="G244" s="384">
        <f>'[7]TGSPDCL MoD'!W52</f>
        <v>5.05021198187311</v>
      </c>
      <c r="H244" s="384">
        <f>'[7]TGSPDCL MoD'!X52</f>
        <v>5.88005902114804</v>
      </c>
      <c r="I244" s="384">
        <f>'[7]TGSPDCL MoD'!Y52</f>
        <v>0</v>
      </c>
      <c r="J244" s="384">
        <f>'[7]TGSPDCL MoD'!Z52</f>
        <v>5.37029583987916</v>
      </c>
      <c r="K244" s="384">
        <f>'[7]TGSPDCL MoD'!AA52</f>
        <v>5.88005902114804</v>
      </c>
      <c r="L244" s="384">
        <f>'[7]TGSPDCL MoD'!AB52</f>
        <v>5.4769904592145</v>
      </c>
      <c r="M244" s="384">
        <f>'[7]TGSPDCL MoD'!AC52</f>
        <v>5.43905459456194</v>
      </c>
      <c r="N244" s="384">
        <f>'[7]TGSPDCL MoD'!AD52</f>
        <v>5.65955680785499</v>
      </c>
      <c r="O244" s="384">
        <f>'[7]TGSPDCL MoD'!AE52</f>
        <v>5.31102105135952</v>
      </c>
      <c r="P244" s="384">
        <f>'[7]TGSPDCL MoD'!AF52</f>
        <v>5.88005902114804</v>
      </c>
      <c r="Q244" s="384">
        <f t="shared" si="156"/>
        <v>60.4294614</v>
      </c>
    </row>
    <row r="245" spans="3:17">
      <c r="C245" s="296"/>
      <c r="D245" s="296" t="s">
        <v>536</v>
      </c>
      <c r="E245" s="384">
        <f>'[7]TGSPDCL MoD'!U47</f>
        <v>8.70310792863818</v>
      </c>
      <c r="F245" s="384">
        <f>'[7]TGSPDCL MoD'!V47</f>
        <v>0</v>
      </c>
      <c r="G245" s="384">
        <f>'[7]TGSPDCL MoD'!W47</f>
        <v>3.26366547323931</v>
      </c>
      <c r="H245" s="384">
        <f>'[7]TGSPDCL MoD'!X47</f>
        <v>6.75915079734633</v>
      </c>
      <c r="I245" s="384">
        <f>'[7]TGSPDCL MoD'!Y47</f>
        <v>7.58802222528141</v>
      </c>
      <c r="J245" s="384">
        <f>'[7]TGSPDCL MoD'!Z47</f>
        <v>6.52733094647863</v>
      </c>
      <c r="K245" s="384">
        <f>'[7]TGSPDCL MoD'!AA47</f>
        <v>9.27424938645506</v>
      </c>
      <c r="L245" s="384">
        <f>'[7]TGSPDCL MoD'!AB47</f>
        <v>11.1508570335677</v>
      </c>
      <c r="M245" s="384">
        <f>'[7]TGSPDCL MoD'!AC47</f>
        <v>7.3069843650858</v>
      </c>
      <c r="N245" s="384">
        <f>'[7]TGSPDCL MoD'!AD47</f>
        <v>7.3069843650858</v>
      </c>
      <c r="O245" s="384">
        <f>'[7]TGSPDCL MoD'!AE47</f>
        <v>8.63058202923287</v>
      </c>
      <c r="P245" s="384">
        <f>'[7]TGSPDCL MoD'!AF47</f>
        <v>9.92782420683354</v>
      </c>
      <c r="Q245" s="384">
        <f t="shared" si="156"/>
        <v>86.4387587572446</v>
      </c>
    </row>
    <row r="246" spans="3:17">
      <c r="C246" s="296"/>
      <c r="D246" s="296"/>
      <c r="E246" s="296"/>
      <c r="F246" s="296"/>
      <c r="G246" s="296"/>
      <c r="H246" s="296"/>
      <c r="I246" s="296"/>
      <c r="J246" s="296"/>
      <c r="K246" s="296"/>
      <c r="L246" s="296"/>
      <c r="M246" s="296"/>
      <c r="N246" s="296"/>
      <c r="O246" s="296"/>
      <c r="P246" s="296"/>
      <c r="Q246" s="296">
        <f t="shared" si="156"/>
        <v>0</v>
      </c>
    </row>
    <row r="247" spans="3:17">
      <c r="C247" s="296"/>
      <c r="D247" s="296"/>
      <c r="E247" s="296"/>
      <c r="F247" s="296"/>
      <c r="G247" s="296"/>
      <c r="H247" s="296"/>
      <c r="I247" s="296"/>
      <c r="J247" s="296"/>
      <c r="K247" s="296"/>
      <c r="L247" s="296"/>
      <c r="M247" s="296"/>
      <c r="N247" s="296"/>
      <c r="O247" s="296"/>
      <c r="P247" s="296"/>
      <c r="Q247" s="296">
        <f t="shared" si="156"/>
        <v>0</v>
      </c>
    </row>
    <row r="248" spans="3:17">
      <c r="C248" s="296"/>
      <c r="D248" s="296"/>
      <c r="E248" s="296"/>
      <c r="F248" s="296"/>
      <c r="G248" s="296"/>
      <c r="H248" s="296"/>
      <c r="I248" s="296"/>
      <c r="J248" s="296"/>
      <c r="K248" s="296"/>
      <c r="L248" s="296"/>
      <c r="M248" s="296"/>
      <c r="N248" s="296"/>
      <c r="O248" s="296"/>
      <c r="P248" s="296"/>
      <c r="Q248" s="296">
        <f t="shared" si="156"/>
        <v>0</v>
      </c>
    </row>
    <row r="249" spans="3:17">
      <c r="C249" s="296"/>
      <c r="D249" s="296"/>
      <c r="E249" s="296"/>
      <c r="F249" s="296"/>
      <c r="G249" s="296"/>
      <c r="H249" s="296"/>
      <c r="I249" s="296"/>
      <c r="J249" s="296"/>
      <c r="K249" s="296"/>
      <c r="L249" s="296"/>
      <c r="M249" s="296"/>
      <c r="N249" s="296"/>
      <c r="O249" s="296"/>
      <c r="P249" s="296"/>
      <c r="Q249" s="296">
        <f t="shared" si="156"/>
        <v>0</v>
      </c>
    </row>
    <row r="250" spans="3:17">
      <c r="C250" s="296"/>
      <c r="D250" s="296"/>
      <c r="E250" s="296"/>
      <c r="F250" s="296"/>
      <c r="G250" s="296"/>
      <c r="H250" s="296"/>
      <c r="I250" s="296"/>
      <c r="J250" s="296"/>
      <c r="K250" s="296"/>
      <c r="L250" s="296"/>
      <c r="M250" s="296"/>
      <c r="N250" s="296"/>
      <c r="O250" s="296"/>
      <c r="P250" s="296"/>
      <c r="Q250" s="296">
        <f t="shared" si="156"/>
        <v>0</v>
      </c>
    </row>
    <row r="251" spans="3:17">
      <c r="C251" s="296"/>
      <c r="D251" s="296"/>
      <c r="E251" s="296"/>
      <c r="F251" s="296"/>
      <c r="G251" s="296"/>
      <c r="H251" s="296"/>
      <c r="I251" s="296"/>
      <c r="J251" s="296"/>
      <c r="K251" s="296"/>
      <c r="L251" s="296"/>
      <c r="M251" s="296"/>
      <c r="N251" s="296"/>
      <c r="O251" s="296"/>
      <c r="P251" s="296"/>
      <c r="Q251" s="296">
        <f t="shared" si="156"/>
        <v>0</v>
      </c>
    </row>
    <row r="252" spans="3:17">
      <c r="C252" s="296"/>
      <c r="D252" s="296"/>
      <c r="E252" s="296"/>
      <c r="F252" s="296"/>
      <c r="G252" s="296"/>
      <c r="H252" s="296"/>
      <c r="I252" s="296"/>
      <c r="J252" s="296"/>
      <c r="K252" s="296"/>
      <c r="L252" s="296"/>
      <c r="M252" s="296"/>
      <c r="N252" s="296"/>
      <c r="O252" s="296"/>
      <c r="P252" s="296"/>
      <c r="Q252" s="296">
        <f t="shared" si="156"/>
        <v>0</v>
      </c>
    </row>
    <row r="253" spans="3:17">
      <c r="C253" s="296"/>
      <c r="D253" s="296"/>
      <c r="E253" s="296"/>
      <c r="F253" s="296"/>
      <c r="G253" s="296"/>
      <c r="H253" s="296"/>
      <c r="I253" s="296"/>
      <c r="J253" s="296"/>
      <c r="K253" s="296"/>
      <c r="L253" s="296"/>
      <c r="M253" s="296"/>
      <c r="N253" s="296"/>
      <c r="O253" s="296"/>
      <c r="P253" s="296"/>
      <c r="Q253" s="296">
        <f t="shared" si="156"/>
        <v>0</v>
      </c>
    </row>
    <row r="254" spans="3:17">
      <c r="C254" s="296"/>
      <c r="D254" s="296"/>
      <c r="E254" s="296"/>
      <c r="F254" s="296"/>
      <c r="G254" s="296"/>
      <c r="H254" s="296"/>
      <c r="I254" s="296"/>
      <c r="J254" s="296"/>
      <c r="K254" s="296"/>
      <c r="L254" s="296"/>
      <c r="M254" s="296"/>
      <c r="N254" s="296"/>
      <c r="O254" s="296"/>
      <c r="P254" s="296"/>
      <c r="Q254" s="296">
        <f t="shared" si="156"/>
        <v>0</v>
      </c>
    </row>
    <row r="255" spans="3:17">
      <c r="C255" s="296"/>
      <c r="D255" s="296"/>
      <c r="E255" s="296"/>
      <c r="F255" s="296"/>
      <c r="G255" s="296"/>
      <c r="H255" s="296"/>
      <c r="I255" s="296"/>
      <c r="J255" s="296"/>
      <c r="K255" s="296"/>
      <c r="L255" s="296"/>
      <c r="M255" s="296"/>
      <c r="N255" s="296"/>
      <c r="O255" s="296"/>
      <c r="P255" s="296"/>
      <c r="Q255" s="296">
        <f t="shared" si="156"/>
        <v>0</v>
      </c>
    </row>
    <row r="256" ht="15" spans="3:17">
      <c r="C256" s="285" t="s">
        <v>211</v>
      </c>
      <c r="D256" s="286"/>
      <c r="E256" s="384">
        <f t="shared" ref="E256:P256" si="157">SUM(E230:E255)</f>
        <v>257.925514985425</v>
      </c>
      <c r="F256" s="384">
        <f t="shared" si="157"/>
        <v>248.244137038893</v>
      </c>
      <c r="G256" s="384">
        <f t="shared" si="157"/>
        <v>191.33230325965</v>
      </c>
      <c r="H256" s="384">
        <f t="shared" si="157"/>
        <v>161.514090415153</v>
      </c>
      <c r="I256" s="384">
        <f t="shared" si="157"/>
        <v>157.412159052432</v>
      </c>
      <c r="J256" s="384">
        <f t="shared" si="157"/>
        <v>202.482058728512</v>
      </c>
      <c r="K256" s="384">
        <f t="shared" si="157"/>
        <v>196.639516325114</v>
      </c>
      <c r="L256" s="384">
        <f t="shared" si="157"/>
        <v>275.914386462557</v>
      </c>
      <c r="M256" s="384">
        <f t="shared" si="157"/>
        <v>186.445937365374</v>
      </c>
      <c r="N256" s="384">
        <f t="shared" si="157"/>
        <v>232.266529432242</v>
      </c>
      <c r="O256" s="384">
        <f t="shared" si="157"/>
        <v>249.934793075911</v>
      </c>
      <c r="P256" s="384">
        <f t="shared" si="157"/>
        <v>294.791155059979</v>
      </c>
      <c r="Q256" s="722">
        <f t="shared" si="156"/>
        <v>2654.90258120124</v>
      </c>
    </row>
    <row r="257" ht="15" spans="3:17">
      <c r="C257" s="285" t="s">
        <v>388</v>
      </c>
      <c r="D257" s="286"/>
      <c r="E257" s="296"/>
      <c r="F257" s="296"/>
      <c r="G257" s="296"/>
      <c r="H257" s="296"/>
      <c r="I257" s="296"/>
      <c r="J257" s="296"/>
      <c r="K257" s="296"/>
      <c r="L257" s="296"/>
      <c r="M257" s="296"/>
      <c r="N257" s="296"/>
      <c r="O257" s="296"/>
      <c r="P257" s="296"/>
      <c r="Q257" s="296"/>
    </row>
    <row r="258" spans="3:17">
      <c r="C258" s="710" t="s">
        <v>389</v>
      </c>
      <c r="D258" s="296" t="s">
        <v>390</v>
      </c>
      <c r="E258" s="384">
        <v>0</v>
      </c>
      <c r="F258" s="384">
        <v>0</v>
      </c>
      <c r="G258" s="384">
        <v>0</v>
      </c>
      <c r="H258" s="384">
        <v>0</v>
      </c>
      <c r="I258" s="384">
        <v>0</v>
      </c>
      <c r="J258" s="384">
        <v>0</v>
      </c>
      <c r="K258" s="384">
        <v>0</v>
      </c>
      <c r="L258" s="384">
        <v>0</v>
      </c>
      <c r="M258" s="384">
        <v>0</v>
      </c>
      <c r="N258" s="384">
        <v>0</v>
      </c>
      <c r="O258" s="384">
        <v>0</v>
      </c>
      <c r="P258" s="384">
        <v>0</v>
      </c>
      <c r="Q258" s="384">
        <f t="shared" ref="Q258:Q272" si="158">SUM(E258:P258)</f>
        <v>0</v>
      </c>
    </row>
    <row r="259" spans="3:17">
      <c r="C259" s="711"/>
      <c r="D259" s="296" t="s">
        <v>391</v>
      </c>
      <c r="E259" s="384">
        <v>0</v>
      </c>
      <c r="F259" s="384">
        <v>0</v>
      </c>
      <c r="G259" s="384">
        <v>0</v>
      </c>
      <c r="H259" s="384">
        <v>0</v>
      </c>
      <c r="I259" s="384">
        <v>0</v>
      </c>
      <c r="J259" s="384">
        <v>0</v>
      </c>
      <c r="K259" s="384">
        <v>0</v>
      </c>
      <c r="L259" s="384">
        <v>0</v>
      </c>
      <c r="M259" s="384">
        <v>0</v>
      </c>
      <c r="N259" s="384">
        <v>0</v>
      </c>
      <c r="O259" s="384">
        <v>0</v>
      </c>
      <c r="P259" s="384">
        <v>0</v>
      </c>
      <c r="Q259" s="384">
        <f t="shared" si="158"/>
        <v>0</v>
      </c>
    </row>
    <row r="260" spans="3:17">
      <c r="C260" s="711"/>
      <c r="D260" s="296" t="s">
        <v>392</v>
      </c>
      <c r="E260" s="384">
        <v>0</v>
      </c>
      <c r="F260" s="384">
        <v>0</v>
      </c>
      <c r="G260" s="384">
        <v>0</v>
      </c>
      <c r="H260" s="384">
        <v>0</v>
      </c>
      <c r="I260" s="384">
        <v>0</v>
      </c>
      <c r="J260" s="384">
        <v>0</v>
      </c>
      <c r="K260" s="384">
        <v>0</v>
      </c>
      <c r="L260" s="384">
        <v>0</v>
      </c>
      <c r="M260" s="384">
        <v>0</v>
      </c>
      <c r="N260" s="384">
        <v>0</v>
      </c>
      <c r="O260" s="384">
        <v>0</v>
      </c>
      <c r="P260" s="384">
        <v>0</v>
      </c>
      <c r="Q260" s="384">
        <f t="shared" si="158"/>
        <v>0</v>
      </c>
    </row>
    <row r="261" spans="3:17">
      <c r="C261" s="713"/>
      <c r="D261" s="296" t="s">
        <v>393</v>
      </c>
      <c r="E261" s="384">
        <v>0</v>
      </c>
      <c r="F261" s="384">
        <v>0</v>
      </c>
      <c r="G261" s="384">
        <v>0</v>
      </c>
      <c r="H261" s="384">
        <v>0</v>
      </c>
      <c r="I261" s="384">
        <v>0</v>
      </c>
      <c r="J261" s="384">
        <v>0</v>
      </c>
      <c r="K261" s="384">
        <v>0</v>
      </c>
      <c r="L261" s="384">
        <v>0</v>
      </c>
      <c r="M261" s="384">
        <v>0</v>
      </c>
      <c r="N261" s="384">
        <v>0</v>
      </c>
      <c r="O261" s="384">
        <v>0</v>
      </c>
      <c r="P261" s="384">
        <v>0</v>
      </c>
      <c r="Q261" s="384">
        <f t="shared" si="158"/>
        <v>0</v>
      </c>
    </row>
    <row r="262" spans="3:17">
      <c r="C262" s="296"/>
      <c r="D262" s="296"/>
      <c r="E262" s="384"/>
      <c r="F262" s="384"/>
      <c r="G262" s="384"/>
      <c r="H262" s="384"/>
      <c r="I262" s="384"/>
      <c r="J262" s="384"/>
      <c r="K262" s="384"/>
      <c r="L262" s="384"/>
      <c r="M262" s="384"/>
      <c r="N262" s="384"/>
      <c r="O262" s="384"/>
      <c r="P262" s="384"/>
      <c r="Q262" s="384">
        <f t="shared" si="158"/>
        <v>0</v>
      </c>
    </row>
    <row r="263" spans="3:17">
      <c r="C263" s="296"/>
      <c r="D263" s="296"/>
      <c r="E263" s="384"/>
      <c r="F263" s="384"/>
      <c r="G263" s="384"/>
      <c r="H263" s="384"/>
      <c r="I263" s="384"/>
      <c r="J263" s="384"/>
      <c r="K263" s="384"/>
      <c r="L263" s="384"/>
      <c r="M263" s="384"/>
      <c r="N263" s="384"/>
      <c r="O263" s="384"/>
      <c r="P263" s="384"/>
      <c r="Q263" s="384">
        <f t="shared" si="158"/>
        <v>0</v>
      </c>
    </row>
    <row r="264" spans="3:17">
      <c r="C264" s="296"/>
      <c r="D264" s="296"/>
      <c r="E264" s="384"/>
      <c r="F264" s="384"/>
      <c r="G264" s="384"/>
      <c r="H264" s="384"/>
      <c r="I264" s="384"/>
      <c r="J264" s="384"/>
      <c r="K264" s="384"/>
      <c r="L264" s="384"/>
      <c r="M264" s="384"/>
      <c r="N264" s="384"/>
      <c r="O264" s="384"/>
      <c r="P264" s="384"/>
      <c r="Q264" s="384">
        <f t="shared" si="158"/>
        <v>0</v>
      </c>
    </row>
    <row r="265" spans="3:17">
      <c r="C265" s="296"/>
      <c r="D265" s="296"/>
      <c r="E265" s="384"/>
      <c r="F265" s="384"/>
      <c r="G265" s="384"/>
      <c r="H265" s="384"/>
      <c r="I265" s="384"/>
      <c r="J265" s="384"/>
      <c r="K265" s="384"/>
      <c r="L265" s="384"/>
      <c r="M265" s="384"/>
      <c r="N265" s="384"/>
      <c r="O265" s="384"/>
      <c r="P265" s="384"/>
      <c r="Q265" s="384">
        <f t="shared" si="158"/>
        <v>0</v>
      </c>
    </row>
    <row r="266" spans="3:17">
      <c r="C266" s="296"/>
      <c r="D266" s="296"/>
      <c r="E266" s="384"/>
      <c r="F266" s="384"/>
      <c r="G266" s="384"/>
      <c r="H266" s="384"/>
      <c r="I266" s="384"/>
      <c r="J266" s="384"/>
      <c r="K266" s="384"/>
      <c r="L266" s="384"/>
      <c r="M266" s="384"/>
      <c r="N266" s="384"/>
      <c r="O266" s="384"/>
      <c r="P266" s="384"/>
      <c r="Q266" s="384">
        <f t="shared" si="158"/>
        <v>0</v>
      </c>
    </row>
    <row r="267" spans="3:17">
      <c r="C267" s="296"/>
      <c r="D267" s="296"/>
      <c r="E267" s="384"/>
      <c r="F267" s="384"/>
      <c r="G267" s="384"/>
      <c r="H267" s="384"/>
      <c r="I267" s="384"/>
      <c r="J267" s="384"/>
      <c r="K267" s="384"/>
      <c r="L267" s="384"/>
      <c r="M267" s="384"/>
      <c r="N267" s="384"/>
      <c r="O267" s="384"/>
      <c r="P267" s="384"/>
      <c r="Q267" s="384">
        <f t="shared" si="158"/>
        <v>0</v>
      </c>
    </row>
    <row r="268" spans="3:17">
      <c r="C268" s="296"/>
      <c r="D268" s="296"/>
      <c r="E268" s="384"/>
      <c r="F268" s="384"/>
      <c r="G268" s="384"/>
      <c r="H268" s="384"/>
      <c r="I268" s="384"/>
      <c r="J268" s="384"/>
      <c r="K268" s="384"/>
      <c r="L268" s="384"/>
      <c r="M268" s="384"/>
      <c r="N268" s="384"/>
      <c r="O268" s="384"/>
      <c r="P268" s="384"/>
      <c r="Q268" s="384">
        <f t="shared" si="158"/>
        <v>0</v>
      </c>
    </row>
    <row r="269" spans="3:17">
      <c r="C269" s="296"/>
      <c r="D269" s="296"/>
      <c r="E269" s="384"/>
      <c r="F269" s="384"/>
      <c r="G269" s="384"/>
      <c r="H269" s="384"/>
      <c r="I269" s="384"/>
      <c r="J269" s="384"/>
      <c r="K269" s="384"/>
      <c r="L269" s="384"/>
      <c r="M269" s="384"/>
      <c r="N269" s="384"/>
      <c r="O269" s="384"/>
      <c r="P269" s="384"/>
      <c r="Q269" s="384">
        <f t="shared" si="158"/>
        <v>0</v>
      </c>
    </row>
    <row r="270" spans="3:17">
      <c r="C270" s="296"/>
      <c r="D270" s="296"/>
      <c r="E270" s="384"/>
      <c r="F270" s="384"/>
      <c r="G270" s="384"/>
      <c r="H270" s="384"/>
      <c r="I270" s="384"/>
      <c r="J270" s="384"/>
      <c r="K270" s="384"/>
      <c r="L270" s="384"/>
      <c r="M270" s="384"/>
      <c r="N270" s="384"/>
      <c r="O270" s="384"/>
      <c r="P270" s="384"/>
      <c r="Q270" s="384">
        <f t="shared" si="158"/>
        <v>0</v>
      </c>
    </row>
    <row r="271" spans="3:17">
      <c r="C271" s="296"/>
      <c r="D271" s="296"/>
      <c r="E271" s="384"/>
      <c r="F271" s="384"/>
      <c r="G271" s="384"/>
      <c r="H271" s="384"/>
      <c r="I271" s="384"/>
      <c r="J271" s="384"/>
      <c r="K271" s="384"/>
      <c r="L271" s="384"/>
      <c r="M271" s="384"/>
      <c r="N271" s="384"/>
      <c r="O271" s="384"/>
      <c r="P271" s="384"/>
      <c r="Q271" s="384">
        <f t="shared" si="158"/>
        <v>0</v>
      </c>
    </row>
    <row r="272" ht="15" spans="3:17">
      <c r="C272" s="285" t="s">
        <v>211</v>
      </c>
      <c r="D272" s="286"/>
      <c r="E272" s="384">
        <f t="shared" ref="E272:P272" si="159">SUM(E258:E271)</f>
        <v>0</v>
      </c>
      <c r="F272" s="384">
        <f t="shared" si="159"/>
        <v>0</v>
      </c>
      <c r="G272" s="384">
        <f t="shared" si="159"/>
        <v>0</v>
      </c>
      <c r="H272" s="384">
        <f t="shared" si="159"/>
        <v>0</v>
      </c>
      <c r="I272" s="384">
        <f t="shared" si="159"/>
        <v>0</v>
      </c>
      <c r="J272" s="384">
        <f t="shared" si="159"/>
        <v>0</v>
      </c>
      <c r="K272" s="384">
        <f t="shared" si="159"/>
        <v>0</v>
      </c>
      <c r="L272" s="384">
        <f t="shared" si="159"/>
        <v>0</v>
      </c>
      <c r="M272" s="384">
        <f t="shared" si="159"/>
        <v>0</v>
      </c>
      <c r="N272" s="384">
        <f t="shared" si="159"/>
        <v>0</v>
      </c>
      <c r="O272" s="384">
        <f t="shared" si="159"/>
        <v>0</v>
      </c>
      <c r="P272" s="384">
        <f t="shared" si="159"/>
        <v>0</v>
      </c>
      <c r="Q272" s="722">
        <f t="shared" si="158"/>
        <v>0</v>
      </c>
    </row>
    <row r="273" ht="15" spans="3:17">
      <c r="C273" s="285" t="s">
        <v>395</v>
      </c>
      <c r="D273" s="286"/>
      <c r="E273" s="384">
        <f t="shared" ref="E273:Q273" si="160">E256+E272</f>
        <v>257.925514985425</v>
      </c>
      <c r="F273" s="384">
        <f t="shared" si="160"/>
        <v>248.244137038893</v>
      </c>
      <c r="G273" s="384">
        <f t="shared" si="160"/>
        <v>191.33230325965</v>
      </c>
      <c r="H273" s="384">
        <f t="shared" si="160"/>
        <v>161.514090415153</v>
      </c>
      <c r="I273" s="384">
        <f t="shared" si="160"/>
        <v>157.412159052432</v>
      </c>
      <c r="J273" s="384">
        <f t="shared" si="160"/>
        <v>202.482058728512</v>
      </c>
      <c r="K273" s="384">
        <f t="shared" si="160"/>
        <v>196.639516325114</v>
      </c>
      <c r="L273" s="384">
        <f t="shared" si="160"/>
        <v>275.914386462557</v>
      </c>
      <c r="M273" s="384">
        <f t="shared" si="160"/>
        <v>186.445937365374</v>
      </c>
      <c r="N273" s="384">
        <f t="shared" si="160"/>
        <v>232.266529432242</v>
      </c>
      <c r="O273" s="384">
        <f t="shared" si="160"/>
        <v>249.934793075911</v>
      </c>
      <c r="P273" s="384">
        <f t="shared" si="160"/>
        <v>294.791155059979</v>
      </c>
      <c r="Q273" s="722">
        <f t="shared" si="160"/>
        <v>2654.90258120124</v>
      </c>
    </row>
    <row r="274" ht="15" spans="3:17">
      <c r="C274" s="708" t="s">
        <v>396</v>
      </c>
      <c r="D274" s="709"/>
      <c r="E274" s="296"/>
      <c r="F274" s="296"/>
      <c r="G274" s="296"/>
      <c r="H274" s="296"/>
      <c r="I274" s="296"/>
      <c r="J274" s="296"/>
      <c r="K274" s="296"/>
      <c r="L274" s="296"/>
      <c r="M274" s="296"/>
      <c r="N274" s="296"/>
      <c r="O274" s="296"/>
      <c r="P274" s="296"/>
      <c r="Q274" s="296"/>
    </row>
    <row r="275" spans="3:17">
      <c r="C275" s="296" t="s">
        <v>397</v>
      </c>
      <c r="D275" s="296" t="s">
        <v>397</v>
      </c>
      <c r="E275" s="384">
        <f>'[7]TGSPDCL MoD'!U23</f>
        <v>20.1619150153883</v>
      </c>
      <c r="F275" s="384">
        <f>'[7]TGSPDCL MoD'!V23</f>
        <v>19.6538314348202</v>
      </c>
      <c r="G275" s="384">
        <f>'[7]TGSPDCL MoD'!W23</f>
        <v>19.0795852550055</v>
      </c>
      <c r="H275" s="384">
        <f>'[7]TGSPDCL MoD'!X23</f>
        <v>22.3147478205864</v>
      </c>
      <c r="I275" s="384">
        <f>'[7]TGSPDCL MoD'!Y23</f>
        <v>22.5232203775509</v>
      </c>
      <c r="J275" s="384">
        <f>'[7]TGSPDCL MoD'!Z23</f>
        <v>0</v>
      </c>
      <c r="K275" s="384">
        <f>'[7]TGSPDCL MoD'!AA23</f>
        <v>22.5232203775509</v>
      </c>
      <c r="L275" s="384">
        <f>'[7]TGSPDCL MoD'!AB23</f>
        <v>10.33886082449</v>
      </c>
      <c r="M275" s="384">
        <f>'[7]TGSPDCL MoD'!AC23</f>
        <v>20.7773244949304</v>
      </c>
      <c r="N275" s="384">
        <f>'[7]TGSPDCL MoD'!AD23</f>
        <v>21.3933451327259</v>
      </c>
      <c r="O275" s="384">
        <f>'[7]TGSPDCL MoD'!AE23</f>
        <v>20.3435538894008</v>
      </c>
      <c r="P275" s="384">
        <f>'[7]TGSPDCL MoD'!AF23</f>
        <v>22.5232203775509</v>
      </c>
      <c r="Q275" s="296">
        <f t="shared" ref="Q275:Q282" si="161">SUM(E275:P275)</f>
        <v>221.632825</v>
      </c>
    </row>
    <row r="276" spans="3:17">
      <c r="C276" s="296" t="s">
        <v>398</v>
      </c>
      <c r="D276" s="296" t="s">
        <v>398</v>
      </c>
      <c r="E276" s="296">
        <v>0</v>
      </c>
      <c r="F276" s="296">
        <v>0</v>
      </c>
      <c r="G276" s="296">
        <v>0</v>
      </c>
      <c r="H276" s="296">
        <v>0</v>
      </c>
      <c r="I276" s="296">
        <v>0</v>
      </c>
      <c r="J276" s="296">
        <v>0</v>
      </c>
      <c r="K276" s="296">
        <v>0</v>
      </c>
      <c r="L276" s="296">
        <v>0</v>
      </c>
      <c r="M276" s="296">
        <v>0</v>
      </c>
      <c r="N276" s="296">
        <v>0</v>
      </c>
      <c r="O276" s="296">
        <v>0</v>
      </c>
      <c r="P276" s="296">
        <v>0</v>
      </c>
      <c r="Q276" s="296">
        <f t="shared" si="161"/>
        <v>0</v>
      </c>
    </row>
    <row r="277" spans="3:17">
      <c r="C277" s="296"/>
      <c r="D277" s="296"/>
      <c r="E277" s="296"/>
      <c r="F277" s="296"/>
      <c r="G277" s="296"/>
      <c r="H277" s="296"/>
      <c r="I277" s="296"/>
      <c r="J277" s="296"/>
      <c r="K277" s="296"/>
      <c r="L277" s="296"/>
      <c r="M277" s="296"/>
      <c r="N277" s="296"/>
      <c r="O277" s="296"/>
      <c r="P277" s="296"/>
      <c r="Q277" s="296">
        <f t="shared" si="161"/>
        <v>0</v>
      </c>
    </row>
    <row r="278" spans="3:17">
      <c r="C278" s="296"/>
      <c r="D278" s="296"/>
      <c r="E278" s="296"/>
      <c r="F278" s="296"/>
      <c r="G278" s="296"/>
      <c r="H278" s="296"/>
      <c r="I278" s="296"/>
      <c r="J278" s="296"/>
      <c r="K278" s="296"/>
      <c r="L278" s="296"/>
      <c r="M278" s="296"/>
      <c r="N278" s="296"/>
      <c r="O278" s="296"/>
      <c r="P278" s="296"/>
      <c r="Q278" s="296">
        <f t="shared" si="161"/>
        <v>0</v>
      </c>
    </row>
    <row r="279" spans="3:17">
      <c r="C279" s="296"/>
      <c r="D279" s="296"/>
      <c r="E279" s="296"/>
      <c r="F279" s="296"/>
      <c r="G279" s="296"/>
      <c r="H279" s="296"/>
      <c r="I279" s="296"/>
      <c r="J279" s="296"/>
      <c r="K279" s="296"/>
      <c r="L279" s="296"/>
      <c r="M279" s="296"/>
      <c r="N279" s="296"/>
      <c r="O279" s="296"/>
      <c r="P279" s="296"/>
      <c r="Q279" s="296">
        <f t="shared" si="161"/>
        <v>0</v>
      </c>
    </row>
    <row r="280" spans="3:17">
      <c r="C280" s="296"/>
      <c r="D280" s="296"/>
      <c r="E280" s="296"/>
      <c r="F280" s="296"/>
      <c r="G280" s="296"/>
      <c r="H280" s="296"/>
      <c r="I280" s="296"/>
      <c r="J280" s="296"/>
      <c r="K280" s="296"/>
      <c r="L280" s="296"/>
      <c r="M280" s="296"/>
      <c r="N280" s="296"/>
      <c r="O280" s="296"/>
      <c r="P280" s="296"/>
      <c r="Q280" s="296">
        <f t="shared" si="161"/>
        <v>0</v>
      </c>
    </row>
    <row r="281" spans="3:17">
      <c r="C281" s="296"/>
      <c r="D281" s="296"/>
      <c r="E281" s="296"/>
      <c r="F281" s="296"/>
      <c r="G281" s="296"/>
      <c r="H281" s="296"/>
      <c r="I281" s="296"/>
      <c r="J281" s="296"/>
      <c r="K281" s="296"/>
      <c r="L281" s="296"/>
      <c r="M281" s="296"/>
      <c r="N281" s="296"/>
      <c r="O281" s="296"/>
      <c r="P281" s="296"/>
      <c r="Q281" s="296">
        <f t="shared" si="161"/>
        <v>0</v>
      </c>
    </row>
    <row r="282" ht="15" spans="3:17">
      <c r="C282" s="285" t="s">
        <v>399</v>
      </c>
      <c r="D282" s="286"/>
      <c r="E282" s="384">
        <f t="shared" ref="E282:P282" si="162">SUM(E275:E281)</f>
        <v>20.1619150153883</v>
      </c>
      <c r="F282" s="384">
        <f t="shared" si="162"/>
        <v>19.6538314348202</v>
      </c>
      <c r="G282" s="384">
        <f t="shared" si="162"/>
        <v>19.0795852550055</v>
      </c>
      <c r="H282" s="384">
        <f t="shared" si="162"/>
        <v>22.3147478205864</v>
      </c>
      <c r="I282" s="384">
        <f t="shared" si="162"/>
        <v>22.5232203775509</v>
      </c>
      <c r="J282" s="384">
        <f t="shared" si="162"/>
        <v>0</v>
      </c>
      <c r="K282" s="384">
        <f t="shared" si="162"/>
        <v>22.5232203775509</v>
      </c>
      <c r="L282" s="384">
        <f t="shared" si="162"/>
        <v>10.33886082449</v>
      </c>
      <c r="M282" s="384">
        <f t="shared" si="162"/>
        <v>20.7773244949304</v>
      </c>
      <c r="N282" s="384">
        <f t="shared" si="162"/>
        <v>21.3933451327259</v>
      </c>
      <c r="O282" s="384">
        <f t="shared" si="162"/>
        <v>20.3435538894008</v>
      </c>
      <c r="P282" s="384">
        <f t="shared" si="162"/>
        <v>22.5232203775509</v>
      </c>
      <c r="Q282" s="722">
        <f t="shared" si="161"/>
        <v>221.632825</v>
      </c>
    </row>
    <row r="283" ht="15" spans="3:17">
      <c r="C283" s="708" t="s">
        <v>400</v>
      </c>
      <c r="D283" s="709"/>
      <c r="E283" s="296"/>
      <c r="F283" s="296"/>
      <c r="G283" s="296"/>
      <c r="H283" s="296"/>
      <c r="I283" s="296"/>
      <c r="J283" s="296"/>
      <c r="K283" s="296"/>
      <c r="L283" s="296"/>
      <c r="M283" s="296"/>
      <c r="N283" s="296"/>
      <c r="O283" s="296"/>
      <c r="P283" s="296"/>
      <c r="Q283" s="296"/>
    </row>
    <row r="284" spans="3:17">
      <c r="C284" s="296" t="s">
        <v>401</v>
      </c>
      <c r="D284" s="296" t="s">
        <v>401</v>
      </c>
      <c r="E284" s="384">
        <f>'[7]TGSPDCL MoD'!U20+'[7]TGSPDCL MoD'!U21</f>
        <v>104.783839368681</v>
      </c>
      <c r="F284" s="384">
        <f>'[7]TGSPDCL MoD'!V20+'[7]TGSPDCL MoD'!V21</f>
        <v>58.7971913285419</v>
      </c>
      <c r="G284" s="384">
        <f>'[7]TGSPDCL MoD'!W20+'[7]TGSPDCL MoD'!W21</f>
        <v>20.1925659429083</v>
      </c>
      <c r="H284" s="384">
        <f>'[7]TGSPDCL MoD'!X20+'[7]TGSPDCL MoD'!X21</f>
        <v>64.364506284447</v>
      </c>
      <c r="I284" s="384">
        <f>'[7]TGSPDCL MoD'!Y20+'[7]TGSPDCL MoD'!Y21</f>
        <v>102.066565645987</v>
      </c>
      <c r="J284" s="384">
        <f>'[7]TGSPDCL MoD'!Z20+'[7]TGSPDCL MoD'!Z21</f>
        <v>81.2864153388342</v>
      </c>
      <c r="K284" s="384">
        <f>'[7]TGSPDCL MoD'!AA20+'[7]TGSPDCL MoD'!AA21</f>
        <v>112.653181618931</v>
      </c>
      <c r="L284" s="384">
        <f>'[7]TGSPDCL MoD'!AB20+'[7]TGSPDCL MoD'!AB21</f>
        <v>0</v>
      </c>
      <c r="M284" s="384">
        <f>'[7]TGSPDCL MoD'!AC20+'[7]TGSPDCL MoD'!AC21</f>
        <v>88.7688332341801</v>
      </c>
      <c r="N284" s="384">
        <f>'[7]TGSPDCL MoD'!AD20+'[7]TGSPDCL MoD'!AD21</f>
        <v>91.2935721691968</v>
      </c>
      <c r="O284" s="384">
        <f>'[7]TGSPDCL MoD'!AE20+'[7]TGSPDCL MoD'!AE21</f>
        <v>99.5875529051592</v>
      </c>
      <c r="P284" s="384">
        <f>'[7]TGSPDCL MoD'!AF20+'[7]TGSPDCL MoD'!AF21</f>
        <v>120.616296163133</v>
      </c>
      <c r="Q284" s="384">
        <f t="shared" ref="Q284:Q292" si="163">SUM(E284:P284)</f>
        <v>944.41052</v>
      </c>
    </row>
    <row r="285" spans="3:17">
      <c r="C285" s="296" t="s">
        <v>402</v>
      </c>
      <c r="D285" s="296" t="s">
        <v>402</v>
      </c>
      <c r="E285" s="296"/>
      <c r="F285" s="296"/>
      <c r="G285" s="296"/>
      <c r="H285" s="296"/>
      <c r="I285" s="296"/>
      <c r="J285" s="296"/>
      <c r="K285" s="296"/>
      <c r="L285" s="296"/>
      <c r="M285" s="296"/>
      <c r="N285" s="296"/>
      <c r="O285" s="296"/>
      <c r="P285" s="296"/>
      <c r="Q285" s="296">
        <f t="shared" si="163"/>
        <v>0</v>
      </c>
    </row>
    <row r="286" spans="3:17">
      <c r="C286" s="296" t="s">
        <v>403</v>
      </c>
      <c r="D286" s="296" t="s">
        <v>403</v>
      </c>
      <c r="E286" s="296"/>
      <c r="F286" s="296"/>
      <c r="G286" s="296"/>
      <c r="H286" s="296"/>
      <c r="I286" s="296"/>
      <c r="J286" s="296"/>
      <c r="K286" s="296"/>
      <c r="L286" s="296"/>
      <c r="M286" s="296"/>
      <c r="N286" s="296"/>
      <c r="O286" s="296"/>
      <c r="P286" s="296"/>
      <c r="Q286" s="296">
        <f t="shared" si="163"/>
        <v>0</v>
      </c>
    </row>
    <row r="287" spans="3:17">
      <c r="C287" s="296"/>
      <c r="D287" s="296"/>
      <c r="E287" s="296"/>
      <c r="F287" s="296"/>
      <c r="G287" s="296"/>
      <c r="H287" s="296"/>
      <c r="I287" s="296"/>
      <c r="J287" s="296"/>
      <c r="K287" s="296"/>
      <c r="L287" s="296"/>
      <c r="M287" s="296"/>
      <c r="N287" s="296"/>
      <c r="O287" s="296"/>
      <c r="P287" s="296"/>
      <c r="Q287" s="296">
        <f t="shared" si="163"/>
        <v>0</v>
      </c>
    </row>
    <row r="288" spans="3:17">
      <c r="C288" s="296"/>
      <c r="D288" s="296"/>
      <c r="E288" s="296"/>
      <c r="F288" s="296"/>
      <c r="G288" s="296"/>
      <c r="H288" s="296"/>
      <c r="I288" s="296"/>
      <c r="J288" s="296"/>
      <c r="K288" s="296"/>
      <c r="L288" s="296"/>
      <c r="M288" s="296"/>
      <c r="N288" s="296"/>
      <c r="O288" s="296"/>
      <c r="P288" s="296"/>
      <c r="Q288" s="296">
        <f t="shared" si="163"/>
        <v>0</v>
      </c>
    </row>
    <row r="289" spans="3:17">
      <c r="C289" s="296"/>
      <c r="D289" s="296"/>
      <c r="E289" s="296"/>
      <c r="F289" s="296"/>
      <c r="G289" s="296"/>
      <c r="H289" s="296"/>
      <c r="I289" s="296"/>
      <c r="J289" s="296"/>
      <c r="K289" s="296"/>
      <c r="L289" s="296"/>
      <c r="M289" s="296"/>
      <c r="N289" s="296"/>
      <c r="O289" s="296"/>
      <c r="P289" s="296"/>
      <c r="Q289" s="296">
        <f t="shared" si="163"/>
        <v>0</v>
      </c>
    </row>
    <row r="290" spans="3:17">
      <c r="C290" s="296"/>
      <c r="D290" s="296"/>
      <c r="E290" s="296"/>
      <c r="F290" s="296"/>
      <c r="G290" s="296"/>
      <c r="H290" s="296"/>
      <c r="I290" s="296"/>
      <c r="J290" s="296"/>
      <c r="K290" s="296"/>
      <c r="L290" s="296"/>
      <c r="M290" s="296"/>
      <c r="N290" s="296"/>
      <c r="O290" s="296"/>
      <c r="P290" s="296"/>
      <c r="Q290" s="296">
        <f t="shared" si="163"/>
        <v>0</v>
      </c>
    </row>
    <row r="291" spans="3:17">
      <c r="C291" s="296"/>
      <c r="D291" s="296"/>
      <c r="E291" s="296"/>
      <c r="F291" s="296"/>
      <c r="G291" s="296"/>
      <c r="H291" s="296"/>
      <c r="I291" s="296"/>
      <c r="J291" s="296"/>
      <c r="K291" s="296"/>
      <c r="L291" s="296"/>
      <c r="M291" s="296"/>
      <c r="N291" s="296"/>
      <c r="O291" s="296"/>
      <c r="P291" s="296"/>
      <c r="Q291" s="296">
        <f t="shared" si="163"/>
        <v>0</v>
      </c>
    </row>
    <row r="292" ht="15" spans="3:17">
      <c r="C292" s="285" t="s">
        <v>404</v>
      </c>
      <c r="D292" s="286"/>
      <c r="E292" s="384">
        <f t="shared" ref="E292:P292" si="164">SUM(E284:E291)</f>
        <v>104.783839368681</v>
      </c>
      <c r="F292" s="384">
        <f t="shared" si="164"/>
        <v>58.7971913285419</v>
      </c>
      <c r="G292" s="384">
        <f t="shared" si="164"/>
        <v>20.1925659429083</v>
      </c>
      <c r="H292" s="384">
        <f t="shared" si="164"/>
        <v>64.364506284447</v>
      </c>
      <c r="I292" s="384">
        <f t="shared" si="164"/>
        <v>102.066565645987</v>
      </c>
      <c r="J292" s="384">
        <f t="shared" si="164"/>
        <v>81.2864153388342</v>
      </c>
      <c r="K292" s="384">
        <f t="shared" si="164"/>
        <v>112.653181618931</v>
      </c>
      <c r="L292" s="384">
        <f t="shared" si="164"/>
        <v>0</v>
      </c>
      <c r="M292" s="384">
        <f t="shared" si="164"/>
        <v>88.7688332341801</v>
      </c>
      <c r="N292" s="384">
        <f t="shared" si="164"/>
        <v>91.2935721691968</v>
      </c>
      <c r="O292" s="384">
        <f t="shared" si="164"/>
        <v>99.5875529051592</v>
      </c>
      <c r="P292" s="384">
        <f t="shared" si="164"/>
        <v>120.616296163133</v>
      </c>
      <c r="Q292" s="722">
        <f t="shared" si="163"/>
        <v>944.41052</v>
      </c>
    </row>
    <row r="293" ht="15" spans="3:17">
      <c r="C293" s="708" t="s">
        <v>405</v>
      </c>
      <c r="D293" s="709"/>
      <c r="E293" s="296"/>
      <c r="F293" s="296"/>
      <c r="G293" s="296"/>
      <c r="H293" s="296"/>
      <c r="I293" s="296"/>
      <c r="J293" s="296"/>
      <c r="K293" s="296"/>
      <c r="L293" s="296"/>
      <c r="M293" s="296"/>
      <c r="N293" s="296"/>
      <c r="O293" s="296"/>
      <c r="P293" s="296"/>
      <c r="Q293" s="296"/>
    </row>
    <row r="294" spans="3:17">
      <c r="C294" s="296"/>
      <c r="D294" s="296" t="s">
        <v>406</v>
      </c>
      <c r="E294" s="296">
        <v>0</v>
      </c>
      <c r="F294" s="296">
        <v>0</v>
      </c>
      <c r="G294" s="296">
        <v>0</v>
      </c>
      <c r="H294" s="296">
        <v>0</v>
      </c>
      <c r="I294" s="296">
        <v>0</v>
      </c>
      <c r="J294" s="296">
        <v>0</v>
      </c>
      <c r="K294" s="296">
        <v>0</v>
      </c>
      <c r="L294" s="296">
        <v>0</v>
      </c>
      <c r="M294" s="296">
        <v>0</v>
      </c>
      <c r="N294" s="296">
        <v>0</v>
      </c>
      <c r="O294" s="296">
        <v>0</v>
      </c>
      <c r="P294" s="296">
        <v>0</v>
      </c>
      <c r="Q294" s="296">
        <f t="shared" ref="Q294:Q318" si="165">SUM(E294:P294)</f>
        <v>0</v>
      </c>
    </row>
    <row r="295" spans="3:17">
      <c r="C295" s="296"/>
      <c r="D295" s="296" t="s">
        <v>407</v>
      </c>
      <c r="E295" s="296">
        <v>0</v>
      </c>
      <c r="F295" s="296">
        <v>0</v>
      </c>
      <c r="G295" s="296">
        <v>0</v>
      </c>
      <c r="H295" s="296">
        <v>0</v>
      </c>
      <c r="I295" s="296">
        <v>0</v>
      </c>
      <c r="J295" s="296">
        <v>0</v>
      </c>
      <c r="K295" s="296">
        <v>0</v>
      </c>
      <c r="L295" s="296">
        <v>0</v>
      </c>
      <c r="M295" s="296">
        <v>0</v>
      </c>
      <c r="N295" s="296">
        <v>0</v>
      </c>
      <c r="O295" s="296">
        <v>0</v>
      </c>
      <c r="P295" s="296">
        <v>0</v>
      </c>
      <c r="Q295" s="296">
        <f t="shared" si="165"/>
        <v>0</v>
      </c>
    </row>
    <row r="296" spans="3:17">
      <c r="C296" s="296"/>
      <c r="D296" s="296" t="s">
        <v>408</v>
      </c>
      <c r="E296" s="296">
        <v>0</v>
      </c>
      <c r="F296" s="296">
        <v>0</v>
      </c>
      <c r="G296" s="296">
        <v>0</v>
      </c>
      <c r="H296" s="296">
        <v>0</v>
      </c>
      <c r="I296" s="296">
        <v>0</v>
      </c>
      <c r="J296" s="296">
        <v>0</v>
      </c>
      <c r="K296" s="296">
        <v>0</v>
      </c>
      <c r="L296" s="296">
        <v>0</v>
      </c>
      <c r="M296" s="296">
        <v>0</v>
      </c>
      <c r="N296" s="296">
        <v>0</v>
      </c>
      <c r="O296" s="296">
        <v>0</v>
      </c>
      <c r="P296" s="296">
        <v>0</v>
      </c>
      <c r="Q296" s="296">
        <f t="shared" si="165"/>
        <v>0</v>
      </c>
    </row>
    <row r="297" spans="3:17">
      <c r="C297" s="296"/>
      <c r="D297" s="296" t="s">
        <v>409</v>
      </c>
      <c r="E297" s="296">
        <v>0</v>
      </c>
      <c r="F297" s="296">
        <v>0</v>
      </c>
      <c r="G297" s="296">
        <v>0</v>
      </c>
      <c r="H297" s="296">
        <v>0</v>
      </c>
      <c r="I297" s="296">
        <v>0</v>
      </c>
      <c r="J297" s="296">
        <v>0</v>
      </c>
      <c r="K297" s="296">
        <v>0</v>
      </c>
      <c r="L297" s="296">
        <v>0</v>
      </c>
      <c r="M297" s="296">
        <v>0</v>
      </c>
      <c r="N297" s="296">
        <v>0</v>
      </c>
      <c r="O297" s="296">
        <v>0</v>
      </c>
      <c r="P297" s="296">
        <v>0</v>
      </c>
      <c r="Q297" s="296">
        <f t="shared" si="165"/>
        <v>0</v>
      </c>
    </row>
    <row r="298" spans="3:17">
      <c r="C298" s="296"/>
      <c r="D298" s="296" t="s">
        <v>410</v>
      </c>
      <c r="E298" s="296">
        <v>0</v>
      </c>
      <c r="F298" s="296">
        <v>0</v>
      </c>
      <c r="G298" s="296">
        <v>0</v>
      </c>
      <c r="H298" s="296">
        <v>0</v>
      </c>
      <c r="I298" s="296">
        <v>0</v>
      </c>
      <c r="J298" s="296">
        <v>0</v>
      </c>
      <c r="K298" s="296">
        <v>0</v>
      </c>
      <c r="L298" s="296">
        <v>0</v>
      </c>
      <c r="M298" s="296">
        <v>0</v>
      </c>
      <c r="N298" s="296">
        <v>0</v>
      </c>
      <c r="O298" s="296">
        <v>0</v>
      </c>
      <c r="P298" s="296">
        <v>0</v>
      </c>
      <c r="Q298" s="296">
        <f t="shared" si="165"/>
        <v>0</v>
      </c>
    </row>
    <row r="299" spans="3:17">
      <c r="C299" s="296"/>
      <c r="D299" s="296" t="s">
        <v>368</v>
      </c>
      <c r="E299" s="296">
        <v>0</v>
      </c>
      <c r="F299" s="296">
        <v>0</v>
      </c>
      <c r="G299" s="296">
        <v>0</v>
      </c>
      <c r="H299" s="296">
        <v>0</v>
      </c>
      <c r="I299" s="296">
        <v>0</v>
      </c>
      <c r="J299" s="296">
        <v>0</v>
      </c>
      <c r="K299" s="296">
        <v>0</v>
      </c>
      <c r="L299" s="296">
        <v>0</v>
      </c>
      <c r="M299" s="296">
        <v>0</v>
      </c>
      <c r="N299" s="296">
        <v>0</v>
      </c>
      <c r="O299" s="296">
        <v>0</v>
      </c>
      <c r="P299" s="296">
        <v>0</v>
      </c>
      <c r="Q299" s="296">
        <f t="shared" si="165"/>
        <v>0</v>
      </c>
    </row>
    <row r="300" spans="3:17">
      <c r="C300" s="296"/>
      <c r="D300" s="296" t="s">
        <v>411</v>
      </c>
      <c r="E300" s="296">
        <v>0</v>
      </c>
      <c r="F300" s="296">
        <v>0</v>
      </c>
      <c r="G300" s="296">
        <v>0</v>
      </c>
      <c r="H300" s="296">
        <v>0</v>
      </c>
      <c r="I300" s="296">
        <v>0</v>
      </c>
      <c r="J300" s="296">
        <v>0</v>
      </c>
      <c r="K300" s="296">
        <v>0</v>
      </c>
      <c r="L300" s="296">
        <v>0</v>
      </c>
      <c r="M300" s="296">
        <v>0</v>
      </c>
      <c r="N300" s="296">
        <v>0</v>
      </c>
      <c r="O300" s="296">
        <v>0</v>
      </c>
      <c r="P300" s="296">
        <v>0</v>
      </c>
      <c r="Q300" s="296">
        <f t="shared" si="165"/>
        <v>0</v>
      </c>
    </row>
    <row r="301" spans="3:17">
      <c r="C301" s="296"/>
      <c r="D301" s="296" t="s">
        <v>412</v>
      </c>
      <c r="E301" s="296">
        <v>0</v>
      </c>
      <c r="F301" s="296">
        <v>0</v>
      </c>
      <c r="G301" s="296">
        <v>0</v>
      </c>
      <c r="H301" s="296">
        <v>0</v>
      </c>
      <c r="I301" s="296">
        <v>0</v>
      </c>
      <c r="J301" s="296">
        <v>0</v>
      </c>
      <c r="K301" s="296">
        <v>0</v>
      </c>
      <c r="L301" s="296">
        <v>0</v>
      </c>
      <c r="M301" s="296">
        <v>0</v>
      </c>
      <c r="N301" s="296">
        <v>0</v>
      </c>
      <c r="O301" s="296">
        <v>0</v>
      </c>
      <c r="P301" s="296">
        <v>0</v>
      </c>
      <c r="Q301" s="296">
        <f t="shared" si="165"/>
        <v>0</v>
      </c>
    </row>
    <row r="302" spans="3:17">
      <c r="C302" s="296"/>
      <c r="D302" s="296" t="s">
        <v>413</v>
      </c>
      <c r="E302" s="296">
        <v>0</v>
      </c>
      <c r="F302" s="296">
        <v>0</v>
      </c>
      <c r="G302" s="296">
        <v>0</v>
      </c>
      <c r="H302" s="296">
        <v>0</v>
      </c>
      <c r="I302" s="296">
        <v>0</v>
      </c>
      <c r="J302" s="296">
        <v>0</v>
      </c>
      <c r="K302" s="296">
        <v>0</v>
      </c>
      <c r="L302" s="296">
        <v>0</v>
      </c>
      <c r="M302" s="296">
        <v>0</v>
      </c>
      <c r="N302" s="296">
        <v>0</v>
      </c>
      <c r="O302" s="296">
        <v>0</v>
      </c>
      <c r="P302" s="296">
        <v>0</v>
      </c>
      <c r="Q302" s="296">
        <f t="shared" si="165"/>
        <v>0</v>
      </c>
    </row>
    <row r="303" spans="3:17">
      <c r="C303" s="296"/>
      <c r="D303" s="296" t="s">
        <v>414</v>
      </c>
      <c r="E303" s="296">
        <v>0</v>
      </c>
      <c r="F303" s="296">
        <v>0</v>
      </c>
      <c r="G303" s="296">
        <v>0</v>
      </c>
      <c r="H303" s="296">
        <v>0</v>
      </c>
      <c r="I303" s="296">
        <v>0</v>
      </c>
      <c r="J303" s="296">
        <v>0</v>
      </c>
      <c r="K303" s="296">
        <v>0</v>
      </c>
      <c r="L303" s="296">
        <v>0</v>
      </c>
      <c r="M303" s="296">
        <v>0</v>
      </c>
      <c r="N303" s="296">
        <v>0</v>
      </c>
      <c r="O303" s="296">
        <v>0</v>
      </c>
      <c r="P303" s="296">
        <v>0</v>
      </c>
      <c r="Q303" s="296">
        <f t="shared" si="165"/>
        <v>0</v>
      </c>
    </row>
    <row r="304" spans="3:17">
      <c r="C304" s="296"/>
      <c r="D304" s="296" t="s">
        <v>415</v>
      </c>
      <c r="E304" s="296">
        <v>0</v>
      </c>
      <c r="F304" s="296">
        <v>0</v>
      </c>
      <c r="G304" s="296">
        <v>0</v>
      </c>
      <c r="H304" s="296">
        <v>0</v>
      </c>
      <c r="I304" s="296">
        <v>0</v>
      </c>
      <c r="J304" s="296">
        <v>0</v>
      </c>
      <c r="K304" s="296">
        <v>0</v>
      </c>
      <c r="L304" s="296">
        <v>0</v>
      </c>
      <c r="M304" s="296">
        <v>0</v>
      </c>
      <c r="N304" s="296">
        <v>0</v>
      </c>
      <c r="O304" s="296">
        <v>0</v>
      </c>
      <c r="P304" s="296">
        <v>0</v>
      </c>
      <c r="Q304" s="296">
        <f t="shared" si="165"/>
        <v>0</v>
      </c>
    </row>
    <row r="305" spans="3:17">
      <c r="C305" s="296"/>
      <c r="D305" s="296" t="s">
        <v>416</v>
      </c>
      <c r="E305" s="296">
        <v>0</v>
      </c>
      <c r="F305" s="296">
        <v>0</v>
      </c>
      <c r="G305" s="296">
        <v>0</v>
      </c>
      <c r="H305" s="296">
        <v>0</v>
      </c>
      <c r="I305" s="296">
        <v>0</v>
      </c>
      <c r="J305" s="296">
        <v>0</v>
      </c>
      <c r="K305" s="296">
        <v>0</v>
      </c>
      <c r="L305" s="296">
        <v>0</v>
      </c>
      <c r="M305" s="296">
        <v>0</v>
      </c>
      <c r="N305" s="296">
        <v>0</v>
      </c>
      <c r="O305" s="296">
        <v>0</v>
      </c>
      <c r="P305" s="296">
        <v>0</v>
      </c>
      <c r="Q305" s="296">
        <f t="shared" si="165"/>
        <v>0</v>
      </c>
    </row>
    <row r="306" spans="3:17">
      <c r="C306" s="296"/>
      <c r="D306" s="296" t="s">
        <v>417</v>
      </c>
      <c r="E306" s="296">
        <v>0</v>
      </c>
      <c r="F306" s="296">
        <v>0</v>
      </c>
      <c r="G306" s="296">
        <v>0</v>
      </c>
      <c r="H306" s="296">
        <v>0</v>
      </c>
      <c r="I306" s="296">
        <v>0</v>
      </c>
      <c r="J306" s="296">
        <v>0</v>
      </c>
      <c r="K306" s="296">
        <v>0</v>
      </c>
      <c r="L306" s="296">
        <v>0</v>
      </c>
      <c r="M306" s="296">
        <v>0</v>
      </c>
      <c r="N306" s="296">
        <v>0</v>
      </c>
      <c r="O306" s="296">
        <v>0</v>
      </c>
      <c r="P306" s="296">
        <v>0</v>
      </c>
      <c r="Q306" s="296">
        <f t="shared" si="165"/>
        <v>0</v>
      </c>
    </row>
    <row r="307" spans="3:17">
      <c r="C307" s="296"/>
      <c r="D307" s="296" t="s">
        <v>418</v>
      </c>
      <c r="E307" s="296">
        <v>0</v>
      </c>
      <c r="F307" s="296">
        <v>0</v>
      </c>
      <c r="G307" s="296">
        <v>0</v>
      </c>
      <c r="H307" s="296">
        <v>0</v>
      </c>
      <c r="I307" s="296">
        <v>0</v>
      </c>
      <c r="J307" s="296">
        <v>0</v>
      </c>
      <c r="K307" s="296">
        <v>0</v>
      </c>
      <c r="L307" s="296">
        <v>0</v>
      </c>
      <c r="M307" s="296">
        <v>0</v>
      </c>
      <c r="N307" s="296">
        <v>0</v>
      </c>
      <c r="O307" s="296">
        <v>0</v>
      </c>
      <c r="P307" s="296">
        <v>0</v>
      </c>
      <c r="Q307" s="296">
        <f t="shared" si="165"/>
        <v>0</v>
      </c>
    </row>
    <row r="308" spans="3:17">
      <c r="C308" s="296"/>
      <c r="D308" s="712" t="s">
        <v>419</v>
      </c>
      <c r="E308" s="296">
        <v>0</v>
      </c>
      <c r="F308" s="296">
        <v>0</v>
      </c>
      <c r="G308" s="296">
        <v>0</v>
      </c>
      <c r="H308" s="296">
        <v>0</v>
      </c>
      <c r="I308" s="296">
        <v>0</v>
      </c>
      <c r="J308" s="296">
        <v>0</v>
      </c>
      <c r="K308" s="296">
        <v>0</v>
      </c>
      <c r="L308" s="296">
        <v>0</v>
      </c>
      <c r="M308" s="296">
        <v>0</v>
      </c>
      <c r="N308" s="296">
        <v>0</v>
      </c>
      <c r="O308" s="296">
        <v>0</v>
      </c>
      <c r="P308" s="296">
        <v>0</v>
      </c>
      <c r="Q308" s="296">
        <f t="shared" si="165"/>
        <v>0</v>
      </c>
    </row>
    <row r="309" spans="3:17">
      <c r="C309" s="296"/>
      <c r="D309" s="712" t="s">
        <v>420</v>
      </c>
      <c r="E309" s="296">
        <v>0</v>
      </c>
      <c r="F309" s="296">
        <v>0</v>
      </c>
      <c r="G309" s="296">
        <v>0</v>
      </c>
      <c r="H309" s="296">
        <v>0</v>
      </c>
      <c r="I309" s="296">
        <v>0</v>
      </c>
      <c r="J309" s="296">
        <v>0</v>
      </c>
      <c r="K309" s="296">
        <v>0</v>
      </c>
      <c r="L309" s="296">
        <v>0</v>
      </c>
      <c r="M309" s="296">
        <v>0</v>
      </c>
      <c r="N309" s="296">
        <v>0</v>
      </c>
      <c r="O309" s="296">
        <v>0</v>
      </c>
      <c r="P309" s="296">
        <v>0</v>
      </c>
      <c r="Q309" s="296">
        <f t="shared" si="165"/>
        <v>0</v>
      </c>
    </row>
    <row r="310" spans="3:17">
      <c r="C310" s="296"/>
      <c r="D310" s="296"/>
      <c r="E310" s="296"/>
      <c r="F310" s="296"/>
      <c r="G310" s="296"/>
      <c r="H310" s="296"/>
      <c r="I310" s="296"/>
      <c r="J310" s="296"/>
      <c r="K310" s="296"/>
      <c r="L310" s="296"/>
      <c r="M310" s="296"/>
      <c r="N310" s="296"/>
      <c r="O310" s="296"/>
      <c r="P310" s="296"/>
      <c r="Q310" s="296">
        <f t="shared" si="165"/>
        <v>0</v>
      </c>
    </row>
    <row r="311" spans="3:17">
      <c r="C311" s="296"/>
      <c r="D311" s="296"/>
      <c r="E311" s="296"/>
      <c r="F311" s="296"/>
      <c r="G311" s="296"/>
      <c r="H311" s="296"/>
      <c r="I311" s="296"/>
      <c r="J311" s="296"/>
      <c r="K311" s="296"/>
      <c r="L311" s="296"/>
      <c r="M311" s="296"/>
      <c r="N311" s="296"/>
      <c r="O311" s="296"/>
      <c r="P311" s="296"/>
      <c r="Q311" s="296">
        <f t="shared" si="165"/>
        <v>0</v>
      </c>
    </row>
    <row r="312" spans="3:17">
      <c r="C312" s="296"/>
      <c r="D312" s="296"/>
      <c r="E312" s="296"/>
      <c r="F312" s="296"/>
      <c r="G312" s="296"/>
      <c r="H312" s="296"/>
      <c r="I312" s="296"/>
      <c r="J312" s="296"/>
      <c r="K312" s="296"/>
      <c r="L312" s="296"/>
      <c r="M312" s="296"/>
      <c r="N312" s="296"/>
      <c r="O312" s="296"/>
      <c r="P312" s="296"/>
      <c r="Q312" s="296">
        <f t="shared" si="165"/>
        <v>0</v>
      </c>
    </row>
    <row r="313" spans="3:17">
      <c r="C313" s="296"/>
      <c r="D313" s="296"/>
      <c r="E313" s="296"/>
      <c r="F313" s="296"/>
      <c r="G313" s="296"/>
      <c r="H313" s="296"/>
      <c r="I313" s="296"/>
      <c r="J313" s="296"/>
      <c r="K313" s="296"/>
      <c r="L313" s="296"/>
      <c r="M313" s="296"/>
      <c r="N313" s="296"/>
      <c r="O313" s="296"/>
      <c r="P313" s="296"/>
      <c r="Q313" s="296">
        <f t="shared" si="165"/>
        <v>0</v>
      </c>
    </row>
    <row r="314" spans="3:17">
      <c r="C314" s="296"/>
      <c r="D314" s="296"/>
      <c r="E314" s="296"/>
      <c r="F314" s="296"/>
      <c r="G314" s="296"/>
      <c r="H314" s="296"/>
      <c r="I314" s="296"/>
      <c r="J314" s="296"/>
      <c r="K314" s="296"/>
      <c r="L314" s="296"/>
      <c r="M314" s="296"/>
      <c r="N314" s="296"/>
      <c r="O314" s="296"/>
      <c r="P314" s="296"/>
      <c r="Q314" s="296">
        <f t="shared" si="165"/>
        <v>0</v>
      </c>
    </row>
    <row r="315" spans="3:17">
      <c r="C315" s="296"/>
      <c r="D315" s="296"/>
      <c r="E315" s="296"/>
      <c r="F315" s="296"/>
      <c r="G315" s="296"/>
      <c r="H315" s="296"/>
      <c r="I315" s="296"/>
      <c r="J315" s="296"/>
      <c r="K315" s="296"/>
      <c r="L315" s="296"/>
      <c r="M315" s="296"/>
      <c r="N315" s="296"/>
      <c r="O315" s="296"/>
      <c r="P315" s="296"/>
      <c r="Q315" s="296">
        <f t="shared" si="165"/>
        <v>0</v>
      </c>
    </row>
    <row r="316" spans="3:17">
      <c r="C316" s="296"/>
      <c r="D316" s="296"/>
      <c r="E316" s="296"/>
      <c r="F316" s="296"/>
      <c r="G316" s="296"/>
      <c r="H316" s="296"/>
      <c r="I316" s="296"/>
      <c r="J316" s="296"/>
      <c r="K316" s="296"/>
      <c r="L316" s="296"/>
      <c r="M316" s="296"/>
      <c r="N316" s="296"/>
      <c r="O316" s="296"/>
      <c r="P316" s="296"/>
      <c r="Q316" s="296">
        <f t="shared" si="165"/>
        <v>0</v>
      </c>
    </row>
    <row r="317" spans="3:17">
      <c r="C317" s="296"/>
      <c r="D317" s="296"/>
      <c r="E317" s="296"/>
      <c r="F317" s="296"/>
      <c r="G317" s="296"/>
      <c r="H317" s="296"/>
      <c r="I317" s="296"/>
      <c r="J317" s="296"/>
      <c r="K317" s="296"/>
      <c r="L317" s="296"/>
      <c r="M317" s="296"/>
      <c r="N317" s="296"/>
      <c r="O317" s="296"/>
      <c r="P317" s="296"/>
      <c r="Q317" s="296">
        <f t="shared" si="165"/>
        <v>0</v>
      </c>
    </row>
    <row r="318" ht="15" spans="3:17">
      <c r="C318" s="285" t="s">
        <v>421</v>
      </c>
      <c r="D318" s="286"/>
      <c r="E318" s="296">
        <f t="shared" ref="E318:P318" si="166">SUM(E294:E317)</f>
        <v>0</v>
      </c>
      <c r="F318" s="296">
        <f t="shared" si="166"/>
        <v>0</v>
      </c>
      <c r="G318" s="296">
        <f t="shared" si="166"/>
        <v>0</v>
      </c>
      <c r="H318" s="296">
        <f t="shared" si="166"/>
        <v>0</v>
      </c>
      <c r="I318" s="296">
        <f t="shared" si="166"/>
        <v>0</v>
      </c>
      <c r="J318" s="296">
        <f t="shared" si="166"/>
        <v>0</v>
      </c>
      <c r="K318" s="296">
        <f t="shared" si="166"/>
        <v>0</v>
      </c>
      <c r="L318" s="296">
        <f t="shared" si="166"/>
        <v>0</v>
      </c>
      <c r="M318" s="296">
        <f t="shared" si="166"/>
        <v>0</v>
      </c>
      <c r="N318" s="296">
        <f t="shared" si="166"/>
        <v>0</v>
      </c>
      <c r="O318" s="296">
        <f t="shared" si="166"/>
        <v>0</v>
      </c>
      <c r="P318" s="296">
        <f t="shared" si="166"/>
        <v>0</v>
      </c>
      <c r="Q318" s="722">
        <f t="shared" si="165"/>
        <v>0</v>
      </c>
    </row>
    <row r="319" ht="15" spans="3:17">
      <c r="C319" s="708" t="s">
        <v>422</v>
      </c>
      <c r="D319" s="709"/>
      <c r="E319" s="296"/>
      <c r="F319" s="296"/>
      <c r="G319" s="296"/>
      <c r="H319" s="296"/>
      <c r="I319" s="296"/>
      <c r="J319" s="296"/>
      <c r="K319" s="296"/>
      <c r="L319" s="296"/>
      <c r="M319" s="296"/>
      <c r="N319" s="296"/>
      <c r="O319" s="296"/>
      <c r="P319" s="296"/>
      <c r="Q319" s="296"/>
    </row>
    <row r="320" spans="3:17">
      <c r="C320" s="296"/>
      <c r="D320" s="296" t="s">
        <v>451</v>
      </c>
      <c r="E320" s="296">
        <v>0</v>
      </c>
      <c r="F320" s="296">
        <v>0</v>
      </c>
      <c r="G320" s="296">
        <v>0</v>
      </c>
      <c r="H320" s="296">
        <v>0</v>
      </c>
      <c r="I320" s="296">
        <v>0</v>
      </c>
      <c r="J320" s="296">
        <v>0</v>
      </c>
      <c r="K320" s="296">
        <v>0</v>
      </c>
      <c r="L320" s="296">
        <v>0</v>
      </c>
      <c r="M320" s="296">
        <v>0</v>
      </c>
      <c r="N320" s="296">
        <v>0</v>
      </c>
      <c r="O320" s="296">
        <v>0</v>
      </c>
      <c r="P320" s="296">
        <v>0</v>
      </c>
      <c r="Q320" s="296">
        <f>SUM(E320:P320)</f>
        <v>0</v>
      </c>
    </row>
    <row r="321" spans="3:17">
      <c r="C321" s="296"/>
      <c r="D321" s="296"/>
      <c r="E321" s="296"/>
      <c r="F321" s="296"/>
      <c r="G321" s="296"/>
      <c r="H321" s="296"/>
      <c r="I321" s="296"/>
      <c r="J321" s="296"/>
      <c r="K321" s="296"/>
      <c r="L321" s="296"/>
      <c r="M321" s="296"/>
      <c r="N321" s="296"/>
      <c r="O321" s="296"/>
      <c r="P321" s="296"/>
      <c r="Q321" s="296">
        <f>SUM(E321:P321)</f>
        <v>0</v>
      </c>
    </row>
    <row r="322" spans="3:17">
      <c r="C322" s="296"/>
      <c r="D322" s="296" t="s">
        <v>520</v>
      </c>
      <c r="E322" s="296"/>
      <c r="F322" s="296"/>
      <c r="G322" s="296"/>
      <c r="H322" s="296"/>
      <c r="I322" s="296"/>
      <c r="J322" s="296"/>
      <c r="K322" s="296"/>
      <c r="L322" s="296"/>
      <c r="M322" s="296"/>
      <c r="N322" s="296"/>
      <c r="O322" s="296"/>
      <c r="P322" s="296"/>
      <c r="Q322" s="296">
        <f>SUM(E322:P322)</f>
        <v>0</v>
      </c>
    </row>
    <row r="323" spans="3:17">
      <c r="C323" s="296"/>
      <c r="D323" s="296"/>
      <c r="E323" s="296"/>
      <c r="F323" s="296"/>
      <c r="G323" s="296"/>
      <c r="H323" s="296"/>
      <c r="I323" s="296"/>
      <c r="J323" s="296"/>
      <c r="K323" s="296"/>
      <c r="L323" s="296"/>
      <c r="M323" s="296"/>
      <c r="N323" s="296"/>
      <c r="O323" s="296"/>
      <c r="P323" s="296"/>
      <c r="Q323" s="296">
        <f>SUM(E323:P323)</f>
        <v>0</v>
      </c>
    </row>
    <row r="324" spans="3:17">
      <c r="C324" s="296"/>
      <c r="D324" s="296"/>
      <c r="E324" s="296"/>
      <c r="F324" s="296"/>
      <c r="G324" s="296"/>
      <c r="H324" s="296"/>
      <c r="I324" s="296"/>
      <c r="J324" s="296"/>
      <c r="K324" s="296"/>
      <c r="L324" s="296"/>
      <c r="M324" s="296"/>
      <c r="N324" s="296"/>
      <c r="O324" s="296"/>
      <c r="P324" s="296"/>
      <c r="Q324" s="296"/>
    </row>
    <row r="325" spans="3:17">
      <c r="C325" s="296"/>
      <c r="D325" s="712" t="s">
        <v>534</v>
      </c>
      <c r="E325" s="296">
        <v>0</v>
      </c>
      <c r="F325" s="296">
        <v>0</v>
      </c>
      <c r="G325" s="296">
        <v>0</v>
      </c>
      <c r="H325" s="296">
        <v>0</v>
      </c>
      <c r="I325" s="296">
        <v>0</v>
      </c>
      <c r="J325" s="296">
        <v>0</v>
      </c>
      <c r="K325" s="296">
        <v>0</v>
      </c>
      <c r="L325" s="296">
        <v>0</v>
      </c>
      <c r="M325" s="296">
        <v>0</v>
      </c>
      <c r="N325" s="296">
        <v>0</v>
      </c>
      <c r="O325" s="296">
        <v>0</v>
      </c>
      <c r="P325" s="296">
        <v>0</v>
      </c>
      <c r="Q325" s="296"/>
    </row>
    <row r="326" spans="3:17">
      <c r="C326" s="296"/>
      <c r="D326" s="712" t="s">
        <v>535</v>
      </c>
      <c r="E326" s="296">
        <v>0</v>
      </c>
      <c r="F326" s="296">
        <v>0</v>
      </c>
      <c r="G326" s="296">
        <v>0</v>
      </c>
      <c r="H326" s="296">
        <v>0</v>
      </c>
      <c r="I326" s="296">
        <v>0</v>
      </c>
      <c r="J326" s="296">
        <v>0</v>
      </c>
      <c r="K326" s="296">
        <v>0</v>
      </c>
      <c r="L326" s="296">
        <v>0</v>
      </c>
      <c r="M326" s="296">
        <v>0</v>
      </c>
      <c r="N326" s="296">
        <v>0</v>
      </c>
      <c r="O326" s="296">
        <v>0</v>
      </c>
      <c r="P326" s="296">
        <v>0</v>
      </c>
      <c r="Q326" s="296"/>
    </row>
    <row r="327" spans="3:17">
      <c r="C327" s="296"/>
      <c r="D327" s="712" t="s">
        <v>502</v>
      </c>
      <c r="E327" s="296">
        <v>0</v>
      </c>
      <c r="F327" s="296">
        <v>0</v>
      </c>
      <c r="G327" s="296">
        <v>0</v>
      </c>
      <c r="H327" s="296">
        <v>0</v>
      </c>
      <c r="I327" s="296">
        <v>0</v>
      </c>
      <c r="J327" s="296">
        <v>0</v>
      </c>
      <c r="K327" s="296">
        <v>0</v>
      </c>
      <c r="L327" s="296">
        <v>0</v>
      </c>
      <c r="M327" s="296">
        <v>0</v>
      </c>
      <c r="N327" s="296">
        <v>0</v>
      </c>
      <c r="O327" s="296">
        <v>0</v>
      </c>
      <c r="P327" s="296">
        <v>0</v>
      </c>
      <c r="Q327" s="296"/>
    </row>
    <row r="328" spans="3:17">
      <c r="C328" s="296"/>
      <c r="D328" s="712" t="s">
        <v>503</v>
      </c>
      <c r="E328" s="296">
        <v>0</v>
      </c>
      <c r="F328" s="296">
        <v>0</v>
      </c>
      <c r="G328" s="296">
        <v>0</v>
      </c>
      <c r="H328" s="296">
        <v>0</v>
      </c>
      <c r="I328" s="296">
        <v>0</v>
      </c>
      <c r="J328" s="296">
        <v>0</v>
      </c>
      <c r="K328" s="296">
        <v>0</v>
      </c>
      <c r="L328" s="296">
        <v>0</v>
      </c>
      <c r="M328" s="296">
        <v>0</v>
      </c>
      <c r="N328" s="296">
        <v>0</v>
      </c>
      <c r="O328" s="296">
        <v>0</v>
      </c>
      <c r="P328" s="296">
        <v>0</v>
      </c>
      <c r="Q328" s="296"/>
    </row>
    <row r="329" spans="3:17">
      <c r="C329" s="296"/>
      <c r="D329" s="717" t="s">
        <v>504</v>
      </c>
      <c r="E329" s="296">
        <v>0</v>
      </c>
      <c r="F329" s="296">
        <v>0</v>
      </c>
      <c r="G329" s="296">
        <v>0</v>
      </c>
      <c r="H329" s="296">
        <v>0</v>
      </c>
      <c r="I329" s="296">
        <v>0</v>
      </c>
      <c r="J329" s="296">
        <v>0</v>
      </c>
      <c r="K329" s="296">
        <v>0</v>
      </c>
      <c r="L329" s="296">
        <v>0</v>
      </c>
      <c r="M329" s="296">
        <v>0</v>
      </c>
      <c r="N329" s="296">
        <v>0</v>
      </c>
      <c r="O329" s="296">
        <v>0</v>
      </c>
      <c r="P329" s="296">
        <v>0</v>
      </c>
      <c r="Q329" s="296"/>
    </row>
    <row r="330" spans="3:17">
      <c r="C330" s="296"/>
      <c r="D330" s="712" t="s">
        <v>505</v>
      </c>
      <c r="E330" s="296">
        <v>0</v>
      </c>
      <c r="F330" s="296">
        <v>0</v>
      </c>
      <c r="G330" s="296">
        <v>0</v>
      </c>
      <c r="H330" s="296">
        <v>0</v>
      </c>
      <c r="I330" s="296">
        <v>0</v>
      </c>
      <c r="J330" s="296">
        <v>0</v>
      </c>
      <c r="K330" s="296">
        <v>0</v>
      </c>
      <c r="L330" s="296">
        <v>0</v>
      </c>
      <c r="M330" s="296">
        <v>0</v>
      </c>
      <c r="N330" s="296">
        <v>0</v>
      </c>
      <c r="O330" s="296">
        <v>0</v>
      </c>
      <c r="P330" s="296">
        <v>0</v>
      </c>
      <c r="Q330" s="296"/>
    </row>
    <row r="331" spans="3:17">
      <c r="C331" s="296"/>
      <c r="D331" s="712" t="s">
        <v>506</v>
      </c>
      <c r="E331" s="296">
        <v>0</v>
      </c>
      <c r="F331" s="296">
        <v>0</v>
      </c>
      <c r="G331" s="296">
        <v>0</v>
      </c>
      <c r="H331" s="296">
        <v>0</v>
      </c>
      <c r="I331" s="296">
        <v>0</v>
      </c>
      <c r="J331" s="296">
        <v>0</v>
      </c>
      <c r="K331" s="296">
        <v>0</v>
      </c>
      <c r="L331" s="296">
        <v>0</v>
      </c>
      <c r="M331" s="296">
        <v>0</v>
      </c>
      <c r="N331" s="296">
        <v>0</v>
      </c>
      <c r="O331" s="296">
        <v>0</v>
      </c>
      <c r="P331" s="296">
        <v>0</v>
      </c>
      <c r="Q331" s="296"/>
    </row>
    <row r="332" spans="3:17">
      <c r="C332" s="296"/>
      <c r="D332" s="712" t="s">
        <v>507</v>
      </c>
      <c r="E332" s="296">
        <v>0</v>
      </c>
      <c r="F332" s="296">
        <v>0</v>
      </c>
      <c r="G332" s="296">
        <v>0</v>
      </c>
      <c r="H332" s="296">
        <v>0</v>
      </c>
      <c r="I332" s="296">
        <v>0</v>
      </c>
      <c r="J332" s="296">
        <v>0</v>
      </c>
      <c r="K332" s="296">
        <v>0</v>
      </c>
      <c r="L332" s="296">
        <v>0</v>
      </c>
      <c r="M332" s="296">
        <v>0</v>
      </c>
      <c r="N332" s="296">
        <v>0</v>
      </c>
      <c r="O332" s="296">
        <v>0</v>
      </c>
      <c r="P332" s="296">
        <v>0</v>
      </c>
      <c r="Q332" s="296"/>
    </row>
    <row r="333" spans="3:17">
      <c r="C333" s="296"/>
      <c r="D333" s="712" t="s">
        <v>508</v>
      </c>
      <c r="E333" s="296">
        <v>0</v>
      </c>
      <c r="F333" s="296">
        <v>0</v>
      </c>
      <c r="G333" s="296">
        <v>0</v>
      </c>
      <c r="H333" s="296">
        <v>0</v>
      </c>
      <c r="I333" s="296">
        <v>0</v>
      </c>
      <c r="J333" s="296">
        <v>0</v>
      </c>
      <c r="K333" s="296">
        <v>0</v>
      </c>
      <c r="L333" s="296">
        <v>0</v>
      </c>
      <c r="M333" s="296">
        <v>0</v>
      </c>
      <c r="N333" s="296">
        <v>0</v>
      </c>
      <c r="O333" s="296">
        <v>0</v>
      </c>
      <c r="P333" s="296">
        <v>0</v>
      </c>
      <c r="Q333" s="296"/>
    </row>
    <row r="334" spans="3:17">
      <c r="C334" s="296"/>
      <c r="D334" s="712" t="s">
        <v>509</v>
      </c>
      <c r="E334" s="296">
        <v>0</v>
      </c>
      <c r="F334" s="296">
        <v>0</v>
      </c>
      <c r="G334" s="296">
        <v>0</v>
      </c>
      <c r="H334" s="296">
        <v>0</v>
      </c>
      <c r="I334" s="296">
        <v>0</v>
      </c>
      <c r="J334" s="296">
        <v>0</v>
      </c>
      <c r="K334" s="296">
        <v>0</v>
      </c>
      <c r="L334" s="296">
        <v>0</v>
      </c>
      <c r="M334" s="296">
        <v>0</v>
      </c>
      <c r="N334" s="296">
        <v>0</v>
      </c>
      <c r="O334" s="296">
        <v>0</v>
      </c>
      <c r="P334" s="296">
        <v>0</v>
      </c>
      <c r="Q334" s="296"/>
    </row>
    <row r="335" spans="3:17">
      <c r="C335" s="296"/>
      <c r="D335" s="712" t="s">
        <v>510</v>
      </c>
      <c r="E335" s="296">
        <v>0</v>
      </c>
      <c r="F335" s="296">
        <v>0</v>
      </c>
      <c r="G335" s="296">
        <v>0</v>
      </c>
      <c r="H335" s="296">
        <v>0</v>
      </c>
      <c r="I335" s="296">
        <v>0</v>
      </c>
      <c r="J335" s="296">
        <v>0</v>
      </c>
      <c r="K335" s="296">
        <v>0</v>
      </c>
      <c r="L335" s="296">
        <v>0</v>
      </c>
      <c r="M335" s="296">
        <v>0</v>
      </c>
      <c r="N335" s="296">
        <v>0</v>
      </c>
      <c r="O335" s="296">
        <v>0</v>
      </c>
      <c r="P335" s="296">
        <v>0</v>
      </c>
      <c r="Q335" s="296"/>
    </row>
    <row r="336" spans="3:17">
      <c r="C336" s="296"/>
      <c r="D336" s="712" t="s">
        <v>511</v>
      </c>
      <c r="E336" s="296">
        <v>0</v>
      </c>
      <c r="F336" s="296">
        <v>0</v>
      </c>
      <c r="G336" s="296">
        <v>0</v>
      </c>
      <c r="H336" s="296">
        <v>0</v>
      </c>
      <c r="I336" s="296">
        <v>0</v>
      </c>
      <c r="J336" s="296">
        <v>0</v>
      </c>
      <c r="K336" s="296">
        <v>0</v>
      </c>
      <c r="L336" s="296">
        <v>0</v>
      </c>
      <c r="M336" s="296">
        <v>0</v>
      </c>
      <c r="N336" s="296">
        <v>0</v>
      </c>
      <c r="O336" s="296">
        <v>0</v>
      </c>
      <c r="P336" s="296">
        <v>0</v>
      </c>
      <c r="Q336" s="296"/>
    </row>
    <row r="337" spans="3:17">
      <c r="C337" s="296"/>
      <c r="D337" s="712" t="s">
        <v>512</v>
      </c>
      <c r="E337" s="296">
        <v>0</v>
      </c>
      <c r="F337" s="296">
        <v>0</v>
      </c>
      <c r="G337" s="296">
        <v>0</v>
      </c>
      <c r="H337" s="296">
        <v>0</v>
      </c>
      <c r="I337" s="296">
        <v>0</v>
      </c>
      <c r="J337" s="296">
        <v>0</v>
      </c>
      <c r="K337" s="296">
        <v>0</v>
      </c>
      <c r="L337" s="296">
        <v>0</v>
      </c>
      <c r="M337" s="296">
        <v>0</v>
      </c>
      <c r="N337" s="296">
        <v>0</v>
      </c>
      <c r="O337" s="296">
        <v>0</v>
      </c>
      <c r="P337" s="296">
        <v>0</v>
      </c>
      <c r="Q337" s="296"/>
    </row>
    <row r="338" spans="3:17">
      <c r="C338" s="296"/>
      <c r="D338" s="296"/>
      <c r="E338" s="296"/>
      <c r="F338" s="296"/>
      <c r="G338" s="296"/>
      <c r="H338" s="296"/>
      <c r="I338" s="296"/>
      <c r="J338" s="296"/>
      <c r="K338" s="296"/>
      <c r="L338" s="296"/>
      <c r="M338" s="296"/>
      <c r="N338" s="296"/>
      <c r="O338" s="296"/>
      <c r="P338" s="296"/>
      <c r="Q338" s="296"/>
    </row>
    <row r="339" spans="3:17">
      <c r="C339" s="296"/>
      <c r="D339" s="296"/>
      <c r="E339" s="296"/>
      <c r="F339" s="296"/>
      <c r="G339" s="296"/>
      <c r="H339" s="296"/>
      <c r="I339" s="296"/>
      <c r="J339" s="296"/>
      <c r="K339" s="296"/>
      <c r="L339" s="296"/>
      <c r="M339" s="296"/>
      <c r="N339" s="296"/>
      <c r="O339" s="296"/>
      <c r="P339" s="296"/>
      <c r="Q339" s="296">
        <f t="shared" ref="Q339:Q346" si="167">SUM(E339:P339)</f>
        <v>0</v>
      </c>
    </row>
    <row r="340" spans="3:17">
      <c r="C340" s="296"/>
      <c r="D340" s="296"/>
      <c r="E340" s="296"/>
      <c r="F340" s="296"/>
      <c r="G340" s="296"/>
      <c r="H340" s="296"/>
      <c r="I340" s="296"/>
      <c r="J340" s="296"/>
      <c r="K340" s="296"/>
      <c r="L340" s="296"/>
      <c r="M340" s="296"/>
      <c r="N340" s="296"/>
      <c r="O340" s="296"/>
      <c r="P340" s="296"/>
      <c r="Q340" s="296">
        <f t="shared" si="167"/>
        <v>0</v>
      </c>
    </row>
    <row r="341" spans="3:17">
      <c r="C341" s="296"/>
      <c r="D341" s="296"/>
      <c r="E341" s="296"/>
      <c r="F341" s="296"/>
      <c r="G341" s="296"/>
      <c r="H341" s="296"/>
      <c r="I341" s="296"/>
      <c r="J341" s="296"/>
      <c r="K341" s="296"/>
      <c r="L341" s="296"/>
      <c r="M341" s="296"/>
      <c r="N341" s="296"/>
      <c r="O341" s="296"/>
      <c r="P341" s="296"/>
      <c r="Q341" s="296">
        <f t="shared" si="167"/>
        <v>0</v>
      </c>
    </row>
    <row r="342" spans="3:17">
      <c r="C342" s="296"/>
      <c r="D342" s="296"/>
      <c r="E342" s="296"/>
      <c r="F342" s="296"/>
      <c r="G342" s="296"/>
      <c r="H342" s="296"/>
      <c r="I342" s="296"/>
      <c r="J342" s="296"/>
      <c r="K342" s="296"/>
      <c r="L342" s="296"/>
      <c r="M342" s="296"/>
      <c r="N342" s="296"/>
      <c r="O342" s="296"/>
      <c r="P342" s="296"/>
      <c r="Q342" s="296">
        <f t="shared" si="167"/>
        <v>0</v>
      </c>
    </row>
    <row r="343" spans="3:17">
      <c r="C343" s="296"/>
      <c r="D343" s="296"/>
      <c r="E343" s="296"/>
      <c r="F343" s="296"/>
      <c r="G343" s="296"/>
      <c r="H343" s="296"/>
      <c r="I343" s="296"/>
      <c r="J343" s="296"/>
      <c r="K343" s="296"/>
      <c r="L343" s="296"/>
      <c r="M343" s="296"/>
      <c r="N343" s="296"/>
      <c r="O343" s="296"/>
      <c r="P343" s="296"/>
      <c r="Q343" s="296">
        <f t="shared" si="167"/>
        <v>0</v>
      </c>
    </row>
    <row r="344" spans="3:17">
      <c r="C344" s="296"/>
      <c r="D344" s="296"/>
      <c r="E344" s="296"/>
      <c r="F344" s="296"/>
      <c r="G344" s="296"/>
      <c r="H344" s="296"/>
      <c r="I344" s="296"/>
      <c r="J344" s="296"/>
      <c r="K344" s="296"/>
      <c r="L344" s="296"/>
      <c r="M344" s="296"/>
      <c r="N344" s="296"/>
      <c r="O344" s="296"/>
      <c r="P344" s="296"/>
      <c r="Q344" s="296">
        <f t="shared" si="167"/>
        <v>0</v>
      </c>
    </row>
    <row r="345" spans="3:17">
      <c r="C345" s="296"/>
      <c r="D345" s="296"/>
      <c r="E345" s="296"/>
      <c r="F345" s="296"/>
      <c r="G345" s="296"/>
      <c r="H345" s="296"/>
      <c r="I345" s="296"/>
      <c r="J345" s="296"/>
      <c r="K345" s="296"/>
      <c r="L345" s="296"/>
      <c r="M345" s="296"/>
      <c r="N345" s="296"/>
      <c r="O345" s="296"/>
      <c r="P345" s="296"/>
      <c r="Q345" s="296">
        <f t="shared" si="167"/>
        <v>0</v>
      </c>
    </row>
    <row r="346" ht="15" spans="3:17">
      <c r="C346" s="285" t="s">
        <v>424</v>
      </c>
      <c r="D346" s="286"/>
      <c r="E346" s="296">
        <f t="shared" ref="E346:P346" si="168">SUM(E320:E345)</f>
        <v>0</v>
      </c>
      <c r="F346" s="296">
        <f t="shared" si="168"/>
        <v>0</v>
      </c>
      <c r="G346" s="296">
        <f t="shared" si="168"/>
        <v>0</v>
      </c>
      <c r="H346" s="296">
        <f t="shared" si="168"/>
        <v>0</v>
      </c>
      <c r="I346" s="296">
        <f t="shared" si="168"/>
        <v>0</v>
      </c>
      <c r="J346" s="296">
        <f t="shared" si="168"/>
        <v>0</v>
      </c>
      <c r="K346" s="296">
        <f t="shared" si="168"/>
        <v>0</v>
      </c>
      <c r="L346" s="296">
        <f t="shared" si="168"/>
        <v>0</v>
      </c>
      <c r="M346" s="296">
        <f t="shared" si="168"/>
        <v>0</v>
      </c>
      <c r="N346" s="296">
        <f t="shared" si="168"/>
        <v>0</v>
      </c>
      <c r="O346" s="296">
        <f t="shared" si="168"/>
        <v>0</v>
      </c>
      <c r="P346" s="296">
        <f t="shared" si="168"/>
        <v>0</v>
      </c>
      <c r="Q346" s="722">
        <f t="shared" si="167"/>
        <v>0</v>
      </c>
    </row>
    <row r="347" ht="15" spans="3:17">
      <c r="C347" s="708" t="s">
        <v>425</v>
      </c>
      <c r="D347" s="709"/>
      <c r="E347" s="296"/>
      <c r="F347" s="296"/>
      <c r="G347" s="296"/>
      <c r="H347" s="296"/>
      <c r="I347" s="296"/>
      <c r="J347" s="296"/>
      <c r="K347" s="296"/>
      <c r="L347" s="296"/>
      <c r="M347" s="296"/>
      <c r="N347" s="296"/>
      <c r="O347" s="296"/>
      <c r="P347" s="296"/>
      <c r="Q347" s="296"/>
    </row>
    <row r="348" spans="3:17">
      <c r="C348" s="296" t="s">
        <v>426</v>
      </c>
      <c r="D348" s="296" t="s">
        <v>427</v>
      </c>
      <c r="E348" s="296">
        <v>0</v>
      </c>
      <c r="F348" s="296">
        <v>0</v>
      </c>
      <c r="G348" s="296">
        <v>0</v>
      </c>
      <c r="H348" s="296">
        <v>0</v>
      </c>
      <c r="I348" s="296">
        <v>0</v>
      </c>
      <c r="J348" s="296">
        <v>0</v>
      </c>
      <c r="K348" s="296">
        <v>0</v>
      </c>
      <c r="L348" s="296">
        <v>0</v>
      </c>
      <c r="M348" s="296">
        <v>0</v>
      </c>
      <c r="N348" s="296">
        <v>0</v>
      </c>
      <c r="O348" s="296">
        <v>0</v>
      </c>
      <c r="P348" s="296">
        <v>0</v>
      </c>
      <c r="Q348" s="296">
        <f>SUM(E348:P348)</f>
        <v>0</v>
      </c>
    </row>
    <row r="349" spans="3:17">
      <c r="C349" s="296" t="s">
        <v>426</v>
      </c>
      <c r="D349" s="296" t="s">
        <v>428</v>
      </c>
      <c r="E349" s="296">
        <v>0</v>
      </c>
      <c r="F349" s="296">
        <v>0</v>
      </c>
      <c r="G349" s="296">
        <v>0</v>
      </c>
      <c r="H349" s="296">
        <v>0</v>
      </c>
      <c r="I349" s="296">
        <v>0</v>
      </c>
      <c r="J349" s="296">
        <v>0</v>
      </c>
      <c r="K349" s="296">
        <v>0</v>
      </c>
      <c r="L349" s="296">
        <v>0</v>
      </c>
      <c r="M349" s="296">
        <v>0</v>
      </c>
      <c r="N349" s="296">
        <v>0</v>
      </c>
      <c r="O349" s="296">
        <v>0</v>
      </c>
      <c r="P349" s="296">
        <v>0</v>
      </c>
      <c r="Q349" s="296">
        <f>SUM(E349:P349)</f>
        <v>0</v>
      </c>
    </row>
    <row r="350" ht="15" spans="3:17">
      <c r="C350" s="285" t="s">
        <v>429</v>
      </c>
      <c r="D350" s="286"/>
      <c r="E350" s="296">
        <f t="shared" ref="E350:Q350" si="169">E348+E349</f>
        <v>0</v>
      </c>
      <c r="F350" s="296">
        <f t="shared" si="169"/>
        <v>0</v>
      </c>
      <c r="G350" s="296">
        <f t="shared" si="169"/>
        <v>0</v>
      </c>
      <c r="H350" s="296">
        <f t="shared" si="169"/>
        <v>0</v>
      </c>
      <c r="I350" s="296">
        <f t="shared" si="169"/>
        <v>0</v>
      </c>
      <c r="J350" s="296">
        <f t="shared" si="169"/>
        <v>0</v>
      </c>
      <c r="K350" s="296">
        <f t="shared" si="169"/>
        <v>0</v>
      </c>
      <c r="L350" s="296">
        <f t="shared" si="169"/>
        <v>0</v>
      </c>
      <c r="M350" s="296">
        <f t="shared" si="169"/>
        <v>0</v>
      </c>
      <c r="N350" s="296">
        <f t="shared" si="169"/>
        <v>0</v>
      </c>
      <c r="O350" s="296">
        <f t="shared" si="169"/>
        <v>0</v>
      </c>
      <c r="P350" s="296">
        <f t="shared" si="169"/>
        <v>0</v>
      </c>
      <c r="Q350" s="296">
        <f t="shared" si="169"/>
        <v>0</v>
      </c>
    </row>
    <row r="351" ht="15" spans="3:17">
      <c r="C351" s="285" t="s">
        <v>224</v>
      </c>
      <c r="D351" s="286"/>
      <c r="E351" s="384">
        <f t="shared" ref="E351:Q351" si="170">E227+E273+E282+E292+E318+E346+E350</f>
        <v>987.253867750472</v>
      </c>
      <c r="F351" s="384">
        <f t="shared" si="170"/>
        <v>820.677187004858</v>
      </c>
      <c r="G351" s="384">
        <f t="shared" si="170"/>
        <v>821.9920089012</v>
      </c>
      <c r="H351" s="384">
        <f t="shared" si="170"/>
        <v>1004.96648124297</v>
      </c>
      <c r="I351" s="384">
        <f t="shared" si="170"/>
        <v>1176.56620031058</v>
      </c>
      <c r="J351" s="384">
        <f t="shared" si="170"/>
        <v>1014.75647324431</v>
      </c>
      <c r="K351" s="384">
        <f t="shared" si="170"/>
        <v>1244.87923015054</v>
      </c>
      <c r="L351" s="384">
        <f t="shared" si="170"/>
        <v>912.110885011447</v>
      </c>
      <c r="M351" s="384">
        <f t="shared" si="170"/>
        <v>982.458584608396</v>
      </c>
      <c r="N351" s="384">
        <f t="shared" si="170"/>
        <v>1187.40330823256</v>
      </c>
      <c r="O351" s="384">
        <f t="shared" si="170"/>
        <v>1214.72080733812</v>
      </c>
      <c r="P351" s="384">
        <f t="shared" si="170"/>
        <v>1377.15491315578</v>
      </c>
      <c r="Q351" s="722">
        <f t="shared" si="170"/>
        <v>13819.4940519512</v>
      </c>
    </row>
    <row r="352" ht="15" spans="4:5">
      <c r="D352" s="367"/>
      <c r="E352" s="367"/>
    </row>
    <row r="353" ht="15" spans="3:10">
      <c r="C353" s="367" t="s">
        <v>524</v>
      </c>
      <c r="J353" s="370"/>
    </row>
    <row r="354" ht="15" spans="3:17">
      <c r="C354" s="369"/>
      <c r="Q354" s="370" t="s">
        <v>109</v>
      </c>
    </row>
    <row r="355" ht="15" spans="3:17">
      <c r="C355" s="703" t="s">
        <v>345</v>
      </c>
      <c r="D355" s="703" t="s">
        <v>346</v>
      </c>
      <c r="E355" s="403" t="s">
        <v>532</v>
      </c>
      <c r="F355" s="403"/>
      <c r="G355" s="403"/>
      <c r="H355" s="403"/>
      <c r="I355" s="403"/>
      <c r="J355" s="403"/>
      <c r="K355" s="403"/>
      <c r="L355" s="403"/>
      <c r="M355" s="403"/>
      <c r="N355" s="403"/>
      <c r="O355" s="403"/>
      <c r="P355" s="403"/>
      <c r="Q355" s="403"/>
    </row>
    <row r="356" ht="15" spans="3:17">
      <c r="C356" s="705"/>
      <c r="D356" s="705"/>
      <c r="E356" s="403" t="s">
        <v>246</v>
      </c>
      <c r="F356" s="403" t="s">
        <v>247</v>
      </c>
      <c r="G356" s="403" t="s">
        <v>248</v>
      </c>
      <c r="H356" s="403" t="s">
        <v>249</v>
      </c>
      <c r="I356" s="403" t="s">
        <v>250</v>
      </c>
      <c r="J356" s="403" t="s">
        <v>251</v>
      </c>
      <c r="K356" s="403" t="s">
        <v>252</v>
      </c>
      <c r="L356" s="403" t="s">
        <v>253</v>
      </c>
      <c r="M356" s="403" t="s">
        <v>254</v>
      </c>
      <c r="N356" s="403" t="s">
        <v>255</v>
      </c>
      <c r="O356" s="403" t="s">
        <v>256</v>
      </c>
      <c r="P356" s="403" t="s">
        <v>257</v>
      </c>
      <c r="Q356" s="403" t="s">
        <v>97</v>
      </c>
    </row>
    <row r="357" spans="3:17">
      <c r="C357" s="707"/>
      <c r="D357" s="707"/>
      <c r="E357" s="384"/>
      <c r="F357" s="384"/>
      <c r="G357" s="384"/>
      <c r="H357" s="384"/>
      <c r="I357" s="384"/>
      <c r="J357" s="384"/>
      <c r="K357" s="384"/>
      <c r="L357" s="384"/>
      <c r="M357" s="384"/>
      <c r="N357" s="384"/>
      <c r="O357" s="384"/>
      <c r="P357" s="384"/>
      <c r="Q357" s="384"/>
    </row>
    <row r="358" ht="15" spans="3:17">
      <c r="C358" s="708" t="s">
        <v>349</v>
      </c>
      <c r="D358" s="709"/>
      <c r="E358" s="296"/>
      <c r="F358" s="296"/>
      <c r="G358" s="296"/>
      <c r="H358" s="296"/>
      <c r="I358" s="296"/>
      <c r="J358" s="296"/>
      <c r="K358" s="296"/>
      <c r="L358" s="296"/>
      <c r="M358" s="296"/>
      <c r="N358" s="296"/>
      <c r="O358" s="296"/>
      <c r="P358" s="296"/>
      <c r="Q358" s="296"/>
    </row>
    <row r="359" ht="15" spans="3:17">
      <c r="C359" s="285" t="s">
        <v>350</v>
      </c>
      <c r="D359" s="286"/>
      <c r="E359" s="296"/>
      <c r="F359" s="296"/>
      <c r="G359" s="296"/>
      <c r="H359" s="296"/>
      <c r="I359" s="296"/>
      <c r="J359" s="296"/>
      <c r="K359" s="296"/>
      <c r="L359" s="296"/>
      <c r="M359" s="296"/>
      <c r="N359" s="296"/>
      <c r="O359" s="296"/>
      <c r="P359" s="296"/>
      <c r="Q359" s="296"/>
    </row>
    <row r="360" spans="3:17">
      <c r="C360" s="710" t="s">
        <v>444</v>
      </c>
      <c r="D360" s="296" t="s">
        <v>352</v>
      </c>
      <c r="E360" s="718">
        <f>'[7]TGSPDCL MoD'!AJ4+'[7]TGSPDCL MoD'!AJ5</f>
        <v>61.7249578728566</v>
      </c>
      <c r="F360" s="718">
        <f>'[7]TGSPDCL MoD'!AK4+'[7]TGSPDCL MoD'!AK5</f>
        <v>57.0962564197134</v>
      </c>
      <c r="G360" s="718">
        <f>'[7]TGSPDCL MoD'!AL4+'[7]TGSPDCL MoD'!AL5</f>
        <v>55.2544416964968</v>
      </c>
      <c r="H360" s="718">
        <f>'[7]TGSPDCL MoD'!AM4+'[7]TGSPDCL MoD'!AM5</f>
        <v>0</v>
      </c>
      <c r="I360" s="718">
        <f>'[7]TGSPDCL MoD'!AN4+'[7]TGSPDCL MoD'!AN5</f>
        <v>29.5213598533746</v>
      </c>
      <c r="J360" s="718">
        <f>'[7]TGSPDCL MoD'!AO4+'[7]TGSPDCL MoD'!AO5</f>
        <v>55.2544416964968</v>
      </c>
      <c r="K360" s="718">
        <f>'[7]TGSPDCL MoD'!AP4+'[7]TGSPDCL MoD'!AP5</f>
        <v>68.7750361419276</v>
      </c>
      <c r="L360" s="718">
        <f>'[7]TGSPDCL MoD'!AQ4+'[7]TGSPDCL MoD'!AQ5</f>
        <v>81.6399656339198</v>
      </c>
      <c r="M360" s="718">
        <f>'[7]TGSPDCL MoD'!AR4+'[7]TGSPDCL MoD'!AR5</f>
        <v>59.0427197067492</v>
      </c>
      <c r="N360" s="718">
        <f>'[7]TGSPDCL MoD'!AS4+'[7]TGSPDCL MoD'!AS5</f>
        <v>60.1238071958445</v>
      </c>
      <c r="O360" s="718">
        <f>'[7]TGSPDCL MoD'!AT4+'[7]TGSPDCL MoD'!AT5</f>
        <v>69.1517709716764</v>
      </c>
      <c r="P360" s="718">
        <f>'[7]TGSPDCL MoD'!AU4+'[7]TGSPDCL MoD'!AU5</f>
        <v>78.507352577106</v>
      </c>
      <c r="Q360" s="723">
        <f>SUM(E360:P360)</f>
        <v>676.092109766162</v>
      </c>
    </row>
    <row r="361" spans="3:17">
      <c r="C361" s="711"/>
      <c r="D361" s="296" t="s">
        <v>353</v>
      </c>
      <c r="E361" s="718">
        <f>'[7]TGSPDCL MoD'!AJ6</f>
        <v>62.9800838159508</v>
      </c>
      <c r="F361" s="718">
        <f>'[7]TGSPDCL MoD'!AK6</f>
        <v>73.301905332568</v>
      </c>
      <c r="G361" s="718">
        <f>'[7]TGSPDCL MoD'!AL6</f>
        <v>50.1571556119509</v>
      </c>
      <c r="H361" s="718">
        <f>'[7]TGSPDCL MoD'!AM6</f>
        <v>53.4664113931735</v>
      </c>
      <c r="I361" s="718">
        <f>'[7]TGSPDCL MoD'!AN6</f>
        <v>58.5012651183054</v>
      </c>
      <c r="J361" s="718">
        <f>'[7]TGSPDCL MoD'!AO6</f>
        <v>49.3503406029958</v>
      </c>
      <c r="K361" s="718">
        <f>'[7]TGSPDCL MoD'!AP6</f>
        <v>68.3564989800826</v>
      </c>
      <c r="L361" s="718">
        <f>'[7]TGSPDCL MoD'!AQ6</f>
        <v>38.9620832076195</v>
      </c>
      <c r="M361" s="718">
        <f>'[7]TGSPDCL MoD'!AR6</f>
        <v>54.4883087881349</v>
      </c>
      <c r="N361" s="718">
        <f>'[7]TGSPDCL MoD'!AS6</f>
        <v>56.1913593310848</v>
      </c>
      <c r="O361" s="718">
        <f>'[7]TGSPDCL MoD'!AT6</f>
        <v>63.3110493560743</v>
      </c>
      <c r="P361" s="718">
        <f>'[7]TGSPDCL MoD'!AU6</f>
        <v>74.7863949732843</v>
      </c>
      <c r="Q361" s="718">
        <f t="shared" ref="Q361:Q378" si="171">SUM(E361:P361)</f>
        <v>703.852856511225</v>
      </c>
    </row>
    <row r="362" spans="3:17">
      <c r="C362" s="711"/>
      <c r="D362" s="296" t="s">
        <v>354</v>
      </c>
      <c r="E362" s="718">
        <f>'[7]TGSPDCL MoD'!AJ7</f>
        <v>105.052949644597</v>
      </c>
      <c r="F362" s="718">
        <f>'[7]TGSPDCL MoD'!AK7</f>
        <v>0</v>
      </c>
      <c r="G362" s="718">
        <f>'[7]TGSPDCL MoD'!AL7</f>
        <v>39.4353663630082</v>
      </c>
      <c r="H362" s="718">
        <f>'[7]TGSPDCL MoD'!AM7</f>
        <v>84.1917228264196</v>
      </c>
      <c r="I362" s="718">
        <f>'[7]TGSPDCL MoD'!AN7</f>
        <v>104.100904871334</v>
      </c>
      <c r="J362" s="718">
        <f>'[7]TGSPDCL MoD'!AO7</f>
        <v>81.4708667719291</v>
      </c>
      <c r="K362" s="718">
        <f>'[7]TGSPDCL MoD'!AP7</f>
        <v>114.595729276617</v>
      </c>
      <c r="L362" s="718">
        <f>'[7]TGSPDCL MoD'!AQ7</f>
        <v>122.285208620467</v>
      </c>
      <c r="M362" s="718">
        <f>'[7]TGSPDCL MoD'!AR7</f>
        <v>97.3327911354772</v>
      </c>
      <c r="N362" s="718">
        <f>'[7]TGSPDCL MoD'!AS7</f>
        <v>100.696659957756</v>
      </c>
      <c r="O362" s="718">
        <f>'[7]TGSPDCL MoD'!AT7</f>
        <v>100.307393415652</v>
      </c>
      <c r="P362" s="718">
        <f>'[7]TGSPDCL MoD'!AU7</f>
        <v>121.101398379192</v>
      </c>
      <c r="Q362" s="718">
        <f t="shared" si="171"/>
        <v>1070.57099126245</v>
      </c>
    </row>
    <row r="363" spans="3:17">
      <c r="C363" s="711"/>
      <c r="D363" s="296" t="s">
        <v>355</v>
      </c>
      <c r="E363" s="718">
        <f>'[7]TGSPDCL MoD'!AJ8</f>
        <v>0</v>
      </c>
      <c r="F363" s="718">
        <f>'[7]TGSPDCL MoD'!AK8</f>
        <v>0</v>
      </c>
      <c r="G363" s="718">
        <f>'[7]TGSPDCL MoD'!AL8</f>
        <v>0</v>
      </c>
      <c r="H363" s="718">
        <f>'[7]TGSPDCL MoD'!AM8</f>
        <v>0</v>
      </c>
      <c r="I363" s="718">
        <f>'[7]TGSPDCL MoD'!AN8</f>
        <v>0</v>
      </c>
      <c r="J363" s="718">
        <f>'[7]TGSPDCL MoD'!AO8</f>
        <v>0</v>
      </c>
      <c r="K363" s="718">
        <f>'[7]TGSPDCL MoD'!AP8</f>
        <v>0</v>
      </c>
      <c r="L363" s="718">
        <f>'[7]TGSPDCL MoD'!AQ8</f>
        <v>0</v>
      </c>
      <c r="M363" s="718">
        <f>'[7]TGSPDCL MoD'!AR8</f>
        <v>0</v>
      </c>
      <c r="N363" s="718">
        <f>'[7]TGSPDCL MoD'!AS8</f>
        <v>0</v>
      </c>
      <c r="O363" s="718">
        <f>'[7]TGSPDCL MoD'!AT8</f>
        <v>0</v>
      </c>
      <c r="P363" s="718">
        <f>'[7]TGSPDCL MoD'!AU8</f>
        <v>0</v>
      </c>
      <c r="Q363" s="718">
        <f t="shared" si="171"/>
        <v>0</v>
      </c>
    </row>
    <row r="364" spans="3:17">
      <c r="C364" s="711"/>
      <c r="D364" s="296" t="s">
        <v>356</v>
      </c>
      <c r="E364" s="718">
        <f>'[7]TGSPDCL MoD'!AJ9</f>
        <v>70.674272576433</v>
      </c>
      <c r="F364" s="718">
        <f>'[7]TGSPDCL MoD'!AK9</f>
        <v>69.3167044536289</v>
      </c>
      <c r="G364" s="718">
        <f>'[7]TGSPDCL MoD'!AL9</f>
        <v>56.7489511212597</v>
      </c>
      <c r="H364" s="718">
        <f>'[7]TGSPDCL MoD'!AM9</f>
        <v>55.1984511289629</v>
      </c>
      <c r="I364" s="718">
        <f>'[7]TGSPDCL MoD'!AN9</f>
        <v>63.286315006915</v>
      </c>
      <c r="J364" s="718">
        <f>'[7]TGSPDCL MoD'!AO9</f>
        <v>52.4741978928048</v>
      </c>
      <c r="K364" s="718">
        <f>'[7]TGSPDCL MoD'!AP9</f>
        <v>0</v>
      </c>
      <c r="L364" s="718">
        <f>'[7]TGSPDCL MoD'!AQ9</f>
        <v>35.8099879908391</v>
      </c>
      <c r="M364" s="718">
        <f>'[7]TGSPDCL MoD'!AR9</f>
        <v>61.4990310190091</v>
      </c>
      <c r="N364" s="718">
        <f>'[7]TGSPDCL MoD'!AS9</f>
        <v>63.0625657059331</v>
      </c>
      <c r="O364" s="718">
        <f>'[7]TGSPDCL MoD'!AT9</f>
        <v>64.020861159209</v>
      </c>
      <c r="P364" s="718">
        <f>'[7]TGSPDCL MoD'!AU9</f>
        <v>77.1383967311513</v>
      </c>
      <c r="Q364" s="718">
        <f t="shared" si="171"/>
        <v>669.229734786146</v>
      </c>
    </row>
    <row r="365" spans="3:17">
      <c r="C365" s="711"/>
      <c r="D365" s="296" t="s">
        <v>357</v>
      </c>
      <c r="E365" s="718">
        <f>'[7]TGSPDCL MoD'!AJ10</f>
        <v>84.1194001753547</v>
      </c>
      <c r="F365" s="718">
        <f>'[7]TGSPDCL MoD'!AK10</f>
        <v>80.1055837984565</v>
      </c>
      <c r="G365" s="718">
        <f>'[7]TGSPDCL MoD'!AL10</f>
        <v>77.6021861593572</v>
      </c>
      <c r="H365" s="718">
        <f>'[7]TGSPDCL MoD'!AM10</f>
        <v>89.1609746264862</v>
      </c>
      <c r="I365" s="718">
        <f>'[7]TGSPDCL MoD'!AN10</f>
        <v>93.9712218175133</v>
      </c>
      <c r="J365" s="718">
        <f>'[7]TGSPDCL MoD'!AO10</f>
        <v>84.9361561534697</v>
      </c>
      <c r="K365" s="718">
        <f>'[7]TGSPDCL MoD'!AP10</f>
        <v>93.9712218175133</v>
      </c>
      <c r="L365" s="718">
        <f>'[7]TGSPDCL MoD'!AQ10</f>
        <v>0</v>
      </c>
      <c r="M365" s="718">
        <f>'[7]TGSPDCL MoD'!AR10</f>
        <v>42.1791604124583</v>
      </c>
      <c r="N365" s="718">
        <f>'[7]TGSPDCL MoD'!AS10</f>
        <v>88.6853405902782</v>
      </c>
      <c r="O365" s="718">
        <f>'[7]TGSPDCL MoD'!AT10</f>
        <v>84.8772326093669</v>
      </c>
      <c r="P365" s="718">
        <f>'[7]TGSPDCL MoD'!AU10</f>
        <v>93.9712218175133</v>
      </c>
      <c r="Q365" s="718">
        <f t="shared" si="171"/>
        <v>913.579699977768</v>
      </c>
    </row>
    <row r="366" spans="3:17">
      <c r="C366" s="711"/>
      <c r="D366" s="296" t="s">
        <v>358</v>
      </c>
      <c r="E366" s="718">
        <f>SUM('[7]TGSPDCL MoD'!AJ11:AJ14)</f>
        <v>156.000951017784</v>
      </c>
      <c r="F366" s="718">
        <f>SUM('[7]TGSPDCL MoD'!AK11:AK14)</f>
        <v>113.7695609742</v>
      </c>
      <c r="G366" s="718">
        <f>SUM('[7]TGSPDCL MoD'!AL11:AL14)</f>
        <v>128.44950432571</v>
      </c>
      <c r="H366" s="718">
        <f>SUM('[7]TGSPDCL MoD'!AM11:AM14)</f>
        <v>145.649856308102</v>
      </c>
      <c r="I366" s="718">
        <f>SUM('[7]TGSPDCL MoD'!AN11:AN14)</f>
        <v>132.351006292156</v>
      </c>
      <c r="J366" s="718">
        <f>SUM('[7]TGSPDCL MoD'!AO11:AO14)</f>
        <v>115.489859162635</v>
      </c>
      <c r="K366" s="718">
        <f>SUM('[7]TGSPDCL MoD'!AP11:AP14)</f>
        <v>178.462056430118</v>
      </c>
      <c r="L366" s="718">
        <f>SUM('[7]TGSPDCL MoD'!AQ11:AQ14)</f>
        <v>162.822036287067</v>
      </c>
      <c r="M366" s="718">
        <f>SUM('[7]TGSPDCL MoD'!AR11:AR14)</f>
        <v>158.385075081729</v>
      </c>
      <c r="N366" s="718">
        <f>SUM('[7]TGSPDCL MoD'!AS11:AS14)</f>
        <v>164.836739145333</v>
      </c>
      <c r="O366" s="718">
        <f>SUM('[7]TGSPDCL MoD'!AT11:AT14)</f>
        <v>161.191534840106</v>
      </c>
      <c r="P366" s="718">
        <f>SUM('[7]TGSPDCL MoD'!AU11:AU14)</f>
        <v>178.462056430118</v>
      </c>
      <c r="Q366" s="718">
        <f t="shared" si="171"/>
        <v>1795.87023629506</v>
      </c>
    </row>
    <row r="367" spans="3:17">
      <c r="C367" s="711"/>
      <c r="D367" s="296" t="s">
        <v>359</v>
      </c>
      <c r="E367" s="718">
        <f>SUM('[7]TGSPDCL MoD'!AJ15:AJ19)+'[7]TGSPDCL MoD'!$AW$15/12</f>
        <v>343.063406265316</v>
      </c>
      <c r="F367" s="718">
        <f>SUM('[7]TGSPDCL MoD'!AK15:AK19)+'[7]TGSPDCL MoD'!$AW$15/12</f>
        <v>338.601397826899</v>
      </c>
      <c r="G367" s="718">
        <f>SUM('[7]TGSPDCL MoD'!AL15:AL19)+'[7]TGSPDCL MoD'!$AW$15/12</f>
        <v>423.089018646184</v>
      </c>
      <c r="H367" s="718">
        <f>SUM('[7]TGSPDCL MoD'!AM15:AM19)+'[7]TGSPDCL MoD'!$AW$15/12</f>
        <v>536.96061785265</v>
      </c>
      <c r="I367" s="718">
        <f>SUM('[7]TGSPDCL MoD'!AN15:AN19)+'[7]TGSPDCL MoD'!$AW$15/12</f>
        <v>557.420116315503</v>
      </c>
      <c r="J367" s="718">
        <f>SUM('[7]TGSPDCL MoD'!AO15:AO19)+'[7]TGSPDCL MoD'!$AW$15/12</f>
        <v>494.864164197583</v>
      </c>
      <c r="K367" s="718">
        <f>SUM('[7]TGSPDCL MoD'!AP15:AP19)+'[7]TGSPDCL MoD'!$AW$15/12</f>
        <v>633.393344396146</v>
      </c>
      <c r="L367" s="718">
        <f>SUM('[7]TGSPDCL MoD'!AQ15:AQ19)+'[7]TGSPDCL MoD'!$AW$15/12</f>
        <v>411.550534206262</v>
      </c>
      <c r="M367" s="718">
        <f>SUM('[7]TGSPDCL MoD'!AR15:AR19)+'[7]TGSPDCL MoD'!$AW$15/12</f>
        <v>444.607275439558</v>
      </c>
      <c r="N367" s="718">
        <f>SUM('[7]TGSPDCL MoD'!AS15:AS19)+'[7]TGSPDCL MoD'!$AW$15/12</f>
        <v>537.39849383251</v>
      </c>
      <c r="O367" s="718">
        <f>SUM('[7]TGSPDCL MoD'!AT15:AT19)+'[7]TGSPDCL MoD'!$AW$15/12</f>
        <v>549.167819843785</v>
      </c>
      <c r="P367" s="718">
        <f>SUM('[7]TGSPDCL MoD'!AU15:AU19)+'[7]TGSPDCL MoD'!$AW$15/12</f>
        <v>662.478734241959</v>
      </c>
      <c r="Q367" s="718">
        <f t="shared" si="171"/>
        <v>5932.59492306435</v>
      </c>
    </row>
    <row r="368" spans="3:17">
      <c r="C368" s="711"/>
      <c r="D368" s="712" t="s">
        <v>492</v>
      </c>
      <c r="E368" s="296"/>
      <c r="F368" s="296"/>
      <c r="G368" s="296"/>
      <c r="H368" s="296"/>
      <c r="I368" s="296"/>
      <c r="J368" s="296"/>
      <c r="K368" s="296"/>
      <c r="L368" s="296"/>
      <c r="M368" s="296"/>
      <c r="N368" s="296"/>
      <c r="O368" s="296"/>
      <c r="P368" s="296"/>
      <c r="Q368" s="296">
        <f t="shared" si="171"/>
        <v>0</v>
      </c>
    </row>
    <row r="369" spans="3:17">
      <c r="C369" s="711"/>
      <c r="D369" s="296"/>
      <c r="E369" s="296"/>
      <c r="F369" s="296"/>
      <c r="G369" s="296"/>
      <c r="H369" s="296"/>
      <c r="I369" s="296"/>
      <c r="J369" s="296"/>
      <c r="K369" s="296"/>
      <c r="L369" s="296"/>
      <c r="M369" s="296"/>
      <c r="N369" s="296"/>
      <c r="O369" s="296"/>
      <c r="P369" s="296"/>
      <c r="Q369" s="296">
        <f t="shared" si="171"/>
        <v>0</v>
      </c>
    </row>
    <row r="370" spans="3:17">
      <c r="C370" s="711"/>
      <c r="D370" s="296"/>
      <c r="E370" s="296"/>
      <c r="F370" s="296"/>
      <c r="G370" s="296"/>
      <c r="H370" s="296"/>
      <c r="I370" s="296"/>
      <c r="J370" s="296"/>
      <c r="K370" s="296"/>
      <c r="L370" s="296"/>
      <c r="M370" s="296"/>
      <c r="N370" s="296"/>
      <c r="O370" s="296"/>
      <c r="P370" s="296"/>
      <c r="Q370" s="296">
        <f t="shared" si="171"/>
        <v>0</v>
      </c>
    </row>
    <row r="371" spans="3:17">
      <c r="C371" s="711"/>
      <c r="D371" s="296"/>
      <c r="E371" s="296"/>
      <c r="F371" s="296"/>
      <c r="G371" s="296"/>
      <c r="H371" s="296"/>
      <c r="I371" s="296"/>
      <c r="J371" s="296"/>
      <c r="K371" s="296"/>
      <c r="L371" s="296"/>
      <c r="M371" s="296"/>
      <c r="N371" s="296"/>
      <c r="O371" s="296"/>
      <c r="P371" s="296"/>
      <c r="Q371" s="296">
        <f t="shared" si="171"/>
        <v>0</v>
      </c>
    </row>
    <row r="372" spans="3:17">
      <c r="C372" s="711"/>
      <c r="D372" s="296"/>
      <c r="E372" s="296"/>
      <c r="F372" s="296"/>
      <c r="G372" s="296"/>
      <c r="H372" s="296"/>
      <c r="I372" s="296"/>
      <c r="J372" s="296"/>
      <c r="K372" s="296"/>
      <c r="L372" s="296"/>
      <c r="M372" s="296"/>
      <c r="N372" s="296"/>
      <c r="O372" s="296"/>
      <c r="P372" s="296"/>
      <c r="Q372" s="296">
        <f t="shared" si="171"/>
        <v>0</v>
      </c>
    </row>
    <row r="373" spans="3:17">
      <c r="C373" s="711"/>
      <c r="D373" s="296"/>
      <c r="E373" s="296"/>
      <c r="F373" s="296"/>
      <c r="G373" s="296"/>
      <c r="H373" s="296"/>
      <c r="I373" s="296"/>
      <c r="J373" s="296"/>
      <c r="K373" s="296"/>
      <c r="L373" s="296"/>
      <c r="M373" s="296"/>
      <c r="N373" s="296"/>
      <c r="O373" s="296"/>
      <c r="P373" s="296"/>
      <c r="Q373" s="296">
        <f t="shared" si="171"/>
        <v>0</v>
      </c>
    </row>
    <row r="374" spans="3:17">
      <c r="C374" s="711"/>
      <c r="D374" s="296"/>
      <c r="E374" s="296"/>
      <c r="F374" s="296"/>
      <c r="G374" s="296"/>
      <c r="H374" s="296"/>
      <c r="I374" s="296"/>
      <c r="J374" s="296"/>
      <c r="K374" s="296"/>
      <c r="L374" s="296"/>
      <c r="M374" s="296"/>
      <c r="N374" s="296"/>
      <c r="O374" s="296"/>
      <c r="P374" s="296"/>
      <c r="Q374" s="296">
        <f t="shared" si="171"/>
        <v>0</v>
      </c>
    </row>
    <row r="375" spans="3:17">
      <c r="C375" s="711"/>
      <c r="D375" s="296"/>
      <c r="E375" s="296"/>
      <c r="F375" s="296"/>
      <c r="G375" s="296"/>
      <c r="H375" s="296"/>
      <c r="I375" s="296"/>
      <c r="J375" s="296"/>
      <c r="K375" s="296"/>
      <c r="L375" s="296"/>
      <c r="M375" s="296"/>
      <c r="N375" s="296"/>
      <c r="O375" s="296"/>
      <c r="P375" s="296"/>
      <c r="Q375" s="296">
        <f t="shared" si="171"/>
        <v>0</v>
      </c>
    </row>
    <row r="376" spans="3:17">
      <c r="C376" s="711"/>
      <c r="D376" s="296"/>
      <c r="E376" s="296"/>
      <c r="F376" s="296"/>
      <c r="G376" s="296"/>
      <c r="H376" s="296"/>
      <c r="I376" s="296"/>
      <c r="J376" s="296"/>
      <c r="K376" s="296"/>
      <c r="L376" s="296"/>
      <c r="M376" s="296"/>
      <c r="N376" s="296"/>
      <c r="O376" s="296"/>
      <c r="P376" s="296"/>
      <c r="Q376" s="296">
        <f t="shared" si="171"/>
        <v>0</v>
      </c>
    </row>
    <row r="377" spans="3:17">
      <c r="C377" s="713"/>
      <c r="D377" s="296"/>
      <c r="E377" s="296"/>
      <c r="F377" s="296"/>
      <c r="G377" s="296"/>
      <c r="H377" s="296"/>
      <c r="I377" s="296"/>
      <c r="J377" s="296"/>
      <c r="K377" s="296"/>
      <c r="L377" s="296"/>
      <c r="M377" s="296"/>
      <c r="N377" s="296"/>
      <c r="O377" s="296"/>
      <c r="P377" s="296"/>
      <c r="Q377" s="296">
        <f t="shared" si="171"/>
        <v>0</v>
      </c>
    </row>
    <row r="378" ht="15" spans="3:17">
      <c r="C378" s="285" t="s">
        <v>211</v>
      </c>
      <c r="D378" s="286"/>
      <c r="E378" s="718">
        <f t="shared" ref="E378:P378" si="172">SUM(E360:E377)</f>
        <v>883.616021368292</v>
      </c>
      <c r="F378" s="718">
        <f t="shared" si="172"/>
        <v>732.191408805466</v>
      </c>
      <c r="G378" s="718">
        <f t="shared" si="172"/>
        <v>830.736623923967</v>
      </c>
      <c r="H378" s="718">
        <f t="shared" si="172"/>
        <v>964.628034135794</v>
      </c>
      <c r="I378" s="718">
        <f t="shared" si="172"/>
        <v>1039.1521892751</v>
      </c>
      <c r="J378" s="718">
        <f t="shared" si="172"/>
        <v>933.840026477915</v>
      </c>
      <c r="K378" s="718">
        <f t="shared" si="172"/>
        <v>1157.5538870424</v>
      </c>
      <c r="L378" s="718">
        <f t="shared" si="172"/>
        <v>853.069815946174</v>
      </c>
      <c r="M378" s="718">
        <f t="shared" si="172"/>
        <v>917.534361583116</v>
      </c>
      <c r="N378" s="718">
        <f t="shared" si="172"/>
        <v>1070.99496575874</v>
      </c>
      <c r="O378" s="718">
        <f t="shared" si="172"/>
        <v>1092.02766219587</v>
      </c>
      <c r="P378" s="718">
        <f t="shared" si="172"/>
        <v>1286.44555515032</v>
      </c>
      <c r="Q378" s="721">
        <f t="shared" si="171"/>
        <v>11761.7905516632</v>
      </c>
    </row>
    <row r="379" ht="15" spans="3:17">
      <c r="C379" s="285" t="s">
        <v>360</v>
      </c>
      <c r="D379" s="286"/>
      <c r="E379" s="296"/>
      <c r="F379" s="296"/>
      <c r="G379" s="296"/>
      <c r="H379" s="296"/>
      <c r="I379" s="296"/>
      <c r="J379" s="296"/>
      <c r="K379" s="296"/>
      <c r="L379" s="296"/>
      <c r="M379" s="296"/>
      <c r="N379" s="296"/>
      <c r="O379" s="296"/>
      <c r="P379" s="296"/>
      <c r="Q379" s="296"/>
    </row>
    <row r="380" spans="3:17">
      <c r="C380" s="710" t="s">
        <v>444</v>
      </c>
      <c r="D380" s="296" t="s">
        <v>361</v>
      </c>
      <c r="E380" s="296">
        <v>0</v>
      </c>
      <c r="F380" s="296">
        <v>0</v>
      </c>
      <c r="G380" s="296">
        <v>0</v>
      </c>
      <c r="H380" s="296">
        <v>0</v>
      </c>
      <c r="I380" s="296">
        <v>0</v>
      </c>
      <c r="J380" s="296">
        <v>0</v>
      </c>
      <c r="K380" s="296">
        <v>0</v>
      </c>
      <c r="L380" s="296">
        <v>0</v>
      </c>
      <c r="M380" s="296">
        <v>0</v>
      </c>
      <c r="N380" s="296">
        <v>0</v>
      </c>
      <c r="O380" s="296">
        <v>0</v>
      </c>
      <c r="P380" s="296">
        <v>0</v>
      </c>
      <c r="Q380" s="296">
        <f t="shared" ref="Q380:Q398" si="173">SUM(E380:P380)</f>
        <v>0</v>
      </c>
    </row>
    <row r="381" spans="3:17">
      <c r="C381" s="711"/>
      <c r="D381" s="296" t="s">
        <v>362</v>
      </c>
      <c r="E381" s="296">
        <v>0</v>
      </c>
      <c r="F381" s="296">
        <v>0</v>
      </c>
      <c r="G381" s="296">
        <v>0</v>
      </c>
      <c r="H381" s="296">
        <v>0</v>
      </c>
      <c r="I381" s="296">
        <v>0</v>
      </c>
      <c r="J381" s="296">
        <v>0</v>
      </c>
      <c r="K381" s="296">
        <v>0</v>
      </c>
      <c r="L381" s="296">
        <v>0</v>
      </c>
      <c r="M381" s="296">
        <v>0</v>
      </c>
      <c r="N381" s="296">
        <v>0</v>
      </c>
      <c r="O381" s="296">
        <v>0</v>
      </c>
      <c r="P381" s="296">
        <v>0</v>
      </c>
      <c r="Q381" s="296">
        <f t="shared" si="173"/>
        <v>0</v>
      </c>
    </row>
    <row r="382" spans="3:17">
      <c r="C382" s="711"/>
      <c r="D382" s="296" t="s">
        <v>363</v>
      </c>
      <c r="E382" s="296">
        <v>0</v>
      </c>
      <c r="F382" s="296">
        <v>0</v>
      </c>
      <c r="G382" s="296">
        <v>0</v>
      </c>
      <c r="H382" s="296">
        <v>0</v>
      </c>
      <c r="I382" s="296">
        <v>0</v>
      </c>
      <c r="J382" s="296">
        <v>0</v>
      </c>
      <c r="K382" s="296">
        <v>0</v>
      </c>
      <c r="L382" s="296">
        <v>0</v>
      </c>
      <c r="M382" s="296">
        <v>0</v>
      </c>
      <c r="N382" s="296">
        <v>0</v>
      </c>
      <c r="O382" s="296">
        <v>0</v>
      </c>
      <c r="P382" s="296">
        <v>0</v>
      </c>
      <c r="Q382" s="296">
        <f t="shared" si="173"/>
        <v>0</v>
      </c>
    </row>
    <row r="383" spans="3:17">
      <c r="C383" s="711"/>
      <c r="D383" s="296" t="s">
        <v>364</v>
      </c>
      <c r="E383" s="296">
        <v>0</v>
      </c>
      <c r="F383" s="296">
        <v>0</v>
      </c>
      <c r="G383" s="296">
        <v>0</v>
      </c>
      <c r="H383" s="296">
        <v>0</v>
      </c>
      <c r="I383" s="296">
        <v>0</v>
      </c>
      <c r="J383" s="296">
        <v>0</v>
      </c>
      <c r="K383" s="296">
        <v>0</v>
      </c>
      <c r="L383" s="296">
        <v>0</v>
      </c>
      <c r="M383" s="296">
        <v>0</v>
      </c>
      <c r="N383" s="296">
        <v>0</v>
      </c>
      <c r="O383" s="296">
        <v>0</v>
      </c>
      <c r="P383" s="296">
        <v>0</v>
      </c>
      <c r="Q383" s="296">
        <f t="shared" si="173"/>
        <v>0</v>
      </c>
    </row>
    <row r="384" spans="3:17">
      <c r="C384" s="711"/>
      <c r="D384" s="296" t="s">
        <v>365</v>
      </c>
      <c r="E384" s="296">
        <v>0</v>
      </c>
      <c r="F384" s="296">
        <v>0</v>
      </c>
      <c r="G384" s="296">
        <v>0</v>
      </c>
      <c r="H384" s="296">
        <v>0</v>
      </c>
      <c r="I384" s="296">
        <v>0</v>
      </c>
      <c r="J384" s="296">
        <v>0</v>
      </c>
      <c r="K384" s="296">
        <v>0</v>
      </c>
      <c r="L384" s="296">
        <v>0</v>
      </c>
      <c r="M384" s="296">
        <v>0</v>
      </c>
      <c r="N384" s="296">
        <v>0</v>
      </c>
      <c r="O384" s="296">
        <v>0</v>
      </c>
      <c r="P384" s="296">
        <v>0</v>
      </c>
      <c r="Q384" s="296">
        <f t="shared" si="173"/>
        <v>0</v>
      </c>
    </row>
    <row r="385" spans="3:20">
      <c r="C385" s="711"/>
      <c r="D385" s="287" t="s">
        <v>366</v>
      </c>
      <c r="E385" s="296">
        <v>0</v>
      </c>
      <c r="F385" s="296">
        <v>0</v>
      </c>
      <c r="G385" s="296">
        <v>0</v>
      </c>
      <c r="H385" s="296">
        <v>0</v>
      </c>
      <c r="I385" s="296">
        <v>0</v>
      </c>
      <c r="J385" s="296">
        <v>0</v>
      </c>
      <c r="K385" s="296">
        <v>0</v>
      </c>
      <c r="L385" s="296">
        <v>0</v>
      </c>
      <c r="M385" s="296">
        <v>0</v>
      </c>
      <c r="N385" s="296">
        <v>0</v>
      </c>
      <c r="O385" s="296">
        <v>0</v>
      </c>
      <c r="P385" s="296">
        <v>0</v>
      </c>
      <c r="Q385" s="296">
        <f t="shared" si="173"/>
        <v>0</v>
      </c>
      <c r="T385" s="726">
        <f>T299+T334+T339+T344+T360+T366+T383</f>
        <v>0</v>
      </c>
    </row>
    <row r="386" spans="3:17">
      <c r="C386" s="711"/>
      <c r="D386" s="714" t="s">
        <v>445</v>
      </c>
      <c r="E386" s="296">
        <v>0</v>
      </c>
      <c r="F386" s="296">
        <v>0</v>
      </c>
      <c r="G386" s="296">
        <v>0</v>
      </c>
      <c r="H386" s="296">
        <v>0</v>
      </c>
      <c r="I386" s="296">
        <v>0</v>
      </c>
      <c r="J386" s="296">
        <v>0</v>
      </c>
      <c r="K386" s="296">
        <v>0</v>
      </c>
      <c r="L386" s="296">
        <v>0</v>
      </c>
      <c r="M386" s="296">
        <v>0</v>
      </c>
      <c r="N386" s="296">
        <v>0</v>
      </c>
      <c r="O386" s="296">
        <v>0</v>
      </c>
      <c r="P386" s="296">
        <v>0</v>
      </c>
      <c r="Q386" s="296">
        <f t="shared" si="173"/>
        <v>0</v>
      </c>
    </row>
    <row r="387" spans="3:17">
      <c r="C387" s="711"/>
      <c r="D387" s="714" t="s">
        <v>446</v>
      </c>
      <c r="E387" s="296">
        <v>0</v>
      </c>
      <c r="F387" s="296">
        <v>0</v>
      </c>
      <c r="G387" s="296">
        <v>0</v>
      </c>
      <c r="H387" s="296">
        <v>0</v>
      </c>
      <c r="I387" s="296">
        <v>0</v>
      </c>
      <c r="J387" s="296">
        <v>0</v>
      </c>
      <c r="K387" s="296">
        <v>0</v>
      </c>
      <c r="L387" s="296">
        <v>0</v>
      </c>
      <c r="M387" s="296">
        <v>0</v>
      </c>
      <c r="N387" s="296">
        <v>0</v>
      </c>
      <c r="O387" s="296">
        <v>0</v>
      </c>
      <c r="P387" s="296">
        <v>0</v>
      </c>
      <c r="Q387" s="296">
        <f t="shared" si="173"/>
        <v>0</v>
      </c>
    </row>
    <row r="388" spans="3:17">
      <c r="C388" s="711"/>
      <c r="D388" s="714" t="s">
        <v>447</v>
      </c>
      <c r="E388" s="296"/>
      <c r="F388" s="296"/>
      <c r="G388" s="296"/>
      <c r="H388" s="296"/>
      <c r="I388" s="296"/>
      <c r="J388" s="296"/>
      <c r="K388" s="296"/>
      <c r="L388" s="296"/>
      <c r="M388" s="296"/>
      <c r="N388" s="296"/>
      <c r="O388" s="296"/>
      <c r="P388" s="296"/>
      <c r="Q388" s="296">
        <f t="shared" si="173"/>
        <v>0</v>
      </c>
    </row>
    <row r="389" spans="3:17">
      <c r="C389" s="711"/>
      <c r="D389" s="714" t="s">
        <v>448</v>
      </c>
      <c r="E389" s="296"/>
      <c r="F389" s="296"/>
      <c r="G389" s="296"/>
      <c r="H389" s="296"/>
      <c r="I389" s="296"/>
      <c r="J389" s="296"/>
      <c r="K389" s="296"/>
      <c r="L389" s="296"/>
      <c r="M389" s="296"/>
      <c r="N389" s="296"/>
      <c r="O389" s="296"/>
      <c r="P389" s="296"/>
      <c r="Q389" s="296">
        <f t="shared" si="173"/>
        <v>0</v>
      </c>
    </row>
    <row r="390" spans="3:17">
      <c r="C390" s="711"/>
      <c r="D390" s="714" t="s">
        <v>449</v>
      </c>
      <c r="E390" s="296"/>
      <c r="F390" s="296"/>
      <c r="G390" s="296"/>
      <c r="H390" s="296"/>
      <c r="I390" s="296"/>
      <c r="J390" s="296"/>
      <c r="K390" s="296"/>
      <c r="L390" s="296"/>
      <c r="M390" s="296"/>
      <c r="N390" s="296"/>
      <c r="O390" s="296"/>
      <c r="P390" s="296"/>
      <c r="Q390" s="296">
        <f t="shared" si="173"/>
        <v>0</v>
      </c>
    </row>
    <row r="391" spans="3:17">
      <c r="C391" s="711"/>
      <c r="D391" s="296"/>
      <c r="E391" s="296"/>
      <c r="F391" s="296"/>
      <c r="G391" s="296"/>
      <c r="H391" s="296"/>
      <c r="I391" s="296"/>
      <c r="J391" s="296"/>
      <c r="K391" s="296"/>
      <c r="L391" s="296"/>
      <c r="M391" s="296"/>
      <c r="N391" s="296"/>
      <c r="O391" s="296"/>
      <c r="P391" s="296"/>
      <c r="Q391" s="296">
        <f t="shared" si="173"/>
        <v>0</v>
      </c>
    </row>
    <row r="392" spans="3:17">
      <c r="C392" s="711"/>
      <c r="D392" s="296"/>
      <c r="E392" s="296"/>
      <c r="F392" s="296"/>
      <c r="G392" s="296"/>
      <c r="H392" s="296"/>
      <c r="I392" s="296"/>
      <c r="J392" s="296"/>
      <c r="K392" s="296"/>
      <c r="L392" s="296"/>
      <c r="M392" s="296"/>
      <c r="N392" s="296"/>
      <c r="O392" s="296"/>
      <c r="P392" s="296"/>
      <c r="Q392" s="296">
        <f t="shared" si="173"/>
        <v>0</v>
      </c>
    </row>
    <row r="393" ht="42.75" spans="3:17">
      <c r="C393" s="711"/>
      <c r="D393" s="715" t="s">
        <v>533</v>
      </c>
      <c r="E393" s="296"/>
      <c r="F393" s="296"/>
      <c r="G393" s="296"/>
      <c r="H393" s="296"/>
      <c r="I393" s="296"/>
      <c r="J393" s="296"/>
      <c r="K393" s="296"/>
      <c r="L393" s="296"/>
      <c r="M393" s="296"/>
      <c r="N393" s="296"/>
      <c r="O393" s="296"/>
      <c r="P393" s="296"/>
      <c r="Q393" s="296">
        <f t="shared" si="173"/>
        <v>0</v>
      </c>
    </row>
    <row r="394" spans="3:17">
      <c r="C394" s="711"/>
      <c r="D394" s="712" t="s">
        <v>495</v>
      </c>
      <c r="E394" s="296"/>
      <c r="F394" s="296"/>
      <c r="G394" s="296"/>
      <c r="H394" s="296"/>
      <c r="I394" s="296"/>
      <c r="J394" s="296"/>
      <c r="K394" s="296"/>
      <c r="L394" s="296"/>
      <c r="M394" s="296"/>
      <c r="N394" s="296"/>
      <c r="O394" s="296"/>
      <c r="P394" s="296"/>
      <c r="Q394" s="296">
        <f t="shared" si="173"/>
        <v>0</v>
      </c>
    </row>
    <row r="395" spans="3:17">
      <c r="C395" s="711"/>
      <c r="D395" s="296"/>
      <c r="E395" s="296"/>
      <c r="F395" s="296"/>
      <c r="G395" s="296"/>
      <c r="H395" s="296"/>
      <c r="I395" s="296"/>
      <c r="J395" s="296"/>
      <c r="K395" s="296"/>
      <c r="L395" s="296"/>
      <c r="M395" s="296"/>
      <c r="N395" s="296"/>
      <c r="O395" s="296"/>
      <c r="P395" s="296"/>
      <c r="Q395" s="296">
        <f t="shared" si="173"/>
        <v>0</v>
      </c>
    </row>
    <row r="396" spans="3:17">
      <c r="C396" s="711"/>
      <c r="D396" s="296"/>
      <c r="E396" s="296"/>
      <c r="F396" s="296"/>
      <c r="G396" s="296"/>
      <c r="H396" s="296"/>
      <c r="I396" s="296"/>
      <c r="J396" s="296"/>
      <c r="K396" s="296"/>
      <c r="L396" s="296"/>
      <c r="M396" s="296"/>
      <c r="N396" s="296"/>
      <c r="O396" s="296"/>
      <c r="P396" s="296"/>
      <c r="Q396" s="296">
        <f t="shared" si="173"/>
        <v>0</v>
      </c>
    </row>
    <row r="397" spans="3:17">
      <c r="C397" s="713"/>
      <c r="D397" s="716"/>
      <c r="E397" s="296"/>
      <c r="F397" s="296"/>
      <c r="G397" s="296"/>
      <c r="H397" s="296"/>
      <c r="I397" s="296"/>
      <c r="J397" s="296"/>
      <c r="K397" s="296"/>
      <c r="L397" s="296"/>
      <c r="M397" s="296"/>
      <c r="N397" s="296"/>
      <c r="O397" s="296"/>
      <c r="P397" s="296"/>
      <c r="Q397" s="296">
        <f t="shared" si="173"/>
        <v>0</v>
      </c>
    </row>
    <row r="398" ht="15" spans="3:17">
      <c r="C398" s="285" t="s">
        <v>211</v>
      </c>
      <c r="D398" s="286"/>
      <c r="E398" s="296">
        <f t="shared" ref="E398:P398" si="174">SUM(E380:E397)</f>
        <v>0</v>
      </c>
      <c r="F398" s="296">
        <f t="shared" si="174"/>
        <v>0</v>
      </c>
      <c r="G398" s="296">
        <f t="shared" si="174"/>
        <v>0</v>
      </c>
      <c r="H398" s="296">
        <f t="shared" si="174"/>
        <v>0</v>
      </c>
      <c r="I398" s="296">
        <f t="shared" si="174"/>
        <v>0</v>
      </c>
      <c r="J398" s="296">
        <f t="shared" si="174"/>
        <v>0</v>
      </c>
      <c r="K398" s="296">
        <f t="shared" si="174"/>
        <v>0</v>
      </c>
      <c r="L398" s="296">
        <f t="shared" si="174"/>
        <v>0</v>
      </c>
      <c r="M398" s="296">
        <f t="shared" si="174"/>
        <v>0</v>
      </c>
      <c r="N398" s="296">
        <f t="shared" si="174"/>
        <v>0</v>
      </c>
      <c r="O398" s="296">
        <f t="shared" si="174"/>
        <v>0</v>
      </c>
      <c r="P398" s="296">
        <f t="shared" si="174"/>
        <v>0</v>
      </c>
      <c r="Q398" s="722">
        <f t="shared" si="173"/>
        <v>0</v>
      </c>
    </row>
    <row r="399" ht="15" spans="3:17">
      <c r="C399" s="285" t="s">
        <v>369</v>
      </c>
      <c r="D399" s="286"/>
      <c r="E399" s="296">
        <f t="shared" ref="E399:Q399" si="175">E378+E398</f>
        <v>883.616021368292</v>
      </c>
      <c r="F399" s="296">
        <f t="shared" si="175"/>
        <v>732.191408805466</v>
      </c>
      <c r="G399" s="296">
        <f t="shared" si="175"/>
        <v>830.736623923967</v>
      </c>
      <c r="H399" s="296">
        <f t="shared" si="175"/>
        <v>964.628034135794</v>
      </c>
      <c r="I399" s="296">
        <f t="shared" si="175"/>
        <v>1039.1521892751</v>
      </c>
      <c r="J399" s="296">
        <f t="shared" si="175"/>
        <v>933.840026477915</v>
      </c>
      <c r="K399" s="296">
        <f t="shared" si="175"/>
        <v>1157.5538870424</v>
      </c>
      <c r="L399" s="296">
        <f t="shared" si="175"/>
        <v>853.069815946174</v>
      </c>
      <c r="M399" s="296">
        <f t="shared" si="175"/>
        <v>917.534361583116</v>
      </c>
      <c r="N399" s="296">
        <f t="shared" si="175"/>
        <v>1070.99496575874</v>
      </c>
      <c r="O399" s="296">
        <f t="shared" si="175"/>
        <v>1092.02766219587</v>
      </c>
      <c r="P399" s="296">
        <f t="shared" si="175"/>
        <v>1286.44555515032</v>
      </c>
      <c r="Q399" s="722">
        <f t="shared" si="175"/>
        <v>11761.7905516632</v>
      </c>
    </row>
    <row r="400" ht="15" spans="3:17">
      <c r="C400" s="708" t="s">
        <v>370</v>
      </c>
      <c r="D400" s="709"/>
      <c r="E400" s="296"/>
      <c r="F400" s="296"/>
      <c r="G400" s="296"/>
      <c r="H400" s="296"/>
      <c r="I400" s="296"/>
      <c r="J400" s="296"/>
      <c r="K400" s="296"/>
      <c r="L400" s="296"/>
      <c r="M400" s="296"/>
      <c r="N400" s="296"/>
      <c r="O400" s="296"/>
      <c r="P400" s="296"/>
      <c r="Q400" s="296"/>
    </row>
    <row r="401" ht="15" spans="3:17">
      <c r="C401" s="285" t="s">
        <v>350</v>
      </c>
      <c r="D401" s="286"/>
      <c r="E401" s="296"/>
      <c r="F401" s="296"/>
      <c r="G401" s="296"/>
      <c r="H401" s="296"/>
      <c r="I401" s="296"/>
      <c r="J401" s="296"/>
      <c r="K401" s="296"/>
      <c r="L401" s="296"/>
      <c r="M401" s="296"/>
      <c r="N401" s="296"/>
      <c r="O401" s="296"/>
      <c r="P401" s="296"/>
      <c r="Q401" s="296"/>
    </row>
    <row r="402" spans="3:17">
      <c r="C402" s="724" t="s">
        <v>371</v>
      </c>
      <c r="D402" s="296" t="s">
        <v>372</v>
      </c>
      <c r="E402" s="384">
        <f>SUM('[7]TGSPDCL MoD'!AJ25:AJ30)+'[7]TGSPDCL MoD'!$AW$25/12</f>
        <v>40.0349164120295</v>
      </c>
      <c r="F402" s="384">
        <f>SUM('[7]TGSPDCL MoD'!AK25:AK30)+'[7]TGSPDCL MoD'!$AW$25/12</f>
        <v>46.3500549643335</v>
      </c>
      <c r="G402" s="384">
        <f>SUM('[7]TGSPDCL MoD'!AL25:AL30)+'[7]TGSPDCL MoD'!$AW$25/12</f>
        <v>33.1868386047087</v>
      </c>
      <c r="H402" s="384">
        <f>SUM('[7]TGSPDCL MoD'!AM25:AM30)+'[7]TGSPDCL MoD'!$AW$25/12</f>
        <v>35.7219443314573</v>
      </c>
      <c r="I402" s="384">
        <f>SUM('[7]TGSPDCL MoD'!AN25:AN30)+'[7]TGSPDCL MoD'!$AW$25/12</f>
        <v>39.0105307494392</v>
      </c>
      <c r="J402" s="384">
        <f>SUM('[7]TGSPDCL MoD'!AO25:AO30)+'[7]TGSPDCL MoD'!$AW$25/12</f>
        <v>33.1868386047087</v>
      </c>
      <c r="K402" s="384">
        <f>SUM('[7]TGSPDCL MoD'!AP25:AP30)+'[7]TGSPDCL MoD'!$AW$25/12</f>
        <v>48.5818442907818</v>
      </c>
      <c r="L402" s="384">
        <f>SUM('[7]TGSPDCL MoD'!AQ25:AQ30)+'[7]TGSPDCL MoD'!$AW$25/12</f>
        <v>56.6941826163771</v>
      </c>
      <c r="M402" s="384">
        <f>SUM('[7]TGSPDCL MoD'!AR25:AR30)+'[7]TGSPDCL MoD'!$AW$25/12</f>
        <v>28.3053882702594</v>
      </c>
      <c r="N402" s="384">
        <f>SUM('[7]TGSPDCL MoD'!AS25:AS30)+'[7]TGSPDCL MoD'!$AW$25/12</f>
        <v>29.3260152511582</v>
      </c>
      <c r="O402" s="384">
        <f>SUM('[7]TGSPDCL MoD'!AT25:AT30)+'[7]TGSPDCL MoD'!$AW$25/12</f>
        <v>42.364709514604</v>
      </c>
      <c r="P402" s="384">
        <f>SUM('[7]TGSPDCL MoD'!AU25:AU30)+'[7]TGSPDCL MoD'!$AW$25/12</f>
        <v>51.4395998372985</v>
      </c>
      <c r="Q402" s="384">
        <f t="shared" ref="Q402:Q429" si="176">SUM(E402:P402)</f>
        <v>484.202863447156</v>
      </c>
    </row>
    <row r="403" spans="3:17">
      <c r="C403" s="725"/>
      <c r="D403" s="296" t="s">
        <v>373</v>
      </c>
      <c r="E403" s="384">
        <f>'[7]TGSPDCL MoD'!AJ31</f>
        <v>11.0307564382809</v>
      </c>
      <c r="F403" s="384">
        <f>'[7]TGSPDCL MoD'!AK31</f>
        <v>11.7460896150637</v>
      </c>
      <c r="G403" s="384">
        <f>'[7]TGSPDCL MoD'!AL31</f>
        <v>8.27306732871069</v>
      </c>
      <c r="H403" s="384">
        <f>'[7]TGSPDCL MoD'!AM31</f>
        <v>0</v>
      </c>
      <c r="I403" s="384">
        <f>'[7]TGSPDCL MoD'!AN31</f>
        <v>4.80872038481308</v>
      </c>
      <c r="J403" s="384">
        <f>'[7]TGSPDCL MoD'!AO31</f>
        <v>8.27306732871069</v>
      </c>
      <c r="K403" s="384">
        <f>'[7]TGSPDCL MoD'!AP31</f>
        <v>12.0473707719758</v>
      </c>
      <c r="L403" s="384">
        <f>'[7]TGSPDCL MoD'!AQ31</f>
        <v>14.1331566865474</v>
      </c>
      <c r="M403" s="384">
        <f>'[7]TGSPDCL MoD'!AR31</f>
        <v>9.26123925964002</v>
      </c>
      <c r="N403" s="384">
        <f>'[7]TGSPDCL MoD'!AS31</f>
        <v>9.26123925964002</v>
      </c>
      <c r="O403" s="384">
        <f>'[7]TGSPDCL MoD'!AT31</f>
        <v>10.9388334679619</v>
      </c>
      <c r="P403" s="384">
        <f>'[7]TGSPDCL MoD'!AU31</f>
        <v>12.8232543595016</v>
      </c>
      <c r="Q403" s="384">
        <f t="shared" si="176"/>
        <v>112.596794900846</v>
      </c>
    </row>
    <row r="404" spans="3:17">
      <c r="C404" s="725"/>
      <c r="D404" s="296" t="s">
        <v>374</v>
      </c>
      <c r="E404" s="384">
        <f>SUM('[7]TGSPDCL MoD'!AJ42:AJ45)</f>
        <v>16.9615489124139</v>
      </c>
      <c r="F404" s="384">
        <f>SUM('[7]TGSPDCL MoD'!AK42:AK45)</f>
        <v>16.8163825028032</v>
      </c>
      <c r="G404" s="384">
        <f>SUM('[7]TGSPDCL MoD'!AL42:AL45)</f>
        <v>16.2739185510999</v>
      </c>
      <c r="H404" s="384">
        <f>SUM('[7]TGSPDCL MoD'!AM42:AM45)</f>
        <v>14.2110274671576</v>
      </c>
      <c r="I404" s="384">
        <f>SUM('[7]TGSPDCL MoD'!AN42:AN45)</f>
        <v>14.2110274671576</v>
      </c>
      <c r="J404" s="384">
        <f>SUM('[7]TGSPDCL MoD'!AO42:AO45)</f>
        <v>17.4973963664487</v>
      </c>
      <c r="K404" s="384">
        <f>SUM('[7]TGSPDCL MoD'!AP42:AP45)</f>
        <v>18.9480366228768</v>
      </c>
      <c r="L404" s="384">
        <f>SUM('[7]TGSPDCL MoD'!AQ42:AQ45)</f>
        <v>13.236884455296</v>
      </c>
      <c r="M404" s="384">
        <f>SUM('[7]TGSPDCL MoD'!AR42:AR45)</f>
        <v>10.9543336726007</v>
      </c>
      <c r="N404" s="384">
        <f>SUM('[7]TGSPDCL MoD'!AS42:AS45)</f>
        <v>15.9577995933291</v>
      </c>
      <c r="O404" s="384">
        <f>SUM('[7]TGSPDCL MoD'!AT42:AT45)</f>
        <v>17.1143556593726</v>
      </c>
      <c r="P404" s="384">
        <f>SUM('[7]TGSPDCL MoD'!AU42:AU45)</f>
        <v>18.9480366228768</v>
      </c>
      <c r="Q404" s="384">
        <f t="shared" si="176"/>
        <v>191.130747893433</v>
      </c>
    </row>
    <row r="405" spans="3:17">
      <c r="C405" s="725"/>
      <c r="D405" s="296" t="s">
        <v>375</v>
      </c>
      <c r="E405" s="384">
        <f>'[7]TGSPDCL MoD'!AJ40</f>
        <v>69.7143543646285</v>
      </c>
      <c r="F405" s="384">
        <f>'[7]TGSPDCL MoD'!AK40</f>
        <v>58.0762241380963</v>
      </c>
      <c r="G405" s="384">
        <f>'[7]TGSPDCL MoD'!AL40</f>
        <v>53.9780008925751</v>
      </c>
      <c r="H405" s="384">
        <f>'[7]TGSPDCL MoD'!AM40</f>
        <v>55.7772675889942</v>
      </c>
      <c r="I405" s="384">
        <f>'[7]TGSPDCL MoD'!AN40</f>
        <v>58.1013204052023</v>
      </c>
      <c r="J405" s="384">
        <f>'[7]TGSPDCL MoD'!AO40</f>
        <v>53.9780008925751</v>
      </c>
      <c r="K405" s="384">
        <f>'[7]TGSPDCL MoD'!AP40</f>
        <v>71.5715034264746</v>
      </c>
      <c r="L405" s="384">
        <f>'[7]TGSPDCL MoD'!AQ40</f>
        <v>45.4920233028722</v>
      </c>
      <c r="M405" s="384">
        <f>'[7]TGSPDCL MoD'!AR40</f>
        <v>60.1734201449328</v>
      </c>
      <c r="N405" s="384">
        <f>'[7]TGSPDCL MoD'!AS40</f>
        <v>60.4253732214104</v>
      </c>
      <c r="O405" s="384">
        <f>'[7]TGSPDCL MoD'!AT40</f>
        <v>71.3709122912937</v>
      </c>
      <c r="P405" s="384">
        <f>'[7]TGSPDCL MoD'!AU40</f>
        <v>81.3418485672833</v>
      </c>
      <c r="Q405" s="384">
        <f t="shared" si="176"/>
        <v>740.000249236339</v>
      </c>
    </row>
    <row r="406" spans="3:17">
      <c r="C406" s="725"/>
      <c r="D406" s="296" t="s">
        <v>376</v>
      </c>
      <c r="E406" s="384">
        <f>'[7]TGSPDCL MoD'!AJ41+'[7]TGSPDCL MoD'!$AW$41/12</f>
        <v>33.2889983606683</v>
      </c>
      <c r="F406" s="384">
        <f>'[7]TGSPDCL MoD'!AK41+'[7]TGSPDCL MoD'!$AW$41/12</f>
        <v>32.7417032853414</v>
      </c>
      <c r="G406" s="384">
        <f>'[7]TGSPDCL MoD'!AL41+'[7]TGSPDCL MoD'!$AW$41/12</f>
        <v>25.1520633804673</v>
      </c>
      <c r="H406" s="384">
        <f>'[7]TGSPDCL MoD'!AM41+'[7]TGSPDCL MoD'!$AW$41/12</f>
        <v>12.9831494132414</v>
      </c>
      <c r="I406" s="384">
        <f>'[7]TGSPDCL MoD'!AN41+'[7]TGSPDCL MoD'!$AW$41/12</f>
        <v>28.4627380170008</v>
      </c>
      <c r="J406" s="384">
        <f>'[7]TGSPDCL MoD'!AO41+'[7]TGSPDCL MoD'!$AW$41/12</f>
        <v>25.1520633804673</v>
      </c>
      <c r="K406" s="384">
        <f>'[7]TGSPDCL MoD'!AP41+'[7]TGSPDCL MoD'!$AW$41/12</f>
        <v>34.714636647682</v>
      </c>
      <c r="L406" s="384">
        <f>'[7]TGSPDCL MoD'!AQ41+'[7]TGSPDCL MoD'!$AW$41/12</f>
        <v>42.9858166082984</v>
      </c>
      <c r="M406" s="384">
        <f>'[7]TGSPDCL MoD'!AR41+'[7]TGSPDCL MoD'!$AW$41/12</f>
        <v>28.1593237286898</v>
      </c>
      <c r="N406" s="384">
        <f>'[7]TGSPDCL MoD'!AS41+'[7]TGSPDCL MoD'!$AW$41/12</f>
        <v>28.1593237286898</v>
      </c>
      <c r="O406" s="384">
        <f>'[7]TGSPDCL MoD'!AT41+'[7]TGSPDCL MoD'!$AW$41/12</f>
        <v>33.2646726919512</v>
      </c>
      <c r="P406" s="384">
        <f>'[7]TGSPDCL MoD'!AU41+'[7]TGSPDCL MoD'!$AW$41/12</f>
        <v>37.9154357886209</v>
      </c>
      <c r="Q406" s="384">
        <f t="shared" si="176"/>
        <v>362.979925031119</v>
      </c>
    </row>
    <row r="407" spans="3:17">
      <c r="C407" s="725"/>
      <c r="D407" s="296" t="s">
        <v>377</v>
      </c>
      <c r="E407" s="384">
        <f>SUM('[7]TGSPDCL MoD'!AJ49:AJ51)</f>
        <v>39.0351943981818</v>
      </c>
      <c r="F407" s="384">
        <f>SUM('[7]TGSPDCL MoD'!AK49:AK51)</f>
        <v>38.7229128429963</v>
      </c>
      <c r="G407" s="384">
        <f>SUM('[7]TGSPDCL MoD'!AL49:AL51)</f>
        <v>24.9825244148364</v>
      </c>
      <c r="H407" s="384">
        <f>SUM('[7]TGSPDCL MoD'!AM49:AM51)</f>
        <v>19.3614564214982</v>
      </c>
      <c r="I407" s="384">
        <f>SUM('[7]TGSPDCL MoD'!AN49:AN51)</f>
        <v>33.6136396206565</v>
      </c>
      <c r="J407" s="384">
        <f>SUM('[7]TGSPDCL MoD'!AO49:AO51)</f>
        <v>37.4737866222546</v>
      </c>
      <c r="K407" s="384">
        <f>SUM('[7]TGSPDCL MoD'!AP49:AP51)</f>
        <v>48.4036410537456</v>
      </c>
      <c r="L407" s="384">
        <f>SUM('[7]TGSPDCL MoD'!AQ49:AQ51)</f>
        <v>47.6548503285432</v>
      </c>
      <c r="M407" s="384">
        <f>SUM('[7]TGSPDCL MoD'!AR49:AR51)</f>
        <v>26.8909116965252</v>
      </c>
      <c r="N407" s="384">
        <f>SUM('[7]TGSPDCL MoD'!AS49:AS51)</f>
        <v>40.3363675447878</v>
      </c>
      <c r="O407" s="384">
        <f>SUM('[7]TGSPDCL MoD'!AT49:AT51)</f>
        <v>48.4383428358359</v>
      </c>
      <c r="P407" s="384">
        <f>SUM('[7]TGSPDCL MoD'!AU49:AU51)</f>
        <v>56.4709145627031</v>
      </c>
      <c r="Q407" s="384">
        <f t="shared" si="176"/>
        <v>461.384542342565</v>
      </c>
    </row>
    <row r="408" spans="3:17">
      <c r="C408" s="725"/>
      <c r="D408" s="296" t="s">
        <v>378</v>
      </c>
      <c r="E408" s="384">
        <f>'[7]TGSPDCL MoD'!AJ53</f>
        <v>5.00235510389702</v>
      </c>
      <c r="F408" s="384">
        <f>'[7]TGSPDCL MoD'!AK53</f>
        <v>4.96233626306585</v>
      </c>
      <c r="G408" s="384">
        <f>'[7]TGSPDCL MoD'!AL53</f>
        <v>4.80226089974114</v>
      </c>
      <c r="H408" s="384">
        <f>'[7]TGSPDCL MoD'!AM53</f>
        <v>4.96233626306585</v>
      </c>
      <c r="I408" s="384">
        <f>'[7]TGSPDCL MoD'!AN53</f>
        <v>5.16910027402692</v>
      </c>
      <c r="J408" s="384">
        <f>'[7]TGSPDCL MoD'!AO53</f>
        <v>4.80226089974114</v>
      </c>
      <c r="K408" s="384">
        <f>'[7]TGSPDCL MoD'!AP53</f>
        <v>6.2029203288323</v>
      </c>
      <c r="L408" s="384">
        <f>'[7]TGSPDCL MoD'!AQ53</f>
        <v>7.60357975792346</v>
      </c>
      <c r="M408" s="384">
        <f>'[7]TGSPDCL MoD'!AR53</f>
        <v>5.16910027402692</v>
      </c>
      <c r="N408" s="384">
        <f>'[7]TGSPDCL MoD'!AS53</f>
        <v>5.16910027402692</v>
      </c>
      <c r="O408" s="384">
        <f>'[7]TGSPDCL MoD'!AT53</f>
        <v>6.34965607854661</v>
      </c>
      <c r="P408" s="384">
        <f>'[7]TGSPDCL MoD'!AU53</f>
        <v>7.23674038363768</v>
      </c>
      <c r="Q408" s="384">
        <f t="shared" si="176"/>
        <v>67.4317468005318</v>
      </c>
    </row>
    <row r="409" spans="3:17">
      <c r="C409" s="725"/>
      <c r="D409" s="296" t="s">
        <v>379</v>
      </c>
      <c r="E409" s="384">
        <f>'[7]TGSPDCL MoD'!AJ54</f>
        <v>28.875830732373</v>
      </c>
      <c r="F409" s="384">
        <f>'[7]TGSPDCL MoD'!AK54</f>
        <v>28.644824086514</v>
      </c>
      <c r="G409" s="384">
        <f>'[7]TGSPDCL MoD'!AL54</f>
        <v>27.7207975030781</v>
      </c>
      <c r="H409" s="384">
        <f>'[7]TGSPDCL MoD'!AM54</f>
        <v>28.644824086514</v>
      </c>
      <c r="I409" s="384">
        <f>'[7]TGSPDCL MoD'!AN54</f>
        <v>29.8383584234521</v>
      </c>
      <c r="J409" s="384">
        <f>'[7]TGSPDCL MoD'!AO54</f>
        <v>27.7207975030781</v>
      </c>
      <c r="K409" s="384">
        <f>'[7]TGSPDCL MoD'!AP54</f>
        <v>35.8060301081426</v>
      </c>
      <c r="L409" s="384">
        <f>'[7]TGSPDCL MoD'!AQ54</f>
        <v>40.2636960370448</v>
      </c>
      <c r="M409" s="384">
        <f>'[7]TGSPDCL MoD'!AR54</f>
        <v>28.8057135632576</v>
      </c>
      <c r="N409" s="384">
        <f>'[7]TGSPDCL MoD'!AS54</f>
        <v>29.8383584234521</v>
      </c>
      <c r="O409" s="384">
        <f>'[7]TGSPDCL MoD'!AT54</f>
        <v>35.5750234622836</v>
      </c>
      <c r="P409" s="384">
        <f>'[7]TGSPDCL MoD'!AU54</f>
        <v>41.773701792833</v>
      </c>
      <c r="Q409" s="384">
        <f t="shared" si="176"/>
        <v>383.507955722023</v>
      </c>
    </row>
    <row r="410" spans="3:17">
      <c r="C410" s="725"/>
      <c r="D410" s="296" t="s">
        <v>380</v>
      </c>
      <c r="E410" s="384">
        <f>'[7]TGSPDCL MoD'!AJ55</f>
        <v>98.4218593247378</v>
      </c>
      <c r="F410" s="384">
        <f>'[7]TGSPDCL MoD'!AK55</f>
        <v>96.9615090353007</v>
      </c>
      <c r="G410" s="384">
        <f>'[7]TGSPDCL MoD'!AL55</f>
        <v>74.108465281123</v>
      </c>
      <c r="H410" s="384">
        <f>'[7]TGSPDCL MoD'!AM55</f>
        <v>38.1835395676341</v>
      </c>
      <c r="I410" s="384">
        <f>'[7]TGSPDCL MoD'!AN55</f>
        <v>0</v>
      </c>
      <c r="J410" s="384">
        <f>'[7]TGSPDCL MoD'!AO55</f>
        <v>73.9036249696145</v>
      </c>
      <c r="K410" s="384">
        <f>'[7]TGSPDCL MoD'!AP55</f>
        <v>102.005171241053</v>
      </c>
      <c r="L410" s="384">
        <f>'[7]TGSPDCL MoD'!AQ55</f>
        <v>101.886550928983</v>
      </c>
      <c r="M410" s="384">
        <f>'[7]TGSPDCL MoD'!AR55</f>
        <v>87.2813928490197</v>
      </c>
      <c r="N410" s="384">
        <f>'[7]TGSPDCL MoD'!AS55</f>
        <v>87.8022801150266</v>
      </c>
      <c r="O410" s="384">
        <f>'[7]TGSPDCL MoD'!AT55</f>
        <v>89.1545494776566</v>
      </c>
      <c r="P410" s="384">
        <f>'[7]TGSPDCL MoD'!AU55</f>
        <v>106.665354608928</v>
      </c>
      <c r="Q410" s="384">
        <f t="shared" si="176"/>
        <v>956.374297399077</v>
      </c>
    </row>
    <row r="411" spans="3:17">
      <c r="C411" s="382"/>
      <c r="D411" s="296" t="s">
        <v>450</v>
      </c>
      <c r="E411" s="384">
        <f>'[7]TGSPDCL MoD'!AJ56</f>
        <v>93.4633425442224</v>
      </c>
      <c r="F411" s="384">
        <f>'[7]TGSPDCL MoD'!AK56</f>
        <v>96.3856338600473</v>
      </c>
      <c r="G411" s="384">
        <f>'[7]TGSPDCL MoD'!AL56</f>
        <v>68.2297670417898</v>
      </c>
      <c r="H411" s="384">
        <f>'[7]TGSPDCL MoD'!AM56</f>
        <v>74.0373927832041</v>
      </c>
      <c r="I411" s="384">
        <f>'[7]TGSPDCL MoD'!AN56</f>
        <v>87.6626165595329</v>
      </c>
      <c r="J411" s="384">
        <f>'[7]TGSPDCL MoD'!AO56</f>
        <v>69.697429550453</v>
      </c>
      <c r="K411" s="384">
        <f>'[7]TGSPDCL MoD'!AP56</f>
        <v>0</v>
      </c>
      <c r="L411" s="384">
        <f>'[7]TGSPDCL MoD'!AQ56</f>
        <v>101.886550928983</v>
      </c>
      <c r="M411" s="384">
        <f>'[7]TGSPDCL MoD'!AR56</f>
        <v>42.6321072842517</v>
      </c>
      <c r="N411" s="384">
        <f>'[7]TGSPDCL MoD'!AS56</f>
        <v>85.9255927040576</v>
      </c>
      <c r="O411" s="384">
        <f>'[7]TGSPDCL MoD'!AT56</f>
        <v>84.6118550521302</v>
      </c>
      <c r="P411" s="384">
        <f>'[7]TGSPDCL MoD'!AU56</f>
        <v>102.186853439145</v>
      </c>
      <c r="Q411" s="384">
        <f t="shared" si="176"/>
        <v>906.719141747817</v>
      </c>
    </row>
    <row r="412" spans="3:17">
      <c r="C412" s="296"/>
      <c r="D412" s="296" t="s">
        <v>381</v>
      </c>
      <c r="E412" s="384">
        <f>'[7]TGSPDCL MoD'!AJ33</f>
        <v>0.79178739005645</v>
      </c>
      <c r="F412" s="384">
        <f>'[7]TGSPDCL MoD'!AK33</f>
        <v>0.751841359567115</v>
      </c>
      <c r="G412" s="384">
        <f>'[7]TGSPDCL MoD'!AL33</f>
        <v>0.727588412484305</v>
      </c>
      <c r="H412" s="384">
        <f>'[7]TGSPDCL MoD'!AM33</f>
        <v>0.834765038931136</v>
      </c>
      <c r="I412" s="384">
        <f>'[7]TGSPDCL MoD'!AN33</f>
        <v>0.884519246549548</v>
      </c>
      <c r="J412" s="384">
        <f>'[7]TGSPDCL MoD'!AO33</f>
        <v>0</v>
      </c>
      <c r="K412" s="384">
        <f>'[7]TGSPDCL MoD'!AP33</f>
        <v>0.884519246549548</v>
      </c>
      <c r="L412" s="384">
        <f>'[7]TGSPDCL MoD'!AQ33</f>
        <v>0.807837134449478</v>
      </c>
      <c r="M412" s="384">
        <f>'[7]TGSPDCL MoD'!AR33</f>
        <v>0.785010831312723</v>
      </c>
      <c r="N412" s="384">
        <f>'[7]TGSPDCL MoD'!AS33</f>
        <v>0.834765038931136</v>
      </c>
      <c r="O412" s="384">
        <f>'[7]TGSPDCL MoD'!AT33</f>
        <v>0.798920609786689</v>
      </c>
      <c r="P412" s="384">
        <f>'[7]TGSPDCL MoD'!AU33</f>
        <v>0.884519246549548</v>
      </c>
      <c r="Q412" s="384">
        <f t="shared" si="176"/>
        <v>8.98607355516768</v>
      </c>
    </row>
    <row r="413" spans="3:17">
      <c r="C413" s="296"/>
      <c r="D413" s="296" t="s">
        <v>382</v>
      </c>
      <c r="E413" s="384">
        <f>'[7]TGSPDCL MoD'!AJ34</f>
        <v>1.04364206642907</v>
      </c>
      <c r="F413" s="384">
        <f>'[7]TGSPDCL MoD'!AK34</f>
        <v>0.990989854068686</v>
      </c>
      <c r="G413" s="384">
        <f>'[7]TGSPDCL MoD'!AL34</f>
        <v>0.959022439421309</v>
      </c>
      <c r="H413" s="384">
        <f>'[7]TGSPDCL MoD'!AM34</f>
        <v>1.10029020562038</v>
      </c>
      <c r="I413" s="384">
        <f>'[7]TGSPDCL MoD'!AN34</f>
        <v>1.1658704165514</v>
      </c>
      <c r="J413" s="384">
        <f>'[7]TGSPDCL MoD'!AO34</f>
        <v>0</v>
      </c>
      <c r="K413" s="384">
        <f>'[7]TGSPDCL MoD'!AP34</f>
        <v>1.1658704165514</v>
      </c>
      <c r="L413" s="384">
        <f>'[7]TGSPDCL MoD'!AQ34</f>
        <v>1.06479697318101</v>
      </c>
      <c r="M413" s="384">
        <f>'[7]TGSPDCL MoD'!AR34</f>
        <v>1.03470999468936</v>
      </c>
      <c r="N413" s="384">
        <f>'[7]TGSPDCL MoD'!AS34</f>
        <v>1.10029020562037</v>
      </c>
      <c r="O413" s="384">
        <f>'[7]TGSPDCL MoD'!AT34</f>
        <v>1.05304424720771</v>
      </c>
      <c r="P413" s="384">
        <f>'[7]TGSPDCL MoD'!AU34</f>
        <v>1.1658704165514</v>
      </c>
      <c r="Q413" s="384">
        <f t="shared" si="176"/>
        <v>11.8443972358921</v>
      </c>
    </row>
    <row r="414" spans="3:17">
      <c r="C414" s="296"/>
      <c r="D414" s="296" t="s">
        <v>383</v>
      </c>
      <c r="E414" s="384"/>
      <c r="F414" s="384"/>
      <c r="G414" s="384"/>
      <c r="H414" s="384"/>
      <c r="I414" s="384"/>
      <c r="J414" s="384"/>
      <c r="K414" s="384"/>
      <c r="L414" s="384"/>
      <c r="M414" s="384"/>
      <c r="N414" s="384"/>
      <c r="O414" s="384"/>
      <c r="P414" s="384"/>
      <c r="Q414" s="296">
        <f t="shared" si="176"/>
        <v>0</v>
      </c>
    </row>
    <row r="415" spans="3:17">
      <c r="C415" s="296"/>
      <c r="D415" s="296" t="s">
        <v>384</v>
      </c>
      <c r="E415" s="384">
        <f>'[7]TGSPDCL MoD'!AJ52</f>
        <v>7.29905148809932</v>
      </c>
      <c r="F415" s="384">
        <f>'[7]TGSPDCL MoD'!AK52</f>
        <v>7.23658212851649</v>
      </c>
      <c r="G415" s="384">
        <f>'[7]TGSPDCL MoD'!AL52</f>
        <v>7.00314399533854</v>
      </c>
      <c r="H415" s="384">
        <f>'[7]TGSPDCL MoD'!AM52</f>
        <v>8.15389535607492</v>
      </c>
      <c r="I415" s="384">
        <f>'[7]TGSPDCL MoD'!AN52</f>
        <v>0</v>
      </c>
      <c r="J415" s="384">
        <f>'[7]TGSPDCL MoD'!AO52</f>
        <v>7.44700523447972</v>
      </c>
      <c r="K415" s="384">
        <f>'[7]TGSPDCL MoD'!AP52</f>
        <v>8.15389535607492</v>
      </c>
      <c r="L415" s="384">
        <f>'[7]TGSPDCL MoD'!AQ52</f>
        <v>7.59495898086011</v>
      </c>
      <c r="M415" s="384">
        <f>'[7]TGSPDCL MoD'!AR52</f>
        <v>7.5423532043693</v>
      </c>
      <c r="N415" s="384">
        <f>'[7]TGSPDCL MoD'!AS52</f>
        <v>7.84812428022211</v>
      </c>
      <c r="O415" s="384">
        <f>'[7]TGSPDCL MoD'!AT52</f>
        <v>7.36480870871283</v>
      </c>
      <c r="P415" s="384">
        <f>'[7]TGSPDCL MoD'!AU52</f>
        <v>8.15389535607492</v>
      </c>
      <c r="Q415" s="296">
        <f t="shared" si="176"/>
        <v>83.7977140888232</v>
      </c>
    </row>
    <row r="416" spans="3:17">
      <c r="C416" s="296"/>
      <c r="D416" s="296" t="s">
        <v>385</v>
      </c>
      <c r="E416" s="296"/>
      <c r="F416" s="296"/>
      <c r="G416" s="296"/>
      <c r="H416" s="296"/>
      <c r="I416" s="296"/>
      <c r="J416" s="296"/>
      <c r="K416" s="296"/>
      <c r="L416" s="296"/>
      <c r="M416" s="296"/>
      <c r="N416" s="296"/>
      <c r="O416" s="296"/>
      <c r="P416" s="296"/>
      <c r="Q416" s="296">
        <f t="shared" si="176"/>
        <v>0</v>
      </c>
    </row>
    <row r="417" spans="3:17">
      <c r="C417" s="296"/>
      <c r="D417" s="296" t="s">
        <v>386</v>
      </c>
      <c r="E417" s="384">
        <f>'[7]TGSPDCL MoD'!AJ46</f>
        <v>12.9352773597416</v>
      </c>
      <c r="F417" s="384">
        <f>'[7]TGSPDCL MoD'!AK46</f>
        <v>14.5654681472706</v>
      </c>
      <c r="G417" s="384">
        <f>'[7]TGSPDCL MoD'!AL46</f>
        <v>9.7014580198062</v>
      </c>
      <c r="H417" s="384">
        <f>'[7]TGSPDCL MoD'!AM46</f>
        <v>10.4425416185414</v>
      </c>
      <c r="I417" s="384">
        <f>'[7]TGSPDCL MoD'!AN46</f>
        <v>11.6956466127664</v>
      </c>
      <c r="J417" s="384">
        <f>'[7]TGSPDCL MoD'!AO46</f>
        <v>9.7014580198062</v>
      </c>
      <c r="K417" s="384">
        <f>'[7]TGSPDCL MoD'!AP46</f>
        <v>14.2018566012163</v>
      </c>
      <c r="L417" s="384">
        <f>'[7]TGSPDCL MoD'!AQ46</f>
        <v>16.5733241171689</v>
      </c>
      <c r="M417" s="384">
        <f>'[7]TGSPDCL MoD'!AR46</f>
        <v>10.8602432832831</v>
      </c>
      <c r="N417" s="384">
        <f>'[7]TGSPDCL MoD'!AS46</f>
        <v>11.1455598117633</v>
      </c>
      <c r="O417" s="384">
        <f>'[7]TGSPDCL MoD'!AT46</f>
        <v>13.2047623047362</v>
      </c>
      <c r="P417" s="384">
        <f>'[7]TGSPDCL MoD'!AU46</f>
        <v>15.0372599306996</v>
      </c>
      <c r="Q417" s="384">
        <f t="shared" si="176"/>
        <v>150.0648558268</v>
      </c>
    </row>
    <row r="418" spans="3:17">
      <c r="C418" s="296"/>
      <c r="D418" s="296" t="s">
        <v>387</v>
      </c>
      <c r="E418" s="384">
        <f>'[7]TGSPDCL MoD'!AJ47</f>
        <v>18.8047360094778</v>
      </c>
      <c r="F418" s="384">
        <f>'[7]TGSPDCL MoD'!AK47</f>
        <v>0</v>
      </c>
      <c r="G418" s="384">
        <f>'[7]TGSPDCL MoD'!AL47</f>
        <v>7.05177600355418</v>
      </c>
      <c r="H418" s="384">
        <f>'[7]TGSPDCL MoD'!AM47</f>
        <v>14.6044433131875</v>
      </c>
      <c r="I418" s="384">
        <f>'[7]TGSPDCL MoD'!AN47</f>
        <v>16.3953792082635</v>
      </c>
      <c r="J418" s="384">
        <f>'[7]TGSPDCL MoD'!AO47</f>
        <v>14.1035520071084</v>
      </c>
      <c r="K418" s="384">
        <f>'[7]TGSPDCL MoD'!AP47</f>
        <v>20.0387968100998</v>
      </c>
      <c r="L418" s="384">
        <f>'[7]TGSPDCL MoD'!AQ47</f>
        <v>24.0935680121434</v>
      </c>
      <c r="M418" s="384">
        <f>'[7]TGSPDCL MoD'!AR47</f>
        <v>15.7881429412908</v>
      </c>
      <c r="N418" s="384">
        <f>'[7]TGSPDCL MoD'!AS47</f>
        <v>15.7881429412908</v>
      </c>
      <c r="O418" s="384">
        <f>'[7]TGSPDCL MoD'!AT47</f>
        <v>18.6480298760655</v>
      </c>
      <c r="P418" s="384">
        <f>'[7]TGSPDCL MoD'!AU47</f>
        <v>21.4509707208952</v>
      </c>
      <c r="Q418" s="384">
        <f t="shared" si="176"/>
        <v>186.767537843377</v>
      </c>
    </row>
    <row r="419" spans="3:17">
      <c r="C419" s="296"/>
      <c r="E419" s="296"/>
      <c r="F419" s="296"/>
      <c r="G419" s="296"/>
      <c r="H419" s="296"/>
      <c r="I419" s="296"/>
      <c r="J419" s="296"/>
      <c r="K419" s="296"/>
      <c r="L419" s="296"/>
      <c r="M419" s="296"/>
      <c r="N419" s="296"/>
      <c r="O419" s="296"/>
      <c r="P419" s="296"/>
      <c r="Q419" s="296">
        <f t="shared" si="176"/>
        <v>0</v>
      </c>
    </row>
    <row r="420" spans="3:17">
      <c r="C420" s="296"/>
      <c r="D420" s="296"/>
      <c r="E420" s="296"/>
      <c r="F420" s="296"/>
      <c r="G420" s="296"/>
      <c r="H420" s="296"/>
      <c r="I420" s="296"/>
      <c r="J420" s="296"/>
      <c r="K420" s="296"/>
      <c r="L420" s="296"/>
      <c r="M420" s="296"/>
      <c r="N420" s="296"/>
      <c r="O420" s="296"/>
      <c r="P420" s="296"/>
      <c r="Q420" s="296">
        <f t="shared" si="176"/>
        <v>0</v>
      </c>
    </row>
    <row r="421" spans="3:17">
      <c r="C421" s="296"/>
      <c r="D421" s="296"/>
      <c r="E421" s="296"/>
      <c r="F421" s="296"/>
      <c r="G421" s="296"/>
      <c r="H421" s="296"/>
      <c r="I421" s="296"/>
      <c r="J421" s="296"/>
      <c r="K421" s="296"/>
      <c r="L421" s="296"/>
      <c r="M421" s="296"/>
      <c r="N421" s="296"/>
      <c r="O421" s="296"/>
      <c r="P421" s="296"/>
      <c r="Q421" s="296">
        <f t="shared" si="176"/>
        <v>0</v>
      </c>
    </row>
    <row r="422" spans="3:17">
      <c r="C422" s="296"/>
      <c r="D422" s="296"/>
      <c r="E422" s="296"/>
      <c r="F422" s="296"/>
      <c r="G422" s="296"/>
      <c r="H422" s="296"/>
      <c r="I422" s="296"/>
      <c r="J422" s="296"/>
      <c r="K422" s="296"/>
      <c r="L422" s="296"/>
      <c r="M422" s="296"/>
      <c r="N422" s="296"/>
      <c r="O422" s="296"/>
      <c r="P422" s="296"/>
      <c r="Q422" s="296">
        <f t="shared" si="176"/>
        <v>0</v>
      </c>
    </row>
    <row r="423" spans="3:17">
      <c r="C423" s="296"/>
      <c r="D423" s="296"/>
      <c r="E423" s="296"/>
      <c r="F423" s="296"/>
      <c r="G423" s="296"/>
      <c r="H423" s="296"/>
      <c r="I423" s="296"/>
      <c r="J423" s="296"/>
      <c r="K423" s="296"/>
      <c r="L423" s="296"/>
      <c r="M423" s="296"/>
      <c r="N423" s="296"/>
      <c r="O423" s="296"/>
      <c r="P423" s="296"/>
      <c r="Q423" s="296">
        <f t="shared" si="176"/>
        <v>0</v>
      </c>
    </row>
    <row r="424" spans="3:17">
      <c r="C424" s="296"/>
      <c r="D424" s="296"/>
      <c r="E424" s="296"/>
      <c r="F424" s="296"/>
      <c r="G424" s="296"/>
      <c r="H424" s="296"/>
      <c r="I424" s="296"/>
      <c r="J424" s="296"/>
      <c r="K424" s="296"/>
      <c r="L424" s="296"/>
      <c r="M424" s="296"/>
      <c r="N424" s="296"/>
      <c r="O424" s="296"/>
      <c r="P424" s="296"/>
      <c r="Q424" s="296">
        <f t="shared" si="176"/>
        <v>0</v>
      </c>
    </row>
    <row r="425" spans="3:17">
      <c r="C425" s="296"/>
      <c r="D425" s="296"/>
      <c r="E425" s="296"/>
      <c r="F425" s="296"/>
      <c r="G425" s="296"/>
      <c r="H425" s="296"/>
      <c r="I425" s="296"/>
      <c r="J425" s="296"/>
      <c r="K425" s="296"/>
      <c r="L425" s="296"/>
      <c r="M425" s="296"/>
      <c r="N425" s="296"/>
      <c r="O425" s="296"/>
      <c r="P425" s="296"/>
      <c r="Q425" s="296">
        <f t="shared" si="176"/>
        <v>0</v>
      </c>
    </row>
    <row r="426" spans="3:17">
      <c r="C426" s="296"/>
      <c r="D426" s="296"/>
      <c r="E426" s="296"/>
      <c r="F426" s="296"/>
      <c r="G426" s="296"/>
      <c r="H426" s="296"/>
      <c r="I426" s="296"/>
      <c r="J426" s="296"/>
      <c r="K426" s="296"/>
      <c r="L426" s="296"/>
      <c r="M426" s="296"/>
      <c r="N426" s="296"/>
      <c r="O426" s="296"/>
      <c r="P426" s="296"/>
      <c r="Q426" s="296">
        <f t="shared" si="176"/>
        <v>0</v>
      </c>
    </row>
    <row r="427" spans="3:17">
      <c r="C427" s="296"/>
      <c r="D427" s="296"/>
      <c r="E427" s="296"/>
      <c r="F427" s="296"/>
      <c r="G427" s="296"/>
      <c r="H427" s="296"/>
      <c r="I427" s="296"/>
      <c r="J427" s="296"/>
      <c r="K427" s="296"/>
      <c r="L427" s="296"/>
      <c r="M427" s="296"/>
      <c r="N427" s="296"/>
      <c r="O427" s="296"/>
      <c r="P427" s="296"/>
      <c r="Q427" s="296">
        <f t="shared" si="176"/>
        <v>0</v>
      </c>
    </row>
    <row r="428" spans="3:17">
      <c r="C428" s="296"/>
      <c r="D428" s="296"/>
      <c r="E428" s="296"/>
      <c r="F428" s="296"/>
      <c r="G428" s="296"/>
      <c r="H428" s="296"/>
      <c r="I428" s="296"/>
      <c r="J428" s="296"/>
      <c r="K428" s="296"/>
      <c r="L428" s="296"/>
      <c r="M428" s="296"/>
      <c r="N428" s="296"/>
      <c r="O428" s="296"/>
      <c r="P428" s="296"/>
      <c r="Q428" s="296">
        <f t="shared" si="176"/>
        <v>0</v>
      </c>
    </row>
    <row r="429" ht="15" spans="3:17">
      <c r="C429" s="285" t="s">
        <v>211</v>
      </c>
      <c r="D429" s="286"/>
      <c r="E429" s="718">
        <f t="shared" ref="E429:P429" si="177">SUM(E402:E428)</f>
        <v>476.703650905238</v>
      </c>
      <c r="F429" s="718">
        <f t="shared" si="177"/>
        <v>454.952552082985</v>
      </c>
      <c r="G429" s="718">
        <f t="shared" si="177"/>
        <v>362.150692768734</v>
      </c>
      <c r="H429" s="718">
        <f t="shared" si="177"/>
        <v>319.018873455122</v>
      </c>
      <c r="I429" s="718">
        <f t="shared" si="177"/>
        <v>331.019467385412</v>
      </c>
      <c r="J429" s="718">
        <f t="shared" si="177"/>
        <v>382.937281379446</v>
      </c>
      <c r="K429" s="718">
        <f t="shared" si="177"/>
        <v>422.726092922057</v>
      </c>
      <c r="L429" s="718">
        <f t="shared" si="177"/>
        <v>521.971776868671</v>
      </c>
      <c r="M429" s="718">
        <f t="shared" si="177"/>
        <v>363.643390998149</v>
      </c>
      <c r="N429" s="718">
        <f t="shared" si="177"/>
        <v>428.918332393406</v>
      </c>
      <c r="O429" s="718">
        <f t="shared" si="177"/>
        <v>480.252476278145</v>
      </c>
      <c r="P429" s="718">
        <f t="shared" si="177"/>
        <v>563.494255633599</v>
      </c>
      <c r="Q429" s="721">
        <f t="shared" si="176"/>
        <v>5107.78884307096</v>
      </c>
    </row>
    <row r="430" ht="15" spans="3:17">
      <c r="C430" s="285" t="s">
        <v>388</v>
      </c>
      <c r="D430" s="286"/>
      <c r="E430" s="296"/>
      <c r="F430" s="296"/>
      <c r="G430" s="296"/>
      <c r="H430" s="296"/>
      <c r="I430" s="296"/>
      <c r="J430" s="296"/>
      <c r="K430" s="296"/>
      <c r="L430" s="296"/>
      <c r="M430" s="296"/>
      <c r="N430" s="296"/>
      <c r="O430" s="296"/>
      <c r="P430" s="296"/>
      <c r="Q430" s="296"/>
    </row>
    <row r="431" spans="3:17">
      <c r="C431" s="710" t="s">
        <v>389</v>
      </c>
      <c r="D431" s="296" t="s">
        <v>390</v>
      </c>
      <c r="E431" s="296">
        <f>'[7]TGSPDCL MoD'!AJ32</f>
        <v>3.06304565642507</v>
      </c>
      <c r="F431" s="296">
        <f>'[7]TGSPDCL MoD'!AK32</f>
        <v>3.16514717830591</v>
      </c>
      <c r="G431" s="296">
        <f>'[7]TGSPDCL MoD'!AL32</f>
        <v>3.06304565642507</v>
      </c>
      <c r="H431" s="296">
        <f>'[7]TGSPDCL MoD'!AM32</f>
        <v>3.16514717830591</v>
      </c>
      <c r="I431" s="296">
        <f>'[7]TGSPDCL MoD'!AN32</f>
        <v>3.16514717830591</v>
      </c>
      <c r="J431" s="296">
        <f>'[7]TGSPDCL MoD'!AO32</f>
        <v>3.06304565642507</v>
      </c>
      <c r="K431" s="296">
        <f>'[7]TGSPDCL MoD'!AP32</f>
        <v>3.16514717830591</v>
      </c>
      <c r="L431" s="296">
        <f>'[7]TGSPDCL MoD'!AQ32</f>
        <v>3.06304565642507</v>
      </c>
      <c r="M431" s="296">
        <f>'[7]TGSPDCL MoD'!AR32</f>
        <v>3.16514717830591</v>
      </c>
      <c r="N431" s="296">
        <f>'[7]TGSPDCL MoD'!AS32</f>
        <v>3.16514717830591</v>
      </c>
      <c r="O431" s="296">
        <f>'[7]TGSPDCL MoD'!AT32</f>
        <v>2.8588426126634</v>
      </c>
      <c r="P431" s="296">
        <f>'[7]TGSPDCL MoD'!AU32</f>
        <v>3.16514717830591</v>
      </c>
      <c r="Q431" s="296">
        <f t="shared" ref="Q431:Q445" si="178">SUM(E431:P431)</f>
        <v>37.2670554865051</v>
      </c>
    </row>
    <row r="432" spans="3:17">
      <c r="C432" s="711"/>
      <c r="D432" s="296" t="s">
        <v>391</v>
      </c>
      <c r="E432" s="296">
        <f>'[7]TGSPDCL MoD'!AJ37+'[7]TGSPDCL MoD'!AJ36</f>
        <v>12.7142694109264</v>
      </c>
      <c r="F432" s="296">
        <f>'[7]TGSPDCL MoD'!AK37+'[7]TGSPDCL MoD'!AK36</f>
        <v>13.1380783912907</v>
      </c>
      <c r="G432" s="296">
        <f>'[7]TGSPDCL MoD'!AL37+'[7]TGSPDCL MoD'!AL36</f>
        <v>12.7142694109264</v>
      </c>
      <c r="H432" s="296">
        <f>'[7]TGSPDCL MoD'!AM37+'[7]TGSPDCL MoD'!AM36</f>
        <v>13.1380783912907</v>
      </c>
      <c r="I432" s="296">
        <f>'[7]TGSPDCL MoD'!AN37+'[7]TGSPDCL MoD'!AN36</f>
        <v>13.1380783912907</v>
      </c>
      <c r="J432" s="296">
        <f>'[7]TGSPDCL MoD'!AO37+'[7]TGSPDCL MoD'!AO36</f>
        <v>12.7142694109264</v>
      </c>
      <c r="K432" s="296">
        <f>'[7]TGSPDCL MoD'!AP37+'[7]TGSPDCL MoD'!AP36</f>
        <v>13.1380783912907</v>
      </c>
      <c r="L432" s="296">
        <f>'[7]TGSPDCL MoD'!AQ37+'[7]TGSPDCL MoD'!AQ36</f>
        <v>12.7142694109264</v>
      </c>
      <c r="M432" s="296">
        <f>'[7]TGSPDCL MoD'!AR37+'[7]TGSPDCL MoD'!AR36</f>
        <v>13.1380783912907</v>
      </c>
      <c r="N432" s="296">
        <f>'[7]TGSPDCL MoD'!AS37+'[7]TGSPDCL MoD'!AS36</f>
        <v>13.1380783912907</v>
      </c>
      <c r="O432" s="296">
        <f>'[7]TGSPDCL MoD'!AT37+'[7]TGSPDCL MoD'!AT36</f>
        <v>11.866651450198</v>
      </c>
      <c r="P432" s="296">
        <f>'[7]TGSPDCL MoD'!AU37+'[7]TGSPDCL MoD'!AU36</f>
        <v>13.1380783912907</v>
      </c>
      <c r="Q432" s="296">
        <f t="shared" si="178"/>
        <v>154.690277832938</v>
      </c>
    </row>
    <row r="433" spans="3:17">
      <c r="C433" s="711"/>
      <c r="D433" s="296" t="s">
        <v>392</v>
      </c>
      <c r="E433" s="296">
        <f>'[7]TGSPDCL MoD'!AJ38+'[7]TGSPDCL MoD'!AJ39</f>
        <v>9.70184012806962</v>
      </c>
      <c r="F433" s="296">
        <f>'[7]TGSPDCL MoD'!AK38+'[7]TGSPDCL MoD'!AK39</f>
        <v>10.0252347990053</v>
      </c>
      <c r="G433" s="296">
        <f>'[7]TGSPDCL MoD'!AL38+'[7]TGSPDCL MoD'!AL39</f>
        <v>9.70184012806962</v>
      </c>
      <c r="H433" s="296">
        <f>'[7]TGSPDCL MoD'!AM38+'[7]TGSPDCL MoD'!AM39</f>
        <v>10.0252347990053</v>
      </c>
      <c r="I433" s="296">
        <f>'[7]TGSPDCL MoD'!AN38+'[7]TGSPDCL MoD'!AN39</f>
        <v>10.0252347990053</v>
      </c>
      <c r="J433" s="296">
        <f>'[7]TGSPDCL MoD'!AO38+'[7]TGSPDCL MoD'!AO39</f>
        <v>9.70184012806962</v>
      </c>
      <c r="K433" s="296">
        <f>'[7]TGSPDCL MoD'!AP38+'[7]TGSPDCL MoD'!AP39</f>
        <v>10.0252347990053</v>
      </c>
      <c r="L433" s="296">
        <f>'[7]TGSPDCL MoD'!AQ38+'[7]TGSPDCL MoD'!AQ39</f>
        <v>9.70184012806962</v>
      </c>
      <c r="M433" s="296">
        <f>'[7]TGSPDCL MoD'!AR38+'[7]TGSPDCL MoD'!AR39</f>
        <v>10.0252347990053</v>
      </c>
      <c r="N433" s="296">
        <f>'[7]TGSPDCL MoD'!AS38+'[7]TGSPDCL MoD'!AS39</f>
        <v>10.0252347990053</v>
      </c>
      <c r="O433" s="296">
        <f>'[7]TGSPDCL MoD'!AT38+'[7]TGSPDCL MoD'!AT39</f>
        <v>9.05505078619832</v>
      </c>
      <c r="P433" s="296">
        <f>'[7]TGSPDCL MoD'!AU38+'[7]TGSPDCL MoD'!AU39</f>
        <v>10.0252347990053</v>
      </c>
      <c r="Q433" s="296">
        <f t="shared" si="178"/>
        <v>118.039054891514</v>
      </c>
    </row>
    <row r="434" spans="3:17">
      <c r="C434" s="713"/>
      <c r="D434" s="296" t="s">
        <v>537</v>
      </c>
      <c r="E434" s="296">
        <f>'[7]TGSPDCL MoD'!AJ48</f>
        <v>12.3090090847644</v>
      </c>
      <c r="F434" s="296">
        <f>'[7]TGSPDCL MoD'!AK48</f>
        <v>12.7193093875899</v>
      </c>
      <c r="G434" s="296">
        <f>'[7]TGSPDCL MoD'!AL48</f>
        <v>12.3090090847644</v>
      </c>
      <c r="H434" s="296">
        <f>'[7]TGSPDCL MoD'!AM48</f>
        <v>12.7193093875899</v>
      </c>
      <c r="I434" s="296">
        <f>'[7]TGSPDCL MoD'!AN48</f>
        <v>12.7193093875899</v>
      </c>
      <c r="J434" s="296">
        <f>'[7]TGSPDCL MoD'!AO48</f>
        <v>12.3090090847644</v>
      </c>
      <c r="K434" s="296">
        <f>'[7]TGSPDCL MoD'!AP48</f>
        <v>12.7193093875899</v>
      </c>
      <c r="L434" s="296">
        <f>'[7]TGSPDCL MoD'!AQ48</f>
        <v>12.3090090847644</v>
      </c>
      <c r="M434" s="296">
        <f>'[7]TGSPDCL MoD'!AR48</f>
        <v>12.7193093875899</v>
      </c>
      <c r="N434" s="296">
        <f>'[7]TGSPDCL MoD'!AS48</f>
        <v>12.7193093875899</v>
      </c>
      <c r="O434" s="296">
        <f>'[7]TGSPDCL MoD'!AT48</f>
        <v>11.4884084791135</v>
      </c>
      <c r="P434" s="296">
        <f>'[7]TGSPDCL MoD'!AU48</f>
        <v>12.7193093875899</v>
      </c>
      <c r="Q434" s="296">
        <f t="shared" si="178"/>
        <v>149.7596105313</v>
      </c>
    </row>
    <row r="435" spans="3:17">
      <c r="C435" s="296"/>
      <c r="D435" s="296"/>
      <c r="E435" s="296"/>
      <c r="F435" s="296"/>
      <c r="G435" s="296"/>
      <c r="H435" s="296"/>
      <c r="I435" s="296"/>
      <c r="J435" s="296"/>
      <c r="K435" s="296"/>
      <c r="L435" s="296"/>
      <c r="M435" s="296"/>
      <c r="N435" s="296"/>
      <c r="O435" s="296"/>
      <c r="P435" s="296"/>
      <c r="Q435" s="296">
        <f t="shared" si="178"/>
        <v>0</v>
      </c>
    </row>
    <row r="436" spans="3:17">
      <c r="C436" s="296"/>
      <c r="D436" s="296"/>
      <c r="E436" s="296"/>
      <c r="F436" s="296"/>
      <c r="G436" s="296"/>
      <c r="H436" s="296"/>
      <c r="I436" s="296"/>
      <c r="J436" s="296"/>
      <c r="K436" s="296"/>
      <c r="L436" s="296"/>
      <c r="M436" s="296"/>
      <c r="N436" s="296"/>
      <c r="O436" s="296"/>
      <c r="P436" s="296"/>
      <c r="Q436" s="296">
        <f t="shared" si="178"/>
        <v>0</v>
      </c>
    </row>
    <row r="437" spans="3:17">
      <c r="C437" s="296"/>
      <c r="D437" s="296"/>
      <c r="E437" s="296"/>
      <c r="F437" s="296"/>
      <c r="G437" s="296"/>
      <c r="H437" s="296"/>
      <c r="I437" s="296"/>
      <c r="J437" s="296"/>
      <c r="K437" s="296"/>
      <c r="L437" s="296"/>
      <c r="M437" s="296"/>
      <c r="N437" s="296"/>
      <c r="O437" s="296"/>
      <c r="P437" s="296"/>
      <c r="Q437" s="296">
        <f t="shared" si="178"/>
        <v>0</v>
      </c>
    </row>
    <row r="438" spans="3:17">
      <c r="C438" s="296"/>
      <c r="D438" s="296"/>
      <c r="E438" s="296"/>
      <c r="F438" s="296"/>
      <c r="G438" s="296"/>
      <c r="H438" s="296"/>
      <c r="I438" s="296"/>
      <c r="J438" s="296"/>
      <c r="K438" s="296"/>
      <c r="L438" s="296"/>
      <c r="M438" s="296"/>
      <c r="N438" s="296"/>
      <c r="O438" s="296"/>
      <c r="P438" s="296"/>
      <c r="Q438" s="296">
        <f t="shared" si="178"/>
        <v>0</v>
      </c>
    </row>
    <row r="439" spans="3:17">
      <c r="C439" s="296"/>
      <c r="D439" s="296"/>
      <c r="E439" s="296"/>
      <c r="F439" s="296"/>
      <c r="G439" s="296"/>
      <c r="H439" s="296"/>
      <c r="I439" s="296"/>
      <c r="J439" s="296"/>
      <c r="K439" s="296"/>
      <c r="L439" s="296"/>
      <c r="M439" s="296"/>
      <c r="N439" s="296"/>
      <c r="O439" s="296"/>
      <c r="P439" s="296"/>
      <c r="Q439" s="296">
        <f t="shared" si="178"/>
        <v>0</v>
      </c>
    </row>
    <row r="440" spans="3:17">
      <c r="C440" s="296"/>
      <c r="D440" s="296"/>
      <c r="E440" s="296"/>
      <c r="F440" s="296"/>
      <c r="G440" s="296"/>
      <c r="H440" s="296"/>
      <c r="I440" s="296"/>
      <c r="J440" s="296"/>
      <c r="K440" s="296"/>
      <c r="L440" s="296"/>
      <c r="M440" s="296"/>
      <c r="N440" s="296"/>
      <c r="O440" s="296"/>
      <c r="P440" s="296"/>
      <c r="Q440" s="296">
        <f t="shared" si="178"/>
        <v>0</v>
      </c>
    </row>
    <row r="441" spans="3:17">
      <c r="C441" s="296"/>
      <c r="D441" s="296"/>
      <c r="E441" s="296"/>
      <c r="F441" s="296"/>
      <c r="G441" s="296"/>
      <c r="H441" s="296"/>
      <c r="I441" s="296"/>
      <c r="J441" s="296"/>
      <c r="K441" s="296"/>
      <c r="L441" s="296"/>
      <c r="M441" s="296"/>
      <c r="N441" s="296"/>
      <c r="O441" s="296"/>
      <c r="P441" s="296"/>
      <c r="Q441" s="296">
        <f t="shared" si="178"/>
        <v>0</v>
      </c>
    </row>
    <row r="442" spans="3:21">
      <c r="C442" s="296"/>
      <c r="D442" s="296"/>
      <c r="E442" s="296"/>
      <c r="F442" s="296"/>
      <c r="G442" s="296"/>
      <c r="H442" s="296"/>
      <c r="I442" s="296"/>
      <c r="J442" s="296"/>
      <c r="K442" s="296"/>
      <c r="L442" s="296"/>
      <c r="M442" s="296"/>
      <c r="N442" s="296"/>
      <c r="O442" s="296"/>
      <c r="P442" s="296"/>
      <c r="Q442" s="296">
        <f t="shared" si="178"/>
        <v>0</v>
      </c>
      <c r="U442" s="368">
        <f>(5408/3439)</f>
        <v>1.57255015993021</v>
      </c>
    </row>
    <row r="443" spans="3:21">
      <c r="C443" s="296"/>
      <c r="D443" s="296"/>
      <c r="E443" s="296"/>
      <c r="F443" s="296"/>
      <c r="G443" s="296"/>
      <c r="H443" s="296"/>
      <c r="I443" s="296"/>
      <c r="J443" s="296"/>
      <c r="K443" s="296"/>
      <c r="L443" s="296"/>
      <c r="M443" s="296"/>
      <c r="N443" s="296"/>
      <c r="O443" s="296"/>
      <c r="P443" s="296"/>
      <c r="Q443" s="296">
        <f t="shared" si="178"/>
        <v>0</v>
      </c>
      <c r="U443" s="368">
        <f>U442^(1/5)</f>
        <v>1.09476499243979</v>
      </c>
    </row>
    <row r="444" spans="3:21">
      <c r="C444" s="296"/>
      <c r="D444" s="296"/>
      <c r="E444" s="296"/>
      <c r="F444" s="296"/>
      <c r="G444" s="296"/>
      <c r="H444" s="296"/>
      <c r="I444" s="296"/>
      <c r="J444" s="296"/>
      <c r="K444" s="296"/>
      <c r="L444" s="296"/>
      <c r="M444" s="296"/>
      <c r="N444" s="296"/>
      <c r="O444" s="296"/>
      <c r="P444" s="296"/>
      <c r="Q444" s="296">
        <f t="shared" si="178"/>
        <v>0</v>
      </c>
      <c r="U444" s="727">
        <f>U443-1</f>
        <v>0.0947649924397851</v>
      </c>
    </row>
    <row r="445" ht="15" spans="3:17">
      <c r="C445" s="285" t="s">
        <v>211</v>
      </c>
      <c r="D445" s="286"/>
      <c r="E445" s="296">
        <f t="shared" ref="E445:P445" si="179">SUM(E431:E444)</f>
        <v>37.7881642801855</v>
      </c>
      <c r="F445" s="296">
        <f t="shared" si="179"/>
        <v>39.0477697561918</v>
      </c>
      <c r="G445" s="296">
        <f t="shared" si="179"/>
        <v>37.7881642801855</v>
      </c>
      <c r="H445" s="296">
        <f t="shared" si="179"/>
        <v>39.0477697561918</v>
      </c>
      <c r="I445" s="296">
        <f t="shared" si="179"/>
        <v>39.0477697561918</v>
      </c>
      <c r="J445" s="296">
        <f t="shared" si="179"/>
        <v>37.7881642801855</v>
      </c>
      <c r="K445" s="296">
        <f t="shared" si="179"/>
        <v>39.0477697561918</v>
      </c>
      <c r="L445" s="296">
        <f t="shared" si="179"/>
        <v>37.7881642801855</v>
      </c>
      <c r="M445" s="296">
        <f t="shared" si="179"/>
        <v>39.0477697561918</v>
      </c>
      <c r="N445" s="296">
        <f t="shared" si="179"/>
        <v>39.0477697561918</v>
      </c>
      <c r="O445" s="296">
        <f t="shared" si="179"/>
        <v>35.2689533281732</v>
      </c>
      <c r="P445" s="296">
        <f t="shared" si="179"/>
        <v>39.0477697561918</v>
      </c>
      <c r="Q445" s="722">
        <f t="shared" si="178"/>
        <v>459.755998742258</v>
      </c>
    </row>
    <row r="446" ht="15" spans="3:17">
      <c r="C446" s="285" t="s">
        <v>395</v>
      </c>
      <c r="D446" s="286"/>
      <c r="E446" s="296">
        <f t="shared" ref="E446:Q446" si="180">E429+E445</f>
        <v>514.491815185423</v>
      </c>
      <c r="F446" s="296">
        <f t="shared" si="180"/>
        <v>494.000321839177</v>
      </c>
      <c r="G446" s="296">
        <f t="shared" si="180"/>
        <v>399.93885704892</v>
      </c>
      <c r="H446" s="296">
        <f t="shared" si="180"/>
        <v>358.066643211314</v>
      </c>
      <c r="I446" s="296">
        <f t="shared" si="180"/>
        <v>370.067237141604</v>
      </c>
      <c r="J446" s="296">
        <f t="shared" si="180"/>
        <v>420.725445659632</v>
      </c>
      <c r="K446" s="296">
        <f t="shared" si="180"/>
        <v>461.773862678248</v>
      </c>
      <c r="L446" s="296">
        <f t="shared" si="180"/>
        <v>559.759941148857</v>
      </c>
      <c r="M446" s="296">
        <f t="shared" si="180"/>
        <v>402.691160754341</v>
      </c>
      <c r="N446" s="296">
        <f t="shared" si="180"/>
        <v>467.966102149598</v>
      </c>
      <c r="O446" s="296">
        <f t="shared" si="180"/>
        <v>515.521429606319</v>
      </c>
      <c r="P446" s="296">
        <f t="shared" si="180"/>
        <v>602.54202538979</v>
      </c>
      <c r="Q446" s="722">
        <f t="shared" si="180"/>
        <v>5567.54484181322</v>
      </c>
    </row>
    <row r="447" ht="15" spans="3:17">
      <c r="C447" s="708" t="s">
        <v>396</v>
      </c>
      <c r="D447" s="709"/>
      <c r="E447" s="296"/>
      <c r="F447" s="296"/>
      <c r="G447" s="296"/>
      <c r="H447" s="296"/>
      <c r="I447" s="296"/>
      <c r="J447" s="296"/>
      <c r="K447" s="296"/>
      <c r="L447" s="296"/>
      <c r="M447" s="296"/>
      <c r="N447" s="296"/>
      <c r="O447" s="296"/>
      <c r="P447" s="296"/>
      <c r="Q447" s="296"/>
    </row>
    <row r="448" spans="3:17">
      <c r="C448" s="296" t="s">
        <v>397</v>
      </c>
      <c r="D448" s="296" t="s">
        <v>397</v>
      </c>
      <c r="E448" s="384">
        <f>'[7]TGSPDCL MoD'!AJ23</f>
        <v>32.5152871338226</v>
      </c>
      <c r="F448" s="384">
        <f>'[7]TGSPDCL MoD'!AK23</f>
        <v>31.6958965403426</v>
      </c>
      <c r="G448" s="384">
        <f>'[7]TGSPDCL MoD'!AL23</f>
        <v>30.7698049757305</v>
      </c>
      <c r="H448" s="384">
        <f>'[7]TGSPDCL MoD'!AM23</f>
        <v>35.9871784079749</v>
      </c>
      <c r="I448" s="384">
        <f>'[7]TGSPDCL MoD'!AN23</f>
        <v>36.3233838251711</v>
      </c>
      <c r="J448" s="384">
        <f>'[7]TGSPDCL MoD'!AO23</f>
        <v>0</v>
      </c>
      <c r="K448" s="384">
        <f>'[7]TGSPDCL MoD'!AP23</f>
        <v>36.3233838251711</v>
      </c>
      <c r="L448" s="384">
        <f>'[7]TGSPDCL MoD'!AQ23</f>
        <v>16.6735663794011</v>
      </c>
      <c r="M448" s="384">
        <f>'[7]TGSPDCL MoD'!AR23</f>
        <v>33.5077630924265</v>
      </c>
      <c r="N448" s="384">
        <f>'[7]TGSPDCL MoD'!AS23</f>
        <v>34.5012246710014</v>
      </c>
      <c r="O448" s="384">
        <f>'[7]TGSPDCL MoD'!AT23</f>
        <v>32.8082176485417</v>
      </c>
      <c r="P448" s="384">
        <f>'[7]TGSPDCL MoD'!AU23</f>
        <v>36.3233838251711</v>
      </c>
      <c r="Q448" s="384">
        <f>SUM(E448:P448)</f>
        <v>357.429090324755</v>
      </c>
    </row>
    <row r="449" spans="3:17">
      <c r="C449" s="296" t="s">
        <v>398</v>
      </c>
      <c r="D449" s="296" t="s">
        <v>398</v>
      </c>
      <c r="E449" s="384">
        <f>'[7]TGSPDCL MoD'!AJ24</f>
        <v>0</v>
      </c>
      <c r="F449" s="384">
        <f>'[7]TGSPDCL MoD'!AK24</f>
        <v>0</v>
      </c>
      <c r="G449" s="384">
        <f>'[7]TGSPDCL MoD'!AL24</f>
        <v>0</v>
      </c>
      <c r="H449" s="384">
        <f>'[7]TGSPDCL MoD'!AM24</f>
        <v>0</v>
      </c>
      <c r="I449" s="384">
        <f>'[7]TGSPDCL MoD'!AN24</f>
        <v>0</v>
      </c>
      <c r="J449" s="384">
        <f>'[7]TGSPDCL MoD'!AO24</f>
        <v>0</v>
      </c>
      <c r="K449" s="384">
        <f>'[7]TGSPDCL MoD'!AP24</f>
        <v>0</v>
      </c>
      <c r="L449" s="384">
        <f>'[7]TGSPDCL MoD'!AQ24</f>
        <v>0</v>
      </c>
      <c r="M449" s="384">
        <f>'[7]TGSPDCL MoD'!AR24</f>
        <v>0</v>
      </c>
      <c r="N449" s="384">
        <f>'[7]TGSPDCL MoD'!AS24</f>
        <v>0</v>
      </c>
      <c r="O449" s="384">
        <f>'[7]TGSPDCL MoD'!AT24</f>
        <v>0</v>
      </c>
      <c r="P449" s="384">
        <f>'[7]TGSPDCL MoD'!AU24</f>
        <v>0</v>
      </c>
      <c r="Q449" s="384">
        <f>SUM(E449:P449)</f>
        <v>0</v>
      </c>
    </row>
    <row r="450" spans="3:17">
      <c r="C450" s="296"/>
      <c r="D450" s="296"/>
      <c r="E450" s="384"/>
      <c r="F450" s="384"/>
      <c r="G450" s="384"/>
      <c r="H450" s="384"/>
      <c r="I450" s="384"/>
      <c r="J450" s="384"/>
      <c r="K450" s="384"/>
      <c r="L450" s="384"/>
      <c r="M450" s="384"/>
      <c r="N450" s="384"/>
      <c r="O450" s="384"/>
      <c r="P450" s="384"/>
      <c r="Q450" s="384"/>
    </row>
    <row r="451" spans="3:17">
      <c r="C451" s="296"/>
      <c r="D451" s="296"/>
      <c r="E451" s="384"/>
      <c r="F451" s="384"/>
      <c r="G451" s="384"/>
      <c r="H451" s="384"/>
      <c r="I451" s="384"/>
      <c r="J451" s="384"/>
      <c r="K451" s="384"/>
      <c r="L451" s="384"/>
      <c r="M451" s="384"/>
      <c r="N451" s="384"/>
      <c r="O451" s="384"/>
      <c r="P451" s="384"/>
      <c r="Q451" s="384"/>
    </row>
    <row r="452" spans="3:17">
      <c r="C452" s="296"/>
      <c r="D452" s="296"/>
      <c r="E452" s="384"/>
      <c r="F452" s="384"/>
      <c r="G452" s="384"/>
      <c r="H452" s="384"/>
      <c r="I452" s="384"/>
      <c r="J452" s="384"/>
      <c r="K452" s="384"/>
      <c r="L452" s="384"/>
      <c r="M452" s="384"/>
      <c r="N452" s="384"/>
      <c r="O452" s="384"/>
      <c r="P452" s="384"/>
      <c r="Q452" s="384"/>
    </row>
    <row r="453" spans="3:17">
      <c r="C453" s="296"/>
      <c r="D453" s="296"/>
      <c r="E453" s="384"/>
      <c r="F453" s="384"/>
      <c r="G453" s="384"/>
      <c r="H453" s="384"/>
      <c r="I453" s="384"/>
      <c r="J453" s="384"/>
      <c r="K453" s="384"/>
      <c r="L453" s="384"/>
      <c r="M453" s="384"/>
      <c r="N453" s="384"/>
      <c r="O453" s="384"/>
      <c r="P453" s="384"/>
      <c r="Q453" s="384"/>
    </row>
    <row r="454" spans="3:17">
      <c r="C454" s="296"/>
      <c r="D454" s="296"/>
      <c r="E454" s="384"/>
      <c r="F454" s="384"/>
      <c r="G454" s="384"/>
      <c r="H454" s="384"/>
      <c r="I454" s="384"/>
      <c r="J454" s="384"/>
      <c r="K454" s="384"/>
      <c r="L454" s="384"/>
      <c r="M454" s="384"/>
      <c r="N454" s="384"/>
      <c r="O454" s="384"/>
      <c r="P454" s="384"/>
      <c r="Q454" s="384"/>
    </row>
    <row r="455" ht="15" spans="3:17">
      <c r="C455" s="285" t="s">
        <v>399</v>
      </c>
      <c r="D455" s="286"/>
      <c r="E455" s="384">
        <f t="shared" ref="E455:P455" si="181">SUM(E448:E454)</f>
        <v>32.5152871338226</v>
      </c>
      <c r="F455" s="384">
        <f t="shared" si="181"/>
        <v>31.6958965403426</v>
      </c>
      <c r="G455" s="384">
        <f t="shared" si="181"/>
        <v>30.7698049757305</v>
      </c>
      <c r="H455" s="384">
        <f t="shared" si="181"/>
        <v>35.9871784079749</v>
      </c>
      <c r="I455" s="384">
        <f t="shared" si="181"/>
        <v>36.3233838251711</v>
      </c>
      <c r="J455" s="384">
        <f t="shared" si="181"/>
        <v>0</v>
      </c>
      <c r="K455" s="384">
        <f t="shared" si="181"/>
        <v>36.3233838251711</v>
      </c>
      <c r="L455" s="384">
        <f t="shared" si="181"/>
        <v>16.6735663794011</v>
      </c>
      <c r="M455" s="384">
        <f t="shared" si="181"/>
        <v>33.5077630924265</v>
      </c>
      <c r="N455" s="384">
        <f t="shared" si="181"/>
        <v>34.5012246710014</v>
      </c>
      <c r="O455" s="384">
        <f t="shared" si="181"/>
        <v>32.8082176485417</v>
      </c>
      <c r="P455" s="384">
        <f t="shared" si="181"/>
        <v>36.3233838251711</v>
      </c>
      <c r="Q455" s="722">
        <f>SUM(E455:P455)</f>
        <v>357.429090324755</v>
      </c>
    </row>
    <row r="456" ht="15" spans="3:4">
      <c r="C456" s="708" t="s">
        <v>400</v>
      </c>
      <c r="D456" s="709"/>
    </row>
    <row r="457" spans="3:17">
      <c r="C457" s="296" t="s">
        <v>401</v>
      </c>
      <c r="D457" s="296" t="s">
        <v>401</v>
      </c>
      <c r="E457" s="384">
        <f>SUM('[7]TGSPDCL MoD'!AJ20:AJ22)</f>
        <v>159.315661833666</v>
      </c>
      <c r="F457" s="384">
        <f>SUM('[7]TGSPDCL MoD'!AK20:AK22)</f>
        <v>90.0264609900954</v>
      </c>
      <c r="G457" s="384">
        <f>SUM('[7]TGSPDCL MoD'!AL20:AL22)</f>
        <v>30.4928335611613</v>
      </c>
      <c r="H457" s="384">
        <f>SUM('[7]TGSPDCL MoD'!AM20:AM22)</f>
        <v>97.6440846123342</v>
      </c>
      <c r="I457" s="384">
        <f>SUM('[7]TGSPDCL MoD'!AN20:AN22)</f>
        <v>155.16942631782</v>
      </c>
      <c r="J457" s="384">
        <f>SUM('[7]TGSPDCL MoD'!AO20:AO22)</f>
        <v>123.588544780333</v>
      </c>
      <c r="K457" s="384">
        <f>SUM('[7]TGSPDCL MoD'!AP20:AP22)</f>
        <v>171.269065476083</v>
      </c>
      <c r="L457" s="384">
        <f>SUM('[7]TGSPDCL MoD'!AQ20:AQ22)</f>
        <v>0</v>
      </c>
      <c r="M457" s="384">
        <f>SUM('[7]TGSPDCL MoD'!AR20:AR22)</f>
        <v>134.972763170727</v>
      </c>
      <c r="N457" s="384">
        <f>SUM('[7]TGSPDCL MoD'!AS20:AS22)</f>
        <v>138.785376404158</v>
      </c>
      <c r="O457" s="384">
        <f>SUM('[7]TGSPDCL MoD'!AT20:AT22)</f>
        <v>151.427052447983</v>
      </c>
      <c r="P457" s="384">
        <f>SUM('[7]TGSPDCL MoD'!AU20:AU22)</f>
        <v>183.397011701016</v>
      </c>
      <c r="Q457" s="384">
        <f>SUM(E457:P457)</f>
        <v>1436.08828129538</v>
      </c>
    </row>
    <row r="458" spans="3:17">
      <c r="C458" s="296" t="s">
        <v>402</v>
      </c>
      <c r="D458" s="296" t="s">
        <v>402</v>
      </c>
      <c r="E458" s="296">
        <v>0</v>
      </c>
      <c r="F458" s="296">
        <v>0</v>
      </c>
      <c r="G458" s="296">
        <v>0</v>
      </c>
      <c r="H458" s="296">
        <v>0</v>
      </c>
      <c r="I458" s="296">
        <v>0</v>
      </c>
      <c r="J458" s="296">
        <v>0</v>
      </c>
      <c r="K458" s="296">
        <v>0</v>
      </c>
      <c r="L458" s="296">
        <v>0</v>
      </c>
      <c r="M458" s="296">
        <v>0</v>
      </c>
      <c r="N458" s="296">
        <v>0</v>
      </c>
      <c r="O458" s="296">
        <v>0</v>
      </c>
      <c r="P458" s="296">
        <v>0</v>
      </c>
      <c r="Q458" s="296">
        <v>0</v>
      </c>
    </row>
    <row r="459" spans="3:17">
      <c r="C459" s="296" t="s">
        <v>403</v>
      </c>
      <c r="D459" s="296" t="s">
        <v>403</v>
      </c>
      <c r="E459" s="296">
        <v>0</v>
      </c>
      <c r="F459" s="296">
        <v>0</v>
      </c>
      <c r="G459" s="296">
        <v>0</v>
      </c>
      <c r="H459" s="296">
        <v>0</v>
      </c>
      <c r="I459" s="296">
        <v>0</v>
      </c>
      <c r="J459" s="296">
        <v>0</v>
      </c>
      <c r="K459" s="296">
        <v>0</v>
      </c>
      <c r="L459" s="296">
        <v>0</v>
      </c>
      <c r="M459" s="296">
        <v>0</v>
      </c>
      <c r="N459" s="296">
        <v>0</v>
      </c>
      <c r="O459" s="296">
        <v>0</v>
      </c>
      <c r="P459" s="296">
        <v>0</v>
      </c>
      <c r="Q459" s="296">
        <v>0</v>
      </c>
    </row>
    <row r="460" spans="3:17">
      <c r="C460" s="296"/>
      <c r="D460" s="296"/>
      <c r="E460" s="296"/>
      <c r="F460" s="296"/>
      <c r="G460" s="296"/>
      <c r="H460" s="296"/>
      <c r="I460" s="296"/>
      <c r="J460" s="296"/>
      <c r="K460" s="296"/>
      <c r="L460" s="296"/>
      <c r="M460" s="296"/>
      <c r="N460" s="296"/>
      <c r="O460" s="296"/>
      <c r="P460" s="296"/>
      <c r="Q460" s="296">
        <f t="shared" ref="Q460:Q465" si="182">SUM(E460:P460)</f>
        <v>0</v>
      </c>
    </row>
    <row r="461" spans="3:17">
      <c r="C461" s="296"/>
      <c r="D461" s="296"/>
      <c r="E461" s="296"/>
      <c r="F461" s="296"/>
      <c r="G461" s="296"/>
      <c r="H461" s="296"/>
      <c r="I461" s="296"/>
      <c r="J461" s="296"/>
      <c r="K461" s="296"/>
      <c r="L461" s="296"/>
      <c r="M461" s="296"/>
      <c r="N461" s="296"/>
      <c r="O461" s="296"/>
      <c r="P461" s="296"/>
      <c r="Q461" s="296">
        <f t="shared" si="182"/>
        <v>0</v>
      </c>
    </row>
    <row r="462" spans="3:17">
      <c r="C462" s="296"/>
      <c r="D462" s="296"/>
      <c r="E462" s="296"/>
      <c r="F462" s="296"/>
      <c r="G462" s="296"/>
      <c r="H462" s="296"/>
      <c r="I462" s="296"/>
      <c r="J462" s="296"/>
      <c r="K462" s="296"/>
      <c r="L462" s="296"/>
      <c r="M462" s="296"/>
      <c r="N462" s="296"/>
      <c r="O462" s="296"/>
      <c r="P462" s="296"/>
      <c r="Q462" s="296">
        <f t="shared" si="182"/>
        <v>0</v>
      </c>
    </row>
    <row r="463" spans="3:17">
      <c r="C463" s="296"/>
      <c r="D463" s="296"/>
      <c r="E463" s="296"/>
      <c r="F463" s="296"/>
      <c r="G463" s="296"/>
      <c r="H463" s="296"/>
      <c r="I463" s="296"/>
      <c r="J463" s="296"/>
      <c r="K463" s="296"/>
      <c r="L463" s="296"/>
      <c r="M463" s="296"/>
      <c r="N463" s="296"/>
      <c r="O463" s="296"/>
      <c r="P463" s="296"/>
      <c r="Q463" s="296">
        <f t="shared" si="182"/>
        <v>0</v>
      </c>
    </row>
    <row r="464" spans="3:17">
      <c r="C464" s="296"/>
      <c r="D464" s="296"/>
      <c r="E464" s="296"/>
      <c r="F464" s="296"/>
      <c r="G464" s="296"/>
      <c r="H464" s="296"/>
      <c r="I464" s="296"/>
      <c r="J464" s="296"/>
      <c r="K464" s="296"/>
      <c r="L464" s="296"/>
      <c r="M464" s="296"/>
      <c r="N464" s="296"/>
      <c r="O464" s="296"/>
      <c r="P464" s="296"/>
      <c r="Q464" s="296">
        <f t="shared" si="182"/>
        <v>0</v>
      </c>
    </row>
    <row r="465" ht="15" spans="3:17">
      <c r="C465" s="285" t="s">
        <v>404</v>
      </c>
      <c r="D465" s="286"/>
      <c r="E465" s="384">
        <f t="shared" ref="E465:P465" si="183">SUM(E457:E464)</f>
        <v>159.315661833666</v>
      </c>
      <c r="F465" s="384">
        <f t="shared" si="183"/>
        <v>90.0264609900954</v>
      </c>
      <c r="G465" s="384">
        <f t="shared" si="183"/>
        <v>30.4928335611613</v>
      </c>
      <c r="H465" s="384">
        <f t="shared" si="183"/>
        <v>97.6440846123342</v>
      </c>
      <c r="I465" s="384">
        <f t="shared" si="183"/>
        <v>155.16942631782</v>
      </c>
      <c r="J465" s="384">
        <f t="shared" si="183"/>
        <v>123.588544780333</v>
      </c>
      <c r="K465" s="384">
        <f t="shared" si="183"/>
        <v>171.269065476083</v>
      </c>
      <c r="L465" s="384">
        <f t="shared" si="183"/>
        <v>0</v>
      </c>
      <c r="M465" s="384">
        <f t="shared" si="183"/>
        <v>134.972763170727</v>
      </c>
      <c r="N465" s="384">
        <f t="shared" si="183"/>
        <v>138.785376404158</v>
      </c>
      <c r="O465" s="384">
        <f t="shared" si="183"/>
        <v>151.427052447983</v>
      </c>
      <c r="P465" s="384">
        <f t="shared" si="183"/>
        <v>183.397011701016</v>
      </c>
      <c r="Q465" s="722">
        <f t="shared" si="182"/>
        <v>1436.08828129538</v>
      </c>
    </row>
    <row r="466" ht="15" spans="3:17">
      <c r="C466" s="708" t="s">
        <v>405</v>
      </c>
      <c r="D466" s="709"/>
      <c r="E466" s="296"/>
      <c r="F466" s="296"/>
      <c r="G466" s="296"/>
      <c r="H466" s="296"/>
      <c r="I466" s="296"/>
      <c r="J466" s="296"/>
      <c r="K466" s="296"/>
      <c r="L466" s="296"/>
      <c r="M466" s="296"/>
      <c r="N466" s="296"/>
      <c r="O466" s="296"/>
      <c r="P466" s="296"/>
      <c r="Q466" s="296"/>
    </row>
    <row r="467" spans="3:17">
      <c r="C467" s="296"/>
      <c r="D467" s="296" t="s">
        <v>406</v>
      </c>
      <c r="E467" s="384">
        <f>'[7]TGSPDCL MoD'!F104*[7]Gen_Cost!$BN231/10</f>
        <v>0.0164429390800705</v>
      </c>
      <c r="F467" s="384">
        <f>'[7]TGSPDCL MoD'!G104*[7]Gen_Cost!$BN231/10</f>
        <v>0.0141004136636132</v>
      </c>
      <c r="G467" s="384">
        <f>'[7]TGSPDCL MoD'!H104*[7]Gen_Cost!$BN231/10</f>
        <v>0.033540130866178</v>
      </c>
      <c r="H467" s="384">
        <f>'[7]TGSPDCL MoD'!I104*[7]Gen_Cost!$BN231/10</f>
        <v>0.0487861945990641</v>
      </c>
      <c r="I467" s="384">
        <f>'[7]TGSPDCL MoD'!J104*[7]Gen_Cost!$BN231/10</f>
        <v>0.026621641392757</v>
      </c>
      <c r="J467" s="384">
        <f>'[7]TGSPDCL MoD'!K104*[7]Gen_Cost!$BN231/10</f>
        <v>0.019576775691013</v>
      </c>
      <c r="K467" s="384">
        <f>'[7]TGSPDCL MoD'!L104*[7]Gen_Cost!$BN231/10</f>
        <v>0.0118719298590637</v>
      </c>
      <c r="L467" s="384">
        <f>'[7]TGSPDCL MoD'!M104*[7]Gen_Cost!$BN231/10</f>
        <v>0.0164851143579221</v>
      </c>
      <c r="M467" s="384">
        <f>'[7]TGSPDCL MoD'!N104*[7]Gen_Cost!$BN231/10</f>
        <v>0.0188502279314498</v>
      </c>
      <c r="N467" s="384">
        <f>'[7]TGSPDCL MoD'!O104*[7]Gen_Cost!$BN231/10</f>
        <v>0.0182307528594947</v>
      </c>
      <c r="O467" s="384">
        <f>'[7]TGSPDCL MoD'!P104*[7]Gen_Cost!$BN231/10</f>
        <v>0.012499831948099</v>
      </c>
      <c r="P467" s="384">
        <f>'[7]TGSPDCL MoD'!Q104*[7]Gen_Cost!$BN231/10</f>
        <v>0.0162340477512748</v>
      </c>
      <c r="Q467" s="384">
        <f>SUM(E467:P467)</f>
        <v>0.25324</v>
      </c>
    </row>
    <row r="468" spans="3:17">
      <c r="C468" s="296"/>
      <c r="D468" s="296" t="s">
        <v>407</v>
      </c>
      <c r="E468" s="384">
        <v>0</v>
      </c>
      <c r="F468" s="384">
        <v>0</v>
      </c>
      <c r="G468" s="384">
        <v>0</v>
      </c>
      <c r="H468" s="384">
        <v>0</v>
      </c>
      <c r="I468" s="384">
        <v>0</v>
      </c>
      <c r="J468" s="384">
        <v>0</v>
      </c>
      <c r="K468" s="384">
        <v>0</v>
      </c>
      <c r="L468" s="384">
        <v>0</v>
      </c>
      <c r="M468" s="384">
        <v>0</v>
      </c>
      <c r="N468" s="384">
        <v>0</v>
      </c>
      <c r="O468" s="384">
        <v>0</v>
      </c>
      <c r="P468" s="384">
        <v>0</v>
      </c>
      <c r="Q468" s="384">
        <v>0</v>
      </c>
    </row>
    <row r="469" spans="3:17">
      <c r="C469" s="296"/>
      <c r="D469" s="296" t="s">
        <v>408</v>
      </c>
      <c r="E469" s="384">
        <f>'[7]TGSPDCL MoD'!F101*[7]Gen_Cost!$BN$233/10</f>
        <v>7.10068038045162</v>
      </c>
      <c r="F469" s="384">
        <f>'[7]TGSPDCL MoD'!G101*[7]Gen_Cost!$BN$233/10</f>
        <v>4.99278515168004</v>
      </c>
      <c r="G469" s="384">
        <f>'[7]TGSPDCL MoD'!H101*[7]Gen_Cost!$BN$233/10</f>
        <v>4.15122869622003</v>
      </c>
      <c r="H469" s="384">
        <f>'[7]TGSPDCL MoD'!I101*[7]Gen_Cost!$BN$233/10</f>
        <v>5.86161234488573</v>
      </c>
      <c r="I469" s="384">
        <f>'[7]TGSPDCL MoD'!J101*[7]Gen_Cost!$BN$233/10</f>
        <v>5.86161234488573</v>
      </c>
      <c r="J469" s="384">
        <f>'[7]TGSPDCL MoD'!K101*[7]Gen_Cost!$BN$233/10</f>
        <v>4.17848601992844</v>
      </c>
      <c r="K469" s="384">
        <f>'[7]TGSPDCL MoD'!L101*[7]Gen_Cost!$BN$233/10</f>
        <v>5.86161234488573</v>
      </c>
      <c r="L469" s="384">
        <f>'[7]TGSPDCL MoD'!M101*[7]Gen_Cost!$BN$233/10</f>
        <v>5.50766732212123</v>
      </c>
      <c r="M469" s="384">
        <f>'[7]TGSPDCL MoD'!N101*[7]Gen_Cost!$BN$233/10</f>
        <v>8.98864799703123</v>
      </c>
      <c r="N469" s="384">
        <f>'[7]TGSPDCL MoD'!O101*[7]Gen_Cost!$BN$233/10</f>
        <v>9.13884497220999</v>
      </c>
      <c r="O469" s="384">
        <f>'[7]TGSPDCL MoD'!P101*[7]Gen_Cost!$BN$233/10</f>
        <v>9.63930034558005</v>
      </c>
      <c r="P469" s="384">
        <f>'[7]TGSPDCL MoD'!Q101*[7]Gen_Cost!$BN$233/10</f>
        <v>9.68007007615315</v>
      </c>
      <c r="Q469" s="384">
        <f t="shared" ref="Q469:Q491" si="184">SUM(E469:P469)</f>
        <v>80.962547996033</v>
      </c>
    </row>
    <row r="470" spans="3:17">
      <c r="C470" s="296"/>
      <c r="D470" s="296" t="s">
        <v>409</v>
      </c>
      <c r="E470" s="384">
        <f>'[7]TGSPDCL MoD'!F102*[7]Gen_Cost!$BN$234/10</f>
        <v>2.02486956950539</v>
      </c>
      <c r="F470" s="384">
        <f>'[7]TGSPDCL MoD'!G102*[7]Gen_Cost!$BN$234/10</f>
        <v>1.42377042466912</v>
      </c>
      <c r="G470" s="384">
        <f>'[7]TGSPDCL MoD'!H102*[7]Gen_Cost!$BN$234/10</f>
        <v>1.18378749819167</v>
      </c>
      <c r="H470" s="384">
        <f>'[7]TGSPDCL MoD'!I102*[7]Gen_Cost!$BN$234/10</f>
        <v>1.67153002662562</v>
      </c>
      <c r="I470" s="384">
        <f>'[7]TGSPDCL MoD'!J102*[7]Gen_Cost!$BN$234/10</f>
        <v>1.67153002662562</v>
      </c>
      <c r="J470" s="384">
        <f>'[7]TGSPDCL MoD'!K102*[7]Gen_Cost!$BN$234/10</f>
        <v>1.19156034844912</v>
      </c>
      <c r="K470" s="384">
        <f>'[7]TGSPDCL MoD'!L102*[7]Gen_Cost!$BN$234/10</f>
        <v>1.67153002662562</v>
      </c>
      <c r="L470" s="384">
        <f>'[7]TGSPDCL MoD'!M102*[7]Gen_Cost!$BN$234/10</f>
        <v>1.57059709238922</v>
      </c>
      <c r="M470" s="384">
        <f>'[7]TGSPDCL MoD'!N102*[7]Gen_Cost!$BN$234/10</f>
        <v>2.56325293140805</v>
      </c>
      <c r="N470" s="384">
        <f>'[7]TGSPDCL MoD'!O102*[7]Gen_Cost!$BN$234/10</f>
        <v>2.60608393747732</v>
      </c>
      <c r="O470" s="384">
        <f>'[7]TGSPDCL MoD'!P102*[7]Gen_Cost!$BN$234/10</f>
        <v>2.74879657938448</v>
      </c>
      <c r="P470" s="384">
        <f>'[7]TGSPDCL MoD'!Q102*[7]Gen_Cost!$BN$234/10</f>
        <v>2.76042270285028</v>
      </c>
      <c r="Q470" s="384">
        <f t="shared" si="184"/>
        <v>23.0877311642015</v>
      </c>
    </row>
    <row r="471" spans="3:17">
      <c r="C471" s="296"/>
      <c r="D471" s="296" t="s">
        <v>410</v>
      </c>
      <c r="E471" s="384">
        <f>SUM('[7]TGSPDCL MoD'!F99:F100)*[7]Gen_Cost!$BN$235/10</f>
        <v>7.82756847799204</v>
      </c>
      <c r="F471" s="384">
        <f>SUM('[7]TGSPDCL MoD'!G99:G100)*[7]Gen_Cost!$BN$235/10</f>
        <v>6.7124224557714</v>
      </c>
      <c r="G471" s="384">
        <f>SUM('[7]TGSPDCL MoD'!H99:H100)*[7]Gen_Cost!$BN$235/10</f>
        <v>15.9665902693776</v>
      </c>
      <c r="H471" s="384">
        <f>SUM('[7]TGSPDCL MoD'!I99:I100)*[7]Gen_Cost!$BN$235/10</f>
        <v>23.2243929838352</v>
      </c>
      <c r="I471" s="384">
        <f>SUM('[7]TGSPDCL MoD'!J99:J100)*[7]Gen_Cost!$BN$235/10</f>
        <v>12.673082347603</v>
      </c>
      <c r="J471" s="384">
        <f>SUM('[7]TGSPDCL MoD'!K99:K100)*[7]Gen_Cost!$BN$235/10</f>
        <v>9.31941373458137</v>
      </c>
      <c r="K471" s="384">
        <f>SUM('[7]TGSPDCL MoD'!L99:L100)*[7]Gen_Cost!$BN$235/10</f>
        <v>5.65156530017018</v>
      </c>
      <c r="L471" s="384">
        <f>SUM('[7]TGSPDCL MoD'!M99:M100)*[7]Gen_Cost!$BN$235/10</f>
        <v>7.84764578131683</v>
      </c>
      <c r="M471" s="384">
        <f>SUM('[7]TGSPDCL MoD'!N99:N100)*[7]Gen_Cost!$BN$235/10</f>
        <v>8.97354476840578</v>
      </c>
      <c r="N471" s="384">
        <f>SUM('[7]TGSPDCL MoD'!O99:O100)*[7]Gen_Cost!$BN$235/10</f>
        <v>8.67864715171296</v>
      </c>
      <c r="O471" s="384">
        <f>SUM('[7]TGSPDCL MoD'!P99:P100)*[7]Gen_Cost!$BN$235/10</f>
        <v>5.95047455085007</v>
      </c>
      <c r="P471" s="384">
        <f>SUM('[7]TGSPDCL MoD'!Q99:Q100)*[7]Gen_Cost!$BN$235/10</f>
        <v>7.72812693821348</v>
      </c>
      <c r="Q471" s="384">
        <f t="shared" si="184"/>
        <v>120.55347475983</v>
      </c>
    </row>
    <row r="472" spans="3:17">
      <c r="C472" s="296"/>
      <c r="D472" s="296" t="s">
        <v>368</v>
      </c>
      <c r="E472" s="384">
        <f>'[7]TGSPDCL MoD'!F103*[7]Gen_Cost!$BN$236/10</f>
        <v>0.00413853598160642</v>
      </c>
      <c r="F472" s="384">
        <f>'[7]TGSPDCL MoD'!G103*[7]Gen_Cost!$BN$236/10</f>
        <v>0.00443472431310052</v>
      </c>
      <c r="G472" s="384">
        <f>'[7]TGSPDCL MoD'!H103*[7]Gen_Cost!$BN$236/10</f>
        <v>0.00459458913666165</v>
      </c>
      <c r="H472" s="384">
        <f>'[7]TGSPDCL MoD'!I103*[7]Gen_Cost!$BN$236/10</f>
        <v>0.0100448098683755</v>
      </c>
      <c r="I472" s="384">
        <f>'[7]TGSPDCL MoD'!J103*[7]Gen_Cost!$BN$236/10</f>
        <v>0.023583379880133</v>
      </c>
      <c r="J472" s="384">
        <f>'[7]TGSPDCL MoD'!K103*[7]Gen_Cost!$BN$236/10</f>
        <v>0.0119111720193913</v>
      </c>
      <c r="K472" s="384">
        <f>'[7]TGSPDCL MoD'!L103*[7]Gen_Cost!$BN$236/10</f>
        <v>0.0131291245408731</v>
      </c>
      <c r="L472" s="384">
        <f>'[7]TGSPDCL MoD'!M103*[7]Gen_Cost!$BN$236/10</f>
        <v>0.00450301834263142</v>
      </c>
      <c r="M472" s="384">
        <f>'[7]TGSPDCL MoD'!N103*[7]Gen_Cost!$BN$236/10</f>
        <v>0.00772495043744583</v>
      </c>
      <c r="N472" s="384">
        <f>'[7]TGSPDCL MoD'!O103*[7]Gen_Cost!$BN$236/10</f>
        <v>0.0147402680969005</v>
      </c>
      <c r="O472" s="384">
        <f>'[7]TGSPDCL MoD'!P103*[7]Gen_Cost!$BN$236/10</f>
        <v>0.0132384086410357</v>
      </c>
      <c r="P472" s="384">
        <f>'[7]TGSPDCL MoD'!Q103*[7]Gen_Cost!$BN$236/10</f>
        <v>0.00614927789677466</v>
      </c>
      <c r="Q472" s="384">
        <f t="shared" si="184"/>
        <v>0.11819225915493</v>
      </c>
    </row>
    <row r="473" spans="3:17">
      <c r="C473" s="296"/>
      <c r="D473" s="296" t="s">
        <v>411</v>
      </c>
      <c r="E473" s="718">
        <f>'[7]TGSPDCL MoD'!F114*[7]Gen_Cost!$BN237/10</f>
        <v>242.174728429862</v>
      </c>
      <c r="F473" s="718">
        <f>'[7]TGSPDCL MoD'!G114*[7]Gen_Cost!$BN237/10</f>
        <v>249.720733914742</v>
      </c>
      <c r="G473" s="718">
        <f>'[7]TGSPDCL MoD'!H114*[7]Gen_Cost!$BN237/10</f>
        <v>233.801221992976</v>
      </c>
      <c r="H473" s="718">
        <f>'[7]TGSPDCL MoD'!I114*[7]Gen_Cost!$BN237/10</f>
        <v>183.116246421169</v>
      </c>
      <c r="I473" s="718">
        <f>'[7]TGSPDCL MoD'!J114*[7]Gen_Cost!$BN237/10</f>
        <v>225.220070817952</v>
      </c>
      <c r="J473" s="718">
        <f>'[7]TGSPDCL MoD'!K114*[7]Gen_Cost!$BN237/10</f>
        <v>198.524231826431</v>
      </c>
      <c r="K473" s="718">
        <f>'[7]TGSPDCL MoD'!L114*[7]Gen_Cost!$BN237/10</f>
        <v>243.386171001418</v>
      </c>
      <c r="L473" s="718">
        <f>'[7]TGSPDCL MoD'!M114*[7]Gen_Cost!$BN237/10</f>
        <v>187.668098504833</v>
      </c>
      <c r="M473" s="718">
        <f>'[7]TGSPDCL MoD'!N114*[7]Gen_Cost!$BN237/10</f>
        <v>205.725571051038</v>
      </c>
      <c r="N473" s="718">
        <f>'[7]TGSPDCL MoD'!O114*[7]Gen_Cost!$BN237/10</f>
        <v>219.333591672641</v>
      </c>
      <c r="O473" s="718">
        <f>'[7]TGSPDCL MoD'!P114*[7]Gen_Cost!$BN237/10</f>
        <v>225.131901570079</v>
      </c>
      <c r="P473" s="718">
        <f>'[7]TGSPDCL MoD'!Q114*[7]Gen_Cost!$BN237/10</f>
        <v>241.4047302297</v>
      </c>
      <c r="Q473" s="718">
        <f t="shared" si="184"/>
        <v>2655.20729743284</v>
      </c>
    </row>
    <row r="474" spans="3:17">
      <c r="C474" s="296"/>
      <c r="D474" s="296" t="s">
        <v>412</v>
      </c>
      <c r="E474" s="384">
        <f>'[7]TGSPDCL MoD'!F107*[7]Gen_Cost!$BN$242/10</f>
        <v>7.09022558972541</v>
      </c>
      <c r="F474" s="384">
        <f>'[7]TGSPDCL MoD'!G107*[7]Gen_Cost!$BN$242/10</f>
        <v>7.31115236245678</v>
      </c>
      <c r="G474" s="384">
        <f>'[7]TGSPDCL MoD'!H107*[7]Gen_Cost!$BN$242/10</f>
        <v>6.8450718117096</v>
      </c>
      <c r="H474" s="384">
        <f>'[7]TGSPDCL MoD'!I107*[7]Gen_Cost!$BN$242/10</f>
        <v>5.36115186207739</v>
      </c>
      <c r="I474" s="384">
        <f>'[7]TGSPDCL MoD'!J107*[7]Gen_Cost!$BN$242/10</f>
        <v>6.59383875347546</v>
      </c>
      <c r="J474" s="384">
        <f>'[7]TGSPDCL MoD'!K107*[7]Gen_Cost!$BN$242/10</f>
        <v>5.8122562903338</v>
      </c>
      <c r="K474" s="384">
        <f>'[7]TGSPDCL MoD'!L107*[7]Gen_Cost!$BN$242/10</f>
        <v>7.12569337439901</v>
      </c>
      <c r="L474" s="384">
        <f>'[7]TGSPDCL MoD'!M107*[7]Gen_Cost!$BN$242/10</f>
        <v>5.49441786523753</v>
      </c>
      <c r="M474" s="384">
        <f>'[7]TGSPDCL MoD'!N107*[7]Gen_Cost!$BN$242/10</f>
        <v>6.02309216070575</v>
      </c>
      <c r="N474" s="384">
        <f>'[7]TGSPDCL MoD'!O107*[7]Gen_Cost!$BN$242/10</f>
        <v>6.42149845463393</v>
      </c>
      <c r="O474" s="384">
        <f>'[7]TGSPDCL MoD'!P107*[7]Gen_Cost!$BN$242/10</f>
        <v>6.59125739471208</v>
      </c>
      <c r="P474" s="384">
        <f>'[7]TGSPDCL MoD'!Q107*[7]Gen_Cost!$BN$242/10</f>
        <v>7.06768211056792</v>
      </c>
      <c r="Q474" s="384">
        <f t="shared" si="184"/>
        <v>77.7373380300347</v>
      </c>
    </row>
    <row r="475" spans="3:17">
      <c r="C475" s="296"/>
      <c r="D475" s="296" t="s">
        <v>413</v>
      </c>
      <c r="E475" s="384">
        <f>'[7]TGSPDCL MoD'!F108*[7]Gen_Cost!$BN$243/10</f>
        <v>28.2102345703822</v>
      </c>
      <c r="F475" s="384">
        <f>'[7]TGSPDCL MoD'!G108*[7]Gen_Cost!$BN$243/10</f>
        <v>29.0892469519714</v>
      </c>
      <c r="G475" s="384">
        <f>'[7]TGSPDCL MoD'!H108*[7]Gen_Cost!$BN$243/10</f>
        <v>27.234828993208</v>
      </c>
      <c r="H475" s="384">
        <f>'[7]TGSPDCL MoD'!I108*[7]Gen_Cost!$BN$243/10</f>
        <v>21.330682597153</v>
      </c>
      <c r="I475" s="384">
        <f>'[7]TGSPDCL MoD'!J108*[7]Gen_Cost!$BN$243/10</f>
        <v>26.2352354802893</v>
      </c>
      <c r="J475" s="384">
        <f>'[7]TGSPDCL MoD'!K108*[7]Gen_Cost!$BN$243/10</f>
        <v>23.1255143096013</v>
      </c>
      <c r="K475" s="384">
        <f>'[7]TGSPDCL MoD'!L108*[7]Gen_Cost!$BN$243/10</f>
        <v>28.3513520161774</v>
      </c>
      <c r="L475" s="384">
        <f>'[7]TGSPDCL MoD'!M108*[7]Gen_Cost!$BN$243/10</f>
        <v>21.8609146979274</v>
      </c>
      <c r="M475" s="384">
        <f>'[7]TGSPDCL MoD'!N108*[7]Gen_Cost!$BN$243/10</f>
        <v>23.9643775141321</v>
      </c>
      <c r="N475" s="384">
        <f>'[7]TGSPDCL MoD'!O108*[7]Gen_Cost!$BN$243/10</f>
        <v>25.549536528299</v>
      </c>
      <c r="O475" s="384">
        <f>'[7]TGSPDCL MoD'!P108*[7]Gen_Cost!$BN$243/10</f>
        <v>26.2249648992896</v>
      </c>
      <c r="P475" s="384">
        <f>'[7]TGSPDCL MoD'!Q108*[7]Gen_Cost!$BN$243/10</f>
        <v>28.1205397042574</v>
      </c>
      <c r="Q475" s="384">
        <f t="shared" si="184"/>
        <v>309.297428262688</v>
      </c>
    </row>
    <row r="476" spans="3:17">
      <c r="C476" s="296"/>
      <c r="D476" s="296" t="s">
        <v>414</v>
      </c>
      <c r="E476" s="718">
        <f>'[7]TGSPDCL MoD'!F109*[7]Gen_Cost!$BN$240/10</f>
        <v>24.4459575609906</v>
      </c>
      <c r="F476" s="718">
        <f>'[7]TGSPDCL MoD'!G109*[7]Gen_Cost!$BN$240/10</f>
        <v>25.2076775432298</v>
      </c>
      <c r="G476" s="718">
        <f>'[7]TGSPDCL MoD'!H109*[7]Gen_Cost!$BN$240/10</f>
        <v>23.6007067607938</v>
      </c>
      <c r="H476" s="718">
        <f>'[7]TGSPDCL MoD'!I109*[7]Gen_Cost!$BN$240/10</f>
        <v>18.4843894231362</v>
      </c>
      <c r="I476" s="718">
        <f>'[7]TGSPDCL MoD'!J109*[7]Gen_Cost!$BN$240/10</f>
        <v>22.7344955800932</v>
      </c>
      <c r="J476" s="718">
        <f>'[7]TGSPDCL MoD'!K109*[7]Gen_Cost!$BN$240/10</f>
        <v>20.0397249437311</v>
      </c>
      <c r="K476" s="718">
        <f>'[7]TGSPDCL MoD'!L109*[7]Gen_Cost!$BN$240/10</f>
        <v>24.5682447785045</v>
      </c>
      <c r="L476" s="718">
        <f>'[7]TGSPDCL MoD'!M109*[7]Gen_Cost!$BN$240/10</f>
        <v>18.9438691697745</v>
      </c>
      <c r="M476" s="718">
        <f>'[7]TGSPDCL MoD'!N109*[7]Gen_Cost!$BN$240/10</f>
        <v>20.7666531174857</v>
      </c>
      <c r="N476" s="718">
        <f>'[7]TGSPDCL MoD'!O109*[7]Gen_Cost!$BN$240/10</f>
        <v>22.1402939459966</v>
      </c>
      <c r="O476" s="718">
        <f>'[7]TGSPDCL MoD'!P109*[7]Gen_Cost!$BN$240/10</f>
        <v>22.7255954702193</v>
      </c>
      <c r="P476" s="718">
        <f>'[7]TGSPDCL MoD'!Q109*[7]Gen_Cost!$BN$240/10</f>
        <v>24.3682312703688</v>
      </c>
      <c r="Q476" s="718">
        <f t="shared" si="184"/>
        <v>268.025839564324</v>
      </c>
    </row>
    <row r="477" spans="3:17">
      <c r="C477" s="296"/>
      <c r="D477" s="296" t="s">
        <v>415</v>
      </c>
      <c r="E477" s="384">
        <f>'[7]TGSPDCL MoD'!F110*[7]Gen_Cost!$BN$239/10</f>
        <v>58.1767399275229</v>
      </c>
      <c r="F477" s="384">
        <f>'[7]TGSPDCL MoD'!G110*[7]Gen_Cost!$BN$239/10</f>
        <v>59.9894889349517</v>
      </c>
      <c r="G477" s="384">
        <f>'[7]TGSPDCL MoD'!H110*[7]Gen_Cost!$BN$239/10</f>
        <v>56.1652034248561</v>
      </c>
      <c r="H477" s="384">
        <f>'[7]TGSPDCL MoD'!I110*[7]Gen_Cost!$BN$239/10</f>
        <v>43.9893390760379</v>
      </c>
      <c r="I477" s="384">
        <f>'[7]TGSPDCL MoD'!J110*[7]Gen_Cost!$BN$239/10</f>
        <v>54.1037851942058</v>
      </c>
      <c r="J477" s="384">
        <f>'[7]TGSPDCL MoD'!K110*[7]Gen_Cost!$BN$239/10</f>
        <v>47.6907424616871</v>
      </c>
      <c r="K477" s="384">
        <f>'[7]TGSPDCL MoD'!L110*[7]Gen_Cost!$BN$239/10</f>
        <v>58.4677602989695</v>
      </c>
      <c r="L477" s="384">
        <f>'[7]TGSPDCL MoD'!M110*[7]Gen_Cost!$BN$239/10</f>
        <v>45.08281367835</v>
      </c>
      <c r="M477" s="384">
        <f>'[7]TGSPDCL MoD'!N110*[7]Gen_Cost!$BN$239/10</f>
        <v>49.4206935673046</v>
      </c>
      <c r="N477" s="384">
        <f>'[7]TGSPDCL MoD'!O110*[7]Gen_Cost!$BN$239/10</f>
        <v>52.6896980656855</v>
      </c>
      <c r="O477" s="384">
        <f>'[7]TGSPDCL MoD'!P110*[7]Gen_Cost!$BN$239/10</f>
        <v>54.0826046216646</v>
      </c>
      <c r="P477" s="384">
        <f>'[7]TGSPDCL MoD'!Q110*[7]Gen_Cost!$BN$239/10</f>
        <v>57.9917661058284</v>
      </c>
      <c r="Q477" s="384">
        <f t="shared" si="184"/>
        <v>637.850635357064</v>
      </c>
    </row>
    <row r="478" spans="3:17">
      <c r="C478" s="296"/>
      <c r="D478" s="296" t="s">
        <v>416</v>
      </c>
      <c r="E478" s="296"/>
      <c r="F478" s="296"/>
      <c r="G478" s="296"/>
      <c r="H478" s="296"/>
      <c r="I478" s="296"/>
      <c r="J478" s="296"/>
      <c r="K478" s="296"/>
      <c r="L478" s="296"/>
      <c r="M478" s="296"/>
      <c r="N478" s="296"/>
      <c r="O478" s="296"/>
      <c r="P478" s="296"/>
      <c r="Q478" s="296">
        <f t="shared" si="184"/>
        <v>0</v>
      </c>
    </row>
    <row r="479" spans="3:17">
      <c r="C479" s="296"/>
      <c r="D479" s="296" t="s">
        <v>417</v>
      </c>
      <c r="E479" s="384">
        <f>[7]Gen_Cost!$BN238*'[7]TGSPDCL MoD'!F112/10</f>
        <v>71.1102367292291</v>
      </c>
      <c r="F479" s="384">
        <f>[7]Gen_Cost!$BN238*'[7]TGSPDCL MoD'!G112/10</f>
        <v>73.3259850026719</v>
      </c>
      <c r="G479" s="384">
        <f>[7]Gen_Cost!$BN238*'[7]TGSPDCL MoD'!H112/10</f>
        <v>68.6515077411091</v>
      </c>
      <c r="H479" s="384">
        <f>[7]Gen_Cost!$BN238*'[7]TGSPDCL MoD'!I112/10</f>
        <v>53.7687797418072</v>
      </c>
      <c r="I479" s="384">
        <f>[7]Gen_Cost!$BN238*'[7]TGSPDCL MoD'!J112/10</f>
        <v>66.1318076244969</v>
      </c>
      <c r="J479" s="384">
        <f>[7]Gen_Cost!$BN238*'[7]TGSPDCL MoD'!K112/10</f>
        <v>58.2930564770076</v>
      </c>
      <c r="K479" s="384">
        <f>[7]Gen_Cost!$BN238*'[7]TGSPDCL MoD'!L112/10</f>
        <v>71.4659549687245</v>
      </c>
      <c r="L479" s="384">
        <f>[7]Gen_Cost!$BN238*'[7]TGSPDCL MoD'!M112/10</f>
        <v>55.105348926067</v>
      </c>
      <c r="M479" s="384">
        <f>[7]Gen_Cost!$BN238*'[7]TGSPDCL MoD'!N112/10</f>
        <v>60.4075997257992</v>
      </c>
      <c r="N479" s="384">
        <f>[7]Gen_Cost!$BN238*'[7]TGSPDCL MoD'!O112/10</f>
        <v>64.4033492992262</v>
      </c>
      <c r="O479" s="384">
        <f>[7]Gen_Cost!$BN238*'[7]TGSPDCL MoD'!P112/10</f>
        <v>66.1059183166851</v>
      </c>
      <c r="P479" s="384">
        <f>[7]Gen_Cost!$BN238*'[7]TGSPDCL MoD'!Q112/10</f>
        <v>70.8841406594636</v>
      </c>
      <c r="Q479" s="384">
        <f t="shared" si="184"/>
        <v>779.653685212287</v>
      </c>
    </row>
    <row r="480" spans="3:17">
      <c r="C480" s="296"/>
      <c r="D480" s="296" t="s">
        <v>418</v>
      </c>
      <c r="E480" s="384">
        <f>'[7]TGSPDCL MoD'!F113*[7]Gen_Cost!$BN241/10</f>
        <v>36.3920358751914</v>
      </c>
      <c r="F480" s="384">
        <f>'[7]TGSPDCL MoD'!G113*[7]Gen_Cost!$BN241/10</f>
        <v>37.5259878118804</v>
      </c>
      <c r="G480" s="384">
        <f>'[7]TGSPDCL MoD'!H113*[7]Gen_Cost!$BN241/10</f>
        <v>35.1337338689169</v>
      </c>
      <c r="H480" s="384">
        <f>'[7]TGSPDCL MoD'!I113*[7]Gen_Cost!$BN241/10</f>
        <v>27.5172106201808</v>
      </c>
      <c r="I480" s="384">
        <f>'[7]TGSPDCL MoD'!J113*[7]Gen_Cost!$BN241/10</f>
        <v>33.8442287110641</v>
      </c>
      <c r="J480" s="384">
        <f>'[7]TGSPDCL MoD'!K113*[7]Gen_Cost!$BN241/10</f>
        <v>29.8325965453274</v>
      </c>
      <c r="K480" s="384">
        <f>'[7]TGSPDCL MoD'!L113*[7]Gen_Cost!$BN241/10</f>
        <v>36.5740815486218</v>
      </c>
      <c r="L480" s="384">
        <f>'[7]TGSPDCL MoD'!M113*[7]Gen_Cost!$BN241/10</f>
        <v>28.2012256922789</v>
      </c>
      <c r="M480" s="384">
        <f>'[7]TGSPDCL MoD'!N113*[7]Gen_Cost!$BN241/10</f>
        <v>30.9147548576768</v>
      </c>
      <c r="N480" s="384">
        <f>'[7]TGSPDCL MoD'!O113*[7]Gen_Cost!$BN241/10</f>
        <v>32.9596568086876</v>
      </c>
      <c r="O480" s="384">
        <f>'[7]TGSPDCL MoD'!P113*[7]Gen_Cost!$BN241/10</f>
        <v>33.8309793582001</v>
      </c>
      <c r="P480" s="384">
        <f>'[7]TGSPDCL MoD'!Q113*[7]Gen_Cost!$BN241/10</f>
        <v>36.2763268484661</v>
      </c>
      <c r="Q480" s="384">
        <f t="shared" si="184"/>
        <v>399.002818546492</v>
      </c>
    </row>
    <row r="481" spans="3:17">
      <c r="C481" s="296"/>
      <c r="D481" s="712" t="s">
        <v>419</v>
      </c>
      <c r="E481" s="296"/>
      <c r="F481" s="296"/>
      <c r="G481" s="296"/>
      <c r="H481" s="296"/>
      <c r="I481" s="296"/>
      <c r="J481" s="296"/>
      <c r="K481" s="296"/>
      <c r="L481" s="296"/>
      <c r="M481" s="296"/>
      <c r="N481" s="296"/>
      <c r="O481" s="296"/>
      <c r="P481" s="296"/>
      <c r="Q481" s="296">
        <f t="shared" si="184"/>
        <v>0</v>
      </c>
    </row>
    <row r="482" spans="3:17">
      <c r="C482" s="296"/>
      <c r="D482" s="712" t="s">
        <v>420</v>
      </c>
      <c r="E482" s="296"/>
      <c r="F482" s="296"/>
      <c r="G482" s="296"/>
      <c r="H482" s="296"/>
      <c r="I482" s="296"/>
      <c r="J482" s="296"/>
      <c r="K482" s="296"/>
      <c r="L482" s="296"/>
      <c r="M482" s="296"/>
      <c r="N482" s="296"/>
      <c r="O482" s="296"/>
      <c r="P482" s="296"/>
      <c r="Q482" s="296">
        <f t="shared" si="184"/>
        <v>0</v>
      </c>
    </row>
    <row r="483" spans="3:17">
      <c r="C483" s="296"/>
      <c r="D483" s="296"/>
      <c r="E483" s="296"/>
      <c r="F483" s="296"/>
      <c r="G483" s="296"/>
      <c r="H483" s="296"/>
      <c r="I483" s="296"/>
      <c r="J483" s="296"/>
      <c r="K483" s="296"/>
      <c r="L483" s="296"/>
      <c r="M483" s="296"/>
      <c r="N483" s="296"/>
      <c r="O483" s="296"/>
      <c r="P483" s="296"/>
      <c r="Q483" s="296">
        <f t="shared" si="184"/>
        <v>0</v>
      </c>
    </row>
    <row r="484" spans="3:17">
      <c r="C484" s="296"/>
      <c r="D484" s="296"/>
      <c r="E484" s="296"/>
      <c r="F484" s="296"/>
      <c r="G484" s="296"/>
      <c r="H484" s="296"/>
      <c r="I484" s="296"/>
      <c r="J484" s="296"/>
      <c r="K484" s="296"/>
      <c r="L484" s="296"/>
      <c r="M484" s="296"/>
      <c r="N484" s="296"/>
      <c r="O484" s="296"/>
      <c r="P484" s="296"/>
      <c r="Q484" s="296">
        <f t="shared" si="184"/>
        <v>0</v>
      </c>
    </row>
    <row r="485" spans="3:17">
      <c r="C485" s="296"/>
      <c r="D485" s="296"/>
      <c r="E485" s="296"/>
      <c r="F485" s="296"/>
      <c r="G485" s="296"/>
      <c r="H485" s="296"/>
      <c r="I485" s="296"/>
      <c r="J485" s="296"/>
      <c r="K485" s="296"/>
      <c r="L485" s="296"/>
      <c r="M485" s="296"/>
      <c r="N485" s="296"/>
      <c r="O485" s="296"/>
      <c r="P485" s="296"/>
      <c r="Q485" s="296">
        <f t="shared" si="184"/>
        <v>0</v>
      </c>
    </row>
    <row r="486" spans="3:17">
      <c r="C486" s="296"/>
      <c r="D486" s="296"/>
      <c r="E486" s="296"/>
      <c r="F486" s="296"/>
      <c r="G486" s="296"/>
      <c r="H486" s="296"/>
      <c r="I486" s="296"/>
      <c r="J486" s="296"/>
      <c r="K486" s="296"/>
      <c r="L486" s="296"/>
      <c r="M486" s="296"/>
      <c r="N486" s="296"/>
      <c r="O486" s="296"/>
      <c r="P486" s="296"/>
      <c r="Q486" s="296">
        <f t="shared" si="184"/>
        <v>0</v>
      </c>
    </row>
    <row r="487" spans="3:17">
      <c r="C487" s="296"/>
      <c r="D487" s="296"/>
      <c r="E487" s="296"/>
      <c r="F487" s="296"/>
      <c r="G487" s="296"/>
      <c r="H487" s="296"/>
      <c r="I487" s="296"/>
      <c r="J487" s="296"/>
      <c r="K487" s="296"/>
      <c r="L487" s="296"/>
      <c r="M487" s="296"/>
      <c r="N487" s="296"/>
      <c r="O487" s="296"/>
      <c r="P487" s="296"/>
      <c r="Q487" s="296">
        <f t="shared" si="184"/>
        <v>0</v>
      </c>
    </row>
    <row r="488" spans="3:17">
      <c r="C488" s="296"/>
      <c r="D488" s="296"/>
      <c r="E488" s="296"/>
      <c r="F488" s="296"/>
      <c r="G488" s="296"/>
      <c r="H488" s="296"/>
      <c r="I488" s="296"/>
      <c r="J488" s="296"/>
      <c r="K488" s="296"/>
      <c r="L488" s="296"/>
      <c r="M488" s="296"/>
      <c r="N488" s="296"/>
      <c r="O488" s="296"/>
      <c r="P488" s="296"/>
      <c r="Q488" s="296">
        <f t="shared" si="184"/>
        <v>0</v>
      </c>
    </row>
    <row r="489" spans="3:17">
      <c r="C489" s="296"/>
      <c r="D489" s="296"/>
      <c r="E489" s="296"/>
      <c r="F489" s="296"/>
      <c r="G489" s="296"/>
      <c r="H489" s="296"/>
      <c r="I489" s="296"/>
      <c r="J489" s="296"/>
      <c r="K489" s="296"/>
      <c r="L489" s="296"/>
      <c r="M489" s="296"/>
      <c r="N489" s="296"/>
      <c r="O489" s="296"/>
      <c r="P489" s="296"/>
      <c r="Q489" s="296">
        <f t="shared" si="184"/>
        <v>0</v>
      </c>
    </row>
    <row r="490" spans="3:17">
      <c r="C490" s="296"/>
      <c r="D490" s="296"/>
      <c r="E490" s="296"/>
      <c r="F490" s="296"/>
      <c r="G490" s="296"/>
      <c r="H490" s="296"/>
      <c r="I490" s="296"/>
      <c r="J490" s="296"/>
      <c r="K490" s="296"/>
      <c r="L490" s="296"/>
      <c r="M490" s="296"/>
      <c r="N490" s="296"/>
      <c r="O490" s="296"/>
      <c r="P490" s="296"/>
      <c r="Q490" s="296">
        <f t="shared" si="184"/>
        <v>0</v>
      </c>
    </row>
    <row r="491" ht="15" spans="3:17">
      <c r="C491" s="285" t="s">
        <v>421</v>
      </c>
      <c r="D491" s="286"/>
      <c r="E491" s="296">
        <f t="shared" ref="E491:P491" si="185">SUM(E467:E490)</f>
        <v>484.573858585914</v>
      </c>
      <c r="F491" s="296">
        <f t="shared" si="185"/>
        <v>495.317785692001</v>
      </c>
      <c r="G491" s="296">
        <f t="shared" si="185"/>
        <v>472.772015777362</v>
      </c>
      <c r="H491" s="296">
        <f t="shared" si="185"/>
        <v>384.384166101376</v>
      </c>
      <c r="I491" s="296">
        <f t="shared" si="185"/>
        <v>455.119891901964</v>
      </c>
      <c r="J491" s="296">
        <f t="shared" si="185"/>
        <v>398.039070904789</v>
      </c>
      <c r="K491" s="296">
        <f t="shared" si="185"/>
        <v>483.148966712896</v>
      </c>
      <c r="L491" s="296">
        <f t="shared" si="185"/>
        <v>377.303586862996</v>
      </c>
      <c r="M491" s="296">
        <f t="shared" si="185"/>
        <v>417.774762869356</v>
      </c>
      <c r="N491" s="296">
        <f t="shared" si="185"/>
        <v>443.954171857527</v>
      </c>
      <c r="O491" s="296">
        <f t="shared" si="185"/>
        <v>453.057531347254</v>
      </c>
      <c r="P491" s="296">
        <f t="shared" si="185"/>
        <v>486.304419971517</v>
      </c>
      <c r="Q491" s="722">
        <f t="shared" si="184"/>
        <v>5351.75022858495</v>
      </c>
    </row>
    <row r="492" ht="15" spans="3:17">
      <c r="C492" s="708" t="s">
        <v>422</v>
      </c>
      <c r="D492" s="709"/>
      <c r="E492" s="296"/>
      <c r="F492" s="296"/>
      <c r="G492" s="296"/>
      <c r="H492" s="296"/>
      <c r="I492" s="296"/>
      <c r="J492" s="296"/>
      <c r="K492" s="296"/>
      <c r="L492" s="296"/>
      <c r="M492" s="296"/>
      <c r="N492" s="296"/>
      <c r="O492" s="296"/>
      <c r="P492" s="296"/>
      <c r="Q492" s="296"/>
    </row>
    <row r="493" spans="3:17">
      <c r="C493" s="296"/>
      <c r="D493" s="296" t="s">
        <v>451</v>
      </c>
      <c r="E493" s="384">
        <f>'[7]ST,D-D'!D17</f>
        <v>0</v>
      </c>
      <c r="F493" s="384">
        <f>'[7]ST,D-D'!E17</f>
        <v>0</v>
      </c>
      <c r="G493" s="384">
        <f>'[7]ST,D-D'!F17</f>
        <v>0</v>
      </c>
      <c r="H493" s="384">
        <f>'[7]ST,D-D'!G17</f>
        <v>0</v>
      </c>
      <c r="I493" s="384">
        <f>'[7]ST,D-D'!H17</f>
        <v>1.89631056193818</v>
      </c>
      <c r="J493" s="384">
        <f>'[7]ST,D-D'!I17</f>
        <v>0</v>
      </c>
      <c r="K493" s="384">
        <f>'[7]ST,D-D'!J17</f>
        <v>41.1733912706136</v>
      </c>
      <c r="L493" s="384">
        <f>'[7]ST,D-D'!K17</f>
        <v>114.254731948116</v>
      </c>
      <c r="M493" s="384">
        <f>'[7]ST,D-D'!L17</f>
        <v>0</v>
      </c>
      <c r="N493" s="384">
        <f>'[7]ST,D-D'!M17</f>
        <v>0</v>
      </c>
      <c r="O493" s="384">
        <f>'[7]ST,D-D'!N17</f>
        <v>9.13899789588893</v>
      </c>
      <c r="P493" s="384">
        <f>'[7]ST,D-D'!O17</f>
        <v>181.315535147461</v>
      </c>
      <c r="Q493" s="384">
        <f>SUM(E493:P493)</f>
        <v>347.778966824018</v>
      </c>
    </row>
    <row r="494" spans="3:17">
      <c r="C494" s="296"/>
      <c r="D494" s="296" t="s">
        <v>423</v>
      </c>
      <c r="E494" s="384">
        <v>0</v>
      </c>
      <c r="F494" s="384">
        <v>0</v>
      </c>
      <c r="G494" s="384">
        <v>0</v>
      </c>
      <c r="H494" s="384">
        <v>0</v>
      </c>
      <c r="I494" s="384">
        <v>0</v>
      </c>
      <c r="J494" s="384">
        <v>0</v>
      </c>
      <c r="K494" s="384">
        <v>0</v>
      </c>
      <c r="L494" s="384">
        <v>0</v>
      </c>
      <c r="M494" s="384">
        <v>0</v>
      </c>
      <c r="N494" s="384">
        <v>0</v>
      </c>
      <c r="O494" s="384">
        <v>0</v>
      </c>
      <c r="P494" s="384">
        <v>0</v>
      </c>
      <c r="Q494" s="384">
        <f>SUM(E494:P494)</f>
        <v>0</v>
      </c>
    </row>
    <row r="495" spans="3:17">
      <c r="C495" s="296"/>
      <c r="D495" s="296" t="s">
        <v>520</v>
      </c>
      <c r="E495" s="384">
        <f>'[7]PP summary'!$G$63/12</f>
        <v>-230.631747849091</v>
      </c>
      <c r="F495" s="384">
        <f>'[7]PP summary'!$G$63/12</f>
        <v>-230.631747849091</v>
      </c>
      <c r="G495" s="384">
        <f>'[7]PP summary'!$G$63/12</f>
        <v>-230.631747849091</v>
      </c>
      <c r="H495" s="384">
        <f>'[7]PP summary'!$G$63/12</f>
        <v>-230.631747849091</v>
      </c>
      <c r="I495" s="384">
        <f>'[7]PP summary'!$G$63/12</f>
        <v>-230.631747849091</v>
      </c>
      <c r="J495" s="384">
        <f>'[7]PP summary'!$G$63/12</f>
        <v>-230.631747849091</v>
      </c>
      <c r="K495" s="384">
        <f>'[7]PP summary'!$G$63/12</f>
        <v>-230.631747849091</v>
      </c>
      <c r="L495" s="384">
        <f>'[7]PP summary'!$G$63/12</f>
        <v>-230.631747849091</v>
      </c>
      <c r="M495" s="384">
        <f>'[7]PP summary'!$G$63/12</f>
        <v>-230.631747849091</v>
      </c>
      <c r="N495" s="384">
        <f>'[7]PP summary'!$G$63/12</f>
        <v>-230.631747849091</v>
      </c>
      <c r="O495" s="384">
        <f>'[7]PP summary'!$G$63/12</f>
        <v>-230.631747849091</v>
      </c>
      <c r="P495" s="384">
        <f>'[7]PP summary'!$G$63/12</f>
        <v>-230.631747849091</v>
      </c>
      <c r="Q495" s="384">
        <f>SUM(E495:P495)</f>
        <v>-2767.58097418909</v>
      </c>
    </row>
    <row r="496" spans="3:17">
      <c r="C496" s="296"/>
      <c r="D496" s="296"/>
      <c r="E496" s="296"/>
      <c r="F496" s="296"/>
      <c r="G496" s="296"/>
      <c r="H496" s="296"/>
      <c r="I496" s="296"/>
      <c r="J496" s="296"/>
      <c r="K496" s="296"/>
      <c r="L496" s="296"/>
      <c r="M496" s="296"/>
      <c r="N496" s="296"/>
      <c r="O496" s="296"/>
      <c r="P496" s="296"/>
      <c r="Q496" s="296">
        <f>SUM(E496:P496)</f>
        <v>0</v>
      </c>
    </row>
    <row r="497" spans="3:17">
      <c r="C497" s="296"/>
      <c r="D497" s="296"/>
      <c r="E497" s="296"/>
      <c r="F497" s="296"/>
      <c r="G497" s="296"/>
      <c r="H497" s="296"/>
      <c r="I497" s="296"/>
      <c r="J497" s="296"/>
      <c r="K497" s="296"/>
      <c r="L497" s="296"/>
      <c r="M497" s="296"/>
      <c r="N497" s="296"/>
      <c r="O497" s="296"/>
      <c r="P497" s="296"/>
      <c r="Q497" s="296">
        <v>0</v>
      </c>
    </row>
    <row r="498" spans="3:17">
      <c r="C498" s="296"/>
      <c r="D498" s="712" t="s">
        <v>534</v>
      </c>
      <c r="E498" s="296">
        <v>0</v>
      </c>
      <c r="F498" s="296">
        <v>0</v>
      </c>
      <c r="G498" s="296">
        <v>0</v>
      </c>
      <c r="H498" s="296">
        <v>0</v>
      </c>
      <c r="I498" s="296">
        <v>0</v>
      </c>
      <c r="J498" s="296">
        <v>0</v>
      </c>
      <c r="K498" s="296">
        <v>0</v>
      </c>
      <c r="L498" s="296">
        <v>0</v>
      </c>
      <c r="M498" s="296">
        <v>0</v>
      </c>
      <c r="N498" s="296">
        <v>0</v>
      </c>
      <c r="O498" s="296">
        <v>0</v>
      </c>
      <c r="P498" s="296">
        <v>0</v>
      </c>
      <c r="Q498" s="296">
        <v>0</v>
      </c>
    </row>
    <row r="499" spans="3:17">
      <c r="C499" s="296"/>
      <c r="D499" s="712" t="s">
        <v>535</v>
      </c>
      <c r="E499" s="296">
        <v>0</v>
      </c>
      <c r="F499" s="296">
        <v>0</v>
      </c>
      <c r="G499" s="296">
        <v>0</v>
      </c>
      <c r="H499" s="296">
        <v>0</v>
      </c>
      <c r="I499" s="296">
        <v>0</v>
      </c>
      <c r="J499" s="296">
        <v>0</v>
      </c>
      <c r="K499" s="296">
        <v>0</v>
      </c>
      <c r="L499" s="296">
        <v>0</v>
      </c>
      <c r="M499" s="296">
        <v>0</v>
      </c>
      <c r="N499" s="296">
        <v>0</v>
      </c>
      <c r="O499" s="296">
        <v>0</v>
      </c>
      <c r="P499" s="296">
        <v>0</v>
      </c>
      <c r="Q499" s="296">
        <v>0</v>
      </c>
    </row>
    <row r="500" spans="3:17">
      <c r="C500" s="296"/>
      <c r="D500" s="712" t="s">
        <v>502</v>
      </c>
      <c r="E500" s="296">
        <v>0</v>
      </c>
      <c r="F500" s="296">
        <v>0</v>
      </c>
      <c r="G500" s="296">
        <v>0</v>
      </c>
      <c r="H500" s="296">
        <v>0</v>
      </c>
      <c r="I500" s="296">
        <v>0</v>
      </c>
      <c r="J500" s="296">
        <v>0</v>
      </c>
      <c r="K500" s="296">
        <v>0</v>
      </c>
      <c r="L500" s="296">
        <v>0</v>
      </c>
      <c r="M500" s="296">
        <v>0</v>
      </c>
      <c r="N500" s="296">
        <v>0</v>
      </c>
      <c r="O500" s="296">
        <v>0</v>
      </c>
      <c r="P500" s="296">
        <v>0</v>
      </c>
      <c r="Q500" s="296">
        <v>0</v>
      </c>
    </row>
    <row r="501" spans="3:17">
      <c r="C501" s="296"/>
      <c r="D501" s="712" t="s">
        <v>503</v>
      </c>
      <c r="E501" s="296">
        <v>0</v>
      </c>
      <c r="F501" s="296">
        <v>0</v>
      </c>
      <c r="G501" s="296">
        <v>0</v>
      </c>
      <c r="H501" s="296">
        <v>0</v>
      </c>
      <c r="I501" s="296">
        <v>0</v>
      </c>
      <c r="J501" s="296">
        <v>0</v>
      </c>
      <c r="K501" s="296">
        <v>0</v>
      </c>
      <c r="L501" s="296">
        <v>0</v>
      </c>
      <c r="M501" s="296">
        <v>0</v>
      </c>
      <c r="N501" s="296">
        <v>0</v>
      </c>
      <c r="O501" s="296">
        <v>0</v>
      </c>
      <c r="P501" s="296">
        <v>0</v>
      </c>
      <c r="Q501" s="296">
        <v>0</v>
      </c>
    </row>
    <row r="502" spans="3:17">
      <c r="C502" s="296"/>
      <c r="D502" s="717" t="s">
        <v>504</v>
      </c>
      <c r="E502" s="296">
        <v>0</v>
      </c>
      <c r="F502" s="296">
        <v>0</v>
      </c>
      <c r="G502" s="296">
        <v>0</v>
      </c>
      <c r="H502" s="296">
        <v>0</v>
      </c>
      <c r="I502" s="296">
        <v>0</v>
      </c>
      <c r="J502" s="296">
        <v>0</v>
      </c>
      <c r="K502" s="296">
        <v>0</v>
      </c>
      <c r="L502" s="296">
        <v>0</v>
      </c>
      <c r="M502" s="296">
        <v>0</v>
      </c>
      <c r="N502" s="296">
        <v>0</v>
      </c>
      <c r="O502" s="296">
        <v>0</v>
      </c>
      <c r="P502" s="296">
        <v>0</v>
      </c>
      <c r="Q502" s="296">
        <v>0</v>
      </c>
    </row>
    <row r="503" spans="3:17">
      <c r="C503" s="296"/>
      <c r="D503" s="712" t="s">
        <v>505</v>
      </c>
      <c r="E503" s="296">
        <v>0</v>
      </c>
      <c r="F503" s="296">
        <v>0</v>
      </c>
      <c r="G503" s="296">
        <v>0</v>
      </c>
      <c r="H503" s="296">
        <v>0</v>
      </c>
      <c r="I503" s="296">
        <v>0</v>
      </c>
      <c r="J503" s="296">
        <v>0</v>
      </c>
      <c r="K503" s="296">
        <v>0</v>
      </c>
      <c r="L503" s="296">
        <v>0</v>
      </c>
      <c r="M503" s="296">
        <v>0</v>
      </c>
      <c r="N503" s="296">
        <v>0</v>
      </c>
      <c r="O503" s="296">
        <v>0</v>
      </c>
      <c r="P503" s="296">
        <v>0</v>
      </c>
      <c r="Q503" s="296">
        <v>0</v>
      </c>
    </row>
    <row r="504" spans="3:17">
      <c r="C504" s="296"/>
      <c r="D504" s="712" t="s">
        <v>506</v>
      </c>
      <c r="E504" s="296">
        <v>0</v>
      </c>
      <c r="F504" s="296">
        <v>0</v>
      </c>
      <c r="G504" s="296">
        <v>0</v>
      </c>
      <c r="H504" s="296">
        <v>0</v>
      </c>
      <c r="I504" s="296">
        <v>0</v>
      </c>
      <c r="J504" s="296">
        <v>0</v>
      </c>
      <c r="K504" s="296">
        <v>0</v>
      </c>
      <c r="L504" s="296">
        <v>0</v>
      </c>
      <c r="M504" s="296">
        <v>0</v>
      </c>
      <c r="N504" s="296">
        <v>0</v>
      </c>
      <c r="O504" s="296">
        <v>0</v>
      </c>
      <c r="P504" s="296">
        <v>0</v>
      </c>
      <c r="Q504" s="296">
        <v>0</v>
      </c>
    </row>
    <row r="505" spans="3:17">
      <c r="C505" s="296"/>
      <c r="D505" s="712" t="s">
        <v>507</v>
      </c>
      <c r="E505" s="296">
        <v>0</v>
      </c>
      <c r="F505" s="296">
        <v>0</v>
      </c>
      <c r="G505" s="296">
        <v>0</v>
      </c>
      <c r="H505" s="296">
        <v>0</v>
      </c>
      <c r="I505" s="296">
        <v>0</v>
      </c>
      <c r="J505" s="296">
        <v>0</v>
      </c>
      <c r="K505" s="296">
        <v>0</v>
      </c>
      <c r="L505" s="296">
        <v>0</v>
      </c>
      <c r="M505" s="296">
        <v>0</v>
      </c>
      <c r="N505" s="296">
        <v>0</v>
      </c>
      <c r="O505" s="296">
        <v>0</v>
      </c>
      <c r="P505" s="296">
        <v>0</v>
      </c>
      <c r="Q505" s="296">
        <v>0</v>
      </c>
    </row>
    <row r="506" spans="3:17">
      <c r="C506" s="296"/>
      <c r="D506" s="712" t="s">
        <v>508</v>
      </c>
      <c r="E506" s="296">
        <v>0</v>
      </c>
      <c r="F506" s="296">
        <v>0</v>
      </c>
      <c r="G506" s="296">
        <v>0</v>
      </c>
      <c r="H506" s="296">
        <v>0</v>
      </c>
      <c r="I506" s="296">
        <v>0</v>
      </c>
      <c r="J506" s="296">
        <v>0</v>
      </c>
      <c r="K506" s="296">
        <v>0</v>
      </c>
      <c r="L506" s="296">
        <v>0</v>
      </c>
      <c r="M506" s="296">
        <v>0</v>
      </c>
      <c r="N506" s="296">
        <v>0</v>
      </c>
      <c r="O506" s="296">
        <v>0</v>
      </c>
      <c r="P506" s="296">
        <v>0</v>
      </c>
      <c r="Q506" s="296">
        <v>0</v>
      </c>
    </row>
    <row r="507" spans="3:17">
      <c r="C507" s="296"/>
      <c r="D507" s="712" t="s">
        <v>509</v>
      </c>
      <c r="E507" s="296">
        <v>0</v>
      </c>
      <c r="F507" s="296">
        <v>0</v>
      </c>
      <c r="G507" s="296">
        <v>0</v>
      </c>
      <c r="H507" s="296">
        <v>0</v>
      </c>
      <c r="I507" s="296">
        <v>0</v>
      </c>
      <c r="J507" s="296">
        <v>0</v>
      </c>
      <c r="K507" s="296">
        <v>0</v>
      </c>
      <c r="L507" s="296">
        <v>0</v>
      </c>
      <c r="M507" s="296">
        <v>0</v>
      </c>
      <c r="N507" s="296">
        <v>0</v>
      </c>
      <c r="O507" s="296">
        <v>0</v>
      </c>
      <c r="P507" s="296">
        <v>0</v>
      </c>
      <c r="Q507" s="296">
        <v>0</v>
      </c>
    </row>
    <row r="508" spans="3:17">
      <c r="C508" s="296"/>
      <c r="D508" s="712" t="s">
        <v>510</v>
      </c>
      <c r="E508" s="296">
        <v>0</v>
      </c>
      <c r="F508" s="296">
        <v>0</v>
      </c>
      <c r="G508" s="296">
        <v>0</v>
      </c>
      <c r="H508" s="296">
        <v>0</v>
      </c>
      <c r="I508" s="296">
        <v>0</v>
      </c>
      <c r="J508" s="296">
        <v>0</v>
      </c>
      <c r="K508" s="296">
        <v>0</v>
      </c>
      <c r="L508" s="296">
        <v>0</v>
      </c>
      <c r="M508" s="296">
        <v>0</v>
      </c>
      <c r="N508" s="296">
        <v>0</v>
      </c>
      <c r="O508" s="296">
        <v>0</v>
      </c>
      <c r="P508" s="296">
        <v>0</v>
      </c>
      <c r="Q508" s="296">
        <v>0</v>
      </c>
    </row>
    <row r="509" spans="3:17">
      <c r="C509" s="296"/>
      <c r="D509" s="712" t="s">
        <v>511</v>
      </c>
      <c r="E509" s="296">
        <v>0</v>
      </c>
      <c r="F509" s="296">
        <v>0</v>
      </c>
      <c r="G509" s="296">
        <v>0</v>
      </c>
      <c r="H509" s="296">
        <v>0</v>
      </c>
      <c r="I509" s="296">
        <v>0</v>
      </c>
      <c r="J509" s="296">
        <v>0</v>
      </c>
      <c r="K509" s="296">
        <v>0</v>
      </c>
      <c r="L509" s="296">
        <v>0</v>
      </c>
      <c r="M509" s="296">
        <v>0</v>
      </c>
      <c r="N509" s="296">
        <v>0</v>
      </c>
      <c r="O509" s="296">
        <v>0</v>
      </c>
      <c r="P509" s="296">
        <v>0</v>
      </c>
      <c r="Q509" s="296">
        <v>0</v>
      </c>
    </row>
    <row r="510" spans="3:17">
      <c r="C510" s="296"/>
      <c r="D510" s="712" t="s">
        <v>512</v>
      </c>
      <c r="E510" s="296">
        <v>0</v>
      </c>
      <c r="F510" s="296">
        <v>0</v>
      </c>
      <c r="G510" s="296">
        <v>0</v>
      </c>
      <c r="H510" s="296">
        <v>0</v>
      </c>
      <c r="I510" s="296">
        <v>0</v>
      </c>
      <c r="J510" s="296">
        <v>0</v>
      </c>
      <c r="K510" s="296">
        <v>0</v>
      </c>
      <c r="L510" s="296">
        <v>0</v>
      </c>
      <c r="M510" s="296">
        <v>0</v>
      </c>
      <c r="N510" s="296">
        <v>0</v>
      </c>
      <c r="O510" s="296">
        <v>0</v>
      </c>
      <c r="P510" s="296">
        <v>0</v>
      </c>
      <c r="Q510" s="296">
        <v>0</v>
      </c>
    </row>
    <row r="511" spans="3:17">
      <c r="C511" s="296"/>
      <c r="D511" s="296"/>
      <c r="E511" s="296"/>
      <c r="F511" s="296"/>
      <c r="G511" s="296"/>
      <c r="H511" s="296"/>
      <c r="I511" s="296"/>
      <c r="J511" s="296"/>
      <c r="K511" s="296"/>
      <c r="L511" s="296"/>
      <c r="M511" s="296"/>
      <c r="N511" s="296"/>
      <c r="O511" s="296"/>
      <c r="P511" s="296"/>
      <c r="Q511" s="296">
        <v>0</v>
      </c>
    </row>
    <row r="512" spans="3:17">
      <c r="C512" s="296"/>
      <c r="D512" s="296"/>
      <c r="E512" s="296"/>
      <c r="F512" s="296"/>
      <c r="G512" s="296"/>
      <c r="H512" s="296"/>
      <c r="I512" s="296"/>
      <c r="J512" s="296"/>
      <c r="K512" s="296"/>
      <c r="L512" s="296"/>
      <c r="M512" s="296"/>
      <c r="N512" s="296"/>
      <c r="O512" s="296"/>
      <c r="P512" s="296"/>
      <c r="Q512" s="296">
        <v>0</v>
      </c>
    </row>
    <row r="513" spans="3:17">
      <c r="C513" s="296"/>
      <c r="D513" s="296"/>
      <c r="E513" s="296"/>
      <c r="F513" s="296"/>
      <c r="G513" s="296"/>
      <c r="H513" s="296"/>
      <c r="I513" s="296"/>
      <c r="J513" s="296"/>
      <c r="K513" s="296"/>
      <c r="L513" s="296"/>
      <c r="M513" s="296"/>
      <c r="N513" s="296"/>
      <c r="O513" s="296"/>
      <c r="P513" s="296"/>
      <c r="Q513" s="296">
        <v>0</v>
      </c>
    </row>
    <row r="514" spans="3:17">
      <c r="C514" s="296"/>
      <c r="D514" s="296"/>
      <c r="E514" s="296"/>
      <c r="F514" s="296"/>
      <c r="G514" s="296"/>
      <c r="H514" s="296"/>
      <c r="I514" s="296"/>
      <c r="J514" s="296"/>
      <c r="K514" s="296"/>
      <c r="L514" s="296"/>
      <c r="M514" s="296"/>
      <c r="N514" s="296"/>
      <c r="O514" s="296"/>
      <c r="P514" s="296"/>
      <c r="Q514" s="296">
        <f t="shared" ref="Q514:Q522" si="186">SUM(E514:P514)</f>
        <v>0</v>
      </c>
    </row>
    <row r="515" spans="3:17">
      <c r="C515" s="296"/>
      <c r="D515" s="296"/>
      <c r="E515" s="296"/>
      <c r="F515" s="296"/>
      <c r="G515" s="296"/>
      <c r="H515" s="296"/>
      <c r="I515" s="296"/>
      <c r="J515" s="296"/>
      <c r="K515" s="296"/>
      <c r="L515" s="296"/>
      <c r="M515" s="296"/>
      <c r="N515" s="296"/>
      <c r="O515" s="296"/>
      <c r="P515" s="296"/>
      <c r="Q515" s="296">
        <f t="shared" si="186"/>
        <v>0</v>
      </c>
    </row>
    <row r="516" spans="3:17">
      <c r="C516" s="296"/>
      <c r="D516" s="296"/>
      <c r="E516" s="296"/>
      <c r="F516" s="296"/>
      <c r="G516" s="296"/>
      <c r="H516" s="296"/>
      <c r="I516" s="296"/>
      <c r="J516" s="296"/>
      <c r="K516" s="296"/>
      <c r="L516" s="296"/>
      <c r="M516" s="296"/>
      <c r="N516" s="296"/>
      <c r="O516" s="296"/>
      <c r="P516" s="296"/>
      <c r="Q516" s="296">
        <f t="shared" si="186"/>
        <v>0</v>
      </c>
    </row>
    <row r="517" spans="3:17">
      <c r="C517" s="296"/>
      <c r="D517" s="296"/>
      <c r="E517" s="296"/>
      <c r="F517" s="296"/>
      <c r="G517" s="296"/>
      <c r="H517" s="296"/>
      <c r="I517" s="296"/>
      <c r="J517" s="296"/>
      <c r="K517" s="296"/>
      <c r="L517" s="296"/>
      <c r="M517" s="296"/>
      <c r="N517" s="296"/>
      <c r="O517" s="296"/>
      <c r="P517" s="296"/>
      <c r="Q517" s="296">
        <f t="shared" si="186"/>
        <v>0</v>
      </c>
    </row>
    <row r="518" spans="3:17">
      <c r="C518" s="296"/>
      <c r="D518" s="296"/>
      <c r="E518" s="296"/>
      <c r="F518" s="296"/>
      <c r="G518" s="296"/>
      <c r="H518" s="296"/>
      <c r="I518" s="296"/>
      <c r="J518" s="296"/>
      <c r="K518" s="296"/>
      <c r="L518" s="296"/>
      <c r="M518" s="296"/>
      <c r="N518" s="296"/>
      <c r="O518" s="296"/>
      <c r="P518" s="296"/>
      <c r="Q518" s="296">
        <f t="shared" si="186"/>
        <v>0</v>
      </c>
    </row>
    <row r="519" spans="3:17">
      <c r="C519" s="296"/>
      <c r="D519" s="296"/>
      <c r="E519" s="296"/>
      <c r="F519" s="296"/>
      <c r="G519" s="296"/>
      <c r="H519" s="296"/>
      <c r="I519" s="296"/>
      <c r="J519" s="296"/>
      <c r="K519" s="296"/>
      <c r="L519" s="296"/>
      <c r="M519" s="296"/>
      <c r="N519" s="296"/>
      <c r="O519" s="296"/>
      <c r="P519" s="296"/>
      <c r="Q519" s="296">
        <f t="shared" si="186"/>
        <v>0</v>
      </c>
    </row>
    <row r="520" spans="3:17">
      <c r="C520" s="296"/>
      <c r="D520" s="296"/>
      <c r="E520" s="296"/>
      <c r="F520" s="296"/>
      <c r="G520" s="296"/>
      <c r="H520" s="296"/>
      <c r="I520" s="296"/>
      <c r="J520" s="296"/>
      <c r="K520" s="296"/>
      <c r="L520" s="296"/>
      <c r="M520" s="296"/>
      <c r="N520" s="296"/>
      <c r="O520" s="296"/>
      <c r="P520" s="296"/>
      <c r="Q520" s="296">
        <f t="shared" si="186"/>
        <v>0</v>
      </c>
    </row>
    <row r="521" spans="3:17">
      <c r="C521" s="296"/>
      <c r="D521" s="296"/>
      <c r="E521" s="296"/>
      <c r="F521" s="296"/>
      <c r="G521" s="296"/>
      <c r="H521" s="296"/>
      <c r="I521" s="296"/>
      <c r="J521" s="296"/>
      <c r="K521" s="296"/>
      <c r="L521" s="296"/>
      <c r="M521" s="296"/>
      <c r="N521" s="296"/>
      <c r="O521" s="296"/>
      <c r="P521" s="296"/>
      <c r="Q521" s="296">
        <f t="shared" si="186"/>
        <v>0</v>
      </c>
    </row>
    <row r="522" ht="15" spans="3:17">
      <c r="C522" s="285" t="s">
        <v>424</v>
      </c>
      <c r="D522" s="286"/>
      <c r="E522" s="296">
        <f t="shared" ref="E522:P522" si="187">SUM(E493:E521)</f>
        <v>-230.631747849091</v>
      </c>
      <c r="F522" s="296">
        <f t="shared" si="187"/>
        <v>-230.631747849091</v>
      </c>
      <c r="G522" s="296">
        <f t="shared" si="187"/>
        <v>-230.631747849091</v>
      </c>
      <c r="H522" s="296">
        <f t="shared" si="187"/>
        <v>-230.631747849091</v>
      </c>
      <c r="I522" s="296">
        <f t="shared" si="187"/>
        <v>-228.735437287153</v>
      </c>
      <c r="J522" s="296">
        <f t="shared" si="187"/>
        <v>-230.631747849091</v>
      </c>
      <c r="K522" s="296">
        <f t="shared" si="187"/>
        <v>-189.458356578477</v>
      </c>
      <c r="L522" s="296">
        <f t="shared" si="187"/>
        <v>-116.377015900975</v>
      </c>
      <c r="M522" s="296">
        <f t="shared" si="187"/>
        <v>-230.631747849091</v>
      </c>
      <c r="N522" s="296">
        <f t="shared" si="187"/>
        <v>-230.631747849091</v>
      </c>
      <c r="O522" s="296">
        <f t="shared" si="187"/>
        <v>-221.492749953202</v>
      </c>
      <c r="P522" s="296">
        <f t="shared" si="187"/>
        <v>-49.3162127016298</v>
      </c>
      <c r="Q522" s="722">
        <f t="shared" si="186"/>
        <v>-2419.80200736507</v>
      </c>
    </row>
    <row r="523" ht="15" spans="3:17">
      <c r="C523" s="708" t="s">
        <v>425</v>
      </c>
      <c r="D523" s="709"/>
      <c r="E523" s="296"/>
      <c r="F523" s="296"/>
      <c r="G523" s="296"/>
      <c r="H523" s="296"/>
      <c r="I523" s="296"/>
      <c r="J523" s="296"/>
      <c r="K523" s="296"/>
      <c r="L523" s="296"/>
      <c r="M523" s="296"/>
      <c r="N523" s="296"/>
      <c r="O523" s="296"/>
      <c r="P523" s="296"/>
      <c r="Q523" s="296"/>
    </row>
    <row r="524" spans="3:17">
      <c r="C524" s="296" t="s">
        <v>426</v>
      </c>
      <c r="D524" s="296" t="s">
        <v>427</v>
      </c>
      <c r="E524" s="384">
        <f>'[7]ST,D-D'!D21</f>
        <v>141.656983194721</v>
      </c>
      <c r="F524" s="384">
        <f>'[7]ST,D-D'!E21</f>
        <v>111.139073051789</v>
      </c>
      <c r="G524" s="384">
        <f>'[7]ST,D-D'!F21</f>
        <v>44.895720919969</v>
      </c>
      <c r="H524" s="384">
        <f>'[7]ST,D-D'!G21</f>
        <v>99.6700715879036</v>
      </c>
      <c r="I524" s="384">
        <f>'[7]ST,D-D'!H21</f>
        <v>0</v>
      </c>
      <c r="J524" s="384">
        <f>'[7]ST,D-D'!I21</f>
        <v>75.9134361287803</v>
      </c>
      <c r="K524" s="384">
        <f>'[7]ST,D-D'!J21</f>
        <v>37.0331772853707</v>
      </c>
      <c r="L524" s="384">
        <f>'[7]ST,D-D'!K21</f>
        <v>92.2226929025454</v>
      </c>
      <c r="M524" s="384">
        <f>'[7]ST,D-D'!L21</f>
        <v>74.2883544123709</v>
      </c>
      <c r="N524" s="384">
        <f>'[7]ST,D-D'!M21</f>
        <v>-21.2666841289011</v>
      </c>
      <c r="O524" s="384">
        <f>'[7]ST,D-D'!N21</f>
        <v>0</v>
      </c>
      <c r="P524" s="384">
        <f>'[7]ST,D-D'!O21</f>
        <v>0</v>
      </c>
      <c r="Q524" s="384">
        <f>SUM(E524:P524)</f>
        <v>655.552825354549</v>
      </c>
    </row>
    <row r="525" spans="3:17">
      <c r="C525" s="296" t="s">
        <v>426</v>
      </c>
      <c r="D525" s="296" t="s">
        <v>428</v>
      </c>
      <c r="E525" s="384">
        <f>IF('[7]ST,D-D'!D19&lt;0,'[7]ST,D-D'!D19,0)</f>
        <v>0</v>
      </c>
      <c r="F525" s="384">
        <f>IF('[7]ST,D-D'!E19&lt;0,'[7]ST,D-D'!E19,0)</f>
        <v>0</v>
      </c>
      <c r="G525" s="384">
        <f>IF('[7]ST,D-D'!F19&lt;0,'[7]ST,D-D'!F19,0)</f>
        <v>0</v>
      </c>
      <c r="H525" s="384">
        <f>IF('[7]ST,D-D'!G19&lt;0,'[7]ST,D-D'!G19,0)</f>
        <v>0</v>
      </c>
      <c r="I525" s="384">
        <f>IF('[7]ST,D-D'!H19&lt;0,'[7]ST,D-D'!H19,0)</f>
        <v>0</v>
      </c>
      <c r="J525" s="384">
        <f>IF('[7]ST,D-D'!I19&lt;0,'[7]ST,D-D'!I19,0)</f>
        <v>0</v>
      </c>
      <c r="K525" s="384">
        <f>IF('[7]ST,D-D'!J19&lt;0,'[7]ST,D-D'!J19,0)</f>
        <v>0</v>
      </c>
      <c r="L525" s="384">
        <f>IF('[7]ST,D-D'!K19&lt;0,'[7]ST,D-D'!K19,0)</f>
        <v>0</v>
      </c>
      <c r="M525" s="384">
        <f>IF('[7]ST,D-D'!L19&lt;0,'[7]ST,D-D'!L19,0)</f>
        <v>0</v>
      </c>
      <c r="N525" s="384">
        <f>IF('[7]ST,D-D'!M19&lt;0,'[7]ST,D-D'!M19,0)</f>
        <v>0</v>
      </c>
      <c r="O525" s="384">
        <f>IF('[7]ST,D-D'!N19&lt;0,'[7]ST,D-D'!N19,0)</f>
        <v>0</v>
      </c>
      <c r="P525" s="384">
        <f>IF('[7]ST,D-D'!O19&lt;0,'[7]ST,D-D'!O19,0)</f>
        <v>0</v>
      </c>
      <c r="Q525" s="384">
        <f>SUM(E525:P525)</f>
        <v>0</v>
      </c>
    </row>
    <row r="526" ht="15" spans="3:17">
      <c r="C526" s="285" t="s">
        <v>429</v>
      </c>
      <c r="D526" s="286"/>
      <c r="E526" s="384">
        <f t="shared" ref="E526:Q526" si="188">E524+E525</f>
        <v>141.656983194721</v>
      </c>
      <c r="F526" s="384">
        <f t="shared" si="188"/>
        <v>111.139073051789</v>
      </c>
      <c r="G526" s="384">
        <f t="shared" si="188"/>
        <v>44.895720919969</v>
      </c>
      <c r="H526" s="384">
        <f t="shared" si="188"/>
        <v>99.6700715879036</v>
      </c>
      <c r="I526" s="384">
        <f t="shared" si="188"/>
        <v>0</v>
      </c>
      <c r="J526" s="384">
        <f t="shared" si="188"/>
        <v>75.9134361287803</v>
      </c>
      <c r="K526" s="384">
        <f t="shared" si="188"/>
        <v>37.0331772853707</v>
      </c>
      <c r="L526" s="384">
        <f t="shared" si="188"/>
        <v>92.2226929025454</v>
      </c>
      <c r="M526" s="384">
        <f t="shared" si="188"/>
        <v>74.2883544123709</v>
      </c>
      <c r="N526" s="384">
        <f t="shared" si="188"/>
        <v>-21.2666841289011</v>
      </c>
      <c r="O526" s="384">
        <f t="shared" si="188"/>
        <v>0</v>
      </c>
      <c r="P526" s="384">
        <f t="shared" si="188"/>
        <v>0</v>
      </c>
      <c r="Q526" s="384">
        <f t="shared" si="188"/>
        <v>655.552825354549</v>
      </c>
    </row>
    <row r="527" ht="15" spans="3:17">
      <c r="C527" s="285" t="s">
        <v>224</v>
      </c>
      <c r="D527" s="286"/>
      <c r="E527" s="721">
        <f t="shared" ref="E527:Q527" si="189">E399+E446+E455+E465+E491+E522+E526</f>
        <v>1985.53787945275</v>
      </c>
      <c r="F527" s="721">
        <f t="shared" si="189"/>
        <v>1723.73919906978</v>
      </c>
      <c r="G527" s="721">
        <f t="shared" si="189"/>
        <v>1578.97410835802</v>
      </c>
      <c r="H527" s="721">
        <f t="shared" si="189"/>
        <v>1709.74843020761</v>
      </c>
      <c r="I527" s="721">
        <f t="shared" si="189"/>
        <v>1827.09669117451</v>
      </c>
      <c r="J527" s="721">
        <f t="shared" si="189"/>
        <v>1721.47477610236</v>
      </c>
      <c r="K527" s="721">
        <f t="shared" si="189"/>
        <v>2157.6439864417</v>
      </c>
      <c r="L527" s="721">
        <f t="shared" si="189"/>
        <v>1782.652587339</v>
      </c>
      <c r="M527" s="721">
        <f t="shared" si="189"/>
        <v>1750.13741803325</v>
      </c>
      <c r="N527" s="721">
        <f t="shared" si="189"/>
        <v>1904.30340886303</v>
      </c>
      <c r="O527" s="721">
        <f t="shared" si="189"/>
        <v>2023.34914329277</v>
      </c>
      <c r="P527" s="721">
        <f t="shared" si="189"/>
        <v>2545.69618333619</v>
      </c>
      <c r="Q527" s="721">
        <f t="shared" si="189"/>
        <v>22710.3538116709</v>
      </c>
    </row>
    <row r="528" spans="4:5">
      <c r="D528" s="728"/>
      <c r="E528" s="728"/>
    </row>
    <row r="529" spans="5:17">
      <c r="E529" s="728"/>
      <c r="Q529" s="729"/>
    </row>
    <row r="530" spans="5:5">
      <c r="E530" s="728"/>
    </row>
  </sheetData>
  <mergeCells count="91">
    <mergeCell ref="C2:Q2"/>
    <mergeCell ref="E6:Q6"/>
    <mergeCell ref="C9:D9"/>
    <mergeCell ref="C10:D10"/>
    <mergeCell ref="C29:D29"/>
    <mergeCell ref="C30:D30"/>
    <mergeCell ref="C49:D49"/>
    <mergeCell ref="C50:D50"/>
    <mergeCell ref="C51:D51"/>
    <mergeCell ref="C52:D52"/>
    <mergeCell ref="C79:D79"/>
    <mergeCell ref="C80:D80"/>
    <mergeCell ref="C95:D95"/>
    <mergeCell ref="C96:D96"/>
    <mergeCell ref="C97:D97"/>
    <mergeCell ref="C105:D105"/>
    <mergeCell ref="C106:D106"/>
    <mergeCell ref="C115:D115"/>
    <mergeCell ref="C116:D116"/>
    <mergeCell ref="C141:D141"/>
    <mergeCell ref="C142:D142"/>
    <mergeCell ref="C174:D174"/>
    <mergeCell ref="C175:D175"/>
    <mergeCell ref="C178:D178"/>
    <mergeCell ref="C179:D179"/>
    <mergeCell ref="E183:Q183"/>
    <mergeCell ref="C186:D186"/>
    <mergeCell ref="C187:D187"/>
    <mergeCell ref="C206:D206"/>
    <mergeCell ref="C207:D207"/>
    <mergeCell ref="C226:D226"/>
    <mergeCell ref="C227:D227"/>
    <mergeCell ref="C228:D228"/>
    <mergeCell ref="C229:D229"/>
    <mergeCell ref="C256:D256"/>
    <mergeCell ref="C257:D257"/>
    <mergeCell ref="C272:D272"/>
    <mergeCell ref="C273:D273"/>
    <mergeCell ref="C274:D274"/>
    <mergeCell ref="C282:D282"/>
    <mergeCell ref="C283:D283"/>
    <mergeCell ref="C292:D292"/>
    <mergeCell ref="C293:D293"/>
    <mergeCell ref="C318:D318"/>
    <mergeCell ref="C319:D319"/>
    <mergeCell ref="C346:D346"/>
    <mergeCell ref="C347:D347"/>
    <mergeCell ref="C350:D350"/>
    <mergeCell ref="C351:D351"/>
    <mergeCell ref="E355:Q355"/>
    <mergeCell ref="C358:D358"/>
    <mergeCell ref="C359:D359"/>
    <mergeCell ref="C378:D378"/>
    <mergeCell ref="C379:D379"/>
    <mergeCell ref="C398:D398"/>
    <mergeCell ref="C399:D399"/>
    <mergeCell ref="C400:D400"/>
    <mergeCell ref="C401:D401"/>
    <mergeCell ref="C429:D429"/>
    <mergeCell ref="C430:D430"/>
    <mergeCell ref="C445:D445"/>
    <mergeCell ref="C446:D446"/>
    <mergeCell ref="C447:D447"/>
    <mergeCell ref="C455:D455"/>
    <mergeCell ref="C456:D456"/>
    <mergeCell ref="C465:D465"/>
    <mergeCell ref="C466:D466"/>
    <mergeCell ref="C491:D491"/>
    <mergeCell ref="C492:D492"/>
    <mergeCell ref="C522:D522"/>
    <mergeCell ref="C523:D523"/>
    <mergeCell ref="C526:D526"/>
    <mergeCell ref="C527:D527"/>
    <mergeCell ref="C6:C8"/>
    <mergeCell ref="C11:C28"/>
    <mergeCell ref="C31:C48"/>
    <mergeCell ref="C53:C61"/>
    <mergeCell ref="C81:C84"/>
    <mergeCell ref="C183:C185"/>
    <mergeCell ref="C188:C205"/>
    <mergeCell ref="C208:C225"/>
    <mergeCell ref="C230:C238"/>
    <mergeCell ref="C258:C261"/>
    <mergeCell ref="C355:C357"/>
    <mergeCell ref="C360:C377"/>
    <mergeCell ref="C380:C397"/>
    <mergeCell ref="C402:C411"/>
    <mergeCell ref="C431:C434"/>
    <mergeCell ref="D6:D8"/>
    <mergeCell ref="D183:D185"/>
    <mergeCell ref="D355:D357"/>
  </mergeCells>
  <printOptions horizontalCentered="1"/>
  <pageMargins left="0.156944444444444" right="0.196527777777778" top="0.432638888888889" bottom="0.354166666666667" header="0.314583333333333" footer="0.314583333333333"/>
  <pageSetup paperSize="9" scale="58" fitToHeight="10" orientation="landscape" horizontalDpi="600"/>
  <headerFooter/>
  <rowBreaks count="10" manualBreakCount="10">
    <brk id="50" max="16383" man="1"/>
    <brk id="105" max="16383" man="1"/>
    <brk id="141" max="16383" man="1"/>
    <brk id="179" max="16383" man="1"/>
    <brk id="227" max="16383" man="1"/>
    <brk id="273" max="16383" man="1"/>
    <brk id="318" max="16383" man="1"/>
    <brk id="378" max="16383" man="1"/>
    <brk id="429" max="16383" man="1"/>
    <brk id="49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O81"/>
  <sheetViews>
    <sheetView showGridLines="0" zoomScale="78" zoomScaleNormal="78" zoomScaleSheetLayoutView="70" topLeftCell="C1" workbookViewId="0">
      <pane xSplit="2" ySplit="8" topLeftCell="E9" activePane="bottomRight" state="frozen"/>
      <selection/>
      <selection pane="topRight"/>
      <selection pane="bottomLeft"/>
      <selection pane="bottomRight" activeCell="H3" sqref="H3"/>
    </sheetView>
  </sheetViews>
  <sheetFormatPr defaultColWidth="9.14285714285714" defaultRowHeight="14.25"/>
  <cols>
    <col min="1" max="1" width="3.14285714285714" style="12" customWidth="1"/>
    <col min="2" max="2" width="8.42857142857143" style="12" customWidth="1"/>
    <col min="3" max="3" width="21.4285714285714" style="12" customWidth="1"/>
    <col min="4" max="4" width="43.4285714285714" style="12" customWidth="1"/>
    <col min="5" max="5" width="13.5714285714286" style="12" customWidth="1"/>
    <col min="6" max="7" width="13.4285714285714" style="12" customWidth="1"/>
    <col min="8" max="8" width="13.5714285714286" style="12" customWidth="1"/>
    <col min="9" max="9" width="17.1428571428571" style="12" customWidth="1"/>
    <col min="10" max="10" width="13.4285714285714" style="12" customWidth="1"/>
    <col min="11" max="11" width="11.8571428571429" style="12" customWidth="1"/>
    <col min="12" max="12" width="14" style="12" customWidth="1"/>
    <col min="13" max="13" width="12.4285714285714" style="12" customWidth="1"/>
    <col min="14" max="14" width="12.5714285714286" style="12" customWidth="1"/>
    <col min="15" max="16384" width="9.14285714285714" style="12"/>
  </cols>
  <sheetData>
    <row r="2" ht="15" spans="8:8">
      <c r="H2" s="2" t="s">
        <v>156</v>
      </c>
    </row>
    <row r="3" ht="15" spans="8:8">
      <c r="H3" s="3" t="s">
        <v>157</v>
      </c>
    </row>
    <row r="4" ht="15" spans="2:14">
      <c r="B4" s="14"/>
      <c r="C4" s="14"/>
      <c r="D4" s="655"/>
      <c r="E4" s="655"/>
      <c r="F4" s="655"/>
      <c r="G4" s="655"/>
      <c r="N4" s="3" t="s">
        <v>158</v>
      </c>
    </row>
    <row r="5" ht="15" spans="2:14">
      <c r="B5" s="656"/>
      <c r="C5" s="658" t="s">
        <v>159</v>
      </c>
      <c r="D5" s="873"/>
      <c r="E5" s="16" t="s">
        <v>160</v>
      </c>
      <c r="F5" s="16" t="s">
        <v>161</v>
      </c>
      <c r="G5" s="16" t="s">
        <v>162</v>
      </c>
      <c r="H5" s="16" t="s">
        <v>163</v>
      </c>
      <c r="I5" s="16" t="s">
        <v>164</v>
      </c>
      <c r="J5" s="884" t="s">
        <v>114</v>
      </c>
      <c r="K5" s="885"/>
      <c r="L5" s="885"/>
      <c r="M5" s="885"/>
      <c r="N5" s="886"/>
    </row>
    <row r="6" ht="30" spans="2:14">
      <c r="B6" s="656"/>
      <c r="C6" s="660"/>
      <c r="D6" s="874"/>
      <c r="E6" s="535"/>
      <c r="F6" s="535"/>
      <c r="G6" s="535"/>
      <c r="H6" s="535"/>
      <c r="I6" s="535"/>
      <c r="J6" s="5" t="s">
        <v>165</v>
      </c>
      <c r="K6" s="5" t="s">
        <v>166</v>
      </c>
      <c r="L6" s="5" t="s">
        <v>167</v>
      </c>
      <c r="M6" s="5" t="s">
        <v>168</v>
      </c>
      <c r="N6" s="5" t="s">
        <v>169</v>
      </c>
    </row>
    <row r="7" ht="15" spans="2:14">
      <c r="B7" s="656"/>
      <c r="C7" s="662"/>
      <c r="D7" s="875"/>
      <c r="E7" s="5" t="s">
        <v>128</v>
      </c>
      <c r="F7" s="5" t="s">
        <v>128</v>
      </c>
      <c r="G7" s="5" t="s">
        <v>128</v>
      </c>
      <c r="H7" s="5" t="s">
        <v>128</v>
      </c>
      <c r="I7" s="5" t="s">
        <v>131</v>
      </c>
      <c r="J7" s="5" t="s">
        <v>132</v>
      </c>
      <c r="K7" s="5" t="s">
        <v>132</v>
      </c>
      <c r="L7" s="5" t="s">
        <v>132</v>
      </c>
      <c r="M7" s="5" t="s">
        <v>132</v>
      </c>
      <c r="N7" s="5" t="s">
        <v>132</v>
      </c>
    </row>
    <row r="8" ht="15" spans="2:14">
      <c r="B8" s="656"/>
      <c r="C8" s="44" t="s">
        <v>170</v>
      </c>
      <c r="D8" s="45"/>
      <c r="E8" s="45"/>
      <c r="F8" s="45"/>
      <c r="G8" s="45"/>
      <c r="H8" s="47"/>
      <c r="I8" s="47"/>
      <c r="J8" s="55"/>
      <c r="K8" s="55"/>
      <c r="L8" s="55"/>
      <c r="M8" s="55"/>
      <c r="N8" s="55"/>
    </row>
    <row r="9" spans="2:14">
      <c r="B9" s="656"/>
      <c r="C9" s="47" t="s">
        <v>171</v>
      </c>
      <c r="D9" s="47" t="s">
        <v>172</v>
      </c>
      <c r="E9" s="882">
        <v>6542568</v>
      </c>
      <c r="F9" s="882">
        <v>6817306</v>
      </c>
      <c r="G9" s="882">
        <v>7121821</v>
      </c>
      <c r="H9" s="882">
        <v>7443356</v>
      </c>
      <c r="I9" s="882">
        <f>'[10]Rev SP FY24'!$AI$10</f>
        <v>7864340.90844773</v>
      </c>
      <c r="J9" s="882">
        <f>'[10]Rev_SP-12me'!$AJ$10</f>
        <v>8309136</v>
      </c>
      <c r="K9" s="882"/>
      <c r="L9" s="882"/>
      <c r="M9" s="882"/>
      <c r="N9" s="882"/>
    </row>
    <row r="10" spans="3:14">
      <c r="C10" s="55" t="s">
        <v>173</v>
      </c>
      <c r="D10" s="55" t="s">
        <v>174</v>
      </c>
      <c r="E10" s="153">
        <v>873555</v>
      </c>
      <c r="F10" s="153">
        <v>904559</v>
      </c>
      <c r="G10" s="153">
        <v>1010316</v>
      </c>
      <c r="H10" s="153">
        <v>1087272</v>
      </c>
      <c r="I10" s="153">
        <f>'[10]Rev SP FY24'!$AI$23</f>
        <v>1160533.68831829</v>
      </c>
      <c r="J10" s="153">
        <f>'[10]Rev_SP-12me'!$AJ$23</f>
        <v>1238732</v>
      </c>
      <c r="K10" s="153"/>
      <c r="L10" s="153"/>
      <c r="M10" s="153"/>
      <c r="N10" s="153"/>
    </row>
    <row r="11" spans="3:14">
      <c r="C11" s="55" t="s">
        <v>175</v>
      </c>
      <c r="D11" s="55" t="s">
        <v>176</v>
      </c>
      <c r="E11" s="153">
        <v>43778</v>
      </c>
      <c r="F11" s="153">
        <v>44492</v>
      </c>
      <c r="G11" s="153">
        <v>44611</v>
      </c>
      <c r="H11" s="153">
        <v>45213</v>
      </c>
      <c r="I11" s="153">
        <f>'[10]Rev SP FY24'!$AI$36</f>
        <v>47473.3333333333</v>
      </c>
      <c r="J11" s="153">
        <f>'[10]Rev_SP-12me'!$AJ$36</f>
        <v>49847</v>
      </c>
      <c r="K11" s="153"/>
      <c r="L11" s="153"/>
      <c r="M11" s="153"/>
      <c r="N11" s="153"/>
    </row>
    <row r="12" spans="3:14">
      <c r="C12" s="55" t="s">
        <v>177</v>
      </c>
      <c r="D12" s="55" t="s">
        <v>178</v>
      </c>
      <c r="E12" s="153">
        <v>4243</v>
      </c>
      <c r="F12" s="153">
        <v>4354</v>
      </c>
      <c r="G12" s="153">
        <v>4410</v>
      </c>
      <c r="H12" s="153">
        <v>4578</v>
      </c>
      <c r="I12" s="153">
        <f>'[10]Rev SP FY24'!$AI$43</f>
        <v>4719.71154900694</v>
      </c>
      <c r="J12" s="153">
        <f>'[10]Rev_SP-12me'!$AJ$43</f>
        <v>4866</v>
      </c>
      <c r="K12" s="153"/>
      <c r="L12" s="153"/>
      <c r="M12" s="153"/>
      <c r="N12" s="153"/>
    </row>
    <row r="13" spans="3:14">
      <c r="C13" s="55" t="s">
        <v>179</v>
      </c>
      <c r="D13" s="55" t="s">
        <v>180</v>
      </c>
      <c r="E13" s="153">
        <v>1145031</v>
      </c>
      <c r="F13" s="153">
        <v>1190930</v>
      </c>
      <c r="G13" s="153">
        <v>1262600</v>
      </c>
      <c r="H13" s="153">
        <v>1310333</v>
      </c>
      <c r="I13" s="153">
        <f>'[10]Rev SP FY24'!$AI$46</f>
        <v>1364827.9974685</v>
      </c>
      <c r="J13" s="153">
        <f>'[10]Rev_SP-12me'!$AJ$46</f>
        <v>1421589.06964707</v>
      </c>
      <c r="K13" s="153"/>
      <c r="L13" s="153"/>
      <c r="M13" s="153"/>
      <c r="N13" s="153"/>
    </row>
    <row r="14" spans="3:14">
      <c r="C14" s="55" t="s">
        <v>181</v>
      </c>
      <c r="D14" s="55" t="s">
        <v>182</v>
      </c>
      <c r="E14" s="153">
        <v>105304</v>
      </c>
      <c r="F14" s="153">
        <v>104891</v>
      </c>
      <c r="G14" s="153">
        <v>106561</v>
      </c>
      <c r="H14" s="153">
        <v>108272</v>
      </c>
      <c r="I14" s="153">
        <f>'[10]Rev SP FY24'!$AI$54+'[10]Rev SP FY24'!$AI$65</f>
        <v>113685.714285714</v>
      </c>
      <c r="J14" s="153">
        <f>SUM('[10]Rev_SP-12me'!$AJ$54,'[10]Rev_SP-12me'!$AJ$65)</f>
        <v>119370</v>
      </c>
      <c r="K14" s="153"/>
      <c r="L14" s="153"/>
      <c r="M14" s="153"/>
      <c r="N14" s="153"/>
    </row>
    <row r="15" spans="3:14">
      <c r="C15" s="55" t="s">
        <v>183</v>
      </c>
      <c r="D15" s="55" t="s">
        <v>184</v>
      </c>
      <c r="E15" s="153">
        <v>22934</v>
      </c>
      <c r="F15" s="153">
        <v>23176</v>
      </c>
      <c r="G15" s="153">
        <v>23724</v>
      </c>
      <c r="H15" s="153">
        <v>24698</v>
      </c>
      <c r="I15" s="153">
        <f>'[10]Rev SP FY24'!$AI$58</f>
        <v>25276.7090702111</v>
      </c>
      <c r="J15" s="153">
        <f>'[10]Rev_SP-12me'!$AJ$58</f>
        <v>25868.7978783707</v>
      </c>
      <c r="K15" s="153"/>
      <c r="L15" s="153"/>
      <c r="M15" s="153"/>
      <c r="N15" s="153"/>
    </row>
    <row r="16" spans="3:14">
      <c r="C16" s="55" t="s">
        <v>185</v>
      </c>
      <c r="D16" s="55" t="s">
        <v>186</v>
      </c>
      <c r="E16" s="153">
        <v>4272</v>
      </c>
      <c r="F16" s="153">
        <v>7589</v>
      </c>
      <c r="G16" s="153">
        <v>10536</v>
      </c>
      <c r="H16" s="153">
        <v>12733</v>
      </c>
      <c r="I16" s="153">
        <f>'[10]Rev SP FY24'!$AI$63</f>
        <v>13369.5238095238</v>
      </c>
      <c r="J16" s="153">
        <f>'[10]Rev_SP-12me'!$AJ$63</f>
        <v>14038</v>
      </c>
      <c r="K16" s="153"/>
      <c r="L16" s="153"/>
      <c r="M16" s="153"/>
      <c r="N16" s="153"/>
    </row>
    <row r="17" spans="3:14">
      <c r="C17" s="55" t="s">
        <v>187</v>
      </c>
      <c r="D17" s="55" t="s">
        <v>188</v>
      </c>
      <c r="E17" s="153">
        <v>3</v>
      </c>
      <c r="F17" s="153">
        <v>19</v>
      </c>
      <c r="G17" s="153">
        <v>53</v>
      </c>
      <c r="H17" s="153">
        <v>103</v>
      </c>
      <c r="I17" s="153">
        <f>'[10]Rev SP FY24'!$AI$64</f>
        <v>55.2380952380952</v>
      </c>
      <c r="J17" s="153">
        <f>'[10]Rev_SP-12me'!$AJ$64</f>
        <v>58</v>
      </c>
      <c r="K17" s="153"/>
      <c r="L17" s="153"/>
      <c r="M17" s="153"/>
      <c r="N17" s="153"/>
    </row>
    <row r="18" spans="3:14">
      <c r="C18" s="55"/>
      <c r="D18" s="55"/>
      <c r="E18" s="895"/>
      <c r="F18" s="895"/>
      <c r="G18" s="895"/>
      <c r="H18" s="895"/>
      <c r="I18" s="895"/>
      <c r="J18" s="895"/>
      <c r="K18" s="895"/>
      <c r="L18" s="895"/>
      <c r="M18" s="895"/>
      <c r="N18" s="895"/>
    </row>
    <row r="19" spans="3:14">
      <c r="C19" s="55"/>
      <c r="D19" s="55"/>
      <c r="E19" s="895"/>
      <c r="F19" s="895"/>
      <c r="G19" s="895"/>
      <c r="H19" s="895"/>
      <c r="I19" s="895"/>
      <c r="J19" s="895"/>
      <c r="K19" s="895"/>
      <c r="L19" s="895"/>
      <c r="M19" s="895"/>
      <c r="N19" s="895"/>
    </row>
    <row r="20" spans="3:14">
      <c r="C20" s="55"/>
      <c r="D20" s="55"/>
      <c r="E20" s="895"/>
      <c r="F20" s="895"/>
      <c r="G20" s="895"/>
      <c r="H20" s="895"/>
      <c r="I20" s="895"/>
      <c r="J20" s="895"/>
      <c r="K20" s="895"/>
      <c r="L20" s="895"/>
      <c r="M20" s="895"/>
      <c r="N20" s="895"/>
    </row>
    <row r="21" spans="3:14">
      <c r="C21" s="55"/>
      <c r="D21" s="55"/>
      <c r="E21" s="895"/>
      <c r="F21" s="895"/>
      <c r="G21" s="895"/>
      <c r="H21" s="895"/>
      <c r="I21" s="895"/>
      <c r="J21" s="895"/>
      <c r="K21" s="895"/>
      <c r="L21" s="895"/>
      <c r="M21" s="895"/>
      <c r="N21" s="895"/>
    </row>
    <row r="22" ht="15" spans="3:15">
      <c r="C22" s="537" t="s">
        <v>189</v>
      </c>
      <c r="D22" s="540"/>
      <c r="E22" s="877">
        <f t="shared" ref="E22:N22" si="0">SUM(E9:E21)</f>
        <v>8741688</v>
      </c>
      <c r="F22" s="877">
        <f t="shared" si="0"/>
        <v>9097316</v>
      </c>
      <c r="G22" s="877">
        <f t="shared" si="0"/>
        <v>9584632</v>
      </c>
      <c r="H22" s="877">
        <f t="shared" si="0"/>
        <v>10036558</v>
      </c>
      <c r="I22" s="877">
        <f t="shared" si="0"/>
        <v>10594282.8243775</v>
      </c>
      <c r="J22" s="877">
        <f t="shared" si="0"/>
        <v>11183504.8675254</v>
      </c>
      <c r="K22" s="877">
        <f t="shared" si="0"/>
        <v>0</v>
      </c>
      <c r="L22" s="877">
        <f t="shared" si="0"/>
        <v>0</v>
      </c>
      <c r="M22" s="877">
        <f t="shared" si="0"/>
        <v>0</v>
      </c>
      <c r="N22" s="877">
        <f t="shared" si="0"/>
        <v>0</v>
      </c>
      <c r="O22" s="887"/>
    </row>
    <row r="23" ht="15" spans="3:15">
      <c r="C23" s="44" t="s">
        <v>190</v>
      </c>
      <c r="D23" s="45"/>
      <c r="E23" s="876"/>
      <c r="F23" s="876"/>
      <c r="G23" s="876"/>
      <c r="H23" s="146"/>
      <c r="I23" s="146"/>
      <c r="J23" s="146"/>
      <c r="K23" s="146"/>
      <c r="L23" s="146"/>
      <c r="M23" s="146"/>
      <c r="N23" s="146"/>
      <c r="O23" s="887"/>
    </row>
    <row r="24" spans="3:14">
      <c r="C24" s="55" t="s">
        <v>191</v>
      </c>
      <c r="D24" s="55" t="s">
        <v>192</v>
      </c>
      <c r="E24" s="882">
        <v>4869</v>
      </c>
      <c r="F24" s="882">
        <f>4984+49</f>
        <v>5033</v>
      </c>
      <c r="G24" s="882">
        <f>5293+50</f>
        <v>5343</v>
      </c>
      <c r="H24" s="882">
        <f>5564+49</f>
        <v>5613</v>
      </c>
      <c r="I24" s="882">
        <f>'[10]Rev SP FY24'!$AI$85+'[10]Rev SP FY24'!$AI$94</f>
        <v>5852.04603531269</v>
      </c>
      <c r="J24" s="882">
        <f>'[10]Rev_SP-12me'!$AJ$84</f>
        <v>6123.6103208733</v>
      </c>
      <c r="K24" s="882"/>
      <c r="L24" s="882"/>
      <c r="M24" s="882"/>
      <c r="N24" s="882"/>
    </row>
    <row r="25" spans="3:14">
      <c r="C25" s="55" t="s">
        <v>193</v>
      </c>
      <c r="D25" s="55" t="s">
        <v>194</v>
      </c>
      <c r="E25" s="153">
        <v>0</v>
      </c>
      <c r="F25" s="153">
        <v>0</v>
      </c>
      <c r="G25" s="153">
        <v>0</v>
      </c>
      <c r="H25" s="153">
        <v>0</v>
      </c>
      <c r="I25" s="153">
        <f>'[10]Rev SP FY24'!$AI$99</f>
        <v>0</v>
      </c>
      <c r="J25" s="153">
        <f>'[10]Rev_SP-12me'!$AJ$99</f>
        <v>0</v>
      </c>
      <c r="K25" s="153"/>
      <c r="L25" s="153"/>
      <c r="M25" s="153"/>
      <c r="N25" s="153"/>
    </row>
    <row r="26" spans="3:14">
      <c r="C26" s="55" t="s">
        <v>195</v>
      </c>
      <c r="D26" s="55" t="s">
        <v>196</v>
      </c>
      <c r="E26" s="153">
        <v>3500</v>
      </c>
      <c r="F26" s="153">
        <v>3612</v>
      </c>
      <c r="G26" s="153">
        <v>3849</v>
      </c>
      <c r="H26" s="153">
        <v>4263</v>
      </c>
      <c r="I26" s="153">
        <f>'[10]Rev SP FY24'!$AI$105</f>
        <v>4531.23331407853</v>
      </c>
      <c r="J26" s="153">
        <f>'[10]Rev_SP-12me'!$AJ$105</f>
        <v>4829.02148835105</v>
      </c>
      <c r="K26" s="153"/>
      <c r="L26" s="153"/>
      <c r="M26" s="153"/>
      <c r="N26" s="153"/>
    </row>
    <row r="27" spans="3:14">
      <c r="C27" s="55" t="s">
        <v>197</v>
      </c>
      <c r="D27" s="55" t="s">
        <v>198</v>
      </c>
      <c r="E27" s="153">
        <v>0</v>
      </c>
      <c r="F27" s="153">
        <v>0</v>
      </c>
      <c r="G27" s="153">
        <v>0</v>
      </c>
      <c r="H27" s="153">
        <v>0</v>
      </c>
      <c r="I27" s="153">
        <f>'[10]Rev SP FY24'!$AI$110</f>
        <v>0</v>
      </c>
      <c r="J27" s="153">
        <f>'[10]Rev_SP-12me'!$AJ$110</f>
        <v>0</v>
      </c>
      <c r="K27" s="153"/>
      <c r="L27" s="153"/>
      <c r="M27" s="153"/>
      <c r="N27" s="153"/>
    </row>
    <row r="28" spans="3:14">
      <c r="C28" s="55" t="s">
        <v>199</v>
      </c>
      <c r="D28" s="55" t="s">
        <v>200</v>
      </c>
      <c r="E28" s="153">
        <v>10</v>
      </c>
      <c r="F28" s="153">
        <v>10</v>
      </c>
      <c r="G28" s="153">
        <v>11</v>
      </c>
      <c r="H28" s="153">
        <v>11</v>
      </c>
      <c r="I28" s="153">
        <f>'[10]Rev SP FY24'!$AI$115</f>
        <v>11.4478717731049</v>
      </c>
      <c r="J28" s="153">
        <f>'[10]Rev_SP-12me'!$AJ$115</f>
        <v>11.9166666666667</v>
      </c>
      <c r="K28" s="153"/>
      <c r="L28" s="153"/>
      <c r="M28" s="153"/>
      <c r="N28" s="153"/>
    </row>
    <row r="29" spans="3:14">
      <c r="C29" s="55" t="s">
        <v>201</v>
      </c>
      <c r="D29" s="55" t="s">
        <v>202</v>
      </c>
      <c r="E29" s="153">
        <v>137</v>
      </c>
      <c r="F29" s="153">
        <v>132</v>
      </c>
      <c r="G29" s="153">
        <v>127</v>
      </c>
      <c r="H29" s="153">
        <v>127</v>
      </c>
      <c r="I29" s="153">
        <f>'[10]Rev SP FY24'!$AI$120</f>
        <v>132.190077739232</v>
      </c>
      <c r="J29" s="153">
        <f>'[10]Rev_SP-12me'!$AJ$120</f>
        <v>134.722972972973</v>
      </c>
      <c r="K29" s="153"/>
      <c r="L29" s="153"/>
      <c r="M29" s="153"/>
      <c r="N29" s="153"/>
    </row>
    <row r="30" spans="3:14">
      <c r="C30" s="55" t="s">
        <v>203</v>
      </c>
      <c r="D30" s="55" t="s">
        <v>204</v>
      </c>
      <c r="E30" s="153">
        <v>133</v>
      </c>
      <c r="F30" s="153">
        <v>131</v>
      </c>
      <c r="G30" s="153">
        <v>127</v>
      </c>
      <c r="H30" s="153">
        <v>116</v>
      </c>
      <c r="I30" s="153">
        <f>'[10]Rev SP FY24'!$AI$132</f>
        <v>120.687505650483</v>
      </c>
      <c r="J30" s="153">
        <f>'[10]Rev_SP-12me'!$AJ$132</f>
        <v>123</v>
      </c>
      <c r="K30" s="153"/>
      <c r="L30" s="153"/>
      <c r="M30" s="153"/>
      <c r="N30" s="153"/>
    </row>
    <row r="31" spans="3:14">
      <c r="C31" s="55" t="s">
        <v>205</v>
      </c>
      <c r="D31" s="55" t="s">
        <v>206</v>
      </c>
      <c r="E31" s="153">
        <v>156</v>
      </c>
      <c r="F31" s="153">
        <v>167</v>
      </c>
      <c r="G31" s="153">
        <v>180</v>
      </c>
      <c r="H31" s="153">
        <v>194</v>
      </c>
      <c r="I31" s="153">
        <f>'[10]Rev SP FY24'!$AI$124</f>
        <v>211.731316752436</v>
      </c>
      <c r="J31" s="153">
        <f>'[10]Rev_SP-12me'!$AJ$124</f>
        <v>230.093023255814</v>
      </c>
      <c r="K31" s="153"/>
      <c r="L31" s="153"/>
      <c r="M31" s="153"/>
      <c r="N31" s="153"/>
    </row>
    <row r="32" spans="3:14">
      <c r="C32" s="55" t="s">
        <v>207</v>
      </c>
      <c r="D32" s="55" t="s">
        <v>186</v>
      </c>
      <c r="E32" s="153">
        <v>245</v>
      </c>
      <c r="F32" s="153">
        <v>294</v>
      </c>
      <c r="G32" s="153">
        <v>371</v>
      </c>
      <c r="H32" s="153">
        <v>484</v>
      </c>
      <c r="I32" s="153">
        <f>'[10]Rev SP FY24'!$AI$125</f>
        <v>507.797135114208</v>
      </c>
      <c r="J32" s="153">
        <f>'[10]Rev_SP-12me'!$AJ$125</f>
        <v>533.186991869919</v>
      </c>
      <c r="K32" s="153"/>
      <c r="L32" s="153"/>
      <c r="M32" s="153"/>
      <c r="N32" s="153"/>
    </row>
    <row r="33" spans="3:14">
      <c r="C33" s="55" t="s">
        <v>208</v>
      </c>
      <c r="D33" s="55" t="s">
        <v>209</v>
      </c>
      <c r="E33" s="882">
        <v>0</v>
      </c>
      <c r="F33" s="882">
        <v>0</v>
      </c>
      <c r="G33" s="882">
        <v>0</v>
      </c>
      <c r="H33" s="882">
        <v>0</v>
      </c>
      <c r="I33" s="882">
        <f>'[10]Rev SP FY24'!$AI$126</f>
        <v>0</v>
      </c>
      <c r="J33" s="882">
        <f>'[10]Rev_SP-12me'!$AJ$126</f>
        <v>0</v>
      </c>
      <c r="K33" s="882"/>
      <c r="L33" s="882"/>
      <c r="M33" s="882"/>
      <c r="N33" s="882"/>
    </row>
    <row r="34" spans="3:14">
      <c r="C34" s="55" t="s">
        <v>210</v>
      </c>
      <c r="D34" s="55" t="s">
        <v>188</v>
      </c>
      <c r="E34" s="153">
        <v>2</v>
      </c>
      <c r="F34" s="153">
        <v>3</v>
      </c>
      <c r="G34" s="153">
        <v>3</v>
      </c>
      <c r="H34" s="153">
        <v>9</v>
      </c>
      <c r="I34" s="153">
        <f>'[10]Rev SP FY24'!$AI$127</f>
        <v>2.85714285714286</v>
      </c>
      <c r="J34" s="153">
        <f>'[10]Rev_SP-12me'!$AJ$127</f>
        <v>3</v>
      </c>
      <c r="K34" s="153"/>
      <c r="L34" s="153"/>
      <c r="M34" s="153"/>
      <c r="N34" s="153"/>
    </row>
    <row r="35" spans="3:14">
      <c r="C35" s="55"/>
      <c r="D35" s="55"/>
      <c r="E35" s="895"/>
      <c r="F35" s="895"/>
      <c r="G35" s="895"/>
      <c r="H35" s="895"/>
      <c r="I35" s="895"/>
      <c r="J35" s="895"/>
      <c r="K35" s="895"/>
      <c r="L35" s="895"/>
      <c r="M35" s="895"/>
      <c r="N35" s="895"/>
    </row>
    <row r="36" spans="3:14">
      <c r="C36" s="55"/>
      <c r="D36" s="55"/>
      <c r="E36" s="895"/>
      <c r="F36" s="895"/>
      <c r="G36" s="895"/>
      <c r="H36" s="895"/>
      <c r="I36" s="895"/>
      <c r="J36" s="895"/>
      <c r="K36" s="895"/>
      <c r="L36" s="895"/>
      <c r="M36" s="895"/>
      <c r="N36" s="895"/>
    </row>
    <row r="37" spans="3:14">
      <c r="C37" s="55"/>
      <c r="D37" s="55"/>
      <c r="E37" s="895"/>
      <c r="F37" s="895"/>
      <c r="G37" s="895"/>
      <c r="H37" s="895"/>
      <c r="I37" s="895"/>
      <c r="J37" s="895"/>
      <c r="K37" s="895"/>
      <c r="L37" s="895"/>
      <c r="M37" s="895"/>
      <c r="N37" s="895"/>
    </row>
    <row r="38" spans="3:14">
      <c r="C38" s="55"/>
      <c r="D38" s="55"/>
      <c r="E38" s="895"/>
      <c r="F38" s="895"/>
      <c r="G38" s="895"/>
      <c r="H38" s="895"/>
      <c r="I38" s="895"/>
      <c r="J38" s="895"/>
      <c r="K38" s="895"/>
      <c r="L38" s="895"/>
      <c r="M38" s="895"/>
      <c r="N38" s="895"/>
    </row>
    <row r="39" ht="15" spans="3:14">
      <c r="C39" s="537" t="s">
        <v>211</v>
      </c>
      <c r="D39" s="540"/>
      <c r="E39" s="877">
        <f t="shared" ref="E39:N39" si="1">SUM(E24:E38)</f>
        <v>9052</v>
      </c>
      <c r="F39" s="877">
        <f t="shared" si="1"/>
        <v>9382</v>
      </c>
      <c r="G39" s="877">
        <f t="shared" si="1"/>
        <v>10011</v>
      </c>
      <c r="H39" s="877">
        <f t="shared" si="1"/>
        <v>10817</v>
      </c>
      <c r="I39" s="877">
        <f t="shared" si="1"/>
        <v>11369.9903992778</v>
      </c>
      <c r="J39" s="877">
        <f t="shared" si="1"/>
        <v>11988.5514639897</v>
      </c>
      <c r="K39" s="877">
        <f t="shared" si="1"/>
        <v>0</v>
      </c>
      <c r="L39" s="877">
        <f t="shared" si="1"/>
        <v>0</v>
      </c>
      <c r="M39" s="877">
        <f t="shared" si="1"/>
        <v>0</v>
      </c>
      <c r="N39" s="877">
        <f t="shared" si="1"/>
        <v>0</v>
      </c>
    </row>
    <row r="40" ht="15" spans="3:14">
      <c r="C40" s="44" t="s">
        <v>212</v>
      </c>
      <c r="D40" s="45"/>
      <c r="E40" s="45"/>
      <c r="F40" s="45"/>
      <c r="G40" s="45"/>
      <c r="H40" s="55"/>
      <c r="I40" s="55"/>
      <c r="J40" s="55"/>
      <c r="K40" s="55"/>
      <c r="L40" s="55"/>
      <c r="M40" s="55"/>
      <c r="N40" s="55"/>
    </row>
    <row r="41" spans="3:14">
      <c r="C41" s="55" t="s">
        <v>191</v>
      </c>
      <c r="D41" s="55" t="s">
        <v>192</v>
      </c>
      <c r="E41" s="882">
        <v>352</v>
      </c>
      <c r="F41" s="882">
        <v>361</v>
      </c>
      <c r="G41" s="882">
        <v>385</v>
      </c>
      <c r="H41" s="882">
        <v>389</v>
      </c>
      <c r="I41" s="882">
        <f>'[10]Rev SP FY24'!$AI$149</f>
        <v>421.073623843617</v>
      </c>
      <c r="J41" s="882">
        <f>'[10]Rev_SP-12me'!$AJ$149</f>
        <v>424.296063513067</v>
      </c>
      <c r="K41" s="882"/>
      <c r="L41" s="882"/>
      <c r="M41" s="882"/>
      <c r="N41" s="882"/>
    </row>
    <row r="42" spans="3:14">
      <c r="C42" s="55" t="s">
        <v>193</v>
      </c>
      <c r="D42" s="55" t="s">
        <v>194</v>
      </c>
      <c r="E42" s="882">
        <v>2</v>
      </c>
      <c r="F42" s="882">
        <v>1</v>
      </c>
      <c r="G42" s="882">
        <v>2</v>
      </c>
      <c r="H42" s="882">
        <v>1</v>
      </c>
      <c r="I42" s="882">
        <f>'[10]Rev SP FY24'!$AI$163</f>
        <v>1</v>
      </c>
      <c r="J42" s="882">
        <f>'[10]Rev_SP-12me'!$AJ$163</f>
        <v>1</v>
      </c>
      <c r="K42" s="882"/>
      <c r="L42" s="882"/>
      <c r="M42" s="882"/>
      <c r="N42" s="882"/>
    </row>
    <row r="43" spans="3:14">
      <c r="C43" s="55" t="s">
        <v>195</v>
      </c>
      <c r="D43" s="55" t="s">
        <v>196</v>
      </c>
      <c r="E43" s="882">
        <v>141</v>
      </c>
      <c r="F43" s="882">
        <v>132</v>
      </c>
      <c r="G43" s="882">
        <v>146</v>
      </c>
      <c r="H43" s="882">
        <v>154</v>
      </c>
      <c r="I43" s="882">
        <f>'[10]Rev SP FY24'!$AI$169</f>
        <v>169.727762414186</v>
      </c>
      <c r="J43" s="882">
        <f>'[10]Rev_SP-12me'!$AJ$169</f>
        <v>174</v>
      </c>
      <c r="K43" s="882"/>
      <c r="L43" s="882"/>
      <c r="M43" s="882"/>
      <c r="N43" s="882"/>
    </row>
    <row r="44" spans="3:14">
      <c r="C44" s="55" t="s">
        <v>197</v>
      </c>
      <c r="D44" s="55" t="s">
        <v>198</v>
      </c>
      <c r="E44" s="882">
        <v>0</v>
      </c>
      <c r="F44" s="882">
        <v>0</v>
      </c>
      <c r="G44" s="882">
        <v>0</v>
      </c>
      <c r="H44" s="882">
        <v>0</v>
      </c>
      <c r="I44" s="882">
        <f>'[10]Rev SP FY24'!$AI$180</f>
        <v>0</v>
      </c>
      <c r="J44" s="882">
        <f>'[10]Rev_SP-12me'!$AJ$175</f>
        <v>0</v>
      </c>
      <c r="K44" s="882"/>
      <c r="L44" s="882"/>
      <c r="M44" s="882"/>
      <c r="N44" s="882"/>
    </row>
    <row r="45" spans="3:14">
      <c r="C45" s="55" t="s">
        <v>199</v>
      </c>
      <c r="D45" s="55" t="s">
        <v>200</v>
      </c>
      <c r="E45" s="882">
        <v>0</v>
      </c>
      <c r="F45" s="882">
        <v>0</v>
      </c>
      <c r="G45" s="882">
        <v>0</v>
      </c>
      <c r="H45" s="882">
        <v>0</v>
      </c>
      <c r="I45" s="882">
        <f>'[10]Rev SP FY24'!$AI$180</f>
        <v>0</v>
      </c>
      <c r="J45" s="882">
        <f>'[10]Rev_SP-12me'!$AJ$180</f>
        <v>0</v>
      </c>
      <c r="K45" s="882"/>
      <c r="L45" s="882"/>
      <c r="M45" s="882"/>
      <c r="N45" s="882"/>
    </row>
    <row r="46" spans="3:14">
      <c r="C46" s="55" t="s">
        <v>201</v>
      </c>
      <c r="D46" s="55" t="s">
        <v>202</v>
      </c>
      <c r="E46" s="882">
        <v>19</v>
      </c>
      <c r="F46" s="882">
        <v>19</v>
      </c>
      <c r="G46" s="882">
        <v>20</v>
      </c>
      <c r="H46" s="882">
        <v>19</v>
      </c>
      <c r="I46" s="882">
        <f>'[10]Rev SP FY24'!$AI$185</f>
        <v>19.028466528329</v>
      </c>
      <c r="J46" s="882">
        <f>'[10]Rev_SP-12me'!$AJ$185</f>
        <v>20.1554054054054</v>
      </c>
      <c r="K46" s="882"/>
      <c r="L46" s="882"/>
      <c r="M46" s="882"/>
      <c r="N46" s="882"/>
    </row>
    <row r="47" spans="3:14">
      <c r="C47" s="55" t="s">
        <v>203</v>
      </c>
      <c r="D47" s="55" t="s">
        <v>204</v>
      </c>
      <c r="E47" s="882">
        <v>13</v>
      </c>
      <c r="F47" s="882">
        <v>13</v>
      </c>
      <c r="G47" s="882">
        <v>13</v>
      </c>
      <c r="H47" s="882">
        <v>13</v>
      </c>
      <c r="I47" s="882">
        <f>'[10]Rev SP FY24'!$AI$191</f>
        <v>13.0194770983304</v>
      </c>
      <c r="J47" s="882">
        <f>'[10]Rev_SP-12me'!$AJ$191</f>
        <v>13.7905405405405</v>
      </c>
      <c r="K47" s="882"/>
      <c r="L47" s="882"/>
      <c r="M47" s="882"/>
      <c r="N47" s="882"/>
    </row>
    <row r="48" spans="3:14">
      <c r="C48" s="55" t="s">
        <v>213</v>
      </c>
      <c r="D48" s="55" t="s">
        <v>214</v>
      </c>
      <c r="E48" s="882"/>
      <c r="F48" s="882"/>
      <c r="G48" s="882"/>
      <c r="H48" s="882">
        <v>1</v>
      </c>
      <c r="I48" s="882">
        <f>'[10]Rev SP FY24'!$AI$187</f>
        <v>1</v>
      </c>
      <c r="J48" s="882">
        <v>1</v>
      </c>
      <c r="K48" s="882"/>
      <c r="L48" s="882"/>
      <c r="M48" s="882"/>
      <c r="N48" s="882"/>
    </row>
    <row r="49" spans="3:14">
      <c r="C49" s="55" t="s">
        <v>215</v>
      </c>
      <c r="D49" s="55" t="s">
        <v>216</v>
      </c>
      <c r="E49" s="882"/>
      <c r="F49" s="882"/>
      <c r="G49" s="882"/>
      <c r="H49" s="882"/>
      <c r="I49" s="882">
        <f>'[10]Rev SP FY24'!$AI$188</f>
        <v>0</v>
      </c>
      <c r="J49" s="882">
        <v>0</v>
      </c>
      <c r="K49" s="882"/>
      <c r="L49" s="882"/>
      <c r="M49" s="882"/>
      <c r="N49" s="882"/>
    </row>
    <row r="50" spans="3:14">
      <c r="C50" s="55" t="s">
        <v>217</v>
      </c>
      <c r="D50" s="55" t="s">
        <v>206</v>
      </c>
      <c r="E50" s="882">
        <v>17</v>
      </c>
      <c r="F50" s="882">
        <v>20</v>
      </c>
      <c r="G50" s="882">
        <v>20</v>
      </c>
      <c r="H50" s="882">
        <v>21</v>
      </c>
      <c r="I50" s="882">
        <f>'[10]Rev SP FY24'!$AI$189</f>
        <v>22.2696507177837</v>
      </c>
      <c r="J50" s="882">
        <f>'[10]Rev_SP-12me'!$AJ$189</f>
        <v>24.906976744186</v>
      </c>
      <c r="K50" s="882"/>
      <c r="L50" s="882"/>
      <c r="M50" s="882"/>
      <c r="N50" s="882"/>
    </row>
    <row r="51" spans="3:14">
      <c r="C51" s="55" t="s">
        <v>218</v>
      </c>
      <c r="D51" s="55" t="s">
        <v>186</v>
      </c>
      <c r="E51" s="882">
        <v>5</v>
      </c>
      <c r="F51" s="882">
        <v>4</v>
      </c>
      <c r="G51" s="882">
        <v>8</v>
      </c>
      <c r="H51" s="882">
        <v>8</v>
      </c>
      <c r="I51" s="882">
        <f>'[10]Rev SP FY24'!$AI$190</f>
        <v>8.3933410762679</v>
      </c>
      <c r="J51" s="882">
        <f>'[10]Rev_SP-12me'!$AJ$190</f>
        <v>8.8130081300813</v>
      </c>
      <c r="K51" s="882"/>
      <c r="L51" s="882"/>
      <c r="M51" s="882"/>
      <c r="N51" s="882"/>
    </row>
    <row r="52" spans="3:14">
      <c r="C52" s="55" t="s">
        <v>208</v>
      </c>
      <c r="D52" s="55" t="s">
        <v>209</v>
      </c>
      <c r="E52" s="882">
        <v>0</v>
      </c>
      <c r="F52" s="882">
        <v>0</v>
      </c>
      <c r="G52" s="882">
        <v>0</v>
      </c>
      <c r="H52" s="882">
        <v>0</v>
      </c>
      <c r="I52" s="882">
        <v>0</v>
      </c>
      <c r="J52" s="882">
        <v>0</v>
      </c>
      <c r="K52" s="882"/>
      <c r="L52" s="882"/>
      <c r="M52" s="882"/>
      <c r="N52" s="882"/>
    </row>
    <row r="53" spans="3:14">
      <c r="C53" s="55" t="s">
        <v>210</v>
      </c>
      <c r="D53" s="55" t="s">
        <v>188</v>
      </c>
      <c r="E53" s="882">
        <v>0</v>
      </c>
      <c r="F53" s="882">
        <v>0</v>
      </c>
      <c r="G53" s="882">
        <v>0</v>
      </c>
      <c r="H53" s="882">
        <v>0</v>
      </c>
      <c r="I53" s="882">
        <v>0</v>
      </c>
      <c r="J53" s="882">
        <v>0</v>
      </c>
      <c r="K53" s="882"/>
      <c r="L53" s="882"/>
      <c r="M53" s="882"/>
      <c r="N53" s="882"/>
    </row>
    <row r="54" spans="3:14">
      <c r="C54" s="55"/>
      <c r="D54" s="55"/>
      <c r="E54" s="882"/>
      <c r="F54" s="882"/>
      <c r="G54" s="882"/>
      <c r="H54" s="882"/>
      <c r="I54" s="882"/>
      <c r="J54" s="882"/>
      <c r="K54" s="882"/>
      <c r="L54" s="882"/>
      <c r="M54" s="882"/>
      <c r="N54" s="882"/>
    </row>
    <row r="55" spans="3:14">
      <c r="C55" s="55"/>
      <c r="D55" s="55"/>
      <c r="E55" s="882"/>
      <c r="F55" s="882"/>
      <c r="G55" s="882"/>
      <c r="H55" s="882"/>
      <c r="I55" s="882"/>
      <c r="J55" s="882"/>
      <c r="K55" s="882"/>
      <c r="L55" s="882"/>
      <c r="M55" s="882"/>
      <c r="N55" s="882"/>
    </row>
    <row r="56" spans="3:14">
      <c r="C56" s="55"/>
      <c r="D56" s="55"/>
      <c r="E56" s="882"/>
      <c r="F56" s="882"/>
      <c r="G56" s="882"/>
      <c r="H56" s="882"/>
      <c r="I56" s="882"/>
      <c r="J56" s="882"/>
      <c r="K56" s="882"/>
      <c r="L56" s="882"/>
      <c r="M56" s="882"/>
      <c r="N56" s="882"/>
    </row>
    <row r="57" spans="3:14">
      <c r="C57" s="55"/>
      <c r="D57" s="55"/>
      <c r="E57" s="882"/>
      <c r="F57" s="882"/>
      <c r="G57" s="882"/>
      <c r="H57" s="882"/>
      <c r="I57" s="882"/>
      <c r="J57" s="882"/>
      <c r="K57" s="882"/>
      <c r="L57" s="882"/>
      <c r="M57" s="882"/>
      <c r="N57" s="882"/>
    </row>
    <row r="58" ht="15" spans="3:14">
      <c r="C58" s="537" t="s">
        <v>211</v>
      </c>
      <c r="D58" s="540"/>
      <c r="E58" s="877">
        <f t="shared" ref="E58:N58" si="2">SUM(E41:E57)</f>
        <v>549</v>
      </c>
      <c r="F58" s="877">
        <f t="shared" si="2"/>
        <v>550</v>
      </c>
      <c r="G58" s="877">
        <f t="shared" si="2"/>
        <v>594</v>
      </c>
      <c r="H58" s="877">
        <f t="shared" si="2"/>
        <v>606</v>
      </c>
      <c r="I58" s="877">
        <f t="shared" si="2"/>
        <v>655.512321678514</v>
      </c>
      <c r="J58" s="877">
        <f t="shared" si="2"/>
        <v>667.96199433328</v>
      </c>
      <c r="K58" s="877">
        <f t="shared" si="2"/>
        <v>0</v>
      </c>
      <c r="L58" s="877">
        <f t="shared" si="2"/>
        <v>0</v>
      </c>
      <c r="M58" s="877">
        <f t="shared" si="2"/>
        <v>0</v>
      </c>
      <c r="N58" s="877">
        <f t="shared" si="2"/>
        <v>0</v>
      </c>
    </row>
    <row r="59" ht="15" spans="3:14">
      <c r="C59" s="44" t="s">
        <v>219</v>
      </c>
      <c r="D59" s="45"/>
      <c r="E59" s="45"/>
      <c r="F59" s="45"/>
      <c r="G59" s="45"/>
      <c r="H59" s="55"/>
      <c r="I59" s="55"/>
      <c r="J59" s="55"/>
      <c r="K59" s="55"/>
      <c r="L59" s="55"/>
      <c r="M59" s="55"/>
      <c r="N59" s="55"/>
    </row>
    <row r="60" spans="3:15">
      <c r="C60" s="55" t="s">
        <v>191</v>
      </c>
      <c r="D60" s="55" t="s">
        <v>192</v>
      </c>
      <c r="E60" s="882">
        <v>37</v>
      </c>
      <c r="F60" s="882">
        <v>39</v>
      </c>
      <c r="G60" s="882">
        <v>40</v>
      </c>
      <c r="H60" s="882">
        <v>44</v>
      </c>
      <c r="I60" s="882">
        <f>'[10]Rev SP FY24'!$AI$208</f>
        <v>53.3676398085277</v>
      </c>
      <c r="J60" s="882">
        <f>'[10]Rev_SP-12me'!$AJ$208</f>
        <v>48.0026463777704</v>
      </c>
      <c r="K60" s="882"/>
      <c r="L60" s="882"/>
      <c r="M60" s="882"/>
      <c r="N60" s="882"/>
      <c r="O60" s="887">
        <f t="shared" ref="O60:O66" si="3">J24+J41+J60</f>
        <v>6595.90903076414</v>
      </c>
    </row>
    <row r="61" spans="3:15">
      <c r="C61" s="55" t="s">
        <v>193</v>
      </c>
      <c r="D61" s="55" t="s">
        <v>194</v>
      </c>
      <c r="E61" s="882">
        <v>2</v>
      </c>
      <c r="F61" s="882">
        <v>1</v>
      </c>
      <c r="G61" s="882">
        <v>2</v>
      </c>
      <c r="H61" s="882">
        <v>2</v>
      </c>
      <c r="I61" s="882">
        <f>'[10]Rev SP FY24'!$AI$216</f>
        <v>2</v>
      </c>
      <c r="J61" s="882">
        <f>'[10]Rev_SP-12me'!$AJ$216</f>
        <v>2</v>
      </c>
      <c r="K61" s="882"/>
      <c r="L61" s="882"/>
      <c r="M61" s="882"/>
      <c r="N61" s="882"/>
      <c r="O61" s="887">
        <f t="shared" si="3"/>
        <v>3</v>
      </c>
    </row>
    <row r="62" spans="3:15">
      <c r="C62" s="55" t="s">
        <v>195</v>
      </c>
      <c r="D62" s="55" t="s">
        <v>196</v>
      </c>
      <c r="E62" s="882">
        <v>5</v>
      </c>
      <c r="F62" s="882">
        <v>4</v>
      </c>
      <c r="G62" s="882">
        <v>4</v>
      </c>
      <c r="H62" s="882">
        <v>4</v>
      </c>
      <c r="I62" s="882">
        <f>'[10]Rev SP FY24'!$AI$222</f>
        <v>4.53110156073287</v>
      </c>
      <c r="J62" s="882">
        <f>'[10]Rev_SP-12me'!$AJ$222</f>
        <v>4.53110156073287</v>
      </c>
      <c r="K62" s="882"/>
      <c r="L62" s="882"/>
      <c r="M62" s="882"/>
      <c r="N62" s="882"/>
      <c r="O62" s="887">
        <f t="shared" si="3"/>
        <v>5007.55258991178</v>
      </c>
    </row>
    <row r="63" spans="3:15">
      <c r="C63" s="55" t="s">
        <v>197</v>
      </c>
      <c r="D63" s="55" t="s">
        <v>198</v>
      </c>
      <c r="E63" s="882">
        <v>0</v>
      </c>
      <c r="F63" s="882">
        <v>0</v>
      </c>
      <c r="G63" s="882">
        <v>0</v>
      </c>
      <c r="H63" s="882">
        <v>0</v>
      </c>
      <c r="I63" s="882">
        <v>0</v>
      </c>
      <c r="J63" s="882">
        <f>'[10]Rev_SP-12me'!$AJ$227</f>
        <v>0</v>
      </c>
      <c r="K63" s="882"/>
      <c r="L63" s="882"/>
      <c r="M63" s="882"/>
      <c r="N63" s="882"/>
      <c r="O63" s="887">
        <f t="shared" si="3"/>
        <v>0</v>
      </c>
    </row>
    <row r="64" spans="3:15">
      <c r="C64" s="55" t="s">
        <v>199</v>
      </c>
      <c r="D64" s="55" t="s">
        <v>200</v>
      </c>
      <c r="E64" s="882">
        <v>1</v>
      </c>
      <c r="F64" s="882">
        <v>1</v>
      </c>
      <c r="G64" s="882">
        <v>1</v>
      </c>
      <c r="H64" s="882">
        <v>1</v>
      </c>
      <c r="I64" s="882">
        <f>'[10]Rev SP FY24'!$AI$232</f>
        <v>1</v>
      </c>
      <c r="J64" s="882">
        <f>'[10]Rev_SP-12me'!$AJ$232</f>
        <v>1</v>
      </c>
      <c r="K64" s="882"/>
      <c r="L64" s="882"/>
      <c r="M64" s="882"/>
      <c r="N64" s="882"/>
      <c r="O64" s="887">
        <f t="shared" si="3"/>
        <v>12.9166666666667</v>
      </c>
    </row>
    <row r="65" spans="3:15">
      <c r="C65" s="55" t="s">
        <v>201</v>
      </c>
      <c r="D65" s="55" t="s">
        <v>202</v>
      </c>
      <c r="E65" s="882">
        <v>15</v>
      </c>
      <c r="F65" s="882">
        <v>18</v>
      </c>
      <c r="G65" s="882">
        <v>18</v>
      </c>
      <c r="H65" s="882">
        <v>19</v>
      </c>
      <c r="I65" s="882">
        <f>'[10]Rev SP FY24'!$AI$237</f>
        <v>18.3120240262386</v>
      </c>
      <c r="J65" s="882">
        <f>'[10]Rev_SP-12me'!$AJ$237</f>
        <v>20.1554054054054</v>
      </c>
      <c r="K65" s="882"/>
      <c r="L65" s="882"/>
      <c r="M65" s="882"/>
      <c r="N65" s="882"/>
      <c r="O65" s="887">
        <f t="shared" si="3"/>
        <v>175.033783783784</v>
      </c>
    </row>
    <row r="66" spans="3:15">
      <c r="C66" s="55" t="s">
        <v>203</v>
      </c>
      <c r="D66" s="55" t="s">
        <v>220</v>
      </c>
      <c r="E66" s="882">
        <v>2</v>
      </c>
      <c r="F66" s="882">
        <v>2</v>
      </c>
      <c r="G66" s="882">
        <v>2</v>
      </c>
      <c r="H66" s="882">
        <v>2</v>
      </c>
      <c r="I66" s="882">
        <f>'[10]Rev SP FY24'!$AI$247</f>
        <v>1.81708317524861</v>
      </c>
      <c r="J66" s="882">
        <f>'[10]Rev_SP-12me'!$AJ$247</f>
        <v>2</v>
      </c>
      <c r="K66" s="882"/>
      <c r="L66" s="882"/>
      <c r="M66" s="882"/>
      <c r="N66" s="882"/>
      <c r="O66" s="887">
        <f t="shared" si="3"/>
        <v>138.79054054054</v>
      </c>
    </row>
    <row r="67" spans="3:15">
      <c r="C67" s="55" t="s">
        <v>221</v>
      </c>
      <c r="D67" s="55" t="s">
        <v>222</v>
      </c>
      <c r="E67" s="882">
        <v>13</v>
      </c>
      <c r="F67" s="882">
        <v>13</v>
      </c>
      <c r="G67" s="882">
        <v>13</v>
      </c>
      <c r="H67" s="882">
        <v>15</v>
      </c>
      <c r="I67" s="882">
        <f>'[10]Rev SP FY24'!$AI$240</f>
        <v>16.9010216037375</v>
      </c>
      <c r="J67" s="882">
        <f>'[10]Rev_SP-12me'!$AJ$240</f>
        <v>18.75</v>
      </c>
      <c r="K67" s="882"/>
      <c r="L67" s="882"/>
      <c r="M67" s="882"/>
      <c r="N67" s="882"/>
      <c r="O67" s="887">
        <f>J31+J50+J67</f>
        <v>273.75</v>
      </c>
    </row>
    <row r="68" spans="3:15">
      <c r="C68" s="55" t="s">
        <v>205</v>
      </c>
      <c r="D68" s="55" t="s">
        <v>206</v>
      </c>
      <c r="E68" s="882">
        <v>0</v>
      </c>
      <c r="F68" s="882">
        <v>0</v>
      </c>
      <c r="G68" s="882">
        <v>0</v>
      </c>
      <c r="H68" s="882">
        <v>0</v>
      </c>
      <c r="I68" s="882">
        <v>0</v>
      </c>
      <c r="J68" s="882">
        <f>'[10]Rev_SP-12me'!$AJ$245</f>
        <v>0</v>
      </c>
      <c r="K68" s="882"/>
      <c r="L68" s="882"/>
      <c r="M68" s="882"/>
      <c r="N68" s="882"/>
      <c r="O68" s="887">
        <f>J32+J51+J68</f>
        <v>542</v>
      </c>
    </row>
    <row r="69" spans="3:15">
      <c r="C69" s="55" t="s">
        <v>207</v>
      </c>
      <c r="D69" s="55" t="s">
        <v>186</v>
      </c>
      <c r="E69" s="882">
        <v>0</v>
      </c>
      <c r="F69" s="882">
        <v>0</v>
      </c>
      <c r="G69" s="882">
        <v>0</v>
      </c>
      <c r="H69" s="882">
        <v>0</v>
      </c>
      <c r="I69" s="882">
        <v>0</v>
      </c>
      <c r="J69" s="882">
        <f>'[10]Rev_SP-12me'!$AJ$246</f>
        <v>0</v>
      </c>
      <c r="K69" s="882"/>
      <c r="L69" s="882"/>
      <c r="M69" s="882"/>
      <c r="N69" s="882"/>
      <c r="O69" s="887">
        <f>J33+J52+J69</f>
        <v>0</v>
      </c>
    </row>
    <row r="70" spans="3:15">
      <c r="C70" s="55" t="s">
        <v>208</v>
      </c>
      <c r="D70" s="55" t="s">
        <v>209</v>
      </c>
      <c r="E70" s="882">
        <v>0</v>
      </c>
      <c r="F70" s="882">
        <v>0</v>
      </c>
      <c r="G70" s="882">
        <v>0</v>
      </c>
      <c r="H70" s="882">
        <v>0</v>
      </c>
      <c r="I70" s="882">
        <v>0</v>
      </c>
      <c r="J70" s="882">
        <v>0</v>
      </c>
      <c r="K70" s="882"/>
      <c r="L70" s="882"/>
      <c r="M70" s="882"/>
      <c r="N70" s="882"/>
      <c r="O70" s="887">
        <f>J34+J53+J70</f>
        <v>3</v>
      </c>
    </row>
    <row r="71" spans="3:15">
      <c r="C71" s="55" t="s">
        <v>210</v>
      </c>
      <c r="D71" s="55" t="s">
        <v>188</v>
      </c>
      <c r="E71" s="882">
        <v>0</v>
      </c>
      <c r="F71" s="882">
        <v>0</v>
      </c>
      <c r="G71" s="882">
        <v>0</v>
      </c>
      <c r="H71" s="882">
        <v>0</v>
      </c>
      <c r="I71" s="882">
        <v>0</v>
      </c>
      <c r="J71" s="882">
        <v>0</v>
      </c>
      <c r="K71" s="882"/>
      <c r="L71" s="882"/>
      <c r="M71" s="882"/>
      <c r="N71" s="882"/>
      <c r="O71" s="887">
        <f>J35+J54+J71</f>
        <v>0</v>
      </c>
    </row>
    <row r="72" spans="3:14">
      <c r="C72" s="55"/>
      <c r="D72" s="55"/>
      <c r="E72" s="882"/>
      <c r="F72" s="882"/>
      <c r="G72" s="882"/>
      <c r="H72" s="882"/>
      <c r="I72" s="882"/>
      <c r="J72" s="882"/>
      <c r="K72" s="882"/>
      <c r="L72" s="882"/>
      <c r="M72" s="882"/>
      <c r="N72" s="882"/>
    </row>
    <row r="73" spans="3:14">
      <c r="C73" s="55"/>
      <c r="D73" s="55"/>
      <c r="E73" s="882"/>
      <c r="F73" s="882"/>
      <c r="G73" s="882"/>
      <c r="H73" s="882"/>
      <c r="I73" s="882"/>
      <c r="J73" s="882"/>
      <c r="K73" s="882"/>
      <c r="L73" s="882"/>
      <c r="M73" s="882"/>
      <c r="N73" s="882"/>
    </row>
    <row r="74" spans="3:14">
      <c r="C74" s="55"/>
      <c r="D74" s="55"/>
      <c r="E74" s="882"/>
      <c r="F74" s="882"/>
      <c r="G74" s="882"/>
      <c r="H74" s="882"/>
      <c r="I74" s="882"/>
      <c r="J74" s="882"/>
      <c r="K74" s="882"/>
      <c r="L74" s="882"/>
      <c r="M74" s="882"/>
      <c r="N74" s="882"/>
    </row>
    <row r="75" spans="3:14">
      <c r="C75" s="55"/>
      <c r="D75" s="55"/>
      <c r="E75" s="882"/>
      <c r="F75" s="882"/>
      <c r="G75" s="882"/>
      <c r="H75" s="882"/>
      <c r="I75" s="882"/>
      <c r="J75" s="882"/>
      <c r="K75" s="882"/>
      <c r="L75" s="882"/>
      <c r="M75" s="882"/>
      <c r="N75" s="882"/>
    </row>
    <row r="76" ht="15" spans="3:14">
      <c r="C76" s="537" t="s">
        <v>211</v>
      </c>
      <c r="D76" s="540"/>
      <c r="E76" s="877">
        <f t="shared" ref="E76:N76" si="4">SUM(E60:E75)</f>
        <v>75</v>
      </c>
      <c r="F76" s="877">
        <f t="shared" si="4"/>
        <v>78</v>
      </c>
      <c r="G76" s="877">
        <f t="shared" si="4"/>
        <v>80</v>
      </c>
      <c r="H76" s="877">
        <f t="shared" si="4"/>
        <v>87</v>
      </c>
      <c r="I76" s="877">
        <f t="shared" si="4"/>
        <v>97.9288701744853</v>
      </c>
      <c r="J76" s="877">
        <f t="shared" si="4"/>
        <v>96.4391533439087</v>
      </c>
      <c r="K76" s="877">
        <f t="shared" si="4"/>
        <v>0</v>
      </c>
      <c r="L76" s="877">
        <f t="shared" si="4"/>
        <v>0</v>
      </c>
      <c r="M76" s="877">
        <f t="shared" si="4"/>
        <v>0</v>
      </c>
      <c r="N76" s="877">
        <f t="shared" si="4"/>
        <v>0</v>
      </c>
    </row>
    <row r="77" ht="15" spans="3:14">
      <c r="C77" s="537" t="s">
        <v>223</v>
      </c>
      <c r="D77" s="540"/>
      <c r="E77" s="877">
        <f t="shared" ref="E77:N77" si="5">E39+E58+E76</f>
        <v>9676</v>
      </c>
      <c r="F77" s="877">
        <f t="shared" si="5"/>
        <v>10010</v>
      </c>
      <c r="G77" s="877">
        <f t="shared" si="5"/>
        <v>10685</v>
      </c>
      <c r="H77" s="877">
        <f t="shared" si="5"/>
        <v>11510</v>
      </c>
      <c r="I77" s="877">
        <f t="shared" si="5"/>
        <v>12123.4315911308</v>
      </c>
      <c r="J77" s="877">
        <f t="shared" si="5"/>
        <v>12752.9526116669</v>
      </c>
      <c r="K77" s="877">
        <f t="shared" si="5"/>
        <v>0</v>
      </c>
      <c r="L77" s="877">
        <f t="shared" si="5"/>
        <v>0</v>
      </c>
      <c r="M77" s="877">
        <f t="shared" si="5"/>
        <v>0</v>
      </c>
      <c r="N77" s="877">
        <f t="shared" si="5"/>
        <v>0</v>
      </c>
    </row>
    <row r="78" ht="15" spans="3:14">
      <c r="C78" s="537" t="s">
        <v>224</v>
      </c>
      <c r="D78" s="540"/>
      <c r="E78" s="877">
        <f t="shared" ref="E78:N78" si="6">E77+E22</f>
        <v>8751364</v>
      </c>
      <c r="F78" s="877">
        <f t="shared" si="6"/>
        <v>9107326</v>
      </c>
      <c r="G78" s="877">
        <f t="shared" si="6"/>
        <v>9595317</v>
      </c>
      <c r="H78" s="877">
        <f t="shared" si="6"/>
        <v>10048068</v>
      </c>
      <c r="I78" s="877">
        <f t="shared" si="6"/>
        <v>10606406.2559687</v>
      </c>
      <c r="J78" s="877">
        <f t="shared" si="6"/>
        <v>11196257.8201371</v>
      </c>
      <c r="K78" s="877">
        <f t="shared" si="6"/>
        <v>0</v>
      </c>
      <c r="L78" s="877">
        <f t="shared" si="6"/>
        <v>0</v>
      </c>
      <c r="M78" s="877">
        <f t="shared" si="6"/>
        <v>0</v>
      </c>
      <c r="N78" s="877">
        <f t="shared" si="6"/>
        <v>0</v>
      </c>
    </row>
    <row r="80" ht="15" spans="4:5">
      <c r="D80" s="11"/>
      <c r="E80" s="11" t="s">
        <v>225</v>
      </c>
    </row>
    <row r="81" spans="4:6">
      <c r="D81" s="13"/>
      <c r="E81" s="13">
        <v>1</v>
      </c>
      <c r="F81" s="12" t="s">
        <v>226</v>
      </c>
    </row>
  </sheetData>
  <mergeCells count="17">
    <mergeCell ref="J5:N5"/>
    <mergeCell ref="C8:D8"/>
    <mergeCell ref="C22:D22"/>
    <mergeCell ref="C23:D23"/>
    <mergeCell ref="C39:D39"/>
    <mergeCell ref="C40:D40"/>
    <mergeCell ref="C58:D58"/>
    <mergeCell ref="C59:D59"/>
    <mergeCell ref="C76:D76"/>
    <mergeCell ref="C77:D77"/>
    <mergeCell ref="C78:D78"/>
    <mergeCell ref="E5:E6"/>
    <mergeCell ref="F5:F6"/>
    <mergeCell ref="G5:G6"/>
    <mergeCell ref="H5:H6"/>
    <mergeCell ref="I5:I6"/>
    <mergeCell ref="C5:D7"/>
  </mergeCells>
  <pageMargins left="0.75" right="0.75" top="1" bottom="1" header="0.5" footer="0.5"/>
  <pageSetup paperSize="9" scale="41" orientation="landscape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B2:U528"/>
  <sheetViews>
    <sheetView showGridLines="0" zoomScale="57" zoomScaleNormal="57" topLeftCell="A144" workbookViewId="0">
      <selection activeCell="J143" sqref="J143"/>
    </sheetView>
  </sheetViews>
  <sheetFormatPr defaultColWidth="9.14285714285714" defaultRowHeight="14.25"/>
  <cols>
    <col min="1" max="1" width="3.14285714285714" style="12" customWidth="1"/>
    <col min="2" max="2" width="8.14285714285714" style="12" customWidth="1"/>
    <col min="3" max="3" width="22.1428571428571" style="12" customWidth="1"/>
    <col min="4" max="4" width="40.1428571428571" style="12" customWidth="1"/>
    <col min="5" max="5" width="15.1428571428571" style="12" customWidth="1"/>
    <col min="6" max="6" width="14.4285714285714" style="12" customWidth="1"/>
    <col min="7" max="8" width="15.1428571428571" style="12" customWidth="1"/>
    <col min="9" max="10" width="14.8571428571429" style="12" customWidth="1"/>
    <col min="11" max="11" width="12.5714285714286" style="12" customWidth="1"/>
    <col min="12" max="12" width="15.1428571428571" style="12" customWidth="1"/>
    <col min="13" max="13" width="14.8571428571429" style="12" customWidth="1"/>
    <col min="14" max="14" width="14.4285714285714" style="12" customWidth="1"/>
    <col min="15" max="16" width="15.1428571428571" style="12" customWidth="1"/>
    <col min="17" max="17" width="16.1428571428571" style="12" customWidth="1"/>
    <col min="18" max="18" width="12.4285714285714" style="12" customWidth="1"/>
    <col min="19" max="19" width="12.8571428571429" style="12" customWidth="1"/>
    <col min="20" max="16384" width="9.14285714285714" style="12"/>
  </cols>
  <sheetData>
    <row r="2" ht="15" spans="3:17">
      <c r="C2" s="2" t="s">
        <v>156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ht="15" spans="10:10">
      <c r="J3" s="3" t="s">
        <v>538</v>
      </c>
    </row>
    <row r="4" ht="15" spans="3:10">
      <c r="C4" s="11" t="s">
        <v>522</v>
      </c>
      <c r="J4" s="3"/>
    </row>
    <row r="5" ht="15" spans="3:17">
      <c r="C5" s="14"/>
      <c r="Q5" s="3" t="s">
        <v>109</v>
      </c>
    </row>
    <row r="6" ht="15" customHeight="1" spans="3:17">
      <c r="C6" s="673" t="s">
        <v>345</v>
      </c>
      <c r="D6" s="658" t="s">
        <v>346</v>
      </c>
      <c r="E6" s="135" t="s">
        <v>443</v>
      </c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</row>
    <row r="7" ht="15" spans="3:17">
      <c r="C7" s="674"/>
      <c r="D7" s="660"/>
      <c r="E7" s="135" t="s">
        <v>246</v>
      </c>
      <c r="F7" s="135" t="s">
        <v>247</v>
      </c>
      <c r="G7" s="135" t="s">
        <v>248</v>
      </c>
      <c r="H7" s="135" t="s">
        <v>249</v>
      </c>
      <c r="I7" s="135" t="s">
        <v>250</v>
      </c>
      <c r="J7" s="135" t="s">
        <v>251</v>
      </c>
      <c r="K7" s="135" t="s">
        <v>252</v>
      </c>
      <c r="L7" s="135" t="s">
        <v>253</v>
      </c>
      <c r="M7" s="135" t="s">
        <v>254</v>
      </c>
      <c r="N7" s="135" t="s">
        <v>255</v>
      </c>
      <c r="O7" s="135" t="s">
        <v>256</v>
      </c>
      <c r="P7" s="135" t="s">
        <v>257</v>
      </c>
      <c r="Q7" s="135" t="s">
        <v>97</v>
      </c>
    </row>
    <row r="8" customHeight="1" spans="3:17">
      <c r="C8" s="675"/>
      <c r="D8" s="662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</row>
    <row r="9" ht="15" spans="2:17">
      <c r="B9" s="656"/>
      <c r="C9" s="663" t="s">
        <v>349</v>
      </c>
      <c r="D9" s="676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ht="15" spans="3:17">
      <c r="C10" s="44" t="s">
        <v>350</v>
      </c>
      <c r="D10" s="4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customHeight="1" spans="2:17">
      <c r="B11" s="656"/>
      <c r="C11" s="677" t="s">
        <v>351</v>
      </c>
      <c r="D11" s="47" t="s">
        <v>352</v>
      </c>
      <c r="E11" s="147">
        <f t="shared" ref="E11:P11" si="0">E187+E359</f>
        <v>77.6029550865067</v>
      </c>
      <c r="F11" s="147">
        <f t="shared" si="0"/>
        <v>112.697010501178</v>
      </c>
      <c r="G11" s="147">
        <f t="shared" si="0"/>
        <v>99.6162875477948</v>
      </c>
      <c r="H11" s="147">
        <f t="shared" si="0"/>
        <v>0</v>
      </c>
      <c r="I11" s="147">
        <f t="shared" si="0"/>
        <v>38.1436035542449</v>
      </c>
      <c r="J11" s="147">
        <f t="shared" si="0"/>
        <v>73.8263294598287</v>
      </c>
      <c r="K11" s="147">
        <f t="shared" si="0"/>
        <v>76.2872071084899</v>
      </c>
      <c r="L11" s="147">
        <f t="shared" si="0"/>
        <v>80.539640287951</v>
      </c>
      <c r="M11" s="147">
        <f t="shared" si="0"/>
        <v>81.4886075931595</v>
      </c>
      <c r="N11" s="147">
        <f t="shared" si="0"/>
        <v>78.8879073508246</v>
      </c>
      <c r="O11" s="147">
        <f t="shared" si="0"/>
        <v>89.5481482810777</v>
      </c>
      <c r="P11" s="147">
        <f t="shared" si="0"/>
        <v>104.894909774173</v>
      </c>
      <c r="Q11" s="147">
        <f t="shared" ref="Q11:Q29" si="1">SUM(E11:P11)</f>
        <v>913.532606545229</v>
      </c>
    </row>
    <row r="12" spans="2:17">
      <c r="B12" s="656"/>
      <c r="C12" s="678"/>
      <c r="D12" s="47" t="s">
        <v>353</v>
      </c>
      <c r="E12" s="147">
        <f t="shared" ref="E12:P12" si="2">E188+E360</f>
        <v>94.4620735345147</v>
      </c>
      <c r="F12" s="147">
        <f t="shared" si="2"/>
        <v>0</v>
      </c>
      <c r="G12" s="147">
        <f t="shared" si="2"/>
        <v>57.1019736850462</v>
      </c>
      <c r="H12" s="147">
        <f t="shared" si="2"/>
        <v>82.677419829783</v>
      </c>
      <c r="I12" s="147">
        <f t="shared" si="2"/>
        <v>77.4001377129883</v>
      </c>
      <c r="J12" s="147">
        <f t="shared" si="2"/>
        <v>77.4568826819861</v>
      </c>
      <c r="K12" s="147">
        <f t="shared" si="2"/>
        <v>77.4001377129883</v>
      </c>
      <c r="L12" s="147">
        <f t="shared" si="2"/>
        <v>89.3153041980759</v>
      </c>
      <c r="M12" s="147">
        <f t="shared" si="2"/>
        <v>82.677419829783</v>
      </c>
      <c r="N12" s="147">
        <f t="shared" si="2"/>
        <v>82.8544037135029</v>
      </c>
      <c r="O12" s="147">
        <f t="shared" si="2"/>
        <v>93.7426887843524</v>
      </c>
      <c r="P12" s="147">
        <f t="shared" si="2"/>
        <v>107.716463991869</v>
      </c>
      <c r="Q12" s="147">
        <f t="shared" si="1"/>
        <v>922.80490567489</v>
      </c>
    </row>
    <row r="13" spans="2:17">
      <c r="B13" s="656"/>
      <c r="C13" s="678"/>
      <c r="D13" s="47" t="s">
        <v>354</v>
      </c>
      <c r="E13" s="147">
        <f t="shared" ref="E13:P13" si="3">E189+E361</f>
        <v>190.991829554224</v>
      </c>
      <c r="F13" s="147">
        <f t="shared" si="3"/>
        <v>0</v>
      </c>
      <c r="G13" s="147">
        <f t="shared" si="3"/>
        <v>109.919978700416</v>
      </c>
      <c r="H13" s="147">
        <f t="shared" si="3"/>
        <v>172.273321073855</v>
      </c>
      <c r="I13" s="147">
        <f t="shared" si="3"/>
        <v>147.171903951984</v>
      </c>
      <c r="J13" s="147">
        <f t="shared" si="3"/>
        <v>161.969840521993</v>
      </c>
      <c r="K13" s="147">
        <f t="shared" si="3"/>
        <v>146.991030340557</v>
      </c>
      <c r="L13" s="147">
        <f t="shared" si="3"/>
        <v>210.579577288225</v>
      </c>
      <c r="M13" s="147">
        <f t="shared" si="3"/>
        <v>179.463644768598</v>
      </c>
      <c r="N13" s="147">
        <f t="shared" si="3"/>
        <v>182.08407756935</v>
      </c>
      <c r="O13" s="147">
        <f t="shared" si="3"/>
        <v>182.553376390692</v>
      </c>
      <c r="P13" s="147">
        <f t="shared" si="3"/>
        <v>222.162907965554</v>
      </c>
      <c r="Q13" s="147">
        <f t="shared" si="1"/>
        <v>1906.16148812545</v>
      </c>
    </row>
    <row r="14" spans="2:17">
      <c r="B14" s="656"/>
      <c r="C14" s="678"/>
      <c r="D14" s="47" t="s">
        <v>355</v>
      </c>
      <c r="E14" s="147">
        <f t="shared" ref="E14:P14" si="4">E190+E362</f>
        <v>15.0197160850807</v>
      </c>
      <c r="F14" s="147">
        <f t="shared" si="4"/>
        <v>0</v>
      </c>
      <c r="G14" s="147">
        <f t="shared" si="4"/>
        <v>9.73805768153586</v>
      </c>
      <c r="H14" s="147">
        <f t="shared" si="4"/>
        <v>15.5203732879167</v>
      </c>
      <c r="I14" s="147">
        <f t="shared" si="4"/>
        <v>15.0087126300733</v>
      </c>
      <c r="J14" s="147">
        <f t="shared" si="4"/>
        <v>14.5245606097484</v>
      </c>
      <c r="K14" s="147">
        <f t="shared" si="4"/>
        <v>15.0087126300733</v>
      </c>
      <c r="L14" s="147">
        <f t="shared" si="4"/>
        <v>15.514871560413</v>
      </c>
      <c r="M14" s="147">
        <f t="shared" si="4"/>
        <v>16.0320339457601</v>
      </c>
      <c r="N14" s="147">
        <f t="shared" si="4"/>
        <v>15.5203732879167</v>
      </c>
      <c r="O14" s="147">
        <f t="shared" si="4"/>
        <v>17.2534174515799</v>
      </c>
      <c r="P14" s="147">
        <f t="shared" si="4"/>
        <v>20.6369798663509</v>
      </c>
      <c r="Q14" s="147">
        <f t="shared" si="1"/>
        <v>169.777809036449</v>
      </c>
    </row>
    <row r="15" spans="2:17">
      <c r="B15" s="656"/>
      <c r="C15" s="678"/>
      <c r="D15" s="47" t="s">
        <v>356</v>
      </c>
      <c r="E15" s="147">
        <f t="shared" ref="E15:P15" si="5">E191+E363</f>
        <v>94.8772643039928</v>
      </c>
      <c r="F15" s="147">
        <f t="shared" si="5"/>
        <v>98.7370298872985</v>
      </c>
      <c r="G15" s="147">
        <f t="shared" si="5"/>
        <v>96.283636995096</v>
      </c>
      <c r="H15" s="147">
        <f t="shared" si="5"/>
        <v>91.0490588768709</v>
      </c>
      <c r="I15" s="147">
        <f t="shared" si="5"/>
        <v>69.5109692356722</v>
      </c>
      <c r="J15" s="147">
        <f t="shared" si="5"/>
        <v>74.4743251996226</v>
      </c>
      <c r="K15" s="147">
        <f t="shared" si="5"/>
        <v>0</v>
      </c>
      <c r="L15" s="147">
        <f t="shared" si="5"/>
        <v>49.2093815575329</v>
      </c>
      <c r="M15" s="147">
        <f t="shared" si="5"/>
        <v>88.0138653269303</v>
      </c>
      <c r="N15" s="147">
        <f t="shared" si="5"/>
        <v>85.7724443959452</v>
      </c>
      <c r="O15" s="147">
        <f t="shared" si="5"/>
        <v>85.7873268390949</v>
      </c>
      <c r="P15" s="147">
        <f t="shared" si="5"/>
        <v>105.115205822386</v>
      </c>
      <c r="Q15" s="147">
        <f t="shared" si="1"/>
        <v>938.830508440443</v>
      </c>
    </row>
    <row r="16" spans="2:17">
      <c r="B16" s="656"/>
      <c r="C16" s="678"/>
      <c r="D16" s="47" t="s">
        <v>357</v>
      </c>
      <c r="E16" s="147">
        <f t="shared" ref="E16:P16" si="6">E192+E364</f>
        <v>133.475535234965</v>
      </c>
      <c r="F16" s="147">
        <f t="shared" si="6"/>
        <v>136.724943191865</v>
      </c>
      <c r="G16" s="147">
        <f t="shared" si="6"/>
        <v>133.475535234965</v>
      </c>
      <c r="H16" s="147">
        <f t="shared" si="6"/>
        <v>137.115795269353</v>
      </c>
      <c r="I16" s="147">
        <f t="shared" si="6"/>
        <v>109.923854964313</v>
      </c>
      <c r="J16" s="147">
        <f t="shared" si="6"/>
        <v>118.580816002726</v>
      </c>
      <c r="K16" s="147">
        <f t="shared" si="6"/>
        <v>102.957889385468</v>
      </c>
      <c r="L16" s="147">
        <f t="shared" si="6"/>
        <v>0</v>
      </c>
      <c r="M16" s="147">
        <f t="shared" si="6"/>
        <v>66.048457341621</v>
      </c>
      <c r="N16" s="147">
        <f t="shared" si="6"/>
        <v>117.527402034355</v>
      </c>
      <c r="O16" s="147">
        <f t="shared" si="6"/>
        <v>119.313342294541</v>
      </c>
      <c r="P16" s="147">
        <f t="shared" si="6"/>
        <v>155.408134921461</v>
      </c>
      <c r="Q16" s="147">
        <f t="shared" si="1"/>
        <v>1330.55170587563</v>
      </c>
    </row>
    <row r="17" spans="2:17">
      <c r="B17" s="656"/>
      <c r="C17" s="678"/>
      <c r="D17" s="47" t="s">
        <v>358</v>
      </c>
      <c r="E17" s="147">
        <f t="shared" ref="E17:P17" si="7">E193+E365</f>
        <v>285.01930629768</v>
      </c>
      <c r="F17" s="147">
        <f t="shared" si="7"/>
        <v>142.72385042758</v>
      </c>
      <c r="G17" s="147">
        <f t="shared" si="7"/>
        <v>213.121638742827</v>
      </c>
      <c r="H17" s="147">
        <f t="shared" si="7"/>
        <v>277.562953852425</v>
      </c>
      <c r="I17" s="147">
        <f t="shared" si="7"/>
        <v>188.100723001148</v>
      </c>
      <c r="J17" s="147">
        <f t="shared" si="7"/>
        <v>172.484283094514</v>
      </c>
      <c r="K17" s="147">
        <f t="shared" si="7"/>
        <v>212.890240751379</v>
      </c>
      <c r="L17" s="147">
        <f t="shared" si="7"/>
        <v>214.707937333</v>
      </c>
      <c r="M17" s="147">
        <f t="shared" si="7"/>
        <v>241.944695357158</v>
      </c>
      <c r="N17" s="147">
        <f t="shared" si="7"/>
        <v>252.791020015698</v>
      </c>
      <c r="O17" s="147">
        <f t="shared" si="7"/>
        <v>253.670342688243</v>
      </c>
      <c r="P17" s="147">
        <f t="shared" si="7"/>
        <v>314.64610474296</v>
      </c>
      <c r="Q17" s="147">
        <f t="shared" si="1"/>
        <v>2769.66309630461</v>
      </c>
    </row>
    <row r="18" spans="2:17">
      <c r="B18" s="656"/>
      <c r="C18" s="678"/>
      <c r="D18" s="47" t="s">
        <v>359</v>
      </c>
      <c r="E18" s="147">
        <f t="shared" ref="E18:P18" si="8">E194+E366</f>
        <v>905.378514860173</v>
      </c>
      <c r="F18" s="147">
        <f t="shared" si="8"/>
        <v>539.191722054545</v>
      </c>
      <c r="G18" s="147">
        <f t="shared" si="8"/>
        <v>531.138907709278</v>
      </c>
      <c r="H18" s="147">
        <f t="shared" si="8"/>
        <v>583.328555085568</v>
      </c>
      <c r="I18" s="147">
        <f t="shared" si="8"/>
        <v>776.792006958724</v>
      </c>
      <c r="J18" s="147">
        <f t="shared" si="8"/>
        <v>891.830691788931</v>
      </c>
      <c r="K18" s="147">
        <f t="shared" si="8"/>
        <v>751.697707553895</v>
      </c>
      <c r="L18" s="147">
        <f t="shared" si="8"/>
        <v>707.288124491501</v>
      </c>
      <c r="M18" s="147">
        <f t="shared" si="8"/>
        <v>812.495209672873</v>
      </c>
      <c r="N18" s="147">
        <f t="shared" si="8"/>
        <v>890.357475672728</v>
      </c>
      <c r="O18" s="147">
        <f t="shared" si="8"/>
        <v>872.566345830349</v>
      </c>
      <c r="P18" s="147">
        <f t="shared" si="8"/>
        <v>1015.3665643345</v>
      </c>
      <c r="Q18" s="147">
        <f t="shared" si="1"/>
        <v>9277.43182601306</v>
      </c>
    </row>
    <row r="19" spans="2:17">
      <c r="B19" s="656"/>
      <c r="C19" s="678"/>
      <c r="D19" s="679" t="s">
        <v>492</v>
      </c>
      <c r="E19" s="147">
        <f t="shared" ref="E19:P19" si="9">E195+E367</f>
        <v>0</v>
      </c>
      <c r="F19" s="147">
        <f t="shared" si="9"/>
        <v>0</v>
      </c>
      <c r="G19" s="147">
        <f t="shared" si="9"/>
        <v>0</v>
      </c>
      <c r="H19" s="147">
        <f t="shared" si="9"/>
        <v>0</v>
      </c>
      <c r="I19" s="147">
        <f t="shared" si="9"/>
        <v>0</v>
      </c>
      <c r="J19" s="147">
        <f t="shared" si="9"/>
        <v>0</v>
      </c>
      <c r="K19" s="147">
        <f t="shared" si="9"/>
        <v>0</v>
      </c>
      <c r="L19" s="147">
        <f t="shared" si="9"/>
        <v>0</v>
      </c>
      <c r="M19" s="147">
        <f t="shared" si="9"/>
        <v>0</v>
      </c>
      <c r="N19" s="147">
        <f t="shared" si="9"/>
        <v>0</v>
      </c>
      <c r="O19" s="147">
        <f t="shared" si="9"/>
        <v>0</v>
      </c>
      <c r="P19" s="147">
        <f t="shared" si="9"/>
        <v>0</v>
      </c>
      <c r="Q19" s="147">
        <f t="shared" si="1"/>
        <v>0</v>
      </c>
    </row>
    <row r="20" spans="2:17">
      <c r="B20" s="656"/>
      <c r="C20" s="678"/>
      <c r="D20" s="47"/>
      <c r="E20" s="147">
        <f t="shared" ref="E20:P20" si="10">E196+E368</f>
        <v>0</v>
      </c>
      <c r="F20" s="147">
        <f t="shared" si="10"/>
        <v>0</v>
      </c>
      <c r="G20" s="147">
        <f t="shared" si="10"/>
        <v>0</v>
      </c>
      <c r="H20" s="147">
        <f t="shared" si="10"/>
        <v>0</v>
      </c>
      <c r="I20" s="147">
        <f t="shared" si="10"/>
        <v>0</v>
      </c>
      <c r="J20" s="147">
        <f t="shared" si="10"/>
        <v>0</v>
      </c>
      <c r="K20" s="147">
        <f t="shared" si="10"/>
        <v>0</v>
      </c>
      <c r="L20" s="147">
        <f t="shared" si="10"/>
        <v>0</v>
      </c>
      <c r="M20" s="147">
        <f t="shared" si="10"/>
        <v>0</v>
      </c>
      <c r="N20" s="147">
        <f t="shared" si="10"/>
        <v>0</v>
      </c>
      <c r="O20" s="147">
        <f t="shared" si="10"/>
        <v>0</v>
      </c>
      <c r="P20" s="147">
        <f t="shared" si="10"/>
        <v>0</v>
      </c>
      <c r="Q20" s="147">
        <f t="shared" si="1"/>
        <v>0</v>
      </c>
    </row>
    <row r="21" spans="2:17">
      <c r="B21" s="656"/>
      <c r="C21" s="678"/>
      <c r="D21" s="47"/>
      <c r="E21" s="147">
        <f t="shared" ref="E21:P21" si="11">E197+E369</f>
        <v>0</v>
      </c>
      <c r="F21" s="147">
        <f t="shared" si="11"/>
        <v>0</v>
      </c>
      <c r="G21" s="147">
        <f t="shared" si="11"/>
        <v>0</v>
      </c>
      <c r="H21" s="147">
        <f t="shared" si="11"/>
        <v>0</v>
      </c>
      <c r="I21" s="147">
        <f t="shared" si="11"/>
        <v>0</v>
      </c>
      <c r="J21" s="147">
        <f t="shared" si="11"/>
        <v>0</v>
      </c>
      <c r="K21" s="147">
        <f t="shared" si="11"/>
        <v>0</v>
      </c>
      <c r="L21" s="147">
        <f t="shared" si="11"/>
        <v>0</v>
      </c>
      <c r="M21" s="147">
        <f t="shared" si="11"/>
        <v>0</v>
      </c>
      <c r="N21" s="147">
        <f t="shared" si="11"/>
        <v>0</v>
      </c>
      <c r="O21" s="147">
        <f t="shared" si="11"/>
        <v>0</v>
      </c>
      <c r="P21" s="147">
        <f t="shared" si="11"/>
        <v>0</v>
      </c>
      <c r="Q21" s="147">
        <f t="shared" si="1"/>
        <v>0</v>
      </c>
    </row>
    <row r="22" spans="2:17">
      <c r="B22" s="656"/>
      <c r="C22" s="678"/>
      <c r="D22" s="47"/>
      <c r="E22" s="147">
        <f t="shared" ref="E22:P22" si="12">E198+E370</f>
        <v>0</v>
      </c>
      <c r="F22" s="147">
        <f t="shared" si="12"/>
        <v>0</v>
      </c>
      <c r="G22" s="147">
        <f t="shared" si="12"/>
        <v>0</v>
      </c>
      <c r="H22" s="147">
        <f t="shared" si="12"/>
        <v>0</v>
      </c>
      <c r="I22" s="147">
        <f t="shared" si="12"/>
        <v>0</v>
      </c>
      <c r="J22" s="147">
        <f t="shared" si="12"/>
        <v>0</v>
      </c>
      <c r="K22" s="147">
        <f t="shared" si="12"/>
        <v>0</v>
      </c>
      <c r="L22" s="147">
        <f t="shared" si="12"/>
        <v>0</v>
      </c>
      <c r="M22" s="147">
        <f t="shared" si="12"/>
        <v>0</v>
      </c>
      <c r="N22" s="147">
        <f t="shared" si="12"/>
        <v>0</v>
      </c>
      <c r="O22" s="147">
        <f t="shared" si="12"/>
        <v>0</v>
      </c>
      <c r="P22" s="147">
        <f t="shared" si="12"/>
        <v>0</v>
      </c>
      <c r="Q22" s="147">
        <f t="shared" si="1"/>
        <v>0</v>
      </c>
    </row>
    <row r="23" spans="2:17">
      <c r="B23" s="656"/>
      <c r="C23" s="678"/>
      <c r="D23" s="47"/>
      <c r="E23" s="147">
        <f t="shared" ref="E23:P23" si="13">E199+E371</f>
        <v>0</v>
      </c>
      <c r="F23" s="147">
        <f t="shared" si="13"/>
        <v>0</v>
      </c>
      <c r="G23" s="147">
        <f t="shared" si="13"/>
        <v>0</v>
      </c>
      <c r="H23" s="147">
        <f t="shared" si="13"/>
        <v>0</v>
      </c>
      <c r="I23" s="147">
        <f t="shared" si="13"/>
        <v>0</v>
      </c>
      <c r="J23" s="147">
        <f t="shared" si="13"/>
        <v>0</v>
      </c>
      <c r="K23" s="147">
        <f t="shared" si="13"/>
        <v>0</v>
      </c>
      <c r="L23" s="147">
        <f t="shared" si="13"/>
        <v>0</v>
      </c>
      <c r="M23" s="147">
        <f t="shared" si="13"/>
        <v>0</v>
      </c>
      <c r="N23" s="147">
        <f t="shared" si="13"/>
        <v>0</v>
      </c>
      <c r="O23" s="147">
        <f t="shared" si="13"/>
        <v>0</v>
      </c>
      <c r="P23" s="147">
        <f t="shared" si="13"/>
        <v>0</v>
      </c>
      <c r="Q23" s="147">
        <f t="shared" si="1"/>
        <v>0</v>
      </c>
    </row>
    <row r="24" spans="2:17">
      <c r="B24" s="656"/>
      <c r="C24" s="678"/>
      <c r="D24" s="47"/>
      <c r="E24" s="147">
        <f t="shared" ref="E24:P24" si="14">E200+E372</f>
        <v>0</v>
      </c>
      <c r="F24" s="147">
        <f t="shared" si="14"/>
        <v>0</v>
      </c>
      <c r="G24" s="147">
        <f t="shared" si="14"/>
        <v>0</v>
      </c>
      <c r="H24" s="147">
        <f t="shared" si="14"/>
        <v>0</v>
      </c>
      <c r="I24" s="147">
        <f t="shared" si="14"/>
        <v>0</v>
      </c>
      <c r="J24" s="147">
        <f t="shared" si="14"/>
        <v>0</v>
      </c>
      <c r="K24" s="147">
        <f t="shared" si="14"/>
        <v>0</v>
      </c>
      <c r="L24" s="147">
        <f t="shared" si="14"/>
        <v>0</v>
      </c>
      <c r="M24" s="147">
        <f t="shared" si="14"/>
        <v>0</v>
      </c>
      <c r="N24" s="147">
        <f t="shared" si="14"/>
        <v>0</v>
      </c>
      <c r="O24" s="147">
        <f t="shared" si="14"/>
        <v>0</v>
      </c>
      <c r="P24" s="147">
        <f t="shared" si="14"/>
        <v>0</v>
      </c>
      <c r="Q24" s="147">
        <f t="shared" si="1"/>
        <v>0</v>
      </c>
    </row>
    <row r="25" spans="2:17">
      <c r="B25" s="656"/>
      <c r="C25" s="678"/>
      <c r="D25" s="47"/>
      <c r="E25" s="147">
        <f t="shared" ref="E25:P25" si="15">E201+E373</f>
        <v>0</v>
      </c>
      <c r="F25" s="147">
        <f t="shared" si="15"/>
        <v>0</v>
      </c>
      <c r="G25" s="147">
        <f t="shared" si="15"/>
        <v>0</v>
      </c>
      <c r="H25" s="147">
        <f t="shared" si="15"/>
        <v>0</v>
      </c>
      <c r="I25" s="147">
        <f t="shared" si="15"/>
        <v>0</v>
      </c>
      <c r="J25" s="147">
        <f t="shared" si="15"/>
        <v>0</v>
      </c>
      <c r="K25" s="147">
        <f t="shared" si="15"/>
        <v>0</v>
      </c>
      <c r="L25" s="147">
        <f t="shared" si="15"/>
        <v>0</v>
      </c>
      <c r="M25" s="147">
        <f t="shared" si="15"/>
        <v>0</v>
      </c>
      <c r="N25" s="147">
        <f t="shared" si="15"/>
        <v>0</v>
      </c>
      <c r="O25" s="147">
        <f t="shared" si="15"/>
        <v>0</v>
      </c>
      <c r="P25" s="147">
        <f t="shared" si="15"/>
        <v>0</v>
      </c>
      <c r="Q25" s="147">
        <f t="shared" si="1"/>
        <v>0</v>
      </c>
    </row>
    <row r="26" spans="2:17">
      <c r="B26" s="656"/>
      <c r="C26" s="678"/>
      <c r="D26" s="47"/>
      <c r="E26" s="147">
        <f t="shared" ref="E26:P26" si="16">E202+E374</f>
        <v>0</v>
      </c>
      <c r="F26" s="147">
        <f t="shared" si="16"/>
        <v>0</v>
      </c>
      <c r="G26" s="147">
        <f t="shared" si="16"/>
        <v>0</v>
      </c>
      <c r="H26" s="147">
        <f t="shared" si="16"/>
        <v>0</v>
      </c>
      <c r="I26" s="147">
        <f t="shared" si="16"/>
        <v>0</v>
      </c>
      <c r="J26" s="147">
        <f t="shared" si="16"/>
        <v>0</v>
      </c>
      <c r="K26" s="147">
        <f t="shared" si="16"/>
        <v>0</v>
      </c>
      <c r="L26" s="147">
        <f t="shared" si="16"/>
        <v>0</v>
      </c>
      <c r="M26" s="147">
        <f t="shared" si="16"/>
        <v>0</v>
      </c>
      <c r="N26" s="147">
        <f t="shared" si="16"/>
        <v>0</v>
      </c>
      <c r="O26" s="147">
        <f t="shared" si="16"/>
        <v>0</v>
      </c>
      <c r="P26" s="147">
        <f t="shared" si="16"/>
        <v>0</v>
      </c>
      <c r="Q26" s="147">
        <f t="shared" si="1"/>
        <v>0</v>
      </c>
    </row>
    <row r="27" spans="2:17">
      <c r="B27" s="656"/>
      <c r="C27" s="678"/>
      <c r="D27" s="47"/>
      <c r="E27" s="147">
        <f t="shared" ref="E27:P27" si="17">E203+E375</f>
        <v>0</v>
      </c>
      <c r="F27" s="147">
        <f t="shared" si="17"/>
        <v>0</v>
      </c>
      <c r="G27" s="147">
        <f t="shared" si="17"/>
        <v>0</v>
      </c>
      <c r="H27" s="147">
        <f t="shared" si="17"/>
        <v>0</v>
      </c>
      <c r="I27" s="147">
        <f t="shared" si="17"/>
        <v>0</v>
      </c>
      <c r="J27" s="147">
        <f t="shared" si="17"/>
        <v>0</v>
      </c>
      <c r="K27" s="147">
        <f t="shared" si="17"/>
        <v>0</v>
      </c>
      <c r="L27" s="147">
        <f t="shared" si="17"/>
        <v>0</v>
      </c>
      <c r="M27" s="147">
        <f t="shared" si="17"/>
        <v>0</v>
      </c>
      <c r="N27" s="147">
        <f t="shared" si="17"/>
        <v>0</v>
      </c>
      <c r="O27" s="147">
        <f t="shared" si="17"/>
        <v>0</v>
      </c>
      <c r="P27" s="147">
        <f t="shared" si="17"/>
        <v>0</v>
      </c>
      <c r="Q27" s="147">
        <f t="shared" si="1"/>
        <v>0</v>
      </c>
    </row>
    <row r="28" spans="2:17">
      <c r="B28" s="656"/>
      <c r="C28" s="680"/>
      <c r="D28" s="47"/>
      <c r="E28" s="147">
        <f t="shared" ref="E28:P28" si="18">E204+E376</f>
        <v>0</v>
      </c>
      <c r="F28" s="147">
        <f t="shared" si="18"/>
        <v>0</v>
      </c>
      <c r="G28" s="147">
        <f t="shared" si="18"/>
        <v>0</v>
      </c>
      <c r="H28" s="147">
        <f t="shared" si="18"/>
        <v>0</v>
      </c>
      <c r="I28" s="147">
        <f t="shared" si="18"/>
        <v>0</v>
      </c>
      <c r="J28" s="147">
        <f t="shared" si="18"/>
        <v>0</v>
      </c>
      <c r="K28" s="147">
        <f t="shared" si="18"/>
        <v>0</v>
      </c>
      <c r="L28" s="147">
        <f t="shared" si="18"/>
        <v>0</v>
      </c>
      <c r="M28" s="147">
        <f t="shared" si="18"/>
        <v>0</v>
      </c>
      <c r="N28" s="147">
        <f t="shared" si="18"/>
        <v>0</v>
      </c>
      <c r="O28" s="147">
        <f t="shared" si="18"/>
        <v>0</v>
      </c>
      <c r="P28" s="147">
        <f t="shared" si="18"/>
        <v>0</v>
      </c>
      <c r="Q28" s="147">
        <f t="shared" si="1"/>
        <v>0</v>
      </c>
    </row>
    <row r="29" ht="15" spans="3:18">
      <c r="C29" s="537" t="s">
        <v>211</v>
      </c>
      <c r="D29" s="540"/>
      <c r="E29" s="681">
        <f t="shared" ref="E29:P29" si="19">SUM(E11:E28)</f>
        <v>1796.82719495714</v>
      </c>
      <c r="F29" s="681">
        <f t="shared" si="19"/>
        <v>1030.07455606247</v>
      </c>
      <c r="G29" s="681">
        <f t="shared" si="19"/>
        <v>1250.39601629696</v>
      </c>
      <c r="H29" s="681">
        <f t="shared" si="19"/>
        <v>1359.52747727577</v>
      </c>
      <c r="I29" s="681">
        <f t="shared" si="19"/>
        <v>1422.05191200915</v>
      </c>
      <c r="J29" s="681">
        <f t="shared" si="19"/>
        <v>1585.14772935935</v>
      </c>
      <c r="K29" s="681">
        <f t="shared" si="19"/>
        <v>1383.23292548285</v>
      </c>
      <c r="L29" s="681">
        <f t="shared" si="19"/>
        <v>1367.1548367167</v>
      </c>
      <c r="M29" s="681">
        <f t="shared" si="19"/>
        <v>1568.16393383588</v>
      </c>
      <c r="N29" s="681">
        <f t="shared" si="19"/>
        <v>1705.79510404032</v>
      </c>
      <c r="O29" s="681">
        <f t="shared" si="19"/>
        <v>1714.43498855993</v>
      </c>
      <c r="P29" s="681">
        <f t="shared" si="19"/>
        <v>2045.94727141925</v>
      </c>
      <c r="Q29" s="681">
        <f t="shared" si="1"/>
        <v>18228.7539460158</v>
      </c>
      <c r="R29" s="686"/>
    </row>
    <row r="30" ht="15" spans="3:17">
      <c r="C30" s="44" t="s">
        <v>360</v>
      </c>
      <c r="D30" s="4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3:17">
      <c r="C31" s="682" t="s">
        <v>351</v>
      </c>
      <c r="D31" s="55" t="s">
        <v>361</v>
      </c>
      <c r="E31" s="55">
        <f t="shared" ref="E31:P31" si="20">E207+E379</f>
        <v>0</v>
      </c>
      <c r="F31" s="55">
        <f t="shared" si="20"/>
        <v>0</v>
      </c>
      <c r="G31" s="55">
        <f t="shared" si="20"/>
        <v>0</v>
      </c>
      <c r="H31" s="55">
        <f t="shared" si="20"/>
        <v>0</v>
      </c>
      <c r="I31" s="55">
        <f t="shared" si="20"/>
        <v>0</v>
      </c>
      <c r="J31" s="55">
        <f t="shared" si="20"/>
        <v>0</v>
      </c>
      <c r="K31" s="55">
        <f t="shared" si="20"/>
        <v>0</v>
      </c>
      <c r="L31" s="55">
        <f t="shared" si="20"/>
        <v>0</v>
      </c>
      <c r="M31" s="55">
        <f t="shared" si="20"/>
        <v>0</v>
      </c>
      <c r="N31" s="55">
        <f t="shared" si="20"/>
        <v>0</v>
      </c>
      <c r="O31" s="55">
        <f t="shared" si="20"/>
        <v>0</v>
      </c>
      <c r="P31" s="55">
        <f t="shared" si="20"/>
        <v>0</v>
      </c>
      <c r="Q31" s="55">
        <f t="shared" ref="Q31:Q48" si="21">SUM(E31:P31)</f>
        <v>0</v>
      </c>
    </row>
    <row r="32" spans="3:17">
      <c r="C32" s="683"/>
      <c r="D32" s="55" t="s">
        <v>362</v>
      </c>
      <c r="E32" s="55">
        <f t="shared" ref="E32:P32" si="22">E208+E380</f>
        <v>0</v>
      </c>
      <c r="F32" s="55">
        <f t="shared" si="22"/>
        <v>0</v>
      </c>
      <c r="G32" s="55">
        <f t="shared" si="22"/>
        <v>0</v>
      </c>
      <c r="H32" s="55">
        <f t="shared" si="22"/>
        <v>0</v>
      </c>
      <c r="I32" s="55">
        <f t="shared" si="22"/>
        <v>0</v>
      </c>
      <c r="J32" s="55">
        <f t="shared" si="22"/>
        <v>0</v>
      </c>
      <c r="K32" s="55">
        <f t="shared" si="22"/>
        <v>0</v>
      </c>
      <c r="L32" s="55">
        <f t="shared" si="22"/>
        <v>0</v>
      </c>
      <c r="M32" s="55">
        <f t="shared" si="22"/>
        <v>0</v>
      </c>
      <c r="N32" s="55">
        <f t="shared" si="22"/>
        <v>0</v>
      </c>
      <c r="O32" s="55">
        <f t="shared" si="22"/>
        <v>0</v>
      </c>
      <c r="P32" s="55">
        <f t="shared" si="22"/>
        <v>0</v>
      </c>
      <c r="Q32" s="55">
        <f t="shared" si="21"/>
        <v>0</v>
      </c>
    </row>
    <row r="33" spans="3:17">
      <c r="C33" s="683"/>
      <c r="D33" s="55" t="s">
        <v>363</v>
      </c>
      <c r="E33" s="55">
        <f t="shared" ref="E33:P33" si="23">E209+E381</f>
        <v>0</v>
      </c>
      <c r="F33" s="55">
        <f t="shared" si="23"/>
        <v>0</v>
      </c>
      <c r="G33" s="55">
        <f t="shared" si="23"/>
        <v>0</v>
      </c>
      <c r="H33" s="55">
        <f t="shared" si="23"/>
        <v>0</v>
      </c>
      <c r="I33" s="55">
        <f t="shared" si="23"/>
        <v>0</v>
      </c>
      <c r="J33" s="55">
        <f t="shared" si="23"/>
        <v>0</v>
      </c>
      <c r="K33" s="55">
        <f t="shared" si="23"/>
        <v>0</v>
      </c>
      <c r="L33" s="55">
        <f t="shared" si="23"/>
        <v>0</v>
      </c>
      <c r="M33" s="55">
        <f t="shared" si="23"/>
        <v>0</v>
      </c>
      <c r="N33" s="55">
        <f t="shared" si="23"/>
        <v>0</v>
      </c>
      <c r="O33" s="55">
        <f t="shared" si="23"/>
        <v>0</v>
      </c>
      <c r="P33" s="55">
        <f t="shared" si="23"/>
        <v>0</v>
      </c>
      <c r="Q33" s="55">
        <f t="shared" si="21"/>
        <v>0</v>
      </c>
    </row>
    <row r="34" spans="3:17">
      <c r="C34" s="683"/>
      <c r="D34" s="55" t="s">
        <v>364</v>
      </c>
      <c r="E34" s="55">
        <f t="shared" ref="E34:P34" si="24">E210+E382</f>
        <v>0</v>
      </c>
      <c r="F34" s="55">
        <f t="shared" si="24"/>
        <v>0</v>
      </c>
      <c r="G34" s="55">
        <f t="shared" si="24"/>
        <v>0</v>
      </c>
      <c r="H34" s="55">
        <f t="shared" si="24"/>
        <v>0</v>
      </c>
      <c r="I34" s="55">
        <f t="shared" si="24"/>
        <v>0</v>
      </c>
      <c r="J34" s="55">
        <f t="shared" si="24"/>
        <v>0</v>
      </c>
      <c r="K34" s="55">
        <f t="shared" si="24"/>
        <v>0</v>
      </c>
      <c r="L34" s="55">
        <f t="shared" si="24"/>
        <v>0</v>
      </c>
      <c r="M34" s="55">
        <f t="shared" si="24"/>
        <v>0</v>
      </c>
      <c r="N34" s="55">
        <f t="shared" si="24"/>
        <v>0</v>
      </c>
      <c r="O34" s="55">
        <f t="shared" si="24"/>
        <v>0</v>
      </c>
      <c r="P34" s="55">
        <f t="shared" si="24"/>
        <v>0</v>
      </c>
      <c r="Q34" s="55">
        <f t="shared" si="21"/>
        <v>0</v>
      </c>
    </row>
    <row r="35" spans="3:17">
      <c r="C35" s="683"/>
      <c r="D35" s="55" t="s">
        <v>365</v>
      </c>
      <c r="E35" s="55">
        <f t="shared" ref="E35:P35" si="25">E211+E383</f>
        <v>0</v>
      </c>
      <c r="F35" s="55">
        <f t="shared" si="25"/>
        <v>0</v>
      </c>
      <c r="G35" s="55">
        <f t="shared" si="25"/>
        <v>0</v>
      </c>
      <c r="H35" s="55">
        <f t="shared" si="25"/>
        <v>0</v>
      </c>
      <c r="I35" s="55">
        <f t="shared" si="25"/>
        <v>0</v>
      </c>
      <c r="J35" s="55">
        <f t="shared" si="25"/>
        <v>0</v>
      </c>
      <c r="K35" s="55">
        <f t="shared" si="25"/>
        <v>0</v>
      </c>
      <c r="L35" s="55">
        <f t="shared" si="25"/>
        <v>0</v>
      </c>
      <c r="M35" s="55">
        <f t="shared" si="25"/>
        <v>0</v>
      </c>
      <c r="N35" s="55">
        <f t="shared" si="25"/>
        <v>0</v>
      </c>
      <c r="O35" s="55">
        <f t="shared" si="25"/>
        <v>0</v>
      </c>
      <c r="P35" s="55">
        <f t="shared" si="25"/>
        <v>0</v>
      </c>
      <c r="Q35" s="55">
        <f t="shared" si="21"/>
        <v>0</v>
      </c>
    </row>
    <row r="36" spans="3:17">
      <c r="C36" s="683"/>
      <c r="D36" s="55" t="s">
        <v>366</v>
      </c>
      <c r="E36" s="55">
        <f t="shared" ref="E36:P36" si="26">E212+E384</f>
        <v>0</v>
      </c>
      <c r="F36" s="55">
        <f t="shared" si="26"/>
        <v>0</v>
      </c>
      <c r="G36" s="55">
        <f t="shared" si="26"/>
        <v>0</v>
      </c>
      <c r="H36" s="55">
        <f t="shared" si="26"/>
        <v>0</v>
      </c>
      <c r="I36" s="55">
        <f t="shared" si="26"/>
        <v>0</v>
      </c>
      <c r="J36" s="55">
        <f t="shared" si="26"/>
        <v>0</v>
      </c>
      <c r="K36" s="55">
        <f t="shared" si="26"/>
        <v>0</v>
      </c>
      <c r="L36" s="55">
        <f t="shared" si="26"/>
        <v>0</v>
      </c>
      <c r="M36" s="55">
        <f t="shared" si="26"/>
        <v>0</v>
      </c>
      <c r="N36" s="55">
        <f t="shared" si="26"/>
        <v>0</v>
      </c>
      <c r="O36" s="55">
        <f t="shared" si="26"/>
        <v>0</v>
      </c>
      <c r="P36" s="55">
        <f t="shared" si="26"/>
        <v>0</v>
      </c>
      <c r="Q36" s="55">
        <f t="shared" si="21"/>
        <v>0</v>
      </c>
    </row>
    <row r="37" spans="3:17">
      <c r="C37" s="683"/>
      <c r="D37" s="55" t="s">
        <v>367</v>
      </c>
      <c r="E37" s="55">
        <f t="shared" ref="E37:P37" si="27">E213+E385</f>
        <v>0</v>
      </c>
      <c r="F37" s="55">
        <f t="shared" si="27"/>
        <v>0</v>
      </c>
      <c r="G37" s="55">
        <f t="shared" si="27"/>
        <v>0</v>
      </c>
      <c r="H37" s="55">
        <f t="shared" si="27"/>
        <v>0</v>
      </c>
      <c r="I37" s="55">
        <f t="shared" si="27"/>
        <v>0</v>
      </c>
      <c r="J37" s="55">
        <f t="shared" si="27"/>
        <v>0</v>
      </c>
      <c r="K37" s="55">
        <f t="shared" si="27"/>
        <v>0</v>
      </c>
      <c r="L37" s="55">
        <f t="shared" si="27"/>
        <v>0</v>
      </c>
      <c r="M37" s="55">
        <f t="shared" si="27"/>
        <v>0</v>
      </c>
      <c r="N37" s="55">
        <f t="shared" si="27"/>
        <v>0</v>
      </c>
      <c r="O37" s="55">
        <f t="shared" si="27"/>
        <v>0</v>
      </c>
      <c r="P37" s="55">
        <f t="shared" si="27"/>
        <v>0</v>
      </c>
      <c r="Q37" s="55">
        <f t="shared" si="21"/>
        <v>0</v>
      </c>
    </row>
    <row r="38" spans="3:17">
      <c r="C38" s="683"/>
      <c r="D38" s="55" t="s">
        <v>368</v>
      </c>
      <c r="E38" s="55">
        <f t="shared" ref="E38:P38" si="28">E214+E386</f>
        <v>0</v>
      </c>
      <c r="F38" s="55">
        <f t="shared" si="28"/>
        <v>0</v>
      </c>
      <c r="G38" s="55">
        <f t="shared" si="28"/>
        <v>0</v>
      </c>
      <c r="H38" s="55">
        <f t="shared" si="28"/>
        <v>0</v>
      </c>
      <c r="I38" s="55">
        <f t="shared" si="28"/>
        <v>0</v>
      </c>
      <c r="J38" s="55">
        <f t="shared" si="28"/>
        <v>0</v>
      </c>
      <c r="K38" s="55">
        <f t="shared" si="28"/>
        <v>0</v>
      </c>
      <c r="L38" s="55">
        <f t="shared" si="28"/>
        <v>0</v>
      </c>
      <c r="M38" s="55">
        <f t="shared" si="28"/>
        <v>0</v>
      </c>
      <c r="N38" s="55">
        <f t="shared" si="28"/>
        <v>0</v>
      </c>
      <c r="O38" s="55">
        <f t="shared" si="28"/>
        <v>0</v>
      </c>
      <c r="P38" s="55">
        <f t="shared" si="28"/>
        <v>0</v>
      </c>
      <c r="Q38" s="55">
        <f t="shared" si="21"/>
        <v>0</v>
      </c>
    </row>
    <row r="39" spans="3:17">
      <c r="C39" s="683"/>
      <c r="D39" s="55"/>
      <c r="E39" s="55">
        <f t="shared" ref="E39:P39" si="29">E215+E387</f>
        <v>0</v>
      </c>
      <c r="F39" s="55">
        <f t="shared" si="29"/>
        <v>0</v>
      </c>
      <c r="G39" s="55">
        <f t="shared" si="29"/>
        <v>0</v>
      </c>
      <c r="H39" s="55">
        <f t="shared" si="29"/>
        <v>0</v>
      </c>
      <c r="I39" s="55">
        <f t="shared" si="29"/>
        <v>0</v>
      </c>
      <c r="J39" s="55">
        <f t="shared" si="29"/>
        <v>0</v>
      </c>
      <c r="K39" s="55">
        <f t="shared" si="29"/>
        <v>0</v>
      </c>
      <c r="L39" s="55">
        <f t="shared" si="29"/>
        <v>0</v>
      </c>
      <c r="M39" s="55">
        <f t="shared" si="29"/>
        <v>0</v>
      </c>
      <c r="N39" s="55">
        <f t="shared" si="29"/>
        <v>0</v>
      </c>
      <c r="O39" s="55">
        <f t="shared" si="29"/>
        <v>0</v>
      </c>
      <c r="P39" s="55">
        <f t="shared" si="29"/>
        <v>0</v>
      </c>
      <c r="Q39" s="55">
        <f t="shared" si="21"/>
        <v>0</v>
      </c>
    </row>
    <row r="40" spans="3:17">
      <c r="C40" s="683"/>
      <c r="D40" s="679" t="s">
        <v>493</v>
      </c>
      <c r="E40" s="55">
        <f t="shared" ref="E40:P40" si="30">($Q$49-$Q$43)/12</f>
        <v>89.8336666666666</v>
      </c>
      <c r="F40" s="55">
        <f t="shared" si="30"/>
        <v>89.8336666666666</v>
      </c>
      <c r="G40" s="55">
        <f t="shared" si="30"/>
        <v>89.8336666666666</v>
      </c>
      <c r="H40" s="55">
        <f t="shared" si="30"/>
        <v>89.8336666666666</v>
      </c>
      <c r="I40" s="55">
        <f t="shared" si="30"/>
        <v>89.8336666666666</v>
      </c>
      <c r="J40" s="55">
        <f t="shared" si="30"/>
        <v>89.8336666666666</v>
      </c>
      <c r="K40" s="55">
        <f t="shared" si="30"/>
        <v>89.8336666666666</v>
      </c>
      <c r="L40" s="55">
        <f t="shared" si="30"/>
        <v>89.8336666666666</v>
      </c>
      <c r="M40" s="55">
        <f t="shared" si="30"/>
        <v>89.8336666666666</v>
      </c>
      <c r="N40" s="55">
        <f t="shared" si="30"/>
        <v>89.8336666666666</v>
      </c>
      <c r="O40" s="55">
        <f t="shared" si="30"/>
        <v>89.8336666666666</v>
      </c>
      <c r="P40" s="55">
        <f t="shared" si="30"/>
        <v>89.8336666666666</v>
      </c>
      <c r="Q40" s="55">
        <f t="shared" si="21"/>
        <v>1078.004</v>
      </c>
    </row>
    <row r="41" spans="3:17">
      <c r="C41" s="683"/>
      <c r="D41" s="679" t="s">
        <v>494</v>
      </c>
      <c r="E41" s="55">
        <f t="shared" ref="E41:P41" si="31">E217+E389</f>
        <v>0</v>
      </c>
      <c r="F41" s="55">
        <f t="shared" si="31"/>
        <v>0</v>
      </c>
      <c r="G41" s="55">
        <f t="shared" si="31"/>
        <v>0</v>
      </c>
      <c r="H41" s="55">
        <f t="shared" si="31"/>
        <v>0</v>
      </c>
      <c r="I41" s="55">
        <f t="shared" si="31"/>
        <v>0</v>
      </c>
      <c r="J41" s="55">
        <f t="shared" si="31"/>
        <v>0</v>
      </c>
      <c r="K41" s="55">
        <f t="shared" si="31"/>
        <v>0</v>
      </c>
      <c r="L41" s="55">
        <f t="shared" si="31"/>
        <v>0</v>
      </c>
      <c r="M41" s="55">
        <f t="shared" si="31"/>
        <v>0</v>
      </c>
      <c r="N41" s="55">
        <f t="shared" si="31"/>
        <v>0</v>
      </c>
      <c r="O41" s="55">
        <f t="shared" si="31"/>
        <v>0</v>
      </c>
      <c r="P41" s="55">
        <f t="shared" si="31"/>
        <v>0</v>
      </c>
      <c r="Q41" s="55">
        <f t="shared" si="21"/>
        <v>0</v>
      </c>
    </row>
    <row r="42" spans="3:17">
      <c r="C42" s="683"/>
      <c r="D42" s="679"/>
      <c r="E42" s="55">
        <f t="shared" ref="E42:P42" si="32">E218+E390</f>
        <v>0</v>
      </c>
      <c r="F42" s="55">
        <f t="shared" si="32"/>
        <v>0</v>
      </c>
      <c r="G42" s="55">
        <f t="shared" si="32"/>
        <v>0</v>
      </c>
      <c r="H42" s="55">
        <f t="shared" si="32"/>
        <v>0</v>
      </c>
      <c r="I42" s="55">
        <f t="shared" si="32"/>
        <v>0</v>
      </c>
      <c r="J42" s="55">
        <f t="shared" si="32"/>
        <v>0</v>
      </c>
      <c r="K42" s="55">
        <f t="shared" si="32"/>
        <v>0</v>
      </c>
      <c r="L42" s="55">
        <f t="shared" si="32"/>
        <v>0</v>
      </c>
      <c r="M42" s="55">
        <f t="shared" si="32"/>
        <v>0</v>
      </c>
      <c r="N42" s="55">
        <f t="shared" si="32"/>
        <v>0</v>
      </c>
      <c r="O42" s="55">
        <f t="shared" si="32"/>
        <v>0</v>
      </c>
      <c r="P42" s="55">
        <f t="shared" si="32"/>
        <v>0</v>
      </c>
      <c r="Q42" s="55">
        <f t="shared" si="21"/>
        <v>0</v>
      </c>
    </row>
    <row r="43" spans="3:17">
      <c r="C43" s="683"/>
      <c r="D43" s="55"/>
      <c r="E43" s="55">
        <f t="shared" ref="E43:P43" si="33">E49</f>
        <v>40.9741046802257</v>
      </c>
      <c r="F43" s="55">
        <f t="shared" si="33"/>
        <v>43.9065551297659</v>
      </c>
      <c r="G43" s="55">
        <f t="shared" si="33"/>
        <v>45.4893172573377</v>
      </c>
      <c r="H43" s="55">
        <f t="shared" si="33"/>
        <v>99.4499245310476</v>
      </c>
      <c r="I43" s="55">
        <f t="shared" si="33"/>
        <v>233.490268108534</v>
      </c>
      <c r="J43" s="55">
        <f t="shared" si="33"/>
        <v>117.928081658788</v>
      </c>
      <c r="K43" s="55">
        <f t="shared" si="33"/>
        <v>129.986576337229</v>
      </c>
      <c r="L43" s="55">
        <f t="shared" si="33"/>
        <v>44.5827089018899</v>
      </c>
      <c r="M43" s="55">
        <f t="shared" si="33"/>
        <v>76.4818595948511</v>
      </c>
      <c r="N43" s="55">
        <f t="shared" si="33"/>
        <v>145.937909130502</v>
      </c>
      <c r="O43" s="55">
        <f t="shared" si="33"/>
        <v>131.06855754504</v>
      </c>
      <c r="P43" s="55">
        <f t="shared" si="33"/>
        <v>60.8817121247888</v>
      </c>
      <c r="Q43" s="55">
        <f t="shared" si="21"/>
        <v>1170.177575</v>
      </c>
    </row>
    <row r="44" spans="3:17">
      <c r="C44" s="683"/>
      <c r="D44" s="55"/>
      <c r="E44" s="55">
        <f t="shared" ref="E44:P44" si="34">E220+E392</f>
        <v>0</v>
      </c>
      <c r="F44" s="55">
        <f t="shared" si="34"/>
        <v>0</v>
      </c>
      <c r="G44" s="55">
        <f t="shared" si="34"/>
        <v>0</v>
      </c>
      <c r="H44" s="55">
        <f t="shared" si="34"/>
        <v>0</v>
      </c>
      <c r="I44" s="55">
        <f t="shared" si="34"/>
        <v>0</v>
      </c>
      <c r="J44" s="55">
        <f t="shared" si="34"/>
        <v>0</v>
      </c>
      <c r="K44" s="55">
        <f t="shared" si="34"/>
        <v>0</v>
      </c>
      <c r="L44" s="55">
        <f t="shared" si="34"/>
        <v>0</v>
      </c>
      <c r="M44" s="55">
        <f t="shared" si="34"/>
        <v>0</v>
      </c>
      <c r="N44" s="55">
        <f t="shared" si="34"/>
        <v>0</v>
      </c>
      <c r="O44" s="55">
        <f t="shared" si="34"/>
        <v>0</v>
      </c>
      <c r="P44" s="55">
        <f t="shared" si="34"/>
        <v>0</v>
      </c>
      <c r="Q44" s="55">
        <f t="shared" si="21"/>
        <v>0</v>
      </c>
    </row>
    <row r="45" spans="3:17">
      <c r="C45" s="683"/>
      <c r="D45" s="55"/>
      <c r="E45" s="55">
        <f t="shared" ref="E45:P45" si="35">E221+E393</f>
        <v>0</v>
      </c>
      <c r="F45" s="55">
        <f t="shared" si="35"/>
        <v>0</v>
      </c>
      <c r="G45" s="55">
        <f t="shared" si="35"/>
        <v>0</v>
      </c>
      <c r="H45" s="55">
        <f t="shared" si="35"/>
        <v>0</v>
      </c>
      <c r="I45" s="55">
        <f t="shared" si="35"/>
        <v>0</v>
      </c>
      <c r="J45" s="55">
        <f t="shared" si="35"/>
        <v>0</v>
      </c>
      <c r="K45" s="55">
        <f t="shared" si="35"/>
        <v>0</v>
      </c>
      <c r="L45" s="55">
        <f t="shared" si="35"/>
        <v>0</v>
      </c>
      <c r="M45" s="55">
        <f t="shared" si="35"/>
        <v>0</v>
      </c>
      <c r="N45" s="55">
        <f t="shared" si="35"/>
        <v>0</v>
      </c>
      <c r="O45" s="55">
        <f t="shared" si="35"/>
        <v>0</v>
      </c>
      <c r="P45" s="55">
        <f t="shared" si="35"/>
        <v>0</v>
      </c>
      <c r="Q45" s="55">
        <f t="shared" si="21"/>
        <v>0</v>
      </c>
    </row>
    <row r="46" spans="3:17">
      <c r="C46" s="683"/>
      <c r="D46" s="55"/>
      <c r="E46" s="55">
        <f t="shared" ref="E46:P46" si="36">E222+E394</f>
        <v>0</v>
      </c>
      <c r="F46" s="55">
        <f t="shared" si="36"/>
        <v>0</v>
      </c>
      <c r="G46" s="55">
        <f t="shared" si="36"/>
        <v>0</v>
      </c>
      <c r="H46" s="55">
        <f t="shared" si="36"/>
        <v>0</v>
      </c>
      <c r="I46" s="55">
        <f t="shared" si="36"/>
        <v>0</v>
      </c>
      <c r="J46" s="55">
        <f t="shared" si="36"/>
        <v>0</v>
      </c>
      <c r="K46" s="55">
        <f t="shared" si="36"/>
        <v>0</v>
      </c>
      <c r="L46" s="55">
        <f t="shared" si="36"/>
        <v>0</v>
      </c>
      <c r="M46" s="55">
        <f t="shared" si="36"/>
        <v>0</v>
      </c>
      <c r="N46" s="55">
        <f t="shared" si="36"/>
        <v>0</v>
      </c>
      <c r="O46" s="55">
        <f t="shared" si="36"/>
        <v>0</v>
      </c>
      <c r="P46" s="55">
        <f t="shared" si="36"/>
        <v>0</v>
      </c>
      <c r="Q46" s="55">
        <f t="shared" si="21"/>
        <v>0</v>
      </c>
    </row>
    <row r="47" spans="3:17">
      <c r="C47" s="683"/>
      <c r="D47" s="55"/>
      <c r="E47" s="55">
        <f t="shared" ref="E47:P47" si="37">E223+E395</f>
        <v>0</v>
      </c>
      <c r="F47" s="55">
        <f t="shared" si="37"/>
        <v>0</v>
      </c>
      <c r="G47" s="55">
        <f t="shared" si="37"/>
        <v>0</v>
      </c>
      <c r="H47" s="55">
        <f t="shared" si="37"/>
        <v>0</v>
      </c>
      <c r="I47" s="55">
        <f t="shared" si="37"/>
        <v>0</v>
      </c>
      <c r="J47" s="55">
        <f t="shared" si="37"/>
        <v>0</v>
      </c>
      <c r="K47" s="55">
        <f t="shared" si="37"/>
        <v>0</v>
      </c>
      <c r="L47" s="55">
        <f t="shared" si="37"/>
        <v>0</v>
      </c>
      <c r="M47" s="55">
        <f t="shared" si="37"/>
        <v>0</v>
      </c>
      <c r="N47" s="55">
        <f t="shared" si="37"/>
        <v>0</v>
      </c>
      <c r="O47" s="55">
        <f t="shared" si="37"/>
        <v>0</v>
      </c>
      <c r="P47" s="55">
        <f t="shared" si="37"/>
        <v>0</v>
      </c>
      <c r="Q47" s="55">
        <f t="shared" si="21"/>
        <v>0</v>
      </c>
    </row>
    <row r="48" spans="3:17">
      <c r="C48" s="684"/>
      <c r="D48" s="67"/>
      <c r="E48" s="55">
        <f t="shared" ref="E48:P48" si="38">E224+E396</f>
        <v>0</v>
      </c>
      <c r="F48" s="55">
        <f t="shared" si="38"/>
        <v>0</v>
      </c>
      <c r="G48" s="55">
        <f t="shared" si="38"/>
        <v>0</v>
      </c>
      <c r="H48" s="55">
        <f t="shared" si="38"/>
        <v>0</v>
      </c>
      <c r="I48" s="55">
        <f t="shared" si="38"/>
        <v>0</v>
      </c>
      <c r="J48" s="55">
        <f t="shared" si="38"/>
        <v>0</v>
      </c>
      <c r="K48" s="55">
        <f t="shared" si="38"/>
        <v>0</v>
      </c>
      <c r="L48" s="55">
        <f t="shared" si="38"/>
        <v>0</v>
      </c>
      <c r="M48" s="55">
        <f t="shared" si="38"/>
        <v>0</v>
      </c>
      <c r="N48" s="55">
        <f t="shared" si="38"/>
        <v>0</v>
      </c>
      <c r="O48" s="55">
        <f t="shared" si="38"/>
        <v>0</v>
      </c>
      <c r="P48" s="55">
        <f t="shared" si="38"/>
        <v>0</v>
      </c>
      <c r="Q48" s="55">
        <f t="shared" si="21"/>
        <v>0</v>
      </c>
    </row>
    <row r="49" ht="15" spans="3:18">
      <c r="C49" s="537" t="s">
        <v>211</v>
      </c>
      <c r="D49" s="540"/>
      <c r="E49" s="55">
        <f t="shared" ref="E49:Q49" si="39">E225+E397</f>
        <v>40.9741046802257</v>
      </c>
      <c r="F49" s="55">
        <f t="shared" si="39"/>
        <v>43.9065551297659</v>
      </c>
      <c r="G49" s="55">
        <f t="shared" si="39"/>
        <v>45.4893172573377</v>
      </c>
      <c r="H49" s="55">
        <f t="shared" si="39"/>
        <v>99.4499245310476</v>
      </c>
      <c r="I49" s="55">
        <f t="shared" si="39"/>
        <v>233.490268108534</v>
      </c>
      <c r="J49" s="55">
        <f t="shared" si="39"/>
        <v>117.928081658788</v>
      </c>
      <c r="K49" s="55">
        <f t="shared" si="39"/>
        <v>129.986576337229</v>
      </c>
      <c r="L49" s="55">
        <f t="shared" si="39"/>
        <v>44.5827089018899</v>
      </c>
      <c r="M49" s="55">
        <f t="shared" si="39"/>
        <v>76.4818595948511</v>
      </c>
      <c r="N49" s="55">
        <f t="shared" si="39"/>
        <v>145.937909130502</v>
      </c>
      <c r="O49" s="55">
        <f t="shared" si="39"/>
        <v>131.06855754504</v>
      </c>
      <c r="P49" s="55">
        <f t="shared" si="39"/>
        <v>60.8817121247888</v>
      </c>
      <c r="Q49" s="55">
        <f t="shared" si="39"/>
        <v>2248.181575</v>
      </c>
      <c r="R49" s="686"/>
    </row>
    <row r="50" ht="15" spans="3:18">
      <c r="C50" s="44" t="s">
        <v>369</v>
      </c>
      <c r="D50" s="45"/>
      <c r="E50" s="54">
        <f t="shared" ref="E50:Q50" si="40">E29+E49</f>
        <v>1837.80129963736</v>
      </c>
      <c r="F50" s="54">
        <f t="shared" si="40"/>
        <v>1073.98111119223</v>
      </c>
      <c r="G50" s="54">
        <f t="shared" si="40"/>
        <v>1295.8853335543</v>
      </c>
      <c r="H50" s="54">
        <f t="shared" si="40"/>
        <v>1458.97740180682</v>
      </c>
      <c r="I50" s="54">
        <f t="shared" si="40"/>
        <v>1655.54218011768</v>
      </c>
      <c r="J50" s="54">
        <f t="shared" si="40"/>
        <v>1703.07581101814</v>
      </c>
      <c r="K50" s="54">
        <f t="shared" si="40"/>
        <v>1513.21950182008</v>
      </c>
      <c r="L50" s="54">
        <f t="shared" si="40"/>
        <v>1411.73754561859</v>
      </c>
      <c r="M50" s="54">
        <f t="shared" si="40"/>
        <v>1644.64579343073</v>
      </c>
      <c r="N50" s="54">
        <f t="shared" si="40"/>
        <v>1851.73301317082</v>
      </c>
      <c r="O50" s="54">
        <f t="shared" si="40"/>
        <v>1845.50354610497</v>
      </c>
      <c r="P50" s="54">
        <f t="shared" si="40"/>
        <v>2106.82898354404</v>
      </c>
      <c r="Q50" s="54">
        <f t="shared" si="40"/>
        <v>20476.9355210158</v>
      </c>
      <c r="R50" s="686"/>
    </row>
    <row r="51" ht="15" spans="3:17">
      <c r="C51" s="663" t="s">
        <v>370</v>
      </c>
      <c r="D51" s="676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ht="15" spans="3:17">
      <c r="C52" s="44" t="s">
        <v>350</v>
      </c>
      <c r="D52" s="4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</row>
    <row r="53" ht="15" customHeight="1" spans="3:17">
      <c r="C53" s="682" t="s">
        <v>371</v>
      </c>
      <c r="D53" s="55" t="s">
        <v>372</v>
      </c>
      <c r="E53" s="147">
        <f t="shared" ref="E53:P53" si="41">E229+E401</f>
        <v>49.4548899768095</v>
      </c>
      <c r="F53" s="147">
        <f t="shared" si="41"/>
        <v>66.6547040457501</v>
      </c>
      <c r="G53" s="147">
        <f t="shared" si="41"/>
        <v>65.5567338794103</v>
      </c>
      <c r="H53" s="147">
        <f t="shared" si="41"/>
        <v>48.5499669998676</v>
      </c>
      <c r="I53" s="147">
        <f t="shared" si="41"/>
        <v>45.4732154300066</v>
      </c>
      <c r="J53" s="147">
        <f t="shared" si="41"/>
        <v>45.7039925932162</v>
      </c>
      <c r="K53" s="147">
        <f t="shared" si="41"/>
        <v>45.4732154300066</v>
      </c>
      <c r="L53" s="147">
        <f t="shared" si="41"/>
        <v>51.7021123103674</v>
      </c>
      <c r="M53" s="147">
        <f t="shared" si="41"/>
        <v>36.9318329623176</v>
      </c>
      <c r="N53" s="147">
        <f t="shared" si="41"/>
        <v>38.3062140732397</v>
      </c>
      <c r="O53" s="147">
        <f t="shared" si="41"/>
        <v>52.3293738389975</v>
      </c>
      <c r="P53" s="147">
        <f t="shared" si="41"/>
        <v>62.7474392254894</v>
      </c>
      <c r="Q53" s="147">
        <f t="shared" ref="Q53:Q79" si="42">SUM(E53:P53)</f>
        <v>608.883690765478</v>
      </c>
    </row>
    <row r="54" spans="3:17">
      <c r="C54" s="683"/>
      <c r="D54" s="55" t="s">
        <v>373</v>
      </c>
      <c r="E54" s="147">
        <f t="shared" ref="E54:P54" si="43">E230+E402</f>
        <v>13.5339406049006</v>
      </c>
      <c r="F54" s="147">
        <f t="shared" si="43"/>
        <v>16.9818730923395</v>
      </c>
      <c r="G54" s="147">
        <f t="shared" si="43"/>
        <v>16.4340707345221</v>
      </c>
      <c r="H54" s="147">
        <f t="shared" si="43"/>
        <v>0</v>
      </c>
      <c r="I54" s="147">
        <f t="shared" si="43"/>
        <v>5.49413541222747</v>
      </c>
      <c r="J54" s="147">
        <f t="shared" si="43"/>
        <v>10.9963267414817</v>
      </c>
      <c r="K54" s="147">
        <f t="shared" si="43"/>
        <v>10.988270824455</v>
      </c>
      <c r="L54" s="147">
        <f t="shared" si="43"/>
        <v>12.8089080724952</v>
      </c>
      <c r="M54" s="147">
        <f t="shared" si="43"/>
        <v>11.7374711079405</v>
      </c>
      <c r="N54" s="147">
        <f t="shared" si="43"/>
        <v>12.1120712496833</v>
      </c>
      <c r="O54" s="147">
        <f t="shared" si="43"/>
        <v>13.3083749281522</v>
      </c>
      <c r="P54" s="147">
        <f t="shared" si="43"/>
        <v>15.4834725253684</v>
      </c>
      <c r="Q54" s="147">
        <f t="shared" si="42"/>
        <v>139.878915293566</v>
      </c>
    </row>
    <row r="55" customHeight="1" spans="3:17">
      <c r="C55" s="683"/>
      <c r="D55" s="55" t="s">
        <v>374</v>
      </c>
      <c r="E55" s="147">
        <f t="shared" ref="E55:P55" si="44">E231+E403</f>
        <v>29.7513465437322</v>
      </c>
      <c r="F55" s="147">
        <f t="shared" si="44"/>
        <v>28.0899529155898</v>
      </c>
      <c r="G55" s="147">
        <f t="shared" si="44"/>
        <v>27.746249376022</v>
      </c>
      <c r="H55" s="147">
        <f t="shared" si="44"/>
        <v>30.9958101137543</v>
      </c>
      <c r="I55" s="147">
        <f t="shared" si="44"/>
        <v>25.1553784986773</v>
      </c>
      <c r="J55" s="147">
        <f t="shared" si="44"/>
        <v>29.9959452713751</v>
      </c>
      <c r="K55" s="147">
        <f t="shared" si="44"/>
        <v>26.3490642683875</v>
      </c>
      <c r="L55" s="147">
        <f t="shared" si="44"/>
        <v>20.5989535852643</v>
      </c>
      <c r="M55" s="147">
        <f t="shared" si="44"/>
        <v>17.9347521548948</v>
      </c>
      <c r="N55" s="147">
        <f t="shared" si="44"/>
        <v>25.4773354386442</v>
      </c>
      <c r="O55" s="147">
        <f t="shared" si="44"/>
        <v>27.9962155866168</v>
      </c>
      <c r="P55" s="147">
        <f t="shared" si="44"/>
        <v>30.9958101137543</v>
      </c>
      <c r="Q55" s="147">
        <f t="shared" si="42"/>
        <v>321.086813866713</v>
      </c>
    </row>
    <row r="56" spans="3:17">
      <c r="C56" s="683"/>
      <c r="D56" s="55" t="s">
        <v>375</v>
      </c>
      <c r="E56" s="147">
        <f t="shared" ref="E56:P56" si="45">E232+E404</f>
        <v>76.5121296500006</v>
      </c>
      <c r="F56" s="147">
        <f t="shared" si="45"/>
        <v>113.905148633309</v>
      </c>
      <c r="G56" s="147">
        <f t="shared" si="45"/>
        <v>100.818150163393</v>
      </c>
      <c r="H56" s="147">
        <f t="shared" si="45"/>
        <v>74.4648839693377</v>
      </c>
      <c r="I56" s="147">
        <f t="shared" si="45"/>
        <v>70.0972001474907</v>
      </c>
      <c r="J56" s="147">
        <f t="shared" si="45"/>
        <v>67.8360001427329</v>
      </c>
      <c r="K56" s="147">
        <f t="shared" si="45"/>
        <v>70.0972001474907</v>
      </c>
      <c r="L56" s="147">
        <f t="shared" si="45"/>
        <v>0</v>
      </c>
      <c r="M56" s="147">
        <f t="shared" si="45"/>
        <v>37.9693167465575</v>
      </c>
      <c r="N56" s="147">
        <f t="shared" si="45"/>
        <v>74.4845900871336</v>
      </c>
      <c r="O56" s="147">
        <f t="shared" si="45"/>
        <v>89.6942668553913</v>
      </c>
      <c r="P56" s="147">
        <f t="shared" si="45"/>
        <v>102.225083548424</v>
      </c>
      <c r="Q56" s="147">
        <f t="shared" si="42"/>
        <v>878.103970091261</v>
      </c>
    </row>
    <row r="57" spans="3:17">
      <c r="C57" s="683"/>
      <c r="D57" s="55" t="s">
        <v>376</v>
      </c>
      <c r="E57" s="147">
        <f t="shared" ref="E57:P57" si="46">E233+E405</f>
        <v>55.6190318481155</v>
      </c>
      <c r="F57" s="147">
        <f t="shared" si="46"/>
        <v>73.7187580281786</v>
      </c>
      <c r="G57" s="147">
        <f t="shared" si="46"/>
        <v>0.450224526587392</v>
      </c>
      <c r="H57" s="147">
        <f t="shared" si="46"/>
        <v>24.3567076992496</v>
      </c>
      <c r="I57" s="147">
        <f t="shared" si="46"/>
        <v>44.5852703838099</v>
      </c>
      <c r="J57" s="147">
        <f t="shared" si="46"/>
        <v>43.5354493686405</v>
      </c>
      <c r="K57" s="147">
        <f t="shared" si="46"/>
        <v>44.5852703838099</v>
      </c>
      <c r="L57" s="147">
        <f t="shared" si="46"/>
        <v>50.0132993900818</v>
      </c>
      <c r="M57" s="147">
        <f t="shared" si="46"/>
        <v>48.2631908719118</v>
      </c>
      <c r="N57" s="147">
        <f t="shared" si="46"/>
        <v>48.2631908719118</v>
      </c>
      <c r="O57" s="147">
        <f t="shared" si="46"/>
        <v>56.9241004084098</v>
      </c>
      <c r="P57" s="147">
        <f t="shared" si="46"/>
        <v>64.8138330683702</v>
      </c>
      <c r="Q57" s="147">
        <f t="shared" si="42"/>
        <v>555.128326849077</v>
      </c>
    </row>
    <row r="58" customHeight="1" spans="3:17">
      <c r="C58" s="683"/>
      <c r="D58" s="55" t="s">
        <v>377</v>
      </c>
      <c r="E58" s="147">
        <f t="shared" ref="E58:P58" si="47">E234+E406</f>
        <v>52.0868368626352</v>
      </c>
      <c r="F58" s="147">
        <f t="shared" si="47"/>
        <v>81.8110584322455</v>
      </c>
      <c r="G58" s="147">
        <f t="shared" si="47"/>
        <v>43.6311592483105</v>
      </c>
      <c r="H58" s="147">
        <f t="shared" si="47"/>
        <v>44.6916819856594</v>
      </c>
      <c r="I58" s="147">
        <f t="shared" si="47"/>
        <v>51.670142167734</v>
      </c>
      <c r="J58" s="147">
        <f t="shared" si="47"/>
        <v>50.0033633881296</v>
      </c>
      <c r="K58" s="147">
        <f t="shared" si="47"/>
        <v>51.670142167734</v>
      </c>
      <c r="L58" s="147">
        <f t="shared" si="47"/>
        <v>36.0228288340089</v>
      </c>
      <c r="M58" s="147">
        <f t="shared" si="47"/>
        <v>44.860421651237</v>
      </c>
      <c r="N58" s="147">
        <f t="shared" si="47"/>
        <v>53.4366081368234</v>
      </c>
      <c r="O58" s="147">
        <f t="shared" si="47"/>
        <v>62.2264077718948</v>
      </c>
      <c r="P58" s="147">
        <f t="shared" si="47"/>
        <v>75.3522906612791</v>
      </c>
      <c r="Q58" s="147">
        <f t="shared" si="42"/>
        <v>647.462941307691</v>
      </c>
    </row>
    <row r="59" spans="3:17">
      <c r="C59" s="683"/>
      <c r="D59" s="55" t="s">
        <v>378</v>
      </c>
      <c r="E59" s="147">
        <f t="shared" ref="E59:P59" si="48">E235+E407</f>
        <v>4.38728739634086</v>
      </c>
      <c r="F59" s="147">
        <f t="shared" si="48"/>
        <v>6.89096607051937</v>
      </c>
      <c r="G59" s="147">
        <f t="shared" si="48"/>
        <v>5.96671085902356</v>
      </c>
      <c r="H59" s="147">
        <f t="shared" si="48"/>
        <v>4.53353030955222</v>
      </c>
      <c r="I59" s="147">
        <f t="shared" si="48"/>
        <v>4.35218909717013</v>
      </c>
      <c r="J59" s="147">
        <f t="shared" si="48"/>
        <v>4.21179590048723</v>
      </c>
      <c r="K59" s="147">
        <f t="shared" si="48"/>
        <v>4.35218909717013</v>
      </c>
      <c r="L59" s="147">
        <f t="shared" si="48"/>
        <v>4.56277889219449</v>
      </c>
      <c r="M59" s="147">
        <f t="shared" si="48"/>
        <v>4.71487152193431</v>
      </c>
      <c r="N59" s="147">
        <f t="shared" si="48"/>
        <v>4.53353030955222</v>
      </c>
      <c r="O59" s="147">
        <f t="shared" si="48"/>
        <v>5.24134600949521</v>
      </c>
      <c r="P59" s="147">
        <f t="shared" si="48"/>
        <v>6.3469424333731</v>
      </c>
      <c r="Q59" s="147">
        <f t="shared" si="42"/>
        <v>60.0941378968128</v>
      </c>
    </row>
    <row r="60" spans="3:17">
      <c r="C60" s="683"/>
      <c r="D60" s="55" t="s">
        <v>379</v>
      </c>
      <c r="E60" s="147">
        <f t="shared" ref="E60:P60" si="49">E236+E408</f>
        <v>25.3250168549008</v>
      </c>
      <c r="F60" s="147">
        <f t="shared" si="49"/>
        <v>39.7771598067643</v>
      </c>
      <c r="G60" s="147">
        <f t="shared" si="49"/>
        <v>31.1834344646209</v>
      </c>
      <c r="H60" s="147">
        <f t="shared" si="49"/>
        <v>25.4094868476441</v>
      </c>
      <c r="I60" s="147">
        <f t="shared" si="49"/>
        <v>25.1224167200616</v>
      </c>
      <c r="J60" s="147">
        <f t="shared" si="49"/>
        <v>24.3120161807048</v>
      </c>
      <c r="K60" s="147">
        <f t="shared" si="49"/>
        <v>25.1224167200616</v>
      </c>
      <c r="L60" s="147">
        <f t="shared" si="49"/>
        <v>26.3380175290969</v>
      </c>
      <c r="M60" s="147">
        <f t="shared" si="49"/>
        <v>26.1691840833975</v>
      </c>
      <c r="N60" s="147">
        <f t="shared" si="49"/>
        <v>25.1224167200616</v>
      </c>
      <c r="O60" s="147">
        <f t="shared" si="49"/>
        <v>30.2549534693215</v>
      </c>
      <c r="P60" s="147">
        <f t="shared" si="49"/>
        <v>36.6368577167566</v>
      </c>
      <c r="Q60" s="147">
        <f t="shared" si="42"/>
        <v>340.773377113392</v>
      </c>
    </row>
    <row r="61" spans="3:17">
      <c r="C61" s="684"/>
      <c r="D61" s="685" t="s">
        <v>380</v>
      </c>
      <c r="E61" s="147">
        <f t="shared" ref="E61:P61" si="50">E237+E409</f>
        <v>147.897822373421</v>
      </c>
      <c r="F61" s="147">
        <f t="shared" si="50"/>
        <v>167.176526730337</v>
      </c>
      <c r="G61" s="147">
        <f t="shared" si="50"/>
        <v>161.783735545487</v>
      </c>
      <c r="H61" s="147">
        <f t="shared" si="50"/>
        <v>139.816791656738</v>
      </c>
      <c r="I61" s="147">
        <f t="shared" si="50"/>
        <v>113.085779051735</v>
      </c>
      <c r="J61" s="147">
        <f t="shared" si="50"/>
        <v>124.444240558897</v>
      </c>
      <c r="K61" s="147">
        <f t="shared" si="50"/>
        <v>110.317708458135</v>
      </c>
      <c r="L61" s="147">
        <f t="shared" si="50"/>
        <v>165.352494417814</v>
      </c>
      <c r="M61" s="147">
        <f t="shared" si="50"/>
        <v>145.05022172191</v>
      </c>
      <c r="N61" s="147">
        <f t="shared" si="50"/>
        <v>144.839078495137</v>
      </c>
      <c r="O61" s="147">
        <f t="shared" si="50"/>
        <v>140.627791507507</v>
      </c>
      <c r="P61" s="147">
        <f t="shared" si="50"/>
        <v>170.223257818793</v>
      </c>
      <c r="Q61" s="147">
        <f t="shared" si="42"/>
        <v>1730.61544833591</v>
      </c>
    </row>
    <row r="62" spans="3:17">
      <c r="C62" s="55"/>
      <c r="D62" s="685" t="s">
        <v>450</v>
      </c>
      <c r="E62" s="147">
        <f t="shared" ref="E62:P62" si="51">E238+E410</f>
        <v>145.136545509492</v>
      </c>
      <c r="F62" s="147">
        <f t="shared" si="51"/>
        <v>168.566301892016</v>
      </c>
      <c r="G62" s="147">
        <f t="shared" si="51"/>
        <v>163.128679250338</v>
      </c>
      <c r="H62" s="147">
        <f t="shared" si="51"/>
        <v>136.709338924284</v>
      </c>
      <c r="I62" s="147">
        <f t="shared" si="51"/>
        <v>112.790687295393</v>
      </c>
      <c r="J62" s="147">
        <f t="shared" si="51"/>
        <v>123.545985020476</v>
      </c>
      <c r="K62" s="147">
        <f t="shared" si="51"/>
        <v>109.072312988951</v>
      </c>
      <c r="L62" s="147">
        <f t="shared" si="51"/>
        <v>164.758526847924</v>
      </c>
      <c r="M62" s="147">
        <f t="shared" si="51"/>
        <v>144.213717550129</v>
      </c>
      <c r="N62" s="147">
        <f t="shared" si="51"/>
        <v>139.52271118723</v>
      </c>
      <c r="O62" s="147">
        <f t="shared" si="51"/>
        <v>138.041645725515</v>
      </c>
      <c r="P62" s="147">
        <f t="shared" si="51"/>
        <v>168.566301892016</v>
      </c>
      <c r="Q62" s="147">
        <f t="shared" si="42"/>
        <v>1714.05275408376</v>
      </c>
    </row>
    <row r="63" spans="3:17">
      <c r="C63" s="55"/>
      <c r="D63" s="55" t="s">
        <v>381</v>
      </c>
      <c r="E63" s="147">
        <f t="shared" ref="E63:P63" si="52">E239+E411</f>
        <v>0.888655330921624</v>
      </c>
      <c r="F63" s="147">
        <f t="shared" si="52"/>
        <v>1.39578130643425</v>
      </c>
      <c r="G63" s="147">
        <f t="shared" si="52"/>
        <v>1.06638639710592</v>
      </c>
      <c r="H63" s="147">
        <f t="shared" si="52"/>
        <v>0.881546088274257</v>
      </c>
      <c r="I63" s="147">
        <f t="shared" si="52"/>
        <v>0.881546088274257</v>
      </c>
      <c r="J63" s="147">
        <f t="shared" si="52"/>
        <v>0.853109117684765</v>
      </c>
      <c r="K63" s="147">
        <f t="shared" si="52"/>
        <v>0.881546088274257</v>
      </c>
      <c r="L63" s="147">
        <f t="shared" si="52"/>
        <v>0.924201544158483</v>
      </c>
      <c r="M63" s="147">
        <f t="shared" si="52"/>
        <v>0.918277175285678</v>
      </c>
      <c r="N63" s="147">
        <f t="shared" si="52"/>
        <v>0.881546088274257</v>
      </c>
      <c r="O63" s="147">
        <f t="shared" si="52"/>
        <v>1.06164690200766</v>
      </c>
      <c r="P63" s="147">
        <f t="shared" si="52"/>
        <v>1.28558804539989</v>
      </c>
      <c r="Q63" s="147">
        <f t="shared" si="42"/>
        <v>11.9198301720953</v>
      </c>
    </row>
    <row r="64" spans="3:17">
      <c r="C64" s="55"/>
      <c r="D64" s="55" t="s">
        <v>382</v>
      </c>
      <c r="E64" s="147">
        <f t="shared" ref="E64:P64" si="53">E240+E412</f>
        <v>0.934892905646283</v>
      </c>
      <c r="F64" s="147">
        <f t="shared" si="53"/>
        <v>0.945646368645501</v>
      </c>
      <c r="G64" s="147">
        <f t="shared" si="53"/>
        <v>0.934892905646283</v>
      </c>
      <c r="H64" s="147">
        <f t="shared" si="53"/>
        <v>0.925236734789843</v>
      </c>
      <c r="I64" s="147">
        <f t="shared" si="53"/>
        <v>0.741550030088918</v>
      </c>
      <c r="J64" s="147">
        <f t="shared" si="53"/>
        <v>0.816385354226332</v>
      </c>
      <c r="K64" s="147">
        <f t="shared" si="53"/>
        <v>0.72114039623326</v>
      </c>
      <c r="L64" s="147">
        <f t="shared" si="53"/>
        <v>0.934892905646283</v>
      </c>
      <c r="M64" s="147">
        <f t="shared" si="53"/>
        <v>0.925236734789843</v>
      </c>
      <c r="N64" s="147">
        <f t="shared" si="53"/>
        <v>0.823188565511551</v>
      </c>
      <c r="O64" s="147">
        <f t="shared" si="53"/>
        <v>0.835697695939213</v>
      </c>
      <c r="P64" s="147">
        <f t="shared" si="53"/>
        <v>1.08851380563511</v>
      </c>
      <c r="Q64" s="147">
        <f t="shared" si="42"/>
        <v>10.6272744027984</v>
      </c>
    </row>
    <row r="65" spans="3:17">
      <c r="C65" s="55"/>
      <c r="D65" s="55" t="s">
        <v>383</v>
      </c>
      <c r="E65" s="147">
        <f t="shared" ref="E65:P65" si="54">E241+E413</f>
        <v>0.105193836978132</v>
      </c>
      <c r="F65" s="147">
        <f t="shared" si="54"/>
        <v>0.165224453280321</v>
      </c>
      <c r="G65" s="147">
        <f t="shared" si="54"/>
        <v>0.126232604373755</v>
      </c>
      <c r="H65" s="147">
        <f t="shared" si="54"/>
        <v>0.104352286282308</v>
      </c>
      <c r="I65" s="147">
        <f t="shared" si="54"/>
        <v>0.104352286282308</v>
      </c>
      <c r="J65" s="147">
        <f t="shared" si="54"/>
        <v>0.100986083499007</v>
      </c>
      <c r="K65" s="147">
        <f t="shared" si="54"/>
        <v>0.104352286282308</v>
      </c>
      <c r="L65" s="147">
        <f t="shared" si="54"/>
        <v>0.109401590457257</v>
      </c>
      <c r="M65" s="147">
        <f t="shared" si="54"/>
        <v>0.108700298210736</v>
      </c>
      <c r="N65" s="147">
        <f t="shared" si="54"/>
        <v>0.104352286282308</v>
      </c>
      <c r="O65" s="147">
        <f t="shared" si="54"/>
        <v>0.125671570576537</v>
      </c>
      <c r="P65" s="147">
        <f t="shared" si="54"/>
        <v>0.152180417495024</v>
      </c>
      <c r="Q65" s="147">
        <f t="shared" si="42"/>
        <v>1.411</v>
      </c>
    </row>
    <row r="66" spans="3:17">
      <c r="C66" s="55"/>
      <c r="D66" s="55" t="s">
        <v>384</v>
      </c>
      <c r="E66" s="147">
        <f t="shared" ref="E66:P66" si="55">E242+E414</f>
        <v>6.57369118113994</v>
      </c>
      <c r="F66" s="147">
        <f t="shared" si="55"/>
        <v>6.79281422051127</v>
      </c>
      <c r="G66" s="147">
        <f t="shared" si="55"/>
        <v>6.57369118113994</v>
      </c>
      <c r="H66" s="147">
        <f t="shared" si="55"/>
        <v>6.93632438009954</v>
      </c>
      <c r="I66" s="147">
        <f t="shared" si="55"/>
        <v>5.50122278421688</v>
      </c>
      <c r="J66" s="147">
        <f t="shared" si="55"/>
        <v>6.01816798273375</v>
      </c>
      <c r="K66" s="147">
        <f t="shared" si="55"/>
        <v>5.13578787848483</v>
      </c>
      <c r="L66" s="147">
        <f t="shared" si="55"/>
        <v>6.57369118113994</v>
      </c>
      <c r="M66" s="147">
        <f t="shared" si="55"/>
        <v>6.50579390133474</v>
      </c>
      <c r="N66" s="147">
        <f t="shared" si="55"/>
        <v>5.93175326298167</v>
      </c>
      <c r="O66" s="147">
        <f t="shared" si="55"/>
        <v>6.00582302276917</v>
      </c>
      <c r="P66" s="147">
        <f t="shared" si="55"/>
        <v>7.65387517804087</v>
      </c>
      <c r="Q66" s="147">
        <f t="shared" si="42"/>
        <v>76.2026361545925</v>
      </c>
    </row>
    <row r="67" spans="3:17">
      <c r="C67" s="55"/>
      <c r="D67" s="55" t="s">
        <v>385</v>
      </c>
      <c r="E67" s="147">
        <f t="shared" ref="E67:P67" si="56">E243+E415</f>
        <v>4.74712779323119</v>
      </c>
      <c r="F67" s="147">
        <f t="shared" si="56"/>
        <v>4.90536538633889</v>
      </c>
      <c r="G67" s="147">
        <f t="shared" si="56"/>
        <v>4.74712779323119</v>
      </c>
      <c r="H67" s="147">
        <f t="shared" si="56"/>
        <v>5.00899986633197</v>
      </c>
      <c r="I67" s="147">
        <f t="shared" si="56"/>
        <v>3.97265506640122</v>
      </c>
      <c r="J67" s="147">
        <f t="shared" si="56"/>
        <v>4.34596206422573</v>
      </c>
      <c r="K67" s="147">
        <f t="shared" si="56"/>
        <v>3.70875976773028</v>
      </c>
      <c r="L67" s="147">
        <f t="shared" si="56"/>
        <v>4.74712779323119</v>
      </c>
      <c r="M67" s="147">
        <f t="shared" si="56"/>
        <v>4.69809642635274</v>
      </c>
      <c r="N67" s="147">
        <f t="shared" si="56"/>
        <v>4.28355850638044</v>
      </c>
      <c r="O67" s="147">
        <f t="shared" si="56"/>
        <v>4.33704727024783</v>
      </c>
      <c r="P67" s="147">
        <f t="shared" si="56"/>
        <v>5.52717226629734</v>
      </c>
      <c r="Q67" s="147">
        <f t="shared" si="42"/>
        <v>55.029</v>
      </c>
    </row>
    <row r="68" spans="3:17">
      <c r="C68" s="55"/>
      <c r="D68" s="55" t="s">
        <v>386</v>
      </c>
      <c r="E68" s="147">
        <f t="shared" ref="E68:P68" si="57">E244+E416</f>
        <v>20.8470935063788</v>
      </c>
      <c r="F68" s="147">
        <f t="shared" si="57"/>
        <v>15.6667062751397</v>
      </c>
      <c r="G68" s="147">
        <f t="shared" si="57"/>
        <v>19.2295972923459</v>
      </c>
      <c r="H68" s="147">
        <f t="shared" si="57"/>
        <v>18.5718012481497</v>
      </c>
      <c r="I68" s="147">
        <f t="shared" si="57"/>
        <v>16.6182864892739</v>
      </c>
      <c r="J68" s="147">
        <f t="shared" si="57"/>
        <v>16.9726080277515</v>
      </c>
      <c r="K68" s="147">
        <f t="shared" si="57"/>
        <v>16.3882677044232</v>
      </c>
      <c r="L68" s="147">
        <f t="shared" si="57"/>
        <v>20.3648523185003</v>
      </c>
      <c r="M68" s="147">
        <f t="shared" si="57"/>
        <v>19.2618576027017</v>
      </c>
      <c r="N68" s="147">
        <f t="shared" si="57"/>
        <v>19.0318388178511</v>
      </c>
      <c r="O68" s="147">
        <f t="shared" si="57"/>
        <v>20.7160063969358</v>
      </c>
      <c r="P68" s="147">
        <f t="shared" si="57"/>
        <v>24.4873828524578</v>
      </c>
      <c r="Q68" s="147">
        <f t="shared" si="42"/>
        <v>228.156298531909</v>
      </c>
    </row>
    <row r="69" spans="3:17">
      <c r="C69" s="55"/>
      <c r="D69" s="55" t="s">
        <v>387</v>
      </c>
      <c r="E69" s="147">
        <f t="shared" ref="E69:P69" si="58">E245+E417</f>
        <v>16.9898672209814</v>
      </c>
      <c r="F69" s="147">
        <f t="shared" si="58"/>
        <v>0</v>
      </c>
      <c r="G69" s="147">
        <f t="shared" si="58"/>
        <v>9.54802455393992</v>
      </c>
      <c r="H69" s="147">
        <f t="shared" si="58"/>
        <v>15.3798081785523</v>
      </c>
      <c r="I69" s="147">
        <f t="shared" si="58"/>
        <v>13.2034202287572</v>
      </c>
      <c r="J69" s="147">
        <f t="shared" si="58"/>
        <v>14.4624489567032</v>
      </c>
      <c r="K69" s="147">
        <f t="shared" si="58"/>
        <v>12.7681426387981</v>
      </c>
      <c r="L69" s="147">
        <f t="shared" si="58"/>
        <v>18.6748127305002</v>
      </c>
      <c r="M69" s="147">
        <f t="shared" si="58"/>
        <v>16.6856409484294</v>
      </c>
      <c r="N69" s="147">
        <f t="shared" si="58"/>
        <v>16.2503633584703</v>
      </c>
      <c r="O69" s="147">
        <f t="shared" si="58"/>
        <v>15.8572094062493</v>
      </c>
      <c r="P69" s="147">
        <f t="shared" si="58"/>
        <v>19.7325840781426</v>
      </c>
      <c r="Q69" s="147">
        <f t="shared" si="42"/>
        <v>169.552322299524</v>
      </c>
    </row>
    <row r="70" spans="3:17">
      <c r="C70" s="55"/>
      <c r="D70" s="55"/>
      <c r="E70" s="147">
        <f t="shared" ref="E70:P70" si="59">E246+E419</f>
        <v>0</v>
      </c>
      <c r="F70" s="147">
        <f t="shared" si="59"/>
        <v>0</v>
      </c>
      <c r="G70" s="147">
        <f t="shared" si="59"/>
        <v>0</v>
      </c>
      <c r="H70" s="147">
        <f t="shared" si="59"/>
        <v>0</v>
      </c>
      <c r="I70" s="147">
        <f t="shared" si="59"/>
        <v>0</v>
      </c>
      <c r="J70" s="147">
        <f t="shared" si="59"/>
        <v>0</v>
      </c>
      <c r="K70" s="147">
        <f t="shared" si="59"/>
        <v>0</v>
      </c>
      <c r="L70" s="147">
        <f t="shared" si="59"/>
        <v>0</v>
      </c>
      <c r="M70" s="147">
        <f t="shared" si="59"/>
        <v>0</v>
      </c>
      <c r="N70" s="147">
        <f t="shared" si="59"/>
        <v>0</v>
      </c>
      <c r="O70" s="147">
        <f t="shared" si="59"/>
        <v>0</v>
      </c>
      <c r="P70" s="147">
        <f t="shared" si="59"/>
        <v>0</v>
      </c>
      <c r="Q70" s="147">
        <f t="shared" si="42"/>
        <v>0</v>
      </c>
    </row>
    <row r="71" spans="3:17">
      <c r="C71" s="55"/>
      <c r="D71" s="55"/>
      <c r="E71" s="147">
        <f t="shared" ref="E71:P71" si="60">E247+E420</f>
        <v>0</v>
      </c>
      <c r="F71" s="147">
        <f t="shared" si="60"/>
        <v>0</v>
      </c>
      <c r="G71" s="147">
        <f t="shared" si="60"/>
        <v>0</v>
      </c>
      <c r="H71" s="147">
        <f t="shared" si="60"/>
        <v>0</v>
      </c>
      <c r="I71" s="147">
        <f t="shared" si="60"/>
        <v>0</v>
      </c>
      <c r="J71" s="147">
        <f t="shared" si="60"/>
        <v>0</v>
      </c>
      <c r="K71" s="147">
        <f t="shared" si="60"/>
        <v>0</v>
      </c>
      <c r="L71" s="147">
        <f t="shared" si="60"/>
        <v>0</v>
      </c>
      <c r="M71" s="147">
        <f t="shared" si="60"/>
        <v>0</v>
      </c>
      <c r="N71" s="147">
        <f t="shared" si="60"/>
        <v>0</v>
      </c>
      <c r="O71" s="147">
        <f t="shared" si="60"/>
        <v>0</v>
      </c>
      <c r="P71" s="147">
        <f t="shared" si="60"/>
        <v>0</v>
      </c>
      <c r="Q71" s="147">
        <f t="shared" si="42"/>
        <v>0</v>
      </c>
    </row>
    <row r="72" spans="3:17">
      <c r="C72" s="55"/>
      <c r="D72" s="55"/>
      <c r="E72" s="147">
        <f t="shared" ref="E72:P72" si="61">E248+E421</f>
        <v>0</v>
      </c>
      <c r="F72" s="147">
        <f t="shared" si="61"/>
        <v>0</v>
      </c>
      <c r="G72" s="147">
        <f t="shared" si="61"/>
        <v>0</v>
      </c>
      <c r="H72" s="147">
        <f t="shared" si="61"/>
        <v>0</v>
      </c>
      <c r="I72" s="147">
        <f t="shared" si="61"/>
        <v>0</v>
      </c>
      <c r="J72" s="147">
        <f t="shared" si="61"/>
        <v>0</v>
      </c>
      <c r="K72" s="147">
        <f t="shared" si="61"/>
        <v>0</v>
      </c>
      <c r="L72" s="147">
        <f t="shared" si="61"/>
        <v>0</v>
      </c>
      <c r="M72" s="147">
        <f t="shared" si="61"/>
        <v>0</v>
      </c>
      <c r="N72" s="147">
        <f t="shared" si="61"/>
        <v>0</v>
      </c>
      <c r="O72" s="147">
        <f t="shared" si="61"/>
        <v>0</v>
      </c>
      <c r="P72" s="147">
        <f t="shared" si="61"/>
        <v>0</v>
      </c>
      <c r="Q72" s="147">
        <f t="shared" si="42"/>
        <v>0</v>
      </c>
    </row>
    <row r="73" spans="3:17">
      <c r="C73" s="55"/>
      <c r="D73" s="55"/>
      <c r="E73" s="147">
        <f t="shared" ref="E73:P73" si="62">E249+E422</f>
        <v>0</v>
      </c>
      <c r="F73" s="147">
        <f t="shared" si="62"/>
        <v>0</v>
      </c>
      <c r="G73" s="147">
        <f t="shared" si="62"/>
        <v>0</v>
      </c>
      <c r="H73" s="147">
        <f t="shared" si="62"/>
        <v>0</v>
      </c>
      <c r="I73" s="147">
        <f t="shared" si="62"/>
        <v>0</v>
      </c>
      <c r="J73" s="147">
        <f t="shared" si="62"/>
        <v>0</v>
      </c>
      <c r="K73" s="147">
        <f t="shared" si="62"/>
        <v>0</v>
      </c>
      <c r="L73" s="147">
        <f t="shared" si="62"/>
        <v>0</v>
      </c>
      <c r="M73" s="147">
        <f t="shared" si="62"/>
        <v>0</v>
      </c>
      <c r="N73" s="147">
        <f t="shared" si="62"/>
        <v>0</v>
      </c>
      <c r="O73" s="147">
        <f t="shared" si="62"/>
        <v>0</v>
      </c>
      <c r="P73" s="147">
        <f t="shared" si="62"/>
        <v>0</v>
      </c>
      <c r="Q73" s="147">
        <f t="shared" si="42"/>
        <v>0</v>
      </c>
    </row>
    <row r="74" spans="3:17">
      <c r="C74" s="55"/>
      <c r="D74" s="55"/>
      <c r="E74" s="147">
        <f t="shared" ref="E74:P74" si="63">E250+E423</f>
        <v>0</v>
      </c>
      <c r="F74" s="147">
        <f t="shared" si="63"/>
        <v>0</v>
      </c>
      <c r="G74" s="147">
        <f t="shared" si="63"/>
        <v>0</v>
      </c>
      <c r="H74" s="147">
        <f t="shared" si="63"/>
        <v>0</v>
      </c>
      <c r="I74" s="147">
        <f t="shared" si="63"/>
        <v>0</v>
      </c>
      <c r="J74" s="147">
        <f t="shared" si="63"/>
        <v>0</v>
      </c>
      <c r="K74" s="147">
        <f t="shared" si="63"/>
        <v>0</v>
      </c>
      <c r="L74" s="147">
        <f t="shared" si="63"/>
        <v>0</v>
      </c>
      <c r="M74" s="147">
        <f t="shared" si="63"/>
        <v>0</v>
      </c>
      <c r="N74" s="147">
        <f t="shared" si="63"/>
        <v>0</v>
      </c>
      <c r="O74" s="147">
        <f t="shared" si="63"/>
        <v>0</v>
      </c>
      <c r="P74" s="147">
        <f t="shared" si="63"/>
        <v>0</v>
      </c>
      <c r="Q74" s="147">
        <f t="shared" si="42"/>
        <v>0</v>
      </c>
    </row>
    <row r="75" spans="3:17">
      <c r="C75" s="55"/>
      <c r="D75" s="55"/>
      <c r="E75" s="147">
        <f t="shared" ref="E75:P75" si="64">E251+E424</f>
        <v>0</v>
      </c>
      <c r="F75" s="147">
        <f t="shared" si="64"/>
        <v>0</v>
      </c>
      <c r="G75" s="147">
        <f t="shared" si="64"/>
        <v>0</v>
      </c>
      <c r="H75" s="147">
        <f t="shared" si="64"/>
        <v>0</v>
      </c>
      <c r="I75" s="147">
        <f t="shared" si="64"/>
        <v>0</v>
      </c>
      <c r="J75" s="147">
        <f t="shared" si="64"/>
        <v>0</v>
      </c>
      <c r="K75" s="147">
        <f t="shared" si="64"/>
        <v>0</v>
      </c>
      <c r="L75" s="147">
        <f t="shared" si="64"/>
        <v>0</v>
      </c>
      <c r="M75" s="147">
        <f t="shared" si="64"/>
        <v>0</v>
      </c>
      <c r="N75" s="147">
        <f t="shared" si="64"/>
        <v>0</v>
      </c>
      <c r="O75" s="147">
        <f t="shared" si="64"/>
        <v>0</v>
      </c>
      <c r="P75" s="147">
        <f t="shared" si="64"/>
        <v>0</v>
      </c>
      <c r="Q75" s="147">
        <f t="shared" si="42"/>
        <v>0</v>
      </c>
    </row>
    <row r="76" spans="3:17">
      <c r="C76" s="55"/>
      <c r="D76" s="55"/>
      <c r="E76" s="147">
        <f t="shared" ref="E76:P76" si="65">E252+E425</f>
        <v>0</v>
      </c>
      <c r="F76" s="147">
        <f t="shared" si="65"/>
        <v>0</v>
      </c>
      <c r="G76" s="147">
        <f t="shared" si="65"/>
        <v>0</v>
      </c>
      <c r="H76" s="147">
        <f t="shared" si="65"/>
        <v>0</v>
      </c>
      <c r="I76" s="147">
        <f t="shared" si="65"/>
        <v>0</v>
      </c>
      <c r="J76" s="147">
        <f t="shared" si="65"/>
        <v>0</v>
      </c>
      <c r="K76" s="147">
        <f t="shared" si="65"/>
        <v>0</v>
      </c>
      <c r="L76" s="147">
        <f t="shared" si="65"/>
        <v>0</v>
      </c>
      <c r="M76" s="147">
        <f t="shared" si="65"/>
        <v>0</v>
      </c>
      <c r="N76" s="147">
        <f t="shared" si="65"/>
        <v>0</v>
      </c>
      <c r="O76" s="147">
        <f t="shared" si="65"/>
        <v>0</v>
      </c>
      <c r="P76" s="147">
        <f t="shared" si="65"/>
        <v>0</v>
      </c>
      <c r="Q76" s="147">
        <f t="shared" si="42"/>
        <v>0</v>
      </c>
    </row>
    <row r="77" spans="3:17">
      <c r="C77" s="55"/>
      <c r="D77" s="55"/>
      <c r="E77" s="147">
        <f t="shared" ref="E77:P77" si="66">E253+E426</f>
        <v>0</v>
      </c>
      <c r="F77" s="147">
        <f t="shared" si="66"/>
        <v>0</v>
      </c>
      <c r="G77" s="147">
        <f t="shared" si="66"/>
        <v>0</v>
      </c>
      <c r="H77" s="147">
        <f t="shared" si="66"/>
        <v>0</v>
      </c>
      <c r="I77" s="147">
        <f t="shared" si="66"/>
        <v>0</v>
      </c>
      <c r="J77" s="147">
        <f t="shared" si="66"/>
        <v>0</v>
      </c>
      <c r="K77" s="147">
        <f t="shared" si="66"/>
        <v>0</v>
      </c>
      <c r="L77" s="147">
        <f t="shared" si="66"/>
        <v>0</v>
      </c>
      <c r="M77" s="147">
        <f t="shared" si="66"/>
        <v>0</v>
      </c>
      <c r="N77" s="147">
        <f t="shared" si="66"/>
        <v>0</v>
      </c>
      <c r="O77" s="147">
        <f t="shared" si="66"/>
        <v>0</v>
      </c>
      <c r="P77" s="147">
        <f t="shared" si="66"/>
        <v>0</v>
      </c>
      <c r="Q77" s="147">
        <f t="shared" si="42"/>
        <v>0</v>
      </c>
    </row>
    <row r="78" spans="3:17">
      <c r="C78" s="55"/>
      <c r="D78" s="55"/>
      <c r="E78" s="147">
        <f t="shared" ref="E78:P78" si="67">E254+E427</f>
        <v>0</v>
      </c>
      <c r="F78" s="147">
        <f t="shared" si="67"/>
        <v>0</v>
      </c>
      <c r="G78" s="147">
        <f t="shared" si="67"/>
        <v>0</v>
      </c>
      <c r="H78" s="147">
        <f t="shared" si="67"/>
        <v>0</v>
      </c>
      <c r="I78" s="147">
        <f t="shared" si="67"/>
        <v>0</v>
      </c>
      <c r="J78" s="147">
        <f t="shared" si="67"/>
        <v>0</v>
      </c>
      <c r="K78" s="147">
        <f t="shared" si="67"/>
        <v>0</v>
      </c>
      <c r="L78" s="147">
        <f t="shared" si="67"/>
        <v>0</v>
      </c>
      <c r="M78" s="147">
        <f t="shared" si="67"/>
        <v>0</v>
      </c>
      <c r="N78" s="147">
        <f t="shared" si="67"/>
        <v>0</v>
      </c>
      <c r="O78" s="147">
        <f t="shared" si="67"/>
        <v>0</v>
      </c>
      <c r="P78" s="147">
        <f t="shared" si="67"/>
        <v>0</v>
      </c>
      <c r="Q78" s="147">
        <f t="shared" si="42"/>
        <v>0</v>
      </c>
    </row>
    <row r="79" ht="15" spans="3:17">
      <c r="C79" s="537" t="s">
        <v>211</v>
      </c>
      <c r="D79" s="540"/>
      <c r="E79" s="681">
        <f t="shared" ref="E79:P79" si="68">SUM(E53:E78)</f>
        <v>650.791369395626</v>
      </c>
      <c r="F79" s="681">
        <f t="shared" si="68"/>
        <v>793.443987657399</v>
      </c>
      <c r="G79" s="681">
        <f t="shared" si="68"/>
        <v>658.925100775498</v>
      </c>
      <c r="H79" s="681">
        <f t="shared" si="68"/>
        <v>577.336267288567</v>
      </c>
      <c r="I79" s="681">
        <f t="shared" si="68"/>
        <v>538.8494471776</v>
      </c>
      <c r="J79" s="681">
        <f t="shared" si="68"/>
        <v>568.154782752965</v>
      </c>
      <c r="K79" s="681">
        <f t="shared" si="68"/>
        <v>537.735787246428</v>
      </c>
      <c r="L79" s="681">
        <f t="shared" si="68"/>
        <v>584.486899942881</v>
      </c>
      <c r="M79" s="681">
        <f t="shared" si="68"/>
        <v>566.948583459335</v>
      </c>
      <c r="N79" s="681">
        <f t="shared" si="68"/>
        <v>613.404347455168</v>
      </c>
      <c r="O79" s="681">
        <f t="shared" si="68"/>
        <v>665.583578366026</v>
      </c>
      <c r="P79" s="681">
        <f t="shared" si="68"/>
        <v>793.318585647092</v>
      </c>
      <c r="Q79" s="681">
        <f t="shared" si="42"/>
        <v>7548.97873716459</v>
      </c>
    </row>
    <row r="80" ht="15" spans="3:17">
      <c r="C80" s="44" t="s">
        <v>388</v>
      </c>
      <c r="D80" s="4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</row>
    <row r="81" spans="3:17">
      <c r="C81" s="682" t="s">
        <v>389</v>
      </c>
      <c r="D81" s="55" t="s">
        <v>390</v>
      </c>
      <c r="E81" s="55" t="e">
        <f t="shared" ref="E81:P81" si="69">E257+E430</f>
        <v>#REF!</v>
      </c>
      <c r="F81" s="55" t="e">
        <f t="shared" si="69"/>
        <v>#REF!</v>
      </c>
      <c r="G81" s="55" t="e">
        <f t="shared" si="69"/>
        <v>#REF!</v>
      </c>
      <c r="H81" s="55" t="e">
        <f t="shared" si="69"/>
        <v>#REF!</v>
      </c>
      <c r="I81" s="55" t="e">
        <f t="shared" si="69"/>
        <v>#REF!</v>
      </c>
      <c r="J81" s="55" t="e">
        <f t="shared" si="69"/>
        <v>#REF!</v>
      </c>
      <c r="K81" s="55" t="e">
        <f t="shared" si="69"/>
        <v>#REF!</v>
      </c>
      <c r="L81" s="55" t="e">
        <f t="shared" si="69"/>
        <v>#REF!</v>
      </c>
      <c r="M81" s="55" t="e">
        <f t="shared" si="69"/>
        <v>#REF!</v>
      </c>
      <c r="N81" s="55" t="e">
        <f t="shared" si="69"/>
        <v>#REF!</v>
      </c>
      <c r="O81" s="55" t="e">
        <f t="shared" si="69"/>
        <v>#REF!</v>
      </c>
      <c r="P81" s="55" t="e">
        <f t="shared" si="69"/>
        <v>#REF!</v>
      </c>
      <c r="Q81" s="55" t="e">
        <f t="shared" ref="Q81:Q96" si="70">SUM(E81:P81)</f>
        <v>#REF!</v>
      </c>
    </row>
    <row r="82" spans="3:17">
      <c r="C82" s="683"/>
      <c r="D82" s="55" t="s">
        <v>391</v>
      </c>
      <c r="E82" s="55" t="e">
        <f t="shared" ref="E82:P82" si="71">E258+E431</f>
        <v>#REF!</v>
      </c>
      <c r="F82" s="55" t="e">
        <f t="shared" si="71"/>
        <v>#REF!</v>
      </c>
      <c r="G82" s="55" t="e">
        <f t="shared" si="71"/>
        <v>#REF!</v>
      </c>
      <c r="H82" s="55" t="e">
        <f t="shared" si="71"/>
        <v>#REF!</v>
      </c>
      <c r="I82" s="55" t="e">
        <f t="shared" si="71"/>
        <v>#REF!</v>
      </c>
      <c r="J82" s="55" t="e">
        <f t="shared" si="71"/>
        <v>#REF!</v>
      </c>
      <c r="K82" s="55" t="e">
        <f t="shared" si="71"/>
        <v>#REF!</v>
      </c>
      <c r="L82" s="55" t="e">
        <f t="shared" si="71"/>
        <v>#REF!</v>
      </c>
      <c r="M82" s="55" t="e">
        <f t="shared" si="71"/>
        <v>#REF!</v>
      </c>
      <c r="N82" s="55" t="e">
        <f t="shared" si="71"/>
        <v>#REF!</v>
      </c>
      <c r="O82" s="55" t="e">
        <f t="shared" si="71"/>
        <v>#REF!</v>
      </c>
      <c r="P82" s="55" t="e">
        <f t="shared" si="71"/>
        <v>#REF!</v>
      </c>
      <c r="Q82" s="55" t="e">
        <f t="shared" si="70"/>
        <v>#REF!</v>
      </c>
    </row>
    <row r="83" spans="3:17">
      <c r="C83" s="683"/>
      <c r="D83" s="55" t="s">
        <v>392</v>
      </c>
      <c r="E83" s="55" t="e">
        <f t="shared" ref="E83:P83" si="72">E259+E432</f>
        <v>#REF!</v>
      </c>
      <c r="F83" s="55" t="e">
        <f t="shared" si="72"/>
        <v>#REF!</v>
      </c>
      <c r="G83" s="55" t="e">
        <f t="shared" si="72"/>
        <v>#REF!</v>
      </c>
      <c r="H83" s="55" t="e">
        <f t="shared" si="72"/>
        <v>#REF!</v>
      </c>
      <c r="I83" s="55" t="e">
        <f t="shared" si="72"/>
        <v>#REF!</v>
      </c>
      <c r="J83" s="55" t="e">
        <f t="shared" si="72"/>
        <v>#REF!</v>
      </c>
      <c r="K83" s="55" t="e">
        <f t="shared" si="72"/>
        <v>#REF!</v>
      </c>
      <c r="L83" s="55" t="e">
        <f t="shared" si="72"/>
        <v>#REF!</v>
      </c>
      <c r="M83" s="55" t="e">
        <f t="shared" si="72"/>
        <v>#REF!</v>
      </c>
      <c r="N83" s="55" t="e">
        <f t="shared" si="72"/>
        <v>#REF!</v>
      </c>
      <c r="O83" s="55" t="e">
        <f t="shared" si="72"/>
        <v>#REF!</v>
      </c>
      <c r="P83" s="55" t="e">
        <f t="shared" si="72"/>
        <v>#REF!</v>
      </c>
      <c r="Q83" s="55" t="e">
        <f t="shared" si="70"/>
        <v>#REF!</v>
      </c>
    </row>
    <row r="84" spans="3:17">
      <c r="C84" s="684"/>
      <c r="D84" s="55" t="s">
        <v>393</v>
      </c>
      <c r="E84" s="55" t="e">
        <f t="shared" ref="E84:P84" si="73">E260+E433</f>
        <v>#REF!</v>
      </c>
      <c r="F84" s="55" t="e">
        <f t="shared" si="73"/>
        <v>#REF!</v>
      </c>
      <c r="G84" s="55" t="e">
        <f t="shared" si="73"/>
        <v>#REF!</v>
      </c>
      <c r="H84" s="55" t="e">
        <f t="shared" si="73"/>
        <v>#REF!</v>
      </c>
      <c r="I84" s="55" t="e">
        <f t="shared" si="73"/>
        <v>#REF!</v>
      </c>
      <c r="J84" s="55" t="e">
        <f t="shared" si="73"/>
        <v>#REF!</v>
      </c>
      <c r="K84" s="55" t="e">
        <f t="shared" si="73"/>
        <v>#REF!</v>
      </c>
      <c r="L84" s="55" t="e">
        <f t="shared" si="73"/>
        <v>#REF!</v>
      </c>
      <c r="M84" s="55" t="e">
        <f t="shared" si="73"/>
        <v>#REF!</v>
      </c>
      <c r="N84" s="55" t="e">
        <f t="shared" si="73"/>
        <v>#REF!</v>
      </c>
      <c r="O84" s="55" t="e">
        <f t="shared" si="73"/>
        <v>#REF!</v>
      </c>
      <c r="P84" s="55" t="e">
        <f t="shared" si="73"/>
        <v>#REF!</v>
      </c>
      <c r="Q84" s="55" t="e">
        <f t="shared" si="70"/>
        <v>#REF!</v>
      </c>
    </row>
    <row r="85" spans="3:17">
      <c r="C85" s="55"/>
      <c r="D85" s="55"/>
      <c r="E85" s="55">
        <f t="shared" ref="E85:P85" si="74">E261+E434</f>
        <v>0</v>
      </c>
      <c r="F85" s="55">
        <f t="shared" si="74"/>
        <v>0</v>
      </c>
      <c r="G85" s="55">
        <f t="shared" si="74"/>
        <v>0</v>
      </c>
      <c r="H85" s="55">
        <f t="shared" si="74"/>
        <v>0</v>
      </c>
      <c r="I85" s="55">
        <f t="shared" si="74"/>
        <v>0</v>
      </c>
      <c r="J85" s="55">
        <f t="shared" si="74"/>
        <v>0</v>
      </c>
      <c r="K85" s="55">
        <f t="shared" si="74"/>
        <v>0</v>
      </c>
      <c r="L85" s="55">
        <f t="shared" si="74"/>
        <v>0</v>
      </c>
      <c r="M85" s="55">
        <f t="shared" si="74"/>
        <v>0</v>
      </c>
      <c r="N85" s="55">
        <f t="shared" si="74"/>
        <v>0</v>
      </c>
      <c r="O85" s="55">
        <f t="shared" si="74"/>
        <v>0</v>
      </c>
      <c r="P85" s="55">
        <f t="shared" si="74"/>
        <v>0</v>
      </c>
      <c r="Q85" s="55">
        <f t="shared" si="70"/>
        <v>0</v>
      </c>
    </row>
    <row r="86" spans="3:17">
      <c r="C86" s="55"/>
      <c r="D86" s="55"/>
      <c r="E86" s="55">
        <f t="shared" ref="E86:P86" si="75">E262+E435</f>
        <v>0</v>
      </c>
      <c r="F86" s="55">
        <f t="shared" si="75"/>
        <v>0</v>
      </c>
      <c r="G86" s="55">
        <f t="shared" si="75"/>
        <v>0</v>
      </c>
      <c r="H86" s="55">
        <f t="shared" si="75"/>
        <v>0</v>
      </c>
      <c r="I86" s="55">
        <f t="shared" si="75"/>
        <v>0</v>
      </c>
      <c r="J86" s="55">
        <f t="shared" si="75"/>
        <v>0</v>
      </c>
      <c r="K86" s="55">
        <f t="shared" si="75"/>
        <v>0</v>
      </c>
      <c r="L86" s="55">
        <f t="shared" si="75"/>
        <v>0</v>
      </c>
      <c r="M86" s="55">
        <f t="shared" si="75"/>
        <v>0</v>
      </c>
      <c r="N86" s="55">
        <f t="shared" si="75"/>
        <v>0</v>
      </c>
      <c r="O86" s="55">
        <f t="shared" si="75"/>
        <v>0</v>
      </c>
      <c r="P86" s="55">
        <f t="shared" si="75"/>
        <v>0</v>
      </c>
      <c r="Q86" s="55">
        <f t="shared" si="70"/>
        <v>0</v>
      </c>
    </row>
    <row r="87" spans="3:17">
      <c r="C87" s="55"/>
      <c r="D87" s="55"/>
      <c r="E87" s="55">
        <f t="shared" ref="E87:P87" si="76">E263+E436</f>
        <v>0</v>
      </c>
      <c r="F87" s="55">
        <f t="shared" si="76"/>
        <v>0</v>
      </c>
      <c r="G87" s="55">
        <f t="shared" si="76"/>
        <v>0</v>
      </c>
      <c r="H87" s="55">
        <f t="shared" si="76"/>
        <v>0</v>
      </c>
      <c r="I87" s="55">
        <f t="shared" si="76"/>
        <v>0</v>
      </c>
      <c r="J87" s="55">
        <f t="shared" si="76"/>
        <v>0</v>
      </c>
      <c r="K87" s="55">
        <f t="shared" si="76"/>
        <v>0</v>
      </c>
      <c r="L87" s="55">
        <f t="shared" si="76"/>
        <v>0</v>
      </c>
      <c r="M87" s="55">
        <f t="shared" si="76"/>
        <v>0</v>
      </c>
      <c r="N87" s="55">
        <f t="shared" si="76"/>
        <v>0</v>
      </c>
      <c r="O87" s="55">
        <f t="shared" si="76"/>
        <v>0</v>
      </c>
      <c r="P87" s="55">
        <f t="shared" si="76"/>
        <v>0</v>
      </c>
      <c r="Q87" s="55">
        <f t="shared" si="70"/>
        <v>0</v>
      </c>
    </row>
    <row r="88" spans="3:17">
      <c r="C88" s="55"/>
      <c r="D88" s="55"/>
      <c r="E88" s="55">
        <f t="shared" ref="E88:P88" si="77">E264+E437</f>
        <v>0</v>
      </c>
      <c r="F88" s="55">
        <f t="shared" si="77"/>
        <v>0</v>
      </c>
      <c r="G88" s="55">
        <f t="shared" si="77"/>
        <v>0</v>
      </c>
      <c r="H88" s="55">
        <f t="shared" si="77"/>
        <v>0</v>
      </c>
      <c r="I88" s="55">
        <f t="shared" si="77"/>
        <v>0</v>
      </c>
      <c r="J88" s="55">
        <f t="shared" si="77"/>
        <v>0</v>
      </c>
      <c r="K88" s="55">
        <f t="shared" si="77"/>
        <v>0</v>
      </c>
      <c r="L88" s="55">
        <f t="shared" si="77"/>
        <v>0</v>
      </c>
      <c r="M88" s="55">
        <f t="shared" si="77"/>
        <v>0</v>
      </c>
      <c r="N88" s="55">
        <f t="shared" si="77"/>
        <v>0</v>
      </c>
      <c r="O88" s="55">
        <f t="shared" si="77"/>
        <v>0</v>
      </c>
      <c r="P88" s="55">
        <f t="shared" si="77"/>
        <v>0</v>
      </c>
      <c r="Q88" s="55">
        <f t="shared" si="70"/>
        <v>0</v>
      </c>
    </row>
    <row r="89" spans="3:17">
      <c r="C89" s="55"/>
      <c r="D89" s="55"/>
      <c r="E89" s="55">
        <f t="shared" ref="E89:P89" si="78">E265+E438</f>
        <v>0</v>
      </c>
      <c r="F89" s="55">
        <f t="shared" si="78"/>
        <v>0</v>
      </c>
      <c r="G89" s="55">
        <f t="shared" si="78"/>
        <v>0</v>
      </c>
      <c r="H89" s="55">
        <f t="shared" si="78"/>
        <v>0</v>
      </c>
      <c r="I89" s="55">
        <f t="shared" si="78"/>
        <v>0</v>
      </c>
      <c r="J89" s="55">
        <f t="shared" si="78"/>
        <v>0</v>
      </c>
      <c r="K89" s="55">
        <f t="shared" si="78"/>
        <v>0</v>
      </c>
      <c r="L89" s="55">
        <f t="shared" si="78"/>
        <v>0</v>
      </c>
      <c r="M89" s="55">
        <f t="shared" si="78"/>
        <v>0</v>
      </c>
      <c r="N89" s="55">
        <f t="shared" si="78"/>
        <v>0</v>
      </c>
      <c r="O89" s="55">
        <f t="shared" si="78"/>
        <v>0</v>
      </c>
      <c r="P89" s="55">
        <f t="shared" si="78"/>
        <v>0</v>
      </c>
      <c r="Q89" s="55">
        <f t="shared" si="70"/>
        <v>0</v>
      </c>
    </row>
    <row r="90" spans="3:17">
      <c r="C90" s="55"/>
      <c r="D90" s="55"/>
      <c r="E90" s="55">
        <f t="shared" ref="E90:P90" si="79">E266+E439</f>
        <v>0</v>
      </c>
      <c r="F90" s="55">
        <f t="shared" si="79"/>
        <v>0</v>
      </c>
      <c r="G90" s="55">
        <f t="shared" si="79"/>
        <v>0</v>
      </c>
      <c r="H90" s="55">
        <f t="shared" si="79"/>
        <v>0</v>
      </c>
      <c r="I90" s="55">
        <f t="shared" si="79"/>
        <v>0</v>
      </c>
      <c r="J90" s="55">
        <f t="shared" si="79"/>
        <v>0</v>
      </c>
      <c r="K90" s="55">
        <f t="shared" si="79"/>
        <v>0</v>
      </c>
      <c r="L90" s="55">
        <f t="shared" si="79"/>
        <v>0</v>
      </c>
      <c r="M90" s="55">
        <f t="shared" si="79"/>
        <v>0</v>
      </c>
      <c r="N90" s="55">
        <f t="shared" si="79"/>
        <v>0</v>
      </c>
      <c r="O90" s="55">
        <f t="shared" si="79"/>
        <v>0</v>
      </c>
      <c r="P90" s="55">
        <f t="shared" si="79"/>
        <v>0</v>
      </c>
      <c r="Q90" s="55">
        <f t="shared" si="70"/>
        <v>0</v>
      </c>
    </row>
    <row r="91" spans="3:17">
      <c r="C91" s="55"/>
      <c r="D91" s="55"/>
      <c r="E91" s="55">
        <f t="shared" ref="E91:P91" si="80">E267+E440</f>
        <v>0</v>
      </c>
      <c r="F91" s="55">
        <f t="shared" si="80"/>
        <v>0</v>
      </c>
      <c r="G91" s="55">
        <f t="shared" si="80"/>
        <v>0</v>
      </c>
      <c r="H91" s="55">
        <f t="shared" si="80"/>
        <v>0</v>
      </c>
      <c r="I91" s="55">
        <f t="shared" si="80"/>
        <v>0</v>
      </c>
      <c r="J91" s="55">
        <f t="shared" si="80"/>
        <v>0</v>
      </c>
      <c r="K91" s="55">
        <f t="shared" si="80"/>
        <v>0</v>
      </c>
      <c r="L91" s="55">
        <f t="shared" si="80"/>
        <v>0</v>
      </c>
      <c r="M91" s="55">
        <f t="shared" si="80"/>
        <v>0</v>
      </c>
      <c r="N91" s="55">
        <f t="shared" si="80"/>
        <v>0</v>
      </c>
      <c r="O91" s="55">
        <f t="shared" si="80"/>
        <v>0</v>
      </c>
      <c r="P91" s="55">
        <f t="shared" si="80"/>
        <v>0</v>
      </c>
      <c r="Q91" s="55">
        <f t="shared" si="70"/>
        <v>0</v>
      </c>
    </row>
    <row r="92" spans="3:17">
      <c r="C92" s="55"/>
      <c r="D92" s="55"/>
      <c r="E92" s="55">
        <f t="shared" ref="E92:P92" si="81">E268+E441</f>
        <v>0</v>
      </c>
      <c r="F92" s="55">
        <f t="shared" si="81"/>
        <v>0</v>
      </c>
      <c r="G92" s="55">
        <f t="shared" si="81"/>
        <v>0</v>
      </c>
      <c r="H92" s="55">
        <f t="shared" si="81"/>
        <v>0</v>
      </c>
      <c r="I92" s="55">
        <f t="shared" si="81"/>
        <v>0</v>
      </c>
      <c r="J92" s="55">
        <f t="shared" si="81"/>
        <v>0</v>
      </c>
      <c r="K92" s="55">
        <f t="shared" si="81"/>
        <v>0</v>
      </c>
      <c r="L92" s="55">
        <f t="shared" si="81"/>
        <v>0</v>
      </c>
      <c r="M92" s="55">
        <f t="shared" si="81"/>
        <v>0</v>
      </c>
      <c r="N92" s="55">
        <f t="shared" si="81"/>
        <v>0</v>
      </c>
      <c r="O92" s="55">
        <f t="shared" si="81"/>
        <v>0</v>
      </c>
      <c r="P92" s="55">
        <f t="shared" si="81"/>
        <v>0</v>
      </c>
      <c r="Q92" s="55">
        <f t="shared" si="70"/>
        <v>0</v>
      </c>
    </row>
    <row r="93" spans="3:17">
      <c r="C93" s="55"/>
      <c r="D93" s="55"/>
      <c r="E93" s="55">
        <f t="shared" ref="E93:P93" si="82">E269+E442</f>
        <v>0</v>
      </c>
      <c r="F93" s="55">
        <f t="shared" si="82"/>
        <v>0</v>
      </c>
      <c r="G93" s="55">
        <f t="shared" si="82"/>
        <v>0</v>
      </c>
      <c r="H93" s="55">
        <f t="shared" si="82"/>
        <v>0</v>
      </c>
      <c r="I93" s="55">
        <f t="shared" si="82"/>
        <v>0</v>
      </c>
      <c r="J93" s="55">
        <f t="shared" si="82"/>
        <v>0</v>
      </c>
      <c r="K93" s="55">
        <f t="shared" si="82"/>
        <v>0</v>
      </c>
      <c r="L93" s="55">
        <f t="shared" si="82"/>
        <v>0</v>
      </c>
      <c r="M93" s="55">
        <f t="shared" si="82"/>
        <v>0</v>
      </c>
      <c r="N93" s="55">
        <f t="shared" si="82"/>
        <v>0</v>
      </c>
      <c r="O93" s="55">
        <f t="shared" si="82"/>
        <v>0</v>
      </c>
      <c r="P93" s="55">
        <f t="shared" si="82"/>
        <v>0</v>
      </c>
      <c r="Q93" s="55">
        <f t="shared" si="70"/>
        <v>0</v>
      </c>
    </row>
    <row r="94" spans="3:17">
      <c r="C94" s="55"/>
      <c r="D94" s="55"/>
      <c r="E94" s="55">
        <f t="shared" ref="E94:P94" si="83">E270+E443</f>
        <v>0</v>
      </c>
      <c r="F94" s="55">
        <f t="shared" si="83"/>
        <v>0</v>
      </c>
      <c r="G94" s="55">
        <f t="shared" si="83"/>
        <v>0</v>
      </c>
      <c r="H94" s="55">
        <f t="shared" si="83"/>
        <v>0</v>
      </c>
      <c r="I94" s="55">
        <f t="shared" si="83"/>
        <v>0</v>
      </c>
      <c r="J94" s="55">
        <f t="shared" si="83"/>
        <v>0</v>
      </c>
      <c r="K94" s="55">
        <f t="shared" si="83"/>
        <v>0</v>
      </c>
      <c r="L94" s="55">
        <f t="shared" si="83"/>
        <v>0</v>
      </c>
      <c r="M94" s="55">
        <f t="shared" si="83"/>
        <v>0</v>
      </c>
      <c r="N94" s="55">
        <f t="shared" si="83"/>
        <v>0</v>
      </c>
      <c r="O94" s="55">
        <f t="shared" si="83"/>
        <v>0</v>
      </c>
      <c r="P94" s="55">
        <f t="shared" si="83"/>
        <v>0</v>
      </c>
      <c r="Q94" s="55">
        <f t="shared" si="70"/>
        <v>0</v>
      </c>
    </row>
    <row r="95" ht="15" spans="3:18">
      <c r="C95" s="537" t="s">
        <v>211</v>
      </c>
      <c r="D95" s="540"/>
      <c r="E95" s="54" t="e">
        <f t="shared" ref="E95:P95" si="84">SUM(E81:E94)</f>
        <v>#REF!</v>
      </c>
      <c r="F95" s="54" t="e">
        <f t="shared" si="84"/>
        <v>#REF!</v>
      </c>
      <c r="G95" s="54" t="e">
        <f t="shared" si="84"/>
        <v>#REF!</v>
      </c>
      <c r="H95" s="54" t="e">
        <f t="shared" si="84"/>
        <v>#REF!</v>
      </c>
      <c r="I95" s="54" t="e">
        <f t="shared" si="84"/>
        <v>#REF!</v>
      </c>
      <c r="J95" s="54" t="e">
        <f t="shared" si="84"/>
        <v>#REF!</v>
      </c>
      <c r="K95" s="54" t="e">
        <f t="shared" si="84"/>
        <v>#REF!</v>
      </c>
      <c r="L95" s="54" t="e">
        <f t="shared" si="84"/>
        <v>#REF!</v>
      </c>
      <c r="M95" s="54" t="e">
        <f t="shared" si="84"/>
        <v>#REF!</v>
      </c>
      <c r="N95" s="54" t="e">
        <f t="shared" si="84"/>
        <v>#REF!</v>
      </c>
      <c r="O95" s="54" t="e">
        <f t="shared" si="84"/>
        <v>#REF!</v>
      </c>
      <c r="P95" s="54" t="e">
        <f t="shared" si="84"/>
        <v>#REF!</v>
      </c>
      <c r="Q95" s="54" t="e">
        <f t="shared" si="70"/>
        <v>#REF!</v>
      </c>
      <c r="R95" s="686"/>
    </row>
    <row r="96" ht="15" spans="3:18">
      <c r="C96" s="44" t="s">
        <v>395</v>
      </c>
      <c r="D96" s="45"/>
      <c r="E96" s="54" t="e">
        <f t="shared" ref="E96:P96" si="85">E79+E95</f>
        <v>#REF!</v>
      </c>
      <c r="F96" s="54" t="e">
        <f t="shared" si="85"/>
        <v>#REF!</v>
      </c>
      <c r="G96" s="54" t="e">
        <f t="shared" si="85"/>
        <v>#REF!</v>
      </c>
      <c r="H96" s="54" t="e">
        <f t="shared" si="85"/>
        <v>#REF!</v>
      </c>
      <c r="I96" s="54" t="e">
        <f t="shared" si="85"/>
        <v>#REF!</v>
      </c>
      <c r="J96" s="54" t="e">
        <f t="shared" si="85"/>
        <v>#REF!</v>
      </c>
      <c r="K96" s="54" t="e">
        <f t="shared" si="85"/>
        <v>#REF!</v>
      </c>
      <c r="L96" s="54" t="e">
        <f t="shared" si="85"/>
        <v>#REF!</v>
      </c>
      <c r="M96" s="54" t="e">
        <f t="shared" si="85"/>
        <v>#REF!</v>
      </c>
      <c r="N96" s="54" t="e">
        <f t="shared" si="85"/>
        <v>#REF!</v>
      </c>
      <c r="O96" s="54" t="e">
        <f t="shared" si="85"/>
        <v>#REF!</v>
      </c>
      <c r="P96" s="54" t="e">
        <f t="shared" si="85"/>
        <v>#REF!</v>
      </c>
      <c r="Q96" s="54" t="e">
        <f t="shared" si="70"/>
        <v>#REF!</v>
      </c>
      <c r="R96" s="686"/>
    </row>
    <row r="97" ht="15" spans="3:17">
      <c r="C97" s="663" t="s">
        <v>396</v>
      </c>
      <c r="D97" s="676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</row>
    <row r="98" spans="3:17">
      <c r="C98" s="55" t="s">
        <v>397</v>
      </c>
      <c r="D98" s="55" t="s">
        <v>397</v>
      </c>
      <c r="E98" s="55">
        <f t="shared" ref="E98:P98" si="86">E274+E447</f>
        <v>47.3157575983005</v>
      </c>
      <c r="F98" s="55">
        <f t="shared" si="86"/>
        <v>48.8929495182439</v>
      </c>
      <c r="G98" s="55">
        <f t="shared" si="86"/>
        <v>47.3157575983005</v>
      </c>
      <c r="H98" s="55">
        <f t="shared" si="86"/>
        <v>49.7651630785006</v>
      </c>
      <c r="I98" s="55">
        <f t="shared" si="86"/>
        <v>39.5964027788595</v>
      </c>
      <c r="J98" s="55">
        <f t="shared" si="86"/>
        <v>42.8857806841925</v>
      </c>
      <c r="K98" s="55">
        <f t="shared" si="86"/>
        <v>36.4975538657313</v>
      </c>
      <c r="L98" s="55">
        <f t="shared" si="86"/>
        <v>47.3157575983005</v>
      </c>
      <c r="M98" s="55">
        <f t="shared" si="86"/>
        <v>46.827050242825</v>
      </c>
      <c r="N98" s="55">
        <f t="shared" si="86"/>
        <v>42.052798398313</v>
      </c>
      <c r="O98" s="55">
        <f t="shared" si="86"/>
        <v>43.1539317945642</v>
      </c>
      <c r="P98" s="55">
        <f t="shared" si="86"/>
        <v>55.0906473445001</v>
      </c>
      <c r="Q98" s="55">
        <f t="shared" ref="Q98:Q105" si="87">SUM(E98:P98)</f>
        <v>546.709550500632</v>
      </c>
    </row>
    <row r="99" spans="3:17">
      <c r="C99" s="55" t="s">
        <v>398</v>
      </c>
      <c r="D99" s="55" t="s">
        <v>398</v>
      </c>
      <c r="E99" s="55">
        <f t="shared" ref="E99:P99" si="88">E275+E448</f>
        <v>0</v>
      </c>
      <c r="F99" s="55">
        <f t="shared" si="88"/>
        <v>0</v>
      </c>
      <c r="G99" s="55">
        <f t="shared" si="88"/>
        <v>0</v>
      </c>
      <c r="H99" s="55">
        <f t="shared" si="88"/>
        <v>0</v>
      </c>
      <c r="I99" s="55">
        <f t="shared" si="88"/>
        <v>0</v>
      </c>
      <c r="J99" s="55">
        <f t="shared" si="88"/>
        <v>0</v>
      </c>
      <c r="K99" s="55">
        <f t="shared" si="88"/>
        <v>0</v>
      </c>
      <c r="L99" s="55">
        <f t="shared" si="88"/>
        <v>0</v>
      </c>
      <c r="M99" s="55">
        <f t="shared" si="88"/>
        <v>0</v>
      </c>
      <c r="N99" s="55">
        <f t="shared" si="88"/>
        <v>0</v>
      </c>
      <c r="O99" s="55">
        <f t="shared" si="88"/>
        <v>0</v>
      </c>
      <c r="P99" s="55">
        <f t="shared" si="88"/>
        <v>0</v>
      </c>
      <c r="Q99" s="55">
        <f t="shared" si="87"/>
        <v>0</v>
      </c>
    </row>
    <row r="100" ht="15" customHeight="1" spans="3:17">
      <c r="C100" s="55"/>
      <c r="D100" s="55"/>
      <c r="E100" s="55">
        <f t="shared" ref="E100:P100" si="89">E276+E449</f>
        <v>0</v>
      </c>
      <c r="F100" s="55">
        <f t="shared" si="89"/>
        <v>0</v>
      </c>
      <c r="G100" s="55">
        <f t="shared" si="89"/>
        <v>0</v>
      </c>
      <c r="H100" s="55">
        <f t="shared" si="89"/>
        <v>0</v>
      </c>
      <c r="I100" s="55">
        <f t="shared" si="89"/>
        <v>0</v>
      </c>
      <c r="J100" s="55">
        <f t="shared" si="89"/>
        <v>0</v>
      </c>
      <c r="K100" s="55">
        <f t="shared" si="89"/>
        <v>0</v>
      </c>
      <c r="L100" s="55">
        <f t="shared" si="89"/>
        <v>0</v>
      </c>
      <c r="M100" s="55">
        <f t="shared" si="89"/>
        <v>0</v>
      </c>
      <c r="N100" s="55">
        <f t="shared" si="89"/>
        <v>0</v>
      </c>
      <c r="O100" s="55">
        <f t="shared" si="89"/>
        <v>0</v>
      </c>
      <c r="P100" s="55">
        <f t="shared" si="89"/>
        <v>0</v>
      </c>
      <c r="Q100" s="55">
        <f t="shared" si="87"/>
        <v>0</v>
      </c>
    </row>
    <row r="101" spans="3:17">
      <c r="C101" s="55"/>
      <c r="D101" s="55"/>
      <c r="E101" s="55">
        <f t="shared" ref="E101:P101" si="90">E277+E450</f>
        <v>0</v>
      </c>
      <c r="F101" s="55">
        <f t="shared" si="90"/>
        <v>0</v>
      </c>
      <c r="G101" s="55">
        <f t="shared" si="90"/>
        <v>0</v>
      </c>
      <c r="H101" s="55">
        <f t="shared" si="90"/>
        <v>0</v>
      </c>
      <c r="I101" s="55">
        <f t="shared" si="90"/>
        <v>0</v>
      </c>
      <c r="J101" s="55">
        <f t="shared" si="90"/>
        <v>0</v>
      </c>
      <c r="K101" s="55">
        <f t="shared" si="90"/>
        <v>0</v>
      </c>
      <c r="L101" s="55">
        <f t="shared" si="90"/>
        <v>0</v>
      </c>
      <c r="M101" s="55">
        <f t="shared" si="90"/>
        <v>0</v>
      </c>
      <c r="N101" s="55">
        <f t="shared" si="90"/>
        <v>0</v>
      </c>
      <c r="O101" s="55">
        <f t="shared" si="90"/>
        <v>0</v>
      </c>
      <c r="P101" s="55">
        <f t="shared" si="90"/>
        <v>0</v>
      </c>
      <c r="Q101" s="55">
        <f t="shared" si="87"/>
        <v>0</v>
      </c>
    </row>
    <row r="102" customHeight="1" spans="3:17">
      <c r="C102" s="55"/>
      <c r="D102" s="55"/>
      <c r="E102" s="55">
        <f t="shared" ref="E102:P102" si="91">E278+E451</f>
        <v>0</v>
      </c>
      <c r="F102" s="55">
        <f t="shared" si="91"/>
        <v>0</v>
      </c>
      <c r="G102" s="55">
        <f t="shared" si="91"/>
        <v>0</v>
      </c>
      <c r="H102" s="55">
        <f t="shared" si="91"/>
        <v>0</v>
      </c>
      <c r="I102" s="55">
        <f t="shared" si="91"/>
        <v>0</v>
      </c>
      <c r="J102" s="55">
        <f t="shared" si="91"/>
        <v>0</v>
      </c>
      <c r="K102" s="55">
        <f t="shared" si="91"/>
        <v>0</v>
      </c>
      <c r="L102" s="55">
        <f t="shared" si="91"/>
        <v>0</v>
      </c>
      <c r="M102" s="55">
        <f t="shared" si="91"/>
        <v>0</v>
      </c>
      <c r="N102" s="55">
        <f t="shared" si="91"/>
        <v>0</v>
      </c>
      <c r="O102" s="55">
        <f t="shared" si="91"/>
        <v>0</v>
      </c>
      <c r="P102" s="55">
        <f t="shared" si="91"/>
        <v>0</v>
      </c>
      <c r="Q102" s="55">
        <f t="shared" si="87"/>
        <v>0</v>
      </c>
    </row>
    <row r="103" spans="3:17">
      <c r="C103" s="55"/>
      <c r="D103" s="55"/>
      <c r="E103" s="55">
        <f t="shared" ref="E103:P103" si="92">E279+E452</f>
        <v>0</v>
      </c>
      <c r="F103" s="55">
        <f t="shared" si="92"/>
        <v>0</v>
      </c>
      <c r="G103" s="55">
        <f t="shared" si="92"/>
        <v>0</v>
      </c>
      <c r="H103" s="55">
        <f t="shared" si="92"/>
        <v>0</v>
      </c>
      <c r="I103" s="55">
        <f t="shared" si="92"/>
        <v>0</v>
      </c>
      <c r="J103" s="55">
        <f t="shared" si="92"/>
        <v>0</v>
      </c>
      <c r="K103" s="55">
        <f t="shared" si="92"/>
        <v>0</v>
      </c>
      <c r="L103" s="55">
        <f t="shared" si="92"/>
        <v>0</v>
      </c>
      <c r="M103" s="55">
        <f t="shared" si="92"/>
        <v>0</v>
      </c>
      <c r="N103" s="55">
        <f t="shared" si="92"/>
        <v>0</v>
      </c>
      <c r="O103" s="55">
        <f t="shared" si="92"/>
        <v>0</v>
      </c>
      <c r="P103" s="55">
        <f t="shared" si="92"/>
        <v>0</v>
      </c>
      <c r="Q103" s="55">
        <f t="shared" si="87"/>
        <v>0</v>
      </c>
    </row>
    <row r="104" spans="3:17">
      <c r="C104" s="55"/>
      <c r="D104" s="55"/>
      <c r="E104" s="55">
        <f t="shared" ref="E104:P104" si="93">E280+E453</f>
        <v>0</v>
      </c>
      <c r="F104" s="55">
        <f t="shared" si="93"/>
        <v>0</v>
      </c>
      <c r="G104" s="55">
        <f t="shared" si="93"/>
        <v>0</v>
      </c>
      <c r="H104" s="55">
        <f t="shared" si="93"/>
        <v>0</v>
      </c>
      <c r="I104" s="55">
        <f t="shared" si="93"/>
        <v>0</v>
      </c>
      <c r="J104" s="55">
        <f t="shared" si="93"/>
        <v>0</v>
      </c>
      <c r="K104" s="55">
        <f t="shared" si="93"/>
        <v>0</v>
      </c>
      <c r="L104" s="55">
        <f t="shared" si="93"/>
        <v>0</v>
      </c>
      <c r="M104" s="55">
        <f t="shared" si="93"/>
        <v>0</v>
      </c>
      <c r="N104" s="55">
        <f t="shared" si="93"/>
        <v>0</v>
      </c>
      <c r="O104" s="55">
        <f t="shared" si="93"/>
        <v>0</v>
      </c>
      <c r="P104" s="55">
        <f t="shared" si="93"/>
        <v>0</v>
      </c>
      <c r="Q104" s="55">
        <f t="shared" si="87"/>
        <v>0</v>
      </c>
    </row>
    <row r="105" customHeight="1" spans="3:18">
      <c r="C105" s="44" t="s">
        <v>399</v>
      </c>
      <c r="D105" s="45"/>
      <c r="E105" s="54">
        <f t="shared" ref="E105:P105" si="94">SUM(E98:E104)</f>
        <v>47.3157575983005</v>
      </c>
      <c r="F105" s="54">
        <f t="shared" si="94"/>
        <v>48.8929495182439</v>
      </c>
      <c r="G105" s="54">
        <f t="shared" si="94"/>
        <v>47.3157575983005</v>
      </c>
      <c r="H105" s="54">
        <f t="shared" si="94"/>
        <v>49.7651630785006</v>
      </c>
      <c r="I105" s="54">
        <f t="shared" si="94"/>
        <v>39.5964027788595</v>
      </c>
      <c r="J105" s="54">
        <f t="shared" si="94"/>
        <v>42.8857806841925</v>
      </c>
      <c r="K105" s="54">
        <f t="shared" si="94"/>
        <v>36.4975538657313</v>
      </c>
      <c r="L105" s="54">
        <f t="shared" si="94"/>
        <v>47.3157575983005</v>
      </c>
      <c r="M105" s="54">
        <f t="shared" si="94"/>
        <v>46.827050242825</v>
      </c>
      <c r="N105" s="54">
        <f t="shared" si="94"/>
        <v>42.052798398313</v>
      </c>
      <c r="O105" s="54">
        <f t="shared" si="94"/>
        <v>43.1539317945642</v>
      </c>
      <c r="P105" s="54">
        <f t="shared" si="94"/>
        <v>55.0906473445001</v>
      </c>
      <c r="Q105" s="54">
        <f t="shared" si="87"/>
        <v>546.709550500632</v>
      </c>
      <c r="R105" s="686"/>
    </row>
    <row r="106" ht="15" spans="3:17">
      <c r="C106" s="663" t="s">
        <v>400</v>
      </c>
      <c r="D106" s="676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</row>
    <row r="107" spans="3:17">
      <c r="C107" s="55" t="s">
        <v>401</v>
      </c>
      <c r="D107" s="55" t="s">
        <v>401</v>
      </c>
      <c r="E107" s="55">
        <f t="shared" ref="E107:P107" si="95">E283+E456</f>
        <v>234.621798687554</v>
      </c>
      <c r="F107" s="55">
        <f t="shared" si="95"/>
        <v>142.929184088419</v>
      </c>
      <c r="G107" s="55">
        <f t="shared" si="95"/>
        <v>69.1253327468862</v>
      </c>
      <c r="H107" s="55">
        <f t="shared" si="95"/>
        <v>150.374079532496</v>
      </c>
      <c r="I107" s="55">
        <f t="shared" si="95"/>
        <v>184.921779769715</v>
      </c>
      <c r="J107" s="55">
        <f t="shared" si="95"/>
        <v>191.158144776611</v>
      </c>
      <c r="K107" s="55">
        <f t="shared" si="95"/>
        <v>184.921779769715</v>
      </c>
      <c r="L107" s="55">
        <f t="shared" si="95"/>
        <v>235.536582812565</v>
      </c>
      <c r="M107" s="55">
        <f t="shared" si="95"/>
        <v>205.85684209717</v>
      </c>
      <c r="N107" s="55">
        <f t="shared" si="95"/>
        <v>204.262918695554</v>
      </c>
      <c r="O107" s="55">
        <f t="shared" si="95"/>
        <v>227.46648539664</v>
      </c>
      <c r="P107" s="55">
        <f t="shared" si="95"/>
        <v>271.415243854146</v>
      </c>
      <c r="Q107" s="55">
        <f t="shared" ref="Q107:Q115" si="96">SUM(E107:P107)</f>
        <v>2302.59017222747</v>
      </c>
    </row>
    <row r="108" spans="3:17">
      <c r="C108" s="55" t="s">
        <v>402</v>
      </c>
      <c r="D108" s="55" t="s">
        <v>402</v>
      </c>
      <c r="E108" s="55">
        <f t="shared" ref="E108:P108" si="97">E284+E457</f>
        <v>0</v>
      </c>
      <c r="F108" s="55">
        <f t="shared" si="97"/>
        <v>0</v>
      </c>
      <c r="G108" s="55">
        <f t="shared" si="97"/>
        <v>0</v>
      </c>
      <c r="H108" s="55">
        <f t="shared" si="97"/>
        <v>0</v>
      </c>
      <c r="I108" s="55">
        <f t="shared" si="97"/>
        <v>0</v>
      </c>
      <c r="J108" s="55">
        <f t="shared" si="97"/>
        <v>0</v>
      </c>
      <c r="K108" s="55">
        <f t="shared" si="97"/>
        <v>0</v>
      </c>
      <c r="L108" s="55">
        <f t="shared" si="97"/>
        <v>0</v>
      </c>
      <c r="M108" s="55">
        <f t="shared" si="97"/>
        <v>0</v>
      </c>
      <c r="N108" s="55">
        <f t="shared" si="97"/>
        <v>0</v>
      </c>
      <c r="O108" s="55">
        <f t="shared" si="97"/>
        <v>0</v>
      </c>
      <c r="P108" s="55">
        <f t="shared" si="97"/>
        <v>0</v>
      </c>
      <c r="Q108" s="55">
        <f t="shared" si="96"/>
        <v>0</v>
      </c>
    </row>
    <row r="109" spans="3:17">
      <c r="C109" s="55" t="s">
        <v>403</v>
      </c>
      <c r="D109" s="55" t="s">
        <v>403</v>
      </c>
      <c r="E109" s="55">
        <f t="shared" ref="E109:P109" si="98">E285+E458</f>
        <v>0</v>
      </c>
      <c r="F109" s="55">
        <f t="shared" si="98"/>
        <v>0</v>
      </c>
      <c r="G109" s="55">
        <f t="shared" si="98"/>
        <v>0</v>
      </c>
      <c r="H109" s="55">
        <f t="shared" si="98"/>
        <v>0</v>
      </c>
      <c r="I109" s="55">
        <f t="shared" si="98"/>
        <v>0</v>
      </c>
      <c r="J109" s="55">
        <f t="shared" si="98"/>
        <v>0</v>
      </c>
      <c r="K109" s="55">
        <f t="shared" si="98"/>
        <v>0</v>
      </c>
      <c r="L109" s="55">
        <f t="shared" si="98"/>
        <v>0</v>
      </c>
      <c r="M109" s="55">
        <f t="shared" si="98"/>
        <v>0</v>
      </c>
      <c r="N109" s="55">
        <f t="shared" si="98"/>
        <v>0</v>
      </c>
      <c r="O109" s="55">
        <f t="shared" si="98"/>
        <v>0</v>
      </c>
      <c r="P109" s="55">
        <f t="shared" si="98"/>
        <v>0</v>
      </c>
      <c r="Q109" s="55">
        <f t="shared" si="96"/>
        <v>0</v>
      </c>
    </row>
    <row r="110" spans="3:17">
      <c r="C110" s="55"/>
      <c r="D110" s="55"/>
      <c r="E110" s="55">
        <f t="shared" ref="E110:P110" si="99">E286+E459</f>
        <v>0</v>
      </c>
      <c r="F110" s="55">
        <f t="shared" si="99"/>
        <v>0</v>
      </c>
      <c r="G110" s="55">
        <f t="shared" si="99"/>
        <v>0</v>
      </c>
      <c r="H110" s="55">
        <f t="shared" si="99"/>
        <v>0</v>
      </c>
      <c r="I110" s="55">
        <f t="shared" si="99"/>
        <v>0</v>
      </c>
      <c r="J110" s="55">
        <f t="shared" si="99"/>
        <v>0</v>
      </c>
      <c r="K110" s="55">
        <f t="shared" si="99"/>
        <v>0</v>
      </c>
      <c r="L110" s="55">
        <f t="shared" si="99"/>
        <v>0</v>
      </c>
      <c r="M110" s="55">
        <f t="shared" si="99"/>
        <v>0</v>
      </c>
      <c r="N110" s="55">
        <f t="shared" si="99"/>
        <v>0</v>
      </c>
      <c r="O110" s="55">
        <f t="shared" si="99"/>
        <v>0</v>
      </c>
      <c r="P110" s="55">
        <f t="shared" si="99"/>
        <v>0</v>
      </c>
      <c r="Q110" s="55">
        <f t="shared" si="96"/>
        <v>0</v>
      </c>
    </row>
    <row r="111" spans="3:17">
      <c r="C111" s="55"/>
      <c r="D111" s="55"/>
      <c r="E111" s="55">
        <f t="shared" ref="E111:P111" si="100">E287+E460</f>
        <v>0</v>
      </c>
      <c r="F111" s="55">
        <f t="shared" si="100"/>
        <v>0</v>
      </c>
      <c r="G111" s="55">
        <f t="shared" si="100"/>
        <v>0</v>
      </c>
      <c r="H111" s="55">
        <f t="shared" si="100"/>
        <v>0</v>
      </c>
      <c r="I111" s="55">
        <f t="shared" si="100"/>
        <v>0</v>
      </c>
      <c r="J111" s="55">
        <f t="shared" si="100"/>
        <v>0</v>
      </c>
      <c r="K111" s="55">
        <f t="shared" si="100"/>
        <v>0</v>
      </c>
      <c r="L111" s="55">
        <f t="shared" si="100"/>
        <v>0</v>
      </c>
      <c r="M111" s="55">
        <f t="shared" si="100"/>
        <v>0</v>
      </c>
      <c r="N111" s="55">
        <f t="shared" si="100"/>
        <v>0</v>
      </c>
      <c r="O111" s="55">
        <f t="shared" si="100"/>
        <v>0</v>
      </c>
      <c r="P111" s="55">
        <f t="shared" si="100"/>
        <v>0</v>
      </c>
      <c r="Q111" s="55">
        <f t="shared" si="96"/>
        <v>0</v>
      </c>
    </row>
    <row r="112" spans="3:17">
      <c r="C112" s="55"/>
      <c r="D112" s="55"/>
      <c r="E112" s="55">
        <f t="shared" ref="E112:P112" si="101">E288+E461</f>
        <v>0</v>
      </c>
      <c r="F112" s="55">
        <f t="shared" si="101"/>
        <v>0</v>
      </c>
      <c r="G112" s="55">
        <f t="shared" si="101"/>
        <v>0</v>
      </c>
      <c r="H112" s="55">
        <f t="shared" si="101"/>
        <v>0</v>
      </c>
      <c r="I112" s="55">
        <f t="shared" si="101"/>
        <v>0</v>
      </c>
      <c r="J112" s="55">
        <f t="shared" si="101"/>
        <v>0</v>
      </c>
      <c r="K112" s="55">
        <f t="shared" si="101"/>
        <v>0</v>
      </c>
      <c r="L112" s="55">
        <f t="shared" si="101"/>
        <v>0</v>
      </c>
      <c r="M112" s="55">
        <f t="shared" si="101"/>
        <v>0</v>
      </c>
      <c r="N112" s="55">
        <f t="shared" si="101"/>
        <v>0</v>
      </c>
      <c r="O112" s="55">
        <f t="shared" si="101"/>
        <v>0</v>
      </c>
      <c r="P112" s="55">
        <f t="shared" si="101"/>
        <v>0</v>
      </c>
      <c r="Q112" s="55">
        <f t="shared" si="96"/>
        <v>0</v>
      </c>
    </row>
    <row r="113" spans="3:17">
      <c r="C113" s="55"/>
      <c r="D113" s="55"/>
      <c r="E113" s="55">
        <f t="shared" ref="E113:P113" si="102">E289+E462</f>
        <v>0</v>
      </c>
      <c r="F113" s="55">
        <f t="shared" si="102"/>
        <v>0</v>
      </c>
      <c r="G113" s="55">
        <f t="shared" si="102"/>
        <v>0</v>
      </c>
      <c r="H113" s="55">
        <f t="shared" si="102"/>
        <v>0</v>
      </c>
      <c r="I113" s="55">
        <f t="shared" si="102"/>
        <v>0</v>
      </c>
      <c r="J113" s="55">
        <f t="shared" si="102"/>
        <v>0</v>
      </c>
      <c r="K113" s="55">
        <f t="shared" si="102"/>
        <v>0</v>
      </c>
      <c r="L113" s="55">
        <f t="shared" si="102"/>
        <v>0</v>
      </c>
      <c r="M113" s="55">
        <f t="shared" si="102"/>
        <v>0</v>
      </c>
      <c r="N113" s="55">
        <f t="shared" si="102"/>
        <v>0</v>
      </c>
      <c r="O113" s="55">
        <f t="shared" si="102"/>
        <v>0</v>
      </c>
      <c r="P113" s="55">
        <f t="shared" si="102"/>
        <v>0</v>
      </c>
      <c r="Q113" s="55">
        <f t="shared" si="96"/>
        <v>0</v>
      </c>
    </row>
    <row r="114" spans="3:17">
      <c r="C114" s="55"/>
      <c r="D114" s="55"/>
      <c r="E114" s="55">
        <f t="shared" ref="E114:P114" si="103">E290+E463</f>
        <v>0</v>
      </c>
      <c r="F114" s="55">
        <f t="shared" si="103"/>
        <v>0</v>
      </c>
      <c r="G114" s="55">
        <f t="shared" si="103"/>
        <v>0</v>
      </c>
      <c r="H114" s="55">
        <f t="shared" si="103"/>
        <v>0</v>
      </c>
      <c r="I114" s="55">
        <f t="shared" si="103"/>
        <v>0</v>
      </c>
      <c r="J114" s="55">
        <f t="shared" si="103"/>
        <v>0</v>
      </c>
      <c r="K114" s="55">
        <f t="shared" si="103"/>
        <v>0</v>
      </c>
      <c r="L114" s="55">
        <f t="shared" si="103"/>
        <v>0</v>
      </c>
      <c r="M114" s="55">
        <f t="shared" si="103"/>
        <v>0</v>
      </c>
      <c r="N114" s="55">
        <f t="shared" si="103"/>
        <v>0</v>
      </c>
      <c r="O114" s="55">
        <f t="shared" si="103"/>
        <v>0</v>
      </c>
      <c r="P114" s="55">
        <f t="shared" si="103"/>
        <v>0</v>
      </c>
      <c r="Q114" s="55">
        <f t="shared" si="96"/>
        <v>0</v>
      </c>
    </row>
    <row r="115" ht="15" spans="3:18">
      <c r="C115" s="44" t="s">
        <v>404</v>
      </c>
      <c r="D115" s="45"/>
      <c r="E115" s="54">
        <f t="shared" ref="E115:P115" si="104">SUM(E107:E114)</f>
        <v>234.621798687554</v>
      </c>
      <c r="F115" s="54">
        <f t="shared" si="104"/>
        <v>142.929184088419</v>
      </c>
      <c r="G115" s="54">
        <f t="shared" si="104"/>
        <v>69.1253327468862</v>
      </c>
      <c r="H115" s="54">
        <f t="shared" si="104"/>
        <v>150.374079532496</v>
      </c>
      <c r="I115" s="54">
        <f t="shared" si="104"/>
        <v>184.921779769715</v>
      </c>
      <c r="J115" s="54">
        <f t="shared" si="104"/>
        <v>191.158144776611</v>
      </c>
      <c r="K115" s="54">
        <f t="shared" si="104"/>
        <v>184.921779769715</v>
      </c>
      <c r="L115" s="54">
        <f t="shared" si="104"/>
        <v>235.536582812565</v>
      </c>
      <c r="M115" s="54">
        <f t="shared" si="104"/>
        <v>205.85684209717</v>
      </c>
      <c r="N115" s="54">
        <f t="shared" si="104"/>
        <v>204.262918695554</v>
      </c>
      <c r="O115" s="54">
        <f t="shared" si="104"/>
        <v>227.46648539664</v>
      </c>
      <c r="P115" s="54">
        <f t="shared" si="104"/>
        <v>271.415243854146</v>
      </c>
      <c r="Q115" s="54">
        <f t="shared" si="96"/>
        <v>2302.59017222747</v>
      </c>
      <c r="R115" s="686"/>
    </row>
    <row r="116" ht="15" spans="3:17">
      <c r="C116" s="663" t="s">
        <v>405</v>
      </c>
      <c r="D116" s="676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</row>
    <row r="117" spans="3:17">
      <c r="C117" s="55"/>
      <c r="D117" s="55" t="s">
        <v>406</v>
      </c>
      <c r="E117" s="147" t="e">
        <f t="shared" ref="E117:P117" si="105">E293+E466</f>
        <v>#VALUE!</v>
      </c>
      <c r="F117" s="147" t="e">
        <f t="shared" si="105"/>
        <v>#VALUE!</v>
      </c>
      <c r="G117" s="147" t="e">
        <f t="shared" si="105"/>
        <v>#VALUE!</v>
      </c>
      <c r="H117" s="147" t="e">
        <f t="shared" si="105"/>
        <v>#VALUE!</v>
      </c>
      <c r="I117" s="147" t="e">
        <f t="shared" si="105"/>
        <v>#VALUE!</v>
      </c>
      <c r="J117" s="147" t="e">
        <f t="shared" si="105"/>
        <v>#VALUE!</v>
      </c>
      <c r="K117" s="147" t="e">
        <f t="shared" si="105"/>
        <v>#VALUE!</v>
      </c>
      <c r="L117" s="147" t="e">
        <f t="shared" si="105"/>
        <v>#VALUE!</v>
      </c>
      <c r="M117" s="147" t="e">
        <f t="shared" si="105"/>
        <v>#VALUE!</v>
      </c>
      <c r="N117" s="147" t="e">
        <f t="shared" si="105"/>
        <v>#VALUE!</v>
      </c>
      <c r="O117" s="147" t="e">
        <f t="shared" si="105"/>
        <v>#VALUE!</v>
      </c>
      <c r="P117" s="147" t="e">
        <f t="shared" si="105"/>
        <v>#VALUE!</v>
      </c>
      <c r="Q117" s="147" t="e">
        <f t="shared" ref="Q117:Q141" si="106">SUM(E117:P117)</f>
        <v>#VALUE!</v>
      </c>
    </row>
    <row r="118" spans="3:17">
      <c r="C118" s="55"/>
      <c r="D118" s="55" t="s">
        <v>407</v>
      </c>
      <c r="E118" s="147">
        <f t="shared" ref="E118:P118" si="107">E294+E467</f>
        <v>0</v>
      </c>
      <c r="F118" s="147">
        <f t="shared" si="107"/>
        <v>0</v>
      </c>
      <c r="G118" s="147">
        <f t="shared" si="107"/>
        <v>0</v>
      </c>
      <c r="H118" s="147">
        <f t="shared" si="107"/>
        <v>0</v>
      </c>
      <c r="I118" s="147">
        <f t="shared" si="107"/>
        <v>0</v>
      </c>
      <c r="J118" s="147">
        <f t="shared" si="107"/>
        <v>0</v>
      </c>
      <c r="K118" s="147">
        <f t="shared" si="107"/>
        <v>0</v>
      </c>
      <c r="L118" s="147">
        <f t="shared" si="107"/>
        <v>0</v>
      </c>
      <c r="M118" s="147">
        <f t="shared" si="107"/>
        <v>0</v>
      </c>
      <c r="N118" s="147">
        <f t="shared" si="107"/>
        <v>0</v>
      </c>
      <c r="O118" s="147">
        <f t="shared" si="107"/>
        <v>0</v>
      </c>
      <c r="P118" s="147">
        <f t="shared" si="107"/>
        <v>0</v>
      </c>
      <c r="Q118" s="147">
        <f t="shared" si="106"/>
        <v>0</v>
      </c>
    </row>
    <row r="119" spans="3:17">
      <c r="C119" s="55"/>
      <c r="D119" s="55" t="s">
        <v>408</v>
      </c>
      <c r="E119" s="147" t="e">
        <f t="shared" ref="E119:P119" si="108">E295+E468</f>
        <v>#REF!</v>
      </c>
      <c r="F119" s="147" t="e">
        <f t="shared" si="108"/>
        <v>#REF!</v>
      </c>
      <c r="G119" s="147" t="e">
        <f t="shared" si="108"/>
        <v>#REF!</v>
      </c>
      <c r="H119" s="147" t="e">
        <f t="shared" si="108"/>
        <v>#REF!</v>
      </c>
      <c r="I119" s="147" t="e">
        <f t="shared" si="108"/>
        <v>#REF!</v>
      </c>
      <c r="J119" s="147" t="e">
        <f t="shared" si="108"/>
        <v>#REF!</v>
      </c>
      <c r="K119" s="147" t="e">
        <f t="shared" si="108"/>
        <v>#REF!</v>
      </c>
      <c r="L119" s="147" t="e">
        <f t="shared" si="108"/>
        <v>#REF!</v>
      </c>
      <c r="M119" s="147" t="e">
        <f t="shared" si="108"/>
        <v>#REF!</v>
      </c>
      <c r="N119" s="147" t="e">
        <f t="shared" si="108"/>
        <v>#REF!</v>
      </c>
      <c r="O119" s="147" t="e">
        <f t="shared" si="108"/>
        <v>#REF!</v>
      </c>
      <c r="P119" s="147" t="e">
        <f t="shared" si="108"/>
        <v>#REF!</v>
      </c>
      <c r="Q119" s="147" t="e">
        <f t="shared" si="106"/>
        <v>#REF!</v>
      </c>
    </row>
    <row r="120" spans="3:17">
      <c r="C120" s="55"/>
      <c r="D120" s="55" t="s">
        <v>409</v>
      </c>
      <c r="E120" s="147" t="e">
        <f t="shared" ref="E120:P120" si="109">E296+E469</f>
        <v>#REF!</v>
      </c>
      <c r="F120" s="147" t="e">
        <f t="shared" si="109"/>
        <v>#REF!</v>
      </c>
      <c r="G120" s="147" t="e">
        <f t="shared" si="109"/>
        <v>#REF!</v>
      </c>
      <c r="H120" s="147" t="e">
        <f t="shared" si="109"/>
        <v>#REF!</v>
      </c>
      <c r="I120" s="147" t="e">
        <f t="shared" si="109"/>
        <v>#REF!</v>
      </c>
      <c r="J120" s="147" t="e">
        <f t="shared" si="109"/>
        <v>#REF!</v>
      </c>
      <c r="K120" s="147" t="e">
        <f t="shared" si="109"/>
        <v>#REF!</v>
      </c>
      <c r="L120" s="147" t="e">
        <f t="shared" si="109"/>
        <v>#REF!</v>
      </c>
      <c r="M120" s="147" t="e">
        <f t="shared" si="109"/>
        <v>#REF!</v>
      </c>
      <c r="N120" s="147" t="e">
        <f t="shared" si="109"/>
        <v>#REF!</v>
      </c>
      <c r="O120" s="147" t="e">
        <f t="shared" si="109"/>
        <v>#REF!</v>
      </c>
      <c r="P120" s="147" t="e">
        <f t="shared" si="109"/>
        <v>#REF!</v>
      </c>
      <c r="Q120" s="147" t="e">
        <f t="shared" si="106"/>
        <v>#REF!</v>
      </c>
    </row>
    <row r="121" spans="3:17">
      <c r="C121" s="55"/>
      <c r="D121" s="55" t="s">
        <v>410</v>
      </c>
      <c r="E121" s="147" t="e">
        <f t="shared" ref="E121:P121" si="110">E297+E470</f>
        <v>#VALUE!</v>
      </c>
      <c r="F121" s="147" t="e">
        <f t="shared" si="110"/>
        <v>#VALUE!</v>
      </c>
      <c r="G121" s="147" t="e">
        <f t="shared" si="110"/>
        <v>#VALUE!</v>
      </c>
      <c r="H121" s="147" t="e">
        <f t="shared" si="110"/>
        <v>#VALUE!</v>
      </c>
      <c r="I121" s="147" t="e">
        <f t="shared" si="110"/>
        <v>#VALUE!</v>
      </c>
      <c r="J121" s="147" t="e">
        <f t="shared" si="110"/>
        <v>#VALUE!</v>
      </c>
      <c r="K121" s="147" t="e">
        <f t="shared" si="110"/>
        <v>#VALUE!</v>
      </c>
      <c r="L121" s="147" t="e">
        <f t="shared" si="110"/>
        <v>#VALUE!</v>
      </c>
      <c r="M121" s="147" t="e">
        <f t="shared" si="110"/>
        <v>#VALUE!</v>
      </c>
      <c r="N121" s="147" t="e">
        <f t="shared" si="110"/>
        <v>#VALUE!</v>
      </c>
      <c r="O121" s="147" t="e">
        <f t="shared" si="110"/>
        <v>#VALUE!</v>
      </c>
      <c r="P121" s="147" t="e">
        <f t="shared" si="110"/>
        <v>#VALUE!</v>
      </c>
      <c r="Q121" s="147" t="e">
        <f t="shared" si="106"/>
        <v>#VALUE!</v>
      </c>
    </row>
    <row r="122" spans="3:17">
      <c r="C122" s="55"/>
      <c r="D122" s="55" t="s">
        <v>368</v>
      </c>
      <c r="E122" s="147">
        <f t="shared" ref="E122:P122" si="111">E298+E471</f>
        <v>0.00169806342756752</v>
      </c>
      <c r="F122" s="147">
        <f t="shared" si="111"/>
        <v>0.00181959108266529</v>
      </c>
      <c r="G122" s="147">
        <f t="shared" si="111"/>
        <v>0.00188518447401194</v>
      </c>
      <c r="H122" s="147">
        <f t="shared" si="111"/>
        <v>0.00412143916355103</v>
      </c>
      <c r="I122" s="147">
        <f t="shared" si="111"/>
        <v>0.00967638678287898</v>
      </c>
      <c r="J122" s="147">
        <f t="shared" si="111"/>
        <v>0.00488721752704033</v>
      </c>
      <c r="K122" s="147">
        <f t="shared" si="111"/>
        <v>0.00538694995474754</v>
      </c>
      <c r="L122" s="147">
        <f t="shared" si="111"/>
        <v>0.00184761248791175</v>
      </c>
      <c r="M122" s="147">
        <f t="shared" si="111"/>
        <v>0.00316958844284514</v>
      </c>
      <c r="N122" s="147">
        <f t="shared" si="111"/>
        <v>0.00604801076494963</v>
      </c>
      <c r="O122" s="147">
        <f t="shared" si="111"/>
        <v>0.0054317898050051</v>
      </c>
      <c r="P122" s="147">
        <f t="shared" si="111"/>
        <v>0.0025230815797835</v>
      </c>
      <c r="Q122" s="147">
        <f t="shared" si="106"/>
        <v>0.0484949154929578</v>
      </c>
    </row>
    <row r="123" spans="3:17">
      <c r="C123" s="55"/>
      <c r="D123" s="55" t="s">
        <v>411</v>
      </c>
      <c r="E123" s="147">
        <f t="shared" ref="E123:P123" si="112">E299+E472</f>
        <v>225.834514636636</v>
      </c>
      <c r="F123" s="147">
        <f t="shared" si="112"/>
        <v>232.871369791474</v>
      </c>
      <c r="G123" s="147">
        <f t="shared" si="112"/>
        <v>218.025992359182</v>
      </c>
      <c r="H123" s="147">
        <f t="shared" si="112"/>
        <v>170.760875425465</v>
      </c>
      <c r="I123" s="147">
        <f t="shared" si="112"/>
        <v>210.023835721289</v>
      </c>
      <c r="J123" s="147">
        <f t="shared" si="112"/>
        <v>185.12924048191</v>
      </c>
      <c r="K123" s="147">
        <f t="shared" si="112"/>
        <v>226.964217751951</v>
      </c>
      <c r="L123" s="147">
        <f t="shared" si="112"/>
        <v>175.005601176483</v>
      </c>
      <c r="M123" s="147">
        <f t="shared" si="112"/>
        <v>191.844684983766</v>
      </c>
      <c r="N123" s="147">
        <f t="shared" si="112"/>
        <v>204.534533970776</v>
      </c>
      <c r="O123" s="147">
        <f t="shared" si="112"/>
        <v>209.941615501911</v>
      </c>
      <c r="P123" s="147">
        <f t="shared" si="112"/>
        <v>225.116470392581</v>
      </c>
      <c r="Q123" s="147">
        <f t="shared" si="106"/>
        <v>2476.05295219342</v>
      </c>
    </row>
    <row r="124" spans="3:17">
      <c r="C124" s="55"/>
      <c r="D124" s="55" t="s">
        <v>412</v>
      </c>
      <c r="E124" s="147">
        <f t="shared" ref="E124:P124" si="113">E300+E473</f>
        <v>6.57807668306281</v>
      </c>
      <c r="F124" s="147">
        <f t="shared" si="113"/>
        <v>6.78304523222639</v>
      </c>
      <c r="G124" s="147">
        <f t="shared" si="113"/>
        <v>6.35063112007995</v>
      </c>
      <c r="H124" s="147">
        <f t="shared" si="113"/>
        <v>4.97389929445896</v>
      </c>
      <c r="I124" s="147">
        <f t="shared" si="113"/>
        <v>6.11754540207694</v>
      </c>
      <c r="J124" s="147">
        <f t="shared" si="113"/>
        <v>5.39241905572579</v>
      </c>
      <c r="K124" s="147">
        <f t="shared" si="113"/>
        <v>6.61098252003637</v>
      </c>
      <c r="L124" s="147">
        <f t="shared" si="113"/>
        <v>5.09753908235274</v>
      </c>
      <c r="M124" s="147">
        <f t="shared" si="113"/>
        <v>5.58802559959328</v>
      </c>
      <c r="N124" s="147">
        <f t="shared" si="113"/>
        <v>5.95765377563779</v>
      </c>
      <c r="O124" s="147">
        <f t="shared" si="113"/>
        <v>6.11515050283471</v>
      </c>
      <c r="P124" s="147">
        <f t="shared" si="113"/>
        <v>6.5571615890754</v>
      </c>
      <c r="Q124" s="147">
        <f t="shared" si="106"/>
        <v>72.1221298571611</v>
      </c>
    </row>
    <row r="125" spans="3:17">
      <c r="C125" s="55"/>
      <c r="D125" s="55" t="s">
        <v>413</v>
      </c>
      <c r="E125" s="147">
        <f t="shared" ref="E125:P125" si="114">E301+E474</f>
        <v>26.1728793639985</v>
      </c>
      <c r="F125" s="147">
        <f t="shared" si="114"/>
        <v>26.9884090954297</v>
      </c>
      <c r="G125" s="147">
        <f t="shared" si="114"/>
        <v>25.2679179947955</v>
      </c>
      <c r="H125" s="147">
        <f t="shared" si="114"/>
        <v>19.7901715767074</v>
      </c>
      <c r="I125" s="147">
        <f t="shared" si="114"/>
        <v>24.3405155529128</v>
      </c>
      <c r="J125" s="147">
        <f t="shared" si="114"/>
        <v>21.4553797752209</v>
      </c>
      <c r="K125" s="147">
        <f t="shared" si="114"/>
        <v>26.3038052475015</v>
      </c>
      <c r="L125" s="147">
        <f t="shared" si="114"/>
        <v>20.28211008838</v>
      </c>
      <c r="M125" s="147">
        <f t="shared" si="114"/>
        <v>22.233659920333</v>
      </c>
      <c r="N125" s="147">
        <f t="shared" si="114"/>
        <v>23.7043380725133</v>
      </c>
      <c r="O125" s="147">
        <f t="shared" si="114"/>
        <v>24.3309867176657</v>
      </c>
      <c r="P125" s="147">
        <f t="shared" si="114"/>
        <v>26.0896622994683</v>
      </c>
      <c r="Q125" s="147">
        <f t="shared" si="106"/>
        <v>286.959835704927</v>
      </c>
    </row>
    <row r="126" spans="3:17">
      <c r="C126" s="55"/>
      <c r="D126" s="55" t="s">
        <v>414</v>
      </c>
      <c r="E126" s="147">
        <f t="shared" ref="E126:P126" si="115">E302+E475</f>
        <v>22.6800207351627</v>
      </c>
      <c r="F126" s="147">
        <f t="shared" si="115"/>
        <v>23.3867152857227</v>
      </c>
      <c r="G126" s="147">
        <f t="shared" si="115"/>
        <v>21.895829499166</v>
      </c>
      <c r="H126" s="147">
        <f t="shared" si="115"/>
        <v>17.14910673258</v>
      </c>
      <c r="I126" s="147">
        <f t="shared" si="115"/>
        <v>21.0921920269866</v>
      </c>
      <c r="J126" s="147">
        <f t="shared" si="115"/>
        <v>18.592087305921</v>
      </c>
      <c r="K126" s="147">
        <f t="shared" si="115"/>
        <v>22.7934741199172</v>
      </c>
      <c r="L126" s="147">
        <f t="shared" si="115"/>
        <v>17.5753943981437</v>
      </c>
      <c r="M126" s="147">
        <f t="shared" si="115"/>
        <v>19.2665033525249</v>
      </c>
      <c r="N126" s="147">
        <f t="shared" si="115"/>
        <v>20.5409145673675</v>
      </c>
      <c r="O126" s="147">
        <f t="shared" si="115"/>
        <v>21.0839348467971</v>
      </c>
      <c r="P126" s="147">
        <f t="shared" si="115"/>
        <v>22.6079092673025</v>
      </c>
      <c r="Q126" s="147">
        <f t="shared" si="106"/>
        <v>248.664082137592</v>
      </c>
    </row>
    <row r="127" spans="3:17">
      <c r="C127" s="55"/>
      <c r="D127" s="55" t="s">
        <v>415</v>
      </c>
      <c r="E127" s="147">
        <f t="shared" ref="E127:P127" si="116">E303+E476</f>
        <v>53.9749381871167</v>
      </c>
      <c r="F127" s="147">
        <f t="shared" si="116"/>
        <v>55.6567618119297</v>
      </c>
      <c r="G127" s="147">
        <f t="shared" si="116"/>
        <v>52.1086844484603</v>
      </c>
      <c r="H127" s="147">
        <f t="shared" si="116"/>
        <v>40.8122191184863</v>
      </c>
      <c r="I127" s="147">
        <f t="shared" si="116"/>
        <v>50.1961516782198</v>
      </c>
      <c r="J127" s="147">
        <f t="shared" si="116"/>
        <v>44.2462894908534</v>
      </c>
      <c r="K127" s="147">
        <f t="shared" si="116"/>
        <v>54.2449396787709</v>
      </c>
      <c r="L127" s="147">
        <f t="shared" si="116"/>
        <v>41.8267177676459</v>
      </c>
      <c r="M127" s="147">
        <f t="shared" si="116"/>
        <v>45.8512952733835</v>
      </c>
      <c r="N127" s="147">
        <f t="shared" si="116"/>
        <v>48.8841966692562</v>
      </c>
      <c r="O127" s="147">
        <f t="shared" si="116"/>
        <v>50.176500867688</v>
      </c>
      <c r="P127" s="147">
        <f t="shared" si="116"/>
        <v>53.8033240574038</v>
      </c>
      <c r="Q127" s="147">
        <f t="shared" si="106"/>
        <v>591.782019049214</v>
      </c>
    </row>
    <row r="128" spans="3:17">
      <c r="C128" s="55"/>
      <c r="D128" s="55" t="s">
        <v>416</v>
      </c>
      <c r="E128" s="147">
        <f t="shared" ref="E128:P128" si="117">E304+E477</f>
        <v>0</v>
      </c>
      <c r="F128" s="147">
        <f t="shared" si="117"/>
        <v>0</v>
      </c>
      <c r="G128" s="147">
        <f t="shared" si="117"/>
        <v>0</v>
      </c>
      <c r="H128" s="147">
        <f t="shared" si="117"/>
        <v>0</v>
      </c>
      <c r="I128" s="147">
        <f t="shared" si="117"/>
        <v>0</v>
      </c>
      <c r="J128" s="147">
        <f t="shared" si="117"/>
        <v>0</v>
      </c>
      <c r="K128" s="147">
        <f t="shared" si="117"/>
        <v>0</v>
      </c>
      <c r="L128" s="147">
        <f t="shared" si="117"/>
        <v>0</v>
      </c>
      <c r="M128" s="147">
        <f t="shared" si="117"/>
        <v>0</v>
      </c>
      <c r="N128" s="147">
        <f t="shared" si="117"/>
        <v>0</v>
      </c>
      <c r="O128" s="147">
        <f t="shared" si="117"/>
        <v>0</v>
      </c>
      <c r="P128" s="147">
        <f t="shared" si="117"/>
        <v>0</v>
      </c>
      <c r="Q128" s="147">
        <f t="shared" si="106"/>
        <v>0</v>
      </c>
    </row>
    <row r="129" spans="3:17">
      <c r="C129" s="55"/>
      <c r="D129" s="55" t="s">
        <v>417</v>
      </c>
      <c r="E129" s="147">
        <f t="shared" ref="E129:P129" si="118">E305+E478</f>
        <v>65.9748418780058</v>
      </c>
      <c r="F129" s="147">
        <f t="shared" si="118"/>
        <v>68.0305746206552</v>
      </c>
      <c r="G129" s="147">
        <f t="shared" si="118"/>
        <v>63.6936758508166</v>
      </c>
      <c r="H129" s="147">
        <f t="shared" si="118"/>
        <v>49.8857394463002</v>
      </c>
      <c r="I129" s="147">
        <f t="shared" si="118"/>
        <v>61.3559418701735</v>
      </c>
      <c r="J129" s="147">
        <f t="shared" si="118"/>
        <v>54.0832847779766</v>
      </c>
      <c r="K129" s="147">
        <f t="shared" si="118"/>
        <v>66.3048710789093</v>
      </c>
      <c r="L129" s="147">
        <f t="shared" si="118"/>
        <v>51.1257851084501</v>
      </c>
      <c r="M129" s="147">
        <f t="shared" si="118"/>
        <v>56.0451212575039</v>
      </c>
      <c r="N129" s="147">
        <f t="shared" si="118"/>
        <v>59.7523082732745</v>
      </c>
      <c r="O129" s="147">
        <f t="shared" si="118"/>
        <v>61.3319222202925</v>
      </c>
      <c r="P129" s="147">
        <f t="shared" si="118"/>
        <v>65.7650738735927</v>
      </c>
      <c r="Q129" s="147">
        <f t="shared" si="106"/>
        <v>723.349140255951</v>
      </c>
    </row>
    <row r="130" spans="3:17">
      <c r="C130" s="55"/>
      <c r="D130" s="55" t="s">
        <v>418</v>
      </c>
      <c r="E130" s="147">
        <f t="shared" ref="E130:P130" si="119">E306+E479</f>
        <v>33.7629282839226</v>
      </c>
      <c r="F130" s="147">
        <f t="shared" si="119"/>
        <v>34.8149589547854</v>
      </c>
      <c r="G130" s="147">
        <f t="shared" si="119"/>
        <v>32.5955310945195</v>
      </c>
      <c r="H130" s="147">
        <f t="shared" si="119"/>
        <v>25.5292562342219</v>
      </c>
      <c r="I130" s="147">
        <f t="shared" si="119"/>
        <v>31.3991849951794</v>
      </c>
      <c r="J130" s="147">
        <f t="shared" si="119"/>
        <v>27.6773693326052</v>
      </c>
      <c r="K130" s="147">
        <f t="shared" si="119"/>
        <v>33.931822242961</v>
      </c>
      <c r="L130" s="147">
        <f t="shared" si="119"/>
        <v>26.1638552960489</v>
      </c>
      <c r="M130" s="147">
        <f t="shared" si="119"/>
        <v>28.6813481596488</v>
      </c>
      <c r="N130" s="147">
        <f t="shared" si="119"/>
        <v>30.5785181381686</v>
      </c>
      <c r="O130" s="147">
        <f t="shared" si="119"/>
        <v>31.3868928290557</v>
      </c>
      <c r="P130" s="147">
        <f t="shared" si="119"/>
        <v>33.655578544421</v>
      </c>
      <c r="Q130" s="147">
        <f t="shared" si="106"/>
        <v>370.177244105538</v>
      </c>
    </row>
    <row r="131" spans="3:17">
      <c r="C131" s="55"/>
      <c r="D131" s="687" t="s">
        <v>419</v>
      </c>
      <c r="E131" s="147">
        <f t="shared" ref="E131:P131" si="120">E307+E480</f>
        <v>0</v>
      </c>
      <c r="F131" s="147">
        <f t="shared" si="120"/>
        <v>0</v>
      </c>
      <c r="G131" s="147">
        <f t="shared" si="120"/>
        <v>0</v>
      </c>
      <c r="H131" s="147">
        <f t="shared" si="120"/>
        <v>0</v>
      </c>
      <c r="I131" s="147">
        <f t="shared" si="120"/>
        <v>0</v>
      </c>
      <c r="J131" s="147">
        <f t="shared" si="120"/>
        <v>0</v>
      </c>
      <c r="K131" s="147">
        <f t="shared" si="120"/>
        <v>0</v>
      </c>
      <c r="L131" s="147">
        <f t="shared" si="120"/>
        <v>0</v>
      </c>
      <c r="M131" s="147">
        <f t="shared" si="120"/>
        <v>0</v>
      </c>
      <c r="N131" s="147">
        <f t="shared" si="120"/>
        <v>0</v>
      </c>
      <c r="O131" s="147">
        <f t="shared" si="120"/>
        <v>0</v>
      </c>
      <c r="P131" s="147">
        <f t="shared" si="120"/>
        <v>0</v>
      </c>
      <c r="Q131" s="147">
        <f t="shared" si="106"/>
        <v>0</v>
      </c>
    </row>
    <row r="132" spans="3:17">
      <c r="C132" s="55"/>
      <c r="D132" s="687" t="s">
        <v>420</v>
      </c>
      <c r="E132" s="147">
        <f t="shared" ref="E132:P132" si="121">E308+E481</f>
        <v>0</v>
      </c>
      <c r="F132" s="147">
        <f t="shared" si="121"/>
        <v>0</v>
      </c>
      <c r="G132" s="147">
        <f t="shared" si="121"/>
        <v>0</v>
      </c>
      <c r="H132" s="147">
        <f t="shared" si="121"/>
        <v>0</v>
      </c>
      <c r="I132" s="147">
        <f t="shared" si="121"/>
        <v>0</v>
      </c>
      <c r="J132" s="147">
        <f t="shared" si="121"/>
        <v>0</v>
      </c>
      <c r="K132" s="147">
        <f t="shared" si="121"/>
        <v>0</v>
      </c>
      <c r="L132" s="147">
        <f t="shared" si="121"/>
        <v>0</v>
      </c>
      <c r="M132" s="147">
        <f t="shared" si="121"/>
        <v>0</v>
      </c>
      <c r="N132" s="147">
        <f t="shared" si="121"/>
        <v>0</v>
      </c>
      <c r="O132" s="147">
        <f t="shared" si="121"/>
        <v>0</v>
      </c>
      <c r="P132" s="147">
        <f t="shared" si="121"/>
        <v>0</v>
      </c>
      <c r="Q132" s="147">
        <f t="shared" si="106"/>
        <v>0</v>
      </c>
    </row>
    <row r="133" spans="3:17">
      <c r="C133" s="55"/>
      <c r="D133" s="55"/>
      <c r="E133" s="55">
        <f t="shared" ref="E133:P133" si="122">E309+E482</f>
        <v>0</v>
      </c>
      <c r="F133" s="55">
        <f t="shared" si="122"/>
        <v>0</v>
      </c>
      <c r="G133" s="55">
        <f t="shared" si="122"/>
        <v>0</v>
      </c>
      <c r="H133" s="55">
        <f t="shared" si="122"/>
        <v>0</v>
      </c>
      <c r="I133" s="55">
        <f t="shared" si="122"/>
        <v>0</v>
      </c>
      <c r="J133" s="55">
        <f t="shared" si="122"/>
        <v>0</v>
      </c>
      <c r="K133" s="55">
        <f t="shared" si="122"/>
        <v>0</v>
      </c>
      <c r="L133" s="55">
        <f t="shared" si="122"/>
        <v>0</v>
      </c>
      <c r="M133" s="55">
        <f t="shared" si="122"/>
        <v>0</v>
      </c>
      <c r="N133" s="55">
        <f t="shared" si="122"/>
        <v>0</v>
      </c>
      <c r="O133" s="55">
        <f t="shared" si="122"/>
        <v>0</v>
      </c>
      <c r="P133" s="55">
        <f t="shared" si="122"/>
        <v>0</v>
      </c>
      <c r="Q133" s="55">
        <f t="shared" si="106"/>
        <v>0</v>
      </c>
    </row>
    <row r="134" spans="3:17">
      <c r="C134" s="55"/>
      <c r="D134" s="55"/>
      <c r="E134" s="55">
        <f t="shared" ref="E134:P134" si="123">E310+E483</f>
        <v>0</v>
      </c>
      <c r="F134" s="55">
        <f t="shared" si="123"/>
        <v>0</v>
      </c>
      <c r="G134" s="55">
        <f t="shared" si="123"/>
        <v>0</v>
      </c>
      <c r="H134" s="55">
        <f t="shared" si="123"/>
        <v>0</v>
      </c>
      <c r="I134" s="55">
        <f t="shared" si="123"/>
        <v>0</v>
      </c>
      <c r="J134" s="55">
        <f t="shared" si="123"/>
        <v>0</v>
      </c>
      <c r="K134" s="55">
        <f t="shared" si="123"/>
        <v>0</v>
      </c>
      <c r="L134" s="55">
        <f t="shared" si="123"/>
        <v>0</v>
      </c>
      <c r="M134" s="55">
        <f t="shared" si="123"/>
        <v>0</v>
      </c>
      <c r="N134" s="55">
        <f t="shared" si="123"/>
        <v>0</v>
      </c>
      <c r="O134" s="55">
        <f t="shared" si="123"/>
        <v>0</v>
      </c>
      <c r="P134" s="55">
        <f t="shared" si="123"/>
        <v>0</v>
      </c>
      <c r="Q134" s="55">
        <f t="shared" si="106"/>
        <v>0</v>
      </c>
    </row>
    <row r="135" spans="3:17">
      <c r="C135" s="55"/>
      <c r="D135" s="55"/>
      <c r="E135" s="55">
        <f t="shared" ref="E135:P135" si="124">E311+E484</f>
        <v>0</v>
      </c>
      <c r="F135" s="55">
        <f t="shared" si="124"/>
        <v>0</v>
      </c>
      <c r="G135" s="55">
        <f t="shared" si="124"/>
        <v>0</v>
      </c>
      <c r="H135" s="55">
        <f t="shared" si="124"/>
        <v>0</v>
      </c>
      <c r="I135" s="55">
        <f t="shared" si="124"/>
        <v>0</v>
      </c>
      <c r="J135" s="55">
        <f t="shared" si="124"/>
        <v>0</v>
      </c>
      <c r="K135" s="55">
        <f t="shared" si="124"/>
        <v>0</v>
      </c>
      <c r="L135" s="55">
        <f t="shared" si="124"/>
        <v>0</v>
      </c>
      <c r="M135" s="55">
        <f t="shared" si="124"/>
        <v>0</v>
      </c>
      <c r="N135" s="55">
        <f t="shared" si="124"/>
        <v>0</v>
      </c>
      <c r="O135" s="55">
        <f t="shared" si="124"/>
        <v>0</v>
      </c>
      <c r="P135" s="55">
        <f t="shared" si="124"/>
        <v>0</v>
      </c>
      <c r="Q135" s="55">
        <f t="shared" si="106"/>
        <v>0</v>
      </c>
    </row>
    <row r="136" spans="3:17">
      <c r="C136" s="55"/>
      <c r="D136" s="55"/>
      <c r="E136" s="55">
        <f t="shared" ref="E136:P136" si="125">E312+E485</f>
        <v>0</v>
      </c>
      <c r="F136" s="55">
        <f t="shared" si="125"/>
        <v>0</v>
      </c>
      <c r="G136" s="55">
        <f t="shared" si="125"/>
        <v>0</v>
      </c>
      <c r="H136" s="55">
        <f t="shared" si="125"/>
        <v>0</v>
      </c>
      <c r="I136" s="55">
        <f t="shared" si="125"/>
        <v>0</v>
      </c>
      <c r="J136" s="55">
        <f t="shared" si="125"/>
        <v>0</v>
      </c>
      <c r="K136" s="55">
        <f t="shared" si="125"/>
        <v>0</v>
      </c>
      <c r="L136" s="55">
        <f t="shared" si="125"/>
        <v>0</v>
      </c>
      <c r="M136" s="55">
        <f t="shared" si="125"/>
        <v>0</v>
      </c>
      <c r="N136" s="55">
        <f t="shared" si="125"/>
        <v>0</v>
      </c>
      <c r="O136" s="55">
        <f t="shared" si="125"/>
        <v>0</v>
      </c>
      <c r="P136" s="55">
        <f t="shared" si="125"/>
        <v>0</v>
      </c>
      <c r="Q136" s="55">
        <f t="shared" si="106"/>
        <v>0</v>
      </c>
    </row>
    <row r="137" spans="3:17">
      <c r="C137" s="55"/>
      <c r="D137" s="55"/>
      <c r="E137" s="55">
        <f t="shared" ref="E137:P137" si="126">E313+E486</f>
        <v>0</v>
      </c>
      <c r="F137" s="55">
        <f t="shared" si="126"/>
        <v>0</v>
      </c>
      <c r="G137" s="55">
        <f t="shared" si="126"/>
        <v>0</v>
      </c>
      <c r="H137" s="55">
        <f t="shared" si="126"/>
        <v>0</v>
      </c>
      <c r="I137" s="55">
        <f t="shared" si="126"/>
        <v>0</v>
      </c>
      <c r="J137" s="55">
        <f t="shared" si="126"/>
        <v>0</v>
      </c>
      <c r="K137" s="55">
        <f t="shared" si="126"/>
        <v>0</v>
      </c>
      <c r="L137" s="55">
        <f t="shared" si="126"/>
        <v>0</v>
      </c>
      <c r="M137" s="55">
        <f t="shared" si="126"/>
        <v>0</v>
      </c>
      <c r="N137" s="55">
        <f t="shared" si="126"/>
        <v>0</v>
      </c>
      <c r="O137" s="55">
        <f t="shared" si="126"/>
        <v>0</v>
      </c>
      <c r="P137" s="55">
        <f t="shared" si="126"/>
        <v>0</v>
      </c>
      <c r="Q137" s="55">
        <f t="shared" si="106"/>
        <v>0</v>
      </c>
    </row>
    <row r="138" spans="3:17">
      <c r="C138" s="55"/>
      <c r="D138" s="55"/>
      <c r="E138" s="55">
        <f t="shared" ref="E138:P138" si="127">E314+E487</f>
        <v>0</v>
      </c>
      <c r="F138" s="55">
        <f t="shared" si="127"/>
        <v>0</v>
      </c>
      <c r="G138" s="55">
        <f t="shared" si="127"/>
        <v>0</v>
      </c>
      <c r="H138" s="55">
        <f t="shared" si="127"/>
        <v>0</v>
      </c>
      <c r="I138" s="55">
        <f t="shared" si="127"/>
        <v>0</v>
      </c>
      <c r="J138" s="55">
        <f t="shared" si="127"/>
        <v>0</v>
      </c>
      <c r="K138" s="55">
        <f t="shared" si="127"/>
        <v>0</v>
      </c>
      <c r="L138" s="55">
        <f t="shared" si="127"/>
        <v>0</v>
      </c>
      <c r="M138" s="55">
        <f t="shared" si="127"/>
        <v>0</v>
      </c>
      <c r="N138" s="55">
        <f t="shared" si="127"/>
        <v>0</v>
      </c>
      <c r="O138" s="55">
        <f t="shared" si="127"/>
        <v>0</v>
      </c>
      <c r="P138" s="55">
        <f t="shared" si="127"/>
        <v>0</v>
      </c>
      <c r="Q138" s="55">
        <f t="shared" si="106"/>
        <v>0</v>
      </c>
    </row>
    <row r="139" spans="3:17">
      <c r="C139" s="55"/>
      <c r="D139" s="55"/>
      <c r="E139" s="55">
        <f t="shared" ref="E139:P139" si="128">E315+E488</f>
        <v>0</v>
      </c>
      <c r="F139" s="55">
        <f t="shared" si="128"/>
        <v>0</v>
      </c>
      <c r="G139" s="55">
        <f t="shared" si="128"/>
        <v>0</v>
      </c>
      <c r="H139" s="55">
        <f t="shared" si="128"/>
        <v>0</v>
      </c>
      <c r="I139" s="55">
        <f t="shared" si="128"/>
        <v>0</v>
      </c>
      <c r="J139" s="55">
        <f t="shared" si="128"/>
        <v>0</v>
      </c>
      <c r="K139" s="55">
        <f t="shared" si="128"/>
        <v>0</v>
      </c>
      <c r="L139" s="55">
        <f t="shared" si="128"/>
        <v>0</v>
      </c>
      <c r="M139" s="55">
        <f t="shared" si="128"/>
        <v>0</v>
      </c>
      <c r="N139" s="55">
        <f t="shared" si="128"/>
        <v>0</v>
      </c>
      <c r="O139" s="55">
        <f t="shared" si="128"/>
        <v>0</v>
      </c>
      <c r="P139" s="55">
        <f t="shared" si="128"/>
        <v>0</v>
      </c>
      <c r="Q139" s="55">
        <f t="shared" si="106"/>
        <v>0</v>
      </c>
    </row>
    <row r="140" spans="3:17">
      <c r="C140" s="55"/>
      <c r="D140" s="55"/>
      <c r="E140" s="55">
        <f t="shared" ref="E140:P140" si="129">E316+E489</f>
        <v>0</v>
      </c>
      <c r="F140" s="55">
        <f t="shared" si="129"/>
        <v>0</v>
      </c>
      <c r="G140" s="55">
        <f t="shared" si="129"/>
        <v>0</v>
      </c>
      <c r="H140" s="55">
        <f t="shared" si="129"/>
        <v>0</v>
      </c>
      <c r="I140" s="55">
        <f t="shared" si="129"/>
        <v>0</v>
      </c>
      <c r="J140" s="55">
        <f t="shared" si="129"/>
        <v>0</v>
      </c>
      <c r="K140" s="55">
        <f t="shared" si="129"/>
        <v>0</v>
      </c>
      <c r="L140" s="55">
        <f t="shared" si="129"/>
        <v>0</v>
      </c>
      <c r="M140" s="55">
        <f t="shared" si="129"/>
        <v>0</v>
      </c>
      <c r="N140" s="55">
        <f t="shared" si="129"/>
        <v>0</v>
      </c>
      <c r="O140" s="55">
        <f t="shared" si="129"/>
        <v>0</v>
      </c>
      <c r="P140" s="55">
        <f t="shared" si="129"/>
        <v>0</v>
      </c>
      <c r="Q140" s="55">
        <f t="shared" si="106"/>
        <v>0</v>
      </c>
    </row>
    <row r="141" ht="15" spans="3:18">
      <c r="C141" s="44" t="s">
        <v>421</v>
      </c>
      <c r="D141" s="45"/>
      <c r="E141" s="681" t="e">
        <f t="shared" ref="E141:P141" si="130">SUM(E117:E140)</f>
        <v>#VALUE!</v>
      </c>
      <c r="F141" s="681" t="e">
        <f t="shared" si="130"/>
        <v>#VALUE!</v>
      </c>
      <c r="G141" s="681" t="e">
        <f t="shared" si="130"/>
        <v>#VALUE!</v>
      </c>
      <c r="H141" s="681" t="e">
        <f t="shared" si="130"/>
        <v>#VALUE!</v>
      </c>
      <c r="I141" s="681" t="e">
        <f t="shared" si="130"/>
        <v>#VALUE!</v>
      </c>
      <c r="J141" s="681" t="e">
        <f t="shared" si="130"/>
        <v>#VALUE!</v>
      </c>
      <c r="K141" s="681" t="e">
        <f t="shared" si="130"/>
        <v>#VALUE!</v>
      </c>
      <c r="L141" s="681" t="e">
        <f t="shared" si="130"/>
        <v>#VALUE!</v>
      </c>
      <c r="M141" s="681" t="e">
        <f t="shared" si="130"/>
        <v>#VALUE!</v>
      </c>
      <c r="N141" s="681" t="e">
        <f t="shared" si="130"/>
        <v>#VALUE!</v>
      </c>
      <c r="O141" s="681" t="e">
        <f t="shared" si="130"/>
        <v>#VALUE!</v>
      </c>
      <c r="P141" s="681" t="e">
        <f t="shared" si="130"/>
        <v>#VALUE!</v>
      </c>
      <c r="Q141" s="681" t="e">
        <f t="shared" si="106"/>
        <v>#VALUE!</v>
      </c>
      <c r="R141" s="686"/>
    </row>
    <row r="142" ht="15" spans="3:17">
      <c r="C142" s="663" t="s">
        <v>422</v>
      </c>
      <c r="D142" s="676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</row>
    <row r="143" spans="3:18">
      <c r="C143" s="55"/>
      <c r="D143" s="55" t="s">
        <v>539</v>
      </c>
      <c r="E143" s="147" t="e">
        <f t="shared" ref="E143:P144" si="131">E319+E492</f>
        <v>#REF!</v>
      </c>
      <c r="F143" s="147" t="e">
        <f t="shared" si="131"/>
        <v>#REF!</v>
      </c>
      <c r="G143" s="147" t="e">
        <f t="shared" si="131"/>
        <v>#REF!</v>
      </c>
      <c r="H143" s="147" t="e">
        <f t="shared" si="131"/>
        <v>#REF!</v>
      </c>
      <c r="I143" s="147" t="e">
        <f t="shared" si="131"/>
        <v>#REF!</v>
      </c>
      <c r="J143" s="147" t="e">
        <f t="shared" si="131"/>
        <v>#REF!</v>
      </c>
      <c r="K143" s="147" t="e">
        <f t="shared" si="131"/>
        <v>#REF!</v>
      </c>
      <c r="L143" s="147" t="e">
        <f t="shared" si="131"/>
        <v>#REF!</v>
      </c>
      <c r="M143" s="147" t="e">
        <f t="shared" si="131"/>
        <v>#REF!</v>
      </c>
      <c r="N143" s="147" t="e">
        <f t="shared" si="131"/>
        <v>#REF!</v>
      </c>
      <c r="O143" s="147" t="e">
        <f t="shared" si="131"/>
        <v>#VALUE!</v>
      </c>
      <c r="P143" s="147" t="e">
        <f t="shared" si="131"/>
        <v>#REF!</v>
      </c>
      <c r="Q143" s="147" t="e">
        <f>SUM(E143:P143)</f>
        <v>#REF!</v>
      </c>
      <c r="R143" s="686"/>
    </row>
    <row r="144" spans="3:18">
      <c r="C144" s="55"/>
      <c r="D144" s="55" t="s">
        <v>423</v>
      </c>
      <c r="E144" s="147" t="e">
        <f t="shared" si="131"/>
        <v>#REF!</v>
      </c>
      <c r="F144" s="147" t="e">
        <f t="shared" si="131"/>
        <v>#REF!</v>
      </c>
      <c r="G144" s="147" t="e">
        <f t="shared" si="131"/>
        <v>#REF!</v>
      </c>
      <c r="H144" s="147" t="e">
        <f t="shared" si="131"/>
        <v>#REF!</v>
      </c>
      <c r="I144" s="147" t="e">
        <f t="shared" si="131"/>
        <v>#REF!</v>
      </c>
      <c r="J144" s="147" t="e">
        <f t="shared" si="131"/>
        <v>#REF!</v>
      </c>
      <c r="K144" s="147" t="e">
        <f t="shared" si="131"/>
        <v>#REF!</v>
      </c>
      <c r="L144" s="147" t="e">
        <f t="shared" si="131"/>
        <v>#REF!</v>
      </c>
      <c r="M144" s="147" t="e">
        <f t="shared" si="131"/>
        <v>#REF!</v>
      </c>
      <c r="N144" s="147" t="e">
        <f t="shared" si="131"/>
        <v>#REF!</v>
      </c>
      <c r="O144" s="147" t="e">
        <f t="shared" si="131"/>
        <v>#REF!</v>
      </c>
      <c r="P144" s="147" t="e">
        <f t="shared" si="131"/>
        <v>#REF!</v>
      </c>
      <c r="Q144" s="147" t="e">
        <f>SUM(E144:P144)</f>
        <v>#REF!</v>
      </c>
      <c r="R144" s="686"/>
    </row>
    <row r="145" spans="3:17"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</row>
    <row r="146" spans="3:17"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</row>
    <row r="147" spans="3:17"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</row>
    <row r="148" spans="3:17">
      <c r="C148" s="55"/>
      <c r="D148" s="679" t="s">
        <v>534</v>
      </c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</row>
    <row r="149" spans="3:17">
      <c r="C149" s="55"/>
      <c r="D149" s="679" t="s">
        <v>535</v>
      </c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</row>
    <row r="150" spans="3:17">
      <c r="C150" s="55"/>
      <c r="D150" s="679" t="s">
        <v>502</v>
      </c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</row>
    <row r="151" spans="3:17">
      <c r="C151" s="55"/>
      <c r="D151" s="679" t="s">
        <v>503</v>
      </c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</row>
    <row r="152" spans="3:17">
      <c r="C152" s="55"/>
      <c r="D152" s="688" t="s">
        <v>504</v>
      </c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</row>
    <row r="153" spans="3:17">
      <c r="C153" s="55"/>
      <c r="D153" s="679" t="s">
        <v>505</v>
      </c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</row>
    <row r="154" spans="3:17">
      <c r="C154" s="55"/>
      <c r="D154" s="679" t="s">
        <v>506</v>
      </c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</row>
    <row r="155" spans="3:17">
      <c r="C155" s="55"/>
      <c r="D155" s="679" t="s">
        <v>507</v>
      </c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</row>
    <row r="156" spans="3:17">
      <c r="C156" s="55"/>
      <c r="D156" s="679" t="s">
        <v>508</v>
      </c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</row>
    <row r="157" spans="3:17">
      <c r="C157" s="55"/>
      <c r="D157" s="679" t="s">
        <v>509</v>
      </c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</row>
    <row r="158" spans="3:17">
      <c r="C158" s="55"/>
      <c r="D158" s="679" t="s">
        <v>510</v>
      </c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</row>
    <row r="159" spans="3:17">
      <c r="C159" s="55"/>
      <c r="D159" s="679" t="s">
        <v>511</v>
      </c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</row>
    <row r="160" spans="3:17">
      <c r="C160" s="55"/>
      <c r="D160" s="679" t="s">
        <v>512</v>
      </c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</row>
    <row r="161" spans="3:17"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</row>
    <row r="162" spans="3:17"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</row>
    <row r="163" spans="3:17"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</row>
    <row r="164" spans="3:17"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</row>
    <row r="165" spans="3:17"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</row>
    <row r="166" spans="3:17">
      <c r="C166" s="55"/>
      <c r="D166" s="55"/>
      <c r="E166" s="55">
        <f t="shared" ref="E166:P166" si="132">E338+E513</f>
        <v>0</v>
      </c>
      <c r="F166" s="55">
        <f t="shared" si="132"/>
        <v>0</v>
      </c>
      <c r="G166" s="55">
        <f t="shared" si="132"/>
        <v>0</v>
      </c>
      <c r="H166" s="55">
        <f t="shared" si="132"/>
        <v>0</v>
      </c>
      <c r="I166" s="55">
        <f t="shared" si="132"/>
        <v>0</v>
      </c>
      <c r="J166" s="55">
        <f t="shared" si="132"/>
        <v>0</v>
      </c>
      <c r="K166" s="55">
        <f t="shared" si="132"/>
        <v>0</v>
      </c>
      <c r="L166" s="55">
        <f t="shared" si="132"/>
        <v>0</v>
      </c>
      <c r="M166" s="55">
        <f t="shared" si="132"/>
        <v>0</v>
      </c>
      <c r="N166" s="55">
        <f t="shared" si="132"/>
        <v>0</v>
      </c>
      <c r="O166" s="55">
        <f t="shared" si="132"/>
        <v>0</v>
      </c>
      <c r="P166" s="55">
        <f t="shared" si="132"/>
        <v>0</v>
      </c>
      <c r="Q166" s="55">
        <f t="shared" ref="Q166:Q173" si="133">SUM(E166:P166)</f>
        <v>0</v>
      </c>
    </row>
    <row r="167" spans="3:17">
      <c r="C167" s="55"/>
      <c r="D167" s="55"/>
      <c r="E167" s="55">
        <f t="shared" ref="E167:P167" si="134">E339+E514</f>
        <v>0</v>
      </c>
      <c r="F167" s="55">
        <f t="shared" si="134"/>
        <v>0</v>
      </c>
      <c r="G167" s="55">
        <f t="shared" si="134"/>
        <v>0</v>
      </c>
      <c r="H167" s="55">
        <f t="shared" si="134"/>
        <v>0</v>
      </c>
      <c r="I167" s="55">
        <f t="shared" si="134"/>
        <v>0</v>
      </c>
      <c r="J167" s="55">
        <f t="shared" si="134"/>
        <v>0</v>
      </c>
      <c r="K167" s="55">
        <f t="shared" si="134"/>
        <v>0</v>
      </c>
      <c r="L167" s="55">
        <f t="shared" si="134"/>
        <v>0</v>
      </c>
      <c r="M167" s="55">
        <f t="shared" si="134"/>
        <v>0</v>
      </c>
      <c r="N167" s="55">
        <f t="shared" si="134"/>
        <v>0</v>
      </c>
      <c r="O167" s="55">
        <f t="shared" si="134"/>
        <v>0</v>
      </c>
      <c r="P167" s="55">
        <f t="shared" si="134"/>
        <v>0</v>
      </c>
      <c r="Q167" s="55">
        <f t="shared" si="133"/>
        <v>0</v>
      </c>
    </row>
    <row r="168" spans="3:17">
      <c r="C168" s="55"/>
      <c r="D168" s="55"/>
      <c r="E168" s="55">
        <f t="shared" ref="E168:P168" si="135">E340+E515</f>
        <v>0</v>
      </c>
      <c r="F168" s="55">
        <f t="shared" si="135"/>
        <v>0</v>
      </c>
      <c r="G168" s="55">
        <f t="shared" si="135"/>
        <v>0</v>
      </c>
      <c r="H168" s="55">
        <f t="shared" si="135"/>
        <v>0</v>
      </c>
      <c r="I168" s="55">
        <f t="shared" si="135"/>
        <v>0</v>
      </c>
      <c r="J168" s="55">
        <f t="shared" si="135"/>
        <v>0</v>
      </c>
      <c r="K168" s="55">
        <f t="shared" si="135"/>
        <v>0</v>
      </c>
      <c r="L168" s="55">
        <f t="shared" si="135"/>
        <v>0</v>
      </c>
      <c r="M168" s="55">
        <f t="shared" si="135"/>
        <v>0</v>
      </c>
      <c r="N168" s="55">
        <f t="shared" si="135"/>
        <v>0</v>
      </c>
      <c r="O168" s="55">
        <f t="shared" si="135"/>
        <v>0</v>
      </c>
      <c r="P168" s="55">
        <f t="shared" si="135"/>
        <v>0</v>
      </c>
      <c r="Q168" s="55">
        <f t="shared" si="133"/>
        <v>0</v>
      </c>
    </row>
    <row r="169" spans="3:17">
      <c r="C169" s="55"/>
      <c r="D169" s="55"/>
      <c r="E169" s="55">
        <f t="shared" ref="E169:P169" si="136">E341+E516</f>
        <v>0</v>
      </c>
      <c r="F169" s="55">
        <f t="shared" si="136"/>
        <v>0</v>
      </c>
      <c r="G169" s="55">
        <f t="shared" si="136"/>
        <v>0</v>
      </c>
      <c r="H169" s="55">
        <f t="shared" si="136"/>
        <v>0</v>
      </c>
      <c r="I169" s="55">
        <f t="shared" si="136"/>
        <v>0</v>
      </c>
      <c r="J169" s="55">
        <f t="shared" si="136"/>
        <v>0</v>
      </c>
      <c r="K169" s="55">
        <f t="shared" si="136"/>
        <v>0</v>
      </c>
      <c r="L169" s="55">
        <f t="shared" si="136"/>
        <v>0</v>
      </c>
      <c r="M169" s="55">
        <f t="shared" si="136"/>
        <v>0</v>
      </c>
      <c r="N169" s="55">
        <f t="shared" si="136"/>
        <v>0</v>
      </c>
      <c r="O169" s="55">
        <f t="shared" si="136"/>
        <v>0</v>
      </c>
      <c r="P169" s="55">
        <f t="shared" si="136"/>
        <v>0</v>
      </c>
      <c r="Q169" s="55">
        <f t="shared" si="133"/>
        <v>0</v>
      </c>
    </row>
    <row r="170" spans="3:17">
      <c r="C170" s="55"/>
      <c r="D170" s="55"/>
      <c r="E170" s="55">
        <f t="shared" ref="E170:P170" si="137">E342+E517</f>
        <v>0</v>
      </c>
      <c r="F170" s="55">
        <f t="shared" si="137"/>
        <v>0</v>
      </c>
      <c r="G170" s="55">
        <f t="shared" si="137"/>
        <v>0</v>
      </c>
      <c r="H170" s="55">
        <f t="shared" si="137"/>
        <v>0</v>
      </c>
      <c r="I170" s="55">
        <f t="shared" si="137"/>
        <v>0</v>
      </c>
      <c r="J170" s="55">
        <f t="shared" si="137"/>
        <v>0</v>
      </c>
      <c r="K170" s="55">
        <f t="shared" si="137"/>
        <v>0</v>
      </c>
      <c r="L170" s="55">
        <f t="shared" si="137"/>
        <v>0</v>
      </c>
      <c r="M170" s="55">
        <f t="shared" si="137"/>
        <v>0</v>
      </c>
      <c r="N170" s="55">
        <f t="shared" si="137"/>
        <v>0</v>
      </c>
      <c r="O170" s="55">
        <f t="shared" si="137"/>
        <v>0</v>
      </c>
      <c r="P170" s="55">
        <f t="shared" si="137"/>
        <v>0</v>
      </c>
      <c r="Q170" s="55">
        <f t="shared" si="133"/>
        <v>0</v>
      </c>
    </row>
    <row r="171" spans="3:17">
      <c r="C171" s="55"/>
      <c r="D171" s="55"/>
      <c r="E171" s="55">
        <f t="shared" ref="E171:P171" si="138">E343+E518</f>
        <v>0</v>
      </c>
      <c r="F171" s="55">
        <f t="shared" si="138"/>
        <v>0</v>
      </c>
      <c r="G171" s="55">
        <f t="shared" si="138"/>
        <v>0</v>
      </c>
      <c r="H171" s="55">
        <f t="shared" si="138"/>
        <v>0</v>
      </c>
      <c r="I171" s="55">
        <f t="shared" si="138"/>
        <v>0</v>
      </c>
      <c r="J171" s="55">
        <f t="shared" si="138"/>
        <v>0</v>
      </c>
      <c r="K171" s="55">
        <f t="shared" si="138"/>
        <v>0</v>
      </c>
      <c r="L171" s="55">
        <f t="shared" si="138"/>
        <v>0</v>
      </c>
      <c r="M171" s="55">
        <f t="shared" si="138"/>
        <v>0</v>
      </c>
      <c r="N171" s="55">
        <f t="shared" si="138"/>
        <v>0</v>
      </c>
      <c r="O171" s="55">
        <f t="shared" si="138"/>
        <v>0</v>
      </c>
      <c r="P171" s="55">
        <f t="shared" si="138"/>
        <v>0</v>
      </c>
      <c r="Q171" s="55">
        <f t="shared" si="133"/>
        <v>0</v>
      </c>
    </row>
    <row r="172" spans="3:17">
      <c r="C172" s="55"/>
      <c r="D172" s="55"/>
      <c r="E172" s="55">
        <f t="shared" ref="E172:P172" si="139">E344+E519</f>
        <v>0</v>
      </c>
      <c r="F172" s="55">
        <f t="shared" si="139"/>
        <v>0</v>
      </c>
      <c r="G172" s="55">
        <f t="shared" si="139"/>
        <v>0</v>
      </c>
      <c r="H172" s="55">
        <f t="shared" si="139"/>
        <v>0</v>
      </c>
      <c r="I172" s="55">
        <f t="shared" si="139"/>
        <v>0</v>
      </c>
      <c r="J172" s="55">
        <f t="shared" si="139"/>
        <v>0</v>
      </c>
      <c r="K172" s="55">
        <f t="shared" si="139"/>
        <v>0</v>
      </c>
      <c r="L172" s="55">
        <f t="shared" si="139"/>
        <v>0</v>
      </c>
      <c r="M172" s="55">
        <f t="shared" si="139"/>
        <v>0</v>
      </c>
      <c r="N172" s="55">
        <f t="shared" si="139"/>
        <v>0</v>
      </c>
      <c r="O172" s="55">
        <f t="shared" si="139"/>
        <v>0</v>
      </c>
      <c r="P172" s="55">
        <f t="shared" si="139"/>
        <v>0</v>
      </c>
      <c r="Q172" s="55">
        <f t="shared" si="133"/>
        <v>0</v>
      </c>
    </row>
    <row r="173" ht="15" spans="3:17">
      <c r="C173" s="44" t="s">
        <v>424</v>
      </c>
      <c r="D173" s="45"/>
      <c r="E173" s="54" t="e">
        <f t="shared" ref="E173:P173" si="140">SUM(E143:E172)</f>
        <v>#REF!</v>
      </c>
      <c r="F173" s="54" t="e">
        <f t="shared" si="140"/>
        <v>#REF!</v>
      </c>
      <c r="G173" s="54" t="e">
        <f t="shared" si="140"/>
        <v>#REF!</v>
      </c>
      <c r="H173" s="54" t="e">
        <f t="shared" si="140"/>
        <v>#REF!</v>
      </c>
      <c r="I173" s="54" t="e">
        <f t="shared" si="140"/>
        <v>#REF!</v>
      </c>
      <c r="J173" s="54" t="e">
        <f t="shared" si="140"/>
        <v>#REF!</v>
      </c>
      <c r="K173" s="54" t="e">
        <f t="shared" si="140"/>
        <v>#REF!</v>
      </c>
      <c r="L173" s="54" t="e">
        <f t="shared" si="140"/>
        <v>#REF!</v>
      </c>
      <c r="M173" s="54" t="e">
        <f t="shared" si="140"/>
        <v>#REF!</v>
      </c>
      <c r="N173" s="54" t="e">
        <f t="shared" si="140"/>
        <v>#REF!</v>
      </c>
      <c r="O173" s="54" t="e">
        <f t="shared" si="140"/>
        <v>#VALUE!</v>
      </c>
      <c r="P173" s="54" t="e">
        <f t="shared" si="140"/>
        <v>#REF!</v>
      </c>
      <c r="Q173" s="54" t="e">
        <f t="shared" si="133"/>
        <v>#REF!</v>
      </c>
    </row>
    <row r="174" ht="15" spans="3:17">
      <c r="C174" s="663" t="s">
        <v>425</v>
      </c>
      <c r="D174" s="676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</row>
    <row r="175" spans="3:18">
      <c r="C175" s="55" t="s">
        <v>426</v>
      </c>
      <c r="D175" s="55" t="s">
        <v>427</v>
      </c>
      <c r="E175" s="55" t="e">
        <f t="shared" ref="E175:P175" si="141">E347+E522</f>
        <v>#REF!</v>
      </c>
      <c r="F175" s="55" t="e">
        <f t="shared" si="141"/>
        <v>#REF!</v>
      </c>
      <c r="G175" s="55" t="e">
        <f t="shared" si="141"/>
        <v>#REF!</v>
      </c>
      <c r="H175" s="55" t="e">
        <f t="shared" si="141"/>
        <v>#REF!</v>
      </c>
      <c r="I175" s="55" t="e">
        <f t="shared" si="141"/>
        <v>#REF!</v>
      </c>
      <c r="J175" s="55" t="e">
        <f t="shared" si="141"/>
        <v>#REF!</v>
      </c>
      <c r="K175" s="55" t="e">
        <f t="shared" si="141"/>
        <v>#REF!</v>
      </c>
      <c r="L175" s="55" t="e">
        <f t="shared" si="141"/>
        <v>#REF!</v>
      </c>
      <c r="M175" s="55" t="e">
        <f t="shared" si="141"/>
        <v>#REF!</v>
      </c>
      <c r="N175" s="55" t="e">
        <f t="shared" si="141"/>
        <v>#REF!</v>
      </c>
      <c r="O175" s="55" t="e">
        <f t="shared" si="141"/>
        <v>#REF!</v>
      </c>
      <c r="P175" s="55" t="e">
        <f t="shared" si="141"/>
        <v>#REF!</v>
      </c>
      <c r="Q175" s="55" t="e">
        <f>SUM(E175:P175)</f>
        <v>#REF!</v>
      </c>
      <c r="R175" s="686"/>
    </row>
    <row r="176" spans="3:17">
      <c r="C176" s="55" t="s">
        <v>426</v>
      </c>
      <c r="D176" s="55" t="s">
        <v>428</v>
      </c>
      <c r="E176" s="55" t="e">
        <f t="shared" ref="E176:P176" si="142">E348+E523</f>
        <v>#REF!</v>
      </c>
      <c r="F176" s="55" t="e">
        <f t="shared" si="142"/>
        <v>#REF!</v>
      </c>
      <c r="G176" s="55" t="e">
        <f t="shared" si="142"/>
        <v>#REF!</v>
      </c>
      <c r="H176" s="55" t="e">
        <f t="shared" si="142"/>
        <v>#REF!</v>
      </c>
      <c r="I176" s="55" t="e">
        <f t="shared" si="142"/>
        <v>#REF!</v>
      </c>
      <c r="J176" s="55" t="e">
        <f t="shared" si="142"/>
        <v>#REF!</v>
      </c>
      <c r="K176" s="55" t="e">
        <f t="shared" si="142"/>
        <v>#REF!</v>
      </c>
      <c r="L176" s="55" t="e">
        <f t="shared" si="142"/>
        <v>#REF!</v>
      </c>
      <c r="M176" s="55" t="e">
        <f t="shared" si="142"/>
        <v>#REF!</v>
      </c>
      <c r="N176" s="55" t="e">
        <f t="shared" si="142"/>
        <v>#REF!</v>
      </c>
      <c r="O176" s="55" t="e">
        <f t="shared" si="142"/>
        <v>#REF!</v>
      </c>
      <c r="P176" s="55" t="e">
        <f t="shared" si="142"/>
        <v>#REF!</v>
      </c>
      <c r="Q176" s="55" t="e">
        <f>SUM(E176:P176)</f>
        <v>#REF!</v>
      </c>
    </row>
    <row r="177" ht="15" spans="3:18">
      <c r="C177" s="44" t="s">
        <v>429</v>
      </c>
      <c r="D177" s="45"/>
      <c r="E177" s="54" t="e">
        <f t="shared" ref="E177:P177" si="143">E175+E176</f>
        <v>#REF!</v>
      </c>
      <c r="F177" s="54" t="e">
        <f t="shared" si="143"/>
        <v>#REF!</v>
      </c>
      <c r="G177" s="54" t="e">
        <f t="shared" si="143"/>
        <v>#REF!</v>
      </c>
      <c r="H177" s="54" t="e">
        <f t="shared" si="143"/>
        <v>#REF!</v>
      </c>
      <c r="I177" s="54" t="e">
        <f t="shared" si="143"/>
        <v>#REF!</v>
      </c>
      <c r="J177" s="54" t="e">
        <f t="shared" si="143"/>
        <v>#REF!</v>
      </c>
      <c r="K177" s="54" t="e">
        <f t="shared" si="143"/>
        <v>#REF!</v>
      </c>
      <c r="L177" s="54" t="e">
        <f t="shared" si="143"/>
        <v>#REF!</v>
      </c>
      <c r="M177" s="54" t="e">
        <f t="shared" si="143"/>
        <v>#REF!</v>
      </c>
      <c r="N177" s="54" t="e">
        <f t="shared" si="143"/>
        <v>#REF!</v>
      </c>
      <c r="O177" s="54" t="e">
        <f t="shared" si="143"/>
        <v>#REF!</v>
      </c>
      <c r="P177" s="54" t="e">
        <f t="shared" si="143"/>
        <v>#REF!</v>
      </c>
      <c r="Q177" s="54" t="e">
        <f>SUM(E177:P177)</f>
        <v>#REF!</v>
      </c>
      <c r="R177" s="686"/>
    </row>
    <row r="178" ht="15" spans="3:18">
      <c r="C178" s="44" t="s">
        <v>224</v>
      </c>
      <c r="D178" s="45"/>
      <c r="E178" s="54" t="e">
        <f t="shared" ref="E178:Q178" si="144">E50+E96+E105+E115+E141+E173+E177</f>
        <v>#REF!</v>
      </c>
      <c r="F178" s="54" t="e">
        <f t="shared" si="144"/>
        <v>#REF!</v>
      </c>
      <c r="G178" s="54" t="e">
        <f t="shared" si="144"/>
        <v>#REF!</v>
      </c>
      <c r="H178" s="54" t="e">
        <f t="shared" si="144"/>
        <v>#REF!</v>
      </c>
      <c r="I178" s="54" t="e">
        <f t="shared" si="144"/>
        <v>#REF!</v>
      </c>
      <c r="J178" s="54" t="e">
        <f t="shared" si="144"/>
        <v>#REF!</v>
      </c>
      <c r="K178" s="54" t="e">
        <f t="shared" si="144"/>
        <v>#REF!</v>
      </c>
      <c r="L178" s="54" t="e">
        <f t="shared" si="144"/>
        <v>#REF!</v>
      </c>
      <c r="M178" s="54" t="e">
        <f t="shared" si="144"/>
        <v>#REF!</v>
      </c>
      <c r="N178" s="54" t="e">
        <f t="shared" si="144"/>
        <v>#REF!</v>
      </c>
      <c r="O178" s="54" t="e">
        <f t="shared" si="144"/>
        <v>#REF!</v>
      </c>
      <c r="P178" s="54" t="e">
        <f t="shared" si="144"/>
        <v>#REF!</v>
      </c>
      <c r="Q178" s="701" t="e">
        <f t="shared" si="144"/>
        <v>#REF!</v>
      </c>
      <c r="R178" s="686"/>
    </row>
    <row r="180" ht="15" spans="3:10">
      <c r="C180" s="11" t="s">
        <v>513</v>
      </c>
      <c r="J180" s="3"/>
    </row>
    <row r="181" ht="15" spans="3:17">
      <c r="C181" s="14"/>
      <c r="Q181" s="3" t="s">
        <v>109</v>
      </c>
    </row>
    <row r="182" ht="15" spans="3:17">
      <c r="C182" s="658" t="s">
        <v>345</v>
      </c>
      <c r="D182" s="658" t="s">
        <v>346</v>
      </c>
      <c r="E182" s="135" t="s">
        <v>443</v>
      </c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</row>
    <row r="183" ht="15" spans="3:17">
      <c r="C183" s="660"/>
      <c r="D183" s="660"/>
      <c r="E183" s="135" t="s">
        <v>246</v>
      </c>
      <c r="F183" s="135" t="s">
        <v>247</v>
      </c>
      <c r="G183" s="135" t="s">
        <v>248</v>
      </c>
      <c r="H183" s="135" t="s">
        <v>249</v>
      </c>
      <c r="I183" s="135" t="s">
        <v>250</v>
      </c>
      <c r="J183" s="135" t="s">
        <v>251</v>
      </c>
      <c r="K183" s="135" t="s">
        <v>252</v>
      </c>
      <c r="L183" s="135" t="s">
        <v>253</v>
      </c>
      <c r="M183" s="135" t="s">
        <v>254</v>
      </c>
      <c r="N183" s="135" t="s">
        <v>255</v>
      </c>
      <c r="O183" s="135" t="s">
        <v>256</v>
      </c>
      <c r="P183" s="135" t="s">
        <v>257</v>
      </c>
      <c r="Q183" s="135" t="s">
        <v>97</v>
      </c>
    </row>
    <row r="184" spans="3:17">
      <c r="C184" s="662"/>
      <c r="D184" s="662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</row>
    <row r="185" ht="15" spans="2:17">
      <c r="B185" s="656"/>
      <c r="C185" s="663" t="s">
        <v>349</v>
      </c>
      <c r="D185" s="676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</row>
    <row r="186" ht="15" spans="3:17">
      <c r="C186" s="44" t="s">
        <v>350</v>
      </c>
      <c r="D186" s="4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</row>
    <row r="187" spans="2:17">
      <c r="B187" s="656"/>
      <c r="C187" s="689" t="s">
        <v>351</v>
      </c>
      <c r="D187" s="47" t="s">
        <v>352</v>
      </c>
      <c r="E187" s="690">
        <f>'[38]TGSPDCL MoD'!U4+'[38]TGSPDCL MoD'!U5</f>
        <v>24.7927641500852</v>
      </c>
      <c r="F187" s="690">
        <f>'[38]TGSPDCL MoD'!V4+'[38]TGSPDCL MoD'!V5</f>
        <v>36.0059556870916</v>
      </c>
      <c r="G187" s="690">
        <f>'[38]TGSPDCL MoD'!W4+'[38]TGSPDCL MoD'!W5</f>
        <v>31.8263182766069</v>
      </c>
      <c r="H187" s="690">
        <f>'[38]TGSPDCL MoD'!X4+'[38]TGSPDCL MoD'!X5</f>
        <v>0</v>
      </c>
      <c r="I187" s="690">
        <f>'[38]TGSPDCL MoD'!Y4+'[38]TGSPDCL MoD'!Y5</f>
        <v>12.186631155631</v>
      </c>
      <c r="J187" s="690">
        <f>'[38]TGSPDCL MoD'!Z4+'[38]TGSPDCL MoD'!Z5</f>
        <v>23.5870280431568</v>
      </c>
      <c r="K187" s="690">
        <f>'[38]TGSPDCL MoD'!AA4+'[38]TGSPDCL MoD'!AA5</f>
        <v>24.3732623112621</v>
      </c>
      <c r="L187" s="690">
        <f>'[38]TGSPDCL MoD'!AB4+'[38]TGSPDCL MoD'!AB5</f>
        <v>25.7313067588825</v>
      </c>
      <c r="M187" s="690">
        <f>'[38]TGSPDCL MoD'!AC4+'[38]TGSPDCL MoD'!AC5</f>
        <v>26.0350756506663</v>
      </c>
      <c r="N187" s="690">
        <f>'[38]TGSPDCL MoD'!AD4+'[38]TGSPDCL MoD'!AD5</f>
        <v>25.2041689809641</v>
      </c>
      <c r="O187" s="690">
        <f>'[38]TGSPDCL MoD'!AE4+'[38]TGSPDCL MoD'!AE5</f>
        <v>28.6096033076683</v>
      </c>
      <c r="P187" s="690">
        <f>'[38]TGSPDCL MoD'!AF4+'[38]TGSPDCL MoD'!AF5</f>
        <v>33.5132356779852</v>
      </c>
      <c r="Q187" s="690">
        <f t="shared" ref="Q187:Q205" si="145">SUM(E187:P187)</f>
        <v>291.86535</v>
      </c>
    </row>
    <row r="188" spans="2:17">
      <c r="B188" s="656"/>
      <c r="C188" s="691"/>
      <c r="D188" s="47" t="s">
        <v>353</v>
      </c>
      <c r="E188" s="690">
        <f>'[38]TGSPDCL MoD'!U6</f>
        <v>37.8753773741037</v>
      </c>
      <c r="F188" s="690">
        <f>'[38]TGSPDCL MoD'!V6</f>
        <v>0</v>
      </c>
      <c r="G188" s="690">
        <f>'[38]TGSPDCL MoD'!W6</f>
        <v>22.8955253807448</v>
      </c>
      <c r="H188" s="690">
        <f>'[38]TGSPDCL MoD'!X6</f>
        <v>33.1502195452661</v>
      </c>
      <c r="I188" s="690">
        <f>'[38]TGSPDCL MoD'!Y6</f>
        <v>31.03424808493</v>
      </c>
      <c r="J188" s="690">
        <f>'[38]TGSPDCL MoD'!Z6</f>
        <v>31.0570004662239</v>
      </c>
      <c r="K188" s="690">
        <f>'[38]TGSPDCL MoD'!AA6</f>
        <v>31.03424808493</v>
      </c>
      <c r="L188" s="690">
        <f>'[38]TGSPDCL MoD'!AB6</f>
        <v>35.8117361307865</v>
      </c>
      <c r="M188" s="690">
        <f>'[38]TGSPDCL MoD'!AC6</f>
        <v>33.1502195452661</v>
      </c>
      <c r="N188" s="690">
        <f>'[38]TGSPDCL MoD'!AD6</f>
        <v>33.2211827491659</v>
      </c>
      <c r="O188" s="690">
        <f>'[38]TGSPDCL MoD'!AE6</f>
        <v>37.5869338975838</v>
      </c>
      <c r="P188" s="690">
        <f>'[38]TGSPDCL MoD'!AF6</f>
        <v>43.1898387409991</v>
      </c>
      <c r="Q188" s="690">
        <f t="shared" si="145"/>
        <v>370.00653</v>
      </c>
    </row>
    <row r="189" spans="2:17">
      <c r="B189" s="656"/>
      <c r="C189" s="691"/>
      <c r="D189" s="47" t="s">
        <v>354</v>
      </c>
      <c r="E189" s="690">
        <f>'[38]TGSPDCL MoD'!U7</f>
        <v>97.9721892002049</v>
      </c>
      <c r="F189" s="690">
        <f>'[38]TGSPDCL MoD'!V7</f>
        <v>0</v>
      </c>
      <c r="G189" s="690">
        <f>'[38]TGSPDCL MoD'!W7</f>
        <v>56.3851394860964</v>
      </c>
      <c r="H189" s="690">
        <f>'[38]TGSPDCL MoD'!X7</f>
        <v>88.3702430925376</v>
      </c>
      <c r="I189" s="690">
        <f>'[38]TGSPDCL MoD'!Y7</f>
        <v>75.4940860695014</v>
      </c>
      <c r="J189" s="690">
        <f>'[38]TGSPDCL MoD'!Z7</f>
        <v>83.0849146656427</v>
      </c>
      <c r="K189" s="690">
        <f>'[38]TGSPDCL MoD'!AA7</f>
        <v>75.401304175525</v>
      </c>
      <c r="L189" s="690">
        <f>'[38]TGSPDCL MoD'!AB7</f>
        <v>108.020024919044</v>
      </c>
      <c r="M189" s="690">
        <f>'[38]TGSPDCL MoD'!AC7</f>
        <v>92.0586299469717</v>
      </c>
      <c r="N189" s="690">
        <f>'[38]TGSPDCL MoD'!AD7</f>
        <v>93.4028211552599</v>
      </c>
      <c r="O189" s="690">
        <f>'[38]TGSPDCL MoD'!AE7</f>
        <v>93.6435551857326</v>
      </c>
      <c r="P189" s="690">
        <f>'[38]TGSPDCL MoD'!AF7</f>
        <v>113.961872103484</v>
      </c>
      <c r="Q189" s="690">
        <f t="shared" si="145"/>
        <v>977.79478</v>
      </c>
    </row>
    <row r="190" spans="2:17">
      <c r="B190" s="656"/>
      <c r="C190" s="691"/>
      <c r="D190" s="47" t="s">
        <v>355</v>
      </c>
      <c r="E190" s="690">
        <f>'[38]TGSPDCL MoD'!U8</f>
        <v>7.8409949917366</v>
      </c>
      <c r="F190" s="690">
        <f>'[38]TGSPDCL MoD'!V8</f>
        <v>0</v>
      </c>
      <c r="G190" s="690">
        <f>'[38]TGSPDCL MoD'!W8</f>
        <v>5.08372202760946</v>
      </c>
      <c r="H190" s="690">
        <f>'[38]TGSPDCL MoD'!X8</f>
        <v>8.10236149146116</v>
      </c>
      <c r="I190" s="690">
        <f>'[38]TGSPDCL MoD'!Y8</f>
        <v>7.83525067306133</v>
      </c>
      <c r="J190" s="690">
        <f>'[38]TGSPDCL MoD'!Z8</f>
        <v>7.58250065134968</v>
      </c>
      <c r="K190" s="690">
        <f>'[38]TGSPDCL MoD'!AA8</f>
        <v>7.83525067306133</v>
      </c>
      <c r="L190" s="690">
        <f>'[38]TGSPDCL MoD'!AB8</f>
        <v>8.09948933212353</v>
      </c>
      <c r="M190" s="690">
        <f>'[38]TGSPDCL MoD'!AC8</f>
        <v>8.36947230986098</v>
      </c>
      <c r="N190" s="690">
        <f>'[38]TGSPDCL MoD'!AD8</f>
        <v>8.10236149146116</v>
      </c>
      <c r="O190" s="690">
        <f>'[38]TGSPDCL MoD'!AE8</f>
        <v>9.00709168281541</v>
      </c>
      <c r="P190" s="690">
        <f>'[38]TGSPDCL MoD'!AF8</f>
        <v>10.7734696754594</v>
      </c>
      <c r="Q190" s="690">
        <f t="shared" si="145"/>
        <v>88.6319650000001</v>
      </c>
    </row>
    <row r="191" spans="2:17">
      <c r="B191" s="656"/>
      <c r="C191" s="691"/>
      <c r="D191" s="47" t="s">
        <v>356</v>
      </c>
      <c r="E191" s="690">
        <f>'[38]TGSPDCL MoD'!U9</f>
        <v>32.9185925603929</v>
      </c>
      <c r="F191" s="690">
        <f>'[38]TGSPDCL MoD'!V9</f>
        <v>34.2577758889548</v>
      </c>
      <c r="G191" s="690">
        <f>'[38]TGSPDCL MoD'!W9</f>
        <v>33.4065472874406</v>
      </c>
      <c r="H191" s="690">
        <f>'[38]TGSPDCL MoD'!X9</f>
        <v>31.590359335949</v>
      </c>
      <c r="I191" s="690">
        <f>'[38]TGSPDCL MoD'!Y9</f>
        <v>24.1175089894619</v>
      </c>
      <c r="J191" s="690">
        <f>'[38]TGSPDCL MoD'!Z9</f>
        <v>25.8395937682344</v>
      </c>
      <c r="K191" s="690">
        <f>'[38]TGSPDCL MoD'!AA9</f>
        <v>0</v>
      </c>
      <c r="L191" s="690">
        <f>'[38]TGSPDCL MoD'!AB9</f>
        <v>17.0736750635122</v>
      </c>
      <c r="M191" s="690">
        <f>'[38]TGSPDCL MoD'!AC9</f>
        <v>30.5372693196486</v>
      </c>
      <c r="N191" s="690">
        <f>'[38]TGSPDCL MoD'!AD9</f>
        <v>29.7595864582728</v>
      </c>
      <c r="O191" s="690">
        <f>'[38]TGSPDCL MoD'!AE9</f>
        <v>29.7647500671305</v>
      </c>
      <c r="P191" s="690">
        <f>'[38]TGSPDCL MoD'!AF9</f>
        <v>36.4707462610024</v>
      </c>
      <c r="Q191" s="690">
        <f t="shared" si="145"/>
        <v>325.736405</v>
      </c>
    </row>
    <row r="192" spans="2:17">
      <c r="B192" s="656"/>
      <c r="C192" s="691"/>
      <c r="D192" s="47" t="s">
        <v>357</v>
      </c>
      <c r="E192" s="690">
        <f>'[38]TGSPDCL MoD'!U10</f>
        <v>60.0734448655623</v>
      </c>
      <c r="F192" s="690">
        <f>'[38]TGSPDCL MoD'!V10</f>
        <v>61.5359086002155</v>
      </c>
      <c r="G192" s="690">
        <f>'[38]TGSPDCL MoD'!W10</f>
        <v>60.0734448655623</v>
      </c>
      <c r="H192" s="690">
        <f>'[38]TGSPDCL MoD'!X10</f>
        <v>61.7118197189552</v>
      </c>
      <c r="I192" s="690">
        <f>'[38]TGSPDCL MoD'!Y10</f>
        <v>49.4735205892538</v>
      </c>
      <c r="J192" s="690">
        <f>'[38]TGSPDCL MoD'!Z10</f>
        <v>53.3697662250476</v>
      </c>
      <c r="K192" s="690">
        <f>'[38]TGSPDCL MoD'!AA10</f>
        <v>46.3383426826849</v>
      </c>
      <c r="L192" s="690">
        <f>'[38]TGSPDCL MoD'!AB10</f>
        <v>0</v>
      </c>
      <c r="M192" s="690">
        <f>'[38]TGSPDCL MoD'!AC10</f>
        <v>29.7264839851186</v>
      </c>
      <c r="N192" s="690">
        <f>'[38]TGSPDCL MoD'!AD10</f>
        <v>52.8956553264611</v>
      </c>
      <c r="O192" s="690">
        <f>'[38]TGSPDCL MoD'!AE10</f>
        <v>53.6994549408595</v>
      </c>
      <c r="P192" s="690">
        <f>'[38]TGSPDCL MoD'!AF10</f>
        <v>69.9446682002791</v>
      </c>
      <c r="Q192" s="690">
        <f t="shared" si="145"/>
        <v>598.84251</v>
      </c>
    </row>
    <row r="193" spans="2:17">
      <c r="B193" s="656"/>
      <c r="C193" s="691"/>
      <c r="D193" s="47" t="s">
        <v>358</v>
      </c>
      <c r="E193" s="690">
        <f>SUM('[38]TGSPDCL MoD'!U11:U14)</f>
        <v>146.578919281518</v>
      </c>
      <c r="F193" s="690">
        <f>SUM('[38]TGSPDCL MoD'!V11:V14)</f>
        <v>72.9635242880927</v>
      </c>
      <c r="G193" s="690">
        <f>SUM('[38]TGSPDCL MoD'!W11:W14)</f>
        <v>109.388280566709</v>
      </c>
      <c r="H193" s="690">
        <f>SUM('[38]TGSPDCL MoD'!X11:X14)</f>
        <v>142.722228718511</v>
      </c>
      <c r="I193" s="690">
        <f>SUM('[38]TGSPDCL MoD'!Y11:Y14)</f>
        <v>96.9787622091771</v>
      </c>
      <c r="J193" s="690">
        <f>SUM('[38]TGSPDCL MoD'!Z11:Z14)</f>
        <v>89.2509603562221</v>
      </c>
      <c r="K193" s="690">
        <f>SUM('[38]TGSPDCL MoD'!AA11:AA14)</f>
        <v>109.460939444973</v>
      </c>
      <c r="L193" s="690">
        <f>SUM('[38]TGSPDCL MoD'!AB11:AB14)</f>
        <v>110.132584872792</v>
      </c>
      <c r="M193" s="690">
        <f>SUM('[38]TGSPDCL MoD'!AC11:AC14)</f>
        <v>124.250646712577</v>
      </c>
      <c r="N193" s="690">
        <f>SUM('[38]TGSPDCL MoD'!AD11:AD14)</f>
        <v>130.017265061632</v>
      </c>
      <c r="O193" s="690">
        <f>SUM('[38]TGSPDCL MoD'!AE11:AE14)</f>
        <v>130.452613192013</v>
      </c>
      <c r="P193" s="690">
        <f>SUM('[38]TGSPDCL MoD'!AF11:AF14)</f>
        <v>161.791530295783</v>
      </c>
      <c r="Q193" s="690">
        <f t="shared" si="145"/>
        <v>1423.988255</v>
      </c>
    </row>
    <row r="194" spans="2:17">
      <c r="B194" s="656"/>
      <c r="C194" s="691"/>
      <c r="D194" s="47" t="s">
        <v>359</v>
      </c>
      <c r="E194" s="690">
        <f>SUM('[38]TGSPDCL MoD'!U15:U19)</f>
        <v>497.051794931486</v>
      </c>
      <c r="F194" s="690">
        <f>SUM('[38]TGSPDCL MoD'!V15:V19)</f>
        <v>293.920394391784</v>
      </c>
      <c r="G194" s="690">
        <f>SUM('[38]TGSPDCL MoD'!W15:W19)</f>
        <v>292.187441634633</v>
      </c>
      <c r="H194" s="690">
        <f>SUM('[38]TGSPDCL MoD'!X15:X19)</f>
        <v>323.746539362943</v>
      </c>
      <c r="I194" s="690">
        <f>SUM('[38]TGSPDCL MoD'!Y15:Y19)</f>
        <v>426.398306785168</v>
      </c>
      <c r="J194" s="690">
        <f>SUM('[38]TGSPDCL MoD'!Z15:Z19)</f>
        <v>489.249345545526</v>
      </c>
      <c r="K194" s="690">
        <f>SUM('[38]TGSPDCL MoD'!AA15:AA19)</f>
        <v>412.338081551478</v>
      </c>
      <c r="L194" s="690">
        <f>SUM('[38]TGSPDCL MoD'!AB15:AB19)</f>
        <v>387.243742432157</v>
      </c>
      <c r="M194" s="690">
        <f>SUM('[38]TGSPDCL MoD'!AC15:AC19)</f>
        <v>445.387958336472</v>
      </c>
      <c r="N194" s="690">
        <f>SUM('[38]TGSPDCL MoD'!AD15:AD19)</f>
        <v>488.558065298344</v>
      </c>
      <c r="O194" s="690">
        <f>SUM('[38]TGSPDCL MoD'!AE15:AE19)</f>
        <v>478.872262644507</v>
      </c>
      <c r="P194" s="690">
        <f>SUM('[38]TGSPDCL MoD'!AF15:AF19)</f>
        <v>557.677051782797</v>
      </c>
      <c r="Q194" s="690">
        <f t="shared" si="145"/>
        <v>5092.63098469729</v>
      </c>
    </row>
    <row r="195" spans="2:17">
      <c r="B195" s="656"/>
      <c r="C195" s="691"/>
      <c r="D195" s="679"/>
      <c r="E195" s="690"/>
      <c r="F195" s="690"/>
      <c r="G195" s="690"/>
      <c r="H195" s="690"/>
      <c r="I195" s="690"/>
      <c r="J195" s="690"/>
      <c r="K195" s="690"/>
      <c r="L195" s="690"/>
      <c r="M195" s="690"/>
      <c r="N195" s="690"/>
      <c r="O195" s="690"/>
      <c r="P195" s="690"/>
      <c r="Q195" s="690">
        <f t="shared" si="145"/>
        <v>0</v>
      </c>
    </row>
    <row r="196" spans="2:17">
      <c r="B196" s="656"/>
      <c r="C196" s="691"/>
      <c r="D196" s="47"/>
      <c r="E196" s="690"/>
      <c r="F196" s="690"/>
      <c r="G196" s="690"/>
      <c r="H196" s="690"/>
      <c r="I196" s="690"/>
      <c r="J196" s="690"/>
      <c r="K196" s="690"/>
      <c r="L196" s="690"/>
      <c r="M196" s="690"/>
      <c r="N196" s="690"/>
      <c r="O196" s="690"/>
      <c r="P196" s="690"/>
      <c r="Q196" s="690">
        <f t="shared" si="145"/>
        <v>0</v>
      </c>
    </row>
    <row r="197" spans="2:17">
      <c r="B197" s="656"/>
      <c r="C197" s="691"/>
      <c r="D197" s="47"/>
      <c r="E197" s="690"/>
      <c r="F197" s="690"/>
      <c r="G197" s="690"/>
      <c r="H197" s="690"/>
      <c r="I197" s="690"/>
      <c r="J197" s="690"/>
      <c r="K197" s="690"/>
      <c r="L197" s="690"/>
      <c r="M197" s="690"/>
      <c r="N197" s="690"/>
      <c r="O197" s="690"/>
      <c r="P197" s="690"/>
      <c r="Q197" s="690">
        <f t="shared" si="145"/>
        <v>0</v>
      </c>
    </row>
    <row r="198" spans="2:17">
      <c r="B198" s="656"/>
      <c r="C198" s="691"/>
      <c r="D198" s="47"/>
      <c r="E198" s="690"/>
      <c r="F198" s="690"/>
      <c r="G198" s="690"/>
      <c r="H198" s="690"/>
      <c r="I198" s="690"/>
      <c r="J198" s="690"/>
      <c r="K198" s="690"/>
      <c r="L198" s="690"/>
      <c r="M198" s="690"/>
      <c r="N198" s="690"/>
      <c r="O198" s="690"/>
      <c r="P198" s="690"/>
      <c r="Q198" s="690">
        <f t="shared" si="145"/>
        <v>0</v>
      </c>
    </row>
    <row r="199" spans="2:17">
      <c r="B199" s="656"/>
      <c r="C199" s="691"/>
      <c r="D199" s="47"/>
      <c r="E199" s="690"/>
      <c r="F199" s="690"/>
      <c r="G199" s="690"/>
      <c r="H199" s="690"/>
      <c r="I199" s="690"/>
      <c r="J199" s="690"/>
      <c r="K199" s="690"/>
      <c r="L199" s="690"/>
      <c r="M199" s="690"/>
      <c r="N199" s="690"/>
      <c r="O199" s="690"/>
      <c r="P199" s="690"/>
      <c r="Q199" s="690">
        <f t="shared" si="145"/>
        <v>0</v>
      </c>
    </row>
    <row r="200" spans="2:17">
      <c r="B200" s="656"/>
      <c r="C200" s="691"/>
      <c r="D200" s="47"/>
      <c r="E200" s="690"/>
      <c r="F200" s="690"/>
      <c r="G200" s="690"/>
      <c r="H200" s="690"/>
      <c r="I200" s="690"/>
      <c r="J200" s="690"/>
      <c r="K200" s="690"/>
      <c r="L200" s="690"/>
      <c r="M200" s="690"/>
      <c r="N200" s="690"/>
      <c r="O200" s="690"/>
      <c r="P200" s="690"/>
      <c r="Q200" s="690">
        <f t="shared" si="145"/>
        <v>0</v>
      </c>
    </row>
    <row r="201" spans="2:17">
      <c r="B201" s="656"/>
      <c r="C201" s="691"/>
      <c r="D201" s="47"/>
      <c r="E201" s="690"/>
      <c r="F201" s="690"/>
      <c r="G201" s="690"/>
      <c r="H201" s="690"/>
      <c r="I201" s="690"/>
      <c r="J201" s="690"/>
      <c r="K201" s="690"/>
      <c r="L201" s="690"/>
      <c r="M201" s="690"/>
      <c r="N201" s="690"/>
      <c r="O201" s="690"/>
      <c r="P201" s="690"/>
      <c r="Q201" s="690">
        <f t="shared" si="145"/>
        <v>0</v>
      </c>
    </row>
    <row r="202" spans="2:17">
      <c r="B202" s="656"/>
      <c r="C202" s="691"/>
      <c r="D202" s="47"/>
      <c r="E202" s="690"/>
      <c r="F202" s="690"/>
      <c r="G202" s="690"/>
      <c r="H202" s="690"/>
      <c r="I202" s="690"/>
      <c r="J202" s="690"/>
      <c r="K202" s="690"/>
      <c r="L202" s="690"/>
      <c r="M202" s="690"/>
      <c r="N202" s="690"/>
      <c r="O202" s="690"/>
      <c r="P202" s="690"/>
      <c r="Q202" s="690">
        <f t="shared" si="145"/>
        <v>0</v>
      </c>
    </row>
    <row r="203" spans="2:17">
      <c r="B203" s="656"/>
      <c r="C203" s="691"/>
      <c r="D203" s="47"/>
      <c r="E203" s="690"/>
      <c r="F203" s="690"/>
      <c r="G203" s="690"/>
      <c r="H203" s="690"/>
      <c r="I203" s="690"/>
      <c r="J203" s="690"/>
      <c r="K203" s="690"/>
      <c r="L203" s="690"/>
      <c r="M203" s="690"/>
      <c r="N203" s="690"/>
      <c r="O203" s="690"/>
      <c r="P203" s="690"/>
      <c r="Q203" s="690">
        <f t="shared" si="145"/>
        <v>0</v>
      </c>
    </row>
    <row r="204" spans="2:17">
      <c r="B204" s="656"/>
      <c r="C204" s="692"/>
      <c r="D204" s="47"/>
      <c r="E204" s="690"/>
      <c r="F204" s="690"/>
      <c r="G204" s="690"/>
      <c r="H204" s="690"/>
      <c r="I204" s="690"/>
      <c r="J204" s="690"/>
      <c r="K204" s="690"/>
      <c r="L204" s="690"/>
      <c r="M204" s="690"/>
      <c r="N204" s="690"/>
      <c r="O204" s="690"/>
      <c r="P204" s="690"/>
      <c r="Q204" s="690">
        <f t="shared" si="145"/>
        <v>0</v>
      </c>
    </row>
    <row r="205" ht="15" spans="3:18">
      <c r="C205" s="537" t="s">
        <v>211</v>
      </c>
      <c r="D205" s="540"/>
      <c r="E205" s="690">
        <f t="shared" ref="E205:P205" si="146">SUM(E187:E204)</f>
        <v>905.10407735509</v>
      </c>
      <c r="F205" s="690">
        <f t="shared" si="146"/>
        <v>498.683558856138</v>
      </c>
      <c r="G205" s="690">
        <f t="shared" si="146"/>
        <v>611.246419525402</v>
      </c>
      <c r="H205" s="690">
        <f t="shared" si="146"/>
        <v>689.393771265623</v>
      </c>
      <c r="I205" s="690">
        <f t="shared" si="146"/>
        <v>723.518314556184</v>
      </c>
      <c r="J205" s="690">
        <f t="shared" si="146"/>
        <v>803.021109721403</v>
      </c>
      <c r="K205" s="690">
        <f t="shared" si="146"/>
        <v>706.781428923915</v>
      </c>
      <c r="L205" s="690">
        <f t="shared" si="146"/>
        <v>692.112559509298</v>
      </c>
      <c r="M205" s="690">
        <f t="shared" si="146"/>
        <v>789.515755806581</v>
      </c>
      <c r="N205" s="690">
        <f t="shared" si="146"/>
        <v>861.161106521561</v>
      </c>
      <c r="O205" s="690">
        <f t="shared" si="146"/>
        <v>861.63626491831</v>
      </c>
      <c r="P205" s="690">
        <f t="shared" si="146"/>
        <v>1027.32241273779</v>
      </c>
      <c r="Q205" s="316">
        <f t="shared" si="145"/>
        <v>9169.49677969729</v>
      </c>
      <c r="R205" s="686"/>
    </row>
    <row r="206" ht="15" spans="3:17">
      <c r="C206" s="44" t="s">
        <v>360</v>
      </c>
      <c r="D206" s="4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</row>
    <row r="207" spans="3:17">
      <c r="C207" s="682" t="s">
        <v>351</v>
      </c>
      <c r="D207" s="55" t="s">
        <v>361</v>
      </c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>
        <f t="shared" ref="Q207:Q217" si="147">SUM(E207:P207)</f>
        <v>0</v>
      </c>
    </row>
    <row r="208" spans="3:17">
      <c r="C208" s="683"/>
      <c r="D208" s="55" t="s">
        <v>362</v>
      </c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>
        <f t="shared" si="147"/>
        <v>0</v>
      </c>
    </row>
    <row r="209" spans="3:17">
      <c r="C209" s="683"/>
      <c r="D209" s="55" t="s">
        <v>363</v>
      </c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>
        <f t="shared" si="147"/>
        <v>0</v>
      </c>
    </row>
    <row r="210" spans="3:17">
      <c r="C210" s="683"/>
      <c r="D210" s="55" t="s">
        <v>364</v>
      </c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>
        <f t="shared" si="147"/>
        <v>0</v>
      </c>
    </row>
    <row r="211" spans="3:17">
      <c r="C211" s="683"/>
      <c r="D211" s="55" t="s">
        <v>365</v>
      </c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>
        <f t="shared" si="147"/>
        <v>0</v>
      </c>
    </row>
    <row r="212" spans="3:17">
      <c r="C212" s="683"/>
      <c r="D212" s="55" t="s">
        <v>366</v>
      </c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>
        <f t="shared" si="147"/>
        <v>0</v>
      </c>
    </row>
    <row r="213" spans="3:17">
      <c r="C213" s="683"/>
      <c r="D213" s="55" t="s">
        <v>367</v>
      </c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>
        <f t="shared" si="147"/>
        <v>0</v>
      </c>
    </row>
    <row r="214" spans="3:17">
      <c r="C214" s="683"/>
      <c r="D214" s="55" t="s">
        <v>368</v>
      </c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>
        <f t="shared" si="147"/>
        <v>0</v>
      </c>
    </row>
    <row r="215" spans="3:17">
      <c r="C215" s="683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>
        <f t="shared" si="147"/>
        <v>0</v>
      </c>
    </row>
    <row r="216" spans="3:17">
      <c r="C216" s="683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>
        <f t="shared" si="147"/>
        <v>0</v>
      </c>
    </row>
    <row r="217" spans="3:17">
      <c r="C217" s="683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>
        <f t="shared" si="147"/>
        <v>0</v>
      </c>
    </row>
    <row r="218" spans="3:17">
      <c r="C218" s="683"/>
      <c r="D218" s="679" t="s">
        <v>493</v>
      </c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>
        <f>'[38]PP summary'!$G$59+'[38]PP summary'!$G$60</f>
        <v>1078.004</v>
      </c>
    </row>
    <row r="219" spans="3:17">
      <c r="C219" s="683"/>
      <c r="D219" s="679" t="s">
        <v>494</v>
      </c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>
        <f t="shared" ref="Q219:Q224" si="148">SUM(E219:P219)</f>
        <v>0</v>
      </c>
    </row>
    <row r="220" spans="3:17">
      <c r="C220" s="683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>
        <f t="shared" si="148"/>
        <v>0</v>
      </c>
    </row>
    <row r="221" spans="3:17">
      <c r="C221" s="683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>
        <f t="shared" si="148"/>
        <v>0</v>
      </c>
    </row>
    <row r="222" spans="3:17">
      <c r="C222" s="683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>
        <f t="shared" si="148"/>
        <v>0</v>
      </c>
    </row>
    <row r="223" spans="3:17">
      <c r="C223" s="683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>
        <f t="shared" si="148"/>
        <v>0</v>
      </c>
    </row>
    <row r="224" spans="3:17">
      <c r="C224" s="684"/>
      <c r="D224" s="67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>
        <f t="shared" si="148"/>
        <v>0</v>
      </c>
    </row>
    <row r="225" ht="15" spans="3:18">
      <c r="C225" s="537" t="s">
        <v>211</v>
      </c>
      <c r="D225" s="540"/>
      <c r="E225" s="147">
        <f>SUM('[38]TGSPDCL MoD'!U57:U96)</f>
        <v>40.9741046802257</v>
      </c>
      <c r="F225" s="147">
        <f>SUM('[38]TGSPDCL MoD'!V57:V96)</f>
        <v>43.9065551297659</v>
      </c>
      <c r="G225" s="147">
        <f>SUM('[38]TGSPDCL MoD'!W57:W96)</f>
        <v>45.4893172573377</v>
      </c>
      <c r="H225" s="147">
        <f>SUM('[38]TGSPDCL MoD'!X57:X96)</f>
        <v>99.4499245310476</v>
      </c>
      <c r="I225" s="147">
        <f>SUM('[38]TGSPDCL MoD'!Y57:Y96)</f>
        <v>233.490268108534</v>
      </c>
      <c r="J225" s="147">
        <f>SUM('[38]TGSPDCL MoD'!Z57:Z96)</f>
        <v>117.928081658788</v>
      </c>
      <c r="K225" s="147">
        <f>SUM('[38]TGSPDCL MoD'!AA57:AA96)</f>
        <v>129.986576337229</v>
      </c>
      <c r="L225" s="147">
        <f>SUM('[38]TGSPDCL MoD'!AB57:AB96)</f>
        <v>44.5827089018899</v>
      </c>
      <c r="M225" s="147">
        <f>SUM('[38]TGSPDCL MoD'!AC57:AC96)</f>
        <v>76.4818595948511</v>
      </c>
      <c r="N225" s="147">
        <f>SUM('[38]TGSPDCL MoD'!AD57:AD96)</f>
        <v>145.937909130502</v>
      </c>
      <c r="O225" s="147">
        <f>SUM('[38]TGSPDCL MoD'!AE57:AE96)</f>
        <v>131.06855754504</v>
      </c>
      <c r="P225" s="147">
        <f>SUM('[38]TGSPDCL MoD'!AF57:AF96)</f>
        <v>60.8817121247888</v>
      </c>
      <c r="Q225" s="316">
        <f>SUM(E225:P225)+Q218</f>
        <v>2248.181575</v>
      </c>
      <c r="R225" s="686"/>
    </row>
    <row r="226" ht="15" spans="3:18">
      <c r="C226" s="44" t="s">
        <v>369</v>
      </c>
      <c r="D226" s="45"/>
      <c r="E226" s="55">
        <f t="shared" ref="E226:Q226" si="149">E205+E225</f>
        <v>946.078182035316</v>
      </c>
      <c r="F226" s="55">
        <f t="shared" si="149"/>
        <v>542.590113985904</v>
      </c>
      <c r="G226" s="55">
        <f t="shared" si="149"/>
        <v>656.73573678274</v>
      </c>
      <c r="H226" s="55">
        <f t="shared" si="149"/>
        <v>788.843695796671</v>
      </c>
      <c r="I226" s="55">
        <f t="shared" si="149"/>
        <v>957.008582664718</v>
      </c>
      <c r="J226" s="55">
        <f t="shared" si="149"/>
        <v>920.949191380191</v>
      </c>
      <c r="K226" s="55">
        <f t="shared" si="149"/>
        <v>836.768005261144</v>
      </c>
      <c r="L226" s="55">
        <f t="shared" si="149"/>
        <v>736.695268411188</v>
      </c>
      <c r="M226" s="55">
        <f t="shared" si="149"/>
        <v>865.997615401432</v>
      </c>
      <c r="N226" s="55">
        <f t="shared" si="149"/>
        <v>1007.09901565206</v>
      </c>
      <c r="O226" s="55">
        <f t="shared" si="149"/>
        <v>992.704822463351</v>
      </c>
      <c r="P226" s="55">
        <f t="shared" si="149"/>
        <v>1088.20412486258</v>
      </c>
      <c r="Q226" s="316">
        <f t="shared" si="149"/>
        <v>11417.6783546973</v>
      </c>
      <c r="R226" s="686"/>
    </row>
    <row r="227" ht="15" spans="3:17">
      <c r="C227" s="663" t="s">
        <v>370</v>
      </c>
      <c r="D227" s="676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</row>
    <row r="228" ht="15" spans="3:17">
      <c r="C228" s="44" t="s">
        <v>350</v>
      </c>
      <c r="D228" s="4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</row>
    <row r="229" spans="3:17">
      <c r="C229" s="682" t="s">
        <v>371</v>
      </c>
      <c r="D229" s="55" t="s">
        <v>372</v>
      </c>
      <c r="E229" s="147">
        <f>SUM('[38]TGSPDCL MoD'!U25:U30)</f>
        <v>13.0378599874894</v>
      </c>
      <c r="F229" s="147">
        <f>SUM('[38]TGSPDCL MoD'!V25:V30)</f>
        <v>17.6740964063543</v>
      </c>
      <c r="G229" s="147">
        <f>SUM('[38]TGSPDCL MoD'!W25:W30)</f>
        <v>17.4355386826885</v>
      </c>
      <c r="H229" s="147">
        <f>SUM('[38]TGSPDCL MoD'!X25:X30)</f>
        <v>12.8921557652175</v>
      </c>
      <c r="I229" s="147">
        <f>SUM('[38]TGSPDCL MoD'!Y25:Y30)</f>
        <v>12.0692522057355</v>
      </c>
      <c r="J229" s="147">
        <f>SUM('[38]TGSPDCL MoD'!Z25:Z30)</f>
        <v>12.1293829170627</v>
      </c>
      <c r="K229" s="147">
        <f>SUM('[38]TGSPDCL MoD'!AA25:AA30)</f>
        <v>12.0692522057355</v>
      </c>
      <c r="L229" s="147">
        <f>SUM('[38]TGSPDCL MoD'!AB25:AB30)</f>
        <v>13.7313093532021</v>
      </c>
      <c r="M229" s="147">
        <f>SUM('[38]TGSPDCL MoD'!AC25:AC30)</f>
        <v>9.64585946342376</v>
      </c>
      <c r="N229" s="147">
        <f>SUM('[38]TGSPDCL MoD'!AD25:AD30)</f>
        <v>10.0207419479924</v>
      </c>
      <c r="O229" s="147">
        <f>SUM('[38]TGSPDCL MoD'!AE25:AE30)</f>
        <v>13.8690154153093</v>
      </c>
      <c r="P229" s="147">
        <f>SUM('[38]TGSPDCL MoD'!AF25:AF30)</f>
        <v>16.6865548805581</v>
      </c>
      <c r="Q229" s="147">
        <f t="shared" ref="Q229:Q255" si="150">SUM(E229:P229)</f>
        <v>161.261019230769</v>
      </c>
    </row>
    <row r="230" spans="3:17">
      <c r="C230" s="683"/>
      <c r="D230" s="55" t="s">
        <v>373</v>
      </c>
      <c r="E230" s="147">
        <f>'[38]TGSPDCL MoD'!U31</f>
        <v>3.71494270696045</v>
      </c>
      <c r="F230" s="147">
        <f>'[38]TGSPDCL MoD'!V31</f>
        <v>4.66136858706703</v>
      </c>
      <c r="G230" s="147">
        <f>'[38]TGSPDCL MoD'!W31</f>
        <v>4.51100185845196</v>
      </c>
      <c r="H230" s="147">
        <f>'[38]TGSPDCL MoD'!X31</f>
        <v>0</v>
      </c>
      <c r="I230" s="147">
        <f>'[38]TGSPDCL MoD'!Y31</f>
        <v>1.50808983699227</v>
      </c>
      <c r="J230" s="147">
        <f>'[38]TGSPDCL MoD'!Z31</f>
        <v>3.01839094940536</v>
      </c>
      <c r="K230" s="147">
        <f>'[38]TGSPDCL MoD'!AA31</f>
        <v>3.01617967398455</v>
      </c>
      <c r="L230" s="147">
        <f>'[38]TGSPDCL MoD'!AB31</f>
        <v>3.51592791908756</v>
      </c>
      <c r="M230" s="147">
        <f>'[38]TGSPDCL MoD'!AC31</f>
        <v>3.22182828811986</v>
      </c>
      <c r="N230" s="147">
        <f>'[38]TGSPDCL MoD'!AD31</f>
        <v>3.32465259518752</v>
      </c>
      <c r="O230" s="147">
        <f>'[38]TGSPDCL MoD'!AE31</f>
        <v>3.65302699517778</v>
      </c>
      <c r="P230" s="147">
        <f>'[38]TGSPDCL MoD'!AF31</f>
        <v>4.25007135879642</v>
      </c>
      <c r="Q230" s="147">
        <f t="shared" si="150"/>
        <v>38.3954807692308</v>
      </c>
    </row>
    <row r="231" spans="3:17">
      <c r="C231" s="683"/>
      <c r="D231" s="55" t="s">
        <v>374</v>
      </c>
      <c r="E231" s="147">
        <f>SUM('[38]TGSPDCL MoD'!U42:U45)</f>
        <v>13.7579405025443</v>
      </c>
      <c r="F231" s="147">
        <f>SUM('[38]TGSPDCL MoD'!V42:V45)</f>
        <v>12.9934157434093</v>
      </c>
      <c r="G231" s="147">
        <f>SUM('[38]TGSPDCL MoD'!W42:W45)</f>
        <v>12.8344306786957</v>
      </c>
      <c r="H231" s="147">
        <f>SUM('[38]TGSPDCL MoD'!X42:X45)</f>
        <v>14.337562199624</v>
      </c>
      <c r="I231" s="147">
        <f>SUM('[38]TGSPDCL MoD'!Y42:Y45)</f>
        <v>11.6355306691648</v>
      </c>
      <c r="J231" s="147">
        <f>SUM('[38]TGSPDCL MoD'!Z42:Z45)</f>
        <v>13.8750601931845</v>
      </c>
      <c r="K231" s="147">
        <f>SUM('[38]TGSPDCL MoD'!AA42:AA45)</f>
        <v>12.18809668108</v>
      </c>
      <c r="L231" s="147">
        <f>SUM('[38]TGSPDCL MoD'!AB42:AB45)</f>
        <v>9.41508956226956</v>
      </c>
      <c r="M231" s="147">
        <f>SUM('[38]TGSPDCL MoD'!AC42:AC45)</f>
        <v>8.10898873679454</v>
      </c>
      <c r="N231" s="147">
        <f>SUM('[38]TGSPDCL MoD'!AD42:AD45)</f>
        <v>11.7212666533038</v>
      </c>
      <c r="O231" s="147">
        <f>SUM('[38]TGSPDCL MoD'!AE42:AE45)</f>
        <v>12.9500561803056</v>
      </c>
      <c r="P231" s="147">
        <f>SUM('[38]TGSPDCL MoD'!AF42:AF45)</f>
        <v>14.337562199624</v>
      </c>
      <c r="Q231" s="147">
        <f t="shared" si="150"/>
        <v>148.155</v>
      </c>
    </row>
    <row r="232" spans="3:17">
      <c r="C232" s="683"/>
      <c r="D232" s="55" t="s">
        <v>375</v>
      </c>
      <c r="E232" s="147">
        <f>'[38]TGSPDCL MoD'!U40</f>
        <v>23.1168015015066</v>
      </c>
      <c r="F232" s="147">
        <f>'[38]TGSPDCL MoD'!V40</f>
        <v>34.4144480489674</v>
      </c>
      <c r="G232" s="147">
        <f>'[38]TGSPDCL MoD'!W40</f>
        <v>30.460440399939</v>
      </c>
      <c r="H232" s="147">
        <f>'[38]TGSPDCL MoD'!X40</f>
        <v>22.498262032782</v>
      </c>
      <c r="I232" s="147">
        <f>'[38]TGSPDCL MoD'!Y40</f>
        <v>21.1786427725046</v>
      </c>
      <c r="J232" s="147">
        <f>'[38]TGSPDCL MoD'!Z40</f>
        <v>20.4954607475851</v>
      </c>
      <c r="K232" s="147">
        <f>'[38]TGSPDCL MoD'!AA40</f>
        <v>21.1786427725046</v>
      </c>
      <c r="L232" s="147">
        <f>'[38]TGSPDCL MoD'!AB40</f>
        <v>0</v>
      </c>
      <c r="M232" s="147">
        <f>'[38]TGSPDCL MoD'!AC40</f>
        <v>11.4717648351067</v>
      </c>
      <c r="N232" s="147">
        <f>'[38]TGSPDCL MoD'!AD40</f>
        <v>22.5042158915431</v>
      </c>
      <c r="O232" s="147">
        <f>'[38]TGSPDCL MoD'!AE40</f>
        <v>27.0995536551403</v>
      </c>
      <c r="P232" s="147">
        <f>'[38]TGSPDCL MoD'!AF40</f>
        <v>30.8855207099025</v>
      </c>
      <c r="Q232" s="147">
        <f t="shared" si="150"/>
        <v>265.303753367482</v>
      </c>
    </row>
    <row r="233" spans="3:17">
      <c r="C233" s="683"/>
      <c r="D233" s="55" t="s">
        <v>376</v>
      </c>
      <c r="E233" s="147">
        <f>'[38]TGSPDCL MoD'!U41</f>
        <v>26.6250849243587</v>
      </c>
      <c r="F233" s="147">
        <f>'[38]TGSPDCL MoD'!V41</f>
        <v>35.3602156993133</v>
      </c>
      <c r="G233" s="147">
        <f>'[38]TGSPDCL MoD'!W41</f>
        <v>0</v>
      </c>
      <c r="H233" s="147">
        <f>'[38]TGSPDCL MoD'!X41</f>
        <v>11.5375368005555</v>
      </c>
      <c r="I233" s="147">
        <f>'[38]TGSPDCL MoD'!Y41</f>
        <v>21.300067939487</v>
      </c>
      <c r="J233" s="147">
        <f>'[38]TGSPDCL MoD'!Z41</f>
        <v>20.7934125477661</v>
      </c>
      <c r="K233" s="147">
        <f>'[38]TGSPDCL MoD'!AA41</f>
        <v>21.300067939487</v>
      </c>
      <c r="L233" s="147">
        <f>'[38]TGSPDCL MoD'!AB41</f>
        <v>23.9196955928743</v>
      </c>
      <c r="M233" s="147">
        <f>'[38]TGSPDCL MoD'!AC41</f>
        <v>23.0750736011109</v>
      </c>
      <c r="N233" s="147">
        <f>'[38]TGSPDCL MoD'!AD41</f>
        <v>23.0750736011109</v>
      </c>
      <c r="O233" s="147">
        <f>'[38]TGSPDCL MoD'!AE41</f>
        <v>27.2549256429995</v>
      </c>
      <c r="P233" s="147">
        <f>'[38]TGSPDCL MoD'!AF41</f>
        <v>31.0625990784185</v>
      </c>
      <c r="Q233" s="147">
        <f t="shared" si="150"/>
        <v>265.303753367482</v>
      </c>
    </row>
    <row r="234" spans="3:17">
      <c r="C234" s="683"/>
      <c r="D234" s="55" t="s">
        <v>377</v>
      </c>
      <c r="E234" s="147">
        <f>SUM('[38]TGSPDCL MoD'!U49:U51)</f>
        <v>17.6869236560704</v>
      </c>
      <c r="F234" s="147">
        <f>SUM('[38]TGSPDCL MoD'!V49:V51)</f>
        <v>27.7802614224678</v>
      </c>
      <c r="G234" s="147">
        <f>SUM('[38]TGSPDCL MoD'!W49:W51)</f>
        <v>14.5654293679304</v>
      </c>
      <c r="H234" s="147">
        <f>SUM('[38]TGSPDCL MoD'!X49:X51)</f>
        <v>15.0695345022287</v>
      </c>
      <c r="I234" s="147">
        <f>SUM('[38]TGSPDCL MoD'!Y49:Y51)</f>
        <v>17.5454282668218</v>
      </c>
      <c r="J234" s="147">
        <f>SUM('[38]TGSPDCL MoD'!Z49:Z51)</f>
        <v>16.9794467098275</v>
      </c>
      <c r="K234" s="147">
        <f>SUM('[38]TGSPDCL MoD'!AA49:AA51)</f>
        <v>17.5454282668218</v>
      </c>
      <c r="L234" s="147">
        <f>SUM('[38]TGSPDCL MoD'!AB49:AB51)</f>
        <v>12.172222344124</v>
      </c>
      <c r="M234" s="147">
        <f>SUM('[38]TGSPDCL MoD'!AC49:AC51)</f>
        <v>15.1968253696249</v>
      </c>
      <c r="N234" s="147">
        <f>SUM('[38]TGSPDCL MoD'!AD49:AD51)</f>
        <v>18.1519390771821</v>
      </c>
      <c r="O234" s="147">
        <f>SUM('[38]TGSPDCL MoD'!AE49:AE51)</f>
        <v>21.1299781277854</v>
      </c>
      <c r="P234" s="147">
        <f>SUM('[38]TGSPDCL MoD'!AF49:AF51)</f>
        <v>25.5870828891152</v>
      </c>
      <c r="Q234" s="147">
        <f t="shared" si="150"/>
        <v>219.4105</v>
      </c>
    </row>
    <row r="235" spans="3:17">
      <c r="C235" s="683"/>
      <c r="D235" s="55" t="s">
        <v>378</v>
      </c>
      <c r="E235" s="55">
        <f>'[38]TGSPDCL MoD'!U53</f>
        <v>0</v>
      </c>
      <c r="F235" s="55">
        <f>'[38]TGSPDCL MoD'!V53</f>
        <v>0</v>
      </c>
      <c r="G235" s="55">
        <f>'[38]TGSPDCL MoD'!W53</f>
        <v>0</v>
      </c>
      <c r="H235" s="55">
        <f>'[38]TGSPDCL MoD'!X53</f>
        <v>0</v>
      </c>
      <c r="I235" s="55">
        <f>'[38]TGSPDCL MoD'!Y53</f>
        <v>0</v>
      </c>
      <c r="J235" s="55">
        <f>'[38]TGSPDCL MoD'!Z53</f>
        <v>0</v>
      </c>
      <c r="K235" s="55">
        <f>'[38]TGSPDCL MoD'!AA53</f>
        <v>0</v>
      </c>
      <c r="L235" s="55">
        <f>'[38]TGSPDCL MoD'!AB53</f>
        <v>0</v>
      </c>
      <c r="M235" s="55">
        <f>'[38]TGSPDCL MoD'!AC53</f>
        <v>0</v>
      </c>
      <c r="N235" s="55">
        <f>'[38]TGSPDCL MoD'!AD53</f>
        <v>0</v>
      </c>
      <c r="O235" s="55">
        <f>'[38]TGSPDCL MoD'!AE53</f>
        <v>0</v>
      </c>
      <c r="P235" s="55">
        <f>'[38]TGSPDCL MoD'!AF53</f>
        <v>0</v>
      </c>
      <c r="Q235" s="55">
        <f t="shared" si="150"/>
        <v>0</v>
      </c>
    </row>
    <row r="236" spans="3:17">
      <c r="C236" s="683"/>
      <c r="D236" s="55" t="s">
        <v>379</v>
      </c>
      <c r="E236" s="55">
        <f>'[38]TGSPDCL MoD'!U54</f>
        <v>0</v>
      </c>
      <c r="F236" s="55">
        <f>'[38]TGSPDCL MoD'!V54</f>
        <v>0</v>
      </c>
      <c r="G236" s="55">
        <f>'[38]TGSPDCL MoD'!W54</f>
        <v>0</v>
      </c>
      <c r="H236" s="55">
        <f>'[38]TGSPDCL MoD'!X54</f>
        <v>0</v>
      </c>
      <c r="I236" s="55">
        <f>'[38]TGSPDCL MoD'!Y54</f>
        <v>0</v>
      </c>
      <c r="J236" s="55">
        <f>'[38]TGSPDCL MoD'!Z54</f>
        <v>0</v>
      </c>
      <c r="K236" s="55">
        <f>'[38]TGSPDCL MoD'!AA54</f>
        <v>0</v>
      </c>
      <c r="L236" s="55">
        <f>'[38]TGSPDCL MoD'!AB54</f>
        <v>0</v>
      </c>
      <c r="M236" s="55">
        <f>'[38]TGSPDCL MoD'!AC54</f>
        <v>0</v>
      </c>
      <c r="N236" s="55">
        <f>'[38]TGSPDCL MoD'!AD54</f>
        <v>0</v>
      </c>
      <c r="O236" s="55">
        <f>'[38]TGSPDCL MoD'!AE54</f>
        <v>0</v>
      </c>
      <c r="P236" s="55">
        <f>'[38]TGSPDCL MoD'!AF54</f>
        <v>0</v>
      </c>
      <c r="Q236" s="55">
        <f t="shared" si="150"/>
        <v>0</v>
      </c>
    </row>
    <row r="237" spans="3:17">
      <c r="C237" s="684"/>
      <c r="D237" s="55" t="s">
        <v>380</v>
      </c>
      <c r="E237" s="147">
        <f>'[38]TGSPDCL MoD'!U55</f>
        <v>67.8885623733811</v>
      </c>
      <c r="F237" s="147">
        <f>'[38]TGSPDCL MoD'!V55</f>
        <v>76.7379389376139</v>
      </c>
      <c r="G237" s="147">
        <f>'[38]TGSPDCL MoD'!W55</f>
        <v>74.2625215525296</v>
      </c>
      <c r="H237" s="147">
        <f>'[38]TGSPDCL MoD'!X55</f>
        <v>64.179180118478</v>
      </c>
      <c r="I237" s="147">
        <f>'[38]TGSPDCL MoD'!Y55</f>
        <v>51.9090196291881</v>
      </c>
      <c r="J237" s="147">
        <f>'[38]TGSPDCL MoD'!Z55</f>
        <v>57.122819333065</v>
      </c>
      <c r="K237" s="147">
        <f>'[38]TGSPDCL MoD'!AA55</f>
        <v>50.6384104333809</v>
      </c>
      <c r="L237" s="147">
        <f>'[38]TGSPDCL MoD'!AB55</f>
        <v>75.900665410306</v>
      </c>
      <c r="M237" s="147">
        <f>'[38]TGSPDCL MoD'!AC55</f>
        <v>66.5814470194004</v>
      </c>
      <c r="N237" s="147">
        <f>'[38]TGSPDCL MoD'!AD55</f>
        <v>66.4845273359968</v>
      </c>
      <c r="O237" s="147">
        <f>'[38]TGSPDCL MoD'!AE55</f>
        <v>64.5514480333817</v>
      </c>
      <c r="P237" s="147">
        <f>'[38]TGSPDCL MoD'!AF55</f>
        <v>78.1364598232786</v>
      </c>
      <c r="Q237" s="147">
        <f t="shared" si="150"/>
        <v>794.393</v>
      </c>
    </row>
    <row r="238" spans="3:17">
      <c r="C238" s="55"/>
      <c r="D238" s="685" t="s">
        <v>450</v>
      </c>
      <c r="E238" s="147">
        <f>'[38]TGSPDCL MoD'!U56</f>
        <v>67.264823397196</v>
      </c>
      <c r="F238" s="147">
        <f>'[38]TGSPDCL MoD'!V56</f>
        <v>78.1235524635202</v>
      </c>
      <c r="G238" s="147">
        <f>'[38]TGSPDCL MoD'!W56</f>
        <v>75.6034378679227</v>
      </c>
      <c r="H238" s="147">
        <f>'[38]TGSPDCL MoD'!X56</f>
        <v>63.3591595225615</v>
      </c>
      <c r="I238" s="147">
        <f>'[38]TGSPDCL MoD'!Y56</f>
        <v>52.2738476042671</v>
      </c>
      <c r="J238" s="147">
        <f>'[38]TGSPDCL MoD'!Z56</f>
        <v>57.2584860323238</v>
      </c>
      <c r="K238" s="147">
        <f>'[38]TGSPDCL MoD'!AA56</f>
        <v>50.5505339469836</v>
      </c>
      <c r="L238" s="147">
        <f>'[38]TGSPDCL MoD'!AB56</f>
        <v>76.358805238912</v>
      </c>
      <c r="M238" s="147">
        <f>'[38]TGSPDCL MoD'!AC56</f>
        <v>66.8371305683868</v>
      </c>
      <c r="N238" s="147">
        <f>'[38]TGSPDCL MoD'!AD56</f>
        <v>64.663041930354</v>
      </c>
      <c r="O238" s="147">
        <f>'[38]TGSPDCL MoD'!AE56</f>
        <v>63.9766289640521</v>
      </c>
      <c r="P238" s="147">
        <f>'[38]TGSPDCL MoD'!AF56</f>
        <v>78.1235524635202</v>
      </c>
      <c r="Q238" s="147">
        <f t="shared" si="150"/>
        <v>794.393</v>
      </c>
    </row>
    <row r="239" spans="3:17">
      <c r="C239" s="55"/>
      <c r="D239" s="55" t="s">
        <v>386</v>
      </c>
      <c r="E239" s="55">
        <f>'[38]TGSPDCL MoD'!U46</f>
        <v>0</v>
      </c>
      <c r="F239" s="55">
        <f>'[38]TGSPDCL MoD'!V46</f>
        <v>0</v>
      </c>
      <c r="G239" s="55">
        <f>'[38]TGSPDCL MoD'!W46</f>
        <v>0</v>
      </c>
      <c r="H239" s="55">
        <f>'[38]TGSPDCL MoD'!X46</f>
        <v>0</v>
      </c>
      <c r="I239" s="55">
        <f>'[38]TGSPDCL MoD'!Y46</f>
        <v>0</v>
      </c>
      <c r="J239" s="55">
        <f>'[38]TGSPDCL MoD'!Z46</f>
        <v>0</v>
      </c>
      <c r="K239" s="55">
        <f>'[38]TGSPDCL MoD'!AA46</f>
        <v>0</v>
      </c>
      <c r="L239" s="55">
        <f>'[38]TGSPDCL MoD'!AB46</f>
        <v>0</v>
      </c>
      <c r="M239" s="55">
        <f>'[38]TGSPDCL MoD'!AC46</f>
        <v>0</v>
      </c>
      <c r="N239" s="55">
        <f>'[38]TGSPDCL MoD'!AD46</f>
        <v>0</v>
      </c>
      <c r="O239" s="55">
        <f>'[38]TGSPDCL MoD'!AE46</f>
        <v>0</v>
      </c>
      <c r="P239" s="55">
        <f>'[38]TGSPDCL MoD'!AF46</f>
        <v>0</v>
      </c>
      <c r="Q239" s="55">
        <f t="shared" si="150"/>
        <v>0</v>
      </c>
    </row>
    <row r="240" spans="3:17">
      <c r="C240" s="55"/>
      <c r="D240" s="55" t="s">
        <v>387</v>
      </c>
      <c r="E240" s="55">
        <f>'[38]TGSPDCL MoD'!U35</f>
        <v>0</v>
      </c>
      <c r="F240" s="55">
        <f>'[38]TGSPDCL MoD'!V35</f>
        <v>0</v>
      </c>
      <c r="G240" s="55">
        <f>'[38]TGSPDCL MoD'!W35</f>
        <v>0</v>
      </c>
      <c r="H240" s="55">
        <f>'[38]TGSPDCL MoD'!X35</f>
        <v>0</v>
      </c>
      <c r="I240" s="55">
        <f>'[38]TGSPDCL MoD'!Y35</f>
        <v>0</v>
      </c>
      <c r="J240" s="55">
        <f>'[38]TGSPDCL MoD'!Z35</f>
        <v>0</v>
      </c>
      <c r="K240" s="55">
        <f>'[38]TGSPDCL MoD'!AA35</f>
        <v>0</v>
      </c>
      <c r="L240" s="55">
        <f>'[38]TGSPDCL MoD'!AB35</f>
        <v>0</v>
      </c>
      <c r="M240" s="55">
        <f>'[38]TGSPDCL MoD'!AC35</f>
        <v>0</v>
      </c>
      <c r="N240" s="55">
        <f>'[38]TGSPDCL MoD'!AD35</f>
        <v>0</v>
      </c>
      <c r="O240" s="55">
        <f>'[38]TGSPDCL MoD'!AE35</f>
        <v>0</v>
      </c>
      <c r="P240" s="55">
        <f>'[38]TGSPDCL MoD'!AF35</f>
        <v>0</v>
      </c>
      <c r="Q240" s="55">
        <f t="shared" si="150"/>
        <v>0</v>
      </c>
    </row>
    <row r="241" spans="3:17">
      <c r="C241" s="55"/>
      <c r="D241" s="55" t="s">
        <v>381</v>
      </c>
      <c r="E241" s="147">
        <f>'[38]TGSPDCL MoD'!U33</f>
        <v>0.105193836978132</v>
      </c>
      <c r="F241" s="147">
        <f>'[38]TGSPDCL MoD'!V33</f>
        <v>0.165224453280321</v>
      </c>
      <c r="G241" s="147">
        <f>'[38]TGSPDCL MoD'!W33</f>
        <v>0.126232604373755</v>
      </c>
      <c r="H241" s="147">
        <f>'[38]TGSPDCL MoD'!X33</f>
        <v>0.104352286282308</v>
      </c>
      <c r="I241" s="147">
        <f>'[38]TGSPDCL MoD'!Y33</f>
        <v>0.104352286282308</v>
      </c>
      <c r="J241" s="147">
        <f>'[38]TGSPDCL MoD'!Z33</f>
        <v>0.100986083499007</v>
      </c>
      <c r="K241" s="147">
        <f>'[38]TGSPDCL MoD'!AA33</f>
        <v>0.104352286282308</v>
      </c>
      <c r="L241" s="147">
        <f>'[38]TGSPDCL MoD'!AB33</f>
        <v>0.109401590457257</v>
      </c>
      <c r="M241" s="147">
        <f>'[38]TGSPDCL MoD'!AC33</f>
        <v>0.108700298210736</v>
      </c>
      <c r="N241" s="147">
        <f>'[38]TGSPDCL MoD'!AD33</f>
        <v>0.104352286282308</v>
      </c>
      <c r="O241" s="147">
        <f>'[38]TGSPDCL MoD'!AE33</f>
        <v>0.125671570576537</v>
      </c>
      <c r="P241" s="147">
        <f>'[38]TGSPDCL MoD'!AF33</f>
        <v>0.152180417495024</v>
      </c>
      <c r="Q241" s="147">
        <f t="shared" si="150"/>
        <v>1.411</v>
      </c>
    </row>
    <row r="242" spans="3:17">
      <c r="C242" s="55"/>
      <c r="D242" s="55" t="s">
        <v>382</v>
      </c>
      <c r="E242" s="55">
        <f>'[38]TGSPDCL MoD'!U34</f>
        <v>0</v>
      </c>
      <c r="F242" s="55">
        <f>'[38]TGSPDCL MoD'!V34</f>
        <v>0</v>
      </c>
      <c r="G242" s="55">
        <f>'[38]TGSPDCL MoD'!W34</f>
        <v>0</v>
      </c>
      <c r="H242" s="55">
        <f>'[38]TGSPDCL MoD'!X34</f>
        <v>0</v>
      </c>
      <c r="I242" s="55">
        <f>'[38]TGSPDCL MoD'!Y34</f>
        <v>0</v>
      </c>
      <c r="J242" s="55">
        <f>'[38]TGSPDCL MoD'!Z34</f>
        <v>0</v>
      </c>
      <c r="K242" s="55">
        <f>'[38]TGSPDCL MoD'!AA34</f>
        <v>0</v>
      </c>
      <c r="L242" s="55">
        <f>'[38]TGSPDCL MoD'!AB34</f>
        <v>0</v>
      </c>
      <c r="M242" s="55">
        <f>'[38]TGSPDCL MoD'!AC34</f>
        <v>0</v>
      </c>
      <c r="N242" s="55">
        <f>'[38]TGSPDCL MoD'!AD34</f>
        <v>0</v>
      </c>
      <c r="O242" s="55">
        <f>'[38]TGSPDCL MoD'!AE34</f>
        <v>0</v>
      </c>
      <c r="P242" s="55">
        <f>'[38]TGSPDCL MoD'!AF34</f>
        <v>0</v>
      </c>
      <c r="Q242" s="55">
        <f t="shared" si="150"/>
        <v>0</v>
      </c>
    </row>
    <row r="243" spans="3:17">
      <c r="C243" s="55"/>
      <c r="D243" s="55" t="s">
        <v>383</v>
      </c>
      <c r="E243" s="147">
        <f>'[38]TGSPDCL MoD'!U52</f>
        <v>4.74712779323119</v>
      </c>
      <c r="F243" s="147">
        <f>'[38]TGSPDCL MoD'!V52</f>
        <v>4.90536538633889</v>
      </c>
      <c r="G243" s="147">
        <f>'[38]TGSPDCL MoD'!W52</f>
        <v>4.74712779323119</v>
      </c>
      <c r="H243" s="147">
        <f>'[38]TGSPDCL MoD'!X52</f>
        <v>5.00899986633197</v>
      </c>
      <c r="I243" s="147">
        <f>'[38]TGSPDCL MoD'!Y52</f>
        <v>3.97265506640122</v>
      </c>
      <c r="J243" s="147">
        <f>'[38]TGSPDCL MoD'!Z52</f>
        <v>4.34596206422573</v>
      </c>
      <c r="K243" s="147">
        <f>'[38]TGSPDCL MoD'!AA52</f>
        <v>3.70875976773028</v>
      </c>
      <c r="L243" s="147">
        <f>'[38]TGSPDCL MoD'!AB52</f>
        <v>4.74712779323119</v>
      </c>
      <c r="M243" s="147">
        <f>'[38]TGSPDCL MoD'!AC52</f>
        <v>4.69809642635274</v>
      </c>
      <c r="N243" s="147">
        <f>'[38]TGSPDCL MoD'!AD52</f>
        <v>4.28355850638044</v>
      </c>
      <c r="O243" s="147">
        <f>'[38]TGSPDCL MoD'!AE52</f>
        <v>4.33704727024783</v>
      </c>
      <c r="P243" s="147">
        <f>'[38]TGSPDCL MoD'!AF52</f>
        <v>5.52717226629734</v>
      </c>
      <c r="Q243" s="147">
        <f t="shared" si="150"/>
        <v>55.029</v>
      </c>
    </row>
    <row r="244" spans="3:17">
      <c r="C244" s="55"/>
      <c r="D244" s="55" t="s">
        <v>536</v>
      </c>
      <c r="E244" s="147">
        <f>'[38]TGSPDCL MoD'!U47</f>
        <v>8.97815256997736</v>
      </c>
      <c r="F244" s="147">
        <f>'[38]TGSPDCL MoD'!V47</f>
        <v>0</v>
      </c>
      <c r="G244" s="147">
        <f>'[38]TGSPDCL MoD'!W47</f>
        <v>5.04557334511123</v>
      </c>
      <c r="H244" s="147">
        <f>'[38]TGSPDCL MoD'!X47</f>
        <v>8.12733039805664</v>
      </c>
      <c r="I244" s="147">
        <f>'[38]TGSPDCL MoD'!Y47</f>
        <v>6.97723647380335</v>
      </c>
      <c r="J244" s="147">
        <f>'[38]TGSPDCL MoD'!Z47</f>
        <v>7.64255962568321</v>
      </c>
      <c r="K244" s="147">
        <f>'[38]TGSPDCL MoD'!AA47</f>
        <v>6.74721768895269</v>
      </c>
      <c r="L244" s="147">
        <f>'[38]TGSPDCL MoD'!AB47</f>
        <v>9.86854786617346</v>
      </c>
      <c r="M244" s="147">
        <f>'[38]TGSPDCL MoD'!AC47</f>
        <v>8.81738675260862</v>
      </c>
      <c r="N244" s="147">
        <f>'[38]TGSPDCL MoD'!AD47</f>
        <v>8.58736796775796</v>
      </c>
      <c r="O244" s="147">
        <f>'[38]TGSPDCL MoD'!AE47</f>
        <v>8.37960906531221</v>
      </c>
      <c r="P244" s="147">
        <f>'[38]TGSPDCL MoD'!AF47</f>
        <v>10.4275182465632</v>
      </c>
      <c r="Q244" s="147">
        <f t="shared" si="150"/>
        <v>89.5984999999999</v>
      </c>
    </row>
    <row r="245" spans="3:17"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>
        <f t="shared" si="150"/>
        <v>0</v>
      </c>
    </row>
    <row r="246" spans="3:17"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>
        <f t="shared" si="150"/>
        <v>0</v>
      </c>
    </row>
    <row r="247" spans="3:17"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>
        <f t="shared" si="150"/>
        <v>0</v>
      </c>
    </row>
    <row r="248" spans="3:17"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>
        <f t="shared" si="150"/>
        <v>0</v>
      </c>
    </row>
    <row r="249" spans="3:17"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>
        <f t="shared" si="150"/>
        <v>0</v>
      </c>
    </row>
    <row r="250" spans="3:17"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>
        <f t="shared" si="150"/>
        <v>0</v>
      </c>
    </row>
    <row r="251" spans="3:17"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>
        <f t="shared" si="150"/>
        <v>0</v>
      </c>
    </row>
    <row r="252" spans="3:17"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>
        <f t="shared" si="150"/>
        <v>0</v>
      </c>
    </row>
    <row r="253" spans="3:17"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>
        <f t="shared" si="150"/>
        <v>0</v>
      </c>
    </row>
    <row r="254" spans="3:17"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>
        <f t="shared" si="150"/>
        <v>0</v>
      </c>
    </row>
    <row r="255" ht="15" spans="3:17">
      <c r="C255" s="537" t="s">
        <v>211</v>
      </c>
      <c r="D255" s="540"/>
      <c r="E255" s="147">
        <f t="shared" ref="E255:P255" si="151">SUM(E229:E254)</f>
        <v>246.923413249694</v>
      </c>
      <c r="F255" s="147">
        <f t="shared" si="151"/>
        <v>292.815887148332</v>
      </c>
      <c r="G255" s="147">
        <f t="shared" si="151"/>
        <v>239.591734150874</v>
      </c>
      <c r="H255" s="147">
        <f t="shared" si="151"/>
        <v>217.114073492118</v>
      </c>
      <c r="I255" s="147">
        <f t="shared" si="151"/>
        <v>200.474122750648</v>
      </c>
      <c r="J255" s="147">
        <f t="shared" si="151"/>
        <v>213.761967203628</v>
      </c>
      <c r="K255" s="147">
        <f t="shared" si="151"/>
        <v>199.046941662943</v>
      </c>
      <c r="L255" s="147">
        <f t="shared" si="151"/>
        <v>229.738792670637</v>
      </c>
      <c r="M255" s="147">
        <f t="shared" si="151"/>
        <v>217.76310135914</v>
      </c>
      <c r="N255" s="147">
        <f t="shared" si="151"/>
        <v>232.920737793091</v>
      </c>
      <c r="O255" s="147">
        <f t="shared" si="151"/>
        <v>247.326960920288</v>
      </c>
      <c r="P255" s="147">
        <f t="shared" si="151"/>
        <v>295.176274333569</v>
      </c>
      <c r="Q255" s="316">
        <f t="shared" si="150"/>
        <v>2832.65400673496</v>
      </c>
    </row>
    <row r="256" ht="15" spans="3:17">
      <c r="C256" s="44" t="s">
        <v>388</v>
      </c>
      <c r="D256" s="4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</row>
    <row r="257" spans="3:17">
      <c r="C257" s="682" t="s">
        <v>389</v>
      </c>
      <c r="D257" s="55" t="s">
        <v>390</v>
      </c>
      <c r="E257" s="147">
        <v>0</v>
      </c>
      <c r="F257" s="147">
        <v>0</v>
      </c>
      <c r="G257" s="147">
        <v>0</v>
      </c>
      <c r="H257" s="147">
        <v>0</v>
      </c>
      <c r="I257" s="147">
        <v>0</v>
      </c>
      <c r="J257" s="147">
        <v>0</v>
      </c>
      <c r="K257" s="147">
        <v>0</v>
      </c>
      <c r="L257" s="147">
        <v>0</v>
      </c>
      <c r="M257" s="147">
        <v>0</v>
      </c>
      <c r="N257" s="147">
        <v>0</v>
      </c>
      <c r="O257" s="147">
        <v>0</v>
      </c>
      <c r="P257" s="147">
        <v>0</v>
      </c>
      <c r="Q257" s="147">
        <f t="shared" ref="Q257:Q271" si="152">SUM(E257:P257)</f>
        <v>0</v>
      </c>
    </row>
    <row r="258" spans="3:17">
      <c r="C258" s="683"/>
      <c r="D258" s="55" t="s">
        <v>391</v>
      </c>
      <c r="E258" s="147">
        <v>0</v>
      </c>
      <c r="F258" s="147">
        <v>0</v>
      </c>
      <c r="G258" s="147">
        <v>0</v>
      </c>
      <c r="H258" s="147">
        <v>0</v>
      </c>
      <c r="I258" s="147">
        <v>0</v>
      </c>
      <c r="J258" s="147">
        <v>0</v>
      </c>
      <c r="K258" s="147">
        <v>0</v>
      </c>
      <c r="L258" s="147">
        <v>0</v>
      </c>
      <c r="M258" s="147">
        <v>0</v>
      </c>
      <c r="N258" s="147">
        <v>0</v>
      </c>
      <c r="O258" s="147">
        <v>0</v>
      </c>
      <c r="P258" s="147">
        <v>0</v>
      </c>
      <c r="Q258" s="147">
        <f t="shared" si="152"/>
        <v>0</v>
      </c>
    </row>
    <row r="259" spans="3:17">
      <c r="C259" s="683"/>
      <c r="D259" s="55" t="s">
        <v>392</v>
      </c>
      <c r="E259" s="147">
        <v>0</v>
      </c>
      <c r="F259" s="147">
        <v>0</v>
      </c>
      <c r="G259" s="147">
        <v>0</v>
      </c>
      <c r="H259" s="147">
        <v>0</v>
      </c>
      <c r="I259" s="147">
        <v>0</v>
      </c>
      <c r="J259" s="147">
        <v>0</v>
      </c>
      <c r="K259" s="147">
        <v>0</v>
      </c>
      <c r="L259" s="147">
        <v>0</v>
      </c>
      <c r="M259" s="147">
        <v>0</v>
      </c>
      <c r="N259" s="147">
        <v>0</v>
      </c>
      <c r="O259" s="147">
        <v>0</v>
      </c>
      <c r="P259" s="147">
        <v>0</v>
      </c>
      <c r="Q259" s="147">
        <f t="shared" si="152"/>
        <v>0</v>
      </c>
    </row>
    <row r="260" spans="3:17">
      <c r="C260" s="684"/>
      <c r="D260" s="55" t="s">
        <v>393</v>
      </c>
      <c r="E260" s="147">
        <v>0</v>
      </c>
      <c r="F260" s="147">
        <v>0</v>
      </c>
      <c r="G260" s="147">
        <v>0</v>
      </c>
      <c r="H260" s="147">
        <v>0</v>
      </c>
      <c r="I260" s="147">
        <v>0</v>
      </c>
      <c r="J260" s="147">
        <v>0</v>
      </c>
      <c r="K260" s="147">
        <v>0</v>
      </c>
      <c r="L260" s="147">
        <v>0</v>
      </c>
      <c r="M260" s="147">
        <v>0</v>
      </c>
      <c r="N260" s="147">
        <v>0</v>
      </c>
      <c r="O260" s="147">
        <v>0</v>
      </c>
      <c r="P260" s="147">
        <v>0</v>
      </c>
      <c r="Q260" s="147">
        <f t="shared" si="152"/>
        <v>0</v>
      </c>
    </row>
    <row r="261" spans="3:17">
      <c r="C261" s="55"/>
      <c r="D261" s="55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>
        <f t="shared" si="152"/>
        <v>0</v>
      </c>
    </row>
    <row r="262" spans="3:17">
      <c r="C262" s="55"/>
      <c r="D262" s="55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>
        <f t="shared" si="152"/>
        <v>0</v>
      </c>
    </row>
    <row r="263" spans="3:17">
      <c r="C263" s="55"/>
      <c r="D263" s="55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>
        <f t="shared" si="152"/>
        <v>0</v>
      </c>
    </row>
    <row r="264" spans="3:17">
      <c r="C264" s="55"/>
      <c r="D264" s="55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>
        <f t="shared" si="152"/>
        <v>0</v>
      </c>
    </row>
    <row r="265" spans="3:17">
      <c r="C265" s="55"/>
      <c r="D265" s="55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>
        <f t="shared" si="152"/>
        <v>0</v>
      </c>
    </row>
    <row r="266" spans="3:17">
      <c r="C266" s="55"/>
      <c r="D266" s="55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>
        <f t="shared" si="152"/>
        <v>0</v>
      </c>
    </row>
    <row r="267" spans="3:17">
      <c r="C267" s="55"/>
      <c r="D267" s="55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>
        <f t="shared" si="152"/>
        <v>0</v>
      </c>
    </row>
    <row r="268" spans="3:17">
      <c r="C268" s="55"/>
      <c r="D268" s="55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>
        <f t="shared" si="152"/>
        <v>0</v>
      </c>
    </row>
    <row r="269" spans="3:17">
      <c r="C269" s="55"/>
      <c r="D269" s="55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>
        <f t="shared" si="152"/>
        <v>0</v>
      </c>
    </row>
    <row r="270" spans="3:17">
      <c r="C270" s="55"/>
      <c r="D270" s="55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>
        <f t="shared" si="152"/>
        <v>0</v>
      </c>
    </row>
    <row r="271" ht="15" spans="3:17">
      <c r="C271" s="537" t="s">
        <v>211</v>
      </c>
      <c r="D271" s="540"/>
      <c r="E271" s="147">
        <f t="shared" ref="E271:P271" si="153">SUM(E257:E270)</f>
        <v>0</v>
      </c>
      <c r="F271" s="147">
        <f t="shared" si="153"/>
        <v>0</v>
      </c>
      <c r="G271" s="147">
        <f t="shared" si="153"/>
        <v>0</v>
      </c>
      <c r="H271" s="147">
        <f t="shared" si="153"/>
        <v>0</v>
      </c>
      <c r="I271" s="147">
        <f t="shared" si="153"/>
        <v>0</v>
      </c>
      <c r="J271" s="147">
        <f t="shared" si="153"/>
        <v>0</v>
      </c>
      <c r="K271" s="147">
        <f t="shared" si="153"/>
        <v>0</v>
      </c>
      <c r="L271" s="147">
        <f t="shared" si="153"/>
        <v>0</v>
      </c>
      <c r="M271" s="147">
        <f t="shared" si="153"/>
        <v>0</v>
      </c>
      <c r="N271" s="147">
        <f t="shared" si="153"/>
        <v>0</v>
      </c>
      <c r="O271" s="147">
        <f t="shared" si="153"/>
        <v>0</v>
      </c>
      <c r="P271" s="147">
        <f t="shared" si="153"/>
        <v>0</v>
      </c>
      <c r="Q271" s="316">
        <f t="shared" si="152"/>
        <v>0</v>
      </c>
    </row>
    <row r="272" ht="15" spans="3:18">
      <c r="C272" s="44" t="s">
        <v>395</v>
      </c>
      <c r="D272" s="45"/>
      <c r="E272" s="147">
        <f t="shared" ref="E272:Q272" si="154">E255+E271</f>
        <v>246.923413249694</v>
      </c>
      <c r="F272" s="147">
        <f t="shared" si="154"/>
        <v>292.815887148332</v>
      </c>
      <c r="G272" s="147">
        <f t="shared" si="154"/>
        <v>239.591734150874</v>
      </c>
      <c r="H272" s="147">
        <f t="shared" si="154"/>
        <v>217.114073492118</v>
      </c>
      <c r="I272" s="147">
        <f t="shared" si="154"/>
        <v>200.474122750648</v>
      </c>
      <c r="J272" s="147">
        <f t="shared" si="154"/>
        <v>213.761967203628</v>
      </c>
      <c r="K272" s="147">
        <f t="shared" si="154"/>
        <v>199.046941662943</v>
      </c>
      <c r="L272" s="147">
        <f t="shared" si="154"/>
        <v>229.738792670637</v>
      </c>
      <c r="M272" s="147">
        <f t="shared" si="154"/>
        <v>217.76310135914</v>
      </c>
      <c r="N272" s="147">
        <f t="shared" si="154"/>
        <v>232.920737793091</v>
      </c>
      <c r="O272" s="147">
        <f t="shared" si="154"/>
        <v>247.326960920288</v>
      </c>
      <c r="P272" s="147">
        <f t="shared" si="154"/>
        <v>295.176274333569</v>
      </c>
      <c r="Q272" s="316">
        <f t="shared" si="154"/>
        <v>2832.65400673496</v>
      </c>
      <c r="R272" s="686"/>
    </row>
    <row r="273" ht="15" spans="3:17">
      <c r="C273" s="663" t="s">
        <v>396</v>
      </c>
      <c r="D273" s="676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</row>
    <row r="274" spans="3:17">
      <c r="C274" s="55" t="s">
        <v>397</v>
      </c>
      <c r="D274" s="55" t="s">
        <v>397</v>
      </c>
      <c r="E274" s="147">
        <f>'[38]TGSPDCL MoD'!U23</f>
        <v>19.1814837229332</v>
      </c>
      <c r="F274" s="147">
        <f>'[38]TGSPDCL MoD'!V23</f>
        <v>19.8208665136977</v>
      </c>
      <c r="G274" s="147">
        <f>'[38]TGSPDCL MoD'!W23</f>
        <v>19.1814837229332</v>
      </c>
      <c r="H274" s="147">
        <f>'[38]TGSPDCL MoD'!X23</f>
        <v>20.1744559109345</v>
      </c>
      <c r="I274" s="147">
        <f>'[38]TGSPDCL MoD'!Y23</f>
        <v>16.0521102047552</v>
      </c>
      <c r="J274" s="147">
        <f>'[38]TGSPDCL MoD'!Z23</f>
        <v>17.3856014548665</v>
      </c>
      <c r="K274" s="147">
        <f>'[38]TGSPDCL MoD'!AA23</f>
        <v>14.7958581017743</v>
      </c>
      <c r="L274" s="147">
        <f>'[38]TGSPDCL MoD'!AB23</f>
        <v>19.1814837229332</v>
      </c>
      <c r="M274" s="147">
        <f>'[38]TGSPDCL MoD'!AC23</f>
        <v>18.9833651117104</v>
      </c>
      <c r="N274" s="147">
        <f>'[38]TGSPDCL MoD'!AD23</f>
        <v>17.0479161472838</v>
      </c>
      <c r="O274" s="147">
        <f>'[38]TGSPDCL MoD'!AE23</f>
        <v>17.4943080765072</v>
      </c>
      <c r="P274" s="147">
        <f>'[38]TGSPDCL MoD'!AF23</f>
        <v>22.3333707196593</v>
      </c>
      <c r="Q274" s="55">
        <f t="shared" ref="Q274:Q281" si="155">SUM(E274:P274)</f>
        <v>221.632303409988</v>
      </c>
    </row>
    <row r="275" spans="3:17">
      <c r="C275" s="55" t="s">
        <v>398</v>
      </c>
      <c r="D275" s="55" t="s">
        <v>398</v>
      </c>
      <c r="E275" s="55">
        <v>0</v>
      </c>
      <c r="F275" s="55">
        <v>0</v>
      </c>
      <c r="G275" s="55">
        <v>0</v>
      </c>
      <c r="H275" s="55">
        <v>0</v>
      </c>
      <c r="I275" s="55">
        <v>0</v>
      </c>
      <c r="J275" s="55">
        <v>0</v>
      </c>
      <c r="K275" s="55">
        <v>0</v>
      </c>
      <c r="L275" s="55">
        <v>0</v>
      </c>
      <c r="M275" s="55">
        <v>0</v>
      </c>
      <c r="N275" s="55">
        <v>0</v>
      </c>
      <c r="O275" s="55">
        <v>0</v>
      </c>
      <c r="P275" s="55">
        <v>0</v>
      </c>
      <c r="Q275" s="55">
        <f t="shared" si="155"/>
        <v>0</v>
      </c>
    </row>
    <row r="276" spans="3:17"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>
        <f t="shared" si="155"/>
        <v>0</v>
      </c>
    </row>
    <row r="277" spans="3:17"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>
        <f t="shared" si="155"/>
        <v>0</v>
      </c>
    </row>
    <row r="278" spans="3:17"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>
        <f t="shared" si="155"/>
        <v>0</v>
      </c>
    </row>
    <row r="279" spans="3:17"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>
        <f t="shared" si="155"/>
        <v>0</v>
      </c>
    </row>
    <row r="280" spans="3:17"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>
        <f t="shared" si="155"/>
        <v>0</v>
      </c>
    </row>
    <row r="281" ht="15" spans="3:18">
      <c r="C281" s="44" t="s">
        <v>399</v>
      </c>
      <c r="D281" s="45"/>
      <c r="E281" s="147">
        <f t="shared" ref="E281:P281" si="156">SUM(E274:E280)</f>
        <v>19.1814837229332</v>
      </c>
      <c r="F281" s="147">
        <f t="shared" si="156"/>
        <v>19.8208665136977</v>
      </c>
      <c r="G281" s="147">
        <f t="shared" si="156"/>
        <v>19.1814837229332</v>
      </c>
      <c r="H281" s="147">
        <f t="shared" si="156"/>
        <v>20.1744559109345</v>
      </c>
      <c r="I281" s="147">
        <f t="shared" si="156"/>
        <v>16.0521102047552</v>
      </c>
      <c r="J281" s="147">
        <f t="shared" si="156"/>
        <v>17.3856014548665</v>
      </c>
      <c r="K281" s="147">
        <f t="shared" si="156"/>
        <v>14.7958581017743</v>
      </c>
      <c r="L281" s="147">
        <f t="shared" si="156"/>
        <v>19.1814837229332</v>
      </c>
      <c r="M281" s="147">
        <f t="shared" si="156"/>
        <v>18.9833651117104</v>
      </c>
      <c r="N281" s="147">
        <f t="shared" si="156"/>
        <v>17.0479161472838</v>
      </c>
      <c r="O281" s="147">
        <f t="shared" si="156"/>
        <v>17.4943080765072</v>
      </c>
      <c r="P281" s="147">
        <f t="shared" si="156"/>
        <v>22.3333707196593</v>
      </c>
      <c r="Q281" s="316">
        <f t="shared" si="155"/>
        <v>221.632303409988</v>
      </c>
      <c r="R281" s="686"/>
    </row>
    <row r="282" ht="15" spans="3:17">
      <c r="C282" s="663" t="s">
        <v>400</v>
      </c>
      <c r="D282" s="676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</row>
    <row r="283" spans="3:17">
      <c r="C283" s="55" t="s">
        <v>401</v>
      </c>
      <c r="D283" s="55" t="s">
        <v>401</v>
      </c>
      <c r="E283" s="147">
        <f>'[38]TGSPDCL MoD'!U20+'[38]TGSPDCL MoD'!U21</f>
        <v>96.2298717216824</v>
      </c>
      <c r="F283" s="147">
        <f>'[38]TGSPDCL MoD'!V20+'[38]TGSPDCL MoD'!V21</f>
        <v>58.6433062425869</v>
      </c>
      <c r="G283" s="147">
        <f>'[38]TGSPDCL MoD'!W20+'[38]TGSPDCL MoD'!W21</f>
        <v>28.3418434666448</v>
      </c>
      <c r="H283" s="147">
        <f>'[38]TGSPDCL MoD'!X20+'[38]TGSPDCL MoD'!X21</f>
        <v>61.6686727312863</v>
      </c>
      <c r="I283" s="147">
        <f>'[38]TGSPDCL MoD'!Y20+'[38]TGSPDCL MoD'!Y21</f>
        <v>75.8459378515793</v>
      </c>
      <c r="J283" s="147">
        <f>'[38]TGSPDCL MoD'!Z20+'[38]TGSPDCL MoD'!Z21</f>
        <v>78.4037920606501</v>
      </c>
      <c r="K283" s="147">
        <f>'[38]TGSPDCL MoD'!AA20+'[38]TGSPDCL MoD'!AA21</f>
        <v>75.8459378515793</v>
      </c>
      <c r="L283" s="147">
        <f>'[38]TGSPDCL MoD'!AB20+'[38]TGSPDCL MoD'!AB21</f>
        <v>96.6043606099962</v>
      </c>
      <c r="M283" s="147">
        <f>'[38]TGSPDCL MoD'!AC20+'[38]TGSPDCL MoD'!AC21</f>
        <v>84.4321912483175</v>
      </c>
      <c r="N283" s="147">
        <f>'[38]TGSPDCL MoD'!AD20+'[38]TGSPDCL MoD'!AD21</f>
        <v>83.7786721150091</v>
      </c>
      <c r="O283" s="147">
        <f>'[38]TGSPDCL MoD'!AE20+'[38]TGSPDCL MoD'!AE21</f>
        <v>93.2953932524853</v>
      </c>
      <c r="P283" s="147">
        <f>'[38]TGSPDCL MoD'!AF20+'[38]TGSPDCL MoD'!AF21</f>
        <v>111.320540848183</v>
      </c>
      <c r="Q283" s="147">
        <f t="shared" ref="Q283:Q291" si="157">SUM(E283:P283)</f>
        <v>944.41052</v>
      </c>
    </row>
    <row r="284" spans="3:17">
      <c r="C284" s="55" t="s">
        <v>402</v>
      </c>
      <c r="D284" s="55" t="s">
        <v>402</v>
      </c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>
        <f t="shared" si="157"/>
        <v>0</v>
      </c>
    </row>
    <row r="285" spans="3:17">
      <c r="C285" s="55" t="s">
        <v>403</v>
      </c>
      <c r="D285" s="55" t="s">
        <v>403</v>
      </c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>
        <f t="shared" si="157"/>
        <v>0</v>
      </c>
    </row>
    <row r="286" spans="3:17"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>
        <f t="shared" si="157"/>
        <v>0</v>
      </c>
    </row>
    <row r="287" spans="3:17"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>
        <f t="shared" si="157"/>
        <v>0</v>
      </c>
    </row>
    <row r="288" spans="3:17"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>
        <f t="shared" si="157"/>
        <v>0</v>
      </c>
    </row>
    <row r="289" spans="3:17"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>
        <f t="shared" si="157"/>
        <v>0</v>
      </c>
    </row>
    <row r="290" spans="3:17"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>
        <f t="shared" si="157"/>
        <v>0</v>
      </c>
    </row>
    <row r="291" ht="15" spans="3:18">
      <c r="C291" s="44" t="s">
        <v>404</v>
      </c>
      <c r="D291" s="45"/>
      <c r="E291" s="147">
        <f t="shared" ref="E291:P291" si="158">SUM(E283:E290)</f>
        <v>96.2298717216824</v>
      </c>
      <c r="F291" s="147">
        <f t="shared" si="158"/>
        <v>58.6433062425869</v>
      </c>
      <c r="G291" s="147">
        <f t="shared" si="158"/>
        <v>28.3418434666448</v>
      </c>
      <c r="H291" s="147">
        <f t="shared" si="158"/>
        <v>61.6686727312863</v>
      </c>
      <c r="I291" s="147">
        <f t="shared" si="158"/>
        <v>75.8459378515793</v>
      </c>
      <c r="J291" s="147">
        <f t="shared" si="158"/>
        <v>78.4037920606501</v>
      </c>
      <c r="K291" s="147">
        <f t="shared" si="158"/>
        <v>75.8459378515793</v>
      </c>
      <c r="L291" s="147">
        <f t="shared" si="158"/>
        <v>96.6043606099962</v>
      </c>
      <c r="M291" s="147">
        <f t="shared" si="158"/>
        <v>84.4321912483175</v>
      </c>
      <c r="N291" s="147">
        <f t="shared" si="158"/>
        <v>83.7786721150091</v>
      </c>
      <c r="O291" s="147">
        <f t="shared" si="158"/>
        <v>93.2953932524853</v>
      </c>
      <c r="P291" s="147">
        <f t="shared" si="158"/>
        <v>111.320540848183</v>
      </c>
      <c r="Q291" s="316">
        <f t="shared" si="157"/>
        <v>944.41052</v>
      </c>
      <c r="R291" s="686"/>
    </row>
    <row r="292" ht="15" spans="3:17">
      <c r="C292" s="663" t="s">
        <v>405</v>
      </c>
      <c r="D292" s="676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</row>
    <row r="293" spans="3:17">
      <c r="C293" s="55"/>
      <c r="D293" s="55" t="s">
        <v>406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f t="shared" ref="Q293:Q317" si="159">SUM(E293:P293)</f>
        <v>0</v>
      </c>
    </row>
    <row r="294" spans="3:17">
      <c r="C294" s="55"/>
      <c r="D294" s="55" t="s">
        <v>407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0</v>
      </c>
      <c r="P294" s="55">
        <v>0</v>
      </c>
      <c r="Q294" s="55">
        <f t="shared" si="159"/>
        <v>0</v>
      </c>
    </row>
    <row r="295" spans="3:17">
      <c r="C295" s="55"/>
      <c r="D295" s="55" t="s">
        <v>408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f t="shared" si="159"/>
        <v>0</v>
      </c>
    </row>
    <row r="296" spans="3:17">
      <c r="C296" s="55"/>
      <c r="D296" s="55" t="s">
        <v>409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f t="shared" si="159"/>
        <v>0</v>
      </c>
    </row>
    <row r="297" spans="3:17">
      <c r="C297" s="55"/>
      <c r="D297" s="55" t="s">
        <v>410</v>
      </c>
      <c r="E297" s="55">
        <v>0</v>
      </c>
      <c r="F297" s="55">
        <v>0</v>
      </c>
      <c r="G297" s="55">
        <v>0</v>
      </c>
      <c r="H297" s="55">
        <v>0</v>
      </c>
      <c r="I297" s="55">
        <v>0</v>
      </c>
      <c r="J297" s="55">
        <v>0</v>
      </c>
      <c r="K297" s="55">
        <v>0</v>
      </c>
      <c r="L297" s="55">
        <v>0</v>
      </c>
      <c r="M297" s="55">
        <v>0</v>
      </c>
      <c r="N297" s="55">
        <v>0</v>
      </c>
      <c r="O297" s="55">
        <v>0</v>
      </c>
      <c r="P297" s="55">
        <v>0</v>
      </c>
      <c r="Q297" s="55">
        <f t="shared" si="159"/>
        <v>0</v>
      </c>
    </row>
    <row r="298" spans="3:17">
      <c r="C298" s="55"/>
      <c r="D298" s="55" t="s">
        <v>368</v>
      </c>
      <c r="E298" s="55">
        <v>0</v>
      </c>
      <c r="F298" s="55">
        <v>0</v>
      </c>
      <c r="G298" s="55">
        <v>0</v>
      </c>
      <c r="H298" s="55">
        <v>0</v>
      </c>
      <c r="I298" s="55">
        <v>0</v>
      </c>
      <c r="J298" s="55">
        <v>0</v>
      </c>
      <c r="K298" s="55">
        <v>0</v>
      </c>
      <c r="L298" s="55">
        <v>0</v>
      </c>
      <c r="M298" s="55">
        <v>0</v>
      </c>
      <c r="N298" s="55">
        <v>0</v>
      </c>
      <c r="O298" s="55">
        <v>0</v>
      </c>
      <c r="P298" s="55">
        <v>0</v>
      </c>
      <c r="Q298" s="55">
        <f t="shared" si="159"/>
        <v>0</v>
      </c>
    </row>
    <row r="299" spans="3:17">
      <c r="C299" s="55"/>
      <c r="D299" s="55" t="s">
        <v>411</v>
      </c>
      <c r="E299" s="55">
        <v>0</v>
      </c>
      <c r="F299" s="55">
        <v>0</v>
      </c>
      <c r="G299" s="55">
        <v>0</v>
      </c>
      <c r="H299" s="55">
        <v>0</v>
      </c>
      <c r="I299" s="55">
        <v>0</v>
      </c>
      <c r="J299" s="55">
        <v>0</v>
      </c>
      <c r="K299" s="55">
        <v>0</v>
      </c>
      <c r="L299" s="55">
        <v>0</v>
      </c>
      <c r="M299" s="55">
        <v>0</v>
      </c>
      <c r="N299" s="55">
        <v>0</v>
      </c>
      <c r="O299" s="55">
        <v>0</v>
      </c>
      <c r="P299" s="55">
        <v>0</v>
      </c>
      <c r="Q299" s="55">
        <f t="shared" si="159"/>
        <v>0</v>
      </c>
    </row>
    <row r="300" spans="3:17">
      <c r="C300" s="55"/>
      <c r="D300" s="55" t="s">
        <v>412</v>
      </c>
      <c r="E300" s="55">
        <v>0</v>
      </c>
      <c r="F300" s="55">
        <v>0</v>
      </c>
      <c r="G300" s="55">
        <v>0</v>
      </c>
      <c r="H300" s="55">
        <v>0</v>
      </c>
      <c r="I300" s="55">
        <v>0</v>
      </c>
      <c r="J300" s="55">
        <v>0</v>
      </c>
      <c r="K300" s="55">
        <v>0</v>
      </c>
      <c r="L300" s="55">
        <v>0</v>
      </c>
      <c r="M300" s="55">
        <v>0</v>
      </c>
      <c r="N300" s="55">
        <v>0</v>
      </c>
      <c r="O300" s="55">
        <v>0</v>
      </c>
      <c r="P300" s="55">
        <v>0</v>
      </c>
      <c r="Q300" s="55">
        <f t="shared" si="159"/>
        <v>0</v>
      </c>
    </row>
    <row r="301" spans="3:17">
      <c r="C301" s="55"/>
      <c r="D301" s="55" t="s">
        <v>413</v>
      </c>
      <c r="E301" s="55">
        <v>0</v>
      </c>
      <c r="F301" s="55">
        <v>0</v>
      </c>
      <c r="G301" s="55">
        <v>0</v>
      </c>
      <c r="H301" s="55">
        <v>0</v>
      </c>
      <c r="I301" s="55">
        <v>0</v>
      </c>
      <c r="J301" s="55">
        <v>0</v>
      </c>
      <c r="K301" s="55">
        <v>0</v>
      </c>
      <c r="L301" s="55">
        <v>0</v>
      </c>
      <c r="M301" s="55">
        <v>0</v>
      </c>
      <c r="N301" s="55">
        <v>0</v>
      </c>
      <c r="O301" s="55">
        <v>0</v>
      </c>
      <c r="P301" s="55">
        <v>0</v>
      </c>
      <c r="Q301" s="55">
        <f t="shared" si="159"/>
        <v>0</v>
      </c>
    </row>
    <row r="302" spans="3:17">
      <c r="C302" s="55"/>
      <c r="D302" s="55" t="s">
        <v>414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f t="shared" si="159"/>
        <v>0</v>
      </c>
    </row>
    <row r="303" spans="3:17">
      <c r="C303" s="55"/>
      <c r="D303" s="55" t="s">
        <v>415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f t="shared" si="159"/>
        <v>0</v>
      </c>
    </row>
    <row r="304" spans="3:17">
      <c r="C304" s="55"/>
      <c r="D304" s="55" t="s">
        <v>416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f t="shared" si="159"/>
        <v>0</v>
      </c>
    </row>
    <row r="305" spans="3:17">
      <c r="C305" s="55"/>
      <c r="D305" s="55" t="s">
        <v>417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f t="shared" si="159"/>
        <v>0</v>
      </c>
    </row>
    <row r="306" spans="3:17">
      <c r="C306" s="55"/>
      <c r="D306" s="55" t="s">
        <v>418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f t="shared" si="159"/>
        <v>0</v>
      </c>
    </row>
    <row r="307" spans="3:17">
      <c r="C307" s="55"/>
      <c r="D307" s="687" t="s">
        <v>419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f t="shared" si="159"/>
        <v>0</v>
      </c>
    </row>
    <row r="308" spans="3:17">
      <c r="C308" s="55"/>
      <c r="D308" s="687" t="s">
        <v>420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f t="shared" si="159"/>
        <v>0</v>
      </c>
    </row>
    <row r="309" spans="3:17"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>
        <f t="shared" si="159"/>
        <v>0</v>
      </c>
    </row>
    <row r="310" spans="3:17"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>
        <f t="shared" si="159"/>
        <v>0</v>
      </c>
    </row>
    <row r="311" spans="3:17"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>
        <f t="shared" si="159"/>
        <v>0</v>
      </c>
    </row>
    <row r="312" spans="3:17"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>
        <f t="shared" si="159"/>
        <v>0</v>
      </c>
    </row>
    <row r="313" spans="3:17"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>
        <f t="shared" si="159"/>
        <v>0</v>
      </c>
    </row>
    <row r="314" spans="3:17"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>
        <f t="shared" si="159"/>
        <v>0</v>
      </c>
    </row>
    <row r="315" spans="3:17"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>
        <f t="shared" si="159"/>
        <v>0</v>
      </c>
    </row>
    <row r="316" spans="3:17"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>
        <f t="shared" si="159"/>
        <v>0</v>
      </c>
    </row>
    <row r="317" ht="15" spans="3:18">
      <c r="C317" s="44" t="s">
        <v>421</v>
      </c>
      <c r="D317" s="45"/>
      <c r="E317" s="55">
        <f t="shared" ref="E317:P317" si="160">SUM(E293:E316)</f>
        <v>0</v>
      </c>
      <c r="F317" s="55">
        <f t="shared" si="160"/>
        <v>0</v>
      </c>
      <c r="G317" s="55">
        <f t="shared" si="160"/>
        <v>0</v>
      </c>
      <c r="H317" s="55">
        <f t="shared" si="160"/>
        <v>0</v>
      </c>
      <c r="I317" s="55">
        <f t="shared" si="160"/>
        <v>0</v>
      </c>
      <c r="J317" s="55">
        <f t="shared" si="160"/>
        <v>0</v>
      </c>
      <c r="K317" s="55">
        <f t="shared" si="160"/>
        <v>0</v>
      </c>
      <c r="L317" s="55">
        <f t="shared" si="160"/>
        <v>0</v>
      </c>
      <c r="M317" s="55">
        <f t="shared" si="160"/>
        <v>0</v>
      </c>
      <c r="N317" s="55">
        <f t="shared" si="160"/>
        <v>0</v>
      </c>
      <c r="O317" s="55">
        <f t="shared" si="160"/>
        <v>0</v>
      </c>
      <c r="P317" s="55">
        <f t="shared" si="160"/>
        <v>0</v>
      </c>
      <c r="Q317" s="316">
        <f t="shared" si="159"/>
        <v>0</v>
      </c>
      <c r="R317" s="686"/>
    </row>
    <row r="318" ht="15" spans="3:17">
      <c r="C318" s="663" t="s">
        <v>422</v>
      </c>
      <c r="D318" s="676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</row>
    <row r="319" spans="3:17">
      <c r="C319" s="55"/>
      <c r="D319" s="55" t="s">
        <v>423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f>SUM(E319:P319)</f>
        <v>0</v>
      </c>
    </row>
    <row r="320" spans="3:17"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>
        <f>SUM(E320:P320)</f>
        <v>0</v>
      </c>
    </row>
    <row r="321" spans="3:17"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>
        <f>SUM(E321:P321)</f>
        <v>0</v>
      </c>
    </row>
    <row r="322" spans="3:17"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>
        <f>SUM(E322:P322)</f>
        <v>0</v>
      </c>
    </row>
    <row r="323" spans="3:17"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</row>
    <row r="324" spans="3:17">
      <c r="C324" s="55"/>
      <c r="D324" s="679" t="s">
        <v>534</v>
      </c>
      <c r="E324" s="55">
        <v>0</v>
      </c>
      <c r="F324" s="55">
        <v>0</v>
      </c>
      <c r="G324" s="55">
        <v>0</v>
      </c>
      <c r="H324" s="55">
        <v>0</v>
      </c>
      <c r="I324" s="55">
        <v>0</v>
      </c>
      <c r="J324" s="55">
        <v>0</v>
      </c>
      <c r="K324" s="55">
        <v>0</v>
      </c>
      <c r="L324" s="55">
        <v>0</v>
      </c>
      <c r="M324" s="55">
        <v>0</v>
      </c>
      <c r="N324" s="55">
        <v>0</v>
      </c>
      <c r="O324" s="55">
        <v>0</v>
      </c>
      <c r="P324" s="55">
        <v>0</v>
      </c>
      <c r="Q324" s="55"/>
    </row>
    <row r="325" spans="3:17">
      <c r="C325" s="55"/>
      <c r="D325" s="679" t="s">
        <v>535</v>
      </c>
      <c r="E325" s="55">
        <v>0</v>
      </c>
      <c r="F325" s="55">
        <v>0</v>
      </c>
      <c r="G325" s="55">
        <v>0</v>
      </c>
      <c r="H325" s="55">
        <v>0</v>
      </c>
      <c r="I325" s="55">
        <v>0</v>
      </c>
      <c r="J325" s="55">
        <v>0</v>
      </c>
      <c r="K325" s="55">
        <v>0</v>
      </c>
      <c r="L325" s="55">
        <v>0</v>
      </c>
      <c r="M325" s="55">
        <v>0</v>
      </c>
      <c r="N325" s="55">
        <v>0</v>
      </c>
      <c r="O325" s="55">
        <v>0</v>
      </c>
      <c r="P325" s="55">
        <v>0</v>
      </c>
      <c r="Q325" s="55"/>
    </row>
    <row r="326" spans="3:17">
      <c r="C326" s="55"/>
      <c r="D326" s="679" t="s">
        <v>502</v>
      </c>
      <c r="E326" s="55">
        <v>0</v>
      </c>
      <c r="F326" s="55">
        <v>0</v>
      </c>
      <c r="G326" s="55">
        <v>0</v>
      </c>
      <c r="H326" s="55">
        <v>0</v>
      </c>
      <c r="I326" s="55">
        <v>0</v>
      </c>
      <c r="J326" s="55">
        <v>0</v>
      </c>
      <c r="K326" s="55">
        <v>0</v>
      </c>
      <c r="L326" s="55">
        <v>0</v>
      </c>
      <c r="M326" s="55">
        <v>0</v>
      </c>
      <c r="N326" s="55">
        <v>0</v>
      </c>
      <c r="O326" s="55">
        <v>0</v>
      </c>
      <c r="P326" s="55">
        <v>0</v>
      </c>
      <c r="Q326" s="55"/>
    </row>
    <row r="327" spans="3:17">
      <c r="C327" s="55"/>
      <c r="D327" s="679" t="s">
        <v>503</v>
      </c>
      <c r="E327" s="55">
        <v>0</v>
      </c>
      <c r="F327" s="55">
        <v>0</v>
      </c>
      <c r="G327" s="55">
        <v>0</v>
      </c>
      <c r="H327" s="55">
        <v>0</v>
      </c>
      <c r="I327" s="55">
        <v>0</v>
      </c>
      <c r="J327" s="55">
        <v>0</v>
      </c>
      <c r="K327" s="55">
        <v>0</v>
      </c>
      <c r="L327" s="55">
        <v>0</v>
      </c>
      <c r="M327" s="55">
        <v>0</v>
      </c>
      <c r="N327" s="55">
        <v>0</v>
      </c>
      <c r="O327" s="55">
        <v>0</v>
      </c>
      <c r="P327" s="55">
        <v>0</v>
      </c>
      <c r="Q327" s="55"/>
    </row>
    <row r="328" spans="3:17">
      <c r="C328" s="55"/>
      <c r="D328" s="688" t="s">
        <v>504</v>
      </c>
      <c r="E328" s="55">
        <v>0</v>
      </c>
      <c r="F328" s="55">
        <v>0</v>
      </c>
      <c r="G328" s="55">
        <v>0</v>
      </c>
      <c r="H328" s="55">
        <v>0</v>
      </c>
      <c r="I328" s="55">
        <v>0</v>
      </c>
      <c r="J328" s="55">
        <v>0</v>
      </c>
      <c r="K328" s="55">
        <v>0</v>
      </c>
      <c r="L328" s="55">
        <v>0</v>
      </c>
      <c r="M328" s="55">
        <v>0</v>
      </c>
      <c r="N328" s="55">
        <v>0</v>
      </c>
      <c r="O328" s="55">
        <v>0</v>
      </c>
      <c r="P328" s="55">
        <v>0</v>
      </c>
      <c r="Q328" s="55"/>
    </row>
    <row r="329" spans="3:17">
      <c r="C329" s="55"/>
      <c r="D329" s="679" t="s">
        <v>505</v>
      </c>
      <c r="E329" s="55">
        <v>0</v>
      </c>
      <c r="F329" s="55">
        <v>0</v>
      </c>
      <c r="G329" s="55">
        <v>0</v>
      </c>
      <c r="H329" s="55">
        <v>0</v>
      </c>
      <c r="I329" s="55">
        <v>0</v>
      </c>
      <c r="J329" s="55">
        <v>0</v>
      </c>
      <c r="K329" s="55">
        <v>0</v>
      </c>
      <c r="L329" s="55">
        <v>0</v>
      </c>
      <c r="M329" s="55">
        <v>0</v>
      </c>
      <c r="N329" s="55">
        <v>0</v>
      </c>
      <c r="O329" s="55">
        <v>0</v>
      </c>
      <c r="P329" s="55">
        <v>0</v>
      </c>
      <c r="Q329" s="55"/>
    </row>
    <row r="330" spans="3:17">
      <c r="C330" s="55"/>
      <c r="D330" s="679" t="s">
        <v>506</v>
      </c>
      <c r="E330" s="55">
        <v>0</v>
      </c>
      <c r="F330" s="55">
        <v>0</v>
      </c>
      <c r="G330" s="55">
        <v>0</v>
      </c>
      <c r="H330" s="55">
        <v>0</v>
      </c>
      <c r="I330" s="55">
        <v>0</v>
      </c>
      <c r="J330" s="55">
        <v>0</v>
      </c>
      <c r="K330" s="55">
        <v>0</v>
      </c>
      <c r="L330" s="55">
        <v>0</v>
      </c>
      <c r="M330" s="55">
        <v>0</v>
      </c>
      <c r="N330" s="55">
        <v>0</v>
      </c>
      <c r="O330" s="55">
        <v>0</v>
      </c>
      <c r="P330" s="55">
        <v>0</v>
      </c>
      <c r="Q330" s="55"/>
    </row>
    <row r="331" spans="3:17">
      <c r="C331" s="55"/>
      <c r="D331" s="679" t="s">
        <v>507</v>
      </c>
      <c r="E331" s="55">
        <v>0</v>
      </c>
      <c r="F331" s="55">
        <v>0</v>
      </c>
      <c r="G331" s="55">
        <v>0</v>
      </c>
      <c r="H331" s="55">
        <v>0</v>
      </c>
      <c r="I331" s="55">
        <v>0</v>
      </c>
      <c r="J331" s="55">
        <v>0</v>
      </c>
      <c r="K331" s="55">
        <v>0</v>
      </c>
      <c r="L331" s="55">
        <v>0</v>
      </c>
      <c r="M331" s="55">
        <v>0</v>
      </c>
      <c r="N331" s="55">
        <v>0</v>
      </c>
      <c r="O331" s="55">
        <v>0</v>
      </c>
      <c r="P331" s="55">
        <v>0</v>
      </c>
      <c r="Q331" s="55"/>
    </row>
    <row r="332" spans="3:17">
      <c r="C332" s="55"/>
      <c r="D332" s="679" t="s">
        <v>508</v>
      </c>
      <c r="E332" s="55">
        <v>0</v>
      </c>
      <c r="F332" s="55">
        <v>0</v>
      </c>
      <c r="G332" s="55">
        <v>0</v>
      </c>
      <c r="H332" s="55">
        <v>0</v>
      </c>
      <c r="I332" s="55">
        <v>0</v>
      </c>
      <c r="J332" s="55">
        <v>0</v>
      </c>
      <c r="K332" s="55">
        <v>0</v>
      </c>
      <c r="L332" s="55">
        <v>0</v>
      </c>
      <c r="M332" s="55">
        <v>0</v>
      </c>
      <c r="N332" s="55">
        <v>0</v>
      </c>
      <c r="O332" s="55">
        <v>0</v>
      </c>
      <c r="P332" s="55">
        <v>0</v>
      </c>
      <c r="Q332" s="55"/>
    </row>
    <row r="333" spans="3:17">
      <c r="C333" s="55"/>
      <c r="D333" s="679" t="s">
        <v>509</v>
      </c>
      <c r="E333" s="55">
        <v>0</v>
      </c>
      <c r="F333" s="55">
        <v>0</v>
      </c>
      <c r="G333" s="55">
        <v>0</v>
      </c>
      <c r="H333" s="55">
        <v>0</v>
      </c>
      <c r="I333" s="55">
        <v>0</v>
      </c>
      <c r="J333" s="55">
        <v>0</v>
      </c>
      <c r="K333" s="55">
        <v>0</v>
      </c>
      <c r="L333" s="55">
        <v>0</v>
      </c>
      <c r="M333" s="55">
        <v>0</v>
      </c>
      <c r="N333" s="55">
        <v>0</v>
      </c>
      <c r="O333" s="55">
        <v>0</v>
      </c>
      <c r="P333" s="55">
        <v>0</v>
      </c>
      <c r="Q333" s="55"/>
    </row>
    <row r="334" spans="3:17">
      <c r="C334" s="55"/>
      <c r="D334" s="679" t="s">
        <v>510</v>
      </c>
      <c r="E334" s="55">
        <v>0</v>
      </c>
      <c r="F334" s="55">
        <v>0</v>
      </c>
      <c r="G334" s="55">
        <v>0</v>
      </c>
      <c r="H334" s="55">
        <v>0</v>
      </c>
      <c r="I334" s="55">
        <v>0</v>
      </c>
      <c r="J334" s="55">
        <v>0</v>
      </c>
      <c r="K334" s="55">
        <v>0</v>
      </c>
      <c r="L334" s="55">
        <v>0</v>
      </c>
      <c r="M334" s="55">
        <v>0</v>
      </c>
      <c r="N334" s="55">
        <v>0</v>
      </c>
      <c r="O334" s="55">
        <v>0</v>
      </c>
      <c r="P334" s="55">
        <v>0</v>
      </c>
      <c r="Q334" s="55"/>
    </row>
    <row r="335" spans="3:17">
      <c r="C335" s="55"/>
      <c r="D335" s="679" t="s">
        <v>511</v>
      </c>
      <c r="E335" s="55">
        <v>0</v>
      </c>
      <c r="F335" s="55">
        <v>0</v>
      </c>
      <c r="G335" s="55">
        <v>0</v>
      </c>
      <c r="H335" s="55">
        <v>0</v>
      </c>
      <c r="I335" s="55">
        <v>0</v>
      </c>
      <c r="J335" s="55">
        <v>0</v>
      </c>
      <c r="K335" s="55">
        <v>0</v>
      </c>
      <c r="L335" s="55">
        <v>0</v>
      </c>
      <c r="M335" s="55">
        <v>0</v>
      </c>
      <c r="N335" s="55">
        <v>0</v>
      </c>
      <c r="O335" s="55">
        <v>0</v>
      </c>
      <c r="P335" s="55">
        <v>0</v>
      </c>
      <c r="Q335" s="55"/>
    </row>
    <row r="336" spans="3:17">
      <c r="C336" s="55"/>
      <c r="D336" s="679" t="s">
        <v>512</v>
      </c>
      <c r="E336" s="55">
        <v>0</v>
      </c>
      <c r="F336" s="55">
        <v>0</v>
      </c>
      <c r="G336" s="55">
        <v>0</v>
      </c>
      <c r="H336" s="55">
        <v>0</v>
      </c>
      <c r="I336" s="55">
        <v>0</v>
      </c>
      <c r="J336" s="55">
        <v>0</v>
      </c>
      <c r="K336" s="55">
        <v>0</v>
      </c>
      <c r="L336" s="55">
        <v>0</v>
      </c>
      <c r="M336" s="55">
        <v>0</v>
      </c>
      <c r="N336" s="55">
        <v>0</v>
      </c>
      <c r="O336" s="55">
        <v>0</v>
      </c>
      <c r="P336" s="55">
        <v>0</v>
      </c>
      <c r="Q336" s="55"/>
    </row>
    <row r="337" spans="3:17"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</row>
    <row r="338" spans="3:17"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>
        <f t="shared" ref="Q338:Q345" si="161">SUM(E338:P338)</f>
        <v>0</v>
      </c>
    </row>
    <row r="339" spans="3:17"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>
        <f t="shared" si="161"/>
        <v>0</v>
      </c>
    </row>
    <row r="340" spans="3:17"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>
        <f t="shared" si="161"/>
        <v>0</v>
      </c>
    </row>
    <row r="341" spans="3:17"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>
        <f t="shared" si="161"/>
        <v>0</v>
      </c>
    </row>
    <row r="342" spans="3:17"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>
        <f t="shared" si="161"/>
        <v>0</v>
      </c>
    </row>
    <row r="343" spans="3:17"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>
        <f t="shared" si="161"/>
        <v>0</v>
      </c>
    </row>
    <row r="344" spans="3:17"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>
        <f t="shared" si="161"/>
        <v>0</v>
      </c>
    </row>
    <row r="345" ht="15" spans="3:18">
      <c r="C345" s="44" t="s">
        <v>424</v>
      </c>
      <c r="D345" s="45"/>
      <c r="E345" s="55">
        <f t="shared" ref="E345:P345" si="162">SUM(E319:E344)</f>
        <v>0</v>
      </c>
      <c r="F345" s="55">
        <f t="shared" si="162"/>
        <v>0</v>
      </c>
      <c r="G345" s="55">
        <f t="shared" si="162"/>
        <v>0</v>
      </c>
      <c r="H345" s="55">
        <f t="shared" si="162"/>
        <v>0</v>
      </c>
      <c r="I345" s="55">
        <f t="shared" si="162"/>
        <v>0</v>
      </c>
      <c r="J345" s="55">
        <f t="shared" si="162"/>
        <v>0</v>
      </c>
      <c r="K345" s="55">
        <f t="shared" si="162"/>
        <v>0</v>
      </c>
      <c r="L345" s="55">
        <f t="shared" si="162"/>
        <v>0</v>
      </c>
      <c r="M345" s="55">
        <f t="shared" si="162"/>
        <v>0</v>
      </c>
      <c r="N345" s="55">
        <f t="shared" si="162"/>
        <v>0</v>
      </c>
      <c r="O345" s="55">
        <f t="shared" si="162"/>
        <v>0</v>
      </c>
      <c r="P345" s="55">
        <f t="shared" si="162"/>
        <v>0</v>
      </c>
      <c r="Q345" s="316">
        <f t="shared" si="161"/>
        <v>0</v>
      </c>
      <c r="R345" s="686"/>
    </row>
    <row r="346" ht="15" spans="3:17">
      <c r="C346" s="663" t="s">
        <v>425</v>
      </c>
      <c r="D346" s="676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</row>
    <row r="347" spans="3:17">
      <c r="C347" s="55" t="s">
        <v>426</v>
      </c>
      <c r="D347" s="55" t="s">
        <v>427</v>
      </c>
      <c r="E347" s="147">
        <v>0</v>
      </c>
      <c r="F347" s="147">
        <v>0</v>
      </c>
      <c r="G347" s="147">
        <v>0</v>
      </c>
      <c r="H347" s="147">
        <v>0</v>
      </c>
      <c r="I347" s="147">
        <v>0</v>
      </c>
      <c r="J347" s="147">
        <v>0</v>
      </c>
      <c r="K347" s="147">
        <v>0</v>
      </c>
      <c r="L347" s="147">
        <v>0</v>
      </c>
      <c r="M347" s="147">
        <v>0</v>
      </c>
      <c r="N347" s="147">
        <v>0</v>
      </c>
      <c r="O347" s="147">
        <v>0</v>
      </c>
      <c r="P347" s="147">
        <v>0</v>
      </c>
      <c r="Q347" s="55">
        <f>SUM(E347:P347)</f>
        <v>0</v>
      </c>
    </row>
    <row r="348" spans="3:17">
      <c r="C348" s="55" t="s">
        <v>426</v>
      </c>
      <c r="D348" s="55" t="s">
        <v>428</v>
      </c>
      <c r="E348" s="147">
        <v>0</v>
      </c>
      <c r="F348" s="147">
        <v>0</v>
      </c>
      <c r="G348" s="147">
        <v>0</v>
      </c>
      <c r="H348" s="147">
        <v>0</v>
      </c>
      <c r="I348" s="147">
        <v>0</v>
      </c>
      <c r="J348" s="147">
        <v>0</v>
      </c>
      <c r="K348" s="147">
        <v>0</v>
      </c>
      <c r="L348" s="147">
        <v>0</v>
      </c>
      <c r="M348" s="147">
        <v>0</v>
      </c>
      <c r="N348" s="147">
        <v>0</v>
      </c>
      <c r="O348" s="147">
        <v>0</v>
      </c>
      <c r="P348" s="147">
        <v>0</v>
      </c>
      <c r="Q348" s="55">
        <f>SUM(E348:P348)</f>
        <v>0</v>
      </c>
    </row>
    <row r="349" ht="15" spans="3:17">
      <c r="C349" s="44" t="s">
        <v>429</v>
      </c>
      <c r="D349" s="45"/>
      <c r="E349" s="55">
        <f t="shared" ref="E349:Q349" si="163">E347+E348</f>
        <v>0</v>
      </c>
      <c r="F349" s="55">
        <f t="shared" si="163"/>
        <v>0</v>
      </c>
      <c r="G349" s="55">
        <f t="shared" si="163"/>
        <v>0</v>
      </c>
      <c r="H349" s="55">
        <f t="shared" si="163"/>
        <v>0</v>
      </c>
      <c r="I349" s="55">
        <f t="shared" si="163"/>
        <v>0</v>
      </c>
      <c r="J349" s="55">
        <f t="shared" si="163"/>
        <v>0</v>
      </c>
      <c r="K349" s="55">
        <f t="shared" si="163"/>
        <v>0</v>
      </c>
      <c r="L349" s="55">
        <f t="shared" si="163"/>
        <v>0</v>
      </c>
      <c r="M349" s="55">
        <f t="shared" si="163"/>
        <v>0</v>
      </c>
      <c r="N349" s="55">
        <f t="shared" si="163"/>
        <v>0</v>
      </c>
      <c r="O349" s="55">
        <f t="shared" si="163"/>
        <v>0</v>
      </c>
      <c r="P349" s="55">
        <f t="shared" si="163"/>
        <v>0</v>
      </c>
      <c r="Q349" s="55">
        <f t="shared" si="163"/>
        <v>0</v>
      </c>
    </row>
    <row r="350" ht="15" spans="3:18">
      <c r="C350" s="44" t="s">
        <v>224</v>
      </c>
      <c r="D350" s="45"/>
      <c r="E350" s="147">
        <f t="shared" ref="E350:Q350" si="164">E226+E272+E281+E291+E317+E345+E349</f>
        <v>1308.41295072962</v>
      </c>
      <c r="F350" s="147">
        <f t="shared" si="164"/>
        <v>913.870173890521</v>
      </c>
      <c r="G350" s="147">
        <f t="shared" si="164"/>
        <v>943.850798123192</v>
      </c>
      <c r="H350" s="147">
        <f t="shared" si="164"/>
        <v>1087.80089793101</v>
      </c>
      <c r="I350" s="147">
        <f t="shared" si="164"/>
        <v>1249.3807534717</v>
      </c>
      <c r="J350" s="147">
        <f t="shared" si="164"/>
        <v>1230.50055209934</v>
      </c>
      <c r="K350" s="147">
        <f t="shared" si="164"/>
        <v>1126.45674287744</v>
      </c>
      <c r="L350" s="147">
        <f t="shared" si="164"/>
        <v>1082.21990541475</v>
      </c>
      <c r="M350" s="147">
        <f t="shared" si="164"/>
        <v>1187.1762731206</v>
      </c>
      <c r="N350" s="147">
        <f t="shared" si="164"/>
        <v>1340.84634170745</v>
      </c>
      <c r="O350" s="147">
        <f t="shared" si="164"/>
        <v>1350.82148471263</v>
      </c>
      <c r="P350" s="147">
        <f t="shared" si="164"/>
        <v>1517.03431076399</v>
      </c>
      <c r="Q350" s="316">
        <f t="shared" si="164"/>
        <v>15416.3751848422</v>
      </c>
      <c r="R350" s="686"/>
    </row>
    <row r="351" ht="15" spans="4:5">
      <c r="D351" s="11"/>
      <c r="E351" s="11"/>
    </row>
    <row r="352" ht="15" spans="3:10">
      <c r="C352" s="11" t="s">
        <v>524</v>
      </c>
      <c r="J352" s="3"/>
    </row>
    <row r="353" ht="15" spans="3:17">
      <c r="C353" s="14"/>
      <c r="Q353" s="3" t="s">
        <v>109</v>
      </c>
    </row>
    <row r="354" ht="15" spans="3:17">
      <c r="C354" s="658" t="s">
        <v>345</v>
      </c>
      <c r="D354" s="658" t="s">
        <v>346</v>
      </c>
      <c r="E354" s="135" t="s">
        <v>443</v>
      </c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</row>
    <row r="355" ht="15" spans="3:17">
      <c r="C355" s="660"/>
      <c r="D355" s="660"/>
      <c r="E355" s="135" t="s">
        <v>246</v>
      </c>
      <c r="F355" s="135" t="s">
        <v>247</v>
      </c>
      <c r="G355" s="135" t="s">
        <v>248</v>
      </c>
      <c r="H355" s="135" t="s">
        <v>249</v>
      </c>
      <c r="I355" s="135" t="s">
        <v>250</v>
      </c>
      <c r="J355" s="135" t="s">
        <v>251</v>
      </c>
      <c r="K355" s="135" t="s">
        <v>252</v>
      </c>
      <c r="L355" s="135" t="s">
        <v>253</v>
      </c>
      <c r="M355" s="135" t="s">
        <v>254</v>
      </c>
      <c r="N355" s="135" t="s">
        <v>255</v>
      </c>
      <c r="O355" s="135" t="s">
        <v>256</v>
      </c>
      <c r="P355" s="135" t="s">
        <v>257</v>
      </c>
      <c r="Q355" s="135" t="s">
        <v>97</v>
      </c>
    </row>
    <row r="356" spans="3:17">
      <c r="C356" s="662"/>
      <c r="D356" s="662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</row>
    <row r="357" ht="15" spans="2:17">
      <c r="B357" s="656"/>
      <c r="C357" s="663" t="s">
        <v>349</v>
      </c>
      <c r="D357" s="676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</row>
    <row r="358" ht="15" spans="3:17">
      <c r="C358" s="44" t="s">
        <v>350</v>
      </c>
      <c r="D358" s="4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</row>
    <row r="359" spans="2:17">
      <c r="B359" s="656"/>
      <c r="C359" s="677" t="s">
        <v>351</v>
      </c>
      <c r="D359" s="47" t="s">
        <v>352</v>
      </c>
      <c r="E359" s="690">
        <f>'[38]TGSPDCL MoD'!AJ4+'[38]TGSPDCL MoD'!AJ5</f>
        <v>52.8101909364215</v>
      </c>
      <c r="F359" s="690">
        <f>'[38]TGSPDCL MoD'!AK4+'[38]TGSPDCL MoD'!AK5</f>
        <v>76.6910548140864</v>
      </c>
      <c r="G359" s="690">
        <f>'[38]TGSPDCL MoD'!AL4+'[38]TGSPDCL MoD'!AL5</f>
        <v>67.7899692711879</v>
      </c>
      <c r="H359" s="690">
        <f>'[38]TGSPDCL MoD'!AM4+'[38]TGSPDCL MoD'!AM5</f>
        <v>0</v>
      </c>
      <c r="I359" s="690">
        <f>'[38]TGSPDCL MoD'!AN4+'[38]TGSPDCL MoD'!AN5</f>
        <v>25.9569723986139</v>
      </c>
      <c r="J359" s="690">
        <f>'[38]TGSPDCL MoD'!AO4+'[38]TGSPDCL MoD'!AO5</f>
        <v>50.2393014166719</v>
      </c>
      <c r="K359" s="690">
        <f>'[38]TGSPDCL MoD'!AP4+'[38]TGSPDCL MoD'!AP5</f>
        <v>51.9139447972278</v>
      </c>
      <c r="L359" s="690">
        <f>'[38]TGSPDCL MoD'!AQ4+'[38]TGSPDCL MoD'!AQ5</f>
        <v>54.8083335290685</v>
      </c>
      <c r="M359" s="690">
        <f>'[38]TGSPDCL MoD'!AR4+'[38]TGSPDCL MoD'!AR5</f>
        <v>55.4535319424932</v>
      </c>
      <c r="N359" s="690">
        <f>'[38]TGSPDCL MoD'!AS4+'[38]TGSPDCL MoD'!AS5</f>
        <v>53.6837383698605</v>
      </c>
      <c r="O359" s="690">
        <f>'[38]TGSPDCL MoD'!AT4+'[38]TGSPDCL MoD'!AT5</f>
        <v>60.9385449734094</v>
      </c>
      <c r="P359" s="690">
        <f>'[38]TGSPDCL MoD'!AU4+'[38]TGSPDCL MoD'!AU5</f>
        <v>71.3816740961881</v>
      </c>
      <c r="Q359" s="690">
        <f t="shared" ref="Q359:Q377" si="165">SUM(E359:P359)</f>
        <v>621.667256545229</v>
      </c>
    </row>
    <row r="360" spans="2:17">
      <c r="B360" s="656"/>
      <c r="C360" s="678"/>
      <c r="D360" s="47" t="s">
        <v>353</v>
      </c>
      <c r="E360" s="690">
        <f>'[38]TGSPDCL MoD'!AJ6</f>
        <v>56.586696160411</v>
      </c>
      <c r="F360" s="690">
        <f>'[38]TGSPDCL MoD'!AK6</f>
        <v>0</v>
      </c>
      <c r="G360" s="690">
        <f>'[38]TGSPDCL MoD'!AL6</f>
        <v>34.2064483043014</v>
      </c>
      <c r="H360" s="690">
        <f>'[38]TGSPDCL MoD'!AM6</f>
        <v>49.5272002845169</v>
      </c>
      <c r="I360" s="690">
        <f>'[38]TGSPDCL MoD'!AN6</f>
        <v>46.3658896280583</v>
      </c>
      <c r="J360" s="690">
        <f>'[38]TGSPDCL MoD'!AO6</f>
        <v>46.3998822157622</v>
      </c>
      <c r="K360" s="690">
        <f>'[38]TGSPDCL MoD'!AP6</f>
        <v>46.3658896280583</v>
      </c>
      <c r="L360" s="690">
        <f>'[38]TGSPDCL MoD'!AQ6</f>
        <v>53.5035680672894</v>
      </c>
      <c r="M360" s="690">
        <f>'[38]TGSPDCL MoD'!AR6</f>
        <v>49.5272002845169</v>
      </c>
      <c r="N360" s="690">
        <f>'[38]TGSPDCL MoD'!AS6</f>
        <v>49.633220964337</v>
      </c>
      <c r="O360" s="690">
        <f>'[38]TGSPDCL MoD'!AT6</f>
        <v>56.1557548867686</v>
      </c>
      <c r="P360" s="690">
        <f>'[38]TGSPDCL MoD'!AU6</f>
        <v>64.5266252508699</v>
      </c>
      <c r="Q360" s="690">
        <f t="shared" si="165"/>
        <v>552.79837567489</v>
      </c>
    </row>
    <row r="361" spans="2:17">
      <c r="B361" s="656"/>
      <c r="C361" s="678"/>
      <c r="D361" s="47" t="s">
        <v>354</v>
      </c>
      <c r="E361" s="690">
        <f>'[38]TGSPDCL MoD'!AJ7</f>
        <v>93.0196403540196</v>
      </c>
      <c r="F361" s="690">
        <f>'[38]TGSPDCL MoD'!AK7</f>
        <v>0</v>
      </c>
      <c r="G361" s="690">
        <f>'[38]TGSPDCL MoD'!AL7</f>
        <v>53.5348392143201</v>
      </c>
      <c r="H361" s="690">
        <f>'[38]TGSPDCL MoD'!AM7</f>
        <v>83.903077981317</v>
      </c>
      <c r="I361" s="690">
        <f>'[38]TGSPDCL MoD'!AN7</f>
        <v>71.6778178824827</v>
      </c>
      <c r="J361" s="690">
        <f>'[38]TGSPDCL MoD'!AO7</f>
        <v>78.8849258563504</v>
      </c>
      <c r="K361" s="690">
        <f>'[38]TGSPDCL MoD'!AP7</f>
        <v>71.5897261650319</v>
      </c>
      <c r="L361" s="690">
        <f>'[38]TGSPDCL MoD'!AQ7</f>
        <v>102.559552369181</v>
      </c>
      <c r="M361" s="690">
        <f>'[38]TGSPDCL MoD'!AR7</f>
        <v>87.4050148216263</v>
      </c>
      <c r="N361" s="690">
        <f>'[38]TGSPDCL MoD'!AS7</f>
        <v>88.6812564140898</v>
      </c>
      <c r="O361" s="690">
        <f>'[38]TGSPDCL MoD'!AT7</f>
        <v>88.909821204959</v>
      </c>
      <c r="P361" s="690">
        <f>'[38]TGSPDCL MoD'!AU7</f>
        <v>108.20103586207</v>
      </c>
      <c r="Q361" s="690">
        <f t="shared" si="165"/>
        <v>928.366708125448</v>
      </c>
    </row>
    <row r="362" spans="2:17">
      <c r="B362" s="656"/>
      <c r="C362" s="678"/>
      <c r="D362" s="47" t="s">
        <v>355</v>
      </c>
      <c r="E362" s="690">
        <f>'[38]TGSPDCL MoD'!AJ8</f>
        <v>7.17872109334409</v>
      </c>
      <c r="F362" s="690">
        <f>'[38]TGSPDCL MoD'!AK8</f>
        <v>0</v>
      </c>
      <c r="G362" s="690">
        <f>'[38]TGSPDCL MoD'!AL8</f>
        <v>4.6543356539264</v>
      </c>
      <c r="H362" s="690">
        <f>'[38]TGSPDCL MoD'!AM8</f>
        <v>7.41801179645556</v>
      </c>
      <c r="I362" s="690">
        <f>'[38]TGSPDCL MoD'!AN8</f>
        <v>7.17346195701196</v>
      </c>
      <c r="J362" s="690">
        <f>'[38]TGSPDCL MoD'!AO8</f>
        <v>6.94205995839867</v>
      </c>
      <c r="K362" s="690">
        <f>'[38]TGSPDCL MoD'!AP8</f>
        <v>7.17346195701196</v>
      </c>
      <c r="L362" s="690">
        <f>'[38]TGSPDCL MoD'!AQ8</f>
        <v>7.4153822282895</v>
      </c>
      <c r="M362" s="690">
        <f>'[38]TGSPDCL MoD'!AR8</f>
        <v>7.66256163589915</v>
      </c>
      <c r="N362" s="690">
        <f>'[38]TGSPDCL MoD'!AS8</f>
        <v>7.41801179645556</v>
      </c>
      <c r="O362" s="690">
        <f>'[38]TGSPDCL MoD'!AT8</f>
        <v>8.24632576876452</v>
      </c>
      <c r="P362" s="690">
        <f>'[38]TGSPDCL MoD'!AU8</f>
        <v>9.8635101908915</v>
      </c>
      <c r="Q362" s="690">
        <f t="shared" si="165"/>
        <v>81.1458440364489</v>
      </c>
    </row>
    <row r="363" spans="2:17">
      <c r="B363" s="656"/>
      <c r="C363" s="678"/>
      <c r="D363" s="47" t="s">
        <v>356</v>
      </c>
      <c r="E363" s="690">
        <f>'[38]TGSPDCL MoD'!AJ9</f>
        <v>61.9586717435999</v>
      </c>
      <c r="F363" s="690">
        <f>'[38]TGSPDCL MoD'!AK9</f>
        <v>64.4792539983437</v>
      </c>
      <c r="G363" s="690">
        <f>'[38]TGSPDCL MoD'!AL9</f>
        <v>62.8770897076554</v>
      </c>
      <c r="H363" s="690">
        <f>'[38]TGSPDCL MoD'!AM9</f>
        <v>59.4586995409219</v>
      </c>
      <c r="I363" s="690">
        <f>'[38]TGSPDCL MoD'!AN9</f>
        <v>45.3934602462103</v>
      </c>
      <c r="J363" s="690">
        <f>'[38]TGSPDCL MoD'!AO9</f>
        <v>48.6347314313882</v>
      </c>
      <c r="K363" s="690">
        <f>'[38]TGSPDCL MoD'!AP9</f>
        <v>0</v>
      </c>
      <c r="L363" s="690">
        <f>'[38]TGSPDCL MoD'!AQ9</f>
        <v>32.1357064940207</v>
      </c>
      <c r="M363" s="690">
        <f>'[38]TGSPDCL MoD'!AR9</f>
        <v>57.4765960072817</v>
      </c>
      <c r="N363" s="690">
        <f>'[38]TGSPDCL MoD'!AS9</f>
        <v>56.0128579376724</v>
      </c>
      <c r="O363" s="690">
        <f>'[38]TGSPDCL MoD'!AT9</f>
        <v>56.0225767719644</v>
      </c>
      <c r="P363" s="690">
        <f>'[38]TGSPDCL MoD'!AU9</f>
        <v>68.6444595613841</v>
      </c>
      <c r="Q363" s="690">
        <f t="shared" si="165"/>
        <v>613.094103440443</v>
      </c>
    </row>
    <row r="364" spans="2:17">
      <c r="B364" s="656"/>
      <c r="C364" s="678"/>
      <c r="D364" s="47" t="s">
        <v>357</v>
      </c>
      <c r="E364" s="690">
        <f>'[38]TGSPDCL MoD'!AJ10</f>
        <v>73.4020903694024</v>
      </c>
      <c r="F364" s="690">
        <f>'[38]TGSPDCL MoD'!AK10</f>
        <v>75.1890345916493</v>
      </c>
      <c r="G364" s="690">
        <f>'[38]TGSPDCL MoD'!AL10</f>
        <v>73.4020903694024</v>
      </c>
      <c r="H364" s="690">
        <f>'[38]TGSPDCL MoD'!AM10</f>
        <v>75.4039755503976</v>
      </c>
      <c r="I364" s="690">
        <f>'[38]TGSPDCL MoD'!AN10</f>
        <v>60.4503343750587</v>
      </c>
      <c r="J364" s="690">
        <f>'[38]TGSPDCL MoD'!AO10</f>
        <v>65.2110497776787</v>
      </c>
      <c r="K364" s="690">
        <f>'[38]TGSPDCL MoD'!AP10</f>
        <v>56.6195467027831</v>
      </c>
      <c r="L364" s="690">
        <f>'[38]TGSPDCL MoD'!AQ10</f>
        <v>0</v>
      </c>
      <c r="M364" s="690">
        <f>'[38]TGSPDCL MoD'!AR10</f>
        <v>36.3219733565024</v>
      </c>
      <c r="N364" s="690">
        <f>'[38]TGSPDCL MoD'!AS10</f>
        <v>64.631746707894</v>
      </c>
      <c r="O364" s="690">
        <f>'[38]TGSPDCL MoD'!AT10</f>
        <v>65.6138873536818</v>
      </c>
      <c r="P364" s="690">
        <f>'[38]TGSPDCL MoD'!AU10</f>
        <v>85.4634667211821</v>
      </c>
      <c r="Q364" s="690">
        <f t="shared" si="165"/>
        <v>731.709195875633</v>
      </c>
    </row>
    <row r="365" spans="2:17">
      <c r="B365" s="656"/>
      <c r="C365" s="678"/>
      <c r="D365" s="47" t="s">
        <v>358</v>
      </c>
      <c r="E365" s="690">
        <f>SUM('[38]TGSPDCL MoD'!AJ11:AJ14)</f>
        <v>138.440387016162</v>
      </c>
      <c r="F365" s="690">
        <f>SUM('[38]TGSPDCL MoD'!AK11:AK14)</f>
        <v>69.7603261394878</v>
      </c>
      <c r="G365" s="690">
        <f>SUM('[38]TGSPDCL MoD'!AL11:AL14)</f>
        <v>103.733358176118</v>
      </c>
      <c r="H365" s="690">
        <f>SUM('[38]TGSPDCL MoD'!AM11:AM14)</f>
        <v>134.840725133914</v>
      </c>
      <c r="I365" s="690">
        <f>SUM('[38]TGSPDCL MoD'!AN11:AN14)</f>
        <v>91.1219607919712</v>
      </c>
      <c r="J365" s="690">
        <f>SUM('[38]TGSPDCL MoD'!AO11:AO14)</f>
        <v>83.2333227382919</v>
      </c>
      <c r="K365" s="690">
        <f>SUM('[38]TGSPDCL MoD'!AP11:AP14)</f>
        <v>103.429301306405</v>
      </c>
      <c r="L365" s="690">
        <f>SUM('[38]TGSPDCL MoD'!AQ11:AQ14)</f>
        <v>104.575352460208</v>
      </c>
      <c r="M365" s="690">
        <f>SUM('[38]TGSPDCL MoD'!AR11:AR14)</f>
        <v>117.694048644581</v>
      </c>
      <c r="N365" s="690">
        <f>SUM('[38]TGSPDCL MoD'!AS11:AS14)</f>
        <v>122.773754954066</v>
      </c>
      <c r="O365" s="690">
        <f>SUM('[38]TGSPDCL MoD'!AT11:AT14)</f>
        <v>123.21772949623</v>
      </c>
      <c r="P365" s="690">
        <f>SUM('[38]TGSPDCL MoD'!AU11:AU14)</f>
        <v>152.854574447177</v>
      </c>
      <c r="Q365" s="690">
        <f t="shared" si="165"/>
        <v>1345.67484130461</v>
      </c>
    </row>
    <row r="366" spans="2:17">
      <c r="B366" s="656"/>
      <c r="C366" s="678"/>
      <c r="D366" s="47" t="s">
        <v>359</v>
      </c>
      <c r="E366" s="690">
        <f>SUM('[38]TGSPDCL MoD'!AJ15:AJ19)+SUM('[38]TGSPDCL MoD'!$AW$15:$AW$19)/12</f>
        <v>408.326719928687</v>
      </c>
      <c r="F366" s="690">
        <f>SUM('[38]TGSPDCL MoD'!AK15:AK19)+SUM('[38]TGSPDCL MoD'!$AW$15:$AW$19)/12</f>
        <v>245.271327662761</v>
      </c>
      <c r="G366" s="690">
        <f>SUM('[38]TGSPDCL MoD'!AL15:AL19)+SUM('[38]TGSPDCL MoD'!$AW$15:$AW$19)/12</f>
        <v>238.951466074645</v>
      </c>
      <c r="H366" s="690">
        <f>SUM('[38]TGSPDCL MoD'!AM15:AM19)+SUM('[38]TGSPDCL MoD'!$AW$15:$AW$19)/12</f>
        <v>259.582015722625</v>
      </c>
      <c r="I366" s="690">
        <f>SUM('[38]TGSPDCL MoD'!AN15:AN19)+SUM('[38]TGSPDCL MoD'!$AW$15:$AW$19)/12</f>
        <v>350.393700173556</v>
      </c>
      <c r="J366" s="690">
        <f>SUM('[38]TGSPDCL MoD'!AO15:AO19)+SUM('[38]TGSPDCL MoD'!$AW$15:$AW$19)/12</f>
        <v>402.581346243405</v>
      </c>
      <c r="K366" s="690">
        <f>SUM('[38]TGSPDCL MoD'!AP15:AP19)+SUM('[38]TGSPDCL MoD'!$AW$15:$AW$19)/12</f>
        <v>339.359626002417</v>
      </c>
      <c r="L366" s="690">
        <f>SUM('[38]TGSPDCL MoD'!AQ15:AQ19)+SUM('[38]TGSPDCL MoD'!$AW$15:$AW$19)/12</f>
        <v>320.044382059344</v>
      </c>
      <c r="M366" s="690">
        <f>SUM('[38]TGSPDCL MoD'!AR15:AR19)+SUM('[38]TGSPDCL MoD'!$AW$15:$AW$19)/12</f>
        <v>367.107251336401</v>
      </c>
      <c r="N366" s="690">
        <f>SUM('[38]TGSPDCL MoD'!AS15:AS19)+SUM('[38]TGSPDCL MoD'!$AW$15:$AW$19)/12</f>
        <v>401.799410374384</v>
      </c>
      <c r="O366" s="690">
        <f>SUM('[38]TGSPDCL MoD'!AT15:AT19)+SUM('[38]TGSPDCL MoD'!$AW$15:$AW$19)/12</f>
        <v>393.694083185841</v>
      </c>
      <c r="P366" s="690">
        <f>SUM('[38]TGSPDCL MoD'!AU15:AU19)+SUM('[38]TGSPDCL MoD'!$AW$15:$AW$19)/12</f>
        <v>457.6895125517</v>
      </c>
      <c r="Q366" s="690">
        <f t="shared" si="165"/>
        <v>4184.80084131577</v>
      </c>
    </row>
    <row r="367" spans="2:17">
      <c r="B367" s="656"/>
      <c r="C367" s="678"/>
      <c r="D367" s="679" t="s">
        <v>492</v>
      </c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>
        <f t="shared" si="165"/>
        <v>0</v>
      </c>
    </row>
    <row r="368" spans="2:17">
      <c r="B368" s="656"/>
      <c r="C368" s="678"/>
      <c r="D368" s="47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>
        <f t="shared" si="165"/>
        <v>0</v>
      </c>
    </row>
    <row r="369" spans="2:17">
      <c r="B369" s="656"/>
      <c r="C369" s="678"/>
      <c r="D369" s="47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>
        <f t="shared" si="165"/>
        <v>0</v>
      </c>
    </row>
    <row r="370" spans="2:17">
      <c r="B370" s="656"/>
      <c r="C370" s="678"/>
      <c r="D370" s="47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>
        <f t="shared" si="165"/>
        <v>0</v>
      </c>
    </row>
    <row r="371" spans="2:17">
      <c r="B371" s="656"/>
      <c r="C371" s="678"/>
      <c r="D371" s="47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>
        <f t="shared" si="165"/>
        <v>0</v>
      </c>
    </row>
    <row r="372" spans="2:17">
      <c r="B372" s="656"/>
      <c r="C372" s="678"/>
      <c r="D372" s="47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>
        <f t="shared" si="165"/>
        <v>0</v>
      </c>
    </row>
    <row r="373" spans="2:17">
      <c r="B373" s="656"/>
      <c r="C373" s="678"/>
      <c r="D373" s="47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>
        <f t="shared" si="165"/>
        <v>0</v>
      </c>
    </row>
    <row r="374" spans="2:17">
      <c r="B374" s="656"/>
      <c r="C374" s="678"/>
      <c r="D374" s="47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>
        <f t="shared" si="165"/>
        <v>0</v>
      </c>
    </row>
    <row r="375" spans="2:17">
      <c r="B375" s="656"/>
      <c r="C375" s="678"/>
      <c r="D375" s="47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>
        <f t="shared" si="165"/>
        <v>0</v>
      </c>
    </row>
    <row r="376" spans="2:17">
      <c r="B376" s="656"/>
      <c r="C376" s="680"/>
      <c r="D376" s="47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>
        <f t="shared" si="165"/>
        <v>0</v>
      </c>
    </row>
    <row r="377" ht="15" spans="3:18">
      <c r="C377" s="537" t="s">
        <v>211</v>
      </c>
      <c r="D377" s="540"/>
      <c r="E377" s="690">
        <f t="shared" ref="E377:P377" si="166">SUM(E359:E376)</f>
        <v>891.723117602047</v>
      </c>
      <c r="F377" s="690">
        <f t="shared" si="166"/>
        <v>531.390997206328</v>
      </c>
      <c r="G377" s="690">
        <f t="shared" si="166"/>
        <v>639.149596771557</v>
      </c>
      <c r="H377" s="690">
        <f t="shared" si="166"/>
        <v>670.133706010148</v>
      </c>
      <c r="I377" s="690">
        <f t="shared" si="166"/>
        <v>698.533597452963</v>
      </c>
      <c r="J377" s="690">
        <f t="shared" si="166"/>
        <v>782.126619637947</v>
      </c>
      <c r="K377" s="690">
        <f t="shared" si="166"/>
        <v>676.451496558935</v>
      </c>
      <c r="L377" s="690">
        <f t="shared" si="166"/>
        <v>675.042277207401</v>
      </c>
      <c r="M377" s="690">
        <f t="shared" si="166"/>
        <v>778.648178029302</v>
      </c>
      <c r="N377" s="690">
        <f t="shared" si="166"/>
        <v>844.633997518759</v>
      </c>
      <c r="O377" s="690">
        <f t="shared" si="166"/>
        <v>852.798723641619</v>
      </c>
      <c r="P377" s="690">
        <f t="shared" si="166"/>
        <v>1018.62485868146</v>
      </c>
      <c r="Q377" s="693">
        <f t="shared" si="165"/>
        <v>9059.25716631847</v>
      </c>
      <c r="R377" s="686"/>
    </row>
    <row r="378" ht="15" spans="3:17">
      <c r="C378" s="44" t="s">
        <v>360</v>
      </c>
      <c r="D378" s="4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</row>
    <row r="379" spans="3:17">
      <c r="C379" s="682" t="s">
        <v>351</v>
      </c>
      <c r="D379" s="55" t="s">
        <v>361</v>
      </c>
      <c r="E379" s="55">
        <v>0</v>
      </c>
      <c r="F379" s="55">
        <v>0</v>
      </c>
      <c r="G379" s="55">
        <v>0</v>
      </c>
      <c r="H379" s="55">
        <v>0</v>
      </c>
      <c r="I379" s="55">
        <v>0</v>
      </c>
      <c r="J379" s="55">
        <v>0</v>
      </c>
      <c r="K379" s="55">
        <v>0</v>
      </c>
      <c r="L379" s="55">
        <v>0</v>
      </c>
      <c r="M379" s="55">
        <v>0</v>
      </c>
      <c r="N379" s="55">
        <v>0</v>
      </c>
      <c r="O379" s="55">
        <v>0</v>
      </c>
      <c r="P379" s="55">
        <v>0</v>
      </c>
      <c r="Q379" s="55">
        <f t="shared" ref="Q379:Q397" si="167">SUM(E379:P379)</f>
        <v>0</v>
      </c>
    </row>
    <row r="380" spans="3:17">
      <c r="C380" s="683"/>
      <c r="D380" s="55" t="s">
        <v>362</v>
      </c>
      <c r="E380" s="55">
        <v>0</v>
      </c>
      <c r="F380" s="55">
        <v>0</v>
      </c>
      <c r="G380" s="55">
        <v>0</v>
      </c>
      <c r="H380" s="55">
        <v>0</v>
      </c>
      <c r="I380" s="55">
        <v>0</v>
      </c>
      <c r="J380" s="55">
        <v>0</v>
      </c>
      <c r="K380" s="55">
        <v>0</v>
      </c>
      <c r="L380" s="55">
        <v>0</v>
      </c>
      <c r="M380" s="55">
        <v>0</v>
      </c>
      <c r="N380" s="55">
        <v>0</v>
      </c>
      <c r="O380" s="55">
        <v>0</v>
      </c>
      <c r="P380" s="55">
        <v>0</v>
      </c>
      <c r="Q380" s="55">
        <f t="shared" si="167"/>
        <v>0</v>
      </c>
    </row>
    <row r="381" spans="3:17">
      <c r="C381" s="683"/>
      <c r="D381" s="55" t="s">
        <v>363</v>
      </c>
      <c r="E381" s="55">
        <v>0</v>
      </c>
      <c r="F381" s="55">
        <v>0</v>
      </c>
      <c r="G381" s="55">
        <v>0</v>
      </c>
      <c r="H381" s="55">
        <v>0</v>
      </c>
      <c r="I381" s="55">
        <v>0</v>
      </c>
      <c r="J381" s="55">
        <v>0</v>
      </c>
      <c r="K381" s="55">
        <v>0</v>
      </c>
      <c r="L381" s="55">
        <v>0</v>
      </c>
      <c r="M381" s="55">
        <v>0</v>
      </c>
      <c r="N381" s="55">
        <v>0</v>
      </c>
      <c r="O381" s="55">
        <v>0</v>
      </c>
      <c r="P381" s="55">
        <v>0</v>
      </c>
      <c r="Q381" s="55">
        <f t="shared" si="167"/>
        <v>0</v>
      </c>
    </row>
    <row r="382" spans="3:17">
      <c r="C382" s="683"/>
      <c r="D382" s="55" t="s">
        <v>364</v>
      </c>
      <c r="E382" s="55">
        <v>0</v>
      </c>
      <c r="F382" s="55">
        <v>0</v>
      </c>
      <c r="G382" s="55">
        <v>0</v>
      </c>
      <c r="H382" s="55">
        <v>0</v>
      </c>
      <c r="I382" s="55">
        <v>0</v>
      </c>
      <c r="J382" s="55">
        <v>0</v>
      </c>
      <c r="K382" s="55">
        <v>0</v>
      </c>
      <c r="L382" s="55">
        <v>0</v>
      </c>
      <c r="M382" s="55">
        <v>0</v>
      </c>
      <c r="N382" s="55">
        <v>0</v>
      </c>
      <c r="O382" s="55">
        <v>0</v>
      </c>
      <c r="P382" s="55">
        <v>0</v>
      </c>
      <c r="Q382" s="55">
        <f t="shared" si="167"/>
        <v>0</v>
      </c>
    </row>
    <row r="383" spans="3:17">
      <c r="C383" s="683"/>
      <c r="D383" s="55" t="s">
        <v>365</v>
      </c>
      <c r="E383" s="55">
        <v>0</v>
      </c>
      <c r="F383" s="55">
        <v>0</v>
      </c>
      <c r="G383" s="55">
        <v>0</v>
      </c>
      <c r="H383" s="55">
        <v>0</v>
      </c>
      <c r="I383" s="55">
        <v>0</v>
      </c>
      <c r="J383" s="55">
        <v>0</v>
      </c>
      <c r="K383" s="55">
        <v>0</v>
      </c>
      <c r="L383" s="55">
        <v>0</v>
      </c>
      <c r="M383" s="55">
        <v>0</v>
      </c>
      <c r="N383" s="55">
        <v>0</v>
      </c>
      <c r="O383" s="55">
        <v>0</v>
      </c>
      <c r="P383" s="55">
        <v>0</v>
      </c>
      <c r="Q383" s="55">
        <f t="shared" si="167"/>
        <v>0</v>
      </c>
    </row>
    <row r="384" spans="3:17">
      <c r="C384" s="683"/>
      <c r="D384" s="55" t="s">
        <v>366</v>
      </c>
      <c r="E384" s="55">
        <v>0</v>
      </c>
      <c r="F384" s="55">
        <v>0</v>
      </c>
      <c r="G384" s="55">
        <v>0</v>
      </c>
      <c r="H384" s="55">
        <v>0</v>
      </c>
      <c r="I384" s="55">
        <v>0</v>
      </c>
      <c r="J384" s="55">
        <v>0</v>
      </c>
      <c r="K384" s="55">
        <v>0</v>
      </c>
      <c r="L384" s="55">
        <v>0</v>
      </c>
      <c r="M384" s="55">
        <v>0</v>
      </c>
      <c r="N384" s="55">
        <v>0</v>
      </c>
      <c r="O384" s="55">
        <v>0</v>
      </c>
      <c r="P384" s="55">
        <v>0</v>
      </c>
      <c r="Q384" s="55">
        <f t="shared" si="167"/>
        <v>0</v>
      </c>
    </row>
    <row r="385" spans="3:17">
      <c r="C385" s="683"/>
      <c r="D385" s="55" t="s">
        <v>367</v>
      </c>
      <c r="E385" s="55">
        <v>0</v>
      </c>
      <c r="F385" s="55">
        <v>0</v>
      </c>
      <c r="G385" s="55">
        <v>0</v>
      </c>
      <c r="H385" s="55">
        <v>0</v>
      </c>
      <c r="I385" s="55">
        <v>0</v>
      </c>
      <c r="J385" s="55">
        <v>0</v>
      </c>
      <c r="K385" s="55">
        <v>0</v>
      </c>
      <c r="L385" s="55">
        <v>0</v>
      </c>
      <c r="M385" s="55">
        <v>0</v>
      </c>
      <c r="N385" s="55">
        <v>0</v>
      </c>
      <c r="O385" s="55">
        <v>0</v>
      </c>
      <c r="P385" s="55">
        <v>0</v>
      </c>
      <c r="Q385" s="55">
        <f t="shared" si="167"/>
        <v>0</v>
      </c>
    </row>
    <row r="386" spans="3:17">
      <c r="C386" s="683"/>
      <c r="D386" s="55" t="s">
        <v>368</v>
      </c>
      <c r="E386" s="55">
        <v>0</v>
      </c>
      <c r="F386" s="55">
        <v>0</v>
      </c>
      <c r="G386" s="55">
        <v>0</v>
      </c>
      <c r="H386" s="55">
        <v>0</v>
      </c>
      <c r="I386" s="55">
        <v>0</v>
      </c>
      <c r="J386" s="55">
        <v>0</v>
      </c>
      <c r="K386" s="55">
        <v>0</v>
      </c>
      <c r="L386" s="55">
        <v>0</v>
      </c>
      <c r="M386" s="55">
        <v>0</v>
      </c>
      <c r="N386" s="55">
        <v>0</v>
      </c>
      <c r="O386" s="55">
        <v>0</v>
      </c>
      <c r="P386" s="55">
        <v>0</v>
      </c>
      <c r="Q386" s="55">
        <f t="shared" si="167"/>
        <v>0</v>
      </c>
    </row>
    <row r="387" spans="3:17">
      <c r="C387" s="683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>
        <f t="shared" si="167"/>
        <v>0</v>
      </c>
    </row>
    <row r="388" spans="3:17">
      <c r="C388" s="683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>
        <f t="shared" si="167"/>
        <v>0</v>
      </c>
    </row>
    <row r="389" spans="3:17">
      <c r="C389" s="683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>
        <f t="shared" si="167"/>
        <v>0</v>
      </c>
    </row>
    <row r="390" spans="3:17">
      <c r="C390" s="683"/>
      <c r="D390" s="679" t="s">
        <v>493</v>
      </c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>
        <f t="shared" si="167"/>
        <v>0</v>
      </c>
    </row>
    <row r="391" spans="3:17">
      <c r="C391" s="683"/>
      <c r="D391" s="679" t="s">
        <v>494</v>
      </c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>
        <f t="shared" si="167"/>
        <v>0</v>
      </c>
    </row>
    <row r="392" spans="3:17">
      <c r="C392" s="683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>
        <f t="shared" si="167"/>
        <v>0</v>
      </c>
    </row>
    <row r="393" spans="3:17">
      <c r="C393" s="683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>
        <f t="shared" si="167"/>
        <v>0</v>
      </c>
    </row>
    <row r="394" spans="3:17">
      <c r="C394" s="683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>
        <f t="shared" si="167"/>
        <v>0</v>
      </c>
    </row>
    <row r="395" spans="3:17">
      <c r="C395" s="683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>
        <f t="shared" si="167"/>
        <v>0</v>
      </c>
    </row>
    <row r="396" spans="3:17">
      <c r="C396" s="684"/>
      <c r="D396" s="67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>
        <f t="shared" si="167"/>
        <v>0</v>
      </c>
    </row>
    <row r="397" ht="15" spans="3:17">
      <c r="C397" s="537" t="s">
        <v>211</v>
      </c>
      <c r="D397" s="540"/>
      <c r="E397" s="55">
        <f t="shared" ref="E397:P397" si="168">SUM(E379:E396)</f>
        <v>0</v>
      </c>
      <c r="F397" s="55">
        <f t="shared" si="168"/>
        <v>0</v>
      </c>
      <c r="G397" s="55">
        <f t="shared" si="168"/>
        <v>0</v>
      </c>
      <c r="H397" s="55">
        <f t="shared" si="168"/>
        <v>0</v>
      </c>
      <c r="I397" s="55">
        <f t="shared" si="168"/>
        <v>0</v>
      </c>
      <c r="J397" s="55">
        <f t="shared" si="168"/>
        <v>0</v>
      </c>
      <c r="K397" s="55">
        <f t="shared" si="168"/>
        <v>0</v>
      </c>
      <c r="L397" s="55">
        <f t="shared" si="168"/>
        <v>0</v>
      </c>
      <c r="M397" s="55">
        <f t="shared" si="168"/>
        <v>0</v>
      </c>
      <c r="N397" s="55">
        <f t="shared" si="168"/>
        <v>0</v>
      </c>
      <c r="O397" s="55">
        <f t="shared" si="168"/>
        <v>0</v>
      </c>
      <c r="P397" s="55">
        <f t="shared" si="168"/>
        <v>0</v>
      </c>
      <c r="Q397" s="316">
        <f t="shared" si="167"/>
        <v>0</v>
      </c>
    </row>
    <row r="398" ht="15" spans="3:18">
      <c r="C398" s="44" t="s">
        <v>369</v>
      </c>
      <c r="D398" s="45"/>
      <c r="E398" s="55">
        <f t="shared" ref="E398:Q398" si="169">E377+E397</f>
        <v>891.723117602047</v>
      </c>
      <c r="F398" s="55">
        <f t="shared" si="169"/>
        <v>531.390997206328</v>
      </c>
      <c r="G398" s="55">
        <f t="shared" si="169"/>
        <v>639.149596771557</v>
      </c>
      <c r="H398" s="55">
        <f t="shared" si="169"/>
        <v>670.133706010148</v>
      </c>
      <c r="I398" s="55">
        <f t="shared" si="169"/>
        <v>698.533597452963</v>
      </c>
      <c r="J398" s="55">
        <f t="shared" si="169"/>
        <v>782.126619637947</v>
      </c>
      <c r="K398" s="55">
        <f t="shared" si="169"/>
        <v>676.451496558935</v>
      </c>
      <c r="L398" s="55">
        <f t="shared" si="169"/>
        <v>675.042277207401</v>
      </c>
      <c r="M398" s="55">
        <f t="shared" si="169"/>
        <v>778.648178029302</v>
      </c>
      <c r="N398" s="55">
        <f t="shared" si="169"/>
        <v>844.633997518759</v>
      </c>
      <c r="O398" s="55">
        <f t="shared" si="169"/>
        <v>852.798723641619</v>
      </c>
      <c r="P398" s="55">
        <f t="shared" si="169"/>
        <v>1018.62485868146</v>
      </c>
      <c r="Q398" s="316">
        <f t="shared" si="169"/>
        <v>9059.25716631847</v>
      </c>
      <c r="R398" s="686"/>
    </row>
    <row r="399" ht="15" spans="3:17">
      <c r="C399" s="663" t="s">
        <v>370</v>
      </c>
      <c r="D399" s="676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</row>
    <row r="400" ht="15" spans="3:17">
      <c r="C400" s="44" t="s">
        <v>350</v>
      </c>
      <c r="D400" s="4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</row>
    <row r="401" spans="3:17">
      <c r="C401" s="694" t="s">
        <v>371</v>
      </c>
      <c r="D401" s="55" t="s">
        <v>372</v>
      </c>
      <c r="E401" s="147">
        <f>SUM('[38]TGSPDCL MoD'!AJ25:AJ30)+'[38]TGSPDCL MoD'!$AW$25/12</f>
        <v>36.4170299893201</v>
      </c>
      <c r="F401" s="147">
        <f>SUM('[38]TGSPDCL MoD'!AK25:AK30)+'[38]TGSPDCL MoD'!$AW$25/12</f>
        <v>48.9806076393958</v>
      </c>
      <c r="G401" s="147">
        <f>SUM('[38]TGSPDCL MoD'!AL25:AL30)+'[38]TGSPDCL MoD'!$AW$25/12</f>
        <v>48.1211951967218</v>
      </c>
      <c r="H401" s="147">
        <f>SUM('[38]TGSPDCL MoD'!AM25:AM30)+'[38]TGSPDCL MoD'!$AW$25/12</f>
        <v>35.6578112346501</v>
      </c>
      <c r="I401" s="147">
        <f>SUM('[38]TGSPDCL MoD'!AN25:AN30)+'[38]TGSPDCL MoD'!$AW$25/12</f>
        <v>33.403963224271</v>
      </c>
      <c r="J401" s="147">
        <f>SUM('[38]TGSPDCL MoD'!AO25:AO30)+'[38]TGSPDCL MoD'!$AW$25/12</f>
        <v>33.5746096761535</v>
      </c>
      <c r="K401" s="147">
        <f>SUM('[38]TGSPDCL MoD'!AP25:AP30)+'[38]TGSPDCL MoD'!$AW$25/12</f>
        <v>33.403963224271</v>
      </c>
      <c r="L401" s="147">
        <f>SUM('[38]TGSPDCL MoD'!AQ25:AQ30)+'[38]TGSPDCL MoD'!$AW$25/12</f>
        <v>37.9708029571652</v>
      </c>
      <c r="M401" s="147">
        <f>SUM('[38]TGSPDCL MoD'!AR25:AR30)+'[38]TGSPDCL MoD'!$AW$25/12</f>
        <v>27.2859734988938</v>
      </c>
      <c r="N401" s="147">
        <f>SUM('[38]TGSPDCL MoD'!AS25:AS30)+'[38]TGSPDCL MoD'!$AW$25/12</f>
        <v>28.2854721252473</v>
      </c>
      <c r="O401" s="147">
        <f>SUM('[38]TGSPDCL MoD'!AT25:AT30)+'[38]TGSPDCL MoD'!$AW$25/12</f>
        <v>38.4603584236881</v>
      </c>
      <c r="P401" s="147">
        <f>SUM('[38]TGSPDCL MoD'!AU25:AU30)+'[38]TGSPDCL MoD'!$AW$25/12</f>
        <v>46.0608843449312</v>
      </c>
      <c r="Q401" s="147">
        <f t="shared" ref="Q401:Q428" si="170">SUM(E401:P401)</f>
        <v>447.622671534709</v>
      </c>
    </row>
    <row r="402" spans="3:17">
      <c r="C402" s="695"/>
      <c r="D402" s="55" t="s">
        <v>373</v>
      </c>
      <c r="E402" s="147">
        <f>'[38]TGSPDCL MoD'!AJ31</f>
        <v>9.81899789794013</v>
      </c>
      <c r="F402" s="147">
        <f>'[38]TGSPDCL MoD'!AK31</f>
        <v>12.3205045052725</v>
      </c>
      <c r="G402" s="147">
        <f>'[38]TGSPDCL MoD'!AL31</f>
        <v>11.9230688760701</v>
      </c>
      <c r="H402" s="147">
        <f>'[38]TGSPDCL MoD'!AM31</f>
        <v>0</v>
      </c>
      <c r="I402" s="147">
        <f>'[38]TGSPDCL MoD'!AN31</f>
        <v>3.9860455752352</v>
      </c>
      <c r="J402" s="147">
        <f>'[38]TGSPDCL MoD'!AO31</f>
        <v>7.97793579207633</v>
      </c>
      <c r="K402" s="147">
        <f>'[38]TGSPDCL MoD'!AP31</f>
        <v>7.97209115047041</v>
      </c>
      <c r="L402" s="147">
        <f>'[38]TGSPDCL MoD'!AQ31</f>
        <v>9.29298015340759</v>
      </c>
      <c r="M402" s="147">
        <f>'[38]TGSPDCL MoD'!AR31</f>
        <v>8.51564281982067</v>
      </c>
      <c r="N402" s="147">
        <f>'[38]TGSPDCL MoD'!AS31</f>
        <v>8.78741865449581</v>
      </c>
      <c r="O402" s="147">
        <f>'[38]TGSPDCL MoD'!AT31</f>
        <v>9.65534793297446</v>
      </c>
      <c r="P402" s="147">
        <f>'[38]TGSPDCL MoD'!AU31</f>
        <v>11.233401166572</v>
      </c>
      <c r="Q402" s="147">
        <f t="shared" si="170"/>
        <v>101.483434524335</v>
      </c>
    </row>
    <row r="403" spans="3:17">
      <c r="C403" s="695"/>
      <c r="D403" s="55" t="s">
        <v>374</v>
      </c>
      <c r="E403" s="147">
        <f>SUM('[38]TGSPDCL MoD'!AJ42:AJ45)</f>
        <v>15.9934060411879</v>
      </c>
      <c r="F403" s="147">
        <f>SUM('[38]TGSPDCL MoD'!AK42:AK45)</f>
        <v>15.0965371721806</v>
      </c>
      <c r="G403" s="147">
        <f>SUM('[38]TGSPDCL MoD'!AL42:AL45)</f>
        <v>14.9118186973263</v>
      </c>
      <c r="H403" s="147">
        <f>SUM('[38]TGSPDCL MoD'!AM42:AM45)</f>
        <v>16.6582479141303</v>
      </c>
      <c r="I403" s="147">
        <f>SUM('[38]TGSPDCL MoD'!AN42:AN45)</f>
        <v>13.5198478295125</v>
      </c>
      <c r="J403" s="147">
        <f>SUM('[38]TGSPDCL MoD'!AO42:AO45)</f>
        <v>16.1208850781906</v>
      </c>
      <c r="K403" s="147">
        <f>SUM('[38]TGSPDCL MoD'!AP42:AP45)</f>
        <v>14.1609675873074</v>
      </c>
      <c r="L403" s="147">
        <f>SUM('[38]TGSPDCL MoD'!AQ42:AQ45)</f>
        <v>11.1838640229947</v>
      </c>
      <c r="M403" s="147">
        <f>SUM('[38]TGSPDCL MoD'!AR42:AR45)</f>
        <v>9.82576341810028</v>
      </c>
      <c r="N403" s="147">
        <f>SUM('[38]TGSPDCL MoD'!AS42:AS45)</f>
        <v>13.7560687853404</v>
      </c>
      <c r="O403" s="147">
        <f>SUM('[38]TGSPDCL MoD'!AT42:AT45)</f>
        <v>15.0461594063112</v>
      </c>
      <c r="P403" s="147">
        <f>SUM('[38]TGSPDCL MoD'!AU42:AU45)</f>
        <v>16.6582479141303</v>
      </c>
      <c r="Q403" s="147">
        <f t="shared" si="170"/>
        <v>172.931813866712</v>
      </c>
    </row>
    <row r="404" spans="3:17">
      <c r="C404" s="695"/>
      <c r="D404" s="55" t="s">
        <v>375</v>
      </c>
      <c r="E404" s="147">
        <f>'[38]TGSPDCL MoD'!AJ40</f>
        <v>53.395328148494</v>
      </c>
      <c r="F404" s="147">
        <f>'[38]TGSPDCL MoD'!AK40</f>
        <v>79.4907005843415</v>
      </c>
      <c r="G404" s="147">
        <f>'[38]TGSPDCL MoD'!AL40</f>
        <v>70.3577097634545</v>
      </c>
      <c r="H404" s="147">
        <f>'[38]TGSPDCL MoD'!AM40</f>
        <v>51.9666219365557</v>
      </c>
      <c r="I404" s="147">
        <f>'[38]TGSPDCL MoD'!AN40</f>
        <v>48.9185573749861</v>
      </c>
      <c r="J404" s="147">
        <f>'[38]TGSPDCL MoD'!AO40</f>
        <v>47.3405393951478</v>
      </c>
      <c r="K404" s="147">
        <f>'[38]TGSPDCL MoD'!AP40</f>
        <v>48.9185573749861</v>
      </c>
      <c r="L404" s="147">
        <f>'[38]TGSPDCL MoD'!AQ40</f>
        <v>0</v>
      </c>
      <c r="M404" s="147">
        <f>'[38]TGSPDCL MoD'!AR40</f>
        <v>26.4975519114508</v>
      </c>
      <c r="N404" s="147">
        <f>'[38]TGSPDCL MoD'!AS40</f>
        <v>51.9803741955905</v>
      </c>
      <c r="O404" s="147">
        <f>'[38]TGSPDCL MoD'!AT40</f>
        <v>62.594713200251</v>
      </c>
      <c r="P404" s="147">
        <f>'[38]TGSPDCL MoD'!AU40</f>
        <v>71.3395628385213</v>
      </c>
      <c r="Q404" s="147">
        <f t="shared" si="170"/>
        <v>612.800216723779</v>
      </c>
    </row>
    <row r="405" spans="3:17">
      <c r="C405" s="695"/>
      <c r="D405" s="55" t="s">
        <v>376</v>
      </c>
      <c r="E405" s="147">
        <f>'[38]TGSPDCL MoD'!AJ41+'[38]TGSPDCL MoD'!$AW$41/12</f>
        <v>28.9939469237568</v>
      </c>
      <c r="F405" s="147">
        <f>'[38]TGSPDCL MoD'!AK41+'[38]TGSPDCL MoD'!$AW$41/12</f>
        <v>38.3585423288653</v>
      </c>
      <c r="G405" s="147">
        <f>'[38]TGSPDCL MoD'!AL41+'[38]TGSPDCL MoD'!$AW$41/12</f>
        <v>0.450224526587392</v>
      </c>
      <c r="H405" s="147">
        <f>'[38]TGSPDCL MoD'!AM41+'[38]TGSPDCL MoD'!$AW$41/12</f>
        <v>12.8191708986941</v>
      </c>
      <c r="I405" s="147">
        <f>'[38]TGSPDCL MoD'!AN41+'[38]TGSPDCL MoD'!$AW$41/12</f>
        <v>23.2852024443229</v>
      </c>
      <c r="J405" s="147">
        <f>'[38]TGSPDCL MoD'!AO41+'[38]TGSPDCL MoD'!$AW$41/12</f>
        <v>22.7420368208744</v>
      </c>
      <c r="K405" s="147">
        <f>'[38]TGSPDCL MoD'!AP41+'[38]TGSPDCL MoD'!$AW$41/12</f>
        <v>23.2852024443229</v>
      </c>
      <c r="L405" s="147">
        <f>'[38]TGSPDCL MoD'!AQ41+'[38]TGSPDCL MoD'!$AW$41/12</f>
        <v>26.0936037972075</v>
      </c>
      <c r="M405" s="147">
        <f>'[38]TGSPDCL MoD'!AR41+'[38]TGSPDCL MoD'!$AW$41/12</f>
        <v>25.1881172708009</v>
      </c>
      <c r="N405" s="147">
        <f>'[38]TGSPDCL MoD'!AS41+'[38]TGSPDCL MoD'!$AW$41/12</f>
        <v>25.1881172708009</v>
      </c>
      <c r="O405" s="147">
        <f>'[38]TGSPDCL MoD'!AT41+'[38]TGSPDCL MoD'!$AW$41/12</f>
        <v>29.6691747654103</v>
      </c>
      <c r="P405" s="147">
        <f>'[38]TGSPDCL MoD'!AU41+'[38]TGSPDCL MoD'!$AW$41/12</f>
        <v>33.7512339899517</v>
      </c>
      <c r="Q405" s="147">
        <f t="shared" si="170"/>
        <v>289.824573481595</v>
      </c>
    </row>
    <row r="406" spans="3:17">
      <c r="C406" s="695"/>
      <c r="D406" s="55" t="s">
        <v>377</v>
      </c>
      <c r="E406" s="147">
        <f>SUM('[38]TGSPDCL MoD'!AJ49:AJ51)</f>
        <v>34.3999132065648</v>
      </c>
      <c r="F406" s="147">
        <f>SUM('[38]TGSPDCL MoD'!AK49:AK51)</f>
        <v>54.0307970097777</v>
      </c>
      <c r="G406" s="147">
        <f>SUM('[38]TGSPDCL MoD'!AL49:AL51)</f>
        <v>29.0657298803801</v>
      </c>
      <c r="H406" s="147">
        <f>SUM('[38]TGSPDCL MoD'!AM49:AM51)</f>
        <v>29.6221474834308</v>
      </c>
      <c r="I406" s="147">
        <f>SUM('[38]TGSPDCL MoD'!AN49:AN51)</f>
        <v>34.1247139009122</v>
      </c>
      <c r="J406" s="147">
        <f>SUM('[38]TGSPDCL MoD'!AO49:AO51)</f>
        <v>33.0239166783021</v>
      </c>
      <c r="K406" s="147">
        <f>SUM('[38]TGSPDCL MoD'!AP49:AP51)</f>
        <v>34.1247139009122</v>
      </c>
      <c r="L406" s="147">
        <f>SUM('[38]TGSPDCL MoD'!AQ49:AQ51)</f>
        <v>23.8506064898849</v>
      </c>
      <c r="M406" s="147">
        <f>SUM('[38]TGSPDCL MoD'!AR49:AR51)</f>
        <v>29.663596281612</v>
      </c>
      <c r="N406" s="147">
        <f>SUM('[38]TGSPDCL MoD'!AS49:AS51)</f>
        <v>35.2846690596413</v>
      </c>
      <c r="O406" s="147">
        <f>SUM('[38]TGSPDCL MoD'!AT49:AT51)</f>
        <v>41.0964296441094</v>
      </c>
      <c r="P406" s="147">
        <f>SUM('[38]TGSPDCL MoD'!AU49:AU51)</f>
        <v>49.7652077721639</v>
      </c>
      <c r="Q406" s="147">
        <f t="shared" si="170"/>
        <v>428.052441307691</v>
      </c>
    </row>
    <row r="407" spans="3:17">
      <c r="C407" s="695"/>
      <c r="D407" s="55" t="s">
        <v>378</v>
      </c>
      <c r="E407" s="147">
        <f>'[38]TGSPDCL MoD'!AJ53</f>
        <v>4.38728739634086</v>
      </c>
      <c r="F407" s="147">
        <f>'[38]TGSPDCL MoD'!AK53</f>
        <v>6.89096607051937</v>
      </c>
      <c r="G407" s="147">
        <f>'[38]TGSPDCL MoD'!AL53</f>
        <v>5.96671085902356</v>
      </c>
      <c r="H407" s="147">
        <f>'[38]TGSPDCL MoD'!AM53</f>
        <v>4.53353030955222</v>
      </c>
      <c r="I407" s="147">
        <f>'[38]TGSPDCL MoD'!AN53</f>
        <v>4.35218909717013</v>
      </c>
      <c r="J407" s="147">
        <f>'[38]TGSPDCL MoD'!AO53</f>
        <v>4.21179590048723</v>
      </c>
      <c r="K407" s="147">
        <f>'[38]TGSPDCL MoD'!AP53</f>
        <v>4.35218909717013</v>
      </c>
      <c r="L407" s="147">
        <f>'[38]TGSPDCL MoD'!AQ53</f>
        <v>4.56277889219449</v>
      </c>
      <c r="M407" s="147">
        <f>'[38]TGSPDCL MoD'!AR53</f>
        <v>4.71487152193431</v>
      </c>
      <c r="N407" s="147">
        <f>'[38]TGSPDCL MoD'!AS53</f>
        <v>4.53353030955222</v>
      </c>
      <c r="O407" s="147">
        <f>'[38]TGSPDCL MoD'!AT53</f>
        <v>5.24134600949521</v>
      </c>
      <c r="P407" s="147">
        <f>'[38]TGSPDCL MoD'!AU53</f>
        <v>6.3469424333731</v>
      </c>
      <c r="Q407" s="147">
        <f t="shared" si="170"/>
        <v>60.0941378968128</v>
      </c>
    </row>
    <row r="408" spans="3:17">
      <c r="C408" s="695"/>
      <c r="D408" s="55" t="s">
        <v>379</v>
      </c>
      <c r="E408" s="147">
        <f>'[38]TGSPDCL MoD'!AJ54</f>
        <v>25.3250168549008</v>
      </c>
      <c r="F408" s="147">
        <f>'[38]TGSPDCL MoD'!AK54</f>
        <v>39.7771598067643</v>
      </c>
      <c r="G408" s="147">
        <f>'[38]TGSPDCL MoD'!AL54</f>
        <v>31.1834344646209</v>
      </c>
      <c r="H408" s="147">
        <f>'[38]TGSPDCL MoD'!AM54</f>
        <v>25.4094868476441</v>
      </c>
      <c r="I408" s="147">
        <f>'[38]TGSPDCL MoD'!AN54</f>
        <v>25.1224167200616</v>
      </c>
      <c r="J408" s="147">
        <f>'[38]TGSPDCL MoD'!AO54</f>
        <v>24.3120161807048</v>
      </c>
      <c r="K408" s="147">
        <f>'[38]TGSPDCL MoD'!AP54</f>
        <v>25.1224167200616</v>
      </c>
      <c r="L408" s="147">
        <f>'[38]TGSPDCL MoD'!AQ54</f>
        <v>26.3380175290969</v>
      </c>
      <c r="M408" s="147">
        <f>'[38]TGSPDCL MoD'!AR54</f>
        <v>26.1691840833975</v>
      </c>
      <c r="N408" s="147">
        <f>'[38]TGSPDCL MoD'!AS54</f>
        <v>25.1224167200616</v>
      </c>
      <c r="O408" s="147">
        <f>'[38]TGSPDCL MoD'!AT54</f>
        <v>30.2549534693215</v>
      </c>
      <c r="P408" s="147">
        <f>'[38]TGSPDCL MoD'!AU54</f>
        <v>36.6368577167566</v>
      </c>
      <c r="Q408" s="147">
        <f t="shared" si="170"/>
        <v>340.773377113392</v>
      </c>
    </row>
    <row r="409" spans="3:17">
      <c r="C409" s="695"/>
      <c r="D409" s="685" t="s">
        <v>380</v>
      </c>
      <c r="E409" s="147">
        <f>'[38]TGSPDCL MoD'!AJ55</f>
        <v>80.0092600000404</v>
      </c>
      <c r="F409" s="147">
        <f>'[38]TGSPDCL MoD'!AK55</f>
        <v>90.438587792723</v>
      </c>
      <c r="G409" s="147">
        <f>'[38]TGSPDCL MoD'!AL55</f>
        <v>87.5212139929577</v>
      </c>
      <c r="H409" s="147">
        <f>'[38]TGSPDCL MoD'!AM55</f>
        <v>75.6376115382599</v>
      </c>
      <c r="I409" s="147">
        <f>'[38]TGSPDCL MoD'!AN55</f>
        <v>61.176759422547</v>
      </c>
      <c r="J409" s="147">
        <f>'[38]TGSPDCL MoD'!AO55</f>
        <v>67.3214212258316</v>
      </c>
      <c r="K409" s="147">
        <f>'[38]TGSPDCL MoD'!AP55</f>
        <v>59.6792980247543</v>
      </c>
      <c r="L409" s="147">
        <f>'[38]TGSPDCL MoD'!AQ55</f>
        <v>89.4518290075083</v>
      </c>
      <c r="M409" s="147">
        <f>'[38]TGSPDCL MoD'!AR55</f>
        <v>78.4687747025097</v>
      </c>
      <c r="N409" s="147">
        <f>'[38]TGSPDCL MoD'!AS55</f>
        <v>78.3545511591401</v>
      </c>
      <c r="O409" s="147">
        <f>'[38]TGSPDCL MoD'!AT55</f>
        <v>76.0763434741255</v>
      </c>
      <c r="P409" s="147">
        <f>'[38]TGSPDCL MoD'!AU55</f>
        <v>92.0867979955141</v>
      </c>
      <c r="Q409" s="147">
        <f t="shared" si="170"/>
        <v>936.222448335912</v>
      </c>
    </row>
    <row r="410" spans="3:17">
      <c r="C410" s="311"/>
      <c r="D410" s="685" t="s">
        <v>450</v>
      </c>
      <c r="E410" s="147">
        <f>'[38]TGSPDCL MoD'!AJ56</f>
        <v>77.8717221122959</v>
      </c>
      <c r="F410" s="147">
        <f>'[38]TGSPDCL MoD'!AK56</f>
        <v>90.4427494284957</v>
      </c>
      <c r="G410" s="147">
        <f>'[38]TGSPDCL MoD'!AL56</f>
        <v>87.5252413824151</v>
      </c>
      <c r="H410" s="147">
        <f>'[38]TGSPDCL MoD'!AM56</f>
        <v>73.3501794017229</v>
      </c>
      <c r="I410" s="147">
        <f>'[38]TGSPDCL MoD'!AN56</f>
        <v>60.5168396911258</v>
      </c>
      <c r="J410" s="147">
        <f>'[38]TGSPDCL MoD'!AO56</f>
        <v>66.2874989881526</v>
      </c>
      <c r="K410" s="147">
        <f>'[38]TGSPDCL MoD'!AP56</f>
        <v>58.5217790419678</v>
      </c>
      <c r="L410" s="147">
        <f>'[38]TGSPDCL MoD'!AQ56</f>
        <v>88.3997216090119</v>
      </c>
      <c r="M410" s="147">
        <f>'[38]TGSPDCL MoD'!AR56</f>
        <v>77.3765869817421</v>
      </c>
      <c r="N410" s="147">
        <f>'[38]TGSPDCL MoD'!AS56</f>
        <v>74.859669256876</v>
      </c>
      <c r="O410" s="147">
        <f>'[38]TGSPDCL MoD'!AT56</f>
        <v>74.0650167614624</v>
      </c>
      <c r="P410" s="147">
        <f>'[38]TGSPDCL MoD'!AU56</f>
        <v>90.4427494284957</v>
      </c>
      <c r="Q410" s="147">
        <f t="shared" si="170"/>
        <v>919.659754083764</v>
      </c>
    </row>
    <row r="411" spans="3:17">
      <c r="C411" s="55"/>
      <c r="D411" s="55" t="s">
        <v>381</v>
      </c>
      <c r="E411" s="147">
        <f>'[38]TGSPDCL MoD'!AJ33</f>
        <v>0.888655330921624</v>
      </c>
      <c r="F411" s="147">
        <f>'[38]TGSPDCL MoD'!AK33</f>
        <v>1.39578130643425</v>
      </c>
      <c r="G411" s="147">
        <f>'[38]TGSPDCL MoD'!AL33</f>
        <v>1.06638639710592</v>
      </c>
      <c r="H411" s="147">
        <f>'[38]TGSPDCL MoD'!AM33</f>
        <v>0.881546088274257</v>
      </c>
      <c r="I411" s="147">
        <f>'[38]TGSPDCL MoD'!AN33</f>
        <v>0.881546088274257</v>
      </c>
      <c r="J411" s="147">
        <f>'[38]TGSPDCL MoD'!AO33</f>
        <v>0.853109117684765</v>
      </c>
      <c r="K411" s="147">
        <f>'[38]TGSPDCL MoD'!AP33</f>
        <v>0.881546088274257</v>
      </c>
      <c r="L411" s="147">
        <f>'[38]TGSPDCL MoD'!AQ33</f>
        <v>0.924201544158483</v>
      </c>
      <c r="M411" s="147">
        <f>'[38]TGSPDCL MoD'!AR33</f>
        <v>0.918277175285678</v>
      </c>
      <c r="N411" s="147">
        <f>'[38]TGSPDCL MoD'!AS33</f>
        <v>0.881546088274257</v>
      </c>
      <c r="O411" s="147">
        <f>'[38]TGSPDCL MoD'!AT33</f>
        <v>1.06164690200766</v>
      </c>
      <c r="P411" s="147">
        <f>'[38]TGSPDCL MoD'!AU33</f>
        <v>1.28558804539989</v>
      </c>
      <c r="Q411" s="147">
        <f t="shared" si="170"/>
        <v>11.9198301720953</v>
      </c>
    </row>
    <row r="412" spans="3:17">
      <c r="C412" s="55"/>
      <c r="D412" s="55" t="s">
        <v>382</v>
      </c>
      <c r="E412" s="147">
        <f>'[38]TGSPDCL MoD'!AJ34</f>
        <v>0.934892905646283</v>
      </c>
      <c r="F412" s="147">
        <f>'[38]TGSPDCL MoD'!AK34</f>
        <v>0.945646368645501</v>
      </c>
      <c r="G412" s="147">
        <f>'[38]TGSPDCL MoD'!AL34</f>
        <v>0.934892905646283</v>
      </c>
      <c r="H412" s="147">
        <f>'[38]TGSPDCL MoD'!AM34</f>
        <v>0.925236734789843</v>
      </c>
      <c r="I412" s="147">
        <f>'[38]TGSPDCL MoD'!AN34</f>
        <v>0.741550030088918</v>
      </c>
      <c r="J412" s="147">
        <f>'[38]TGSPDCL MoD'!AO34</f>
        <v>0.816385354226332</v>
      </c>
      <c r="K412" s="147">
        <f>'[38]TGSPDCL MoD'!AP34</f>
        <v>0.72114039623326</v>
      </c>
      <c r="L412" s="147">
        <f>'[38]TGSPDCL MoD'!AQ34</f>
        <v>0.934892905646283</v>
      </c>
      <c r="M412" s="147">
        <f>'[38]TGSPDCL MoD'!AR34</f>
        <v>0.925236734789843</v>
      </c>
      <c r="N412" s="147">
        <f>'[38]TGSPDCL MoD'!AS34</f>
        <v>0.823188565511551</v>
      </c>
      <c r="O412" s="147">
        <f>'[38]TGSPDCL MoD'!AT34</f>
        <v>0.835697695939213</v>
      </c>
      <c r="P412" s="147">
        <f>'[38]TGSPDCL MoD'!AU34</f>
        <v>1.08851380563511</v>
      </c>
      <c r="Q412" s="147">
        <f t="shared" si="170"/>
        <v>10.6272744027984</v>
      </c>
    </row>
    <row r="413" spans="3:17">
      <c r="C413" s="55"/>
      <c r="D413" s="55" t="s">
        <v>383</v>
      </c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55">
        <f t="shared" si="170"/>
        <v>0</v>
      </c>
    </row>
    <row r="414" spans="3:17">
      <c r="C414" s="55"/>
      <c r="D414" s="55" t="s">
        <v>384</v>
      </c>
      <c r="E414" s="147">
        <f>'[38]TGSPDCL MoD'!AJ52</f>
        <v>6.57369118113994</v>
      </c>
      <c r="F414" s="147">
        <f>'[38]TGSPDCL MoD'!AK52</f>
        <v>6.79281422051127</v>
      </c>
      <c r="G414" s="147">
        <f>'[38]TGSPDCL MoD'!AL52</f>
        <v>6.57369118113994</v>
      </c>
      <c r="H414" s="147">
        <f>'[38]TGSPDCL MoD'!AM52</f>
        <v>6.93632438009954</v>
      </c>
      <c r="I414" s="147">
        <f>'[38]TGSPDCL MoD'!AN52</f>
        <v>5.50122278421688</v>
      </c>
      <c r="J414" s="147">
        <f>'[38]TGSPDCL MoD'!AO52</f>
        <v>6.01816798273375</v>
      </c>
      <c r="K414" s="147">
        <f>'[38]TGSPDCL MoD'!AP52</f>
        <v>5.13578787848483</v>
      </c>
      <c r="L414" s="147">
        <f>'[38]TGSPDCL MoD'!AQ52</f>
        <v>6.57369118113994</v>
      </c>
      <c r="M414" s="147">
        <f>'[38]TGSPDCL MoD'!AR52</f>
        <v>6.50579390133474</v>
      </c>
      <c r="N414" s="147">
        <f>'[38]TGSPDCL MoD'!AS52</f>
        <v>5.93175326298167</v>
      </c>
      <c r="O414" s="147">
        <f>'[38]TGSPDCL MoD'!AT52</f>
        <v>6.00582302276917</v>
      </c>
      <c r="P414" s="147">
        <f>'[38]TGSPDCL MoD'!AU52</f>
        <v>7.65387517804087</v>
      </c>
      <c r="Q414" s="55">
        <f t="shared" si="170"/>
        <v>76.2026361545925</v>
      </c>
    </row>
    <row r="415" spans="3:17">
      <c r="C415" s="55"/>
      <c r="D415" s="55" t="s">
        <v>385</v>
      </c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>
        <f t="shared" si="170"/>
        <v>0</v>
      </c>
    </row>
    <row r="416" spans="3:17">
      <c r="C416" s="55"/>
      <c r="D416" s="55" t="s">
        <v>386</v>
      </c>
      <c r="E416" s="147">
        <f>'[38]TGSPDCL MoD'!AJ46</f>
        <v>11.8689409364014</v>
      </c>
      <c r="F416" s="147">
        <f>'[38]TGSPDCL MoD'!AK46</f>
        <v>15.6667062751397</v>
      </c>
      <c r="G416" s="147">
        <f>'[38]TGSPDCL MoD'!AL46</f>
        <v>14.1840239472347</v>
      </c>
      <c r="H416" s="147">
        <f>'[38]TGSPDCL MoD'!AM46</f>
        <v>10.4444708500931</v>
      </c>
      <c r="I416" s="147">
        <f>'[38]TGSPDCL MoD'!AN46</f>
        <v>9.64105001547056</v>
      </c>
      <c r="J416" s="147">
        <f>'[38]TGSPDCL MoD'!AO46</f>
        <v>9.33004840206829</v>
      </c>
      <c r="K416" s="147">
        <f>'[38]TGSPDCL MoD'!AP46</f>
        <v>9.64105001547056</v>
      </c>
      <c r="L416" s="147">
        <f>'[38]TGSPDCL MoD'!AQ46</f>
        <v>10.4963044523268</v>
      </c>
      <c r="M416" s="147">
        <f>'[38]TGSPDCL MoD'!AR46</f>
        <v>10.4444708500931</v>
      </c>
      <c r="N416" s="147">
        <f>'[38]TGSPDCL MoD'!AS46</f>
        <v>10.4444708500931</v>
      </c>
      <c r="O416" s="147">
        <f>'[38]TGSPDCL MoD'!AT46</f>
        <v>12.3363973316236</v>
      </c>
      <c r="P416" s="147">
        <f>'[38]TGSPDCL MoD'!AU46</f>
        <v>14.0598646058946</v>
      </c>
      <c r="Q416" s="147">
        <f t="shared" si="170"/>
        <v>138.557798531909</v>
      </c>
    </row>
    <row r="417" spans="3:17">
      <c r="C417" s="55"/>
      <c r="D417" s="55" t="s">
        <v>387</v>
      </c>
      <c r="E417" s="147">
        <f>'[38]TGSPDCL MoD'!AJ47</f>
        <v>16.9898672209814</v>
      </c>
      <c r="F417" s="147">
        <f>'[38]TGSPDCL MoD'!AK47</f>
        <v>0</v>
      </c>
      <c r="G417" s="147">
        <f>'[38]TGSPDCL MoD'!AL47</f>
        <v>9.54802455393992</v>
      </c>
      <c r="H417" s="147">
        <f>'[38]TGSPDCL MoD'!AM47</f>
        <v>15.3798081785523</v>
      </c>
      <c r="I417" s="147">
        <f>'[38]TGSPDCL MoD'!AN47</f>
        <v>13.2034202287572</v>
      </c>
      <c r="J417" s="147">
        <f>'[38]TGSPDCL MoD'!AO47</f>
        <v>14.4624489567032</v>
      </c>
      <c r="K417" s="147">
        <f>'[38]TGSPDCL MoD'!AP47</f>
        <v>12.7681426387981</v>
      </c>
      <c r="L417" s="147">
        <f>'[38]TGSPDCL MoD'!AQ47</f>
        <v>18.6748127305002</v>
      </c>
      <c r="M417" s="147">
        <f>'[38]TGSPDCL MoD'!AR47</f>
        <v>16.6856409484294</v>
      </c>
      <c r="N417" s="147">
        <f>'[38]TGSPDCL MoD'!AS47</f>
        <v>16.2503633584703</v>
      </c>
      <c r="O417" s="147">
        <f>'[38]TGSPDCL MoD'!AT47</f>
        <v>15.8572094062493</v>
      </c>
      <c r="P417" s="147">
        <f>'[38]TGSPDCL MoD'!AU47</f>
        <v>19.7325840781426</v>
      </c>
      <c r="Q417" s="147">
        <f t="shared" si="170"/>
        <v>169.552322299524</v>
      </c>
    </row>
    <row r="418" spans="3:17">
      <c r="C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>
        <f t="shared" si="170"/>
        <v>0</v>
      </c>
    </row>
    <row r="419" spans="3:17"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>
        <f t="shared" si="170"/>
        <v>0</v>
      </c>
    </row>
    <row r="420" spans="3:17"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>
        <f t="shared" si="170"/>
        <v>0</v>
      </c>
    </row>
    <row r="421" spans="3:17"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>
        <f t="shared" si="170"/>
        <v>0</v>
      </c>
    </row>
    <row r="422" spans="3:17"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>
        <f t="shared" si="170"/>
        <v>0</v>
      </c>
    </row>
    <row r="423" spans="3:17"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>
        <f t="shared" si="170"/>
        <v>0</v>
      </c>
    </row>
    <row r="424" spans="3:17"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>
        <f t="shared" si="170"/>
        <v>0</v>
      </c>
    </row>
    <row r="425" spans="3:17"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>
        <f t="shared" si="170"/>
        <v>0</v>
      </c>
    </row>
    <row r="426" spans="3:17"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>
        <f t="shared" si="170"/>
        <v>0</v>
      </c>
    </row>
    <row r="427" spans="3:17"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>
        <f t="shared" si="170"/>
        <v>0</v>
      </c>
    </row>
    <row r="428" ht="15" spans="3:17">
      <c r="C428" s="537" t="s">
        <v>211</v>
      </c>
      <c r="D428" s="540"/>
      <c r="E428" s="690">
        <f t="shared" ref="E428:P428" si="171">SUM(E401:E427)</f>
        <v>403.867956145932</v>
      </c>
      <c r="F428" s="690">
        <f t="shared" si="171"/>
        <v>500.628100509066</v>
      </c>
      <c r="G428" s="690">
        <f t="shared" si="171"/>
        <v>419.333366624624</v>
      </c>
      <c r="H428" s="690">
        <f t="shared" si="171"/>
        <v>360.222193796449</v>
      </c>
      <c r="I428" s="690">
        <f t="shared" si="171"/>
        <v>338.375324426952</v>
      </c>
      <c r="J428" s="690">
        <f t="shared" si="171"/>
        <v>354.392815549337</v>
      </c>
      <c r="K428" s="690">
        <f t="shared" si="171"/>
        <v>338.688845583485</v>
      </c>
      <c r="L428" s="690">
        <f t="shared" si="171"/>
        <v>354.748107272243</v>
      </c>
      <c r="M428" s="690">
        <f t="shared" si="171"/>
        <v>349.185482100195</v>
      </c>
      <c r="N428" s="690">
        <f t="shared" si="171"/>
        <v>380.483609662077</v>
      </c>
      <c r="O428" s="690">
        <f t="shared" si="171"/>
        <v>418.256617445738</v>
      </c>
      <c r="P428" s="690">
        <f t="shared" si="171"/>
        <v>498.142311313523</v>
      </c>
      <c r="Q428" s="693">
        <f t="shared" si="170"/>
        <v>4716.32473042962</v>
      </c>
    </row>
    <row r="429" ht="15" spans="3:17">
      <c r="C429" s="44" t="s">
        <v>388</v>
      </c>
      <c r="D429" s="4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</row>
    <row r="430" spans="3:17">
      <c r="C430" s="682" t="s">
        <v>389</v>
      </c>
      <c r="D430" s="685" t="s">
        <v>390</v>
      </c>
      <c r="E430" s="147" t="e">
        <f>'[38]TGSPDCL MoD'!AJ32</f>
        <v>#REF!</v>
      </c>
      <c r="F430" s="147" t="e">
        <f>'[38]TGSPDCL MoD'!AK32</f>
        <v>#REF!</v>
      </c>
      <c r="G430" s="147" t="e">
        <f>'[38]TGSPDCL MoD'!AL32</f>
        <v>#REF!</v>
      </c>
      <c r="H430" s="147" t="e">
        <f>'[38]TGSPDCL MoD'!AM32</f>
        <v>#REF!</v>
      </c>
      <c r="I430" s="147" t="e">
        <f>'[38]TGSPDCL MoD'!AN32</f>
        <v>#REF!</v>
      </c>
      <c r="J430" s="147" t="e">
        <f>'[38]TGSPDCL MoD'!AO32</f>
        <v>#REF!</v>
      </c>
      <c r="K430" s="147" t="e">
        <f>'[38]TGSPDCL MoD'!AP32</f>
        <v>#REF!</v>
      </c>
      <c r="L430" s="147" t="e">
        <f>'[38]TGSPDCL MoD'!AQ32</f>
        <v>#REF!</v>
      </c>
      <c r="M430" s="147" t="e">
        <f>'[38]TGSPDCL MoD'!AR32</f>
        <v>#REF!</v>
      </c>
      <c r="N430" s="147" t="e">
        <f>'[38]TGSPDCL MoD'!AS32</f>
        <v>#REF!</v>
      </c>
      <c r="O430" s="147" t="e">
        <f>'[38]TGSPDCL MoD'!AT32</f>
        <v>#REF!</v>
      </c>
      <c r="P430" s="147" t="e">
        <f>'[38]TGSPDCL MoD'!AU32</f>
        <v>#REF!</v>
      </c>
      <c r="Q430" s="147" t="e">
        <f t="shared" ref="Q430:Q444" si="172">SUM(E430:P430)</f>
        <v>#REF!</v>
      </c>
    </row>
    <row r="431" spans="3:17">
      <c r="C431" s="683"/>
      <c r="D431" s="685" t="s">
        <v>391</v>
      </c>
      <c r="E431" s="147" t="e">
        <f>'[38]TGSPDCL MoD'!AJ37+'[38]TGSPDCL MoD'!AJ36</f>
        <v>#REF!</v>
      </c>
      <c r="F431" s="147" t="e">
        <f>'[38]TGSPDCL MoD'!AK37+'[38]TGSPDCL MoD'!AK36</f>
        <v>#REF!</v>
      </c>
      <c r="G431" s="147" t="e">
        <f>'[38]TGSPDCL MoD'!AL37+'[38]TGSPDCL MoD'!AL36</f>
        <v>#REF!</v>
      </c>
      <c r="H431" s="147" t="e">
        <f>'[38]TGSPDCL MoD'!AM37+'[38]TGSPDCL MoD'!AM36</f>
        <v>#REF!</v>
      </c>
      <c r="I431" s="147" t="e">
        <f>'[38]TGSPDCL MoD'!AN37+'[38]TGSPDCL MoD'!AN36</f>
        <v>#REF!</v>
      </c>
      <c r="J431" s="147" t="e">
        <f>'[38]TGSPDCL MoD'!AO37+'[38]TGSPDCL MoD'!AO36</f>
        <v>#REF!</v>
      </c>
      <c r="K431" s="147" t="e">
        <f>'[38]TGSPDCL MoD'!AP37+'[38]TGSPDCL MoD'!AP36</f>
        <v>#REF!</v>
      </c>
      <c r="L431" s="147" t="e">
        <f>'[38]TGSPDCL MoD'!AQ37+'[38]TGSPDCL MoD'!AQ36</f>
        <v>#REF!</v>
      </c>
      <c r="M431" s="147" t="e">
        <f>'[38]TGSPDCL MoD'!AR37+'[38]TGSPDCL MoD'!AR36</f>
        <v>#REF!</v>
      </c>
      <c r="N431" s="147" t="e">
        <f>'[38]TGSPDCL MoD'!AS37+'[38]TGSPDCL MoD'!AS36</f>
        <v>#REF!</v>
      </c>
      <c r="O431" s="147" t="e">
        <f>'[38]TGSPDCL MoD'!AT37+'[38]TGSPDCL MoD'!AT36</f>
        <v>#REF!</v>
      </c>
      <c r="P431" s="147" t="e">
        <f>'[38]TGSPDCL MoD'!AU37+'[38]TGSPDCL MoD'!AU36</f>
        <v>#REF!</v>
      </c>
      <c r="Q431" s="147" t="e">
        <f t="shared" si="172"/>
        <v>#REF!</v>
      </c>
    </row>
    <row r="432" spans="3:17">
      <c r="C432" s="683"/>
      <c r="D432" s="685" t="s">
        <v>392</v>
      </c>
      <c r="E432" s="147" t="e">
        <f>'[38]TGSPDCL MoD'!AJ38+'[38]TGSPDCL MoD'!AJ39</f>
        <v>#REF!</v>
      </c>
      <c r="F432" s="147" t="e">
        <f>'[38]TGSPDCL MoD'!AK38+'[38]TGSPDCL MoD'!AK39</f>
        <v>#REF!</v>
      </c>
      <c r="G432" s="147" t="e">
        <f>'[38]TGSPDCL MoD'!AL38+'[38]TGSPDCL MoD'!AL39</f>
        <v>#REF!</v>
      </c>
      <c r="H432" s="147" t="e">
        <f>'[38]TGSPDCL MoD'!AM38+'[38]TGSPDCL MoD'!AM39</f>
        <v>#REF!</v>
      </c>
      <c r="I432" s="147" t="e">
        <f>'[38]TGSPDCL MoD'!AN38+'[38]TGSPDCL MoD'!AN39</f>
        <v>#REF!</v>
      </c>
      <c r="J432" s="147" t="e">
        <f>'[38]TGSPDCL MoD'!AO38+'[38]TGSPDCL MoD'!AO39</f>
        <v>#REF!</v>
      </c>
      <c r="K432" s="147" t="e">
        <f>'[38]TGSPDCL MoD'!AP38+'[38]TGSPDCL MoD'!AP39</f>
        <v>#REF!</v>
      </c>
      <c r="L432" s="147" t="e">
        <f>'[38]TGSPDCL MoD'!AQ38+'[38]TGSPDCL MoD'!AQ39</f>
        <v>#REF!</v>
      </c>
      <c r="M432" s="147" t="e">
        <f>'[38]TGSPDCL MoD'!AR38+'[38]TGSPDCL MoD'!AR39</f>
        <v>#REF!</v>
      </c>
      <c r="N432" s="147" t="e">
        <f>'[38]TGSPDCL MoD'!AS38+'[38]TGSPDCL MoD'!AS39</f>
        <v>#REF!</v>
      </c>
      <c r="O432" s="147" t="e">
        <f>'[38]TGSPDCL MoD'!AT38+'[38]TGSPDCL MoD'!AT39</f>
        <v>#REF!</v>
      </c>
      <c r="P432" s="147" t="e">
        <f>'[38]TGSPDCL MoD'!AU38+'[38]TGSPDCL MoD'!AU39</f>
        <v>#REF!</v>
      </c>
      <c r="Q432" s="147" t="e">
        <f t="shared" si="172"/>
        <v>#REF!</v>
      </c>
    </row>
    <row r="433" spans="3:17">
      <c r="C433" s="684"/>
      <c r="D433" s="685" t="s">
        <v>393</v>
      </c>
      <c r="E433" s="147" t="e">
        <f>'[38]TGSPDCL MoD'!AJ48</f>
        <v>#REF!</v>
      </c>
      <c r="F433" s="147" t="e">
        <f>'[38]TGSPDCL MoD'!AK48</f>
        <v>#REF!</v>
      </c>
      <c r="G433" s="147" t="e">
        <f>'[38]TGSPDCL MoD'!AL48</f>
        <v>#REF!</v>
      </c>
      <c r="H433" s="147" t="e">
        <f>'[38]TGSPDCL MoD'!AM48</f>
        <v>#REF!</v>
      </c>
      <c r="I433" s="147" t="e">
        <f>'[38]TGSPDCL MoD'!AN48</f>
        <v>#REF!</v>
      </c>
      <c r="J433" s="147" t="e">
        <f>'[38]TGSPDCL MoD'!AO48</f>
        <v>#REF!</v>
      </c>
      <c r="K433" s="147" t="e">
        <f>'[38]TGSPDCL MoD'!AP48</f>
        <v>#REF!</v>
      </c>
      <c r="L433" s="147" t="e">
        <f>'[38]TGSPDCL MoD'!AQ48</f>
        <v>#REF!</v>
      </c>
      <c r="M433" s="147" t="e">
        <f>'[38]TGSPDCL MoD'!AR48</f>
        <v>#REF!</v>
      </c>
      <c r="N433" s="147" t="e">
        <f>'[38]TGSPDCL MoD'!AS48</f>
        <v>#REF!</v>
      </c>
      <c r="O433" s="147" t="e">
        <f>'[38]TGSPDCL MoD'!AT48</f>
        <v>#REF!</v>
      </c>
      <c r="P433" s="147" t="e">
        <f>'[38]TGSPDCL MoD'!AU48</f>
        <v>#REF!</v>
      </c>
      <c r="Q433" s="147" t="e">
        <f t="shared" si="172"/>
        <v>#REF!</v>
      </c>
    </row>
    <row r="434" spans="3:17">
      <c r="C434" s="55"/>
      <c r="D434" s="55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>
        <f t="shared" si="172"/>
        <v>0</v>
      </c>
    </row>
    <row r="435" spans="3:17">
      <c r="C435" s="55"/>
      <c r="D435" s="55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>
        <f t="shared" si="172"/>
        <v>0</v>
      </c>
    </row>
    <row r="436" spans="3:17">
      <c r="C436" s="55"/>
      <c r="D436" s="55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>
        <f t="shared" si="172"/>
        <v>0</v>
      </c>
    </row>
    <row r="437" spans="3:17">
      <c r="C437" s="55"/>
      <c r="D437" s="55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>
        <f t="shared" si="172"/>
        <v>0</v>
      </c>
    </row>
    <row r="438" spans="3:17">
      <c r="C438" s="55"/>
      <c r="D438" s="55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>
        <f t="shared" si="172"/>
        <v>0</v>
      </c>
    </row>
    <row r="439" spans="3:17">
      <c r="C439" s="55"/>
      <c r="D439" s="55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>
        <f t="shared" si="172"/>
        <v>0</v>
      </c>
    </row>
    <row r="440" spans="3:17">
      <c r="C440" s="55"/>
      <c r="D440" s="55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>
        <f t="shared" si="172"/>
        <v>0</v>
      </c>
    </row>
    <row r="441" spans="3:21">
      <c r="C441" s="55"/>
      <c r="D441" s="55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>
        <f t="shared" si="172"/>
        <v>0</v>
      </c>
      <c r="U441" s="12">
        <f>(5408/3439)</f>
        <v>1.57255015993021</v>
      </c>
    </row>
    <row r="442" spans="3:21">
      <c r="C442" s="55"/>
      <c r="D442" s="55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>
        <f t="shared" si="172"/>
        <v>0</v>
      </c>
      <c r="U442" s="12">
        <f>U441^(1/5)</f>
        <v>1.09476499243979</v>
      </c>
    </row>
    <row r="443" spans="3:21">
      <c r="C443" s="55"/>
      <c r="D443" s="55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>
        <f t="shared" si="172"/>
        <v>0</v>
      </c>
      <c r="U443" s="696">
        <f>U442-1</f>
        <v>0.0947649924397851</v>
      </c>
    </row>
    <row r="444" ht="15" spans="3:18">
      <c r="C444" s="537" t="s">
        <v>211</v>
      </c>
      <c r="D444" s="540"/>
      <c r="E444" s="147" t="e">
        <f t="shared" ref="E444:P444" si="173">SUM(E430:E443)</f>
        <v>#REF!</v>
      </c>
      <c r="F444" s="147" t="e">
        <f t="shared" si="173"/>
        <v>#REF!</v>
      </c>
      <c r="G444" s="147" t="e">
        <f t="shared" si="173"/>
        <v>#REF!</v>
      </c>
      <c r="H444" s="147" t="e">
        <f t="shared" si="173"/>
        <v>#REF!</v>
      </c>
      <c r="I444" s="147" t="e">
        <f t="shared" si="173"/>
        <v>#REF!</v>
      </c>
      <c r="J444" s="147" t="e">
        <f t="shared" si="173"/>
        <v>#REF!</v>
      </c>
      <c r="K444" s="147" t="e">
        <f t="shared" si="173"/>
        <v>#REF!</v>
      </c>
      <c r="L444" s="147" t="e">
        <f t="shared" si="173"/>
        <v>#REF!</v>
      </c>
      <c r="M444" s="147" t="e">
        <f t="shared" si="173"/>
        <v>#REF!</v>
      </c>
      <c r="N444" s="147" t="e">
        <f t="shared" si="173"/>
        <v>#REF!</v>
      </c>
      <c r="O444" s="147" t="e">
        <f t="shared" si="173"/>
        <v>#REF!</v>
      </c>
      <c r="P444" s="147" t="e">
        <f t="shared" si="173"/>
        <v>#REF!</v>
      </c>
      <c r="Q444" s="316" t="e">
        <f t="shared" si="172"/>
        <v>#REF!</v>
      </c>
      <c r="R444" s="686"/>
    </row>
    <row r="445" ht="15" spans="3:18">
      <c r="C445" s="44" t="s">
        <v>395</v>
      </c>
      <c r="D445" s="45"/>
      <c r="E445" s="147" t="e">
        <f t="shared" ref="E445:Q445" si="174">E428+E444</f>
        <v>#REF!</v>
      </c>
      <c r="F445" s="147" t="e">
        <f t="shared" si="174"/>
        <v>#REF!</v>
      </c>
      <c r="G445" s="147" t="e">
        <f t="shared" si="174"/>
        <v>#REF!</v>
      </c>
      <c r="H445" s="147" t="e">
        <f t="shared" si="174"/>
        <v>#REF!</v>
      </c>
      <c r="I445" s="147" t="e">
        <f t="shared" si="174"/>
        <v>#REF!</v>
      </c>
      <c r="J445" s="147" t="e">
        <f t="shared" si="174"/>
        <v>#REF!</v>
      </c>
      <c r="K445" s="147" t="e">
        <f t="shared" si="174"/>
        <v>#REF!</v>
      </c>
      <c r="L445" s="147" t="e">
        <f t="shared" si="174"/>
        <v>#REF!</v>
      </c>
      <c r="M445" s="147" t="e">
        <f t="shared" si="174"/>
        <v>#REF!</v>
      </c>
      <c r="N445" s="147" t="e">
        <f t="shared" si="174"/>
        <v>#REF!</v>
      </c>
      <c r="O445" s="147" t="e">
        <f t="shared" si="174"/>
        <v>#REF!</v>
      </c>
      <c r="P445" s="147" t="e">
        <f t="shared" si="174"/>
        <v>#REF!</v>
      </c>
      <c r="Q445" s="316" t="e">
        <f t="shared" si="174"/>
        <v>#REF!</v>
      </c>
      <c r="R445" s="686"/>
    </row>
    <row r="446" ht="15" spans="3:17">
      <c r="C446" s="663" t="s">
        <v>396</v>
      </c>
      <c r="D446" s="676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</row>
    <row r="447" spans="3:17">
      <c r="C447" s="55" t="s">
        <v>397</v>
      </c>
      <c r="D447" s="55" t="s">
        <v>397</v>
      </c>
      <c r="E447" s="147">
        <f>'[38]TGSPDCL MoD'!AJ23</f>
        <v>28.1342738753673</v>
      </c>
      <c r="F447" s="147">
        <f>'[38]TGSPDCL MoD'!AK23</f>
        <v>29.0720830045462</v>
      </c>
      <c r="G447" s="147">
        <f>'[38]TGSPDCL MoD'!AL23</f>
        <v>28.1342738753673</v>
      </c>
      <c r="H447" s="147">
        <f>'[38]TGSPDCL MoD'!AM23</f>
        <v>29.5907071675661</v>
      </c>
      <c r="I447" s="147">
        <f>'[38]TGSPDCL MoD'!AN23</f>
        <v>23.5442925741043</v>
      </c>
      <c r="J447" s="147">
        <f>'[38]TGSPDCL MoD'!AO23</f>
        <v>25.500179229326</v>
      </c>
      <c r="K447" s="147">
        <f>'[38]TGSPDCL MoD'!AP23</f>
        <v>21.701695763957</v>
      </c>
      <c r="L447" s="147">
        <f>'[38]TGSPDCL MoD'!AQ23</f>
        <v>28.1342738753673</v>
      </c>
      <c r="M447" s="147">
        <f>'[38]TGSPDCL MoD'!AR23</f>
        <v>27.8436851311146</v>
      </c>
      <c r="N447" s="147">
        <f>'[38]TGSPDCL MoD'!AS23</f>
        <v>25.0048822510292</v>
      </c>
      <c r="O447" s="147">
        <f>'[38]TGSPDCL MoD'!AT23</f>
        <v>25.659623718057</v>
      </c>
      <c r="P447" s="147">
        <f>'[38]TGSPDCL MoD'!AU23</f>
        <v>32.7572766248408</v>
      </c>
      <c r="Q447" s="147">
        <f>SUM(E447:P447)</f>
        <v>325.077247090643</v>
      </c>
    </row>
    <row r="448" spans="3:17">
      <c r="C448" s="55" t="s">
        <v>398</v>
      </c>
      <c r="D448" s="55" t="s">
        <v>398</v>
      </c>
      <c r="E448" s="147">
        <f>'[38]TGSPDCL MoD'!AJ24</f>
        <v>0</v>
      </c>
      <c r="F448" s="147">
        <f>'[38]TGSPDCL MoD'!AK24</f>
        <v>0</v>
      </c>
      <c r="G448" s="147">
        <f>'[38]TGSPDCL MoD'!AL24</f>
        <v>0</v>
      </c>
      <c r="H448" s="147">
        <f>'[38]TGSPDCL MoD'!AM24</f>
        <v>0</v>
      </c>
      <c r="I448" s="147">
        <f>'[38]TGSPDCL MoD'!AN24</f>
        <v>0</v>
      </c>
      <c r="J448" s="147">
        <f>'[38]TGSPDCL MoD'!AO24</f>
        <v>0</v>
      </c>
      <c r="K448" s="147">
        <f>'[38]TGSPDCL MoD'!AP24</f>
        <v>0</v>
      </c>
      <c r="L448" s="147">
        <f>'[38]TGSPDCL MoD'!AQ24</f>
        <v>0</v>
      </c>
      <c r="M448" s="147">
        <f>'[38]TGSPDCL MoD'!AR24</f>
        <v>0</v>
      </c>
      <c r="N448" s="147">
        <f>'[38]TGSPDCL MoD'!AS24</f>
        <v>0</v>
      </c>
      <c r="O448" s="147">
        <f>'[38]TGSPDCL MoD'!AT24</f>
        <v>0</v>
      </c>
      <c r="P448" s="147">
        <f>'[38]TGSPDCL MoD'!AU24</f>
        <v>0</v>
      </c>
      <c r="Q448" s="147">
        <f>SUM(E448:P448)</f>
        <v>0</v>
      </c>
    </row>
    <row r="449" spans="3:17">
      <c r="C449" s="55"/>
      <c r="D449" s="55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</row>
    <row r="450" spans="3:17">
      <c r="C450" s="55"/>
      <c r="D450" s="55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</row>
    <row r="451" spans="3:17">
      <c r="C451" s="55"/>
      <c r="D451" s="55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</row>
    <row r="452" spans="3:17">
      <c r="C452" s="55"/>
      <c r="D452" s="55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</row>
    <row r="453" spans="3:17">
      <c r="C453" s="55"/>
      <c r="D453" s="55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</row>
    <row r="454" ht="15" spans="3:18">
      <c r="C454" s="44" t="s">
        <v>399</v>
      </c>
      <c r="D454" s="45"/>
      <c r="E454" s="147">
        <f t="shared" ref="E454:P454" si="175">SUM(E447:E453)</f>
        <v>28.1342738753673</v>
      </c>
      <c r="F454" s="147">
        <f t="shared" si="175"/>
        <v>29.0720830045462</v>
      </c>
      <c r="G454" s="147">
        <f t="shared" si="175"/>
        <v>28.1342738753673</v>
      </c>
      <c r="H454" s="147">
        <f t="shared" si="175"/>
        <v>29.5907071675661</v>
      </c>
      <c r="I454" s="147">
        <f t="shared" si="175"/>
        <v>23.5442925741043</v>
      </c>
      <c r="J454" s="147">
        <f t="shared" si="175"/>
        <v>25.500179229326</v>
      </c>
      <c r="K454" s="147">
        <f t="shared" si="175"/>
        <v>21.701695763957</v>
      </c>
      <c r="L454" s="147">
        <f t="shared" si="175"/>
        <v>28.1342738753673</v>
      </c>
      <c r="M454" s="147">
        <f t="shared" si="175"/>
        <v>27.8436851311146</v>
      </c>
      <c r="N454" s="147">
        <f t="shared" si="175"/>
        <v>25.0048822510292</v>
      </c>
      <c r="O454" s="147">
        <f t="shared" si="175"/>
        <v>25.659623718057</v>
      </c>
      <c r="P454" s="147">
        <f t="shared" si="175"/>
        <v>32.7572766248408</v>
      </c>
      <c r="Q454" s="316">
        <f>SUM(E454:P454)</f>
        <v>325.077247090643</v>
      </c>
      <c r="R454" s="686"/>
    </row>
    <row r="455" ht="15" spans="3:4">
      <c r="C455" s="663" t="s">
        <v>400</v>
      </c>
      <c r="D455" s="676"/>
    </row>
    <row r="456" spans="3:17">
      <c r="C456" s="55" t="s">
        <v>401</v>
      </c>
      <c r="D456" s="55" t="s">
        <v>401</v>
      </c>
      <c r="E456" s="147">
        <f>SUM('[38]TGSPDCL MoD'!AJ20:AJ22)</f>
        <v>138.391926965872</v>
      </c>
      <c r="F456" s="147">
        <f>SUM('[38]TGSPDCL MoD'!AK20:AK22)</f>
        <v>84.2858778458321</v>
      </c>
      <c r="G456" s="147">
        <f>SUM('[38]TGSPDCL MoD'!AL20:AL22)</f>
        <v>40.7834892802414</v>
      </c>
      <c r="H456" s="147">
        <f>SUM('[38]TGSPDCL MoD'!AM20:AM22)</f>
        <v>88.7054068012095</v>
      </c>
      <c r="I456" s="147">
        <f>SUM('[38]TGSPDCL MoD'!AN20:AN22)</f>
        <v>109.075841918136</v>
      </c>
      <c r="J456" s="147">
        <f>SUM('[38]TGSPDCL MoD'!AO20:AO22)</f>
        <v>112.754352715961</v>
      </c>
      <c r="K456" s="147">
        <f>SUM('[38]TGSPDCL MoD'!AP20:AP22)</f>
        <v>109.075841918136</v>
      </c>
      <c r="L456" s="147">
        <f>SUM('[38]TGSPDCL MoD'!AQ20:AQ22)</f>
        <v>138.932222202568</v>
      </c>
      <c r="M456" s="147">
        <f>SUM('[38]TGSPDCL MoD'!AR20:AR22)</f>
        <v>121.424650848852</v>
      </c>
      <c r="N456" s="147">
        <f>SUM('[38]TGSPDCL MoD'!AS20:AS22)</f>
        <v>120.484246580545</v>
      </c>
      <c r="O456" s="147">
        <f>SUM('[38]TGSPDCL MoD'!AT20:AT22)</f>
        <v>134.171092144155</v>
      </c>
      <c r="P456" s="147">
        <f>SUM('[38]TGSPDCL MoD'!AU20:AU22)</f>
        <v>160.094703005963</v>
      </c>
      <c r="Q456" s="147">
        <f>SUM(E456:P456)</f>
        <v>1358.17965222747</v>
      </c>
    </row>
    <row r="457" spans="3:17">
      <c r="C457" s="55" t="s">
        <v>402</v>
      </c>
      <c r="D457" s="55" t="s">
        <v>402</v>
      </c>
      <c r="E457" s="55">
        <v>0</v>
      </c>
      <c r="F457" s="55">
        <v>0</v>
      </c>
      <c r="G457" s="55">
        <v>0</v>
      </c>
      <c r="H457" s="55">
        <v>0</v>
      </c>
      <c r="I457" s="55">
        <v>0</v>
      </c>
      <c r="J457" s="55">
        <v>0</v>
      </c>
      <c r="K457" s="55">
        <v>0</v>
      </c>
      <c r="L457" s="55">
        <v>0</v>
      </c>
      <c r="M457" s="55">
        <v>0</v>
      </c>
      <c r="N457" s="55">
        <v>0</v>
      </c>
      <c r="O457" s="55">
        <v>0</v>
      </c>
      <c r="P457" s="55">
        <v>0</v>
      </c>
      <c r="Q457" s="55">
        <v>0</v>
      </c>
    </row>
    <row r="458" spans="3:17">
      <c r="C458" s="55" t="s">
        <v>403</v>
      </c>
      <c r="D458" s="55" t="s">
        <v>403</v>
      </c>
      <c r="E458" s="55">
        <v>0</v>
      </c>
      <c r="F458" s="55">
        <v>0</v>
      </c>
      <c r="G458" s="55">
        <v>0</v>
      </c>
      <c r="H458" s="55">
        <v>0</v>
      </c>
      <c r="I458" s="55">
        <v>0</v>
      </c>
      <c r="J458" s="55">
        <v>0</v>
      </c>
      <c r="K458" s="55">
        <v>0</v>
      </c>
      <c r="L458" s="55">
        <v>0</v>
      </c>
      <c r="M458" s="55">
        <v>0</v>
      </c>
      <c r="N458" s="55">
        <v>0</v>
      </c>
      <c r="O458" s="55">
        <v>0</v>
      </c>
      <c r="P458" s="55">
        <v>0</v>
      </c>
      <c r="Q458" s="55">
        <v>0</v>
      </c>
    </row>
    <row r="459" spans="3:17"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>
        <f t="shared" ref="Q459:Q464" si="176">SUM(E459:P459)</f>
        <v>0</v>
      </c>
    </row>
    <row r="460" spans="3:17"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>
        <f t="shared" si="176"/>
        <v>0</v>
      </c>
    </row>
    <row r="461" spans="3:17"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>
        <f t="shared" si="176"/>
        <v>0</v>
      </c>
    </row>
    <row r="462" spans="3:17"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>
        <f t="shared" si="176"/>
        <v>0</v>
      </c>
    </row>
    <row r="463" spans="3:17"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>
        <f t="shared" si="176"/>
        <v>0</v>
      </c>
    </row>
    <row r="464" ht="15" spans="3:18">
      <c r="C464" s="44" t="s">
        <v>404</v>
      </c>
      <c r="D464" s="45"/>
      <c r="E464" s="147">
        <f t="shared" ref="E464:P464" si="177">SUM(E456:E463)</f>
        <v>138.391926965872</v>
      </c>
      <c r="F464" s="147">
        <f t="shared" si="177"/>
        <v>84.2858778458321</v>
      </c>
      <c r="G464" s="147">
        <f t="shared" si="177"/>
        <v>40.7834892802414</v>
      </c>
      <c r="H464" s="147">
        <f t="shared" si="177"/>
        <v>88.7054068012095</v>
      </c>
      <c r="I464" s="147">
        <f t="shared" si="177"/>
        <v>109.075841918136</v>
      </c>
      <c r="J464" s="147">
        <f t="shared" si="177"/>
        <v>112.754352715961</v>
      </c>
      <c r="K464" s="147">
        <f t="shared" si="177"/>
        <v>109.075841918136</v>
      </c>
      <c r="L464" s="147">
        <f t="shared" si="177"/>
        <v>138.932222202568</v>
      </c>
      <c r="M464" s="147">
        <f t="shared" si="177"/>
        <v>121.424650848852</v>
      </c>
      <c r="N464" s="147">
        <f t="shared" si="177"/>
        <v>120.484246580545</v>
      </c>
      <c r="O464" s="147">
        <f t="shared" si="177"/>
        <v>134.171092144155</v>
      </c>
      <c r="P464" s="147">
        <f t="shared" si="177"/>
        <v>160.094703005963</v>
      </c>
      <c r="Q464" s="316">
        <f t="shared" si="176"/>
        <v>1358.17965222747</v>
      </c>
      <c r="R464" s="686"/>
    </row>
    <row r="465" ht="15" spans="3:17">
      <c r="C465" s="663" t="s">
        <v>405</v>
      </c>
      <c r="D465" s="676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</row>
    <row r="466" spans="3:17">
      <c r="C466" s="55"/>
      <c r="D466" s="55" t="s">
        <v>406</v>
      </c>
      <c r="E466" s="147" t="e">
        <f>'[38]TGSPDCL MoD'!F104*[38]Gen_Cost!$BN231/10</f>
        <v>#VALUE!</v>
      </c>
      <c r="F466" s="147" t="e">
        <f>'[38]TGSPDCL MoD'!G104*[38]Gen_Cost!$BN231/10</f>
        <v>#VALUE!</v>
      </c>
      <c r="G466" s="147" t="e">
        <f>'[38]TGSPDCL MoD'!H104*[38]Gen_Cost!$BN231/10</f>
        <v>#VALUE!</v>
      </c>
      <c r="H466" s="147" t="e">
        <f>'[38]TGSPDCL MoD'!I104*[38]Gen_Cost!$BN231/10</f>
        <v>#VALUE!</v>
      </c>
      <c r="I466" s="147" t="e">
        <f>'[38]TGSPDCL MoD'!J104*[38]Gen_Cost!$BN231/10</f>
        <v>#VALUE!</v>
      </c>
      <c r="J466" s="147" t="e">
        <f>'[38]TGSPDCL MoD'!K104*[38]Gen_Cost!$BN231/10</f>
        <v>#VALUE!</v>
      </c>
      <c r="K466" s="147" t="e">
        <f>'[38]TGSPDCL MoD'!L104*[38]Gen_Cost!$BN231/10</f>
        <v>#VALUE!</v>
      </c>
      <c r="L466" s="147" t="e">
        <f>'[38]TGSPDCL MoD'!M104*[38]Gen_Cost!$BN231/10</f>
        <v>#VALUE!</v>
      </c>
      <c r="M466" s="147" t="e">
        <f>'[38]TGSPDCL MoD'!N104*[38]Gen_Cost!$BN231/10</f>
        <v>#VALUE!</v>
      </c>
      <c r="N466" s="147" t="e">
        <f>'[38]TGSPDCL MoD'!O104*[38]Gen_Cost!$BN231/10</f>
        <v>#VALUE!</v>
      </c>
      <c r="O466" s="147" t="e">
        <f>'[38]TGSPDCL MoD'!P104*[38]Gen_Cost!$BN231/10</f>
        <v>#VALUE!</v>
      </c>
      <c r="P466" s="147" t="e">
        <f>'[38]TGSPDCL MoD'!Q104*[38]Gen_Cost!$BN231/10</f>
        <v>#VALUE!</v>
      </c>
      <c r="Q466" s="147" t="e">
        <f>SUM(E466:P466)</f>
        <v>#VALUE!</v>
      </c>
    </row>
    <row r="467" spans="3:17">
      <c r="C467" s="55"/>
      <c r="D467" s="55" t="s">
        <v>407</v>
      </c>
      <c r="E467" s="147">
        <v>0</v>
      </c>
      <c r="F467" s="147">
        <v>0</v>
      </c>
      <c r="G467" s="147">
        <v>0</v>
      </c>
      <c r="H467" s="147">
        <v>0</v>
      </c>
      <c r="I467" s="147">
        <v>0</v>
      </c>
      <c r="J467" s="147">
        <v>0</v>
      </c>
      <c r="K467" s="147">
        <v>0</v>
      </c>
      <c r="L467" s="147">
        <v>0</v>
      </c>
      <c r="M467" s="147">
        <v>0</v>
      </c>
      <c r="N467" s="147">
        <v>0</v>
      </c>
      <c r="O467" s="147">
        <v>0</v>
      </c>
      <c r="P467" s="147">
        <v>0</v>
      </c>
      <c r="Q467" s="147">
        <v>0</v>
      </c>
    </row>
    <row r="468" spans="3:17">
      <c r="C468" s="55"/>
      <c r="D468" s="55" t="s">
        <v>408</v>
      </c>
      <c r="E468" s="147" t="e">
        <f>'[38]TGSPDCL MoD'!F101*[38]Gen_Cost!$BN$233/10</f>
        <v>#REF!</v>
      </c>
      <c r="F468" s="147" t="e">
        <f>'[38]TGSPDCL MoD'!G101*[38]Gen_Cost!$BN$233/10</f>
        <v>#REF!</v>
      </c>
      <c r="G468" s="147" t="e">
        <f>'[38]TGSPDCL MoD'!H101*[38]Gen_Cost!$BN$233/10</f>
        <v>#REF!</v>
      </c>
      <c r="H468" s="147" t="e">
        <f>'[38]TGSPDCL MoD'!I101*[38]Gen_Cost!$BN$233/10</f>
        <v>#REF!</v>
      </c>
      <c r="I468" s="147" t="e">
        <f>'[38]TGSPDCL MoD'!J101*[38]Gen_Cost!$BN$233/10</f>
        <v>#REF!</v>
      </c>
      <c r="J468" s="147" t="e">
        <f>'[38]TGSPDCL MoD'!K101*[38]Gen_Cost!$BN$233/10</f>
        <v>#REF!</v>
      </c>
      <c r="K468" s="147" t="e">
        <f>'[38]TGSPDCL MoD'!L101*[38]Gen_Cost!$BN$233/10</f>
        <v>#REF!</v>
      </c>
      <c r="L468" s="147" t="e">
        <f>'[38]TGSPDCL MoD'!M101*[38]Gen_Cost!$BN$233/10</f>
        <v>#REF!</v>
      </c>
      <c r="M468" s="147" t="e">
        <f>'[38]TGSPDCL MoD'!N101*[38]Gen_Cost!$BN$233/10</f>
        <v>#REF!</v>
      </c>
      <c r="N468" s="147" t="e">
        <f>'[38]TGSPDCL MoD'!O101*[38]Gen_Cost!$BN$233/10</f>
        <v>#REF!</v>
      </c>
      <c r="O468" s="147" t="e">
        <f>'[38]TGSPDCL MoD'!P101*[38]Gen_Cost!$BN$233/10</f>
        <v>#REF!</v>
      </c>
      <c r="P468" s="147" t="e">
        <f>'[38]TGSPDCL MoD'!Q101*[38]Gen_Cost!$BN$233/10</f>
        <v>#REF!</v>
      </c>
      <c r="Q468" s="147" t="e">
        <f t="shared" ref="Q468:Q490" si="178">SUM(E468:P468)</f>
        <v>#REF!</v>
      </c>
    </row>
    <row r="469" spans="3:17">
      <c r="C469" s="55"/>
      <c r="D469" s="55" t="s">
        <v>409</v>
      </c>
      <c r="E469" s="147" t="e">
        <f>'[38]TGSPDCL MoD'!F102*[38]Gen_Cost!$BN$234/10</f>
        <v>#REF!</v>
      </c>
      <c r="F469" s="147" t="e">
        <f>'[38]TGSPDCL MoD'!G102*[38]Gen_Cost!$BN$234/10</f>
        <v>#REF!</v>
      </c>
      <c r="G469" s="147" t="e">
        <f>'[38]TGSPDCL MoD'!H102*[38]Gen_Cost!$BN$234/10</f>
        <v>#REF!</v>
      </c>
      <c r="H469" s="147" t="e">
        <f>'[38]TGSPDCL MoD'!I102*[38]Gen_Cost!$BN$234/10</f>
        <v>#REF!</v>
      </c>
      <c r="I469" s="147" t="e">
        <f>'[38]TGSPDCL MoD'!J102*[38]Gen_Cost!$BN$234/10</f>
        <v>#REF!</v>
      </c>
      <c r="J469" s="147" t="e">
        <f>'[38]TGSPDCL MoD'!K102*[38]Gen_Cost!$BN$234/10</f>
        <v>#REF!</v>
      </c>
      <c r="K469" s="147" t="e">
        <f>'[38]TGSPDCL MoD'!L102*[38]Gen_Cost!$BN$234/10</f>
        <v>#REF!</v>
      </c>
      <c r="L469" s="147" t="e">
        <f>'[38]TGSPDCL MoD'!M102*[38]Gen_Cost!$BN$234/10</f>
        <v>#REF!</v>
      </c>
      <c r="M469" s="147" t="e">
        <f>'[38]TGSPDCL MoD'!N102*[38]Gen_Cost!$BN$234/10</f>
        <v>#REF!</v>
      </c>
      <c r="N469" s="147" t="e">
        <f>'[38]TGSPDCL MoD'!O102*[38]Gen_Cost!$BN$234/10</f>
        <v>#REF!</v>
      </c>
      <c r="O469" s="147" t="e">
        <f>'[38]TGSPDCL MoD'!P102*[38]Gen_Cost!$BN$234/10</f>
        <v>#REF!</v>
      </c>
      <c r="P469" s="147" t="e">
        <f>'[38]TGSPDCL MoD'!Q102*[38]Gen_Cost!$BN$234/10</f>
        <v>#REF!</v>
      </c>
      <c r="Q469" s="147" t="e">
        <f t="shared" si="178"/>
        <v>#REF!</v>
      </c>
    </row>
    <row r="470" spans="3:17">
      <c r="C470" s="55"/>
      <c r="D470" s="55" t="s">
        <v>410</v>
      </c>
      <c r="E470" s="147" t="e">
        <f>SUM('[38]TGSPDCL MoD'!F99:F100)*[38]Gen_Cost!$BN$235/10</f>
        <v>#VALUE!</v>
      </c>
      <c r="F470" s="147" t="e">
        <f>SUM('[38]TGSPDCL MoD'!G99:G100)*[38]Gen_Cost!$BN$235/10</f>
        <v>#VALUE!</v>
      </c>
      <c r="G470" s="147" t="e">
        <f>SUM('[38]TGSPDCL MoD'!H99:H100)*[38]Gen_Cost!$BN$235/10</f>
        <v>#VALUE!</v>
      </c>
      <c r="H470" s="147" t="e">
        <f>SUM('[38]TGSPDCL MoD'!I99:I100)*[38]Gen_Cost!$BN$235/10</f>
        <v>#VALUE!</v>
      </c>
      <c r="I470" s="147" t="e">
        <f>SUM('[38]TGSPDCL MoD'!J99:J100)*[38]Gen_Cost!$BN$235/10</f>
        <v>#VALUE!</v>
      </c>
      <c r="J470" s="147" t="e">
        <f>SUM('[38]TGSPDCL MoD'!K99:K100)*[38]Gen_Cost!$BN$235/10</f>
        <v>#VALUE!</v>
      </c>
      <c r="K470" s="147" t="e">
        <f>SUM('[38]TGSPDCL MoD'!L99:L100)*[38]Gen_Cost!$BN$235/10</f>
        <v>#VALUE!</v>
      </c>
      <c r="L470" s="147" t="e">
        <f>SUM('[38]TGSPDCL MoD'!M99:M100)*[38]Gen_Cost!$BN$235/10</f>
        <v>#VALUE!</v>
      </c>
      <c r="M470" s="147" t="e">
        <f>SUM('[38]TGSPDCL MoD'!N99:N100)*[38]Gen_Cost!$BN$235/10</f>
        <v>#VALUE!</v>
      </c>
      <c r="N470" s="147" t="e">
        <f>SUM('[38]TGSPDCL MoD'!O99:O100)*[38]Gen_Cost!$BN$235/10</f>
        <v>#VALUE!</v>
      </c>
      <c r="O470" s="147" t="e">
        <f>SUM('[38]TGSPDCL MoD'!P99:P100)*[38]Gen_Cost!$BN$235/10</f>
        <v>#VALUE!</v>
      </c>
      <c r="P470" s="147" t="e">
        <f>SUM('[38]TGSPDCL MoD'!Q99:Q100)*[38]Gen_Cost!$BN$235/10</f>
        <v>#VALUE!</v>
      </c>
      <c r="Q470" s="147" t="e">
        <f t="shared" si="178"/>
        <v>#VALUE!</v>
      </c>
    </row>
    <row r="471" spans="3:17">
      <c r="C471" s="55"/>
      <c r="D471" s="55" t="s">
        <v>368</v>
      </c>
      <c r="E471" s="147">
        <f>'[38]TGSPDCL MoD'!F103*[38]Gen_Cost!$BN$236/10</f>
        <v>0.00169806342756752</v>
      </c>
      <c r="F471" s="147">
        <f>'[38]TGSPDCL MoD'!G103*[38]Gen_Cost!$BN$236/10</f>
        <v>0.00181959108266529</v>
      </c>
      <c r="G471" s="147">
        <f>'[38]TGSPDCL MoD'!H103*[38]Gen_Cost!$BN$236/10</f>
        <v>0.00188518447401194</v>
      </c>
      <c r="H471" s="147">
        <f>'[38]TGSPDCL MoD'!I103*[38]Gen_Cost!$BN$236/10</f>
        <v>0.00412143916355103</v>
      </c>
      <c r="I471" s="147">
        <f>'[38]TGSPDCL MoD'!J103*[38]Gen_Cost!$BN$236/10</f>
        <v>0.00967638678287898</v>
      </c>
      <c r="J471" s="147">
        <f>'[38]TGSPDCL MoD'!K103*[38]Gen_Cost!$BN$236/10</f>
        <v>0.00488721752704033</v>
      </c>
      <c r="K471" s="147">
        <f>'[38]TGSPDCL MoD'!L103*[38]Gen_Cost!$BN$236/10</f>
        <v>0.00538694995474754</v>
      </c>
      <c r="L471" s="147">
        <f>'[38]TGSPDCL MoD'!M103*[38]Gen_Cost!$BN$236/10</f>
        <v>0.00184761248791175</v>
      </c>
      <c r="M471" s="147">
        <f>'[38]TGSPDCL MoD'!N103*[38]Gen_Cost!$BN$236/10</f>
        <v>0.00316958844284514</v>
      </c>
      <c r="N471" s="147">
        <f>'[38]TGSPDCL MoD'!O103*[38]Gen_Cost!$BN$236/10</f>
        <v>0.00604801076494963</v>
      </c>
      <c r="O471" s="147">
        <f>'[38]TGSPDCL MoD'!P103*[38]Gen_Cost!$BN$236/10</f>
        <v>0.0054317898050051</v>
      </c>
      <c r="P471" s="147">
        <f>'[38]TGSPDCL MoD'!Q103*[38]Gen_Cost!$BN$236/10</f>
        <v>0.0025230815797835</v>
      </c>
      <c r="Q471" s="147">
        <f t="shared" si="178"/>
        <v>0.0484949154929578</v>
      </c>
    </row>
    <row r="472" spans="3:17">
      <c r="C472" s="55"/>
      <c r="D472" s="55" t="s">
        <v>411</v>
      </c>
      <c r="E472" s="690">
        <f>'[38]TGSPDCL MoD'!F114*[38]Gen_Cost!$BN237/10</f>
        <v>225.834514636636</v>
      </c>
      <c r="F472" s="690">
        <f>'[38]TGSPDCL MoD'!G114*[38]Gen_Cost!$BN237/10</f>
        <v>232.871369791474</v>
      </c>
      <c r="G472" s="690">
        <f>'[38]TGSPDCL MoD'!H114*[38]Gen_Cost!$BN237/10</f>
        <v>218.025992359182</v>
      </c>
      <c r="H472" s="690">
        <f>'[38]TGSPDCL MoD'!I114*[38]Gen_Cost!$BN237/10</f>
        <v>170.760875425465</v>
      </c>
      <c r="I472" s="690">
        <f>'[38]TGSPDCL MoD'!J114*[38]Gen_Cost!$BN237/10</f>
        <v>210.023835721289</v>
      </c>
      <c r="J472" s="690">
        <f>'[38]TGSPDCL MoD'!K114*[38]Gen_Cost!$BN237/10</f>
        <v>185.12924048191</v>
      </c>
      <c r="K472" s="690">
        <f>'[38]TGSPDCL MoD'!L114*[38]Gen_Cost!$BN237/10</f>
        <v>226.964217751951</v>
      </c>
      <c r="L472" s="690">
        <f>'[38]TGSPDCL MoD'!M114*[38]Gen_Cost!$BN237/10</f>
        <v>175.005601176483</v>
      </c>
      <c r="M472" s="690">
        <f>'[38]TGSPDCL MoD'!N114*[38]Gen_Cost!$BN237/10</f>
        <v>191.844684983766</v>
      </c>
      <c r="N472" s="690">
        <f>'[38]TGSPDCL MoD'!O114*[38]Gen_Cost!$BN237/10</f>
        <v>204.534533970776</v>
      </c>
      <c r="O472" s="690">
        <f>'[38]TGSPDCL MoD'!P114*[38]Gen_Cost!$BN237/10</f>
        <v>209.941615501911</v>
      </c>
      <c r="P472" s="690">
        <f>'[38]TGSPDCL MoD'!Q114*[38]Gen_Cost!$BN237/10</f>
        <v>225.116470392581</v>
      </c>
      <c r="Q472" s="690">
        <f t="shared" si="178"/>
        <v>2476.05295219342</v>
      </c>
    </row>
    <row r="473" spans="3:17">
      <c r="C473" s="55"/>
      <c r="D473" s="55" t="s">
        <v>412</v>
      </c>
      <c r="E473" s="147">
        <f>'[38]TGSPDCL MoD'!F107*[38]Gen_Cost!$BN$242/10</f>
        <v>6.57807668306281</v>
      </c>
      <c r="F473" s="147">
        <f>'[38]TGSPDCL MoD'!G107*[38]Gen_Cost!$BN$242/10</f>
        <v>6.78304523222639</v>
      </c>
      <c r="G473" s="147">
        <f>'[38]TGSPDCL MoD'!H107*[38]Gen_Cost!$BN$242/10</f>
        <v>6.35063112007995</v>
      </c>
      <c r="H473" s="147">
        <f>'[38]TGSPDCL MoD'!I107*[38]Gen_Cost!$BN$242/10</f>
        <v>4.97389929445896</v>
      </c>
      <c r="I473" s="147">
        <f>'[38]TGSPDCL MoD'!J107*[38]Gen_Cost!$BN$242/10</f>
        <v>6.11754540207694</v>
      </c>
      <c r="J473" s="147">
        <f>'[38]TGSPDCL MoD'!K107*[38]Gen_Cost!$BN$242/10</f>
        <v>5.39241905572579</v>
      </c>
      <c r="K473" s="147">
        <f>'[38]TGSPDCL MoD'!L107*[38]Gen_Cost!$BN$242/10</f>
        <v>6.61098252003637</v>
      </c>
      <c r="L473" s="147">
        <f>'[38]TGSPDCL MoD'!M107*[38]Gen_Cost!$BN$242/10</f>
        <v>5.09753908235274</v>
      </c>
      <c r="M473" s="147">
        <f>'[38]TGSPDCL MoD'!N107*[38]Gen_Cost!$BN$242/10</f>
        <v>5.58802559959328</v>
      </c>
      <c r="N473" s="147">
        <f>'[38]TGSPDCL MoD'!O107*[38]Gen_Cost!$BN$242/10</f>
        <v>5.95765377563779</v>
      </c>
      <c r="O473" s="147">
        <f>'[38]TGSPDCL MoD'!P107*[38]Gen_Cost!$BN$242/10</f>
        <v>6.11515050283471</v>
      </c>
      <c r="P473" s="147">
        <f>'[38]TGSPDCL MoD'!Q107*[38]Gen_Cost!$BN$242/10</f>
        <v>6.5571615890754</v>
      </c>
      <c r="Q473" s="147">
        <f t="shared" si="178"/>
        <v>72.1221298571611</v>
      </c>
    </row>
    <row r="474" spans="3:17">
      <c r="C474" s="55"/>
      <c r="D474" s="55" t="s">
        <v>413</v>
      </c>
      <c r="E474" s="147">
        <f>'[38]TGSPDCL MoD'!F108*[38]Gen_Cost!$BN$243/10</f>
        <v>26.1728793639985</v>
      </c>
      <c r="F474" s="147">
        <f>'[38]TGSPDCL MoD'!G108*[38]Gen_Cost!$BN$243/10</f>
        <v>26.9884090954297</v>
      </c>
      <c r="G474" s="147">
        <f>'[38]TGSPDCL MoD'!H108*[38]Gen_Cost!$BN$243/10</f>
        <v>25.2679179947955</v>
      </c>
      <c r="H474" s="147">
        <f>'[38]TGSPDCL MoD'!I108*[38]Gen_Cost!$BN$243/10</f>
        <v>19.7901715767074</v>
      </c>
      <c r="I474" s="147">
        <f>'[38]TGSPDCL MoD'!J108*[38]Gen_Cost!$BN$243/10</f>
        <v>24.3405155529128</v>
      </c>
      <c r="J474" s="147">
        <f>'[38]TGSPDCL MoD'!K108*[38]Gen_Cost!$BN$243/10</f>
        <v>21.4553797752209</v>
      </c>
      <c r="K474" s="147">
        <f>'[38]TGSPDCL MoD'!L108*[38]Gen_Cost!$BN$243/10</f>
        <v>26.3038052475015</v>
      </c>
      <c r="L474" s="147">
        <f>'[38]TGSPDCL MoD'!M108*[38]Gen_Cost!$BN$243/10</f>
        <v>20.28211008838</v>
      </c>
      <c r="M474" s="147">
        <f>'[38]TGSPDCL MoD'!N108*[38]Gen_Cost!$BN$243/10</f>
        <v>22.233659920333</v>
      </c>
      <c r="N474" s="147">
        <f>'[38]TGSPDCL MoD'!O108*[38]Gen_Cost!$BN$243/10</f>
        <v>23.7043380725133</v>
      </c>
      <c r="O474" s="147">
        <f>'[38]TGSPDCL MoD'!P108*[38]Gen_Cost!$BN$243/10</f>
        <v>24.3309867176657</v>
      </c>
      <c r="P474" s="147">
        <f>'[38]TGSPDCL MoD'!Q108*[38]Gen_Cost!$BN$243/10</f>
        <v>26.0896622994683</v>
      </c>
      <c r="Q474" s="147">
        <f t="shared" si="178"/>
        <v>286.959835704927</v>
      </c>
    </row>
    <row r="475" spans="3:17">
      <c r="C475" s="55"/>
      <c r="D475" s="55" t="s">
        <v>414</v>
      </c>
      <c r="E475" s="690">
        <f>'[38]TGSPDCL MoD'!F109*[38]Gen_Cost!$BN$240/10</f>
        <v>22.6800207351627</v>
      </c>
      <c r="F475" s="690">
        <f>'[38]TGSPDCL MoD'!G109*[38]Gen_Cost!$BN$240/10</f>
        <v>23.3867152857227</v>
      </c>
      <c r="G475" s="690">
        <f>'[38]TGSPDCL MoD'!H109*[38]Gen_Cost!$BN$240/10</f>
        <v>21.895829499166</v>
      </c>
      <c r="H475" s="690">
        <f>'[38]TGSPDCL MoD'!I109*[38]Gen_Cost!$BN$240/10</f>
        <v>17.14910673258</v>
      </c>
      <c r="I475" s="690">
        <f>'[38]TGSPDCL MoD'!J109*[38]Gen_Cost!$BN$240/10</f>
        <v>21.0921920269866</v>
      </c>
      <c r="J475" s="690">
        <f>'[38]TGSPDCL MoD'!K109*[38]Gen_Cost!$BN$240/10</f>
        <v>18.592087305921</v>
      </c>
      <c r="K475" s="690">
        <f>'[38]TGSPDCL MoD'!L109*[38]Gen_Cost!$BN$240/10</f>
        <v>22.7934741199172</v>
      </c>
      <c r="L475" s="690">
        <f>'[38]TGSPDCL MoD'!M109*[38]Gen_Cost!$BN$240/10</f>
        <v>17.5753943981437</v>
      </c>
      <c r="M475" s="690">
        <f>'[38]TGSPDCL MoD'!N109*[38]Gen_Cost!$BN$240/10</f>
        <v>19.2665033525249</v>
      </c>
      <c r="N475" s="690">
        <f>'[38]TGSPDCL MoD'!O109*[38]Gen_Cost!$BN$240/10</f>
        <v>20.5409145673675</v>
      </c>
      <c r="O475" s="690">
        <f>'[38]TGSPDCL MoD'!P109*[38]Gen_Cost!$BN$240/10</f>
        <v>21.0839348467971</v>
      </c>
      <c r="P475" s="690">
        <f>'[38]TGSPDCL MoD'!Q109*[38]Gen_Cost!$BN$240/10</f>
        <v>22.6079092673025</v>
      </c>
      <c r="Q475" s="690">
        <f t="shared" si="178"/>
        <v>248.664082137592</v>
      </c>
    </row>
    <row r="476" spans="3:17">
      <c r="C476" s="55"/>
      <c r="D476" s="55" t="s">
        <v>415</v>
      </c>
      <c r="E476" s="147">
        <f>'[38]TGSPDCL MoD'!F110*[38]Gen_Cost!$BN$239/10</f>
        <v>53.9749381871167</v>
      </c>
      <c r="F476" s="147">
        <f>'[38]TGSPDCL MoD'!G110*[38]Gen_Cost!$BN$239/10</f>
        <v>55.6567618119297</v>
      </c>
      <c r="G476" s="147">
        <f>'[38]TGSPDCL MoD'!H110*[38]Gen_Cost!$BN$239/10</f>
        <v>52.1086844484603</v>
      </c>
      <c r="H476" s="147">
        <f>'[38]TGSPDCL MoD'!I110*[38]Gen_Cost!$BN$239/10</f>
        <v>40.8122191184863</v>
      </c>
      <c r="I476" s="147">
        <f>'[38]TGSPDCL MoD'!J110*[38]Gen_Cost!$BN$239/10</f>
        <v>50.1961516782198</v>
      </c>
      <c r="J476" s="147">
        <f>'[38]TGSPDCL MoD'!K110*[38]Gen_Cost!$BN$239/10</f>
        <v>44.2462894908534</v>
      </c>
      <c r="K476" s="147">
        <f>'[38]TGSPDCL MoD'!L110*[38]Gen_Cost!$BN$239/10</f>
        <v>54.2449396787709</v>
      </c>
      <c r="L476" s="147">
        <f>'[38]TGSPDCL MoD'!M110*[38]Gen_Cost!$BN$239/10</f>
        <v>41.8267177676459</v>
      </c>
      <c r="M476" s="147">
        <f>'[38]TGSPDCL MoD'!N110*[38]Gen_Cost!$BN$239/10</f>
        <v>45.8512952733835</v>
      </c>
      <c r="N476" s="147">
        <f>'[38]TGSPDCL MoD'!O110*[38]Gen_Cost!$BN$239/10</f>
        <v>48.8841966692562</v>
      </c>
      <c r="O476" s="147">
        <f>'[38]TGSPDCL MoD'!P110*[38]Gen_Cost!$BN$239/10</f>
        <v>50.176500867688</v>
      </c>
      <c r="P476" s="147">
        <f>'[38]TGSPDCL MoD'!Q110*[38]Gen_Cost!$BN$239/10</f>
        <v>53.8033240574038</v>
      </c>
      <c r="Q476" s="147">
        <f t="shared" si="178"/>
        <v>591.782019049214</v>
      </c>
    </row>
    <row r="477" spans="3:17">
      <c r="C477" s="55"/>
      <c r="D477" s="55" t="s">
        <v>416</v>
      </c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>
        <f t="shared" si="178"/>
        <v>0</v>
      </c>
    </row>
    <row r="478" spans="3:17">
      <c r="C478" s="55"/>
      <c r="D478" s="55" t="s">
        <v>417</v>
      </c>
      <c r="E478" s="147">
        <f>[38]Gen_Cost!$BN238*'[38]TGSPDCL MoD'!F112/10</f>
        <v>65.9748418780058</v>
      </c>
      <c r="F478" s="147">
        <f>[38]Gen_Cost!$BN238*'[38]TGSPDCL MoD'!G112/10</f>
        <v>68.0305746206552</v>
      </c>
      <c r="G478" s="147">
        <f>[38]Gen_Cost!$BN238*'[38]TGSPDCL MoD'!H112/10</f>
        <v>63.6936758508166</v>
      </c>
      <c r="H478" s="147">
        <f>[38]Gen_Cost!$BN238*'[38]TGSPDCL MoD'!I112/10</f>
        <v>49.8857394463002</v>
      </c>
      <c r="I478" s="147">
        <f>[38]Gen_Cost!$BN238*'[38]TGSPDCL MoD'!J112/10</f>
        <v>61.3559418701735</v>
      </c>
      <c r="J478" s="147">
        <f>[38]Gen_Cost!$BN238*'[38]TGSPDCL MoD'!K112/10</f>
        <v>54.0832847779766</v>
      </c>
      <c r="K478" s="147">
        <f>[38]Gen_Cost!$BN238*'[38]TGSPDCL MoD'!L112/10</f>
        <v>66.3048710789093</v>
      </c>
      <c r="L478" s="147">
        <f>[38]Gen_Cost!$BN238*'[38]TGSPDCL MoD'!M112/10</f>
        <v>51.1257851084501</v>
      </c>
      <c r="M478" s="147">
        <f>[38]Gen_Cost!$BN238*'[38]TGSPDCL MoD'!N112/10</f>
        <v>56.0451212575039</v>
      </c>
      <c r="N478" s="147">
        <f>[38]Gen_Cost!$BN238*'[38]TGSPDCL MoD'!O112/10</f>
        <v>59.7523082732745</v>
      </c>
      <c r="O478" s="147">
        <f>[38]Gen_Cost!$BN238*'[38]TGSPDCL MoD'!P112/10</f>
        <v>61.3319222202925</v>
      </c>
      <c r="P478" s="147">
        <f>[38]Gen_Cost!$BN238*'[38]TGSPDCL MoD'!Q112/10</f>
        <v>65.7650738735927</v>
      </c>
      <c r="Q478" s="147">
        <f t="shared" si="178"/>
        <v>723.349140255951</v>
      </c>
    </row>
    <row r="479" spans="3:17">
      <c r="C479" s="55"/>
      <c r="D479" s="55" t="s">
        <v>418</v>
      </c>
      <c r="E479" s="147">
        <f>'[38]TGSPDCL MoD'!F113*[38]Gen_Cost!$BN241/10</f>
        <v>33.7629282839226</v>
      </c>
      <c r="F479" s="147">
        <f>'[38]TGSPDCL MoD'!G113*[38]Gen_Cost!$BN241/10</f>
        <v>34.8149589547854</v>
      </c>
      <c r="G479" s="147">
        <f>'[38]TGSPDCL MoD'!H113*[38]Gen_Cost!$BN241/10</f>
        <v>32.5955310945195</v>
      </c>
      <c r="H479" s="147">
        <f>'[38]TGSPDCL MoD'!I113*[38]Gen_Cost!$BN241/10</f>
        <v>25.5292562342219</v>
      </c>
      <c r="I479" s="147">
        <f>'[38]TGSPDCL MoD'!J113*[38]Gen_Cost!$BN241/10</f>
        <v>31.3991849951794</v>
      </c>
      <c r="J479" s="147">
        <f>'[38]TGSPDCL MoD'!K113*[38]Gen_Cost!$BN241/10</f>
        <v>27.6773693326052</v>
      </c>
      <c r="K479" s="147">
        <f>'[38]TGSPDCL MoD'!L113*[38]Gen_Cost!$BN241/10</f>
        <v>33.931822242961</v>
      </c>
      <c r="L479" s="147">
        <f>'[38]TGSPDCL MoD'!M113*[38]Gen_Cost!$BN241/10</f>
        <v>26.1638552960489</v>
      </c>
      <c r="M479" s="147">
        <f>'[38]TGSPDCL MoD'!N113*[38]Gen_Cost!$BN241/10</f>
        <v>28.6813481596488</v>
      </c>
      <c r="N479" s="147">
        <f>'[38]TGSPDCL MoD'!O113*[38]Gen_Cost!$BN241/10</f>
        <v>30.5785181381686</v>
      </c>
      <c r="O479" s="147">
        <f>'[38]TGSPDCL MoD'!P113*[38]Gen_Cost!$BN241/10</f>
        <v>31.3868928290557</v>
      </c>
      <c r="P479" s="147">
        <f>'[38]TGSPDCL MoD'!Q113*[38]Gen_Cost!$BN241/10</f>
        <v>33.655578544421</v>
      </c>
      <c r="Q479" s="147">
        <f t="shared" si="178"/>
        <v>370.177244105538</v>
      </c>
    </row>
    <row r="480" spans="3:17">
      <c r="C480" s="55"/>
      <c r="D480" s="697" t="s">
        <v>419</v>
      </c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>
        <f t="shared" si="178"/>
        <v>0</v>
      </c>
    </row>
    <row r="481" spans="3:17">
      <c r="C481" s="55"/>
      <c r="D481" s="697" t="s">
        <v>420</v>
      </c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>
        <f t="shared" si="178"/>
        <v>0</v>
      </c>
    </row>
    <row r="482" spans="3:17"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>
        <f t="shared" si="178"/>
        <v>0</v>
      </c>
    </row>
    <row r="483" spans="3:17"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>
        <f t="shared" si="178"/>
        <v>0</v>
      </c>
    </row>
    <row r="484" spans="3:17"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>
        <f t="shared" si="178"/>
        <v>0</v>
      </c>
    </row>
    <row r="485" spans="3:17"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>
        <f t="shared" si="178"/>
        <v>0</v>
      </c>
    </row>
    <row r="486" spans="3:17"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>
        <f t="shared" si="178"/>
        <v>0</v>
      </c>
    </row>
    <row r="487" spans="3:17"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>
        <f t="shared" si="178"/>
        <v>0</v>
      </c>
    </row>
    <row r="488" spans="3:17"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>
        <f t="shared" si="178"/>
        <v>0</v>
      </c>
    </row>
    <row r="489" spans="3:17"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>
        <f t="shared" si="178"/>
        <v>0</v>
      </c>
    </row>
    <row r="490" ht="15" spans="3:18">
      <c r="C490" s="698" t="s">
        <v>421</v>
      </c>
      <c r="D490" s="699"/>
      <c r="E490" s="55" t="e">
        <f t="shared" ref="E490:P490" si="179">SUM(E466:E489)</f>
        <v>#VALUE!</v>
      </c>
      <c r="F490" s="55" t="e">
        <f t="shared" si="179"/>
        <v>#VALUE!</v>
      </c>
      <c r="G490" s="55" t="e">
        <f t="shared" si="179"/>
        <v>#VALUE!</v>
      </c>
      <c r="H490" s="55" t="e">
        <f t="shared" si="179"/>
        <v>#VALUE!</v>
      </c>
      <c r="I490" s="55" t="e">
        <f t="shared" si="179"/>
        <v>#VALUE!</v>
      </c>
      <c r="J490" s="55" t="e">
        <f t="shared" si="179"/>
        <v>#VALUE!</v>
      </c>
      <c r="K490" s="55" t="e">
        <f t="shared" si="179"/>
        <v>#VALUE!</v>
      </c>
      <c r="L490" s="55" t="e">
        <f t="shared" si="179"/>
        <v>#VALUE!</v>
      </c>
      <c r="M490" s="55" t="e">
        <f t="shared" si="179"/>
        <v>#VALUE!</v>
      </c>
      <c r="N490" s="55" t="e">
        <f t="shared" si="179"/>
        <v>#VALUE!</v>
      </c>
      <c r="O490" s="55" t="e">
        <f t="shared" si="179"/>
        <v>#VALUE!</v>
      </c>
      <c r="P490" s="55" t="e">
        <f t="shared" si="179"/>
        <v>#VALUE!</v>
      </c>
      <c r="Q490" s="316" t="e">
        <f t="shared" si="178"/>
        <v>#VALUE!</v>
      </c>
      <c r="R490" s="686"/>
    </row>
    <row r="491" ht="15" spans="3:17">
      <c r="C491" s="663" t="s">
        <v>422</v>
      </c>
      <c r="D491" s="676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</row>
    <row r="492" spans="3:18">
      <c r="C492" s="55"/>
      <c r="D492" s="55" t="s">
        <v>451</v>
      </c>
      <c r="E492" s="147" t="e">
        <f>'[38]ST,D-D'!D17</f>
        <v>#REF!</v>
      </c>
      <c r="F492" s="147" t="e">
        <f>'[38]ST,D-D'!E17</f>
        <v>#REF!</v>
      </c>
      <c r="G492" s="147" t="e">
        <f>'[38]ST,D-D'!F17</f>
        <v>#REF!</v>
      </c>
      <c r="H492" s="147" t="e">
        <f>'[38]ST,D-D'!G17</f>
        <v>#REF!</v>
      </c>
      <c r="I492" s="147" t="e">
        <f>'[38]ST,D-D'!H17</f>
        <v>#REF!</v>
      </c>
      <c r="J492" s="147" t="e">
        <f>'[38]ST,D-D'!I17</f>
        <v>#REF!</v>
      </c>
      <c r="K492" s="147" t="e">
        <f>'[38]ST,D-D'!J17</f>
        <v>#REF!</v>
      </c>
      <c r="L492" s="147" t="e">
        <f>'[38]ST,D-D'!K17</f>
        <v>#REF!</v>
      </c>
      <c r="M492" s="147" t="e">
        <f>'[38]ST,D-D'!L17</f>
        <v>#REF!</v>
      </c>
      <c r="N492" s="147" t="e">
        <f>'[38]ST,D-D'!M17</f>
        <v>#REF!</v>
      </c>
      <c r="O492" s="147" t="e">
        <f>'[38]ST,D-D'!N17</f>
        <v>#VALUE!</v>
      </c>
      <c r="P492" s="147" t="e">
        <f>'[38]ST,D-D'!O17</f>
        <v>#REF!</v>
      </c>
      <c r="Q492" s="147" t="e">
        <f>SUM(E492:P492)</f>
        <v>#REF!</v>
      </c>
      <c r="R492" s="686"/>
    </row>
    <row r="493" spans="3:18">
      <c r="C493" s="55"/>
      <c r="D493" s="55" t="s">
        <v>423</v>
      </c>
      <c r="E493" s="147" t="e">
        <f>-'[38]ST,D-D'!D19</f>
        <v>#REF!</v>
      </c>
      <c r="F493" s="147" t="e">
        <f>-'[38]ST,D-D'!E19</f>
        <v>#REF!</v>
      </c>
      <c r="G493" s="147" t="e">
        <f>-'[38]ST,D-D'!F19</f>
        <v>#REF!</v>
      </c>
      <c r="H493" s="147" t="e">
        <f>-'[38]ST,D-D'!G19</f>
        <v>#REF!</v>
      </c>
      <c r="I493" s="147" t="e">
        <f>-'[38]ST,D-D'!H19</f>
        <v>#REF!</v>
      </c>
      <c r="J493" s="147" t="e">
        <f>-'[38]ST,D-D'!I19</f>
        <v>#REF!</v>
      </c>
      <c r="K493" s="147" t="e">
        <f>-'[38]ST,D-D'!J19</f>
        <v>#REF!</v>
      </c>
      <c r="L493" s="147" t="e">
        <f>-'[38]ST,D-D'!K19</f>
        <v>#REF!</v>
      </c>
      <c r="M493" s="147" t="e">
        <f>-'[38]ST,D-D'!L19</f>
        <v>#REF!</v>
      </c>
      <c r="N493" s="147" t="e">
        <f>-'[38]ST,D-D'!M19</f>
        <v>#REF!</v>
      </c>
      <c r="O493" s="147" t="e">
        <f>-'[38]ST,D-D'!N19</f>
        <v>#REF!</v>
      </c>
      <c r="P493" s="147" t="e">
        <f>-'[38]ST,D-D'!O19</f>
        <v>#REF!</v>
      </c>
      <c r="Q493" s="55" t="e">
        <f>SUM(E493:P493)</f>
        <v>#REF!</v>
      </c>
      <c r="R493" s="686"/>
    </row>
    <row r="494" spans="3:17"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>
        <f>SUM(E494:P494)</f>
        <v>0</v>
      </c>
    </row>
    <row r="495" spans="3:17"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>
        <v>0</v>
      </c>
    </row>
    <row r="496" spans="3:17">
      <c r="C496" s="55"/>
      <c r="D496" s="697" t="s">
        <v>534</v>
      </c>
      <c r="E496" s="55">
        <v>0</v>
      </c>
      <c r="F496" s="55">
        <v>0</v>
      </c>
      <c r="G496" s="55">
        <v>0</v>
      </c>
      <c r="H496" s="55">
        <v>0</v>
      </c>
      <c r="I496" s="55">
        <v>0</v>
      </c>
      <c r="J496" s="55">
        <v>0</v>
      </c>
      <c r="K496" s="55">
        <v>0</v>
      </c>
      <c r="L496" s="55">
        <v>0</v>
      </c>
      <c r="M496" s="55">
        <v>0</v>
      </c>
      <c r="N496" s="55">
        <v>0</v>
      </c>
      <c r="O496" s="55">
        <v>0</v>
      </c>
      <c r="P496" s="55">
        <v>0</v>
      </c>
      <c r="Q496" s="55">
        <v>0</v>
      </c>
    </row>
    <row r="497" spans="3:17">
      <c r="C497" s="55"/>
      <c r="D497" s="679" t="s">
        <v>535</v>
      </c>
      <c r="E497" s="55">
        <v>0</v>
      </c>
      <c r="F497" s="55">
        <v>0</v>
      </c>
      <c r="G497" s="55">
        <v>0</v>
      </c>
      <c r="H497" s="55">
        <v>0</v>
      </c>
      <c r="I497" s="55">
        <v>0</v>
      </c>
      <c r="J497" s="55">
        <v>0</v>
      </c>
      <c r="K497" s="55">
        <v>0</v>
      </c>
      <c r="L497" s="55">
        <v>0</v>
      </c>
      <c r="M497" s="55">
        <v>0</v>
      </c>
      <c r="N497" s="55">
        <v>0</v>
      </c>
      <c r="O497" s="55">
        <v>0</v>
      </c>
      <c r="P497" s="55">
        <v>0</v>
      </c>
      <c r="Q497" s="55">
        <v>0</v>
      </c>
    </row>
    <row r="498" spans="3:17">
      <c r="C498" s="55"/>
      <c r="D498" s="679" t="s">
        <v>502</v>
      </c>
      <c r="E498" s="55">
        <v>0</v>
      </c>
      <c r="F498" s="55">
        <v>0</v>
      </c>
      <c r="G498" s="55">
        <v>0</v>
      </c>
      <c r="H498" s="55">
        <v>0</v>
      </c>
      <c r="I498" s="55">
        <v>0</v>
      </c>
      <c r="J498" s="55">
        <v>0</v>
      </c>
      <c r="K498" s="55">
        <v>0</v>
      </c>
      <c r="L498" s="55">
        <v>0</v>
      </c>
      <c r="M498" s="55">
        <v>0</v>
      </c>
      <c r="N498" s="55">
        <v>0</v>
      </c>
      <c r="O498" s="55">
        <v>0</v>
      </c>
      <c r="P498" s="55">
        <v>0</v>
      </c>
      <c r="Q498" s="55">
        <v>0</v>
      </c>
    </row>
    <row r="499" spans="3:17">
      <c r="C499" s="55"/>
      <c r="D499" s="679" t="s">
        <v>503</v>
      </c>
      <c r="E499" s="55">
        <v>0</v>
      </c>
      <c r="F499" s="55">
        <v>0</v>
      </c>
      <c r="G499" s="55">
        <v>0</v>
      </c>
      <c r="H499" s="55">
        <v>0</v>
      </c>
      <c r="I499" s="55">
        <v>0</v>
      </c>
      <c r="J499" s="55">
        <v>0</v>
      </c>
      <c r="K499" s="55">
        <v>0</v>
      </c>
      <c r="L499" s="55">
        <v>0</v>
      </c>
      <c r="M499" s="55">
        <v>0</v>
      </c>
      <c r="N499" s="55">
        <v>0</v>
      </c>
      <c r="O499" s="55">
        <v>0</v>
      </c>
      <c r="P499" s="55">
        <v>0</v>
      </c>
      <c r="Q499" s="55">
        <v>0</v>
      </c>
    </row>
    <row r="500" spans="3:17">
      <c r="C500" s="55"/>
      <c r="D500" s="688" t="s">
        <v>504</v>
      </c>
      <c r="E500" s="55">
        <v>0</v>
      </c>
      <c r="F500" s="55">
        <v>0</v>
      </c>
      <c r="G500" s="55">
        <v>0</v>
      </c>
      <c r="H500" s="55">
        <v>0</v>
      </c>
      <c r="I500" s="55">
        <v>0</v>
      </c>
      <c r="J500" s="55">
        <v>0</v>
      </c>
      <c r="K500" s="55">
        <v>0</v>
      </c>
      <c r="L500" s="55">
        <v>0</v>
      </c>
      <c r="M500" s="55">
        <v>0</v>
      </c>
      <c r="N500" s="55">
        <v>0</v>
      </c>
      <c r="O500" s="55">
        <v>0</v>
      </c>
      <c r="P500" s="55">
        <v>0</v>
      </c>
      <c r="Q500" s="55">
        <v>0</v>
      </c>
    </row>
    <row r="501" spans="3:17">
      <c r="C501" s="55"/>
      <c r="D501" s="679" t="s">
        <v>505</v>
      </c>
      <c r="E501" s="55">
        <v>0</v>
      </c>
      <c r="F501" s="55">
        <v>0</v>
      </c>
      <c r="G501" s="55">
        <v>0</v>
      </c>
      <c r="H501" s="55">
        <v>0</v>
      </c>
      <c r="I501" s="55">
        <v>0</v>
      </c>
      <c r="J501" s="55">
        <v>0</v>
      </c>
      <c r="K501" s="55">
        <v>0</v>
      </c>
      <c r="L501" s="55">
        <v>0</v>
      </c>
      <c r="M501" s="55">
        <v>0</v>
      </c>
      <c r="N501" s="55">
        <v>0</v>
      </c>
      <c r="O501" s="55">
        <v>0</v>
      </c>
      <c r="P501" s="55">
        <v>0</v>
      </c>
      <c r="Q501" s="55">
        <v>0</v>
      </c>
    </row>
    <row r="502" spans="3:17">
      <c r="C502" s="55"/>
      <c r="D502" s="679" t="s">
        <v>506</v>
      </c>
      <c r="E502" s="55">
        <v>0</v>
      </c>
      <c r="F502" s="55">
        <v>0</v>
      </c>
      <c r="G502" s="55">
        <v>0</v>
      </c>
      <c r="H502" s="55">
        <v>0</v>
      </c>
      <c r="I502" s="55">
        <v>0</v>
      </c>
      <c r="J502" s="55">
        <v>0</v>
      </c>
      <c r="K502" s="55">
        <v>0</v>
      </c>
      <c r="L502" s="55">
        <v>0</v>
      </c>
      <c r="M502" s="55">
        <v>0</v>
      </c>
      <c r="N502" s="55">
        <v>0</v>
      </c>
      <c r="O502" s="55">
        <v>0</v>
      </c>
      <c r="P502" s="55">
        <v>0</v>
      </c>
      <c r="Q502" s="55">
        <v>0</v>
      </c>
    </row>
    <row r="503" spans="3:17">
      <c r="C503" s="55"/>
      <c r="D503" s="679" t="s">
        <v>507</v>
      </c>
      <c r="E503" s="55">
        <v>0</v>
      </c>
      <c r="F503" s="55">
        <v>0</v>
      </c>
      <c r="G503" s="55">
        <v>0</v>
      </c>
      <c r="H503" s="55">
        <v>0</v>
      </c>
      <c r="I503" s="55">
        <v>0</v>
      </c>
      <c r="J503" s="55">
        <v>0</v>
      </c>
      <c r="K503" s="55">
        <v>0</v>
      </c>
      <c r="L503" s="55">
        <v>0</v>
      </c>
      <c r="M503" s="55">
        <v>0</v>
      </c>
      <c r="N503" s="55">
        <v>0</v>
      </c>
      <c r="O503" s="55">
        <v>0</v>
      </c>
      <c r="P503" s="55">
        <v>0</v>
      </c>
      <c r="Q503" s="55">
        <v>0</v>
      </c>
    </row>
    <row r="504" spans="3:17">
      <c r="C504" s="55"/>
      <c r="D504" s="679" t="s">
        <v>508</v>
      </c>
      <c r="E504" s="55">
        <v>0</v>
      </c>
      <c r="F504" s="55">
        <v>0</v>
      </c>
      <c r="G504" s="55">
        <v>0</v>
      </c>
      <c r="H504" s="55">
        <v>0</v>
      </c>
      <c r="I504" s="55">
        <v>0</v>
      </c>
      <c r="J504" s="55">
        <v>0</v>
      </c>
      <c r="K504" s="55">
        <v>0</v>
      </c>
      <c r="L504" s="55">
        <v>0</v>
      </c>
      <c r="M504" s="55">
        <v>0</v>
      </c>
      <c r="N504" s="55">
        <v>0</v>
      </c>
      <c r="O504" s="55">
        <v>0</v>
      </c>
      <c r="P504" s="55">
        <v>0</v>
      </c>
      <c r="Q504" s="55">
        <v>0</v>
      </c>
    </row>
    <row r="505" spans="3:17">
      <c r="C505" s="55"/>
      <c r="D505" s="679" t="s">
        <v>509</v>
      </c>
      <c r="E505" s="55">
        <v>0</v>
      </c>
      <c r="F505" s="55">
        <v>0</v>
      </c>
      <c r="G505" s="55">
        <v>0</v>
      </c>
      <c r="H505" s="55">
        <v>0</v>
      </c>
      <c r="I505" s="55">
        <v>0</v>
      </c>
      <c r="J505" s="55">
        <v>0</v>
      </c>
      <c r="K505" s="55">
        <v>0</v>
      </c>
      <c r="L505" s="55">
        <v>0</v>
      </c>
      <c r="M505" s="55">
        <v>0</v>
      </c>
      <c r="N505" s="55">
        <v>0</v>
      </c>
      <c r="O505" s="55">
        <v>0</v>
      </c>
      <c r="P505" s="55">
        <v>0</v>
      </c>
      <c r="Q505" s="55">
        <v>0</v>
      </c>
    </row>
    <row r="506" spans="3:17">
      <c r="C506" s="55"/>
      <c r="D506" s="679" t="s">
        <v>510</v>
      </c>
      <c r="E506" s="55">
        <v>0</v>
      </c>
      <c r="F506" s="55">
        <v>0</v>
      </c>
      <c r="G506" s="55">
        <v>0</v>
      </c>
      <c r="H506" s="55">
        <v>0</v>
      </c>
      <c r="I506" s="55">
        <v>0</v>
      </c>
      <c r="J506" s="55">
        <v>0</v>
      </c>
      <c r="K506" s="55">
        <v>0</v>
      </c>
      <c r="L506" s="55">
        <v>0</v>
      </c>
      <c r="M506" s="55">
        <v>0</v>
      </c>
      <c r="N506" s="55">
        <v>0</v>
      </c>
      <c r="O506" s="55">
        <v>0</v>
      </c>
      <c r="P506" s="55">
        <v>0</v>
      </c>
      <c r="Q506" s="55">
        <v>0</v>
      </c>
    </row>
    <row r="507" spans="3:17">
      <c r="C507" s="55"/>
      <c r="D507" s="679" t="s">
        <v>511</v>
      </c>
      <c r="E507" s="55">
        <v>0</v>
      </c>
      <c r="F507" s="55">
        <v>0</v>
      </c>
      <c r="G507" s="55">
        <v>0</v>
      </c>
      <c r="H507" s="55">
        <v>0</v>
      </c>
      <c r="I507" s="55">
        <v>0</v>
      </c>
      <c r="J507" s="55">
        <v>0</v>
      </c>
      <c r="K507" s="55">
        <v>0</v>
      </c>
      <c r="L507" s="55">
        <v>0</v>
      </c>
      <c r="M507" s="55">
        <v>0</v>
      </c>
      <c r="N507" s="55">
        <v>0</v>
      </c>
      <c r="O507" s="55">
        <v>0</v>
      </c>
      <c r="P507" s="55">
        <v>0</v>
      </c>
      <c r="Q507" s="55">
        <v>0</v>
      </c>
    </row>
    <row r="508" spans="3:17">
      <c r="C508" s="55"/>
      <c r="D508" s="679" t="s">
        <v>512</v>
      </c>
      <c r="E508" s="55">
        <v>0</v>
      </c>
      <c r="F508" s="55">
        <v>0</v>
      </c>
      <c r="G508" s="55">
        <v>0</v>
      </c>
      <c r="H508" s="55">
        <v>0</v>
      </c>
      <c r="I508" s="55">
        <v>0</v>
      </c>
      <c r="J508" s="55">
        <v>0</v>
      </c>
      <c r="K508" s="55">
        <v>0</v>
      </c>
      <c r="L508" s="55">
        <v>0</v>
      </c>
      <c r="M508" s="55">
        <v>0</v>
      </c>
      <c r="N508" s="55">
        <v>0</v>
      </c>
      <c r="O508" s="55">
        <v>0</v>
      </c>
      <c r="P508" s="55">
        <v>0</v>
      </c>
      <c r="Q508" s="55">
        <v>0</v>
      </c>
    </row>
    <row r="509" spans="3:17"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>
        <v>0</v>
      </c>
    </row>
    <row r="510" spans="3:17"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>
        <v>0</v>
      </c>
    </row>
    <row r="511" spans="3:17"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>
        <v>0</v>
      </c>
    </row>
    <row r="512" spans="3:17"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>
        <f t="shared" ref="Q512:Q520" si="180">SUM(E512:P512)</f>
        <v>0</v>
      </c>
    </row>
    <row r="513" spans="3:17"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>
        <f t="shared" si="180"/>
        <v>0</v>
      </c>
    </row>
    <row r="514" spans="3:17"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>
        <f t="shared" si="180"/>
        <v>0</v>
      </c>
    </row>
    <row r="515" spans="3:17"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>
        <f t="shared" si="180"/>
        <v>0</v>
      </c>
    </row>
    <row r="516" spans="3:17"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>
        <f t="shared" si="180"/>
        <v>0</v>
      </c>
    </row>
    <row r="517" spans="3:17"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>
        <f t="shared" si="180"/>
        <v>0</v>
      </c>
    </row>
    <row r="518" spans="3:17"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>
        <f t="shared" si="180"/>
        <v>0</v>
      </c>
    </row>
    <row r="519" spans="3:17"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>
        <f t="shared" si="180"/>
        <v>0</v>
      </c>
    </row>
    <row r="520" ht="15" spans="3:17">
      <c r="C520" s="44" t="s">
        <v>424</v>
      </c>
      <c r="D520" s="45"/>
      <c r="E520" s="55" t="e">
        <f t="shared" ref="E520:P520" si="181">SUM(E492:E519)</f>
        <v>#REF!</v>
      </c>
      <c r="F520" s="55" t="e">
        <f t="shared" si="181"/>
        <v>#REF!</v>
      </c>
      <c r="G520" s="55" t="e">
        <f t="shared" si="181"/>
        <v>#REF!</v>
      </c>
      <c r="H520" s="55" t="e">
        <f t="shared" si="181"/>
        <v>#REF!</v>
      </c>
      <c r="I520" s="55" t="e">
        <f t="shared" si="181"/>
        <v>#REF!</v>
      </c>
      <c r="J520" s="55" t="e">
        <f t="shared" si="181"/>
        <v>#REF!</v>
      </c>
      <c r="K520" s="55" t="e">
        <f t="shared" si="181"/>
        <v>#REF!</v>
      </c>
      <c r="L520" s="55" t="e">
        <f t="shared" si="181"/>
        <v>#REF!</v>
      </c>
      <c r="M520" s="55" t="e">
        <f t="shared" si="181"/>
        <v>#REF!</v>
      </c>
      <c r="N520" s="55" t="e">
        <f t="shared" si="181"/>
        <v>#REF!</v>
      </c>
      <c r="O520" s="55" t="e">
        <f t="shared" si="181"/>
        <v>#VALUE!</v>
      </c>
      <c r="P520" s="55" t="e">
        <f t="shared" si="181"/>
        <v>#REF!</v>
      </c>
      <c r="Q520" s="316" t="e">
        <f t="shared" si="180"/>
        <v>#REF!</v>
      </c>
    </row>
    <row r="521" ht="15" spans="3:17">
      <c r="C521" s="663" t="s">
        <v>425</v>
      </c>
      <c r="D521" s="676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</row>
    <row r="522" spans="3:18">
      <c r="C522" s="55" t="s">
        <v>426</v>
      </c>
      <c r="D522" s="55" t="s">
        <v>427</v>
      </c>
      <c r="E522" s="147" t="e">
        <f>'[38]ST,D-D'!D21</f>
        <v>#REF!</v>
      </c>
      <c r="F522" s="147" t="e">
        <f>'[38]ST,D-D'!E21</f>
        <v>#REF!</v>
      </c>
      <c r="G522" s="147" t="e">
        <f>'[38]ST,D-D'!F21</f>
        <v>#REF!</v>
      </c>
      <c r="H522" s="147" t="e">
        <f>'[38]ST,D-D'!G21</f>
        <v>#REF!</v>
      </c>
      <c r="I522" s="147" t="e">
        <f>'[38]ST,D-D'!H21</f>
        <v>#REF!</v>
      </c>
      <c r="J522" s="147" t="e">
        <f>'[38]ST,D-D'!I21</f>
        <v>#REF!</v>
      </c>
      <c r="K522" s="147" t="e">
        <f>'[38]ST,D-D'!J21</f>
        <v>#REF!</v>
      </c>
      <c r="L522" s="147" t="e">
        <f>'[38]ST,D-D'!K21</f>
        <v>#REF!</v>
      </c>
      <c r="M522" s="147" t="e">
        <f>'[38]ST,D-D'!L21</f>
        <v>#REF!</v>
      </c>
      <c r="N522" s="147" t="e">
        <f>'[38]ST,D-D'!M21</f>
        <v>#REF!</v>
      </c>
      <c r="O522" s="147" t="e">
        <f>'[38]ST,D-D'!N21</f>
        <v>#REF!</v>
      </c>
      <c r="P522" s="147" t="e">
        <f>'[38]ST,D-D'!O21</f>
        <v>#REF!</v>
      </c>
      <c r="Q522" s="147" t="e">
        <f>SUM(E522:P522)</f>
        <v>#REF!</v>
      </c>
      <c r="R522" s="686"/>
    </row>
    <row r="523" spans="3:17">
      <c r="C523" s="55" t="s">
        <v>426</v>
      </c>
      <c r="D523" s="55" t="s">
        <v>428</v>
      </c>
      <c r="E523" s="147" t="e">
        <f>IF('[38]ST,D-D'!D19&lt;0,'[38]ST,D-D'!D19,0)</f>
        <v>#REF!</v>
      </c>
      <c r="F523" s="147" t="e">
        <f>IF('[38]ST,D-D'!E19&lt;0,'[38]ST,D-D'!E19,0)</f>
        <v>#REF!</v>
      </c>
      <c r="G523" s="147" t="e">
        <f>IF('[38]ST,D-D'!F19&lt;0,'[38]ST,D-D'!F19,0)</f>
        <v>#REF!</v>
      </c>
      <c r="H523" s="147" t="e">
        <f>IF('[38]ST,D-D'!G19&lt;0,'[38]ST,D-D'!G19,0)</f>
        <v>#REF!</v>
      </c>
      <c r="I523" s="147" t="e">
        <f>IF('[38]ST,D-D'!H19&lt;0,'[38]ST,D-D'!H19,0)</f>
        <v>#REF!</v>
      </c>
      <c r="J523" s="147" t="e">
        <f>IF('[38]ST,D-D'!I19&lt;0,'[38]ST,D-D'!I19,0)</f>
        <v>#REF!</v>
      </c>
      <c r="K523" s="147" t="e">
        <f>IF('[38]ST,D-D'!J19&lt;0,'[38]ST,D-D'!J19,0)</f>
        <v>#REF!</v>
      </c>
      <c r="L523" s="147" t="e">
        <f>IF('[38]ST,D-D'!K19&lt;0,'[38]ST,D-D'!K19,0)</f>
        <v>#REF!</v>
      </c>
      <c r="M523" s="147" t="e">
        <f>IF('[38]ST,D-D'!L19&lt;0,'[38]ST,D-D'!L19,0)</f>
        <v>#REF!</v>
      </c>
      <c r="N523" s="147" t="e">
        <f>IF('[38]ST,D-D'!M19&lt;0,'[38]ST,D-D'!M19,0)</f>
        <v>#REF!</v>
      </c>
      <c r="O523" s="147" t="e">
        <f>IF('[38]ST,D-D'!N19&lt;0,'[38]ST,D-D'!N19,0)</f>
        <v>#REF!</v>
      </c>
      <c r="P523" s="147" t="e">
        <f>IF('[38]ST,D-D'!O19&lt;0,'[38]ST,D-D'!O19,0)</f>
        <v>#REF!</v>
      </c>
      <c r="Q523" s="147" t="e">
        <f>SUM(E523:P523)</f>
        <v>#REF!</v>
      </c>
    </row>
    <row r="524" ht="15" spans="3:18">
      <c r="C524" s="44" t="s">
        <v>429</v>
      </c>
      <c r="D524" s="45"/>
      <c r="E524" s="147" t="e">
        <f t="shared" ref="E524:Q524" si="182">E522+E523</f>
        <v>#REF!</v>
      </c>
      <c r="F524" s="147" t="e">
        <f t="shared" si="182"/>
        <v>#REF!</v>
      </c>
      <c r="G524" s="147" t="e">
        <f t="shared" si="182"/>
        <v>#REF!</v>
      </c>
      <c r="H524" s="147" t="e">
        <f t="shared" si="182"/>
        <v>#REF!</v>
      </c>
      <c r="I524" s="147" t="e">
        <f t="shared" si="182"/>
        <v>#REF!</v>
      </c>
      <c r="J524" s="147" t="e">
        <f t="shared" si="182"/>
        <v>#REF!</v>
      </c>
      <c r="K524" s="147" t="e">
        <f t="shared" si="182"/>
        <v>#REF!</v>
      </c>
      <c r="L524" s="147" t="e">
        <f t="shared" si="182"/>
        <v>#REF!</v>
      </c>
      <c r="M524" s="147" t="e">
        <f t="shared" si="182"/>
        <v>#REF!</v>
      </c>
      <c r="N524" s="147" t="e">
        <f t="shared" si="182"/>
        <v>#REF!</v>
      </c>
      <c r="O524" s="147" t="e">
        <f t="shared" si="182"/>
        <v>#REF!</v>
      </c>
      <c r="P524" s="147" t="e">
        <f t="shared" si="182"/>
        <v>#REF!</v>
      </c>
      <c r="Q524" s="147" t="e">
        <f t="shared" si="182"/>
        <v>#REF!</v>
      </c>
      <c r="R524" s="686"/>
    </row>
    <row r="525" ht="15" spans="3:17">
      <c r="C525" s="44" t="s">
        <v>224</v>
      </c>
      <c r="D525" s="45"/>
      <c r="E525" s="700" t="e">
        <f t="shared" ref="E525:Q525" si="183">E398+E445+E454+E464+E490+E520+E524</f>
        <v>#REF!</v>
      </c>
      <c r="F525" s="700" t="e">
        <f t="shared" si="183"/>
        <v>#REF!</v>
      </c>
      <c r="G525" s="700" t="e">
        <f t="shared" si="183"/>
        <v>#REF!</v>
      </c>
      <c r="H525" s="700" t="e">
        <f t="shared" si="183"/>
        <v>#REF!</v>
      </c>
      <c r="I525" s="700" t="e">
        <f t="shared" si="183"/>
        <v>#REF!</v>
      </c>
      <c r="J525" s="700" t="e">
        <f t="shared" si="183"/>
        <v>#REF!</v>
      </c>
      <c r="K525" s="700" t="e">
        <f t="shared" si="183"/>
        <v>#REF!</v>
      </c>
      <c r="L525" s="700" t="e">
        <f t="shared" si="183"/>
        <v>#REF!</v>
      </c>
      <c r="M525" s="700" t="e">
        <f t="shared" si="183"/>
        <v>#REF!</v>
      </c>
      <c r="N525" s="700" t="e">
        <f t="shared" si="183"/>
        <v>#REF!</v>
      </c>
      <c r="O525" s="700" t="e">
        <f t="shared" si="183"/>
        <v>#REF!</v>
      </c>
      <c r="P525" s="700" t="e">
        <f t="shared" si="183"/>
        <v>#REF!</v>
      </c>
      <c r="Q525" s="693" t="e">
        <f t="shared" si="183"/>
        <v>#REF!</v>
      </c>
    </row>
    <row r="526" spans="4:5">
      <c r="D526" s="13"/>
      <c r="E526" s="13"/>
    </row>
    <row r="527" spans="5:5">
      <c r="E527" s="13"/>
    </row>
    <row r="528" spans="5:5">
      <c r="E528" s="13"/>
    </row>
  </sheetData>
  <mergeCells count="91">
    <mergeCell ref="C2:Q2"/>
    <mergeCell ref="E6:Q6"/>
    <mergeCell ref="C9:D9"/>
    <mergeCell ref="C10:D10"/>
    <mergeCell ref="C29:D29"/>
    <mergeCell ref="C30:D30"/>
    <mergeCell ref="C49:D49"/>
    <mergeCell ref="C50:D50"/>
    <mergeCell ref="C51:D51"/>
    <mergeCell ref="C52:D52"/>
    <mergeCell ref="C79:D79"/>
    <mergeCell ref="C80:D80"/>
    <mergeCell ref="C95:D95"/>
    <mergeCell ref="C96:D96"/>
    <mergeCell ref="C97:D97"/>
    <mergeCell ref="C105:D105"/>
    <mergeCell ref="C106:D106"/>
    <mergeCell ref="C115:D115"/>
    <mergeCell ref="C116:D116"/>
    <mergeCell ref="C141:D141"/>
    <mergeCell ref="C142:D142"/>
    <mergeCell ref="C173:D173"/>
    <mergeCell ref="C174:D174"/>
    <mergeCell ref="C177:D177"/>
    <mergeCell ref="C178:D178"/>
    <mergeCell ref="E182:Q182"/>
    <mergeCell ref="C185:D185"/>
    <mergeCell ref="C186:D186"/>
    <mergeCell ref="C205:D205"/>
    <mergeCell ref="C206:D206"/>
    <mergeCell ref="C225:D225"/>
    <mergeCell ref="C226:D226"/>
    <mergeCell ref="C227:D227"/>
    <mergeCell ref="C228:D228"/>
    <mergeCell ref="C255:D255"/>
    <mergeCell ref="C256:D256"/>
    <mergeCell ref="C271:D271"/>
    <mergeCell ref="C272:D272"/>
    <mergeCell ref="C273:D273"/>
    <mergeCell ref="C281:D281"/>
    <mergeCell ref="C282:D282"/>
    <mergeCell ref="C291:D291"/>
    <mergeCell ref="C292:D292"/>
    <mergeCell ref="C317:D317"/>
    <mergeCell ref="C318:D318"/>
    <mergeCell ref="C345:D345"/>
    <mergeCell ref="C346:D346"/>
    <mergeCell ref="C349:D349"/>
    <mergeCell ref="C350:D350"/>
    <mergeCell ref="E354:Q354"/>
    <mergeCell ref="C357:D357"/>
    <mergeCell ref="C358:D358"/>
    <mergeCell ref="C377:D377"/>
    <mergeCell ref="C378:D378"/>
    <mergeCell ref="C397:D397"/>
    <mergeCell ref="C398:D398"/>
    <mergeCell ref="C399:D399"/>
    <mergeCell ref="C400:D400"/>
    <mergeCell ref="C428:D428"/>
    <mergeCell ref="C429:D429"/>
    <mergeCell ref="C444:D444"/>
    <mergeCell ref="C445:D445"/>
    <mergeCell ref="C446:D446"/>
    <mergeCell ref="C454:D454"/>
    <mergeCell ref="C455:D455"/>
    <mergeCell ref="C464:D464"/>
    <mergeCell ref="C465:D465"/>
    <mergeCell ref="C490:D490"/>
    <mergeCell ref="C491:D491"/>
    <mergeCell ref="C520:D520"/>
    <mergeCell ref="C521:D521"/>
    <mergeCell ref="C524:D524"/>
    <mergeCell ref="C525:D525"/>
    <mergeCell ref="C6:C8"/>
    <mergeCell ref="C11:C28"/>
    <mergeCell ref="C31:C48"/>
    <mergeCell ref="C53:C61"/>
    <mergeCell ref="C81:C84"/>
    <mergeCell ref="C182:C184"/>
    <mergeCell ref="C187:C204"/>
    <mergeCell ref="C207:C224"/>
    <mergeCell ref="C229:C237"/>
    <mergeCell ref="C257:C260"/>
    <mergeCell ref="C354:C356"/>
    <mergeCell ref="C359:C376"/>
    <mergeCell ref="C379:C396"/>
    <mergeCell ref="C401:C410"/>
    <mergeCell ref="C430:C433"/>
    <mergeCell ref="D6:D8"/>
    <mergeCell ref="D182:D184"/>
    <mergeCell ref="D354:D356"/>
  </mergeCells>
  <pageMargins left="0.7" right="0.7" top="0.75" bottom="0.75" header="0.3" footer="0.3"/>
  <pageSetup paperSize="1" orientation="portrait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B2:U528"/>
  <sheetViews>
    <sheetView showGridLines="0" zoomScale="56" zoomScaleNormal="56" topLeftCell="B487" workbookViewId="0">
      <selection activeCell="H500" sqref="H500"/>
    </sheetView>
  </sheetViews>
  <sheetFormatPr defaultColWidth="9.14285714285714" defaultRowHeight="14.25"/>
  <cols>
    <col min="1" max="1" width="3.14285714285714" style="12" customWidth="1"/>
    <col min="2" max="2" width="8.14285714285714" style="12" customWidth="1"/>
    <col min="3" max="3" width="22.1428571428571" style="12" customWidth="1"/>
    <col min="4" max="4" width="40.1428571428571" style="12" customWidth="1"/>
    <col min="5" max="5" width="15.1428571428571" style="12" customWidth="1"/>
    <col min="6" max="6" width="14.4285714285714" style="12" customWidth="1"/>
    <col min="7" max="8" width="15.1428571428571" style="12" customWidth="1"/>
    <col min="9" max="10" width="14.8571428571429" style="12" customWidth="1"/>
    <col min="11" max="11" width="12.5714285714286" style="12" customWidth="1"/>
    <col min="12" max="12" width="15.1428571428571" style="12" customWidth="1"/>
    <col min="13" max="13" width="14.8571428571429" style="12" customWidth="1"/>
    <col min="14" max="14" width="14.4285714285714" style="12" customWidth="1"/>
    <col min="15" max="16" width="15.1428571428571" style="12" customWidth="1"/>
    <col min="17" max="17" width="16.1428571428571" style="12" customWidth="1"/>
    <col min="18" max="18" width="12.4285714285714" style="12" customWidth="1"/>
    <col min="19" max="19" width="12.8571428571429" style="12" customWidth="1"/>
    <col min="20" max="16384" width="9.14285714285714" style="12"/>
  </cols>
  <sheetData>
    <row r="2" ht="15" spans="3:17">
      <c r="C2" s="2" t="s">
        <v>156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ht="15" spans="10:10">
      <c r="J3" s="3" t="s">
        <v>540</v>
      </c>
    </row>
    <row r="4" ht="15" spans="3:10">
      <c r="C4" s="11" t="s">
        <v>522</v>
      </c>
      <c r="J4" s="3"/>
    </row>
    <row r="5" ht="15" spans="3:17">
      <c r="C5" s="14"/>
      <c r="Q5" s="3" t="s">
        <v>109</v>
      </c>
    </row>
    <row r="6" ht="15" customHeight="1" spans="3:17">
      <c r="C6" s="673" t="s">
        <v>345</v>
      </c>
      <c r="D6" s="658" t="s">
        <v>346</v>
      </c>
      <c r="E6" s="135" t="s">
        <v>459</v>
      </c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</row>
    <row r="7" ht="15" spans="3:17">
      <c r="C7" s="674"/>
      <c r="D7" s="660"/>
      <c r="E7" s="135" t="s">
        <v>246</v>
      </c>
      <c r="F7" s="135" t="s">
        <v>247</v>
      </c>
      <c r="G7" s="135" t="s">
        <v>248</v>
      </c>
      <c r="H7" s="135" t="s">
        <v>249</v>
      </c>
      <c r="I7" s="135" t="s">
        <v>250</v>
      </c>
      <c r="J7" s="135" t="s">
        <v>251</v>
      </c>
      <c r="K7" s="135" t="s">
        <v>252</v>
      </c>
      <c r="L7" s="135" t="s">
        <v>253</v>
      </c>
      <c r="M7" s="135" t="s">
        <v>254</v>
      </c>
      <c r="N7" s="135" t="s">
        <v>255</v>
      </c>
      <c r="O7" s="135" t="s">
        <v>256</v>
      </c>
      <c r="P7" s="135" t="s">
        <v>257</v>
      </c>
      <c r="Q7" s="135" t="s">
        <v>97</v>
      </c>
    </row>
    <row r="8" customHeight="1" spans="3:17">
      <c r="C8" s="675"/>
      <c r="D8" s="662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</row>
    <row r="9" ht="15" spans="2:17">
      <c r="B9" s="656"/>
      <c r="C9" s="663" t="s">
        <v>349</v>
      </c>
      <c r="D9" s="676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ht="15" spans="3:17">
      <c r="C10" s="44" t="s">
        <v>350</v>
      </c>
      <c r="D10" s="4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customHeight="1" spans="2:17">
      <c r="B11" s="656"/>
      <c r="C11" s="677" t="s">
        <v>351</v>
      </c>
      <c r="D11" s="47" t="s">
        <v>352</v>
      </c>
      <c r="E11" s="147">
        <f t="shared" ref="E11:P11" si="0">E187+E359</f>
        <v>96.7846494869312</v>
      </c>
      <c r="F11" s="147">
        <f t="shared" si="0"/>
        <v>118.762830307922</v>
      </c>
      <c r="G11" s="147">
        <f t="shared" si="0"/>
        <v>114.931771265731</v>
      </c>
      <c r="H11" s="147">
        <f t="shared" si="0"/>
        <v>0</v>
      </c>
      <c r="I11" s="147">
        <f t="shared" si="0"/>
        <v>39.2899588988613</v>
      </c>
      <c r="J11" s="147">
        <f t="shared" si="0"/>
        <v>79.9362721228866</v>
      </c>
      <c r="K11" s="147">
        <f t="shared" si="0"/>
        <v>78.5799177977228</v>
      </c>
      <c r="L11" s="147">
        <f t="shared" si="0"/>
        <v>94.1922035185313</v>
      </c>
      <c r="M11" s="147">
        <f t="shared" si="0"/>
        <v>85.8818632764021</v>
      </c>
      <c r="N11" s="147">
        <f t="shared" si="0"/>
        <v>85.6207736859394</v>
      </c>
      <c r="O11" s="147">
        <f t="shared" si="0"/>
        <v>91.2932834435246</v>
      </c>
      <c r="P11" s="147">
        <f t="shared" si="0"/>
        <v>108.047386971869</v>
      </c>
      <c r="Q11" s="147">
        <f t="shared" ref="Q11:Q29" si="1">SUM(E11:P11)</f>
        <v>993.320910776321</v>
      </c>
    </row>
    <row r="12" spans="2:17">
      <c r="B12" s="656"/>
      <c r="C12" s="678"/>
      <c r="D12" s="47" t="s">
        <v>353</v>
      </c>
      <c r="E12" s="147">
        <f t="shared" ref="E12:P12" si="2">E188+E360</f>
        <v>99.0730669882326</v>
      </c>
      <c r="F12" s="147">
        <f t="shared" si="2"/>
        <v>0</v>
      </c>
      <c r="G12" s="147">
        <f t="shared" si="2"/>
        <v>59.0783402643619</v>
      </c>
      <c r="H12" s="147">
        <f t="shared" si="2"/>
        <v>89.7759092252558</v>
      </c>
      <c r="I12" s="147">
        <f t="shared" si="2"/>
        <v>79.0028001182251</v>
      </c>
      <c r="J12" s="147">
        <f t="shared" si="2"/>
        <v>81.6671174242649</v>
      </c>
      <c r="K12" s="147">
        <f t="shared" si="2"/>
        <v>79.0028001182251</v>
      </c>
      <c r="L12" s="147">
        <f t="shared" si="2"/>
        <v>112.419884466223</v>
      </c>
      <c r="M12" s="147">
        <f t="shared" si="2"/>
        <v>89.8901422300327</v>
      </c>
      <c r="N12" s="147">
        <f t="shared" si="2"/>
        <v>96.2412050006068</v>
      </c>
      <c r="O12" s="147">
        <f t="shared" si="2"/>
        <v>95.6837432516919</v>
      </c>
      <c r="P12" s="147">
        <f t="shared" si="2"/>
        <v>108.62885016256</v>
      </c>
      <c r="Q12" s="147">
        <f t="shared" si="1"/>
        <v>990.46385924968</v>
      </c>
    </row>
    <row r="13" spans="2:17">
      <c r="B13" s="656"/>
      <c r="C13" s="678"/>
      <c r="D13" s="47" t="s">
        <v>354</v>
      </c>
      <c r="E13" s="147">
        <f t="shared" ref="E13:P13" si="3">E189+E361</f>
        <v>204.729592154494</v>
      </c>
      <c r="F13" s="147">
        <f t="shared" si="3"/>
        <v>0</v>
      </c>
      <c r="G13" s="147">
        <f t="shared" si="3"/>
        <v>115.641586042192</v>
      </c>
      <c r="H13" s="147">
        <f t="shared" si="3"/>
        <v>187.786149637306</v>
      </c>
      <c r="I13" s="147">
        <f t="shared" si="3"/>
        <v>157.594378636614</v>
      </c>
      <c r="J13" s="147">
        <f t="shared" si="3"/>
        <v>165.931846217941</v>
      </c>
      <c r="K13" s="147">
        <f t="shared" si="3"/>
        <v>154.642277805441</v>
      </c>
      <c r="L13" s="147">
        <f t="shared" si="3"/>
        <v>230.689618154845</v>
      </c>
      <c r="M13" s="147">
        <f t="shared" si="3"/>
        <v>201.917662018708</v>
      </c>
      <c r="N13" s="147">
        <f t="shared" si="3"/>
        <v>196.817444479653</v>
      </c>
      <c r="O13" s="147">
        <f t="shared" si="3"/>
        <v>187.294019746766</v>
      </c>
      <c r="P13" s="147">
        <f t="shared" si="3"/>
        <v>213.249121234158</v>
      </c>
      <c r="Q13" s="147">
        <f t="shared" si="1"/>
        <v>2016.29369612812</v>
      </c>
    </row>
    <row r="14" spans="2:17">
      <c r="B14" s="656"/>
      <c r="C14" s="678"/>
      <c r="D14" s="47" t="s">
        <v>355</v>
      </c>
      <c r="E14" s="147">
        <f t="shared" ref="E14:P14" si="4">E190+E362</f>
        <v>18.6777603390176</v>
      </c>
      <c r="F14" s="147">
        <f t="shared" si="4"/>
        <v>0</v>
      </c>
      <c r="G14" s="147">
        <f t="shared" si="4"/>
        <v>11.2071148599481</v>
      </c>
      <c r="H14" s="147">
        <f t="shared" si="4"/>
        <v>16.3696905773878</v>
      </c>
      <c r="I14" s="147">
        <f t="shared" si="4"/>
        <v>15.324816710746</v>
      </c>
      <c r="J14" s="147">
        <f t="shared" si="4"/>
        <v>15.3360519136131</v>
      </c>
      <c r="K14" s="147">
        <f t="shared" si="4"/>
        <v>15.324816710746</v>
      </c>
      <c r="L14" s="147">
        <f t="shared" si="4"/>
        <v>17.8639725587142</v>
      </c>
      <c r="M14" s="147">
        <f t="shared" si="4"/>
        <v>16.3696905773878</v>
      </c>
      <c r="N14" s="147">
        <f t="shared" si="4"/>
        <v>16.3696905773878</v>
      </c>
      <c r="O14" s="147">
        <f t="shared" si="4"/>
        <v>17.6167980956377</v>
      </c>
      <c r="P14" s="147">
        <f t="shared" si="4"/>
        <v>21.0716229772758</v>
      </c>
      <c r="Q14" s="147">
        <f t="shared" si="1"/>
        <v>181.532025897862</v>
      </c>
    </row>
    <row r="15" spans="2:17">
      <c r="B15" s="656"/>
      <c r="C15" s="678"/>
      <c r="D15" s="47" t="s">
        <v>356</v>
      </c>
      <c r="E15" s="147">
        <f t="shared" ref="E15:P15" si="5">E191+E363</f>
        <v>100.066241524748</v>
      </c>
      <c r="F15" s="147">
        <f t="shared" si="5"/>
        <v>101.170089752599</v>
      </c>
      <c r="G15" s="147">
        <f t="shared" si="5"/>
        <v>97.9065384702567</v>
      </c>
      <c r="H15" s="147">
        <f t="shared" si="5"/>
        <v>101.534501714906</v>
      </c>
      <c r="I15" s="147">
        <f t="shared" si="5"/>
        <v>83.31654450214</v>
      </c>
      <c r="J15" s="147">
        <f t="shared" si="5"/>
        <v>88.2857376902984</v>
      </c>
      <c r="K15" s="147">
        <f t="shared" si="5"/>
        <v>0</v>
      </c>
      <c r="L15" s="147">
        <f t="shared" si="5"/>
        <v>50.8847044869801</v>
      </c>
      <c r="M15" s="147">
        <f t="shared" si="5"/>
        <v>98.9383965962913</v>
      </c>
      <c r="N15" s="147">
        <f t="shared" si="5"/>
        <v>90.0116239710619</v>
      </c>
      <c r="O15" s="147">
        <f t="shared" si="5"/>
        <v>87.3479902038564</v>
      </c>
      <c r="P15" s="147">
        <f t="shared" si="5"/>
        <v>106.348612967065</v>
      </c>
      <c r="Q15" s="147">
        <f t="shared" si="1"/>
        <v>1005.8109818802</v>
      </c>
    </row>
    <row r="16" spans="2:17">
      <c r="B16" s="656"/>
      <c r="C16" s="678"/>
      <c r="D16" s="47" t="s">
        <v>357</v>
      </c>
      <c r="E16" s="147">
        <f t="shared" ref="E16:P16" si="6">E192+E364</f>
        <v>136.143461125656</v>
      </c>
      <c r="F16" s="147">
        <f t="shared" si="6"/>
        <v>135.244611472887</v>
      </c>
      <c r="G16" s="147">
        <f t="shared" si="6"/>
        <v>136.143461125656</v>
      </c>
      <c r="H16" s="147">
        <f t="shared" si="6"/>
        <v>143.653722478832</v>
      </c>
      <c r="I16" s="147">
        <f t="shared" si="6"/>
        <v>116.904408637946</v>
      </c>
      <c r="J16" s="147">
        <f t="shared" si="6"/>
        <v>129.853045021052</v>
      </c>
      <c r="K16" s="147">
        <f t="shared" si="6"/>
        <v>110.960116673305</v>
      </c>
      <c r="L16" s="147">
        <f t="shared" si="6"/>
        <v>0</v>
      </c>
      <c r="M16" s="147">
        <f t="shared" si="6"/>
        <v>69.5426135455357</v>
      </c>
      <c r="N16" s="147">
        <f t="shared" si="6"/>
        <v>128.792992567229</v>
      </c>
      <c r="O16" s="147">
        <f t="shared" si="6"/>
        <v>119.013673528625</v>
      </c>
      <c r="P16" s="147">
        <f t="shared" si="6"/>
        <v>143.653722478832</v>
      </c>
      <c r="Q16" s="147">
        <f t="shared" si="1"/>
        <v>1369.90582865556</v>
      </c>
    </row>
    <row r="17" spans="2:17">
      <c r="B17" s="656"/>
      <c r="C17" s="678"/>
      <c r="D17" s="47" t="s">
        <v>358</v>
      </c>
      <c r="E17" s="147">
        <f t="shared" ref="E17:P17" si="7">E193+E365</f>
        <v>291.321016626812</v>
      </c>
      <c r="F17" s="147">
        <f t="shared" si="7"/>
        <v>145.331000637396</v>
      </c>
      <c r="G17" s="147">
        <f t="shared" si="7"/>
        <v>216.238272164978</v>
      </c>
      <c r="H17" s="147">
        <f t="shared" si="7"/>
        <v>302.888063550364</v>
      </c>
      <c r="I17" s="147">
        <f t="shared" si="7"/>
        <v>216.948957437462</v>
      </c>
      <c r="J17" s="147">
        <f t="shared" si="7"/>
        <v>197.270576547402</v>
      </c>
      <c r="K17" s="147">
        <f t="shared" si="7"/>
        <v>234.488775571111</v>
      </c>
      <c r="L17" s="147">
        <f t="shared" si="7"/>
        <v>220.551559749668</v>
      </c>
      <c r="M17" s="147">
        <f t="shared" si="7"/>
        <v>252.850593757635</v>
      </c>
      <c r="N17" s="147">
        <f t="shared" si="7"/>
        <v>266.793932532768</v>
      </c>
      <c r="O17" s="147">
        <f t="shared" si="7"/>
        <v>251.754845357688</v>
      </c>
      <c r="P17" s="147">
        <f t="shared" si="7"/>
        <v>310.889568649123</v>
      </c>
      <c r="Q17" s="147">
        <f t="shared" si="1"/>
        <v>2907.32716258241</v>
      </c>
    </row>
    <row r="18" spans="2:17">
      <c r="B18" s="656"/>
      <c r="C18" s="678"/>
      <c r="D18" s="47" t="s">
        <v>359</v>
      </c>
      <c r="E18" s="147">
        <f t="shared" ref="E18:P18" si="8">E194+E366</f>
        <v>890.470605902127</v>
      </c>
      <c r="F18" s="147">
        <f t="shared" si="8"/>
        <v>540.823661619346</v>
      </c>
      <c r="G18" s="147">
        <f t="shared" si="8"/>
        <v>527.342471447225</v>
      </c>
      <c r="H18" s="147">
        <f t="shared" si="8"/>
        <v>569.888070715001</v>
      </c>
      <c r="I18" s="147">
        <f t="shared" si="8"/>
        <v>802.488686412238</v>
      </c>
      <c r="J18" s="147">
        <f t="shared" si="8"/>
        <v>902.976489190367</v>
      </c>
      <c r="K18" s="147">
        <f t="shared" si="8"/>
        <v>816.784997992218</v>
      </c>
      <c r="L18" s="147">
        <f t="shared" si="8"/>
        <v>706.955893836959</v>
      </c>
      <c r="M18" s="147">
        <f t="shared" si="8"/>
        <v>820.008344653556</v>
      </c>
      <c r="N18" s="147">
        <f t="shared" si="8"/>
        <v>905.422523923498</v>
      </c>
      <c r="O18" s="147">
        <f t="shared" si="8"/>
        <v>831.796987503167</v>
      </c>
      <c r="P18" s="147">
        <f t="shared" si="8"/>
        <v>994.1060130858</v>
      </c>
      <c r="Q18" s="147">
        <f t="shared" si="1"/>
        <v>9309.0647462815</v>
      </c>
    </row>
    <row r="19" spans="2:17">
      <c r="B19" s="656"/>
      <c r="C19" s="678"/>
      <c r="D19" s="679" t="s">
        <v>492</v>
      </c>
      <c r="E19" s="147">
        <f t="shared" ref="E19:P19" si="9">E195+E367</f>
        <v>0</v>
      </c>
      <c r="F19" s="147">
        <f t="shared" si="9"/>
        <v>0</v>
      </c>
      <c r="G19" s="147">
        <f t="shared" si="9"/>
        <v>0</v>
      </c>
      <c r="H19" s="147">
        <f t="shared" si="9"/>
        <v>0</v>
      </c>
      <c r="I19" s="147">
        <f t="shared" si="9"/>
        <v>0</v>
      </c>
      <c r="J19" s="147">
        <f t="shared" si="9"/>
        <v>0</v>
      </c>
      <c r="K19" s="147">
        <f t="shared" si="9"/>
        <v>0</v>
      </c>
      <c r="L19" s="147">
        <f t="shared" si="9"/>
        <v>0</v>
      </c>
      <c r="M19" s="147">
        <f t="shared" si="9"/>
        <v>0</v>
      </c>
      <c r="N19" s="147">
        <f t="shared" si="9"/>
        <v>0</v>
      </c>
      <c r="O19" s="147">
        <f t="shared" si="9"/>
        <v>0</v>
      </c>
      <c r="P19" s="147">
        <f t="shared" si="9"/>
        <v>0</v>
      </c>
      <c r="Q19" s="147">
        <f t="shared" si="1"/>
        <v>0</v>
      </c>
    </row>
    <row r="20" spans="2:17">
      <c r="B20" s="656"/>
      <c r="C20" s="678"/>
      <c r="D20" s="47"/>
      <c r="E20" s="147">
        <f t="shared" ref="E20:P20" si="10">E196+E368</f>
        <v>0</v>
      </c>
      <c r="F20" s="147">
        <f t="shared" si="10"/>
        <v>0</v>
      </c>
      <c r="G20" s="147">
        <f t="shared" si="10"/>
        <v>0</v>
      </c>
      <c r="H20" s="147">
        <f t="shared" si="10"/>
        <v>0</v>
      </c>
      <c r="I20" s="147">
        <f t="shared" si="10"/>
        <v>0</v>
      </c>
      <c r="J20" s="147">
        <f t="shared" si="10"/>
        <v>0</v>
      </c>
      <c r="K20" s="147">
        <f t="shared" si="10"/>
        <v>0</v>
      </c>
      <c r="L20" s="147">
        <f t="shared" si="10"/>
        <v>0</v>
      </c>
      <c r="M20" s="147">
        <f t="shared" si="10"/>
        <v>0</v>
      </c>
      <c r="N20" s="147">
        <f t="shared" si="10"/>
        <v>0</v>
      </c>
      <c r="O20" s="147">
        <f t="shared" si="10"/>
        <v>0</v>
      </c>
      <c r="P20" s="147">
        <f t="shared" si="10"/>
        <v>0</v>
      </c>
      <c r="Q20" s="147">
        <f t="shared" si="1"/>
        <v>0</v>
      </c>
    </row>
    <row r="21" spans="2:17">
      <c r="B21" s="656"/>
      <c r="C21" s="678"/>
      <c r="D21" s="47"/>
      <c r="E21" s="147">
        <f t="shared" ref="E21:P21" si="11">E197+E369</f>
        <v>0</v>
      </c>
      <c r="F21" s="147">
        <f t="shared" si="11"/>
        <v>0</v>
      </c>
      <c r="G21" s="147">
        <f t="shared" si="11"/>
        <v>0</v>
      </c>
      <c r="H21" s="147">
        <f t="shared" si="11"/>
        <v>0</v>
      </c>
      <c r="I21" s="147">
        <f t="shared" si="11"/>
        <v>0</v>
      </c>
      <c r="J21" s="147">
        <f t="shared" si="11"/>
        <v>0</v>
      </c>
      <c r="K21" s="147">
        <f t="shared" si="11"/>
        <v>0</v>
      </c>
      <c r="L21" s="147">
        <f t="shared" si="11"/>
        <v>0</v>
      </c>
      <c r="M21" s="147">
        <f t="shared" si="11"/>
        <v>0</v>
      </c>
      <c r="N21" s="147">
        <f t="shared" si="11"/>
        <v>0</v>
      </c>
      <c r="O21" s="147">
        <f t="shared" si="11"/>
        <v>0</v>
      </c>
      <c r="P21" s="147">
        <f t="shared" si="11"/>
        <v>0</v>
      </c>
      <c r="Q21" s="147">
        <f t="shared" si="1"/>
        <v>0</v>
      </c>
    </row>
    <row r="22" spans="2:17">
      <c r="B22" s="656"/>
      <c r="C22" s="678"/>
      <c r="D22" s="47"/>
      <c r="E22" s="147">
        <f t="shared" ref="E22:P22" si="12">E198+E370</f>
        <v>0</v>
      </c>
      <c r="F22" s="147">
        <f t="shared" si="12"/>
        <v>0</v>
      </c>
      <c r="G22" s="147">
        <f t="shared" si="12"/>
        <v>0</v>
      </c>
      <c r="H22" s="147">
        <f t="shared" si="12"/>
        <v>0</v>
      </c>
      <c r="I22" s="147">
        <f t="shared" si="12"/>
        <v>0</v>
      </c>
      <c r="J22" s="147">
        <f t="shared" si="12"/>
        <v>0</v>
      </c>
      <c r="K22" s="147">
        <f t="shared" si="12"/>
        <v>0</v>
      </c>
      <c r="L22" s="147">
        <f t="shared" si="12"/>
        <v>0</v>
      </c>
      <c r="M22" s="147">
        <f t="shared" si="12"/>
        <v>0</v>
      </c>
      <c r="N22" s="147">
        <f t="shared" si="12"/>
        <v>0</v>
      </c>
      <c r="O22" s="147">
        <f t="shared" si="12"/>
        <v>0</v>
      </c>
      <c r="P22" s="147">
        <f t="shared" si="12"/>
        <v>0</v>
      </c>
      <c r="Q22" s="147">
        <f t="shared" si="1"/>
        <v>0</v>
      </c>
    </row>
    <row r="23" spans="2:17">
      <c r="B23" s="656"/>
      <c r="C23" s="678"/>
      <c r="D23" s="47"/>
      <c r="E23" s="147">
        <f t="shared" ref="E23:P23" si="13">E199+E371</f>
        <v>0</v>
      </c>
      <c r="F23" s="147">
        <f t="shared" si="13"/>
        <v>0</v>
      </c>
      <c r="G23" s="147">
        <f t="shared" si="13"/>
        <v>0</v>
      </c>
      <c r="H23" s="147">
        <f t="shared" si="13"/>
        <v>0</v>
      </c>
      <c r="I23" s="147">
        <f t="shared" si="13"/>
        <v>0</v>
      </c>
      <c r="J23" s="147">
        <f t="shared" si="13"/>
        <v>0</v>
      </c>
      <c r="K23" s="147">
        <f t="shared" si="13"/>
        <v>0</v>
      </c>
      <c r="L23" s="147">
        <f t="shared" si="13"/>
        <v>0</v>
      </c>
      <c r="M23" s="147">
        <f t="shared" si="13"/>
        <v>0</v>
      </c>
      <c r="N23" s="147">
        <f t="shared" si="13"/>
        <v>0</v>
      </c>
      <c r="O23" s="147">
        <f t="shared" si="13"/>
        <v>0</v>
      </c>
      <c r="P23" s="147">
        <f t="shared" si="13"/>
        <v>0</v>
      </c>
      <c r="Q23" s="147">
        <f t="shared" si="1"/>
        <v>0</v>
      </c>
    </row>
    <row r="24" spans="2:17">
      <c r="B24" s="656"/>
      <c r="C24" s="678"/>
      <c r="D24" s="47"/>
      <c r="E24" s="147">
        <f t="shared" ref="E24:P24" si="14">E200+E372</f>
        <v>0</v>
      </c>
      <c r="F24" s="147">
        <f t="shared" si="14"/>
        <v>0</v>
      </c>
      <c r="G24" s="147">
        <f t="shared" si="14"/>
        <v>0</v>
      </c>
      <c r="H24" s="147">
        <f t="shared" si="14"/>
        <v>0</v>
      </c>
      <c r="I24" s="147">
        <f t="shared" si="14"/>
        <v>0</v>
      </c>
      <c r="J24" s="147">
        <f t="shared" si="14"/>
        <v>0</v>
      </c>
      <c r="K24" s="147">
        <f t="shared" si="14"/>
        <v>0</v>
      </c>
      <c r="L24" s="147">
        <f t="shared" si="14"/>
        <v>0</v>
      </c>
      <c r="M24" s="147">
        <f t="shared" si="14"/>
        <v>0</v>
      </c>
      <c r="N24" s="147">
        <f t="shared" si="14"/>
        <v>0</v>
      </c>
      <c r="O24" s="147">
        <f t="shared" si="14"/>
        <v>0</v>
      </c>
      <c r="P24" s="147">
        <f t="shared" si="14"/>
        <v>0</v>
      </c>
      <c r="Q24" s="147">
        <f t="shared" si="1"/>
        <v>0</v>
      </c>
    </row>
    <row r="25" spans="2:17">
      <c r="B25" s="656"/>
      <c r="C25" s="678"/>
      <c r="D25" s="47"/>
      <c r="E25" s="147">
        <f t="shared" ref="E25:P25" si="15">E201+E373</f>
        <v>0</v>
      </c>
      <c r="F25" s="147">
        <f t="shared" si="15"/>
        <v>0</v>
      </c>
      <c r="G25" s="147">
        <f t="shared" si="15"/>
        <v>0</v>
      </c>
      <c r="H25" s="147">
        <f t="shared" si="15"/>
        <v>0</v>
      </c>
      <c r="I25" s="147">
        <f t="shared" si="15"/>
        <v>0</v>
      </c>
      <c r="J25" s="147">
        <f t="shared" si="15"/>
        <v>0</v>
      </c>
      <c r="K25" s="147">
        <f t="shared" si="15"/>
        <v>0</v>
      </c>
      <c r="L25" s="147">
        <f t="shared" si="15"/>
        <v>0</v>
      </c>
      <c r="M25" s="147">
        <f t="shared" si="15"/>
        <v>0</v>
      </c>
      <c r="N25" s="147">
        <f t="shared" si="15"/>
        <v>0</v>
      </c>
      <c r="O25" s="147">
        <f t="shared" si="15"/>
        <v>0</v>
      </c>
      <c r="P25" s="147">
        <f t="shared" si="15"/>
        <v>0</v>
      </c>
      <c r="Q25" s="147">
        <f t="shared" si="1"/>
        <v>0</v>
      </c>
    </row>
    <row r="26" spans="2:17">
      <c r="B26" s="656"/>
      <c r="C26" s="678"/>
      <c r="D26" s="47"/>
      <c r="E26" s="147">
        <f t="shared" ref="E26:P26" si="16">E202+E374</f>
        <v>0</v>
      </c>
      <c r="F26" s="147">
        <f t="shared" si="16"/>
        <v>0</v>
      </c>
      <c r="G26" s="147">
        <f t="shared" si="16"/>
        <v>0</v>
      </c>
      <c r="H26" s="147">
        <f t="shared" si="16"/>
        <v>0</v>
      </c>
      <c r="I26" s="147">
        <f t="shared" si="16"/>
        <v>0</v>
      </c>
      <c r="J26" s="147">
        <f t="shared" si="16"/>
        <v>0</v>
      </c>
      <c r="K26" s="147">
        <f t="shared" si="16"/>
        <v>0</v>
      </c>
      <c r="L26" s="147">
        <f t="shared" si="16"/>
        <v>0</v>
      </c>
      <c r="M26" s="147">
        <f t="shared" si="16"/>
        <v>0</v>
      </c>
      <c r="N26" s="147">
        <f t="shared" si="16"/>
        <v>0</v>
      </c>
      <c r="O26" s="147">
        <f t="shared" si="16"/>
        <v>0</v>
      </c>
      <c r="P26" s="147">
        <f t="shared" si="16"/>
        <v>0</v>
      </c>
      <c r="Q26" s="147">
        <f t="shared" si="1"/>
        <v>0</v>
      </c>
    </row>
    <row r="27" spans="2:17">
      <c r="B27" s="656"/>
      <c r="C27" s="678"/>
      <c r="D27" s="47"/>
      <c r="E27" s="147">
        <f t="shared" ref="E27:P27" si="17">E203+E375</f>
        <v>0</v>
      </c>
      <c r="F27" s="147">
        <f t="shared" si="17"/>
        <v>0</v>
      </c>
      <c r="G27" s="147">
        <f t="shared" si="17"/>
        <v>0</v>
      </c>
      <c r="H27" s="147">
        <f t="shared" si="17"/>
        <v>0</v>
      </c>
      <c r="I27" s="147">
        <f t="shared" si="17"/>
        <v>0</v>
      </c>
      <c r="J27" s="147">
        <f t="shared" si="17"/>
        <v>0</v>
      </c>
      <c r="K27" s="147">
        <f t="shared" si="17"/>
        <v>0</v>
      </c>
      <c r="L27" s="147">
        <f t="shared" si="17"/>
        <v>0</v>
      </c>
      <c r="M27" s="147">
        <f t="shared" si="17"/>
        <v>0</v>
      </c>
      <c r="N27" s="147">
        <f t="shared" si="17"/>
        <v>0</v>
      </c>
      <c r="O27" s="147">
        <f t="shared" si="17"/>
        <v>0</v>
      </c>
      <c r="P27" s="147">
        <f t="shared" si="17"/>
        <v>0</v>
      </c>
      <c r="Q27" s="147">
        <f t="shared" si="1"/>
        <v>0</v>
      </c>
    </row>
    <row r="28" spans="2:17">
      <c r="B28" s="656"/>
      <c r="C28" s="680"/>
      <c r="D28" s="47"/>
      <c r="E28" s="147">
        <f t="shared" ref="E28:P28" si="18">E204+E376</f>
        <v>0</v>
      </c>
      <c r="F28" s="147">
        <f t="shared" si="18"/>
        <v>0</v>
      </c>
      <c r="G28" s="147">
        <f t="shared" si="18"/>
        <v>0</v>
      </c>
      <c r="H28" s="147">
        <f t="shared" si="18"/>
        <v>0</v>
      </c>
      <c r="I28" s="147">
        <f t="shared" si="18"/>
        <v>0</v>
      </c>
      <c r="J28" s="147">
        <f t="shared" si="18"/>
        <v>0</v>
      </c>
      <c r="K28" s="147">
        <f t="shared" si="18"/>
        <v>0</v>
      </c>
      <c r="L28" s="147">
        <f t="shared" si="18"/>
        <v>0</v>
      </c>
      <c r="M28" s="147">
        <f t="shared" si="18"/>
        <v>0</v>
      </c>
      <c r="N28" s="147">
        <f t="shared" si="18"/>
        <v>0</v>
      </c>
      <c r="O28" s="147">
        <f t="shared" si="18"/>
        <v>0</v>
      </c>
      <c r="P28" s="147">
        <f t="shared" si="18"/>
        <v>0</v>
      </c>
      <c r="Q28" s="147">
        <f t="shared" si="1"/>
        <v>0</v>
      </c>
    </row>
    <row r="29" ht="15" spans="3:18">
      <c r="C29" s="537" t="s">
        <v>211</v>
      </c>
      <c r="D29" s="540"/>
      <c r="E29" s="681">
        <f t="shared" ref="E29:P29" si="19">SUM(E11:E28)</f>
        <v>1837.26639414802</v>
      </c>
      <c r="F29" s="681">
        <f t="shared" si="19"/>
        <v>1041.33219379015</v>
      </c>
      <c r="G29" s="681">
        <f t="shared" si="19"/>
        <v>1278.48955564035</v>
      </c>
      <c r="H29" s="681">
        <f t="shared" si="19"/>
        <v>1411.89610789905</v>
      </c>
      <c r="I29" s="681">
        <f t="shared" si="19"/>
        <v>1510.87055135423</v>
      </c>
      <c r="J29" s="681">
        <f t="shared" si="19"/>
        <v>1661.25713612783</v>
      </c>
      <c r="K29" s="681">
        <f t="shared" si="19"/>
        <v>1489.78370266877</v>
      </c>
      <c r="L29" s="681">
        <f t="shared" si="19"/>
        <v>1433.55783677192</v>
      </c>
      <c r="M29" s="681">
        <f t="shared" si="19"/>
        <v>1635.39930665555</v>
      </c>
      <c r="N29" s="681">
        <f t="shared" si="19"/>
        <v>1786.07018673814</v>
      </c>
      <c r="O29" s="681">
        <f t="shared" si="19"/>
        <v>1681.80134113096</v>
      </c>
      <c r="P29" s="681">
        <f t="shared" si="19"/>
        <v>2005.99489852668</v>
      </c>
      <c r="Q29" s="681">
        <f t="shared" si="1"/>
        <v>18773.7192114516</v>
      </c>
      <c r="R29" s="686"/>
    </row>
    <row r="30" ht="15" spans="3:17">
      <c r="C30" s="44" t="s">
        <v>360</v>
      </c>
      <c r="D30" s="4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3:17">
      <c r="C31" s="682" t="s">
        <v>351</v>
      </c>
      <c r="D31" s="55" t="s">
        <v>361</v>
      </c>
      <c r="E31" s="55">
        <f t="shared" ref="E31:P31" si="20">E207+E379</f>
        <v>0</v>
      </c>
      <c r="F31" s="55">
        <f t="shared" si="20"/>
        <v>0</v>
      </c>
      <c r="G31" s="55">
        <f t="shared" si="20"/>
        <v>0</v>
      </c>
      <c r="H31" s="55">
        <f t="shared" si="20"/>
        <v>0</v>
      </c>
      <c r="I31" s="55">
        <f t="shared" si="20"/>
        <v>0</v>
      </c>
      <c r="J31" s="55">
        <f t="shared" si="20"/>
        <v>0</v>
      </c>
      <c r="K31" s="55">
        <f t="shared" si="20"/>
        <v>0</v>
      </c>
      <c r="L31" s="55">
        <f t="shared" si="20"/>
        <v>0</v>
      </c>
      <c r="M31" s="55">
        <f t="shared" si="20"/>
        <v>0</v>
      </c>
      <c r="N31" s="55">
        <f t="shared" si="20"/>
        <v>0</v>
      </c>
      <c r="O31" s="55">
        <f t="shared" si="20"/>
        <v>0</v>
      </c>
      <c r="P31" s="55">
        <f t="shared" si="20"/>
        <v>0</v>
      </c>
      <c r="Q31" s="55">
        <f t="shared" ref="Q31:Q48" si="21">SUM(E31:P31)</f>
        <v>0</v>
      </c>
    </row>
    <row r="32" spans="3:17">
      <c r="C32" s="683"/>
      <c r="D32" s="55" t="s">
        <v>362</v>
      </c>
      <c r="E32" s="55">
        <f t="shared" ref="E32:P32" si="22">E208+E380</f>
        <v>0</v>
      </c>
      <c r="F32" s="55">
        <f t="shared" si="22"/>
        <v>0</v>
      </c>
      <c r="G32" s="55">
        <f t="shared" si="22"/>
        <v>0</v>
      </c>
      <c r="H32" s="55">
        <f t="shared" si="22"/>
        <v>0</v>
      </c>
      <c r="I32" s="55">
        <f t="shared" si="22"/>
        <v>0</v>
      </c>
      <c r="J32" s="55">
        <f t="shared" si="22"/>
        <v>0</v>
      </c>
      <c r="K32" s="55">
        <f t="shared" si="22"/>
        <v>0</v>
      </c>
      <c r="L32" s="55">
        <f t="shared" si="22"/>
        <v>0</v>
      </c>
      <c r="M32" s="55">
        <f t="shared" si="22"/>
        <v>0</v>
      </c>
      <c r="N32" s="55">
        <f t="shared" si="22"/>
        <v>0</v>
      </c>
      <c r="O32" s="55">
        <f t="shared" si="22"/>
        <v>0</v>
      </c>
      <c r="P32" s="55">
        <f t="shared" si="22"/>
        <v>0</v>
      </c>
      <c r="Q32" s="55">
        <f t="shared" si="21"/>
        <v>0</v>
      </c>
    </row>
    <row r="33" spans="3:17">
      <c r="C33" s="683"/>
      <c r="D33" s="55" t="s">
        <v>363</v>
      </c>
      <c r="E33" s="55">
        <f t="shared" ref="E33:P33" si="23">E209+E381</f>
        <v>0</v>
      </c>
      <c r="F33" s="55">
        <f t="shared" si="23"/>
        <v>0</v>
      </c>
      <c r="G33" s="55">
        <f t="shared" si="23"/>
        <v>0</v>
      </c>
      <c r="H33" s="55">
        <f t="shared" si="23"/>
        <v>0</v>
      </c>
      <c r="I33" s="55">
        <f t="shared" si="23"/>
        <v>0</v>
      </c>
      <c r="J33" s="55">
        <f t="shared" si="23"/>
        <v>0</v>
      </c>
      <c r="K33" s="55">
        <f t="shared" si="23"/>
        <v>0</v>
      </c>
      <c r="L33" s="55">
        <f t="shared" si="23"/>
        <v>0</v>
      </c>
      <c r="M33" s="55">
        <f t="shared" si="23"/>
        <v>0</v>
      </c>
      <c r="N33" s="55">
        <f t="shared" si="23"/>
        <v>0</v>
      </c>
      <c r="O33" s="55">
        <f t="shared" si="23"/>
        <v>0</v>
      </c>
      <c r="P33" s="55">
        <f t="shared" si="23"/>
        <v>0</v>
      </c>
      <c r="Q33" s="55">
        <f t="shared" si="21"/>
        <v>0</v>
      </c>
    </row>
    <row r="34" spans="3:17">
      <c r="C34" s="683"/>
      <c r="D34" s="55" t="s">
        <v>364</v>
      </c>
      <c r="E34" s="55">
        <f t="shared" ref="E34:P34" si="24">E210+E382</f>
        <v>0</v>
      </c>
      <c r="F34" s="55">
        <f t="shared" si="24"/>
        <v>0</v>
      </c>
      <c r="G34" s="55">
        <f t="shared" si="24"/>
        <v>0</v>
      </c>
      <c r="H34" s="55">
        <f t="shared" si="24"/>
        <v>0</v>
      </c>
      <c r="I34" s="55">
        <f t="shared" si="24"/>
        <v>0</v>
      </c>
      <c r="J34" s="55">
        <f t="shared" si="24"/>
        <v>0</v>
      </c>
      <c r="K34" s="55">
        <f t="shared" si="24"/>
        <v>0</v>
      </c>
      <c r="L34" s="55">
        <f t="shared" si="24"/>
        <v>0</v>
      </c>
      <c r="M34" s="55">
        <f t="shared" si="24"/>
        <v>0</v>
      </c>
      <c r="N34" s="55">
        <f t="shared" si="24"/>
        <v>0</v>
      </c>
      <c r="O34" s="55">
        <f t="shared" si="24"/>
        <v>0</v>
      </c>
      <c r="P34" s="55">
        <f t="shared" si="24"/>
        <v>0</v>
      </c>
      <c r="Q34" s="55">
        <f t="shared" si="21"/>
        <v>0</v>
      </c>
    </row>
    <row r="35" spans="3:17">
      <c r="C35" s="683"/>
      <c r="D35" s="55" t="s">
        <v>365</v>
      </c>
      <c r="E35" s="55">
        <f t="shared" ref="E35:P35" si="25">E211+E383</f>
        <v>0</v>
      </c>
      <c r="F35" s="55">
        <f t="shared" si="25"/>
        <v>0</v>
      </c>
      <c r="G35" s="55">
        <f t="shared" si="25"/>
        <v>0</v>
      </c>
      <c r="H35" s="55">
        <f t="shared" si="25"/>
        <v>0</v>
      </c>
      <c r="I35" s="55">
        <f t="shared" si="25"/>
        <v>0</v>
      </c>
      <c r="J35" s="55">
        <f t="shared" si="25"/>
        <v>0</v>
      </c>
      <c r="K35" s="55">
        <f t="shared" si="25"/>
        <v>0</v>
      </c>
      <c r="L35" s="55">
        <f t="shared" si="25"/>
        <v>0</v>
      </c>
      <c r="M35" s="55">
        <f t="shared" si="25"/>
        <v>0</v>
      </c>
      <c r="N35" s="55">
        <f t="shared" si="25"/>
        <v>0</v>
      </c>
      <c r="O35" s="55">
        <f t="shared" si="25"/>
        <v>0</v>
      </c>
      <c r="P35" s="55">
        <f t="shared" si="25"/>
        <v>0</v>
      </c>
      <c r="Q35" s="55">
        <f t="shared" si="21"/>
        <v>0</v>
      </c>
    </row>
    <row r="36" spans="3:17">
      <c r="C36" s="683"/>
      <c r="D36" s="55" t="s">
        <v>366</v>
      </c>
      <c r="E36" s="55">
        <f t="shared" ref="E36:P36" si="26">E212+E384</f>
        <v>0</v>
      </c>
      <c r="F36" s="55">
        <f t="shared" si="26"/>
        <v>0</v>
      </c>
      <c r="G36" s="55">
        <f t="shared" si="26"/>
        <v>0</v>
      </c>
      <c r="H36" s="55">
        <f t="shared" si="26"/>
        <v>0</v>
      </c>
      <c r="I36" s="55">
        <f t="shared" si="26"/>
        <v>0</v>
      </c>
      <c r="J36" s="55">
        <f t="shared" si="26"/>
        <v>0</v>
      </c>
      <c r="K36" s="55">
        <f t="shared" si="26"/>
        <v>0</v>
      </c>
      <c r="L36" s="55">
        <f t="shared" si="26"/>
        <v>0</v>
      </c>
      <c r="M36" s="55">
        <f t="shared" si="26"/>
        <v>0</v>
      </c>
      <c r="N36" s="55">
        <f t="shared" si="26"/>
        <v>0</v>
      </c>
      <c r="O36" s="55">
        <f t="shared" si="26"/>
        <v>0</v>
      </c>
      <c r="P36" s="55">
        <f t="shared" si="26"/>
        <v>0</v>
      </c>
      <c r="Q36" s="55">
        <f t="shared" si="21"/>
        <v>0</v>
      </c>
    </row>
    <row r="37" spans="3:17">
      <c r="C37" s="683"/>
      <c r="D37" s="55" t="s">
        <v>367</v>
      </c>
      <c r="E37" s="55">
        <f t="shared" ref="E37:P37" si="27">E213+E385</f>
        <v>0</v>
      </c>
      <c r="F37" s="55">
        <f t="shared" si="27"/>
        <v>0</v>
      </c>
      <c r="G37" s="55">
        <f t="shared" si="27"/>
        <v>0</v>
      </c>
      <c r="H37" s="55">
        <f t="shared" si="27"/>
        <v>0</v>
      </c>
      <c r="I37" s="55">
        <f t="shared" si="27"/>
        <v>0</v>
      </c>
      <c r="J37" s="55">
        <f t="shared" si="27"/>
        <v>0</v>
      </c>
      <c r="K37" s="55">
        <f t="shared" si="27"/>
        <v>0</v>
      </c>
      <c r="L37" s="55">
        <f t="shared" si="27"/>
        <v>0</v>
      </c>
      <c r="M37" s="55">
        <f t="shared" si="27"/>
        <v>0</v>
      </c>
      <c r="N37" s="55">
        <f t="shared" si="27"/>
        <v>0</v>
      </c>
      <c r="O37" s="55">
        <f t="shared" si="27"/>
        <v>0</v>
      </c>
      <c r="P37" s="55">
        <f t="shared" si="27"/>
        <v>0</v>
      </c>
      <c r="Q37" s="55">
        <f t="shared" si="21"/>
        <v>0</v>
      </c>
    </row>
    <row r="38" spans="3:17">
      <c r="C38" s="683"/>
      <c r="D38" s="55" t="s">
        <v>368</v>
      </c>
      <c r="E38" s="55">
        <f t="shared" ref="E38:P38" si="28">E214+E386</f>
        <v>0</v>
      </c>
      <c r="F38" s="55">
        <f t="shared" si="28"/>
        <v>0</v>
      </c>
      <c r="G38" s="55">
        <f t="shared" si="28"/>
        <v>0</v>
      </c>
      <c r="H38" s="55">
        <f t="shared" si="28"/>
        <v>0</v>
      </c>
      <c r="I38" s="55">
        <f t="shared" si="28"/>
        <v>0</v>
      </c>
      <c r="J38" s="55">
        <f t="shared" si="28"/>
        <v>0</v>
      </c>
      <c r="K38" s="55">
        <f t="shared" si="28"/>
        <v>0</v>
      </c>
      <c r="L38" s="55">
        <f t="shared" si="28"/>
        <v>0</v>
      </c>
      <c r="M38" s="55">
        <f t="shared" si="28"/>
        <v>0</v>
      </c>
      <c r="N38" s="55">
        <f t="shared" si="28"/>
        <v>0</v>
      </c>
      <c r="O38" s="55">
        <f t="shared" si="28"/>
        <v>0</v>
      </c>
      <c r="P38" s="55">
        <f t="shared" si="28"/>
        <v>0</v>
      </c>
      <c r="Q38" s="55">
        <f t="shared" si="21"/>
        <v>0</v>
      </c>
    </row>
    <row r="39" spans="3:17">
      <c r="C39" s="683"/>
      <c r="D39" s="55"/>
      <c r="E39" s="55">
        <f t="shared" ref="E39:P39" si="29">E215+E387</f>
        <v>0</v>
      </c>
      <c r="F39" s="55">
        <f t="shared" si="29"/>
        <v>0</v>
      </c>
      <c r="G39" s="55">
        <f t="shared" si="29"/>
        <v>0</v>
      </c>
      <c r="H39" s="55">
        <f t="shared" si="29"/>
        <v>0</v>
      </c>
      <c r="I39" s="55">
        <f t="shared" si="29"/>
        <v>0</v>
      </c>
      <c r="J39" s="55">
        <f t="shared" si="29"/>
        <v>0</v>
      </c>
      <c r="K39" s="55">
        <f t="shared" si="29"/>
        <v>0</v>
      </c>
      <c r="L39" s="55">
        <f t="shared" si="29"/>
        <v>0</v>
      </c>
      <c r="M39" s="55">
        <f t="shared" si="29"/>
        <v>0</v>
      </c>
      <c r="N39" s="55">
        <f t="shared" si="29"/>
        <v>0</v>
      </c>
      <c r="O39" s="55">
        <f t="shared" si="29"/>
        <v>0</v>
      </c>
      <c r="P39" s="55">
        <f t="shared" si="29"/>
        <v>0</v>
      </c>
      <c r="Q39" s="55">
        <f t="shared" si="21"/>
        <v>0</v>
      </c>
    </row>
    <row r="40" spans="3:18">
      <c r="C40" s="683"/>
      <c r="D40" s="679" t="s">
        <v>493</v>
      </c>
      <c r="E40" s="55">
        <f t="shared" ref="E40:P40" si="30">($Q$49-$Q$43)/12</f>
        <v>97.4501270833334</v>
      </c>
      <c r="F40" s="55">
        <f t="shared" si="30"/>
        <v>97.4501270833334</v>
      </c>
      <c r="G40" s="55">
        <f t="shared" si="30"/>
        <v>97.4501270833334</v>
      </c>
      <c r="H40" s="55">
        <f t="shared" si="30"/>
        <v>97.4501270833334</v>
      </c>
      <c r="I40" s="55">
        <f t="shared" si="30"/>
        <v>97.4501270833334</v>
      </c>
      <c r="J40" s="55">
        <f t="shared" si="30"/>
        <v>97.4501270833334</v>
      </c>
      <c r="K40" s="55">
        <f t="shared" si="30"/>
        <v>97.4501270833334</v>
      </c>
      <c r="L40" s="55">
        <f t="shared" si="30"/>
        <v>97.4501270833334</v>
      </c>
      <c r="M40" s="55">
        <f t="shared" si="30"/>
        <v>97.4501270833334</v>
      </c>
      <c r="N40" s="55">
        <f t="shared" si="30"/>
        <v>97.4501270833334</v>
      </c>
      <c r="O40" s="55">
        <f t="shared" si="30"/>
        <v>97.4501270833334</v>
      </c>
      <c r="P40" s="55">
        <f t="shared" si="30"/>
        <v>97.4501270833334</v>
      </c>
      <c r="Q40" s="55">
        <f t="shared" si="21"/>
        <v>1169.401525</v>
      </c>
      <c r="R40" s="686"/>
    </row>
    <row r="41" spans="3:17">
      <c r="C41" s="683"/>
      <c r="D41" s="679" t="s">
        <v>494</v>
      </c>
      <c r="E41" s="55">
        <f t="shared" ref="E41:P41" si="31">E217+E389</f>
        <v>0</v>
      </c>
      <c r="F41" s="55">
        <f t="shared" si="31"/>
        <v>0</v>
      </c>
      <c r="G41" s="55">
        <f t="shared" si="31"/>
        <v>0</v>
      </c>
      <c r="H41" s="55">
        <f t="shared" si="31"/>
        <v>0</v>
      </c>
      <c r="I41" s="55">
        <f t="shared" si="31"/>
        <v>0</v>
      </c>
      <c r="J41" s="55">
        <f t="shared" si="31"/>
        <v>0</v>
      </c>
      <c r="K41" s="55">
        <f t="shared" si="31"/>
        <v>0</v>
      </c>
      <c r="L41" s="55">
        <f t="shared" si="31"/>
        <v>0</v>
      </c>
      <c r="M41" s="55">
        <f t="shared" si="31"/>
        <v>0</v>
      </c>
      <c r="N41" s="55">
        <f t="shared" si="31"/>
        <v>0</v>
      </c>
      <c r="O41" s="55">
        <f t="shared" si="31"/>
        <v>0</v>
      </c>
      <c r="P41" s="55">
        <f t="shared" si="31"/>
        <v>0</v>
      </c>
      <c r="Q41" s="55">
        <f t="shared" si="21"/>
        <v>0</v>
      </c>
    </row>
    <row r="42" spans="3:17">
      <c r="C42" s="683"/>
      <c r="D42" s="679"/>
      <c r="E42" s="55">
        <f t="shared" ref="E42:P42" si="32">E218+E390</f>
        <v>0</v>
      </c>
      <c r="F42" s="55">
        <f t="shared" si="32"/>
        <v>0</v>
      </c>
      <c r="G42" s="55">
        <f t="shared" si="32"/>
        <v>0</v>
      </c>
      <c r="H42" s="55">
        <f t="shared" si="32"/>
        <v>0</v>
      </c>
      <c r="I42" s="55">
        <f t="shared" si="32"/>
        <v>0</v>
      </c>
      <c r="J42" s="55">
        <f t="shared" si="32"/>
        <v>0</v>
      </c>
      <c r="K42" s="55">
        <f t="shared" si="32"/>
        <v>0</v>
      </c>
      <c r="L42" s="55">
        <f t="shared" si="32"/>
        <v>0</v>
      </c>
      <c r="M42" s="55">
        <f t="shared" si="32"/>
        <v>0</v>
      </c>
      <c r="N42" s="55">
        <f t="shared" si="32"/>
        <v>0</v>
      </c>
      <c r="O42" s="55">
        <f t="shared" si="32"/>
        <v>0</v>
      </c>
      <c r="P42" s="55">
        <f t="shared" si="32"/>
        <v>0</v>
      </c>
      <c r="Q42" s="55">
        <f t="shared" si="21"/>
        <v>0</v>
      </c>
    </row>
    <row r="43" spans="3:18">
      <c r="C43" s="683"/>
      <c r="D43" s="55"/>
      <c r="E43" s="55">
        <f t="shared" ref="E43:P43" si="33">E49</f>
        <v>41.3918372399234</v>
      </c>
      <c r="F43" s="55">
        <f t="shared" si="33"/>
        <v>44.3541841336211</v>
      </c>
      <c r="G43" s="55">
        <f t="shared" si="33"/>
        <v>45.9530825814396</v>
      </c>
      <c r="H43" s="55">
        <f t="shared" si="33"/>
        <v>100.463820304008</v>
      </c>
      <c r="I43" s="55">
        <f t="shared" si="33"/>
        <v>235.870710295683</v>
      </c>
      <c r="J43" s="55">
        <f t="shared" si="33"/>
        <v>119.130362948301</v>
      </c>
      <c r="K43" s="55">
        <f t="shared" si="33"/>
        <v>131.31179443982</v>
      </c>
      <c r="L43" s="55">
        <f t="shared" si="33"/>
        <v>45.0372313192359</v>
      </c>
      <c r="M43" s="55">
        <f t="shared" si="33"/>
        <v>77.2615950699357</v>
      </c>
      <c r="N43" s="55">
        <f t="shared" si="33"/>
        <v>147.425751679199</v>
      </c>
      <c r="O43" s="55">
        <f t="shared" si="33"/>
        <v>132.404806487304</v>
      </c>
      <c r="P43" s="55">
        <f t="shared" si="33"/>
        <v>61.502403501529</v>
      </c>
      <c r="Q43" s="55">
        <f t="shared" si="21"/>
        <v>1182.10758</v>
      </c>
      <c r="R43" s="686"/>
    </row>
    <row r="44" spans="3:17">
      <c r="C44" s="683"/>
      <c r="D44" s="55"/>
      <c r="E44" s="55">
        <f t="shared" ref="E44:P44" si="34">E220+E392</f>
        <v>0</v>
      </c>
      <c r="F44" s="55">
        <f t="shared" si="34"/>
        <v>0</v>
      </c>
      <c r="G44" s="55">
        <f t="shared" si="34"/>
        <v>0</v>
      </c>
      <c r="H44" s="55">
        <f t="shared" si="34"/>
        <v>0</v>
      </c>
      <c r="I44" s="55">
        <f t="shared" si="34"/>
        <v>0</v>
      </c>
      <c r="J44" s="55">
        <f t="shared" si="34"/>
        <v>0</v>
      </c>
      <c r="K44" s="55">
        <f t="shared" si="34"/>
        <v>0</v>
      </c>
      <c r="L44" s="55">
        <f t="shared" si="34"/>
        <v>0</v>
      </c>
      <c r="M44" s="55">
        <f t="shared" si="34"/>
        <v>0</v>
      </c>
      <c r="N44" s="55">
        <f t="shared" si="34"/>
        <v>0</v>
      </c>
      <c r="O44" s="55">
        <f t="shared" si="34"/>
        <v>0</v>
      </c>
      <c r="P44" s="55">
        <f t="shared" si="34"/>
        <v>0</v>
      </c>
      <c r="Q44" s="55">
        <f t="shared" si="21"/>
        <v>0</v>
      </c>
    </row>
    <row r="45" spans="3:17">
      <c r="C45" s="683"/>
      <c r="D45" s="55"/>
      <c r="E45" s="55">
        <f t="shared" ref="E45:P45" si="35">E221+E393</f>
        <v>0</v>
      </c>
      <c r="F45" s="55">
        <f t="shared" si="35"/>
        <v>0</v>
      </c>
      <c r="G45" s="55">
        <f t="shared" si="35"/>
        <v>0</v>
      </c>
      <c r="H45" s="55">
        <f t="shared" si="35"/>
        <v>0</v>
      </c>
      <c r="I45" s="55">
        <f t="shared" si="35"/>
        <v>0</v>
      </c>
      <c r="J45" s="55">
        <f t="shared" si="35"/>
        <v>0</v>
      </c>
      <c r="K45" s="55">
        <f t="shared" si="35"/>
        <v>0</v>
      </c>
      <c r="L45" s="55">
        <f t="shared" si="35"/>
        <v>0</v>
      </c>
      <c r="M45" s="55">
        <f t="shared" si="35"/>
        <v>0</v>
      </c>
      <c r="N45" s="55">
        <f t="shared" si="35"/>
        <v>0</v>
      </c>
      <c r="O45" s="55">
        <f t="shared" si="35"/>
        <v>0</v>
      </c>
      <c r="P45" s="55">
        <f t="shared" si="35"/>
        <v>0</v>
      </c>
      <c r="Q45" s="55">
        <f t="shared" si="21"/>
        <v>0</v>
      </c>
    </row>
    <row r="46" spans="3:17">
      <c r="C46" s="683"/>
      <c r="D46" s="55"/>
      <c r="E46" s="55">
        <f t="shared" ref="E46:P46" si="36">E222+E394</f>
        <v>0</v>
      </c>
      <c r="F46" s="55">
        <f t="shared" si="36"/>
        <v>0</v>
      </c>
      <c r="G46" s="55">
        <f t="shared" si="36"/>
        <v>0</v>
      </c>
      <c r="H46" s="55">
        <f t="shared" si="36"/>
        <v>0</v>
      </c>
      <c r="I46" s="55">
        <f t="shared" si="36"/>
        <v>0</v>
      </c>
      <c r="J46" s="55">
        <f t="shared" si="36"/>
        <v>0</v>
      </c>
      <c r="K46" s="55">
        <f t="shared" si="36"/>
        <v>0</v>
      </c>
      <c r="L46" s="55">
        <f t="shared" si="36"/>
        <v>0</v>
      </c>
      <c r="M46" s="55">
        <f t="shared" si="36"/>
        <v>0</v>
      </c>
      <c r="N46" s="55">
        <f t="shared" si="36"/>
        <v>0</v>
      </c>
      <c r="O46" s="55">
        <f t="shared" si="36"/>
        <v>0</v>
      </c>
      <c r="P46" s="55">
        <f t="shared" si="36"/>
        <v>0</v>
      </c>
      <c r="Q46" s="55">
        <f t="shared" si="21"/>
        <v>0</v>
      </c>
    </row>
    <row r="47" spans="3:17">
      <c r="C47" s="683"/>
      <c r="D47" s="55"/>
      <c r="E47" s="55">
        <f t="shared" ref="E47:P47" si="37">E223+E395</f>
        <v>0</v>
      </c>
      <c r="F47" s="55">
        <f t="shared" si="37"/>
        <v>0</v>
      </c>
      <c r="G47" s="55">
        <f t="shared" si="37"/>
        <v>0</v>
      </c>
      <c r="H47" s="55">
        <f t="shared" si="37"/>
        <v>0</v>
      </c>
      <c r="I47" s="55">
        <f t="shared" si="37"/>
        <v>0</v>
      </c>
      <c r="J47" s="55">
        <f t="shared" si="37"/>
        <v>0</v>
      </c>
      <c r="K47" s="55">
        <f t="shared" si="37"/>
        <v>0</v>
      </c>
      <c r="L47" s="55">
        <f t="shared" si="37"/>
        <v>0</v>
      </c>
      <c r="M47" s="55">
        <f t="shared" si="37"/>
        <v>0</v>
      </c>
      <c r="N47" s="55">
        <f t="shared" si="37"/>
        <v>0</v>
      </c>
      <c r="O47" s="55">
        <f t="shared" si="37"/>
        <v>0</v>
      </c>
      <c r="P47" s="55">
        <f t="shared" si="37"/>
        <v>0</v>
      </c>
      <c r="Q47" s="55">
        <f t="shared" si="21"/>
        <v>0</v>
      </c>
    </row>
    <row r="48" spans="3:17">
      <c r="C48" s="684"/>
      <c r="D48" s="67"/>
      <c r="E48" s="55">
        <f t="shared" ref="E48:P48" si="38">E224+E396</f>
        <v>0</v>
      </c>
      <c r="F48" s="55">
        <f t="shared" si="38"/>
        <v>0</v>
      </c>
      <c r="G48" s="55">
        <f t="shared" si="38"/>
        <v>0</v>
      </c>
      <c r="H48" s="55">
        <f t="shared" si="38"/>
        <v>0</v>
      </c>
      <c r="I48" s="55">
        <f t="shared" si="38"/>
        <v>0</v>
      </c>
      <c r="J48" s="55">
        <f t="shared" si="38"/>
        <v>0</v>
      </c>
      <c r="K48" s="55">
        <f t="shared" si="38"/>
        <v>0</v>
      </c>
      <c r="L48" s="55">
        <f t="shared" si="38"/>
        <v>0</v>
      </c>
      <c r="M48" s="55">
        <f t="shared" si="38"/>
        <v>0</v>
      </c>
      <c r="N48" s="55">
        <f t="shared" si="38"/>
        <v>0</v>
      </c>
      <c r="O48" s="55">
        <f t="shared" si="38"/>
        <v>0</v>
      </c>
      <c r="P48" s="55">
        <f t="shared" si="38"/>
        <v>0</v>
      </c>
      <c r="Q48" s="55">
        <f t="shared" si="21"/>
        <v>0</v>
      </c>
    </row>
    <row r="49" ht="15" spans="3:18">
      <c r="C49" s="537" t="s">
        <v>211</v>
      </c>
      <c r="D49" s="540"/>
      <c r="E49" s="55">
        <f t="shared" ref="E49:Q49" si="39">E225+E397</f>
        <v>41.3918372399234</v>
      </c>
      <c r="F49" s="55">
        <f t="shared" si="39"/>
        <v>44.3541841336211</v>
      </c>
      <c r="G49" s="55">
        <f t="shared" si="39"/>
        <v>45.9530825814396</v>
      </c>
      <c r="H49" s="55">
        <f t="shared" si="39"/>
        <v>100.463820304008</v>
      </c>
      <c r="I49" s="55">
        <f t="shared" si="39"/>
        <v>235.870710295683</v>
      </c>
      <c r="J49" s="55">
        <f t="shared" si="39"/>
        <v>119.130362948301</v>
      </c>
      <c r="K49" s="55">
        <f t="shared" si="39"/>
        <v>131.31179443982</v>
      </c>
      <c r="L49" s="55">
        <f t="shared" si="39"/>
        <v>45.0372313192359</v>
      </c>
      <c r="M49" s="55">
        <f t="shared" si="39"/>
        <v>77.2615950699357</v>
      </c>
      <c r="N49" s="55">
        <f t="shared" si="39"/>
        <v>147.425751679199</v>
      </c>
      <c r="O49" s="55">
        <f t="shared" si="39"/>
        <v>132.404806487304</v>
      </c>
      <c r="P49" s="55">
        <f t="shared" si="39"/>
        <v>61.502403501529</v>
      </c>
      <c r="Q49" s="55">
        <f t="shared" si="39"/>
        <v>2351.509105</v>
      </c>
      <c r="R49" s="686"/>
    </row>
    <row r="50" ht="15" spans="3:18">
      <c r="C50" s="44" t="s">
        <v>369</v>
      </c>
      <c r="D50" s="45"/>
      <c r="E50" s="54">
        <f t="shared" ref="E50:Q50" si="40">E29+E49</f>
        <v>1878.65823138794</v>
      </c>
      <c r="F50" s="54">
        <f t="shared" si="40"/>
        <v>1085.68637792377</v>
      </c>
      <c r="G50" s="54">
        <f t="shared" si="40"/>
        <v>1324.44263822179</v>
      </c>
      <c r="H50" s="54">
        <f t="shared" si="40"/>
        <v>1512.35992820306</v>
      </c>
      <c r="I50" s="54">
        <f t="shared" si="40"/>
        <v>1746.74126164991</v>
      </c>
      <c r="J50" s="54">
        <f t="shared" si="40"/>
        <v>1780.38749907613</v>
      </c>
      <c r="K50" s="54">
        <f t="shared" si="40"/>
        <v>1621.09549710859</v>
      </c>
      <c r="L50" s="54">
        <f t="shared" si="40"/>
        <v>1478.59506809116</v>
      </c>
      <c r="M50" s="54">
        <f t="shared" si="40"/>
        <v>1712.66090172548</v>
      </c>
      <c r="N50" s="54">
        <f t="shared" si="40"/>
        <v>1933.49593841734</v>
      </c>
      <c r="O50" s="54">
        <f t="shared" si="40"/>
        <v>1814.20614761826</v>
      </c>
      <c r="P50" s="54">
        <f t="shared" si="40"/>
        <v>2067.49730202821</v>
      </c>
      <c r="Q50" s="54">
        <f t="shared" si="40"/>
        <v>21125.2283164516</v>
      </c>
      <c r="R50" s="686"/>
    </row>
    <row r="51" ht="15" spans="3:17">
      <c r="C51" s="663" t="s">
        <v>370</v>
      </c>
      <c r="D51" s="676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ht="15" spans="3:17">
      <c r="C52" s="44" t="s">
        <v>350</v>
      </c>
      <c r="D52" s="4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</row>
    <row r="53" ht="15" customHeight="1" spans="3:17">
      <c r="C53" s="682" t="s">
        <v>371</v>
      </c>
      <c r="D53" s="55" t="s">
        <v>372</v>
      </c>
      <c r="E53" s="147">
        <f t="shared" ref="E53:P53" si="41">E229+E401</f>
        <v>50.7119640999574</v>
      </c>
      <c r="F53" s="147">
        <f t="shared" si="41"/>
        <v>67.9515852192032</v>
      </c>
      <c r="G53" s="147">
        <f t="shared" si="41"/>
        <v>69.1487343211124</v>
      </c>
      <c r="H53" s="147">
        <f t="shared" si="41"/>
        <v>50.2024135891956</v>
      </c>
      <c r="I53" s="147">
        <f t="shared" si="41"/>
        <v>43.7846565416729</v>
      </c>
      <c r="J53" s="147">
        <f t="shared" si="41"/>
        <v>45.7300504179643</v>
      </c>
      <c r="K53" s="147">
        <f t="shared" si="41"/>
        <v>43.7846565416729</v>
      </c>
      <c r="L53" s="147">
        <f t="shared" si="41"/>
        <v>62.7017457620402</v>
      </c>
      <c r="M53" s="147">
        <f t="shared" si="41"/>
        <v>38.7423925608437</v>
      </c>
      <c r="N53" s="147">
        <f t="shared" si="41"/>
        <v>40.6892738519105</v>
      </c>
      <c r="O53" s="147">
        <f t="shared" si="41"/>
        <v>52.5349130195755</v>
      </c>
      <c r="P53" s="147">
        <f t="shared" si="41"/>
        <v>62.7983975201813</v>
      </c>
      <c r="Q53" s="147">
        <f t="shared" ref="Q53:Q79" si="42">SUM(E53:P53)</f>
        <v>628.78078344533</v>
      </c>
    </row>
    <row r="54" spans="3:17">
      <c r="C54" s="683"/>
      <c r="D54" s="55" t="s">
        <v>373</v>
      </c>
      <c r="E54" s="147">
        <f t="shared" ref="E54:P54" si="43">E230+E402</f>
        <v>14.1763471233252</v>
      </c>
      <c r="F54" s="147">
        <f t="shared" si="43"/>
        <v>17.3239070933156</v>
      </c>
      <c r="G54" s="147">
        <f t="shared" si="43"/>
        <v>16.765071380628</v>
      </c>
      <c r="H54" s="147">
        <f t="shared" si="43"/>
        <v>0</v>
      </c>
      <c r="I54" s="147">
        <f t="shared" si="43"/>
        <v>5.60479347136681</v>
      </c>
      <c r="J54" s="147">
        <f t="shared" si="43"/>
        <v>11.5876228660223</v>
      </c>
      <c r="K54" s="147">
        <f t="shared" si="43"/>
        <v>11.2095869427336</v>
      </c>
      <c r="L54" s="147">
        <f t="shared" si="43"/>
        <v>16.0254358785415</v>
      </c>
      <c r="M54" s="147">
        <f t="shared" si="43"/>
        <v>13.8846020086132</v>
      </c>
      <c r="N54" s="147">
        <f t="shared" si="43"/>
        <v>14.2667470180246</v>
      </c>
      <c r="O54" s="147">
        <f t="shared" si="43"/>
        <v>13.5764205494105</v>
      </c>
      <c r="P54" s="147">
        <f t="shared" si="43"/>
        <v>15.4131820462588</v>
      </c>
      <c r="Q54" s="147">
        <f t="shared" si="42"/>
        <v>149.83371637824</v>
      </c>
    </row>
    <row r="55" customHeight="1" spans="3:17">
      <c r="C55" s="683"/>
      <c r="D55" s="55" t="s">
        <v>374</v>
      </c>
      <c r="E55" s="147">
        <f t="shared" ref="E55:P55" si="44">E231+E403</f>
        <v>28.6699932904637</v>
      </c>
      <c r="F55" s="147">
        <f t="shared" si="44"/>
        <v>28.4246194740138</v>
      </c>
      <c r="G55" s="147">
        <f t="shared" si="44"/>
        <v>28.0888447778192</v>
      </c>
      <c r="H55" s="147">
        <f t="shared" si="44"/>
        <v>30.2261798632119</v>
      </c>
      <c r="I55" s="147">
        <f t="shared" si="44"/>
        <v>27.2235792145484</v>
      </c>
      <c r="J55" s="147">
        <f t="shared" si="44"/>
        <v>30.7551048938343</v>
      </c>
      <c r="K55" s="147">
        <f t="shared" si="44"/>
        <v>28.4246194740138</v>
      </c>
      <c r="L55" s="147">
        <f t="shared" si="44"/>
        <v>20.8547662030392</v>
      </c>
      <c r="M55" s="147">
        <f t="shared" si="44"/>
        <v>18.165378656706</v>
      </c>
      <c r="N55" s="147">
        <f t="shared" si="44"/>
        <v>25.802987729638</v>
      </c>
      <c r="O55" s="147">
        <f t="shared" si="44"/>
        <v>27.0215046861041</v>
      </c>
      <c r="P55" s="147">
        <f t="shared" si="44"/>
        <v>32.0277402524099</v>
      </c>
      <c r="Q55" s="147">
        <f t="shared" si="42"/>
        <v>325.685318515802</v>
      </c>
    </row>
    <row r="56" spans="3:17">
      <c r="C56" s="683"/>
      <c r="D56" s="55" t="s">
        <v>375</v>
      </c>
      <c r="E56" s="147">
        <f t="shared" ref="E56:P56" si="45">E232+E404</f>
        <v>92.276921850848</v>
      </c>
      <c r="F56" s="147">
        <f t="shared" si="45"/>
        <v>116.277606763874</v>
      </c>
      <c r="G56" s="147">
        <f t="shared" si="45"/>
        <v>114.18829056334</v>
      </c>
      <c r="H56" s="147">
        <f t="shared" si="45"/>
        <v>77.4741656372744</v>
      </c>
      <c r="I56" s="147">
        <f t="shared" si="45"/>
        <v>71.5146144344072</v>
      </c>
      <c r="J56" s="147">
        <f t="shared" si="45"/>
        <v>74.974999003814</v>
      </c>
      <c r="K56" s="147">
        <f t="shared" si="45"/>
        <v>71.5146144344072</v>
      </c>
      <c r="L56" s="147">
        <f t="shared" si="45"/>
        <v>0</v>
      </c>
      <c r="M56" s="147">
        <f t="shared" si="45"/>
        <v>40.2269706193541</v>
      </c>
      <c r="N56" s="147">
        <f t="shared" si="45"/>
        <v>80.4539412387081</v>
      </c>
      <c r="O56" s="147">
        <f t="shared" si="45"/>
        <v>88.8530358873091</v>
      </c>
      <c r="P56" s="147">
        <f t="shared" si="45"/>
        <v>104.292146050177</v>
      </c>
      <c r="Q56" s="147">
        <f t="shared" si="42"/>
        <v>932.047306483513</v>
      </c>
    </row>
    <row r="57" spans="3:17">
      <c r="C57" s="683"/>
      <c r="D57" s="55" t="s">
        <v>376</v>
      </c>
      <c r="E57" s="147">
        <f t="shared" ref="E57:P57" si="46">E233+E405</f>
        <v>57.8784882991958</v>
      </c>
      <c r="F57" s="147">
        <f t="shared" si="46"/>
        <v>74.6096648908563</v>
      </c>
      <c r="G57" s="147">
        <f t="shared" si="46"/>
        <v>0.514454270645407</v>
      </c>
      <c r="H57" s="147">
        <f t="shared" si="46"/>
        <v>24.5953977222139</v>
      </c>
      <c r="I57" s="147">
        <f t="shared" si="46"/>
        <v>44.9715806427719</v>
      </c>
      <c r="J57" s="147">
        <f t="shared" si="46"/>
        <v>47.1227319188426</v>
      </c>
      <c r="K57" s="147">
        <f t="shared" si="46"/>
        <v>44.9715806427719</v>
      </c>
      <c r="L57" s="147">
        <f t="shared" si="46"/>
        <v>60.9085260850035</v>
      </c>
      <c r="M57" s="147">
        <f t="shared" si="46"/>
        <v>50.5287214392878</v>
      </c>
      <c r="N57" s="147">
        <f t="shared" si="46"/>
        <v>50.5287214392878</v>
      </c>
      <c r="O57" s="147">
        <f t="shared" si="46"/>
        <v>57.4004546822911</v>
      </c>
      <c r="P57" s="147">
        <f t="shared" si="46"/>
        <v>65.3477635633299</v>
      </c>
      <c r="Q57" s="147">
        <f t="shared" si="42"/>
        <v>579.378085596498</v>
      </c>
    </row>
    <row r="58" customHeight="1" spans="3:17">
      <c r="C58" s="683"/>
      <c r="D58" s="55" t="s">
        <v>377</v>
      </c>
      <c r="E58" s="147">
        <f t="shared" ref="E58:P58" si="47">E234+E406</f>
        <v>65.3466623574615</v>
      </c>
      <c r="F58" s="147">
        <f t="shared" si="47"/>
        <v>84.8274003782732</v>
      </c>
      <c r="G58" s="147">
        <f t="shared" si="47"/>
        <v>54.2755024900593</v>
      </c>
      <c r="H58" s="147">
        <f t="shared" si="47"/>
        <v>47.0117823236981</v>
      </c>
      <c r="I58" s="147">
        <f t="shared" si="47"/>
        <v>52.277329885969</v>
      </c>
      <c r="J58" s="147">
        <f t="shared" si="47"/>
        <v>51.598585383965</v>
      </c>
      <c r="K58" s="147">
        <f t="shared" si="47"/>
        <v>52.277329885969</v>
      </c>
      <c r="L58" s="147">
        <f t="shared" si="47"/>
        <v>42.1983420131774</v>
      </c>
      <c r="M58" s="147">
        <f t="shared" si="47"/>
        <v>47.1820244513918</v>
      </c>
      <c r="N58" s="147">
        <f t="shared" si="47"/>
        <v>56.6337740431331</v>
      </c>
      <c r="O58" s="147">
        <f t="shared" si="47"/>
        <v>62.9576445938552</v>
      </c>
      <c r="P58" s="147">
        <f t="shared" si="47"/>
        <v>76.2377727503716</v>
      </c>
      <c r="Q58" s="147">
        <f t="shared" si="42"/>
        <v>692.824150557324</v>
      </c>
    </row>
    <row r="59" spans="3:17">
      <c r="C59" s="683"/>
      <c r="D59" s="55" t="s">
        <v>378</v>
      </c>
      <c r="E59" s="147">
        <f t="shared" ref="E59:P59" si="48">E235+E407</f>
        <v>5.87283884939364</v>
      </c>
      <c r="F59" s="147">
        <f t="shared" si="48"/>
        <v>7.3961064259551</v>
      </c>
      <c r="G59" s="147">
        <f t="shared" si="48"/>
        <v>7.15752234769849</v>
      </c>
      <c r="H59" s="147">
        <f t="shared" si="48"/>
        <v>4.93073761730341</v>
      </c>
      <c r="I59" s="147">
        <f t="shared" si="48"/>
        <v>4.55145010828007</v>
      </c>
      <c r="J59" s="147">
        <f t="shared" si="48"/>
        <v>4.58815535108878</v>
      </c>
      <c r="K59" s="147">
        <f t="shared" si="48"/>
        <v>4.55145010828007</v>
      </c>
      <c r="L59" s="147">
        <f t="shared" si="48"/>
        <v>5.60711329148726</v>
      </c>
      <c r="M59" s="147">
        <f t="shared" si="48"/>
        <v>4.93073761730341</v>
      </c>
      <c r="N59" s="147">
        <f t="shared" si="48"/>
        <v>4.93073761730341</v>
      </c>
      <c r="O59" s="147">
        <f t="shared" si="48"/>
        <v>5.48131625943406</v>
      </c>
      <c r="P59" s="147">
        <f t="shared" si="48"/>
        <v>6.63753140790843</v>
      </c>
      <c r="Q59" s="147">
        <f t="shared" si="42"/>
        <v>66.6356970014361</v>
      </c>
    </row>
    <row r="60" spans="3:17">
      <c r="C60" s="683"/>
      <c r="D60" s="55" t="s">
        <v>379</v>
      </c>
      <c r="E60" s="147">
        <f t="shared" ref="E60:P60" si="49">E236+E408</f>
        <v>32.8407795904162</v>
      </c>
      <c r="F60" s="147">
        <f t="shared" si="49"/>
        <v>41.5983208145272</v>
      </c>
      <c r="G60" s="147">
        <f t="shared" si="49"/>
        <v>41.3158194847172</v>
      </c>
      <c r="H60" s="147">
        <f t="shared" si="49"/>
        <v>28.4620089783607</v>
      </c>
      <c r="I60" s="147">
        <f t="shared" si="49"/>
        <v>26.272623672333</v>
      </c>
      <c r="J60" s="147">
        <f t="shared" si="49"/>
        <v>25.4251196829029</v>
      </c>
      <c r="K60" s="147">
        <f t="shared" si="49"/>
        <v>26.272623672333</v>
      </c>
      <c r="L60" s="147">
        <f t="shared" si="49"/>
        <v>31.7813996036286</v>
      </c>
      <c r="M60" s="147">
        <f t="shared" si="49"/>
        <v>28.4620089783607</v>
      </c>
      <c r="N60" s="147">
        <f t="shared" si="49"/>
        <v>28.4620089783607</v>
      </c>
      <c r="O60" s="147">
        <f t="shared" si="49"/>
        <v>31.6401489387236</v>
      </c>
      <c r="P60" s="147">
        <f t="shared" si="49"/>
        <v>37.5763007367242</v>
      </c>
      <c r="Q60" s="147">
        <f t="shared" si="42"/>
        <v>380.109163131388</v>
      </c>
    </row>
    <row r="61" spans="3:17">
      <c r="C61" s="684"/>
      <c r="D61" s="685" t="s">
        <v>380</v>
      </c>
      <c r="E61" s="147">
        <f t="shared" ref="E61:P61" si="50">E237+E409</f>
        <v>162.11607444076</v>
      </c>
      <c r="F61" s="147">
        <f t="shared" si="50"/>
        <v>166.527401468145</v>
      </c>
      <c r="G61" s="147">
        <f t="shared" si="50"/>
        <v>161.155549807882</v>
      </c>
      <c r="H61" s="147">
        <f t="shared" si="50"/>
        <v>160.913879575179</v>
      </c>
      <c r="I61" s="147">
        <f t="shared" si="50"/>
        <v>129.835155599234</v>
      </c>
      <c r="J61" s="147">
        <f t="shared" si="50"/>
        <v>141.61204975968</v>
      </c>
      <c r="K61" s="147">
        <f t="shared" si="50"/>
        <v>129.680716699856</v>
      </c>
      <c r="L61" s="147">
        <f t="shared" si="50"/>
        <v>164.710451641879</v>
      </c>
      <c r="M61" s="147">
        <f t="shared" si="50"/>
        <v>162.267131949138</v>
      </c>
      <c r="N61" s="147">
        <f t="shared" si="50"/>
        <v>145.841314004375</v>
      </c>
      <c r="O61" s="147">
        <f t="shared" si="50"/>
        <v>143.276225370753</v>
      </c>
      <c r="P61" s="147">
        <f t="shared" si="50"/>
        <v>170.723887216878</v>
      </c>
      <c r="Q61" s="147">
        <f t="shared" si="42"/>
        <v>1838.65983753376</v>
      </c>
    </row>
    <row r="62" spans="3:17">
      <c r="C62" s="55"/>
      <c r="D62" s="685" t="s">
        <v>450</v>
      </c>
      <c r="E62" s="147">
        <f t="shared" ref="E62:P62" si="51">E238+E410</f>
        <v>160.77977114544</v>
      </c>
      <c r="F62" s="147">
        <f t="shared" si="51"/>
        <v>168.626940973926</v>
      </c>
      <c r="G62" s="147">
        <f t="shared" si="51"/>
        <v>163.187362232831</v>
      </c>
      <c r="H62" s="147">
        <f t="shared" si="51"/>
        <v>160.069379987719</v>
      </c>
      <c r="I62" s="147">
        <f t="shared" si="51"/>
        <v>123.84724857992</v>
      </c>
      <c r="J62" s="147">
        <f t="shared" si="51"/>
        <v>129.829996323858</v>
      </c>
      <c r="K62" s="147">
        <f t="shared" si="51"/>
        <v>127.448258243409</v>
      </c>
      <c r="L62" s="147">
        <f t="shared" si="51"/>
        <v>166.787083458556</v>
      </c>
      <c r="M62" s="147">
        <f t="shared" si="51"/>
        <v>151.787552108916</v>
      </c>
      <c r="N62" s="147">
        <f t="shared" si="51"/>
        <v>146.308669374436</v>
      </c>
      <c r="O62" s="147">
        <f t="shared" si="51"/>
        <v>141.857954474364</v>
      </c>
      <c r="P62" s="147">
        <f t="shared" si="51"/>
        <v>168.626940973926</v>
      </c>
      <c r="Q62" s="147">
        <f t="shared" si="42"/>
        <v>1809.1571578773</v>
      </c>
    </row>
    <row r="63" spans="3:17">
      <c r="C63" s="55"/>
      <c r="D63" s="55" t="s">
        <v>381</v>
      </c>
      <c r="E63" s="147">
        <f t="shared" ref="E63:P63" si="52">E239+E411</f>
        <v>1.15238359057585</v>
      </c>
      <c r="F63" s="147">
        <f t="shared" si="52"/>
        <v>1.45968588139614</v>
      </c>
      <c r="G63" s="147">
        <f t="shared" si="52"/>
        <v>1.44977290427281</v>
      </c>
      <c r="H63" s="147">
        <f t="shared" si="52"/>
        <v>0.998732445165761</v>
      </c>
      <c r="I63" s="147">
        <f t="shared" si="52"/>
        <v>0.921906872460714</v>
      </c>
      <c r="J63" s="147">
        <f t="shared" si="52"/>
        <v>0.892167941091014</v>
      </c>
      <c r="K63" s="147">
        <f t="shared" si="52"/>
        <v>0.921906872460714</v>
      </c>
      <c r="L63" s="147">
        <f t="shared" si="52"/>
        <v>1.11520992636373</v>
      </c>
      <c r="M63" s="147">
        <f t="shared" si="52"/>
        <v>0.998732445165761</v>
      </c>
      <c r="N63" s="147">
        <f t="shared" si="52"/>
        <v>0.998732445165761</v>
      </c>
      <c r="O63" s="147">
        <f t="shared" si="52"/>
        <v>1.11025343780211</v>
      </c>
      <c r="P63" s="147">
        <f t="shared" si="52"/>
        <v>1.30603473598595</v>
      </c>
      <c r="Q63" s="147">
        <f t="shared" si="42"/>
        <v>13.3255194979063</v>
      </c>
    </row>
    <row r="64" spans="3:17">
      <c r="C64" s="55"/>
      <c r="D64" s="55" t="s">
        <v>382</v>
      </c>
      <c r="E64" s="147">
        <f t="shared" ref="E64:P64" si="53">E240+E412</f>
        <v>0.977696125244373</v>
      </c>
      <c r="F64" s="147">
        <f t="shared" si="53"/>
        <v>0.967597855406168</v>
      </c>
      <c r="G64" s="147">
        <f t="shared" si="53"/>
        <v>0.977696125244373</v>
      </c>
      <c r="H64" s="147">
        <f t="shared" si="53"/>
        <v>1.03163006642569</v>
      </c>
      <c r="I64" s="147">
        <f t="shared" si="53"/>
        <v>0.839533433367116</v>
      </c>
      <c r="J64" s="147">
        <f t="shared" si="53"/>
        <v>0.903910291974639</v>
      </c>
      <c r="K64" s="147">
        <f t="shared" si="53"/>
        <v>0.796845292687432</v>
      </c>
      <c r="L64" s="147">
        <f t="shared" si="53"/>
        <v>0.977696125244373</v>
      </c>
      <c r="M64" s="147">
        <f t="shared" si="53"/>
        <v>0.98894192574601</v>
      </c>
      <c r="N64" s="147">
        <f t="shared" si="53"/>
        <v>0.924909714726484</v>
      </c>
      <c r="O64" s="147">
        <f t="shared" si="53"/>
        <v>0.846721190640986</v>
      </c>
      <c r="P64" s="147">
        <f t="shared" si="53"/>
        <v>1.03163006642569</v>
      </c>
      <c r="Q64" s="147">
        <f t="shared" si="42"/>
        <v>11.2648082131333</v>
      </c>
    </row>
    <row r="65" spans="3:17">
      <c r="C65" s="55"/>
      <c r="D65" s="55" t="s">
        <v>383</v>
      </c>
      <c r="E65" s="147">
        <f t="shared" ref="E65:P65" si="54">E241+E413</f>
        <v>0.122022503254601</v>
      </c>
      <c r="F65" s="147">
        <f t="shared" si="54"/>
        <v>0.154561837455835</v>
      </c>
      <c r="G65" s="147">
        <f t="shared" si="54"/>
        <v>0.153512181513849</v>
      </c>
      <c r="H65" s="147">
        <f t="shared" si="54"/>
        <v>0.10575283615399</v>
      </c>
      <c r="I65" s="147">
        <f t="shared" si="54"/>
        <v>0.0976180026036846</v>
      </c>
      <c r="J65" s="147">
        <f t="shared" si="54"/>
        <v>0.0944690347777593</v>
      </c>
      <c r="K65" s="147">
        <f t="shared" si="54"/>
        <v>0.0976180026036846</v>
      </c>
      <c r="L65" s="147">
        <f t="shared" si="54"/>
        <v>0.118086293472195</v>
      </c>
      <c r="M65" s="147">
        <f t="shared" si="54"/>
        <v>0.10575283615399</v>
      </c>
      <c r="N65" s="147">
        <f t="shared" si="54"/>
        <v>0.10575283615399</v>
      </c>
      <c r="O65" s="147">
        <f t="shared" si="54"/>
        <v>0.117561465501207</v>
      </c>
      <c r="P65" s="147">
        <f t="shared" si="54"/>
        <v>0.138292170355213</v>
      </c>
      <c r="Q65" s="147">
        <f t="shared" si="42"/>
        <v>1.411</v>
      </c>
    </row>
    <row r="66" spans="3:17">
      <c r="C66" s="55"/>
      <c r="D66" s="55" t="s">
        <v>384</v>
      </c>
      <c r="E66" s="147">
        <f t="shared" ref="E66:P66" si="55">E242+E414</f>
        <v>6.87466164042677</v>
      </c>
      <c r="F66" s="147">
        <f t="shared" si="55"/>
        <v>7.10381702844099</v>
      </c>
      <c r="G66" s="147">
        <f t="shared" si="55"/>
        <v>6.87466164042677</v>
      </c>
      <c r="H66" s="147">
        <f t="shared" si="55"/>
        <v>7.25389766988693</v>
      </c>
      <c r="I66" s="147">
        <f t="shared" si="55"/>
        <v>5.96530148687322</v>
      </c>
      <c r="J66" s="147">
        <f t="shared" si="55"/>
        <v>6.58418297956366</v>
      </c>
      <c r="K66" s="147">
        <f t="shared" si="55"/>
        <v>5.60301061398163</v>
      </c>
      <c r="L66" s="147">
        <f t="shared" si="55"/>
        <v>6.87466164042677</v>
      </c>
      <c r="M66" s="147">
        <f t="shared" si="55"/>
        <v>7.10381702844099</v>
      </c>
      <c r="N66" s="147">
        <f t="shared" si="55"/>
        <v>6.65357510410319</v>
      </c>
      <c r="O66" s="147">
        <f t="shared" si="55"/>
        <v>6.14523744759275</v>
      </c>
      <c r="P66" s="147">
        <f t="shared" si="55"/>
        <v>7.5540589527788</v>
      </c>
      <c r="Q66" s="147">
        <f t="shared" si="42"/>
        <v>80.5908832329425</v>
      </c>
    </row>
    <row r="67" spans="3:17">
      <c r="C67" s="55"/>
      <c r="D67" s="55" t="s">
        <v>385</v>
      </c>
      <c r="E67" s="147">
        <f t="shared" ref="E67:P67" si="56">E243+E415</f>
        <v>4.69415075545924</v>
      </c>
      <c r="F67" s="147">
        <f t="shared" si="56"/>
        <v>4.85062244730789</v>
      </c>
      <c r="G67" s="147">
        <f t="shared" si="56"/>
        <v>4.69415075545924</v>
      </c>
      <c r="H67" s="147">
        <f t="shared" si="56"/>
        <v>4.95310038633552</v>
      </c>
      <c r="I67" s="147">
        <f t="shared" si="56"/>
        <v>4.0732222101639</v>
      </c>
      <c r="J67" s="147">
        <f t="shared" si="56"/>
        <v>4.49580635734125</v>
      </c>
      <c r="K67" s="147">
        <f t="shared" si="56"/>
        <v>3.82584305703157</v>
      </c>
      <c r="L67" s="147">
        <f t="shared" si="56"/>
        <v>4.69415075545924</v>
      </c>
      <c r="M67" s="147">
        <f t="shared" si="56"/>
        <v>4.85062244730789</v>
      </c>
      <c r="N67" s="147">
        <f t="shared" si="56"/>
        <v>4.54318863022499</v>
      </c>
      <c r="O67" s="147">
        <f t="shared" si="56"/>
        <v>4.1960859335185</v>
      </c>
      <c r="P67" s="147">
        <f t="shared" si="56"/>
        <v>5.15805626439078</v>
      </c>
      <c r="Q67" s="147">
        <f t="shared" si="42"/>
        <v>55.029</v>
      </c>
    </row>
    <row r="68" spans="3:17">
      <c r="C68" s="55"/>
      <c r="D68" s="55" t="s">
        <v>386</v>
      </c>
      <c r="E68" s="147">
        <f t="shared" ref="E68:P68" si="57">E244+E416</f>
        <v>22.2624077279383</v>
      </c>
      <c r="F68" s="147">
        <f t="shared" si="57"/>
        <v>16.804094505521</v>
      </c>
      <c r="G68" s="147">
        <f t="shared" si="57"/>
        <v>21.0417506280633</v>
      </c>
      <c r="H68" s="147">
        <f t="shared" si="57"/>
        <v>20.1470595445937</v>
      </c>
      <c r="I68" s="147">
        <f t="shared" si="57"/>
        <v>16.9099639702769</v>
      </c>
      <c r="J68" s="147">
        <f t="shared" si="57"/>
        <v>18.0210632592885</v>
      </c>
      <c r="K68" s="147">
        <f t="shared" si="57"/>
        <v>17.3457623064661</v>
      </c>
      <c r="L68" s="147">
        <f t="shared" si="57"/>
        <v>22.5602154738657</v>
      </c>
      <c r="M68" s="147">
        <f t="shared" si="57"/>
        <v>19.9134644029479</v>
      </c>
      <c r="N68" s="147">
        <f t="shared" si="57"/>
        <v>19.9134644029479</v>
      </c>
      <c r="O68" s="147">
        <f t="shared" si="57"/>
        <v>21.0361103152546</v>
      </c>
      <c r="P68" s="147">
        <f t="shared" si="57"/>
        <v>24.456995059824</v>
      </c>
      <c r="Q68" s="147">
        <f t="shared" si="42"/>
        <v>240.412351596988</v>
      </c>
    </row>
    <row r="69" spans="3:17">
      <c r="C69" s="55"/>
      <c r="D69" s="55" t="s">
        <v>387</v>
      </c>
      <c r="E69" s="147">
        <f t="shared" ref="E69:P69" si="58">E245+E417</f>
        <v>19.3297079343246</v>
      </c>
      <c r="F69" s="147">
        <f t="shared" si="58"/>
        <v>0</v>
      </c>
      <c r="G69" s="147">
        <f t="shared" si="58"/>
        <v>9.98517215581173</v>
      </c>
      <c r="H69" s="147">
        <f t="shared" si="58"/>
        <v>19.27040332227</v>
      </c>
      <c r="I69" s="147">
        <f t="shared" si="58"/>
        <v>14.2631331676644</v>
      </c>
      <c r="J69" s="147">
        <f t="shared" si="58"/>
        <v>15.5651213017066</v>
      </c>
      <c r="K69" s="147">
        <f t="shared" si="58"/>
        <v>15.1735459230473</v>
      </c>
      <c r="L69" s="147">
        <f t="shared" si="58"/>
        <v>20.4108666126152</v>
      </c>
      <c r="M69" s="147">
        <f t="shared" si="58"/>
        <v>17.9047841891958</v>
      </c>
      <c r="N69" s="147">
        <f t="shared" si="58"/>
        <v>17.9047841891958</v>
      </c>
      <c r="O69" s="147">
        <f t="shared" si="58"/>
        <v>16.994371433813</v>
      </c>
      <c r="P69" s="147">
        <f t="shared" si="58"/>
        <v>20.3755505482681</v>
      </c>
      <c r="Q69" s="147">
        <f t="shared" si="42"/>
        <v>187.177440777913</v>
      </c>
    </row>
    <row r="70" spans="3:17">
      <c r="C70" s="55"/>
      <c r="D70" s="55"/>
      <c r="E70" s="147">
        <f t="shared" ref="E70:P70" si="59">E246+E419</f>
        <v>0</v>
      </c>
      <c r="F70" s="147">
        <f t="shared" si="59"/>
        <v>0</v>
      </c>
      <c r="G70" s="147">
        <f t="shared" si="59"/>
        <v>0</v>
      </c>
      <c r="H70" s="147">
        <f t="shared" si="59"/>
        <v>0</v>
      </c>
      <c r="I70" s="147">
        <f t="shared" si="59"/>
        <v>0</v>
      </c>
      <c r="J70" s="147">
        <f t="shared" si="59"/>
        <v>0</v>
      </c>
      <c r="K70" s="147">
        <f t="shared" si="59"/>
        <v>0</v>
      </c>
      <c r="L70" s="147">
        <f t="shared" si="59"/>
        <v>0</v>
      </c>
      <c r="M70" s="147">
        <f t="shared" si="59"/>
        <v>0</v>
      </c>
      <c r="N70" s="147">
        <f t="shared" si="59"/>
        <v>0</v>
      </c>
      <c r="O70" s="147">
        <f t="shared" si="59"/>
        <v>0</v>
      </c>
      <c r="P70" s="147">
        <f t="shared" si="59"/>
        <v>0</v>
      </c>
      <c r="Q70" s="147">
        <f t="shared" si="42"/>
        <v>0</v>
      </c>
    </row>
    <row r="71" spans="3:17">
      <c r="C71" s="55"/>
      <c r="D71" s="55"/>
      <c r="E71" s="147">
        <f t="shared" ref="E71:P71" si="60">E247+E420</f>
        <v>0</v>
      </c>
      <c r="F71" s="147">
        <f t="shared" si="60"/>
        <v>0</v>
      </c>
      <c r="G71" s="147">
        <f t="shared" si="60"/>
        <v>0</v>
      </c>
      <c r="H71" s="147">
        <f t="shared" si="60"/>
        <v>0</v>
      </c>
      <c r="I71" s="147">
        <f t="shared" si="60"/>
        <v>0</v>
      </c>
      <c r="J71" s="147">
        <f t="shared" si="60"/>
        <v>0</v>
      </c>
      <c r="K71" s="147">
        <f t="shared" si="60"/>
        <v>0</v>
      </c>
      <c r="L71" s="147">
        <f t="shared" si="60"/>
        <v>0</v>
      </c>
      <c r="M71" s="147">
        <f t="shared" si="60"/>
        <v>0</v>
      </c>
      <c r="N71" s="147">
        <f t="shared" si="60"/>
        <v>0</v>
      </c>
      <c r="O71" s="147">
        <f t="shared" si="60"/>
        <v>0</v>
      </c>
      <c r="P71" s="147">
        <f t="shared" si="60"/>
        <v>0</v>
      </c>
      <c r="Q71" s="147">
        <f t="shared" si="42"/>
        <v>0</v>
      </c>
    </row>
    <row r="72" spans="3:17">
      <c r="C72" s="55"/>
      <c r="D72" s="55"/>
      <c r="E72" s="147">
        <f t="shared" ref="E72:P72" si="61">E248+E421</f>
        <v>0</v>
      </c>
      <c r="F72" s="147">
        <f t="shared" si="61"/>
        <v>0</v>
      </c>
      <c r="G72" s="147">
        <f t="shared" si="61"/>
        <v>0</v>
      </c>
      <c r="H72" s="147">
        <f t="shared" si="61"/>
        <v>0</v>
      </c>
      <c r="I72" s="147">
        <f t="shared" si="61"/>
        <v>0</v>
      </c>
      <c r="J72" s="147">
        <f t="shared" si="61"/>
        <v>0</v>
      </c>
      <c r="K72" s="147">
        <f t="shared" si="61"/>
        <v>0</v>
      </c>
      <c r="L72" s="147">
        <f t="shared" si="61"/>
        <v>0</v>
      </c>
      <c r="M72" s="147">
        <f t="shared" si="61"/>
        <v>0</v>
      </c>
      <c r="N72" s="147">
        <f t="shared" si="61"/>
        <v>0</v>
      </c>
      <c r="O72" s="147">
        <f t="shared" si="61"/>
        <v>0</v>
      </c>
      <c r="P72" s="147">
        <f t="shared" si="61"/>
        <v>0</v>
      </c>
      <c r="Q72" s="147">
        <f t="shared" si="42"/>
        <v>0</v>
      </c>
    </row>
    <row r="73" spans="3:17">
      <c r="C73" s="55"/>
      <c r="D73" s="55"/>
      <c r="E73" s="147">
        <f t="shared" ref="E73:P73" si="62">E249+E422</f>
        <v>0</v>
      </c>
      <c r="F73" s="147">
        <f t="shared" si="62"/>
        <v>0</v>
      </c>
      <c r="G73" s="147">
        <f t="shared" si="62"/>
        <v>0</v>
      </c>
      <c r="H73" s="147">
        <f t="shared" si="62"/>
        <v>0</v>
      </c>
      <c r="I73" s="147">
        <f t="shared" si="62"/>
        <v>0</v>
      </c>
      <c r="J73" s="147">
        <f t="shared" si="62"/>
        <v>0</v>
      </c>
      <c r="K73" s="147">
        <f t="shared" si="62"/>
        <v>0</v>
      </c>
      <c r="L73" s="147">
        <f t="shared" si="62"/>
        <v>0</v>
      </c>
      <c r="M73" s="147">
        <f t="shared" si="62"/>
        <v>0</v>
      </c>
      <c r="N73" s="147">
        <f t="shared" si="62"/>
        <v>0</v>
      </c>
      <c r="O73" s="147">
        <f t="shared" si="62"/>
        <v>0</v>
      </c>
      <c r="P73" s="147">
        <f t="shared" si="62"/>
        <v>0</v>
      </c>
      <c r="Q73" s="147">
        <f t="shared" si="42"/>
        <v>0</v>
      </c>
    </row>
    <row r="74" spans="3:17">
      <c r="C74" s="55"/>
      <c r="D74" s="55"/>
      <c r="E74" s="147">
        <f t="shared" ref="E74:P74" si="63">E250+E423</f>
        <v>0</v>
      </c>
      <c r="F74" s="147">
        <f t="shared" si="63"/>
        <v>0</v>
      </c>
      <c r="G74" s="147">
        <f t="shared" si="63"/>
        <v>0</v>
      </c>
      <c r="H74" s="147">
        <f t="shared" si="63"/>
        <v>0</v>
      </c>
      <c r="I74" s="147">
        <f t="shared" si="63"/>
        <v>0</v>
      </c>
      <c r="J74" s="147">
        <f t="shared" si="63"/>
        <v>0</v>
      </c>
      <c r="K74" s="147">
        <f t="shared" si="63"/>
        <v>0</v>
      </c>
      <c r="L74" s="147">
        <f t="shared" si="63"/>
        <v>0</v>
      </c>
      <c r="M74" s="147">
        <f t="shared" si="63"/>
        <v>0</v>
      </c>
      <c r="N74" s="147">
        <f t="shared" si="63"/>
        <v>0</v>
      </c>
      <c r="O74" s="147">
        <f t="shared" si="63"/>
        <v>0</v>
      </c>
      <c r="P74" s="147">
        <f t="shared" si="63"/>
        <v>0</v>
      </c>
      <c r="Q74" s="147">
        <f t="shared" si="42"/>
        <v>0</v>
      </c>
    </row>
    <row r="75" spans="3:17">
      <c r="C75" s="55"/>
      <c r="D75" s="55"/>
      <c r="E75" s="147">
        <f t="shared" ref="E75:P75" si="64">E251+E424</f>
        <v>0</v>
      </c>
      <c r="F75" s="147">
        <f t="shared" si="64"/>
        <v>0</v>
      </c>
      <c r="G75" s="147">
        <f t="shared" si="64"/>
        <v>0</v>
      </c>
      <c r="H75" s="147">
        <f t="shared" si="64"/>
        <v>0</v>
      </c>
      <c r="I75" s="147">
        <f t="shared" si="64"/>
        <v>0</v>
      </c>
      <c r="J75" s="147">
        <f t="shared" si="64"/>
        <v>0</v>
      </c>
      <c r="K75" s="147">
        <f t="shared" si="64"/>
        <v>0</v>
      </c>
      <c r="L75" s="147">
        <f t="shared" si="64"/>
        <v>0</v>
      </c>
      <c r="M75" s="147">
        <f t="shared" si="64"/>
        <v>0</v>
      </c>
      <c r="N75" s="147">
        <f t="shared" si="64"/>
        <v>0</v>
      </c>
      <c r="O75" s="147">
        <f t="shared" si="64"/>
        <v>0</v>
      </c>
      <c r="P75" s="147">
        <f t="shared" si="64"/>
        <v>0</v>
      </c>
      <c r="Q75" s="147">
        <f t="shared" si="42"/>
        <v>0</v>
      </c>
    </row>
    <row r="76" spans="3:17">
      <c r="C76" s="55"/>
      <c r="D76" s="55"/>
      <c r="E76" s="147">
        <f t="shared" ref="E76:P76" si="65">E252+E425</f>
        <v>0</v>
      </c>
      <c r="F76" s="147">
        <f t="shared" si="65"/>
        <v>0</v>
      </c>
      <c r="G76" s="147">
        <f t="shared" si="65"/>
        <v>0</v>
      </c>
      <c r="H76" s="147">
        <f t="shared" si="65"/>
        <v>0</v>
      </c>
      <c r="I76" s="147">
        <f t="shared" si="65"/>
        <v>0</v>
      </c>
      <c r="J76" s="147">
        <f t="shared" si="65"/>
        <v>0</v>
      </c>
      <c r="K76" s="147">
        <f t="shared" si="65"/>
        <v>0</v>
      </c>
      <c r="L76" s="147">
        <f t="shared" si="65"/>
        <v>0</v>
      </c>
      <c r="M76" s="147">
        <f t="shared" si="65"/>
        <v>0</v>
      </c>
      <c r="N76" s="147">
        <f t="shared" si="65"/>
        <v>0</v>
      </c>
      <c r="O76" s="147">
        <f t="shared" si="65"/>
        <v>0</v>
      </c>
      <c r="P76" s="147">
        <f t="shared" si="65"/>
        <v>0</v>
      </c>
      <c r="Q76" s="147">
        <f t="shared" si="42"/>
        <v>0</v>
      </c>
    </row>
    <row r="77" spans="3:17">
      <c r="C77" s="55"/>
      <c r="D77" s="55"/>
      <c r="E77" s="147">
        <f t="shared" ref="E77:P77" si="66">E253+E426</f>
        <v>0</v>
      </c>
      <c r="F77" s="147">
        <f t="shared" si="66"/>
        <v>0</v>
      </c>
      <c r="G77" s="147">
        <f t="shared" si="66"/>
        <v>0</v>
      </c>
      <c r="H77" s="147">
        <f t="shared" si="66"/>
        <v>0</v>
      </c>
      <c r="I77" s="147">
        <f t="shared" si="66"/>
        <v>0</v>
      </c>
      <c r="J77" s="147">
        <f t="shared" si="66"/>
        <v>0</v>
      </c>
      <c r="K77" s="147">
        <f t="shared" si="66"/>
        <v>0</v>
      </c>
      <c r="L77" s="147">
        <f t="shared" si="66"/>
        <v>0</v>
      </c>
      <c r="M77" s="147">
        <f t="shared" si="66"/>
        <v>0</v>
      </c>
      <c r="N77" s="147">
        <f t="shared" si="66"/>
        <v>0</v>
      </c>
      <c r="O77" s="147">
        <f t="shared" si="66"/>
        <v>0</v>
      </c>
      <c r="P77" s="147">
        <f t="shared" si="66"/>
        <v>0</v>
      </c>
      <c r="Q77" s="147">
        <f t="shared" si="42"/>
        <v>0</v>
      </c>
    </row>
    <row r="78" spans="3:17">
      <c r="C78" s="55"/>
      <c r="D78" s="55"/>
      <c r="E78" s="147">
        <f t="shared" ref="E78:P78" si="67">E254+E427</f>
        <v>0</v>
      </c>
      <c r="F78" s="147">
        <f t="shared" si="67"/>
        <v>0</v>
      </c>
      <c r="G78" s="147">
        <f t="shared" si="67"/>
        <v>0</v>
      </c>
      <c r="H78" s="147">
        <f t="shared" si="67"/>
        <v>0</v>
      </c>
      <c r="I78" s="147">
        <f t="shared" si="67"/>
        <v>0</v>
      </c>
      <c r="J78" s="147">
        <f t="shared" si="67"/>
        <v>0</v>
      </c>
      <c r="K78" s="147">
        <f t="shared" si="67"/>
        <v>0</v>
      </c>
      <c r="L78" s="147">
        <f t="shared" si="67"/>
        <v>0</v>
      </c>
      <c r="M78" s="147">
        <f t="shared" si="67"/>
        <v>0</v>
      </c>
      <c r="N78" s="147">
        <f t="shared" si="67"/>
        <v>0</v>
      </c>
      <c r="O78" s="147">
        <f t="shared" si="67"/>
        <v>0</v>
      </c>
      <c r="P78" s="147">
        <f t="shared" si="67"/>
        <v>0</v>
      </c>
      <c r="Q78" s="147">
        <f t="shared" si="42"/>
        <v>0</v>
      </c>
    </row>
    <row r="79" ht="15" spans="3:17">
      <c r="C79" s="537" t="s">
        <v>211</v>
      </c>
      <c r="D79" s="540"/>
      <c r="E79" s="681">
        <f t="shared" ref="E79:P79" si="68">SUM(E53:E78)</f>
        <v>726.082871324485</v>
      </c>
      <c r="F79" s="681">
        <f t="shared" si="68"/>
        <v>804.903933057617</v>
      </c>
      <c r="G79" s="681">
        <f t="shared" si="68"/>
        <v>700.973868067525</v>
      </c>
      <c r="H79" s="681">
        <f t="shared" si="68"/>
        <v>637.646521564988</v>
      </c>
      <c r="I79" s="681">
        <f t="shared" si="68"/>
        <v>572.953711293914</v>
      </c>
      <c r="J79" s="681">
        <f t="shared" si="68"/>
        <v>609.781136767716</v>
      </c>
      <c r="K79" s="681">
        <f t="shared" si="68"/>
        <v>583.899968713725</v>
      </c>
      <c r="L79" s="681">
        <f t="shared" si="68"/>
        <v>628.3257507648</v>
      </c>
      <c r="M79" s="681">
        <f t="shared" si="68"/>
        <v>608.043635664872</v>
      </c>
      <c r="N79" s="681">
        <f t="shared" si="68"/>
        <v>644.962582617695</v>
      </c>
      <c r="O79" s="681">
        <f t="shared" si="68"/>
        <v>675.045959685943</v>
      </c>
      <c r="P79" s="681">
        <f t="shared" si="68"/>
        <v>799.702280316194</v>
      </c>
      <c r="Q79" s="681">
        <f t="shared" si="42"/>
        <v>7992.32221983948</v>
      </c>
    </row>
    <row r="80" ht="15" spans="3:17">
      <c r="C80" s="44" t="s">
        <v>388</v>
      </c>
      <c r="D80" s="4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</row>
    <row r="81" spans="3:17">
      <c r="C81" s="682" t="s">
        <v>389</v>
      </c>
      <c r="D81" s="55" t="s">
        <v>390</v>
      </c>
      <c r="E81" s="55">
        <f t="shared" ref="E81:P81" si="69">E257+E430</f>
        <v>2.78489109290697</v>
      </c>
      <c r="F81" s="55">
        <f t="shared" si="69"/>
        <v>2.87772079600386</v>
      </c>
      <c r="G81" s="55">
        <f t="shared" si="69"/>
        <v>2.78489109290697</v>
      </c>
      <c r="H81" s="55">
        <f t="shared" si="69"/>
        <v>2.87772079600386</v>
      </c>
      <c r="I81" s="55">
        <f t="shared" si="69"/>
        <v>2.87772079600386</v>
      </c>
      <c r="J81" s="55">
        <f t="shared" si="69"/>
        <v>2.78489109290697</v>
      </c>
      <c r="K81" s="55">
        <f t="shared" si="69"/>
        <v>2.87772079600386</v>
      </c>
      <c r="L81" s="55">
        <f t="shared" si="69"/>
        <v>2.78489109290697</v>
      </c>
      <c r="M81" s="55">
        <f t="shared" si="69"/>
        <v>2.87772079600386</v>
      </c>
      <c r="N81" s="55">
        <f t="shared" si="69"/>
        <v>2.87772079600386</v>
      </c>
      <c r="O81" s="55">
        <f t="shared" si="69"/>
        <v>2.59923168671317</v>
      </c>
      <c r="P81" s="55">
        <f t="shared" si="69"/>
        <v>2.87772079600386</v>
      </c>
      <c r="Q81" s="55">
        <f t="shared" ref="Q81:Q96" si="70">SUM(E81:P81)</f>
        <v>33.8828416303681</v>
      </c>
    </row>
    <row r="82" spans="3:17">
      <c r="C82" s="683"/>
      <c r="D82" s="55" t="s">
        <v>391</v>
      </c>
      <c r="E82" s="55">
        <f t="shared" ref="E82:P82" si="71">E258+E431</f>
        <v>11.933607725324</v>
      </c>
      <c r="F82" s="55">
        <f t="shared" si="71"/>
        <v>12.3313946495014</v>
      </c>
      <c r="G82" s="55">
        <f t="shared" si="71"/>
        <v>11.933607725324</v>
      </c>
      <c r="H82" s="55">
        <f t="shared" si="71"/>
        <v>12.3313946495014</v>
      </c>
      <c r="I82" s="55">
        <f t="shared" si="71"/>
        <v>12.3313946495014</v>
      </c>
      <c r="J82" s="55">
        <f t="shared" si="71"/>
        <v>11.933607725324</v>
      </c>
      <c r="K82" s="55">
        <f t="shared" si="71"/>
        <v>12.3313946495014</v>
      </c>
      <c r="L82" s="55">
        <f t="shared" si="71"/>
        <v>11.933607725324</v>
      </c>
      <c r="M82" s="55">
        <f t="shared" si="71"/>
        <v>12.3313946495014</v>
      </c>
      <c r="N82" s="55">
        <f t="shared" si="71"/>
        <v>12.3313946495014</v>
      </c>
      <c r="O82" s="55">
        <f t="shared" si="71"/>
        <v>11.138033876969</v>
      </c>
      <c r="P82" s="55">
        <f t="shared" si="71"/>
        <v>12.3313946495014</v>
      </c>
      <c r="Q82" s="55">
        <f t="shared" si="70"/>
        <v>145.192227324775</v>
      </c>
    </row>
    <row r="83" spans="3:17">
      <c r="C83" s="683"/>
      <c r="D83" s="55" t="s">
        <v>392</v>
      </c>
      <c r="E83" s="55">
        <f t="shared" ref="E83:P83" si="72">E259+E432</f>
        <v>11.933607725324</v>
      </c>
      <c r="F83" s="55">
        <f t="shared" si="72"/>
        <v>12.3313946495014</v>
      </c>
      <c r="G83" s="55">
        <f t="shared" si="72"/>
        <v>11.933607725324</v>
      </c>
      <c r="H83" s="55">
        <f t="shared" si="72"/>
        <v>12.3313946495014</v>
      </c>
      <c r="I83" s="55">
        <f t="shared" si="72"/>
        <v>12.3313946495014</v>
      </c>
      <c r="J83" s="55">
        <f t="shared" si="72"/>
        <v>11.933607725324</v>
      </c>
      <c r="K83" s="55">
        <f t="shared" si="72"/>
        <v>12.3313946495014</v>
      </c>
      <c r="L83" s="55">
        <f t="shared" si="72"/>
        <v>11.933607725324</v>
      </c>
      <c r="M83" s="55">
        <f t="shared" si="72"/>
        <v>12.3313946495014</v>
      </c>
      <c r="N83" s="55">
        <f t="shared" si="72"/>
        <v>12.3313946495014</v>
      </c>
      <c r="O83" s="55">
        <f t="shared" si="72"/>
        <v>11.138033876969</v>
      </c>
      <c r="P83" s="55">
        <f t="shared" si="72"/>
        <v>12.3313946495014</v>
      </c>
      <c r="Q83" s="55">
        <f t="shared" si="70"/>
        <v>145.192227324775</v>
      </c>
    </row>
    <row r="84" spans="3:17">
      <c r="C84" s="684"/>
      <c r="D84" s="55" t="s">
        <v>393</v>
      </c>
      <c r="E84" s="55">
        <f t="shared" ref="E84:P84" si="73">E260+E433</f>
        <v>11.1891753970624</v>
      </c>
      <c r="F84" s="55">
        <f t="shared" si="73"/>
        <v>11.5621479102979</v>
      </c>
      <c r="G84" s="55">
        <f t="shared" si="73"/>
        <v>11.1891753970624</v>
      </c>
      <c r="H84" s="55">
        <f t="shared" si="73"/>
        <v>11.5621479102979</v>
      </c>
      <c r="I84" s="55">
        <f t="shared" si="73"/>
        <v>11.5621479102979</v>
      </c>
      <c r="J84" s="55">
        <f t="shared" si="73"/>
        <v>11.1891753970624</v>
      </c>
      <c r="K84" s="55">
        <f t="shared" si="73"/>
        <v>11.5621479102979</v>
      </c>
      <c r="L84" s="55">
        <f t="shared" si="73"/>
        <v>11.1891753970624</v>
      </c>
      <c r="M84" s="55">
        <f t="shared" si="73"/>
        <v>11.5621479102979</v>
      </c>
      <c r="N84" s="55">
        <f t="shared" si="73"/>
        <v>11.5621479102979</v>
      </c>
      <c r="O84" s="55">
        <f t="shared" si="73"/>
        <v>10.4432303705916</v>
      </c>
      <c r="P84" s="55">
        <f t="shared" si="73"/>
        <v>11.5621479102979</v>
      </c>
      <c r="Q84" s="55">
        <f t="shared" si="70"/>
        <v>136.134967330926</v>
      </c>
    </row>
    <row r="85" spans="3:17">
      <c r="C85" s="55"/>
      <c r="D85" s="55"/>
      <c r="E85" s="55">
        <f t="shared" ref="E85:P85" si="74">E261+E434</f>
        <v>0</v>
      </c>
      <c r="F85" s="55">
        <f t="shared" si="74"/>
        <v>0</v>
      </c>
      <c r="G85" s="55">
        <f t="shared" si="74"/>
        <v>0</v>
      </c>
      <c r="H85" s="55">
        <f t="shared" si="74"/>
        <v>0</v>
      </c>
      <c r="I85" s="55">
        <f t="shared" si="74"/>
        <v>0</v>
      </c>
      <c r="J85" s="55">
        <f t="shared" si="74"/>
        <v>0</v>
      </c>
      <c r="K85" s="55">
        <f t="shared" si="74"/>
        <v>0</v>
      </c>
      <c r="L85" s="55">
        <f t="shared" si="74"/>
        <v>0</v>
      </c>
      <c r="M85" s="55">
        <f t="shared" si="74"/>
        <v>0</v>
      </c>
      <c r="N85" s="55">
        <f t="shared" si="74"/>
        <v>0</v>
      </c>
      <c r="O85" s="55">
        <f t="shared" si="74"/>
        <v>0</v>
      </c>
      <c r="P85" s="55">
        <f t="shared" si="74"/>
        <v>0</v>
      </c>
      <c r="Q85" s="55">
        <f t="shared" si="70"/>
        <v>0</v>
      </c>
    </row>
    <row r="86" spans="3:17">
      <c r="C86" s="55"/>
      <c r="D86" s="55"/>
      <c r="E86" s="55">
        <f t="shared" ref="E86:P86" si="75">E262+E435</f>
        <v>0</v>
      </c>
      <c r="F86" s="55">
        <f t="shared" si="75"/>
        <v>0</v>
      </c>
      <c r="G86" s="55">
        <f t="shared" si="75"/>
        <v>0</v>
      </c>
      <c r="H86" s="55">
        <f t="shared" si="75"/>
        <v>0</v>
      </c>
      <c r="I86" s="55">
        <f t="shared" si="75"/>
        <v>0</v>
      </c>
      <c r="J86" s="55">
        <f t="shared" si="75"/>
        <v>0</v>
      </c>
      <c r="K86" s="55">
        <f t="shared" si="75"/>
        <v>0</v>
      </c>
      <c r="L86" s="55">
        <f t="shared" si="75"/>
        <v>0</v>
      </c>
      <c r="M86" s="55">
        <f t="shared" si="75"/>
        <v>0</v>
      </c>
      <c r="N86" s="55">
        <f t="shared" si="75"/>
        <v>0</v>
      </c>
      <c r="O86" s="55">
        <f t="shared" si="75"/>
        <v>0</v>
      </c>
      <c r="P86" s="55">
        <f t="shared" si="75"/>
        <v>0</v>
      </c>
      <c r="Q86" s="55">
        <f t="shared" si="70"/>
        <v>0</v>
      </c>
    </row>
    <row r="87" spans="3:17">
      <c r="C87" s="55"/>
      <c r="D87" s="55"/>
      <c r="E87" s="55">
        <f t="shared" ref="E87:P87" si="76">E263+E436</f>
        <v>0</v>
      </c>
      <c r="F87" s="55">
        <f t="shared" si="76"/>
        <v>0</v>
      </c>
      <c r="G87" s="55">
        <f t="shared" si="76"/>
        <v>0</v>
      </c>
      <c r="H87" s="55">
        <f t="shared" si="76"/>
        <v>0</v>
      </c>
      <c r="I87" s="55">
        <f t="shared" si="76"/>
        <v>0</v>
      </c>
      <c r="J87" s="55">
        <f t="shared" si="76"/>
        <v>0</v>
      </c>
      <c r="K87" s="55">
        <f t="shared" si="76"/>
        <v>0</v>
      </c>
      <c r="L87" s="55">
        <f t="shared" si="76"/>
        <v>0</v>
      </c>
      <c r="M87" s="55">
        <f t="shared" si="76"/>
        <v>0</v>
      </c>
      <c r="N87" s="55">
        <f t="shared" si="76"/>
        <v>0</v>
      </c>
      <c r="O87" s="55">
        <f t="shared" si="76"/>
        <v>0</v>
      </c>
      <c r="P87" s="55">
        <f t="shared" si="76"/>
        <v>0</v>
      </c>
      <c r="Q87" s="55">
        <f t="shared" si="70"/>
        <v>0</v>
      </c>
    </row>
    <row r="88" spans="3:17">
      <c r="C88" s="55"/>
      <c r="D88" s="55"/>
      <c r="E88" s="55">
        <f t="shared" ref="E88:P88" si="77">E264+E437</f>
        <v>0</v>
      </c>
      <c r="F88" s="55">
        <f t="shared" si="77"/>
        <v>0</v>
      </c>
      <c r="G88" s="55">
        <f t="shared" si="77"/>
        <v>0</v>
      </c>
      <c r="H88" s="55">
        <f t="shared" si="77"/>
        <v>0</v>
      </c>
      <c r="I88" s="55">
        <f t="shared" si="77"/>
        <v>0</v>
      </c>
      <c r="J88" s="55">
        <f t="shared" si="77"/>
        <v>0</v>
      </c>
      <c r="K88" s="55">
        <f t="shared" si="77"/>
        <v>0</v>
      </c>
      <c r="L88" s="55">
        <f t="shared" si="77"/>
        <v>0</v>
      </c>
      <c r="M88" s="55">
        <f t="shared" si="77"/>
        <v>0</v>
      </c>
      <c r="N88" s="55">
        <f t="shared" si="77"/>
        <v>0</v>
      </c>
      <c r="O88" s="55">
        <f t="shared" si="77"/>
        <v>0</v>
      </c>
      <c r="P88" s="55">
        <f t="shared" si="77"/>
        <v>0</v>
      </c>
      <c r="Q88" s="55">
        <f t="shared" si="70"/>
        <v>0</v>
      </c>
    </row>
    <row r="89" spans="3:17">
      <c r="C89" s="55"/>
      <c r="D89" s="55"/>
      <c r="E89" s="55">
        <f t="shared" ref="E89:P89" si="78">E265+E438</f>
        <v>0</v>
      </c>
      <c r="F89" s="55">
        <f t="shared" si="78"/>
        <v>0</v>
      </c>
      <c r="G89" s="55">
        <f t="shared" si="78"/>
        <v>0</v>
      </c>
      <c r="H89" s="55">
        <f t="shared" si="78"/>
        <v>0</v>
      </c>
      <c r="I89" s="55">
        <f t="shared" si="78"/>
        <v>0</v>
      </c>
      <c r="J89" s="55">
        <f t="shared" si="78"/>
        <v>0</v>
      </c>
      <c r="K89" s="55">
        <f t="shared" si="78"/>
        <v>0</v>
      </c>
      <c r="L89" s="55">
        <f t="shared" si="78"/>
        <v>0</v>
      </c>
      <c r="M89" s="55">
        <f t="shared" si="78"/>
        <v>0</v>
      </c>
      <c r="N89" s="55">
        <f t="shared" si="78"/>
        <v>0</v>
      </c>
      <c r="O89" s="55">
        <f t="shared" si="78"/>
        <v>0</v>
      </c>
      <c r="P89" s="55">
        <f t="shared" si="78"/>
        <v>0</v>
      </c>
      <c r="Q89" s="55">
        <f t="shared" si="70"/>
        <v>0</v>
      </c>
    </row>
    <row r="90" spans="3:17">
      <c r="C90" s="55"/>
      <c r="D90" s="55"/>
      <c r="E90" s="55">
        <f t="shared" ref="E90:P90" si="79">E266+E439</f>
        <v>0</v>
      </c>
      <c r="F90" s="55">
        <f t="shared" si="79"/>
        <v>0</v>
      </c>
      <c r="G90" s="55">
        <f t="shared" si="79"/>
        <v>0</v>
      </c>
      <c r="H90" s="55">
        <f t="shared" si="79"/>
        <v>0</v>
      </c>
      <c r="I90" s="55">
        <f t="shared" si="79"/>
        <v>0</v>
      </c>
      <c r="J90" s="55">
        <f t="shared" si="79"/>
        <v>0</v>
      </c>
      <c r="K90" s="55">
        <f t="shared" si="79"/>
        <v>0</v>
      </c>
      <c r="L90" s="55">
        <f t="shared" si="79"/>
        <v>0</v>
      </c>
      <c r="M90" s="55">
        <f t="shared" si="79"/>
        <v>0</v>
      </c>
      <c r="N90" s="55">
        <f t="shared" si="79"/>
        <v>0</v>
      </c>
      <c r="O90" s="55">
        <f t="shared" si="79"/>
        <v>0</v>
      </c>
      <c r="P90" s="55">
        <f t="shared" si="79"/>
        <v>0</v>
      </c>
      <c r="Q90" s="55">
        <f t="shared" si="70"/>
        <v>0</v>
      </c>
    </row>
    <row r="91" spans="3:17">
      <c r="C91" s="55"/>
      <c r="D91" s="55"/>
      <c r="E91" s="55">
        <f t="shared" ref="E91:P91" si="80">E267+E440</f>
        <v>0</v>
      </c>
      <c r="F91" s="55">
        <f t="shared" si="80"/>
        <v>0</v>
      </c>
      <c r="G91" s="55">
        <f t="shared" si="80"/>
        <v>0</v>
      </c>
      <c r="H91" s="55">
        <f t="shared" si="80"/>
        <v>0</v>
      </c>
      <c r="I91" s="55">
        <f t="shared" si="80"/>
        <v>0</v>
      </c>
      <c r="J91" s="55">
        <f t="shared" si="80"/>
        <v>0</v>
      </c>
      <c r="K91" s="55">
        <f t="shared" si="80"/>
        <v>0</v>
      </c>
      <c r="L91" s="55">
        <f t="shared" si="80"/>
        <v>0</v>
      </c>
      <c r="M91" s="55">
        <f t="shared" si="80"/>
        <v>0</v>
      </c>
      <c r="N91" s="55">
        <f t="shared" si="80"/>
        <v>0</v>
      </c>
      <c r="O91" s="55">
        <f t="shared" si="80"/>
        <v>0</v>
      </c>
      <c r="P91" s="55">
        <f t="shared" si="80"/>
        <v>0</v>
      </c>
      <c r="Q91" s="55">
        <f t="shared" si="70"/>
        <v>0</v>
      </c>
    </row>
    <row r="92" spans="3:17">
      <c r="C92" s="55"/>
      <c r="D92" s="55"/>
      <c r="E92" s="55">
        <f t="shared" ref="E92:P92" si="81">E268+E441</f>
        <v>0</v>
      </c>
      <c r="F92" s="55">
        <f t="shared" si="81"/>
        <v>0</v>
      </c>
      <c r="G92" s="55">
        <f t="shared" si="81"/>
        <v>0</v>
      </c>
      <c r="H92" s="55">
        <f t="shared" si="81"/>
        <v>0</v>
      </c>
      <c r="I92" s="55">
        <f t="shared" si="81"/>
        <v>0</v>
      </c>
      <c r="J92" s="55">
        <f t="shared" si="81"/>
        <v>0</v>
      </c>
      <c r="K92" s="55">
        <f t="shared" si="81"/>
        <v>0</v>
      </c>
      <c r="L92" s="55">
        <f t="shared" si="81"/>
        <v>0</v>
      </c>
      <c r="M92" s="55">
        <f t="shared" si="81"/>
        <v>0</v>
      </c>
      <c r="N92" s="55">
        <f t="shared" si="81"/>
        <v>0</v>
      </c>
      <c r="O92" s="55">
        <f t="shared" si="81"/>
        <v>0</v>
      </c>
      <c r="P92" s="55">
        <f t="shared" si="81"/>
        <v>0</v>
      </c>
      <c r="Q92" s="55">
        <f t="shared" si="70"/>
        <v>0</v>
      </c>
    </row>
    <row r="93" spans="3:17">
      <c r="C93" s="55"/>
      <c r="D93" s="55"/>
      <c r="E93" s="55">
        <f t="shared" ref="E93:P93" si="82">E269+E442</f>
        <v>0</v>
      </c>
      <c r="F93" s="55">
        <f t="shared" si="82"/>
        <v>0</v>
      </c>
      <c r="G93" s="55">
        <f t="shared" si="82"/>
        <v>0</v>
      </c>
      <c r="H93" s="55">
        <f t="shared" si="82"/>
        <v>0</v>
      </c>
      <c r="I93" s="55">
        <f t="shared" si="82"/>
        <v>0</v>
      </c>
      <c r="J93" s="55">
        <f t="shared" si="82"/>
        <v>0</v>
      </c>
      <c r="K93" s="55">
        <f t="shared" si="82"/>
        <v>0</v>
      </c>
      <c r="L93" s="55">
        <f t="shared" si="82"/>
        <v>0</v>
      </c>
      <c r="M93" s="55">
        <f t="shared" si="82"/>
        <v>0</v>
      </c>
      <c r="N93" s="55">
        <f t="shared" si="82"/>
        <v>0</v>
      </c>
      <c r="O93" s="55">
        <f t="shared" si="82"/>
        <v>0</v>
      </c>
      <c r="P93" s="55">
        <f t="shared" si="82"/>
        <v>0</v>
      </c>
      <c r="Q93" s="55">
        <f t="shared" si="70"/>
        <v>0</v>
      </c>
    </row>
    <row r="94" spans="3:17">
      <c r="C94" s="55"/>
      <c r="D94" s="55"/>
      <c r="E94" s="55">
        <f t="shared" ref="E94:P94" si="83">E270+E443</f>
        <v>0</v>
      </c>
      <c r="F94" s="55">
        <f t="shared" si="83"/>
        <v>0</v>
      </c>
      <c r="G94" s="55">
        <f t="shared" si="83"/>
        <v>0</v>
      </c>
      <c r="H94" s="55">
        <f t="shared" si="83"/>
        <v>0</v>
      </c>
      <c r="I94" s="55">
        <f t="shared" si="83"/>
        <v>0</v>
      </c>
      <c r="J94" s="55">
        <f t="shared" si="83"/>
        <v>0</v>
      </c>
      <c r="K94" s="55">
        <f t="shared" si="83"/>
        <v>0</v>
      </c>
      <c r="L94" s="55">
        <f t="shared" si="83"/>
        <v>0</v>
      </c>
      <c r="M94" s="55">
        <f t="shared" si="83"/>
        <v>0</v>
      </c>
      <c r="N94" s="55">
        <f t="shared" si="83"/>
        <v>0</v>
      </c>
      <c r="O94" s="55">
        <f t="shared" si="83"/>
        <v>0</v>
      </c>
      <c r="P94" s="55">
        <f t="shared" si="83"/>
        <v>0</v>
      </c>
      <c r="Q94" s="55">
        <f t="shared" si="70"/>
        <v>0</v>
      </c>
    </row>
    <row r="95" ht="15" spans="3:18">
      <c r="C95" s="537" t="s">
        <v>211</v>
      </c>
      <c r="D95" s="540"/>
      <c r="E95" s="54">
        <f t="shared" ref="E95:P95" si="84">SUM(E81:E94)</f>
        <v>37.8412819406173</v>
      </c>
      <c r="F95" s="54">
        <f t="shared" si="84"/>
        <v>39.1026580053046</v>
      </c>
      <c r="G95" s="54">
        <f t="shared" si="84"/>
        <v>37.8412819406173</v>
      </c>
      <c r="H95" s="54">
        <f t="shared" si="84"/>
        <v>39.1026580053046</v>
      </c>
      <c r="I95" s="54">
        <f t="shared" si="84"/>
        <v>39.1026580053046</v>
      </c>
      <c r="J95" s="54">
        <f t="shared" si="84"/>
        <v>37.8412819406173</v>
      </c>
      <c r="K95" s="54">
        <f t="shared" si="84"/>
        <v>39.1026580053046</v>
      </c>
      <c r="L95" s="54">
        <f t="shared" si="84"/>
        <v>37.8412819406173</v>
      </c>
      <c r="M95" s="54">
        <f t="shared" si="84"/>
        <v>39.1026580053046</v>
      </c>
      <c r="N95" s="54">
        <f t="shared" si="84"/>
        <v>39.1026580053046</v>
      </c>
      <c r="O95" s="54">
        <f t="shared" si="84"/>
        <v>35.3185298112428</v>
      </c>
      <c r="P95" s="54">
        <f t="shared" si="84"/>
        <v>39.1026580053046</v>
      </c>
      <c r="Q95" s="54">
        <f t="shared" si="70"/>
        <v>460.402263610845</v>
      </c>
      <c r="R95" s="686"/>
    </row>
    <row r="96" ht="15" spans="3:18">
      <c r="C96" s="44" t="s">
        <v>395</v>
      </c>
      <c r="D96" s="45"/>
      <c r="E96" s="54">
        <f t="shared" ref="E96:P96" si="85">E79+E95</f>
        <v>763.924153265103</v>
      </c>
      <c r="F96" s="54">
        <f t="shared" si="85"/>
        <v>844.006591062922</v>
      </c>
      <c r="G96" s="54">
        <f t="shared" si="85"/>
        <v>738.815150008142</v>
      </c>
      <c r="H96" s="54">
        <f t="shared" si="85"/>
        <v>676.749179570292</v>
      </c>
      <c r="I96" s="54">
        <f t="shared" si="85"/>
        <v>612.056369299219</v>
      </c>
      <c r="J96" s="54">
        <f t="shared" si="85"/>
        <v>647.622418708334</v>
      </c>
      <c r="K96" s="54">
        <f t="shared" si="85"/>
        <v>623.00262671903</v>
      </c>
      <c r="L96" s="54">
        <f t="shared" si="85"/>
        <v>666.167032705417</v>
      </c>
      <c r="M96" s="54">
        <f t="shared" si="85"/>
        <v>647.146293670177</v>
      </c>
      <c r="N96" s="54">
        <f t="shared" si="85"/>
        <v>684.065240623</v>
      </c>
      <c r="O96" s="54">
        <f t="shared" si="85"/>
        <v>710.364489497186</v>
      </c>
      <c r="P96" s="54">
        <f t="shared" si="85"/>
        <v>838.804938321498</v>
      </c>
      <c r="Q96" s="54">
        <f t="shared" si="70"/>
        <v>8452.72448345032</v>
      </c>
      <c r="R96" s="686"/>
    </row>
    <row r="97" ht="15" spans="3:17">
      <c r="C97" s="663" t="s">
        <v>396</v>
      </c>
      <c r="D97" s="676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</row>
    <row r="98" spans="3:17">
      <c r="C98" s="55" t="s">
        <v>397</v>
      </c>
      <c r="D98" s="55" t="s">
        <v>397</v>
      </c>
      <c r="E98" s="55">
        <f t="shared" ref="E98:P98" si="86">E274+E447</f>
        <v>48.3822150662216</v>
      </c>
      <c r="F98" s="55">
        <f t="shared" si="86"/>
        <v>49.7205816078845</v>
      </c>
      <c r="G98" s="55">
        <f t="shared" si="86"/>
        <v>48.3822150662216</v>
      </c>
      <c r="H98" s="55">
        <f t="shared" si="86"/>
        <v>51.0511870241</v>
      </c>
      <c r="I98" s="55">
        <f t="shared" si="86"/>
        <v>41.5451039230608</v>
      </c>
      <c r="J98" s="55">
        <f t="shared" si="86"/>
        <v>46.3378961197616</v>
      </c>
      <c r="K98" s="55">
        <f t="shared" si="86"/>
        <v>39.4326410117186</v>
      </c>
      <c r="L98" s="55">
        <f t="shared" si="86"/>
        <v>48.3822150662216</v>
      </c>
      <c r="M98" s="55">
        <f t="shared" si="86"/>
        <v>49.9949555684289</v>
      </c>
      <c r="N98" s="55">
        <f t="shared" si="86"/>
        <v>46.3931984281505</v>
      </c>
      <c r="O98" s="55">
        <f t="shared" si="86"/>
        <v>42.9288901506716</v>
      </c>
      <c r="P98" s="55">
        <f t="shared" si="86"/>
        <v>53.0160300180282</v>
      </c>
      <c r="Q98" s="55">
        <f t="shared" ref="Q98:Q105" si="87">SUM(E98:P98)</f>
        <v>565.567129050469</v>
      </c>
    </row>
    <row r="99" spans="3:17">
      <c r="C99" s="55" t="s">
        <v>398</v>
      </c>
      <c r="D99" s="55" t="s">
        <v>398</v>
      </c>
      <c r="E99" s="55">
        <f t="shared" ref="E99:P99" si="88">E275+E448</f>
        <v>0</v>
      </c>
      <c r="F99" s="55">
        <f t="shared" si="88"/>
        <v>0</v>
      </c>
      <c r="G99" s="55">
        <f t="shared" si="88"/>
        <v>0</v>
      </c>
      <c r="H99" s="55">
        <f t="shared" si="88"/>
        <v>0</v>
      </c>
      <c r="I99" s="55">
        <f t="shared" si="88"/>
        <v>0</v>
      </c>
      <c r="J99" s="55">
        <f t="shared" si="88"/>
        <v>0</v>
      </c>
      <c r="K99" s="55">
        <f t="shared" si="88"/>
        <v>0</v>
      </c>
      <c r="L99" s="55">
        <f t="shared" si="88"/>
        <v>0</v>
      </c>
      <c r="M99" s="55">
        <f t="shared" si="88"/>
        <v>0</v>
      </c>
      <c r="N99" s="55">
        <f t="shared" si="88"/>
        <v>0</v>
      </c>
      <c r="O99" s="55">
        <f t="shared" si="88"/>
        <v>0</v>
      </c>
      <c r="P99" s="55">
        <f t="shared" si="88"/>
        <v>0</v>
      </c>
      <c r="Q99" s="55">
        <f t="shared" si="87"/>
        <v>0</v>
      </c>
    </row>
    <row r="100" ht="15" customHeight="1" spans="3:17">
      <c r="C100" s="55"/>
      <c r="D100" s="55"/>
      <c r="E100" s="55">
        <f t="shared" ref="E100:P100" si="89">E276+E449</f>
        <v>0</v>
      </c>
      <c r="F100" s="55">
        <f t="shared" si="89"/>
        <v>0</v>
      </c>
      <c r="G100" s="55">
        <f t="shared" si="89"/>
        <v>0</v>
      </c>
      <c r="H100" s="55">
        <f t="shared" si="89"/>
        <v>0</v>
      </c>
      <c r="I100" s="55">
        <f t="shared" si="89"/>
        <v>0</v>
      </c>
      <c r="J100" s="55">
        <f t="shared" si="89"/>
        <v>0</v>
      </c>
      <c r="K100" s="55">
        <f t="shared" si="89"/>
        <v>0</v>
      </c>
      <c r="L100" s="55">
        <f t="shared" si="89"/>
        <v>0</v>
      </c>
      <c r="M100" s="55">
        <f t="shared" si="89"/>
        <v>0</v>
      </c>
      <c r="N100" s="55">
        <f t="shared" si="89"/>
        <v>0</v>
      </c>
      <c r="O100" s="55">
        <f t="shared" si="89"/>
        <v>0</v>
      </c>
      <c r="P100" s="55">
        <f t="shared" si="89"/>
        <v>0</v>
      </c>
      <c r="Q100" s="55">
        <f t="shared" si="87"/>
        <v>0</v>
      </c>
    </row>
    <row r="101" spans="3:17">
      <c r="C101" s="55"/>
      <c r="D101" s="55"/>
      <c r="E101" s="55">
        <f t="shared" ref="E101:P101" si="90">E277+E450</f>
        <v>0</v>
      </c>
      <c r="F101" s="55">
        <f t="shared" si="90"/>
        <v>0</v>
      </c>
      <c r="G101" s="55">
        <f t="shared" si="90"/>
        <v>0</v>
      </c>
      <c r="H101" s="55">
        <f t="shared" si="90"/>
        <v>0</v>
      </c>
      <c r="I101" s="55">
        <f t="shared" si="90"/>
        <v>0</v>
      </c>
      <c r="J101" s="55">
        <f t="shared" si="90"/>
        <v>0</v>
      </c>
      <c r="K101" s="55">
        <f t="shared" si="90"/>
        <v>0</v>
      </c>
      <c r="L101" s="55">
        <f t="shared" si="90"/>
        <v>0</v>
      </c>
      <c r="M101" s="55">
        <f t="shared" si="90"/>
        <v>0</v>
      </c>
      <c r="N101" s="55">
        <f t="shared" si="90"/>
        <v>0</v>
      </c>
      <c r="O101" s="55">
        <f t="shared" si="90"/>
        <v>0</v>
      </c>
      <c r="P101" s="55">
        <f t="shared" si="90"/>
        <v>0</v>
      </c>
      <c r="Q101" s="55">
        <f t="shared" si="87"/>
        <v>0</v>
      </c>
    </row>
    <row r="102" customHeight="1" spans="3:17">
      <c r="C102" s="55"/>
      <c r="D102" s="55"/>
      <c r="E102" s="55">
        <f t="shared" ref="E102:P102" si="91">E278+E451</f>
        <v>0</v>
      </c>
      <c r="F102" s="55">
        <f t="shared" si="91"/>
        <v>0</v>
      </c>
      <c r="G102" s="55">
        <f t="shared" si="91"/>
        <v>0</v>
      </c>
      <c r="H102" s="55">
        <f t="shared" si="91"/>
        <v>0</v>
      </c>
      <c r="I102" s="55">
        <f t="shared" si="91"/>
        <v>0</v>
      </c>
      <c r="J102" s="55">
        <f t="shared" si="91"/>
        <v>0</v>
      </c>
      <c r="K102" s="55">
        <f t="shared" si="91"/>
        <v>0</v>
      </c>
      <c r="L102" s="55">
        <f t="shared" si="91"/>
        <v>0</v>
      </c>
      <c r="M102" s="55">
        <f t="shared" si="91"/>
        <v>0</v>
      </c>
      <c r="N102" s="55">
        <f t="shared" si="91"/>
        <v>0</v>
      </c>
      <c r="O102" s="55">
        <f t="shared" si="91"/>
        <v>0</v>
      </c>
      <c r="P102" s="55">
        <f t="shared" si="91"/>
        <v>0</v>
      </c>
      <c r="Q102" s="55">
        <f t="shared" si="87"/>
        <v>0</v>
      </c>
    </row>
    <row r="103" spans="3:17">
      <c r="C103" s="55"/>
      <c r="D103" s="55"/>
      <c r="E103" s="55">
        <f t="shared" ref="E103:P103" si="92">E279+E452</f>
        <v>0</v>
      </c>
      <c r="F103" s="55">
        <f t="shared" si="92"/>
        <v>0</v>
      </c>
      <c r="G103" s="55">
        <f t="shared" si="92"/>
        <v>0</v>
      </c>
      <c r="H103" s="55">
        <f t="shared" si="92"/>
        <v>0</v>
      </c>
      <c r="I103" s="55">
        <f t="shared" si="92"/>
        <v>0</v>
      </c>
      <c r="J103" s="55">
        <f t="shared" si="92"/>
        <v>0</v>
      </c>
      <c r="K103" s="55">
        <f t="shared" si="92"/>
        <v>0</v>
      </c>
      <c r="L103" s="55">
        <f t="shared" si="92"/>
        <v>0</v>
      </c>
      <c r="M103" s="55">
        <f t="shared" si="92"/>
        <v>0</v>
      </c>
      <c r="N103" s="55">
        <f t="shared" si="92"/>
        <v>0</v>
      </c>
      <c r="O103" s="55">
        <f t="shared" si="92"/>
        <v>0</v>
      </c>
      <c r="P103" s="55">
        <f t="shared" si="92"/>
        <v>0</v>
      </c>
      <c r="Q103" s="55">
        <f t="shared" si="87"/>
        <v>0</v>
      </c>
    </row>
    <row r="104" spans="3:17">
      <c r="C104" s="55"/>
      <c r="D104" s="55"/>
      <c r="E104" s="55">
        <f t="shared" ref="E104:P104" si="93">E280+E453</f>
        <v>0</v>
      </c>
      <c r="F104" s="55">
        <f t="shared" si="93"/>
        <v>0</v>
      </c>
      <c r="G104" s="55">
        <f t="shared" si="93"/>
        <v>0</v>
      </c>
      <c r="H104" s="55">
        <f t="shared" si="93"/>
        <v>0</v>
      </c>
      <c r="I104" s="55">
        <f t="shared" si="93"/>
        <v>0</v>
      </c>
      <c r="J104" s="55">
        <f t="shared" si="93"/>
        <v>0</v>
      </c>
      <c r="K104" s="55">
        <f t="shared" si="93"/>
        <v>0</v>
      </c>
      <c r="L104" s="55">
        <f t="shared" si="93"/>
        <v>0</v>
      </c>
      <c r="M104" s="55">
        <f t="shared" si="93"/>
        <v>0</v>
      </c>
      <c r="N104" s="55">
        <f t="shared" si="93"/>
        <v>0</v>
      </c>
      <c r="O104" s="55">
        <f t="shared" si="93"/>
        <v>0</v>
      </c>
      <c r="P104" s="55">
        <f t="shared" si="93"/>
        <v>0</v>
      </c>
      <c r="Q104" s="55">
        <f t="shared" si="87"/>
        <v>0</v>
      </c>
    </row>
    <row r="105" customHeight="1" spans="3:18">
      <c r="C105" s="44" t="s">
        <v>399</v>
      </c>
      <c r="D105" s="45"/>
      <c r="E105" s="54">
        <f t="shared" ref="E105:P105" si="94">SUM(E98:E104)</f>
        <v>48.3822150662216</v>
      </c>
      <c r="F105" s="54">
        <f t="shared" si="94"/>
        <v>49.7205816078845</v>
      </c>
      <c r="G105" s="54">
        <f t="shared" si="94"/>
        <v>48.3822150662216</v>
      </c>
      <c r="H105" s="54">
        <f t="shared" si="94"/>
        <v>51.0511870241</v>
      </c>
      <c r="I105" s="54">
        <f t="shared" si="94"/>
        <v>41.5451039230608</v>
      </c>
      <c r="J105" s="54">
        <f t="shared" si="94"/>
        <v>46.3378961197616</v>
      </c>
      <c r="K105" s="54">
        <f t="shared" si="94"/>
        <v>39.4326410117186</v>
      </c>
      <c r="L105" s="54">
        <f t="shared" si="94"/>
        <v>48.3822150662216</v>
      </c>
      <c r="M105" s="54">
        <f t="shared" si="94"/>
        <v>49.9949555684289</v>
      </c>
      <c r="N105" s="54">
        <f t="shared" si="94"/>
        <v>46.3931984281505</v>
      </c>
      <c r="O105" s="54">
        <f t="shared" si="94"/>
        <v>42.9288901506716</v>
      </c>
      <c r="P105" s="54">
        <f t="shared" si="94"/>
        <v>53.0160300180282</v>
      </c>
      <c r="Q105" s="54">
        <f t="shared" si="87"/>
        <v>565.567129050469</v>
      </c>
      <c r="R105" s="686"/>
    </row>
    <row r="106" ht="15" spans="3:17">
      <c r="C106" s="663" t="s">
        <v>400</v>
      </c>
      <c r="D106" s="676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</row>
    <row r="107" spans="3:17">
      <c r="C107" s="55" t="s">
        <v>401</v>
      </c>
      <c r="D107" s="55" t="s">
        <v>401</v>
      </c>
      <c r="E107" s="55">
        <f t="shared" ref="E107:P107" si="95">E283+E456</f>
        <v>244.281764776698</v>
      </c>
      <c r="F107" s="55">
        <f t="shared" si="95"/>
        <v>139.577491159962</v>
      </c>
      <c r="G107" s="55">
        <f t="shared" si="95"/>
        <v>67.0897889342005</v>
      </c>
      <c r="H107" s="55">
        <f t="shared" si="95"/>
        <v>176.059578523924</v>
      </c>
      <c r="I107" s="55">
        <f t="shared" si="95"/>
        <v>186.244746499708</v>
      </c>
      <c r="J107" s="55">
        <f t="shared" si="95"/>
        <v>207.805176509234</v>
      </c>
      <c r="K107" s="55">
        <f t="shared" si="95"/>
        <v>193.503253368462</v>
      </c>
      <c r="L107" s="55">
        <f t="shared" si="95"/>
        <v>272.506192228662</v>
      </c>
      <c r="M107" s="55">
        <f t="shared" si="95"/>
        <v>241.311186188866</v>
      </c>
      <c r="N107" s="55">
        <f t="shared" si="95"/>
        <v>235.222560487859</v>
      </c>
      <c r="O107" s="55">
        <f t="shared" si="95"/>
        <v>397.224696299972</v>
      </c>
      <c r="P107" s="55">
        <f t="shared" si="95"/>
        <v>475.415124423297</v>
      </c>
      <c r="Q107" s="55">
        <f t="shared" ref="Q107:Q115" si="96">SUM(E107:P107)</f>
        <v>2836.24155940085</v>
      </c>
    </row>
    <row r="108" spans="3:17">
      <c r="C108" s="55" t="s">
        <v>402</v>
      </c>
      <c r="D108" s="55" t="s">
        <v>402</v>
      </c>
      <c r="E108" s="55">
        <f t="shared" ref="E108:P108" si="97">E284+E457</f>
        <v>0</v>
      </c>
      <c r="F108" s="55">
        <f t="shared" si="97"/>
        <v>0</v>
      </c>
      <c r="G108" s="55">
        <f t="shared" si="97"/>
        <v>0</v>
      </c>
      <c r="H108" s="55">
        <f t="shared" si="97"/>
        <v>0</v>
      </c>
      <c r="I108" s="55">
        <f t="shared" si="97"/>
        <v>0</v>
      </c>
      <c r="J108" s="55">
        <f t="shared" si="97"/>
        <v>0</v>
      </c>
      <c r="K108" s="55">
        <f t="shared" si="97"/>
        <v>0</v>
      </c>
      <c r="L108" s="55">
        <f t="shared" si="97"/>
        <v>0</v>
      </c>
      <c r="M108" s="55">
        <f t="shared" si="97"/>
        <v>0</v>
      </c>
      <c r="N108" s="55">
        <f t="shared" si="97"/>
        <v>0</v>
      </c>
      <c r="O108" s="55">
        <f t="shared" si="97"/>
        <v>0</v>
      </c>
      <c r="P108" s="55">
        <f t="shared" si="97"/>
        <v>0</v>
      </c>
      <c r="Q108" s="55">
        <f t="shared" si="96"/>
        <v>0</v>
      </c>
    </row>
    <row r="109" spans="3:17">
      <c r="C109" s="55" t="s">
        <v>403</v>
      </c>
      <c r="D109" s="55" t="s">
        <v>403</v>
      </c>
      <c r="E109" s="55">
        <f t="shared" ref="E109:P109" si="98">E285+E458</f>
        <v>0</v>
      </c>
      <c r="F109" s="55">
        <f t="shared" si="98"/>
        <v>0</v>
      </c>
      <c r="G109" s="55">
        <f t="shared" si="98"/>
        <v>0</v>
      </c>
      <c r="H109" s="55">
        <f t="shared" si="98"/>
        <v>0</v>
      </c>
      <c r="I109" s="55">
        <f t="shared" si="98"/>
        <v>0</v>
      </c>
      <c r="J109" s="55">
        <f t="shared" si="98"/>
        <v>0</v>
      </c>
      <c r="K109" s="55">
        <f t="shared" si="98"/>
        <v>0</v>
      </c>
      <c r="L109" s="55">
        <f t="shared" si="98"/>
        <v>0</v>
      </c>
      <c r="M109" s="55">
        <f t="shared" si="98"/>
        <v>0</v>
      </c>
      <c r="N109" s="55">
        <f t="shared" si="98"/>
        <v>0</v>
      </c>
      <c r="O109" s="55">
        <f t="shared" si="98"/>
        <v>0</v>
      </c>
      <c r="P109" s="55">
        <f t="shared" si="98"/>
        <v>0</v>
      </c>
      <c r="Q109" s="55">
        <f t="shared" si="96"/>
        <v>0</v>
      </c>
    </row>
    <row r="110" spans="3:17">
      <c r="C110" s="55"/>
      <c r="D110" s="55"/>
      <c r="E110" s="55">
        <f t="shared" ref="E110:P110" si="99">E286+E459</f>
        <v>0</v>
      </c>
      <c r="F110" s="55">
        <f t="shared" si="99"/>
        <v>0</v>
      </c>
      <c r="G110" s="55">
        <f t="shared" si="99"/>
        <v>0</v>
      </c>
      <c r="H110" s="55">
        <f t="shared" si="99"/>
        <v>0</v>
      </c>
      <c r="I110" s="55">
        <f t="shared" si="99"/>
        <v>0</v>
      </c>
      <c r="J110" s="55">
        <f t="shared" si="99"/>
        <v>0</v>
      </c>
      <c r="K110" s="55">
        <f t="shared" si="99"/>
        <v>0</v>
      </c>
      <c r="L110" s="55">
        <f t="shared" si="99"/>
        <v>0</v>
      </c>
      <c r="M110" s="55">
        <f t="shared" si="99"/>
        <v>0</v>
      </c>
      <c r="N110" s="55">
        <f t="shared" si="99"/>
        <v>0</v>
      </c>
      <c r="O110" s="55">
        <f t="shared" si="99"/>
        <v>0</v>
      </c>
      <c r="P110" s="55">
        <f t="shared" si="99"/>
        <v>0</v>
      </c>
      <c r="Q110" s="55">
        <f t="shared" si="96"/>
        <v>0</v>
      </c>
    </row>
    <row r="111" spans="3:17">
      <c r="C111" s="55"/>
      <c r="D111" s="55"/>
      <c r="E111" s="55">
        <f t="shared" ref="E111:P111" si="100">E287+E460</f>
        <v>0</v>
      </c>
      <c r="F111" s="55">
        <f t="shared" si="100"/>
        <v>0</v>
      </c>
      <c r="G111" s="55">
        <f t="shared" si="100"/>
        <v>0</v>
      </c>
      <c r="H111" s="55">
        <f t="shared" si="100"/>
        <v>0</v>
      </c>
      <c r="I111" s="55">
        <f t="shared" si="100"/>
        <v>0</v>
      </c>
      <c r="J111" s="55">
        <f t="shared" si="100"/>
        <v>0</v>
      </c>
      <c r="K111" s="55">
        <f t="shared" si="100"/>
        <v>0</v>
      </c>
      <c r="L111" s="55">
        <f t="shared" si="100"/>
        <v>0</v>
      </c>
      <c r="M111" s="55">
        <f t="shared" si="100"/>
        <v>0</v>
      </c>
      <c r="N111" s="55">
        <f t="shared" si="100"/>
        <v>0</v>
      </c>
      <c r="O111" s="55">
        <f t="shared" si="100"/>
        <v>0</v>
      </c>
      <c r="P111" s="55">
        <f t="shared" si="100"/>
        <v>0</v>
      </c>
      <c r="Q111" s="55">
        <f t="shared" si="96"/>
        <v>0</v>
      </c>
    </row>
    <row r="112" spans="3:17">
      <c r="C112" s="55"/>
      <c r="D112" s="55"/>
      <c r="E112" s="55">
        <f t="shared" ref="E112:P112" si="101">E288+E461</f>
        <v>0</v>
      </c>
      <c r="F112" s="55">
        <f t="shared" si="101"/>
        <v>0</v>
      </c>
      <c r="G112" s="55">
        <f t="shared" si="101"/>
        <v>0</v>
      </c>
      <c r="H112" s="55">
        <f t="shared" si="101"/>
        <v>0</v>
      </c>
      <c r="I112" s="55">
        <f t="shared" si="101"/>
        <v>0</v>
      </c>
      <c r="J112" s="55">
        <f t="shared" si="101"/>
        <v>0</v>
      </c>
      <c r="K112" s="55">
        <f t="shared" si="101"/>
        <v>0</v>
      </c>
      <c r="L112" s="55">
        <f t="shared" si="101"/>
        <v>0</v>
      </c>
      <c r="M112" s="55">
        <f t="shared" si="101"/>
        <v>0</v>
      </c>
      <c r="N112" s="55">
        <f t="shared" si="101"/>
        <v>0</v>
      </c>
      <c r="O112" s="55">
        <f t="shared" si="101"/>
        <v>0</v>
      </c>
      <c r="P112" s="55">
        <f t="shared" si="101"/>
        <v>0</v>
      </c>
      <c r="Q112" s="55">
        <f t="shared" si="96"/>
        <v>0</v>
      </c>
    </row>
    <row r="113" spans="3:17">
      <c r="C113" s="55"/>
      <c r="D113" s="55"/>
      <c r="E113" s="55">
        <f t="shared" ref="E113:P113" si="102">E289+E462</f>
        <v>0</v>
      </c>
      <c r="F113" s="55">
        <f t="shared" si="102"/>
        <v>0</v>
      </c>
      <c r="G113" s="55">
        <f t="shared" si="102"/>
        <v>0</v>
      </c>
      <c r="H113" s="55">
        <f t="shared" si="102"/>
        <v>0</v>
      </c>
      <c r="I113" s="55">
        <f t="shared" si="102"/>
        <v>0</v>
      </c>
      <c r="J113" s="55">
        <f t="shared" si="102"/>
        <v>0</v>
      </c>
      <c r="K113" s="55">
        <f t="shared" si="102"/>
        <v>0</v>
      </c>
      <c r="L113" s="55">
        <f t="shared" si="102"/>
        <v>0</v>
      </c>
      <c r="M113" s="55">
        <f t="shared" si="102"/>
        <v>0</v>
      </c>
      <c r="N113" s="55">
        <f t="shared" si="102"/>
        <v>0</v>
      </c>
      <c r="O113" s="55">
        <f t="shared" si="102"/>
        <v>0</v>
      </c>
      <c r="P113" s="55">
        <f t="shared" si="102"/>
        <v>0</v>
      </c>
      <c r="Q113" s="55">
        <f t="shared" si="96"/>
        <v>0</v>
      </c>
    </row>
    <row r="114" spans="3:17">
      <c r="C114" s="55"/>
      <c r="D114" s="55"/>
      <c r="E114" s="55">
        <f t="shared" ref="E114:P114" si="103">E290+E463</f>
        <v>0</v>
      </c>
      <c r="F114" s="55">
        <f t="shared" si="103"/>
        <v>0</v>
      </c>
      <c r="G114" s="55">
        <f t="shared" si="103"/>
        <v>0</v>
      </c>
      <c r="H114" s="55">
        <f t="shared" si="103"/>
        <v>0</v>
      </c>
      <c r="I114" s="55">
        <f t="shared" si="103"/>
        <v>0</v>
      </c>
      <c r="J114" s="55">
        <f t="shared" si="103"/>
        <v>0</v>
      </c>
      <c r="K114" s="55">
        <f t="shared" si="103"/>
        <v>0</v>
      </c>
      <c r="L114" s="55">
        <f t="shared" si="103"/>
        <v>0</v>
      </c>
      <c r="M114" s="55">
        <f t="shared" si="103"/>
        <v>0</v>
      </c>
      <c r="N114" s="55">
        <f t="shared" si="103"/>
        <v>0</v>
      </c>
      <c r="O114" s="55">
        <f t="shared" si="103"/>
        <v>0</v>
      </c>
      <c r="P114" s="55">
        <f t="shared" si="103"/>
        <v>0</v>
      </c>
      <c r="Q114" s="55">
        <f t="shared" si="96"/>
        <v>0</v>
      </c>
    </row>
    <row r="115" ht="15" spans="3:18">
      <c r="C115" s="44" t="s">
        <v>404</v>
      </c>
      <c r="D115" s="45"/>
      <c r="E115" s="54">
        <f t="shared" ref="E115:P115" si="104">SUM(E107:E114)</f>
        <v>244.281764776698</v>
      </c>
      <c r="F115" s="54">
        <f t="shared" si="104"/>
        <v>139.577491159962</v>
      </c>
      <c r="G115" s="54">
        <f t="shared" si="104"/>
        <v>67.0897889342005</v>
      </c>
      <c r="H115" s="54">
        <f t="shared" si="104"/>
        <v>176.059578523924</v>
      </c>
      <c r="I115" s="54">
        <f t="shared" si="104"/>
        <v>186.244746499708</v>
      </c>
      <c r="J115" s="54">
        <f t="shared" si="104"/>
        <v>207.805176509234</v>
      </c>
      <c r="K115" s="54">
        <f t="shared" si="104"/>
        <v>193.503253368462</v>
      </c>
      <c r="L115" s="54">
        <f t="shared" si="104"/>
        <v>272.506192228662</v>
      </c>
      <c r="M115" s="54">
        <f t="shared" si="104"/>
        <v>241.311186188866</v>
      </c>
      <c r="N115" s="54">
        <f t="shared" si="104"/>
        <v>235.222560487859</v>
      </c>
      <c r="O115" s="54">
        <f t="shared" si="104"/>
        <v>397.224696299972</v>
      </c>
      <c r="P115" s="54">
        <f t="shared" si="104"/>
        <v>475.415124423297</v>
      </c>
      <c r="Q115" s="54">
        <f t="shared" si="96"/>
        <v>2836.24155940085</v>
      </c>
      <c r="R115" s="686"/>
    </row>
    <row r="116" ht="15" spans="3:17">
      <c r="C116" s="663" t="s">
        <v>405</v>
      </c>
      <c r="D116" s="676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</row>
    <row r="117" spans="3:17">
      <c r="C117" s="55"/>
      <c r="D117" s="55" t="s">
        <v>406</v>
      </c>
      <c r="E117" s="147">
        <f t="shared" ref="E117:P117" si="105">E293+E466</f>
        <v>0.0243813126858572</v>
      </c>
      <c r="F117" s="147">
        <f t="shared" si="105"/>
        <v>0.0209078555152691</v>
      </c>
      <c r="G117" s="147">
        <f t="shared" si="105"/>
        <v>0.0497327402473932</v>
      </c>
      <c r="H117" s="147">
        <f t="shared" si="105"/>
        <v>0.0723393463589819</v>
      </c>
      <c r="I117" s="147">
        <f t="shared" si="105"/>
        <v>0.0394741207667835</v>
      </c>
      <c r="J117" s="147">
        <f t="shared" si="105"/>
        <v>0.0290281127467042</v>
      </c>
      <c r="K117" s="147">
        <f t="shared" si="105"/>
        <v>0.0176034973230074</v>
      </c>
      <c r="L117" s="147">
        <f t="shared" si="105"/>
        <v>0.024443849476385</v>
      </c>
      <c r="M117" s="147">
        <f t="shared" si="105"/>
        <v>0.0279507999852291</v>
      </c>
      <c r="N117" s="147">
        <f t="shared" si="105"/>
        <v>0.02703225279869</v>
      </c>
      <c r="O117" s="147">
        <f t="shared" si="105"/>
        <v>0.0185345399483146</v>
      </c>
      <c r="P117" s="147">
        <f t="shared" si="105"/>
        <v>0.0240715721473846</v>
      </c>
      <c r="Q117" s="147">
        <f t="shared" ref="Q117:Q141" si="106">SUM(E117:P117)</f>
        <v>0.3755</v>
      </c>
    </row>
    <row r="118" spans="3:17">
      <c r="C118" s="55"/>
      <c r="D118" s="55" t="s">
        <v>407</v>
      </c>
      <c r="E118" s="147">
        <f t="shared" ref="E118:P118" si="107">E294+E467</f>
        <v>0</v>
      </c>
      <c r="F118" s="147">
        <f t="shared" si="107"/>
        <v>0</v>
      </c>
      <c r="G118" s="147">
        <f t="shared" si="107"/>
        <v>0</v>
      </c>
      <c r="H118" s="147">
        <f t="shared" si="107"/>
        <v>0</v>
      </c>
      <c r="I118" s="147">
        <f t="shared" si="107"/>
        <v>0</v>
      </c>
      <c r="J118" s="147">
        <f t="shared" si="107"/>
        <v>0</v>
      </c>
      <c r="K118" s="147">
        <f t="shared" si="107"/>
        <v>0</v>
      </c>
      <c r="L118" s="147">
        <f t="shared" si="107"/>
        <v>0</v>
      </c>
      <c r="M118" s="147">
        <f t="shared" si="107"/>
        <v>0</v>
      </c>
      <c r="N118" s="147">
        <f t="shared" si="107"/>
        <v>0</v>
      </c>
      <c r="O118" s="147">
        <f t="shared" si="107"/>
        <v>0</v>
      </c>
      <c r="P118" s="147">
        <f t="shared" si="107"/>
        <v>0</v>
      </c>
      <c r="Q118" s="147">
        <f t="shared" si="106"/>
        <v>0</v>
      </c>
    </row>
    <row r="119" spans="3:17">
      <c r="C119" s="55"/>
      <c r="D119" s="55" t="s">
        <v>408</v>
      </c>
      <c r="E119" s="147">
        <f t="shared" ref="E119:P119" si="108">E295+E468</f>
        <v>0</v>
      </c>
      <c r="F119" s="147">
        <f t="shared" si="108"/>
        <v>0</v>
      </c>
      <c r="G119" s="147">
        <f t="shared" si="108"/>
        <v>0</v>
      </c>
      <c r="H119" s="147">
        <f t="shared" si="108"/>
        <v>0</v>
      </c>
      <c r="I119" s="147">
        <f t="shared" si="108"/>
        <v>0</v>
      </c>
      <c r="J119" s="147">
        <f t="shared" si="108"/>
        <v>0</v>
      </c>
      <c r="K119" s="147">
        <f t="shared" si="108"/>
        <v>0</v>
      </c>
      <c r="L119" s="147">
        <f t="shared" si="108"/>
        <v>0</v>
      </c>
      <c r="M119" s="147">
        <f t="shared" si="108"/>
        <v>0</v>
      </c>
      <c r="N119" s="147">
        <f t="shared" si="108"/>
        <v>0</v>
      </c>
      <c r="O119" s="147">
        <f t="shared" si="108"/>
        <v>0</v>
      </c>
      <c r="P119" s="147">
        <f t="shared" si="108"/>
        <v>0</v>
      </c>
      <c r="Q119" s="147">
        <f t="shared" si="106"/>
        <v>0</v>
      </c>
    </row>
    <row r="120" spans="3:17">
      <c r="C120" s="55"/>
      <c r="D120" s="55" t="s">
        <v>409</v>
      </c>
      <c r="E120" s="147">
        <f t="shared" ref="E120:P120" si="109">E296+E469</f>
        <v>0</v>
      </c>
      <c r="F120" s="147">
        <f t="shared" si="109"/>
        <v>0</v>
      </c>
      <c r="G120" s="147">
        <f t="shared" si="109"/>
        <v>0</v>
      </c>
      <c r="H120" s="147">
        <f t="shared" si="109"/>
        <v>0</v>
      </c>
      <c r="I120" s="147">
        <f t="shared" si="109"/>
        <v>0</v>
      </c>
      <c r="J120" s="147">
        <f t="shared" si="109"/>
        <v>0</v>
      </c>
      <c r="K120" s="147">
        <f t="shared" si="109"/>
        <v>0</v>
      </c>
      <c r="L120" s="147">
        <f t="shared" si="109"/>
        <v>0</v>
      </c>
      <c r="M120" s="147">
        <f t="shared" si="109"/>
        <v>0</v>
      </c>
      <c r="N120" s="147">
        <f t="shared" si="109"/>
        <v>0</v>
      </c>
      <c r="O120" s="147">
        <f t="shared" si="109"/>
        <v>0</v>
      </c>
      <c r="P120" s="147">
        <f t="shared" si="109"/>
        <v>0</v>
      </c>
      <c r="Q120" s="147">
        <f t="shared" si="106"/>
        <v>0</v>
      </c>
    </row>
    <row r="121" spans="3:17">
      <c r="C121" s="55"/>
      <c r="D121" s="55" t="s">
        <v>410</v>
      </c>
      <c r="E121" s="147">
        <f t="shared" ref="E121:P121" si="110">E297+E470</f>
        <v>0</v>
      </c>
      <c r="F121" s="147">
        <f t="shared" si="110"/>
        <v>0</v>
      </c>
      <c r="G121" s="147">
        <f t="shared" si="110"/>
        <v>0</v>
      </c>
      <c r="H121" s="147">
        <f t="shared" si="110"/>
        <v>0</v>
      </c>
      <c r="I121" s="147">
        <f t="shared" si="110"/>
        <v>0</v>
      </c>
      <c r="J121" s="147">
        <f t="shared" si="110"/>
        <v>0</v>
      </c>
      <c r="K121" s="147">
        <f t="shared" si="110"/>
        <v>0</v>
      </c>
      <c r="L121" s="147">
        <f t="shared" si="110"/>
        <v>0</v>
      </c>
      <c r="M121" s="147">
        <f t="shared" si="110"/>
        <v>0</v>
      </c>
      <c r="N121" s="147">
        <f t="shared" si="110"/>
        <v>0</v>
      </c>
      <c r="O121" s="147">
        <f t="shared" si="110"/>
        <v>0</v>
      </c>
      <c r="P121" s="147">
        <f t="shared" si="110"/>
        <v>0</v>
      </c>
      <c r="Q121" s="147">
        <f t="shared" si="106"/>
        <v>0</v>
      </c>
    </row>
    <row r="122" spans="3:17">
      <c r="C122" s="55"/>
      <c r="D122" s="55" t="s">
        <v>368</v>
      </c>
      <c r="E122" s="147">
        <f t="shared" ref="E122:P122" si="111">E298+E471</f>
        <v>0.00169806342756752</v>
      </c>
      <c r="F122" s="147">
        <f t="shared" si="111"/>
        <v>0.00181959108266529</v>
      </c>
      <c r="G122" s="147">
        <f t="shared" si="111"/>
        <v>0.00188518447401194</v>
      </c>
      <c r="H122" s="147">
        <f t="shared" si="111"/>
        <v>0.00412143916355103</v>
      </c>
      <c r="I122" s="147">
        <f t="shared" si="111"/>
        <v>0.00967638678287898</v>
      </c>
      <c r="J122" s="147">
        <f t="shared" si="111"/>
        <v>0.00488721752704033</v>
      </c>
      <c r="K122" s="147">
        <f t="shared" si="111"/>
        <v>0.00538694995474754</v>
      </c>
      <c r="L122" s="147">
        <f t="shared" si="111"/>
        <v>0.00184761248791175</v>
      </c>
      <c r="M122" s="147">
        <f t="shared" si="111"/>
        <v>0.00316958844284514</v>
      </c>
      <c r="N122" s="147">
        <f t="shared" si="111"/>
        <v>0.00604801076494963</v>
      </c>
      <c r="O122" s="147">
        <f t="shared" si="111"/>
        <v>0.0054317898050051</v>
      </c>
      <c r="P122" s="147">
        <f t="shared" si="111"/>
        <v>0.0025230815797835</v>
      </c>
      <c r="Q122" s="147">
        <f t="shared" si="106"/>
        <v>0.0484949154929578</v>
      </c>
    </row>
    <row r="123" spans="3:17">
      <c r="C123" s="55"/>
      <c r="D123" s="55" t="s">
        <v>411</v>
      </c>
      <c r="E123" s="147">
        <f t="shared" ref="E123:P123" si="112">E299+E472</f>
        <v>289.244897531078</v>
      </c>
      <c r="F123" s="147">
        <f t="shared" si="112"/>
        <v>298.257578570896</v>
      </c>
      <c r="G123" s="147">
        <f t="shared" si="112"/>
        <v>279.243878733552</v>
      </c>
      <c r="H123" s="147">
        <f t="shared" si="112"/>
        <v>218.707543416144</v>
      </c>
      <c r="I123" s="147">
        <f t="shared" si="112"/>
        <v>268.994856432956</v>
      </c>
      <c r="J123" s="147">
        <f t="shared" si="112"/>
        <v>237.110294143274</v>
      </c>
      <c r="K123" s="147">
        <f t="shared" si="112"/>
        <v>290.691801527818</v>
      </c>
      <c r="L123" s="147">
        <f t="shared" si="112"/>
        <v>224.144113937156</v>
      </c>
      <c r="M123" s="147">
        <f t="shared" si="112"/>
        <v>245.711318038759</v>
      </c>
      <c r="N123" s="147">
        <f t="shared" si="112"/>
        <v>261.964254733747</v>
      </c>
      <c r="O123" s="147">
        <f t="shared" si="112"/>
        <v>268.889550213633</v>
      </c>
      <c r="P123" s="147">
        <f t="shared" si="112"/>
        <v>288.325239018611</v>
      </c>
      <c r="Q123" s="147">
        <f t="shared" si="106"/>
        <v>3171.28532629762</v>
      </c>
    </row>
    <row r="124" spans="3:17">
      <c r="C124" s="55"/>
      <c r="D124" s="55" t="s">
        <v>412</v>
      </c>
      <c r="E124" s="147">
        <f t="shared" ref="E124:P124" si="113">E300+E473</f>
        <v>8.4250855951113</v>
      </c>
      <c r="F124" s="147">
        <f t="shared" si="113"/>
        <v>8.68760572891506</v>
      </c>
      <c r="G124" s="147">
        <f t="shared" si="113"/>
        <v>8.13377729502827</v>
      </c>
      <c r="H124" s="147">
        <f t="shared" si="113"/>
        <v>6.37048324553263</v>
      </c>
      <c r="I124" s="147">
        <f t="shared" si="113"/>
        <v>7.835245183016</v>
      </c>
      <c r="J124" s="147">
        <f t="shared" si="113"/>
        <v>6.90651603776162</v>
      </c>
      <c r="K124" s="147">
        <f t="shared" si="113"/>
        <v>8.46723081573405</v>
      </c>
      <c r="L124" s="147">
        <f t="shared" si="113"/>
        <v>6.52883892397106</v>
      </c>
      <c r="M124" s="147">
        <f t="shared" si="113"/>
        <v>7.1570454788809</v>
      </c>
      <c r="N124" s="147">
        <f t="shared" si="113"/>
        <v>7.63045878364796</v>
      </c>
      <c r="O124" s="147">
        <f t="shared" si="113"/>
        <v>7.83217783794243</v>
      </c>
      <c r="P124" s="147">
        <f t="shared" si="113"/>
        <v>8.39829790844183</v>
      </c>
      <c r="Q124" s="147">
        <f t="shared" si="106"/>
        <v>92.3727628339831</v>
      </c>
    </row>
    <row r="125" spans="3:17">
      <c r="C125" s="55"/>
      <c r="D125" s="55" t="s">
        <v>413</v>
      </c>
      <c r="E125" s="147">
        <f t="shared" ref="E125:P125" si="114">E301+E474</f>
        <v>33.5217662451358</v>
      </c>
      <c r="F125" s="147">
        <f t="shared" si="114"/>
        <v>34.5662824652579</v>
      </c>
      <c r="G125" s="147">
        <f t="shared" si="114"/>
        <v>32.3627075471069</v>
      </c>
      <c r="H125" s="147">
        <f t="shared" si="114"/>
        <v>25.3469057156182</v>
      </c>
      <c r="I125" s="147">
        <f t="shared" si="114"/>
        <v>31.174906715582</v>
      </c>
      <c r="J125" s="147">
        <f t="shared" si="114"/>
        <v>27.4796752593785</v>
      </c>
      <c r="K125" s="147">
        <f t="shared" si="114"/>
        <v>33.6894538274299</v>
      </c>
      <c r="L125" s="147">
        <f t="shared" si="114"/>
        <v>25.9769719596078</v>
      </c>
      <c r="M125" s="147">
        <f t="shared" si="114"/>
        <v>28.4764828606684</v>
      </c>
      <c r="N125" s="147">
        <f t="shared" si="114"/>
        <v>30.3601017225287</v>
      </c>
      <c r="O125" s="147">
        <f t="shared" si="114"/>
        <v>31.1627023500134</v>
      </c>
      <c r="P125" s="147">
        <f t="shared" si="114"/>
        <v>33.4151832839724</v>
      </c>
      <c r="Q125" s="147">
        <f t="shared" si="106"/>
        <v>367.5331399523</v>
      </c>
    </row>
    <row r="126" spans="3:17">
      <c r="C126" s="55"/>
      <c r="D126" s="55" t="s">
        <v>414</v>
      </c>
      <c r="E126" s="147">
        <f t="shared" ref="E126:P126" si="115">E302+E475</f>
        <v>29.0481739874877</v>
      </c>
      <c r="F126" s="147">
        <f t="shared" si="115"/>
        <v>29.9532960109808</v>
      </c>
      <c r="G126" s="147">
        <f t="shared" si="115"/>
        <v>28.0437955643508</v>
      </c>
      <c r="H126" s="147">
        <f t="shared" si="115"/>
        <v>21.9642760434368</v>
      </c>
      <c r="I126" s="147">
        <f t="shared" si="115"/>
        <v>27.0145107419371</v>
      </c>
      <c r="J126" s="147">
        <f t="shared" si="115"/>
        <v>23.8124203306238</v>
      </c>
      <c r="K126" s="147">
        <f t="shared" si="115"/>
        <v>29.1934830988991</v>
      </c>
      <c r="L126" s="147">
        <f t="shared" si="115"/>
        <v>22.510257831664</v>
      </c>
      <c r="M126" s="147">
        <f t="shared" si="115"/>
        <v>24.6762006106536</v>
      </c>
      <c r="N126" s="147">
        <f t="shared" si="115"/>
        <v>26.3084442109851</v>
      </c>
      <c r="O126" s="147">
        <f t="shared" si="115"/>
        <v>27.0039350899309</v>
      </c>
      <c r="P126" s="147">
        <f t="shared" si="115"/>
        <v>28.9558148803531</v>
      </c>
      <c r="Q126" s="147">
        <f t="shared" si="106"/>
        <v>318.484608401303</v>
      </c>
    </row>
    <row r="127" spans="3:17">
      <c r="C127" s="55"/>
      <c r="D127" s="55" t="s">
        <v>415</v>
      </c>
      <c r="E127" s="147">
        <f t="shared" ref="E127:P127" si="116">E303+E476</f>
        <v>69.1301570545947</v>
      </c>
      <c r="F127" s="147">
        <f t="shared" si="116"/>
        <v>71.2842073458316</v>
      </c>
      <c r="G127" s="147">
        <f t="shared" si="116"/>
        <v>66.7398918983885</v>
      </c>
      <c r="H127" s="147">
        <f t="shared" si="116"/>
        <v>52.2715766274083</v>
      </c>
      <c r="I127" s="147">
        <f t="shared" si="116"/>
        <v>64.2903533677388</v>
      </c>
      <c r="J127" s="147">
        <f t="shared" si="116"/>
        <v>56.6698739141093</v>
      </c>
      <c r="K127" s="147">
        <f t="shared" si="116"/>
        <v>69.475970244011</v>
      </c>
      <c r="L127" s="147">
        <f t="shared" si="116"/>
        <v>53.5709287582979</v>
      </c>
      <c r="M127" s="147">
        <f t="shared" si="116"/>
        <v>58.7255372561443</v>
      </c>
      <c r="N127" s="147">
        <f t="shared" si="116"/>
        <v>62.6100243323672</v>
      </c>
      <c r="O127" s="147">
        <f t="shared" si="116"/>
        <v>64.2651849532126</v>
      </c>
      <c r="P127" s="147">
        <f t="shared" si="116"/>
        <v>68.9103566780068</v>
      </c>
      <c r="Q127" s="147">
        <f t="shared" si="106"/>
        <v>757.944062430111</v>
      </c>
    </row>
    <row r="128" spans="3:17">
      <c r="C128" s="55"/>
      <c r="D128" s="55" t="s">
        <v>416</v>
      </c>
      <c r="E128" s="147">
        <f t="shared" ref="E128:P128" si="117">E304+E477</f>
        <v>0</v>
      </c>
      <c r="F128" s="147">
        <f t="shared" si="117"/>
        <v>0</v>
      </c>
      <c r="G128" s="147">
        <f t="shared" si="117"/>
        <v>0</v>
      </c>
      <c r="H128" s="147">
        <f t="shared" si="117"/>
        <v>0</v>
      </c>
      <c r="I128" s="147">
        <f t="shared" si="117"/>
        <v>0</v>
      </c>
      <c r="J128" s="147">
        <f t="shared" si="117"/>
        <v>0</v>
      </c>
      <c r="K128" s="147">
        <f t="shared" si="117"/>
        <v>0</v>
      </c>
      <c r="L128" s="147">
        <f t="shared" si="117"/>
        <v>0</v>
      </c>
      <c r="M128" s="147">
        <f t="shared" si="117"/>
        <v>0</v>
      </c>
      <c r="N128" s="147">
        <f t="shared" si="117"/>
        <v>0</v>
      </c>
      <c r="O128" s="147">
        <f t="shared" si="117"/>
        <v>0</v>
      </c>
      <c r="P128" s="147">
        <f t="shared" si="117"/>
        <v>0</v>
      </c>
      <c r="Q128" s="147">
        <f t="shared" si="106"/>
        <v>0</v>
      </c>
    </row>
    <row r="129" spans="3:17">
      <c r="C129" s="55"/>
      <c r="D129" s="55" t="s">
        <v>417</v>
      </c>
      <c r="E129" s="147">
        <f t="shared" ref="E129:P129" si="118">E305+E478</f>
        <v>84.4994238783069</v>
      </c>
      <c r="F129" s="147">
        <f t="shared" si="118"/>
        <v>87.1323704297039</v>
      </c>
      <c r="G129" s="147">
        <f t="shared" si="118"/>
        <v>81.5777463178716</v>
      </c>
      <c r="H129" s="147">
        <f t="shared" si="118"/>
        <v>63.8927828087903</v>
      </c>
      <c r="I129" s="147">
        <f t="shared" si="118"/>
        <v>78.5836175117679</v>
      </c>
      <c r="J129" s="147">
        <f t="shared" si="118"/>
        <v>69.2689254736807</v>
      </c>
      <c r="K129" s="147">
        <f t="shared" si="118"/>
        <v>84.9221195081189</v>
      </c>
      <c r="L129" s="147">
        <f t="shared" si="118"/>
        <v>65.4810116101298</v>
      </c>
      <c r="M129" s="147">
        <f t="shared" si="118"/>
        <v>71.781611333088</v>
      </c>
      <c r="N129" s="147">
        <f t="shared" si="118"/>
        <v>76.5297116410961</v>
      </c>
      <c r="O129" s="147">
        <f t="shared" si="118"/>
        <v>78.5528535641942</v>
      </c>
      <c r="P129" s="147">
        <f t="shared" si="118"/>
        <v>84.2307566861403</v>
      </c>
      <c r="Q129" s="147">
        <f t="shared" si="106"/>
        <v>926.452930762889</v>
      </c>
    </row>
    <row r="130" spans="3:17">
      <c r="C130" s="55"/>
      <c r="D130" s="55" t="s">
        <v>418</v>
      </c>
      <c r="E130" s="147">
        <f t="shared" ref="E130:P130" si="119">E306+E479</f>
        <v>43.2429681864407</v>
      </c>
      <c r="F130" s="147">
        <f t="shared" si="119"/>
        <v>44.5903906744644</v>
      </c>
      <c r="G130" s="147">
        <f t="shared" si="119"/>
        <v>41.7477862787049</v>
      </c>
      <c r="H130" s="147">
        <f t="shared" si="119"/>
        <v>32.6974249945508</v>
      </c>
      <c r="I130" s="147">
        <f t="shared" si="119"/>
        <v>40.2155271133062</v>
      </c>
      <c r="J130" s="147">
        <f t="shared" si="119"/>
        <v>35.4486906902603</v>
      </c>
      <c r="K130" s="147">
        <f t="shared" si="119"/>
        <v>43.4592846159923</v>
      </c>
      <c r="L130" s="147">
        <f t="shared" si="119"/>
        <v>33.5102083766956</v>
      </c>
      <c r="M130" s="147">
        <f t="shared" si="119"/>
        <v>36.7345692169276</v>
      </c>
      <c r="N130" s="147">
        <f t="shared" si="119"/>
        <v>39.1644313525668</v>
      </c>
      <c r="O130" s="147">
        <f t="shared" si="119"/>
        <v>40.1997835218691</v>
      </c>
      <c r="P130" s="147">
        <f t="shared" si="119"/>
        <v>43.1054765171446</v>
      </c>
      <c r="Q130" s="147">
        <f t="shared" si="106"/>
        <v>474.116541538923</v>
      </c>
    </row>
    <row r="131" spans="3:17">
      <c r="C131" s="55"/>
      <c r="D131" s="687" t="s">
        <v>419</v>
      </c>
      <c r="E131" s="147">
        <f t="shared" ref="E131:P131" si="120">E307+E480</f>
        <v>0</v>
      </c>
      <c r="F131" s="147">
        <f t="shared" si="120"/>
        <v>0</v>
      </c>
      <c r="G131" s="147">
        <f t="shared" si="120"/>
        <v>0</v>
      </c>
      <c r="H131" s="147">
        <f t="shared" si="120"/>
        <v>0</v>
      </c>
      <c r="I131" s="147">
        <f t="shared" si="120"/>
        <v>0</v>
      </c>
      <c r="J131" s="147">
        <f t="shared" si="120"/>
        <v>0</v>
      </c>
      <c r="K131" s="147">
        <f t="shared" si="120"/>
        <v>0</v>
      </c>
      <c r="L131" s="147">
        <f t="shared" si="120"/>
        <v>0</v>
      </c>
      <c r="M131" s="147">
        <f t="shared" si="120"/>
        <v>0</v>
      </c>
      <c r="N131" s="147">
        <f t="shared" si="120"/>
        <v>0</v>
      </c>
      <c r="O131" s="147">
        <f t="shared" si="120"/>
        <v>0</v>
      </c>
      <c r="P131" s="147">
        <f t="shared" si="120"/>
        <v>0</v>
      </c>
      <c r="Q131" s="147">
        <f t="shared" si="106"/>
        <v>0</v>
      </c>
    </row>
    <row r="132" spans="3:17">
      <c r="C132" s="55"/>
      <c r="D132" s="687" t="s">
        <v>420</v>
      </c>
      <c r="E132" s="147">
        <f t="shared" ref="E132:P132" si="121">E308+E481</f>
        <v>0</v>
      </c>
      <c r="F132" s="147">
        <f t="shared" si="121"/>
        <v>0</v>
      </c>
      <c r="G132" s="147">
        <f t="shared" si="121"/>
        <v>0</v>
      </c>
      <c r="H132" s="147">
        <f t="shared" si="121"/>
        <v>0</v>
      </c>
      <c r="I132" s="147">
        <f t="shared" si="121"/>
        <v>0</v>
      </c>
      <c r="J132" s="147">
        <f t="shared" si="121"/>
        <v>0</v>
      </c>
      <c r="K132" s="147">
        <f t="shared" si="121"/>
        <v>0</v>
      </c>
      <c r="L132" s="147">
        <f t="shared" si="121"/>
        <v>0</v>
      </c>
      <c r="M132" s="147">
        <f t="shared" si="121"/>
        <v>0</v>
      </c>
      <c r="N132" s="147">
        <f t="shared" si="121"/>
        <v>0</v>
      </c>
      <c r="O132" s="147">
        <f t="shared" si="121"/>
        <v>0</v>
      </c>
      <c r="P132" s="147">
        <f t="shared" si="121"/>
        <v>0</v>
      </c>
      <c r="Q132" s="147">
        <f t="shared" si="106"/>
        <v>0</v>
      </c>
    </row>
    <row r="133" spans="3:17">
      <c r="C133" s="55"/>
      <c r="D133" s="55"/>
      <c r="E133" s="55">
        <f t="shared" ref="E133:P133" si="122">E309+E482</f>
        <v>0</v>
      </c>
      <c r="F133" s="55">
        <f t="shared" si="122"/>
        <v>0</v>
      </c>
      <c r="G133" s="55">
        <f t="shared" si="122"/>
        <v>0</v>
      </c>
      <c r="H133" s="55">
        <f t="shared" si="122"/>
        <v>0</v>
      </c>
      <c r="I133" s="55">
        <f t="shared" si="122"/>
        <v>0</v>
      </c>
      <c r="J133" s="55">
        <f t="shared" si="122"/>
        <v>0</v>
      </c>
      <c r="K133" s="55">
        <f t="shared" si="122"/>
        <v>0</v>
      </c>
      <c r="L133" s="55">
        <f t="shared" si="122"/>
        <v>0</v>
      </c>
      <c r="M133" s="55">
        <f t="shared" si="122"/>
        <v>0</v>
      </c>
      <c r="N133" s="55">
        <f t="shared" si="122"/>
        <v>0</v>
      </c>
      <c r="O133" s="55">
        <f t="shared" si="122"/>
        <v>0</v>
      </c>
      <c r="P133" s="55">
        <f t="shared" si="122"/>
        <v>0</v>
      </c>
      <c r="Q133" s="55">
        <f t="shared" si="106"/>
        <v>0</v>
      </c>
    </row>
    <row r="134" spans="3:17">
      <c r="C134" s="55"/>
      <c r="D134" s="55"/>
      <c r="E134" s="55">
        <f t="shared" ref="E134:P134" si="123">E310+E483</f>
        <v>0</v>
      </c>
      <c r="F134" s="55">
        <f t="shared" si="123"/>
        <v>0</v>
      </c>
      <c r="G134" s="55">
        <f t="shared" si="123"/>
        <v>0</v>
      </c>
      <c r="H134" s="55">
        <f t="shared" si="123"/>
        <v>0</v>
      </c>
      <c r="I134" s="55">
        <f t="shared" si="123"/>
        <v>0</v>
      </c>
      <c r="J134" s="55">
        <f t="shared" si="123"/>
        <v>0</v>
      </c>
      <c r="K134" s="55">
        <f t="shared" si="123"/>
        <v>0</v>
      </c>
      <c r="L134" s="55">
        <f t="shared" si="123"/>
        <v>0</v>
      </c>
      <c r="M134" s="55">
        <f t="shared" si="123"/>
        <v>0</v>
      </c>
      <c r="N134" s="55">
        <f t="shared" si="123"/>
        <v>0</v>
      </c>
      <c r="O134" s="55">
        <f t="shared" si="123"/>
        <v>0</v>
      </c>
      <c r="P134" s="55">
        <f t="shared" si="123"/>
        <v>0</v>
      </c>
      <c r="Q134" s="55">
        <f t="shared" si="106"/>
        <v>0</v>
      </c>
    </row>
    <row r="135" spans="3:17">
      <c r="C135" s="55"/>
      <c r="D135" s="55"/>
      <c r="E135" s="55">
        <f t="shared" ref="E135:P135" si="124">E311+E484</f>
        <v>0</v>
      </c>
      <c r="F135" s="55">
        <f t="shared" si="124"/>
        <v>0</v>
      </c>
      <c r="G135" s="55">
        <f t="shared" si="124"/>
        <v>0</v>
      </c>
      <c r="H135" s="55">
        <f t="shared" si="124"/>
        <v>0</v>
      </c>
      <c r="I135" s="55">
        <f t="shared" si="124"/>
        <v>0</v>
      </c>
      <c r="J135" s="55">
        <f t="shared" si="124"/>
        <v>0</v>
      </c>
      <c r="K135" s="55">
        <f t="shared" si="124"/>
        <v>0</v>
      </c>
      <c r="L135" s="55">
        <f t="shared" si="124"/>
        <v>0</v>
      </c>
      <c r="M135" s="55">
        <f t="shared" si="124"/>
        <v>0</v>
      </c>
      <c r="N135" s="55">
        <f t="shared" si="124"/>
        <v>0</v>
      </c>
      <c r="O135" s="55">
        <f t="shared" si="124"/>
        <v>0</v>
      </c>
      <c r="P135" s="55">
        <f t="shared" si="124"/>
        <v>0</v>
      </c>
      <c r="Q135" s="55">
        <f t="shared" si="106"/>
        <v>0</v>
      </c>
    </row>
    <row r="136" spans="3:17">
      <c r="C136" s="55"/>
      <c r="D136" s="55"/>
      <c r="E136" s="55">
        <f t="shared" ref="E136:P136" si="125">E312+E485</f>
        <v>0</v>
      </c>
      <c r="F136" s="55">
        <f t="shared" si="125"/>
        <v>0</v>
      </c>
      <c r="G136" s="55">
        <f t="shared" si="125"/>
        <v>0</v>
      </c>
      <c r="H136" s="55">
        <f t="shared" si="125"/>
        <v>0</v>
      </c>
      <c r="I136" s="55">
        <f t="shared" si="125"/>
        <v>0</v>
      </c>
      <c r="J136" s="55">
        <f t="shared" si="125"/>
        <v>0</v>
      </c>
      <c r="K136" s="55">
        <f t="shared" si="125"/>
        <v>0</v>
      </c>
      <c r="L136" s="55">
        <f t="shared" si="125"/>
        <v>0</v>
      </c>
      <c r="M136" s="55">
        <f t="shared" si="125"/>
        <v>0</v>
      </c>
      <c r="N136" s="55">
        <f t="shared" si="125"/>
        <v>0</v>
      </c>
      <c r="O136" s="55">
        <f t="shared" si="125"/>
        <v>0</v>
      </c>
      <c r="P136" s="55">
        <f t="shared" si="125"/>
        <v>0</v>
      </c>
      <c r="Q136" s="55">
        <f t="shared" si="106"/>
        <v>0</v>
      </c>
    </row>
    <row r="137" spans="3:17">
      <c r="C137" s="55"/>
      <c r="D137" s="55"/>
      <c r="E137" s="55">
        <f t="shared" ref="E137:P137" si="126">E313+E486</f>
        <v>0</v>
      </c>
      <c r="F137" s="55">
        <f t="shared" si="126"/>
        <v>0</v>
      </c>
      <c r="G137" s="55">
        <f t="shared" si="126"/>
        <v>0</v>
      </c>
      <c r="H137" s="55">
        <f t="shared" si="126"/>
        <v>0</v>
      </c>
      <c r="I137" s="55">
        <f t="shared" si="126"/>
        <v>0</v>
      </c>
      <c r="J137" s="55">
        <f t="shared" si="126"/>
        <v>0</v>
      </c>
      <c r="K137" s="55">
        <f t="shared" si="126"/>
        <v>0</v>
      </c>
      <c r="L137" s="55">
        <f t="shared" si="126"/>
        <v>0</v>
      </c>
      <c r="M137" s="55">
        <f t="shared" si="126"/>
        <v>0</v>
      </c>
      <c r="N137" s="55">
        <f t="shared" si="126"/>
        <v>0</v>
      </c>
      <c r="O137" s="55">
        <f t="shared" si="126"/>
        <v>0</v>
      </c>
      <c r="P137" s="55">
        <f t="shared" si="126"/>
        <v>0</v>
      </c>
      <c r="Q137" s="55">
        <f t="shared" si="106"/>
        <v>0</v>
      </c>
    </row>
    <row r="138" spans="3:17">
      <c r="C138" s="55"/>
      <c r="D138" s="55"/>
      <c r="E138" s="55">
        <f t="shared" ref="E138:P138" si="127">E314+E487</f>
        <v>0</v>
      </c>
      <c r="F138" s="55">
        <f t="shared" si="127"/>
        <v>0</v>
      </c>
      <c r="G138" s="55">
        <f t="shared" si="127"/>
        <v>0</v>
      </c>
      <c r="H138" s="55">
        <f t="shared" si="127"/>
        <v>0</v>
      </c>
      <c r="I138" s="55">
        <f t="shared" si="127"/>
        <v>0</v>
      </c>
      <c r="J138" s="55">
        <f t="shared" si="127"/>
        <v>0</v>
      </c>
      <c r="K138" s="55">
        <f t="shared" si="127"/>
        <v>0</v>
      </c>
      <c r="L138" s="55">
        <f t="shared" si="127"/>
        <v>0</v>
      </c>
      <c r="M138" s="55">
        <f t="shared" si="127"/>
        <v>0</v>
      </c>
      <c r="N138" s="55">
        <f t="shared" si="127"/>
        <v>0</v>
      </c>
      <c r="O138" s="55">
        <f t="shared" si="127"/>
        <v>0</v>
      </c>
      <c r="P138" s="55">
        <f t="shared" si="127"/>
        <v>0</v>
      </c>
      <c r="Q138" s="55">
        <f t="shared" si="106"/>
        <v>0</v>
      </c>
    </row>
    <row r="139" spans="3:17">
      <c r="C139" s="55"/>
      <c r="D139" s="55"/>
      <c r="E139" s="55">
        <f t="shared" ref="E139:P139" si="128">E315+E488</f>
        <v>0</v>
      </c>
      <c r="F139" s="55">
        <f t="shared" si="128"/>
        <v>0</v>
      </c>
      <c r="G139" s="55">
        <f t="shared" si="128"/>
        <v>0</v>
      </c>
      <c r="H139" s="55">
        <f t="shared" si="128"/>
        <v>0</v>
      </c>
      <c r="I139" s="55">
        <f t="shared" si="128"/>
        <v>0</v>
      </c>
      <c r="J139" s="55">
        <f t="shared" si="128"/>
        <v>0</v>
      </c>
      <c r="K139" s="55">
        <f t="shared" si="128"/>
        <v>0</v>
      </c>
      <c r="L139" s="55">
        <f t="shared" si="128"/>
        <v>0</v>
      </c>
      <c r="M139" s="55">
        <f t="shared" si="128"/>
        <v>0</v>
      </c>
      <c r="N139" s="55">
        <f t="shared" si="128"/>
        <v>0</v>
      </c>
      <c r="O139" s="55">
        <f t="shared" si="128"/>
        <v>0</v>
      </c>
      <c r="P139" s="55">
        <f t="shared" si="128"/>
        <v>0</v>
      </c>
      <c r="Q139" s="55">
        <f t="shared" si="106"/>
        <v>0</v>
      </c>
    </row>
    <row r="140" spans="3:17">
      <c r="C140" s="55"/>
      <c r="D140" s="55"/>
      <c r="E140" s="55">
        <f t="shared" ref="E140:P140" si="129">E316+E489</f>
        <v>0</v>
      </c>
      <c r="F140" s="55">
        <f t="shared" si="129"/>
        <v>0</v>
      </c>
      <c r="G140" s="55">
        <f t="shared" si="129"/>
        <v>0</v>
      </c>
      <c r="H140" s="55">
        <f t="shared" si="129"/>
        <v>0</v>
      </c>
      <c r="I140" s="55">
        <f t="shared" si="129"/>
        <v>0</v>
      </c>
      <c r="J140" s="55">
        <f t="shared" si="129"/>
        <v>0</v>
      </c>
      <c r="K140" s="55">
        <f t="shared" si="129"/>
        <v>0</v>
      </c>
      <c r="L140" s="55">
        <f t="shared" si="129"/>
        <v>0</v>
      </c>
      <c r="M140" s="55">
        <f t="shared" si="129"/>
        <v>0</v>
      </c>
      <c r="N140" s="55">
        <f t="shared" si="129"/>
        <v>0</v>
      </c>
      <c r="O140" s="55">
        <f t="shared" si="129"/>
        <v>0</v>
      </c>
      <c r="P140" s="55">
        <f t="shared" si="129"/>
        <v>0</v>
      </c>
      <c r="Q140" s="55">
        <f t="shared" si="106"/>
        <v>0</v>
      </c>
    </row>
    <row r="141" ht="15" spans="3:18">
      <c r="C141" s="44" t="s">
        <v>421</v>
      </c>
      <c r="D141" s="45"/>
      <c r="E141" s="681">
        <f t="shared" ref="E141:P141" si="130">SUM(E117:E140)</f>
        <v>557.138551854268</v>
      </c>
      <c r="F141" s="681">
        <f t="shared" si="130"/>
        <v>574.494458672648</v>
      </c>
      <c r="G141" s="681">
        <f t="shared" si="130"/>
        <v>537.901201559724</v>
      </c>
      <c r="H141" s="681">
        <f t="shared" si="130"/>
        <v>421.327453637003</v>
      </c>
      <c r="I141" s="681">
        <f t="shared" si="130"/>
        <v>518.158167573854</v>
      </c>
      <c r="J141" s="681">
        <f t="shared" si="130"/>
        <v>456.730311179362</v>
      </c>
      <c r="K141" s="681">
        <f t="shared" si="130"/>
        <v>559.922334085281</v>
      </c>
      <c r="L141" s="681">
        <f t="shared" si="130"/>
        <v>431.748622859487</v>
      </c>
      <c r="M141" s="681">
        <f t="shared" si="130"/>
        <v>473.29388518355</v>
      </c>
      <c r="N141" s="681">
        <f t="shared" si="130"/>
        <v>504.600507040503</v>
      </c>
      <c r="O141" s="681">
        <f t="shared" si="130"/>
        <v>517.930153860549</v>
      </c>
      <c r="P141" s="681">
        <f t="shared" si="130"/>
        <v>555.367719626397</v>
      </c>
      <c r="Q141" s="681">
        <f t="shared" si="106"/>
        <v>6108.61336713263</v>
      </c>
      <c r="R141" s="686"/>
    </row>
    <row r="142" ht="15" spans="3:17">
      <c r="C142" s="663" t="s">
        <v>422</v>
      </c>
      <c r="D142" s="676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</row>
    <row r="143" spans="3:18">
      <c r="C143" s="55"/>
      <c r="D143" s="55" t="s">
        <v>423</v>
      </c>
      <c r="E143" s="147">
        <f t="shared" ref="E143:P143" si="131">E319+E492</f>
        <v>0</v>
      </c>
      <c r="F143" s="147">
        <f t="shared" si="131"/>
        <v>171.52099112744</v>
      </c>
      <c r="G143" s="147">
        <f t="shared" si="131"/>
        <v>53.7491637073844</v>
      </c>
      <c r="H143" s="147">
        <f t="shared" si="131"/>
        <v>7.09456813598169</v>
      </c>
      <c r="I143" s="147">
        <f t="shared" si="131"/>
        <v>0</v>
      </c>
      <c r="J143" s="147">
        <f t="shared" si="131"/>
        <v>0</v>
      </c>
      <c r="K143" s="147">
        <f t="shared" si="131"/>
        <v>0</v>
      </c>
      <c r="L143" s="147">
        <f t="shared" si="131"/>
        <v>0</v>
      </c>
      <c r="M143" s="147">
        <f t="shared" si="131"/>
        <v>0</v>
      </c>
      <c r="N143" s="147">
        <f t="shared" si="131"/>
        <v>0</v>
      </c>
      <c r="O143" s="147">
        <f t="shared" si="131"/>
        <v>40.1453609557493</v>
      </c>
      <c r="P143" s="147">
        <f t="shared" si="131"/>
        <v>220.083808430724</v>
      </c>
      <c r="Q143" s="147">
        <f>SUM(E143:P143)</f>
        <v>492.593892357279</v>
      </c>
      <c r="R143" s="686"/>
    </row>
    <row r="144" spans="3:17"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</row>
    <row r="145" spans="3:17"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</row>
    <row r="146" spans="3:17"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</row>
    <row r="147" spans="3:17"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</row>
    <row r="148" spans="3:17">
      <c r="C148" s="55"/>
      <c r="D148" s="679" t="s">
        <v>534</v>
      </c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</row>
    <row r="149" spans="3:17">
      <c r="C149" s="55"/>
      <c r="D149" s="679" t="s">
        <v>535</v>
      </c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</row>
    <row r="150" spans="3:17">
      <c r="C150" s="55"/>
      <c r="D150" s="679" t="s">
        <v>502</v>
      </c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</row>
    <row r="151" spans="3:17">
      <c r="C151" s="55"/>
      <c r="D151" s="679" t="s">
        <v>503</v>
      </c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</row>
    <row r="152" spans="3:17">
      <c r="C152" s="55"/>
      <c r="D152" s="688" t="s">
        <v>504</v>
      </c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</row>
    <row r="153" spans="3:17">
      <c r="C153" s="55"/>
      <c r="D153" s="679" t="s">
        <v>505</v>
      </c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</row>
    <row r="154" spans="3:17">
      <c r="C154" s="55"/>
      <c r="D154" s="679" t="s">
        <v>506</v>
      </c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</row>
    <row r="155" spans="3:17">
      <c r="C155" s="55"/>
      <c r="D155" s="679" t="s">
        <v>507</v>
      </c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</row>
    <row r="156" spans="3:17">
      <c r="C156" s="55"/>
      <c r="D156" s="679" t="s">
        <v>508</v>
      </c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</row>
    <row r="157" spans="3:17">
      <c r="C157" s="55"/>
      <c r="D157" s="679" t="s">
        <v>509</v>
      </c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</row>
    <row r="158" spans="3:17">
      <c r="C158" s="55"/>
      <c r="D158" s="679" t="s">
        <v>510</v>
      </c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</row>
    <row r="159" spans="3:17">
      <c r="C159" s="55"/>
      <c r="D159" s="679" t="s">
        <v>511</v>
      </c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</row>
    <row r="160" spans="3:17">
      <c r="C160" s="55"/>
      <c r="D160" s="679" t="s">
        <v>512</v>
      </c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</row>
    <row r="161" spans="3:17"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</row>
    <row r="162" spans="3:17"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</row>
    <row r="163" spans="3:17"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</row>
    <row r="164" spans="3:17"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</row>
    <row r="165" spans="3:17"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</row>
    <row r="166" spans="3:17">
      <c r="C166" s="55"/>
      <c r="D166" s="55"/>
      <c r="E166" s="55">
        <f t="shared" ref="E166:P166" si="132">E338+E513</f>
        <v>0</v>
      </c>
      <c r="F166" s="55">
        <f t="shared" si="132"/>
        <v>0</v>
      </c>
      <c r="G166" s="55">
        <f t="shared" si="132"/>
        <v>0</v>
      </c>
      <c r="H166" s="55">
        <f t="shared" si="132"/>
        <v>0</v>
      </c>
      <c r="I166" s="55">
        <f t="shared" si="132"/>
        <v>0</v>
      </c>
      <c r="J166" s="55">
        <f t="shared" si="132"/>
        <v>0</v>
      </c>
      <c r="K166" s="55">
        <f t="shared" si="132"/>
        <v>0</v>
      </c>
      <c r="L166" s="55">
        <f t="shared" si="132"/>
        <v>0</v>
      </c>
      <c r="M166" s="55">
        <f t="shared" si="132"/>
        <v>0</v>
      </c>
      <c r="N166" s="55">
        <f t="shared" si="132"/>
        <v>0</v>
      </c>
      <c r="O166" s="55">
        <f t="shared" si="132"/>
        <v>0</v>
      </c>
      <c r="P166" s="55">
        <f t="shared" si="132"/>
        <v>0</v>
      </c>
      <c r="Q166" s="55">
        <f t="shared" ref="Q166:Q173" si="133">SUM(E166:P166)</f>
        <v>0</v>
      </c>
    </row>
    <row r="167" spans="3:17">
      <c r="C167" s="55"/>
      <c r="D167" s="55"/>
      <c r="E167" s="55">
        <f t="shared" ref="E167:P167" si="134">E339+E514</f>
        <v>0</v>
      </c>
      <c r="F167" s="55">
        <f t="shared" si="134"/>
        <v>0</v>
      </c>
      <c r="G167" s="55">
        <f t="shared" si="134"/>
        <v>0</v>
      </c>
      <c r="H167" s="55">
        <f t="shared" si="134"/>
        <v>0</v>
      </c>
      <c r="I167" s="55">
        <f t="shared" si="134"/>
        <v>0</v>
      </c>
      <c r="J167" s="55">
        <f t="shared" si="134"/>
        <v>0</v>
      </c>
      <c r="K167" s="55">
        <f t="shared" si="134"/>
        <v>0</v>
      </c>
      <c r="L167" s="55">
        <f t="shared" si="134"/>
        <v>0</v>
      </c>
      <c r="M167" s="55">
        <f t="shared" si="134"/>
        <v>0</v>
      </c>
      <c r="N167" s="55">
        <f t="shared" si="134"/>
        <v>0</v>
      </c>
      <c r="O167" s="55">
        <f t="shared" si="134"/>
        <v>0</v>
      </c>
      <c r="P167" s="55">
        <f t="shared" si="134"/>
        <v>0</v>
      </c>
      <c r="Q167" s="55">
        <f t="shared" si="133"/>
        <v>0</v>
      </c>
    </row>
    <row r="168" spans="3:17">
      <c r="C168" s="55"/>
      <c r="D168" s="55"/>
      <c r="E168" s="55">
        <f t="shared" ref="E168:P168" si="135">E340+E515</f>
        <v>0</v>
      </c>
      <c r="F168" s="55">
        <f t="shared" si="135"/>
        <v>0</v>
      </c>
      <c r="G168" s="55">
        <f t="shared" si="135"/>
        <v>0</v>
      </c>
      <c r="H168" s="55">
        <f t="shared" si="135"/>
        <v>0</v>
      </c>
      <c r="I168" s="55">
        <f t="shared" si="135"/>
        <v>0</v>
      </c>
      <c r="J168" s="55">
        <f t="shared" si="135"/>
        <v>0</v>
      </c>
      <c r="K168" s="55">
        <f t="shared" si="135"/>
        <v>0</v>
      </c>
      <c r="L168" s="55">
        <f t="shared" si="135"/>
        <v>0</v>
      </c>
      <c r="M168" s="55">
        <f t="shared" si="135"/>
        <v>0</v>
      </c>
      <c r="N168" s="55">
        <f t="shared" si="135"/>
        <v>0</v>
      </c>
      <c r="O168" s="55">
        <f t="shared" si="135"/>
        <v>0</v>
      </c>
      <c r="P168" s="55">
        <f t="shared" si="135"/>
        <v>0</v>
      </c>
      <c r="Q168" s="55">
        <f t="shared" si="133"/>
        <v>0</v>
      </c>
    </row>
    <row r="169" spans="3:17">
      <c r="C169" s="55"/>
      <c r="D169" s="55"/>
      <c r="E169" s="55">
        <f t="shared" ref="E169:P169" si="136">E341+E516</f>
        <v>0</v>
      </c>
      <c r="F169" s="55">
        <f t="shared" si="136"/>
        <v>0</v>
      </c>
      <c r="G169" s="55">
        <f t="shared" si="136"/>
        <v>0</v>
      </c>
      <c r="H169" s="55">
        <f t="shared" si="136"/>
        <v>0</v>
      </c>
      <c r="I169" s="55">
        <f t="shared" si="136"/>
        <v>0</v>
      </c>
      <c r="J169" s="55">
        <f t="shared" si="136"/>
        <v>0</v>
      </c>
      <c r="K169" s="55">
        <f t="shared" si="136"/>
        <v>0</v>
      </c>
      <c r="L169" s="55">
        <f t="shared" si="136"/>
        <v>0</v>
      </c>
      <c r="M169" s="55">
        <f t="shared" si="136"/>
        <v>0</v>
      </c>
      <c r="N169" s="55">
        <f t="shared" si="136"/>
        <v>0</v>
      </c>
      <c r="O169" s="55">
        <f t="shared" si="136"/>
        <v>0</v>
      </c>
      <c r="P169" s="55">
        <f t="shared" si="136"/>
        <v>0</v>
      </c>
      <c r="Q169" s="55">
        <f t="shared" si="133"/>
        <v>0</v>
      </c>
    </row>
    <row r="170" spans="3:17">
      <c r="C170" s="55"/>
      <c r="D170" s="55"/>
      <c r="E170" s="55">
        <f t="shared" ref="E170:P170" si="137">E342+E517</f>
        <v>0</v>
      </c>
      <c r="F170" s="55">
        <f t="shared" si="137"/>
        <v>0</v>
      </c>
      <c r="G170" s="55">
        <f t="shared" si="137"/>
        <v>0</v>
      </c>
      <c r="H170" s="55">
        <f t="shared" si="137"/>
        <v>0</v>
      </c>
      <c r="I170" s="55">
        <f t="shared" si="137"/>
        <v>0</v>
      </c>
      <c r="J170" s="55">
        <f t="shared" si="137"/>
        <v>0</v>
      </c>
      <c r="K170" s="55">
        <f t="shared" si="137"/>
        <v>0</v>
      </c>
      <c r="L170" s="55">
        <f t="shared" si="137"/>
        <v>0</v>
      </c>
      <c r="M170" s="55">
        <f t="shared" si="137"/>
        <v>0</v>
      </c>
      <c r="N170" s="55">
        <f t="shared" si="137"/>
        <v>0</v>
      </c>
      <c r="O170" s="55">
        <f t="shared" si="137"/>
        <v>0</v>
      </c>
      <c r="P170" s="55">
        <f t="shared" si="137"/>
        <v>0</v>
      </c>
      <c r="Q170" s="55">
        <f t="shared" si="133"/>
        <v>0</v>
      </c>
    </row>
    <row r="171" spans="3:17">
      <c r="C171" s="55"/>
      <c r="D171" s="55"/>
      <c r="E171" s="55">
        <f t="shared" ref="E171:P171" si="138">E343+E518</f>
        <v>0</v>
      </c>
      <c r="F171" s="55">
        <f t="shared" si="138"/>
        <v>0</v>
      </c>
      <c r="G171" s="55">
        <f t="shared" si="138"/>
        <v>0</v>
      </c>
      <c r="H171" s="55">
        <f t="shared" si="138"/>
        <v>0</v>
      </c>
      <c r="I171" s="55">
        <f t="shared" si="138"/>
        <v>0</v>
      </c>
      <c r="J171" s="55">
        <f t="shared" si="138"/>
        <v>0</v>
      </c>
      <c r="K171" s="55">
        <f t="shared" si="138"/>
        <v>0</v>
      </c>
      <c r="L171" s="55">
        <f t="shared" si="138"/>
        <v>0</v>
      </c>
      <c r="M171" s="55">
        <f t="shared" si="138"/>
        <v>0</v>
      </c>
      <c r="N171" s="55">
        <f t="shared" si="138"/>
        <v>0</v>
      </c>
      <c r="O171" s="55">
        <f t="shared" si="138"/>
        <v>0</v>
      </c>
      <c r="P171" s="55">
        <f t="shared" si="138"/>
        <v>0</v>
      </c>
      <c r="Q171" s="55">
        <f t="shared" si="133"/>
        <v>0</v>
      </c>
    </row>
    <row r="172" spans="3:17">
      <c r="C172" s="55"/>
      <c r="D172" s="55"/>
      <c r="E172" s="55">
        <f t="shared" ref="E172:P172" si="139">E344+E519</f>
        <v>0</v>
      </c>
      <c r="F172" s="55">
        <f t="shared" si="139"/>
        <v>0</v>
      </c>
      <c r="G172" s="55">
        <f t="shared" si="139"/>
        <v>0</v>
      </c>
      <c r="H172" s="55">
        <f t="shared" si="139"/>
        <v>0</v>
      </c>
      <c r="I172" s="55">
        <f t="shared" si="139"/>
        <v>0</v>
      </c>
      <c r="J172" s="55">
        <f t="shared" si="139"/>
        <v>0</v>
      </c>
      <c r="K172" s="55">
        <f t="shared" si="139"/>
        <v>0</v>
      </c>
      <c r="L172" s="55">
        <f t="shared" si="139"/>
        <v>0</v>
      </c>
      <c r="M172" s="55">
        <f t="shared" si="139"/>
        <v>0</v>
      </c>
      <c r="N172" s="55">
        <f t="shared" si="139"/>
        <v>0</v>
      </c>
      <c r="O172" s="55">
        <f t="shared" si="139"/>
        <v>0</v>
      </c>
      <c r="P172" s="55">
        <f t="shared" si="139"/>
        <v>0</v>
      </c>
      <c r="Q172" s="55">
        <f t="shared" si="133"/>
        <v>0</v>
      </c>
    </row>
    <row r="173" ht="15" spans="3:17">
      <c r="C173" s="44" t="s">
        <v>424</v>
      </c>
      <c r="D173" s="45"/>
      <c r="E173" s="54">
        <f t="shared" ref="E173:P173" si="140">SUM(E143:E172)</f>
        <v>0</v>
      </c>
      <c r="F173" s="54">
        <f t="shared" si="140"/>
        <v>171.52099112744</v>
      </c>
      <c r="G173" s="54">
        <f t="shared" si="140"/>
        <v>53.7491637073844</v>
      </c>
      <c r="H173" s="54">
        <f t="shared" si="140"/>
        <v>7.09456813598169</v>
      </c>
      <c r="I173" s="54">
        <f t="shared" si="140"/>
        <v>0</v>
      </c>
      <c r="J173" s="54">
        <f t="shared" si="140"/>
        <v>0</v>
      </c>
      <c r="K173" s="54">
        <f t="shared" si="140"/>
        <v>0</v>
      </c>
      <c r="L173" s="54">
        <f t="shared" si="140"/>
        <v>0</v>
      </c>
      <c r="M173" s="54">
        <f t="shared" si="140"/>
        <v>0</v>
      </c>
      <c r="N173" s="54">
        <f t="shared" si="140"/>
        <v>0</v>
      </c>
      <c r="O173" s="54">
        <f t="shared" si="140"/>
        <v>40.1453609557493</v>
      </c>
      <c r="P173" s="54">
        <f t="shared" si="140"/>
        <v>220.083808430724</v>
      </c>
      <c r="Q173" s="54">
        <f t="shared" si="133"/>
        <v>492.593892357279</v>
      </c>
    </row>
    <row r="174" ht="15" spans="3:17">
      <c r="C174" s="663" t="s">
        <v>425</v>
      </c>
      <c r="D174" s="676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</row>
    <row r="175" spans="3:18">
      <c r="C175" s="55" t="s">
        <v>426</v>
      </c>
      <c r="D175" s="55" t="s">
        <v>427</v>
      </c>
      <c r="E175" s="147">
        <f>E522+E347</f>
        <v>83.955887969624</v>
      </c>
      <c r="F175" s="147">
        <f t="shared" ref="F175:P175" si="141">F522+F347</f>
        <v>250.881923638697</v>
      </c>
      <c r="G175" s="147">
        <f t="shared" si="141"/>
        <v>234.45915876922</v>
      </c>
      <c r="H175" s="147">
        <f t="shared" si="141"/>
        <v>130.219508021502</v>
      </c>
      <c r="I175" s="147">
        <f t="shared" si="141"/>
        <v>125.8295658764</v>
      </c>
      <c r="J175" s="147">
        <f t="shared" si="141"/>
        <v>162.268140622832</v>
      </c>
      <c r="K175" s="147">
        <f t="shared" si="141"/>
        <v>90.5351562524773</v>
      </c>
      <c r="L175" s="147">
        <f t="shared" si="141"/>
        <v>157.667650652176</v>
      </c>
      <c r="M175" s="147">
        <f t="shared" si="141"/>
        <v>92.7354800250098</v>
      </c>
      <c r="N175" s="147">
        <f t="shared" si="141"/>
        <v>74.9997274684388</v>
      </c>
      <c r="O175" s="147">
        <f t="shared" si="141"/>
        <v>0</v>
      </c>
      <c r="P175" s="147">
        <f t="shared" si="141"/>
        <v>0</v>
      </c>
      <c r="Q175" s="147">
        <f>SUM(E175:P175)</f>
        <v>1403.55219929638</v>
      </c>
      <c r="R175" s="686"/>
    </row>
    <row r="176" spans="3:17">
      <c r="C176" s="55" t="s">
        <v>426</v>
      </c>
      <c r="D176" s="55" t="s">
        <v>428</v>
      </c>
      <c r="E176" s="147">
        <f>E523+E348</f>
        <v>0</v>
      </c>
      <c r="F176" s="147">
        <f t="shared" ref="F176:P176" si="142">F523+F348</f>
        <v>0</v>
      </c>
      <c r="G176" s="147">
        <f t="shared" si="142"/>
        <v>0</v>
      </c>
      <c r="H176" s="147">
        <f t="shared" si="142"/>
        <v>0</v>
      </c>
      <c r="I176" s="147">
        <f t="shared" si="142"/>
        <v>0</v>
      </c>
      <c r="J176" s="147">
        <f t="shared" si="142"/>
        <v>0</v>
      </c>
      <c r="K176" s="147">
        <f t="shared" si="142"/>
        <v>0</v>
      </c>
      <c r="L176" s="147">
        <f t="shared" si="142"/>
        <v>0</v>
      </c>
      <c r="M176" s="147">
        <f t="shared" si="142"/>
        <v>0</v>
      </c>
      <c r="N176" s="147">
        <f t="shared" si="142"/>
        <v>0</v>
      </c>
      <c r="O176" s="147">
        <f t="shared" si="142"/>
        <v>0</v>
      </c>
      <c r="P176" s="147">
        <f t="shared" si="142"/>
        <v>0</v>
      </c>
      <c r="Q176" s="147">
        <f>SUM(E176:P176)</f>
        <v>0</v>
      </c>
    </row>
    <row r="177" ht="15" spans="3:17">
      <c r="C177" s="44" t="s">
        <v>429</v>
      </c>
      <c r="D177" s="45"/>
      <c r="E177" s="681">
        <f>E175+E176</f>
        <v>83.955887969624</v>
      </c>
      <c r="F177" s="681">
        <f t="shared" ref="F177:P177" si="143">F175+F176</f>
        <v>250.881923638697</v>
      </c>
      <c r="G177" s="681">
        <f t="shared" si="143"/>
        <v>234.45915876922</v>
      </c>
      <c r="H177" s="681">
        <f t="shared" si="143"/>
        <v>130.219508021502</v>
      </c>
      <c r="I177" s="681">
        <f t="shared" si="143"/>
        <v>125.8295658764</v>
      </c>
      <c r="J177" s="681">
        <f t="shared" si="143"/>
        <v>162.268140622832</v>
      </c>
      <c r="K177" s="681">
        <f t="shared" si="143"/>
        <v>90.5351562524773</v>
      </c>
      <c r="L177" s="681">
        <f t="shared" si="143"/>
        <v>157.667650652176</v>
      </c>
      <c r="M177" s="681">
        <f t="shared" si="143"/>
        <v>92.7354800250098</v>
      </c>
      <c r="N177" s="681">
        <f t="shared" si="143"/>
        <v>74.9997274684388</v>
      </c>
      <c r="O177" s="681">
        <f t="shared" si="143"/>
        <v>0</v>
      </c>
      <c r="P177" s="681">
        <f t="shared" si="143"/>
        <v>0</v>
      </c>
      <c r="Q177" s="681">
        <f>SUM(E177:P177)</f>
        <v>1403.55219929638</v>
      </c>
    </row>
    <row r="178" ht="15" spans="3:18">
      <c r="C178" s="44" t="s">
        <v>224</v>
      </c>
      <c r="D178" s="45"/>
      <c r="E178" s="54">
        <f t="shared" ref="E178:Q178" si="144">E50+E96+E105+E115+E141+E173+E177</f>
        <v>3576.34080431986</v>
      </c>
      <c r="F178" s="54">
        <f t="shared" si="144"/>
        <v>3115.88841519332</v>
      </c>
      <c r="G178" s="54">
        <f t="shared" si="144"/>
        <v>3004.83931626668</v>
      </c>
      <c r="H178" s="54">
        <f t="shared" si="144"/>
        <v>2974.86140311586</v>
      </c>
      <c r="I178" s="54">
        <f t="shared" si="144"/>
        <v>3230.57521482215</v>
      </c>
      <c r="J178" s="54">
        <f t="shared" si="144"/>
        <v>3301.15144221565</v>
      </c>
      <c r="K178" s="54">
        <f t="shared" si="144"/>
        <v>3127.49150854556</v>
      </c>
      <c r="L178" s="54">
        <f t="shared" si="144"/>
        <v>3055.06678160312</v>
      </c>
      <c r="M178" s="54">
        <f t="shared" si="144"/>
        <v>3217.14270236152</v>
      </c>
      <c r="N178" s="54">
        <f t="shared" si="144"/>
        <v>3478.77717246529</v>
      </c>
      <c r="O178" s="54">
        <f t="shared" si="144"/>
        <v>3522.79973838239</v>
      </c>
      <c r="P178" s="54">
        <f t="shared" si="144"/>
        <v>4210.18492284816</v>
      </c>
      <c r="Q178" s="681">
        <f t="shared" si="144"/>
        <v>40984.5209471396</v>
      </c>
      <c r="R178" s="686"/>
    </row>
    <row r="180" ht="15" spans="3:10">
      <c r="C180" s="11" t="s">
        <v>513</v>
      </c>
      <c r="J180" s="3"/>
    </row>
    <row r="181" ht="15" spans="3:17">
      <c r="C181" s="14"/>
      <c r="Q181" s="3" t="s">
        <v>109</v>
      </c>
    </row>
    <row r="182" ht="15" spans="3:17">
      <c r="C182" s="658" t="s">
        <v>345</v>
      </c>
      <c r="D182" s="658" t="s">
        <v>346</v>
      </c>
      <c r="E182" s="135" t="s">
        <v>459</v>
      </c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</row>
    <row r="183" ht="15" spans="3:17">
      <c r="C183" s="660"/>
      <c r="D183" s="660"/>
      <c r="E183" s="135" t="s">
        <v>246</v>
      </c>
      <c r="F183" s="135" t="s">
        <v>247</v>
      </c>
      <c r="G183" s="135" t="s">
        <v>248</v>
      </c>
      <c r="H183" s="135" t="s">
        <v>249</v>
      </c>
      <c r="I183" s="135" t="s">
        <v>250</v>
      </c>
      <c r="J183" s="135" t="s">
        <v>251</v>
      </c>
      <c r="K183" s="135" t="s">
        <v>252</v>
      </c>
      <c r="L183" s="135" t="s">
        <v>253</v>
      </c>
      <c r="M183" s="135" t="s">
        <v>254</v>
      </c>
      <c r="N183" s="135" t="s">
        <v>255</v>
      </c>
      <c r="O183" s="135" t="s">
        <v>256</v>
      </c>
      <c r="P183" s="135" t="s">
        <v>257</v>
      </c>
      <c r="Q183" s="135" t="s">
        <v>97</v>
      </c>
    </row>
    <row r="184" spans="3:17">
      <c r="C184" s="662"/>
      <c r="D184" s="662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</row>
    <row r="185" ht="15" spans="2:17">
      <c r="B185" s="656"/>
      <c r="C185" s="663" t="s">
        <v>349</v>
      </c>
      <c r="D185" s="676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</row>
    <row r="186" ht="15" spans="3:17">
      <c r="C186" s="44" t="s">
        <v>350</v>
      </c>
      <c r="D186" s="4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</row>
    <row r="187" spans="2:17">
      <c r="B187" s="656"/>
      <c r="C187" s="689" t="s">
        <v>351</v>
      </c>
      <c r="D187" s="47" t="s">
        <v>352</v>
      </c>
      <c r="E187" s="690">
        <f>'[39]TGSPDCL MoD'!U4+'[39]TGSPDCL MoD'!U5</f>
        <v>29.916243250942</v>
      </c>
      <c r="F187" s="690">
        <f>'[39]TGSPDCL MoD'!V4+'[39]TGSPDCL MoD'!V5</f>
        <v>36.7097234891767</v>
      </c>
      <c r="G187" s="690">
        <f>'[39]TGSPDCL MoD'!W4+'[39]TGSPDCL MoD'!W5</f>
        <v>35.5255388604936</v>
      </c>
      <c r="H187" s="690">
        <f>'[39]TGSPDCL MoD'!X4+'[39]TGSPDCL MoD'!X5</f>
        <v>0</v>
      </c>
      <c r="I187" s="690">
        <f>'[39]TGSPDCL MoD'!Y4+'[39]TGSPDCL MoD'!Y5</f>
        <v>12.1445701768705</v>
      </c>
      <c r="J187" s="690">
        <f>'[39]TGSPDCL MoD'!Z4+'[39]TGSPDCL MoD'!Z5</f>
        <v>24.7074168553048</v>
      </c>
      <c r="K187" s="690">
        <f>'[39]TGSPDCL MoD'!AA4+'[39]TGSPDCL MoD'!AA5</f>
        <v>24.289140353741</v>
      </c>
      <c r="L187" s="690">
        <f>'[39]TGSPDCL MoD'!AB4+'[39]TGSPDCL MoD'!AB5</f>
        <v>29.1149153067203</v>
      </c>
      <c r="M187" s="690">
        <f>'[39]TGSPDCL MoD'!AC4+'[39]TGSPDCL MoD'!AC5</f>
        <v>26.5456266872792</v>
      </c>
      <c r="N187" s="690">
        <f>'[39]TGSPDCL MoD'!AD4+'[39]TGSPDCL MoD'!AD5</f>
        <v>26.4647270072607</v>
      </c>
      <c r="O187" s="690">
        <f>'[39]TGSPDCL MoD'!AE4+'[39]TGSPDCL MoD'!AE5</f>
        <v>28.2181300258173</v>
      </c>
      <c r="P187" s="690">
        <f>'[39]TGSPDCL MoD'!AF4+'[39]TGSPDCL MoD'!AF5</f>
        <v>33.3975679863939</v>
      </c>
      <c r="Q187" s="690">
        <f t="shared" ref="Q187:Q205" si="145">SUM(E187:P187)</f>
        <v>307.0336</v>
      </c>
    </row>
    <row r="188" spans="2:17">
      <c r="B188" s="656"/>
      <c r="C188" s="691"/>
      <c r="D188" s="47" t="s">
        <v>353</v>
      </c>
      <c r="E188" s="690">
        <f>'[39]TGSPDCL MoD'!U6</f>
        <v>38.2660428104153</v>
      </c>
      <c r="F188" s="690">
        <f>'[39]TGSPDCL MoD'!V6</f>
        <v>0</v>
      </c>
      <c r="G188" s="690">
        <f>'[39]TGSPDCL MoD'!W6</f>
        <v>22.8184547672565</v>
      </c>
      <c r="H188" s="690">
        <f>'[39]TGSPDCL MoD'!X6</f>
        <v>34.6751028325956</v>
      </c>
      <c r="I188" s="690">
        <f>'[39]TGSPDCL MoD'!Y6</f>
        <v>30.5140904926841</v>
      </c>
      <c r="J188" s="690">
        <f>'[39]TGSPDCL MoD'!Z6</f>
        <v>31.5431580606192</v>
      </c>
      <c r="K188" s="690">
        <f>'[39]TGSPDCL MoD'!AA6</f>
        <v>30.5140904926841</v>
      </c>
      <c r="L188" s="690">
        <f>'[39]TGSPDCL MoD'!AB6</f>
        <v>43.4211258670068</v>
      </c>
      <c r="M188" s="690">
        <f>'[39]TGSPDCL MoD'!AC6</f>
        <v>34.7192242591754</v>
      </c>
      <c r="N188" s="690">
        <f>'[39]TGSPDCL MoD'!AD6</f>
        <v>37.172262680801</v>
      </c>
      <c r="O188" s="690">
        <f>'[39]TGSPDCL MoD'!AE6</f>
        <v>36.9569483093212</v>
      </c>
      <c r="P188" s="690">
        <f>'[39]TGSPDCL MoD'!AF6</f>
        <v>41.9568744274407</v>
      </c>
      <c r="Q188" s="690">
        <f t="shared" si="145"/>
        <v>382.557375</v>
      </c>
    </row>
    <row r="189" spans="2:17">
      <c r="B189" s="656"/>
      <c r="C189" s="691"/>
      <c r="D189" s="47" t="s">
        <v>354</v>
      </c>
      <c r="E189" s="690">
        <f>'[39]TGSPDCL MoD'!U7</f>
        <v>105.613284670543</v>
      </c>
      <c r="F189" s="690">
        <f>'[39]TGSPDCL MoD'!V7</f>
        <v>0</v>
      </c>
      <c r="G189" s="690">
        <f>'[39]TGSPDCL MoD'!W7</f>
        <v>59.655703007559</v>
      </c>
      <c r="H189" s="690">
        <f>'[39]TGSPDCL MoD'!X7</f>
        <v>96.8727181552914</v>
      </c>
      <c r="I189" s="690">
        <f>'[39]TGSPDCL MoD'!Y7</f>
        <v>81.2977733129368</v>
      </c>
      <c r="J189" s="690">
        <f>'[39]TGSPDCL MoD'!Z7</f>
        <v>85.5987994998777</v>
      </c>
      <c r="K189" s="690">
        <f>'[39]TGSPDCL MoD'!AA7</f>
        <v>79.774881276775</v>
      </c>
      <c r="L189" s="690">
        <f>'[39]TGSPDCL MoD'!AB7</f>
        <v>119.005211002135</v>
      </c>
      <c r="M189" s="690">
        <f>'[39]TGSPDCL MoD'!AC7</f>
        <v>104.162702100729</v>
      </c>
      <c r="N189" s="690">
        <f>'[39]TGSPDCL MoD'!AD7</f>
        <v>101.531667079532</v>
      </c>
      <c r="O189" s="690">
        <f>'[39]TGSPDCL MoD'!AE7</f>
        <v>96.6188444789093</v>
      </c>
      <c r="P189" s="690">
        <f>'[39]TGSPDCL MoD'!AF7</f>
        <v>110.008230415712</v>
      </c>
      <c r="Q189" s="690">
        <f t="shared" si="145"/>
        <v>1040.139815</v>
      </c>
    </row>
    <row r="190" spans="2:17">
      <c r="B190" s="656"/>
      <c r="C190" s="691"/>
      <c r="D190" s="47" t="s">
        <v>355</v>
      </c>
      <c r="E190" s="690">
        <f>'[39]TGSPDCL MoD'!U8</f>
        <v>9.53451572428177</v>
      </c>
      <c r="F190" s="690">
        <f>'[39]TGSPDCL MoD'!V8</f>
        <v>0</v>
      </c>
      <c r="G190" s="690">
        <f>'[39]TGSPDCL MoD'!W8</f>
        <v>5.72094356692164</v>
      </c>
      <c r="H190" s="690">
        <f>'[39]TGSPDCL MoD'!X8</f>
        <v>8.35630554085694</v>
      </c>
      <c r="I190" s="690">
        <f>'[39]TGSPDCL MoD'!Y8</f>
        <v>7.82292433612138</v>
      </c>
      <c r="J190" s="690">
        <f>'[39]TGSPDCL MoD'!Z8</f>
        <v>7.82865961789273</v>
      </c>
      <c r="K190" s="690">
        <f>'[39]TGSPDCL MoD'!AA8</f>
        <v>7.82292433612138</v>
      </c>
      <c r="L190" s="690">
        <f>'[39]TGSPDCL MoD'!AB8</f>
        <v>9.1190980164465</v>
      </c>
      <c r="M190" s="690">
        <f>'[39]TGSPDCL MoD'!AC8</f>
        <v>8.35630554085694</v>
      </c>
      <c r="N190" s="690">
        <f>'[39]TGSPDCL MoD'!AD8</f>
        <v>8.35630554085694</v>
      </c>
      <c r="O190" s="690">
        <f>'[39]TGSPDCL MoD'!AE8</f>
        <v>8.99292181747681</v>
      </c>
      <c r="P190" s="690">
        <f>'[39]TGSPDCL MoD'!AF8</f>
        <v>10.7565209621669</v>
      </c>
      <c r="Q190" s="690">
        <f t="shared" si="145"/>
        <v>92.6674249999999</v>
      </c>
    </row>
    <row r="191" spans="2:17">
      <c r="B191" s="656"/>
      <c r="C191" s="691"/>
      <c r="D191" s="47" t="s">
        <v>356</v>
      </c>
      <c r="E191" s="690">
        <f>'[39]TGSPDCL MoD'!U9</f>
        <v>33.3705950027634</v>
      </c>
      <c r="F191" s="690">
        <f>'[39]TGSPDCL MoD'!V9</f>
        <v>33.7387118780937</v>
      </c>
      <c r="G191" s="690">
        <f>'[39]TGSPDCL MoD'!W9</f>
        <v>32.6503663336391</v>
      </c>
      <c r="H191" s="690">
        <f>'[39]TGSPDCL MoD'!X9</f>
        <v>33.8602378175418</v>
      </c>
      <c r="I191" s="690">
        <f>'[39]TGSPDCL MoD'!Y9</f>
        <v>27.7848215466654</v>
      </c>
      <c r="J191" s="690">
        <f>'[39]TGSPDCL MoD'!Z9</f>
        <v>29.441973157896</v>
      </c>
      <c r="K191" s="690">
        <f>'[39]TGSPDCL MoD'!AA9</f>
        <v>0</v>
      </c>
      <c r="L191" s="690">
        <f>'[39]TGSPDCL MoD'!AB9</f>
        <v>16.9692879376344</v>
      </c>
      <c r="M191" s="690">
        <f>'[39]TGSPDCL MoD'!AC9</f>
        <v>32.9944755866652</v>
      </c>
      <c r="N191" s="690">
        <f>'[39]TGSPDCL MoD'!AD9</f>
        <v>30.017530420951</v>
      </c>
      <c r="O191" s="690">
        <f>'[39]TGSPDCL MoD'!AE9</f>
        <v>29.1292483956976</v>
      </c>
      <c r="P191" s="690">
        <f>'[39]TGSPDCL MoD'!AF9</f>
        <v>35.4656719224523</v>
      </c>
      <c r="Q191" s="690">
        <f t="shared" si="145"/>
        <v>335.42292</v>
      </c>
    </row>
    <row r="192" spans="2:17">
      <c r="B192" s="656"/>
      <c r="C192" s="691"/>
      <c r="D192" s="47" t="s">
        <v>357</v>
      </c>
      <c r="E192" s="690">
        <f>'[39]TGSPDCL MoD'!U10</f>
        <v>59.3807229493604</v>
      </c>
      <c r="F192" s="690">
        <f>'[39]TGSPDCL MoD'!V10</f>
        <v>58.9886781037032</v>
      </c>
      <c r="G192" s="690">
        <f>'[39]TGSPDCL MoD'!W10</f>
        <v>59.3807229493604</v>
      </c>
      <c r="H192" s="690">
        <f>'[39]TGSPDCL MoD'!X10</f>
        <v>62.656420107365</v>
      </c>
      <c r="I192" s="690">
        <f>'[39]TGSPDCL MoD'!Y10</f>
        <v>50.9893625701315</v>
      </c>
      <c r="J192" s="690">
        <f>'[39]TGSPDCL MoD'!Z10</f>
        <v>56.6370769978377</v>
      </c>
      <c r="K192" s="690">
        <f>'[39]TGSPDCL MoD'!AA10</f>
        <v>48.396683117413</v>
      </c>
      <c r="L192" s="690">
        <f>'[39]TGSPDCL MoD'!AB10</f>
        <v>0</v>
      </c>
      <c r="M192" s="690">
        <f>'[39]TGSPDCL MoD'!AC10</f>
        <v>30.331906020154</v>
      </c>
      <c r="N192" s="690">
        <f>'[39]TGSPDCL MoD'!AD10</f>
        <v>56.1747214755686</v>
      </c>
      <c r="O192" s="690">
        <f>'[39]TGSPDCL MoD'!AE10</f>
        <v>51.9093456017414</v>
      </c>
      <c r="P192" s="690">
        <f>'[39]TGSPDCL MoD'!AF10</f>
        <v>62.656420107365</v>
      </c>
      <c r="Q192" s="690">
        <f t="shared" si="145"/>
        <v>597.50206</v>
      </c>
    </row>
    <row r="193" spans="2:17">
      <c r="B193" s="656"/>
      <c r="C193" s="691"/>
      <c r="D193" s="47" t="s">
        <v>358</v>
      </c>
      <c r="E193" s="690">
        <f>SUM('[39]TGSPDCL MoD'!U11:U14)</f>
        <v>147.133731269233</v>
      </c>
      <c r="F193" s="690">
        <f>SUM('[39]TGSPDCL MoD'!V11:V14)</f>
        <v>73.1752231091365</v>
      </c>
      <c r="G193" s="690">
        <f>SUM('[39]TGSPDCL MoD'!W11:W14)</f>
        <v>109.090817753977</v>
      </c>
      <c r="H193" s="690">
        <f>SUM('[39]TGSPDCL MoD'!X11:X14)</f>
        <v>152.965949102233</v>
      </c>
      <c r="I193" s="690">
        <f>SUM('[39]TGSPDCL MoD'!Y11:Y14)</f>
        <v>109.753260660849</v>
      </c>
      <c r="J193" s="690">
        <f>SUM('[39]TGSPDCL MoD'!Z11:Z14)</f>
        <v>100.026392398155</v>
      </c>
      <c r="K193" s="690">
        <f>SUM('[39]TGSPDCL MoD'!AA11:AA14)</f>
        <v>118.433730869317</v>
      </c>
      <c r="L193" s="690">
        <f>SUM('[39]TGSPDCL MoD'!AB11:AB14)</f>
        <v>111.188320089901</v>
      </c>
      <c r="M193" s="690">
        <f>SUM('[39]TGSPDCL MoD'!AC11:AC14)</f>
        <v>127.600555277086</v>
      </c>
      <c r="N193" s="690">
        <f>SUM('[39]TGSPDCL MoD'!AD11:AD14)</f>
        <v>134.738210269936</v>
      </c>
      <c r="O193" s="690">
        <f>SUM('[39]TGSPDCL MoD'!AE11:AE14)</f>
        <v>127.159479986311</v>
      </c>
      <c r="P193" s="690">
        <f>SUM('[39]TGSPDCL MoD'!AF11:AF14)</f>
        <v>157.027984213865</v>
      </c>
      <c r="Q193" s="690">
        <f t="shared" si="145"/>
        <v>1468.293655</v>
      </c>
    </row>
    <row r="194" spans="2:17">
      <c r="B194" s="656"/>
      <c r="C194" s="691"/>
      <c r="D194" s="47" t="s">
        <v>359</v>
      </c>
      <c r="E194" s="690">
        <f>SUM('[39]TGSPDCL MoD'!U15:U19)</f>
        <v>472.968172237485</v>
      </c>
      <c r="F194" s="690">
        <f>SUM('[39]TGSPDCL MoD'!V15:V19)</f>
        <v>285.873409900434</v>
      </c>
      <c r="G194" s="690">
        <f>SUM('[39]TGSPDCL MoD'!W15:W19)</f>
        <v>280.448191539562</v>
      </c>
      <c r="H194" s="690">
        <f>SUM('[39]TGSPDCL MoD'!X15:X19)</f>
        <v>304.869309132748</v>
      </c>
      <c r="I194" s="690">
        <f>SUM('[39]TGSPDCL MoD'!Y15:Y19)</f>
        <v>426.121795597554</v>
      </c>
      <c r="J194" s="690">
        <f>SUM('[39]TGSPDCL MoD'!Z15:Z19)</f>
        <v>479.524696774893</v>
      </c>
      <c r="K194" s="690">
        <f>SUM('[39]TGSPDCL MoD'!AA15:AA19)</f>
        <v>433.562807668522</v>
      </c>
      <c r="L194" s="690">
        <f>SUM('[39]TGSPDCL MoD'!AB15:AB19)</f>
        <v>374.817117348794</v>
      </c>
      <c r="M194" s="690">
        <f>SUM('[39]TGSPDCL MoD'!AC15:AC19)</f>
        <v>435.220982744193</v>
      </c>
      <c r="N194" s="690">
        <f>SUM('[39]TGSPDCL MoD'!AD15:AD19)</f>
        <v>480.846412041082</v>
      </c>
      <c r="O194" s="690">
        <f>SUM('[39]TGSPDCL MoD'!AE15:AE19)</f>
        <v>441.784241461739</v>
      </c>
      <c r="P194" s="690">
        <f>SUM('[39]TGSPDCL MoD'!AF15:AF19)</f>
        <v>527.976353579297</v>
      </c>
      <c r="Q194" s="690">
        <f t="shared" si="145"/>
        <v>4944.0134900263</v>
      </c>
    </row>
    <row r="195" spans="2:17">
      <c r="B195" s="656"/>
      <c r="C195" s="691"/>
      <c r="D195" s="679"/>
      <c r="E195" s="690"/>
      <c r="F195" s="690"/>
      <c r="G195" s="690"/>
      <c r="H195" s="690"/>
      <c r="I195" s="690"/>
      <c r="J195" s="690"/>
      <c r="K195" s="690"/>
      <c r="L195" s="690"/>
      <c r="M195" s="690"/>
      <c r="N195" s="690"/>
      <c r="O195" s="690"/>
      <c r="P195" s="690"/>
      <c r="Q195" s="690">
        <f t="shared" si="145"/>
        <v>0</v>
      </c>
    </row>
    <row r="196" spans="2:17">
      <c r="B196" s="656"/>
      <c r="C196" s="691"/>
      <c r="D196" s="47"/>
      <c r="E196" s="690"/>
      <c r="F196" s="690"/>
      <c r="G196" s="690"/>
      <c r="H196" s="690"/>
      <c r="I196" s="690"/>
      <c r="J196" s="690"/>
      <c r="K196" s="690"/>
      <c r="L196" s="690"/>
      <c r="M196" s="690"/>
      <c r="N196" s="690"/>
      <c r="O196" s="690"/>
      <c r="P196" s="690"/>
      <c r="Q196" s="690">
        <f t="shared" si="145"/>
        <v>0</v>
      </c>
    </row>
    <row r="197" spans="2:17">
      <c r="B197" s="656"/>
      <c r="C197" s="691"/>
      <c r="D197" s="47"/>
      <c r="E197" s="690"/>
      <c r="F197" s="690"/>
      <c r="G197" s="690"/>
      <c r="H197" s="690"/>
      <c r="I197" s="690"/>
      <c r="J197" s="690"/>
      <c r="K197" s="690"/>
      <c r="L197" s="690"/>
      <c r="M197" s="690"/>
      <c r="N197" s="690"/>
      <c r="O197" s="690"/>
      <c r="P197" s="690"/>
      <c r="Q197" s="690">
        <f t="shared" si="145"/>
        <v>0</v>
      </c>
    </row>
    <row r="198" spans="2:17">
      <c r="B198" s="656"/>
      <c r="C198" s="691"/>
      <c r="D198" s="47"/>
      <c r="E198" s="690"/>
      <c r="F198" s="690"/>
      <c r="G198" s="690"/>
      <c r="H198" s="690"/>
      <c r="I198" s="690"/>
      <c r="J198" s="690"/>
      <c r="K198" s="690"/>
      <c r="L198" s="690"/>
      <c r="M198" s="690"/>
      <c r="N198" s="690"/>
      <c r="O198" s="690"/>
      <c r="P198" s="690"/>
      <c r="Q198" s="690">
        <f t="shared" si="145"/>
        <v>0</v>
      </c>
    </row>
    <row r="199" spans="2:17">
      <c r="B199" s="656"/>
      <c r="C199" s="691"/>
      <c r="D199" s="47"/>
      <c r="E199" s="690"/>
      <c r="F199" s="690"/>
      <c r="G199" s="690"/>
      <c r="H199" s="690"/>
      <c r="I199" s="690"/>
      <c r="J199" s="690"/>
      <c r="K199" s="690"/>
      <c r="L199" s="690"/>
      <c r="M199" s="690"/>
      <c r="N199" s="690"/>
      <c r="O199" s="690"/>
      <c r="P199" s="690"/>
      <c r="Q199" s="690">
        <f t="shared" si="145"/>
        <v>0</v>
      </c>
    </row>
    <row r="200" spans="2:17">
      <c r="B200" s="656"/>
      <c r="C200" s="691"/>
      <c r="D200" s="47"/>
      <c r="E200" s="690"/>
      <c r="F200" s="690"/>
      <c r="G200" s="690"/>
      <c r="H200" s="690"/>
      <c r="I200" s="690"/>
      <c r="J200" s="690"/>
      <c r="K200" s="690"/>
      <c r="L200" s="690"/>
      <c r="M200" s="690"/>
      <c r="N200" s="690"/>
      <c r="O200" s="690"/>
      <c r="P200" s="690"/>
      <c r="Q200" s="690">
        <f t="shared" si="145"/>
        <v>0</v>
      </c>
    </row>
    <row r="201" spans="2:17">
      <c r="B201" s="656"/>
      <c r="C201" s="691"/>
      <c r="D201" s="47"/>
      <c r="E201" s="690"/>
      <c r="F201" s="690"/>
      <c r="G201" s="690"/>
      <c r="H201" s="690"/>
      <c r="I201" s="690"/>
      <c r="J201" s="690"/>
      <c r="K201" s="690"/>
      <c r="L201" s="690"/>
      <c r="M201" s="690"/>
      <c r="N201" s="690"/>
      <c r="O201" s="690"/>
      <c r="P201" s="690"/>
      <c r="Q201" s="690">
        <f t="shared" si="145"/>
        <v>0</v>
      </c>
    </row>
    <row r="202" spans="2:17">
      <c r="B202" s="656"/>
      <c r="C202" s="691"/>
      <c r="D202" s="47"/>
      <c r="E202" s="690"/>
      <c r="F202" s="690"/>
      <c r="G202" s="690"/>
      <c r="H202" s="690"/>
      <c r="I202" s="690"/>
      <c r="J202" s="690"/>
      <c r="K202" s="690"/>
      <c r="L202" s="690"/>
      <c r="M202" s="690"/>
      <c r="N202" s="690"/>
      <c r="O202" s="690"/>
      <c r="P202" s="690"/>
      <c r="Q202" s="690">
        <f t="shared" si="145"/>
        <v>0</v>
      </c>
    </row>
    <row r="203" spans="2:17">
      <c r="B203" s="656"/>
      <c r="C203" s="691"/>
      <c r="D203" s="47"/>
      <c r="E203" s="690"/>
      <c r="F203" s="690"/>
      <c r="G203" s="690"/>
      <c r="H203" s="690"/>
      <c r="I203" s="690"/>
      <c r="J203" s="690"/>
      <c r="K203" s="690"/>
      <c r="L203" s="690"/>
      <c r="M203" s="690"/>
      <c r="N203" s="690"/>
      <c r="O203" s="690"/>
      <c r="P203" s="690"/>
      <c r="Q203" s="690">
        <f t="shared" si="145"/>
        <v>0</v>
      </c>
    </row>
    <row r="204" spans="2:17">
      <c r="B204" s="656"/>
      <c r="C204" s="692"/>
      <c r="D204" s="47"/>
      <c r="E204" s="690"/>
      <c r="F204" s="690"/>
      <c r="G204" s="690"/>
      <c r="H204" s="690"/>
      <c r="I204" s="690"/>
      <c r="J204" s="690"/>
      <c r="K204" s="690"/>
      <c r="L204" s="690"/>
      <c r="M204" s="690"/>
      <c r="N204" s="690"/>
      <c r="O204" s="690"/>
      <c r="P204" s="690"/>
      <c r="Q204" s="690">
        <f t="shared" si="145"/>
        <v>0</v>
      </c>
    </row>
    <row r="205" ht="15" spans="3:18">
      <c r="C205" s="537" t="s">
        <v>211</v>
      </c>
      <c r="D205" s="540"/>
      <c r="E205" s="690">
        <f t="shared" ref="E205:P205" si="146">SUM(E187:E204)</f>
        <v>896.183307915024</v>
      </c>
      <c r="F205" s="690">
        <f t="shared" si="146"/>
        <v>488.485746480544</v>
      </c>
      <c r="G205" s="690">
        <f t="shared" si="146"/>
        <v>605.29073877877</v>
      </c>
      <c r="H205" s="690">
        <f t="shared" si="146"/>
        <v>694.256042688632</v>
      </c>
      <c r="I205" s="690">
        <f t="shared" si="146"/>
        <v>746.428598693813</v>
      </c>
      <c r="J205" s="690">
        <f t="shared" si="146"/>
        <v>815.308173362475</v>
      </c>
      <c r="K205" s="690">
        <f t="shared" si="146"/>
        <v>742.794258114574</v>
      </c>
      <c r="L205" s="690">
        <f t="shared" si="146"/>
        <v>703.635075568638</v>
      </c>
      <c r="M205" s="690">
        <f t="shared" si="146"/>
        <v>799.931778216138</v>
      </c>
      <c r="N205" s="690">
        <f t="shared" si="146"/>
        <v>875.301836515989</v>
      </c>
      <c r="O205" s="690">
        <f t="shared" si="146"/>
        <v>820.769160077014</v>
      </c>
      <c r="P205" s="690">
        <f t="shared" si="146"/>
        <v>979.245623614692</v>
      </c>
      <c r="Q205" s="693">
        <f t="shared" si="145"/>
        <v>9167.6303400263</v>
      </c>
      <c r="R205" s="686"/>
    </row>
    <row r="206" ht="15" spans="3:17">
      <c r="C206" s="44" t="s">
        <v>360</v>
      </c>
      <c r="D206" s="4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</row>
    <row r="207" spans="3:17">
      <c r="C207" s="682" t="s">
        <v>351</v>
      </c>
      <c r="D207" s="55" t="s">
        <v>361</v>
      </c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>
        <f t="shared" ref="Q207:Q217" si="147">SUM(E207:P207)</f>
        <v>0</v>
      </c>
    </row>
    <row r="208" spans="3:17">
      <c r="C208" s="683"/>
      <c r="D208" s="55" t="s">
        <v>362</v>
      </c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>
        <f t="shared" si="147"/>
        <v>0</v>
      </c>
    </row>
    <row r="209" spans="3:17">
      <c r="C209" s="683"/>
      <c r="D209" s="55" t="s">
        <v>363</v>
      </c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>
        <f t="shared" si="147"/>
        <v>0</v>
      </c>
    </row>
    <row r="210" spans="3:17">
      <c r="C210" s="683"/>
      <c r="D210" s="55" t="s">
        <v>364</v>
      </c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>
        <f t="shared" si="147"/>
        <v>0</v>
      </c>
    </row>
    <row r="211" spans="3:17">
      <c r="C211" s="683"/>
      <c r="D211" s="55" t="s">
        <v>365</v>
      </c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>
        <f t="shared" si="147"/>
        <v>0</v>
      </c>
    </row>
    <row r="212" spans="3:17">
      <c r="C212" s="683"/>
      <c r="D212" s="55" t="s">
        <v>366</v>
      </c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>
        <f t="shared" si="147"/>
        <v>0</v>
      </c>
    </row>
    <row r="213" spans="3:17">
      <c r="C213" s="683"/>
      <c r="D213" s="55" t="s">
        <v>367</v>
      </c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>
        <f t="shared" si="147"/>
        <v>0</v>
      </c>
    </row>
    <row r="214" spans="3:17">
      <c r="C214" s="683"/>
      <c r="D214" s="55" t="s">
        <v>368</v>
      </c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>
        <f t="shared" si="147"/>
        <v>0</v>
      </c>
    </row>
    <row r="215" spans="3:17">
      <c r="C215" s="683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>
        <f t="shared" si="147"/>
        <v>0</v>
      </c>
    </row>
    <row r="216" spans="3:17">
      <c r="C216" s="683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>
        <f t="shared" si="147"/>
        <v>0</v>
      </c>
    </row>
    <row r="217" spans="3:17">
      <c r="C217" s="683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>
        <f t="shared" si="147"/>
        <v>0</v>
      </c>
    </row>
    <row r="218" spans="3:17">
      <c r="C218" s="683"/>
      <c r="D218" s="679" t="s">
        <v>493</v>
      </c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>
        <f>'[39]PP summary'!$G$59+'[39]PP summary'!$G$60</f>
        <v>1169.401525</v>
      </c>
    </row>
    <row r="219" spans="3:17">
      <c r="C219" s="683"/>
      <c r="D219" s="679" t="s">
        <v>494</v>
      </c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>
        <f t="shared" ref="Q219:Q224" si="148">SUM(E219:P219)</f>
        <v>0</v>
      </c>
    </row>
    <row r="220" spans="3:17">
      <c r="C220" s="683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>
        <f t="shared" si="148"/>
        <v>0</v>
      </c>
    </row>
    <row r="221" spans="3:17">
      <c r="C221" s="683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>
        <f t="shared" si="148"/>
        <v>0</v>
      </c>
    </row>
    <row r="222" spans="3:17">
      <c r="C222" s="683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>
        <f t="shared" si="148"/>
        <v>0</v>
      </c>
    </row>
    <row r="223" spans="3:17">
      <c r="C223" s="683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>
        <f t="shared" si="148"/>
        <v>0</v>
      </c>
    </row>
    <row r="224" spans="3:17">
      <c r="C224" s="684"/>
      <c r="D224" s="67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>
        <f t="shared" si="148"/>
        <v>0</v>
      </c>
    </row>
    <row r="225" ht="15" spans="3:18">
      <c r="C225" s="537" t="s">
        <v>211</v>
      </c>
      <c r="D225" s="540"/>
      <c r="E225" s="147">
        <f>SUM('[39]TGSPDCL MoD'!U57:U96)</f>
        <v>41.3918372399234</v>
      </c>
      <c r="F225" s="147">
        <f>SUM('[39]TGSPDCL MoD'!V57:V96)</f>
        <v>44.3541841336211</v>
      </c>
      <c r="G225" s="147">
        <f>SUM('[39]TGSPDCL MoD'!W57:W96)</f>
        <v>45.9530825814396</v>
      </c>
      <c r="H225" s="147">
        <f>SUM('[39]TGSPDCL MoD'!X57:X96)</f>
        <v>100.463820304008</v>
      </c>
      <c r="I225" s="147">
        <f>SUM('[39]TGSPDCL MoD'!Y57:Y96)</f>
        <v>235.870710295683</v>
      </c>
      <c r="J225" s="147">
        <f>SUM('[39]TGSPDCL MoD'!Z57:Z96)</f>
        <v>119.130362948301</v>
      </c>
      <c r="K225" s="147">
        <f>SUM('[39]TGSPDCL MoD'!AA57:AA96)</f>
        <v>131.31179443982</v>
      </c>
      <c r="L225" s="147">
        <f>SUM('[39]TGSPDCL MoD'!AB57:AB96)</f>
        <v>45.0372313192359</v>
      </c>
      <c r="M225" s="147">
        <f>SUM('[39]TGSPDCL MoD'!AC57:AC96)</f>
        <v>77.2615950699357</v>
      </c>
      <c r="N225" s="147">
        <f>SUM('[39]TGSPDCL MoD'!AD57:AD96)</f>
        <v>147.425751679199</v>
      </c>
      <c r="O225" s="147">
        <f>SUM('[39]TGSPDCL MoD'!AE57:AE96)</f>
        <v>132.404806487304</v>
      </c>
      <c r="P225" s="147">
        <f>SUM('[39]TGSPDCL MoD'!AF57:AF96)</f>
        <v>61.502403501529</v>
      </c>
      <c r="Q225" s="316">
        <f>SUM(E225:P225)+Q218</f>
        <v>2351.509105</v>
      </c>
      <c r="R225" s="686"/>
    </row>
    <row r="226" ht="15" spans="3:18">
      <c r="C226" s="44" t="s">
        <v>369</v>
      </c>
      <c r="D226" s="45"/>
      <c r="E226" s="55">
        <f t="shared" ref="E226:Q226" si="149">E205+E225</f>
        <v>937.575145154948</v>
      </c>
      <c r="F226" s="55">
        <f t="shared" si="149"/>
        <v>532.839930614166</v>
      </c>
      <c r="G226" s="55">
        <f t="shared" si="149"/>
        <v>651.243821360209</v>
      </c>
      <c r="H226" s="55">
        <f t="shared" si="149"/>
        <v>794.719862992639</v>
      </c>
      <c r="I226" s="55">
        <f t="shared" si="149"/>
        <v>982.299308989496</v>
      </c>
      <c r="J226" s="55">
        <f t="shared" si="149"/>
        <v>934.438536310776</v>
      </c>
      <c r="K226" s="55">
        <f t="shared" si="149"/>
        <v>874.106052554395</v>
      </c>
      <c r="L226" s="55">
        <f t="shared" si="149"/>
        <v>748.672306887874</v>
      </c>
      <c r="M226" s="55">
        <f t="shared" si="149"/>
        <v>877.193373286074</v>
      </c>
      <c r="N226" s="55">
        <f t="shared" si="149"/>
        <v>1022.72758819519</v>
      </c>
      <c r="O226" s="55">
        <f t="shared" si="149"/>
        <v>953.173966564318</v>
      </c>
      <c r="P226" s="55">
        <f t="shared" si="149"/>
        <v>1040.74802711622</v>
      </c>
      <c r="Q226" s="316">
        <f t="shared" si="149"/>
        <v>11519.1394450263</v>
      </c>
      <c r="R226" s="686"/>
    </row>
    <row r="227" ht="15" spans="3:17">
      <c r="C227" s="663" t="s">
        <v>370</v>
      </c>
      <c r="D227" s="676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</row>
    <row r="228" ht="15" spans="3:17">
      <c r="C228" s="44" t="s">
        <v>350</v>
      </c>
      <c r="D228" s="4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</row>
    <row r="229" spans="3:17">
      <c r="C229" s="682" t="s">
        <v>371</v>
      </c>
      <c r="D229" s="55" t="s">
        <v>372</v>
      </c>
      <c r="E229" s="147">
        <f>SUM('[39]TGSPDCL MoD'!U25:U30)</f>
        <v>12.9431766119388</v>
      </c>
      <c r="F229" s="147">
        <f>SUM('[39]TGSPDCL MoD'!V25:V30)</f>
        <v>17.4661827153928</v>
      </c>
      <c r="G229" s="147">
        <f>SUM('[39]TGSPDCL MoD'!W25:W30)</f>
        <v>17.8446076160006</v>
      </c>
      <c r="H229" s="147">
        <f>SUM('[39]TGSPDCL MoD'!X25:X30)</f>
        <v>12.9109571948044</v>
      </c>
      <c r="I229" s="147">
        <f>SUM('[39]TGSPDCL MoD'!Y25:Y30)</f>
        <v>11.2497375308</v>
      </c>
      <c r="J229" s="147">
        <f>SUM('[39]TGSPDCL MoD'!Z25:Z30)</f>
        <v>11.7565633772742</v>
      </c>
      <c r="K229" s="147">
        <f>SUM('[39]TGSPDCL MoD'!AA25:AA30)</f>
        <v>11.2497375308</v>
      </c>
      <c r="L229" s="147">
        <f>SUM('[39]TGSPDCL MoD'!AB25:AB30)</f>
        <v>16.151532645982</v>
      </c>
      <c r="M229" s="147">
        <f>SUM('[39]TGSPDCL MoD'!AC25:AC30)</f>
        <v>9.74374359879901</v>
      </c>
      <c r="N229" s="147">
        <f>SUM('[39]TGSPDCL MoD'!AD25:AD30)</f>
        <v>10.2624092720573</v>
      </c>
      <c r="O229" s="147">
        <f>SUM('[39]TGSPDCL MoD'!AE25:AE30)</f>
        <v>13.4897214980113</v>
      </c>
      <c r="P229" s="147">
        <f>SUM('[39]TGSPDCL MoD'!AF25:AF30)</f>
        <v>16.1926496389088</v>
      </c>
      <c r="Q229" s="147">
        <f t="shared" ref="Q229:Q255" si="150">SUM(E229:P229)</f>
        <v>161.261019230769</v>
      </c>
    </row>
    <row r="230" spans="3:17">
      <c r="C230" s="683"/>
      <c r="D230" s="55" t="s">
        <v>373</v>
      </c>
      <c r="E230" s="147">
        <f>'[39]TGSPDCL MoD'!U31</f>
        <v>3.63274486216121</v>
      </c>
      <c r="F230" s="147">
        <f>'[39]TGSPDCL MoD'!V31</f>
        <v>4.43931951851351</v>
      </c>
      <c r="G230" s="147">
        <f>'[39]TGSPDCL MoD'!W31</f>
        <v>4.29611566307759</v>
      </c>
      <c r="H230" s="147">
        <f>'[39]TGSPDCL MoD'!X31</f>
        <v>0</v>
      </c>
      <c r="I230" s="147">
        <f>'[39]TGSPDCL MoD'!Y31</f>
        <v>1.43625043246025</v>
      </c>
      <c r="J230" s="147">
        <f>'[39]TGSPDCL MoD'!Z31</f>
        <v>2.96937406124481</v>
      </c>
      <c r="K230" s="147">
        <f>'[39]TGSPDCL MoD'!AA31</f>
        <v>2.87250086492051</v>
      </c>
      <c r="L230" s="147">
        <f>'[39]TGSPDCL MoD'!AB31</f>
        <v>4.10658114853005</v>
      </c>
      <c r="M230" s="147">
        <f>'[39]TGSPDCL MoD'!AC31</f>
        <v>3.55798402586745</v>
      </c>
      <c r="N230" s="147">
        <f>'[39]TGSPDCL MoD'!AD31</f>
        <v>3.65591019171702</v>
      </c>
      <c r="O230" s="147">
        <f>'[39]TGSPDCL MoD'!AE31</f>
        <v>3.47901131147265</v>
      </c>
      <c r="P230" s="147">
        <f>'[39]TGSPDCL MoD'!AF31</f>
        <v>3.94968868926571</v>
      </c>
      <c r="Q230" s="147">
        <f t="shared" si="150"/>
        <v>38.3954807692308</v>
      </c>
    </row>
    <row r="231" spans="3:17">
      <c r="C231" s="683"/>
      <c r="D231" s="55" t="s">
        <v>374</v>
      </c>
      <c r="E231" s="147">
        <f>SUM('[39]TGSPDCL MoD'!U42:U45)</f>
        <v>13.0754505651191</v>
      </c>
      <c r="F231" s="147">
        <f>SUM('[39]TGSPDCL MoD'!V42:V45)</f>
        <v>12.963543555778</v>
      </c>
      <c r="G231" s="147">
        <f>SUM('[39]TGSPDCL MoD'!W42:W45)</f>
        <v>12.8104076482586</v>
      </c>
      <c r="H231" s="147">
        <f>SUM('[39]TGSPDCL MoD'!X42:X45)</f>
        <v>13.7851765980456</v>
      </c>
      <c r="I231" s="147">
        <f>SUM('[39]TGSPDCL MoD'!Y42:Y45)</f>
        <v>12.4157881942663</v>
      </c>
      <c r="J231" s="147">
        <f>SUM('[39]TGSPDCL MoD'!Z42:Z45)</f>
        <v>14.0224910872663</v>
      </c>
      <c r="K231" s="147">
        <f>SUM('[39]TGSPDCL MoD'!AA42:AA45)</f>
        <v>12.963543555778</v>
      </c>
      <c r="L231" s="147">
        <f>SUM('[39]TGSPDCL MoD'!AB42:AB45)</f>
        <v>9.39593835586872</v>
      </c>
      <c r="M231" s="147">
        <f>SUM('[39]TGSPDCL MoD'!AC42:AC45)</f>
        <v>8.09390314658762</v>
      </c>
      <c r="N231" s="147">
        <f>SUM('[39]TGSPDCL MoD'!AD42:AD45)</f>
        <v>11.7029220154723</v>
      </c>
      <c r="O231" s="147">
        <f>SUM('[39]TGSPDCL MoD'!AE42:AE45)</f>
        <v>12.3190256372464</v>
      </c>
      <c r="P231" s="147">
        <f>SUM('[39]TGSPDCL MoD'!AF42:AF45)</f>
        <v>14.6068096403132</v>
      </c>
      <c r="Q231" s="147">
        <f t="shared" si="150"/>
        <v>148.155</v>
      </c>
    </row>
    <row r="232" spans="3:17">
      <c r="C232" s="683"/>
      <c r="D232" s="55" t="s">
        <v>375</v>
      </c>
      <c r="E232" s="147">
        <f>'[39]TGSPDCL MoD'!U40</f>
        <v>26.2662780589891</v>
      </c>
      <c r="F232" s="147">
        <f>'[39]TGSPDCL MoD'!V40</f>
        <v>33.0979825728294</v>
      </c>
      <c r="G232" s="147">
        <f>'[39]TGSPDCL MoD'!W40</f>
        <v>32.5032665899416</v>
      </c>
      <c r="H232" s="147">
        <f>'[39]TGSPDCL MoD'!X40</f>
        <v>22.0527292870262</v>
      </c>
      <c r="I232" s="147">
        <f>'[39]TGSPDCL MoD'!Y40</f>
        <v>20.3563654957165</v>
      </c>
      <c r="J232" s="147">
        <f>'[39]TGSPDCL MoD'!Z40</f>
        <v>21.3413509229286</v>
      </c>
      <c r="K232" s="147">
        <f>'[39]TGSPDCL MoD'!AA40</f>
        <v>20.3563654957165</v>
      </c>
      <c r="L232" s="147">
        <f>'[39]TGSPDCL MoD'!AB40</f>
        <v>0</v>
      </c>
      <c r="M232" s="147">
        <f>'[39]TGSPDCL MoD'!AC40</f>
        <v>11.4504555913406</v>
      </c>
      <c r="N232" s="147">
        <f>'[39]TGSPDCL MoD'!AD40</f>
        <v>22.9009111826811</v>
      </c>
      <c r="O232" s="147">
        <f>'[39]TGSPDCL MoD'!AE40</f>
        <v>25.2916818223922</v>
      </c>
      <c r="P232" s="147">
        <f>'[39]TGSPDCL MoD'!AF40</f>
        <v>29.68636634792</v>
      </c>
      <c r="Q232" s="147">
        <f t="shared" si="150"/>
        <v>265.303753367482</v>
      </c>
    </row>
    <row r="233" spans="3:17">
      <c r="C233" s="683"/>
      <c r="D233" s="55" t="s">
        <v>376</v>
      </c>
      <c r="E233" s="147">
        <f>'[39]TGSPDCL MoD'!U41</f>
        <v>26.5505416810967</v>
      </c>
      <c r="F233" s="147">
        <f>'[39]TGSPDCL MoD'!V41</f>
        <v>34.2944496714166</v>
      </c>
      <c r="G233" s="147">
        <f>'[39]TGSPDCL MoD'!W41</f>
        <v>0</v>
      </c>
      <c r="H233" s="147">
        <f>'[39]TGSPDCL MoD'!X41</f>
        <v>11.1456961432104</v>
      </c>
      <c r="I233" s="147">
        <f>'[39]TGSPDCL MoD'!Y41</f>
        <v>20.5766698028499</v>
      </c>
      <c r="J233" s="147">
        <f>'[39]TGSPDCL MoD'!Z41</f>
        <v>21.5723151158911</v>
      </c>
      <c r="K233" s="147">
        <f>'[39]TGSPDCL MoD'!AA41</f>
        <v>20.5766698028499</v>
      </c>
      <c r="L233" s="147">
        <f>'[39]TGSPDCL MoD'!AB41</f>
        <v>27.9529734641778</v>
      </c>
      <c r="M233" s="147">
        <f>'[39]TGSPDCL MoD'!AC41</f>
        <v>23.1487535282062</v>
      </c>
      <c r="N233" s="147">
        <f>'[39]TGSPDCL MoD'!AD41</f>
        <v>23.1487535282062</v>
      </c>
      <c r="O233" s="147">
        <f>'[39]TGSPDCL MoD'!AE41</f>
        <v>26.3292871670875</v>
      </c>
      <c r="P233" s="147">
        <f>'[39]TGSPDCL MoD'!AF41</f>
        <v>30.0076434624895</v>
      </c>
      <c r="Q233" s="147">
        <f t="shared" si="150"/>
        <v>265.303753367482</v>
      </c>
    </row>
    <row r="234" spans="3:17">
      <c r="C234" s="683"/>
      <c r="D234" s="55" t="s">
        <v>377</v>
      </c>
      <c r="E234" s="147">
        <f>SUM('[39]TGSPDCL MoD'!U49:U51)</f>
        <v>20.7378088266246</v>
      </c>
      <c r="F234" s="147">
        <f>SUM('[39]TGSPDCL MoD'!V49:V51)</f>
        <v>26.9219938581746</v>
      </c>
      <c r="G234" s="147">
        <f>SUM('[39]TGSPDCL MoD'!W49:W51)</f>
        <v>16.8616253351641</v>
      </c>
      <c r="H234" s="147">
        <f>SUM('[39]TGSPDCL MoD'!X49:X51)</f>
        <v>14.7942769958716</v>
      </c>
      <c r="I234" s="147">
        <f>SUM('[39]TGSPDCL MoD'!Y49:Y51)</f>
        <v>16.5902470612996</v>
      </c>
      <c r="J234" s="147">
        <f>SUM('[39]TGSPDCL MoD'!Z49:Z51)</f>
        <v>16.3848149062201</v>
      </c>
      <c r="K234" s="147">
        <f>SUM('[39]TGSPDCL MoD'!AA49:AA51)</f>
        <v>16.5902470612996</v>
      </c>
      <c r="L234" s="147">
        <f>SUM('[39]TGSPDCL MoD'!AB49:AB51)</f>
        <v>13.4184365094118</v>
      </c>
      <c r="M234" s="147">
        <f>SUM('[39]TGSPDCL MoD'!AC49:AC51)</f>
        <v>14.9645191235653</v>
      </c>
      <c r="N234" s="147">
        <f>SUM('[39]TGSPDCL MoD'!AD49:AD51)</f>
        <v>17.9727676497413</v>
      </c>
      <c r="O234" s="147">
        <f>SUM('[39]TGSPDCL MoD'!AE49:AE51)</f>
        <v>19.9796523748985</v>
      </c>
      <c r="P234" s="147">
        <f>SUM('[39]TGSPDCL MoD'!AF49:AF51)</f>
        <v>24.1941102977287</v>
      </c>
      <c r="Q234" s="147">
        <f t="shared" si="150"/>
        <v>219.4105</v>
      </c>
    </row>
    <row r="235" spans="3:17">
      <c r="C235" s="683"/>
      <c r="D235" s="55" t="s">
        <v>378</v>
      </c>
      <c r="E235" s="55">
        <f>'[39]TGSPDCL MoD'!U53</f>
        <v>0</v>
      </c>
      <c r="F235" s="55">
        <f>'[39]TGSPDCL MoD'!V53</f>
        <v>0</v>
      </c>
      <c r="G235" s="55">
        <f>'[39]TGSPDCL MoD'!W53</f>
        <v>0</v>
      </c>
      <c r="H235" s="55">
        <f>'[39]TGSPDCL MoD'!X53</f>
        <v>0</v>
      </c>
      <c r="I235" s="55">
        <f>'[39]TGSPDCL MoD'!Y53</f>
        <v>0</v>
      </c>
      <c r="J235" s="55">
        <f>'[39]TGSPDCL MoD'!Z53</f>
        <v>0</v>
      </c>
      <c r="K235" s="55">
        <f>'[39]TGSPDCL MoD'!AA53</f>
        <v>0</v>
      </c>
      <c r="L235" s="55">
        <f>'[39]TGSPDCL MoD'!AB53</f>
        <v>0</v>
      </c>
      <c r="M235" s="55">
        <f>'[39]TGSPDCL MoD'!AC53</f>
        <v>0</v>
      </c>
      <c r="N235" s="55">
        <f>'[39]TGSPDCL MoD'!AD53</f>
        <v>0</v>
      </c>
      <c r="O235" s="55">
        <f>'[39]TGSPDCL MoD'!AE53</f>
        <v>0</v>
      </c>
      <c r="P235" s="55">
        <f>'[39]TGSPDCL MoD'!AF53</f>
        <v>0</v>
      </c>
      <c r="Q235" s="55">
        <f t="shared" si="150"/>
        <v>0</v>
      </c>
    </row>
    <row r="236" spans="3:17">
      <c r="C236" s="683"/>
      <c r="D236" s="55" t="s">
        <v>379</v>
      </c>
      <c r="E236" s="55">
        <f>'[39]TGSPDCL MoD'!U54</f>
        <v>0</v>
      </c>
      <c r="F236" s="55">
        <f>'[39]TGSPDCL MoD'!V54</f>
        <v>0</v>
      </c>
      <c r="G236" s="55">
        <f>'[39]TGSPDCL MoD'!W54</f>
        <v>0</v>
      </c>
      <c r="H236" s="55">
        <f>'[39]TGSPDCL MoD'!X54</f>
        <v>0</v>
      </c>
      <c r="I236" s="55">
        <f>'[39]TGSPDCL MoD'!Y54</f>
        <v>0</v>
      </c>
      <c r="J236" s="55">
        <f>'[39]TGSPDCL MoD'!Z54</f>
        <v>0</v>
      </c>
      <c r="K236" s="55">
        <f>'[39]TGSPDCL MoD'!AA54</f>
        <v>0</v>
      </c>
      <c r="L236" s="55">
        <f>'[39]TGSPDCL MoD'!AB54</f>
        <v>0</v>
      </c>
      <c r="M236" s="55">
        <f>'[39]TGSPDCL MoD'!AC54</f>
        <v>0</v>
      </c>
      <c r="N236" s="55">
        <f>'[39]TGSPDCL MoD'!AD54</f>
        <v>0</v>
      </c>
      <c r="O236" s="55">
        <f>'[39]TGSPDCL MoD'!AE54</f>
        <v>0</v>
      </c>
      <c r="P236" s="55">
        <f>'[39]TGSPDCL MoD'!AF54</f>
        <v>0</v>
      </c>
      <c r="Q236" s="55">
        <f t="shared" si="150"/>
        <v>0</v>
      </c>
    </row>
    <row r="237" spans="3:17">
      <c r="C237" s="684"/>
      <c r="D237" s="55" t="s">
        <v>380</v>
      </c>
      <c r="E237" s="147">
        <f>'[39]TGSPDCL MoD'!U55</f>
        <v>70.0422514780982</v>
      </c>
      <c r="F237" s="147">
        <f>'[39]TGSPDCL MoD'!V55</f>
        <v>71.9481653615305</v>
      </c>
      <c r="G237" s="147">
        <f>'[39]TGSPDCL MoD'!W55</f>
        <v>69.6272568014811</v>
      </c>
      <c r="H237" s="147">
        <f>'[39]TGSPDCL MoD'!X55</f>
        <v>69.522843175182</v>
      </c>
      <c r="I237" s="147">
        <f>'[39]TGSPDCL MoD'!Y55</f>
        <v>56.0952801907541</v>
      </c>
      <c r="J237" s="147">
        <f>'[39]TGSPDCL MoD'!Z55</f>
        <v>61.1834874229019</v>
      </c>
      <c r="K237" s="147">
        <f>'[39]TGSPDCL MoD'!AA55</f>
        <v>56.0285548628335</v>
      </c>
      <c r="L237" s="147">
        <f>'[39]TGSPDCL MoD'!AB55</f>
        <v>71.163152172102</v>
      </c>
      <c r="M237" s="147">
        <f>'[39]TGSPDCL MoD'!AC55</f>
        <v>70.1075158760053</v>
      </c>
      <c r="N237" s="147">
        <f>'[39]TGSPDCL MoD'!AD55</f>
        <v>63.0107410793708</v>
      </c>
      <c r="O237" s="147">
        <f>'[39]TGSPDCL MoD'!AE55</f>
        <v>61.9024945112279</v>
      </c>
      <c r="P237" s="147">
        <f>'[39]TGSPDCL MoD'!AF55</f>
        <v>73.7612570685127</v>
      </c>
      <c r="Q237" s="147">
        <f t="shared" si="150"/>
        <v>794.393</v>
      </c>
    </row>
    <row r="238" spans="3:17">
      <c r="C238" s="55"/>
      <c r="D238" s="685" t="s">
        <v>450</v>
      </c>
      <c r="E238" s="147">
        <f>'[39]TGSPDCL MoD'!U56</f>
        <v>70.597694723988</v>
      </c>
      <c r="F238" s="147">
        <f>'[39]TGSPDCL MoD'!V56</f>
        <v>74.0433526948381</v>
      </c>
      <c r="G238" s="147">
        <f>'[39]TGSPDCL MoD'!W56</f>
        <v>71.6548574466175</v>
      </c>
      <c r="H238" s="147">
        <f>'[39]TGSPDCL MoD'!X56</f>
        <v>70.2857650718303</v>
      </c>
      <c r="I238" s="147">
        <f>'[39]TGSPDCL MoD'!Y56</f>
        <v>54.3807855015663</v>
      </c>
      <c r="J238" s="147">
        <f>'[39]TGSPDCL MoD'!Z56</f>
        <v>57.0077838846843</v>
      </c>
      <c r="K238" s="147">
        <f>'[39]TGSPDCL MoD'!AA56</f>
        <v>55.9619731043968</v>
      </c>
      <c r="L238" s="147">
        <f>'[39]TGSPDCL MoD'!AB56</f>
        <v>73.2354793020576</v>
      </c>
      <c r="M238" s="147">
        <f>'[39]TGSPDCL MoD'!AC56</f>
        <v>66.6492506510237</v>
      </c>
      <c r="N238" s="147">
        <f>'[39]TGSPDCL MoD'!AD56</f>
        <v>64.2434971911095</v>
      </c>
      <c r="O238" s="147">
        <f>'[39]TGSPDCL MoD'!AE56</f>
        <v>62.2892077330498</v>
      </c>
      <c r="P238" s="147">
        <f>'[39]TGSPDCL MoD'!AF56</f>
        <v>74.0433526948381</v>
      </c>
      <c r="Q238" s="147">
        <f t="shared" si="150"/>
        <v>794.393</v>
      </c>
    </row>
    <row r="239" spans="3:17">
      <c r="C239" s="55"/>
      <c r="D239" s="55" t="s">
        <v>386</v>
      </c>
      <c r="E239" s="55">
        <f>'[39]TGSPDCL MoD'!U46</f>
        <v>0</v>
      </c>
      <c r="F239" s="55">
        <f>'[39]TGSPDCL MoD'!V46</f>
        <v>0</v>
      </c>
      <c r="G239" s="55">
        <f>'[39]TGSPDCL MoD'!W46</f>
        <v>0</v>
      </c>
      <c r="H239" s="55">
        <f>'[39]TGSPDCL MoD'!X46</f>
        <v>0</v>
      </c>
      <c r="I239" s="55">
        <f>'[39]TGSPDCL MoD'!Y46</f>
        <v>0</v>
      </c>
      <c r="J239" s="55">
        <f>'[39]TGSPDCL MoD'!Z46</f>
        <v>0</v>
      </c>
      <c r="K239" s="55">
        <f>'[39]TGSPDCL MoD'!AA46</f>
        <v>0</v>
      </c>
      <c r="L239" s="55">
        <f>'[39]TGSPDCL MoD'!AB46</f>
        <v>0</v>
      </c>
      <c r="M239" s="55">
        <f>'[39]TGSPDCL MoD'!AC46</f>
        <v>0</v>
      </c>
      <c r="N239" s="55">
        <f>'[39]TGSPDCL MoD'!AD46</f>
        <v>0</v>
      </c>
      <c r="O239" s="55">
        <f>'[39]TGSPDCL MoD'!AE46</f>
        <v>0</v>
      </c>
      <c r="P239" s="55">
        <f>'[39]TGSPDCL MoD'!AF46</f>
        <v>0</v>
      </c>
      <c r="Q239" s="55">
        <f t="shared" si="150"/>
        <v>0</v>
      </c>
    </row>
    <row r="240" spans="3:17">
      <c r="C240" s="55"/>
      <c r="D240" s="55" t="s">
        <v>387</v>
      </c>
      <c r="E240" s="55">
        <f>'[39]TGSPDCL MoD'!U35</f>
        <v>0</v>
      </c>
      <c r="F240" s="55">
        <f>'[39]TGSPDCL MoD'!V35</f>
        <v>0</v>
      </c>
      <c r="G240" s="55">
        <f>'[39]TGSPDCL MoD'!W35</f>
        <v>0</v>
      </c>
      <c r="H240" s="55">
        <f>'[39]TGSPDCL MoD'!X35</f>
        <v>0</v>
      </c>
      <c r="I240" s="55">
        <f>'[39]TGSPDCL MoD'!Y35</f>
        <v>0</v>
      </c>
      <c r="J240" s="55">
        <f>'[39]TGSPDCL MoD'!Z35</f>
        <v>0</v>
      </c>
      <c r="K240" s="55">
        <f>'[39]TGSPDCL MoD'!AA35</f>
        <v>0</v>
      </c>
      <c r="L240" s="55">
        <f>'[39]TGSPDCL MoD'!AB35</f>
        <v>0</v>
      </c>
      <c r="M240" s="55">
        <f>'[39]TGSPDCL MoD'!AC35</f>
        <v>0</v>
      </c>
      <c r="N240" s="55">
        <f>'[39]TGSPDCL MoD'!AD35</f>
        <v>0</v>
      </c>
      <c r="O240" s="55">
        <f>'[39]TGSPDCL MoD'!AE35</f>
        <v>0</v>
      </c>
      <c r="P240" s="55">
        <f>'[39]TGSPDCL MoD'!AF35</f>
        <v>0</v>
      </c>
      <c r="Q240" s="55">
        <f t="shared" si="150"/>
        <v>0</v>
      </c>
    </row>
    <row r="241" spans="3:17">
      <c r="C241" s="55"/>
      <c r="D241" s="55" t="s">
        <v>381</v>
      </c>
      <c r="E241" s="147">
        <f>'[39]TGSPDCL MoD'!U33</f>
        <v>0.122022503254601</v>
      </c>
      <c r="F241" s="147">
        <f>'[39]TGSPDCL MoD'!V33</f>
        <v>0.154561837455835</v>
      </c>
      <c r="G241" s="147">
        <f>'[39]TGSPDCL MoD'!W33</f>
        <v>0.153512181513849</v>
      </c>
      <c r="H241" s="147">
        <f>'[39]TGSPDCL MoD'!X33</f>
        <v>0.10575283615399</v>
      </c>
      <c r="I241" s="147">
        <f>'[39]TGSPDCL MoD'!Y33</f>
        <v>0.0976180026036846</v>
      </c>
      <c r="J241" s="147">
        <f>'[39]TGSPDCL MoD'!Z33</f>
        <v>0.0944690347777593</v>
      </c>
      <c r="K241" s="147">
        <f>'[39]TGSPDCL MoD'!AA33</f>
        <v>0.0976180026036846</v>
      </c>
      <c r="L241" s="147">
        <f>'[39]TGSPDCL MoD'!AB33</f>
        <v>0.118086293472195</v>
      </c>
      <c r="M241" s="147">
        <f>'[39]TGSPDCL MoD'!AC33</f>
        <v>0.10575283615399</v>
      </c>
      <c r="N241" s="147">
        <f>'[39]TGSPDCL MoD'!AD33</f>
        <v>0.10575283615399</v>
      </c>
      <c r="O241" s="147">
        <f>'[39]TGSPDCL MoD'!AE33</f>
        <v>0.117561465501207</v>
      </c>
      <c r="P241" s="147">
        <f>'[39]TGSPDCL MoD'!AF33</f>
        <v>0.138292170355213</v>
      </c>
      <c r="Q241" s="147">
        <f t="shared" si="150"/>
        <v>1.411</v>
      </c>
    </row>
    <row r="242" spans="3:17">
      <c r="C242" s="55"/>
      <c r="D242" s="55" t="s">
        <v>382</v>
      </c>
      <c r="E242" s="55">
        <f>'[39]TGSPDCL MoD'!U34</f>
        <v>0</v>
      </c>
      <c r="F242" s="55">
        <f>'[39]TGSPDCL MoD'!V34</f>
        <v>0</v>
      </c>
      <c r="G242" s="55">
        <f>'[39]TGSPDCL MoD'!W34</f>
        <v>0</v>
      </c>
      <c r="H242" s="55">
        <f>'[39]TGSPDCL MoD'!X34</f>
        <v>0</v>
      </c>
      <c r="I242" s="55">
        <f>'[39]TGSPDCL MoD'!Y34</f>
        <v>0</v>
      </c>
      <c r="J242" s="55">
        <f>'[39]TGSPDCL MoD'!Z34</f>
        <v>0</v>
      </c>
      <c r="K242" s="55">
        <f>'[39]TGSPDCL MoD'!AA34</f>
        <v>0</v>
      </c>
      <c r="L242" s="55">
        <f>'[39]TGSPDCL MoD'!AB34</f>
        <v>0</v>
      </c>
      <c r="M242" s="55">
        <f>'[39]TGSPDCL MoD'!AC34</f>
        <v>0</v>
      </c>
      <c r="N242" s="55">
        <f>'[39]TGSPDCL MoD'!AD34</f>
        <v>0</v>
      </c>
      <c r="O242" s="55">
        <f>'[39]TGSPDCL MoD'!AE34</f>
        <v>0</v>
      </c>
      <c r="P242" s="55">
        <f>'[39]TGSPDCL MoD'!AF34</f>
        <v>0</v>
      </c>
      <c r="Q242" s="55">
        <f t="shared" si="150"/>
        <v>0</v>
      </c>
    </row>
    <row r="243" spans="3:17">
      <c r="C243" s="55"/>
      <c r="D243" s="55" t="s">
        <v>383</v>
      </c>
      <c r="E243" s="147">
        <f>'[39]TGSPDCL MoD'!U52</f>
        <v>4.69415075545924</v>
      </c>
      <c r="F243" s="147">
        <f>'[39]TGSPDCL MoD'!V52</f>
        <v>4.85062244730789</v>
      </c>
      <c r="G243" s="147">
        <f>'[39]TGSPDCL MoD'!W52</f>
        <v>4.69415075545924</v>
      </c>
      <c r="H243" s="147">
        <f>'[39]TGSPDCL MoD'!X52</f>
        <v>4.95310038633552</v>
      </c>
      <c r="I243" s="147">
        <f>'[39]TGSPDCL MoD'!Y52</f>
        <v>4.0732222101639</v>
      </c>
      <c r="J243" s="147">
        <f>'[39]TGSPDCL MoD'!Z52</f>
        <v>4.49580635734125</v>
      </c>
      <c r="K243" s="147">
        <f>'[39]TGSPDCL MoD'!AA52</f>
        <v>3.82584305703157</v>
      </c>
      <c r="L243" s="147">
        <f>'[39]TGSPDCL MoD'!AB52</f>
        <v>4.69415075545924</v>
      </c>
      <c r="M243" s="147">
        <f>'[39]TGSPDCL MoD'!AC52</f>
        <v>4.85062244730789</v>
      </c>
      <c r="N243" s="147">
        <f>'[39]TGSPDCL MoD'!AD52</f>
        <v>4.54318863022499</v>
      </c>
      <c r="O243" s="147">
        <f>'[39]TGSPDCL MoD'!AE52</f>
        <v>4.1960859335185</v>
      </c>
      <c r="P243" s="147">
        <f>'[39]TGSPDCL MoD'!AF52</f>
        <v>5.15805626439078</v>
      </c>
      <c r="Q243" s="147">
        <f t="shared" si="150"/>
        <v>55.029</v>
      </c>
    </row>
    <row r="244" spans="3:17">
      <c r="C244" s="55"/>
      <c r="D244" s="55" t="s">
        <v>536</v>
      </c>
      <c r="E244" s="147">
        <f>'[39]TGSPDCL MoD'!U47</f>
        <v>9.2527861752769</v>
      </c>
      <c r="F244" s="147">
        <f>'[39]TGSPDCL MoD'!V47</f>
        <v>0</v>
      </c>
      <c r="G244" s="147">
        <f>'[39]TGSPDCL MoD'!W47</f>
        <v>4.77972368723651</v>
      </c>
      <c r="H244" s="147">
        <f>'[39]TGSPDCL MoD'!X47</f>
        <v>9.22439811600499</v>
      </c>
      <c r="I244" s="147">
        <f>'[39]TGSPDCL MoD'!Y47</f>
        <v>6.82750726696433</v>
      </c>
      <c r="J244" s="147">
        <f>'[39]TGSPDCL MoD'!Z47</f>
        <v>7.45074574775105</v>
      </c>
      <c r="K244" s="147">
        <f>'[39]TGSPDCL MoD'!AA47</f>
        <v>7.26330560315354</v>
      </c>
      <c r="L244" s="147">
        <f>'[39]TGSPDCL MoD'!AB47</f>
        <v>9.77031753714525</v>
      </c>
      <c r="M244" s="147">
        <f>'[39]TGSPDCL MoD'!AC47</f>
        <v>8.57070061172118</v>
      </c>
      <c r="N244" s="147">
        <f>'[39]TGSPDCL MoD'!AD47</f>
        <v>8.57070061172118</v>
      </c>
      <c r="O244" s="147">
        <f>'[39]TGSPDCL MoD'!AE47</f>
        <v>8.13490227553197</v>
      </c>
      <c r="P244" s="147">
        <f>'[39]TGSPDCL MoD'!AF47</f>
        <v>9.75341236749309</v>
      </c>
      <c r="Q244" s="147">
        <f t="shared" si="150"/>
        <v>89.5985</v>
      </c>
    </row>
    <row r="245" spans="3:17"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>
        <f t="shared" si="150"/>
        <v>0</v>
      </c>
    </row>
    <row r="246" spans="3:17"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>
        <f t="shared" si="150"/>
        <v>0</v>
      </c>
    </row>
    <row r="247" spans="3:17"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>
        <f t="shared" si="150"/>
        <v>0</v>
      </c>
    </row>
    <row r="248" spans="3:17"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>
        <f t="shared" si="150"/>
        <v>0</v>
      </c>
    </row>
    <row r="249" spans="3:17"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>
        <f t="shared" si="150"/>
        <v>0</v>
      </c>
    </row>
    <row r="250" spans="3:17"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>
        <f t="shared" si="150"/>
        <v>0</v>
      </c>
    </row>
    <row r="251" spans="3:17"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>
        <f t="shared" si="150"/>
        <v>0</v>
      </c>
    </row>
    <row r="252" spans="3:17"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>
        <f t="shared" si="150"/>
        <v>0</v>
      </c>
    </row>
    <row r="253" spans="3:17"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>
        <f t="shared" si="150"/>
        <v>0</v>
      </c>
    </row>
    <row r="254" spans="3:17"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>
        <f t="shared" si="150"/>
        <v>0</v>
      </c>
    </row>
    <row r="255" ht="15" spans="3:17">
      <c r="C255" s="537" t="s">
        <v>211</v>
      </c>
      <c r="D255" s="540"/>
      <c r="E255" s="147">
        <f t="shared" ref="E255:P255" si="151">SUM(E229:E254)</f>
        <v>257.914906242006</v>
      </c>
      <c r="F255" s="147">
        <f t="shared" si="151"/>
        <v>280.180174233237</v>
      </c>
      <c r="G255" s="147">
        <f t="shared" si="151"/>
        <v>235.225523724751</v>
      </c>
      <c r="H255" s="147">
        <f t="shared" si="151"/>
        <v>228.780695804465</v>
      </c>
      <c r="I255" s="147">
        <f t="shared" si="151"/>
        <v>204.099471689445</v>
      </c>
      <c r="J255" s="147">
        <f t="shared" si="151"/>
        <v>218.279201918281</v>
      </c>
      <c r="K255" s="147">
        <f t="shared" si="151"/>
        <v>207.786358941384</v>
      </c>
      <c r="L255" s="147">
        <f t="shared" si="151"/>
        <v>230.006648184207</v>
      </c>
      <c r="M255" s="147">
        <f t="shared" si="151"/>
        <v>221.243201436578</v>
      </c>
      <c r="N255" s="147">
        <f t="shared" si="151"/>
        <v>230.117554188456</v>
      </c>
      <c r="O255" s="147">
        <f t="shared" si="151"/>
        <v>237.528631729938</v>
      </c>
      <c r="P255" s="147">
        <f t="shared" si="151"/>
        <v>281.491638642216</v>
      </c>
      <c r="Q255" s="316">
        <f t="shared" si="150"/>
        <v>2832.65400673496</v>
      </c>
    </row>
    <row r="256" ht="15" spans="3:17">
      <c r="C256" s="44" t="s">
        <v>388</v>
      </c>
      <c r="D256" s="4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</row>
    <row r="257" spans="3:17">
      <c r="C257" s="682" t="s">
        <v>389</v>
      </c>
      <c r="D257" s="55" t="s">
        <v>390</v>
      </c>
      <c r="E257" s="147">
        <v>0</v>
      </c>
      <c r="F257" s="147">
        <v>0</v>
      </c>
      <c r="G257" s="147">
        <v>0</v>
      </c>
      <c r="H257" s="147">
        <v>0</v>
      </c>
      <c r="I257" s="147">
        <v>0</v>
      </c>
      <c r="J257" s="147">
        <v>0</v>
      </c>
      <c r="K257" s="147">
        <v>0</v>
      </c>
      <c r="L257" s="147">
        <v>0</v>
      </c>
      <c r="M257" s="147">
        <v>0</v>
      </c>
      <c r="N257" s="147">
        <v>0</v>
      </c>
      <c r="O257" s="147">
        <v>0</v>
      </c>
      <c r="P257" s="147">
        <v>0</v>
      </c>
      <c r="Q257" s="147">
        <f t="shared" ref="Q257:Q271" si="152">SUM(E257:P257)</f>
        <v>0</v>
      </c>
    </row>
    <row r="258" spans="3:17">
      <c r="C258" s="683"/>
      <c r="D258" s="55" t="s">
        <v>391</v>
      </c>
      <c r="E258" s="147">
        <v>0</v>
      </c>
      <c r="F258" s="147">
        <v>0</v>
      </c>
      <c r="G258" s="147">
        <v>0</v>
      </c>
      <c r="H258" s="147">
        <v>0</v>
      </c>
      <c r="I258" s="147">
        <v>0</v>
      </c>
      <c r="J258" s="147">
        <v>0</v>
      </c>
      <c r="K258" s="147">
        <v>0</v>
      </c>
      <c r="L258" s="147">
        <v>0</v>
      </c>
      <c r="M258" s="147">
        <v>0</v>
      </c>
      <c r="N258" s="147">
        <v>0</v>
      </c>
      <c r="O258" s="147">
        <v>0</v>
      </c>
      <c r="P258" s="147">
        <v>0</v>
      </c>
      <c r="Q258" s="147">
        <f t="shared" si="152"/>
        <v>0</v>
      </c>
    </row>
    <row r="259" spans="3:17">
      <c r="C259" s="683"/>
      <c r="D259" s="55" t="s">
        <v>392</v>
      </c>
      <c r="E259" s="147">
        <v>0</v>
      </c>
      <c r="F259" s="147">
        <v>0</v>
      </c>
      <c r="G259" s="147">
        <v>0</v>
      </c>
      <c r="H259" s="147">
        <v>0</v>
      </c>
      <c r="I259" s="147">
        <v>0</v>
      </c>
      <c r="J259" s="147">
        <v>0</v>
      </c>
      <c r="K259" s="147">
        <v>0</v>
      </c>
      <c r="L259" s="147">
        <v>0</v>
      </c>
      <c r="M259" s="147">
        <v>0</v>
      </c>
      <c r="N259" s="147">
        <v>0</v>
      </c>
      <c r="O259" s="147">
        <v>0</v>
      </c>
      <c r="P259" s="147">
        <v>0</v>
      </c>
      <c r="Q259" s="147">
        <f t="shared" si="152"/>
        <v>0</v>
      </c>
    </row>
    <row r="260" spans="3:17">
      <c r="C260" s="684"/>
      <c r="D260" s="55" t="s">
        <v>393</v>
      </c>
      <c r="E260" s="147">
        <v>0</v>
      </c>
      <c r="F260" s="147">
        <v>0</v>
      </c>
      <c r="G260" s="147">
        <v>0</v>
      </c>
      <c r="H260" s="147">
        <v>0</v>
      </c>
      <c r="I260" s="147">
        <v>0</v>
      </c>
      <c r="J260" s="147">
        <v>0</v>
      </c>
      <c r="K260" s="147">
        <v>0</v>
      </c>
      <c r="L260" s="147">
        <v>0</v>
      </c>
      <c r="M260" s="147">
        <v>0</v>
      </c>
      <c r="N260" s="147">
        <v>0</v>
      </c>
      <c r="O260" s="147">
        <v>0</v>
      </c>
      <c r="P260" s="147">
        <v>0</v>
      </c>
      <c r="Q260" s="147">
        <f t="shared" si="152"/>
        <v>0</v>
      </c>
    </row>
    <row r="261" spans="3:17">
      <c r="C261" s="55"/>
      <c r="D261" s="55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>
        <f t="shared" si="152"/>
        <v>0</v>
      </c>
    </row>
    <row r="262" spans="3:17">
      <c r="C262" s="55"/>
      <c r="D262" s="55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>
        <f t="shared" si="152"/>
        <v>0</v>
      </c>
    </row>
    <row r="263" spans="3:17">
      <c r="C263" s="55"/>
      <c r="D263" s="55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>
        <f t="shared" si="152"/>
        <v>0</v>
      </c>
    </row>
    <row r="264" spans="3:17">
      <c r="C264" s="55"/>
      <c r="D264" s="55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>
        <f t="shared" si="152"/>
        <v>0</v>
      </c>
    </row>
    <row r="265" spans="3:17">
      <c r="C265" s="55"/>
      <c r="D265" s="55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>
        <f t="shared" si="152"/>
        <v>0</v>
      </c>
    </row>
    <row r="266" spans="3:17">
      <c r="C266" s="55"/>
      <c r="D266" s="55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>
        <f t="shared" si="152"/>
        <v>0</v>
      </c>
    </row>
    <row r="267" spans="3:17">
      <c r="C267" s="55"/>
      <c r="D267" s="55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>
        <f t="shared" si="152"/>
        <v>0</v>
      </c>
    </row>
    <row r="268" spans="3:17">
      <c r="C268" s="55"/>
      <c r="D268" s="55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>
        <f t="shared" si="152"/>
        <v>0</v>
      </c>
    </row>
    <row r="269" spans="3:17">
      <c r="C269" s="55"/>
      <c r="D269" s="55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>
        <f t="shared" si="152"/>
        <v>0</v>
      </c>
    </row>
    <row r="270" spans="3:17">
      <c r="C270" s="55"/>
      <c r="D270" s="55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>
        <f t="shared" si="152"/>
        <v>0</v>
      </c>
    </row>
    <row r="271" ht="15" spans="3:18">
      <c r="C271" s="537" t="s">
        <v>211</v>
      </c>
      <c r="D271" s="540"/>
      <c r="E271" s="147">
        <f t="shared" ref="E271:P271" si="153">SUM(E257:E270)</f>
        <v>0</v>
      </c>
      <c r="F271" s="147">
        <f t="shared" si="153"/>
        <v>0</v>
      </c>
      <c r="G271" s="147">
        <f t="shared" si="153"/>
        <v>0</v>
      </c>
      <c r="H271" s="147">
        <f t="shared" si="153"/>
        <v>0</v>
      </c>
      <c r="I271" s="147">
        <f t="shared" si="153"/>
        <v>0</v>
      </c>
      <c r="J271" s="147">
        <f t="shared" si="153"/>
        <v>0</v>
      </c>
      <c r="K271" s="147">
        <f t="shared" si="153"/>
        <v>0</v>
      </c>
      <c r="L271" s="147">
        <f t="shared" si="153"/>
        <v>0</v>
      </c>
      <c r="M271" s="147">
        <f t="shared" si="153"/>
        <v>0</v>
      </c>
      <c r="N271" s="147">
        <f t="shared" si="153"/>
        <v>0</v>
      </c>
      <c r="O271" s="147">
        <f t="shared" si="153"/>
        <v>0</v>
      </c>
      <c r="P271" s="147">
        <f t="shared" si="153"/>
        <v>0</v>
      </c>
      <c r="Q271" s="316">
        <f t="shared" si="152"/>
        <v>0</v>
      </c>
      <c r="R271" s="686"/>
    </row>
    <row r="272" ht="15" spans="3:18">
      <c r="C272" s="44" t="s">
        <v>395</v>
      </c>
      <c r="D272" s="45"/>
      <c r="E272" s="147">
        <f t="shared" ref="E272:Q272" si="154">E255+E271</f>
        <v>257.914906242006</v>
      </c>
      <c r="F272" s="147">
        <f t="shared" si="154"/>
        <v>280.180174233237</v>
      </c>
      <c r="G272" s="147">
        <f t="shared" si="154"/>
        <v>235.225523724751</v>
      </c>
      <c r="H272" s="147">
        <f t="shared" si="154"/>
        <v>228.780695804465</v>
      </c>
      <c r="I272" s="147">
        <f t="shared" si="154"/>
        <v>204.099471689445</v>
      </c>
      <c r="J272" s="147">
        <f t="shared" si="154"/>
        <v>218.279201918281</v>
      </c>
      <c r="K272" s="147">
        <f t="shared" si="154"/>
        <v>207.786358941384</v>
      </c>
      <c r="L272" s="147">
        <f t="shared" si="154"/>
        <v>230.006648184207</v>
      </c>
      <c r="M272" s="147">
        <f t="shared" si="154"/>
        <v>221.243201436578</v>
      </c>
      <c r="N272" s="147">
        <f t="shared" si="154"/>
        <v>230.117554188456</v>
      </c>
      <c r="O272" s="147">
        <f t="shared" si="154"/>
        <v>237.528631729938</v>
      </c>
      <c r="P272" s="147">
        <f t="shared" si="154"/>
        <v>281.491638642216</v>
      </c>
      <c r="Q272" s="316">
        <f t="shared" si="154"/>
        <v>2832.65400673496</v>
      </c>
      <c r="R272" s="686"/>
    </row>
    <row r="273" ht="15" spans="3:17">
      <c r="C273" s="663" t="s">
        <v>396</v>
      </c>
      <c r="D273" s="676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</row>
    <row r="274" spans="3:17">
      <c r="C274" s="55" t="s">
        <v>397</v>
      </c>
      <c r="D274" s="55" t="s">
        <v>397</v>
      </c>
      <c r="E274" s="147">
        <f>'[39]TGSPDCL MoD'!U23</f>
        <v>18.9598391038162</v>
      </c>
      <c r="F274" s="147">
        <f>'[39]TGSPDCL MoD'!V23</f>
        <v>19.4843131126462</v>
      </c>
      <c r="G274" s="147">
        <f>'[39]TGSPDCL MoD'!W23</f>
        <v>18.9598391038162</v>
      </c>
      <c r="H274" s="147">
        <f>'[39]TGSPDCL MoD'!X23</f>
        <v>20.0057457210455</v>
      </c>
      <c r="I274" s="147">
        <f>'[39]TGSPDCL MoD'!Y23</f>
        <v>16.2805378971267</v>
      </c>
      <c r="J274" s="147">
        <f>'[39]TGSPDCL MoD'!Z23</f>
        <v>18.1587191416831</v>
      </c>
      <c r="K274" s="147">
        <f>'[39]TGSPDCL MoD'!AA23</f>
        <v>15.4527139362558</v>
      </c>
      <c r="L274" s="147">
        <f>'[39]TGSPDCL MoD'!AB23</f>
        <v>18.9598391038162</v>
      </c>
      <c r="M274" s="147">
        <f>'[39]TGSPDCL MoD'!AC23</f>
        <v>19.59183374061</v>
      </c>
      <c r="N274" s="147">
        <f>'[39]TGSPDCL MoD'!AD23</f>
        <v>18.1803908007357</v>
      </c>
      <c r="O274" s="147">
        <f>'[39]TGSPDCL MoD'!AE23</f>
        <v>16.8228108003757</v>
      </c>
      <c r="P274" s="147">
        <f>'[39]TGSPDCL MoD'!AF23</f>
        <v>20.7757209480612</v>
      </c>
      <c r="Q274" s="55">
        <f t="shared" ref="Q274:Q281" si="155">SUM(E274:P274)</f>
        <v>221.632303409988</v>
      </c>
    </row>
    <row r="275" spans="3:17">
      <c r="C275" s="55" t="s">
        <v>398</v>
      </c>
      <c r="D275" s="55" t="s">
        <v>398</v>
      </c>
      <c r="E275" s="55">
        <v>0</v>
      </c>
      <c r="F275" s="55">
        <v>0</v>
      </c>
      <c r="G275" s="55">
        <v>0</v>
      </c>
      <c r="H275" s="55">
        <v>0</v>
      </c>
      <c r="I275" s="55">
        <v>0</v>
      </c>
      <c r="J275" s="55">
        <v>0</v>
      </c>
      <c r="K275" s="55">
        <v>0</v>
      </c>
      <c r="L275" s="55">
        <v>0</v>
      </c>
      <c r="M275" s="55">
        <v>0</v>
      </c>
      <c r="N275" s="55">
        <v>0</v>
      </c>
      <c r="O275" s="55">
        <v>0</v>
      </c>
      <c r="P275" s="55">
        <v>0</v>
      </c>
      <c r="Q275" s="55">
        <f t="shared" si="155"/>
        <v>0</v>
      </c>
    </row>
    <row r="276" spans="3:17"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>
        <f t="shared" si="155"/>
        <v>0</v>
      </c>
    </row>
    <row r="277" spans="3:17"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>
        <f t="shared" si="155"/>
        <v>0</v>
      </c>
    </row>
    <row r="278" spans="3:17"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>
        <f t="shared" si="155"/>
        <v>0</v>
      </c>
    </row>
    <row r="279" spans="3:17"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>
        <f t="shared" si="155"/>
        <v>0</v>
      </c>
    </row>
    <row r="280" spans="3:17"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>
        <f t="shared" si="155"/>
        <v>0</v>
      </c>
    </row>
    <row r="281" ht="15" spans="3:18">
      <c r="C281" s="44" t="s">
        <v>399</v>
      </c>
      <c r="D281" s="45"/>
      <c r="E281" s="147">
        <f t="shared" ref="E281:P281" si="156">SUM(E274:E280)</f>
        <v>18.9598391038162</v>
      </c>
      <c r="F281" s="147">
        <f t="shared" si="156"/>
        <v>19.4843131126462</v>
      </c>
      <c r="G281" s="147">
        <f t="shared" si="156"/>
        <v>18.9598391038162</v>
      </c>
      <c r="H281" s="147">
        <f t="shared" si="156"/>
        <v>20.0057457210455</v>
      </c>
      <c r="I281" s="147">
        <f t="shared" si="156"/>
        <v>16.2805378971267</v>
      </c>
      <c r="J281" s="147">
        <f t="shared" si="156"/>
        <v>18.1587191416831</v>
      </c>
      <c r="K281" s="147">
        <f t="shared" si="156"/>
        <v>15.4527139362558</v>
      </c>
      <c r="L281" s="147">
        <f t="shared" si="156"/>
        <v>18.9598391038162</v>
      </c>
      <c r="M281" s="147">
        <f t="shared" si="156"/>
        <v>19.59183374061</v>
      </c>
      <c r="N281" s="147">
        <f t="shared" si="156"/>
        <v>18.1803908007357</v>
      </c>
      <c r="O281" s="147">
        <f t="shared" si="156"/>
        <v>16.8228108003757</v>
      </c>
      <c r="P281" s="147">
        <f t="shared" si="156"/>
        <v>20.7757209480612</v>
      </c>
      <c r="Q281" s="316">
        <f t="shared" si="155"/>
        <v>221.632303409988</v>
      </c>
      <c r="R281" s="686"/>
    </row>
    <row r="282" ht="15" spans="3:17">
      <c r="C282" s="663" t="s">
        <v>400</v>
      </c>
      <c r="D282" s="676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</row>
    <row r="283" spans="3:17">
      <c r="C283" s="55" t="s">
        <v>401</v>
      </c>
      <c r="D283" s="55" t="s">
        <v>401</v>
      </c>
      <c r="E283" s="147">
        <f>'[39]TGSPDCL MoD'!U20+'[39]TGSPDCL MoD'!U21+'[39]TGSPDCL MoD'!U22</f>
        <v>94.0003873766562</v>
      </c>
      <c r="F283" s="147">
        <f>'[39]TGSPDCL MoD'!V20+'[39]TGSPDCL MoD'!V21+'[39]TGSPDCL MoD'!V22</f>
        <v>53.9999863613667</v>
      </c>
      <c r="G283" s="147">
        <f>'[39]TGSPDCL MoD'!W20+'[39]TGSPDCL MoD'!W21+'[39]TGSPDCL MoD'!W22</f>
        <v>25.6813188703642</v>
      </c>
      <c r="H283" s="147">
        <f>'[39]TGSPDCL MoD'!X20+'[39]TGSPDCL MoD'!X21+'[39]TGSPDCL MoD'!X22</f>
        <v>67.6241755289464</v>
      </c>
      <c r="I283" s="147">
        <f>'[39]TGSPDCL MoD'!Y20+'[39]TGSPDCL MoD'!Y21+'[39]TGSPDCL MoD'!Y22</f>
        <v>71.6747976856363</v>
      </c>
      <c r="J283" s="147">
        <f>'[39]TGSPDCL MoD'!Z20+'[39]TGSPDCL MoD'!Z21+'[39]TGSPDCL MoD'!Z22</f>
        <v>79.9681411156259</v>
      </c>
      <c r="K283" s="147">
        <f>'[39]TGSPDCL MoD'!AA20+'[39]TGSPDCL MoD'!AA21+'[39]TGSPDCL MoD'!AA22</f>
        <v>74.448478346574</v>
      </c>
      <c r="L283" s="147">
        <f>'[39]TGSPDCL MoD'!AB20+'[39]TGSPDCL MoD'!AB21+'[39]TGSPDCL MoD'!AB22</f>
        <v>104.86657250562</v>
      </c>
      <c r="M283" s="147">
        <f>'[39]TGSPDCL MoD'!AC20+'[39]TGSPDCL MoD'!AC21+'[39]TGSPDCL MoD'!AC22</f>
        <v>92.8666868726798</v>
      </c>
      <c r="N283" s="147">
        <f>'[39]TGSPDCL MoD'!AD20+'[39]TGSPDCL MoD'!AD21+'[39]TGSPDCL MoD'!AD22</f>
        <v>90.5173319661598</v>
      </c>
      <c r="O283" s="147">
        <f>'[39]TGSPDCL MoD'!AE20+'[39]TGSPDCL MoD'!AE21+'[39]TGSPDCL MoD'!AE22</f>
        <v>170.726284533489</v>
      </c>
      <c r="P283" s="147">
        <f>'[39]TGSPDCL MoD'!AF20+'[39]TGSPDCL MoD'!AF21+'[39]TGSPDCL MoD'!AF22</f>
        <v>204.224863836881</v>
      </c>
      <c r="Q283" s="147">
        <f t="shared" ref="Q283:Q291" si="157">SUM(E283:P283)</f>
        <v>1130.599025</v>
      </c>
    </row>
    <row r="284" spans="3:17">
      <c r="C284" s="55" t="s">
        <v>402</v>
      </c>
      <c r="D284" s="55" t="s">
        <v>402</v>
      </c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>
        <f t="shared" si="157"/>
        <v>0</v>
      </c>
    </row>
    <row r="285" spans="3:17">
      <c r="C285" s="55" t="s">
        <v>403</v>
      </c>
      <c r="D285" s="55" t="s">
        <v>403</v>
      </c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>
        <f t="shared" si="157"/>
        <v>0</v>
      </c>
    </row>
    <row r="286" spans="3:17"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>
        <f t="shared" si="157"/>
        <v>0</v>
      </c>
    </row>
    <row r="287" spans="3:17"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>
        <f t="shared" si="157"/>
        <v>0</v>
      </c>
    </row>
    <row r="288" spans="3:17"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>
        <f t="shared" si="157"/>
        <v>0</v>
      </c>
    </row>
    <row r="289" spans="3:17"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>
        <f t="shared" si="157"/>
        <v>0</v>
      </c>
    </row>
    <row r="290" spans="3:17"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>
        <f t="shared" si="157"/>
        <v>0</v>
      </c>
    </row>
    <row r="291" ht="15" spans="3:18">
      <c r="C291" s="44" t="s">
        <v>404</v>
      </c>
      <c r="D291" s="45"/>
      <c r="E291" s="147">
        <f t="shared" ref="E291:P291" si="158">SUM(E283:E290)</f>
        <v>94.0003873766562</v>
      </c>
      <c r="F291" s="147">
        <f t="shared" si="158"/>
        <v>53.9999863613667</v>
      </c>
      <c r="G291" s="147">
        <f t="shared" si="158"/>
        <v>25.6813188703642</v>
      </c>
      <c r="H291" s="147">
        <f t="shared" si="158"/>
        <v>67.6241755289464</v>
      </c>
      <c r="I291" s="147">
        <f t="shared" si="158"/>
        <v>71.6747976856363</v>
      </c>
      <c r="J291" s="147">
        <f t="shared" si="158"/>
        <v>79.9681411156259</v>
      </c>
      <c r="K291" s="147">
        <f t="shared" si="158"/>
        <v>74.448478346574</v>
      </c>
      <c r="L291" s="147">
        <f t="shared" si="158"/>
        <v>104.86657250562</v>
      </c>
      <c r="M291" s="147">
        <f t="shared" si="158"/>
        <v>92.8666868726798</v>
      </c>
      <c r="N291" s="147">
        <f t="shared" si="158"/>
        <v>90.5173319661598</v>
      </c>
      <c r="O291" s="147">
        <f t="shared" si="158"/>
        <v>170.726284533489</v>
      </c>
      <c r="P291" s="147">
        <f t="shared" si="158"/>
        <v>204.224863836881</v>
      </c>
      <c r="Q291" s="316">
        <f t="shared" si="157"/>
        <v>1130.599025</v>
      </c>
      <c r="R291" s="686"/>
    </row>
    <row r="292" ht="15" spans="3:17">
      <c r="C292" s="663" t="s">
        <v>405</v>
      </c>
      <c r="D292" s="676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</row>
    <row r="293" spans="3:17">
      <c r="C293" s="55"/>
      <c r="D293" s="55" t="s">
        <v>406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f t="shared" ref="Q293:Q317" si="159">SUM(E293:P293)</f>
        <v>0</v>
      </c>
    </row>
    <row r="294" spans="3:17">
      <c r="C294" s="55"/>
      <c r="D294" s="55" t="s">
        <v>407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0</v>
      </c>
      <c r="P294" s="55">
        <v>0</v>
      </c>
      <c r="Q294" s="55">
        <f t="shared" si="159"/>
        <v>0</v>
      </c>
    </row>
    <row r="295" spans="3:17">
      <c r="C295" s="55"/>
      <c r="D295" s="55" t="s">
        <v>408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f t="shared" si="159"/>
        <v>0</v>
      </c>
    </row>
    <row r="296" spans="3:17">
      <c r="C296" s="55"/>
      <c r="D296" s="55" t="s">
        <v>409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f t="shared" si="159"/>
        <v>0</v>
      </c>
    </row>
    <row r="297" spans="3:17">
      <c r="C297" s="55"/>
      <c r="D297" s="55" t="s">
        <v>410</v>
      </c>
      <c r="E297" s="55">
        <v>0</v>
      </c>
      <c r="F297" s="55">
        <v>0</v>
      </c>
      <c r="G297" s="55">
        <v>0</v>
      </c>
      <c r="H297" s="55">
        <v>0</v>
      </c>
      <c r="I297" s="55">
        <v>0</v>
      </c>
      <c r="J297" s="55">
        <v>0</v>
      </c>
      <c r="K297" s="55">
        <v>0</v>
      </c>
      <c r="L297" s="55">
        <v>0</v>
      </c>
      <c r="M297" s="55">
        <v>0</v>
      </c>
      <c r="N297" s="55">
        <v>0</v>
      </c>
      <c r="O297" s="55">
        <v>0</v>
      </c>
      <c r="P297" s="55">
        <v>0</v>
      </c>
      <c r="Q297" s="55">
        <f t="shared" si="159"/>
        <v>0</v>
      </c>
    </row>
    <row r="298" spans="3:17">
      <c r="C298" s="55"/>
      <c r="D298" s="55" t="s">
        <v>368</v>
      </c>
      <c r="E298" s="55">
        <v>0</v>
      </c>
      <c r="F298" s="55">
        <v>0</v>
      </c>
      <c r="G298" s="55">
        <v>0</v>
      </c>
      <c r="H298" s="55">
        <v>0</v>
      </c>
      <c r="I298" s="55">
        <v>0</v>
      </c>
      <c r="J298" s="55">
        <v>0</v>
      </c>
      <c r="K298" s="55">
        <v>0</v>
      </c>
      <c r="L298" s="55">
        <v>0</v>
      </c>
      <c r="M298" s="55">
        <v>0</v>
      </c>
      <c r="N298" s="55">
        <v>0</v>
      </c>
      <c r="O298" s="55">
        <v>0</v>
      </c>
      <c r="P298" s="55">
        <v>0</v>
      </c>
      <c r="Q298" s="55">
        <f t="shared" si="159"/>
        <v>0</v>
      </c>
    </row>
    <row r="299" spans="3:17">
      <c r="C299" s="55"/>
      <c r="D299" s="55" t="s">
        <v>411</v>
      </c>
      <c r="E299" s="55">
        <v>0</v>
      </c>
      <c r="F299" s="55">
        <v>0</v>
      </c>
      <c r="G299" s="55">
        <v>0</v>
      </c>
      <c r="H299" s="55">
        <v>0</v>
      </c>
      <c r="I299" s="55">
        <v>0</v>
      </c>
      <c r="J299" s="55">
        <v>0</v>
      </c>
      <c r="K299" s="55">
        <v>0</v>
      </c>
      <c r="L299" s="55">
        <v>0</v>
      </c>
      <c r="M299" s="55">
        <v>0</v>
      </c>
      <c r="N299" s="55">
        <v>0</v>
      </c>
      <c r="O299" s="55">
        <v>0</v>
      </c>
      <c r="P299" s="55">
        <v>0</v>
      </c>
      <c r="Q299" s="55">
        <f t="shared" si="159"/>
        <v>0</v>
      </c>
    </row>
    <row r="300" spans="3:17">
      <c r="C300" s="55"/>
      <c r="D300" s="55" t="s">
        <v>412</v>
      </c>
      <c r="E300" s="55">
        <v>0</v>
      </c>
      <c r="F300" s="55">
        <v>0</v>
      </c>
      <c r="G300" s="55">
        <v>0</v>
      </c>
      <c r="H300" s="55">
        <v>0</v>
      </c>
      <c r="I300" s="55">
        <v>0</v>
      </c>
      <c r="J300" s="55">
        <v>0</v>
      </c>
      <c r="K300" s="55">
        <v>0</v>
      </c>
      <c r="L300" s="55">
        <v>0</v>
      </c>
      <c r="M300" s="55">
        <v>0</v>
      </c>
      <c r="N300" s="55">
        <v>0</v>
      </c>
      <c r="O300" s="55">
        <v>0</v>
      </c>
      <c r="P300" s="55">
        <v>0</v>
      </c>
      <c r="Q300" s="55">
        <f t="shared" si="159"/>
        <v>0</v>
      </c>
    </row>
    <row r="301" spans="3:17">
      <c r="C301" s="55"/>
      <c r="D301" s="55" t="s">
        <v>413</v>
      </c>
      <c r="E301" s="55">
        <v>0</v>
      </c>
      <c r="F301" s="55">
        <v>0</v>
      </c>
      <c r="G301" s="55">
        <v>0</v>
      </c>
      <c r="H301" s="55">
        <v>0</v>
      </c>
      <c r="I301" s="55">
        <v>0</v>
      </c>
      <c r="J301" s="55">
        <v>0</v>
      </c>
      <c r="K301" s="55">
        <v>0</v>
      </c>
      <c r="L301" s="55">
        <v>0</v>
      </c>
      <c r="M301" s="55">
        <v>0</v>
      </c>
      <c r="N301" s="55">
        <v>0</v>
      </c>
      <c r="O301" s="55">
        <v>0</v>
      </c>
      <c r="P301" s="55">
        <v>0</v>
      </c>
      <c r="Q301" s="55">
        <f t="shared" si="159"/>
        <v>0</v>
      </c>
    </row>
    <row r="302" spans="3:17">
      <c r="C302" s="55"/>
      <c r="D302" s="55" t="s">
        <v>414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f t="shared" si="159"/>
        <v>0</v>
      </c>
    </row>
    <row r="303" spans="3:17">
      <c r="C303" s="55"/>
      <c r="D303" s="55" t="s">
        <v>415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f t="shared" si="159"/>
        <v>0</v>
      </c>
    </row>
    <row r="304" spans="3:17">
      <c r="C304" s="55"/>
      <c r="D304" s="55" t="s">
        <v>416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f t="shared" si="159"/>
        <v>0</v>
      </c>
    </row>
    <row r="305" spans="3:17">
      <c r="C305" s="55"/>
      <c r="D305" s="55" t="s">
        <v>417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f t="shared" si="159"/>
        <v>0</v>
      </c>
    </row>
    <row r="306" spans="3:17">
      <c r="C306" s="55"/>
      <c r="D306" s="55" t="s">
        <v>418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f t="shared" si="159"/>
        <v>0</v>
      </c>
    </row>
    <row r="307" spans="3:17">
      <c r="C307" s="55"/>
      <c r="D307" s="687" t="s">
        <v>419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f t="shared" si="159"/>
        <v>0</v>
      </c>
    </row>
    <row r="308" spans="3:17">
      <c r="C308" s="55"/>
      <c r="D308" s="687" t="s">
        <v>420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f t="shared" si="159"/>
        <v>0</v>
      </c>
    </row>
    <row r="309" spans="3:17"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>
        <f t="shared" si="159"/>
        <v>0</v>
      </c>
    </row>
    <row r="310" spans="3:17"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>
        <f t="shared" si="159"/>
        <v>0</v>
      </c>
    </row>
    <row r="311" spans="3:17"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>
        <f t="shared" si="159"/>
        <v>0</v>
      </c>
    </row>
    <row r="312" spans="3:17"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>
        <f t="shared" si="159"/>
        <v>0</v>
      </c>
    </row>
    <row r="313" spans="3:17"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>
        <f t="shared" si="159"/>
        <v>0</v>
      </c>
    </row>
    <row r="314" spans="3:17"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>
        <f t="shared" si="159"/>
        <v>0</v>
      </c>
    </row>
    <row r="315" spans="3:17"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>
        <f t="shared" si="159"/>
        <v>0</v>
      </c>
    </row>
    <row r="316" spans="3:17"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>
        <f t="shared" si="159"/>
        <v>0</v>
      </c>
    </row>
    <row r="317" ht="15" spans="3:17">
      <c r="C317" s="44" t="s">
        <v>421</v>
      </c>
      <c r="D317" s="45"/>
      <c r="E317" s="55">
        <f t="shared" ref="E317:P317" si="160">SUM(E293:E316)</f>
        <v>0</v>
      </c>
      <c r="F317" s="55">
        <f t="shared" si="160"/>
        <v>0</v>
      </c>
      <c r="G317" s="55">
        <f t="shared" si="160"/>
        <v>0</v>
      </c>
      <c r="H317" s="55">
        <f t="shared" si="160"/>
        <v>0</v>
      </c>
      <c r="I317" s="55">
        <f t="shared" si="160"/>
        <v>0</v>
      </c>
      <c r="J317" s="55">
        <f t="shared" si="160"/>
        <v>0</v>
      </c>
      <c r="K317" s="55">
        <f t="shared" si="160"/>
        <v>0</v>
      </c>
      <c r="L317" s="55">
        <f t="shared" si="160"/>
        <v>0</v>
      </c>
      <c r="M317" s="55">
        <f t="shared" si="160"/>
        <v>0</v>
      </c>
      <c r="N317" s="55">
        <f t="shared" si="160"/>
        <v>0</v>
      </c>
      <c r="O317" s="55">
        <f t="shared" si="160"/>
        <v>0</v>
      </c>
      <c r="P317" s="55">
        <f t="shared" si="160"/>
        <v>0</v>
      </c>
      <c r="Q317" s="316">
        <f t="shared" si="159"/>
        <v>0</v>
      </c>
    </row>
    <row r="318" ht="15" spans="3:17">
      <c r="C318" s="663" t="s">
        <v>422</v>
      </c>
      <c r="D318" s="676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</row>
    <row r="319" spans="3:17">
      <c r="C319" s="55"/>
      <c r="D319" s="55" t="s">
        <v>423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f>SUM(E319:P319)</f>
        <v>0</v>
      </c>
    </row>
    <row r="320" spans="3:17"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>
        <f>SUM(E320:P320)</f>
        <v>0</v>
      </c>
    </row>
    <row r="321" spans="3:17"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>
        <f>SUM(E321:P321)</f>
        <v>0</v>
      </c>
    </row>
    <row r="322" spans="3:17"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>
        <f>SUM(E322:P322)</f>
        <v>0</v>
      </c>
    </row>
    <row r="323" spans="3:17"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</row>
    <row r="324" spans="3:17">
      <c r="C324" s="55"/>
      <c r="D324" s="679" t="s">
        <v>534</v>
      </c>
      <c r="E324" s="55">
        <v>0</v>
      </c>
      <c r="F324" s="55">
        <v>0</v>
      </c>
      <c r="G324" s="55">
        <v>0</v>
      </c>
      <c r="H324" s="55">
        <v>0</v>
      </c>
      <c r="I324" s="55">
        <v>0</v>
      </c>
      <c r="J324" s="55">
        <v>0</v>
      </c>
      <c r="K324" s="55">
        <v>0</v>
      </c>
      <c r="L324" s="55">
        <v>0</v>
      </c>
      <c r="M324" s="55">
        <v>0</v>
      </c>
      <c r="N324" s="55">
        <v>0</v>
      </c>
      <c r="O324" s="55">
        <v>0</v>
      </c>
      <c r="P324" s="55">
        <v>0</v>
      </c>
      <c r="Q324" s="55"/>
    </row>
    <row r="325" spans="3:17">
      <c r="C325" s="55"/>
      <c r="D325" s="679" t="s">
        <v>535</v>
      </c>
      <c r="E325" s="55">
        <v>0</v>
      </c>
      <c r="F325" s="55">
        <v>0</v>
      </c>
      <c r="G325" s="55">
        <v>0</v>
      </c>
      <c r="H325" s="55">
        <v>0</v>
      </c>
      <c r="I325" s="55">
        <v>0</v>
      </c>
      <c r="J325" s="55">
        <v>0</v>
      </c>
      <c r="K325" s="55">
        <v>0</v>
      </c>
      <c r="L325" s="55">
        <v>0</v>
      </c>
      <c r="M325" s="55">
        <v>0</v>
      </c>
      <c r="N325" s="55">
        <v>0</v>
      </c>
      <c r="O325" s="55">
        <v>0</v>
      </c>
      <c r="P325" s="55">
        <v>0</v>
      </c>
      <c r="Q325" s="55"/>
    </row>
    <row r="326" spans="3:17">
      <c r="C326" s="55"/>
      <c r="D326" s="679" t="s">
        <v>502</v>
      </c>
      <c r="E326" s="55">
        <v>0</v>
      </c>
      <c r="F326" s="55">
        <v>0</v>
      </c>
      <c r="G326" s="55">
        <v>0</v>
      </c>
      <c r="H326" s="55">
        <v>0</v>
      </c>
      <c r="I326" s="55">
        <v>0</v>
      </c>
      <c r="J326" s="55">
        <v>0</v>
      </c>
      <c r="K326" s="55">
        <v>0</v>
      </c>
      <c r="L326" s="55">
        <v>0</v>
      </c>
      <c r="M326" s="55">
        <v>0</v>
      </c>
      <c r="N326" s="55">
        <v>0</v>
      </c>
      <c r="O326" s="55">
        <v>0</v>
      </c>
      <c r="P326" s="55">
        <v>0</v>
      </c>
      <c r="Q326" s="55"/>
    </row>
    <row r="327" spans="3:17">
      <c r="C327" s="55"/>
      <c r="D327" s="679" t="s">
        <v>503</v>
      </c>
      <c r="E327" s="55">
        <v>0</v>
      </c>
      <c r="F327" s="55">
        <v>0</v>
      </c>
      <c r="G327" s="55">
        <v>0</v>
      </c>
      <c r="H327" s="55">
        <v>0</v>
      </c>
      <c r="I327" s="55">
        <v>0</v>
      </c>
      <c r="J327" s="55">
        <v>0</v>
      </c>
      <c r="K327" s="55">
        <v>0</v>
      </c>
      <c r="L327" s="55">
        <v>0</v>
      </c>
      <c r="M327" s="55">
        <v>0</v>
      </c>
      <c r="N327" s="55">
        <v>0</v>
      </c>
      <c r="O327" s="55">
        <v>0</v>
      </c>
      <c r="P327" s="55">
        <v>0</v>
      </c>
      <c r="Q327" s="55"/>
    </row>
    <row r="328" spans="3:17">
      <c r="C328" s="55"/>
      <c r="D328" s="688" t="s">
        <v>504</v>
      </c>
      <c r="E328" s="55">
        <v>0</v>
      </c>
      <c r="F328" s="55">
        <v>0</v>
      </c>
      <c r="G328" s="55">
        <v>0</v>
      </c>
      <c r="H328" s="55">
        <v>0</v>
      </c>
      <c r="I328" s="55">
        <v>0</v>
      </c>
      <c r="J328" s="55">
        <v>0</v>
      </c>
      <c r="K328" s="55">
        <v>0</v>
      </c>
      <c r="L328" s="55">
        <v>0</v>
      </c>
      <c r="M328" s="55">
        <v>0</v>
      </c>
      <c r="N328" s="55">
        <v>0</v>
      </c>
      <c r="O328" s="55">
        <v>0</v>
      </c>
      <c r="P328" s="55">
        <v>0</v>
      </c>
      <c r="Q328" s="55"/>
    </row>
    <row r="329" spans="3:17">
      <c r="C329" s="55"/>
      <c r="D329" s="679" t="s">
        <v>505</v>
      </c>
      <c r="E329" s="55">
        <v>0</v>
      </c>
      <c r="F329" s="55">
        <v>0</v>
      </c>
      <c r="G329" s="55">
        <v>0</v>
      </c>
      <c r="H329" s="55">
        <v>0</v>
      </c>
      <c r="I329" s="55">
        <v>0</v>
      </c>
      <c r="J329" s="55">
        <v>0</v>
      </c>
      <c r="K329" s="55">
        <v>0</v>
      </c>
      <c r="L329" s="55">
        <v>0</v>
      </c>
      <c r="M329" s="55">
        <v>0</v>
      </c>
      <c r="N329" s="55">
        <v>0</v>
      </c>
      <c r="O329" s="55">
        <v>0</v>
      </c>
      <c r="P329" s="55">
        <v>0</v>
      </c>
      <c r="Q329" s="55"/>
    </row>
    <row r="330" spans="3:17">
      <c r="C330" s="55"/>
      <c r="D330" s="679" t="s">
        <v>506</v>
      </c>
      <c r="E330" s="55">
        <v>0</v>
      </c>
      <c r="F330" s="55">
        <v>0</v>
      </c>
      <c r="G330" s="55">
        <v>0</v>
      </c>
      <c r="H330" s="55">
        <v>0</v>
      </c>
      <c r="I330" s="55">
        <v>0</v>
      </c>
      <c r="J330" s="55">
        <v>0</v>
      </c>
      <c r="K330" s="55">
        <v>0</v>
      </c>
      <c r="L330" s="55">
        <v>0</v>
      </c>
      <c r="M330" s="55">
        <v>0</v>
      </c>
      <c r="N330" s="55">
        <v>0</v>
      </c>
      <c r="O330" s="55">
        <v>0</v>
      </c>
      <c r="P330" s="55">
        <v>0</v>
      </c>
      <c r="Q330" s="55"/>
    </row>
    <row r="331" spans="3:17">
      <c r="C331" s="55"/>
      <c r="D331" s="679" t="s">
        <v>507</v>
      </c>
      <c r="E331" s="55">
        <v>0</v>
      </c>
      <c r="F331" s="55">
        <v>0</v>
      </c>
      <c r="G331" s="55">
        <v>0</v>
      </c>
      <c r="H331" s="55">
        <v>0</v>
      </c>
      <c r="I331" s="55">
        <v>0</v>
      </c>
      <c r="J331" s="55">
        <v>0</v>
      </c>
      <c r="K331" s="55">
        <v>0</v>
      </c>
      <c r="L331" s="55">
        <v>0</v>
      </c>
      <c r="M331" s="55">
        <v>0</v>
      </c>
      <c r="N331" s="55">
        <v>0</v>
      </c>
      <c r="O331" s="55">
        <v>0</v>
      </c>
      <c r="P331" s="55">
        <v>0</v>
      </c>
      <c r="Q331" s="55"/>
    </row>
    <row r="332" spans="3:17">
      <c r="C332" s="55"/>
      <c r="D332" s="679" t="s">
        <v>508</v>
      </c>
      <c r="E332" s="55">
        <v>0</v>
      </c>
      <c r="F332" s="55">
        <v>0</v>
      </c>
      <c r="G332" s="55">
        <v>0</v>
      </c>
      <c r="H332" s="55">
        <v>0</v>
      </c>
      <c r="I332" s="55">
        <v>0</v>
      </c>
      <c r="J332" s="55">
        <v>0</v>
      </c>
      <c r="K332" s="55">
        <v>0</v>
      </c>
      <c r="L332" s="55">
        <v>0</v>
      </c>
      <c r="M332" s="55">
        <v>0</v>
      </c>
      <c r="N332" s="55">
        <v>0</v>
      </c>
      <c r="O332" s="55">
        <v>0</v>
      </c>
      <c r="P332" s="55">
        <v>0</v>
      </c>
      <c r="Q332" s="55"/>
    </row>
    <row r="333" spans="3:17">
      <c r="C333" s="55"/>
      <c r="D333" s="679" t="s">
        <v>509</v>
      </c>
      <c r="E333" s="55">
        <v>0</v>
      </c>
      <c r="F333" s="55">
        <v>0</v>
      </c>
      <c r="G333" s="55">
        <v>0</v>
      </c>
      <c r="H333" s="55">
        <v>0</v>
      </c>
      <c r="I333" s="55">
        <v>0</v>
      </c>
      <c r="J333" s="55">
        <v>0</v>
      </c>
      <c r="K333" s="55">
        <v>0</v>
      </c>
      <c r="L333" s="55">
        <v>0</v>
      </c>
      <c r="M333" s="55">
        <v>0</v>
      </c>
      <c r="N333" s="55">
        <v>0</v>
      </c>
      <c r="O333" s="55">
        <v>0</v>
      </c>
      <c r="P333" s="55">
        <v>0</v>
      </c>
      <c r="Q333" s="55"/>
    </row>
    <row r="334" spans="3:17">
      <c r="C334" s="55"/>
      <c r="D334" s="679" t="s">
        <v>510</v>
      </c>
      <c r="E334" s="55">
        <v>0</v>
      </c>
      <c r="F334" s="55">
        <v>0</v>
      </c>
      <c r="G334" s="55">
        <v>0</v>
      </c>
      <c r="H334" s="55">
        <v>0</v>
      </c>
      <c r="I334" s="55">
        <v>0</v>
      </c>
      <c r="J334" s="55">
        <v>0</v>
      </c>
      <c r="K334" s="55">
        <v>0</v>
      </c>
      <c r="L334" s="55">
        <v>0</v>
      </c>
      <c r="M334" s="55">
        <v>0</v>
      </c>
      <c r="N334" s="55">
        <v>0</v>
      </c>
      <c r="O334" s="55">
        <v>0</v>
      </c>
      <c r="P334" s="55">
        <v>0</v>
      </c>
      <c r="Q334" s="55"/>
    </row>
    <row r="335" spans="3:17">
      <c r="C335" s="55"/>
      <c r="D335" s="679" t="s">
        <v>511</v>
      </c>
      <c r="E335" s="55">
        <v>0</v>
      </c>
      <c r="F335" s="55">
        <v>0</v>
      </c>
      <c r="G335" s="55">
        <v>0</v>
      </c>
      <c r="H335" s="55">
        <v>0</v>
      </c>
      <c r="I335" s="55">
        <v>0</v>
      </c>
      <c r="J335" s="55">
        <v>0</v>
      </c>
      <c r="K335" s="55">
        <v>0</v>
      </c>
      <c r="L335" s="55">
        <v>0</v>
      </c>
      <c r="M335" s="55">
        <v>0</v>
      </c>
      <c r="N335" s="55">
        <v>0</v>
      </c>
      <c r="O335" s="55">
        <v>0</v>
      </c>
      <c r="P335" s="55">
        <v>0</v>
      </c>
      <c r="Q335" s="55"/>
    </row>
    <row r="336" spans="3:17">
      <c r="C336" s="55"/>
      <c r="D336" s="679" t="s">
        <v>512</v>
      </c>
      <c r="E336" s="55">
        <v>0</v>
      </c>
      <c r="F336" s="55">
        <v>0</v>
      </c>
      <c r="G336" s="55">
        <v>0</v>
      </c>
      <c r="H336" s="55">
        <v>0</v>
      </c>
      <c r="I336" s="55">
        <v>0</v>
      </c>
      <c r="J336" s="55">
        <v>0</v>
      </c>
      <c r="K336" s="55">
        <v>0</v>
      </c>
      <c r="L336" s="55">
        <v>0</v>
      </c>
      <c r="M336" s="55">
        <v>0</v>
      </c>
      <c r="N336" s="55">
        <v>0</v>
      </c>
      <c r="O336" s="55">
        <v>0</v>
      </c>
      <c r="P336" s="55">
        <v>0</v>
      </c>
      <c r="Q336" s="55"/>
    </row>
    <row r="337" spans="3:17"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</row>
    <row r="338" spans="3:17"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>
        <f t="shared" ref="Q338:Q348" si="161">SUM(E338:P338)</f>
        <v>0</v>
      </c>
    </row>
    <row r="339" spans="3:17"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>
        <f t="shared" si="161"/>
        <v>0</v>
      </c>
    </row>
    <row r="340" spans="3:17"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>
        <f t="shared" si="161"/>
        <v>0</v>
      </c>
    </row>
    <row r="341" spans="3:17"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>
        <f t="shared" si="161"/>
        <v>0</v>
      </c>
    </row>
    <row r="342" spans="3:17"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>
        <f t="shared" si="161"/>
        <v>0</v>
      </c>
    </row>
    <row r="343" spans="3:17"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>
        <f t="shared" si="161"/>
        <v>0</v>
      </c>
    </row>
    <row r="344" spans="3:17"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>
        <f t="shared" si="161"/>
        <v>0</v>
      </c>
    </row>
    <row r="345" ht="15" spans="3:17">
      <c r="C345" s="44" t="s">
        <v>424</v>
      </c>
      <c r="D345" s="45"/>
      <c r="E345" s="55">
        <f t="shared" ref="E345:P345" si="162">SUM(E319:E344)</f>
        <v>0</v>
      </c>
      <c r="F345" s="55">
        <f t="shared" si="162"/>
        <v>0</v>
      </c>
      <c r="G345" s="55">
        <f t="shared" si="162"/>
        <v>0</v>
      </c>
      <c r="H345" s="55">
        <f t="shared" si="162"/>
        <v>0</v>
      </c>
      <c r="I345" s="55">
        <f t="shared" si="162"/>
        <v>0</v>
      </c>
      <c r="J345" s="55">
        <f t="shared" si="162"/>
        <v>0</v>
      </c>
      <c r="K345" s="55">
        <f t="shared" si="162"/>
        <v>0</v>
      </c>
      <c r="L345" s="55">
        <f t="shared" si="162"/>
        <v>0</v>
      </c>
      <c r="M345" s="55">
        <f t="shared" si="162"/>
        <v>0</v>
      </c>
      <c r="N345" s="55">
        <f t="shared" si="162"/>
        <v>0</v>
      </c>
      <c r="O345" s="55">
        <f t="shared" si="162"/>
        <v>0</v>
      </c>
      <c r="P345" s="55">
        <f t="shared" si="162"/>
        <v>0</v>
      </c>
      <c r="Q345" s="316">
        <f t="shared" si="161"/>
        <v>0</v>
      </c>
    </row>
    <row r="346" ht="15" spans="3:17">
      <c r="C346" s="663" t="s">
        <v>425</v>
      </c>
      <c r="D346" s="676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</row>
    <row r="347" spans="3:17">
      <c r="C347" s="55" t="s">
        <v>426</v>
      </c>
      <c r="D347" s="55" t="s">
        <v>427</v>
      </c>
      <c r="E347" s="55">
        <v>0</v>
      </c>
      <c r="F347" s="55">
        <v>0</v>
      </c>
      <c r="G347" s="55">
        <v>0</v>
      </c>
      <c r="H347" s="55">
        <v>0</v>
      </c>
      <c r="I347" s="55">
        <v>0</v>
      </c>
      <c r="J347" s="55">
        <v>0</v>
      </c>
      <c r="K347" s="55">
        <v>0</v>
      </c>
      <c r="L347" s="55">
        <v>0</v>
      </c>
      <c r="M347" s="55">
        <v>0</v>
      </c>
      <c r="N347" s="55">
        <v>0</v>
      </c>
      <c r="O347" s="55">
        <v>0</v>
      </c>
      <c r="P347" s="55">
        <v>0</v>
      </c>
      <c r="Q347" s="55">
        <f t="shared" si="161"/>
        <v>0</v>
      </c>
    </row>
    <row r="348" spans="3:17">
      <c r="C348" s="55" t="s">
        <v>426</v>
      </c>
      <c r="D348" s="55" t="s">
        <v>428</v>
      </c>
      <c r="E348" s="55">
        <v>0</v>
      </c>
      <c r="F348" s="55">
        <v>0</v>
      </c>
      <c r="G348" s="55">
        <v>0</v>
      </c>
      <c r="H348" s="55">
        <v>0</v>
      </c>
      <c r="I348" s="55">
        <v>0</v>
      </c>
      <c r="J348" s="55">
        <v>0</v>
      </c>
      <c r="K348" s="55">
        <v>0</v>
      </c>
      <c r="L348" s="55">
        <v>0</v>
      </c>
      <c r="M348" s="55">
        <v>0</v>
      </c>
      <c r="N348" s="55">
        <v>0</v>
      </c>
      <c r="O348" s="55">
        <v>0</v>
      </c>
      <c r="P348" s="55">
        <v>0</v>
      </c>
      <c r="Q348" s="55">
        <f t="shared" si="161"/>
        <v>0</v>
      </c>
    </row>
    <row r="349" ht="15" spans="3:17">
      <c r="C349" s="44" t="s">
        <v>429</v>
      </c>
      <c r="D349" s="45"/>
      <c r="E349" s="55">
        <f>E347+E348</f>
        <v>0</v>
      </c>
      <c r="F349" s="55">
        <f t="shared" ref="F349:Q349" si="163">F347+F348</f>
        <v>0</v>
      </c>
      <c r="G349" s="55">
        <f t="shared" si="163"/>
        <v>0</v>
      </c>
      <c r="H349" s="55">
        <f t="shared" si="163"/>
        <v>0</v>
      </c>
      <c r="I349" s="55">
        <f t="shared" si="163"/>
        <v>0</v>
      </c>
      <c r="J349" s="55">
        <f t="shared" si="163"/>
        <v>0</v>
      </c>
      <c r="K349" s="55">
        <f t="shared" si="163"/>
        <v>0</v>
      </c>
      <c r="L349" s="55">
        <f t="shared" si="163"/>
        <v>0</v>
      </c>
      <c r="M349" s="55">
        <f t="shared" si="163"/>
        <v>0</v>
      </c>
      <c r="N349" s="55">
        <f t="shared" si="163"/>
        <v>0</v>
      </c>
      <c r="O349" s="55">
        <f t="shared" si="163"/>
        <v>0</v>
      </c>
      <c r="P349" s="55">
        <f t="shared" si="163"/>
        <v>0</v>
      </c>
      <c r="Q349" s="55">
        <f t="shared" si="163"/>
        <v>0</v>
      </c>
    </row>
    <row r="350" ht="15" spans="3:17">
      <c r="C350" s="44" t="s">
        <v>224</v>
      </c>
      <c r="D350" s="45"/>
      <c r="E350" s="147">
        <f t="shared" ref="E350:Q350" si="164">E226+E272+E281+E291+E317+E345+E349</f>
        <v>1308.45027787743</v>
      </c>
      <c r="F350" s="147">
        <f t="shared" si="164"/>
        <v>886.504404321416</v>
      </c>
      <c r="G350" s="147">
        <f t="shared" si="164"/>
        <v>931.11050305914</v>
      </c>
      <c r="H350" s="147">
        <f t="shared" si="164"/>
        <v>1111.1304800471</v>
      </c>
      <c r="I350" s="147">
        <f t="shared" si="164"/>
        <v>1274.3541162617</v>
      </c>
      <c r="J350" s="147">
        <f t="shared" si="164"/>
        <v>1250.84459848637</v>
      </c>
      <c r="K350" s="147">
        <f t="shared" si="164"/>
        <v>1171.79360377861</v>
      </c>
      <c r="L350" s="147">
        <f t="shared" si="164"/>
        <v>1102.50536668152</v>
      </c>
      <c r="M350" s="147">
        <f t="shared" si="164"/>
        <v>1210.89509533594</v>
      </c>
      <c r="N350" s="147">
        <f t="shared" si="164"/>
        <v>1361.54286515054</v>
      </c>
      <c r="O350" s="147">
        <f t="shared" si="164"/>
        <v>1378.25169362812</v>
      </c>
      <c r="P350" s="147">
        <f t="shared" si="164"/>
        <v>1547.24025054338</v>
      </c>
      <c r="Q350" s="316">
        <f t="shared" si="164"/>
        <v>15704.0247801713</v>
      </c>
    </row>
    <row r="351" ht="15" spans="4:5">
      <c r="D351" s="11"/>
      <c r="E351" s="11"/>
    </row>
    <row r="352" ht="15" spans="3:10">
      <c r="C352" s="11" t="s">
        <v>524</v>
      </c>
      <c r="J352" s="3"/>
    </row>
    <row r="353" ht="15" spans="3:17">
      <c r="C353" s="14"/>
      <c r="Q353" s="3" t="s">
        <v>109</v>
      </c>
    </row>
    <row r="354" ht="15" spans="3:17">
      <c r="C354" s="658" t="s">
        <v>345</v>
      </c>
      <c r="D354" s="658" t="s">
        <v>346</v>
      </c>
      <c r="E354" s="135" t="s">
        <v>459</v>
      </c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</row>
    <row r="355" ht="15" spans="3:17">
      <c r="C355" s="660"/>
      <c r="D355" s="660"/>
      <c r="E355" s="135" t="s">
        <v>246</v>
      </c>
      <c r="F355" s="135" t="s">
        <v>247</v>
      </c>
      <c r="G355" s="135" t="s">
        <v>248</v>
      </c>
      <c r="H355" s="135" t="s">
        <v>249</v>
      </c>
      <c r="I355" s="135" t="s">
        <v>250</v>
      </c>
      <c r="J355" s="135" t="s">
        <v>251</v>
      </c>
      <c r="K355" s="135" t="s">
        <v>252</v>
      </c>
      <c r="L355" s="135" t="s">
        <v>253</v>
      </c>
      <c r="M355" s="135" t="s">
        <v>254</v>
      </c>
      <c r="N355" s="135" t="s">
        <v>255</v>
      </c>
      <c r="O355" s="135" t="s">
        <v>256</v>
      </c>
      <c r="P355" s="135" t="s">
        <v>257</v>
      </c>
      <c r="Q355" s="135" t="s">
        <v>97</v>
      </c>
    </row>
    <row r="356" spans="3:17">
      <c r="C356" s="662"/>
      <c r="D356" s="662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</row>
    <row r="357" ht="15" spans="2:17">
      <c r="B357" s="656"/>
      <c r="C357" s="663" t="s">
        <v>349</v>
      </c>
      <c r="D357" s="676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</row>
    <row r="358" ht="15" spans="3:17">
      <c r="C358" s="44" t="s">
        <v>350</v>
      </c>
      <c r="D358" s="4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</row>
    <row r="359" spans="2:17">
      <c r="B359" s="656"/>
      <c r="C359" s="677" t="s">
        <v>351</v>
      </c>
      <c r="D359" s="47" t="s">
        <v>352</v>
      </c>
      <c r="E359" s="690">
        <f>'[39]TGSPDCL MoD'!AJ4+'[39]TGSPDCL MoD'!AJ5</f>
        <v>66.8684062359892</v>
      </c>
      <c r="F359" s="690">
        <f>'[39]TGSPDCL MoD'!AK4+'[39]TGSPDCL MoD'!AK5</f>
        <v>82.0531068187452</v>
      </c>
      <c r="G359" s="690">
        <f>'[39]TGSPDCL MoD'!AL4+'[39]TGSPDCL MoD'!AL5</f>
        <v>79.4062324052373</v>
      </c>
      <c r="H359" s="690">
        <f>'[39]TGSPDCL MoD'!AM4+'[39]TGSPDCL MoD'!AM5</f>
        <v>0</v>
      </c>
      <c r="I359" s="690">
        <f>'[39]TGSPDCL MoD'!AN4+'[39]TGSPDCL MoD'!AN5</f>
        <v>27.1453887219908</v>
      </c>
      <c r="J359" s="690">
        <f>'[39]TGSPDCL MoD'!AO4+'[39]TGSPDCL MoD'!AO5</f>
        <v>55.2288552675818</v>
      </c>
      <c r="K359" s="690">
        <f>'[39]TGSPDCL MoD'!AP4+'[39]TGSPDCL MoD'!AP5</f>
        <v>54.2907774439818</v>
      </c>
      <c r="L359" s="690">
        <f>'[39]TGSPDCL MoD'!AQ4+'[39]TGSPDCL MoD'!AQ5</f>
        <v>65.077288211811</v>
      </c>
      <c r="M359" s="690">
        <f>'[39]TGSPDCL MoD'!AR4+'[39]TGSPDCL MoD'!AR5</f>
        <v>59.3362365891229</v>
      </c>
      <c r="N359" s="690">
        <f>'[39]TGSPDCL MoD'!AS4+'[39]TGSPDCL MoD'!AS5</f>
        <v>59.1560466786787</v>
      </c>
      <c r="O359" s="690">
        <f>'[39]TGSPDCL MoD'!AT4+'[39]TGSPDCL MoD'!AT5</f>
        <v>63.0751534177073</v>
      </c>
      <c r="P359" s="690">
        <f>'[39]TGSPDCL MoD'!AU4+'[39]TGSPDCL MoD'!AU5</f>
        <v>74.649818985475</v>
      </c>
      <c r="Q359" s="690">
        <f t="shared" ref="Q359:Q377" si="165">SUM(E359:P359)</f>
        <v>686.287310776321</v>
      </c>
    </row>
    <row r="360" spans="2:17">
      <c r="B360" s="656"/>
      <c r="C360" s="678"/>
      <c r="D360" s="47" t="s">
        <v>353</v>
      </c>
      <c r="E360" s="690">
        <f>'[39]TGSPDCL MoD'!AJ6</f>
        <v>60.8070241778173</v>
      </c>
      <c r="F360" s="690">
        <f>'[39]TGSPDCL MoD'!AK6</f>
        <v>0</v>
      </c>
      <c r="G360" s="690">
        <f>'[39]TGSPDCL MoD'!AL6</f>
        <v>36.2598854971054</v>
      </c>
      <c r="H360" s="690">
        <f>'[39]TGSPDCL MoD'!AM6</f>
        <v>55.1008063926602</v>
      </c>
      <c r="I360" s="690">
        <f>'[39]TGSPDCL MoD'!AN6</f>
        <v>48.488709625541</v>
      </c>
      <c r="J360" s="690">
        <f>'[39]TGSPDCL MoD'!AO6</f>
        <v>50.1239593636457</v>
      </c>
      <c r="K360" s="690">
        <f>'[39]TGSPDCL MoD'!AP6</f>
        <v>48.488709625541</v>
      </c>
      <c r="L360" s="690">
        <f>'[39]TGSPDCL MoD'!AQ6</f>
        <v>68.9987585992165</v>
      </c>
      <c r="M360" s="690">
        <f>'[39]TGSPDCL MoD'!AR6</f>
        <v>55.1709179708573</v>
      </c>
      <c r="N360" s="690">
        <f>'[39]TGSPDCL MoD'!AS6</f>
        <v>59.0689423198058</v>
      </c>
      <c r="O360" s="690">
        <f>'[39]TGSPDCL MoD'!AT6</f>
        <v>58.7267949423707</v>
      </c>
      <c r="P360" s="690">
        <f>'[39]TGSPDCL MoD'!AU6</f>
        <v>66.6719757351188</v>
      </c>
      <c r="Q360" s="690">
        <f t="shared" si="165"/>
        <v>607.90648424968</v>
      </c>
    </row>
    <row r="361" spans="2:17">
      <c r="B361" s="656"/>
      <c r="C361" s="678"/>
      <c r="D361" s="47" t="s">
        <v>354</v>
      </c>
      <c r="E361" s="690">
        <f>'[39]TGSPDCL MoD'!AJ7</f>
        <v>99.1163074839507</v>
      </c>
      <c r="F361" s="690">
        <f>'[39]TGSPDCL MoD'!AK7</f>
        <v>0</v>
      </c>
      <c r="G361" s="690">
        <f>'[39]TGSPDCL MoD'!AL7</f>
        <v>55.9858830346333</v>
      </c>
      <c r="H361" s="690">
        <f>'[39]TGSPDCL MoD'!AM7</f>
        <v>90.9134314820148</v>
      </c>
      <c r="I361" s="690">
        <f>'[39]TGSPDCL MoD'!AN7</f>
        <v>76.2966053236768</v>
      </c>
      <c r="J361" s="690">
        <f>'[39]TGSPDCL MoD'!AO7</f>
        <v>80.3330467180638</v>
      </c>
      <c r="K361" s="690">
        <f>'[39]TGSPDCL MoD'!AP7</f>
        <v>74.8673965286665</v>
      </c>
      <c r="L361" s="690">
        <f>'[39]TGSPDCL MoD'!AQ7</f>
        <v>111.68440715271</v>
      </c>
      <c r="M361" s="690">
        <f>'[39]TGSPDCL MoD'!AR7</f>
        <v>97.7549599179785</v>
      </c>
      <c r="N361" s="690">
        <f>'[39]TGSPDCL MoD'!AS7</f>
        <v>95.2857774001209</v>
      </c>
      <c r="O361" s="690">
        <f>'[39]TGSPDCL MoD'!AT7</f>
        <v>90.675175267857</v>
      </c>
      <c r="P361" s="690">
        <f>'[39]TGSPDCL MoD'!AU7</f>
        <v>103.240890818446</v>
      </c>
      <c r="Q361" s="690">
        <f t="shared" si="165"/>
        <v>976.153881128118</v>
      </c>
    </row>
    <row r="362" spans="2:17">
      <c r="B362" s="656"/>
      <c r="C362" s="678"/>
      <c r="D362" s="47" t="s">
        <v>355</v>
      </c>
      <c r="E362" s="690">
        <f>'[39]TGSPDCL MoD'!AJ8</f>
        <v>9.14324461473587</v>
      </c>
      <c r="F362" s="690">
        <f>'[39]TGSPDCL MoD'!AK8</f>
        <v>0</v>
      </c>
      <c r="G362" s="690">
        <f>'[39]TGSPDCL MoD'!AL8</f>
        <v>5.48617129302647</v>
      </c>
      <c r="H362" s="690">
        <f>'[39]TGSPDCL MoD'!AM8</f>
        <v>8.01338503653086</v>
      </c>
      <c r="I362" s="690">
        <f>'[39]TGSPDCL MoD'!AN8</f>
        <v>7.50189237462463</v>
      </c>
      <c r="J362" s="690">
        <f>'[39]TGSPDCL MoD'!AO8</f>
        <v>7.5073922957204</v>
      </c>
      <c r="K362" s="690">
        <f>'[39]TGSPDCL MoD'!AP8</f>
        <v>7.50189237462463</v>
      </c>
      <c r="L362" s="690">
        <f>'[39]TGSPDCL MoD'!AQ8</f>
        <v>8.74487454226774</v>
      </c>
      <c r="M362" s="690">
        <f>'[39]TGSPDCL MoD'!AR8</f>
        <v>8.01338503653086</v>
      </c>
      <c r="N362" s="690">
        <f>'[39]TGSPDCL MoD'!AS8</f>
        <v>8.01338503653086</v>
      </c>
      <c r="O362" s="690">
        <f>'[39]TGSPDCL MoD'!AT8</f>
        <v>8.6238762781609</v>
      </c>
      <c r="P362" s="690">
        <f>'[39]TGSPDCL MoD'!AU8</f>
        <v>10.3151020151089</v>
      </c>
      <c r="Q362" s="690">
        <f t="shared" si="165"/>
        <v>88.8646008978621</v>
      </c>
    </row>
    <row r="363" spans="2:17">
      <c r="B363" s="656"/>
      <c r="C363" s="678"/>
      <c r="D363" s="47" t="s">
        <v>356</v>
      </c>
      <c r="E363" s="690">
        <f>'[39]TGSPDCL MoD'!AJ9</f>
        <v>66.6956465219841</v>
      </c>
      <c r="F363" s="690">
        <f>'[39]TGSPDCL MoD'!AK9</f>
        <v>67.4313778745049</v>
      </c>
      <c r="G363" s="690">
        <f>'[39]TGSPDCL MoD'!AL9</f>
        <v>65.2561721366176</v>
      </c>
      <c r="H363" s="690">
        <f>'[39]TGSPDCL MoD'!AM9</f>
        <v>67.6742638973645</v>
      </c>
      <c r="I363" s="690">
        <f>'[39]TGSPDCL MoD'!AN9</f>
        <v>55.5317229554746</v>
      </c>
      <c r="J363" s="690">
        <f>'[39]TGSPDCL MoD'!AO9</f>
        <v>58.8437645324024</v>
      </c>
      <c r="K363" s="690">
        <f>'[39]TGSPDCL MoD'!AP9</f>
        <v>0</v>
      </c>
      <c r="L363" s="690">
        <f>'[39]TGSPDCL MoD'!AQ9</f>
        <v>33.9154165493457</v>
      </c>
      <c r="M363" s="690">
        <f>'[39]TGSPDCL MoD'!AR9</f>
        <v>65.9439210096261</v>
      </c>
      <c r="N363" s="690">
        <f>'[39]TGSPDCL MoD'!AS9</f>
        <v>59.9940935501109</v>
      </c>
      <c r="O363" s="690">
        <f>'[39]TGSPDCL MoD'!AT9</f>
        <v>58.2187418081588</v>
      </c>
      <c r="P363" s="690">
        <f>'[39]TGSPDCL MoD'!AU9</f>
        <v>70.882941044613</v>
      </c>
      <c r="Q363" s="690">
        <f t="shared" si="165"/>
        <v>670.388061880202</v>
      </c>
    </row>
    <row r="364" spans="2:17">
      <c r="B364" s="656"/>
      <c r="C364" s="678"/>
      <c r="D364" s="47" t="s">
        <v>357</v>
      </c>
      <c r="E364" s="690">
        <f>'[39]TGSPDCL MoD'!AJ10</f>
        <v>76.7627381762958</v>
      </c>
      <c r="F364" s="690">
        <f>'[39]TGSPDCL MoD'!AK10</f>
        <v>76.2559333691833</v>
      </c>
      <c r="G364" s="690">
        <f>'[39]TGSPDCL MoD'!AL10</f>
        <v>76.7627381762958</v>
      </c>
      <c r="H364" s="690">
        <f>'[39]TGSPDCL MoD'!AM10</f>
        <v>80.997302371467</v>
      </c>
      <c r="I364" s="690">
        <f>'[39]TGSPDCL MoD'!AN10</f>
        <v>65.9150460678145</v>
      </c>
      <c r="J364" s="690">
        <f>'[39]TGSPDCL MoD'!AO10</f>
        <v>73.2159680232143</v>
      </c>
      <c r="K364" s="690">
        <f>'[39]TGSPDCL MoD'!AP10</f>
        <v>62.5634335558918</v>
      </c>
      <c r="L364" s="690">
        <f>'[39]TGSPDCL MoD'!AQ10</f>
        <v>0</v>
      </c>
      <c r="M364" s="690">
        <f>'[39]TGSPDCL MoD'!AR10</f>
        <v>39.2107075253817</v>
      </c>
      <c r="N364" s="690">
        <f>'[39]TGSPDCL MoD'!AS10</f>
        <v>72.6182710916601</v>
      </c>
      <c r="O364" s="690">
        <f>'[39]TGSPDCL MoD'!AT10</f>
        <v>67.1043279268839</v>
      </c>
      <c r="P364" s="690">
        <f>'[39]TGSPDCL MoD'!AU10</f>
        <v>80.997302371467</v>
      </c>
      <c r="Q364" s="690">
        <f t="shared" si="165"/>
        <v>772.403768655555</v>
      </c>
    </row>
    <row r="365" spans="2:17">
      <c r="B365" s="656"/>
      <c r="C365" s="678"/>
      <c r="D365" s="47" t="s">
        <v>358</v>
      </c>
      <c r="E365" s="690">
        <f>SUM('[39]TGSPDCL MoD'!AJ11:AJ14)</f>
        <v>144.187285357579</v>
      </c>
      <c r="F365" s="690">
        <f>SUM('[39]TGSPDCL MoD'!AK11:AK14)</f>
        <v>72.1557775282592</v>
      </c>
      <c r="G365" s="690">
        <f>SUM('[39]TGSPDCL MoD'!AL11:AL14)</f>
        <v>107.147454411001</v>
      </c>
      <c r="H365" s="690">
        <f>SUM('[39]TGSPDCL MoD'!AM11:AM14)</f>
        <v>149.922114448131</v>
      </c>
      <c r="I365" s="690">
        <f>SUM('[39]TGSPDCL MoD'!AN11:AN14)</f>
        <v>107.195696776612</v>
      </c>
      <c r="J365" s="690">
        <f>SUM('[39]TGSPDCL MoD'!AO11:AO14)</f>
        <v>97.244184149247</v>
      </c>
      <c r="K365" s="690">
        <f>SUM('[39]TGSPDCL MoD'!AP11:AP14)</f>
        <v>116.055044701794</v>
      </c>
      <c r="L365" s="690">
        <f>SUM('[39]TGSPDCL MoD'!AQ11:AQ14)</f>
        <v>109.363239659767</v>
      </c>
      <c r="M365" s="690">
        <f>SUM('[39]TGSPDCL MoD'!AR11:AR14)</f>
        <v>125.25003848055</v>
      </c>
      <c r="N365" s="690">
        <f>SUM('[39]TGSPDCL MoD'!AS11:AS14)</f>
        <v>132.055722262832</v>
      </c>
      <c r="O365" s="690">
        <f>SUM('[39]TGSPDCL MoD'!AT11:AT14)</f>
        <v>124.595365371377</v>
      </c>
      <c r="P365" s="690">
        <f>SUM('[39]TGSPDCL MoD'!AU11:AU14)</f>
        <v>153.861584435258</v>
      </c>
      <c r="Q365" s="690">
        <f t="shared" si="165"/>
        <v>1439.03350758241</v>
      </c>
    </row>
    <row r="366" spans="2:17">
      <c r="B366" s="656"/>
      <c r="C366" s="678"/>
      <c r="D366" s="47" t="s">
        <v>359</v>
      </c>
      <c r="E366" s="690">
        <f>SUM('[39]TGSPDCL MoD'!AJ15:AJ19)+'[39]TGSPDCL MoD'!$AW$15/12</f>
        <v>417.502433664642</v>
      </c>
      <c r="F366" s="690">
        <f>SUM('[39]TGSPDCL MoD'!AK15:AK19)+'[39]TGSPDCL MoD'!$AW$15/12</f>
        <v>254.950251718912</v>
      </c>
      <c r="G366" s="690">
        <f>SUM('[39]TGSPDCL MoD'!AL15:AL19)+'[39]TGSPDCL MoD'!$AW$15/12</f>
        <v>246.894279907663</v>
      </c>
      <c r="H366" s="690">
        <f>SUM('[39]TGSPDCL MoD'!AM15:AM19)+'[39]TGSPDCL MoD'!$AW$15/12</f>
        <v>265.018761582253</v>
      </c>
      <c r="I366" s="690">
        <f>SUM('[39]TGSPDCL MoD'!AN15:AN19)+'[39]TGSPDCL MoD'!$AW$15/12</f>
        <v>376.366890814684</v>
      </c>
      <c r="J366" s="690">
        <f>SUM('[39]TGSPDCL MoD'!AO15:AO19)+'[39]TGSPDCL MoD'!$AW$15/12</f>
        <v>423.451792415474</v>
      </c>
      <c r="K366" s="690">
        <f>SUM('[39]TGSPDCL MoD'!AP15:AP19)+'[39]TGSPDCL MoD'!$AW$15/12</f>
        <v>383.222190323696</v>
      </c>
      <c r="L366" s="690">
        <f>SUM('[39]TGSPDCL MoD'!AQ15:AQ19)+'[39]TGSPDCL MoD'!$AW$15/12</f>
        <v>332.138776488165</v>
      </c>
      <c r="M366" s="690">
        <f>SUM('[39]TGSPDCL MoD'!AR15:AR19)+'[39]TGSPDCL MoD'!$AW$15/12</f>
        <v>384.787361909363</v>
      </c>
      <c r="N366" s="690">
        <f>SUM('[39]TGSPDCL MoD'!AS15:AS19)+'[39]TGSPDCL MoD'!$AW$15/12</f>
        <v>424.576111882416</v>
      </c>
      <c r="O366" s="690">
        <f>SUM('[39]TGSPDCL MoD'!AT15:AT19)+'[39]TGSPDCL MoD'!$AW$15/12</f>
        <v>390.012746041428</v>
      </c>
      <c r="P366" s="690">
        <f>SUM('[39]TGSPDCL MoD'!AU15:AU19)+'[39]TGSPDCL MoD'!$AW$15/12</f>
        <v>466.129659506503</v>
      </c>
      <c r="Q366" s="690">
        <f t="shared" si="165"/>
        <v>4365.0512562552</v>
      </c>
    </row>
    <row r="367" spans="2:17">
      <c r="B367" s="656"/>
      <c r="C367" s="678"/>
      <c r="D367" s="679" t="s">
        <v>492</v>
      </c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>
        <f t="shared" si="165"/>
        <v>0</v>
      </c>
    </row>
    <row r="368" spans="2:17">
      <c r="B368" s="656"/>
      <c r="C368" s="678"/>
      <c r="D368" s="47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>
        <f t="shared" si="165"/>
        <v>0</v>
      </c>
    </row>
    <row r="369" spans="2:17">
      <c r="B369" s="656"/>
      <c r="C369" s="678"/>
      <c r="D369" s="47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>
        <f t="shared" si="165"/>
        <v>0</v>
      </c>
    </row>
    <row r="370" spans="2:17">
      <c r="B370" s="656"/>
      <c r="C370" s="678"/>
      <c r="D370" s="47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>
        <f t="shared" si="165"/>
        <v>0</v>
      </c>
    </row>
    <row r="371" spans="2:17">
      <c r="B371" s="656"/>
      <c r="C371" s="678"/>
      <c r="D371" s="47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>
        <f t="shared" si="165"/>
        <v>0</v>
      </c>
    </row>
    <row r="372" spans="2:17">
      <c r="B372" s="656"/>
      <c r="C372" s="678"/>
      <c r="D372" s="47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>
        <f t="shared" si="165"/>
        <v>0</v>
      </c>
    </row>
    <row r="373" spans="2:17">
      <c r="B373" s="656"/>
      <c r="C373" s="678"/>
      <c r="D373" s="47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>
        <f t="shared" si="165"/>
        <v>0</v>
      </c>
    </row>
    <row r="374" spans="2:17">
      <c r="B374" s="656"/>
      <c r="C374" s="678"/>
      <c r="D374" s="47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>
        <f t="shared" si="165"/>
        <v>0</v>
      </c>
    </row>
    <row r="375" spans="2:17">
      <c r="B375" s="656"/>
      <c r="C375" s="678"/>
      <c r="D375" s="47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>
        <f t="shared" si="165"/>
        <v>0</v>
      </c>
    </row>
    <row r="376" spans="2:17">
      <c r="B376" s="656"/>
      <c r="C376" s="680"/>
      <c r="D376" s="47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>
        <f t="shared" si="165"/>
        <v>0</v>
      </c>
    </row>
    <row r="377" ht="15" spans="3:18">
      <c r="C377" s="537" t="s">
        <v>211</v>
      </c>
      <c r="D377" s="540"/>
      <c r="E377" s="690">
        <f t="shared" ref="E377:P377" si="166">SUM(E359:E376)</f>
        <v>941.083086232993</v>
      </c>
      <c r="F377" s="690">
        <f t="shared" si="166"/>
        <v>552.846447309604</v>
      </c>
      <c r="G377" s="690">
        <f t="shared" si="166"/>
        <v>673.19881686158</v>
      </c>
      <c r="H377" s="690">
        <f t="shared" si="166"/>
        <v>717.640065210421</v>
      </c>
      <c r="I377" s="690">
        <f t="shared" si="166"/>
        <v>764.441952660419</v>
      </c>
      <c r="J377" s="690">
        <f t="shared" si="166"/>
        <v>845.94896276535</v>
      </c>
      <c r="K377" s="690">
        <f t="shared" si="166"/>
        <v>746.989444554195</v>
      </c>
      <c r="L377" s="690">
        <f t="shared" si="166"/>
        <v>729.922761203283</v>
      </c>
      <c r="M377" s="690">
        <f t="shared" si="166"/>
        <v>835.46752843941</v>
      </c>
      <c r="N377" s="690">
        <f t="shared" si="166"/>
        <v>910.768350222155</v>
      </c>
      <c r="O377" s="690">
        <f t="shared" si="166"/>
        <v>861.032181053944</v>
      </c>
      <c r="P377" s="690">
        <f t="shared" si="166"/>
        <v>1026.74927491199</v>
      </c>
      <c r="Q377" s="693">
        <f t="shared" si="165"/>
        <v>9606.08887142535</v>
      </c>
      <c r="R377" s="686"/>
    </row>
    <row r="378" ht="15" spans="3:17">
      <c r="C378" s="44" t="s">
        <v>360</v>
      </c>
      <c r="D378" s="4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</row>
    <row r="379" spans="3:17">
      <c r="C379" s="682" t="s">
        <v>351</v>
      </c>
      <c r="D379" s="55" t="s">
        <v>361</v>
      </c>
      <c r="E379" s="55">
        <v>0</v>
      </c>
      <c r="F379" s="55">
        <v>0</v>
      </c>
      <c r="G379" s="55">
        <v>0</v>
      </c>
      <c r="H379" s="55">
        <v>0</v>
      </c>
      <c r="I379" s="55">
        <v>0</v>
      </c>
      <c r="J379" s="55">
        <v>0</v>
      </c>
      <c r="K379" s="55">
        <v>0</v>
      </c>
      <c r="L379" s="55">
        <v>0</v>
      </c>
      <c r="M379" s="55">
        <v>0</v>
      </c>
      <c r="N379" s="55">
        <v>0</v>
      </c>
      <c r="O379" s="55">
        <v>0</v>
      </c>
      <c r="P379" s="55">
        <v>0</v>
      </c>
      <c r="Q379" s="55">
        <f t="shared" ref="Q379:Q397" si="167">SUM(E379:P379)</f>
        <v>0</v>
      </c>
    </row>
    <row r="380" spans="3:17">
      <c r="C380" s="683"/>
      <c r="D380" s="55" t="s">
        <v>362</v>
      </c>
      <c r="E380" s="55">
        <v>0</v>
      </c>
      <c r="F380" s="55">
        <v>0</v>
      </c>
      <c r="G380" s="55">
        <v>0</v>
      </c>
      <c r="H380" s="55">
        <v>0</v>
      </c>
      <c r="I380" s="55">
        <v>0</v>
      </c>
      <c r="J380" s="55">
        <v>0</v>
      </c>
      <c r="K380" s="55">
        <v>0</v>
      </c>
      <c r="L380" s="55">
        <v>0</v>
      </c>
      <c r="M380" s="55">
        <v>0</v>
      </c>
      <c r="N380" s="55">
        <v>0</v>
      </c>
      <c r="O380" s="55">
        <v>0</v>
      </c>
      <c r="P380" s="55">
        <v>0</v>
      </c>
      <c r="Q380" s="55">
        <f t="shared" si="167"/>
        <v>0</v>
      </c>
    </row>
    <row r="381" spans="3:17">
      <c r="C381" s="683"/>
      <c r="D381" s="55" t="s">
        <v>363</v>
      </c>
      <c r="E381" s="55">
        <v>0</v>
      </c>
      <c r="F381" s="55">
        <v>0</v>
      </c>
      <c r="G381" s="55">
        <v>0</v>
      </c>
      <c r="H381" s="55">
        <v>0</v>
      </c>
      <c r="I381" s="55">
        <v>0</v>
      </c>
      <c r="J381" s="55">
        <v>0</v>
      </c>
      <c r="K381" s="55">
        <v>0</v>
      </c>
      <c r="L381" s="55">
        <v>0</v>
      </c>
      <c r="M381" s="55">
        <v>0</v>
      </c>
      <c r="N381" s="55">
        <v>0</v>
      </c>
      <c r="O381" s="55">
        <v>0</v>
      </c>
      <c r="P381" s="55">
        <v>0</v>
      </c>
      <c r="Q381" s="55">
        <f t="shared" si="167"/>
        <v>0</v>
      </c>
    </row>
    <row r="382" spans="3:17">
      <c r="C382" s="683"/>
      <c r="D382" s="55" t="s">
        <v>364</v>
      </c>
      <c r="E382" s="55">
        <v>0</v>
      </c>
      <c r="F382" s="55">
        <v>0</v>
      </c>
      <c r="G382" s="55">
        <v>0</v>
      </c>
      <c r="H382" s="55">
        <v>0</v>
      </c>
      <c r="I382" s="55">
        <v>0</v>
      </c>
      <c r="J382" s="55">
        <v>0</v>
      </c>
      <c r="K382" s="55">
        <v>0</v>
      </c>
      <c r="L382" s="55">
        <v>0</v>
      </c>
      <c r="M382" s="55">
        <v>0</v>
      </c>
      <c r="N382" s="55">
        <v>0</v>
      </c>
      <c r="O382" s="55">
        <v>0</v>
      </c>
      <c r="P382" s="55">
        <v>0</v>
      </c>
      <c r="Q382" s="55">
        <f t="shared" si="167"/>
        <v>0</v>
      </c>
    </row>
    <row r="383" spans="3:17">
      <c r="C383" s="683"/>
      <c r="D383" s="55" t="s">
        <v>365</v>
      </c>
      <c r="E383" s="55">
        <v>0</v>
      </c>
      <c r="F383" s="55">
        <v>0</v>
      </c>
      <c r="G383" s="55">
        <v>0</v>
      </c>
      <c r="H383" s="55">
        <v>0</v>
      </c>
      <c r="I383" s="55">
        <v>0</v>
      </c>
      <c r="J383" s="55">
        <v>0</v>
      </c>
      <c r="K383" s="55">
        <v>0</v>
      </c>
      <c r="L383" s="55">
        <v>0</v>
      </c>
      <c r="M383" s="55">
        <v>0</v>
      </c>
      <c r="N383" s="55">
        <v>0</v>
      </c>
      <c r="O383" s="55">
        <v>0</v>
      </c>
      <c r="P383" s="55">
        <v>0</v>
      </c>
      <c r="Q383" s="55">
        <f t="shared" si="167"/>
        <v>0</v>
      </c>
    </row>
    <row r="384" spans="3:17">
      <c r="C384" s="683"/>
      <c r="D384" s="55" t="s">
        <v>366</v>
      </c>
      <c r="E384" s="55">
        <v>0</v>
      </c>
      <c r="F384" s="55">
        <v>0</v>
      </c>
      <c r="G384" s="55">
        <v>0</v>
      </c>
      <c r="H384" s="55">
        <v>0</v>
      </c>
      <c r="I384" s="55">
        <v>0</v>
      </c>
      <c r="J384" s="55">
        <v>0</v>
      </c>
      <c r="K384" s="55">
        <v>0</v>
      </c>
      <c r="L384" s="55">
        <v>0</v>
      </c>
      <c r="M384" s="55">
        <v>0</v>
      </c>
      <c r="N384" s="55">
        <v>0</v>
      </c>
      <c r="O384" s="55">
        <v>0</v>
      </c>
      <c r="P384" s="55">
        <v>0</v>
      </c>
      <c r="Q384" s="55">
        <f t="shared" si="167"/>
        <v>0</v>
      </c>
    </row>
    <row r="385" spans="3:17">
      <c r="C385" s="683"/>
      <c r="D385" s="55" t="s">
        <v>367</v>
      </c>
      <c r="E385" s="55">
        <v>0</v>
      </c>
      <c r="F385" s="55">
        <v>0</v>
      </c>
      <c r="G385" s="55">
        <v>0</v>
      </c>
      <c r="H385" s="55">
        <v>0</v>
      </c>
      <c r="I385" s="55">
        <v>0</v>
      </c>
      <c r="J385" s="55">
        <v>0</v>
      </c>
      <c r="K385" s="55">
        <v>0</v>
      </c>
      <c r="L385" s="55">
        <v>0</v>
      </c>
      <c r="M385" s="55">
        <v>0</v>
      </c>
      <c r="N385" s="55">
        <v>0</v>
      </c>
      <c r="O385" s="55">
        <v>0</v>
      </c>
      <c r="P385" s="55">
        <v>0</v>
      </c>
      <c r="Q385" s="55">
        <f t="shared" si="167"/>
        <v>0</v>
      </c>
    </row>
    <row r="386" spans="3:17">
      <c r="C386" s="683"/>
      <c r="D386" s="55" t="s">
        <v>368</v>
      </c>
      <c r="E386" s="55">
        <v>0</v>
      </c>
      <c r="F386" s="55">
        <v>0</v>
      </c>
      <c r="G386" s="55">
        <v>0</v>
      </c>
      <c r="H386" s="55">
        <v>0</v>
      </c>
      <c r="I386" s="55">
        <v>0</v>
      </c>
      <c r="J386" s="55">
        <v>0</v>
      </c>
      <c r="K386" s="55">
        <v>0</v>
      </c>
      <c r="L386" s="55">
        <v>0</v>
      </c>
      <c r="M386" s="55">
        <v>0</v>
      </c>
      <c r="N386" s="55">
        <v>0</v>
      </c>
      <c r="O386" s="55">
        <v>0</v>
      </c>
      <c r="P386" s="55">
        <v>0</v>
      </c>
      <c r="Q386" s="55">
        <f t="shared" si="167"/>
        <v>0</v>
      </c>
    </row>
    <row r="387" spans="3:17">
      <c r="C387" s="683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>
        <f t="shared" si="167"/>
        <v>0</v>
      </c>
    </row>
    <row r="388" spans="3:17">
      <c r="C388" s="683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>
        <f t="shared" si="167"/>
        <v>0</v>
      </c>
    </row>
    <row r="389" spans="3:17">
      <c r="C389" s="683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>
        <f t="shared" si="167"/>
        <v>0</v>
      </c>
    </row>
    <row r="390" spans="3:17">
      <c r="C390" s="683"/>
      <c r="D390" s="679" t="s">
        <v>493</v>
      </c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>
        <f t="shared" si="167"/>
        <v>0</v>
      </c>
    </row>
    <row r="391" spans="3:17">
      <c r="C391" s="683"/>
      <c r="D391" s="679" t="s">
        <v>494</v>
      </c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>
        <f t="shared" si="167"/>
        <v>0</v>
      </c>
    </row>
    <row r="392" spans="3:17">
      <c r="C392" s="683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>
        <f t="shared" si="167"/>
        <v>0</v>
      </c>
    </row>
    <row r="393" spans="3:17">
      <c r="C393" s="683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>
        <f t="shared" si="167"/>
        <v>0</v>
      </c>
    </row>
    <row r="394" spans="3:17">
      <c r="C394" s="683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>
        <f t="shared" si="167"/>
        <v>0</v>
      </c>
    </row>
    <row r="395" spans="3:17">
      <c r="C395" s="683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>
        <f t="shared" si="167"/>
        <v>0</v>
      </c>
    </row>
    <row r="396" spans="3:17">
      <c r="C396" s="684"/>
      <c r="D396" s="67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>
        <f t="shared" si="167"/>
        <v>0</v>
      </c>
    </row>
    <row r="397" ht="15" spans="3:17">
      <c r="C397" s="537" t="s">
        <v>211</v>
      </c>
      <c r="D397" s="540"/>
      <c r="E397" s="55">
        <f t="shared" ref="E397:P397" si="168">SUM(E379:E396)</f>
        <v>0</v>
      </c>
      <c r="F397" s="55">
        <f t="shared" si="168"/>
        <v>0</v>
      </c>
      <c r="G397" s="55">
        <f t="shared" si="168"/>
        <v>0</v>
      </c>
      <c r="H397" s="55">
        <f t="shared" si="168"/>
        <v>0</v>
      </c>
      <c r="I397" s="55">
        <f t="shared" si="168"/>
        <v>0</v>
      </c>
      <c r="J397" s="55">
        <f t="shared" si="168"/>
        <v>0</v>
      </c>
      <c r="K397" s="55">
        <f t="shared" si="168"/>
        <v>0</v>
      </c>
      <c r="L397" s="55">
        <f t="shared" si="168"/>
        <v>0</v>
      </c>
      <c r="M397" s="55">
        <f t="shared" si="168"/>
        <v>0</v>
      </c>
      <c r="N397" s="55">
        <f t="shared" si="168"/>
        <v>0</v>
      </c>
      <c r="O397" s="55">
        <f t="shared" si="168"/>
        <v>0</v>
      </c>
      <c r="P397" s="55">
        <f t="shared" si="168"/>
        <v>0</v>
      </c>
      <c r="Q397" s="316">
        <f t="shared" si="167"/>
        <v>0</v>
      </c>
    </row>
    <row r="398" ht="15" spans="3:18">
      <c r="C398" s="44" t="s">
        <v>369</v>
      </c>
      <c r="D398" s="45"/>
      <c r="E398" s="55">
        <f t="shared" ref="E398:Q398" si="169">E377+E397</f>
        <v>941.083086232993</v>
      </c>
      <c r="F398" s="55">
        <f t="shared" si="169"/>
        <v>552.846447309604</v>
      </c>
      <c r="G398" s="55">
        <f t="shared" si="169"/>
        <v>673.19881686158</v>
      </c>
      <c r="H398" s="55">
        <f t="shared" si="169"/>
        <v>717.640065210421</v>
      </c>
      <c r="I398" s="55">
        <f t="shared" si="169"/>
        <v>764.441952660419</v>
      </c>
      <c r="J398" s="55">
        <f t="shared" si="169"/>
        <v>845.94896276535</v>
      </c>
      <c r="K398" s="55">
        <f t="shared" si="169"/>
        <v>746.989444554195</v>
      </c>
      <c r="L398" s="55">
        <f t="shared" si="169"/>
        <v>729.922761203283</v>
      </c>
      <c r="M398" s="55">
        <f t="shared" si="169"/>
        <v>835.46752843941</v>
      </c>
      <c r="N398" s="55">
        <f t="shared" si="169"/>
        <v>910.768350222155</v>
      </c>
      <c r="O398" s="55">
        <f t="shared" si="169"/>
        <v>861.032181053944</v>
      </c>
      <c r="P398" s="55">
        <f t="shared" si="169"/>
        <v>1026.74927491199</v>
      </c>
      <c r="Q398" s="316">
        <f t="shared" si="169"/>
        <v>9606.08887142535</v>
      </c>
      <c r="R398" s="686"/>
    </row>
    <row r="399" ht="15" spans="3:17">
      <c r="C399" s="663" t="s">
        <v>370</v>
      </c>
      <c r="D399" s="676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</row>
    <row r="400" ht="15" spans="3:17">
      <c r="C400" s="44" t="s">
        <v>350</v>
      </c>
      <c r="D400" s="4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</row>
    <row r="401" spans="3:17">
      <c r="C401" s="694" t="s">
        <v>371</v>
      </c>
      <c r="D401" s="55" t="s">
        <v>372</v>
      </c>
      <c r="E401" s="147">
        <f>SUM('[39]TGSPDCL MoD'!AJ25:AJ30)+'[39]TGSPDCL MoD'!$AW$25/12</f>
        <v>37.7687874880186</v>
      </c>
      <c r="F401" s="147">
        <f>SUM('[39]TGSPDCL MoD'!AK25:AK30)+'[39]TGSPDCL MoD'!$AW$25/12</f>
        <v>50.4854025038104</v>
      </c>
      <c r="G401" s="147">
        <f>SUM('[39]TGSPDCL MoD'!AL25:AL30)+'[39]TGSPDCL MoD'!$AW$25/12</f>
        <v>51.3041267051118</v>
      </c>
      <c r="H401" s="147">
        <f>SUM('[39]TGSPDCL MoD'!AM25:AM30)+'[39]TGSPDCL MoD'!$AW$25/12</f>
        <v>37.2914563943912</v>
      </c>
      <c r="I401" s="147">
        <f>SUM('[39]TGSPDCL MoD'!AN25:AN30)+'[39]TGSPDCL MoD'!$AW$25/12</f>
        <v>32.534919010873</v>
      </c>
      <c r="J401" s="147">
        <f>SUM('[39]TGSPDCL MoD'!AO25:AO30)+'[39]TGSPDCL MoD'!$AW$25/12</f>
        <v>33.97348704069</v>
      </c>
      <c r="K401" s="147">
        <f>SUM('[39]TGSPDCL MoD'!AP25:AP30)+'[39]TGSPDCL MoD'!$AW$25/12</f>
        <v>32.534919010873</v>
      </c>
      <c r="L401" s="147">
        <f>SUM('[39]TGSPDCL MoD'!AQ25:AQ30)+'[39]TGSPDCL MoD'!$AW$25/12</f>
        <v>46.5502131160581</v>
      </c>
      <c r="M401" s="147">
        <f>SUM('[39]TGSPDCL MoD'!AR25:AR30)+'[39]TGSPDCL MoD'!$AW$25/12</f>
        <v>28.9986489620447</v>
      </c>
      <c r="N401" s="147">
        <f>SUM('[39]TGSPDCL MoD'!AS25:AS30)+'[39]TGSPDCL MoD'!$AW$25/12</f>
        <v>30.4268645798532</v>
      </c>
      <c r="O401" s="147">
        <f>SUM('[39]TGSPDCL MoD'!AT25:AT30)+'[39]TGSPDCL MoD'!$AW$25/12</f>
        <v>39.0451915215642</v>
      </c>
      <c r="P401" s="147">
        <f>SUM('[39]TGSPDCL MoD'!AU25:AU30)+'[39]TGSPDCL MoD'!$AW$25/12</f>
        <v>46.6057478812725</v>
      </c>
      <c r="Q401" s="147">
        <f t="shared" ref="Q401:Q428" si="170">SUM(E401:P401)</f>
        <v>467.519764214561</v>
      </c>
    </row>
    <row r="402" spans="3:17">
      <c r="C402" s="695"/>
      <c r="D402" s="55" t="s">
        <v>373</v>
      </c>
      <c r="E402" s="147">
        <f>'[39]TGSPDCL MoD'!AJ31</f>
        <v>10.543602261164</v>
      </c>
      <c r="F402" s="147">
        <f>'[39]TGSPDCL MoD'!AK31</f>
        <v>12.8845875748021</v>
      </c>
      <c r="G402" s="147">
        <f>'[39]TGSPDCL MoD'!AL31</f>
        <v>12.4689557175504</v>
      </c>
      <c r="H402" s="147">
        <f>'[39]TGSPDCL MoD'!AM31</f>
        <v>0</v>
      </c>
      <c r="I402" s="147">
        <f>'[39]TGSPDCL MoD'!AN31</f>
        <v>4.16854303890656</v>
      </c>
      <c r="J402" s="147">
        <f>'[39]TGSPDCL MoD'!AO31</f>
        <v>8.61824880477749</v>
      </c>
      <c r="K402" s="147">
        <f>'[39]TGSPDCL MoD'!AP31</f>
        <v>8.33708607781312</v>
      </c>
      <c r="L402" s="147">
        <f>'[39]TGSPDCL MoD'!AQ31</f>
        <v>11.9188547300114</v>
      </c>
      <c r="M402" s="147">
        <f>'[39]TGSPDCL MoD'!AR31</f>
        <v>10.3266179827458</v>
      </c>
      <c r="N402" s="147">
        <f>'[39]TGSPDCL MoD'!AS31</f>
        <v>10.6108368263076</v>
      </c>
      <c r="O402" s="147">
        <f>'[39]TGSPDCL MoD'!AT31</f>
        <v>10.0974092379379</v>
      </c>
      <c r="P402" s="147">
        <f>'[39]TGSPDCL MoD'!AU31</f>
        <v>11.4634933569931</v>
      </c>
      <c r="Q402" s="147">
        <f t="shared" si="170"/>
        <v>111.438235609009</v>
      </c>
    </row>
    <row r="403" spans="3:17">
      <c r="C403" s="695"/>
      <c r="D403" s="55" t="s">
        <v>374</v>
      </c>
      <c r="E403" s="147">
        <f>SUM('[39]TGSPDCL MoD'!AJ42:AJ45)</f>
        <v>15.5945427253446</v>
      </c>
      <c r="F403" s="147">
        <f>SUM('[39]TGSPDCL MoD'!AK42:AK45)</f>
        <v>15.4610759182358</v>
      </c>
      <c r="G403" s="147">
        <f>SUM('[39]TGSPDCL MoD'!AL42:AL45)</f>
        <v>15.2784371295606</v>
      </c>
      <c r="H403" s="147">
        <f>SUM('[39]TGSPDCL MoD'!AM42:AM45)</f>
        <v>16.4410032651662</v>
      </c>
      <c r="I403" s="147">
        <f>SUM('[39]TGSPDCL MoD'!AN42:AN45)</f>
        <v>14.8077910202822</v>
      </c>
      <c r="J403" s="147">
        <f>SUM('[39]TGSPDCL MoD'!AO42:AO45)</f>
        <v>16.732613806568</v>
      </c>
      <c r="K403" s="147">
        <f>SUM('[39]TGSPDCL MoD'!AP42:AP45)</f>
        <v>15.4610759182358</v>
      </c>
      <c r="L403" s="147">
        <f>SUM('[39]TGSPDCL MoD'!AQ42:AQ45)</f>
        <v>11.4588278471705</v>
      </c>
      <c r="M403" s="147">
        <f>SUM('[39]TGSPDCL MoD'!AR42:AR45)</f>
        <v>10.0714755101184</v>
      </c>
      <c r="N403" s="147">
        <f>SUM('[39]TGSPDCL MoD'!AS42:AS45)</f>
        <v>14.1000657141657</v>
      </c>
      <c r="O403" s="147">
        <f>SUM('[39]TGSPDCL MoD'!AT42:AT45)</f>
        <v>14.7024790488577</v>
      </c>
      <c r="P403" s="147">
        <f>SUM('[39]TGSPDCL MoD'!AU42:AU45)</f>
        <v>17.4209306120967</v>
      </c>
      <c r="Q403" s="147">
        <f t="shared" si="170"/>
        <v>177.530318515802</v>
      </c>
    </row>
    <row r="404" spans="3:17">
      <c r="C404" s="695"/>
      <c r="D404" s="55" t="s">
        <v>375</v>
      </c>
      <c r="E404" s="147">
        <f>'[39]TGSPDCL MoD'!AJ40</f>
        <v>66.0106437918589</v>
      </c>
      <c r="F404" s="147">
        <f>'[39]TGSPDCL MoD'!AK40</f>
        <v>83.1796241910447</v>
      </c>
      <c r="G404" s="147">
        <f>'[39]TGSPDCL MoD'!AL40</f>
        <v>81.6850239733982</v>
      </c>
      <c r="H404" s="147">
        <f>'[39]TGSPDCL MoD'!AM40</f>
        <v>55.4214363502482</v>
      </c>
      <c r="I404" s="147">
        <f>'[39]TGSPDCL MoD'!AN40</f>
        <v>51.1582489386907</v>
      </c>
      <c r="J404" s="147">
        <f>'[39]TGSPDCL MoD'!AO40</f>
        <v>53.6336480808854</v>
      </c>
      <c r="K404" s="147">
        <f>'[39]TGSPDCL MoD'!AP40</f>
        <v>51.1582489386907</v>
      </c>
      <c r="L404" s="147">
        <f>'[39]TGSPDCL MoD'!AQ40</f>
        <v>0</v>
      </c>
      <c r="M404" s="147">
        <f>'[39]TGSPDCL MoD'!AR40</f>
        <v>28.7765150280135</v>
      </c>
      <c r="N404" s="147">
        <f>'[39]TGSPDCL MoD'!AS40</f>
        <v>57.553030056027</v>
      </c>
      <c r="O404" s="147">
        <f>'[39]TGSPDCL MoD'!AT40</f>
        <v>63.5613540649169</v>
      </c>
      <c r="P404" s="147">
        <f>'[39]TGSPDCL MoD'!AU40</f>
        <v>74.6057797022572</v>
      </c>
      <c r="Q404" s="147">
        <f t="shared" si="170"/>
        <v>666.743553116031</v>
      </c>
    </row>
    <row r="405" spans="3:17">
      <c r="C405" s="695"/>
      <c r="D405" s="55" t="s">
        <v>376</v>
      </c>
      <c r="E405" s="147">
        <f>'[39]TGSPDCL MoD'!AJ41+'[39]TGSPDCL MoD'!$AW$41/12</f>
        <v>31.3279466180991</v>
      </c>
      <c r="F405" s="147">
        <f>'[39]TGSPDCL MoD'!AK41+'[39]TGSPDCL MoD'!$AW$41/12</f>
        <v>40.3152152194397</v>
      </c>
      <c r="G405" s="147">
        <f>'[39]TGSPDCL MoD'!AL41+'[39]TGSPDCL MoD'!$AW$41/12</f>
        <v>0.514454270645407</v>
      </c>
      <c r="H405" s="147">
        <f>'[39]TGSPDCL MoD'!AM41+'[39]TGSPDCL MoD'!$AW$41/12</f>
        <v>13.4497015790035</v>
      </c>
      <c r="I405" s="147">
        <f>'[39]TGSPDCL MoD'!AN41+'[39]TGSPDCL MoD'!$AW$41/12</f>
        <v>24.394910839922</v>
      </c>
      <c r="J405" s="147">
        <f>'[39]TGSPDCL MoD'!AO41+'[39]TGSPDCL MoD'!$AW$41/12</f>
        <v>25.5504168029515</v>
      </c>
      <c r="K405" s="147">
        <f>'[39]TGSPDCL MoD'!AP41+'[39]TGSPDCL MoD'!$AW$41/12</f>
        <v>24.394910839922</v>
      </c>
      <c r="L405" s="147">
        <f>'[39]TGSPDCL MoD'!AQ41+'[39]TGSPDCL MoD'!$AW$41/12</f>
        <v>32.9555526208257</v>
      </c>
      <c r="M405" s="147">
        <f>'[39]TGSPDCL MoD'!AR41+'[39]TGSPDCL MoD'!$AW$41/12</f>
        <v>27.3799679110816</v>
      </c>
      <c r="N405" s="147">
        <f>'[39]TGSPDCL MoD'!AS41+'[39]TGSPDCL MoD'!$AW$41/12</f>
        <v>27.3799679110816</v>
      </c>
      <c r="O405" s="147">
        <f>'[39]TGSPDCL MoD'!AT41+'[39]TGSPDCL MoD'!$AW$41/12</f>
        <v>31.0711675152036</v>
      </c>
      <c r="P405" s="147">
        <f>'[39]TGSPDCL MoD'!AU41+'[39]TGSPDCL MoD'!$AW$41/12</f>
        <v>35.3401201008404</v>
      </c>
      <c r="Q405" s="147">
        <f t="shared" si="170"/>
        <v>314.074332229016</v>
      </c>
    </row>
    <row r="406" spans="3:17">
      <c r="C406" s="695"/>
      <c r="D406" s="55" t="s">
        <v>377</v>
      </c>
      <c r="E406" s="147">
        <f>SUM('[39]TGSPDCL MoD'!AJ49:AJ51)</f>
        <v>44.6088535308369</v>
      </c>
      <c r="F406" s="147">
        <f>SUM('[39]TGSPDCL MoD'!AK49:AK51)</f>
        <v>57.9054065200986</v>
      </c>
      <c r="G406" s="147">
        <f>SUM('[39]TGSPDCL MoD'!AL49:AL51)</f>
        <v>37.4138771548952</v>
      </c>
      <c r="H406" s="147">
        <f>SUM('[39]TGSPDCL MoD'!AM49:AM51)</f>
        <v>32.2175053278265</v>
      </c>
      <c r="I406" s="147">
        <f>SUM('[39]TGSPDCL MoD'!AN49:AN51)</f>
        <v>35.6870828246694</v>
      </c>
      <c r="J406" s="147">
        <f>SUM('[39]TGSPDCL MoD'!AO49:AO51)</f>
        <v>35.2137704777449</v>
      </c>
      <c r="K406" s="147">
        <f>SUM('[39]TGSPDCL MoD'!AP49:AP51)</f>
        <v>35.6870828246694</v>
      </c>
      <c r="L406" s="147">
        <f>SUM('[39]TGSPDCL MoD'!AQ49:AQ51)</f>
        <v>28.7799055037656</v>
      </c>
      <c r="M406" s="147">
        <f>SUM('[39]TGSPDCL MoD'!AR49:AR51)</f>
        <v>32.2175053278265</v>
      </c>
      <c r="N406" s="147">
        <f>SUM('[39]TGSPDCL MoD'!AS49:AS51)</f>
        <v>38.6610063933918</v>
      </c>
      <c r="O406" s="147">
        <f>SUM('[39]TGSPDCL MoD'!AT49:AT51)</f>
        <v>42.9779922189567</v>
      </c>
      <c r="P406" s="147">
        <f>SUM('[39]TGSPDCL MoD'!AU49:AU51)</f>
        <v>52.0436624526429</v>
      </c>
      <c r="Q406" s="147">
        <f t="shared" si="170"/>
        <v>473.413650557324</v>
      </c>
    </row>
    <row r="407" spans="3:17">
      <c r="C407" s="695"/>
      <c r="D407" s="55" t="s">
        <v>378</v>
      </c>
      <c r="E407" s="147">
        <f>'[39]TGSPDCL MoD'!AJ53</f>
        <v>5.87283884939364</v>
      </c>
      <c r="F407" s="147">
        <f>'[39]TGSPDCL MoD'!AK53</f>
        <v>7.3961064259551</v>
      </c>
      <c r="G407" s="147">
        <f>'[39]TGSPDCL MoD'!AL53</f>
        <v>7.15752234769849</v>
      </c>
      <c r="H407" s="147">
        <f>'[39]TGSPDCL MoD'!AM53</f>
        <v>4.93073761730341</v>
      </c>
      <c r="I407" s="147">
        <f>'[39]TGSPDCL MoD'!AN53</f>
        <v>4.55145010828007</v>
      </c>
      <c r="J407" s="147">
        <f>'[39]TGSPDCL MoD'!AO53</f>
        <v>4.58815535108878</v>
      </c>
      <c r="K407" s="147">
        <f>'[39]TGSPDCL MoD'!AP53</f>
        <v>4.55145010828007</v>
      </c>
      <c r="L407" s="147">
        <f>'[39]TGSPDCL MoD'!AQ53</f>
        <v>5.60711329148726</v>
      </c>
      <c r="M407" s="147">
        <f>'[39]TGSPDCL MoD'!AR53</f>
        <v>4.93073761730341</v>
      </c>
      <c r="N407" s="147">
        <f>'[39]TGSPDCL MoD'!AS53</f>
        <v>4.93073761730341</v>
      </c>
      <c r="O407" s="147">
        <f>'[39]TGSPDCL MoD'!AT53</f>
        <v>5.48131625943406</v>
      </c>
      <c r="P407" s="147">
        <f>'[39]TGSPDCL MoD'!AU53</f>
        <v>6.63753140790843</v>
      </c>
      <c r="Q407" s="147">
        <f t="shared" si="170"/>
        <v>66.6356970014361</v>
      </c>
    </row>
    <row r="408" spans="3:17">
      <c r="C408" s="695"/>
      <c r="D408" s="55" t="s">
        <v>379</v>
      </c>
      <c r="E408" s="147">
        <f>'[39]TGSPDCL MoD'!AJ54</f>
        <v>32.8407795904162</v>
      </c>
      <c r="F408" s="147">
        <f>'[39]TGSPDCL MoD'!AK54</f>
        <v>41.5983208145272</v>
      </c>
      <c r="G408" s="147">
        <f>'[39]TGSPDCL MoD'!AL54</f>
        <v>41.3158194847172</v>
      </c>
      <c r="H408" s="147">
        <f>'[39]TGSPDCL MoD'!AM54</f>
        <v>28.4620089783607</v>
      </c>
      <c r="I408" s="147">
        <f>'[39]TGSPDCL MoD'!AN54</f>
        <v>26.272623672333</v>
      </c>
      <c r="J408" s="147">
        <f>'[39]TGSPDCL MoD'!AO54</f>
        <v>25.4251196829029</v>
      </c>
      <c r="K408" s="147">
        <f>'[39]TGSPDCL MoD'!AP54</f>
        <v>26.272623672333</v>
      </c>
      <c r="L408" s="147">
        <f>'[39]TGSPDCL MoD'!AQ54</f>
        <v>31.7813996036286</v>
      </c>
      <c r="M408" s="147">
        <f>'[39]TGSPDCL MoD'!AR54</f>
        <v>28.4620089783607</v>
      </c>
      <c r="N408" s="147">
        <f>'[39]TGSPDCL MoD'!AS54</f>
        <v>28.4620089783607</v>
      </c>
      <c r="O408" s="147">
        <f>'[39]TGSPDCL MoD'!AT54</f>
        <v>31.6401489387236</v>
      </c>
      <c r="P408" s="147">
        <f>'[39]TGSPDCL MoD'!AU54</f>
        <v>37.5763007367242</v>
      </c>
      <c r="Q408" s="147">
        <f t="shared" si="170"/>
        <v>380.109163131388</v>
      </c>
    </row>
    <row r="409" spans="3:17">
      <c r="C409" s="695"/>
      <c r="D409" s="685" t="s">
        <v>380</v>
      </c>
      <c r="E409" s="147">
        <f>'[39]TGSPDCL MoD'!AJ55</f>
        <v>92.073822962662</v>
      </c>
      <c r="F409" s="147">
        <f>'[39]TGSPDCL MoD'!AK55</f>
        <v>94.5792361066141</v>
      </c>
      <c r="G409" s="147">
        <f>'[39]TGSPDCL MoD'!AL55</f>
        <v>91.5282930064007</v>
      </c>
      <c r="H409" s="147">
        <f>'[39]TGSPDCL MoD'!AM55</f>
        <v>91.3910363999972</v>
      </c>
      <c r="I409" s="147">
        <f>'[39]TGSPDCL MoD'!AN55</f>
        <v>73.7398754084804</v>
      </c>
      <c r="J409" s="147">
        <f>'[39]TGSPDCL MoD'!AO55</f>
        <v>80.4285623367784</v>
      </c>
      <c r="K409" s="147">
        <f>'[39]TGSPDCL MoD'!AP55</f>
        <v>73.6521618370226</v>
      </c>
      <c r="L409" s="147">
        <f>'[39]TGSPDCL MoD'!AQ55</f>
        <v>93.5472994697772</v>
      </c>
      <c r="M409" s="147">
        <f>'[39]TGSPDCL MoD'!AR55</f>
        <v>92.1596160731325</v>
      </c>
      <c r="N409" s="147">
        <f>'[39]TGSPDCL MoD'!AS55</f>
        <v>82.8305729250046</v>
      </c>
      <c r="O409" s="147">
        <f>'[39]TGSPDCL MoD'!AT55</f>
        <v>81.3737308595254</v>
      </c>
      <c r="P409" s="147">
        <f>'[39]TGSPDCL MoD'!AU55</f>
        <v>96.9626301483655</v>
      </c>
      <c r="Q409" s="147">
        <f t="shared" si="170"/>
        <v>1044.26683753376</v>
      </c>
    </row>
    <row r="410" spans="3:17">
      <c r="C410" s="311"/>
      <c r="D410" s="685" t="s">
        <v>450</v>
      </c>
      <c r="E410" s="147">
        <f>'[39]TGSPDCL MoD'!AJ56</f>
        <v>90.1820764214518</v>
      </c>
      <c r="F410" s="147">
        <f>'[39]TGSPDCL MoD'!AK56</f>
        <v>94.5835882790876</v>
      </c>
      <c r="G410" s="147">
        <f>'[39]TGSPDCL MoD'!AL56</f>
        <v>91.5325047862138</v>
      </c>
      <c r="H410" s="147">
        <f>'[39]TGSPDCL MoD'!AM56</f>
        <v>89.7836149158887</v>
      </c>
      <c r="I410" s="147">
        <f>'[39]TGSPDCL MoD'!AN56</f>
        <v>69.4664630783541</v>
      </c>
      <c r="J410" s="147">
        <f>'[39]TGSPDCL MoD'!AO56</f>
        <v>72.822212439174</v>
      </c>
      <c r="K410" s="147">
        <f>'[39]TGSPDCL MoD'!AP56</f>
        <v>71.4862851390122</v>
      </c>
      <c r="L410" s="147">
        <f>'[39]TGSPDCL MoD'!AQ56</f>
        <v>93.551604156498</v>
      </c>
      <c r="M410" s="147">
        <f>'[39]TGSPDCL MoD'!AR56</f>
        <v>85.1383014578918</v>
      </c>
      <c r="N410" s="147">
        <f>'[39]TGSPDCL MoD'!AS56</f>
        <v>82.065172183326</v>
      </c>
      <c r="O410" s="147">
        <f>'[39]TGSPDCL MoD'!AT56</f>
        <v>79.5687467413137</v>
      </c>
      <c r="P410" s="147">
        <f>'[39]TGSPDCL MoD'!AU56</f>
        <v>94.5835882790876</v>
      </c>
      <c r="Q410" s="147">
        <f t="shared" si="170"/>
        <v>1014.7641578773</v>
      </c>
    </row>
    <row r="411" spans="3:17">
      <c r="C411" s="55"/>
      <c r="D411" s="55" t="s">
        <v>381</v>
      </c>
      <c r="E411" s="147">
        <f>'[39]TGSPDCL MoD'!AJ33</f>
        <v>1.15238359057585</v>
      </c>
      <c r="F411" s="147">
        <f>'[39]TGSPDCL MoD'!AK33</f>
        <v>1.45968588139614</v>
      </c>
      <c r="G411" s="147">
        <f>'[39]TGSPDCL MoD'!AL33</f>
        <v>1.44977290427281</v>
      </c>
      <c r="H411" s="147">
        <f>'[39]TGSPDCL MoD'!AM33</f>
        <v>0.998732445165761</v>
      </c>
      <c r="I411" s="147">
        <f>'[39]TGSPDCL MoD'!AN33</f>
        <v>0.921906872460714</v>
      </c>
      <c r="J411" s="147">
        <f>'[39]TGSPDCL MoD'!AO33</f>
        <v>0.892167941091014</v>
      </c>
      <c r="K411" s="147">
        <f>'[39]TGSPDCL MoD'!AP33</f>
        <v>0.921906872460714</v>
      </c>
      <c r="L411" s="147">
        <f>'[39]TGSPDCL MoD'!AQ33</f>
        <v>1.11520992636373</v>
      </c>
      <c r="M411" s="147">
        <f>'[39]TGSPDCL MoD'!AR33</f>
        <v>0.998732445165761</v>
      </c>
      <c r="N411" s="147">
        <f>'[39]TGSPDCL MoD'!AS33</f>
        <v>0.998732445165761</v>
      </c>
      <c r="O411" s="147">
        <f>'[39]TGSPDCL MoD'!AT33</f>
        <v>1.11025343780211</v>
      </c>
      <c r="P411" s="147">
        <f>'[39]TGSPDCL MoD'!AU33</f>
        <v>1.30603473598595</v>
      </c>
      <c r="Q411" s="147">
        <f t="shared" si="170"/>
        <v>13.3255194979063</v>
      </c>
    </row>
    <row r="412" spans="3:17">
      <c r="C412" s="55"/>
      <c r="D412" s="55" t="s">
        <v>382</v>
      </c>
      <c r="E412" s="147">
        <f>'[39]TGSPDCL MoD'!AJ34</f>
        <v>0.977696125244373</v>
      </c>
      <c r="F412" s="147">
        <f>'[39]TGSPDCL MoD'!AK34</f>
        <v>0.967597855406168</v>
      </c>
      <c r="G412" s="147">
        <f>'[39]TGSPDCL MoD'!AL34</f>
        <v>0.977696125244373</v>
      </c>
      <c r="H412" s="147">
        <f>'[39]TGSPDCL MoD'!AM34</f>
        <v>1.03163006642569</v>
      </c>
      <c r="I412" s="147">
        <f>'[39]TGSPDCL MoD'!AN34</f>
        <v>0.839533433367116</v>
      </c>
      <c r="J412" s="147">
        <f>'[39]TGSPDCL MoD'!AO34</f>
        <v>0.903910291974639</v>
      </c>
      <c r="K412" s="147">
        <f>'[39]TGSPDCL MoD'!AP34</f>
        <v>0.796845292687432</v>
      </c>
      <c r="L412" s="147">
        <f>'[39]TGSPDCL MoD'!AQ34</f>
        <v>0.977696125244373</v>
      </c>
      <c r="M412" s="147">
        <f>'[39]TGSPDCL MoD'!AR34</f>
        <v>0.98894192574601</v>
      </c>
      <c r="N412" s="147">
        <f>'[39]TGSPDCL MoD'!AS34</f>
        <v>0.924909714726484</v>
      </c>
      <c r="O412" s="147">
        <f>'[39]TGSPDCL MoD'!AT34</f>
        <v>0.846721190640986</v>
      </c>
      <c r="P412" s="147">
        <f>'[39]TGSPDCL MoD'!AU34</f>
        <v>1.03163006642569</v>
      </c>
      <c r="Q412" s="147">
        <f t="shared" si="170"/>
        <v>11.2648082131333</v>
      </c>
    </row>
    <row r="413" spans="3:17">
      <c r="C413" s="55"/>
      <c r="D413" s="55" t="s">
        <v>383</v>
      </c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55">
        <f t="shared" si="170"/>
        <v>0</v>
      </c>
    </row>
    <row r="414" spans="3:17">
      <c r="C414" s="55"/>
      <c r="D414" s="55" t="s">
        <v>384</v>
      </c>
      <c r="E414" s="147">
        <f>'[39]TGSPDCL MoD'!AJ52</f>
        <v>6.87466164042677</v>
      </c>
      <c r="F414" s="147">
        <f>'[39]TGSPDCL MoD'!AK52</f>
        <v>7.10381702844099</v>
      </c>
      <c r="G414" s="147">
        <f>'[39]TGSPDCL MoD'!AL52</f>
        <v>6.87466164042677</v>
      </c>
      <c r="H414" s="147">
        <f>'[39]TGSPDCL MoD'!AM52</f>
        <v>7.25389766988693</v>
      </c>
      <c r="I414" s="147">
        <f>'[39]TGSPDCL MoD'!AN52</f>
        <v>5.96530148687322</v>
      </c>
      <c r="J414" s="147">
        <f>'[39]TGSPDCL MoD'!AO52</f>
        <v>6.58418297956366</v>
      </c>
      <c r="K414" s="147">
        <f>'[39]TGSPDCL MoD'!AP52</f>
        <v>5.60301061398163</v>
      </c>
      <c r="L414" s="147">
        <f>'[39]TGSPDCL MoD'!AQ52</f>
        <v>6.87466164042677</v>
      </c>
      <c r="M414" s="147">
        <f>'[39]TGSPDCL MoD'!AR52</f>
        <v>7.10381702844099</v>
      </c>
      <c r="N414" s="147">
        <f>'[39]TGSPDCL MoD'!AS52</f>
        <v>6.65357510410319</v>
      </c>
      <c r="O414" s="147">
        <f>'[39]TGSPDCL MoD'!AT52</f>
        <v>6.14523744759275</v>
      </c>
      <c r="P414" s="147">
        <f>'[39]TGSPDCL MoD'!AU52</f>
        <v>7.5540589527788</v>
      </c>
      <c r="Q414" s="55">
        <f t="shared" si="170"/>
        <v>80.5908832329425</v>
      </c>
    </row>
    <row r="415" spans="3:17">
      <c r="C415" s="55"/>
      <c r="D415" s="55" t="s">
        <v>385</v>
      </c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>
        <f t="shared" si="170"/>
        <v>0</v>
      </c>
    </row>
    <row r="416" spans="3:17">
      <c r="C416" s="55"/>
      <c r="D416" s="55" t="s">
        <v>386</v>
      </c>
      <c r="E416" s="147">
        <f>'[39]TGSPDCL MoD'!AJ46</f>
        <v>13.0096215526614</v>
      </c>
      <c r="F416" s="147">
        <f>'[39]TGSPDCL MoD'!AK46</f>
        <v>16.804094505521</v>
      </c>
      <c r="G416" s="147">
        <f>'[39]TGSPDCL MoD'!AL46</f>
        <v>16.2620269408268</v>
      </c>
      <c r="H416" s="147">
        <f>'[39]TGSPDCL MoD'!AM46</f>
        <v>10.9226614285887</v>
      </c>
      <c r="I416" s="147">
        <f>'[39]TGSPDCL MoD'!AN46</f>
        <v>10.0824567033126</v>
      </c>
      <c r="J416" s="147">
        <f>'[39]TGSPDCL MoD'!AO46</f>
        <v>10.5703175115374</v>
      </c>
      <c r="K416" s="147">
        <f>'[39]TGSPDCL MoD'!AP46</f>
        <v>10.0824567033126</v>
      </c>
      <c r="L416" s="147">
        <f>'[39]TGSPDCL MoD'!AQ46</f>
        <v>12.7898979367204</v>
      </c>
      <c r="M416" s="147">
        <f>'[39]TGSPDCL MoD'!AR46</f>
        <v>11.3427637912267</v>
      </c>
      <c r="N416" s="147">
        <f>'[39]TGSPDCL MoD'!AS46</f>
        <v>11.3427637912267</v>
      </c>
      <c r="O416" s="147">
        <f>'[39]TGSPDCL MoD'!AT46</f>
        <v>12.9012080397226</v>
      </c>
      <c r="P416" s="147">
        <f>'[39]TGSPDCL MoD'!AU46</f>
        <v>14.7035826923309</v>
      </c>
      <c r="Q416" s="147">
        <f t="shared" si="170"/>
        <v>150.813851596988</v>
      </c>
    </row>
    <row r="417" spans="3:17">
      <c r="C417" s="55"/>
      <c r="D417" s="55" t="s">
        <v>387</v>
      </c>
      <c r="E417" s="147">
        <f>'[39]TGSPDCL MoD'!AJ47</f>
        <v>19.3297079343246</v>
      </c>
      <c r="F417" s="147">
        <f>'[39]TGSPDCL MoD'!AK47</f>
        <v>0</v>
      </c>
      <c r="G417" s="147">
        <f>'[39]TGSPDCL MoD'!AL47</f>
        <v>9.98517215581173</v>
      </c>
      <c r="H417" s="147">
        <f>'[39]TGSPDCL MoD'!AM47</f>
        <v>19.27040332227</v>
      </c>
      <c r="I417" s="147">
        <f>'[39]TGSPDCL MoD'!AN47</f>
        <v>14.2631331676644</v>
      </c>
      <c r="J417" s="147">
        <f>'[39]TGSPDCL MoD'!AO47</f>
        <v>15.5651213017066</v>
      </c>
      <c r="K417" s="147">
        <f>'[39]TGSPDCL MoD'!AP47</f>
        <v>15.1735459230473</v>
      </c>
      <c r="L417" s="147">
        <f>'[39]TGSPDCL MoD'!AQ47</f>
        <v>20.4108666126152</v>
      </c>
      <c r="M417" s="147">
        <f>'[39]TGSPDCL MoD'!AR47</f>
        <v>17.9047841891958</v>
      </c>
      <c r="N417" s="147">
        <f>'[39]TGSPDCL MoD'!AS47</f>
        <v>17.9047841891958</v>
      </c>
      <c r="O417" s="147">
        <f>'[39]TGSPDCL MoD'!AT47</f>
        <v>16.994371433813</v>
      </c>
      <c r="P417" s="147">
        <f>'[39]TGSPDCL MoD'!AU47</f>
        <v>20.3755505482681</v>
      </c>
      <c r="Q417" s="147">
        <f t="shared" si="170"/>
        <v>187.177440777913</v>
      </c>
    </row>
    <row r="418" spans="3:17">
      <c r="C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>
        <f t="shared" si="170"/>
        <v>0</v>
      </c>
    </row>
    <row r="419" spans="3:17"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>
        <f t="shared" si="170"/>
        <v>0</v>
      </c>
    </row>
    <row r="420" spans="3:17"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>
        <f t="shared" si="170"/>
        <v>0</v>
      </c>
    </row>
    <row r="421" spans="3:17"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>
        <f t="shared" si="170"/>
        <v>0</v>
      </c>
    </row>
    <row r="422" spans="3:17"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>
        <f t="shared" si="170"/>
        <v>0</v>
      </c>
    </row>
    <row r="423" spans="3:17"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>
        <f t="shared" si="170"/>
        <v>0</v>
      </c>
    </row>
    <row r="424" spans="3:17"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>
        <f t="shared" si="170"/>
        <v>0</v>
      </c>
    </row>
    <row r="425" spans="3:17"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>
        <f t="shared" si="170"/>
        <v>0</v>
      </c>
    </row>
    <row r="426" spans="3:17"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>
        <f t="shared" si="170"/>
        <v>0</v>
      </c>
    </row>
    <row r="427" spans="3:17"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>
        <f t="shared" si="170"/>
        <v>0</v>
      </c>
    </row>
    <row r="428" ht="15" spans="3:17">
      <c r="C428" s="537" t="s">
        <v>211</v>
      </c>
      <c r="D428" s="540"/>
      <c r="E428" s="690">
        <f t="shared" ref="E428:P428" si="171">SUM(E401:E427)</f>
        <v>468.167965082479</v>
      </c>
      <c r="F428" s="690">
        <f t="shared" si="171"/>
        <v>524.72375882438</v>
      </c>
      <c r="G428" s="690">
        <f t="shared" si="171"/>
        <v>465.748344342774</v>
      </c>
      <c r="H428" s="690">
        <f t="shared" si="171"/>
        <v>408.865825760523</v>
      </c>
      <c r="I428" s="690">
        <f t="shared" si="171"/>
        <v>368.854239604469</v>
      </c>
      <c r="J428" s="690">
        <f t="shared" si="171"/>
        <v>391.501934849435</v>
      </c>
      <c r="K428" s="690">
        <f t="shared" si="171"/>
        <v>376.113609772341</v>
      </c>
      <c r="L428" s="690">
        <f t="shared" si="171"/>
        <v>398.319102580593</v>
      </c>
      <c r="M428" s="690">
        <f t="shared" si="171"/>
        <v>386.800434228294</v>
      </c>
      <c r="N428" s="690">
        <f t="shared" si="171"/>
        <v>414.84502842924</v>
      </c>
      <c r="O428" s="690">
        <f t="shared" si="171"/>
        <v>437.517327956005</v>
      </c>
      <c r="P428" s="690">
        <f t="shared" si="171"/>
        <v>518.210641673978</v>
      </c>
      <c r="Q428" s="693">
        <f t="shared" si="170"/>
        <v>5159.66821310451</v>
      </c>
    </row>
    <row r="429" ht="15" spans="3:17">
      <c r="C429" s="44" t="s">
        <v>388</v>
      </c>
      <c r="D429" s="4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</row>
    <row r="430" spans="3:17">
      <c r="C430" s="682" t="s">
        <v>389</v>
      </c>
      <c r="D430" s="685" t="s">
        <v>390</v>
      </c>
      <c r="E430" s="147">
        <f>'[39]TGSPDCL MoD'!AJ32</f>
        <v>2.78489109290697</v>
      </c>
      <c r="F430" s="147">
        <f>'[39]TGSPDCL MoD'!AK32</f>
        <v>2.87772079600386</v>
      </c>
      <c r="G430" s="147">
        <f>'[39]TGSPDCL MoD'!AL32</f>
        <v>2.78489109290697</v>
      </c>
      <c r="H430" s="147">
        <f>'[39]TGSPDCL MoD'!AM32</f>
        <v>2.87772079600386</v>
      </c>
      <c r="I430" s="147">
        <f>'[39]TGSPDCL MoD'!AN32</f>
        <v>2.87772079600386</v>
      </c>
      <c r="J430" s="147">
        <f>'[39]TGSPDCL MoD'!AO32</f>
        <v>2.78489109290697</v>
      </c>
      <c r="K430" s="147">
        <f>'[39]TGSPDCL MoD'!AP32</f>
        <v>2.87772079600386</v>
      </c>
      <c r="L430" s="147">
        <f>'[39]TGSPDCL MoD'!AQ32</f>
        <v>2.78489109290697</v>
      </c>
      <c r="M430" s="147">
        <f>'[39]TGSPDCL MoD'!AR32</f>
        <v>2.87772079600386</v>
      </c>
      <c r="N430" s="147">
        <f>'[39]TGSPDCL MoD'!AS32</f>
        <v>2.87772079600386</v>
      </c>
      <c r="O430" s="147">
        <f>'[39]TGSPDCL MoD'!AT32</f>
        <v>2.59923168671317</v>
      </c>
      <c r="P430" s="147">
        <f>'[39]TGSPDCL MoD'!AU32</f>
        <v>2.87772079600386</v>
      </c>
      <c r="Q430" s="147">
        <f t="shared" ref="Q430:Q444" si="172">SUM(E430:P430)</f>
        <v>33.8828416303681</v>
      </c>
    </row>
    <row r="431" spans="3:17">
      <c r="C431" s="683"/>
      <c r="D431" s="685" t="s">
        <v>391</v>
      </c>
      <c r="E431" s="147">
        <f>'[39]TGSPDCL MoD'!AJ37+'[39]TGSPDCL MoD'!AJ36</f>
        <v>11.933607725324</v>
      </c>
      <c r="F431" s="147">
        <f>'[39]TGSPDCL MoD'!AK37+'[39]TGSPDCL MoD'!AK36</f>
        <v>12.3313946495014</v>
      </c>
      <c r="G431" s="147">
        <f>'[39]TGSPDCL MoD'!AL37+'[39]TGSPDCL MoD'!AL36</f>
        <v>11.933607725324</v>
      </c>
      <c r="H431" s="147">
        <f>'[39]TGSPDCL MoD'!AM37+'[39]TGSPDCL MoD'!AM36</f>
        <v>12.3313946495014</v>
      </c>
      <c r="I431" s="147">
        <f>'[39]TGSPDCL MoD'!AN37+'[39]TGSPDCL MoD'!AN36</f>
        <v>12.3313946495014</v>
      </c>
      <c r="J431" s="147">
        <f>'[39]TGSPDCL MoD'!AO37+'[39]TGSPDCL MoD'!AO36</f>
        <v>11.933607725324</v>
      </c>
      <c r="K431" s="147">
        <f>'[39]TGSPDCL MoD'!AP37+'[39]TGSPDCL MoD'!AP36</f>
        <v>12.3313946495014</v>
      </c>
      <c r="L431" s="147">
        <f>'[39]TGSPDCL MoD'!AQ37+'[39]TGSPDCL MoD'!AQ36</f>
        <v>11.933607725324</v>
      </c>
      <c r="M431" s="147">
        <f>'[39]TGSPDCL MoD'!AR37+'[39]TGSPDCL MoD'!AR36</f>
        <v>12.3313946495014</v>
      </c>
      <c r="N431" s="147">
        <f>'[39]TGSPDCL MoD'!AS37+'[39]TGSPDCL MoD'!AS36</f>
        <v>12.3313946495014</v>
      </c>
      <c r="O431" s="147">
        <f>'[39]TGSPDCL MoD'!AT37+'[39]TGSPDCL MoD'!AT36</f>
        <v>11.138033876969</v>
      </c>
      <c r="P431" s="147">
        <f>'[39]TGSPDCL MoD'!AU37+'[39]TGSPDCL MoD'!AU36</f>
        <v>12.3313946495014</v>
      </c>
      <c r="Q431" s="147">
        <f t="shared" si="172"/>
        <v>145.192227324775</v>
      </c>
    </row>
    <row r="432" spans="3:17">
      <c r="C432" s="683"/>
      <c r="D432" s="685" t="s">
        <v>392</v>
      </c>
      <c r="E432" s="147">
        <f>'[39]TGSPDCL MoD'!AJ38+'[39]TGSPDCL MoD'!AJ39</f>
        <v>11.933607725324</v>
      </c>
      <c r="F432" s="147">
        <f>'[39]TGSPDCL MoD'!AK38+'[39]TGSPDCL MoD'!AK39</f>
        <v>12.3313946495014</v>
      </c>
      <c r="G432" s="147">
        <f>'[39]TGSPDCL MoD'!AL38+'[39]TGSPDCL MoD'!AL39</f>
        <v>11.933607725324</v>
      </c>
      <c r="H432" s="147">
        <f>'[39]TGSPDCL MoD'!AM38+'[39]TGSPDCL MoD'!AM39</f>
        <v>12.3313946495014</v>
      </c>
      <c r="I432" s="147">
        <f>'[39]TGSPDCL MoD'!AN38+'[39]TGSPDCL MoD'!AN39</f>
        <v>12.3313946495014</v>
      </c>
      <c r="J432" s="147">
        <f>'[39]TGSPDCL MoD'!AO38+'[39]TGSPDCL MoD'!AO39</f>
        <v>11.933607725324</v>
      </c>
      <c r="K432" s="147">
        <f>'[39]TGSPDCL MoD'!AP38+'[39]TGSPDCL MoD'!AP39</f>
        <v>12.3313946495014</v>
      </c>
      <c r="L432" s="147">
        <f>'[39]TGSPDCL MoD'!AQ38+'[39]TGSPDCL MoD'!AQ39</f>
        <v>11.933607725324</v>
      </c>
      <c r="M432" s="147">
        <f>'[39]TGSPDCL MoD'!AR38+'[39]TGSPDCL MoD'!AR39</f>
        <v>12.3313946495014</v>
      </c>
      <c r="N432" s="147">
        <f>'[39]TGSPDCL MoD'!AS38+'[39]TGSPDCL MoD'!AS39</f>
        <v>12.3313946495014</v>
      </c>
      <c r="O432" s="147">
        <f>'[39]TGSPDCL MoD'!AT38+'[39]TGSPDCL MoD'!AT39</f>
        <v>11.138033876969</v>
      </c>
      <c r="P432" s="147">
        <f>'[39]TGSPDCL MoD'!AU38+'[39]TGSPDCL MoD'!AU39</f>
        <v>12.3313946495014</v>
      </c>
      <c r="Q432" s="147">
        <f t="shared" si="172"/>
        <v>145.192227324775</v>
      </c>
    </row>
    <row r="433" spans="3:17">
      <c r="C433" s="684"/>
      <c r="D433" s="685" t="s">
        <v>393</v>
      </c>
      <c r="E433" s="147">
        <f>'[39]TGSPDCL MoD'!AJ48</f>
        <v>11.1891753970624</v>
      </c>
      <c r="F433" s="147">
        <f>'[39]TGSPDCL MoD'!AK48</f>
        <v>11.5621479102979</v>
      </c>
      <c r="G433" s="147">
        <f>'[39]TGSPDCL MoD'!AL48</f>
        <v>11.1891753970624</v>
      </c>
      <c r="H433" s="147">
        <f>'[39]TGSPDCL MoD'!AM48</f>
        <v>11.5621479102979</v>
      </c>
      <c r="I433" s="147">
        <f>'[39]TGSPDCL MoD'!AN48</f>
        <v>11.5621479102979</v>
      </c>
      <c r="J433" s="147">
        <f>'[39]TGSPDCL MoD'!AO48</f>
        <v>11.1891753970624</v>
      </c>
      <c r="K433" s="147">
        <f>'[39]TGSPDCL MoD'!AP48</f>
        <v>11.5621479102979</v>
      </c>
      <c r="L433" s="147">
        <f>'[39]TGSPDCL MoD'!AQ48</f>
        <v>11.1891753970624</v>
      </c>
      <c r="M433" s="147">
        <f>'[39]TGSPDCL MoD'!AR48</f>
        <v>11.5621479102979</v>
      </c>
      <c r="N433" s="147">
        <f>'[39]TGSPDCL MoD'!AS48</f>
        <v>11.5621479102979</v>
      </c>
      <c r="O433" s="147">
        <f>'[39]TGSPDCL MoD'!AT48</f>
        <v>10.4432303705916</v>
      </c>
      <c r="P433" s="147">
        <f>'[39]TGSPDCL MoD'!AU48</f>
        <v>11.5621479102979</v>
      </c>
      <c r="Q433" s="147">
        <f t="shared" si="172"/>
        <v>136.134967330926</v>
      </c>
    </row>
    <row r="434" spans="3:17">
      <c r="C434" s="55"/>
      <c r="D434" s="55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>
        <f t="shared" si="172"/>
        <v>0</v>
      </c>
    </row>
    <row r="435" spans="3:17">
      <c r="C435" s="55"/>
      <c r="D435" s="55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>
        <f t="shared" si="172"/>
        <v>0</v>
      </c>
    </row>
    <row r="436" spans="3:17">
      <c r="C436" s="55"/>
      <c r="D436" s="55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>
        <f t="shared" si="172"/>
        <v>0</v>
      </c>
    </row>
    <row r="437" spans="3:17">
      <c r="C437" s="55"/>
      <c r="D437" s="55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>
        <f t="shared" si="172"/>
        <v>0</v>
      </c>
    </row>
    <row r="438" spans="3:17">
      <c r="C438" s="55"/>
      <c r="D438" s="55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>
        <f t="shared" si="172"/>
        <v>0</v>
      </c>
    </row>
    <row r="439" spans="3:17">
      <c r="C439" s="55"/>
      <c r="D439" s="55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>
        <f t="shared" si="172"/>
        <v>0</v>
      </c>
    </row>
    <row r="440" spans="3:17">
      <c r="C440" s="55"/>
      <c r="D440" s="55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>
        <f t="shared" si="172"/>
        <v>0</v>
      </c>
    </row>
    <row r="441" spans="3:21">
      <c r="C441" s="55"/>
      <c r="D441" s="55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>
        <f t="shared" si="172"/>
        <v>0</v>
      </c>
      <c r="U441" s="12">
        <f>(5408/3439)</f>
        <v>1.57255015993021</v>
      </c>
    </row>
    <row r="442" spans="3:21">
      <c r="C442" s="55"/>
      <c r="D442" s="55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>
        <f t="shared" si="172"/>
        <v>0</v>
      </c>
      <c r="U442" s="12">
        <f>U441^(1/5)</f>
        <v>1.09476499243979</v>
      </c>
    </row>
    <row r="443" spans="3:21">
      <c r="C443" s="55"/>
      <c r="D443" s="55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>
        <f t="shared" si="172"/>
        <v>0</v>
      </c>
      <c r="U443" s="696">
        <f>U442-1</f>
        <v>0.0947649924397851</v>
      </c>
    </row>
    <row r="444" ht="15" spans="3:18">
      <c r="C444" s="537" t="s">
        <v>211</v>
      </c>
      <c r="D444" s="540"/>
      <c r="E444" s="147">
        <f t="shared" ref="E444:P444" si="173">SUM(E430:E443)</f>
        <v>37.8412819406173</v>
      </c>
      <c r="F444" s="147">
        <f t="shared" si="173"/>
        <v>39.1026580053046</v>
      </c>
      <c r="G444" s="147">
        <f t="shared" si="173"/>
        <v>37.8412819406173</v>
      </c>
      <c r="H444" s="147">
        <f t="shared" si="173"/>
        <v>39.1026580053046</v>
      </c>
      <c r="I444" s="147">
        <f t="shared" si="173"/>
        <v>39.1026580053046</v>
      </c>
      <c r="J444" s="147">
        <f t="shared" si="173"/>
        <v>37.8412819406173</v>
      </c>
      <c r="K444" s="147">
        <f t="shared" si="173"/>
        <v>39.1026580053046</v>
      </c>
      <c r="L444" s="147">
        <f t="shared" si="173"/>
        <v>37.8412819406173</v>
      </c>
      <c r="M444" s="147">
        <f t="shared" si="173"/>
        <v>39.1026580053046</v>
      </c>
      <c r="N444" s="147">
        <f t="shared" si="173"/>
        <v>39.1026580053046</v>
      </c>
      <c r="O444" s="147">
        <f t="shared" si="173"/>
        <v>35.3185298112428</v>
      </c>
      <c r="P444" s="147">
        <f t="shared" si="173"/>
        <v>39.1026580053046</v>
      </c>
      <c r="Q444" s="316">
        <f t="shared" si="172"/>
        <v>460.402263610845</v>
      </c>
      <c r="R444" s="686"/>
    </row>
    <row r="445" ht="15" spans="3:18">
      <c r="C445" s="44" t="s">
        <v>395</v>
      </c>
      <c r="D445" s="45"/>
      <c r="E445" s="147">
        <f t="shared" ref="E445:Q445" si="174">E428+E444</f>
        <v>506.009247023096</v>
      </c>
      <c r="F445" s="147">
        <f t="shared" si="174"/>
        <v>563.826416829684</v>
      </c>
      <c r="G445" s="147">
        <f t="shared" si="174"/>
        <v>503.589626283392</v>
      </c>
      <c r="H445" s="147">
        <f t="shared" si="174"/>
        <v>447.968483765827</v>
      </c>
      <c r="I445" s="147">
        <f t="shared" si="174"/>
        <v>407.956897609774</v>
      </c>
      <c r="J445" s="147">
        <f t="shared" si="174"/>
        <v>429.343216790052</v>
      </c>
      <c r="K445" s="147">
        <f t="shared" si="174"/>
        <v>415.216267777646</v>
      </c>
      <c r="L445" s="147">
        <f t="shared" si="174"/>
        <v>436.16038452121</v>
      </c>
      <c r="M445" s="147">
        <f t="shared" si="174"/>
        <v>425.903092233599</v>
      </c>
      <c r="N445" s="147">
        <f t="shared" si="174"/>
        <v>453.947686434544</v>
      </c>
      <c r="O445" s="147">
        <f t="shared" si="174"/>
        <v>472.835857767248</v>
      </c>
      <c r="P445" s="147">
        <f t="shared" si="174"/>
        <v>557.313299679283</v>
      </c>
      <c r="Q445" s="316">
        <f t="shared" si="174"/>
        <v>5620.07047671536</v>
      </c>
      <c r="R445" s="686"/>
    </row>
    <row r="446" ht="15" spans="3:17">
      <c r="C446" s="663" t="s">
        <v>396</v>
      </c>
      <c r="D446" s="676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</row>
    <row r="447" spans="3:17">
      <c r="C447" s="55" t="s">
        <v>397</v>
      </c>
      <c r="D447" s="55" t="s">
        <v>397</v>
      </c>
      <c r="E447" s="147">
        <f>'[39]TGSPDCL MoD'!AJ23</f>
        <v>29.4223759624054</v>
      </c>
      <c r="F447" s="147">
        <f>'[39]TGSPDCL MoD'!AK23</f>
        <v>30.2362684952383</v>
      </c>
      <c r="G447" s="147">
        <f>'[39]TGSPDCL MoD'!AL23</f>
        <v>29.4223759624054</v>
      </c>
      <c r="H447" s="147">
        <f>'[39]TGSPDCL MoD'!AM23</f>
        <v>31.0454413030545</v>
      </c>
      <c r="I447" s="147">
        <f>'[39]TGSPDCL MoD'!AN23</f>
        <v>25.2645660259341</v>
      </c>
      <c r="J447" s="147">
        <f>'[39]TGSPDCL MoD'!AO23</f>
        <v>28.1791769780785</v>
      </c>
      <c r="K447" s="147">
        <f>'[39]TGSPDCL MoD'!AP23</f>
        <v>23.9799270754628</v>
      </c>
      <c r="L447" s="147">
        <f>'[39]TGSPDCL MoD'!AQ23</f>
        <v>29.4223759624054</v>
      </c>
      <c r="M447" s="147">
        <f>'[39]TGSPDCL MoD'!AR23</f>
        <v>30.4031218278189</v>
      </c>
      <c r="N447" s="147">
        <f>'[39]TGSPDCL MoD'!AS23</f>
        <v>28.2128076274148</v>
      </c>
      <c r="O447" s="147">
        <f>'[39]TGSPDCL MoD'!AT23</f>
        <v>26.1060793502959</v>
      </c>
      <c r="P447" s="147">
        <f>'[39]TGSPDCL MoD'!AU23</f>
        <v>32.240309069967</v>
      </c>
      <c r="Q447" s="147">
        <f>SUM(E447:P447)</f>
        <v>343.934825640481</v>
      </c>
    </row>
    <row r="448" spans="3:17">
      <c r="C448" s="55" t="s">
        <v>398</v>
      </c>
      <c r="D448" s="55" t="s">
        <v>398</v>
      </c>
      <c r="E448" s="147">
        <f>'[39]TGSPDCL MoD'!AJ24</f>
        <v>0</v>
      </c>
      <c r="F448" s="147">
        <f>'[39]TGSPDCL MoD'!AK24</f>
        <v>0</v>
      </c>
      <c r="G448" s="147">
        <f>'[39]TGSPDCL MoD'!AL24</f>
        <v>0</v>
      </c>
      <c r="H448" s="147">
        <f>'[39]TGSPDCL MoD'!AM24</f>
        <v>0</v>
      </c>
      <c r="I448" s="147">
        <f>'[39]TGSPDCL MoD'!AN24</f>
        <v>0</v>
      </c>
      <c r="J448" s="147">
        <f>'[39]TGSPDCL MoD'!AO24</f>
        <v>0</v>
      </c>
      <c r="K448" s="147">
        <f>'[39]TGSPDCL MoD'!AP24</f>
        <v>0</v>
      </c>
      <c r="L448" s="147">
        <f>'[39]TGSPDCL MoD'!AQ24</f>
        <v>0</v>
      </c>
      <c r="M448" s="147">
        <f>'[39]TGSPDCL MoD'!AR24</f>
        <v>0</v>
      </c>
      <c r="N448" s="147">
        <f>'[39]TGSPDCL MoD'!AS24</f>
        <v>0</v>
      </c>
      <c r="O448" s="147">
        <f>'[39]TGSPDCL MoD'!AT24</f>
        <v>0</v>
      </c>
      <c r="P448" s="147">
        <f>'[39]TGSPDCL MoD'!AU24</f>
        <v>0</v>
      </c>
      <c r="Q448" s="147">
        <f>SUM(E448:P448)</f>
        <v>0</v>
      </c>
    </row>
    <row r="449" spans="3:17">
      <c r="C449" s="55"/>
      <c r="D449" s="55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</row>
    <row r="450" spans="3:17">
      <c r="C450" s="55"/>
      <c r="D450" s="55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</row>
    <row r="451" spans="3:17">
      <c r="C451" s="55"/>
      <c r="D451" s="55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</row>
    <row r="452" spans="3:17">
      <c r="C452" s="55"/>
      <c r="D452" s="55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</row>
    <row r="453" spans="3:17">
      <c r="C453" s="55"/>
      <c r="D453" s="55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</row>
    <row r="454" ht="15" spans="3:18">
      <c r="C454" s="44" t="s">
        <v>399</v>
      </c>
      <c r="D454" s="45"/>
      <c r="E454" s="147">
        <f t="shared" ref="E454:P454" si="175">SUM(E447:E453)</f>
        <v>29.4223759624054</v>
      </c>
      <c r="F454" s="147">
        <f t="shared" si="175"/>
        <v>30.2362684952383</v>
      </c>
      <c r="G454" s="147">
        <f t="shared" si="175"/>
        <v>29.4223759624054</v>
      </c>
      <c r="H454" s="147">
        <f t="shared" si="175"/>
        <v>31.0454413030545</v>
      </c>
      <c r="I454" s="147">
        <f t="shared" si="175"/>
        <v>25.2645660259341</v>
      </c>
      <c r="J454" s="147">
        <f t="shared" si="175"/>
        <v>28.1791769780785</v>
      </c>
      <c r="K454" s="147">
        <f t="shared" si="175"/>
        <v>23.9799270754628</v>
      </c>
      <c r="L454" s="147">
        <f t="shared" si="175"/>
        <v>29.4223759624054</v>
      </c>
      <c r="M454" s="147">
        <f t="shared" si="175"/>
        <v>30.4031218278189</v>
      </c>
      <c r="N454" s="147">
        <f t="shared" si="175"/>
        <v>28.2128076274148</v>
      </c>
      <c r="O454" s="147">
        <f t="shared" si="175"/>
        <v>26.1060793502959</v>
      </c>
      <c r="P454" s="147">
        <f t="shared" si="175"/>
        <v>32.240309069967</v>
      </c>
      <c r="Q454" s="316">
        <f>SUM(E454:P454)</f>
        <v>343.934825640481</v>
      </c>
      <c r="R454" s="686"/>
    </row>
    <row r="455" ht="15" spans="3:4">
      <c r="C455" s="663" t="s">
        <v>400</v>
      </c>
      <c r="D455" s="676"/>
    </row>
    <row r="456" spans="3:17">
      <c r="C456" s="55" t="s">
        <v>401</v>
      </c>
      <c r="D456" s="55" t="s">
        <v>401</v>
      </c>
      <c r="E456" s="147">
        <f>SUM('[39]TGSPDCL MoD'!AJ20:AJ22)</f>
        <v>150.281377400042</v>
      </c>
      <c r="F456" s="147">
        <f>SUM('[39]TGSPDCL MoD'!AK20:AK22)</f>
        <v>85.5775047985949</v>
      </c>
      <c r="G456" s="147">
        <f>SUM('[39]TGSPDCL MoD'!AL20:AL22)</f>
        <v>41.4084700638363</v>
      </c>
      <c r="H456" s="147">
        <f>SUM('[39]TGSPDCL MoD'!AM20:AM22)</f>
        <v>108.435402994978</v>
      </c>
      <c r="I456" s="147">
        <f>SUM('[39]TGSPDCL MoD'!AN20:AN22)</f>
        <v>114.569948814071</v>
      </c>
      <c r="J456" s="147">
        <f>SUM('[39]TGSPDCL MoD'!AO20:AO22)</f>
        <v>127.837035393608</v>
      </c>
      <c r="K456" s="147">
        <f>SUM('[39]TGSPDCL MoD'!AP20:AP22)</f>
        <v>119.054775021888</v>
      </c>
      <c r="L456" s="147">
        <f>SUM('[39]TGSPDCL MoD'!AQ20:AQ22)</f>
        <v>167.639619723043</v>
      </c>
      <c r="M456" s="147">
        <f>SUM('[39]TGSPDCL MoD'!AR20:AR22)</f>
        <v>148.444499316186</v>
      </c>
      <c r="N456" s="147">
        <f>SUM('[39]TGSPDCL MoD'!AS20:AS22)</f>
        <v>144.705228521699</v>
      </c>
      <c r="O456" s="147">
        <f>SUM('[39]TGSPDCL MoD'!AT20:AT22)</f>
        <v>226.498411766483</v>
      </c>
      <c r="P456" s="147">
        <f>SUM('[39]TGSPDCL MoD'!AU20:AU22)</f>
        <v>271.190260586416</v>
      </c>
      <c r="Q456" s="147">
        <f>SUM(E456:P456)</f>
        <v>1705.64253440085</v>
      </c>
    </row>
    <row r="457" spans="3:17">
      <c r="C457" s="55" t="s">
        <v>402</v>
      </c>
      <c r="D457" s="55" t="s">
        <v>402</v>
      </c>
      <c r="E457" s="55">
        <v>0</v>
      </c>
      <c r="F457" s="55">
        <v>0</v>
      </c>
      <c r="G457" s="55">
        <v>0</v>
      </c>
      <c r="H457" s="55">
        <v>0</v>
      </c>
      <c r="I457" s="55">
        <v>0</v>
      </c>
      <c r="J457" s="55">
        <v>0</v>
      </c>
      <c r="K457" s="55">
        <v>0</v>
      </c>
      <c r="L457" s="55">
        <v>0</v>
      </c>
      <c r="M457" s="55">
        <v>0</v>
      </c>
      <c r="N457" s="55">
        <v>0</v>
      </c>
      <c r="O457" s="55">
        <v>0</v>
      </c>
      <c r="P457" s="55">
        <v>0</v>
      </c>
      <c r="Q457" s="55">
        <v>0</v>
      </c>
    </row>
    <row r="458" spans="3:17">
      <c r="C458" s="55" t="s">
        <v>403</v>
      </c>
      <c r="D458" s="55" t="s">
        <v>403</v>
      </c>
      <c r="E458" s="55">
        <v>0</v>
      </c>
      <c r="F458" s="55">
        <v>0</v>
      </c>
      <c r="G458" s="55">
        <v>0</v>
      </c>
      <c r="H458" s="55">
        <v>0</v>
      </c>
      <c r="I458" s="55">
        <v>0</v>
      </c>
      <c r="J458" s="55">
        <v>0</v>
      </c>
      <c r="K458" s="55">
        <v>0</v>
      </c>
      <c r="L458" s="55">
        <v>0</v>
      </c>
      <c r="M458" s="55">
        <v>0</v>
      </c>
      <c r="N458" s="55">
        <v>0</v>
      </c>
      <c r="O458" s="55">
        <v>0</v>
      </c>
      <c r="P458" s="55">
        <v>0</v>
      </c>
      <c r="Q458" s="55">
        <v>0</v>
      </c>
    </row>
    <row r="459" spans="3:17"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>
        <f t="shared" ref="Q459:Q464" si="176">SUM(E459:P459)</f>
        <v>0</v>
      </c>
    </row>
    <row r="460" spans="3:17"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>
        <f t="shared" si="176"/>
        <v>0</v>
      </c>
    </row>
    <row r="461" spans="3:17"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>
        <f t="shared" si="176"/>
        <v>0</v>
      </c>
    </row>
    <row r="462" spans="3:17"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>
        <f t="shared" si="176"/>
        <v>0</v>
      </c>
    </row>
    <row r="463" spans="3:17"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>
        <f t="shared" si="176"/>
        <v>0</v>
      </c>
    </row>
    <row r="464" ht="15" spans="3:18">
      <c r="C464" s="44" t="s">
        <v>404</v>
      </c>
      <c r="D464" s="45"/>
      <c r="E464" s="147">
        <f t="shared" ref="E464:P464" si="177">SUM(E456:E463)</f>
        <v>150.281377400042</v>
      </c>
      <c r="F464" s="147">
        <f t="shared" si="177"/>
        <v>85.5775047985949</v>
      </c>
      <c r="G464" s="147">
        <f t="shared" si="177"/>
        <v>41.4084700638363</v>
      </c>
      <c r="H464" s="147">
        <f t="shared" si="177"/>
        <v>108.435402994978</v>
      </c>
      <c r="I464" s="147">
        <f t="shared" si="177"/>
        <v>114.569948814071</v>
      </c>
      <c r="J464" s="147">
        <f t="shared" si="177"/>
        <v>127.837035393608</v>
      </c>
      <c r="K464" s="147">
        <f t="shared" si="177"/>
        <v>119.054775021888</v>
      </c>
      <c r="L464" s="147">
        <f t="shared" si="177"/>
        <v>167.639619723043</v>
      </c>
      <c r="M464" s="147">
        <f t="shared" si="177"/>
        <v>148.444499316186</v>
      </c>
      <c r="N464" s="147">
        <f t="shared" si="177"/>
        <v>144.705228521699</v>
      </c>
      <c r="O464" s="147">
        <f t="shared" si="177"/>
        <v>226.498411766483</v>
      </c>
      <c r="P464" s="147">
        <f t="shared" si="177"/>
        <v>271.190260586416</v>
      </c>
      <c r="Q464" s="316">
        <f t="shared" si="176"/>
        <v>1705.64253440085</v>
      </c>
      <c r="R464" s="686"/>
    </row>
    <row r="465" ht="15" spans="3:17">
      <c r="C465" s="663" t="s">
        <v>405</v>
      </c>
      <c r="D465" s="676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</row>
    <row r="466" spans="3:17">
      <c r="C466" s="55"/>
      <c r="D466" s="55" t="s">
        <v>406</v>
      </c>
      <c r="E466" s="147">
        <f>'[39]TGSPDCL MoD'!F104*[39]Gen_Cost!$BN231/10</f>
        <v>0.0243813126858572</v>
      </c>
      <c r="F466" s="147">
        <f>'[39]TGSPDCL MoD'!G104*[39]Gen_Cost!$BN231/10</f>
        <v>0.0209078555152691</v>
      </c>
      <c r="G466" s="147">
        <f>'[39]TGSPDCL MoD'!H104*[39]Gen_Cost!$BN231/10</f>
        <v>0.0497327402473932</v>
      </c>
      <c r="H466" s="147">
        <f>'[39]TGSPDCL MoD'!I104*[39]Gen_Cost!$BN231/10</f>
        <v>0.0723393463589819</v>
      </c>
      <c r="I466" s="147">
        <f>'[39]TGSPDCL MoD'!J104*[39]Gen_Cost!$BN231/10</f>
        <v>0.0394741207667835</v>
      </c>
      <c r="J466" s="147">
        <f>'[39]TGSPDCL MoD'!K104*[39]Gen_Cost!$BN231/10</f>
        <v>0.0290281127467042</v>
      </c>
      <c r="K466" s="147">
        <f>'[39]TGSPDCL MoD'!L104*[39]Gen_Cost!$BN231/10</f>
        <v>0.0176034973230074</v>
      </c>
      <c r="L466" s="147">
        <f>'[39]TGSPDCL MoD'!M104*[39]Gen_Cost!$BN231/10</f>
        <v>0.024443849476385</v>
      </c>
      <c r="M466" s="147">
        <f>'[39]TGSPDCL MoD'!N104*[39]Gen_Cost!$BN231/10</f>
        <v>0.0279507999852291</v>
      </c>
      <c r="N466" s="147">
        <f>'[39]TGSPDCL MoD'!O104*[39]Gen_Cost!$BN231/10</f>
        <v>0.02703225279869</v>
      </c>
      <c r="O466" s="147">
        <f>'[39]TGSPDCL MoD'!P104*[39]Gen_Cost!$BN231/10</f>
        <v>0.0185345399483146</v>
      </c>
      <c r="P466" s="147">
        <f>'[39]TGSPDCL MoD'!Q104*[39]Gen_Cost!$BN231/10</f>
        <v>0.0240715721473846</v>
      </c>
      <c r="Q466" s="147">
        <f>SUM(E466:P466)</f>
        <v>0.3755</v>
      </c>
    </row>
    <row r="467" spans="3:17">
      <c r="C467" s="55"/>
      <c r="D467" s="55" t="s">
        <v>407</v>
      </c>
      <c r="E467" s="147">
        <v>0</v>
      </c>
      <c r="F467" s="147">
        <v>0</v>
      </c>
      <c r="G467" s="147">
        <v>0</v>
      </c>
      <c r="H467" s="147">
        <v>0</v>
      </c>
      <c r="I467" s="147">
        <v>0</v>
      </c>
      <c r="J467" s="147">
        <v>0</v>
      </c>
      <c r="K467" s="147">
        <v>0</v>
      </c>
      <c r="L467" s="147">
        <v>0</v>
      </c>
      <c r="M467" s="147">
        <v>0</v>
      </c>
      <c r="N467" s="147">
        <v>0</v>
      </c>
      <c r="O467" s="147">
        <v>0</v>
      </c>
      <c r="P467" s="147">
        <v>0</v>
      </c>
      <c r="Q467" s="147">
        <v>0</v>
      </c>
    </row>
    <row r="468" spans="3:17">
      <c r="C468" s="55"/>
      <c r="D468" s="55" t="s">
        <v>408</v>
      </c>
      <c r="E468" s="147">
        <f>'[39]TGSPDCL MoD'!F101*[39]Gen_Cost!$BN$233/10</f>
        <v>0</v>
      </c>
      <c r="F468" s="147">
        <f>'[39]TGSPDCL MoD'!G101*[39]Gen_Cost!$BN$233/10</f>
        <v>0</v>
      </c>
      <c r="G468" s="147">
        <f>'[39]TGSPDCL MoD'!H101*[39]Gen_Cost!$BN$233/10</f>
        <v>0</v>
      </c>
      <c r="H468" s="147">
        <f>'[39]TGSPDCL MoD'!I101*[39]Gen_Cost!$BN$233/10</f>
        <v>0</v>
      </c>
      <c r="I468" s="147">
        <f>'[39]TGSPDCL MoD'!J101*[39]Gen_Cost!$BN$233/10</f>
        <v>0</v>
      </c>
      <c r="J468" s="147">
        <f>'[39]TGSPDCL MoD'!K101*[39]Gen_Cost!$BN$233/10</f>
        <v>0</v>
      </c>
      <c r="K468" s="147">
        <f>'[39]TGSPDCL MoD'!L101*[39]Gen_Cost!$BN$233/10</f>
        <v>0</v>
      </c>
      <c r="L468" s="147">
        <f>'[39]TGSPDCL MoD'!M101*[39]Gen_Cost!$BN$233/10</f>
        <v>0</v>
      </c>
      <c r="M468" s="147">
        <f>'[39]TGSPDCL MoD'!N101*[39]Gen_Cost!$BN$233/10</f>
        <v>0</v>
      </c>
      <c r="N468" s="147">
        <f>'[39]TGSPDCL MoD'!O101*[39]Gen_Cost!$BN$233/10</f>
        <v>0</v>
      </c>
      <c r="O468" s="147">
        <f>'[39]TGSPDCL MoD'!P101*[39]Gen_Cost!$BN$233/10</f>
        <v>0</v>
      </c>
      <c r="P468" s="147">
        <f>'[39]TGSPDCL MoD'!Q101*[39]Gen_Cost!$BN$233/10</f>
        <v>0</v>
      </c>
      <c r="Q468" s="147">
        <f t="shared" ref="Q468:Q490" si="178">SUM(E468:P468)</f>
        <v>0</v>
      </c>
    </row>
    <row r="469" spans="3:17">
      <c r="C469" s="55"/>
      <c r="D469" s="55" t="s">
        <v>409</v>
      </c>
      <c r="E469" s="147">
        <f>'[39]TGSPDCL MoD'!F102*[39]Gen_Cost!$BN$234/10</f>
        <v>0</v>
      </c>
      <c r="F469" s="147">
        <f>'[39]TGSPDCL MoD'!G102*[39]Gen_Cost!$BN$234/10</f>
        <v>0</v>
      </c>
      <c r="G469" s="147">
        <f>'[39]TGSPDCL MoD'!H102*[39]Gen_Cost!$BN$234/10</f>
        <v>0</v>
      </c>
      <c r="H469" s="147">
        <f>'[39]TGSPDCL MoD'!I102*[39]Gen_Cost!$BN$234/10</f>
        <v>0</v>
      </c>
      <c r="I469" s="147">
        <f>'[39]TGSPDCL MoD'!J102*[39]Gen_Cost!$BN$234/10</f>
        <v>0</v>
      </c>
      <c r="J469" s="147">
        <f>'[39]TGSPDCL MoD'!K102*[39]Gen_Cost!$BN$234/10</f>
        <v>0</v>
      </c>
      <c r="K469" s="147">
        <f>'[39]TGSPDCL MoD'!L102*[39]Gen_Cost!$BN$234/10</f>
        <v>0</v>
      </c>
      <c r="L469" s="147">
        <f>'[39]TGSPDCL MoD'!M102*[39]Gen_Cost!$BN$234/10</f>
        <v>0</v>
      </c>
      <c r="M469" s="147">
        <f>'[39]TGSPDCL MoD'!N102*[39]Gen_Cost!$BN$234/10</f>
        <v>0</v>
      </c>
      <c r="N469" s="147">
        <f>'[39]TGSPDCL MoD'!O102*[39]Gen_Cost!$BN$234/10</f>
        <v>0</v>
      </c>
      <c r="O469" s="147">
        <f>'[39]TGSPDCL MoD'!P102*[39]Gen_Cost!$BN$234/10</f>
        <v>0</v>
      </c>
      <c r="P469" s="147">
        <f>'[39]TGSPDCL MoD'!Q102*[39]Gen_Cost!$BN$234/10</f>
        <v>0</v>
      </c>
      <c r="Q469" s="147">
        <f t="shared" si="178"/>
        <v>0</v>
      </c>
    </row>
    <row r="470" spans="3:17">
      <c r="C470" s="55"/>
      <c r="D470" s="55" t="s">
        <v>410</v>
      </c>
      <c r="E470" s="147">
        <f>SUM('[39]TGSPDCL MoD'!F99:F100)*[39]Gen_Cost!$BN$235/10</f>
        <v>0</v>
      </c>
      <c r="F470" s="147">
        <f>SUM('[39]TGSPDCL MoD'!G99:G100)*[39]Gen_Cost!$BN$235/10</f>
        <v>0</v>
      </c>
      <c r="G470" s="147">
        <f>SUM('[39]TGSPDCL MoD'!H99:H100)*[39]Gen_Cost!$BN$235/10</f>
        <v>0</v>
      </c>
      <c r="H470" s="147">
        <f>SUM('[39]TGSPDCL MoD'!I99:I100)*[39]Gen_Cost!$BN$235/10</f>
        <v>0</v>
      </c>
      <c r="I470" s="147">
        <f>SUM('[39]TGSPDCL MoD'!J99:J100)*[39]Gen_Cost!$BN$235/10</f>
        <v>0</v>
      </c>
      <c r="J470" s="147">
        <f>SUM('[39]TGSPDCL MoD'!K99:K100)*[39]Gen_Cost!$BN$235/10</f>
        <v>0</v>
      </c>
      <c r="K470" s="147">
        <f>SUM('[39]TGSPDCL MoD'!L99:L100)*[39]Gen_Cost!$BN$235/10</f>
        <v>0</v>
      </c>
      <c r="L470" s="147">
        <f>SUM('[39]TGSPDCL MoD'!M99:M100)*[39]Gen_Cost!$BN$235/10</f>
        <v>0</v>
      </c>
      <c r="M470" s="147">
        <f>SUM('[39]TGSPDCL MoD'!N99:N100)*[39]Gen_Cost!$BN$235/10</f>
        <v>0</v>
      </c>
      <c r="N470" s="147">
        <f>SUM('[39]TGSPDCL MoD'!O99:O100)*[39]Gen_Cost!$BN$235/10</f>
        <v>0</v>
      </c>
      <c r="O470" s="147">
        <f>SUM('[39]TGSPDCL MoD'!P99:P100)*[39]Gen_Cost!$BN$235/10</f>
        <v>0</v>
      </c>
      <c r="P470" s="147">
        <f>SUM('[39]TGSPDCL MoD'!Q99:Q100)*[39]Gen_Cost!$BN$235/10</f>
        <v>0</v>
      </c>
      <c r="Q470" s="147">
        <f t="shared" si="178"/>
        <v>0</v>
      </c>
    </row>
    <row r="471" spans="3:17">
      <c r="C471" s="55"/>
      <c r="D471" s="55" t="s">
        <v>368</v>
      </c>
      <c r="E471" s="147">
        <f>'[39]TGSPDCL MoD'!F103*[39]Gen_Cost!$BN$236/10</f>
        <v>0.00169806342756752</v>
      </c>
      <c r="F471" s="147">
        <f>'[39]TGSPDCL MoD'!G103*[39]Gen_Cost!$BN$236/10</f>
        <v>0.00181959108266529</v>
      </c>
      <c r="G471" s="147">
        <f>'[39]TGSPDCL MoD'!H103*[39]Gen_Cost!$BN$236/10</f>
        <v>0.00188518447401194</v>
      </c>
      <c r="H471" s="147">
        <f>'[39]TGSPDCL MoD'!I103*[39]Gen_Cost!$BN$236/10</f>
        <v>0.00412143916355103</v>
      </c>
      <c r="I471" s="147">
        <f>'[39]TGSPDCL MoD'!J103*[39]Gen_Cost!$BN$236/10</f>
        <v>0.00967638678287898</v>
      </c>
      <c r="J471" s="147">
        <f>'[39]TGSPDCL MoD'!K103*[39]Gen_Cost!$BN$236/10</f>
        <v>0.00488721752704033</v>
      </c>
      <c r="K471" s="147">
        <f>'[39]TGSPDCL MoD'!L103*[39]Gen_Cost!$BN$236/10</f>
        <v>0.00538694995474754</v>
      </c>
      <c r="L471" s="147">
        <f>'[39]TGSPDCL MoD'!M103*[39]Gen_Cost!$BN$236/10</f>
        <v>0.00184761248791175</v>
      </c>
      <c r="M471" s="147">
        <f>'[39]TGSPDCL MoD'!N103*[39]Gen_Cost!$BN$236/10</f>
        <v>0.00316958844284514</v>
      </c>
      <c r="N471" s="147">
        <f>'[39]TGSPDCL MoD'!O103*[39]Gen_Cost!$BN$236/10</f>
        <v>0.00604801076494963</v>
      </c>
      <c r="O471" s="147">
        <f>'[39]TGSPDCL MoD'!P103*[39]Gen_Cost!$BN$236/10</f>
        <v>0.0054317898050051</v>
      </c>
      <c r="P471" s="147">
        <f>'[39]TGSPDCL MoD'!Q103*[39]Gen_Cost!$BN$236/10</f>
        <v>0.0025230815797835</v>
      </c>
      <c r="Q471" s="147">
        <f t="shared" si="178"/>
        <v>0.0484949154929578</v>
      </c>
    </row>
    <row r="472" spans="3:17">
      <c r="C472" s="55"/>
      <c r="D472" s="55" t="s">
        <v>411</v>
      </c>
      <c r="E472" s="690">
        <f>'[39]TGSPDCL MoD'!F114*[39]Gen_Cost!$BN237/10</f>
        <v>289.244897531078</v>
      </c>
      <c r="F472" s="690">
        <f>'[39]TGSPDCL MoD'!G114*[39]Gen_Cost!$BN237/10</f>
        <v>298.257578570896</v>
      </c>
      <c r="G472" s="690">
        <f>'[39]TGSPDCL MoD'!H114*[39]Gen_Cost!$BN237/10</f>
        <v>279.243878733552</v>
      </c>
      <c r="H472" s="690">
        <f>'[39]TGSPDCL MoD'!I114*[39]Gen_Cost!$BN237/10</f>
        <v>218.707543416144</v>
      </c>
      <c r="I472" s="690">
        <f>'[39]TGSPDCL MoD'!J114*[39]Gen_Cost!$BN237/10</f>
        <v>268.994856432956</v>
      </c>
      <c r="J472" s="690">
        <f>'[39]TGSPDCL MoD'!K114*[39]Gen_Cost!$BN237/10</f>
        <v>237.110294143274</v>
      </c>
      <c r="K472" s="690">
        <f>'[39]TGSPDCL MoD'!L114*[39]Gen_Cost!$BN237/10</f>
        <v>290.691801527818</v>
      </c>
      <c r="L472" s="690">
        <f>'[39]TGSPDCL MoD'!M114*[39]Gen_Cost!$BN237/10</f>
        <v>224.144113937156</v>
      </c>
      <c r="M472" s="690">
        <f>'[39]TGSPDCL MoD'!N114*[39]Gen_Cost!$BN237/10</f>
        <v>245.711318038759</v>
      </c>
      <c r="N472" s="690">
        <f>'[39]TGSPDCL MoD'!O114*[39]Gen_Cost!$BN237/10</f>
        <v>261.964254733747</v>
      </c>
      <c r="O472" s="690">
        <f>'[39]TGSPDCL MoD'!P114*[39]Gen_Cost!$BN237/10</f>
        <v>268.889550213633</v>
      </c>
      <c r="P472" s="690">
        <f>'[39]TGSPDCL MoD'!Q114*[39]Gen_Cost!$BN237/10</f>
        <v>288.325239018611</v>
      </c>
      <c r="Q472" s="690">
        <f t="shared" si="178"/>
        <v>3171.28532629762</v>
      </c>
    </row>
    <row r="473" spans="3:17">
      <c r="C473" s="55"/>
      <c r="D473" s="55" t="s">
        <v>412</v>
      </c>
      <c r="E473" s="147">
        <f>'[39]TGSPDCL MoD'!F107*[39]Gen_Cost!$BN$242/10</f>
        <v>8.4250855951113</v>
      </c>
      <c r="F473" s="147">
        <f>'[39]TGSPDCL MoD'!G107*[39]Gen_Cost!$BN$242/10</f>
        <v>8.68760572891506</v>
      </c>
      <c r="G473" s="147">
        <f>'[39]TGSPDCL MoD'!H107*[39]Gen_Cost!$BN$242/10</f>
        <v>8.13377729502827</v>
      </c>
      <c r="H473" s="147">
        <f>'[39]TGSPDCL MoD'!I107*[39]Gen_Cost!$BN$242/10</f>
        <v>6.37048324553263</v>
      </c>
      <c r="I473" s="147">
        <f>'[39]TGSPDCL MoD'!J107*[39]Gen_Cost!$BN$242/10</f>
        <v>7.835245183016</v>
      </c>
      <c r="J473" s="147">
        <f>'[39]TGSPDCL MoD'!K107*[39]Gen_Cost!$BN$242/10</f>
        <v>6.90651603776162</v>
      </c>
      <c r="K473" s="147">
        <f>'[39]TGSPDCL MoD'!L107*[39]Gen_Cost!$BN$242/10</f>
        <v>8.46723081573405</v>
      </c>
      <c r="L473" s="147">
        <f>'[39]TGSPDCL MoD'!M107*[39]Gen_Cost!$BN$242/10</f>
        <v>6.52883892397106</v>
      </c>
      <c r="M473" s="147">
        <f>'[39]TGSPDCL MoD'!N107*[39]Gen_Cost!$BN$242/10</f>
        <v>7.1570454788809</v>
      </c>
      <c r="N473" s="147">
        <f>'[39]TGSPDCL MoD'!O107*[39]Gen_Cost!$BN$242/10</f>
        <v>7.63045878364796</v>
      </c>
      <c r="O473" s="147">
        <f>'[39]TGSPDCL MoD'!P107*[39]Gen_Cost!$BN$242/10</f>
        <v>7.83217783794243</v>
      </c>
      <c r="P473" s="147">
        <f>'[39]TGSPDCL MoD'!Q107*[39]Gen_Cost!$BN$242/10</f>
        <v>8.39829790844183</v>
      </c>
      <c r="Q473" s="147">
        <f t="shared" si="178"/>
        <v>92.3727628339831</v>
      </c>
    </row>
    <row r="474" spans="3:17">
      <c r="C474" s="55"/>
      <c r="D474" s="55" t="s">
        <v>413</v>
      </c>
      <c r="E474" s="147">
        <f>'[39]TGSPDCL MoD'!F108*[39]Gen_Cost!$BN$243/10</f>
        <v>33.5217662451358</v>
      </c>
      <c r="F474" s="147">
        <f>'[39]TGSPDCL MoD'!G108*[39]Gen_Cost!$BN$243/10</f>
        <v>34.5662824652579</v>
      </c>
      <c r="G474" s="147">
        <f>'[39]TGSPDCL MoD'!H108*[39]Gen_Cost!$BN$243/10</f>
        <v>32.3627075471069</v>
      </c>
      <c r="H474" s="147">
        <f>'[39]TGSPDCL MoD'!I108*[39]Gen_Cost!$BN$243/10</f>
        <v>25.3469057156182</v>
      </c>
      <c r="I474" s="147">
        <f>'[39]TGSPDCL MoD'!J108*[39]Gen_Cost!$BN$243/10</f>
        <v>31.174906715582</v>
      </c>
      <c r="J474" s="147">
        <f>'[39]TGSPDCL MoD'!K108*[39]Gen_Cost!$BN$243/10</f>
        <v>27.4796752593785</v>
      </c>
      <c r="K474" s="147">
        <f>'[39]TGSPDCL MoD'!L108*[39]Gen_Cost!$BN$243/10</f>
        <v>33.6894538274299</v>
      </c>
      <c r="L474" s="147">
        <f>'[39]TGSPDCL MoD'!M108*[39]Gen_Cost!$BN$243/10</f>
        <v>25.9769719596078</v>
      </c>
      <c r="M474" s="147">
        <f>'[39]TGSPDCL MoD'!N108*[39]Gen_Cost!$BN$243/10</f>
        <v>28.4764828606684</v>
      </c>
      <c r="N474" s="147">
        <f>'[39]TGSPDCL MoD'!O108*[39]Gen_Cost!$BN$243/10</f>
        <v>30.3601017225287</v>
      </c>
      <c r="O474" s="147">
        <f>'[39]TGSPDCL MoD'!P108*[39]Gen_Cost!$BN$243/10</f>
        <v>31.1627023500134</v>
      </c>
      <c r="P474" s="147">
        <f>'[39]TGSPDCL MoD'!Q108*[39]Gen_Cost!$BN$243/10</f>
        <v>33.4151832839724</v>
      </c>
      <c r="Q474" s="147">
        <f t="shared" si="178"/>
        <v>367.5331399523</v>
      </c>
    </row>
    <row r="475" spans="3:17">
      <c r="C475" s="55"/>
      <c r="D475" s="55" t="s">
        <v>414</v>
      </c>
      <c r="E475" s="690">
        <f>'[39]TGSPDCL MoD'!F109*[39]Gen_Cost!$BN$240/10</f>
        <v>29.0481739874877</v>
      </c>
      <c r="F475" s="690">
        <f>'[39]TGSPDCL MoD'!G109*[39]Gen_Cost!$BN$240/10</f>
        <v>29.9532960109808</v>
      </c>
      <c r="G475" s="690">
        <f>'[39]TGSPDCL MoD'!H109*[39]Gen_Cost!$BN$240/10</f>
        <v>28.0437955643508</v>
      </c>
      <c r="H475" s="690">
        <f>'[39]TGSPDCL MoD'!I109*[39]Gen_Cost!$BN$240/10</f>
        <v>21.9642760434368</v>
      </c>
      <c r="I475" s="690">
        <f>'[39]TGSPDCL MoD'!J109*[39]Gen_Cost!$BN$240/10</f>
        <v>27.0145107419371</v>
      </c>
      <c r="J475" s="690">
        <f>'[39]TGSPDCL MoD'!K109*[39]Gen_Cost!$BN$240/10</f>
        <v>23.8124203306238</v>
      </c>
      <c r="K475" s="690">
        <f>'[39]TGSPDCL MoD'!L109*[39]Gen_Cost!$BN$240/10</f>
        <v>29.1934830988991</v>
      </c>
      <c r="L475" s="690">
        <f>'[39]TGSPDCL MoD'!M109*[39]Gen_Cost!$BN$240/10</f>
        <v>22.510257831664</v>
      </c>
      <c r="M475" s="690">
        <f>'[39]TGSPDCL MoD'!N109*[39]Gen_Cost!$BN$240/10</f>
        <v>24.6762006106536</v>
      </c>
      <c r="N475" s="690">
        <f>'[39]TGSPDCL MoD'!O109*[39]Gen_Cost!$BN$240/10</f>
        <v>26.3084442109851</v>
      </c>
      <c r="O475" s="690">
        <f>'[39]TGSPDCL MoD'!P109*[39]Gen_Cost!$BN$240/10</f>
        <v>27.0039350899309</v>
      </c>
      <c r="P475" s="690">
        <f>'[39]TGSPDCL MoD'!Q109*[39]Gen_Cost!$BN$240/10</f>
        <v>28.9558148803531</v>
      </c>
      <c r="Q475" s="690">
        <f t="shared" si="178"/>
        <v>318.484608401303</v>
      </c>
    </row>
    <row r="476" spans="3:17">
      <c r="C476" s="55"/>
      <c r="D476" s="55" t="s">
        <v>415</v>
      </c>
      <c r="E476" s="147">
        <f>'[39]TGSPDCL MoD'!F110*[39]Gen_Cost!$BN$239/10</f>
        <v>69.1301570545947</v>
      </c>
      <c r="F476" s="147">
        <f>'[39]TGSPDCL MoD'!G110*[39]Gen_Cost!$BN$239/10</f>
        <v>71.2842073458316</v>
      </c>
      <c r="G476" s="147">
        <f>'[39]TGSPDCL MoD'!H110*[39]Gen_Cost!$BN$239/10</f>
        <v>66.7398918983885</v>
      </c>
      <c r="H476" s="147">
        <f>'[39]TGSPDCL MoD'!I110*[39]Gen_Cost!$BN$239/10</f>
        <v>52.2715766274083</v>
      </c>
      <c r="I476" s="147">
        <f>'[39]TGSPDCL MoD'!J110*[39]Gen_Cost!$BN$239/10</f>
        <v>64.2903533677388</v>
      </c>
      <c r="J476" s="147">
        <f>'[39]TGSPDCL MoD'!K110*[39]Gen_Cost!$BN$239/10</f>
        <v>56.6698739141093</v>
      </c>
      <c r="K476" s="147">
        <f>'[39]TGSPDCL MoD'!L110*[39]Gen_Cost!$BN$239/10</f>
        <v>69.475970244011</v>
      </c>
      <c r="L476" s="147">
        <f>'[39]TGSPDCL MoD'!M110*[39]Gen_Cost!$BN$239/10</f>
        <v>53.5709287582979</v>
      </c>
      <c r="M476" s="147">
        <f>'[39]TGSPDCL MoD'!N110*[39]Gen_Cost!$BN$239/10</f>
        <v>58.7255372561443</v>
      </c>
      <c r="N476" s="147">
        <f>'[39]TGSPDCL MoD'!O110*[39]Gen_Cost!$BN$239/10</f>
        <v>62.6100243323672</v>
      </c>
      <c r="O476" s="147">
        <f>'[39]TGSPDCL MoD'!P110*[39]Gen_Cost!$BN$239/10</f>
        <v>64.2651849532126</v>
      </c>
      <c r="P476" s="147">
        <f>'[39]TGSPDCL MoD'!Q110*[39]Gen_Cost!$BN$239/10</f>
        <v>68.9103566780068</v>
      </c>
      <c r="Q476" s="147">
        <f t="shared" si="178"/>
        <v>757.944062430111</v>
      </c>
    </row>
    <row r="477" spans="3:17">
      <c r="C477" s="55"/>
      <c r="D477" s="55" t="s">
        <v>416</v>
      </c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>
        <f t="shared" si="178"/>
        <v>0</v>
      </c>
    </row>
    <row r="478" spans="3:17">
      <c r="C478" s="55"/>
      <c r="D478" s="55" t="s">
        <v>417</v>
      </c>
      <c r="E478" s="147">
        <f>[39]Gen_Cost!$BN238*'[39]TGSPDCL MoD'!F112/10</f>
        <v>84.4994238783069</v>
      </c>
      <c r="F478" s="147">
        <f>[39]Gen_Cost!$BN238*'[39]TGSPDCL MoD'!G112/10</f>
        <v>87.1323704297039</v>
      </c>
      <c r="G478" s="147">
        <f>[39]Gen_Cost!$BN238*'[39]TGSPDCL MoD'!H112/10</f>
        <v>81.5777463178716</v>
      </c>
      <c r="H478" s="147">
        <f>[39]Gen_Cost!$BN238*'[39]TGSPDCL MoD'!I112/10</f>
        <v>63.8927828087903</v>
      </c>
      <c r="I478" s="147">
        <f>[39]Gen_Cost!$BN238*'[39]TGSPDCL MoD'!J112/10</f>
        <v>78.5836175117679</v>
      </c>
      <c r="J478" s="147">
        <f>[39]Gen_Cost!$BN238*'[39]TGSPDCL MoD'!K112/10</f>
        <v>69.2689254736807</v>
      </c>
      <c r="K478" s="147">
        <f>[39]Gen_Cost!$BN238*'[39]TGSPDCL MoD'!L112/10</f>
        <v>84.9221195081189</v>
      </c>
      <c r="L478" s="147">
        <f>[39]Gen_Cost!$BN238*'[39]TGSPDCL MoD'!M112/10</f>
        <v>65.4810116101298</v>
      </c>
      <c r="M478" s="147">
        <f>[39]Gen_Cost!$BN238*'[39]TGSPDCL MoD'!N112/10</f>
        <v>71.781611333088</v>
      </c>
      <c r="N478" s="147">
        <f>[39]Gen_Cost!$BN238*'[39]TGSPDCL MoD'!O112/10</f>
        <v>76.5297116410961</v>
      </c>
      <c r="O478" s="147">
        <f>[39]Gen_Cost!$BN238*'[39]TGSPDCL MoD'!P112/10</f>
        <v>78.5528535641942</v>
      </c>
      <c r="P478" s="147">
        <f>[39]Gen_Cost!$BN238*'[39]TGSPDCL MoD'!Q112/10</f>
        <v>84.2307566861403</v>
      </c>
      <c r="Q478" s="147">
        <f t="shared" si="178"/>
        <v>926.452930762889</v>
      </c>
    </row>
    <row r="479" spans="3:17">
      <c r="C479" s="55"/>
      <c r="D479" s="55" t="s">
        <v>418</v>
      </c>
      <c r="E479" s="147">
        <f>'[39]TGSPDCL MoD'!F113*[39]Gen_Cost!$BN241/10</f>
        <v>43.2429681864407</v>
      </c>
      <c r="F479" s="147">
        <f>'[39]TGSPDCL MoD'!G113*[39]Gen_Cost!$BN241/10</f>
        <v>44.5903906744644</v>
      </c>
      <c r="G479" s="147">
        <f>'[39]TGSPDCL MoD'!H113*[39]Gen_Cost!$BN241/10</f>
        <v>41.7477862787049</v>
      </c>
      <c r="H479" s="147">
        <f>'[39]TGSPDCL MoD'!I113*[39]Gen_Cost!$BN241/10</f>
        <v>32.6974249945508</v>
      </c>
      <c r="I479" s="147">
        <f>'[39]TGSPDCL MoD'!J113*[39]Gen_Cost!$BN241/10</f>
        <v>40.2155271133062</v>
      </c>
      <c r="J479" s="147">
        <f>'[39]TGSPDCL MoD'!K113*[39]Gen_Cost!$BN241/10</f>
        <v>35.4486906902603</v>
      </c>
      <c r="K479" s="147">
        <f>'[39]TGSPDCL MoD'!L113*[39]Gen_Cost!$BN241/10</f>
        <v>43.4592846159923</v>
      </c>
      <c r="L479" s="147">
        <f>'[39]TGSPDCL MoD'!M113*[39]Gen_Cost!$BN241/10</f>
        <v>33.5102083766956</v>
      </c>
      <c r="M479" s="147">
        <f>'[39]TGSPDCL MoD'!N113*[39]Gen_Cost!$BN241/10</f>
        <v>36.7345692169276</v>
      </c>
      <c r="N479" s="147">
        <f>'[39]TGSPDCL MoD'!O113*[39]Gen_Cost!$BN241/10</f>
        <v>39.1644313525668</v>
      </c>
      <c r="O479" s="147">
        <f>'[39]TGSPDCL MoD'!P113*[39]Gen_Cost!$BN241/10</f>
        <v>40.1997835218691</v>
      </c>
      <c r="P479" s="147">
        <f>'[39]TGSPDCL MoD'!Q113*[39]Gen_Cost!$BN241/10</f>
        <v>43.1054765171446</v>
      </c>
      <c r="Q479" s="147">
        <f t="shared" si="178"/>
        <v>474.116541538923</v>
      </c>
    </row>
    <row r="480" spans="3:17">
      <c r="C480" s="55"/>
      <c r="D480" s="697" t="s">
        <v>419</v>
      </c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>
        <f t="shared" si="178"/>
        <v>0</v>
      </c>
    </row>
    <row r="481" spans="3:17">
      <c r="C481" s="55"/>
      <c r="D481" s="697" t="s">
        <v>420</v>
      </c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>
        <f t="shared" si="178"/>
        <v>0</v>
      </c>
    </row>
    <row r="482" spans="3:17"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>
        <f t="shared" si="178"/>
        <v>0</v>
      </c>
    </row>
    <row r="483" spans="3:17"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>
        <f t="shared" si="178"/>
        <v>0</v>
      </c>
    </row>
    <row r="484" spans="3:17"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>
        <f t="shared" si="178"/>
        <v>0</v>
      </c>
    </row>
    <row r="485" spans="3:17"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>
        <f t="shared" si="178"/>
        <v>0</v>
      </c>
    </row>
    <row r="486" spans="3:17"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>
        <f t="shared" si="178"/>
        <v>0</v>
      </c>
    </row>
    <row r="487" spans="3:17"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>
        <f t="shared" si="178"/>
        <v>0</v>
      </c>
    </row>
    <row r="488" spans="3:17"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>
        <f t="shared" si="178"/>
        <v>0</v>
      </c>
    </row>
    <row r="489" spans="3:17"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>
        <f t="shared" si="178"/>
        <v>0</v>
      </c>
    </row>
    <row r="490" ht="15" spans="3:18">
      <c r="C490" s="698" t="s">
        <v>421</v>
      </c>
      <c r="D490" s="699"/>
      <c r="E490" s="55">
        <f t="shared" ref="E490:P490" si="179">SUM(E466:E489)</f>
        <v>557.138551854268</v>
      </c>
      <c r="F490" s="55">
        <f t="shared" si="179"/>
        <v>574.494458672648</v>
      </c>
      <c r="G490" s="55">
        <f t="shared" si="179"/>
        <v>537.901201559724</v>
      </c>
      <c r="H490" s="55">
        <f t="shared" si="179"/>
        <v>421.327453637003</v>
      </c>
      <c r="I490" s="55">
        <f t="shared" si="179"/>
        <v>518.158167573854</v>
      </c>
      <c r="J490" s="55">
        <f t="shared" si="179"/>
        <v>456.730311179362</v>
      </c>
      <c r="K490" s="55">
        <f t="shared" si="179"/>
        <v>559.922334085281</v>
      </c>
      <c r="L490" s="55">
        <f t="shared" si="179"/>
        <v>431.748622859487</v>
      </c>
      <c r="M490" s="55">
        <f t="shared" si="179"/>
        <v>473.29388518355</v>
      </c>
      <c r="N490" s="55">
        <f t="shared" si="179"/>
        <v>504.600507040503</v>
      </c>
      <c r="O490" s="55">
        <f t="shared" si="179"/>
        <v>517.930153860549</v>
      </c>
      <c r="P490" s="55">
        <f t="shared" si="179"/>
        <v>555.367719626397</v>
      </c>
      <c r="Q490" s="316">
        <f t="shared" si="178"/>
        <v>6108.61336713263</v>
      </c>
      <c r="R490" s="686"/>
    </row>
    <row r="491" ht="15" spans="3:17">
      <c r="C491" s="663" t="s">
        <v>422</v>
      </c>
      <c r="D491" s="676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</row>
    <row r="492" spans="3:18">
      <c r="C492" s="55"/>
      <c r="D492" s="55" t="s">
        <v>423</v>
      </c>
      <c r="E492" s="147">
        <f>'[39]ST,D-D'!D17</f>
        <v>0</v>
      </c>
      <c r="F492" s="147">
        <f>'[39]ST,D-D'!E17</f>
        <v>171.52099112744</v>
      </c>
      <c r="G492" s="147">
        <f>'[39]ST,D-D'!F17</f>
        <v>53.7491637073844</v>
      </c>
      <c r="H492" s="147">
        <f>'[39]ST,D-D'!G17</f>
        <v>7.09456813598169</v>
      </c>
      <c r="I492" s="147">
        <f>'[39]ST,D-D'!H17</f>
        <v>0</v>
      </c>
      <c r="J492" s="147">
        <f>'[39]ST,D-D'!I17</f>
        <v>0</v>
      </c>
      <c r="K492" s="147">
        <f>'[39]ST,D-D'!J17</f>
        <v>0</v>
      </c>
      <c r="L492" s="147">
        <f>'[39]ST,D-D'!K17</f>
        <v>0</v>
      </c>
      <c r="M492" s="147">
        <f>'[39]ST,D-D'!L17</f>
        <v>0</v>
      </c>
      <c r="N492" s="147">
        <f>'[39]ST,D-D'!M17</f>
        <v>0</v>
      </c>
      <c r="O492" s="147">
        <f>'[39]ST,D-D'!N17</f>
        <v>40.1453609557493</v>
      </c>
      <c r="P492" s="147">
        <f>'[39]ST,D-D'!O17</f>
        <v>220.083808430724</v>
      </c>
      <c r="Q492" s="147">
        <f>SUM(E492:P492)</f>
        <v>492.593892357279</v>
      </c>
      <c r="R492" s="686"/>
    </row>
    <row r="493" spans="3:17"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>
        <f>SUM(E493:P493)</f>
        <v>0</v>
      </c>
    </row>
    <row r="494" spans="3:17"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>
        <f>SUM(E494:P494)</f>
        <v>0</v>
      </c>
    </row>
    <row r="495" spans="3:17"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>
        <v>0</v>
      </c>
    </row>
    <row r="496" spans="3:17">
      <c r="C496" s="55"/>
      <c r="D496" s="697" t="s">
        <v>534</v>
      </c>
      <c r="E496" s="55">
        <v>0</v>
      </c>
      <c r="F496" s="55">
        <v>0</v>
      </c>
      <c r="G496" s="55">
        <v>0</v>
      </c>
      <c r="H496" s="55">
        <v>0</v>
      </c>
      <c r="I496" s="55">
        <v>0</v>
      </c>
      <c r="J496" s="55">
        <v>0</v>
      </c>
      <c r="K496" s="55">
        <v>0</v>
      </c>
      <c r="L496" s="55">
        <v>0</v>
      </c>
      <c r="M496" s="55">
        <v>0</v>
      </c>
      <c r="N496" s="55">
        <v>0</v>
      </c>
      <c r="O496" s="55">
        <v>0</v>
      </c>
      <c r="P496" s="55">
        <v>0</v>
      </c>
      <c r="Q496" s="55">
        <v>0</v>
      </c>
    </row>
    <row r="497" spans="3:17">
      <c r="C497" s="55"/>
      <c r="D497" s="679" t="s">
        <v>535</v>
      </c>
      <c r="E497" s="55">
        <v>0</v>
      </c>
      <c r="F497" s="55">
        <v>0</v>
      </c>
      <c r="G497" s="55">
        <v>0</v>
      </c>
      <c r="H497" s="55">
        <v>0</v>
      </c>
      <c r="I497" s="55">
        <v>0</v>
      </c>
      <c r="J497" s="55">
        <v>0</v>
      </c>
      <c r="K497" s="55">
        <v>0</v>
      </c>
      <c r="L497" s="55">
        <v>0</v>
      </c>
      <c r="M497" s="55">
        <v>0</v>
      </c>
      <c r="N497" s="55">
        <v>0</v>
      </c>
      <c r="O497" s="55">
        <v>0</v>
      </c>
      <c r="P497" s="55">
        <v>0</v>
      </c>
      <c r="Q497" s="55">
        <v>0</v>
      </c>
    </row>
    <row r="498" spans="3:17">
      <c r="C498" s="55"/>
      <c r="D498" s="679" t="s">
        <v>502</v>
      </c>
      <c r="E498" s="55">
        <v>0</v>
      </c>
      <c r="F498" s="55">
        <v>0</v>
      </c>
      <c r="G498" s="55">
        <v>0</v>
      </c>
      <c r="H498" s="55">
        <v>0</v>
      </c>
      <c r="I498" s="55">
        <v>0</v>
      </c>
      <c r="J498" s="55">
        <v>0</v>
      </c>
      <c r="K498" s="55">
        <v>0</v>
      </c>
      <c r="L498" s="55">
        <v>0</v>
      </c>
      <c r="M498" s="55">
        <v>0</v>
      </c>
      <c r="N498" s="55">
        <v>0</v>
      </c>
      <c r="O498" s="55">
        <v>0</v>
      </c>
      <c r="P498" s="55">
        <v>0</v>
      </c>
      <c r="Q498" s="55">
        <v>0</v>
      </c>
    </row>
    <row r="499" spans="3:17">
      <c r="C499" s="55"/>
      <c r="D499" s="679" t="s">
        <v>503</v>
      </c>
      <c r="E499" s="55">
        <v>0</v>
      </c>
      <c r="F499" s="55">
        <v>0</v>
      </c>
      <c r="G499" s="55">
        <v>0</v>
      </c>
      <c r="H499" s="55">
        <v>0</v>
      </c>
      <c r="I499" s="55">
        <v>0</v>
      </c>
      <c r="J499" s="55">
        <v>0</v>
      </c>
      <c r="K499" s="55">
        <v>0</v>
      </c>
      <c r="L499" s="55">
        <v>0</v>
      </c>
      <c r="M499" s="55">
        <v>0</v>
      </c>
      <c r="N499" s="55">
        <v>0</v>
      </c>
      <c r="O499" s="55">
        <v>0</v>
      </c>
      <c r="P499" s="55">
        <v>0</v>
      </c>
      <c r="Q499" s="55">
        <v>0</v>
      </c>
    </row>
    <row r="500" spans="3:17">
      <c r="C500" s="55"/>
      <c r="D500" s="688" t="s">
        <v>504</v>
      </c>
      <c r="E500" s="55">
        <v>0</v>
      </c>
      <c r="F500" s="55">
        <v>0</v>
      </c>
      <c r="G500" s="55">
        <v>0</v>
      </c>
      <c r="H500" s="55">
        <v>0</v>
      </c>
      <c r="I500" s="55">
        <v>0</v>
      </c>
      <c r="J500" s="55">
        <v>0</v>
      </c>
      <c r="K500" s="55">
        <v>0</v>
      </c>
      <c r="L500" s="55">
        <v>0</v>
      </c>
      <c r="M500" s="55">
        <v>0</v>
      </c>
      <c r="N500" s="55">
        <v>0</v>
      </c>
      <c r="O500" s="55">
        <v>0</v>
      </c>
      <c r="P500" s="55">
        <v>0</v>
      </c>
      <c r="Q500" s="55">
        <v>0</v>
      </c>
    </row>
    <row r="501" spans="3:17">
      <c r="C501" s="55"/>
      <c r="D501" s="679" t="s">
        <v>505</v>
      </c>
      <c r="E501" s="55">
        <v>0</v>
      </c>
      <c r="F501" s="55">
        <v>0</v>
      </c>
      <c r="G501" s="55">
        <v>0</v>
      </c>
      <c r="H501" s="55">
        <v>0</v>
      </c>
      <c r="I501" s="55">
        <v>0</v>
      </c>
      <c r="J501" s="55">
        <v>0</v>
      </c>
      <c r="K501" s="55">
        <v>0</v>
      </c>
      <c r="L501" s="55">
        <v>0</v>
      </c>
      <c r="M501" s="55">
        <v>0</v>
      </c>
      <c r="N501" s="55">
        <v>0</v>
      </c>
      <c r="O501" s="55">
        <v>0</v>
      </c>
      <c r="P501" s="55">
        <v>0</v>
      </c>
      <c r="Q501" s="55">
        <v>0</v>
      </c>
    </row>
    <row r="502" spans="3:17">
      <c r="C502" s="55"/>
      <c r="D502" s="679" t="s">
        <v>506</v>
      </c>
      <c r="E502" s="55">
        <v>0</v>
      </c>
      <c r="F502" s="55">
        <v>0</v>
      </c>
      <c r="G502" s="55">
        <v>0</v>
      </c>
      <c r="H502" s="55">
        <v>0</v>
      </c>
      <c r="I502" s="55">
        <v>0</v>
      </c>
      <c r="J502" s="55">
        <v>0</v>
      </c>
      <c r="K502" s="55">
        <v>0</v>
      </c>
      <c r="L502" s="55">
        <v>0</v>
      </c>
      <c r="M502" s="55">
        <v>0</v>
      </c>
      <c r="N502" s="55">
        <v>0</v>
      </c>
      <c r="O502" s="55">
        <v>0</v>
      </c>
      <c r="P502" s="55">
        <v>0</v>
      </c>
      <c r="Q502" s="55">
        <v>0</v>
      </c>
    </row>
    <row r="503" spans="3:17">
      <c r="C503" s="55"/>
      <c r="D503" s="679" t="s">
        <v>507</v>
      </c>
      <c r="E503" s="55">
        <v>0</v>
      </c>
      <c r="F503" s="55">
        <v>0</v>
      </c>
      <c r="G503" s="55">
        <v>0</v>
      </c>
      <c r="H503" s="55">
        <v>0</v>
      </c>
      <c r="I503" s="55">
        <v>0</v>
      </c>
      <c r="J503" s="55">
        <v>0</v>
      </c>
      <c r="K503" s="55">
        <v>0</v>
      </c>
      <c r="L503" s="55">
        <v>0</v>
      </c>
      <c r="M503" s="55">
        <v>0</v>
      </c>
      <c r="N503" s="55">
        <v>0</v>
      </c>
      <c r="O503" s="55">
        <v>0</v>
      </c>
      <c r="P503" s="55">
        <v>0</v>
      </c>
      <c r="Q503" s="55">
        <v>0</v>
      </c>
    </row>
    <row r="504" spans="3:17">
      <c r="C504" s="55"/>
      <c r="D504" s="679" t="s">
        <v>508</v>
      </c>
      <c r="E504" s="55">
        <v>0</v>
      </c>
      <c r="F504" s="55">
        <v>0</v>
      </c>
      <c r="G504" s="55">
        <v>0</v>
      </c>
      <c r="H504" s="55">
        <v>0</v>
      </c>
      <c r="I504" s="55">
        <v>0</v>
      </c>
      <c r="J504" s="55">
        <v>0</v>
      </c>
      <c r="K504" s="55">
        <v>0</v>
      </c>
      <c r="L504" s="55">
        <v>0</v>
      </c>
      <c r="M504" s="55">
        <v>0</v>
      </c>
      <c r="N504" s="55">
        <v>0</v>
      </c>
      <c r="O504" s="55">
        <v>0</v>
      </c>
      <c r="P504" s="55">
        <v>0</v>
      </c>
      <c r="Q504" s="55">
        <v>0</v>
      </c>
    </row>
    <row r="505" spans="3:17">
      <c r="C505" s="55"/>
      <c r="D505" s="679" t="s">
        <v>509</v>
      </c>
      <c r="E505" s="55">
        <v>0</v>
      </c>
      <c r="F505" s="55">
        <v>0</v>
      </c>
      <c r="G505" s="55">
        <v>0</v>
      </c>
      <c r="H505" s="55">
        <v>0</v>
      </c>
      <c r="I505" s="55">
        <v>0</v>
      </c>
      <c r="J505" s="55">
        <v>0</v>
      </c>
      <c r="K505" s="55">
        <v>0</v>
      </c>
      <c r="L505" s="55">
        <v>0</v>
      </c>
      <c r="M505" s="55">
        <v>0</v>
      </c>
      <c r="N505" s="55">
        <v>0</v>
      </c>
      <c r="O505" s="55">
        <v>0</v>
      </c>
      <c r="P505" s="55">
        <v>0</v>
      </c>
      <c r="Q505" s="55">
        <v>0</v>
      </c>
    </row>
    <row r="506" spans="3:17">
      <c r="C506" s="55"/>
      <c r="D506" s="679" t="s">
        <v>510</v>
      </c>
      <c r="E506" s="55">
        <v>0</v>
      </c>
      <c r="F506" s="55">
        <v>0</v>
      </c>
      <c r="G506" s="55">
        <v>0</v>
      </c>
      <c r="H506" s="55">
        <v>0</v>
      </c>
      <c r="I506" s="55">
        <v>0</v>
      </c>
      <c r="J506" s="55">
        <v>0</v>
      </c>
      <c r="K506" s="55">
        <v>0</v>
      </c>
      <c r="L506" s="55">
        <v>0</v>
      </c>
      <c r="M506" s="55">
        <v>0</v>
      </c>
      <c r="N506" s="55">
        <v>0</v>
      </c>
      <c r="O506" s="55">
        <v>0</v>
      </c>
      <c r="P506" s="55">
        <v>0</v>
      </c>
      <c r="Q506" s="55">
        <v>0</v>
      </c>
    </row>
    <row r="507" spans="3:17">
      <c r="C507" s="55"/>
      <c r="D507" s="679" t="s">
        <v>511</v>
      </c>
      <c r="E507" s="55">
        <v>0</v>
      </c>
      <c r="F507" s="55">
        <v>0</v>
      </c>
      <c r="G507" s="55">
        <v>0</v>
      </c>
      <c r="H507" s="55">
        <v>0</v>
      </c>
      <c r="I507" s="55">
        <v>0</v>
      </c>
      <c r="J507" s="55">
        <v>0</v>
      </c>
      <c r="K507" s="55">
        <v>0</v>
      </c>
      <c r="L507" s="55">
        <v>0</v>
      </c>
      <c r="M507" s="55">
        <v>0</v>
      </c>
      <c r="N507" s="55">
        <v>0</v>
      </c>
      <c r="O507" s="55">
        <v>0</v>
      </c>
      <c r="P507" s="55">
        <v>0</v>
      </c>
      <c r="Q507" s="55">
        <v>0</v>
      </c>
    </row>
    <row r="508" spans="3:17">
      <c r="C508" s="55"/>
      <c r="D508" s="679" t="s">
        <v>512</v>
      </c>
      <c r="E508" s="55">
        <v>0</v>
      </c>
      <c r="F508" s="55">
        <v>0</v>
      </c>
      <c r="G508" s="55">
        <v>0</v>
      </c>
      <c r="H508" s="55">
        <v>0</v>
      </c>
      <c r="I508" s="55">
        <v>0</v>
      </c>
      <c r="J508" s="55">
        <v>0</v>
      </c>
      <c r="K508" s="55">
        <v>0</v>
      </c>
      <c r="L508" s="55">
        <v>0</v>
      </c>
      <c r="M508" s="55">
        <v>0</v>
      </c>
      <c r="N508" s="55">
        <v>0</v>
      </c>
      <c r="O508" s="55">
        <v>0</v>
      </c>
      <c r="P508" s="55">
        <v>0</v>
      </c>
      <c r="Q508" s="55">
        <v>0</v>
      </c>
    </row>
    <row r="509" spans="3:17"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>
        <v>0</v>
      </c>
    </row>
    <row r="510" spans="3:17"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>
        <v>0</v>
      </c>
    </row>
    <row r="511" spans="3:17"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>
        <v>0</v>
      </c>
    </row>
    <row r="512" spans="3:17"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>
        <f t="shared" ref="Q512:Q523" si="180">SUM(E512:P512)</f>
        <v>0</v>
      </c>
    </row>
    <row r="513" spans="3:17"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>
        <f t="shared" si="180"/>
        <v>0</v>
      </c>
    </row>
    <row r="514" spans="3:17"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>
        <f t="shared" si="180"/>
        <v>0</v>
      </c>
    </row>
    <row r="515" spans="3:17"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>
        <f t="shared" si="180"/>
        <v>0</v>
      </c>
    </row>
    <row r="516" spans="3:17"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>
        <f t="shared" si="180"/>
        <v>0</v>
      </c>
    </row>
    <row r="517" spans="3:17"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>
        <f t="shared" si="180"/>
        <v>0</v>
      </c>
    </row>
    <row r="518" spans="3:17"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>
        <f t="shared" si="180"/>
        <v>0</v>
      </c>
    </row>
    <row r="519" spans="3:17"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>
        <f t="shared" si="180"/>
        <v>0</v>
      </c>
    </row>
    <row r="520" ht="15" spans="3:18">
      <c r="C520" s="44" t="s">
        <v>424</v>
      </c>
      <c r="D520" s="45"/>
      <c r="E520" s="55">
        <f t="shared" ref="E520:P520" si="181">SUM(E492:E519)</f>
        <v>0</v>
      </c>
      <c r="F520" s="55">
        <f t="shared" si="181"/>
        <v>171.52099112744</v>
      </c>
      <c r="G520" s="55">
        <f t="shared" si="181"/>
        <v>53.7491637073844</v>
      </c>
      <c r="H520" s="55">
        <f t="shared" si="181"/>
        <v>7.09456813598169</v>
      </c>
      <c r="I520" s="55">
        <f t="shared" si="181"/>
        <v>0</v>
      </c>
      <c r="J520" s="55">
        <f t="shared" si="181"/>
        <v>0</v>
      </c>
      <c r="K520" s="55">
        <f t="shared" si="181"/>
        <v>0</v>
      </c>
      <c r="L520" s="55">
        <f t="shared" si="181"/>
        <v>0</v>
      </c>
      <c r="M520" s="55">
        <f t="shared" si="181"/>
        <v>0</v>
      </c>
      <c r="N520" s="55">
        <f t="shared" si="181"/>
        <v>0</v>
      </c>
      <c r="O520" s="55">
        <f t="shared" si="181"/>
        <v>40.1453609557493</v>
      </c>
      <c r="P520" s="55">
        <f t="shared" si="181"/>
        <v>220.083808430724</v>
      </c>
      <c r="Q520" s="316">
        <f t="shared" si="180"/>
        <v>492.593892357279</v>
      </c>
      <c r="R520" s="686"/>
    </row>
    <row r="521" ht="15" spans="3:17">
      <c r="C521" s="663" t="s">
        <v>425</v>
      </c>
      <c r="D521" s="676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</row>
    <row r="522" spans="3:17">
      <c r="C522" s="55" t="s">
        <v>426</v>
      </c>
      <c r="D522" s="55" t="s">
        <v>427</v>
      </c>
      <c r="E522" s="147">
        <f>'[39]ST,D-D'!D21</f>
        <v>83.955887969624</v>
      </c>
      <c r="F522" s="147">
        <f>'[39]ST,D-D'!E21</f>
        <v>250.881923638697</v>
      </c>
      <c r="G522" s="147">
        <f>'[39]ST,D-D'!F21</f>
        <v>234.45915876922</v>
      </c>
      <c r="H522" s="147">
        <f>'[39]ST,D-D'!G21</f>
        <v>130.219508021502</v>
      </c>
      <c r="I522" s="147">
        <f>'[39]ST,D-D'!H21</f>
        <v>125.8295658764</v>
      </c>
      <c r="J522" s="147">
        <f>'[39]ST,D-D'!I21</f>
        <v>162.268140622832</v>
      </c>
      <c r="K522" s="147">
        <f>'[39]ST,D-D'!J21</f>
        <v>90.5351562524773</v>
      </c>
      <c r="L522" s="147">
        <f>'[39]ST,D-D'!K21</f>
        <v>157.667650652176</v>
      </c>
      <c r="M522" s="147">
        <f>'[39]ST,D-D'!L21</f>
        <v>92.7354800250098</v>
      </c>
      <c r="N522" s="147">
        <f>'[39]ST,D-D'!M21</f>
        <v>74.9997274684388</v>
      </c>
      <c r="O522" s="147">
        <f>'[39]ST,D-D'!N21</f>
        <v>0</v>
      </c>
      <c r="P522" s="147">
        <f>'[39]ST,D-D'!O21</f>
        <v>0</v>
      </c>
      <c r="Q522" s="55">
        <f t="shared" si="180"/>
        <v>1403.55219929638</v>
      </c>
    </row>
    <row r="523" spans="3:17">
      <c r="C523" s="55" t="s">
        <v>426</v>
      </c>
      <c r="D523" s="55" t="s">
        <v>428</v>
      </c>
      <c r="E523" s="147">
        <v>0</v>
      </c>
      <c r="F523" s="147">
        <v>0</v>
      </c>
      <c r="G523" s="147">
        <v>0</v>
      </c>
      <c r="H523" s="147">
        <v>0</v>
      </c>
      <c r="I523" s="147">
        <v>0</v>
      </c>
      <c r="J523" s="147">
        <v>0</v>
      </c>
      <c r="K523" s="147">
        <v>0</v>
      </c>
      <c r="L523" s="147">
        <v>0</v>
      </c>
      <c r="M523" s="147">
        <v>0</v>
      </c>
      <c r="N523" s="147">
        <v>0</v>
      </c>
      <c r="O523" s="147">
        <v>0</v>
      </c>
      <c r="P523" s="147">
        <v>0</v>
      </c>
      <c r="Q523" s="55">
        <f t="shared" si="180"/>
        <v>0</v>
      </c>
    </row>
    <row r="524" ht="15" spans="3:17">
      <c r="C524" s="44" t="s">
        <v>429</v>
      </c>
      <c r="D524" s="45"/>
      <c r="E524" s="147">
        <f>E522+E523</f>
        <v>83.955887969624</v>
      </c>
      <c r="F524" s="147">
        <f t="shared" ref="F524:Q524" si="182">F522+F523</f>
        <v>250.881923638697</v>
      </c>
      <c r="G524" s="147">
        <f t="shared" si="182"/>
        <v>234.45915876922</v>
      </c>
      <c r="H524" s="147">
        <f t="shared" si="182"/>
        <v>130.219508021502</v>
      </c>
      <c r="I524" s="147">
        <f t="shared" si="182"/>
        <v>125.8295658764</v>
      </c>
      <c r="J524" s="147">
        <f t="shared" si="182"/>
        <v>162.268140622832</v>
      </c>
      <c r="K524" s="147">
        <f t="shared" si="182"/>
        <v>90.5351562524773</v>
      </c>
      <c r="L524" s="147">
        <f t="shared" si="182"/>
        <v>157.667650652176</v>
      </c>
      <c r="M524" s="147">
        <f t="shared" si="182"/>
        <v>92.7354800250098</v>
      </c>
      <c r="N524" s="147">
        <f t="shared" si="182"/>
        <v>74.9997274684388</v>
      </c>
      <c r="O524" s="147">
        <f t="shared" si="182"/>
        <v>0</v>
      </c>
      <c r="P524" s="147">
        <f t="shared" si="182"/>
        <v>0</v>
      </c>
      <c r="Q524" s="147">
        <f t="shared" si="182"/>
        <v>1403.55219929638</v>
      </c>
    </row>
    <row r="525" ht="15" spans="3:17">
      <c r="C525" s="44" t="s">
        <v>224</v>
      </c>
      <c r="D525" s="45"/>
      <c r="E525" s="700">
        <f t="shared" ref="E525:Q525" si="183">E398+E445+E454+E464+E490+E520+E524</f>
        <v>2267.89052644243</v>
      </c>
      <c r="F525" s="700">
        <f t="shared" si="183"/>
        <v>2229.38401087191</v>
      </c>
      <c r="G525" s="700">
        <f t="shared" si="183"/>
        <v>2073.72881320754</v>
      </c>
      <c r="H525" s="700">
        <f t="shared" si="183"/>
        <v>1863.73092306877</v>
      </c>
      <c r="I525" s="700">
        <f t="shared" si="183"/>
        <v>1956.22109856045</v>
      </c>
      <c r="J525" s="700">
        <f t="shared" si="183"/>
        <v>2050.30684372928</v>
      </c>
      <c r="K525" s="700">
        <f t="shared" si="183"/>
        <v>1955.69790476695</v>
      </c>
      <c r="L525" s="700">
        <f t="shared" si="183"/>
        <v>1952.5614149216</v>
      </c>
      <c r="M525" s="700">
        <f t="shared" si="183"/>
        <v>2006.24760702557</v>
      </c>
      <c r="N525" s="700">
        <f t="shared" si="183"/>
        <v>2117.23430731475</v>
      </c>
      <c r="O525" s="700">
        <f t="shared" si="183"/>
        <v>2144.54804475427</v>
      </c>
      <c r="P525" s="700">
        <f t="shared" si="183"/>
        <v>2662.94467230478</v>
      </c>
      <c r="Q525" s="693">
        <f t="shared" si="183"/>
        <v>25280.4961669683</v>
      </c>
    </row>
    <row r="526" spans="4:5">
      <c r="D526" s="13"/>
      <c r="E526" s="13"/>
    </row>
    <row r="527" spans="5:5">
      <c r="E527" s="13"/>
    </row>
    <row r="528" spans="5:5">
      <c r="E528" s="13"/>
    </row>
  </sheetData>
  <mergeCells count="91">
    <mergeCell ref="C2:Q2"/>
    <mergeCell ref="E6:Q6"/>
    <mergeCell ref="C9:D9"/>
    <mergeCell ref="C10:D10"/>
    <mergeCell ref="C29:D29"/>
    <mergeCell ref="C30:D30"/>
    <mergeCell ref="C49:D49"/>
    <mergeCell ref="C50:D50"/>
    <mergeCell ref="C51:D51"/>
    <mergeCell ref="C52:D52"/>
    <mergeCell ref="C79:D79"/>
    <mergeCell ref="C80:D80"/>
    <mergeCell ref="C95:D95"/>
    <mergeCell ref="C96:D96"/>
    <mergeCell ref="C97:D97"/>
    <mergeCell ref="C105:D105"/>
    <mergeCell ref="C106:D106"/>
    <mergeCell ref="C115:D115"/>
    <mergeCell ref="C116:D116"/>
    <mergeCell ref="C141:D141"/>
    <mergeCell ref="C142:D142"/>
    <mergeCell ref="C173:D173"/>
    <mergeCell ref="C174:D174"/>
    <mergeCell ref="C177:D177"/>
    <mergeCell ref="C178:D178"/>
    <mergeCell ref="E182:Q182"/>
    <mergeCell ref="C185:D185"/>
    <mergeCell ref="C186:D186"/>
    <mergeCell ref="C205:D205"/>
    <mergeCell ref="C206:D206"/>
    <mergeCell ref="C225:D225"/>
    <mergeCell ref="C226:D226"/>
    <mergeCell ref="C227:D227"/>
    <mergeCell ref="C228:D228"/>
    <mergeCell ref="C255:D255"/>
    <mergeCell ref="C256:D256"/>
    <mergeCell ref="C271:D271"/>
    <mergeCell ref="C272:D272"/>
    <mergeCell ref="C273:D273"/>
    <mergeCell ref="C281:D281"/>
    <mergeCell ref="C282:D282"/>
    <mergeCell ref="C291:D291"/>
    <mergeCell ref="C292:D292"/>
    <mergeCell ref="C317:D317"/>
    <mergeCell ref="C318:D318"/>
    <mergeCell ref="C345:D345"/>
    <mergeCell ref="C346:D346"/>
    <mergeCell ref="C349:D349"/>
    <mergeCell ref="C350:D350"/>
    <mergeCell ref="E354:Q354"/>
    <mergeCell ref="C357:D357"/>
    <mergeCell ref="C358:D358"/>
    <mergeCell ref="C377:D377"/>
    <mergeCell ref="C378:D378"/>
    <mergeCell ref="C397:D397"/>
    <mergeCell ref="C398:D398"/>
    <mergeCell ref="C399:D399"/>
    <mergeCell ref="C400:D400"/>
    <mergeCell ref="C428:D428"/>
    <mergeCell ref="C429:D429"/>
    <mergeCell ref="C444:D444"/>
    <mergeCell ref="C445:D445"/>
    <mergeCell ref="C446:D446"/>
    <mergeCell ref="C454:D454"/>
    <mergeCell ref="C455:D455"/>
    <mergeCell ref="C464:D464"/>
    <mergeCell ref="C465:D465"/>
    <mergeCell ref="C490:D490"/>
    <mergeCell ref="C491:D491"/>
    <mergeCell ref="C520:D520"/>
    <mergeCell ref="C521:D521"/>
    <mergeCell ref="C524:D524"/>
    <mergeCell ref="C525:D525"/>
    <mergeCell ref="C6:C8"/>
    <mergeCell ref="C11:C28"/>
    <mergeCell ref="C31:C48"/>
    <mergeCell ref="C53:C61"/>
    <mergeCell ref="C81:C84"/>
    <mergeCell ref="C182:C184"/>
    <mergeCell ref="C187:C204"/>
    <mergeCell ref="C207:C224"/>
    <mergeCell ref="C229:C237"/>
    <mergeCell ref="C257:C260"/>
    <mergeCell ref="C354:C356"/>
    <mergeCell ref="C359:C376"/>
    <mergeCell ref="C379:C396"/>
    <mergeCell ref="C401:C410"/>
    <mergeCell ref="C430:C433"/>
    <mergeCell ref="D6:D8"/>
    <mergeCell ref="D182:D184"/>
    <mergeCell ref="D354:D356"/>
  </mergeCells>
  <pageMargins left="0.7" right="0.7" top="0.75" bottom="0.75" header="0.3" footer="0.3"/>
  <pageSetup paperSize="1" orientation="portrait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B2:U528"/>
  <sheetViews>
    <sheetView showGridLines="0" zoomScale="49" zoomScaleNormal="49" topLeftCell="A498" workbookViewId="0">
      <selection activeCell="H500" sqref="H500"/>
    </sheetView>
  </sheetViews>
  <sheetFormatPr defaultColWidth="9.14285714285714" defaultRowHeight="14.25"/>
  <cols>
    <col min="1" max="1" width="3.14285714285714" style="12" customWidth="1"/>
    <col min="2" max="2" width="8.14285714285714" style="12" customWidth="1"/>
    <col min="3" max="3" width="22.1428571428571" style="12" customWidth="1"/>
    <col min="4" max="4" width="40.1428571428571" style="12" customWidth="1"/>
    <col min="5" max="5" width="15.1428571428571" style="12" customWidth="1"/>
    <col min="6" max="6" width="14.4285714285714" style="12" customWidth="1"/>
    <col min="7" max="8" width="15.1428571428571" style="12" customWidth="1"/>
    <col min="9" max="10" width="14.8571428571429" style="12" customWidth="1"/>
    <col min="11" max="11" width="12.5714285714286" style="12" customWidth="1"/>
    <col min="12" max="12" width="15.1428571428571" style="12" customWidth="1"/>
    <col min="13" max="13" width="14.8571428571429" style="12" customWidth="1"/>
    <col min="14" max="14" width="14.4285714285714" style="12" customWidth="1"/>
    <col min="15" max="16" width="15.1428571428571" style="12" customWidth="1"/>
    <col min="17" max="17" width="16.1428571428571" style="12" customWidth="1"/>
    <col min="18" max="18" width="12.4285714285714" style="12" customWidth="1"/>
    <col min="19" max="19" width="12.8571428571429" style="12" customWidth="1"/>
    <col min="20" max="16384" width="9.14285714285714" style="12"/>
  </cols>
  <sheetData>
    <row r="2" ht="15" spans="3:17">
      <c r="C2" s="2" t="s">
        <v>156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ht="15" spans="10:10">
      <c r="J3" s="3" t="s">
        <v>541</v>
      </c>
    </row>
    <row r="4" ht="15" spans="3:10">
      <c r="C4" s="11" t="s">
        <v>522</v>
      </c>
      <c r="J4" s="3"/>
    </row>
    <row r="5" ht="15" spans="3:17">
      <c r="C5" s="14"/>
      <c r="Q5" s="3" t="s">
        <v>109</v>
      </c>
    </row>
    <row r="6" ht="15" customHeight="1" spans="3:17">
      <c r="C6" s="673" t="s">
        <v>345</v>
      </c>
      <c r="D6" s="658" t="s">
        <v>346</v>
      </c>
      <c r="E6" s="135" t="s">
        <v>461</v>
      </c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</row>
    <row r="7" ht="15" spans="3:17">
      <c r="C7" s="674"/>
      <c r="D7" s="660"/>
      <c r="E7" s="135" t="s">
        <v>246</v>
      </c>
      <c r="F7" s="135" t="s">
        <v>247</v>
      </c>
      <c r="G7" s="135" t="s">
        <v>248</v>
      </c>
      <c r="H7" s="135" t="s">
        <v>249</v>
      </c>
      <c r="I7" s="135" t="s">
        <v>250</v>
      </c>
      <c r="J7" s="135" t="s">
        <v>251</v>
      </c>
      <c r="K7" s="135" t="s">
        <v>252</v>
      </c>
      <c r="L7" s="135" t="s">
        <v>253</v>
      </c>
      <c r="M7" s="135" t="s">
        <v>254</v>
      </c>
      <c r="N7" s="135" t="s">
        <v>255</v>
      </c>
      <c r="O7" s="135" t="s">
        <v>256</v>
      </c>
      <c r="P7" s="135" t="s">
        <v>257</v>
      </c>
      <c r="Q7" s="135" t="s">
        <v>97</v>
      </c>
    </row>
    <row r="8" customHeight="1" spans="3:17">
      <c r="C8" s="675"/>
      <c r="D8" s="662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</row>
    <row r="9" ht="15" spans="2:17">
      <c r="B9" s="656"/>
      <c r="C9" s="663" t="s">
        <v>349</v>
      </c>
      <c r="D9" s="676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ht="15" spans="3:17">
      <c r="C10" s="44" t="s">
        <v>350</v>
      </c>
      <c r="D10" s="4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customHeight="1" spans="2:17">
      <c r="B11" s="656"/>
      <c r="C11" s="677" t="s">
        <v>351</v>
      </c>
      <c r="D11" s="47" t="s">
        <v>352</v>
      </c>
      <c r="E11" s="147">
        <f t="shared" ref="E11:P11" si="0">E187+E359</f>
        <v>100.638104861387</v>
      </c>
      <c r="F11" s="147">
        <f t="shared" si="0"/>
        <v>126.276860147502</v>
      </c>
      <c r="G11" s="147">
        <f t="shared" si="0"/>
        <v>122.20341304597</v>
      </c>
      <c r="H11" s="147">
        <f t="shared" si="0"/>
        <v>0</v>
      </c>
      <c r="I11" s="147">
        <f t="shared" si="0"/>
        <v>40.8542782830155</v>
      </c>
      <c r="J11" s="147">
        <f t="shared" si="0"/>
        <v>84.4641237229498</v>
      </c>
      <c r="K11" s="147">
        <f t="shared" si="0"/>
        <v>81.708556566031</v>
      </c>
      <c r="L11" s="147">
        <f t="shared" si="0"/>
        <v>101.231100117211</v>
      </c>
      <c r="M11" s="147">
        <f t="shared" si="0"/>
        <v>90.0651134875569</v>
      </c>
      <c r="N11" s="147">
        <f t="shared" si="0"/>
        <v>90.0651134875569</v>
      </c>
      <c r="O11" s="147">
        <f t="shared" si="0"/>
        <v>102.495117510615</v>
      </c>
      <c r="P11" s="147">
        <f t="shared" si="0"/>
        <v>112.349265278293</v>
      </c>
      <c r="Q11" s="147">
        <f t="shared" ref="Q11:Q29" si="1">SUM(E11:P11)</f>
        <v>1052.35104650809</v>
      </c>
    </row>
    <row r="12" spans="2:17">
      <c r="B12" s="656"/>
      <c r="C12" s="678"/>
      <c r="D12" s="47" t="s">
        <v>353</v>
      </c>
      <c r="E12" s="147">
        <f t="shared" ref="E12:P12" si="2">E188+E360</f>
        <v>105.308586047191</v>
      </c>
      <c r="F12" s="147">
        <f t="shared" si="2"/>
        <v>0</v>
      </c>
      <c r="G12" s="147">
        <f t="shared" si="2"/>
        <v>60.686303823805</v>
      </c>
      <c r="H12" s="147">
        <f t="shared" si="2"/>
        <v>94.5140182775318</v>
      </c>
      <c r="I12" s="147">
        <f t="shared" si="2"/>
        <v>83.7963465938555</v>
      </c>
      <c r="J12" s="147">
        <f t="shared" si="2"/>
        <v>86.2138987812835</v>
      </c>
      <c r="K12" s="147">
        <f t="shared" si="2"/>
        <v>81.1530572702648</v>
      </c>
      <c r="L12" s="147">
        <f t="shared" si="2"/>
        <v>120.960403143783</v>
      </c>
      <c r="M12" s="147">
        <f t="shared" si="2"/>
        <v>96.3743641000615</v>
      </c>
      <c r="N12" s="147">
        <f t="shared" si="2"/>
        <v>102.405148108321</v>
      </c>
      <c r="O12" s="147">
        <f t="shared" si="2"/>
        <v>101.798299845618</v>
      </c>
      <c r="P12" s="147">
        <f t="shared" si="2"/>
        <v>119.885198240164</v>
      </c>
      <c r="Q12" s="147">
        <f t="shared" si="1"/>
        <v>1053.09562423188</v>
      </c>
    </row>
    <row r="13" spans="2:17">
      <c r="B13" s="656"/>
      <c r="C13" s="678"/>
      <c r="D13" s="47" t="s">
        <v>354</v>
      </c>
      <c r="E13" s="147">
        <f t="shared" ref="E13:P13" si="3">E189+E361</f>
        <v>208.172004058654</v>
      </c>
      <c r="F13" s="147">
        <f t="shared" si="3"/>
        <v>0</v>
      </c>
      <c r="G13" s="147">
        <f t="shared" si="3"/>
        <v>116.989225421393</v>
      </c>
      <c r="H13" s="147">
        <f t="shared" si="3"/>
        <v>196.309008884256</v>
      </c>
      <c r="I13" s="147">
        <f t="shared" si="3"/>
        <v>161.777747506739</v>
      </c>
      <c r="J13" s="147">
        <f t="shared" si="3"/>
        <v>177.204267917698</v>
      </c>
      <c r="K13" s="147">
        <f t="shared" si="3"/>
        <v>158.355552097499</v>
      </c>
      <c r="L13" s="147">
        <f t="shared" si="3"/>
        <v>235.71591706159</v>
      </c>
      <c r="M13" s="147">
        <f t="shared" si="3"/>
        <v>204.742462312585</v>
      </c>
      <c r="N13" s="147">
        <f t="shared" si="3"/>
        <v>200.644341983064</v>
      </c>
      <c r="O13" s="147">
        <f t="shared" si="3"/>
        <v>198.122689445873</v>
      </c>
      <c r="P13" s="147">
        <f t="shared" si="3"/>
        <v>240.805543469051</v>
      </c>
      <c r="Q13" s="147">
        <f t="shared" si="1"/>
        <v>2098.8387601584</v>
      </c>
    </row>
    <row r="14" spans="2:17">
      <c r="B14" s="656"/>
      <c r="C14" s="678"/>
      <c r="D14" s="47" t="s">
        <v>355</v>
      </c>
      <c r="E14" s="147">
        <f t="shared" ref="E14:P14" si="4">E190+E362</f>
        <v>19.4940023960795</v>
      </c>
      <c r="F14" s="147">
        <f t="shared" si="4"/>
        <v>0</v>
      </c>
      <c r="G14" s="147">
        <f t="shared" si="4"/>
        <v>11.8356443119053</v>
      </c>
      <c r="H14" s="147">
        <f t="shared" si="4"/>
        <v>16.906405649457</v>
      </c>
      <c r="I14" s="147">
        <f t="shared" si="4"/>
        <v>15.8272733739597</v>
      </c>
      <c r="J14" s="147">
        <f t="shared" si="4"/>
        <v>16.361037725281</v>
      </c>
      <c r="K14" s="147">
        <f t="shared" si="4"/>
        <v>15.8272733739597</v>
      </c>
      <c r="L14" s="147">
        <f t="shared" si="4"/>
        <v>19.2815467303486</v>
      </c>
      <c r="M14" s="147">
        <f t="shared" si="4"/>
        <v>17.4459717872056</v>
      </c>
      <c r="N14" s="147">
        <f t="shared" si="4"/>
        <v>17.4459717872056</v>
      </c>
      <c r="O14" s="147">
        <f t="shared" si="4"/>
        <v>19.8537131545786</v>
      </c>
      <c r="P14" s="147">
        <f t="shared" si="4"/>
        <v>21.7625008891947</v>
      </c>
      <c r="Q14" s="147">
        <f t="shared" si="1"/>
        <v>192.041341179175</v>
      </c>
    </row>
    <row r="15" spans="2:17">
      <c r="B15" s="656"/>
      <c r="C15" s="678"/>
      <c r="D15" s="47" t="s">
        <v>356</v>
      </c>
      <c r="E15" s="147">
        <f t="shared" ref="E15:P15" si="5">E191+E363</f>
        <v>104.806575395157</v>
      </c>
      <c r="F15" s="147">
        <f t="shared" si="5"/>
        <v>108.300127908329</v>
      </c>
      <c r="G15" s="147">
        <f t="shared" si="5"/>
        <v>104.806575395157</v>
      </c>
      <c r="H15" s="147">
        <f t="shared" si="5"/>
        <v>110.588158779631</v>
      </c>
      <c r="I15" s="147">
        <f t="shared" si="5"/>
        <v>89.9958809379069</v>
      </c>
      <c r="J15" s="147">
        <f t="shared" si="5"/>
        <v>98.5357764596832</v>
      </c>
      <c r="K15" s="147">
        <f t="shared" si="5"/>
        <v>0</v>
      </c>
      <c r="L15" s="147">
        <f t="shared" si="5"/>
        <v>52.4032876975783</v>
      </c>
      <c r="M15" s="147">
        <f t="shared" si="5"/>
        <v>104.753818509829</v>
      </c>
      <c r="N15" s="147">
        <f t="shared" si="5"/>
        <v>94.5719426805122</v>
      </c>
      <c r="O15" s="147">
        <f t="shared" si="5"/>
        <v>92.7513589764649</v>
      </c>
      <c r="P15" s="147">
        <f t="shared" si="5"/>
        <v>115.164220522237</v>
      </c>
      <c r="Q15" s="147">
        <f t="shared" si="1"/>
        <v>1076.67772326248</v>
      </c>
    </row>
    <row r="16" spans="2:17">
      <c r="B16" s="656"/>
      <c r="C16" s="678"/>
      <c r="D16" s="47" t="s">
        <v>357</v>
      </c>
      <c r="E16" s="147">
        <f t="shared" ref="E16:P16" si="6">E192+E364</f>
        <v>137.517214601323</v>
      </c>
      <c r="F16" s="147">
        <f t="shared" si="6"/>
        <v>142.101121754701</v>
      </c>
      <c r="G16" s="147">
        <f t="shared" si="6"/>
        <v>137.517214601323</v>
      </c>
      <c r="H16" s="147">
        <f t="shared" si="6"/>
        <v>145.1032581298</v>
      </c>
      <c r="I16" s="147">
        <f t="shared" si="6"/>
        <v>121.086167129006</v>
      </c>
      <c r="J16" s="147">
        <f t="shared" si="6"/>
        <v>133.364034135801</v>
      </c>
      <c r="K16" s="147">
        <f t="shared" si="6"/>
        <v>116.061678964903</v>
      </c>
      <c r="L16" s="147">
        <f t="shared" si="6"/>
        <v>0</v>
      </c>
      <c r="M16" s="147">
        <f t="shared" si="6"/>
        <v>71.0505608773505</v>
      </c>
      <c r="N16" s="147">
        <f t="shared" si="6"/>
        <v>135.876556450251</v>
      </c>
      <c r="O16" s="147">
        <f t="shared" si="6"/>
        <v>130.533712032355</v>
      </c>
      <c r="P16" s="147">
        <f t="shared" si="6"/>
        <v>160.113940005297</v>
      </c>
      <c r="Q16" s="147">
        <f t="shared" si="1"/>
        <v>1430.32545868211</v>
      </c>
    </row>
    <row r="17" spans="2:17">
      <c r="B17" s="656"/>
      <c r="C17" s="678"/>
      <c r="D17" s="47" t="s">
        <v>358</v>
      </c>
      <c r="E17" s="147">
        <f t="shared" ref="E17:P17" si="7">E193+E365</f>
        <v>295.152920404594</v>
      </c>
      <c r="F17" s="147">
        <f t="shared" si="7"/>
        <v>152.032596428841</v>
      </c>
      <c r="G17" s="147">
        <f t="shared" si="7"/>
        <v>221.140619764639</v>
      </c>
      <c r="H17" s="147">
        <f t="shared" si="7"/>
        <v>311.434830333016</v>
      </c>
      <c r="I17" s="147">
        <f t="shared" si="7"/>
        <v>222.888798231149</v>
      </c>
      <c r="J17" s="147">
        <f t="shared" si="7"/>
        <v>212.565104761882</v>
      </c>
      <c r="K17" s="147">
        <f t="shared" si="7"/>
        <v>240.556558602054</v>
      </c>
      <c r="L17" s="147">
        <f t="shared" si="7"/>
        <v>221.234544653715</v>
      </c>
      <c r="M17" s="147">
        <f t="shared" si="7"/>
        <v>266.800190280126</v>
      </c>
      <c r="N17" s="147">
        <f t="shared" si="7"/>
        <v>276.498225503112</v>
      </c>
      <c r="O17" s="147">
        <f t="shared" si="7"/>
        <v>271.937646023867</v>
      </c>
      <c r="P17" s="147">
        <f t="shared" si="7"/>
        <v>327.632883846656</v>
      </c>
      <c r="Q17" s="147">
        <f t="shared" si="1"/>
        <v>3019.87491883365</v>
      </c>
    </row>
    <row r="18" spans="2:17">
      <c r="B18" s="656"/>
      <c r="C18" s="678"/>
      <c r="D18" s="47" t="s">
        <v>359</v>
      </c>
      <c r="E18" s="147">
        <f t="shared" ref="E18:P18" si="8">E194+E366</f>
        <v>901.36707366781</v>
      </c>
      <c r="F18" s="147">
        <f t="shared" si="8"/>
        <v>547.155437078917</v>
      </c>
      <c r="G18" s="147">
        <f t="shared" si="8"/>
        <v>537.102877726275</v>
      </c>
      <c r="H18" s="147">
        <f t="shared" si="8"/>
        <v>589.908416064119</v>
      </c>
      <c r="I18" s="147">
        <f t="shared" si="8"/>
        <v>838.038814753009</v>
      </c>
      <c r="J18" s="147">
        <f t="shared" si="8"/>
        <v>944.687484240379</v>
      </c>
      <c r="K18" s="147">
        <f t="shared" si="8"/>
        <v>858.769805577249</v>
      </c>
      <c r="L18" s="147">
        <f t="shared" si="8"/>
        <v>713.867907963983</v>
      </c>
      <c r="M18" s="147">
        <f t="shared" si="8"/>
        <v>832.515327603365</v>
      </c>
      <c r="N18" s="147">
        <f t="shared" si="8"/>
        <v>927.709027053613</v>
      </c>
      <c r="O18" s="147">
        <f t="shared" si="8"/>
        <v>879.830153108297</v>
      </c>
      <c r="P18" s="147">
        <f t="shared" si="8"/>
        <v>1011.919211603</v>
      </c>
      <c r="Q18" s="147">
        <f t="shared" si="1"/>
        <v>9582.87153644001</v>
      </c>
    </row>
    <row r="19" spans="2:17">
      <c r="B19" s="656"/>
      <c r="C19" s="678"/>
      <c r="D19" s="679" t="s">
        <v>492</v>
      </c>
      <c r="E19" s="147">
        <f t="shared" ref="E19:P19" si="9">E195+E367</f>
        <v>0</v>
      </c>
      <c r="F19" s="147">
        <f t="shared" si="9"/>
        <v>0</v>
      </c>
      <c r="G19" s="147">
        <f t="shared" si="9"/>
        <v>0</v>
      </c>
      <c r="H19" s="147">
        <f t="shared" si="9"/>
        <v>0</v>
      </c>
      <c r="I19" s="147">
        <f t="shared" si="9"/>
        <v>0</v>
      </c>
      <c r="J19" s="147">
        <f t="shared" si="9"/>
        <v>0</v>
      </c>
      <c r="K19" s="147">
        <f t="shared" si="9"/>
        <v>0</v>
      </c>
      <c r="L19" s="147">
        <f t="shared" si="9"/>
        <v>0</v>
      </c>
      <c r="M19" s="147">
        <f t="shared" si="9"/>
        <v>0</v>
      </c>
      <c r="N19" s="147">
        <f t="shared" si="9"/>
        <v>0</v>
      </c>
      <c r="O19" s="147">
        <f t="shared" si="9"/>
        <v>0</v>
      </c>
      <c r="P19" s="147">
        <f t="shared" si="9"/>
        <v>0</v>
      </c>
      <c r="Q19" s="147">
        <f t="shared" si="1"/>
        <v>0</v>
      </c>
    </row>
    <row r="20" spans="2:17">
      <c r="B20" s="656"/>
      <c r="C20" s="678"/>
      <c r="D20" s="47"/>
      <c r="E20" s="147">
        <f t="shared" ref="E20:P20" si="10">E196+E368</f>
        <v>0</v>
      </c>
      <c r="F20" s="147">
        <f t="shared" si="10"/>
        <v>0</v>
      </c>
      <c r="G20" s="147">
        <f t="shared" si="10"/>
        <v>0</v>
      </c>
      <c r="H20" s="147">
        <f t="shared" si="10"/>
        <v>0</v>
      </c>
      <c r="I20" s="147">
        <f t="shared" si="10"/>
        <v>0</v>
      </c>
      <c r="J20" s="147">
        <f t="shared" si="10"/>
        <v>0</v>
      </c>
      <c r="K20" s="147">
        <f t="shared" si="10"/>
        <v>0</v>
      </c>
      <c r="L20" s="147">
        <f t="shared" si="10"/>
        <v>0</v>
      </c>
      <c r="M20" s="147">
        <f t="shared" si="10"/>
        <v>0</v>
      </c>
      <c r="N20" s="147">
        <f t="shared" si="10"/>
        <v>0</v>
      </c>
      <c r="O20" s="147">
        <f t="shared" si="10"/>
        <v>0</v>
      </c>
      <c r="P20" s="147">
        <f t="shared" si="10"/>
        <v>0</v>
      </c>
      <c r="Q20" s="147">
        <f t="shared" si="1"/>
        <v>0</v>
      </c>
    </row>
    <row r="21" spans="2:17">
      <c r="B21" s="656"/>
      <c r="C21" s="678"/>
      <c r="D21" s="47"/>
      <c r="E21" s="147">
        <f t="shared" ref="E21:P21" si="11">E197+E369</f>
        <v>0</v>
      </c>
      <c r="F21" s="147">
        <f t="shared" si="11"/>
        <v>0</v>
      </c>
      <c r="G21" s="147">
        <f t="shared" si="11"/>
        <v>0</v>
      </c>
      <c r="H21" s="147">
        <f t="shared" si="11"/>
        <v>0</v>
      </c>
      <c r="I21" s="147">
        <f t="shared" si="11"/>
        <v>0</v>
      </c>
      <c r="J21" s="147">
        <f t="shared" si="11"/>
        <v>0</v>
      </c>
      <c r="K21" s="147">
        <f t="shared" si="11"/>
        <v>0</v>
      </c>
      <c r="L21" s="147">
        <f t="shared" si="11"/>
        <v>0</v>
      </c>
      <c r="M21" s="147">
        <f t="shared" si="11"/>
        <v>0</v>
      </c>
      <c r="N21" s="147">
        <f t="shared" si="11"/>
        <v>0</v>
      </c>
      <c r="O21" s="147">
        <f t="shared" si="11"/>
        <v>0</v>
      </c>
      <c r="P21" s="147">
        <f t="shared" si="11"/>
        <v>0</v>
      </c>
      <c r="Q21" s="147">
        <f t="shared" si="1"/>
        <v>0</v>
      </c>
    </row>
    <row r="22" spans="2:17">
      <c r="B22" s="656"/>
      <c r="C22" s="678"/>
      <c r="D22" s="47"/>
      <c r="E22" s="147">
        <f t="shared" ref="E22:P22" si="12">E198+E370</f>
        <v>0</v>
      </c>
      <c r="F22" s="147">
        <f t="shared" si="12"/>
        <v>0</v>
      </c>
      <c r="G22" s="147">
        <f t="shared" si="12"/>
        <v>0</v>
      </c>
      <c r="H22" s="147">
        <f t="shared" si="12"/>
        <v>0</v>
      </c>
      <c r="I22" s="147">
        <f t="shared" si="12"/>
        <v>0</v>
      </c>
      <c r="J22" s="147">
        <f t="shared" si="12"/>
        <v>0</v>
      </c>
      <c r="K22" s="147">
        <f t="shared" si="12"/>
        <v>0</v>
      </c>
      <c r="L22" s="147">
        <f t="shared" si="12"/>
        <v>0</v>
      </c>
      <c r="M22" s="147">
        <f t="shared" si="12"/>
        <v>0</v>
      </c>
      <c r="N22" s="147">
        <f t="shared" si="12"/>
        <v>0</v>
      </c>
      <c r="O22" s="147">
        <f t="shared" si="12"/>
        <v>0</v>
      </c>
      <c r="P22" s="147">
        <f t="shared" si="12"/>
        <v>0</v>
      </c>
      <c r="Q22" s="147">
        <f t="shared" si="1"/>
        <v>0</v>
      </c>
    </row>
    <row r="23" spans="2:17">
      <c r="B23" s="656"/>
      <c r="C23" s="678"/>
      <c r="D23" s="47"/>
      <c r="E23" s="147">
        <f t="shared" ref="E23:P23" si="13">E199+E371</f>
        <v>0</v>
      </c>
      <c r="F23" s="147">
        <f t="shared" si="13"/>
        <v>0</v>
      </c>
      <c r="G23" s="147">
        <f t="shared" si="13"/>
        <v>0</v>
      </c>
      <c r="H23" s="147">
        <f t="shared" si="13"/>
        <v>0</v>
      </c>
      <c r="I23" s="147">
        <f t="shared" si="13"/>
        <v>0</v>
      </c>
      <c r="J23" s="147">
        <f t="shared" si="13"/>
        <v>0</v>
      </c>
      <c r="K23" s="147">
        <f t="shared" si="13"/>
        <v>0</v>
      </c>
      <c r="L23" s="147">
        <f t="shared" si="13"/>
        <v>0</v>
      </c>
      <c r="M23" s="147">
        <f t="shared" si="13"/>
        <v>0</v>
      </c>
      <c r="N23" s="147">
        <f t="shared" si="13"/>
        <v>0</v>
      </c>
      <c r="O23" s="147">
        <f t="shared" si="13"/>
        <v>0</v>
      </c>
      <c r="P23" s="147">
        <f t="shared" si="13"/>
        <v>0</v>
      </c>
      <c r="Q23" s="147">
        <f t="shared" si="1"/>
        <v>0</v>
      </c>
    </row>
    <row r="24" spans="2:17">
      <c r="B24" s="656"/>
      <c r="C24" s="678"/>
      <c r="D24" s="47"/>
      <c r="E24" s="147">
        <f t="shared" ref="E24:P24" si="14">E200+E372</f>
        <v>0</v>
      </c>
      <c r="F24" s="147">
        <f t="shared" si="14"/>
        <v>0</v>
      </c>
      <c r="G24" s="147">
        <f t="shared" si="14"/>
        <v>0</v>
      </c>
      <c r="H24" s="147">
        <f t="shared" si="14"/>
        <v>0</v>
      </c>
      <c r="I24" s="147">
        <f t="shared" si="14"/>
        <v>0</v>
      </c>
      <c r="J24" s="147">
        <f t="shared" si="14"/>
        <v>0</v>
      </c>
      <c r="K24" s="147">
        <f t="shared" si="14"/>
        <v>0</v>
      </c>
      <c r="L24" s="147">
        <f t="shared" si="14"/>
        <v>0</v>
      </c>
      <c r="M24" s="147">
        <f t="shared" si="14"/>
        <v>0</v>
      </c>
      <c r="N24" s="147">
        <f t="shared" si="14"/>
        <v>0</v>
      </c>
      <c r="O24" s="147">
        <f t="shared" si="14"/>
        <v>0</v>
      </c>
      <c r="P24" s="147">
        <f t="shared" si="14"/>
        <v>0</v>
      </c>
      <c r="Q24" s="147">
        <f t="shared" si="1"/>
        <v>0</v>
      </c>
    </row>
    <row r="25" spans="2:17">
      <c r="B25" s="656"/>
      <c r="C25" s="678"/>
      <c r="D25" s="47"/>
      <c r="E25" s="147">
        <f t="shared" ref="E25:P25" si="15">E201+E373</f>
        <v>0</v>
      </c>
      <c r="F25" s="147">
        <f t="shared" si="15"/>
        <v>0</v>
      </c>
      <c r="G25" s="147">
        <f t="shared" si="15"/>
        <v>0</v>
      </c>
      <c r="H25" s="147">
        <f t="shared" si="15"/>
        <v>0</v>
      </c>
      <c r="I25" s="147">
        <f t="shared" si="15"/>
        <v>0</v>
      </c>
      <c r="J25" s="147">
        <f t="shared" si="15"/>
        <v>0</v>
      </c>
      <c r="K25" s="147">
        <f t="shared" si="15"/>
        <v>0</v>
      </c>
      <c r="L25" s="147">
        <f t="shared" si="15"/>
        <v>0</v>
      </c>
      <c r="M25" s="147">
        <f t="shared" si="15"/>
        <v>0</v>
      </c>
      <c r="N25" s="147">
        <f t="shared" si="15"/>
        <v>0</v>
      </c>
      <c r="O25" s="147">
        <f t="shared" si="15"/>
        <v>0</v>
      </c>
      <c r="P25" s="147">
        <f t="shared" si="15"/>
        <v>0</v>
      </c>
      <c r="Q25" s="147">
        <f t="shared" si="1"/>
        <v>0</v>
      </c>
    </row>
    <row r="26" spans="2:17">
      <c r="B26" s="656"/>
      <c r="C26" s="678"/>
      <c r="D26" s="47"/>
      <c r="E26" s="147">
        <f t="shared" ref="E26:P26" si="16">E202+E374</f>
        <v>0</v>
      </c>
      <c r="F26" s="147">
        <f t="shared" si="16"/>
        <v>0</v>
      </c>
      <c r="G26" s="147">
        <f t="shared" si="16"/>
        <v>0</v>
      </c>
      <c r="H26" s="147">
        <f t="shared" si="16"/>
        <v>0</v>
      </c>
      <c r="I26" s="147">
        <f t="shared" si="16"/>
        <v>0</v>
      </c>
      <c r="J26" s="147">
        <f t="shared" si="16"/>
        <v>0</v>
      </c>
      <c r="K26" s="147">
        <f t="shared" si="16"/>
        <v>0</v>
      </c>
      <c r="L26" s="147">
        <f t="shared" si="16"/>
        <v>0</v>
      </c>
      <c r="M26" s="147">
        <f t="shared" si="16"/>
        <v>0</v>
      </c>
      <c r="N26" s="147">
        <f t="shared" si="16"/>
        <v>0</v>
      </c>
      <c r="O26" s="147">
        <f t="shared" si="16"/>
        <v>0</v>
      </c>
      <c r="P26" s="147">
        <f t="shared" si="16"/>
        <v>0</v>
      </c>
      <c r="Q26" s="147">
        <f t="shared" si="1"/>
        <v>0</v>
      </c>
    </row>
    <row r="27" spans="2:17">
      <c r="B27" s="656"/>
      <c r="C27" s="678"/>
      <c r="D27" s="47"/>
      <c r="E27" s="147">
        <f t="shared" ref="E27:P27" si="17">E203+E375</f>
        <v>0</v>
      </c>
      <c r="F27" s="147">
        <f t="shared" si="17"/>
        <v>0</v>
      </c>
      <c r="G27" s="147">
        <f t="shared" si="17"/>
        <v>0</v>
      </c>
      <c r="H27" s="147">
        <f t="shared" si="17"/>
        <v>0</v>
      </c>
      <c r="I27" s="147">
        <f t="shared" si="17"/>
        <v>0</v>
      </c>
      <c r="J27" s="147">
        <f t="shared" si="17"/>
        <v>0</v>
      </c>
      <c r="K27" s="147">
        <f t="shared" si="17"/>
        <v>0</v>
      </c>
      <c r="L27" s="147">
        <f t="shared" si="17"/>
        <v>0</v>
      </c>
      <c r="M27" s="147">
        <f t="shared" si="17"/>
        <v>0</v>
      </c>
      <c r="N27" s="147">
        <f t="shared" si="17"/>
        <v>0</v>
      </c>
      <c r="O27" s="147">
        <f t="shared" si="17"/>
        <v>0</v>
      </c>
      <c r="P27" s="147">
        <f t="shared" si="17"/>
        <v>0</v>
      </c>
      <c r="Q27" s="147">
        <f t="shared" si="1"/>
        <v>0</v>
      </c>
    </row>
    <row r="28" spans="2:17">
      <c r="B28" s="656"/>
      <c r="C28" s="680"/>
      <c r="D28" s="47"/>
      <c r="E28" s="147">
        <f t="shared" ref="E28:P28" si="18">E204+E376</f>
        <v>0</v>
      </c>
      <c r="F28" s="147">
        <f t="shared" si="18"/>
        <v>0</v>
      </c>
      <c r="G28" s="147">
        <f t="shared" si="18"/>
        <v>0</v>
      </c>
      <c r="H28" s="147">
        <f t="shared" si="18"/>
        <v>0</v>
      </c>
      <c r="I28" s="147">
        <f t="shared" si="18"/>
        <v>0</v>
      </c>
      <c r="J28" s="147">
        <f t="shared" si="18"/>
        <v>0</v>
      </c>
      <c r="K28" s="147">
        <f t="shared" si="18"/>
        <v>0</v>
      </c>
      <c r="L28" s="147">
        <f t="shared" si="18"/>
        <v>0</v>
      </c>
      <c r="M28" s="147">
        <f t="shared" si="18"/>
        <v>0</v>
      </c>
      <c r="N28" s="147">
        <f t="shared" si="18"/>
        <v>0</v>
      </c>
      <c r="O28" s="147">
        <f t="shared" si="18"/>
        <v>0</v>
      </c>
      <c r="P28" s="147">
        <f t="shared" si="18"/>
        <v>0</v>
      </c>
      <c r="Q28" s="147">
        <f t="shared" si="1"/>
        <v>0</v>
      </c>
    </row>
    <row r="29" ht="15" spans="3:18">
      <c r="C29" s="537" t="s">
        <v>211</v>
      </c>
      <c r="D29" s="540"/>
      <c r="E29" s="681">
        <f t="shared" ref="E29:P29" si="19">SUM(E11:E28)</f>
        <v>1872.4564814322</v>
      </c>
      <c r="F29" s="681">
        <f t="shared" si="19"/>
        <v>1075.86614331829</v>
      </c>
      <c r="G29" s="681">
        <f t="shared" si="19"/>
        <v>1312.28187409047</v>
      </c>
      <c r="H29" s="681">
        <f t="shared" si="19"/>
        <v>1464.76409611781</v>
      </c>
      <c r="I29" s="681">
        <f t="shared" si="19"/>
        <v>1574.26530680864</v>
      </c>
      <c r="J29" s="681">
        <f t="shared" si="19"/>
        <v>1753.39572774496</v>
      </c>
      <c r="K29" s="681">
        <f t="shared" si="19"/>
        <v>1552.43248245196</v>
      </c>
      <c r="L29" s="681">
        <f t="shared" si="19"/>
        <v>1464.69470736821</v>
      </c>
      <c r="M29" s="681">
        <f t="shared" si="19"/>
        <v>1683.74780895808</v>
      </c>
      <c r="N29" s="681">
        <f t="shared" si="19"/>
        <v>1845.21632705364</v>
      </c>
      <c r="O29" s="681">
        <f t="shared" si="19"/>
        <v>1797.32269009767</v>
      </c>
      <c r="P29" s="681">
        <f t="shared" si="19"/>
        <v>2109.63276385389</v>
      </c>
      <c r="Q29" s="681">
        <f t="shared" si="1"/>
        <v>19506.0764092958</v>
      </c>
      <c r="R29" s="686"/>
    </row>
    <row r="30" ht="15" spans="3:17">
      <c r="C30" s="44" t="s">
        <v>360</v>
      </c>
      <c r="D30" s="4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3:17">
      <c r="C31" s="682" t="s">
        <v>351</v>
      </c>
      <c r="D31" s="55" t="s">
        <v>361</v>
      </c>
      <c r="E31" s="55">
        <f t="shared" ref="E31:P31" si="20">E207+E379</f>
        <v>0</v>
      </c>
      <c r="F31" s="55">
        <f t="shared" si="20"/>
        <v>0</v>
      </c>
      <c r="G31" s="55">
        <f t="shared" si="20"/>
        <v>0</v>
      </c>
      <c r="H31" s="55">
        <f t="shared" si="20"/>
        <v>0</v>
      </c>
      <c r="I31" s="55">
        <f t="shared" si="20"/>
        <v>0</v>
      </c>
      <c r="J31" s="55">
        <f t="shared" si="20"/>
        <v>0</v>
      </c>
      <c r="K31" s="55">
        <f t="shared" si="20"/>
        <v>0</v>
      </c>
      <c r="L31" s="55">
        <f t="shared" si="20"/>
        <v>0</v>
      </c>
      <c r="M31" s="55">
        <f t="shared" si="20"/>
        <v>0</v>
      </c>
      <c r="N31" s="55">
        <f t="shared" si="20"/>
        <v>0</v>
      </c>
      <c r="O31" s="55">
        <f t="shared" si="20"/>
        <v>0</v>
      </c>
      <c r="P31" s="55">
        <f t="shared" si="20"/>
        <v>0</v>
      </c>
      <c r="Q31" s="55">
        <f t="shared" ref="Q31:Q48" si="21">SUM(E31:P31)</f>
        <v>0</v>
      </c>
    </row>
    <row r="32" spans="3:17">
      <c r="C32" s="683"/>
      <c r="D32" s="55" t="s">
        <v>362</v>
      </c>
      <c r="E32" s="55">
        <f t="shared" ref="E32:P32" si="22">E208+E380</f>
        <v>0</v>
      </c>
      <c r="F32" s="55">
        <f t="shared" si="22"/>
        <v>0</v>
      </c>
      <c r="G32" s="55">
        <f t="shared" si="22"/>
        <v>0</v>
      </c>
      <c r="H32" s="55">
        <f t="shared" si="22"/>
        <v>0</v>
      </c>
      <c r="I32" s="55">
        <f t="shared" si="22"/>
        <v>0</v>
      </c>
      <c r="J32" s="55">
        <f t="shared" si="22"/>
        <v>0</v>
      </c>
      <c r="K32" s="55">
        <f t="shared" si="22"/>
        <v>0</v>
      </c>
      <c r="L32" s="55">
        <f t="shared" si="22"/>
        <v>0</v>
      </c>
      <c r="M32" s="55">
        <f t="shared" si="22"/>
        <v>0</v>
      </c>
      <c r="N32" s="55">
        <f t="shared" si="22"/>
        <v>0</v>
      </c>
      <c r="O32" s="55">
        <f t="shared" si="22"/>
        <v>0</v>
      </c>
      <c r="P32" s="55">
        <f t="shared" si="22"/>
        <v>0</v>
      </c>
      <c r="Q32" s="55">
        <f t="shared" si="21"/>
        <v>0</v>
      </c>
    </row>
    <row r="33" spans="3:17">
      <c r="C33" s="683"/>
      <c r="D33" s="55" t="s">
        <v>363</v>
      </c>
      <c r="E33" s="55">
        <f t="shared" ref="E33:P33" si="23">E209+E381</f>
        <v>0</v>
      </c>
      <c r="F33" s="55">
        <f t="shared" si="23"/>
        <v>0</v>
      </c>
      <c r="G33" s="55">
        <f t="shared" si="23"/>
        <v>0</v>
      </c>
      <c r="H33" s="55">
        <f t="shared" si="23"/>
        <v>0</v>
      </c>
      <c r="I33" s="55">
        <f t="shared" si="23"/>
        <v>0</v>
      </c>
      <c r="J33" s="55">
        <f t="shared" si="23"/>
        <v>0</v>
      </c>
      <c r="K33" s="55">
        <f t="shared" si="23"/>
        <v>0</v>
      </c>
      <c r="L33" s="55">
        <f t="shared" si="23"/>
        <v>0</v>
      </c>
      <c r="M33" s="55">
        <f t="shared" si="23"/>
        <v>0</v>
      </c>
      <c r="N33" s="55">
        <f t="shared" si="23"/>
        <v>0</v>
      </c>
      <c r="O33" s="55">
        <f t="shared" si="23"/>
        <v>0</v>
      </c>
      <c r="P33" s="55">
        <f t="shared" si="23"/>
        <v>0</v>
      </c>
      <c r="Q33" s="55">
        <f t="shared" si="21"/>
        <v>0</v>
      </c>
    </row>
    <row r="34" spans="3:17">
      <c r="C34" s="683"/>
      <c r="D34" s="55" t="s">
        <v>364</v>
      </c>
      <c r="E34" s="55">
        <f t="shared" ref="E34:P34" si="24">E210+E382</f>
        <v>0</v>
      </c>
      <c r="F34" s="55">
        <f t="shared" si="24"/>
        <v>0</v>
      </c>
      <c r="G34" s="55">
        <f t="shared" si="24"/>
        <v>0</v>
      </c>
      <c r="H34" s="55">
        <f t="shared" si="24"/>
        <v>0</v>
      </c>
      <c r="I34" s="55">
        <f t="shared" si="24"/>
        <v>0</v>
      </c>
      <c r="J34" s="55">
        <f t="shared" si="24"/>
        <v>0</v>
      </c>
      <c r="K34" s="55">
        <f t="shared" si="24"/>
        <v>0</v>
      </c>
      <c r="L34" s="55">
        <f t="shared" si="24"/>
        <v>0</v>
      </c>
      <c r="M34" s="55">
        <f t="shared" si="24"/>
        <v>0</v>
      </c>
      <c r="N34" s="55">
        <f t="shared" si="24"/>
        <v>0</v>
      </c>
      <c r="O34" s="55">
        <f t="shared" si="24"/>
        <v>0</v>
      </c>
      <c r="P34" s="55">
        <f t="shared" si="24"/>
        <v>0</v>
      </c>
      <c r="Q34" s="55">
        <f t="shared" si="21"/>
        <v>0</v>
      </c>
    </row>
    <row r="35" spans="3:17">
      <c r="C35" s="683"/>
      <c r="D35" s="55" t="s">
        <v>365</v>
      </c>
      <c r="E35" s="55">
        <f t="shared" ref="E35:P35" si="25">E211+E383</f>
        <v>0</v>
      </c>
      <c r="F35" s="55">
        <f t="shared" si="25"/>
        <v>0</v>
      </c>
      <c r="G35" s="55">
        <f t="shared" si="25"/>
        <v>0</v>
      </c>
      <c r="H35" s="55">
        <f t="shared" si="25"/>
        <v>0</v>
      </c>
      <c r="I35" s="55">
        <f t="shared" si="25"/>
        <v>0</v>
      </c>
      <c r="J35" s="55">
        <f t="shared" si="25"/>
        <v>0</v>
      </c>
      <c r="K35" s="55">
        <f t="shared" si="25"/>
        <v>0</v>
      </c>
      <c r="L35" s="55">
        <f t="shared" si="25"/>
        <v>0</v>
      </c>
      <c r="M35" s="55">
        <f t="shared" si="25"/>
        <v>0</v>
      </c>
      <c r="N35" s="55">
        <f t="shared" si="25"/>
        <v>0</v>
      </c>
      <c r="O35" s="55">
        <f t="shared" si="25"/>
        <v>0</v>
      </c>
      <c r="P35" s="55">
        <f t="shared" si="25"/>
        <v>0</v>
      </c>
      <c r="Q35" s="55">
        <f t="shared" si="21"/>
        <v>0</v>
      </c>
    </row>
    <row r="36" spans="3:17">
      <c r="C36" s="683"/>
      <c r="D36" s="55" t="s">
        <v>366</v>
      </c>
      <c r="E36" s="55">
        <f t="shared" ref="E36:P36" si="26">E212+E384</f>
        <v>0</v>
      </c>
      <c r="F36" s="55">
        <f t="shared" si="26"/>
        <v>0</v>
      </c>
      <c r="G36" s="55">
        <f t="shared" si="26"/>
        <v>0</v>
      </c>
      <c r="H36" s="55">
        <f t="shared" si="26"/>
        <v>0</v>
      </c>
      <c r="I36" s="55">
        <f t="shared" si="26"/>
        <v>0</v>
      </c>
      <c r="J36" s="55">
        <f t="shared" si="26"/>
        <v>0</v>
      </c>
      <c r="K36" s="55">
        <f t="shared" si="26"/>
        <v>0</v>
      </c>
      <c r="L36" s="55">
        <f t="shared" si="26"/>
        <v>0</v>
      </c>
      <c r="M36" s="55">
        <f t="shared" si="26"/>
        <v>0</v>
      </c>
      <c r="N36" s="55">
        <f t="shared" si="26"/>
        <v>0</v>
      </c>
      <c r="O36" s="55">
        <f t="shared" si="26"/>
        <v>0</v>
      </c>
      <c r="P36" s="55">
        <f t="shared" si="26"/>
        <v>0</v>
      </c>
      <c r="Q36" s="55">
        <f t="shared" si="21"/>
        <v>0</v>
      </c>
    </row>
    <row r="37" spans="3:17">
      <c r="C37" s="683"/>
      <c r="D37" s="55" t="s">
        <v>367</v>
      </c>
      <c r="E37" s="55">
        <f t="shared" ref="E37:P37" si="27">E213+E385</f>
        <v>0</v>
      </c>
      <c r="F37" s="55">
        <f t="shared" si="27"/>
        <v>0</v>
      </c>
      <c r="G37" s="55">
        <f t="shared" si="27"/>
        <v>0</v>
      </c>
      <c r="H37" s="55">
        <f t="shared" si="27"/>
        <v>0</v>
      </c>
      <c r="I37" s="55">
        <f t="shared" si="27"/>
        <v>0</v>
      </c>
      <c r="J37" s="55">
        <f t="shared" si="27"/>
        <v>0</v>
      </c>
      <c r="K37" s="55">
        <f t="shared" si="27"/>
        <v>0</v>
      </c>
      <c r="L37" s="55">
        <f t="shared" si="27"/>
        <v>0</v>
      </c>
      <c r="M37" s="55">
        <f t="shared" si="27"/>
        <v>0</v>
      </c>
      <c r="N37" s="55">
        <f t="shared" si="27"/>
        <v>0</v>
      </c>
      <c r="O37" s="55">
        <f t="shared" si="27"/>
        <v>0</v>
      </c>
      <c r="P37" s="55">
        <f t="shared" si="27"/>
        <v>0</v>
      </c>
      <c r="Q37" s="55">
        <f t="shared" si="21"/>
        <v>0</v>
      </c>
    </row>
    <row r="38" spans="3:17">
      <c r="C38" s="683"/>
      <c r="D38" s="55" t="s">
        <v>368</v>
      </c>
      <c r="E38" s="55">
        <f t="shared" ref="E38:P38" si="28">E214+E386</f>
        <v>0</v>
      </c>
      <c r="F38" s="55">
        <f t="shared" si="28"/>
        <v>0</v>
      </c>
      <c r="G38" s="55">
        <f t="shared" si="28"/>
        <v>0</v>
      </c>
      <c r="H38" s="55">
        <f t="shared" si="28"/>
        <v>0</v>
      </c>
      <c r="I38" s="55">
        <f t="shared" si="28"/>
        <v>0</v>
      </c>
      <c r="J38" s="55">
        <f t="shared" si="28"/>
        <v>0</v>
      </c>
      <c r="K38" s="55">
        <f t="shared" si="28"/>
        <v>0</v>
      </c>
      <c r="L38" s="55">
        <f t="shared" si="28"/>
        <v>0</v>
      </c>
      <c r="M38" s="55">
        <f t="shared" si="28"/>
        <v>0</v>
      </c>
      <c r="N38" s="55">
        <f t="shared" si="28"/>
        <v>0</v>
      </c>
      <c r="O38" s="55">
        <f t="shared" si="28"/>
        <v>0</v>
      </c>
      <c r="P38" s="55">
        <f t="shared" si="28"/>
        <v>0</v>
      </c>
      <c r="Q38" s="55">
        <f t="shared" si="21"/>
        <v>0</v>
      </c>
    </row>
    <row r="39" spans="3:17">
      <c r="C39" s="683"/>
      <c r="D39" s="55"/>
      <c r="E39" s="55">
        <f t="shared" ref="E39:P39" si="29">E215+E387</f>
        <v>0</v>
      </c>
      <c r="F39" s="55">
        <f t="shared" si="29"/>
        <v>0</v>
      </c>
      <c r="G39" s="55">
        <f t="shared" si="29"/>
        <v>0</v>
      </c>
      <c r="H39" s="55">
        <f t="shared" si="29"/>
        <v>0</v>
      </c>
      <c r="I39" s="55">
        <f t="shared" si="29"/>
        <v>0</v>
      </c>
      <c r="J39" s="55">
        <f t="shared" si="29"/>
        <v>0</v>
      </c>
      <c r="K39" s="55">
        <f t="shared" si="29"/>
        <v>0</v>
      </c>
      <c r="L39" s="55">
        <f t="shared" si="29"/>
        <v>0</v>
      </c>
      <c r="M39" s="55">
        <f t="shared" si="29"/>
        <v>0</v>
      </c>
      <c r="N39" s="55">
        <f t="shared" si="29"/>
        <v>0</v>
      </c>
      <c r="O39" s="55">
        <f t="shared" si="29"/>
        <v>0</v>
      </c>
      <c r="P39" s="55">
        <f t="shared" si="29"/>
        <v>0</v>
      </c>
      <c r="Q39" s="55">
        <f t="shared" si="21"/>
        <v>0</v>
      </c>
    </row>
    <row r="40" spans="3:17">
      <c r="C40" s="683"/>
      <c r="D40" s="679" t="s">
        <v>493</v>
      </c>
      <c r="E40" s="55">
        <f t="shared" ref="E40:P40" si="30">($Q$49-$Q$43)/12</f>
        <v>107.304198333333</v>
      </c>
      <c r="F40" s="55">
        <f t="shared" si="30"/>
        <v>107.304198333333</v>
      </c>
      <c r="G40" s="55">
        <f t="shared" si="30"/>
        <v>107.304198333333</v>
      </c>
      <c r="H40" s="55">
        <f t="shared" si="30"/>
        <v>107.304198333333</v>
      </c>
      <c r="I40" s="55">
        <f t="shared" si="30"/>
        <v>107.304198333333</v>
      </c>
      <c r="J40" s="55">
        <f t="shared" si="30"/>
        <v>107.304198333333</v>
      </c>
      <c r="K40" s="55">
        <f t="shared" si="30"/>
        <v>107.304198333333</v>
      </c>
      <c r="L40" s="55">
        <f t="shared" si="30"/>
        <v>107.304198333333</v>
      </c>
      <c r="M40" s="55">
        <f t="shared" si="30"/>
        <v>107.304198333333</v>
      </c>
      <c r="N40" s="55">
        <f t="shared" si="30"/>
        <v>107.304198333333</v>
      </c>
      <c r="O40" s="55">
        <f t="shared" si="30"/>
        <v>107.304198333333</v>
      </c>
      <c r="P40" s="55">
        <f t="shared" si="30"/>
        <v>107.304198333333</v>
      </c>
      <c r="Q40" s="55">
        <f t="shared" si="21"/>
        <v>1287.65038</v>
      </c>
    </row>
    <row r="41" spans="3:17">
      <c r="C41" s="683"/>
      <c r="D41" s="679" t="s">
        <v>494</v>
      </c>
      <c r="E41" s="55">
        <f t="shared" ref="E41:P41" si="31">E217+E389</f>
        <v>0</v>
      </c>
      <c r="F41" s="55">
        <f t="shared" si="31"/>
        <v>0</v>
      </c>
      <c r="G41" s="55">
        <f t="shared" si="31"/>
        <v>0</v>
      </c>
      <c r="H41" s="55">
        <f t="shared" si="31"/>
        <v>0</v>
      </c>
      <c r="I41" s="55">
        <f t="shared" si="31"/>
        <v>0</v>
      </c>
      <c r="J41" s="55">
        <f t="shared" si="31"/>
        <v>0</v>
      </c>
      <c r="K41" s="55">
        <f t="shared" si="31"/>
        <v>0</v>
      </c>
      <c r="L41" s="55">
        <f t="shared" si="31"/>
        <v>0</v>
      </c>
      <c r="M41" s="55">
        <f t="shared" si="31"/>
        <v>0</v>
      </c>
      <c r="N41" s="55">
        <f t="shared" si="31"/>
        <v>0</v>
      </c>
      <c r="O41" s="55">
        <f t="shared" si="31"/>
        <v>0</v>
      </c>
      <c r="P41" s="55">
        <f t="shared" si="31"/>
        <v>0</v>
      </c>
      <c r="Q41" s="55">
        <f t="shared" si="21"/>
        <v>0</v>
      </c>
    </row>
    <row r="42" spans="3:17">
      <c r="C42" s="683"/>
      <c r="D42" s="679"/>
      <c r="E42" s="55">
        <f t="shared" ref="E42:P42" si="32">E218+E390</f>
        <v>0</v>
      </c>
      <c r="F42" s="55">
        <f t="shared" si="32"/>
        <v>0</v>
      </c>
      <c r="G42" s="55">
        <f t="shared" si="32"/>
        <v>0</v>
      </c>
      <c r="H42" s="55">
        <f t="shared" si="32"/>
        <v>0</v>
      </c>
      <c r="I42" s="55">
        <f t="shared" si="32"/>
        <v>0</v>
      </c>
      <c r="J42" s="55">
        <f t="shared" si="32"/>
        <v>0</v>
      </c>
      <c r="K42" s="55">
        <f t="shared" si="32"/>
        <v>0</v>
      </c>
      <c r="L42" s="55">
        <f t="shared" si="32"/>
        <v>0</v>
      </c>
      <c r="M42" s="55">
        <f t="shared" si="32"/>
        <v>0</v>
      </c>
      <c r="N42" s="55">
        <f t="shared" si="32"/>
        <v>0</v>
      </c>
      <c r="O42" s="55">
        <f t="shared" si="32"/>
        <v>0</v>
      </c>
      <c r="P42" s="55">
        <f t="shared" si="32"/>
        <v>0</v>
      </c>
      <c r="Q42" s="55">
        <f t="shared" si="21"/>
        <v>0</v>
      </c>
    </row>
    <row r="43" spans="3:17">
      <c r="C43" s="683"/>
      <c r="D43" s="55"/>
      <c r="E43" s="55">
        <f t="shared" ref="E43:P43" si="33">E49</f>
        <v>41.7822503398368</v>
      </c>
      <c r="F43" s="55">
        <f t="shared" si="33"/>
        <v>44.772538468109</v>
      </c>
      <c r="G43" s="55">
        <f t="shared" si="33"/>
        <v>46.3865179304724</v>
      </c>
      <c r="H43" s="55">
        <f t="shared" si="33"/>
        <v>101.411407899279</v>
      </c>
      <c r="I43" s="55">
        <f t="shared" si="33"/>
        <v>238.095472986248</v>
      </c>
      <c r="J43" s="55">
        <f t="shared" si="33"/>
        <v>120.254015759913</v>
      </c>
      <c r="K43" s="55">
        <f t="shared" si="33"/>
        <v>132.550344070398</v>
      </c>
      <c r="L43" s="55">
        <f t="shared" si="33"/>
        <v>45.4620282420915</v>
      </c>
      <c r="M43" s="55">
        <f t="shared" si="33"/>
        <v>77.9903363108877</v>
      </c>
      <c r="N43" s="55">
        <f t="shared" si="33"/>
        <v>148.816290214286</v>
      </c>
      <c r="O43" s="55">
        <f t="shared" si="33"/>
        <v>138.427010745348</v>
      </c>
      <c r="P43" s="55">
        <f t="shared" si="33"/>
        <v>62.0825020331303</v>
      </c>
      <c r="Q43" s="55">
        <f t="shared" si="21"/>
        <v>1198.030715</v>
      </c>
    </row>
    <row r="44" spans="3:17">
      <c r="C44" s="683"/>
      <c r="D44" s="55"/>
      <c r="E44" s="55">
        <f t="shared" ref="E44:P44" si="34">E220+E392</f>
        <v>0</v>
      </c>
      <c r="F44" s="55">
        <f t="shared" si="34"/>
        <v>0</v>
      </c>
      <c r="G44" s="55">
        <f t="shared" si="34"/>
        <v>0</v>
      </c>
      <c r="H44" s="55">
        <f t="shared" si="34"/>
        <v>0</v>
      </c>
      <c r="I44" s="55">
        <f t="shared" si="34"/>
        <v>0</v>
      </c>
      <c r="J44" s="55">
        <f t="shared" si="34"/>
        <v>0</v>
      </c>
      <c r="K44" s="55">
        <f t="shared" si="34"/>
        <v>0</v>
      </c>
      <c r="L44" s="55">
        <f t="shared" si="34"/>
        <v>0</v>
      </c>
      <c r="M44" s="55">
        <f t="shared" si="34"/>
        <v>0</v>
      </c>
      <c r="N44" s="55">
        <f t="shared" si="34"/>
        <v>0</v>
      </c>
      <c r="O44" s="55">
        <f t="shared" si="34"/>
        <v>0</v>
      </c>
      <c r="P44" s="55">
        <f t="shared" si="34"/>
        <v>0</v>
      </c>
      <c r="Q44" s="55">
        <f t="shared" si="21"/>
        <v>0</v>
      </c>
    </row>
    <row r="45" spans="3:17">
      <c r="C45" s="683"/>
      <c r="D45" s="55"/>
      <c r="E45" s="55">
        <f t="shared" ref="E45:P45" si="35">E221+E393</f>
        <v>0</v>
      </c>
      <c r="F45" s="55">
        <f t="shared" si="35"/>
        <v>0</v>
      </c>
      <c r="G45" s="55">
        <f t="shared" si="35"/>
        <v>0</v>
      </c>
      <c r="H45" s="55">
        <f t="shared" si="35"/>
        <v>0</v>
      </c>
      <c r="I45" s="55">
        <f t="shared" si="35"/>
        <v>0</v>
      </c>
      <c r="J45" s="55">
        <f t="shared" si="35"/>
        <v>0</v>
      </c>
      <c r="K45" s="55">
        <f t="shared" si="35"/>
        <v>0</v>
      </c>
      <c r="L45" s="55">
        <f t="shared" si="35"/>
        <v>0</v>
      </c>
      <c r="M45" s="55">
        <f t="shared" si="35"/>
        <v>0</v>
      </c>
      <c r="N45" s="55">
        <f t="shared" si="35"/>
        <v>0</v>
      </c>
      <c r="O45" s="55">
        <f t="shared" si="35"/>
        <v>0</v>
      </c>
      <c r="P45" s="55">
        <f t="shared" si="35"/>
        <v>0</v>
      </c>
      <c r="Q45" s="55">
        <f t="shared" si="21"/>
        <v>0</v>
      </c>
    </row>
    <row r="46" spans="3:17">
      <c r="C46" s="683"/>
      <c r="D46" s="55"/>
      <c r="E46" s="55">
        <f t="shared" ref="E46:P46" si="36">E222+E394</f>
        <v>0</v>
      </c>
      <c r="F46" s="55">
        <f t="shared" si="36"/>
        <v>0</v>
      </c>
      <c r="G46" s="55">
        <f t="shared" si="36"/>
        <v>0</v>
      </c>
      <c r="H46" s="55">
        <f t="shared" si="36"/>
        <v>0</v>
      </c>
      <c r="I46" s="55">
        <f t="shared" si="36"/>
        <v>0</v>
      </c>
      <c r="J46" s="55">
        <f t="shared" si="36"/>
        <v>0</v>
      </c>
      <c r="K46" s="55">
        <f t="shared" si="36"/>
        <v>0</v>
      </c>
      <c r="L46" s="55">
        <f t="shared" si="36"/>
        <v>0</v>
      </c>
      <c r="M46" s="55">
        <f t="shared" si="36"/>
        <v>0</v>
      </c>
      <c r="N46" s="55">
        <f t="shared" si="36"/>
        <v>0</v>
      </c>
      <c r="O46" s="55">
        <f t="shared" si="36"/>
        <v>0</v>
      </c>
      <c r="P46" s="55">
        <f t="shared" si="36"/>
        <v>0</v>
      </c>
      <c r="Q46" s="55">
        <f t="shared" si="21"/>
        <v>0</v>
      </c>
    </row>
    <row r="47" spans="3:17">
      <c r="C47" s="683"/>
      <c r="D47" s="55"/>
      <c r="E47" s="55">
        <f t="shared" ref="E47:P47" si="37">E223+E395</f>
        <v>0</v>
      </c>
      <c r="F47" s="55">
        <f t="shared" si="37"/>
        <v>0</v>
      </c>
      <c r="G47" s="55">
        <f t="shared" si="37"/>
        <v>0</v>
      </c>
      <c r="H47" s="55">
        <f t="shared" si="37"/>
        <v>0</v>
      </c>
      <c r="I47" s="55">
        <f t="shared" si="37"/>
        <v>0</v>
      </c>
      <c r="J47" s="55">
        <f t="shared" si="37"/>
        <v>0</v>
      </c>
      <c r="K47" s="55">
        <f t="shared" si="37"/>
        <v>0</v>
      </c>
      <c r="L47" s="55">
        <f t="shared" si="37"/>
        <v>0</v>
      </c>
      <c r="M47" s="55">
        <f t="shared" si="37"/>
        <v>0</v>
      </c>
      <c r="N47" s="55">
        <f t="shared" si="37"/>
        <v>0</v>
      </c>
      <c r="O47" s="55">
        <f t="shared" si="37"/>
        <v>0</v>
      </c>
      <c r="P47" s="55">
        <f t="shared" si="37"/>
        <v>0</v>
      </c>
      <c r="Q47" s="55">
        <f t="shared" si="21"/>
        <v>0</v>
      </c>
    </row>
    <row r="48" spans="3:17">
      <c r="C48" s="684"/>
      <c r="D48" s="67"/>
      <c r="E48" s="55">
        <f t="shared" ref="E48:P48" si="38">E224+E396</f>
        <v>0</v>
      </c>
      <c r="F48" s="55">
        <f t="shared" si="38"/>
        <v>0</v>
      </c>
      <c r="G48" s="55">
        <f t="shared" si="38"/>
        <v>0</v>
      </c>
      <c r="H48" s="55">
        <f t="shared" si="38"/>
        <v>0</v>
      </c>
      <c r="I48" s="55">
        <f t="shared" si="38"/>
        <v>0</v>
      </c>
      <c r="J48" s="55">
        <f t="shared" si="38"/>
        <v>0</v>
      </c>
      <c r="K48" s="55">
        <f t="shared" si="38"/>
        <v>0</v>
      </c>
      <c r="L48" s="55">
        <f t="shared" si="38"/>
        <v>0</v>
      </c>
      <c r="M48" s="55">
        <f t="shared" si="38"/>
        <v>0</v>
      </c>
      <c r="N48" s="55">
        <f t="shared" si="38"/>
        <v>0</v>
      </c>
      <c r="O48" s="55">
        <f t="shared" si="38"/>
        <v>0</v>
      </c>
      <c r="P48" s="55">
        <f t="shared" si="38"/>
        <v>0</v>
      </c>
      <c r="Q48" s="55">
        <f t="shared" si="21"/>
        <v>0</v>
      </c>
    </row>
    <row r="49" ht="15" spans="3:18">
      <c r="C49" s="537" t="s">
        <v>211</v>
      </c>
      <c r="D49" s="540"/>
      <c r="E49" s="55">
        <f t="shared" ref="E49:Q49" si="39">E225+E397</f>
        <v>41.7822503398368</v>
      </c>
      <c r="F49" s="55">
        <f t="shared" si="39"/>
        <v>44.772538468109</v>
      </c>
      <c r="G49" s="55">
        <f t="shared" si="39"/>
        <v>46.3865179304724</v>
      </c>
      <c r="H49" s="55">
        <f t="shared" si="39"/>
        <v>101.411407899279</v>
      </c>
      <c r="I49" s="55">
        <f t="shared" si="39"/>
        <v>238.095472986248</v>
      </c>
      <c r="J49" s="55">
        <f t="shared" si="39"/>
        <v>120.254015759913</v>
      </c>
      <c r="K49" s="55">
        <f t="shared" si="39"/>
        <v>132.550344070398</v>
      </c>
      <c r="L49" s="55">
        <f t="shared" si="39"/>
        <v>45.4620282420915</v>
      </c>
      <c r="M49" s="55">
        <f t="shared" si="39"/>
        <v>77.9903363108877</v>
      </c>
      <c r="N49" s="55">
        <f t="shared" si="39"/>
        <v>148.816290214286</v>
      </c>
      <c r="O49" s="55">
        <f t="shared" si="39"/>
        <v>138.427010745348</v>
      </c>
      <c r="P49" s="55">
        <f t="shared" si="39"/>
        <v>62.0825020331303</v>
      </c>
      <c r="Q49" s="55">
        <f t="shared" si="39"/>
        <v>2485.681095</v>
      </c>
      <c r="R49" s="686"/>
    </row>
    <row r="50" ht="15" spans="3:18">
      <c r="C50" s="44" t="s">
        <v>369</v>
      </c>
      <c r="D50" s="45"/>
      <c r="E50" s="54">
        <f t="shared" ref="E50:Q50" si="40">E29+E49</f>
        <v>1914.23873177203</v>
      </c>
      <c r="F50" s="54">
        <f t="shared" si="40"/>
        <v>1120.6386817864</v>
      </c>
      <c r="G50" s="54">
        <f t="shared" si="40"/>
        <v>1358.66839202094</v>
      </c>
      <c r="H50" s="54">
        <f t="shared" si="40"/>
        <v>1566.17550401709</v>
      </c>
      <c r="I50" s="54">
        <f t="shared" si="40"/>
        <v>1812.36077979489</v>
      </c>
      <c r="J50" s="54">
        <f t="shared" si="40"/>
        <v>1873.64974350487</v>
      </c>
      <c r="K50" s="54">
        <f t="shared" si="40"/>
        <v>1684.98282652236</v>
      </c>
      <c r="L50" s="54">
        <f t="shared" si="40"/>
        <v>1510.1567356103</v>
      </c>
      <c r="M50" s="54">
        <f t="shared" si="40"/>
        <v>1761.73814526897</v>
      </c>
      <c r="N50" s="54">
        <f t="shared" si="40"/>
        <v>1994.03261726792</v>
      </c>
      <c r="O50" s="54">
        <f t="shared" si="40"/>
        <v>1935.74970084302</v>
      </c>
      <c r="P50" s="54">
        <f t="shared" si="40"/>
        <v>2171.71526588702</v>
      </c>
      <c r="Q50" s="681">
        <f t="shared" si="40"/>
        <v>21991.7575042958</v>
      </c>
      <c r="R50" s="686"/>
    </row>
    <row r="51" ht="15" spans="3:17">
      <c r="C51" s="663" t="s">
        <v>370</v>
      </c>
      <c r="D51" s="676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ht="15" spans="3:17">
      <c r="C52" s="44" t="s">
        <v>350</v>
      </c>
      <c r="D52" s="4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</row>
    <row r="53" ht="15" customHeight="1" spans="3:17">
      <c r="C53" s="682" t="s">
        <v>371</v>
      </c>
      <c r="D53" s="55" t="s">
        <v>372</v>
      </c>
      <c r="E53" s="147">
        <f t="shared" ref="E53:P53" si="41">E229+E401</f>
        <v>54.2486320184899</v>
      </c>
      <c r="F53" s="147">
        <f t="shared" si="41"/>
        <v>69.5509097279162</v>
      </c>
      <c r="G53" s="147">
        <f t="shared" si="41"/>
        <v>70.7799595553905</v>
      </c>
      <c r="H53" s="147">
        <f t="shared" si="41"/>
        <v>51.8533139346872</v>
      </c>
      <c r="I53" s="147">
        <f t="shared" si="41"/>
        <v>44.4383408738042</v>
      </c>
      <c r="J53" s="147">
        <f t="shared" si="41"/>
        <v>47.3390785084423</v>
      </c>
      <c r="K53" s="147">
        <f t="shared" si="41"/>
        <v>44.0240803186795</v>
      </c>
      <c r="L53" s="147">
        <f t="shared" si="41"/>
        <v>66.1886961456725</v>
      </c>
      <c r="M53" s="147">
        <f t="shared" si="41"/>
        <v>40.9207919492691</v>
      </c>
      <c r="N53" s="147">
        <f t="shared" si="41"/>
        <v>43.2911567327142</v>
      </c>
      <c r="O53" s="147">
        <f t="shared" si="41"/>
        <v>55.3936437524102</v>
      </c>
      <c r="P53" s="147">
        <f t="shared" si="41"/>
        <v>69.9033662876914</v>
      </c>
      <c r="Q53" s="147">
        <f t="shared" ref="Q53:Q79" si="42">SUM(E53:P53)</f>
        <v>657.931969805167</v>
      </c>
    </row>
    <row r="54" spans="3:17">
      <c r="C54" s="683"/>
      <c r="D54" s="55" t="s">
        <v>373</v>
      </c>
      <c r="E54" s="147">
        <f t="shared" ref="E54:P54" si="43">E230+E402</f>
        <v>14.4898273338597</v>
      </c>
      <c r="F54" s="147">
        <f t="shared" si="43"/>
        <v>17.6150842097902</v>
      </c>
      <c r="G54" s="147">
        <f t="shared" si="43"/>
        <v>17.0468556868938</v>
      </c>
      <c r="H54" s="147">
        <f t="shared" si="43"/>
        <v>0</v>
      </c>
      <c r="I54" s="147">
        <f t="shared" si="43"/>
        <v>5.50471381555943</v>
      </c>
      <c r="J54" s="147">
        <f t="shared" si="43"/>
        <v>12.0316071454694</v>
      </c>
      <c r="K54" s="147">
        <f t="shared" si="43"/>
        <v>10.5690505258741</v>
      </c>
      <c r="L54" s="147">
        <f t="shared" si="43"/>
        <v>17.0468556868938</v>
      </c>
      <c r="M54" s="147">
        <f t="shared" si="43"/>
        <v>13.8490764900914</v>
      </c>
      <c r="N54" s="147">
        <f t="shared" si="43"/>
        <v>14.0920673678322</v>
      </c>
      <c r="O54" s="147">
        <f t="shared" si="43"/>
        <v>14.0068330893977</v>
      </c>
      <c r="P54" s="147">
        <f t="shared" si="43"/>
        <v>16.9445026466562</v>
      </c>
      <c r="Q54" s="147">
        <f t="shared" si="42"/>
        <v>153.196473998318</v>
      </c>
    </row>
    <row r="55" customHeight="1" spans="3:17">
      <c r="C55" s="683"/>
      <c r="D55" s="55" t="s">
        <v>374</v>
      </c>
      <c r="E55" s="147">
        <f t="shared" ref="E55:P55" si="44">E231+E403</f>
        <v>30.069880324343</v>
      </c>
      <c r="F55" s="147">
        <f t="shared" si="44"/>
        <v>29.8616040969883</v>
      </c>
      <c r="G55" s="147">
        <f t="shared" si="44"/>
        <v>28.8983265454725</v>
      </c>
      <c r="H55" s="147">
        <f t="shared" si="44"/>
        <v>32.2828152399873</v>
      </c>
      <c r="I55" s="147">
        <f t="shared" si="44"/>
        <v>30.3634536852523</v>
      </c>
      <c r="J55" s="147">
        <f t="shared" si="44"/>
        <v>31.2414341032135</v>
      </c>
      <c r="K55" s="147">
        <f t="shared" si="44"/>
        <v>28.6509985254887</v>
      </c>
      <c r="L55" s="147">
        <f t="shared" si="44"/>
        <v>21.4716009547253</v>
      </c>
      <c r="M55" s="147">
        <f t="shared" si="44"/>
        <v>18.709185218022</v>
      </c>
      <c r="N55" s="147">
        <f t="shared" si="44"/>
        <v>26.5455067761845</v>
      </c>
      <c r="O55" s="147">
        <f t="shared" si="44"/>
        <v>30.2000529664397</v>
      </c>
      <c r="P55" s="147">
        <f t="shared" si="44"/>
        <v>32.2828152399873</v>
      </c>
      <c r="Q55" s="147">
        <f t="shared" si="42"/>
        <v>340.577673676104</v>
      </c>
    </row>
    <row r="56" spans="3:17">
      <c r="C56" s="683"/>
      <c r="D56" s="55" t="s">
        <v>375</v>
      </c>
      <c r="E56" s="147">
        <f t="shared" ref="E56:P56" si="45">E232+E404</f>
        <v>94.9165745973117</v>
      </c>
      <c r="F56" s="147">
        <f t="shared" si="45"/>
        <v>122.600575521528</v>
      </c>
      <c r="G56" s="147">
        <f t="shared" si="45"/>
        <v>118.64571824664</v>
      </c>
      <c r="H56" s="147">
        <f t="shared" si="45"/>
        <v>80.2593560040795</v>
      </c>
      <c r="I56" s="147">
        <f t="shared" si="45"/>
        <v>73.5603453129166</v>
      </c>
      <c r="J56" s="147">
        <f t="shared" si="45"/>
        <v>77.1197168603158</v>
      </c>
      <c r="K56" s="147">
        <f t="shared" si="45"/>
        <v>73.5603453129166</v>
      </c>
      <c r="L56" s="147">
        <f t="shared" si="45"/>
        <v>0</v>
      </c>
      <c r="M56" s="147">
        <f t="shared" si="45"/>
        <v>41.3776942385156</v>
      </c>
      <c r="N56" s="147">
        <f t="shared" si="45"/>
        <v>82.7553884770312</v>
      </c>
      <c r="O56" s="147">
        <f t="shared" si="45"/>
        <v>97.487231825989</v>
      </c>
      <c r="P56" s="147">
        <f t="shared" si="45"/>
        <v>108.625380109683</v>
      </c>
      <c r="Q56" s="147">
        <f t="shared" si="42"/>
        <v>970.908326506927</v>
      </c>
    </row>
    <row r="57" spans="3:17">
      <c r="C57" s="683"/>
      <c r="D57" s="55" t="s">
        <v>376</v>
      </c>
      <c r="E57" s="147">
        <f t="shared" ref="E57:P57" si="46">E233+E405</f>
        <v>59.0826832460648</v>
      </c>
      <c r="F57" s="147">
        <f t="shared" si="46"/>
        <v>75.7497236908867</v>
      </c>
      <c r="G57" s="147">
        <f t="shared" si="46"/>
        <v>0.548548620326613</v>
      </c>
      <c r="H57" s="147">
        <f t="shared" si="46"/>
        <v>26.8689598950226</v>
      </c>
      <c r="I57" s="147">
        <f t="shared" si="46"/>
        <v>45.6692536626626</v>
      </c>
      <c r="J57" s="147">
        <f t="shared" si="46"/>
        <v>47.852513584066</v>
      </c>
      <c r="K57" s="147">
        <f t="shared" si="46"/>
        <v>45.6692536626626</v>
      </c>
      <c r="L57" s="147">
        <f t="shared" si="46"/>
        <v>63.944346584752</v>
      </c>
      <c r="M57" s="147">
        <f t="shared" si="46"/>
        <v>52.6436275146447</v>
      </c>
      <c r="N57" s="147">
        <f t="shared" si="46"/>
        <v>52.3363774675175</v>
      </c>
      <c r="O57" s="147">
        <f t="shared" si="46"/>
        <v>60.3456120232074</v>
      </c>
      <c r="P57" s="147">
        <f t="shared" si="46"/>
        <v>69.4817861250622</v>
      </c>
      <c r="Q57" s="147">
        <f t="shared" si="42"/>
        <v>600.192686076876</v>
      </c>
    </row>
    <row r="58" customHeight="1" spans="3:17">
      <c r="C58" s="683"/>
      <c r="D58" s="55" t="s">
        <v>377</v>
      </c>
      <c r="E58" s="147">
        <f t="shared" ref="E58:P58" si="47">E234+E406</f>
        <v>69.0191378840791</v>
      </c>
      <c r="F58" s="147">
        <f t="shared" si="47"/>
        <v>89.149719766935</v>
      </c>
      <c r="G58" s="147">
        <f t="shared" si="47"/>
        <v>56.9938204128401</v>
      </c>
      <c r="H58" s="147">
        <f t="shared" si="47"/>
        <v>48.1140836128993</v>
      </c>
      <c r="I58" s="147">
        <f t="shared" si="47"/>
        <v>53.489831860161</v>
      </c>
      <c r="J58" s="147">
        <f t="shared" si="47"/>
        <v>55.9016093987677</v>
      </c>
      <c r="K58" s="147">
        <f t="shared" si="47"/>
        <v>53.489831860161</v>
      </c>
      <c r="L58" s="147">
        <f t="shared" si="47"/>
        <v>44.3407291869906</v>
      </c>
      <c r="M58" s="147">
        <f t="shared" si="47"/>
        <v>48.3182279845888</v>
      </c>
      <c r="N58" s="147">
        <f t="shared" si="47"/>
        <v>58.4997413172508</v>
      </c>
      <c r="O58" s="147">
        <f t="shared" si="47"/>
        <v>70.719218772022</v>
      </c>
      <c r="P58" s="147">
        <f t="shared" si="47"/>
        <v>78.0060047960686</v>
      </c>
      <c r="Q58" s="147">
        <f t="shared" si="42"/>
        <v>726.041956852764</v>
      </c>
    </row>
    <row r="59" spans="3:17">
      <c r="C59" s="683"/>
      <c r="D59" s="55" t="s">
        <v>378</v>
      </c>
      <c r="E59" s="147">
        <f t="shared" ref="E59:P59" si="48">E235+E407</f>
        <v>6.13704536519749</v>
      </c>
      <c r="F59" s="147">
        <f t="shared" si="48"/>
        <v>7.92701693004675</v>
      </c>
      <c r="G59" s="147">
        <f t="shared" si="48"/>
        <v>7.67130670649686</v>
      </c>
      <c r="H59" s="147">
        <f t="shared" si="48"/>
        <v>5.1525610045304</v>
      </c>
      <c r="I59" s="147">
        <f t="shared" si="48"/>
        <v>4.75621015802806</v>
      </c>
      <c r="J59" s="147">
        <f t="shared" si="48"/>
        <v>4.98634935922296</v>
      </c>
      <c r="K59" s="147">
        <f t="shared" si="48"/>
        <v>4.75621015802806</v>
      </c>
      <c r="L59" s="147">
        <f t="shared" si="48"/>
        <v>6.13704536519749</v>
      </c>
      <c r="M59" s="147">
        <f t="shared" si="48"/>
        <v>5.35073642778156</v>
      </c>
      <c r="N59" s="147">
        <f t="shared" si="48"/>
        <v>5.35073642778156</v>
      </c>
      <c r="O59" s="147">
        <f t="shared" si="48"/>
        <v>6.30325701050492</v>
      </c>
      <c r="P59" s="147">
        <f t="shared" si="48"/>
        <v>6.93613981379091</v>
      </c>
      <c r="Q59" s="147">
        <f t="shared" si="42"/>
        <v>71.464614726607</v>
      </c>
    </row>
    <row r="60" spans="3:17">
      <c r="C60" s="683"/>
      <c r="D60" s="55" t="s">
        <v>379</v>
      </c>
      <c r="E60" s="147">
        <f t="shared" ref="E60:P60" si="49">E236+E408</f>
        <v>34.6182324068674</v>
      </c>
      <c r="F60" s="147">
        <f t="shared" si="49"/>
        <v>45.7576217892523</v>
      </c>
      <c r="G60" s="147">
        <f t="shared" si="49"/>
        <v>44.28156947347</v>
      </c>
      <c r="H60" s="147">
        <f t="shared" si="49"/>
        <v>29.742454163014</v>
      </c>
      <c r="I60" s="147">
        <f t="shared" si="49"/>
        <v>27.4545730735514</v>
      </c>
      <c r="J60" s="147">
        <f t="shared" si="49"/>
        <v>27.6759809209188</v>
      </c>
      <c r="K60" s="147">
        <f t="shared" si="49"/>
        <v>27.4545730735514</v>
      </c>
      <c r="L60" s="147">
        <f t="shared" si="49"/>
        <v>33.2111771051025</v>
      </c>
      <c r="M60" s="147">
        <f t="shared" si="49"/>
        <v>29.742454163014</v>
      </c>
      <c r="N60" s="147">
        <f t="shared" si="49"/>
        <v>29.742454163014</v>
      </c>
      <c r="O60" s="147">
        <f t="shared" si="49"/>
        <v>35.3145516550923</v>
      </c>
      <c r="P60" s="147">
        <f t="shared" si="49"/>
        <v>40.0379190655958</v>
      </c>
      <c r="Q60" s="147">
        <f t="shared" si="42"/>
        <v>405.033561052444</v>
      </c>
    </row>
    <row r="61" spans="3:17">
      <c r="C61" s="684"/>
      <c r="D61" s="685" t="s">
        <v>380</v>
      </c>
      <c r="E61" s="147">
        <f t="shared" ref="E61:P61" si="50">E237+E409</f>
        <v>169.005991027321</v>
      </c>
      <c r="F61" s="147">
        <f t="shared" si="50"/>
        <v>174.297040118372</v>
      </c>
      <c r="G61" s="147">
        <f t="shared" si="50"/>
        <v>169.077576461341</v>
      </c>
      <c r="H61" s="147">
        <f t="shared" si="50"/>
        <v>173.386622780906</v>
      </c>
      <c r="I61" s="147">
        <f t="shared" si="50"/>
        <v>142.268190284889</v>
      </c>
      <c r="J61" s="147">
        <f t="shared" si="50"/>
        <v>153.73821520668</v>
      </c>
      <c r="K61" s="147">
        <f t="shared" si="50"/>
        <v>135.258740803307</v>
      </c>
      <c r="L61" s="147">
        <f t="shared" si="50"/>
        <v>169.077576461341</v>
      </c>
      <c r="M61" s="147">
        <f t="shared" si="50"/>
        <v>167.331235296013</v>
      </c>
      <c r="N61" s="147">
        <f t="shared" si="50"/>
        <v>151.761614219995</v>
      </c>
      <c r="O61" s="147">
        <f t="shared" si="50"/>
        <v>149.629686211093</v>
      </c>
      <c r="P61" s="147">
        <f t="shared" si="50"/>
        <v>185.786886247778</v>
      </c>
      <c r="Q61" s="147">
        <f t="shared" si="42"/>
        <v>1940.61937511904</v>
      </c>
    </row>
    <row r="62" spans="3:17">
      <c r="C62" s="55"/>
      <c r="D62" s="685" t="s">
        <v>450</v>
      </c>
      <c r="E62" s="147">
        <f t="shared" ref="E62:P62" si="51">E238+E410</f>
        <v>167.260690193923</v>
      </c>
      <c r="F62" s="147">
        <f t="shared" si="51"/>
        <v>171.040278013854</v>
      </c>
      <c r="G62" s="147">
        <f t="shared" si="51"/>
        <v>169.078801714631</v>
      </c>
      <c r="H62" s="147">
        <f t="shared" si="51"/>
        <v>166.204672835816</v>
      </c>
      <c r="I62" s="147">
        <f t="shared" si="51"/>
        <v>139.263577063142</v>
      </c>
      <c r="J62" s="147">
        <f t="shared" si="51"/>
        <v>145.574174591183</v>
      </c>
      <c r="K62" s="147">
        <f t="shared" si="51"/>
        <v>134.527992036187</v>
      </c>
      <c r="L62" s="147">
        <f t="shared" si="51"/>
        <v>170.870633147749</v>
      </c>
      <c r="M62" s="147">
        <f t="shared" si="51"/>
        <v>164.96924036884</v>
      </c>
      <c r="N62" s="147">
        <f t="shared" si="51"/>
        <v>150.454400220002</v>
      </c>
      <c r="O62" s="147">
        <f t="shared" si="51"/>
        <v>151.216499288032</v>
      </c>
      <c r="P62" s="147">
        <f t="shared" si="51"/>
        <v>181.337019209278</v>
      </c>
      <c r="Q62" s="147">
        <f t="shared" si="42"/>
        <v>1911.79797868264</v>
      </c>
    </row>
    <row r="63" spans="3:17">
      <c r="C63" s="55"/>
      <c r="D63" s="55" t="s">
        <v>381</v>
      </c>
      <c r="E63" s="147">
        <f t="shared" ref="E63:P63" si="52">E239+E411</f>
        <v>1.20422687474276</v>
      </c>
      <c r="F63" s="147">
        <f t="shared" si="52"/>
        <v>1.60563583299041</v>
      </c>
      <c r="G63" s="147">
        <f t="shared" si="52"/>
        <v>1.55384112870029</v>
      </c>
      <c r="H63" s="147">
        <f t="shared" si="52"/>
        <v>1.04366329144375</v>
      </c>
      <c r="I63" s="147">
        <f t="shared" si="52"/>
        <v>0.963381499794244</v>
      </c>
      <c r="J63" s="147">
        <f t="shared" si="52"/>
        <v>0.97115070543774</v>
      </c>
      <c r="K63" s="147">
        <f t="shared" si="52"/>
        <v>0.963381499794244</v>
      </c>
      <c r="L63" s="147">
        <f t="shared" si="52"/>
        <v>1.16538084652526</v>
      </c>
      <c r="M63" s="147">
        <f t="shared" si="52"/>
        <v>1.04366329144375</v>
      </c>
      <c r="N63" s="147">
        <f t="shared" si="52"/>
        <v>1.04366329144375</v>
      </c>
      <c r="O63" s="147">
        <f t="shared" si="52"/>
        <v>1.23918830013851</v>
      </c>
      <c r="P63" s="147">
        <f t="shared" si="52"/>
        <v>1.40493135386653</v>
      </c>
      <c r="Q63" s="147">
        <f t="shared" si="42"/>
        <v>14.2021079163212</v>
      </c>
    </row>
    <row r="64" spans="3:17">
      <c r="C64" s="55"/>
      <c r="D64" s="55" t="s">
        <v>382</v>
      </c>
      <c r="E64" s="147">
        <f t="shared" ref="E64:P64" si="53">E240+E412</f>
        <v>1.02168059227813</v>
      </c>
      <c r="F64" s="147">
        <f t="shared" si="53"/>
        <v>1.05573661202074</v>
      </c>
      <c r="G64" s="147">
        <f t="shared" si="53"/>
        <v>1.02168059227813</v>
      </c>
      <c r="H64" s="147">
        <f t="shared" si="53"/>
        <v>1.07804090664089</v>
      </c>
      <c r="I64" s="147">
        <f t="shared" si="53"/>
        <v>0.899606549679643</v>
      </c>
      <c r="J64" s="147">
        <f t="shared" si="53"/>
        <v>0.978510989787509</v>
      </c>
      <c r="K64" s="147">
        <f t="shared" si="53"/>
        <v>0.832693665819174</v>
      </c>
      <c r="L64" s="147">
        <f t="shared" si="53"/>
        <v>1.02168059227813</v>
      </c>
      <c r="M64" s="147">
        <f t="shared" si="53"/>
        <v>1.05573661202074</v>
      </c>
      <c r="N64" s="147">
        <f t="shared" si="53"/>
        <v>0.966519433540113</v>
      </c>
      <c r="O64" s="147">
        <f t="shared" si="53"/>
        <v>0.966759264665061</v>
      </c>
      <c r="P64" s="147">
        <f t="shared" si="53"/>
        <v>1.18956237974168</v>
      </c>
      <c r="Q64" s="147">
        <f t="shared" si="42"/>
        <v>12.0882081907499</v>
      </c>
    </row>
    <row r="65" spans="3:17">
      <c r="C65" s="55"/>
      <c r="D65" s="55" t="s">
        <v>383</v>
      </c>
      <c r="E65" s="147">
        <f t="shared" ref="E65:P65" si="54">E241+E413</f>
        <v>0.11964168490153</v>
      </c>
      <c r="F65" s="147">
        <f t="shared" si="54"/>
        <v>0.15952224653538</v>
      </c>
      <c r="G65" s="147">
        <f t="shared" si="54"/>
        <v>0.154376367614873</v>
      </c>
      <c r="H65" s="147">
        <f t="shared" si="54"/>
        <v>0.103689460247995</v>
      </c>
      <c r="I65" s="147">
        <f t="shared" si="54"/>
        <v>0.0957133479212277</v>
      </c>
      <c r="J65" s="147">
        <f t="shared" si="54"/>
        <v>0.0964852297593015</v>
      </c>
      <c r="K65" s="147">
        <f t="shared" si="54"/>
        <v>0.0957133479212277</v>
      </c>
      <c r="L65" s="147">
        <f t="shared" si="54"/>
        <v>0.115782275711159</v>
      </c>
      <c r="M65" s="147">
        <f t="shared" si="54"/>
        <v>0.103689460247995</v>
      </c>
      <c r="N65" s="147">
        <f t="shared" si="54"/>
        <v>0.103689460247995</v>
      </c>
      <c r="O65" s="147">
        <f t="shared" si="54"/>
        <v>0.123115153172864</v>
      </c>
      <c r="P65" s="147">
        <f t="shared" si="54"/>
        <v>0.13958196571845</v>
      </c>
      <c r="Q65" s="147">
        <f t="shared" si="42"/>
        <v>1.411</v>
      </c>
    </row>
    <row r="66" spans="3:17">
      <c r="C66" s="55"/>
      <c r="D66" s="55" t="s">
        <v>384</v>
      </c>
      <c r="E66" s="147">
        <f t="shared" ref="E66:P66" si="55">E242+E414</f>
        <v>7.18393803058944</v>
      </c>
      <c r="F66" s="147">
        <f t="shared" si="55"/>
        <v>7.42340263160909</v>
      </c>
      <c r="G66" s="147">
        <f t="shared" si="55"/>
        <v>7.18393803058944</v>
      </c>
      <c r="H66" s="147">
        <f t="shared" si="55"/>
        <v>7.89389998149981</v>
      </c>
      <c r="I66" s="147">
        <f t="shared" si="55"/>
        <v>6.32557548186409</v>
      </c>
      <c r="J66" s="147">
        <f t="shared" si="55"/>
        <v>7.18393803058944</v>
      </c>
      <c r="K66" s="147">
        <f t="shared" si="55"/>
        <v>6.16874303190052</v>
      </c>
      <c r="L66" s="147">
        <f t="shared" si="55"/>
        <v>7.18393803058944</v>
      </c>
      <c r="M66" s="147">
        <f t="shared" si="55"/>
        <v>7.42340263160909</v>
      </c>
      <c r="N66" s="147">
        <f t="shared" si="55"/>
        <v>7.26657018164552</v>
      </c>
      <c r="O66" s="147">
        <f t="shared" si="55"/>
        <v>6.9444734295698</v>
      </c>
      <c r="P66" s="147">
        <f t="shared" si="55"/>
        <v>8.36439733139053</v>
      </c>
      <c r="Q66" s="147">
        <f t="shared" si="42"/>
        <v>86.5462168234462</v>
      </c>
    </row>
    <row r="67" spans="3:17">
      <c r="C67" s="55"/>
      <c r="D67" s="55" t="s">
        <v>385</v>
      </c>
      <c r="E67" s="147">
        <f t="shared" ref="E67:P67" si="56">E243+E415</f>
        <v>4.56778979365172</v>
      </c>
      <c r="F67" s="147">
        <f t="shared" si="56"/>
        <v>4.72004945344011</v>
      </c>
      <c r="G67" s="147">
        <f t="shared" si="56"/>
        <v>4.56778979365172</v>
      </c>
      <c r="H67" s="147">
        <f t="shared" si="56"/>
        <v>5.01920751739054</v>
      </c>
      <c r="I67" s="147">
        <f t="shared" si="56"/>
        <v>4.02201397088911</v>
      </c>
      <c r="J67" s="147">
        <f t="shared" si="56"/>
        <v>4.56778979365172</v>
      </c>
      <c r="K67" s="147">
        <f t="shared" si="56"/>
        <v>3.92229461623897</v>
      </c>
      <c r="L67" s="147">
        <f t="shared" si="56"/>
        <v>4.56778979365172</v>
      </c>
      <c r="M67" s="147">
        <f t="shared" si="56"/>
        <v>4.72004945344011</v>
      </c>
      <c r="N67" s="147">
        <f t="shared" si="56"/>
        <v>4.62033009878997</v>
      </c>
      <c r="O67" s="147">
        <f t="shared" si="56"/>
        <v>4.41553013386333</v>
      </c>
      <c r="P67" s="147">
        <f t="shared" si="56"/>
        <v>5.31836558134097</v>
      </c>
      <c r="Q67" s="147">
        <f t="shared" si="42"/>
        <v>55.029</v>
      </c>
    </row>
    <row r="68" spans="3:17">
      <c r="C68" s="55"/>
      <c r="D68" s="55" t="s">
        <v>386</v>
      </c>
      <c r="E68" s="147">
        <f t="shared" ref="E68:P68" si="57">E244+E416</f>
        <v>22.3705942250472</v>
      </c>
      <c r="F68" s="147">
        <f t="shared" si="57"/>
        <v>17.5600749392428</v>
      </c>
      <c r="G68" s="147">
        <f t="shared" si="57"/>
        <v>21.9254178499084</v>
      </c>
      <c r="H68" s="147">
        <f t="shared" si="57"/>
        <v>20.491668875314</v>
      </c>
      <c r="I68" s="147">
        <f t="shared" si="57"/>
        <v>17.3559465176921</v>
      </c>
      <c r="J68" s="147">
        <f t="shared" si="57"/>
        <v>18.5734984902528</v>
      </c>
      <c r="K68" s="147">
        <f t="shared" si="57"/>
        <v>17.4671055924912</v>
      </c>
      <c r="L68" s="147">
        <f t="shared" si="57"/>
        <v>24.3778340579014</v>
      </c>
      <c r="M68" s="147">
        <f t="shared" si="57"/>
        <v>20.6964394124426</v>
      </c>
      <c r="N68" s="147">
        <f t="shared" si="57"/>
        <v>20.4716074930751</v>
      </c>
      <c r="O68" s="147">
        <f t="shared" si="57"/>
        <v>22.4462660948112</v>
      </c>
      <c r="P68" s="147">
        <f t="shared" si="57"/>
        <v>25.996447789977</v>
      </c>
      <c r="Q68" s="147">
        <f t="shared" si="42"/>
        <v>249.732901338156</v>
      </c>
    </row>
    <row r="69" spans="3:17">
      <c r="C69" s="55"/>
      <c r="D69" s="55" t="s">
        <v>387</v>
      </c>
      <c r="E69" s="147">
        <f t="shared" ref="E69:P69" si="58">E245+E417</f>
        <v>18.5670652758452</v>
      </c>
      <c r="F69" s="147">
        <f t="shared" si="58"/>
        <v>0</v>
      </c>
      <c r="G69" s="147">
        <f t="shared" si="58"/>
        <v>10.434383791384</v>
      </c>
      <c r="H69" s="147">
        <f t="shared" si="58"/>
        <v>17.7589120214145</v>
      </c>
      <c r="I69" s="147">
        <f t="shared" si="58"/>
        <v>14.4291160173992</v>
      </c>
      <c r="J69" s="147">
        <f t="shared" si="58"/>
        <v>15.926514588139</v>
      </c>
      <c r="K69" s="147">
        <f t="shared" si="58"/>
        <v>14.6642993516349</v>
      </c>
      <c r="L69" s="147">
        <f t="shared" si="58"/>
        <v>21.3291080441527</v>
      </c>
      <c r="M69" s="147">
        <f t="shared" si="58"/>
        <v>18.7102823082759</v>
      </c>
      <c r="N69" s="147">
        <f t="shared" si="58"/>
        <v>18.2345971648452</v>
      </c>
      <c r="O69" s="147">
        <f t="shared" si="58"/>
        <v>17.9481630999836</v>
      </c>
      <c r="P69" s="147">
        <f t="shared" si="58"/>
        <v>21.5643931688604</v>
      </c>
      <c r="Q69" s="147">
        <f t="shared" si="42"/>
        <v>189.566834831935</v>
      </c>
    </row>
    <row r="70" spans="3:17">
      <c r="C70" s="55"/>
      <c r="D70" s="55"/>
      <c r="E70" s="147">
        <f t="shared" ref="E70:P70" si="59">E246+E419</f>
        <v>0</v>
      </c>
      <c r="F70" s="147">
        <f t="shared" si="59"/>
        <v>0</v>
      </c>
      <c r="G70" s="147">
        <f t="shared" si="59"/>
        <v>0</v>
      </c>
      <c r="H70" s="147">
        <f t="shared" si="59"/>
        <v>0</v>
      </c>
      <c r="I70" s="147">
        <f t="shared" si="59"/>
        <v>0</v>
      </c>
      <c r="J70" s="147">
        <f t="shared" si="59"/>
        <v>0</v>
      </c>
      <c r="K70" s="147">
        <f t="shared" si="59"/>
        <v>0</v>
      </c>
      <c r="L70" s="147">
        <f t="shared" si="59"/>
        <v>0</v>
      </c>
      <c r="M70" s="147">
        <f t="shared" si="59"/>
        <v>0</v>
      </c>
      <c r="N70" s="147">
        <f t="shared" si="59"/>
        <v>0</v>
      </c>
      <c r="O70" s="147">
        <f t="shared" si="59"/>
        <v>0</v>
      </c>
      <c r="P70" s="147">
        <f t="shared" si="59"/>
        <v>0</v>
      </c>
      <c r="Q70" s="147">
        <f t="shared" si="42"/>
        <v>0</v>
      </c>
    </row>
    <row r="71" spans="3:17">
      <c r="C71" s="55"/>
      <c r="D71" s="55"/>
      <c r="E71" s="147">
        <f t="shared" ref="E71:P71" si="60">E247+E420</f>
        <v>0</v>
      </c>
      <c r="F71" s="147">
        <f t="shared" si="60"/>
        <v>0</v>
      </c>
      <c r="G71" s="147">
        <f t="shared" si="60"/>
        <v>0</v>
      </c>
      <c r="H71" s="147">
        <f t="shared" si="60"/>
        <v>0</v>
      </c>
      <c r="I71" s="147">
        <f t="shared" si="60"/>
        <v>0</v>
      </c>
      <c r="J71" s="147">
        <f t="shared" si="60"/>
        <v>0</v>
      </c>
      <c r="K71" s="147">
        <f t="shared" si="60"/>
        <v>0</v>
      </c>
      <c r="L71" s="147">
        <f t="shared" si="60"/>
        <v>0</v>
      </c>
      <c r="M71" s="147">
        <f t="shared" si="60"/>
        <v>0</v>
      </c>
      <c r="N71" s="147">
        <f t="shared" si="60"/>
        <v>0</v>
      </c>
      <c r="O71" s="147">
        <f t="shared" si="60"/>
        <v>0</v>
      </c>
      <c r="P71" s="147">
        <f t="shared" si="60"/>
        <v>0</v>
      </c>
      <c r="Q71" s="147">
        <f t="shared" si="42"/>
        <v>0</v>
      </c>
    </row>
    <row r="72" spans="3:17">
      <c r="C72" s="55"/>
      <c r="D72" s="55"/>
      <c r="E72" s="147">
        <f t="shared" ref="E72:P72" si="61">E248+E421</f>
        <v>0</v>
      </c>
      <c r="F72" s="147">
        <f t="shared" si="61"/>
        <v>0</v>
      </c>
      <c r="G72" s="147">
        <f t="shared" si="61"/>
        <v>0</v>
      </c>
      <c r="H72" s="147">
        <f t="shared" si="61"/>
        <v>0</v>
      </c>
      <c r="I72" s="147">
        <f t="shared" si="61"/>
        <v>0</v>
      </c>
      <c r="J72" s="147">
        <f t="shared" si="61"/>
        <v>0</v>
      </c>
      <c r="K72" s="147">
        <f t="shared" si="61"/>
        <v>0</v>
      </c>
      <c r="L72" s="147">
        <f t="shared" si="61"/>
        <v>0</v>
      </c>
      <c r="M72" s="147">
        <f t="shared" si="61"/>
        <v>0</v>
      </c>
      <c r="N72" s="147">
        <f t="shared" si="61"/>
        <v>0</v>
      </c>
      <c r="O72" s="147">
        <f t="shared" si="61"/>
        <v>0</v>
      </c>
      <c r="P72" s="147">
        <f t="shared" si="61"/>
        <v>0</v>
      </c>
      <c r="Q72" s="147">
        <f t="shared" si="42"/>
        <v>0</v>
      </c>
    </row>
    <row r="73" spans="3:17">
      <c r="C73" s="55"/>
      <c r="D73" s="55"/>
      <c r="E73" s="147">
        <f t="shared" ref="E73:P73" si="62">E249+E422</f>
        <v>0</v>
      </c>
      <c r="F73" s="147">
        <f t="shared" si="62"/>
        <v>0</v>
      </c>
      <c r="G73" s="147">
        <f t="shared" si="62"/>
        <v>0</v>
      </c>
      <c r="H73" s="147">
        <f t="shared" si="62"/>
        <v>0</v>
      </c>
      <c r="I73" s="147">
        <f t="shared" si="62"/>
        <v>0</v>
      </c>
      <c r="J73" s="147">
        <f t="shared" si="62"/>
        <v>0</v>
      </c>
      <c r="K73" s="147">
        <f t="shared" si="62"/>
        <v>0</v>
      </c>
      <c r="L73" s="147">
        <f t="shared" si="62"/>
        <v>0</v>
      </c>
      <c r="M73" s="147">
        <f t="shared" si="62"/>
        <v>0</v>
      </c>
      <c r="N73" s="147">
        <f t="shared" si="62"/>
        <v>0</v>
      </c>
      <c r="O73" s="147">
        <f t="shared" si="62"/>
        <v>0</v>
      </c>
      <c r="P73" s="147">
        <f t="shared" si="62"/>
        <v>0</v>
      </c>
      <c r="Q73" s="147">
        <f t="shared" si="42"/>
        <v>0</v>
      </c>
    </row>
    <row r="74" spans="3:17">
      <c r="C74" s="55"/>
      <c r="D74" s="55"/>
      <c r="E74" s="147">
        <f t="shared" ref="E74:P74" si="63">E250+E423</f>
        <v>0</v>
      </c>
      <c r="F74" s="147">
        <f t="shared" si="63"/>
        <v>0</v>
      </c>
      <c r="G74" s="147">
        <f t="shared" si="63"/>
        <v>0</v>
      </c>
      <c r="H74" s="147">
        <f t="shared" si="63"/>
        <v>0</v>
      </c>
      <c r="I74" s="147">
        <f t="shared" si="63"/>
        <v>0</v>
      </c>
      <c r="J74" s="147">
        <f t="shared" si="63"/>
        <v>0</v>
      </c>
      <c r="K74" s="147">
        <f t="shared" si="63"/>
        <v>0</v>
      </c>
      <c r="L74" s="147">
        <f t="shared" si="63"/>
        <v>0</v>
      </c>
      <c r="M74" s="147">
        <f t="shared" si="63"/>
        <v>0</v>
      </c>
      <c r="N74" s="147">
        <f t="shared" si="63"/>
        <v>0</v>
      </c>
      <c r="O74" s="147">
        <f t="shared" si="63"/>
        <v>0</v>
      </c>
      <c r="P74" s="147">
        <f t="shared" si="63"/>
        <v>0</v>
      </c>
      <c r="Q74" s="147">
        <f t="shared" si="42"/>
        <v>0</v>
      </c>
    </row>
    <row r="75" spans="3:17">
      <c r="C75" s="55"/>
      <c r="D75" s="55"/>
      <c r="E75" s="147">
        <f t="shared" ref="E75:P75" si="64">E251+E424</f>
        <v>0</v>
      </c>
      <c r="F75" s="147">
        <f t="shared" si="64"/>
        <v>0</v>
      </c>
      <c r="G75" s="147">
        <f t="shared" si="64"/>
        <v>0</v>
      </c>
      <c r="H75" s="147">
        <f t="shared" si="64"/>
        <v>0</v>
      </c>
      <c r="I75" s="147">
        <f t="shared" si="64"/>
        <v>0</v>
      </c>
      <c r="J75" s="147">
        <f t="shared" si="64"/>
        <v>0</v>
      </c>
      <c r="K75" s="147">
        <f t="shared" si="64"/>
        <v>0</v>
      </c>
      <c r="L75" s="147">
        <f t="shared" si="64"/>
        <v>0</v>
      </c>
      <c r="M75" s="147">
        <f t="shared" si="64"/>
        <v>0</v>
      </c>
      <c r="N75" s="147">
        <f t="shared" si="64"/>
        <v>0</v>
      </c>
      <c r="O75" s="147">
        <f t="shared" si="64"/>
        <v>0</v>
      </c>
      <c r="P75" s="147">
        <f t="shared" si="64"/>
        <v>0</v>
      </c>
      <c r="Q75" s="147">
        <f t="shared" si="42"/>
        <v>0</v>
      </c>
    </row>
    <row r="76" spans="3:17">
      <c r="C76" s="55"/>
      <c r="D76" s="55"/>
      <c r="E76" s="147">
        <f t="shared" ref="E76:P76" si="65">E252+E425</f>
        <v>0</v>
      </c>
      <c r="F76" s="147">
        <f t="shared" si="65"/>
        <v>0</v>
      </c>
      <c r="G76" s="147">
        <f t="shared" si="65"/>
        <v>0</v>
      </c>
      <c r="H76" s="147">
        <f t="shared" si="65"/>
        <v>0</v>
      </c>
      <c r="I76" s="147">
        <f t="shared" si="65"/>
        <v>0</v>
      </c>
      <c r="J76" s="147">
        <f t="shared" si="65"/>
        <v>0</v>
      </c>
      <c r="K76" s="147">
        <f t="shared" si="65"/>
        <v>0</v>
      </c>
      <c r="L76" s="147">
        <f t="shared" si="65"/>
        <v>0</v>
      </c>
      <c r="M76" s="147">
        <f t="shared" si="65"/>
        <v>0</v>
      </c>
      <c r="N76" s="147">
        <f t="shared" si="65"/>
        <v>0</v>
      </c>
      <c r="O76" s="147">
        <f t="shared" si="65"/>
        <v>0</v>
      </c>
      <c r="P76" s="147">
        <f t="shared" si="65"/>
        <v>0</v>
      </c>
      <c r="Q76" s="147">
        <f t="shared" si="42"/>
        <v>0</v>
      </c>
    </row>
    <row r="77" spans="3:17">
      <c r="C77" s="55"/>
      <c r="D77" s="55"/>
      <c r="E77" s="147">
        <f t="shared" ref="E77:P77" si="66">E253+E426</f>
        <v>0</v>
      </c>
      <c r="F77" s="147">
        <f t="shared" si="66"/>
        <v>0</v>
      </c>
      <c r="G77" s="147">
        <f t="shared" si="66"/>
        <v>0</v>
      </c>
      <c r="H77" s="147">
        <f t="shared" si="66"/>
        <v>0</v>
      </c>
      <c r="I77" s="147">
        <f t="shared" si="66"/>
        <v>0</v>
      </c>
      <c r="J77" s="147">
        <f t="shared" si="66"/>
        <v>0</v>
      </c>
      <c r="K77" s="147">
        <f t="shared" si="66"/>
        <v>0</v>
      </c>
      <c r="L77" s="147">
        <f t="shared" si="66"/>
        <v>0</v>
      </c>
      <c r="M77" s="147">
        <f t="shared" si="66"/>
        <v>0</v>
      </c>
      <c r="N77" s="147">
        <f t="shared" si="66"/>
        <v>0</v>
      </c>
      <c r="O77" s="147">
        <f t="shared" si="66"/>
        <v>0</v>
      </c>
      <c r="P77" s="147">
        <f t="shared" si="66"/>
        <v>0</v>
      </c>
      <c r="Q77" s="147">
        <f t="shared" si="42"/>
        <v>0</v>
      </c>
    </row>
    <row r="78" spans="3:17">
      <c r="C78" s="55"/>
      <c r="D78" s="55"/>
      <c r="E78" s="147">
        <f t="shared" ref="E78:P78" si="67">E254+E427</f>
        <v>0</v>
      </c>
      <c r="F78" s="147">
        <f t="shared" si="67"/>
        <v>0</v>
      </c>
      <c r="G78" s="147">
        <f t="shared" si="67"/>
        <v>0</v>
      </c>
      <c r="H78" s="147">
        <f t="shared" si="67"/>
        <v>0</v>
      </c>
      <c r="I78" s="147">
        <f t="shared" si="67"/>
        <v>0</v>
      </c>
      <c r="J78" s="147">
        <f t="shared" si="67"/>
        <v>0</v>
      </c>
      <c r="K78" s="147">
        <f t="shared" si="67"/>
        <v>0</v>
      </c>
      <c r="L78" s="147">
        <f t="shared" si="67"/>
        <v>0</v>
      </c>
      <c r="M78" s="147">
        <f t="shared" si="67"/>
        <v>0</v>
      </c>
      <c r="N78" s="147">
        <f t="shared" si="67"/>
        <v>0</v>
      </c>
      <c r="O78" s="147">
        <f t="shared" si="67"/>
        <v>0</v>
      </c>
      <c r="P78" s="147">
        <f t="shared" si="67"/>
        <v>0</v>
      </c>
      <c r="Q78" s="147">
        <f t="shared" si="42"/>
        <v>0</v>
      </c>
    </row>
    <row r="79" ht="15" spans="3:17">
      <c r="C79" s="537" t="s">
        <v>211</v>
      </c>
      <c r="D79" s="540"/>
      <c r="E79" s="681">
        <f t="shared" ref="E79:P79" si="68">SUM(E53:E78)</f>
        <v>753.883630874513</v>
      </c>
      <c r="F79" s="681">
        <f t="shared" si="68"/>
        <v>836.073995581408</v>
      </c>
      <c r="G79" s="681">
        <f t="shared" si="68"/>
        <v>729.863910977629</v>
      </c>
      <c r="H79" s="681">
        <f t="shared" si="68"/>
        <v>667.253921524895</v>
      </c>
      <c r="I79" s="681">
        <f t="shared" si="68"/>
        <v>610.859843175206</v>
      </c>
      <c r="J79" s="681">
        <f t="shared" si="68"/>
        <v>651.758567505897</v>
      </c>
      <c r="K79" s="681">
        <f t="shared" si="68"/>
        <v>602.075307382656</v>
      </c>
      <c r="L79" s="681">
        <f t="shared" si="68"/>
        <v>652.050174279234</v>
      </c>
      <c r="M79" s="681">
        <f t="shared" si="68"/>
        <v>636.96553282026</v>
      </c>
      <c r="N79" s="681">
        <f t="shared" si="68"/>
        <v>667.53642029291</v>
      </c>
      <c r="O79" s="681">
        <f t="shared" si="68"/>
        <v>724.700082070392</v>
      </c>
      <c r="P79" s="681">
        <f t="shared" si="68"/>
        <v>853.319499112487</v>
      </c>
      <c r="Q79" s="681">
        <f t="shared" si="42"/>
        <v>8386.34088559749</v>
      </c>
    </row>
    <row r="80" ht="15" spans="3:17">
      <c r="C80" s="44" t="s">
        <v>388</v>
      </c>
      <c r="D80" s="4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</row>
    <row r="81" spans="3:17">
      <c r="C81" s="682" t="s">
        <v>389</v>
      </c>
      <c r="D81" s="55" t="s">
        <v>390</v>
      </c>
      <c r="E81" s="55">
        <f t="shared" ref="E81:P81" si="69">E257+E430</f>
        <v>2.82541496483981</v>
      </c>
      <c r="F81" s="55">
        <f t="shared" si="69"/>
        <v>2.9195954636678</v>
      </c>
      <c r="G81" s="55">
        <f t="shared" si="69"/>
        <v>2.82541496483981</v>
      </c>
      <c r="H81" s="55">
        <f t="shared" si="69"/>
        <v>2.9195954636678</v>
      </c>
      <c r="I81" s="55">
        <f t="shared" si="69"/>
        <v>2.9195954636678</v>
      </c>
      <c r="J81" s="55">
        <f t="shared" si="69"/>
        <v>2.82541496483981</v>
      </c>
      <c r="K81" s="55">
        <f t="shared" si="69"/>
        <v>2.9195954636678</v>
      </c>
      <c r="L81" s="55">
        <f t="shared" si="69"/>
        <v>2.82541496483981</v>
      </c>
      <c r="M81" s="55">
        <f t="shared" si="69"/>
        <v>2.9195954636678</v>
      </c>
      <c r="N81" s="55">
        <f t="shared" si="69"/>
        <v>2.9195954636678</v>
      </c>
      <c r="O81" s="55">
        <f t="shared" si="69"/>
        <v>2.73123446601182</v>
      </c>
      <c r="P81" s="55">
        <f t="shared" si="69"/>
        <v>2.9195954636678</v>
      </c>
      <c r="Q81" s="55">
        <f t="shared" ref="Q81:Q96" si="70">SUM(E81:P81)</f>
        <v>34.4700625710457</v>
      </c>
    </row>
    <row r="82" spans="3:17">
      <c r="C82" s="683"/>
      <c r="D82" s="55" t="s">
        <v>391</v>
      </c>
      <c r="E82" s="55">
        <f t="shared" ref="E82:P82" si="71">E258+E431</f>
        <v>12.107257600678</v>
      </c>
      <c r="F82" s="55">
        <f t="shared" si="71"/>
        <v>12.5108328540339</v>
      </c>
      <c r="G82" s="55">
        <f t="shared" si="71"/>
        <v>12.107257600678</v>
      </c>
      <c r="H82" s="55">
        <f t="shared" si="71"/>
        <v>12.5108328540339</v>
      </c>
      <c r="I82" s="55">
        <f t="shared" si="71"/>
        <v>12.5108328540339</v>
      </c>
      <c r="J82" s="55">
        <f t="shared" si="71"/>
        <v>12.107257600678</v>
      </c>
      <c r="K82" s="55">
        <f t="shared" si="71"/>
        <v>12.5108328540339</v>
      </c>
      <c r="L82" s="55">
        <f t="shared" si="71"/>
        <v>12.107257600678</v>
      </c>
      <c r="M82" s="55">
        <f t="shared" si="71"/>
        <v>12.5108328540339</v>
      </c>
      <c r="N82" s="55">
        <f t="shared" si="71"/>
        <v>12.5108328540339</v>
      </c>
      <c r="O82" s="55">
        <f t="shared" si="71"/>
        <v>11.7036823473221</v>
      </c>
      <c r="P82" s="55">
        <f t="shared" si="71"/>
        <v>12.5108328540339</v>
      </c>
      <c r="Q82" s="55">
        <f t="shared" si="70"/>
        <v>147.708542728272</v>
      </c>
    </row>
    <row r="83" spans="3:17">
      <c r="C83" s="683"/>
      <c r="D83" s="55" t="s">
        <v>392</v>
      </c>
      <c r="E83" s="55">
        <f t="shared" ref="E83:P83" si="72">E259+E432</f>
        <v>12.107257600678</v>
      </c>
      <c r="F83" s="55">
        <f t="shared" si="72"/>
        <v>12.5108328540339</v>
      </c>
      <c r="G83" s="55">
        <f t="shared" si="72"/>
        <v>12.107257600678</v>
      </c>
      <c r="H83" s="55">
        <f t="shared" si="72"/>
        <v>12.5108328540339</v>
      </c>
      <c r="I83" s="55">
        <f t="shared" si="72"/>
        <v>12.5108328540339</v>
      </c>
      <c r="J83" s="55">
        <f t="shared" si="72"/>
        <v>12.107257600678</v>
      </c>
      <c r="K83" s="55">
        <f t="shared" si="72"/>
        <v>12.5108328540339</v>
      </c>
      <c r="L83" s="55">
        <f t="shared" si="72"/>
        <v>12.107257600678</v>
      </c>
      <c r="M83" s="55">
        <f t="shared" si="72"/>
        <v>12.5108328540339</v>
      </c>
      <c r="N83" s="55">
        <f t="shared" si="72"/>
        <v>12.5108328540339</v>
      </c>
      <c r="O83" s="55">
        <f t="shared" si="72"/>
        <v>11.7036823473221</v>
      </c>
      <c r="P83" s="55">
        <f t="shared" si="72"/>
        <v>12.5108328540339</v>
      </c>
      <c r="Q83" s="55">
        <f t="shared" si="70"/>
        <v>147.708542728272</v>
      </c>
    </row>
    <row r="84" spans="3:17">
      <c r="C84" s="684"/>
      <c r="D84" s="55" t="s">
        <v>393</v>
      </c>
      <c r="E84" s="55">
        <f t="shared" ref="E84:P84" si="73">E260+E433</f>
        <v>11.3519927912433</v>
      </c>
      <c r="F84" s="55">
        <f t="shared" si="73"/>
        <v>11.7303925509514</v>
      </c>
      <c r="G84" s="55">
        <f t="shared" si="73"/>
        <v>11.3519927912433</v>
      </c>
      <c r="H84" s="55">
        <f t="shared" si="73"/>
        <v>11.7303925509514</v>
      </c>
      <c r="I84" s="55">
        <f t="shared" si="73"/>
        <v>11.7303925509514</v>
      </c>
      <c r="J84" s="55">
        <f t="shared" si="73"/>
        <v>11.3519927912433</v>
      </c>
      <c r="K84" s="55">
        <f t="shared" si="73"/>
        <v>11.7303925509514</v>
      </c>
      <c r="L84" s="55">
        <f t="shared" si="73"/>
        <v>11.3519927912433</v>
      </c>
      <c r="M84" s="55">
        <f t="shared" si="73"/>
        <v>11.7303925509514</v>
      </c>
      <c r="N84" s="55">
        <f t="shared" si="73"/>
        <v>11.7303925509514</v>
      </c>
      <c r="O84" s="55">
        <f t="shared" si="73"/>
        <v>10.9735930315352</v>
      </c>
      <c r="P84" s="55">
        <f t="shared" si="73"/>
        <v>11.7303925509514</v>
      </c>
      <c r="Q84" s="55">
        <f t="shared" si="70"/>
        <v>138.494312053168</v>
      </c>
    </row>
    <row r="85" spans="3:17">
      <c r="C85" s="55"/>
      <c r="D85" s="55"/>
      <c r="E85" s="55">
        <f t="shared" ref="E85:P85" si="74">E261+E434</f>
        <v>0</v>
      </c>
      <c r="F85" s="55">
        <f t="shared" si="74"/>
        <v>0</v>
      </c>
      <c r="G85" s="55">
        <f t="shared" si="74"/>
        <v>0</v>
      </c>
      <c r="H85" s="55">
        <f t="shared" si="74"/>
        <v>0</v>
      </c>
      <c r="I85" s="55">
        <f t="shared" si="74"/>
        <v>0</v>
      </c>
      <c r="J85" s="55">
        <f t="shared" si="74"/>
        <v>0</v>
      </c>
      <c r="K85" s="55">
        <f t="shared" si="74"/>
        <v>0</v>
      </c>
      <c r="L85" s="55">
        <f t="shared" si="74"/>
        <v>0</v>
      </c>
      <c r="M85" s="55">
        <f t="shared" si="74"/>
        <v>0</v>
      </c>
      <c r="N85" s="55">
        <f t="shared" si="74"/>
        <v>0</v>
      </c>
      <c r="O85" s="55">
        <f t="shared" si="74"/>
        <v>0</v>
      </c>
      <c r="P85" s="55">
        <f t="shared" si="74"/>
        <v>0</v>
      </c>
      <c r="Q85" s="55">
        <f t="shared" si="70"/>
        <v>0</v>
      </c>
    </row>
    <row r="86" spans="3:17">
      <c r="C86" s="55"/>
      <c r="D86" s="55"/>
      <c r="E86" s="55">
        <f t="shared" ref="E86:P86" si="75">E262+E435</f>
        <v>0</v>
      </c>
      <c r="F86" s="55">
        <f t="shared" si="75"/>
        <v>0</v>
      </c>
      <c r="G86" s="55">
        <f t="shared" si="75"/>
        <v>0</v>
      </c>
      <c r="H86" s="55">
        <f t="shared" si="75"/>
        <v>0</v>
      </c>
      <c r="I86" s="55">
        <f t="shared" si="75"/>
        <v>0</v>
      </c>
      <c r="J86" s="55">
        <f t="shared" si="75"/>
        <v>0</v>
      </c>
      <c r="K86" s="55">
        <f t="shared" si="75"/>
        <v>0</v>
      </c>
      <c r="L86" s="55">
        <f t="shared" si="75"/>
        <v>0</v>
      </c>
      <c r="M86" s="55">
        <f t="shared" si="75"/>
        <v>0</v>
      </c>
      <c r="N86" s="55">
        <f t="shared" si="75"/>
        <v>0</v>
      </c>
      <c r="O86" s="55">
        <f t="shared" si="75"/>
        <v>0</v>
      </c>
      <c r="P86" s="55">
        <f t="shared" si="75"/>
        <v>0</v>
      </c>
      <c r="Q86" s="55">
        <f t="shared" si="70"/>
        <v>0</v>
      </c>
    </row>
    <row r="87" spans="3:17">
      <c r="C87" s="55"/>
      <c r="D87" s="55"/>
      <c r="E87" s="55">
        <f t="shared" ref="E87:P87" si="76">E263+E436</f>
        <v>0</v>
      </c>
      <c r="F87" s="55">
        <f t="shared" si="76"/>
        <v>0</v>
      </c>
      <c r="G87" s="55">
        <f t="shared" si="76"/>
        <v>0</v>
      </c>
      <c r="H87" s="55">
        <f t="shared" si="76"/>
        <v>0</v>
      </c>
      <c r="I87" s="55">
        <f t="shared" si="76"/>
        <v>0</v>
      </c>
      <c r="J87" s="55">
        <f t="shared" si="76"/>
        <v>0</v>
      </c>
      <c r="K87" s="55">
        <f t="shared" si="76"/>
        <v>0</v>
      </c>
      <c r="L87" s="55">
        <f t="shared" si="76"/>
        <v>0</v>
      </c>
      <c r="M87" s="55">
        <f t="shared" si="76"/>
        <v>0</v>
      </c>
      <c r="N87" s="55">
        <f t="shared" si="76"/>
        <v>0</v>
      </c>
      <c r="O87" s="55">
        <f t="shared" si="76"/>
        <v>0</v>
      </c>
      <c r="P87" s="55">
        <f t="shared" si="76"/>
        <v>0</v>
      </c>
      <c r="Q87" s="55">
        <f t="shared" si="70"/>
        <v>0</v>
      </c>
    </row>
    <row r="88" spans="3:17">
      <c r="C88" s="55"/>
      <c r="D88" s="55"/>
      <c r="E88" s="55">
        <f t="shared" ref="E88:P88" si="77">E264+E437</f>
        <v>0</v>
      </c>
      <c r="F88" s="55">
        <f t="shared" si="77"/>
        <v>0</v>
      </c>
      <c r="G88" s="55">
        <f t="shared" si="77"/>
        <v>0</v>
      </c>
      <c r="H88" s="55">
        <f t="shared" si="77"/>
        <v>0</v>
      </c>
      <c r="I88" s="55">
        <f t="shared" si="77"/>
        <v>0</v>
      </c>
      <c r="J88" s="55">
        <f t="shared" si="77"/>
        <v>0</v>
      </c>
      <c r="K88" s="55">
        <f t="shared" si="77"/>
        <v>0</v>
      </c>
      <c r="L88" s="55">
        <f t="shared" si="77"/>
        <v>0</v>
      </c>
      <c r="M88" s="55">
        <f t="shared" si="77"/>
        <v>0</v>
      </c>
      <c r="N88" s="55">
        <f t="shared" si="77"/>
        <v>0</v>
      </c>
      <c r="O88" s="55">
        <f t="shared" si="77"/>
        <v>0</v>
      </c>
      <c r="P88" s="55">
        <f t="shared" si="77"/>
        <v>0</v>
      </c>
      <c r="Q88" s="55">
        <f t="shared" si="70"/>
        <v>0</v>
      </c>
    </row>
    <row r="89" spans="3:17">
      <c r="C89" s="55"/>
      <c r="D89" s="55"/>
      <c r="E89" s="55">
        <f t="shared" ref="E89:P89" si="78">E265+E438</f>
        <v>0</v>
      </c>
      <c r="F89" s="55">
        <f t="shared" si="78"/>
        <v>0</v>
      </c>
      <c r="G89" s="55">
        <f t="shared" si="78"/>
        <v>0</v>
      </c>
      <c r="H89" s="55">
        <f t="shared" si="78"/>
        <v>0</v>
      </c>
      <c r="I89" s="55">
        <f t="shared" si="78"/>
        <v>0</v>
      </c>
      <c r="J89" s="55">
        <f t="shared" si="78"/>
        <v>0</v>
      </c>
      <c r="K89" s="55">
        <f t="shared" si="78"/>
        <v>0</v>
      </c>
      <c r="L89" s="55">
        <f t="shared" si="78"/>
        <v>0</v>
      </c>
      <c r="M89" s="55">
        <f t="shared" si="78"/>
        <v>0</v>
      </c>
      <c r="N89" s="55">
        <f t="shared" si="78"/>
        <v>0</v>
      </c>
      <c r="O89" s="55">
        <f t="shared" si="78"/>
        <v>0</v>
      </c>
      <c r="P89" s="55">
        <f t="shared" si="78"/>
        <v>0</v>
      </c>
      <c r="Q89" s="55">
        <f t="shared" si="70"/>
        <v>0</v>
      </c>
    </row>
    <row r="90" spans="3:17">
      <c r="C90" s="55"/>
      <c r="D90" s="55"/>
      <c r="E90" s="55">
        <f t="shared" ref="E90:P90" si="79">E266+E439</f>
        <v>0</v>
      </c>
      <c r="F90" s="55">
        <f t="shared" si="79"/>
        <v>0</v>
      </c>
      <c r="G90" s="55">
        <f t="shared" si="79"/>
        <v>0</v>
      </c>
      <c r="H90" s="55">
        <f t="shared" si="79"/>
        <v>0</v>
      </c>
      <c r="I90" s="55">
        <f t="shared" si="79"/>
        <v>0</v>
      </c>
      <c r="J90" s="55">
        <f t="shared" si="79"/>
        <v>0</v>
      </c>
      <c r="K90" s="55">
        <f t="shared" si="79"/>
        <v>0</v>
      </c>
      <c r="L90" s="55">
        <f t="shared" si="79"/>
        <v>0</v>
      </c>
      <c r="M90" s="55">
        <f t="shared" si="79"/>
        <v>0</v>
      </c>
      <c r="N90" s="55">
        <f t="shared" si="79"/>
        <v>0</v>
      </c>
      <c r="O90" s="55">
        <f t="shared" si="79"/>
        <v>0</v>
      </c>
      <c r="P90" s="55">
        <f t="shared" si="79"/>
        <v>0</v>
      </c>
      <c r="Q90" s="55">
        <f t="shared" si="70"/>
        <v>0</v>
      </c>
    </row>
    <row r="91" spans="3:17">
      <c r="C91" s="55"/>
      <c r="D91" s="55"/>
      <c r="E91" s="55">
        <f t="shared" ref="E91:P91" si="80">E267+E440</f>
        <v>0</v>
      </c>
      <c r="F91" s="55">
        <f t="shared" si="80"/>
        <v>0</v>
      </c>
      <c r="G91" s="55">
        <f t="shared" si="80"/>
        <v>0</v>
      </c>
      <c r="H91" s="55">
        <f t="shared" si="80"/>
        <v>0</v>
      </c>
      <c r="I91" s="55">
        <f t="shared" si="80"/>
        <v>0</v>
      </c>
      <c r="J91" s="55">
        <f t="shared" si="80"/>
        <v>0</v>
      </c>
      <c r="K91" s="55">
        <f t="shared" si="80"/>
        <v>0</v>
      </c>
      <c r="L91" s="55">
        <f t="shared" si="80"/>
        <v>0</v>
      </c>
      <c r="M91" s="55">
        <f t="shared" si="80"/>
        <v>0</v>
      </c>
      <c r="N91" s="55">
        <f t="shared" si="80"/>
        <v>0</v>
      </c>
      <c r="O91" s="55">
        <f t="shared" si="80"/>
        <v>0</v>
      </c>
      <c r="P91" s="55">
        <f t="shared" si="80"/>
        <v>0</v>
      </c>
      <c r="Q91" s="55">
        <f t="shared" si="70"/>
        <v>0</v>
      </c>
    </row>
    <row r="92" spans="3:17">
      <c r="C92" s="55"/>
      <c r="D92" s="55"/>
      <c r="E92" s="55">
        <f t="shared" ref="E92:P92" si="81">E268+E441</f>
        <v>0</v>
      </c>
      <c r="F92" s="55">
        <f t="shared" si="81"/>
        <v>0</v>
      </c>
      <c r="G92" s="55">
        <f t="shared" si="81"/>
        <v>0</v>
      </c>
      <c r="H92" s="55">
        <f t="shared" si="81"/>
        <v>0</v>
      </c>
      <c r="I92" s="55">
        <f t="shared" si="81"/>
        <v>0</v>
      </c>
      <c r="J92" s="55">
        <f t="shared" si="81"/>
        <v>0</v>
      </c>
      <c r="K92" s="55">
        <f t="shared" si="81"/>
        <v>0</v>
      </c>
      <c r="L92" s="55">
        <f t="shared" si="81"/>
        <v>0</v>
      </c>
      <c r="M92" s="55">
        <f t="shared" si="81"/>
        <v>0</v>
      </c>
      <c r="N92" s="55">
        <f t="shared" si="81"/>
        <v>0</v>
      </c>
      <c r="O92" s="55">
        <f t="shared" si="81"/>
        <v>0</v>
      </c>
      <c r="P92" s="55">
        <f t="shared" si="81"/>
        <v>0</v>
      </c>
      <c r="Q92" s="55">
        <f t="shared" si="70"/>
        <v>0</v>
      </c>
    </row>
    <row r="93" spans="3:17">
      <c r="C93" s="55"/>
      <c r="D93" s="55"/>
      <c r="E93" s="55">
        <f t="shared" ref="E93:P93" si="82">E269+E442</f>
        <v>0</v>
      </c>
      <c r="F93" s="55">
        <f t="shared" si="82"/>
        <v>0</v>
      </c>
      <c r="G93" s="55">
        <f t="shared" si="82"/>
        <v>0</v>
      </c>
      <c r="H93" s="55">
        <f t="shared" si="82"/>
        <v>0</v>
      </c>
      <c r="I93" s="55">
        <f t="shared" si="82"/>
        <v>0</v>
      </c>
      <c r="J93" s="55">
        <f t="shared" si="82"/>
        <v>0</v>
      </c>
      <c r="K93" s="55">
        <f t="shared" si="82"/>
        <v>0</v>
      </c>
      <c r="L93" s="55">
        <f t="shared" si="82"/>
        <v>0</v>
      </c>
      <c r="M93" s="55">
        <f t="shared" si="82"/>
        <v>0</v>
      </c>
      <c r="N93" s="55">
        <f t="shared" si="82"/>
        <v>0</v>
      </c>
      <c r="O93" s="55">
        <f t="shared" si="82"/>
        <v>0</v>
      </c>
      <c r="P93" s="55">
        <f t="shared" si="82"/>
        <v>0</v>
      </c>
      <c r="Q93" s="55">
        <f t="shared" si="70"/>
        <v>0</v>
      </c>
    </row>
    <row r="94" spans="3:17">
      <c r="C94" s="55"/>
      <c r="D94" s="55"/>
      <c r="E94" s="55">
        <f t="shared" ref="E94:P94" si="83">E270+E443</f>
        <v>0</v>
      </c>
      <c r="F94" s="55">
        <f t="shared" si="83"/>
        <v>0</v>
      </c>
      <c r="G94" s="55">
        <f t="shared" si="83"/>
        <v>0</v>
      </c>
      <c r="H94" s="55">
        <f t="shared" si="83"/>
        <v>0</v>
      </c>
      <c r="I94" s="55">
        <f t="shared" si="83"/>
        <v>0</v>
      </c>
      <c r="J94" s="55">
        <f t="shared" si="83"/>
        <v>0</v>
      </c>
      <c r="K94" s="55">
        <f t="shared" si="83"/>
        <v>0</v>
      </c>
      <c r="L94" s="55">
        <f t="shared" si="83"/>
        <v>0</v>
      </c>
      <c r="M94" s="55">
        <f t="shared" si="83"/>
        <v>0</v>
      </c>
      <c r="N94" s="55">
        <f t="shared" si="83"/>
        <v>0</v>
      </c>
      <c r="O94" s="55">
        <f t="shared" si="83"/>
        <v>0</v>
      </c>
      <c r="P94" s="55">
        <f t="shared" si="83"/>
        <v>0</v>
      </c>
      <c r="Q94" s="55">
        <f t="shared" si="70"/>
        <v>0</v>
      </c>
    </row>
    <row r="95" ht="15" spans="3:18">
      <c r="C95" s="537" t="s">
        <v>211</v>
      </c>
      <c r="D95" s="540"/>
      <c r="E95" s="54">
        <f t="shared" ref="E95:P95" si="84">SUM(E81:E94)</f>
        <v>38.3919229574391</v>
      </c>
      <c r="F95" s="54">
        <f t="shared" si="84"/>
        <v>39.6716537226871</v>
      </c>
      <c r="G95" s="54">
        <f t="shared" si="84"/>
        <v>38.3919229574391</v>
      </c>
      <c r="H95" s="54">
        <f t="shared" si="84"/>
        <v>39.6716537226871</v>
      </c>
      <c r="I95" s="54">
        <f t="shared" si="84"/>
        <v>39.6716537226871</v>
      </c>
      <c r="J95" s="54">
        <f t="shared" si="84"/>
        <v>38.3919229574391</v>
      </c>
      <c r="K95" s="54">
        <f t="shared" si="84"/>
        <v>39.6716537226871</v>
      </c>
      <c r="L95" s="54">
        <f t="shared" si="84"/>
        <v>38.3919229574391</v>
      </c>
      <c r="M95" s="54">
        <f t="shared" si="84"/>
        <v>39.6716537226871</v>
      </c>
      <c r="N95" s="54">
        <f t="shared" si="84"/>
        <v>39.6716537226871</v>
      </c>
      <c r="O95" s="54">
        <f t="shared" si="84"/>
        <v>37.1121921921911</v>
      </c>
      <c r="P95" s="54">
        <f t="shared" si="84"/>
        <v>39.6716537226871</v>
      </c>
      <c r="Q95" s="54">
        <f t="shared" si="70"/>
        <v>468.381460080757</v>
      </c>
      <c r="R95" s="686"/>
    </row>
    <row r="96" ht="15" spans="3:18">
      <c r="C96" s="44" t="s">
        <v>395</v>
      </c>
      <c r="D96" s="45"/>
      <c r="E96" s="54">
        <f t="shared" ref="E96:P96" si="85">E79+E95</f>
        <v>792.275553831952</v>
      </c>
      <c r="F96" s="54">
        <f t="shared" si="85"/>
        <v>875.745649304095</v>
      </c>
      <c r="G96" s="54">
        <f t="shared" si="85"/>
        <v>768.255833935068</v>
      </c>
      <c r="H96" s="54">
        <f t="shared" si="85"/>
        <v>706.925575247582</v>
      </c>
      <c r="I96" s="54">
        <f t="shared" si="85"/>
        <v>650.531496897893</v>
      </c>
      <c r="J96" s="54">
        <f t="shared" si="85"/>
        <v>690.150490463336</v>
      </c>
      <c r="K96" s="54">
        <f t="shared" si="85"/>
        <v>641.746961105344</v>
      </c>
      <c r="L96" s="54">
        <f t="shared" si="85"/>
        <v>690.442097236673</v>
      </c>
      <c r="M96" s="54">
        <f t="shared" si="85"/>
        <v>676.637186542947</v>
      </c>
      <c r="N96" s="54">
        <f t="shared" si="85"/>
        <v>707.208074015597</v>
      </c>
      <c r="O96" s="54">
        <f t="shared" si="85"/>
        <v>761.812274262584</v>
      </c>
      <c r="P96" s="54">
        <f t="shared" si="85"/>
        <v>892.991152835174</v>
      </c>
      <c r="Q96" s="54">
        <f t="shared" si="70"/>
        <v>8854.72234567825</v>
      </c>
      <c r="R96" s="686"/>
    </row>
    <row r="97" ht="15" spans="3:17">
      <c r="C97" s="663" t="s">
        <v>396</v>
      </c>
      <c r="D97" s="676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</row>
    <row r="98" spans="3:17">
      <c r="C98" s="55" t="s">
        <v>397</v>
      </c>
      <c r="D98" s="55" t="s">
        <v>397</v>
      </c>
      <c r="E98" s="55">
        <f t="shared" ref="E98:P98" si="86">E274+E447</f>
        <v>49.2003860214538</v>
      </c>
      <c r="F98" s="55">
        <f t="shared" si="86"/>
        <v>50.8403988888356</v>
      </c>
      <c r="G98" s="55">
        <f t="shared" si="86"/>
        <v>49.2003860214538</v>
      </c>
      <c r="H98" s="55">
        <f t="shared" si="86"/>
        <v>52.4349593693215</v>
      </c>
      <c r="I98" s="55">
        <f t="shared" si="86"/>
        <v>43.3217483489373</v>
      </c>
      <c r="J98" s="55">
        <f t="shared" si="86"/>
        <v>48.9865235374893</v>
      </c>
      <c r="K98" s="55">
        <f t="shared" si="86"/>
        <v>42.2476554146662</v>
      </c>
      <c r="L98" s="55">
        <f t="shared" si="86"/>
        <v>49.2003860214538</v>
      </c>
      <c r="M98" s="55">
        <f t="shared" si="86"/>
        <v>50.8403988888356</v>
      </c>
      <c r="N98" s="55">
        <f t="shared" si="86"/>
        <v>49.7663059545644</v>
      </c>
      <c r="O98" s="55">
        <f t="shared" si="86"/>
        <v>47.560373154072</v>
      </c>
      <c r="P98" s="55">
        <f t="shared" si="86"/>
        <v>57.2849564944627</v>
      </c>
      <c r="Q98" s="55">
        <f t="shared" ref="Q98:Q105" si="87">SUM(E98:P98)</f>
        <v>590.884478115546</v>
      </c>
    </row>
    <row r="99" spans="3:17">
      <c r="C99" s="55" t="s">
        <v>398</v>
      </c>
      <c r="D99" s="55" t="s">
        <v>398</v>
      </c>
      <c r="E99" s="55">
        <f t="shared" ref="E99:P99" si="88">E275+E448</f>
        <v>0</v>
      </c>
      <c r="F99" s="55">
        <f t="shared" si="88"/>
        <v>0</v>
      </c>
      <c r="G99" s="55">
        <f t="shared" si="88"/>
        <v>0</v>
      </c>
      <c r="H99" s="55">
        <f t="shared" si="88"/>
        <v>0</v>
      </c>
      <c r="I99" s="55">
        <f t="shared" si="88"/>
        <v>0</v>
      </c>
      <c r="J99" s="55">
        <f t="shared" si="88"/>
        <v>0</v>
      </c>
      <c r="K99" s="55">
        <f t="shared" si="88"/>
        <v>0</v>
      </c>
      <c r="L99" s="55">
        <f t="shared" si="88"/>
        <v>0</v>
      </c>
      <c r="M99" s="55">
        <f t="shared" si="88"/>
        <v>0</v>
      </c>
      <c r="N99" s="55">
        <f t="shared" si="88"/>
        <v>0</v>
      </c>
      <c r="O99" s="55">
        <f t="shared" si="88"/>
        <v>0</v>
      </c>
      <c r="P99" s="55">
        <f t="shared" si="88"/>
        <v>0</v>
      </c>
      <c r="Q99" s="55">
        <f t="shared" si="87"/>
        <v>0</v>
      </c>
    </row>
    <row r="100" ht="15" customHeight="1" spans="3:17">
      <c r="C100" s="55"/>
      <c r="D100" s="55"/>
      <c r="E100" s="55">
        <f t="shared" ref="E100:P100" si="89">E276+E449</f>
        <v>0</v>
      </c>
      <c r="F100" s="55">
        <f t="shared" si="89"/>
        <v>0</v>
      </c>
      <c r="G100" s="55">
        <f t="shared" si="89"/>
        <v>0</v>
      </c>
      <c r="H100" s="55">
        <f t="shared" si="89"/>
        <v>0</v>
      </c>
      <c r="I100" s="55">
        <f t="shared" si="89"/>
        <v>0</v>
      </c>
      <c r="J100" s="55">
        <f t="shared" si="89"/>
        <v>0</v>
      </c>
      <c r="K100" s="55">
        <f t="shared" si="89"/>
        <v>0</v>
      </c>
      <c r="L100" s="55">
        <f t="shared" si="89"/>
        <v>0</v>
      </c>
      <c r="M100" s="55">
        <f t="shared" si="89"/>
        <v>0</v>
      </c>
      <c r="N100" s="55">
        <f t="shared" si="89"/>
        <v>0</v>
      </c>
      <c r="O100" s="55">
        <f t="shared" si="89"/>
        <v>0</v>
      </c>
      <c r="P100" s="55">
        <f t="shared" si="89"/>
        <v>0</v>
      </c>
      <c r="Q100" s="55">
        <f t="shared" si="87"/>
        <v>0</v>
      </c>
    </row>
    <row r="101" spans="3:17">
      <c r="C101" s="55"/>
      <c r="D101" s="55"/>
      <c r="E101" s="55">
        <f t="shared" ref="E101:P101" si="90">E277+E450</f>
        <v>0</v>
      </c>
      <c r="F101" s="55">
        <f t="shared" si="90"/>
        <v>0</v>
      </c>
      <c r="G101" s="55">
        <f t="shared" si="90"/>
        <v>0</v>
      </c>
      <c r="H101" s="55">
        <f t="shared" si="90"/>
        <v>0</v>
      </c>
      <c r="I101" s="55">
        <f t="shared" si="90"/>
        <v>0</v>
      </c>
      <c r="J101" s="55">
        <f t="shared" si="90"/>
        <v>0</v>
      </c>
      <c r="K101" s="55">
        <f t="shared" si="90"/>
        <v>0</v>
      </c>
      <c r="L101" s="55">
        <f t="shared" si="90"/>
        <v>0</v>
      </c>
      <c r="M101" s="55">
        <f t="shared" si="90"/>
        <v>0</v>
      </c>
      <c r="N101" s="55">
        <f t="shared" si="90"/>
        <v>0</v>
      </c>
      <c r="O101" s="55">
        <f t="shared" si="90"/>
        <v>0</v>
      </c>
      <c r="P101" s="55">
        <f t="shared" si="90"/>
        <v>0</v>
      </c>
      <c r="Q101" s="55">
        <f t="shared" si="87"/>
        <v>0</v>
      </c>
    </row>
    <row r="102" customHeight="1" spans="3:17">
      <c r="C102" s="55"/>
      <c r="D102" s="55"/>
      <c r="E102" s="55">
        <f t="shared" ref="E102:P102" si="91">E278+E451</f>
        <v>0</v>
      </c>
      <c r="F102" s="55">
        <f t="shared" si="91"/>
        <v>0</v>
      </c>
      <c r="G102" s="55">
        <f t="shared" si="91"/>
        <v>0</v>
      </c>
      <c r="H102" s="55">
        <f t="shared" si="91"/>
        <v>0</v>
      </c>
      <c r="I102" s="55">
        <f t="shared" si="91"/>
        <v>0</v>
      </c>
      <c r="J102" s="55">
        <f t="shared" si="91"/>
        <v>0</v>
      </c>
      <c r="K102" s="55">
        <f t="shared" si="91"/>
        <v>0</v>
      </c>
      <c r="L102" s="55">
        <f t="shared" si="91"/>
        <v>0</v>
      </c>
      <c r="M102" s="55">
        <f t="shared" si="91"/>
        <v>0</v>
      </c>
      <c r="N102" s="55">
        <f t="shared" si="91"/>
        <v>0</v>
      </c>
      <c r="O102" s="55">
        <f t="shared" si="91"/>
        <v>0</v>
      </c>
      <c r="P102" s="55">
        <f t="shared" si="91"/>
        <v>0</v>
      </c>
      <c r="Q102" s="55">
        <f t="shared" si="87"/>
        <v>0</v>
      </c>
    </row>
    <row r="103" spans="3:17">
      <c r="C103" s="55"/>
      <c r="D103" s="55"/>
      <c r="E103" s="55">
        <f t="shared" ref="E103:P103" si="92">E279+E452</f>
        <v>0</v>
      </c>
      <c r="F103" s="55">
        <f t="shared" si="92"/>
        <v>0</v>
      </c>
      <c r="G103" s="55">
        <f t="shared" si="92"/>
        <v>0</v>
      </c>
      <c r="H103" s="55">
        <f t="shared" si="92"/>
        <v>0</v>
      </c>
      <c r="I103" s="55">
        <f t="shared" si="92"/>
        <v>0</v>
      </c>
      <c r="J103" s="55">
        <f t="shared" si="92"/>
        <v>0</v>
      </c>
      <c r="K103" s="55">
        <f t="shared" si="92"/>
        <v>0</v>
      </c>
      <c r="L103" s="55">
        <f t="shared" si="92"/>
        <v>0</v>
      </c>
      <c r="M103" s="55">
        <f t="shared" si="92"/>
        <v>0</v>
      </c>
      <c r="N103" s="55">
        <f t="shared" si="92"/>
        <v>0</v>
      </c>
      <c r="O103" s="55">
        <f t="shared" si="92"/>
        <v>0</v>
      </c>
      <c r="P103" s="55">
        <f t="shared" si="92"/>
        <v>0</v>
      </c>
      <c r="Q103" s="55">
        <f t="shared" si="87"/>
        <v>0</v>
      </c>
    </row>
    <row r="104" spans="3:17">
      <c r="C104" s="55"/>
      <c r="D104" s="55"/>
      <c r="E104" s="55">
        <f t="shared" ref="E104:P104" si="93">E280+E453</f>
        <v>0</v>
      </c>
      <c r="F104" s="55">
        <f t="shared" si="93"/>
        <v>0</v>
      </c>
      <c r="G104" s="55">
        <f t="shared" si="93"/>
        <v>0</v>
      </c>
      <c r="H104" s="55">
        <f t="shared" si="93"/>
        <v>0</v>
      </c>
      <c r="I104" s="55">
        <f t="shared" si="93"/>
        <v>0</v>
      </c>
      <c r="J104" s="55">
        <f t="shared" si="93"/>
        <v>0</v>
      </c>
      <c r="K104" s="55">
        <f t="shared" si="93"/>
        <v>0</v>
      </c>
      <c r="L104" s="55">
        <f t="shared" si="93"/>
        <v>0</v>
      </c>
      <c r="M104" s="55">
        <f t="shared" si="93"/>
        <v>0</v>
      </c>
      <c r="N104" s="55">
        <f t="shared" si="93"/>
        <v>0</v>
      </c>
      <c r="O104" s="55">
        <f t="shared" si="93"/>
        <v>0</v>
      </c>
      <c r="P104" s="55">
        <f t="shared" si="93"/>
        <v>0</v>
      </c>
      <c r="Q104" s="55">
        <f t="shared" si="87"/>
        <v>0</v>
      </c>
    </row>
    <row r="105" customHeight="1" spans="3:18">
      <c r="C105" s="44" t="s">
        <v>399</v>
      </c>
      <c r="D105" s="45"/>
      <c r="E105" s="54">
        <f t="shared" ref="E105:P105" si="94">SUM(E98:E104)</f>
        <v>49.2003860214538</v>
      </c>
      <c r="F105" s="54">
        <f t="shared" si="94"/>
        <v>50.8403988888356</v>
      </c>
      <c r="G105" s="54">
        <f t="shared" si="94"/>
        <v>49.2003860214538</v>
      </c>
      <c r="H105" s="54">
        <f t="shared" si="94"/>
        <v>52.4349593693215</v>
      </c>
      <c r="I105" s="54">
        <f t="shared" si="94"/>
        <v>43.3217483489373</v>
      </c>
      <c r="J105" s="54">
        <f t="shared" si="94"/>
        <v>48.9865235374893</v>
      </c>
      <c r="K105" s="54">
        <f t="shared" si="94"/>
        <v>42.2476554146662</v>
      </c>
      <c r="L105" s="54">
        <f t="shared" si="94"/>
        <v>49.2003860214538</v>
      </c>
      <c r="M105" s="54">
        <f t="shared" si="94"/>
        <v>50.8403988888356</v>
      </c>
      <c r="N105" s="54">
        <f t="shared" si="94"/>
        <v>49.7663059545644</v>
      </c>
      <c r="O105" s="54">
        <f t="shared" si="94"/>
        <v>47.560373154072</v>
      </c>
      <c r="P105" s="54">
        <f t="shared" si="94"/>
        <v>57.2849564944627</v>
      </c>
      <c r="Q105" s="54">
        <f t="shared" si="87"/>
        <v>590.884478115546</v>
      </c>
      <c r="R105" s="686"/>
    </row>
    <row r="106" ht="15" spans="3:17">
      <c r="C106" s="663" t="s">
        <v>400</v>
      </c>
      <c r="D106" s="676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</row>
    <row r="107" spans="3:17">
      <c r="C107" s="55" t="s">
        <v>401</v>
      </c>
      <c r="D107" s="55" t="s">
        <v>401</v>
      </c>
      <c r="E107" s="55">
        <f t="shared" ref="E107:P107" si="95">E283+E456</f>
        <v>472.00175010689</v>
      </c>
      <c r="F107" s="55">
        <f t="shared" si="95"/>
        <v>136.989407389565</v>
      </c>
      <c r="G107" s="55">
        <f t="shared" si="95"/>
        <v>182.274770661604</v>
      </c>
      <c r="H107" s="55">
        <f t="shared" si="95"/>
        <v>401.580844639287</v>
      </c>
      <c r="I107" s="55">
        <f t="shared" si="95"/>
        <v>370.180784560815</v>
      </c>
      <c r="J107" s="55">
        <f t="shared" si="95"/>
        <v>394.837775051788</v>
      </c>
      <c r="K107" s="55">
        <f t="shared" si="95"/>
        <v>385.825897386921</v>
      </c>
      <c r="L107" s="55">
        <f t="shared" si="95"/>
        <v>507.883858550506</v>
      </c>
      <c r="M107" s="55">
        <f t="shared" si="95"/>
        <v>457.270157540574</v>
      </c>
      <c r="N107" s="55">
        <f t="shared" si="95"/>
        <v>448.202335111024</v>
      </c>
      <c r="O107" s="55">
        <f t="shared" si="95"/>
        <v>438.151982680766</v>
      </c>
      <c r="P107" s="55">
        <f t="shared" si="95"/>
        <v>522.444860159719</v>
      </c>
      <c r="Q107" s="55">
        <f t="shared" ref="Q107:Q115" si="96">SUM(E107:P107)</f>
        <v>4717.64442383946</v>
      </c>
    </row>
    <row r="108" spans="3:17">
      <c r="C108" s="55" t="s">
        <v>402</v>
      </c>
      <c r="D108" s="55" t="s">
        <v>402</v>
      </c>
      <c r="E108" s="55">
        <f t="shared" ref="E108:P108" si="97">E284+E457</f>
        <v>0</v>
      </c>
      <c r="F108" s="55">
        <f t="shared" si="97"/>
        <v>0</v>
      </c>
      <c r="G108" s="55">
        <f t="shared" si="97"/>
        <v>0</v>
      </c>
      <c r="H108" s="55">
        <f t="shared" si="97"/>
        <v>0</v>
      </c>
      <c r="I108" s="55">
        <f t="shared" si="97"/>
        <v>0</v>
      </c>
      <c r="J108" s="55">
        <f t="shared" si="97"/>
        <v>0</v>
      </c>
      <c r="K108" s="55">
        <f t="shared" si="97"/>
        <v>0</v>
      </c>
      <c r="L108" s="55">
        <f t="shared" si="97"/>
        <v>0</v>
      </c>
      <c r="M108" s="55">
        <f t="shared" si="97"/>
        <v>0</v>
      </c>
      <c r="N108" s="55">
        <f t="shared" si="97"/>
        <v>0</v>
      </c>
      <c r="O108" s="55">
        <f t="shared" si="97"/>
        <v>0</v>
      </c>
      <c r="P108" s="55">
        <f t="shared" si="97"/>
        <v>0</v>
      </c>
      <c r="Q108" s="55">
        <f t="shared" si="96"/>
        <v>0</v>
      </c>
    </row>
    <row r="109" spans="3:17">
      <c r="C109" s="55" t="s">
        <v>403</v>
      </c>
      <c r="D109" s="55" t="s">
        <v>403</v>
      </c>
      <c r="E109" s="55">
        <f t="shared" ref="E109:P109" si="98">E285+E458</f>
        <v>0</v>
      </c>
      <c r="F109" s="55">
        <f t="shared" si="98"/>
        <v>0</v>
      </c>
      <c r="G109" s="55">
        <f t="shared" si="98"/>
        <v>0</v>
      </c>
      <c r="H109" s="55">
        <f t="shared" si="98"/>
        <v>0</v>
      </c>
      <c r="I109" s="55">
        <f t="shared" si="98"/>
        <v>0</v>
      </c>
      <c r="J109" s="55">
        <f t="shared" si="98"/>
        <v>0</v>
      </c>
      <c r="K109" s="55">
        <f t="shared" si="98"/>
        <v>0</v>
      </c>
      <c r="L109" s="55">
        <f t="shared" si="98"/>
        <v>0</v>
      </c>
      <c r="M109" s="55">
        <f t="shared" si="98"/>
        <v>0</v>
      </c>
      <c r="N109" s="55">
        <f t="shared" si="98"/>
        <v>0</v>
      </c>
      <c r="O109" s="55">
        <f t="shared" si="98"/>
        <v>0</v>
      </c>
      <c r="P109" s="55">
        <f t="shared" si="98"/>
        <v>0</v>
      </c>
      <c r="Q109" s="55">
        <f t="shared" si="96"/>
        <v>0</v>
      </c>
    </row>
    <row r="110" spans="3:17">
      <c r="C110" s="55"/>
      <c r="D110" s="55"/>
      <c r="E110" s="55">
        <f t="shared" ref="E110:P110" si="99">E286+E459</f>
        <v>0</v>
      </c>
      <c r="F110" s="55">
        <f t="shared" si="99"/>
        <v>0</v>
      </c>
      <c r="G110" s="55">
        <f t="shared" si="99"/>
        <v>0</v>
      </c>
      <c r="H110" s="55">
        <f t="shared" si="99"/>
        <v>0</v>
      </c>
      <c r="I110" s="55">
        <f t="shared" si="99"/>
        <v>0</v>
      </c>
      <c r="J110" s="55">
        <f t="shared" si="99"/>
        <v>0</v>
      </c>
      <c r="K110" s="55">
        <f t="shared" si="99"/>
        <v>0</v>
      </c>
      <c r="L110" s="55">
        <f t="shared" si="99"/>
        <v>0</v>
      </c>
      <c r="M110" s="55">
        <f t="shared" si="99"/>
        <v>0</v>
      </c>
      <c r="N110" s="55">
        <f t="shared" si="99"/>
        <v>0</v>
      </c>
      <c r="O110" s="55">
        <f t="shared" si="99"/>
        <v>0</v>
      </c>
      <c r="P110" s="55">
        <f t="shared" si="99"/>
        <v>0</v>
      </c>
      <c r="Q110" s="55">
        <f t="shared" si="96"/>
        <v>0</v>
      </c>
    </row>
    <row r="111" spans="3:17">
      <c r="C111" s="55"/>
      <c r="D111" s="55"/>
      <c r="E111" s="55">
        <f t="shared" ref="E111:P111" si="100">E287+E460</f>
        <v>0</v>
      </c>
      <c r="F111" s="55">
        <f t="shared" si="100"/>
        <v>0</v>
      </c>
      <c r="G111" s="55">
        <f t="shared" si="100"/>
        <v>0</v>
      </c>
      <c r="H111" s="55">
        <f t="shared" si="100"/>
        <v>0</v>
      </c>
      <c r="I111" s="55">
        <f t="shared" si="100"/>
        <v>0</v>
      </c>
      <c r="J111" s="55">
        <f t="shared" si="100"/>
        <v>0</v>
      </c>
      <c r="K111" s="55">
        <f t="shared" si="100"/>
        <v>0</v>
      </c>
      <c r="L111" s="55">
        <f t="shared" si="100"/>
        <v>0</v>
      </c>
      <c r="M111" s="55">
        <f t="shared" si="100"/>
        <v>0</v>
      </c>
      <c r="N111" s="55">
        <f t="shared" si="100"/>
        <v>0</v>
      </c>
      <c r="O111" s="55">
        <f t="shared" si="100"/>
        <v>0</v>
      </c>
      <c r="P111" s="55">
        <f t="shared" si="100"/>
        <v>0</v>
      </c>
      <c r="Q111" s="55">
        <f t="shared" si="96"/>
        <v>0</v>
      </c>
    </row>
    <row r="112" spans="3:17">
      <c r="C112" s="55"/>
      <c r="D112" s="55"/>
      <c r="E112" s="55">
        <f t="shared" ref="E112:P112" si="101">E288+E461</f>
        <v>0</v>
      </c>
      <c r="F112" s="55">
        <f t="shared" si="101"/>
        <v>0</v>
      </c>
      <c r="G112" s="55">
        <f t="shared" si="101"/>
        <v>0</v>
      </c>
      <c r="H112" s="55">
        <f t="shared" si="101"/>
        <v>0</v>
      </c>
      <c r="I112" s="55">
        <f t="shared" si="101"/>
        <v>0</v>
      </c>
      <c r="J112" s="55">
        <f t="shared" si="101"/>
        <v>0</v>
      </c>
      <c r="K112" s="55">
        <f t="shared" si="101"/>
        <v>0</v>
      </c>
      <c r="L112" s="55">
        <f t="shared" si="101"/>
        <v>0</v>
      </c>
      <c r="M112" s="55">
        <f t="shared" si="101"/>
        <v>0</v>
      </c>
      <c r="N112" s="55">
        <f t="shared" si="101"/>
        <v>0</v>
      </c>
      <c r="O112" s="55">
        <f t="shared" si="101"/>
        <v>0</v>
      </c>
      <c r="P112" s="55">
        <f t="shared" si="101"/>
        <v>0</v>
      </c>
      <c r="Q112" s="55">
        <f t="shared" si="96"/>
        <v>0</v>
      </c>
    </row>
    <row r="113" spans="3:17">
      <c r="C113" s="55"/>
      <c r="D113" s="55"/>
      <c r="E113" s="55">
        <f t="shared" ref="E113:P113" si="102">E289+E462</f>
        <v>0</v>
      </c>
      <c r="F113" s="55">
        <f t="shared" si="102"/>
        <v>0</v>
      </c>
      <c r="G113" s="55">
        <f t="shared" si="102"/>
        <v>0</v>
      </c>
      <c r="H113" s="55">
        <f t="shared" si="102"/>
        <v>0</v>
      </c>
      <c r="I113" s="55">
        <f t="shared" si="102"/>
        <v>0</v>
      </c>
      <c r="J113" s="55">
        <f t="shared" si="102"/>
        <v>0</v>
      </c>
      <c r="K113" s="55">
        <f t="shared" si="102"/>
        <v>0</v>
      </c>
      <c r="L113" s="55">
        <f t="shared" si="102"/>
        <v>0</v>
      </c>
      <c r="M113" s="55">
        <f t="shared" si="102"/>
        <v>0</v>
      </c>
      <c r="N113" s="55">
        <f t="shared" si="102"/>
        <v>0</v>
      </c>
      <c r="O113" s="55">
        <f t="shared" si="102"/>
        <v>0</v>
      </c>
      <c r="P113" s="55">
        <f t="shared" si="102"/>
        <v>0</v>
      </c>
      <c r="Q113" s="55">
        <f t="shared" si="96"/>
        <v>0</v>
      </c>
    </row>
    <row r="114" spans="3:17">
      <c r="C114" s="55"/>
      <c r="D114" s="55"/>
      <c r="E114" s="55">
        <f t="shared" ref="E114:P114" si="103">E290+E463</f>
        <v>0</v>
      </c>
      <c r="F114" s="55">
        <f t="shared" si="103"/>
        <v>0</v>
      </c>
      <c r="G114" s="55">
        <f t="shared" si="103"/>
        <v>0</v>
      </c>
      <c r="H114" s="55">
        <f t="shared" si="103"/>
        <v>0</v>
      </c>
      <c r="I114" s="55">
        <f t="shared" si="103"/>
        <v>0</v>
      </c>
      <c r="J114" s="55">
        <f t="shared" si="103"/>
        <v>0</v>
      </c>
      <c r="K114" s="55">
        <f t="shared" si="103"/>
        <v>0</v>
      </c>
      <c r="L114" s="55">
        <f t="shared" si="103"/>
        <v>0</v>
      </c>
      <c r="M114" s="55">
        <f t="shared" si="103"/>
        <v>0</v>
      </c>
      <c r="N114" s="55">
        <f t="shared" si="103"/>
        <v>0</v>
      </c>
      <c r="O114" s="55">
        <f t="shared" si="103"/>
        <v>0</v>
      </c>
      <c r="P114" s="55">
        <f t="shared" si="103"/>
        <v>0</v>
      </c>
      <c r="Q114" s="55">
        <f t="shared" si="96"/>
        <v>0</v>
      </c>
    </row>
    <row r="115" ht="15" spans="3:18">
      <c r="C115" s="44" t="s">
        <v>404</v>
      </c>
      <c r="D115" s="45"/>
      <c r="E115" s="54">
        <f t="shared" ref="E115:P115" si="104">SUM(E107:E114)</f>
        <v>472.00175010689</v>
      </c>
      <c r="F115" s="54">
        <f t="shared" si="104"/>
        <v>136.989407389565</v>
      </c>
      <c r="G115" s="54">
        <f t="shared" si="104"/>
        <v>182.274770661604</v>
      </c>
      <c r="H115" s="54">
        <f t="shared" si="104"/>
        <v>401.580844639287</v>
      </c>
      <c r="I115" s="54">
        <f t="shared" si="104"/>
        <v>370.180784560815</v>
      </c>
      <c r="J115" s="54">
        <f t="shared" si="104"/>
        <v>394.837775051788</v>
      </c>
      <c r="K115" s="54">
        <f t="shared" si="104"/>
        <v>385.825897386921</v>
      </c>
      <c r="L115" s="54">
        <f t="shared" si="104"/>
        <v>507.883858550506</v>
      </c>
      <c r="M115" s="54">
        <f t="shared" si="104"/>
        <v>457.270157540574</v>
      </c>
      <c r="N115" s="54">
        <f t="shared" si="104"/>
        <v>448.202335111024</v>
      </c>
      <c r="O115" s="54">
        <f t="shared" si="104"/>
        <v>438.151982680766</v>
      </c>
      <c r="P115" s="54">
        <f t="shared" si="104"/>
        <v>522.444860159719</v>
      </c>
      <c r="Q115" s="54">
        <f t="shared" si="96"/>
        <v>4717.64442383946</v>
      </c>
      <c r="R115" s="686"/>
    </row>
    <row r="116" ht="15" spans="3:17">
      <c r="C116" s="663" t="s">
        <v>405</v>
      </c>
      <c r="D116" s="676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</row>
    <row r="117" spans="3:17">
      <c r="C117" s="55"/>
      <c r="D117" s="55" t="s">
        <v>406</v>
      </c>
      <c r="E117" s="147">
        <f t="shared" ref="E117:P117" si="105">E293+E466</f>
        <v>0.0243813126858572</v>
      </c>
      <c r="F117" s="147">
        <f t="shared" si="105"/>
        <v>0.0209078555152691</v>
      </c>
      <c r="G117" s="147">
        <f t="shared" si="105"/>
        <v>0.0497327402473932</v>
      </c>
      <c r="H117" s="147">
        <f t="shared" si="105"/>
        <v>0.0723393463589819</v>
      </c>
      <c r="I117" s="147">
        <f t="shared" si="105"/>
        <v>0.0394741207667835</v>
      </c>
      <c r="J117" s="147">
        <f t="shared" si="105"/>
        <v>0.0290281127467041</v>
      </c>
      <c r="K117" s="147">
        <f t="shared" si="105"/>
        <v>0.0176034973230074</v>
      </c>
      <c r="L117" s="147">
        <f t="shared" si="105"/>
        <v>0.024443849476385</v>
      </c>
      <c r="M117" s="147">
        <f t="shared" si="105"/>
        <v>0.0279507999852291</v>
      </c>
      <c r="N117" s="147">
        <f t="shared" si="105"/>
        <v>0.02703225279869</v>
      </c>
      <c r="O117" s="147">
        <f t="shared" si="105"/>
        <v>0.0185345399483146</v>
      </c>
      <c r="P117" s="147">
        <f t="shared" si="105"/>
        <v>0.0240715721473846</v>
      </c>
      <c r="Q117" s="147">
        <f t="shared" ref="Q117:Q141" si="106">SUM(E117:P117)</f>
        <v>0.3755</v>
      </c>
    </row>
    <row r="118" spans="3:17">
      <c r="C118" s="55"/>
      <c r="D118" s="55" t="s">
        <v>407</v>
      </c>
      <c r="E118" s="147">
        <f t="shared" ref="E118:P118" si="107">E294+E467</f>
        <v>0</v>
      </c>
      <c r="F118" s="147">
        <f t="shared" si="107"/>
        <v>0</v>
      </c>
      <c r="G118" s="147">
        <f t="shared" si="107"/>
        <v>0</v>
      </c>
      <c r="H118" s="147">
        <f t="shared" si="107"/>
        <v>0</v>
      </c>
      <c r="I118" s="147">
        <f t="shared" si="107"/>
        <v>0</v>
      </c>
      <c r="J118" s="147">
        <f t="shared" si="107"/>
        <v>0</v>
      </c>
      <c r="K118" s="147">
        <f t="shared" si="107"/>
        <v>0</v>
      </c>
      <c r="L118" s="147">
        <f t="shared" si="107"/>
        <v>0</v>
      </c>
      <c r="M118" s="147">
        <f t="shared" si="107"/>
        <v>0</v>
      </c>
      <c r="N118" s="147">
        <f t="shared" si="107"/>
        <v>0</v>
      </c>
      <c r="O118" s="147">
        <f t="shared" si="107"/>
        <v>0</v>
      </c>
      <c r="P118" s="147">
        <f t="shared" si="107"/>
        <v>0</v>
      </c>
      <c r="Q118" s="147">
        <f t="shared" si="106"/>
        <v>0</v>
      </c>
    </row>
    <row r="119" spans="3:17">
      <c r="C119" s="55"/>
      <c r="D119" s="55" t="s">
        <v>408</v>
      </c>
      <c r="E119" s="147">
        <f t="shared" ref="E119:P119" si="108">E295+E468</f>
        <v>7.41537086840161</v>
      </c>
      <c r="F119" s="147">
        <f t="shared" si="108"/>
        <v>5.21405718639057</v>
      </c>
      <c r="G119" s="147">
        <f t="shared" si="108"/>
        <v>4.33520433151294</v>
      </c>
      <c r="H119" s="147">
        <f t="shared" si="108"/>
        <v>6.12138937330458</v>
      </c>
      <c r="I119" s="147">
        <f t="shared" si="108"/>
        <v>6.12138937330458</v>
      </c>
      <c r="J119" s="147">
        <f t="shared" si="108"/>
        <v>4.36366965502397</v>
      </c>
      <c r="K119" s="147">
        <f t="shared" si="108"/>
        <v>6.12138937330458</v>
      </c>
      <c r="L119" s="147">
        <f t="shared" si="108"/>
        <v>5.7517580886675</v>
      </c>
      <c r="M119" s="147">
        <f t="shared" si="108"/>
        <v>9.38701010779229</v>
      </c>
      <c r="N119" s="147">
        <f t="shared" si="108"/>
        <v>9.54386356613535</v>
      </c>
      <c r="O119" s="147">
        <f t="shared" si="108"/>
        <v>10.4260160958055</v>
      </c>
      <c r="P119" s="147">
        <f t="shared" si="108"/>
        <v>10.1090748774452</v>
      </c>
      <c r="Q119" s="147">
        <f t="shared" si="106"/>
        <v>84.9101928970887</v>
      </c>
    </row>
    <row r="120" spans="3:17">
      <c r="C120" s="55"/>
      <c r="D120" s="55" t="s">
        <v>409</v>
      </c>
      <c r="E120" s="147">
        <f t="shared" ref="E120:P120" si="109">E296+E469</f>
        <v>2.11460846193843</v>
      </c>
      <c r="F120" s="147">
        <f t="shared" si="109"/>
        <v>1.48686959061685</v>
      </c>
      <c r="G120" s="147">
        <f t="shared" si="109"/>
        <v>1.23625101513303</v>
      </c>
      <c r="H120" s="147">
        <f t="shared" si="109"/>
        <v>1.74560949105975</v>
      </c>
      <c r="I120" s="147">
        <f t="shared" si="109"/>
        <v>1.74560949105975</v>
      </c>
      <c r="J120" s="147">
        <f t="shared" si="109"/>
        <v>1.244368345343</v>
      </c>
      <c r="K120" s="147">
        <f t="shared" si="109"/>
        <v>1.74560949105975</v>
      </c>
      <c r="L120" s="147">
        <f t="shared" si="109"/>
        <v>1.64020337501215</v>
      </c>
      <c r="M120" s="147">
        <f t="shared" si="109"/>
        <v>2.67685208986964</v>
      </c>
      <c r="N120" s="147">
        <f t="shared" si="109"/>
        <v>2.72158129575599</v>
      </c>
      <c r="O120" s="147">
        <f t="shared" si="109"/>
        <v>2.9731408248835</v>
      </c>
      <c r="P120" s="147">
        <f t="shared" si="109"/>
        <v>2.88276010162965</v>
      </c>
      <c r="Q120" s="147">
        <f t="shared" si="106"/>
        <v>24.2134635733615</v>
      </c>
    </row>
    <row r="121" spans="3:17">
      <c r="C121" s="55"/>
      <c r="D121" s="55" t="s">
        <v>410</v>
      </c>
      <c r="E121" s="147">
        <f t="shared" ref="E121:P121" si="110">E297+E470</f>
        <v>7.52083336681499</v>
      </c>
      <c r="F121" s="147">
        <f t="shared" si="110"/>
        <v>6.44938602830006</v>
      </c>
      <c r="G121" s="147">
        <f t="shared" si="110"/>
        <v>15.3409152778185</v>
      </c>
      <c r="H121" s="147">
        <f t="shared" si="110"/>
        <v>22.314310014399</v>
      </c>
      <c r="I121" s="147">
        <f t="shared" si="110"/>
        <v>12.1764684458815</v>
      </c>
      <c r="J121" s="147">
        <f t="shared" si="110"/>
        <v>8.95421841038601</v>
      </c>
      <c r="K121" s="147">
        <f t="shared" si="110"/>
        <v>5.43010016504606</v>
      </c>
      <c r="L121" s="147">
        <f t="shared" si="110"/>
        <v>7.54012391063907</v>
      </c>
      <c r="M121" s="147">
        <f t="shared" si="110"/>
        <v>8.62190284282851</v>
      </c>
      <c r="N121" s="147">
        <f t="shared" si="110"/>
        <v>8.3385612353225</v>
      </c>
      <c r="O121" s="147">
        <f t="shared" si="110"/>
        <v>5.71729620459312</v>
      </c>
      <c r="P121" s="147">
        <f t="shared" si="110"/>
        <v>7.42528859419282</v>
      </c>
      <c r="Q121" s="147">
        <f t="shared" si="106"/>
        <v>115.829404496222</v>
      </c>
    </row>
    <row r="122" spans="3:17">
      <c r="C122" s="55"/>
      <c r="D122" s="55" t="s">
        <v>368</v>
      </c>
      <c r="E122" s="147">
        <f t="shared" ref="E122:P122" si="111">E298+E471</f>
        <v>0.00169129778891853</v>
      </c>
      <c r="F122" s="147">
        <f t="shared" si="111"/>
        <v>0.00181234123819283</v>
      </c>
      <c r="G122" s="147">
        <f t="shared" si="111"/>
        <v>0.00187767328407004</v>
      </c>
      <c r="H122" s="147">
        <f t="shared" si="111"/>
        <v>0.00410501800540011</v>
      </c>
      <c r="I122" s="147">
        <f t="shared" si="111"/>
        <v>0.00963783290124066</v>
      </c>
      <c r="J122" s="147">
        <f t="shared" si="111"/>
        <v>0.00486774525807197</v>
      </c>
      <c r="K122" s="147">
        <f t="shared" si="111"/>
        <v>0.00536548658876116</v>
      </c>
      <c r="L122" s="147">
        <f t="shared" si="111"/>
        <v>0.00184025099701946</v>
      </c>
      <c r="M122" s="147">
        <f t="shared" si="111"/>
        <v>0.00315695976848462</v>
      </c>
      <c r="N122" s="147">
        <f t="shared" si="111"/>
        <v>0.00602391351703972</v>
      </c>
      <c r="O122" s="147">
        <f t="shared" si="111"/>
        <v>0.00560336734608544</v>
      </c>
      <c r="P122" s="147">
        <f t="shared" si="111"/>
        <v>0.00251302879967317</v>
      </c>
      <c r="Q122" s="147">
        <f t="shared" si="106"/>
        <v>0.0484949154929577</v>
      </c>
    </row>
    <row r="123" spans="3:17">
      <c r="C123" s="55"/>
      <c r="D123" s="55" t="s">
        <v>411</v>
      </c>
      <c r="E123" s="147">
        <f t="shared" ref="E123:P123" si="112">E299+E472</f>
        <v>293.453795758599</v>
      </c>
      <c r="F123" s="147">
        <f t="shared" si="112"/>
        <v>302.597623302912</v>
      </c>
      <c r="G123" s="147">
        <f t="shared" si="112"/>
        <v>283.307248826785</v>
      </c>
      <c r="H123" s="147">
        <f t="shared" si="112"/>
        <v>221.890029260102</v>
      </c>
      <c r="I123" s="147">
        <f t="shared" si="112"/>
        <v>272.909089610852</v>
      </c>
      <c r="J123" s="147">
        <f t="shared" si="112"/>
        <v>240.560564503323</v>
      </c>
      <c r="K123" s="147">
        <f t="shared" si="112"/>
        <v>294.92175413424</v>
      </c>
      <c r="L123" s="147">
        <f t="shared" si="112"/>
        <v>227.405709117961</v>
      </c>
      <c r="M123" s="147">
        <f t="shared" si="112"/>
        <v>249.28674474396</v>
      </c>
      <c r="N123" s="147">
        <f t="shared" si="112"/>
        <v>265.77618329959</v>
      </c>
      <c r="O123" s="147">
        <f t="shared" si="112"/>
        <v>282.545188583234</v>
      </c>
      <c r="P123" s="147">
        <f t="shared" si="112"/>
        <v>292.520754990764</v>
      </c>
      <c r="Q123" s="147">
        <f t="shared" si="106"/>
        <v>3227.17468613232</v>
      </c>
    </row>
    <row r="124" spans="3:17">
      <c r="C124" s="55"/>
      <c r="D124" s="55" t="s">
        <v>412</v>
      </c>
      <c r="E124" s="147">
        <f t="shared" ref="E124:P124" si="113">E300+E473</f>
        <v>8.54768180382809</v>
      </c>
      <c r="F124" s="147">
        <f t="shared" si="113"/>
        <v>8.81402195497801</v>
      </c>
      <c r="G124" s="147">
        <f t="shared" si="113"/>
        <v>8.25213458026414</v>
      </c>
      <c r="H124" s="147">
        <f t="shared" si="113"/>
        <v>6.46318225550463</v>
      </c>
      <c r="I124" s="147">
        <f t="shared" si="113"/>
        <v>7.94925842869289</v>
      </c>
      <c r="J124" s="147">
        <f t="shared" si="113"/>
        <v>7.00701503828959</v>
      </c>
      <c r="K124" s="147">
        <f t="shared" si="113"/>
        <v>8.59044029350378</v>
      </c>
      <c r="L124" s="147">
        <f t="shared" si="113"/>
        <v>6.62384221982671</v>
      </c>
      <c r="M124" s="147">
        <f t="shared" si="113"/>
        <v>7.26119001621753</v>
      </c>
      <c r="N124" s="147">
        <f t="shared" si="113"/>
        <v>7.74149211465503</v>
      </c>
      <c r="O124" s="147">
        <f t="shared" si="113"/>
        <v>8.22993739429697</v>
      </c>
      <c r="P124" s="147">
        <f t="shared" si="113"/>
        <v>8.5205043206647</v>
      </c>
      <c r="Q124" s="147">
        <f t="shared" si="106"/>
        <v>94.0007004207221</v>
      </c>
    </row>
    <row r="125" spans="3:17">
      <c r="C125" s="55"/>
      <c r="D125" s="55" t="s">
        <v>413</v>
      </c>
      <c r="E125" s="147">
        <f t="shared" ref="E125:P125" si="114">E301+E474</f>
        <v>34.0095525595596</v>
      </c>
      <c r="F125" s="147">
        <f t="shared" si="114"/>
        <v>35.0692678808759</v>
      </c>
      <c r="G125" s="147">
        <f t="shared" si="114"/>
        <v>32.8336280148334</v>
      </c>
      <c r="H125" s="147">
        <f t="shared" si="114"/>
        <v>25.7157369290648</v>
      </c>
      <c r="I125" s="147">
        <f t="shared" si="114"/>
        <v>31.6285431003147</v>
      </c>
      <c r="J125" s="147">
        <f t="shared" si="114"/>
        <v>27.8795411082814</v>
      </c>
      <c r="K125" s="147">
        <f t="shared" si="114"/>
        <v>34.1796802193587</v>
      </c>
      <c r="L125" s="147">
        <f t="shared" si="114"/>
        <v>26.3549714754867</v>
      </c>
      <c r="M125" s="147">
        <f t="shared" si="114"/>
        <v>28.8908535868641</v>
      </c>
      <c r="N125" s="147">
        <f t="shared" si="114"/>
        <v>30.8018816101535</v>
      </c>
      <c r="O125" s="147">
        <f t="shared" si="114"/>
        <v>32.7453097573046</v>
      </c>
      <c r="P125" s="147">
        <f t="shared" si="114"/>
        <v>33.9014186744554</v>
      </c>
      <c r="Q125" s="147">
        <f t="shared" si="106"/>
        <v>374.010384916553</v>
      </c>
    </row>
    <row r="126" spans="3:17">
      <c r="C126" s="55"/>
      <c r="D126" s="55" t="s">
        <v>414</v>
      </c>
      <c r="E126" s="147">
        <f t="shared" ref="E126:P126" si="115">E302+E475</f>
        <v>29.4708635804668</v>
      </c>
      <c r="F126" s="147">
        <f t="shared" si="115"/>
        <v>30.3891563340675</v>
      </c>
      <c r="G126" s="147">
        <f t="shared" si="115"/>
        <v>28.4518701145029</v>
      </c>
      <c r="H126" s="147">
        <f t="shared" si="115"/>
        <v>22.2838854930662</v>
      </c>
      <c r="I126" s="147">
        <f t="shared" si="115"/>
        <v>27.4076078280038</v>
      </c>
      <c r="J126" s="147">
        <f t="shared" si="115"/>
        <v>24.1589227394063</v>
      </c>
      <c r="K126" s="147">
        <f t="shared" si="115"/>
        <v>29.6182871328474</v>
      </c>
      <c r="L126" s="147">
        <f t="shared" si="115"/>
        <v>22.8378120429827</v>
      </c>
      <c r="M126" s="147">
        <f t="shared" si="115"/>
        <v>25.0352721721528</v>
      </c>
      <c r="N126" s="147">
        <f t="shared" si="115"/>
        <v>26.6912670892921</v>
      </c>
      <c r="O126" s="147">
        <f t="shared" si="115"/>
        <v>28.3753382249776</v>
      </c>
      <c r="P126" s="147">
        <f t="shared" si="115"/>
        <v>29.3771605253987</v>
      </c>
      <c r="Q126" s="147">
        <f t="shared" si="106"/>
        <v>324.097443277165</v>
      </c>
    </row>
    <row r="127" spans="3:17">
      <c r="C127" s="55"/>
      <c r="D127" s="55" t="s">
        <v>415</v>
      </c>
      <c r="E127" s="147">
        <f t="shared" ref="E127:P127" si="116">E303+E476</f>
        <v>70.1360928480313</v>
      </c>
      <c r="F127" s="147">
        <f t="shared" si="116"/>
        <v>72.3214874379237</v>
      </c>
      <c r="G127" s="147">
        <f t="shared" si="116"/>
        <v>67.711046152496</v>
      </c>
      <c r="H127" s="147">
        <f t="shared" si="116"/>
        <v>53.0321976378211</v>
      </c>
      <c r="I127" s="147">
        <f t="shared" si="116"/>
        <v>65.2258635760292</v>
      </c>
      <c r="J127" s="147">
        <f t="shared" si="116"/>
        <v>57.4944960039266</v>
      </c>
      <c r="K127" s="147">
        <f t="shared" si="116"/>
        <v>70.4869380796112</v>
      </c>
      <c r="L127" s="147">
        <f t="shared" si="116"/>
        <v>54.3504570715788</v>
      </c>
      <c r="M127" s="147">
        <f t="shared" si="116"/>
        <v>59.5800719835585</v>
      </c>
      <c r="N127" s="147">
        <f t="shared" si="116"/>
        <v>63.5210835167708</v>
      </c>
      <c r="O127" s="147">
        <f t="shared" si="116"/>
        <v>67.5289121035587</v>
      </c>
      <c r="P127" s="147">
        <f t="shared" si="116"/>
        <v>69.9130940834224</v>
      </c>
      <c r="Q127" s="147">
        <f t="shared" si="106"/>
        <v>771.301740494728</v>
      </c>
    </row>
    <row r="128" spans="3:17">
      <c r="C128" s="55"/>
      <c r="D128" s="55" t="s">
        <v>416</v>
      </c>
      <c r="E128" s="147">
        <f t="shared" ref="E128:P128" si="117">E304+E477</f>
        <v>0</v>
      </c>
      <c r="F128" s="147">
        <f t="shared" si="117"/>
        <v>0</v>
      </c>
      <c r="G128" s="147">
        <f t="shared" si="117"/>
        <v>0</v>
      </c>
      <c r="H128" s="147">
        <f t="shared" si="117"/>
        <v>0</v>
      </c>
      <c r="I128" s="147">
        <f t="shared" si="117"/>
        <v>0</v>
      </c>
      <c r="J128" s="147">
        <f t="shared" si="117"/>
        <v>0</v>
      </c>
      <c r="K128" s="147">
        <f t="shared" si="117"/>
        <v>0</v>
      </c>
      <c r="L128" s="147">
        <f t="shared" si="117"/>
        <v>0</v>
      </c>
      <c r="M128" s="147">
        <f t="shared" si="117"/>
        <v>0</v>
      </c>
      <c r="N128" s="147">
        <f t="shared" si="117"/>
        <v>0</v>
      </c>
      <c r="O128" s="147">
        <f t="shared" si="117"/>
        <v>0</v>
      </c>
      <c r="P128" s="147">
        <f t="shared" si="117"/>
        <v>0</v>
      </c>
      <c r="Q128" s="147">
        <f t="shared" si="106"/>
        <v>0</v>
      </c>
    </row>
    <row r="129" spans="3:17">
      <c r="C129" s="55"/>
      <c r="D129" s="55" t="s">
        <v>417</v>
      </c>
      <c r="E129" s="147">
        <f t="shared" ref="E129:P129" si="118">E305+E478</f>
        <v>85.7290029596454</v>
      </c>
      <c r="F129" s="147">
        <f t="shared" si="118"/>
        <v>88.4002623876666</v>
      </c>
      <c r="G129" s="147">
        <f t="shared" si="118"/>
        <v>82.7648111021194</v>
      </c>
      <c r="H129" s="147">
        <f t="shared" si="118"/>
        <v>64.8225078363044</v>
      </c>
      <c r="I129" s="147">
        <f t="shared" si="118"/>
        <v>79.7271137368726</v>
      </c>
      <c r="J129" s="147">
        <f t="shared" si="118"/>
        <v>70.2768805323077</v>
      </c>
      <c r="K129" s="147">
        <f t="shared" si="118"/>
        <v>86.1578493734549</v>
      </c>
      <c r="L129" s="147">
        <f t="shared" si="118"/>
        <v>66.4338474805452</v>
      </c>
      <c r="M129" s="147">
        <f t="shared" si="118"/>
        <v>72.8261293152109</v>
      </c>
      <c r="N129" s="147">
        <f t="shared" si="118"/>
        <v>77.643320802151</v>
      </c>
      <c r="O129" s="147">
        <f t="shared" si="118"/>
        <v>82.5421843519491</v>
      </c>
      <c r="P129" s="147">
        <f t="shared" si="118"/>
        <v>85.4564263022518</v>
      </c>
      <c r="Q129" s="147">
        <f t="shared" si="106"/>
        <v>942.780336180479</v>
      </c>
    </row>
    <row r="130" spans="3:17">
      <c r="C130" s="55"/>
      <c r="D130" s="55" t="s">
        <v>418</v>
      </c>
      <c r="E130" s="147">
        <f t="shared" ref="E130:P130" si="119">E306+E479</f>
        <v>43.8722109274752</v>
      </c>
      <c r="F130" s="147">
        <f t="shared" si="119"/>
        <v>45.2392402060419</v>
      </c>
      <c r="G130" s="147">
        <f t="shared" si="119"/>
        <v>42.3552721329802</v>
      </c>
      <c r="H130" s="147">
        <f t="shared" si="119"/>
        <v>33.1732160466273</v>
      </c>
      <c r="I130" s="147">
        <f t="shared" si="119"/>
        <v>40.8007165573754</v>
      </c>
      <c r="J130" s="147">
        <f t="shared" si="119"/>
        <v>35.9645163199871</v>
      </c>
      <c r="K130" s="147">
        <f t="shared" si="119"/>
        <v>44.0916750489816</v>
      </c>
      <c r="L130" s="147">
        <f t="shared" si="119"/>
        <v>33.9978265087509</v>
      </c>
      <c r="M130" s="147">
        <f t="shared" si="119"/>
        <v>37.2691060906483</v>
      </c>
      <c r="N130" s="147">
        <f t="shared" si="119"/>
        <v>39.7343259543688</v>
      </c>
      <c r="O130" s="147">
        <f t="shared" si="119"/>
        <v>42.2413418712908</v>
      </c>
      <c r="P130" s="147">
        <f t="shared" si="119"/>
        <v>43.7327185713971</v>
      </c>
      <c r="Q130" s="147">
        <f t="shared" si="106"/>
        <v>482.472166235925</v>
      </c>
    </row>
    <row r="131" spans="3:17">
      <c r="C131" s="55"/>
      <c r="D131" s="687" t="s">
        <v>419</v>
      </c>
      <c r="E131" s="147">
        <f t="shared" ref="E131:P131" si="120">E307+E480</f>
        <v>0</v>
      </c>
      <c r="F131" s="147">
        <f t="shared" si="120"/>
        <v>0</v>
      </c>
      <c r="G131" s="147">
        <f t="shared" si="120"/>
        <v>0</v>
      </c>
      <c r="H131" s="147">
        <f t="shared" si="120"/>
        <v>0</v>
      </c>
      <c r="I131" s="147">
        <f t="shared" si="120"/>
        <v>0</v>
      </c>
      <c r="J131" s="147">
        <f t="shared" si="120"/>
        <v>0</v>
      </c>
      <c r="K131" s="147">
        <f t="shared" si="120"/>
        <v>0</v>
      </c>
      <c r="L131" s="147">
        <f t="shared" si="120"/>
        <v>0</v>
      </c>
      <c r="M131" s="147">
        <f t="shared" si="120"/>
        <v>0</v>
      </c>
      <c r="N131" s="147">
        <f t="shared" si="120"/>
        <v>0</v>
      </c>
      <c r="O131" s="147">
        <f t="shared" si="120"/>
        <v>0</v>
      </c>
      <c r="P131" s="147">
        <f t="shared" si="120"/>
        <v>0</v>
      </c>
      <c r="Q131" s="147">
        <f t="shared" si="106"/>
        <v>0</v>
      </c>
    </row>
    <row r="132" spans="3:17">
      <c r="C132" s="55"/>
      <c r="D132" s="687" t="s">
        <v>420</v>
      </c>
      <c r="E132" s="147">
        <f t="shared" ref="E132:P132" si="121">E308+E481</f>
        <v>0</v>
      </c>
      <c r="F132" s="147">
        <f t="shared" si="121"/>
        <v>0</v>
      </c>
      <c r="G132" s="147">
        <f t="shared" si="121"/>
        <v>0</v>
      </c>
      <c r="H132" s="147">
        <f t="shared" si="121"/>
        <v>0</v>
      </c>
      <c r="I132" s="147">
        <f t="shared" si="121"/>
        <v>0</v>
      </c>
      <c r="J132" s="147">
        <f t="shared" si="121"/>
        <v>0</v>
      </c>
      <c r="K132" s="147">
        <f t="shared" si="121"/>
        <v>0</v>
      </c>
      <c r="L132" s="147">
        <f t="shared" si="121"/>
        <v>0</v>
      </c>
      <c r="M132" s="147">
        <f t="shared" si="121"/>
        <v>0</v>
      </c>
      <c r="N132" s="147">
        <f t="shared" si="121"/>
        <v>0</v>
      </c>
      <c r="O132" s="147">
        <f t="shared" si="121"/>
        <v>0</v>
      </c>
      <c r="P132" s="147">
        <f t="shared" si="121"/>
        <v>0</v>
      </c>
      <c r="Q132" s="147">
        <f t="shared" si="106"/>
        <v>0</v>
      </c>
    </row>
    <row r="133" spans="3:17">
      <c r="C133" s="55"/>
      <c r="D133" s="55"/>
      <c r="E133" s="55">
        <f t="shared" ref="E133:P133" si="122">E309+E482</f>
        <v>0</v>
      </c>
      <c r="F133" s="55">
        <f t="shared" si="122"/>
        <v>0</v>
      </c>
      <c r="G133" s="55">
        <f t="shared" si="122"/>
        <v>0</v>
      </c>
      <c r="H133" s="55">
        <f t="shared" si="122"/>
        <v>0</v>
      </c>
      <c r="I133" s="55">
        <f t="shared" si="122"/>
        <v>0</v>
      </c>
      <c r="J133" s="55">
        <f t="shared" si="122"/>
        <v>0</v>
      </c>
      <c r="K133" s="55">
        <f t="shared" si="122"/>
        <v>0</v>
      </c>
      <c r="L133" s="55">
        <f t="shared" si="122"/>
        <v>0</v>
      </c>
      <c r="M133" s="55">
        <f t="shared" si="122"/>
        <v>0</v>
      </c>
      <c r="N133" s="55">
        <f t="shared" si="122"/>
        <v>0</v>
      </c>
      <c r="O133" s="55">
        <f t="shared" si="122"/>
        <v>0</v>
      </c>
      <c r="P133" s="55">
        <f t="shared" si="122"/>
        <v>0</v>
      </c>
      <c r="Q133" s="55">
        <f t="shared" si="106"/>
        <v>0</v>
      </c>
    </row>
    <row r="134" spans="3:17">
      <c r="C134" s="55"/>
      <c r="D134" s="55"/>
      <c r="E134" s="55">
        <f t="shared" ref="E134:P134" si="123">E310+E483</f>
        <v>0</v>
      </c>
      <c r="F134" s="55">
        <f t="shared" si="123"/>
        <v>0</v>
      </c>
      <c r="G134" s="55">
        <f t="shared" si="123"/>
        <v>0</v>
      </c>
      <c r="H134" s="55">
        <f t="shared" si="123"/>
        <v>0</v>
      </c>
      <c r="I134" s="55">
        <f t="shared" si="123"/>
        <v>0</v>
      </c>
      <c r="J134" s="55">
        <f t="shared" si="123"/>
        <v>0</v>
      </c>
      <c r="K134" s="55">
        <f t="shared" si="123"/>
        <v>0</v>
      </c>
      <c r="L134" s="55">
        <f t="shared" si="123"/>
        <v>0</v>
      </c>
      <c r="M134" s="55">
        <f t="shared" si="123"/>
        <v>0</v>
      </c>
      <c r="N134" s="55">
        <f t="shared" si="123"/>
        <v>0</v>
      </c>
      <c r="O134" s="55">
        <f t="shared" si="123"/>
        <v>0</v>
      </c>
      <c r="P134" s="55">
        <f t="shared" si="123"/>
        <v>0</v>
      </c>
      <c r="Q134" s="55">
        <f t="shared" si="106"/>
        <v>0</v>
      </c>
    </row>
    <row r="135" spans="3:17">
      <c r="C135" s="55"/>
      <c r="D135" s="55"/>
      <c r="E135" s="55">
        <f t="shared" ref="E135:P135" si="124">E311+E484</f>
        <v>0</v>
      </c>
      <c r="F135" s="55">
        <f t="shared" si="124"/>
        <v>0</v>
      </c>
      <c r="G135" s="55">
        <f t="shared" si="124"/>
        <v>0</v>
      </c>
      <c r="H135" s="55">
        <f t="shared" si="124"/>
        <v>0</v>
      </c>
      <c r="I135" s="55">
        <f t="shared" si="124"/>
        <v>0</v>
      </c>
      <c r="J135" s="55">
        <f t="shared" si="124"/>
        <v>0</v>
      </c>
      <c r="K135" s="55">
        <f t="shared" si="124"/>
        <v>0</v>
      </c>
      <c r="L135" s="55">
        <f t="shared" si="124"/>
        <v>0</v>
      </c>
      <c r="M135" s="55">
        <f t="shared" si="124"/>
        <v>0</v>
      </c>
      <c r="N135" s="55">
        <f t="shared" si="124"/>
        <v>0</v>
      </c>
      <c r="O135" s="55">
        <f t="shared" si="124"/>
        <v>0</v>
      </c>
      <c r="P135" s="55">
        <f t="shared" si="124"/>
        <v>0</v>
      </c>
      <c r="Q135" s="55">
        <f t="shared" si="106"/>
        <v>0</v>
      </c>
    </row>
    <row r="136" spans="3:17">
      <c r="C136" s="55"/>
      <c r="D136" s="55"/>
      <c r="E136" s="55">
        <f t="shared" ref="E136:P136" si="125">E312+E485</f>
        <v>0</v>
      </c>
      <c r="F136" s="55">
        <f t="shared" si="125"/>
        <v>0</v>
      </c>
      <c r="G136" s="55">
        <f t="shared" si="125"/>
        <v>0</v>
      </c>
      <c r="H136" s="55">
        <f t="shared" si="125"/>
        <v>0</v>
      </c>
      <c r="I136" s="55">
        <f t="shared" si="125"/>
        <v>0</v>
      </c>
      <c r="J136" s="55">
        <f t="shared" si="125"/>
        <v>0</v>
      </c>
      <c r="K136" s="55">
        <f t="shared" si="125"/>
        <v>0</v>
      </c>
      <c r="L136" s="55">
        <f t="shared" si="125"/>
        <v>0</v>
      </c>
      <c r="M136" s="55">
        <f t="shared" si="125"/>
        <v>0</v>
      </c>
      <c r="N136" s="55">
        <f t="shared" si="125"/>
        <v>0</v>
      </c>
      <c r="O136" s="55">
        <f t="shared" si="125"/>
        <v>0</v>
      </c>
      <c r="P136" s="55">
        <f t="shared" si="125"/>
        <v>0</v>
      </c>
      <c r="Q136" s="55">
        <f t="shared" si="106"/>
        <v>0</v>
      </c>
    </row>
    <row r="137" spans="3:17">
      <c r="C137" s="55"/>
      <c r="D137" s="55"/>
      <c r="E137" s="55">
        <f t="shared" ref="E137:P137" si="126">E313+E486</f>
        <v>0</v>
      </c>
      <c r="F137" s="55">
        <f t="shared" si="126"/>
        <v>0</v>
      </c>
      <c r="G137" s="55">
        <f t="shared" si="126"/>
        <v>0</v>
      </c>
      <c r="H137" s="55">
        <f t="shared" si="126"/>
        <v>0</v>
      </c>
      <c r="I137" s="55">
        <f t="shared" si="126"/>
        <v>0</v>
      </c>
      <c r="J137" s="55">
        <f t="shared" si="126"/>
        <v>0</v>
      </c>
      <c r="K137" s="55">
        <f t="shared" si="126"/>
        <v>0</v>
      </c>
      <c r="L137" s="55">
        <f t="shared" si="126"/>
        <v>0</v>
      </c>
      <c r="M137" s="55">
        <f t="shared" si="126"/>
        <v>0</v>
      </c>
      <c r="N137" s="55">
        <f t="shared" si="126"/>
        <v>0</v>
      </c>
      <c r="O137" s="55">
        <f t="shared" si="126"/>
        <v>0</v>
      </c>
      <c r="P137" s="55">
        <f t="shared" si="126"/>
        <v>0</v>
      </c>
      <c r="Q137" s="55">
        <f t="shared" si="106"/>
        <v>0</v>
      </c>
    </row>
    <row r="138" spans="3:17">
      <c r="C138" s="55"/>
      <c r="D138" s="55"/>
      <c r="E138" s="55">
        <f t="shared" ref="E138:P138" si="127">E314+E487</f>
        <v>0</v>
      </c>
      <c r="F138" s="55">
        <f t="shared" si="127"/>
        <v>0</v>
      </c>
      <c r="G138" s="55">
        <f t="shared" si="127"/>
        <v>0</v>
      </c>
      <c r="H138" s="55">
        <f t="shared" si="127"/>
        <v>0</v>
      </c>
      <c r="I138" s="55">
        <f t="shared" si="127"/>
        <v>0</v>
      </c>
      <c r="J138" s="55">
        <f t="shared" si="127"/>
        <v>0</v>
      </c>
      <c r="K138" s="55">
        <f t="shared" si="127"/>
        <v>0</v>
      </c>
      <c r="L138" s="55">
        <f t="shared" si="127"/>
        <v>0</v>
      </c>
      <c r="M138" s="55">
        <f t="shared" si="127"/>
        <v>0</v>
      </c>
      <c r="N138" s="55">
        <f t="shared" si="127"/>
        <v>0</v>
      </c>
      <c r="O138" s="55">
        <f t="shared" si="127"/>
        <v>0</v>
      </c>
      <c r="P138" s="55">
        <f t="shared" si="127"/>
        <v>0</v>
      </c>
      <c r="Q138" s="55">
        <f t="shared" si="106"/>
        <v>0</v>
      </c>
    </row>
    <row r="139" spans="3:17">
      <c r="C139" s="55"/>
      <c r="D139" s="55"/>
      <c r="E139" s="55">
        <f t="shared" ref="E139:P139" si="128">E315+E488</f>
        <v>0</v>
      </c>
      <c r="F139" s="55">
        <f t="shared" si="128"/>
        <v>0</v>
      </c>
      <c r="G139" s="55">
        <f t="shared" si="128"/>
        <v>0</v>
      </c>
      <c r="H139" s="55">
        <f t="shared" si="128"/>
        <v>0</v>
      </c>
      <c r="I139" s="55">
        <f t="shared" si="128"/>
        <v>0</v>
      </c>
      <c r="J139" s="55">
        <f t="shared" si="128"/>
        <v>0</v>
      </c>
      <c r="K139" s="55">
        <f t="shared" si="128"/>
        <v>0</v>
      </c>
      <c r="L139" s="55">
        <f t="shared" si="128"/>
        <v>0</v>
      </c>
      <c r="M139" s="55">
        <f t="shared" si="128"/>
        <v>0</v>
      </c>
      <c r="N139" s="55">
        <f t="shared" si="128"/>
        <v>0</v>
      </c>
      <c r="O139" s="55">
        <f t="shared" si="128"/>
        <v>0</v>
      </c>
      <c r="P139" s="55">
        <f t="shared" si="128"/>
        <v>0</v>
      </c>
      <c r="Q139" s="55">
        <f t="shared" si="106"/>
        <v>0</v>
      </c>
    </row>
    <row r="140" spans="3:17">
      <c r="C140" s="55"/>
      <c r="D140" s="55"/>
      <c r="E140" s="55">
        <f t="shared" ref="E140:P140" si="129">E316+E489</f>
        <v>0</v>
      </c>
      <c r="F140" s="55">
        <f t="shared" si="129"/>
        <v>0</v>
      </c>
      <c r="G140" s="55">
        <f t="shared" si="129"/>
        <v>0</v>
      </c>
      <c r="H140" s="55">
        <f t="shared" si="129"/>
        <v>0</v>
      </c>
      <c r="I140" s="55">
        <f t="shared" si="129"/>
        <v>0</v>
      </c>
      <c r="J140" s="55">
        <f t="shared" si="129"/>
        <v>0</v>
      </c>
      <c r="K140" s="55">
        <f t="shared" si="129"/>
        <v>0</v>
      </c>
      <c r="L140" s="55">
        <f t="shared" si="129"/>
        <v>0</v>
      </c>
      <c r="M140" s="55">
        <f t="shared" si="129"/>
        <v>0</v>
      </c>
      <c r="N140" s="55">
        <f t="shared" si="129"/>
        <v>0</v>
      </c>
      <c r="O140" s="55">
        <f t="shared" si="129"/>
        <v>0</v>
      </c>
      <c r="P140" s="55">
        <f t="shared" si="129"/>
        <v>0</v>
      </c>
      <c r="Q140" s="55">
        <f t="shared" si="106"/>
        <v>0</v>
      </c>
    </row>
    <row r="141" ht="15" spans="3:18">
      <c r="C141" s="44" t="s">
        <v>421</v>
      </c>
      <c r="D141" s="45"/>
      <c r="E141" s="681">
        <f t="shared" ref="E141:P141" si="130">SUM(E117:E140)</f>
        <v>582.296085745236</v>
      </c>
      <c r="F141" s="681">
        <f t="shared" si="130"/>
        <v>596.004092506526</v>
      </c>
      <c r="G141" s="681">
        <f t="shared" si="130"/>
        <v>566.639991961977</v>
      </c>
      <c r="H141" s="681">
        <f t="shared" si="130"/>
        <v>457.638508701618</v>
      </c>
      <c r="I141" s="681">
        <f t="shared" si="130"/>
        <v>545.740772102054</v>
      </c>
      <c r="J141" s="681">
        <f t="shared" si="130"/>
        <v>477.93808851428</v>
      </c>
      <c r="K141" s="681">
        <f t="shared" si="130"/>
        <v>581.36669229532</v>
      </c>
      <c r="L141" s="681">
        <f t="shared" si="130"/>
        <v>452.962835391924</v>
      </c>
      <c r="M141" s="681">
        <f t="shared" si="130"/>
        <v>500.866240708856</v>
      </c>
      <c r="N141" s="681">
        <f t="shared" si="130"/>
        <v>532.546616650511</v>
      </c>
      <c r="O141" s="681">
        <f t="shared" si="130"/>
        <v>563.348803319188</v>
      </c>
      <c r="P141" s="681">
        <f t="shared" si="130"/>
        <v>583.865785642568</v>
      </c>
      <c r="Q141" s="681">
        <f t="shared" si="106"/>
        <v>6441.21451354006</v>
      </c>
      <c r="R141" s="686"/>
    </row>
    <row r="142" ht="15" spans="3:17">
      <c r="C142" s="663" t="s">
        <v>422</v>
      </c>
      <c r="D142" s="676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</row>
    <row r="143" spans="3:18">
      <c r="C143" s="55"/>
      <c r="D143" s="55" t="s">
        <v>423</v>
      </c>
      <c r="E143" s="147">
        <f t="shared" ref="E143:P143" si="131">E319+E492</f>
        <v>49.589054166455</v>
      </c>
      <c r="F143" s="147">
        <f t="shared" si="131"/>
        <v>523.287318016461</v>
      </c>
      <c r="G143" s="147">
        <f t="shared" si="131"/>
        <v>259.726184028926</v>
      </c>
      <c r="H143" s="147">
        <f t="shared" si="131"/>
        <v>22.9383239720243</v>
      </c>
      <c r="I143" s="147">
        <f t="shared" si="131"/>
        <v>0</v>
      </c>
      <c r="J143" s="147">
        <f t="shared" si="131"/>
        <v>3.45236679103654</v>
      </c>
      <c r="K143" s="147">
        <f t="shared" si="131"/>
        <v>0</v>
      </c>
      <c r="L143" s="147">
        <f t="shared" si="131"/>
        <v>32.8302081172017</v>
      </c>
      <c r="M143" s="147">
        <f t="shared" si="131"/>
        <v>25.7366368999723</v>
      </c>
      <c r="N143" s="147">
        <f t="shared" si="131"/>
        <v>20.310948673836</v>
      </c>
      <c r="O143" s="147">
        <f t="shared" si="131"/>
        <v>138.805203029544</v>
      </c>
      <c r="P143" s="147">
        <f t="shared" si="131"/>
        <v>485.077190540866</v>
      </c>
      <c r="Q143" s="147">
        <f>SUM(E143:P143)</f>
        <v>1561.75343423632</v>
      </c>
      <c r="R143" s="686"/>
    </row>
    <row r="144" spans="3:17"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</row>
    <row r="145" spans="3:17"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</row>
    <row r="146" spans="3:17"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</row>
    <row r="147" spans="3:17"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</row>
    <row r="148" spans="3:17">
      <c r="C148" s="55"/>
      <c r="D148" s="679" t="s">
        <v>534</v>
      </c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</row>
    <row r="149" spans="3:17">
      <c r="C149" s="55"/>
      <c r="D149" s="679" t="s">
        <v>535</v>
      </c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</row>
    <row r="150" spans="3:17">
      <c r="C150" s="55"/>
      <c r="D150" s="679" t="s">
        <v>502</v>
      </c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</row>
    <row r="151" spans="3:17">
      <c r="C151" s="55"/>
      <c r="D151" s="679" t="s">
        <v>503</v>
      </c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</row>
    <row r="152" spans="3:17">
      <c r="C152" s="55"/>
      <c r="D152" s="688" t="s">
        <v>504</v>
      </c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</row>
    <row r="153" spans="3:17">
      <c r="C153" s="55"/>
      <c r="D153" s="679" t="s">
        <v>505</v>
      </c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</row>
    <row r="154" spans="3:17">
      <c r="C154" s="55"/>
      <c r="D154" s="679" t="s">
        <v>506</v>
      </c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</row>
    <row r="155" spans="3:17">
      <c r="C155" s="55"/>
      <c r="D155" s="679" t="s">
        <v>507</v>
      </c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</row>
    <row r="156" spans="3:17">
      <c r="C156" s="55"/>
      <c r="D156" s="679" t="s">
        <v>508</v>
      </c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</row>
    <row r="157" spans="3:17">
      <c r="C157" s="55"/>
      <c r="D157" s="679" t="s">
        <v>509</v>
      </c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</row>
    <row r="158" spans="3:17">
      <c r="C158" s="55"/>
      <c r="D158" s="679" t="s">
        <v>510</v>
      </c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</row>
    <row r="159" spans="3:17">
      <c r="C159" s="55"/>
      <c r="D159" s="679" t="s">
        <v>511</v>
      </c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</row>
    <row r="160" spans="3:17">
      <c r="C160" s="55"/>
      <c r="D160" s="679" t="s">
        <v>512</v>
      </c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</row>
    <row r="161" spans="3:17"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</row>
    <row r="162" spans="3:17"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</row>
    <row r="163" spans="3:17"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</row>
    <row r="164" spans="3:17"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</row>
    <row r="165" spans="3:17"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</row>
    <row r="166" spans="3:17">
      <c r="C166" s="55"/>
      <c r="D166" s="55"/>
      <c r="E166" s="55">
        <f t="shared" ref="E166:P166" si="132">E338+E513</f>
        <v>0</v>
      </c>
      <c r="F166" s="55">
        <f t="shared" si="132"/>
        <v>0</v>
      </c>
      <c r="G166" s="55">
        <f t="shared" si="132"/>
        <v>0</v>
      </c>
      <c r="H166" s="55">
        <f t="shared" si="132"/>
        <v>0</v>
      </c>
      <c r="I166" s="55">
        <f t="shared" si="132"/>
        <v>0</v>
      </c>
      <c r="J166" s="55">
        <f t="shared" si="132"/>
        <v>0</v>
      </c>
      <c r="K166" s="55">
        <f t="shared" si="132"/>
        <v>0</v>
      </c>
      <c r="L166" s="55">
        <f t="shared" si="132"/>
        <v>0</v>
      </c>
      <c r="M166" s="55">
        <f t="shared" si="132"/>
        <v>0</v>
      </c>
      <c r="N166" s="55">
        <f t="shared" si="132"/>
        <v>0</v>
      </c>
      <c r="O166" s="55">
        <f t="shared" si="132"/>
        <v>0</v>
      </c>
      <c r="P166" s="55">
        <f t="shared" si="132"/>
        <v>0</v>
      </c>
      <c r="Q166" s="55">
        <f t="shared" ref="Q166:Q173" si="133">SUM(E166:P166)</f>
        <v>0</v>
      </c>
    </row>
    <row r="167" spans="3:17">
      <c r="C167" s="55"/>
      <c r="D167" s="55"/>
      <c r="E167" s="55">
        <f t="shared" ref="E167:P167" si="134">E339+E514</f>
        <v>0</v>
      </c>
      <c r="F167" s="55">
        <f t="shared" si="134"/>
        <v>0</v>
      </c>
      <c r="G167" s="55">
        <f t="shared" si="134"/>
        <v>0</v>
      </c>
      <c r="H167" s="55">
        <f t="shared" si="134"/>
        <v>0</v>
      </c>
      <c r="I167" s="55">
        <f t="shared" si="134"/>
        <v>0</v>
      </c>
      <c r="J167" s="55">
        <f t="shared" si="134"/>
        <v>0</v>
      </c>
      <c r="K167" s="55">
        <f t="shared" si="134"/>
        <v>0</v>
      </c>
      <c r="L167" s="55">
        <f t="shared" si="134"/>
        <v>0</v>
      </c>
      <c r="M167" s="55">
        <f t="shared" si="134"/>
        <v>0</v>
      </c>
      <c r="N167" s="55">
        <f t="shared" si="134"/>
        <v>0</v>
      </c>
      <c r="O167" s="55">
        <f t="shared" si="134"/>
        <v>0</v>
      </c>
      <c r="P167" s="55">
        <f t="shared" si="134"/>
        <v>0</v>
      </c>
      <c r="Q167" s="55">
        <f t="shared" si="133"/>
        <v>0</v>
      </c>
    </row>
    <row r="168" spans="3:17">
      <c r="C168" s="55"/>
      <c r="D168" s="55"/>
      <c r="E168" s="55">
        <f t="shared" ref="E168:P168" si="135">E340+E515</f>
        <v>0</v>
      </c>
      <c r="F168" s="55">
        <f t="shared" si="135"/>
        <v>0</v>
      </c>
      <c r="G168" s="55">
        <f t="shared" si="135"/>
        <v>0</v>
      </c>
      <c r="H168" s="55">
        <f t="shared" si="135"/>
        <v>0</v>
      </c>
      <c r="I168" s="55">
        <f t="shared" si="135"/>
        <v>0</v>
      </c>
      <c r="J168" s="55">
        <f t="shared" si="135"/>
        <v>0</v>
      </c>
      <c r="K168" s="55">
        <f t="shared" si="135"/>
        <v>0</v>
      </c>
      <c r="L168" s="55">
        <f t="shared" si="135"/>
        <v>0</v>
      </c>
      <c r="M168" s="55">
        <f t="shared" si="135"/>
        <v>0</v>
      </c>
      <c r="N168" s="55">
        <f t="shared" si="135"/>
        <v>0</v>
      </c>
      <c r="O168" s="55">
        <f t="shared" si="135"/>
        <v>0</v>
      </c>
      <c r="P168" s="55">
        <f t="shared" si="135"/>
        <v>0</v>
      </c>
      <c r="Q168" s="55">
        <f t="shared" si="133"/>
        <v>0</v>
      </c>
    </row>
    <row r="169" spans="3:17">
      <c r="C169" s="55"/>
      <c r="D169" s="55"/>
      <c r="E169" s="55">
        <f t="shared" ref="E169:P169" si="136">E341+E516</f>
        <v>0</v>
      </c>
      <c r="F169" s="55">
        <f t="shared" si="136"/>
        <v>0</v>
      </c>
      <c r="G169" s="55">
        <f t="shared" si="136"/>
        <v>0</v>
      </c>
      <c r="H169" s="55">
        <f t="shared" si="136"/>
        <v>0</v>
      </c>
      <c r="I169" s="55">
        <f t="shared" si="136"/>
        <v>0</v>
      </c>
      <c r="J169" s="55">
        <f t="shared" si="136"/>
        <v>0</v>
      </c>
      <c r="K169" s="55">
        <f t="shared" si="136"/>
        <v>0</v>
      </c>
      <c r="L169" s="55">
        <f t="shared" si="136"/>
        <v>0</v>
      </c>
      <c r="M169" s="55">
        <f t="shared" si="136"/>
        <v>0</v>
      </c>
      <c r="N169" s="55">
        <f t="shared" si="136"/>
        <v>0</v>
      </c>
      <c r="O169" s="55">
        <f t="shared" si="136"/>
        <v>0</v>
      </c>
      <c r="P169" s="55">
        <f t="shared" si="136"/>
        <v>0</v>
      </c>
      <c r="Q169" s="55">
        <f t="shared" si="133"/>
        <v>0</v>
      </c>
    </row>
    <row r="170" spans="3:17">
      <c r="C170" s="55"/>
      <c r="D170" s="55"/>
      <c r="E170" s="55">
        <f t="shared" ref="E170:P170" si="137">E342+E517</f>
        <v>0</v>
      </c>
      <c r="F170" s="55">
        <f t="shared" si="137"/>
        <v>0</v>
      </c>
      <c r="G170" s="55">
        <f t="shared" si="137"/>
        <v>0</v>
      </c>
      <c r="H170" s="55">
        <f t="shared" si="137"/>
        <v>0</v>
      </c>
      <c r="I170" s="55">
        <f t="shared" si="137"/>
        <v>0</v>
      </c>
      <c r="J170" s="55">
        <f t="shared" si="137"/>
        <v>0</v>
      </c>
      <c r="K170" s="55">
        <f t="shared" si="137"/>
        <v>0</v>
      </c>
      <c r="L170" s="55">
        <f t="shared" si="137"/>
        <v>0</v>
      </c>
      <c r="M170" s="55">
        <f t="shared" si="137"/>
        <v>0</v>
      </c>
      <c r="N170" s="55">
        <f t="shared" si="137"/>
        <v>0</v>
      </c>
      <c r="O170" s="55">
        <f t="shared" si="137"/>
        <v>0</v>
      </c>
      <c r="P170" s="55">
        <f t="shared" si="137"/>
        <v>0</v>
      </c>
      <c r="Q170" s="55">
        <f t="shared" si="133"/>
        <v>0</v>
      </c>
    </row>
    <row r="171" spans="3:17">
      <c r="C171" s="55"/>
      <c r="D171" s="55"/>
      <c r="E171" s="55">
        <f t="shared" ref="E171:P171" si="138">E343+E518</f>
        <v>0</v>
      </c>
      <c r="F171" s="55">
        <f t="shared" si="138"/>
        <v>0</v>
      </c>
      <c r="G171" s="55">
        <f t="shared" si="138"/>
        <v>0</v>
      </c>
      <c r="H171" s="55">
        <f t="shared" si="138"/>
        <v>0</v>
      </c>
      <c r="I171" s="55">
        <f t="shared" si="138"/>
        <v>0</v>
      </c>
      <c r="J171" s="55">
        <f t="shared" si="138"/>
        <v>0</v>
      </c>
      <c r="K171" s="55">
        <f t="shared" si="138"/>
        <v>0</v>
      </c>
      <c r="L171" s="55">
        <f t="shared" si="138"/>
        <v>0</v>
      </c>
      <c r="M171" s="55">
        <f t="shared" si="138"/>
        <v>0</v>
      </c>
      <c r="N171" s="55">
        <f t="shared" si="138"/>
        <v>0</v>
      </c>
      <c r="O171" s="55">
        <f t="shared" si="138"/>
        <v>0</v>
      </c>
      <c r="P171" s="55">
        <f t="shared" si="138"/>
        <v>0</v>
      </c>
      <c r="Q171" s="55">
        <f t="shared" si="133"/>
        <v>0</v>
      </c>
    </row>
    <row r="172" spans="3:17">
      <c r="C172" s="55"/>
      <c r="D172" s="55"/>
      <c r="E172" s="55">
        <f t="shared" ref="E172:P172" si="139">E344+E519</f>
        <v>0</v>
      </c>
      <c r="F172" s="55">
        <f t="shared" si="139"/>
        <v>0</v>
      </c>
      <c r="G172" s="55">
        <f t="shared" si="139"/>
        <v>0</v>
      </c>
      <c r="H172" s="55">
        <f t="shared" si="139"/>
        <v>0</v>
      </c>
      <c r="I172" s="55">
        <f t="shared" si="139"/>
        <v>0</v>
      </c>
      <c r="J172" s="55">
        <f t="shared" si="139"/>
        <v>0</v>
      </c>
      <c r="K172" s="55">
        <f t="shared" si="139"/>
        <v>0</v>
      </c>
      <c r="L172" s="55">
        <f t="shared" si="139"/>
        <v>0</v>
      </c>
      <c r="M172" s="55">
        <f t="shared" si="139"/>
        <v>0</v>
      </c>
      <c r="N172" s="55">
        <f t="shared" si="139"/>
        <v>0</v>
      </c>
      <c r="O172" s="55">
        <f t="shared" si="139"/>
        <v>0</v>
      </c>
      <c r="P172" s="55">
        <f t="shared" si="139"/>
        <v>0</v>
      </c>
      <c r="Q172" s="55">
        <f t="shared" si="133"/>
        <v>0</v>
      </c>
    </row>
    <row r="173" ht="15" spans="3:18">
      <c r="C173" s="44" t="s">
        <v>424</v>
      </c>
      <c r="D173" s="45"/>
      <c r="E173" s="54">
        <f t="shared" ref="E173:P173" si="140">SUM(E143:E172)</f>
        <v>49.589054166455</v>
      </c>
      <c r="F173" s="54">
        <f t="shared" si="140"/>
        <v>523.287318016461</v>
      </c>
      <c r="G173" s="54">
        <f t="shared" si="140"/>
        <v>259.726184028926</v>
      </c>
      <c r="H173" s="54">
        <f t="shared" si="140"/>
        <v>22.9383239720243</v>
      </c>
      <c r="I173" s="54">
        <f t="shared" si="140"/>
        <v>0</v>
      </c>
      <c r="J173" s="54">
        <f t="shared" si="140"/>
        <v>3.45236679103654</v>
      </c>
      <c r="K173" s="54">
        <f t="shared" si="140"/>
        <v>0</v>
      </c>
      <c r="L173" s="54">
        <f t="shared" si="140"/>
        <v>32.8302081172017</v>
      </c>
      <c r="M173" s="54">
        <f t="shared" si="140"/>
        <v>25.7366368999723</v>
      </c>
      <c r="N173" s="54">
        <f t="shared" si="140"/>
        <v>20.310948673836</v>
      </c>
      <c r="O173" s="54">
        <f t="shared" si="140"/>
        <v>138.805203029544</v>
      </c>
      <c r="P173" s="54">
        <f t="shared" si="140"/>
        <v>485.077190540866</v>
      </c>
      <c r="Q173" s="54">
        <f t="shared" si="133"/>
        <v>1561.75343423632</v>
      </c>
      <c r="R173" s="686"/>
    </row>
    <row r="174" ht="15" spans="3:17">
      <c r="C174" s="663" t="s">
        <v>425</v>
      </c>
      <c r="D174" s="676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</row>
    <row r="175" spans="3:18">
      <c r="C175" s="55" t="s">
        <v>426</v>
      </c>
      <c r="D175" s="55" t="s">
        <v>427</v>
      </c>
      <c r="E175" s="55">
        <f t="shared" ref="E175:P175" si="141">E347+E522</f>
        <v>134.443506533265</v>
      </c>
      <c r="F175" s="55">
        <f t="shared" si="141"/>
        <v>254.740404353209</v>
      </c>
      <c r="G175" s="55">
        <f t="shared" si="141"/>
        <v>257.536117097196</v>
      </c>
      <c r="H175" s="55">
        <f t="shared" si="141"/>
        <v>176.904396479004</v>
      </c>
      <c r="I175" s="55">
        <f t="shared" si="141"/>
        <v>190.281881799814</v>
      </c>
      <c r="J175" s="55">
        <f t="shared" si="141"/>
        <v>203.984714950292</v>
      </c>
      <c r="K175" s="55">
        <f t="shared" si="141"/>
        <v>164.382424462502</v>
      </c>
      <c r="L175" s="55">
        <f t="shared" si="141"/>
        <v>209.254223660672</v>
      </c>
      <c r="M175" s="55">
        <f t="shared" si="141"/>
        <v>141.542255844292</v>
      </c>
      <c r="N175" s="55">
        <f t="shared" si="141"/>
        <v>141.581435985722</v>
      </c>
      <c r="O175" s="55">
        <f t="shared" si="141"/>
        <v>25.9206694641046</v>
      </c>
      <c r="P175" s="55">
        <f t="shared" si="141"/>
        <v>4.55013329013403</v>
      </c>
      <c r="Q175" s="55">
        <f>SUM(E175:P175)</f>
        <v>1905.12216392021</v>
      </c>
      <c r="R175" s="686"/>
    </row>
    <row r="176" spans="3:17">
      <c r="C176" s="55" t="s">
        <v>426</v>
      </c>
      <c r="D176" s="55" t="s">
        <v>428</v>
      </c>
      <c r="E176" s="55">
        <f t="shared" ref="E176:P176" si="142">E348+E523</f>
        <v>0</v>
      </c>
      <c r="F176" s="55">
        <f t="shared" si="142"/>
        <v>0</v>
      </c>
      <c r="G176" s="55">
        <f t="shared" si="142"/>
        <v>0</v>
      </c>
      <c r="H176" s="55">
        <f t="shared" si="142"/>
        <v>0</v>
      </c>
      <c r="I176" s="55">
        <f t="shared" si="142"/>
        <v>0</v>
      </c>
      <c r="J176" s="55">
        <f t="shared" si="142"/>
        <v>0</v>
      </c>
      <c r="K176" s="55">
        <f t="shared" si="142"/>
        <v>0</v>
      </c>
      <c r="L176" s="55">
        <f t="shared" si="142"/>
        <v>0</v>
      </c>
      <c r="M176" s="55">
        <f t="shared" si="142"/>
        <v>0</v>
      </c>
      <c r="N176" s="55">
        <f t="shared" si="142"/>
        <v>0</v>
      </c>
      <c r="O176" s="55">
        <f t="shared" si="142"/>
        <v>0</v>
      </c>
      <c r="P176" s="55">
        <f t="shared" si="142"/>
        <v>0</v>
      </c>
      <c r="Q176" s="55">
        <f>SUM(E176:P176)</f>
        <v>0</v>
      </c>
    </row>
    <row r="177" ht="15" spans="3:18">
      <c r="C177" s="44" t="s">
        <v>429</v>
      </c>
      <c r="D177" s="45"/>
      <c r="E177" s="54">
        <f t="shared" ref="E177:P177" si="143">E175+E176</f>
        <v>134.443506533265</v>
      </c>
      <c r="F177" s="54">
        <f t="shared" si="143"/>
        <v>254.740404353209</v>
      </c>
      <c r="G177" s="54">
        <f t="shared" si="143"/>
        <v>257.536117097196</v>
      </c>
      <c r="H177" s="54">
        <f t="shared" si="143"/>
        <v>176.904396479004</v>
      </c>
      <c r="I177" s="54">
        <f t="shared" si="143"/>
        <v>190.281881799814</v>
      </c>
      <c r="J177" s="54">
        <f t="shared" si="143"/>
        <v>203.984714950292</v>
      </c>
      <c r="K177" s="54">
        <f t="shared" si="143"/>
        <v>164.382424462502</v>
      </c>
      <c r="L177" s="54">
        <f t="shared" si="143"/>
        <v>209.254223660672</v>
      </c>
      <c r="M177" s="54">
        <f t="shared" si="143"/>
        <v>141.542255844292</v>
      </c>
      <c r="N177" s="54">
        <f t="shared" si="143"/>
        <v>141.581435985722</v>
      </c>
      <c r="O177" s="54">
        <f t="shared" si="143"/>
        <v>25.9206694641046</v>
      </c>
      <c r="P177" s="54">
        <f t="shared" si="143"/>
        <v>4.55013329013403</v>
      </c>
      <c r="Q177" s="54">
        <f>SUM(E177:P177)</f>
        <v>1905.12216392021</v>
      </c>
      <c r="R177" s="686"/>
    </row>
    <row r="178" ht="15" spans="3:18">
      <c r="C178" s="44" t="s">
        <v>224</v>
      </c>
      <c r="D178" s="45"/>
      <c r="E178" s="54">
        <f t="shared" ref="E178:Q178" si="144">E50+E96+E105+E115+E141+E173+E177</f>
        <v>3994.04506817728</v>
      </c>
      <c r="F178" s="54">
        <f t="shared" si="144"/>
        <v>3558.24595224509</v>
      </c>
      <c r="G178" s="54">
        <f t="shared" si="144"/>
        <v>3442.30167572716</v>
      </c>
      <c r="H178" s="54">
        <f t="shared" si="144"/>
        <v>3384.59811242593</v>
      </c>
      <c r="I178" s="54">
        <f t="shared" si="144"/>
        <v>3612.4174635044</v>
      </c>
      <c r="J178" s="54">
        <f t="shared" si="144"/>
        <v>3692.99970281309</v>
      </c>
      <c r="K178" s="54">
        <f t="shared" si="144"/>
        <v>3500.55245718711</v>
      </c>
      <c r="L178" s="54">
        <f t="shared" si="144"/>
        <v>3452.73034458873</v>
      </c>
      <c r="M178" s="54">
        <f t="shared" si="144"/>
        <v>3614.63102169444</v>
      </c>
      <c r="N178" s="54">
        <f t="shared" si="144"/>
        <v>3893.64833365918</v>
      </c>
      <c r="O178" s="54">
        <f t="shared" si="144"/>
        <v>3911.34900675327</v>
      </c>
      <c r="P178" s="54">
        <f t="shared" si="144"/>
        <v>4717.92934484994</v>
      </c>
      <c r="Q178" s="54">
        <f t="shared" si="144"/>
        <v>46063.0988636256</v>
      </c>
      <c r="R178" s="686"/>
    </row>
    <row r="180" ht="15" spans="3:10">
      <c r="C180" s="11" t="s">
        <v>513</v>
      </c>
      <c r="J180" s="3"/>
    </row>
    <row r="181" ht="15" spans="3:17">
      <c r="C181" s="14"/>
      <c r="Q181" s="3" t="s">
        <v>109</v>
      </c>
    </row>
    <row r="182" ht="15" spans="3:17">
      <c r="C182" s="658" t="s">
        <v>345</v>
      </c>
      <c r="D182" s="658" t="s">
        <v>346</v>
      </c>
      <c r="E182" s="135" t="s">
        <v>461</v>
      </c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</row>
    <row r="183" ht="15" spans="3:17">
      <c r="C183" s="660"/>
      <c r="D183" s="660"/>
      <c r="E183" s="135" t="s">
        <v>246</v>
      </c>
      <c r="F183" s="135" t="s">
        <v>247</v>
      </c>
      <c r="G183" s="135" t="s">
        <v>248</v>
      </c>
      <c r="H183" s="135" t="s">
        <v>249</v>
      </c>
      <c r="I183" s="135" t="s">
        <v>250</v>
      </c>
      <c r="J183" s="135" t="s">
        <v>251</v>
      </c>
      <c r="K183" s="135" t="s">
        <v>252</v>
      </c>
      <c r="L183" s="135" t="s">
        <v>253</v>
      </c>
      <c r="M183" s="135" t="s">
        <v>254</v>
      </c>
      <c r="N183" s="135" t="s">
        <v>255</v>
      </c>
      <c r="O183" s="135" t="s">
        <v>256</v>
      </c>
      <c r="P183" s="135" t="s">
        <v>257</v>
      </c>
      <c r="Q183" s="135" t="s">
        <v>97</v>
      </c>
    </row>
    <row r="184" spans="3:17">
      <c r="C184" s="662"/>
      <c r="D184" s="662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</row>
    <row r="185" ht="15" spans="2:17">
      <c r="B185" s="656"/>
      <c r="C185" s="663" t="s">
        <v>349</v>
      </c>
      <c r="D185" s="676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</row>
    <row r="186" ht="15" spans="3:17">
      <c r="C186" s="44" t="s">
        <v>350</v>
      </c>
      <c r="D186" s="4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</row>
    <row r="187" spans="2:17">
      <c r="B187" s="656"/>
      <c r="C187" s="689" t="s">
        <v>351</v>
      </c>
      <c r="D187" s="47" t="s">
        <v>352</v>
      </c>
      <c r="E187" s="690">
        <f>'[40]TGSPDCL MoD'!U4+'[40]TGSPDCL MoD'!U5</f>
        <v>30.7614314002905</v>
      </c>
      <c r="F187" s="690">
        <f>'[40]TGSPDCL MoD'!V4+'[40]TGSPDCL MoD'!V5</f>
        <v>38.5982722570312</v>
      </c>
      <c r="G187" s="690">
        <f>'[40]TGSPDCL MoD'!W4+'[40]TGSPDCL MoD'!W5</f>
        <v>37.3531667003528</v>
      </c>
      <c r="H187" s="690">
        <f>'[40]TGSPDCL MoD'!X4+'[40]TGSPDCL MoD'!X5</f>
        <v>0</v>
      </c>
      <c r="I187" s="690">
        <f>'[40]TGSPDCL MoD'!Y4+'[40]TGSPDCL MoD'!Y5</f>
        <v>12.4876763184513</v>
      </c>
      <c r="J187" s="690">
        <f>'[40]TGSPDCL MoD'!Z4+'[40]TGSPDCL MoD'!Z5</f>
        <v>25.8176299252438</v>
      </c>
      <c r="K187" s="690">
        <f>'[40]TGSPDCL MoD'!AA4+'[40]TGSPDCL MoD'!AA5</f>
        <v>24.9753526369026</v>
      </c>
      <c r="L187" s="690">
        <f>'[40]TGSPDCL MoD'!AB4+'[40]TGSPDCL MoD'!AB5</f>
        <v>30.9426777035039</v>
      </c>
      <c r="M187" s="690">
        <f>'[40]TGSPDCL MoD'!AC4+'[40]TGSPDCL MoD'!AC5</f>
        <v>27.5296500656767</v>
      </c>
      <c r="N187" s="690">
        <f>'[40]TGSPDCL MoD'!AD4+'[40]TGSPDCL MoD'!AD5</f>
        <v>27.5296500656767</v>
      </c>
      <c r="O187" s="690">
        <f>'[40]TGSPDCL MoD'!AE4+'[40]TGSPDCL MoD'!AE5</f>
        <v>31.3290530511293</v>
      </c>
      <c r="P187" s="690">
        <f>'[40]TGSPDCL MoD'!AF4+'[40]TGSPDCL MoD'!AF5</f>
        <v>34.3411098757411</v>
      </c>
      <c r="Q187" s="690">
        <f t="shared" ref="Q187:Q205" si="145">SUM(E187:P187)</f>
        <v>321.66567</v>
      </c>
    </row>
    <row r="188" spans="2:17">
      <c r="B188" s="656"/>
      <c r="C188" s="691"/>
      <c r="D188" s="47" t="s">
        <v>353</v>
      </c>
      <c r="E188" s="690">
        <f>'[40]TGSPDCL MoD'!U6</f>
        <v>39.5563127508512</v>
      </c>
      <c r="F188" s="690">
        <f>'[40]TGSPDCL MoD'!V6</f>
        <v>0</v>
      </c>
      <c r="G188" s="690">
        <f>'[40]TGSPDCL MoD'!W6</f>
        <v>22.7951632801515</v>
      </c>
      <c r="H188" s="690">
        <f>'[40]TGSPDCL MoD'!X6</f>
        <v>35.5016262838279</v>
      </c>
      <c r="I188" s="690">
        <f>'[40]TGSPDCL MoD'!Y6</f>
        <v>31.4758237448929</v>
      </c>
      <c r="J188" s="690">
        <f>'[40]TGSPDCL MoD'!Z6</f>
        <v>32.38391162269</v>
      </c>
      <c r="K188" s="690">
        <f>'[40]TGSPDCL MoD'!AA6</f>
        <v>30.4829438373791</v>
      </c>
      <c r="L188" s="690">
        <f>'[40]TGSPDCL MoD'!AB6</f>
        <v>45.4354931238025</v>
      </c>
      <c r="M188" s="690">
        <f>'[40]TGSPDCL MoD'!AC6</f>
        <v>36.2004147107065</v>
      </c>
      <c r="N188" s="690">
        <f>'[40]TGSPDCL MoD'!AD6</f>
        <v>38.4657150752623</v>
      </c>
      <c r="O188" s="690">
        <f>'[40]TGSPDCL MoD'!AE6</f>
        <v>38.2377689924895</v>
      </c>
      <c r="P188" s="690">
        <f>'[40]TGSPDCL MoD'!AF6</f>
        <v>45.0316215779465</v>
      </c>
      <c r="Q188" s="690">
        <f t="shared" si="145"/>
        <v>395.566795</v>
      </c>
    </row>
    <row r="189" spans="2:17">
      <c r="B189" s="656"/>
      <c r="C189" s="691"/>
      <c r="D189" s="47" t="s">
        <v>354</v>
      </c>
      <c r="E189" s="690">
        <f>'[40]TGSPDCL MoD'!U7</f>
        <v>104.068286204892</v>
      </c>
      <c r="F189" s="690">
        <f>'[40]TGSPDCL MoD'!V7</f>
        <v>0</v>
      </c>
      <c r="G189" s="690">
        <f>'[40]TGSPDCL MoD'!W7</f>
        <v>58.4846567101874</v>
      </c>
      <c r="H189" s="690">
        <f>'[40]TGSPDCL MoD'!X7</f>
        <v>98.1377981806301</v>
      </c>
      <c r="I189" s="690">
        <f>'[40]TGSPDCL MoD'!Y7</f>
        <v>80.8751061663915</v>
      </c>
      <c r="J189" s="690">
        <f>'[40]TGSPDCL MoD'!Z7</f>
        <v>88.5870535463133</v>
      </c>
      <c r="K189" s="690">
        <f>'[40]TGSPDCL MoD'!AA7</f>
        <v>79.1642996969606</v>
      </c>
      <c r="L189" s="690">
        <f>'[40]TGSPDCL MoD'!AB7</f>
        <v>117.837898668173</v>
      </c>
      <c r="M189" s="690">
        <f>'[40]TGSPDCL MoD'!AC7</f>
        <v>102.353807192234</v>
      </c>
      <c r="N189" s="690">
        <f>'[40]TGSPDCL MoD'!AD7</f>
        <v>100.30509578513</v>
      </c>
      <c r="O189" s="690">
        <f>'[40]TGSPDCL MoD'!AE7</f>
        <v>99.0444841138517</v>
      </c>
      <c r="P189" s="690">
        <f>'[40]TGSPDCL MoD'!AF7</f>
        <v>120.382278735237</v>
      </c>
      <c r="Q189" s="690">
        <f t="shared" si="145"/>
        <v>1049.240765</v>
      </c>
    </row>
    <row r="190" spans="2:17">
      <c r="B190" s="656"/>
      <c r="C190" s="691"/>
      <c r="D190" s="47" t="s">
        <v>355</v>
      </c>
      <c r="E190" s="690">
        <f>'[40]TGSPDCL MoD'!U8</f>
        <v>9.83845299189525</v>
      </c>
      <c r="F190" s="690">
        <f>'[40]TGSPDCL MoD'!V8</f>
        <v>0</v>
      </c>
      <c r="G190" s="690">
        <f>'[40]TGSPDCL MoD'!W8</f>
        <v>5.97334645936491</v>
      </c>
      <c r="H190" s="690">
        <f>'[40]TGSPDCL MoD'!X8</f>
        <v>8.53251548166152</v>
      </c>
      <c r="I190" s="690">
        <f>'[40]TGSPDCL MoD'!Y8</f>
        <v>7.98788683389588</v>
      </c>
      <c r="J190" s="690">
        <f>'[40]TGSPDCL MoD'!Z8</f>
        <v>8.25727304676921</v>
      </c>
      <c r="K190" s="690">
        <f>'[40]TGSPDCL MoD'!AA8</f>
        <v>7.98788683389588</v>
      </c>
      <c r="L190" s="690">
        <f>'[40]TGSPDCL MoD'!AB8</f>
        <v>9.73122847033802</v>
      </c>
      <c r="M190" s="690">
        <f>'[40]TGSPDCL MoD'!AC8</f>
        <v>8.80482980554433</v>
      </c>
      <c r="N190" s="690">
        <f>'[40]TGSPDCL MoD'!AD8</f>
        <v>8.80482980554433</v>
      </c>
      <c r="O190" s="690">
        <f>'[40]TGSPDCL MoD'!AE8</f>
        <v>10.0199958744838</v>
      </c>
      <c r="P190" s="690">
        <f>'[40]TGSPDCL MoD'!AF8</f>
        <v>10.9833443966069</v>
      </c>
      <c r="Q190" s="690">
        <f t="shared" si="145"/>
        <v>96.92159</v>
      </c>
    </row>
    <row r="191" spans="2:17">
      <c r="B191" s="656"/>
      <c r="C191" s="691"/>
      <c r="D191" s="47" t="s">
        <v>356</v>
      </c>
      <c r="E191" s="690">
        <f>'[40]TGSPDCL MoD'!U9</f>
        <v>33.6062004666328</v>
      </c>
      <c r="F191" s="690">
        <f>'[40]TGSPDCL MoD'!V9</f>
        <v>34.7264071488539</v>
      </c>
      <c r="G191" s="690">
        <f>'[40]TGSPDCL MoD'!W9</f>
        <v>33.6062004666328</v>
      </c>
      <c r="H191" s="690">
        <f>'[40]TGSPDCL MoD'!X9</f>
        <v>35.4600636379142</v>
      </c>
      <c r="I191" s="690">
        <f>'[40]TGSPDCL MoD'!Y9</f>
        <v>28.8571552363716</v>
      </c>
      <c r="J191" s="690">
        <f>'[40]TGSPDCL MoD'!Z9</f>
        <v>31.595470459313</v>
      </c>
      <c r="K191" s="690">
        <f>'[40]TGSPDCL MoD'!AA9</f>
        <v>0</v>
      </c>
      <c r="L191" s="690">
        <f>'[40]TGSPDCL MoD'!AB9</f>
        <v>16.8031002333164</v>
      </c>
      <c r="M191" s="690">
        <f>'[40]TGSPDCL MoD'!AC9</f>
        <v>33.5892839854136</v>
      </c>
      <c r="N191" s="690">
        <f>'[40]TGSPDCL MoD'!AD9</f>
        <v>30.3244682144921</v>
      </c>
      <c r="O191" s="690">
        <f>'[40]TGSPDCL MoD'!AE9</f>
        <v>29.7406985350248</v>
      </c>
      <c r="P191" s="690">
        <f>'[40]TGSPDCL MoD'!AF9</f>
        <v>36.9273766160348</v>
      </c>
      <c r="Q191" s="690">
        <f t="shared" si="145"/>
        <v>345.236425</v>
      </c>
    </row>
    <row r="192" spans="2:17">
      <c r="B192" s="656"/>
      <c r="C192" s="691"/>
      <c r="D192" s="47" t="s">
        <v>357</v>
      </c>
      <c r="E192" s="690">
        <f>'[40]TGSPDCL MoD'!U10</f>
        <v>57.3010842722331</v>
      </c>
      <c r="F192" s="690">
        <f>'[40]TGSPDCL MoD'!V10</f>
        <v>59.2111204146409</v>
      </c>
      <c r="G192" s="690">
        <f>'[40]TGSPDCL MoD'!W10</f>
        <v>57.3010842722331</v>
      </c>
      <c r="H192" s="690">
        <f>'[40]TGSPDCL MoD'!X10</f>
        <v>60.4620595783305</v>
      </c>
      <c r="I192" s="690">
        <f>'[40]TGSPDCL MoD'!Y10</f>
        <v>50.4545462688137</v>
      </c>
      <c r="J192" s="690">
        <f>'[40]TGSPDCL MoD'!Z10</f>
        <v>55.5705246143561</v>
      </c>
      <c r="K192" s="690">
        <f>'[40]TGSPDCL MoD'!AA10</f>
        <v>48.360927513149</v>
      </c>
      <c r="L192" s="690">
        <f>'[40]TGSPDCL MoD'!AB10</f>
        <v>0</v>
      </c>
      <c r="M192" s="690">
        <f>'[40]TGSPDCL MoD'!AC10</f>
        <v>29.6055602073205</v>
      </c>
      <c r="N192" s="690">
        <f>'[40]TGSPDCL MoD'!AD10</f>
        <v>56.6174499268963</v>
      </c>
      <c r="O192" s="690">
        <f>'[40]TGSPDCL MoD'!AE10</f>
        <v>54.3911775352481</v>
      </c>
      <c r="P192" s="690">
        <f>'[40]TGSPDCL MoD'!AF10</f>
        <v>66.7167553967785</v>
      </c>
      <c r="Q192" s="690">
        <f t="shared" si="145"/>
        <v>595.99229</v>
      </c>
    </row>
    <row r="193" spans="2:17">
      <c r="B193" s="656"/>
      <c r="C193" s="691"/>
      <c r="D193" s="47" t="s">
        <v>358</v>
      </c>
      <c r="E193" s="690">
        <f>SUM('[40]TGSPDCL MoD'!U11:U14)</f>
        <v>142.775241786413</v>
      </c>
      <c r="F193" s="690">
        <f>SUM('[40]TGSPDCL MoD'!V11:V14)</f>
        <v>73.3041291427806</v>
      </c>
      <c r="G193" s="690">
        <f>SUM('[40]TGSPDCL MoD'!W11:W14)</f>
        <v>106.857360801004</v>
      </c>
      <c r="H193" s="690">
        <f>SUM('[40]TGSPDCL MoD'!X11:X14)</f>
        <v>150.651340805147</v>
      </c>
      <c r="I193" s="690">
        <f>SUM('[40]TGSPDCL MoD'!Y11:Y14)</f>
        <v>107.943645142105</v>
      </c>
      <c r="J193" s="690">
        <f>SUM('[40]TGSPDCL MoD'!Z11:Z14)</f>
        <v>103.110715895301</v>
      </c>
      <c r="K193" s="690">
        <f>SUM('[40]TGSPDCL MoD'!AA11:AA14)</f>
        <v>116.365173587424</v>
      </c>
      <c r="L193" s="690">
        <f>SUM('[40]TGSPDCL MoD'!AB11:AB14)</f>
        <v>106.951285690079</v>
      </c>
      <c r="M193" s="690">
        <f>SUM('[40]TGSPDCL MoD'!AC11:AC14)</f>
        <v>129.025372529521</v>
      </c>
      <c r="N193" s="690">
        <f>SUM('[40]TGSPDCL MoD'!AD11:AD14)</f>
        <v>133.744531017846</v>
      </c>
      <c r="O193" s="690">
        <f>SUM('[40]TGSPDCL MoD'!AE11:AE14)</f>
        <v>131.531029667788</v>
      </c>
      <c r="P193" s="690">
        <f>SUM('[40]TGSPDCL MoD'!AF11:AF14)</f>
        <v>158.477923934593</v>
      </c>
      <c r="Q193" s="690">
        <f t="shared" si="145"/>
        <v>1460.73775</v>
      </c>
    </row>
    <row r="194" spans="2:17">
      <c r="B194" s="656"/>
      <c r="C194" s="691"/>
      <c r="D194" s="47" t="s">
        <v>359</v>
      </c>
      <c r="E194" s="690">
        <f>SUM('[40]TGSPDCL MoD'!U15:U19)</f>
        <v>455.737762949306</v>
      </c>
      <c r="F194" s="690">
        <f>SUM('[40]TGSPDCL MoD'!V15:V19)</f>
        <v>275.372538801842</v>
      </c>
      <c r="G194" s="690">
        <f>SUM('[40]TGSPDCL MoD'!W15:W19)</f>
        <v>271.786876440021</v>
      </c>
      <c r="H194" s="690">
        <f>SUM('[40]TGSPDCL MoD'!X15:X19)</f>
        <v>300.088733432706</v>
      </c>
      <c r="I194" s="690">
        <f>SUM('[40]TGSPDCL MoD'!Y15:Y19)</f>
        <v>423.545345165838</v>
      </c>
      <c r="J194" s="690">
        <f>SUM('[40]TGSPDCL MoD'!Z15:Z19)</f>
        <v>477.587727758756</v>
      </c>
      <c r="K194" s="690">
        <f>SUM('[40]TGSPDCL MoD'!AA15:AA19)</f>
        <v>434.066969428399</v>
      </c>
      <c r="L194" s="690">
        <f>SUM('[40]TGSPDCL MoD'!AB15:AB19)</f>
        <v>360.497910359133</v>
      </c>
      <c r="M194" s="690">
        <f>SUM('[40]TGSPDCL MoD'!AC15:AC19)</f>
        <v>420.668490339183</v>
      </c>
      <c r="N194" s="690">
        <f>SUM('[40]TGSPDCL MoD'!AD15:AD19)</f>
        <v>469.047642317194</v>
      </c>
      <c r="O194" s="690">
        <f>SUM('[40]TGSPDCL MoD'!AE15:AE19)</f>
        <v>444.795425479642</v>
      </c>
      <c r="P194" s="690">
        <f>SUM('[40]TGSPDCL MoD'!AF15:AF19)</f>
        <v>511.743784675266</v>
      </c>
      <c r="Q194" s="690">
        <f t="shared" si="145"/>
        <v>4844.93920714729</v>
      </c>
    </row>
    <row r="195" spans="2:17">
      <c r="B195" s="656"/>
      <c r="C195" s="691"/>
      <c r="D195" s="679"/>
      <c r="E195" s="690"/>
      <c r="F195" s="690"/>
      <c r="G195" s="690"/>
      <c r="H195" s="690"/>
      <c r="I195" s="690"/>
      <c r="J195" s="690"/>
      <c r="K195" s="690"/>
      <c r="L195" s="690"/>
      <c r="M195" s="690"/>
      <c r="N195" s="690"/>
      <c r="O195" s="690"/>
      <c r="P195" s="690"/>
      <c r="Q195" s="690">
        <f t="shared" si="145"/>
        <v>0</v>
      </c>
    </row>
    <row r="196" spans="2:17">
      <c r="B196" s="656"/>
      <c r="C196" s="691"/>
      <c r="D196" s="47"/>
      <c r="E196" s="690"/>
      <c r="F196" s="690"/>
      <c r="G196" s="690"/>
      <c r="H196" s="690"/>
      <c r="I196" s="690"/>
      <c r="J196" s="690"/>
      <c r="K196" s="690"/>
      <c r="L196" s="690"/>
      <c r="M196" s="690"/>
      <c r="N196" s="690"/>
      <c r="O196" s="690"/>
      <c r="P196" s="690"/>
      <c r="Q196" s="690">
        <f t="shared" si="145"/>
        <v>0</v>
      </c>
    </row>
    <row r="197" spans="2:17">
      <c r="B197" s="656"/>
      <c r="C197" s="691"/>
      <c r="D197" s="47"/>
      <c r="E197" s="690"/>
      <c r="F197" s="690"/>
      <c r="G197" s="690"/>
      <c r="H197" s="690"/>
      <c r="I197" s="690"/>
      <c r="J197" s="690"/>
      <c r="K197" s="690"/>
      <c r="L197" s="690"/>
      <c r="M197" s="690"/>
      <c r="N197" s="690"/>
      <c r="O197" s="690"/>
      <c r="P197" s="690"/>
      <c r="Q197" s="690">
        <f t="shared" si="145"/>
        <v>0</v>
      </c>
    </row>
    <row r="198" spans="2:17">
      <c r="B198" s="656"/>
      <c r="C198" s="691"/>
      <c r="D198" s="47"/>
      <c r="E198" s="690"/>
      <c r="F198" s="690"/>
      <c r="G198" s="690"/>
      <c r="H198" s="690"/>
      <c r="I198" s="690"/>
      <c r="J198" s="690"/>
      <c r="K198" s="690"/>
      <c r="L198" s="690"/>
      <c r="M198" s="690"/>
      <c r="N198" s="690"/>
      <c r="O198" s="690"/>
      <c r="P198" s="690"/>
      <c r="Q198" s="690">
        <f t="shared" si="145"/>
        <v>0</v>
      </c>
    </row>
    <row r="199" spans="2:17">
      <c r="B199" s="656"/>
      <c r="C199" s="691"/>
      <c r="D199" s="47"/>
      <c r="E199" s="690"/>
      <c r="F199" s="690"/>
      <c r="G199" s="690"/>
      <c r="H199" s="690"/>
      <c r="I199" s="690"/>
      <c r="J199" s="690"/>
      <c r="K199" s="690"/>
      <c r="L199" s="690"/>
      <c r="M199" s="690"/>
      <c r="N199" s="690"/>
      <c r="O199" s="690"/>
      <c r="P199" s="690"/>
      <c r="Q199" s="690">
        <f t="shared" si="145"/>
        <v>0</v>
      </c>
    </row>
    <row r="200" spans="2:17">
      <c r="B200" s="656"/>
      <c r="C200" s="691"/>
      <c r="D200" s="47"/>
      <c r="E200" s="690"/>
      <c r="F200" s="690"/>
      <c r="G200" s="690"/>
      <c r="H200" s="690"/>
      <c r="I200" s="690"/>
      <c r="J200" s="690"/>
      <c r="K200" s="690"/>
      <c r="L200" s="690"/>
      <c r="M200" s="690"/>
      <c r="N200" s="690"/>
      <c r="O200" s="690"/>
      <c r="P200" s="690"/>
      <c r="Q200" s="690">
        <f t="shared" si="145"/>
        <v>0</v>
      </c>
    </row>
    <row r="201" spans="2:17">
      <c r="B201" s="656"/>
      <c r="C201" s="691"/>
      <c r="D201" s="47"/>
      <c r="E201" s="690"/>
      <c r="F201" s="690"/>
      <c r="G201" s="690"/>
      <c r="H201" s="690"/>
      <c r="I201" s="690"/>
      <c r="J201" s="690"/>
      <c r="K201" s="690"/>
      <c r="L201" s="690"/>
      <c r="M201" s="690"/>
      <c r="N201" s="690"/>
      <c r="O201" s="690"/>
      <c r="P201" s="690"/>
      <c r="Q201" s="690">
        <f t="shared" si="145"/>
        <v>0</v>
      </c>
    </row>
    <row r="202" spans="2:17">
      <c r="B202" s="656"/>
      <c r="C202" s="691"/>
      <c r="D202" s="47"/>
      <c r="E202" s="690"/>
      <c r="F202" s="690"/>
      <c r="G202" s="690"/>
      <c r="H202" s="690"/>
      <c r="I202" s="690"/>
      <c r="J202" s="690"/>
      <c r="K202" s="690"/>
      <c r="L202" s="690"/>
      <c r="M202" s="690"/>
      <c r="N202" s="690"/>
      <c r="O202" s="690"/>
      <c r="P202" s="690"/>
      <c r="Q202" s="690">
        <f t="shared" si="145"/>
        <v>0</v>
      </c>
    </row>
    <row r="203" spans="2:17">
      <c r="B203" s="656"/>
      <c r="C203" s="691"/>
      <c r="D203" s="47"/>
      <c r="E203" s="690"/>
      <c r="F203" s="690"/>
      <c r="G203" s="690"/>
      <c r="H203" s="690"/>
      <c r="I203" s="690"/>
      <c r="J203" s="690"/>
      <c r="K203" s="690"/>
      <c r="L203" s="690"/>
      <c r="M203" s="690"/>
      <c r="N203" s="690"/>
      <c r="O203" s="690"/>
      <c r="P203" s="690"/>
      <c r="Q203" s="690">
        <f t="shared" si="145"/>
        <v>0</v>
      </c>
    </row>
    <row r="204" spans="2:17">
      <c r="B204" s="656"/>
      <c r="C204" s="692"/>
      <c r="D204" s="47"/>
      <c r="E204" s="690"/>
      <c r="F204" s="690"/>
      <c r="G204" s="690"/>
      <c r="H204" s="690"/>
      <c r="I204" s="690"/>
      <c r="J204" s="690"/>
      <c r="K204" s="690"/>
      <c r="L204" s="690"/>
      <c r="M204" s="690"/>
      <c r="N204" s="690"/>
      <c r="O204" s="690"/>
      <c r="P204" s="690"/>
      <c r="Q204" s="690">
        <f t="shared" si="145"/>
        <v>0</v>
      </c>
    </row>
    <row r="205" ht="15" spans="3:18">
      <c r="C205" s="537" t="s">
        <v>211</v>
      </c>
      <c r="D205" s="540"/>
      <c r="E205" s="690">
        <f t="shared" ref="E205:P205" si="146">SUM(E187:E204)</f>
        <v>873.644772822514</v>
      </c>
      <c r="F205" s="690">
        <f t="shared" si="146"/>
        <v>481.212467765149</v>
      </c>
      <c r="G205" s="690">
        <f t="shared" si="146"/>
        <v>594.157855129947</v>
      </c>
      <c r="H205" s="690">
        <f t="shared" si="146"/>
        <v>688.834137400218</v>
      </c>
      <c r="I205" s="690">
        <f t="shared" si="146"/>
        <v>743.627184876759</v>
      </c>
      <c r="J205" s="690">
        <f t="shared" si="146"/>
        <v>822.910306868743</v>
      </c>
      <c r="K205" s="690">
        <f t="shared" si="146"/>
        <v>741.40355353411</v>
      </c>
      <c r="L205" s="690">
        <f t="shared" si="146"/>
        <v>688.199594248346</v>
      </c>
      <c r="M205" s="690">
        <f t="shared" si="146"/>
        <v>787.7774088356</v>
      </c>
      <c r="N205" s="690">
        <f t="shared" si="146"/>
        <v>864.839382208042</v>
      </c>
      <c r="O205" s="690">
        <f t="shared" si="146"/>
        <v>839.089633249657</v>
      </c>
      <c r="P205" s="690">
        <f t="shared" si="146"/>
        <v>984.604195208204</v>
      </c>
      <c r="Q205" s="693">
        <f t="shared" si="145"/>
        <v>9110.30049214729</v>
      </c>
      <c r="R205" s="686"/>
    </row>
    <row r="206" ht="15" spans="3:17">
      <c r="C206" s="44" t="s">
        <v>360</v>
      </c>
      <c r="D206" s="4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</row>
    <row r="207" spans="3:17">
      <c r="C207" s="682" t="s">
        <v>351</v>
      </c>
      <c r="D207" s="55" t="s">
        <v>361</v>
      </c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>
        <f t="shared" ref="Q207:Q217" si="147">SUM(E207:P207)</f>
        <v>0</v>
      </c>
    </row>
    <row r="208" spans="3:17">
      <c r="C208" s="683"/>
      <c r="D208" s="55" t="s">
        <v>362</v>
      </c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>
        <f t="shared" si="147"/>
        <v>0</v>
      </c>
    </row>
    <row r="209" spans="3:17">
      <c r="C209" s="683"/>
      <c r="D209" s="55" t="s">
        <v>363</v>
      </c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>
        <f t="shared" si="147"/>
        <v>0</v>
      </c>
    </row>
    <row r="210" spans="3:17">
      <c r="C210" s="683"/>
      <c r="D210" s="55" t="s">
        <v>364</v>
      </c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>
        <f t="shared" si="147"/>
        <v>0</v>
      </c>
    </row>
    <row r="211" spans="3:17">
      <c r="C211" s="683"/>
      <c r="D211" s="55" t="s">
        <v>365</v>
      </c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>
        <f t="shared" si="147"/>
        <v>0</v>
      </c>
    </row>
    <row r="212" spans="3:17">
      <c r="C212" s="683"/>
      <c r="D212" s="55" t="s">
        <v>366</v>
      </c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>
        <f t="shared" si="147"/>
        <v>0</v>
      </c>
    </row>
    <row r="213" spans="3:17">
      <c r="C213" s="683"/>
      <c r="D213" s="55" t="s">
        <v>367</v>
      </c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>
        <f t="shared" si="147"/>
        <v>0</v>
      </c>
    </row>
    <row r="214" spans="3:17">
      <c r="C214" s="683"/>
      <c r="D214" s="55" t="s">
        <v>368</v>
      </c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>
        <f t="shared" si="147"/>
        <v>0</v>
      </c>
    </row>
    <row r="215" spans="3:17">
      <c r="C215" s="683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>
        <f t="shared" si="147"/>
        <v>0</v>
      </c>
    </row>
    <row r="216" spans="3:17">
      <c r="C216" s="683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>
        <f t="shared" si="147"/>
        <v>0</v>
      </c>
    </row>
    <row r="217" spans="3:17">
      <c r="C217" s="683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>
        <f t="shared" si="147"/>
        <v>0</v>
      </c>
    </row>
    <row r="218" spans="3:18">
      <c r="C218" s="683"/>
      <c r="D218" s="679" t="s">
        <v>493</v>
      </c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>
        <f>'[40]PP summary'!$G$60+'[40]PP summary'!$G$59</f>
        <v>1287.65038</v>
      </c>
      <c r="R218" s="686"/>
    </row>
    <row r="219" spans="3:17">
      <c r="C219" s="683"/>
      <c r="D219" s="679" t="s">
        <v>494</v>
      </c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>
        <f t="shared" ref="Q219:Q224" si="148">SUM(E219:P219)</f>
        <v>0</v>
      </c>
    </row>
    <row r="220" spans="3:17">
      <c r="C220" s="683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>
        <f t="shared" si="148"/>
        <v>0</v>
      </c>
    </row>
    <row r="221" spans="3:17">
      <c r="C221" s="683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>
        <f t="shared" si="148"/>
        <v>0</v>
      </c>
    </row>
    <row r="222" spans="3:17">
      <c r="C222" s="683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>
        <f t="shared" si="148"/>
        <v>0</v>
      </c>
    </row>
    <row r="223" spans="3:17">
      <c r="C223" s="683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>
        <f t="shared" si="148"/>
        <v>0</v>
      </c>
    </row>
    <row r="224" spans="3:17">
      <c r="C224" s="684"/>
      <c r="D224" s="67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>
        <f t="shared" si="148"/>
        <v>0</v>
      </c>
    </row>
    <row r="225" ht="15" spans="3:18">
      <c r="C225" s="537" t="s">
        <v>211</v>
      </c>
      <c r="D225" s="540"/>
      <c r="E225" s="147">
        <f>SUM('[40]TGSPDCL MoD'!U57:U96)</f>
        <v>41.7822503398368</v>
      </c>
      <c r="F225" s="147">
        <f>SUM('[40]TGSPDCL MoD'!V57:V96)</f>
        <v>44.772538468109</v>
      </c>
      <c r="G225" s="147">
        <f>SUM('[40]TGSPDCL MoD'!W57:W96)</f>
        <v>46.3865179304724</v>
      </c>
      <c r="H225" s="147">
        <f>SUM('[40]TGSPDCL MoD'!X57:X96)</f>
        <v>101.411407899279</v>
      </c>
      <c r="I225" s="147">
        <f>SUM('[40]TGSPDCL MoD'!Y57:Y96)</f>
        <v>238.095472986248</v>
      </c>
      <c r="J225" s="147">
        <f>SUM('[40]TGSPDCL MoD'!Z57:Z96)</f>
        <v>120.254015759913</v>
      </c>
      <c r="K225" s="147">
        <f>SUM('[40]TGSPDCL MoD'!AA57:AA96)</f>
        <v>132.550344070398</v>
      </c>
      <c r="L225" s="147">
        <f>SUM('[40]TGSPDCL MoD'!AB57:AB96)</f>
        <v>45.4620282420915</v>
      </c>
      <c r="M225" s="147">
        <f>SUM('[40]TGSPDCL MoD'!AC57:AC96)</f>
        <v>77.9903363108877</v>
      </c>
      <c r="N225" s="147">
        <f>SUM('[40]TGSPDCL MoD'!AD57:AD96)</f>
        <v>148.816290214286</v>
      </c>
      <c r="O225" s="147">
        <f>SUM('[40]TGSPDCL MoD'!AE57:AE96)</f>
        <v>138.427010745348</v>
      </c>
      <c r="P225" s="147">
        <f>SUM('[40]TGSPDCL MoD'!AF57:AF96)</f>
        <v>62.0825020331303</v>
      </c>
      <c r="Q225" s="316">
        <f>SUM(E225:P225)+Q218</f>
        <v>2485.681095</v>
      </c>
      <c r="R225" s="686"/>
    </row>
    <row r="226" ht="15" spans="3:17">
      <c r="C226" s="44" t="s">
        <v>369</v>
      </c>
      <c r="D226" s="45"/>
      <c r="E226" s="55">
        <f t="shared" ref="E226:Q226" si="149">E205+E225</f>
        <v>915.427023162351</v>
      </c>
      <c r="F226" s="55">
        <f t="shared" si="149"/>
        <v>525.985006233258</v>
      </c>
      <c r="G226" s="55">
        <f t="shared" si="149"/>
        <v>640.54437306042</v>
      </c>
      <c r="H226" s="55">
        <f t="shared" si="149"/>
        <v>790.245545299496</v>
      </c>
      <c r="I226" s="55">
        <f t="shared" si="149"/>
        <v>981.722657863008</v>
      </c>
      <c r="J226" s="55">
        <f t="shared" si="149"/>
        <v>943.164322628657</v>
      </c>
      <c r="K226" s="55">
        <f t="shared" si="149"/>
        <v>873.953897604508</v>
      </c>
      <c r="L226" s="55">
        <f t="shared" si="149"/>
        <v>733.661622490438</v>
      </c>
      <c r="M226" s="55">
        <f t="shared" si="149"/>
        <v>865.767745146487</v>
      </c>
      <c r="N226" s="55">
        <f t="shared" si="149"/>
        <v>1013.65567242233</v>
      </c>
      <c r="O226" s="55">
        <f t="shared" si="149"/>
        <v>977.516643995005</v>
      </c>
      <c r="P226" s="55">
        <f t="shared" si="149"/>
        <v>1046.68669724133</v>
      </c>
      <c r="Q226" s="316">
        <f t="shared" si="149"/>
        <v>11595.9815871473</v>
      </c>
    </row>
    <row r="227" ht="15" spans="3:17">
      <c r="C227" s="663" t="s">
        <v>370</v>
      </c>
      <c r="D227" s="676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</row>
    <row r="228" ht="15" spans="3:17">
      <c r="C228" s="44" t="s">
        <v>350</v>
      </c>
      <c r="D228" s="4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</row>
    <row r="229" spans="3:17">
      <c r="C229" s="682" t="s">
        <v>371</v>
      </c>
      <c r="D229" s="55" t="s">
        <v>372</v>
      </c>
      <c r="E229" s="147">
        <f>SUM('[40]TGSPDCL MoD'!U25:U30)</f>
        <v>13.2370739316484</v>
      </c>
      <c r="F229" s="147">
        <f>SUM('[40]TGSPDCL MoD'!V25:V30)</f>
        <v>17.0754988946496</v>
      </c>
      <c r="G229" s="147">
        <f>SUM('[40]TGSPDCL MoD'!W25:W30)</f>
        <v>17.4408208634091</v>
      </c>
      <c r="H229" s="147">
        <f>SUM('[40]TGSPDCL MoD'!X25:X30)</f>
        <v>12.7459807200724</v>
      </c>
      <c r="I229" s="147">
        <f>SUM('[40]TGSPDCL MoD'!Y25:Y30)</f>
        <v>10.9109432882462</v>
      </c>
      <c r="J229" s="147">
        <f>SUM('[40]TGSPDCL MoD'!Z25:Z30)</f>
        <v>11.6199881342459</v>
      </c>
      <c r="K229" s="147">
        <f>SUM('[40]TGSPDCL MoD'!AA25:AA30)</f>
        <v>10.8133089353137</v>
      </c>
      <c r="L229" s="147">
        <f>SUM('[40]TGSPDCL MoD'!AB25:AB30)</f>
        <v>16.2890785232722</v>
      </c>
      <c r="M229" s="147">
        <f>SUM('[40]TGSPDCL MoD'!AC25:AC30)</f>
        <v>9.85619556250143</v>
      </c>
      <c r="N229" s="147">
        <f>SUM('[40]TGSPDCL MoD'!AD25:AD30)</f>
        <v>10.4619345050127</v>
      </c>
      <c r="O229" s="147">
        <f>SUM('[40]TGSPDCL MoD'!AE25:AE30)</f>
        <v>13.5914890385519</v>
      </c>
      <c r="P229" s="147">
        <f>SUM('[40]TGSPDCL MoD'!AF25:AF30)</f>
        <v>17.2187068338458</v>
      </c>
      <c r="Q229" s="147">
        <f t="shared" ref="Q229:Q255" si="150">SUM(E229:P229)</f>
        <v>161.261019230769</v>
      </c>
    </row>
    <row r="230" spans="3:17">
      <c r="C230" s="683"/>
      <c r="D230" s="55" t="s">
        <v>373</v>
      </c>
      <c r="E230" s="147">
        <f>'[40]TGSPDCL MoD'!U31</f>
        <v>3.63157109446783</v>
      </c>
      <c r="F230" s="147">
        <f>'[40]TGSPDCL MoD'!V31</f>
        <v>4.41485113445109</v>
      </c>
      <c r="G230" s="147">
        <f>'[40]TGSPDCL MoD'!W31</f>
        <v>4.27243658172686</v>
      </c>
      <c r="H230" s="147">
        <f>'[40]TGSPDCL MoD'!X31</f>
        <v>0</v>
      </c>
      <c r="I230" s="147">
        <f>'[40]TGSPDCL MoD'!Y31</f>
        <v>1.37964097951596</v>
      </c>
      <c r="J230" s="147">
        <f>'[40]TGSPDCL MoD'!Z31</f>
        <v>3.01546979979371</v>
      </c>
      <c r="K230" s="147">
        <f>'[40]TGSPDCL MoD'!AA31</f>
        <v>2.64891068067065</v>
      </c>
      <c r="L230" s="147">
        <f>'[40]TGSPDCL MoD'!AB31</f>
        <v>4.27243658172686</v>
      </c>
      <c r="M230" s="147">
        <f>'[40]TGSPDCL MoD'!AC31</f>
        <v>3.47098034418696</v>
      </c>
      <c r="N230" s="147">
        <f>'[40]TGSPDCL MoD'!AD31</f>
        <v>3.53188090756087</v>
      </c>
      <c r="O230" s="147">
        <f>'[40]TGSPDCL MoD'!AE31</f>
        <v>3.51051872465224</v>
      </c>
      <c r="P230" s="147">
        <f>'[40]TGSPDCL MoD'!AF31</f>
        <v>4.24678394047772</v>
      </c>
      <c r="Q230" s="147">
        <f t="shared" si="150"/>
        <v>38.3954807692308</v>
      </c>
    </row>
    <row r="231" spans="3:17">
      <c r="C231" s="683"/>
      <c r="D231" s="55" t="s">
        <v>374</v>
      </c>
      <c r="E231" s="147">
        <f>SUM('[40]TGSPDCL MoD'!U42:U45)</f>
        <v>13.1131192975577</v>
      </c>
      <c r="F231" s="147">
        <f>SUM('[40]TGSPDCL MoD'!V42:V45)</f>
        <v>13.0222924972283</v>
      </c>
      <c r="G231" s="147">
        <f>SUM('[40]TGSPDCL MoD'!W42:W45)</f>
        <v>12.6022185457048</v>
      </c>
      <c r="H231" s="147">
        <f>SUM('[40]TGSPDCL MoD'!X42:X45)</f>
        <v>14.0781540510576</v>
      </c>
      <c r="I231" s="147">
        <f>SUM('[40]TGSPDCL MoD'!Y42:Y45)</f>
        <v>13.239555286379</v>
      </c>
      <c r="J231" s="147">
        <f>SUM('[40]TGSPDCL MoD'!Z42:Z45)</f>
        <v>13.6240200494106</v>
      </c>
      <c r="K231" s="147">
        <f>SUM('[40]TGSPDCL MoD'!AA42:AA45)</f>
        <v>12.4943617203136</v>
      </c>
      <c r="L231" s="147">
        <f>SUM('[40]TGSPDCL MoD'!AB42:AB45)</f>
        <v>9.24951995489955</v>
      </c>
      <c r="M231" s="147">
        <f>SUM('[40]TGSPDCL MoD'!AC42:AC45)</f>
        <v>7.97127959486425</v>
      </c>
      <c r="N231" s="147">
        <f>SUM('[40]TGSPDCL MoD'!AD42:AD45)</f>
        <v>11.5124389037636</v>
      </c>
      <c r="O231" s="147">
        <f>SUM('[40]TGSPDCL MoD'!AE42:AE45)</f>
        <v>13.1698860477635</v>
      </c>
      <c r="P231" s="147">
        <f>SUM('[40]TGSPDCL MoD'!AF42:AF45)</f>
        <v>14.0781540510576</v>
      </c>
      <c r="Q231" s="147">
        <f t="shared" si="150"/>
        <v>148.155</v>
      </c>
    </row>
    <row r="232" spans="3:17">
      <c r="C232" s="683"/>
      <c r="D232" s="55" t="s">
        <v>375</v>
      </c>
      <c r="E232" s="147">
        <f>'[40]TGSPDCL MoD'!U40</f>
        <v>25.9362524864202</v>
      </c>
      <c r="F232" s="147">
        <f>'[40]TGSPDCL MoD'!V40</f>
        <v>33.5009927949595</v>
      </c>
      <c r="G232" s="147">
        <f>'[40]TGSPDCL MoD'!W40</f>
        <v>32.4203156080253</v>
      </c>
      <c r="H232" s="147">
        <f>'[40]TGSPDCL MoD'!X40</f>
        <v>21.9311214142598</v>
      </c>
      <c r="I232" s="147">
        <f>'[40]TGSPDCL MoD'!Y40</f>
        <v>20.1005956769757</v>
      </c>
      <c r="J232" s="147">
        <f>'[40]TGSPDCL MoD'!Z40</f>
        <v>21.0732051452164</v>
      </c>
      <c r="K232" s="147">
        <f>'[40]TGSPDCL MoD'!AA40</f>
        <v>20.1005956769757</v>
      </c>
      <c r="L232" s="147">
        <f>'[40]TGSPDCL MoD'!AB40</f>
        <v>0</v>
      </c>
      <c r="M232" s="147">
        <f>'[40]TGSPDCL MoD'!AC40</f>
        <v>11.3065850682988</v>
      </c>
      <c r="N232" s="147">
        <f>'[40]TGSPDCL MoD'!AD40</f>
        <v>22.6131701365976</v>
      </c>
      <c r="O232" s="147">
        <f>'[40]TGSPDCL MoD'!AE40</f>
        <v>26.6386926579275</v>
      </c>
      <c r="P232" s="147">
        <f>'[40]TGSPDCL MoD'!AF40</f>
        <v>29.6822267018252</v>
      </c>
      <c r="Q232" s="147">
        <f t="shared" si="150"/>
        <v>265.303753367482</v>
      </c>
    </row>
    <row r="233" spans="3:17">
      <c r="C233" s="683"/>
      <c r="D233" s="55" t="s">
        <v>376</v>
      </c>
      <c r="E233" s="147">
        <f>'[40]TGSPDCL MoD'!U41</f>
        <v>26.1608175929714</v>
      </c>
      <c r="F233" s="147">
        <f>'[40]TGSPDCL MoD'!V41</f>
        <v>33.6098626276261</v>
      </c>
      <c r="G233" s="147">
        <f>'[40]TGSPDCL MoD'!W41</f>
        <v>0</v>
      </c>
      <c r="H233" s="147">
        <f>'[40]TGSPDCL MoD'!X41</f>
        <v>11.7634519196691</v>
      </c>
      <c r="I233" s="147">
        <f>'[40]TGSPDCL MoD'!Y41</f>
        <v>20.1659175765756</v>
      </c>
      <c r="J233" s="147">
        <f>'[40]TGSPDCL MoD'!Z41</f>
        <v>21.1416877818938</v>
      </c>
      <c r="K233" s="147">
        <f>'[40]TGSPDCL MoD'!AA41</f>
        <v>20.1659175765756</v>
      </c>
      <c r="L233" s="147">
        <f>'[40]TGSPDCL MoD'!AB41</f>
        <v>28.3336538126412</v>
      </c>
      <c r="M233" s="147">
        <f>'[40]TGSPDCL MoD'!AC41</f>
        <v>23.2829931656058</v>
      </c>
      <c r="N233" s="147">
        <f>'[40]TGSPDCL MoD'!AD41</f>
        <v>23.1456730789637</v>
      </c>
      <c r="O233" s="147">
        <f>'[40]TGSPDCL MoD'!AE41</f>
        <v>26.7252617345478</v>
      </c>
      <c r="P233" s="147">
        <f>'[40]TGSPDCL MoD'!AF41</f>
        <v>30.8085165004115</v>
      </c>
      <c r="Q233" s="147">
        <f t="shared" si="150"/>
        <v>265.303753367482</v>
      </c>
    </row>
    <row r="234" spans="3:17">
      <c r="C234" s="683"/>
      <c r="D234" s="55" t="s">
        <v>377</v>
      </c>
      <c r="E234" s="147">
        <f>SUM('[40]TGSPDCL MoD'!U49:U51)</f>
        <v>20.8996944020722</v>
      </c>
      <c r="F234" s="147">
        <f>SUM('[40]TGSPDCL MoD'!V49:V51)</f>
        <v>26.9954386026765</v>
      </c>
      <c r="G234" s="147">
        <f>SUM('[40]TGSPDCL MoD'!W49:W51)</f>
        <v>16.8942841778343</v>
      </c>
      <c r="H234" s="147">
        <f>SUM('[40]TGSPDCL MoD'!X49:X51)</f>
        <v>14.4471813155926</v>
      </c>
      <c r="I234" s="147">
        <f>SUM('[40]TGSPDCL MoD'!Y49:Y51)</f>
        <v>16.1972631616059</v>
      </c>
      <c r="J234" s="147">
        <f>SUM('[40]TGSPDCL MoD'!Z49:Z51)</f>
        <v>16.9302189061424</v>
      </c>
      <c r="K234" s="147">
        <f>SUM('[40]TGSPDCL MoD'!AA49:AA51)</f>
        <v>16.1972631616059</v>
      </c>
      <c r="L234" s="147">
        <f>SUM('[40]TGSPDCL MoD'!AB49:AB51)</f>
        <v>13.4652830909345</v>
      </c>
      <c r="M234" s="147">
        <f>SUM('[40]TGSPDCL MoD'!AC49:AC51)</f>
        <v>14.6246494717974</v>
      </c>
      <c r="N234" s="147">
        <f>SUM('[40]TGSPDCL MoD'!AD49:AD51)</f>
        <v>17.7211824713897</v>
      </c>
      <c r="O234" s="147">
        <f>SUM('[40]TGSPDCL MoD'!AE49:AE51)</f>
        <v>21.4170324610064</v>
      </c>
      <c r="P234" s="147">
        <f>SUM('[40]TGSPDCL MoD'!AF49:AF51)</f>
        <v>23.621008777342</v>
      </c>
      <c r="Q234" s="147">
        <f t="shared" si="150"/>
        <v>219.4105</v>
      </c>
    </row>
    <row r="235" spans="3:17">
      <c r="C235" s="683"/>
      <c r="D235" s="55" t="s">
        <v>378</v>
      </c>
      <c r="E235" s="55">
        <f>'[40]TGSPDCL MoD'!U53</f>
        <v>0</v>
      </c>
      <c r="F235" s="55">
        <f>'[40]TGSPDCL MoD'!V53</f>
        <v>0</v>
      </c>
      <c r="G235" s="55">
        <f>'[40]TGSPDCL MoD'!W53</f>
        <v>0</v>
      </c>
      <c r="H235" s="55">
        <f>'[40]TGSPDCL MoD'!X53</f>
        <v>0</v>
      </c>
      <c r="I235" s="55">
        <f>'[40]TGSPDCL MoD'!Y53</f>
        <v>0</v>
      </c>
      <c r="J235" s="55">
        <f>'[40]TGSPDCL MoD'!Z53</f>
        <v>0</v>
      </c>
      <c r="K235" s="55">
        <f>'[40]TGSPDCL MoD'!AA53</f>
        <v>0</v>
      </c>
      <c r="L235" s="55">
        <f>'[40]TGSPDCL MoD'!AB53</f>
        <v>0</v>
      </c>
      <c r="M235" s="55">
        <f>'[40]TGSPDCL MoD'!AC53</f>
        <v>0</v>
      </c>
      <c r="N235" s="55">
        <f>'[40]TGSPDCL MoD'!AD53</f>
        <v>0</v>
      </c>
      <c r="O235" s="55">
        <f>'[40]TGSPDCL MoD'!AE53</f>
        <v>0</v>
      </c>
      <c r="P235" s="55">
        <f>'[40]TGSPDCL MoD'!AF53</f>
        <v>0</v>
      </c>
      <c r="Q235" s="55">
        <f t="shared" si="150"/>
        <v>0</v>
      </c>
    </row>
    <row r="236" spans="3:17">
      <c r="C236" s="683"/>
      <c r="D236" s="55" t="s">
        <v>379</v>
      </c>
      <c r="E236" s="55">
        <f>'[40]TGSPDCL MoD'!U54</f>
        <v>0</v>
      </c>
      <c r="F236" s="55">
        <f>'[40]TGSPDCL MoD'!V54</f>
        <v>0</v>
      </c>
      <c r="G236" s="55">
        <f>'[40]TGSPDCL MoD'!W54</f>
        <v>0</v>
      </c>
      <c r="H236" s="55">
        <f>'[40]TGSPDCL MoD'!X54</f>
        <v>0</v>
      </c>
      <c r="I236" s="55">
        <f>'[40]TGSPDCL MoD'!Y54</f>
        <v>0</v>
      </c>
      <c r="J236" s="55">
        <f>'[40]TGSPDCL MoD'!Z54</f>
        <v>0</v>
      </c>
      <c r="K236" s="55">
        <f>'[40]TGSPDCL MoD'!AA54</f>
        <v>0</v>
      </c>
      <c r="L236" s="55">
        <f>'[40]TGSPDCL MoD'!AB54</f>
        <v>0</v>
      </c>
      <c r="M236" s="55">
        <f>'[40]TGSPDCL MoD'!AC54</f>
        <v>0</v>
      </c>
      <c r="N236" s="55">
        <f>'[40]TGSPDCL MoD'!AD54</f>
        <v>0</v>
      </c>
      <c r="O236" s="55">
        <f>'[40]TGSPDCL MoD'!AE54</f>
        <v>0</v>
      </c>
      <c r="P236" s="55">
        <f>'[40]TGSPDCL MoD'!AF54</f>
        <v>0</v>
      </c>
      <c r="Q236" s="55">
        <f t="shared" si="150"/>
        <v>0</v>
      </c>
    </row>
    <row r="237" spans="3:17">
      <c r="C237" s="684"/>
      <c r="D237" s="55" t="s">
        <v>380</v>
      </c>
      <c r="E237" s="147">
        <f>'[40]TGSPDCL MoD'!U55</f>
        <v>69.1826423828892</v>
      </c>
      <c r="F237" s="147">
        <f>'[40]TGSPDCL MoD'!V55</f>
        <v>71.348534579204</v>
      </c>
      <c r="G237" s="147">
        <f>'[40]TGSPDCL MoD'!W55</f>
        <v>69.2119458972295</v>
      </c>
      <c r="H237" s="147">
        <f>'[40]TGSPDCL MoD'!X55</f>
        <v>70.9758550268744</v>
      </c>
      <c r="I237" s="147">
        <f>'[40]TGSPDCL MoD'!Y55</f>
        <v>58.2375173277095</v>
      </c>
      <c r="J237" s="147">
        <f>'[40]TGSPDCL MoD'!Z55</f>
        <v>62.9327747411513</v>
      </c>
      <c r="K237" s="147">
        <f>'[40]TGSPDCL MoD'!AA55</f>
        <v>55.3681975252725</v>
      </c>
      <c r="L237" s="147">
        <f>'[40]TGSPDCL MoD'!AB55</f>
        <v>69.2119458972296</v>
      </c>
      <c r="M237" s="147">
        <f>'[40]TGSPDCL MoD'!AC55</f>
        <v>68.497080728338</v>
      </c>
      <c r="N237" s="147">
        <f>'[40]TGSPDCL MoD'!AD55</f>
        <v>62.1236526599501</v>
      </c>
      <c r="O237" s="147">
        <f>'[40]TGSPDCL MoD'!AE55</f>
        <v>61.2509474254825</v>
      </c>
      <c r="P237" s="147">
        <f>'[40]TGSPDCL MoD'!AF55</f>
        <v>76.0519058086694</v>
      </c>
      <c r="Q237" s="147">
        <f t="shared" si="150"/>
        <v>794.393</v>
      </c>
    </row>
    <row r="238" spans="3:17">
      <c r="C238" s="55"/>
      <c r="D238" s="685" t="s">
        <v>450</v>
      </c>
      <c r="E238" s="147">
        <f>'[40]TGSPDCL MoD'!U56</f>
        <v>69.5003985498398</v>
      </c>
      <c r="F238" s="147">
        <f>'[40]TGSPDCL MoD'!V56</f>
        <v>71.0708982263314</v>
      </c>
      <c r="G238" s="147">
        <f>'[40]TGSPDCL MoD'!W56</f>
        <v>70.2558628203193</v>
      </c>
      <c r="H238" s="147">
        <f>'[40]TGSPDCL MoD'!X56</f>
        <v>69.0616007236507</v>
      </c>
      <c r="I238" s="147">
        <f>'[40]TGSPDCL MoD'!Y56</f>
        <v>57.8669985048067</v>
      </c>
      <c r="J238" s="147">
        <f>'[40]TGSPDCL MoD'!Z56</f>
        <v>60.4891869148746</v>
      </c>
      <c r="K238" s="147">
        <f>'[40]TGSPDCL MoD'!AA56</f>
        <v>55.8992615167646</v>
      </c>
      <c r="L238" s="147">
        <f>'[40]TGSPDCL MoD'!AB56</f>
        <v>71.0004071516349</v>
      </c>
      <c r="M238" s="147">
        <f>'[40]TGSPDCL MoD'!AC56</f>
        <v>68.5482520776735</v>
      </c>
      <c r="N238" s="147">
        <f>'[40]TGSPDCL MoD'!AD56</f>
        <v>62.5170251703715</v>
      </c>
      <c r="O238" s="147">
        <f>'[40]TGSPDCL MoD'!AE56</f>
        <v>62.8336936529727</v>
      </c>
      <c r="P238" s="147">
        <f>'[40]TGSPDCL MoD'!AF56</f>
        <v>75.3494146907606</v>
      </c>
      <c r="Q238" s="147">
        <f t="shared" si="150"/>
        <v>794.393</v>
      </c>
    </row>
    <row r="239" spans="3:17">
      <c r="C239" s="55"/>
      <c r="D239" s="55" t="s">
        <v>386</v>
      </c>
      <c r="E239" s="55">
        <f>'[40]TGSPDCL MoD'!U46</f>
        <v>0</v>
      </c>
      <c r="F239" s="55">
        <f>'[40]TGSPDCL MoD'!V46</f>
        <v>0</v>
      </c>
      <c r="G239" s="55">
        <f>'[40]TGSPDCL MoD'!W46</f>
        <v>0</v>
      </c>
      <c r="H239" s="55">
        <f>'[40]TGSPDCL MoD'!X46</f>
        <v>0</v>
      </c>
      <c r="I239" s="55">
        <f>'[40]TGSPDCL MoD'!Y46</f>
        <v>0</v>
      </c>
      <c r="J239" s="55">
        <f>'[40]TGSPDCL MoD'!Z46</f>
        <v>0</v>
      </c>
      <c r="K239" s="55">
        <f>'[40]TGSPDCL MoD'!AA46</f>
        <v>0</v>
      </c>
      <c r="L239" s="55">
        <f>'[40]TGSPDCL MoD'!AB46</f>
        <v>0</v>
      </c>
      <c r="M239" s="55">
        <f>'[40]TGSPDCL MoD'!AC46</f>
        <v>0</v>
      </c>
      <c r="N239" s="55">
        <f>'[40]TGSPDCL MoD'!AD46</f>
        <v>0</v>
      </c>
      <c r="O239" s="55">
        <f>'[40]TGSPDCL MoD'!AE46</f>
        <v>0</v>
      </c>
      <c r="P239" s="55">
        <f>'[40]TGSPDCL MoD'!AF46</f>
        <v>0</v>
      </c>
      <c r="Q239" s="55">
        <f t="shared" si="150"/>
        <v>0</v>
      </c>
    </row>
    <row r="240" spans="3:17">
      <c r="C240" s="55"/>
      <c r="D240" s="55" t="s">
        <v>387</v>
      </c>
      <c r="E240" s="55">
        <f>'[40]TGSPDCL MoD'!U35</f>
        <v>0</v>
      </c>
      <c r="F240" s="55">
        <f>'[40]TGSPDCL MoD'!V35</f>
        <v>0</v>
      </c>
      <c r="G240" s="55">
        <f>'[40]TGSPDCL MoD'!W35</f>
        <v>0</v>
      </c>
      <c r="H240" s="55">
        <f>'[40]TGSPDCL MoD'!X35</f>
        <v>0</v>
      </c>
      <c r="I240" s="55">
        <f>'[40]TGSPDCL MoD'!Y35</f>
        <v>0</v>
      </c>
      <c r="J240" s="55">
        <f>'[40]TGSPDCL MoD'!Z35</f>
        <v>0</v>
      </c>
      <c r="K240" s="55">
        <f>'[40]TGSPDCL MoD'!AA35</f>
        <v>0</v>
      </c>
      <c r="L240" s="55">
        <f>'[40]TGSPDCL MoD'!AB35</f>
        <v>0</v>
      </c>
      <c r="M240" s="55">
        <f>'[40]TGSPDCL MoD'!AC35</f>
        <v>0</v>
      </c>
      <c r="N240" s="55">
        <f>'[40]TGSPDCL MoD'!AD35</f>
        <v>0</v>
      </c>
      <c r="O240" s="55">
        <f>'[40]TGSPDCL MoD'!AE35</f>
        <v>0</v>
      </c>
      <c r="P240" s="55">
        <f>'[40]TGSPDCL MoD'!AF35</f>
        <v>0</v>
      </c>
      <c r="Q240" s="55">
        <f t="shared" si="150"/>
        <v>0</v>
      </c>
    </row>
    <row r="241" spans="3:17">
      <c r="C241" s="55"/>
      <c r="D241" s="55" t="s">
        <v>381</v>
      </c>
      <c r="E241" s="147">
        <f>'[40]TGSPDCL MoD'!U33</f>
        <v>0.11964168490153</v>
      </c>
      <c r="F241" s="147">
        <f>'[40]TGSPDCL MoD'!V33</f>
        <v>0.15952224653538</v>
      </c>
      <c r="G241" s="147">
        <f>'[40]TGSPDCL MoD'!W33</f>
        <v>0.154376367614873</v>
      </c>
      <c r="H241" s="147">
        <f>'[40]TGSPDCL MoD'!X33</f>
        <v>0.103689460247995</v>
      </c>
      <c r="I241" s="147">
        <f>'[40]TGSPDCL MoD'!Y33</f>
        <v>0.0957133479212277</v>
      </c>
      <c r="J241" s="147">
        <f>'[40]TGSPDCL MoD'!Z33</f>
        <v>0.0964852297593015</v>
      </c>
      <c r="K241" s="147">
        <f>'[40]TGSPDCL MoD'!AA33</f>
        <v>0.0957133479212277</v>
      </c>
      <c r="L241" s="147">
        <f>'[40]TGSPDCL MoD'!AB33</f>
        <v>0.115782275711159</v>
      </c>
      <c r="M241" s="147">
        <f>'[40]TGSPDCL MoD'!AC33</f>
        <v>0.103689460247995</v>
      </c>
      <c r="N241" s="147">
        <f>'[40]TGSPDCL MoD'!AD33</f>
        <v>0.103689460247995</v>
      </c>
      <c r="O241" s="147">
        <f>'[40]TGSPDCL MoD'!AE33</f>
        <v>0.123115153172864</v>
      </c>
      <c r="P241" s="147">
        <f>'[40]TGSPDCL MoD'!AF33</f>
        <v>0.13958196571845</v>
      </c>
      <c r="Q241" s="147">
        <f t="shared" si="150"/>
        <v>1.411</v>
      </c>
    </row>
    <row r="242" spans="3:17">
      <c r="C242" s="55"/>
      <c r="D242" s="55" t="s">
        <v>382</v>
      </c>
      <c r="E242" s="55">
        <f>'[40]TGSPDCL MoD'!U34</f>
        <v>0</v>
      </c>
      <c r="F242" s="55">
        <f>'[40]TGSPDCL MoD'!V34</f>
        <v>0</v>
      </c>
      <c r="G242" s="55">
        <f>'[40]TGSPDCL MoD'!W34</f>
        <v>0</v>
      </c>
      <c r="H242" s="55">
        <f>'[40]TGSPDCL MoD'!X34</f>
        <v>0</v>
      </c>
      <c r="I242" s="55">
        <f>'[40]TGSPDCL MoD'!Y34</f>
        <v>0</v>
      </c>
      <c r="J242" s="55">
        <f>'[40]TGSPDCL MoD'!Z34</f>
        <v>0</v>
      </c>
      <c r="K242" s="55">
        <f>'[40]TGSPDCL MoD'!AA34</f>
        <v>0</v>
      </c>
      <c r="L242" s="55">
        <f>'[40]TGSPDCL MoD'!AB34</f>
        <v>0</v>
      </c>
      <c r="M242" s="55">
        <f>'[40]TGSPDCL MoD'!AC34</f>
        <v>0</v>
      </c>
      <c r="N242" s="55">
        <f>'[40]TGSPDCL MoD'!AD34</f>
        <v>0</v>
      </c>
      <c r="O242" s="55">
        <f>'[40]TGSPDCL MoD'!AE34</f>
        <v>0</v>
      </c>
      <c r="P242" s="55">
        <f>'[40]TGSPDCL MoD'!AF34</f>
        <v>0</v>
      </c>
      <c r="Q242" s="55">
        <f t="shared" si="150"/>
        <v>0</v>
      </c>
    </row>
    <row r="243" spans="3:17">
      <c r="C243" s="55"/>
      <c r="D243" s="55" t="s">
        <v>383</v>
      </c>
      <c r="E243" s="147">
        <f>'[40]TGSPDCL MoD'!U52</f>
        <v>4.56778979365172</v>
      </c>
      <c r="F243" s="147">
        <f>'[40]TGSPDCL MoD'!V52</f>
        <v>4.72004945344011</v>
      </c>
      <c r="G243" s="147">
        <f>'[40]TGSPDCL MoD'!W52</f>
        <v>4.56778979365172</v>
      </c>
      <c r="H243" s="147">
        <f>'[40]TGSPDCL MoD'!X52</f>
        <v>5.01920751739054</v>
      </c>
      <c r="I243" s="147">
        <f>'[40]TGSPDCL MoD'!Y52</f>
        <v>4.02201397088911</v>
      </c>
      <c r="J243" s="147">
        <f>'[40]TGSPDCL MoD'!Z52</f>
        <v>4.56778979365172</v>
      </c>
      <c r="K243" s="147">
        <f>'[40]TGSPDCL MoD'!AA52</f>
        <v>3.92229461623897</v>
      </c>
      <c r="L243" s="147">
        <f>'[40]TGSPDCL MoD'!AB52</f>
        <v>4.56778979365172</v>
      </c>
      <c r="M243" s="147">
        <f>'[40]TGSPDCL MoD'!AC52</f>
        <v>4.72004945344011</v>
      </c>
      <c r="N243" s="147">
        <f>'[40]TGSPDCL MoD'!AD52</f>
        <v>4.62033009878997</v>
      </c>
      <c r="O243" s="147">
        <f>'[40]TGSPDCL MoD'!AE52</f>
        <v>4.41553013386333</v>
      </c>
      <c r="P243" s="147">
        <f>'[40]TGSPDCL MoD'!AF52</f>
        <v>5.31836558134097</v>
      </c>
      <c r="Q243" s="147">
        <f t="shared" si="150"/>
        <v>55.029</v>
      </c>
    </row>
    <row r="244" spans="3:17">
      <c r="C244" s="55"/>
      <c r="D244" s="55" t="s">
        <v>536</v>
      </c>
      <c r="E244" s="147">
        <f>'[40]TGSPDCL MoD'!U47</f>
        <v>8.77569749789146</v>
      </c>
      <c r="F244" s="147">
        <f>'[40]TGSPDCL MoD'!V47</f>
        <v>0</v>
      </c>
      <c r="G244" s="147">
        <f>'[40]TGSPDCL MoD'!W47</f>
        <v>4.93179694096379</v>
      </c>
      <c r="H244" s="147">
        <f>'[40]TGSPDCL MoD'!X47</f>
        <v>8.39372498971879</v>
      </c>
      <c r="I244" s="147">
        <f>'[40]TGSPDCL MoD'!Y47</f>
        <v>6.81990155414651</v>
      </c>
      <c r="J244" s="147">
        <f>'[40]TGSPDCL MoD'!Z47</f>
        <v>7.5276448994388</v>
      </c>
      <c r="K244" s="147">
        <f>'[40]TGSPDCL MoD'!AA47</f>
        <v>6.93106062894562</v>
      </c>
      <c r="L244" s="147">
        <f>'[40]TGSPDCL MoD'!AB47</f>
        <v>10.0811731587348</v>
      </c>
      <c r="M244" s="147">
        <f>'[40]TGSPDCL MoD'!AC47</f>
        <v>8.8433888284537</v>
      </c>
      <c r="N244" s="147">
        <f>'[40]TGSPDCL MoD'!AD47</f>
        <v>8.61855690908624</v>
      </c>
      <c r="O244" s="147">
        <f>'[40]TGSPDCL MoD'!AE47</f>
        <v>8.48317424796174</v>
      </c>
      <c r="P244" s="147">
        <f>'[40]TGSPDCL MoD'!AF47</f>
        <v>10.1923803446585</v>
      </c>
      <c r="Q244" s="147">
        <f t="shared" si="150"/>
        <v>89.5984999999999</v>
      </c>
    </row>
    <row r="245" spans="3:17"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>
        <f t="shared" si="150"/>
        <v>0</v>
      </c>
    </row>
    <row r="246" spans="3:17"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>
        <f t="shared" si="150"/>
        <v>0</v>
      </c>
    </row>
    <row r="247" spans="3:17"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>
        <f t="shared" si="150"/>
        <v>0</v>
      </c>
    </row>
    <row r="248" spans="3:17"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>
        <f t="shared" si="150"/>
        <v>0</v>
      </c>
    </row>
    <row r="249" spans="3:17"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>
        <f t="shared" si="150"/>
        <v>0</v>
      </c>
    </row>
    <row r="250" spans="3:17"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>
        <f t="shared" si="150"/>
        <v>0</v>
      </c>
    </row>
    <row r="251" spans="3:17"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>
        <f t="shared" si="150"/>
        <v>0</v>
      </c>
    </row>
    <row r="252" spans="3:17"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>
        <f t="shared" si="150"/>
        <v>0</v>
      </c>
    </row>
    <row r="253" spans="3:17"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>
        <f t="shared" si="150"/>
        <v>0</v>
      </c>
    </row>
    <row r="254" spans="3:17"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>
        <f t="shared" si="150"/>
        <v>0</v>
      </c>
    </row>
    <row r="255" ht="15" spans="3:18">
      <c r="C255" s="537" t="s">
        <v>211</v>
      </c>
      <c r="D255" s="540"/>
      <c r="E255" s="147">
        <f t="shared" ref="E255:P255" si="151">SUM(E229:E254)</f>
        <v>255.124698714311</v>
      </c>
      <c r="F255" s="147">
        <f t="shared" si="151"/>
        <v>275.917941057102</v>
      </c>
      <c r="G255" s="147">
        <f t="shared" si="151"/>
        <v>232.75184759648</v>
      </c>
      <c r="H255" s="147">
        <f t="shared" si="151"/>
        <v>228.519967138534</v>
      </c>
      <c r="I255" s="147">
        <f t="shared" si="151"/>
        <v>209.036060674771</v>
      </c>
      <c r="J255" s="147">
        <f t="shared" si="151"/>
        <v>223.018471395578</v>
      </c>
      <c r="K255" s="147">
        <f t="shared" si="151"/>
        <v>204.636885386598</v>
      </c>
      <c r="L255" s="147">
        <f t="shared" si="151"/>
        <v>226.587070240437</v>
      </c>
      <c r="M255" s="147">
        <f t="shared" si="151"/>
        <v>221.225143755408</v>
      </c>
      <c r="N255" s="147">
        <f t="shared" si="151"/>
        <v>226.969534301734</v>
      </c>
      <c r="O255" s="147">
        <f t="shared" si="151"/>
        <v>242.159341277903</v>
      </c>
      <c r="P255" s="147">
        <f t="shared" si="151"/>
        <v>286.707045196108</v>
      </c>
      <c r="Q255" s="316">
        <f t="shared" si="150"/>
        <v>2832.65400673496</v>
      </c>
      <c r="R255" s="686"/>
    </row>
    <row r="256" ht="15" spans="3:17">
      <c r="C256" s="44" t="s">
        <v>388</v>
      </c>
      <c r="D256" s="4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</row>
    <row r="257" spans="3:17">
      <c r="C257" s="682" t="s">
        <v>389</v>
      </c>
      <c r="D257" s="55" t="s">
        <v>390</v>
      </c>
      <c r="E257" s="147">
        <v>0</v>
      </c>
      <c r="F257" s="147">
        <v>0</v>
      </c>
      <c r="G257" s="147">
        <v>0</v>
      </c>
      <c r="H257" s="147">
        <v>0</v>
      </c>
      <c r="I257" s="147">
        <v>0</v>
      </c>
      <c r="J257" s="147">
        <v>0</v>
      </c>
      <c r="K257" s="147">
        <v>0</v>
      </c>
      <c r="L257" s="147">
        <v>0</v>
      </c>
      <c r="M257" s="147">
        <v>0</v>
      </c>
      <c r="N257" s="147">
        <v>0</v>
      </c>
      <c r="O257" s="147">
        <v>0</v>
      </c>
      <c r="P257" s="147">
        <v>0</v>
      </c>
      <c r="Q257" s="147">
        <f t="shared" ref="Q257:Q271" si="152">SUM(E257:P257)</f>
        <v>0</v>
      </c>
    </row>
    <row r="258" spans="3:17">
      <c r="C258" s="683"/>
      <c r="D258" s="55" t="s">
        <v>391</v>
      </c>
      <c r="E258" s="147">
        <v>0</v>
      </c>
      <c r="F258" s="147">
        <v>0</v>
      </c>
      <c r="G258" s="147">
        <v>0</v>
      </c>
      <c r="H258" s="147">
        <v>0</v>
      </c>
      <c r="I258" s="147">
        <v>0</v>
      </c>
      <c r="J258" s="147">
        <v>0</v>
      </c>
      <c r="K258" s="147">
        <v>0</v>
      </c>
      <c r="L258" s="147">
        <v>0</v>
      </c>
      <c r="M258" s="147">
        <v>0</v>
      </c>
      <c r="N258" s="147">
        <v>0</v>
      </c>
      <c r="O258" s="147">
        <v>0</v>
      </c>
      <c r="P258" s="147">
        <v>0</v>
      </c>
      <c r="Q258" s="147">
        <f t="shared" si="152"/>
        <v>0</v>
      </c>
    </row>
    <row r="259" spans="3:17">
      <c r="C259" s="683"/>
      <c r="D259" s="55" t="s">
        <v>392</v>
      </c>
      <c r="E259" s="147">
        <v>0</v>
      </c>
      <c r="F259" s="147">
        <v>0</v>
      </c>
      <c r="G259" s="147">
        <v>0</v>
      </c>
      <c r="H259" s="147">
        <v>0</v>
      </c>
      <c r="I259" s="147">
        <v>0</v>
      </c>
      <c r="J259" s="147">
        <v>0</v>
      </c>
      <c r="K259" s="147">
        <v>0</v>
      </c>
      <c r="L259" s="147">
        <v>0</v>
      </c>
      <c r="M259" s="147">
        <v>0</v>
      </c>
      <c r="N259" s="147">
        <v>0</v>
      </c>
      <c r="O259" s="147">
        <v>0</v>
      </c>
      <c r="P259" s="147">
        <v>0</v>
      </c>
      <c r="Q259" s="147">
        <f t="shared" si="152"/>
        <v>0</v>
      </c>
    </row>
    <row r="260" spans="3:17">
      <c r="C260" s="684"/>
      <c r="D260" s="55" t="s">
        <v>393</v>
      </c>
      <c r="E260" s="147">
        <v>0</v>
      </c>
      <c r="F260" s="147">
        <v>0</v>
      </c>
      <c r="G260" s="147">
        <v>0</v>
      </c>
      <c r="H260" s="147">
        <v>0</v>
      </c>
      <c r="I260" s="147">
        <v>0</v>
      </c>
      <c r="J260" s="147">
        <v>0</v>
      </c>
      <c r="K260" s="147">
        <v>0</v>
      </c>
      <c r="L260" s="147">
        <v>0</v>
      </c>
      <c r="M260" s="147">
        <v>0</v>
      </c>
      <c r="N260" s="147">
        <v>0</v>
      </c>
      <c r="O260" s="147">
        <v>0</v>
      </c>
      <c r="P260" s="147">
        <v>0</v>
      </c>
      <c r="Q260" s="147">
        <f t="shared" si="152"/>
        <v>0</v>
      </c>
    </row>
    <row r="261" spans="3:17">
      <c r="C261" s="55"/>
      <c r="D261" s="55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>
        <f t="shared" si="152"/>
        <v>0</v>
      </c>
    </row>
    <row r="262" spans="3:17">
      <c r="C262" s="55"/>
      <c r="D262" s="55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>
        <f t="shared" si="152"/>
        <v>0</v>
      </c>
    </row>
    <row r="263" spans="3:17">
      <c r="C263" s="55"/>
      <c r="D263" s="55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>
        <f t="shared" si="152"/>
        <v>0</v>
      </c>
    </row>
    <row r="264" spans="3:17">
      <c r="C264" s="55"/>
      <c r="D264" s="55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>
        <f t="shared" si="152"/>
        <v>0</v>
      </c>
    </row>
    <row r="265" spans="3:17">
      <c r="C265" s="55"/>
      <c r="D265" s="55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>
        <f t="shared" si="152"/>
        <v>0</v>
      </c>
    </row>
    <row r="266" spans="3:17">
      <c r="C266" s="55"/>
      <c r="D266" s="55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>
        <f t="shared" si="152"/>
        <v>0</v>
      </c>
    </row>
    <row r="267" spans="3:17">
      <c r="C267" s="55"/>
      <c r="D267" s="55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>
        <f t="shared" si="152"/>
        <v>0</v>
      </c>
    </row>
    <row r="268" spans="3:17">
      <c r="C268" s="55"/>
      <c r="D268" s="55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>
        <f t="shared" si="152"/>
        <v>0</v>
      </c>
    </row>
    <row r="269" spans="3:17">
      <c r="C269" s="55"/>
      <c r="D269" s="55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>
        <f t="shared" si="152"/>
        <v>0</v>
      </c>
    </row>
    <row r="270" spans="3:17">
      <c r="C270" s="55"/>
      <c r="D270" s="55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>
        <f t="shared" si="152"/>
        <v>0</v>
      </c>
    </row>
    <row r="271" ht="15" spans="3:17">
      <c r="C271" s="537" t="s">
        <v>211</v>
      </c>
      <c r="D271" s="540"/>
      <c r="E271" s="147">
        <f t="shared" ref="E271:P271" si="153">SUM(E257:E270)</f>
        <v>0</v>
      </c>
      <c r="F271" s="147">
        <f t="shared" si="153"/>
        <v>0</v>
      </c>
      <c r="G271" s="147">
        <f t="shared" si="153"/>
        <v>0</v>
      </c>
      <c r="H271" s="147">
        <f t="shared" si="153"/>
        <v>0</v>
      </c>
      <c r="I271" s="147">
        <f t="shared" si="153"/>
        <v>0</v>
      </c>
      <c r="J271" s="147">
        <f t="shared" si="153"/>
        <v>0</v>
      </c>
      <c r="K271" s="147">
        <f t="shared" si="153"/>
        <v>0</v>
      </c>
      <c r="L271" s="147">
        <f t="shared" si="153"/>
        <v>0</v>
      </c>
      <c r="M271" s="147">
        <f t="shared" si="153"/>
        <v>0</v>
      </c>
      <c r="N271" s="147">
        <f t="shared" si="153"/>
        <v>0</v>
      </c>
      <c r="O271" s="147">
        <f t="shared" si="153"/>
        <v>0</v>
      </c>
      <c r="P271" s="147">
        <f t="shared" si="153"/>
        <v>0</v>
      </c>
      <c r="Q271" s="316">
        <f t="shared" si="152"/>
        <v>0</v>
      </c>
    </row>
    <row r="272" ht="15" spans="3:18">
      <c r="C272" s="44" t="s">
        <v>395</v>
      </c>
      <c r="D272" s="45"/>
      <c r="E272" s="147">
        <f t="shared" ref="E272:Q272" si="154">E255+E271</f>
        <v>255.124698714311</v>
      </c>
      <c r="F272" s="147">
        <f t="shared" si="154"/>
        <v>275.917941057102</v>
      </c>
      <c r="G272" s="147">
        <f t="shared" si="154"/>
        <v>232.75184759648</v>
      </c>
      <c r="H272" s="147">
        <f t="shared" si="154"/>
        <v>228.519967138534</v>
      </c>
      <c r="I272" s="147">
        <f t="shared" si="154"/>
        <v>209.036060674771</v>
      </c>
      <c r="J272" s="147">
        <f t="shared" si="154"/>
        <v>223.018471395578</v>
      </c>
      <c r="K272" s="147">
        <f t="shared" si="154"/>
        <v>204.636885386598</v>
      </c>
      <c r="L272" s="147">
        <f t="shared" si="154"/>
        <v>226.587070240437</v>
      </c>
      <c r="M272" s="147">
        <f t="shared" si="154"/>
        <v>221.225143755408</v>
      </c>
      <c r="N272" s="147">
        <f t="shared" si="154"/>
        <v>226.969534301734</v>
      </c>
      <c r="O272" s="147">
        <f t="shared" si="154"/>
        <v>242.159341277903</v>
      </c>
      <c r="P272" s="147">
        <f t="shared" si="154"/>
        <v>286.707045196108</v>
      </c>
      <c r="Q272" s="316">
        <f t="shared" si="154"/>
        <v>2832.65400673496</v>
      </c>
      <c r="R272" s="686"/>
    </row>
    <row r="273" ht="15" spans="3:17">
      <c r="C273" s="663" t="s">
        <v>396</v>
      </c>
      <c r="D273" s="676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</row>
    <row r="274" spans="3:17">
      <c r="C274" s="55" t="s">
        <v>397</v>
      </c>
      <c r="D274" s="55" t="s">
        <v>397</v>
      </c>
      <c r="E274" s="147">
        <f>'[40]TGSPDCL MoD'!U23</f>
        <v>18.4543600085279</v>
      </c>
      <c r="F274" s="147">
        <f>'[40]TGSPDCL MoD'!V23</f>
        <v>19.0695053421455</v>
      </c>
      <c r="G274" s="147">
        <f>'[40]TGSPDCL MoD'!W23</f>
        <v>18.4543600085279</v>
      </c>
      <c r="H274" s="147">
        <f>'[40]TGSPDCL MoD'!X23</f>
        <v>19.667602136537</v>
      </c>
      <c r="I274" s="147">
        <f>'[40]TGSPDCL MoD'!Y23</f>
        <v>16.2493672281662</v>
      </c>
      <c r="J274" s="147">
        <f>'[40]TGSPDCL MoD'!Z23</f>
        <v>18.3741432543407</v>
      </c>
      <c r="K274" s="147">
        <f>'[40]TGSPDCL MoD'!AA23</f>
        <v>15.8464903547406</v>
      </c>
      <c r="L274" s="147">
        <f>'[40]TGSPDCL MoD'!AB23</f>
        <v>18.4543600085279</v>
      </c>
      <c r="M274" s="147">
        <f>'[40]TGSPDCL MoD'!AC23</f>
        <v>19.0695053421455</v>
      </c>
      <c r="N274" s="147">
        <f>'[40]TGSPDCL MoD'!AD23</f>
        <v>18.6666284687199</v>
      </c>
      <c r="O274" s="147">
        <f>'[40]TGSPDCL MoD'!AE23</f>
        <v>17.8392146749103</v>
      </c>
      <c r="P274" s="147">
        <f>'[40]TGSPDCL MoD'!AF23</f>
        <v>21.4867665826992</v>
      </c>
      <c r="Q274" s="55">
        <f t="shared" ref="Q274:Q281" si="155">SUM(E274:P274)</f>
        <v>221.632303409989</v>
      </c>
    </row>
    <row r="275" spans="3:17">
      <c r="C275" s="55" t="s">
        <v>398</v>
      </c>
      <c r="D275" s="55" t="s">
        <v>398</v>
      </c>
      <c r="E275" s="55">
        <v>0</v>
      </c>
      <c r="F275" s="55">
        <v>0</v>
      </c>
      <c r="G275" s="55">
        <v>0</v>
      </c>
      <c r="H275" s="55">
        <v>0</v>
      </c>
      <c r="I275" s="55">
        <v>0</v>
      </c>
      <c r="J275" s="55">
        <v>0</v>
      </c>
      <c r="K275" s="55">
        <v>0</v>
      </c>
      <c r="L275" s="55">
        <v>0</v>
      </c>
      <c r="M275" s="55">
        <v>0</v>
      </c>
      <c r="N275" s="55">
        <v>0</v>
      </c>
      <c r="O275" s="55">
        <v>0</v>
      </c>
      <c r="P275" s="55">
        <v>0</v>
      </c>
      <c r="Q275" s="55">
        <f t="shared" si="155"/>
        <v>0</v>
      </c>
    </row>
    <row r="276" spans="3:17"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>
        <f t="shared" si="155"/>
        <v>0</v>
      </c>
    </row>
    <row r="277" spans="3:17"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>
        <f t="shared" si="155"/>
        <v>0</v>
      </c>
    </row>
    <row r="278" spans="3:17"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>
        <f t="shared" si="155"/>
        <v>0</v>
      </c>
    </row>
    <row r="279" spans="3:17"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>
        <f t="shared" si="155"/>
        <v>0</v>
      </c>
    </row>
    <row r="280" spans="3:17"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>
        <f t="shared" si="155"/>
        <v>0</v>
      </c>
    </row>
    <row r="281" ht="15" spans="3:18">
      <c r="C281" s="44" t="s">
        <v>399</v>
      </c>
      <c r="D281" s="45"/>
      <c r="E281" s="147">
        <f t="shared" ref="E281:P281" si="156">SUM(E274:E280)</f>
        <v>18.4543600085279</v>
      </c>
      <c r="F281" s="147">
        <f t="shared" si="156"/>
        <v>19.0695053421455</v>
      </c>
      <c r="G281" s="147">
        <f t="shared" si="156"/>
        <v>18.4543600085279</v>
      </c>
      <c r="H281" s="147">
        <f t="shared" si="156"/>
        <v>19.667602136537</v>
      </c>
      <c r="I281" s="147">
        <f t="shared" si="156"/>
        <v>16.2493672281662</v>
      </c>
      <c r="J281" s="147">
        <f t="shared" si="156"/>
        <v>18.3741432543407</v>
      </c>
      <c r="K281" s="147">
        <f t="shared" si="156"/>
        <v>15.8464903547406</v>
      </c>
      <c r="L281" s="147">
        <f t="shared" si="156"/>
        <v>18.4543600085279</v>
      </c>
      <c r="M281" s="147">
        <f t="shared" si="156"/>
        <v>19.0695053421455</v>
      </c>
      <c r="N281" s="147">
        <f t="shared" si="156"/>
        <v>18.6666284687199</v>
      </c>
      <c r="O281" s="147">
        <f t="shared" si="156"/>
        <v>17.8392146749103</v>
      </c>
      <c r="P281" s="147">
        <f t="shared" si="156"/>
        <v>21.4867665826992</v>
      </c>
      <c r="Q281" s="316">
        <f t="shared" si="155"/>
        <v>221.632303409989</v>
      </c>
      <c r="R281" s="686"/>
    </row>
    <row r="282" ht="15" spans="3:17">
      <c r="C282" s="663" t="s">
        <v>400</v>
      </c>
      <c r="D282" s="676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</row>
    <row r="283" spans="3:17">
      <c r="C283" s="55" t="s">
        <v>401</v>
      </c>
      <c r="D283" s="55" t="s">
        <v>401</v>
      </c>
      <c r="E283" s="147">
        <f>'[40]TGSPDCL MoD'!U20+'[40]TGSPDCL MoD'!U21+'[40]TGSPDCL MoD'!U22</f>
        <v>204.164275026795</v>
      </c>
      <c r="F283" s="147">
        <f>'[40]TGSPDCL MoD'!V20+'[40]TGSPDCL MoD'!V21+'[40]TGSPDCL MoD'!V22</f>
        <v>50.1666359973773</v>
      </c>
      <c r="G283" s="147">
        <f>'[40]TGSPDCL MoD'!W20+'[40]TGSPDCL MoD'!W21+'[40]TGSPDCL MoD'!W22</f>
        <v>84.0715735004639</v>
      </c>
      <c r="H283" s="147">
        <f>'[40]TGSPDCL MoD'!X20+'[40]TGSPDCL MoD'!X21+'[40]TGSPDCL MoD'!X22</f>
        <v>177.919251356051</v>
      </c>
      <c r="I283" s="147">
        <f>'[40]TGSPDCL MoD'!Y20+'[40]TGSPDCL MoD'!Y21+'[40]TGSPDCL MoD'!Y22</f>
        <v>160.088760181758</v>
      </c>
      <c r="J283" s="147">
        <f>'[40]TGSPDCL MoD'!Z20+'[40]TGSPDCL MoD'!Z21+'[40]TGSPDCL MoD'!Z22</f>
        <v>171.549364027491</v>
      </c>
      <c r="K283" s="147">
        <f>'[40]TGSPDCL MoD'!AA20+'[40]TGSPDCL MoD'!AA21+'[40]TGSPDCL MoD'!AA22</f>
        <v>167.338815279306</v>
      </c>
      <c r="L283" s="147">
        <f>'[40]TGSPDCL MoD'!AB20+'[40]TGSPDCL MoD'!AB21+'[40]TGSPDCL MoD'!AB22</f>
        <v>221.398729149248</v>
      </c>
      <c r="M283" s="147">
        <f>'[40]TGSPDCL MoD'!AC20+'[40]TGSPDCL MoD'!AC21+'[40]TGSPDCL MoD'!AC22</f>
        <v>198.580625051767</v>
      </c>
      <c r="N283" s="147">
        <f>'[40]TGSPDCL MoD'!AD20+'[40]TGSPDCL MoD'!AD21+'[40]TGSPDCL MoD'!AD22</f>
        <v>195.165945655539</v>
      </c>
      <c r="O283" s="147">
        <f>'[40]TGSPDCL MoD'!AE20+'[40]TGSPDCL MoD'!AE21+'[40]TGSPDCL MoD'!AE22</f>
        <v>190.440420884462</v>
      </c>
      <c r="P283" s="147">
        <f>'[40]TGSPDCL MoD'!AF20+'[40]TGSPDCL MoD'!AF21+'[40]TGSPDCL MoD'!AF22</f>
        <v>227.083333889743</v>
      </c>
      <c r="Q283" s="147">
        <f t="shared" ref="Q283:Q291" si="157">SUM(E283:P283)</f>
        <v>2047.96773</v>
      </c>
    </row>
    <row r="284" spans="3:17">
      <c r="C284" s="55" t="s">
        <v>402</v>
      </c>
      <c r="D284" s="55" t="s">
        <v>402</v>
      </c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>
        <f t="shared" si="157"/>
        <v>0</v>
      </c>
    </row>
    <row r="285" spans="3:17">
      <c r="C285" s="55" t="s">
        <v>403</v>
      </c>
      <c r="D285" s="55" t="s">
        <v>403</v>
      </c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>
        <f t="shared" si="157"/>
        <v>0</v>
      </c>
    </row>
    <row r="286" spans="3:17"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>
        <f t="shared" si="157"/>
        <v>0</v>
      </c>
    </row>
    <row r="287" spans="3:17"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>
        <f t="shared" si="157"/>
        <v>0</v>
      </c>
    </row>
    <row r="288" spans="3:17"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>
        <f t="shared" si="157"/>
        <v>0</v>
      </c>
    </row>
    <row r="289" spans="3:17"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>
        <f t="shared" si="157"/>
        <v>0</v>
      </c>
    </row>
    <row r="290" spans="3:17"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>
        <f t="shared" si="157"/>
        <v>0</v>
      </c>
    </row>
    <row r="291" ht="15" spans="3:18">
      <c r="C291" s="44" t="s">
        <v>404</v>
      </c>
      <c r="D291" s="45"/>
      <c r="E291" s="147">
        <f t="shared" ref="E291:P291" si="158">SUM(E283:E290)</f>
        <v>204.164275026795</v>
      </c>
      <c r="F291" s="147">
        <f t="shared" si="158"/>
        <v>50.1666359973773</v>
      </c>
      <c r="G291" s="147">
        <f t="shared" si="158"/>
        <v>84.0715735004639</v>
      </c>
      <c r="H291" s="147">
        <f t="shared" si="158"/>
        <v>177.919251356051</v>
      </c>
      <c r="I291" s="147">
        <f t="shared" si="158"/>
        <v>160.088760181758</v>
      </c>
      <c r="J291" s="147">
        <f t="shared" si="158"/>
        <v>171.549364027491</v>
      </c>
      <c r="K291" s="147">
        <f t="shared" si="158"/>
        <v>167.338815279306</v>
      </c>
      <c r="L291" s="147">
        <f t="shared" si="158"/>
        <v>221.398729149248</v>
      </c>
      <c r="M291" s="147">
        <f t="shared" si="158"/>
        <v>198.580625051767</v>
      </c>
      <c r="N291" s="147">
        <f t="shared" si="158"/>
        <v>195.165945655539</v>
      </c>
      <c r="O291" s="147">
        <f t="shared" si="158"/>
        <v>190.440420884462</v>
      </c>
      <c r="P291" s="147">
        <f t="shared" si="158"/>
        <v>227.083333889743</v>
      </c>
      <c r="Q291" s="316">
        <f t="shared" si="157"/>
        <v>2047.96773</v>
      </c>
      <c r="R291" s="686"/>
    </row>
    <row r="292" ht="15" spans="3:17">
      <c r="C292" s="663" t="s">
        <v>405</v>
      </c>
      <c r="D292" s="676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</row>
    <row r="293" spans="3:17">
      <c r="C293" s="55"/>
      <c r="D293" s="55" t="s">
        <v>406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f t="shared" ref="Q293:Q317" si="159">SUM(E293:P293)</f>
        <v>0</v>
      </c>
    </row>
    <row r="294" spans="3:17">
      <c r="C294" s="55"/>
      <c r="D294" s="55" t="s">
        <v>407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0</v>
      </c>
      <c r="P294" s="55">
        <v>0</v>
      </c>
      <c r="Q294" s="55">
        <f t="shared" si="159"/>
        <v>0</v>
      </c>
    </row>
    <row r="295" spans="3:17">
      <c r="C295" s="55"/>
      <c r="D295" s="55" t="s">
        <v>408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f t="shared" si="159"/>
        <v>0</v>
      </c>
    </row>
    <row r="296" spans="3:17">
      <c r="C296" s="55"/>
      <c r="D296" s="55" t="s">
        <v>409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f t="shared" si="159"/>
        <v>0</v>
      </c>
    </row>
    <row r="297" spans="3:17">
      <c r="C297" s="55"/>
      <c r="D297" s="55" t="s">
        <v>410</v>
      </c>
      <c r="E297" s="55">
        <v>0</v>
      </c>
      <c r="F297" s="55">
        <v>0</v>
      </c>
      <c r="G297" s="55">
        <v>0</v>
      </c>
      <c r="H297" s="55">
        <v>0</v>
      </c>
      <c r="I297" s="55">
        <v>0</v>
      </c>
      <c r="J297" s="55">
        <v>0</v>
      </c>
      <c r="K297" s="55">
        <v>0</v>
      </c>
      <c r="L297" s="55">
        <v>0</v>
      </c>
      <c r="M297" s="55">
        <v>0</v>
      </c>
      <c r="N297" s="55">
        <v>0</v>
      </c>
      <c r="O297" s="55">
        <v>0</v>
      </c>
      <c r="P297" s="55">
        <v>0</v>
      </c>
      <c r="Q297" s="55">
        <f t="shared" si="159"/>
        <v>0</v>
      </c>
    </row>
    <row r="298" spans="3:17">
      <c r="C298" s="55"/>
      <c r="D298" s="55" t="s">
        <v>368</v>
      </c>
      <c r="E298" s="55">
        <v>0</v>
      </c>
      <c r="F298" s="55">
        <v>0</v>
      </c>
      <c r="G298" s="55">
        <v>0</v>
      </c>
      <c r="H298" s="55">
        <v>0</v>
      </c>
      <c r="I298" s="55">
        <v>0</v>
      </c>
      <c r="J298" s="55">
        <v>0</v>
      </c>
      <c r="K298" s="55">
        <v>0</v>
      </c>
      <c r="L298" s="55">
        <v>0</v>
      </c>
      <c r="M298" s="55">
        <v>0</v>
      </c>
      <c r="N298" s="55">
        <v>0</v>
      </c>
      <c r="O298" s="55">
        <v>0</v>
      </c>
      <c r="P298" s="55">
        <v>0</v>
      </c>
      <c r="Q298" s="55">
        <f t="shared" si="159"/>
        <v>0</v>
      </c>
    </row>
    <row r="299" spans="3:17">
      <c r="C299" s="55"/>
      <c r="D299" s="55" t="s">
        <v>411</v>
      </c>
      <c r="E299" s="55">
        <v>0</v>
      </c>
      <c r="F299" s="55">
        <v>0</v>
      </c>
      <c r="G299" s="55">
        <v>0</v>
      </c>
      <c r="H299" s="55">
        <v>0</v>
      </c>
      <c r="I299" s="55">
        <v>0</v>
      </c>
      <c r="J299" s="55">
        <v>0</v>
      </c>
      <c r="K299" s="55">
        <v>0</v>
      </c>
      <c r="L299" s="55">
        <v>0</v>
      </c>
      <c r="M299" s="55">
        <v>0</v>
      </c>
      <c r="N299" s="55">
        <v>0</v>
      </c>
      <c r="O299" s="55">
        <v>0</v>
      </c>
      <c r="P299" s="55">
        <v>0</v>
      </c>
      <c r="Q299" s="55">
        <f t="shared" si="159"/>
        <v>0</v>
      </c>
    </row>
    <row r="300" spans="3:17">
      <c r="C300" s="55"/>
      <c r="D300" s="55" t="s">
        <v>412</v>
      </c>
      <c r="E300" s="55">
        <v>0</v>
      </c>
      <c r="F300" s="55">
        <v>0</v>
      </c>
      <c r="G300" s="55">
        <v>0</v>
      </c>
      <c r="H300" s="55">
        <v>0</v>
      </c>
      <c r="I300" s="55">
        <v>0</v>
      </c>
      <c r="J300" s="55">
        <v>0</v>
      </c>
      <c r="K300" s="55">
        <v>0</v>
      </c>
      <c r="L300" s="55">
        <v>0</v>
      </c>
      <c r="M300" s="55">
        <v>0</v>
      </c>
      <c r="N300" s="55">
        <v>0</v>
      </c>
      <c r="O300" s="55">
        <v>0</v>
      </c>
      <c r="P300" s="55">
        <v>0</v>
      </c>
      <c r="Q300" s="55">
        <f t="shared" si="159"/>
        <v>0</v>
      </c>
    </row>
    <row r="301" spans="3:17">
      <c r="C301" s="55"/>
      <c r="D301" s="55" t="s">
        <v>413</v>
      </c>
      <c r="E301" s="55">
        <v>0</v>
      </c>
      <c r="F301" s="55">
        <v>0</v>
      </c>
      <c r="G301" s="55">
        <v>0</v>
      </c>
      <c r="H301" s="55">
        <v>0</v>
      </c>
      <c r="I301" s="55">
        <v>0</v>
      </c>
      <c r="J301" s="55">
        <v>0</v>
      </c>
      <c r="K301" s="55">
        <v>0</v>
      </c>
      <c r="L301" s="55">
        <v>0</v>
      </c>
      <c r="M301" s="55">
        <v>0</v>
      </c>
      <c r="N301" s="55">
        <v>0</v>
      </c>
      <c r="O301" s="55">
        <v>0</v>
      </c>
      <c r="P301" s="55">
        <v>0</v>
      </c>
      <c r="Q301" s="55">
        <f t="shared" si="159"/>
        <v>0</v>
      </c>
    </row>
    <row r="302" spans="3:17">
      <c r="C302" s="55"/>
      <c r="D302" s="55" t="s">
        <v>414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f t="shared" si="159"/>
        <v>0</v>
      </c>
    </row>
    <row r="303" spans="3:17">
      <c r="C303" s="55"/>
      <c r="D303" s="55" t="s">
        <v>415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f t="shared" si="159"/>
        <v>0</v>
      </c>
    </row>
    <row r="304" spans="3:17">
      <c r="C304" s="55"/>
      <c r="D304" s="55" t="s">
        <v>416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f t="shared" si="159"/>
        <v>0</v>
      </c>
    </row>
    <row r="305" spans="3:17">
      <c r="C305" s="55"/>
      <c r="D305" s="55" t="s">
        <v>417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f t="shared" si="159"/>
        <v>0</v>
      </c>
    </row>
    <row r="306" spans="3:17">
      <c r="C306" s="55"/>
      <c r="D306" s="55" t="s">
        <v>418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f t="shared" si="159"/>
        <v>0</v>
      </c>
    </row>
    <row r="307" spans="3:17">
      <c r="C307" s="55"/>
      <c r="D307" s="687" t="s">
        <v>419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f t="shared" si="159"/>
        <v>0</v>
      </c>
    </row>
    <row r="308" spans="3:17">
      <c r="C308" s="55"/>
      <c r="D308" s="687" t="s">
        <v>420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f t="shared" si="159"/>
        <v>0</v>
      </c>
    </row>
    <row r="309" spans="3:17"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>
        <f t="shared" si="159"/>
        <v>0</v>
      </c>
    </row>
    <row r="310" spans="3:17"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>
        <f t="shared" si="159"/>
        <v>0</v>
      </c>
    </row>
    <row r="311" spans="3:17"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>
        <f t="shared" si="159"/>
        <v>0</v>
      </c>
    </row>
    <row r="312" spans="3:17"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>
        <f t="shared" si="159"/>
        <v>0</v>
      </c>
    </row>
    <row r="313" spans="3:17"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>
        <f t="shared" si="159"/>
        <v>0</v>
      </c>
    </row>
    <row r="314" spans="3:17"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>
        <f t="shared" si="159"/>
        <v>0</v>
      </c>
    </row>
    <row r="315" spans="3:17"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>
        <f t="shared" si="159"/>
        <v>0</v>
      </c>
    </row>
    <row r="316" spans="3:17"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>
        <f t="shared" si="159"/>
        <v>0</v>
      </c>
    </row>
    <row r="317" ht="15" spans="3:17">
      <c r="C317" s="44" t="s">
        <v>421</v>
      </c>
      <c r="D317" s="45"/>
      <c r="E317" s="55">
        <f t="shared" ref="E317:P317" si="160">SUM(E293:E316)</f>
        <v>0</v>
      </c>
      <c r="F317" s="55">
        <f t="shared" si="160"/>
        <v>0</v>
      </c>
      <c r="G317" s="55">
        <f t="shared" si="160"/>
        <v>0</v>
      </c>
      <c r="H317" s="55">
        <f t="shared" si="160"/>
        <v>0</v>
      </c>
      <c r="I317" s="55">
        <f t="shared" si="160"/>
        <v>0</v>
      </c>
      <c r="J317" s="55">
        <f t="shared" si="160"/>
        <v>0</v>
      </c>
      <c r="K317" s="55">
        <f t="shared" si="160"/>
        <v>0</v>
      </c>
      <c r="L317" s="55">
        <f t="shared" si="160"/>
        <v>0</v>
      </c>
      <c r="M317" s="55">
        <f t="shared" si="160"/>
        <v>0</v>
      </c>
      <c r="N317" s="55">
        <f t="shared" si="160"/>
        <v>0</v>
      </c>
      <c r="O317" s="55">
        <f t="shared" si="160"/>
        <v>0</v>
      </c>
      <c r="P317" s="55">
        <f t="shared" si="160"/>
        <v>0</v>
      </c>
      <c r="Q317" s="316">
        <f t="shared" si="159"/>
        <v>0</v>
      </c>
    </row>
    <row r="318" ht="15" spans="3:17">
      <c r="C318" s="663" t="s">
        <v>422</v>
      </c>
      <c r="D318" s="676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</row>
    <row r="319" spans="3:17">
      <c r="C319" s="55"/>
      <c r="D319" s="55" t="s">
        <v>423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f>SUM(E319:P319)</f>
        <v>0</v>
      </c>
    </row>
    <row r="320" spans="3:17"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>
        <f>SUM(E320:P320)</f>
        <v>0</v>
      </c>
    </row>
    <row r="321" spans="3:17"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>
        <f>SUM(E321:P321)</f>
        <v>0</v>
      </c>
    </row>
    <row r="322" spans="3:17"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>
        <f>SUM(E322:P322)</f>
        <v>0</v>
      </c>
    </row>
    <row r="323" spans="3:17"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</row>
    <row r="324" spans="3:17">
      <c r="C324" s="55"/>
      <c r="D324" s="679" t="s">
        <v>534</v>
      </c>
      <c r="E324" s="55">
        <v>0</v>
      </c>
      <c r="F324" s="55">
        <v>0</v>
      </c>
      <c r="G324" s="55">
        <v>0</v>
      </c>
      <c r="H324" s="55">
        <v>0</v>
      </c>
      <c r="I324" s="55">
        <v>0</v>
      </c>
      <c r="J324" s="55">
        <v>0</v>
      </c>
      <c r="K324" s="55">
        <v>0</v>
      </c>
      <c r="L324" s="55">
        <v>0</v>
      </c>
      <c r="M324" s="55">
        <v>0</v>
      </c>
      <c r="N324" s="55">
        <v>0</v>
      </c>
      <c r="O324" s="55">
        <v>0</v>
      </c>
      <c r="P324" s="55">
        <v>0</v>
      </c>
      <c r="Q324" s="55"/>
    </row>
    <row r="325" spans="3:17">
      <c r="C325" s="55"/>
      <c r="D325" s="679" t="s">
        <v>535</v>
      </c>
      <c r="E325" s="55">
        <v>0</v>
      </c>
      <c r="F325" s="55">
        <v>0</v>
      </c>
      <c r="G325" s="55">
        <v>0</v>
      </c>
      <c r="H325" s="55">
        <v>0</v>
      </c>
      <c r="I325" s="55">
        <v>0</v>
      </c>
      <c r="J325" s="55">
        <v>0</v>
      </c>
      <c r="K325" s="55">
        <v>0</v>
      </c>
      <c r="L325" s="55">
        <v>0</v>
      </c>
      <c r="M325" s="55">
        <v>0</v>
      </c>
      <c r="N325" s="55">
        <v>0</v>
      </c>
      <c r="O325" s="55">
        <v>0</v>
      </c>
      <c r="P325" s="55">
        <v>0</v>
      </c>
      <c r="Q325" s="55"/>
    </row>
    <row r="326" spans="3:17">
      <c r="C326" s="55"/>
      <c r="D326" s="679" t="s">
        <v>502</v>
      </c>
      <c r="E326" s="55">
        <v>0</v>
      </c>
      <c r="F326" s="55">
        <v>0</v>
      </c>
      <c r="G326" s="55">
        <v>0</v>
      </c>
      <c r="H326" s="55">
        <v>0</v>
      </c>
      <c r="I326" s="55">
        <v>0</v>
      </c>
      <c r="J326" s="55">
        <v>0</v>
      </c>
      <c r="K326" s="55">
        <v>0</v>
      </c>
      <c r="L326" s="55">
        <v>0</v>
      </c>
      <c r="M326" s="55">
        <v>0</v>
      </c>
      <c r="N326" s="55">
        <v>0</v>
      </c>
      <c r="O326" s="55">
        <v>0</v>
      </c>
      <c r="P326" s="55">
        <v>0</v>
      </c>
      <c r="Q326" s="55"/>
    </row>
    <row r="327" spans="3:17">
      <c r="C327" s="55"/>
      <c r="D327" s="679" t="s">
        <v>503</v>
      </c>
      <c r="E327" s="55">
        <v>0</v>
      </c>
      <c r="F327" s="55">
        <v>0</v>
      </c>
      <c r="G327" s="55">
        <v>0</v>
      </c>
      <c r="H327" s="55">
        <v>0</v>
      </c>
      <c r="I327" s="55">
        <v>0</v>
      </c>
      <c r="J327" s="55">
        <v>0</v>
      </c>
      <c r="K327" s="55">
        <v>0</v>
      </c>
      <c r="L327" s="55">
        <v>0</v>
      </c>
      <c r="M327" s="55">
        <v>0</v>
      </c>
      <c r="N327" s="55">
        <v>0</v>
      </c>
      <c r="O327" s="55">
        <v>0</v>
      </c>
      <c r="P327" s="55">
        <v>0</v>
      </c>
      <c r="Q327" s="55"/>
    </row>
    <row r="328" spans="3:17">
      <c r="C328" s="55"/>
      <c r="D328" s="688" t="s">
        <v>504</v>
      </c>
      <c r="E328" s="55">
        <v>0</v>
      </c>
      <c r="F328" s="55">
        <v>0</v>
      </c>
      <c r="G328" s="55">
        <v>0</v>
      </c>
      <c r="H328" s="55">
        <v>0</v>
      </c>
      <c r="I328" s="55">
        <v>0</v>
      </c>
      <c r="J328" s="55">
        <v>0</v>
      </c>
      <c r="K328" s="55">
        <v>0</v>
      </c>
      <c r="L328" s="55">
        <v>0</v>
      </c>
      <c r="M328" s="55">
        <v>0</v>
      </c>
      <c r="N328" s="55">
        <v>0</v>
      </c>
      <c r="O328" s="55">
        <v>0</v>
      </c>
      <c r="P328" s="55">
        <v>0</v>
      </c>
      <c r="Q328" s="55"/>
    </row>
    <row r="329" spans="3:17">
      <c r="C329" s="55"/>
      <c r="D329" s="679" t="s">
        <v>505</v>
      </c>
      <c r="E329" s="55">
        <v>0</v>
      </c>
      <c r="F329" s="55">
        <v>0</v>
      </c>
      <c r="G329" s="55">
        <v>0</v>
      </c>
      <c r="H329" s="55">
        <v>0</v>
      </c>
      <c r="I329" s="55">
        <v>0</v>
      </c>
      <c r="J329" s="55">
        <v>0</v>
      </c>
      <c r="K329" s="55">
        <v>0</v>
      </c>
      <c r="L329" s="55">
        <v>0</v>
      </c>
      <c r="M329" s="55">
        <v>0</v>
      </c>
      <c r="N329" s="55">
        <v>0</v>
      </c>
      <c r="O329" s="55">
        <v>0</v>
      </c>
      <c r="P329" s="55">
        <v>0</v>
      </c>
      <c r="Q329" s="55"/>
    </row>
    <row r="330" spans="3:17">
      <c r="C330" s="55"/>
      <c r="D330" s="679" t="s">
        <v>506</v>
      </c>
      <c r="E330" s="55">
        <v>0</v>
      </c>
      <c r="F330" s="55">
        <v>0</v>
      </c>
      <c r="G330" s="55">
        <v>0</v>
      </c>
      <c r="H330" s="55">
        <v>0</v>
      </c>
      <c r="I330" s="55">
        <v>0</v>
      </c>
      <c r="J330" s="55">
        <v>0</v>
      </c>
      <c r="K330" s="55">
        <v>0</v>
      </c>
      <c r="L330" s="55">
        <v>0</v>
      </c>
      <c r="M330" s="55">
        <v>0</v>
      </c>
      <c r="N330" s="55">
        <v>0</v>
      </c>
      <c r="O330" s="55">
        <v>0</v>
      </c>
      <c r="P330" s="55">
        <v>0</v>
      </c>
      <c r="Q330" s="55"/>
    </row>
    <row r="331" spans="3:17">
      <c r="C331" s="55"/>
      <c r="D331" s="679" t="s">
        <v>507</v>
      </c>
      <c r="E331" s="55">
        <v>0</v>
      </c>
      <c r="F331" s="55">
        <v>0</v>
      </c>
      <c r="G331" s="55">
        <v>0</v>
      </c>
      <c r="H331" s="55">
        <v>0</v>
      </c>
      <c r="I331" s="55">
        <v>0</v>
      </c>
      <c r="J331" s="55">
        <v>0</v>
      </c>
      <c r="K331" s="55">
        <v>0</v>
      </c>
      <c r="L331" s="55">
        <v>0</v>
      </c>
      <c r="M331" s="55">
        <v>0</v>
      </c>
      <c r="N331" s="55">
        <v>0</v>
      </c>
      <c r="O331" s="55">
        <v>0</v>
      </c>
      <c r="P331" s="55">
        <v>0</v>
      </c>
      <c r="Q331" s="55"/>
    </row>
    <row r="332" spans="3:17">
      <c r="C332" s="55"/>
      <c r="D332" s="679" t="s">
        <v>508</v>
      </c>
      <c r="E332" s="55">
        <v>0</v>
      </c>
      <c r="F332" s="55">
        <v>0</v>
      </c>
      <c r="G332" s="55">
        <v>0</v>
      </c>
      <c r="H332" s="55">
        <v>0</v>
      </c>
      <c r="I332" s="55">
        <v>0</v>
      </c>
      <c r="J332" s="55">
        <v>0</v>
      </c>
      <c r="K332" s="55">
        <v>0</v>
      </c>
      <c r="L332" s="55">
        <v>0</v>
      </c>
      <c r="M332" s="55">
        <v>0</v>
      </c>
      <c r="N332" s="55">
        <v>0</v>
      </c>
      <c r="O332" s="55">
        <v>0</v>
      </c>
      <c r="P332" s="55">
        <v>0</v>
      </c>
      <c r="Q332" s="55"/>
    </row>
    <row r="333" spans="3:17">
      <c r="C333" s="55"/>
      <c r="D333" s="679" t="s">
        <v>509</v>
      </c>
      <c r="E333" s="55">
        <v>0</v>
      </c>
      <c r="F333" s="55">
        <v>0</v>
      </c>
      <c r="G333" s="55">
        <v>0</v>
      </c>
      <c r="H333" s="55">
        <v>0</v>
      </c>
      <c r="I333" s="55">
        <v>0</v>
      </c>
      <c r="J333" s="55">
        <v>0</v>
      </c>
      <c r="K333" s="55">
        <v>0</v>
      </c>
      <c r="L333" s="55">
        <v>0</v>
      </c>
      <c r="M333" s="55">
        <v>0</v>
      </c>
      <c r="N333" s="55">
        <v>0</v>
      </c>
      <c r="O333" s="55">
        <v>0</v>
      </c>
      <c r="P333" s="55">
        <v>0</v>
      </c>
      <c r="Q333" s="55"/>
    </row>
    <row r="334" spans="3:17">
      <c r="C334" s="55"/>
      <c r="D334" s="679" t="s">
        <v>510</v>
      </c>
      <c r="E334" s="55">
        <v>0</v>
      </c>
      <c r="F334" s="55">
        <v>0</v>
      </c>
      <c r="G334" s="55">
        <v>0</v>
      </c>
      <c r="H334" s="55">
        <v>0</v>
      </c>
      <c r="I334" s="55">
        <v>0</v>
      </c>
      <c r="J334" s="55">
        <v>0</v>
      </c>
      <c r="K334" s="55">
        <v>0</v>
      </c>
      <c r="L334" s="55">
        <v>0</v>
      </c>
      <c r="M334" s="55">
        <v>0</v>
      </c>
      <c r="N334" s="55">
        <v>0</v>
      </c>
      <c r="O334" s="55">
        <v>0</v>
      </c>
      <c r="P334" s="55">
        <v>0</v>
      </c>
      <c r="Q334" s="55"/>
    </row>
    <row r="335" spans="3:17">
      <c r="C335" s="55"/>
      <c r="D335" s="679" t="s">
        <v>511</v>
      </c>
      <c r="E335" s="55">
        <v>0</v>
      </c>
      <c r="F335" s="55">
        <v>0</v>
      </c>
      <c r="G335" s="55">
        <v>0</v>
      </c>
      <c r="H335" s="55">
        <v>0</v>
      </c>
      <c r="I335" s="55">
        <v>0</v>
      </c>
      <c r="J335" s="55">
        <v>0</v>
      </c>
      <c r="K335" s="55">
        <v>0</v>
      </c>
      <c r="L335" s="55">
        <v>0</v>
      </c>
      <c r="M335" s="55">
        <v>0</v>
      </c>
      <c r="N335" s="55">
        <v>0</v>
      </c>
      <c r="O335" s="55">
        <v>0</v>
      </c>
      <c r="P335" s="55">
        <v>0</v>
      </c>
      <c r="Q335" s="55"/>
    </row>
    <row r="336" spans="3:17">
      <c r="C336" s="55"/>
      <c r="D336" s="679" t="s">
        <v>512</v>
      </c>
      <c r="E336" s="55">
        <v>0</v>
      </c>
      <c r="F336" s="55">
        <v>0</v>
      </c>
      <c r="G336" s="55">
        <v>0</v>
      </c>
      <c r="H336" s="55">
        <v>0</v>
      </c>
      <c r="I336" s="55">
        <v>0</v>
      </c>
      <c r="J336" s="55">
        <v>0</v>
      </c>
      <c r="K336" s="55">
        <v>0</v>
      </c>
      <c r="L336" s="55">
        <v>0</v>
      </c>
      <c r="M336" s="55">
        <v>0</v>
      </c>
      <c r="N336" s="55">
        <v>0</v>
      </c>
      <c r="O336" s="55">
        <v>0</v>
      </c>
      <c r="P336" s="55">
        <v>0</v>
      </c>
      <c r="Q336" s="55"/>
    </row>
    <row r="337" spans="3:17"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</row>
    <row r="338" spans="3:17"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>
        <f t="shared" ref="Q338:Q345" si="161">SUM(E338:P338)</f>
        <v>0</v>
      </c>
    </row>
    <row r="339" spans="3:17"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>
        <f t="shared" si="161"/>
        <v>0</v>
      </c>
    </row>
    <row r="340" spans="3:17"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>
        <f t="shared" si="161"/>
        <v>0</v>
      </c>
    </row>
    <row r="341" spans="3:17"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>
        <f t="shared" si="161"/>
        <v>0</v>
      </c>
    </row>
    <row r="342" spans="3:17"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>
        <f t="shared" si="161"/>
        <v>0</v>
      </c>
    </row>
    <row r="343" spans="3:17"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>
        <f t="shared" si="161"/>
        <v>0</v>
      </c>
    </row>
    <row r="344" spans="3:17"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>
        <f t="shared" si="161"/>
        <v>0</v>
      </c>
    </row>
    <row r="345" ht="15" spans="3:17">
      <c r="C345" s="44" t="s">
        <v>424</v>
      </c>
      <c r="D345" s="45"/>
      <c r="E345" s="55">
        <f t="shared" ref="E345:P345" si="162">SUM(E319:E344)</f>
        <v>0</v>
      </c>
      <c r="F345" s="55">
        <f t="shared" si="162"/>
        <v>0</v>
      </c>
      <c r="G345" s="55">
        <f t="shared" si="162"/>
        <v>0</v>
      </c>
      <c r="H345" s="55">
        <f t="shared" si="162"/>
        <v>0</v>
      </c>
      <c r="I345" s="55">
        <f t="shared" si="162"/>
        <v>0</v>
      </c>
      <c r="J345" s="55">
        <f t="shared" si="162"/>
        <v>0</v>
      </c>
      <c r="K345" s="55">
        <f t="shared" si="162"/>
        <v>0</v>
      </c>
      <c r="L345" s="55">
        <f t="shared" si="162"/>
        <v>0</v>
      </c>
      <c r="M345" s="55">
        <f t="shared" si="162"/>
        <v>0</v>
      </c>
      <c r="N345" s="55">
        <f t="shared" si="162"/>
        <v>0</v>
      </c>
      <c r="O345" s="55">
        <f t="shared" si="162"/>
        <v>0</v>
      </c>
      <c r="P345" s="55">
        <f t="shared" si="162"/>
        <v>0</v>
      </c>
      <c r="Q345" s="316">
        <f t="shared" si="161"/>
        <v>0</v>
      </c>
    </row>
    <row r="346" ht="15" spans="3:17">
      <c r="C346" s="663" t="s">
        <v>425</v>
      </c>
      <c r="D346" s="676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</row>
    <row r="347" spans="3:17">
      <c r="C347" s="55" t="s">
        <v>426</v>
      </c>
      <c r="D347" s="55" t="s">
        <v>427</v>
      </c>
      <c r="E347" s="147">
        <v>0</v>
      </c>
      <c r="F347" s="147">
        <v>0</v>
      </c>
      <c r="G347" s="147">
        <v>0</v>
      </c>
      <c r="H347" s="147">
        <v>0</v>
      </c>
      <c r="I347" s="147">
        <v>0</v>
      </c>
      <c r="J347" s="147">
        <v>0</v>
      </c>
      <c r="K347" s="147">
        <v>0</v>
      </c>
      <c r="L347" s="147">
        <v>0</v>
      </c>
      <c r="M347" s="147">
        <v>0</v>
      </c>
      <c r="N347" s="147">
        <v>0</v>
      </c>
      <c r="O347" s="147">
        <v>0</v>
      </c>
      <c r="P347" s="147">
        <v>0</v>
      </c>
      <c r="Q347" s="55">
        <f>SUM(E347:P347)</f>
        <v>0</v>
      </c>
    </row>
    <row r="348" spans="3:17">
      <c r="C348" s="55" t="s">
        <v>426</v>
      </c>
      <c r="D348" s="55" t="s">
        <v>428</v>
      </c>
      <c r="E348" s="147">
        <v>0</v>
      </c>
      <c r="F348" s="147">
        <v>0</v>
      </c>
      <c r="G348" s="147">
        <v>0</v>
      </c>
      <c r="H348" s="147">
        <v>0</v>
      </c>
      <c r="I348" s="147">
        <v>0</v>
      </c>
      <c r="J348" s="147">
        <v>0</v>
      </c>
      <c r="K348" s="147">
        <v>0</v>
      </c>
      <c r="L348" s="147">
        <v>0</v>
      </c>
      <c r="M348" s="147">
        <v>0</v>
      </c>
      <c r="N348" s="147">
        <v>0</v>
      </c>
      <c r="O348" s="147">
        <v>0</v>
      </c>
      <c r="P348" s="147">
        <v>0</v>
      </c>
      <c r="Q348" s="55">
        <f>SUM(E348:P348)</f>
        <v>0</v>
      </c>
    </row>
    <row r="349" ht="15" spans="3:17">
      <c r="C349" s="44" t="s">
        <v>429</v>
      </c>
      <c r="D349" s="45"/>
      <c r="E349" s="55">
        <f t="shared" ref="E349:Q349" si="163">E347+E348</f>
        <v>0</v>
      </c>
      <c r="F349" s="55">
        <f t="shared" si="163"/>
        <v>0</v>
      </c>
      <c r="G349" s="55">
        <f t="shared" si="163"/>
        <v>0</v>
      </c>
      <c r="H349" s="55">
        <f t="shared" si="163"/>
        <v>0</v>
      </c>
      <c r="I349" s="55">
        <f t="shared" si="163"/>
        <v>0</v>
      </c>
      <c r="J349" s="55">
        <f t="shared" si="163"/>
        <v>0</v>
      </c>
      <c r="K349" s="55">
        <f t="shared" si="163"/>
        <v>0</v>
      </c>
      <c r="L349" s="55">
        <f t="shared" si="163"/>
        <v>0</v>
      </c>
      <c r="M349" s="55">
        <f t="shared" si="163"/>
        <v>0</v>
      </c>
      <c r="N349" s="55">
        <f t="shared" si="163"/>
        <v>0</v>
      </c>
      <c r="O349" s="55">
        <f t="shared" si="163"/>
        <v>0</v>
      </c>
      <c r="P349" s="55">
        <f t="shared" si="163"/>
        <v>0</v>
      </c>
      <c r="Q349" s="55">
        <f t="shared" si="163"/>
        <v>0</v>
      </c>
    </row>
    <row r="350" ht="15" spans="3:17">
      <c r="C350" s="44" t="s">
        <v>224</v>
      </c>
      <c r="D350" s="45"/>
      <c r="E350" s="147">
        <f t="shared" ref="E350:Q350" si="164">E226+E272+E281+E291+E317+E345+E349</f>
        <v>1393.17035691199</v>
      </c>
      <c r="F350" s="147">
        <f t="shared" si="164"/>
        <v>871.139088629882</v>
      </c>
      <c r="G350" s="147">
        <f t="shared" si="164"/>
        <v>975.822154165891</v>
      </c>
      <c r="H350" s="147">
        <f t="shared" si="164"/>
        <v>1216.35236593062</v>
      </c>
      <c r="I350" s="147">
        <f t="shared" si="164"/>
        <v>1367.0968459477</v>
      </c>
      <c r="J350" s="147">
        <f t="shared" si="164"/>
        <v>1356.10630130607</v>
      </c>
      <c r="K350" s="147">
        <f t="shared" si="164"/>
        <v>1261.77608862515</v>
      </c>
      <c r="L350" s="147">
        <f t="shared" si="164"/>
        <v>1200.10178188865</v>
      </c>
      <c r="M350" s="147">
        <f t="shared" si="164"/>
        <v>1304.64301929581</v>
      </c>
      <c r="N350" s="147">
        <f t="shared" si="164"/>
        <v>1454.45778084832</v>
      </c>
      <c r="O350" s="147">
        <f t="shared" si="164"/>
        <v>1427.95562083228</v>
      </c>
      <c r="P350" s="147">
        <f t="shared" si="164"/>
        <v>1581.96384290988</v>
      </c>
      <c r="Q350" s="316">
        <f t="shared" si="164"/>
        <v>16698.2356272922</v>
      </c>
    </row>
    <row r="351" ht="15" spans="4:5">
      <c r="D351" s="11"/>
      <c r="E351" s="11"/>
    </row>
    <row r="352" ht="15" spans="3:10">
      <c r="C352" s="11" t="s">
        <v>524</v>
      </c>
      <c r="J352" s="3"/>
    </row>
    <row r="353" ht="15" spans="3:17">
      <c r="C353" s="14"/>
      <c r="Q353" s="3" t="s">
        <v>109</v>
      </c>
    </row>
    <row r="354" ht="15" spans="3:17">
      <c r="C354" s="658" t="s">
        <v>345</v>
      </c>
      <c r="D354" s="658" t="s">
        <v>346</v>
      </c>
      <c r="E354" s="135" t="s">
        <v>461</v>
      </c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</row>
    <row r="355" ht="15" spans="3:17">
      <c r="C355" s="660"/>
      <c r="D355" s="660"/>
      <c r="E355" s="135" t="s">
        <v>246</v>
      </c>
      <c r="F355" s="135" t="s">
        <v>247</v>
      </c>
      <c r="G355" s="135" t="s">
        <v>248</v>
      </c>
      <c r="H355" s="135" t="s">
        <v>249</v>
      </c>
      <c r="I355" s="135" t="s">
        <v>250</v>
      </c>
      <c r="J355" s="135" t="s">
        <v>251</v>
      </c>
      <c r="K355" s="135" t="s">
        <v>252</v>
      </c>
      <c r="L355" s="135" t="s">
        <v>253</v>
      </c>
      <c r="M355" s="135" t="s">
        <v>254</v>
      </c>
      <c r="N355" s="135" t="s">
        <v>255</v>
      </c>
      <c r="O355" s="135" t="s">
        <v>256</v>
      </c>
      <c r="P355" s="135" t="s">
        <v>257</v>
      </c>
      <c r="Q355" s="135" t="s">
        <v>97</v>
      </c>
    </row>
    <row r="356" spans="3:17">
      <c r="C356" s="662"/>
      <c r="D356" s="662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</row>
    <row r="357" ht="15" spans="2:17">
      <c r="B357" s="656"/>
      <c r="C357" s="663" t="s">
        <v>349</v>
      </c>
      <c r="D357" s="676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</row>
    <row r="358" ht="15" spans="3:17">
      <c r="C358" s="44" t="s">
        <v>350</v>
      </c>
      <c r="D358" s="4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</row>
    <row r="359" spans="2:17">
      <c r="B359" s="656"/>
      <c r="C359" s="677" t="s">
        <v>351</v>
      </c>
      <c r="D359" s="47" t="s">
        <v>352</v>
      </c>
      <c r="E359" s="690">
        <f>'[40]TGSPDCL MoD'!AJ4+'[40]TGSPDCL MoD'!AJ5</f>
        <v>69.8766734610965</v>
      </c>
      <c r="F359" s="690">
        <f>'[40]TGSPDCL MoD'!AK4+'[40]TGSPDCL MoD'!AK5</f>
        <v>87.6785878904711</v>
      </c>
      <c r="G359" s="690">
        <f>'[40]TGSPDCL MoD'!AL4+'[40]TGSPDCL MoD'!AL5</f>
        <v>84.8502463456172</v>
      </c>
      <c r="H359" s="690">
        <f>'[40]TGSPDCL MoD'!AM4+'[40]TGSPDCL MoD'!AM5</f>
        <v>0</v>
      </c>
      <c r="I359" s="690">
        <f>'[40]TGSPDCL MoD'!AN4+'[40]TGSPDCL MoD'!AN5</f>
        <v>28.3666019645642</v>
      </c>
      <c r="J359" s="690">
        <f>'[40]TGSPDCL MoD'!AO4+'[40]TGSPDCL MoD'!AO5</f>
        <v>58.646493797706</v>
      </c>
      <c r="K359" s="690">
        <f>'[40]TGSPDCL MoD'!AP4+'[40]TGSPDCL MoD'!AP5</f>
        <v>56.7332039291284</v>
      </c>
      <c r="L359" s="690">
        <f>'[40]TGSPDCL MoD'!AQ4+'[40]TGSPDCL MoD'!AQ5</f>
        <v>70.2884224137068</v>
      </c>
      <c r="M359" s="690">
        <f>'[40]TGSPDCL MoD'!AR4+'[40]TGSPDCL MoD'!AR5</f>
        <v>62.5354634218802</v>
      </c>
      <c r="N359" s="690">
        <f>'[40]TGSPDCL MoD'!AS4+'[40]TGSPDCL MoD'!AS5</f>
        <v>62.5354634218802</v>
      </c>
      <c r="O359" s="690">
        <f>'[40]TGSPDCL MoD'!AT4+'[40]TGSPDCL MoD'!AT5</f>
        <v>71.1660644594858</v>
      </c>
      <c r="P359" s="690">
        <f>'[40]TGSPDCL MoD'!AU4+'[40]TGSPDCL MoD'!AU5</f>
        <v>78.0081554025515</v>
      </c>
      <c r="Q359" s="690">
        <f t="shared" ref="Q359:Q377" si="165">SUM(E359:P359)</f>
        <v>730.685376508088</v>
      </c>
    </row>
    <row r="360" spans="2:17">
      <c r="B360" s="656"/>
      <c r="C360" s="678"/>
      <c r="D360" s="47" t="s">
        <v>353</v>
      </c>
      <c r="E360" s="690">
        <f>'[40]TGSPDCL MoD'!AJ6</f>
        <v>65.7522732963399</v>
      </c>
      <c r="F360" s="690">
        <f>'[40]TGSPDCL MoD'!AK6</f>
        <v>0</v>
      </c>
      <c r="G360" s="690">
        <f>'[40]TGSPDCL MoD'!AL6</f>
        <v>37.8911405436535</v>
      </c>
      <c r="H360" s="690">
        <f>'[40]TGSPDCL MoD'!AM6</f>
        <v>59.0123919937039</v>
      </c>
      <c r="I360" s="690">
        <f>'[40]TGSPDCL MoD'!AN6</f>
        <v>52.3205228489626</v>
      </c>
      <c r="J360" s="690">
        <f>'[40]TGSPDCL MoD'!AO6</f>
        <v>53.8299871585935</v>
      </c>
      <c r="K360" s="690">
        <f>'[40]TGSPDCL MoD'!AP6</f>
        <v>50.6701134328857</v>
      </c>
      <c r="L360" s="690">
        <f>'[40]TGSPDCL MoD'!AQ6</f>
        <v>75.5249100199802</v>
      </c>
      <c r="M360" s="690">
        <f>'[40]TGSPDCL MoD'!AR6</f>
        <v>60.173949389355</v>
      </c>
      <c r="N360" s="690">
        <f>'[40]TGSPDCL MoD'!AS6</f>
        <v>63.939433033059</v>
      </c>
      <c r="O360" s="690">
        <f>'[40]TGSPDCL MoD'!AT6</f>
        <v>63.5605308531286</v>
      </c>
      <c r="P360" s="690">
        <f>'[40]TGSPDCL MoD'!AU6</f>
        <v>74.8535766622175</v>
      </c>
      <c r="Q360" s="690">
        <f t="shared" si="165"/>
        <v>657.528829231879</v>
      </c>
    </row>
    <row r="361" spans="2:17">
      <c r="B361" s="656"/>
      <c r="C361" s="678"/>
      <c r="D361" s="47" t="s">
        <v>354</v>
      </c>
      <c r="E361" s="690">
        <f>'[40]TGSPDCL MoD'!AJ7</f>
        <v>104.103717853762</v>
      </c>
      <c r="F361" s="690">
        <f>'[40]TGSPDCL MoD'!AK7</f>
        <v>0</v>
      </c>
      <c r="G361" s="690">
        <f>'[40]TGSPDCL MoD'!AL7</f>
        <v>58.5045687112052</v>
      </c>
      <c r="H361" s="690">
        <f>'[40]TGSPDCL MoD'!AM7</f>
        <v>98.1712107036263</v>
      </c>
      <c r="I361" s="690">
        <f>'[40]TGSPDCL MoD'!AN7</f>
        <v>80.9026413403479</v>
      </c>
      <c r="J361" s="690">
        <f>'[40]TGSPDCL MoD'!AO7</f>
        <v>88.6172143713843</v>
      </c>
      <c r="K361" s="690">
        <f>'[40]TGSPDCL MoD'!AP7</f>
        <v>79.191252400538</v>
      </c>
      <c r="L361" s="690">
        <f>'[40]TGSPDCL MoD'!AQ7</f>
        <v>117.878018393417</v>
      </c>
      <c r="M361" s="690">
        <f>'[40]TGSPDCL MoD'!AR7</f>
        <v>102.388655120351</v>
      </c>
      <c r="N361" s="690">
        <f>'[40]TGSPDCL MoD'!AS7</f>
        <v>100.339246197934</v>
      </c>
      <c r="O361" s="690">
        <f>'[40]TGSPDCL MoD'!AT7</f>
        <v>99.078205332021</v>
      </c>
      <c r="P361" s="690">
        <f>'[40]TGSPDCL MoD'!AU7</f>
        <v>120.423264733814</v>
      </c>
      <c r="Q361" s="690">
        <f t="shared" si="165"/>
        <v>1049.5979951584</v>
      </c>
    </row>
    <row r="362" spans="2:17">
      <c r="B362" s="656"/>
      <c r="C362" s="678"/>
      <c r="D362" s="47" t="s">
        <v>355</v>
      </c>
      <c r="E362" s="690">
        <f>'[40]TGSPDCL MoD'!AJ8</f>
        <v>9.65554940418424</v>
      </c>
      <c r="F362" s="690">
        <f>'[40]TGSPDCL MoD'!AK8</f>
        <v>0</v>
      </c>
      <c r="G362" s="690">
        <f>'[40]TGSPDCL MoD'!AL8</f>
        <v>5.86229785254037</v>
      </c>
      <c r="H362" s="690">
        <f>'[40]TGSPDCL MoD'!AM8</f>
        <v>8.37389016779548</v>
      </c>
      <c r="I362" s="690">
        <f>'[40]TGSPDCL MoD'!AN8</f>
        <v>7.83938654006384</v>
      </c>
      <c r="J362" s="690">
        <f>'[40]TGSPDCL MoD'!AO8</f>
        <v>8.10376467851175</v>
      </c>
      <c r="K362" s="690">
        <f>'[40]TGSPDCL MoD'!AP8</f>
        <v>7.83938654006384</v>
      </c>
      <c r="L362" s="690">
        <f>'[40]TGSPDCL MoD'!AQ8</f>
        <v>9.55031826001059</v>
      </c>
      <c r="M362" s="690">
        <f>'[40]TGSPDCL MoD'!AR8</f>
        <v>8.6411419816613</v>
      </c>
      <c r="N362" s="690">
        <f>'[40]TGSPDCL MoD'!AS8</f>
        <v>8.6411419816613</v>
      </c>
      <c r="O362" s="690">
        <f>'[40]TGSPDCL MoD'!AT8</f>
        <v>9.83371728009479</v>
      </c>
      <c r="P362" s="690">
        <f>'[40]TGSPDCL MoD'!AU8</f>
        <v>10.7791564925878</v>
      </c>
      <c r="Q362" s="690">
        <f t="shared" si="165"/>
        <v>95.1197511791753</v>
      </c>
    </row>
    <row r="363" spans="2:17">
      <c r="B363" s="656"/>
      <c r="C363" s="678"/>
      <c r="D363" s="47" t="s">
        <v>356</v>
      </c>
      <c r="E363" s="690">
        <f>'[40]TGSPDCL MoD'!AJ9</f>
        <v>71.2003749285239</v>
      </c>
      <c r="F363" s="690">
        <f>'[40]TGSPDCL MoD'!AK9</f>
        <v>73.5737207594747</v>
      </c>
      <c r="G363" s="690">
        <f>'[40]TGSPDCL MoD'!AL9</f>
        <v>71.2003749285239</v>
      </c>
      <c r="H363" s="690">
        <f>'[40]TGSPDCL MoD'!AM9</f>
        <v>75.1280951417171</v>
      </c>
      <c r="I363" s="690">
        <f>'[40]TGSPDCL MoD'!AN9</f>
        <v>61.1387257015353</v>
      </c>
      <c r="J363" s="690">
        <f>'[40]TGSPDCL MoD'!AO9</f>
        <v>66.9403060003702</v>
      </c>
      <c r="K363" s="690">
        <f>'[40]TGSPDCL MoD'!AP9</f>
        <v>0</v>
      </c>
      <c r="L363" s="690">
        <f>'[40]TGSPDCL MoD'!AQ9</f>
        <v>35.6001874642619</v>
      </c>
      <c r="M363" s="690">
        <f>'[40]TGSPDCL MoD'!AR9</f>
        <v>71.1645345244152</v>
      </c>
      <c r="N363" s="690">
        <f>'[40]TGSPDCL MoD'!AS9</f>
        <v>64.2474744660201</v>
      </c>
      <c r="O363" s="690">
        <f>'[40]TGSPDCL MoD'!AT9</f>
        <v>63.0106604414401</v>
      </c>
      <c r="P363" s="690">
        <f>'[40]TGSPDCL MoD'!AU9</f>
        <v>78.2368439062019</v>
      </c>
      <c r="Q363" s="690">
        <f t="shared" si="165"/>
        <v>731.441298262484</v>
      </c>
    </row>
    <row r="364" spans="2:17">
      <c r="B364" s="656"/>
      <c r="C364" s="678"/>
      <c r="D364" s="47" t="s">
        <v>357</v>
      </c>
      <c r="E364" s="690">
        <f>'[40]TGSPDCL MoD'!AJ10</f>
        <v>80.2161303290903</v>
      </c>
      <c r="F364" s="690">
        <f>'[40]TGSPDCL MoD'!AK10</f>
        <v>82.89000134006</v>
      </c>
      <c r="G364" s="690">
        <f>'[40]TGSPDCL MoD'!AL10</f>
        <v>80.2161303290903</v>
      </c>
      <c r="H364" s="690">
        <f>'[40]TGSPDCL MoD'!AM10</f>
        <v>84.6411985514697</v>
      </c>
      <c r="I364" s="690">
        <f>'[40]TGSPDCL MoD'!AN10</f>
        <v>70.6316208601919</v>
      </c>
      <c r="J364" s="690">
        <f>'[40]TGSPDCL MoD'!AO10</f>
        <v>77.7935095214453</v>
      </c>
      <c r="K364" s="690">
        <f>'[40]TGSPDCL MoD'!AP10</f>
        <v>67.7007514517537</v>
      </c>
      <c r="L364" s="690">
        <f>'[40]TGSPDCL MoD'!AQ10</f>
        <v>0</v>
      </c>
      <c r="M364" s="690">
        <f>'[40]TGSPDCL MoD'!AR10</f>
        <v>41.44500067003</v>
      </c>
      <c r="N364" s="690">
        <f>'[40]TGSPDCL MoD'!AS10</f>
        <v>79.2591065233548</v>
      </c>
      <c r="O364" s="690">
        <f>'[40]TGSPDCL MoD'!AT10</f>
        <v>76.1425344971071</v>
      </c>
      <c r="P364" s="690">
        <f>'[40]TGSPDCL MoD'!AU10</f>
        <v>93.3971846085183</v>
      </c>
      <c r="Q364" s="690">
        <f t="shared" si="165"/>
        <v>834.333168682111</v>
      </c>
    </row>
    <row r="365" spans="2:17">
      <c r="B365" s="656"/>
      <c r="C365" s="678"/>
      <c r="D365" s="47" t="s">
        <v>358</v>
      </c>
      <c r="E365" s="690">
        <f>SUM('[40]TGSPDCL MoD'!AJ11:AJ14)</f>
        <v>152.377678618181</v>
      </c>
      <c r="F365" s="690">
        <f>SUM('[40]TGSPDCL MoD'!AK11:AK14)</f>
        <v>78.7284672860602</v>
      </c>
      <c r="G365" s="690">
        <f>SUM('[40]TGSPDCL MoD'!AL11:AL14)</f>
        <v>114.283258963636</v>
      </c>
      <c r="H365" s="690">
        <f>SUM('[40]TGSPDCL MoD'!AM11:AM14)</f>
        <v>160.783489527869</v>
      </c>
      <c r="I365" s="690">
        <f>SUM('[40]TGSPDCL MoD'!AN11:AN14)</f>
        <v>114.945153089044</v>
      </c>
      <c r="J365" s="690">
        <f>SUM('[40]TGSPDCL MoD'!AO11:AO14)</f>
        <v>109.454388866581</v>
      </c>
      <c r="K365" s="690">
        <f>SUM('[40]TGSPDCL MoD'!AP11:AP14)</f>
        <v>124.19138501463</v>
      </c>
      <c r="L365" s="690">
        <f>SUM('[40]TGSPDCL MoD'!AQ11:AQ14)</f>
        <v>114.283258963636</v>
      </c>
      <c r="M365" s="690">
        <f>SUM('[40]TGSPDCL MoD'!AR11:AR14)</f>
        <v>137.774817750605</v>
      </c>
      <c r="N365" s="690">
        <f>SUM('[40]TGSPDCL MoD'!AS11:AS14)</f>
        <v>142.753694485267</v>
      </c>
      <c r="O365" s="690">
        <f>SUM('[40]TGSPDCL MoD'!AT11:AT14)</f>
        <v>140.406616356079</v>
      </c>
      <c r="P365" s="690">
        <f>SUM('[40]TGSPDCL MoD'!AU11:AU14)</f>
        <v>169.154959912063</v>
      </c>
      <c r="Q365" s="690">
        <f t="shared" si="165"/>
        <v>1559.13716883365</v>
      </c>
    </row>
    <row r="366" spans="2:17">
      <c r="B366" s="656"/>
      <c r="C366" s="678"/>
      <c r="D366" s="47" t="s">
        <v>359</v>
      </c>
      <c r="E366" s="690">
        <f>SUM('[40]TGSPDCL MoD'!AJ15:AJ19)+'[40]TGSPDCL MoD'!$AW$15/12</f>
        <v>445.629310718504</v>
      </c>
      <c r="F366" s="690">
        <f>SUM('[40]TGSPDCL MoD'!AK15:AK19)+'[40]TGSPDCL MoD'!$AW$15/12</f>
        <v>271.782898277075</v>
      </c>
      <c r="G366" s="690">
        <f>SUM('[40]TGSPDCL MoD'!AL15:AL19)+'[40]TGSPDCL MoD'!$AW$15/12</f>
        <v>265.316001286254</v>
      </c>
      <c r="H366" s="690">
        <f>SUM('[40]TGSPDCL MoD'!AM15:AM19)+'[40]TGSPDCL MoD'!$AW$15/12</f>
        <v>289.819682631413</v>
      </c>
      <c r="I366" s="690">
        <f>SUM('[40]TGSPDCL MoD'!AN15:AN19)+'[40]TGSPDCL MoD'!$AW$15/12</f>
        <v>414.493469587172</v>
      </c>
      <c r="J366" s="690">
        <f>SUM('[40]TGSPDCL MoD'!AO15:AO19)+'[40]TGSPDCL MoD'!$AW$15/12</f>
        <v>467.099756481623</v>
      </c>
      <c r="K366" s="690">
        <f>SUM('[40]TGSPDCL MoD'!AP15:AP19)+'[40]TGSPDCL MoD'!$AW$15/12</f>
        <v>424.70283614885</v>
      </c>
      <c r="L366" s="690">
        <f>SUM('[40]TGSPDCL MoD'!AQ15:AQ19)+'[40]TGSPDCL MoD'!$AW$15/12</f>
        <v>353.369997604849</v>
      </c>
      <c r="M366" s="690">
        <f>SUM('[40]TGSPDCL MoD'!AR15:AR19)+'[40]TGSPDCL MoD'!$AW$15/12</f>
        <v>411.846837264182</v>
      </c>
      <c r="N366" s="690">
        <f>SUM('[40]TGSPDCL MoD'!AS15:AS19)+'[40]TGSPDCL MoD'!$AW$15/12</f>
        <v>458.661384736418</v>
      </c>
      <c r="O366" s="690">
        <f>SUM('[40]TGSPDCL MoD'!AT15:AT19)+'[40]TGSPDCL MoD'!$AW$15/12</f>
        <v>435.034727628655</v>
      </c>
      <c r="P366" s="690">
        <f>SUM('[40]TGSPDCL MoD'!AU15:AU19)+'[40]TGSPDCL MoD'!$AW$15/12</f>
        <v>500.17542692773</v>
      </c>
      <c r="Q366" s="690">
        <f t="shared" si="165"/>
        <v>4737.93232929272</v>
      </c>
    </row>
    <row r="367" spans="2:17">
      <c r="B367" s="656"/>
      <c r="C367" s="678"/>
      <c r="D367" s="679" t="s">
        <v>492</v>
      </c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>
        <f t="shared" si="165"/>
        <v>0</v>
      </c>
    </row>
    <row r="368" spans="2:17">
      <c r="B368" s="656"/>
      <c r="C368" s="678"/>
      <c r="D368" s="47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>
        <f t="shared" si="165"/>
        <v>0</v>
      </c>
    </row>
    <row r="369" spans="2:17">
      <c r="B369" s="656"/>
      <c r="C369" s="678"/>
      <c r="D369" s="47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>
        <f t="shared" si="165"/>
        <v>0</v>
      </c>
    </row>
    <row r="370" spans="2:17">
      <c r="B370" s="656"/>
      <c r="C370" s="678"/>
      <c r="D370" s="47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>
        <f t="shared" si="165"/>
        <v>0</v>
      </c>
    </row>
    <row r="371" spans="2:17">
      <c r="B371" s="656"/>
      <c r="C371" s="678"/>
      <c r="D371" s="47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>
        <f t="shared" si="165"/>
        <v>0</v>
      </c>
    </row>
    <row r="372" spans="2:17">
      <c r="B372" s="656"/>
      <c r="C372" s="678"/>
      <c r="D372" s="47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>
        <f t="shared" si="165"/>
        <v>0</v>
      </c>
    </row>
    <row r="373" spans="2:17">
      <c r="B373" s="656"/>
      <c r="C373" s="678"/>
      <c r="D373" s="47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>
        <f t="shared" si="165"/>
        <v>0</v>
      </c>
    </row>
    <row r="374" spans="2:17">
      <c r="B374" s="656"/>
      <c r="C374" s="678"/>
      <c r="D374" s="47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>
        <f t="shared" si="165"/>
        <v>0</v>
      </c>
    </row>
    <row r="375" spans="2:17">
      <c r="B375" s="656"/>
      <c r="C375" s="678"/>
      <c r="D375" s="47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>
        <f t="shared" si="165"/>
        <v>0</v>
      </c>
    </row>
    <row r="376" spans="2:17">
      <c r="B376" s="656"/>
      <c r="C376" s="680"/>
      <c r="D376" s="47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>
        <f t="shared" si="165"/>
        <v>0</v>
      </c>
    </row>
    <row r="377" ht="15" spans="3:18">
      <c r="C377" s="537" t="s">
        <v>211</v>
      </c>
      <c r="D377" s="540"/>
      <c r="E377" s="690">
        <f t="shared" ref="E377:P377" si="166">SUM(E359:E376)</f>
        <v>998.811708609681</v>
      </c>
      <c r="F377" s="690">
        <f t="shared" si="166"/>
        <v>594.653675553141</v>
      </c>
      <c r="G377" s="690">
        <f t="shared" si="166"/>
        <v>718.12401896052</v>
      </c>
      <c r="H377" s="690">
        <f t="shared" si="166"/>
        <v>775.929958717594</v>
      </c>
      <c r="I377" s="690">
        <f t="shared" si="166"/>
        <v>830.638121931882</v>
      </c>
      <c r="J377" s="690">
        <f t="shared" si="166"/>
        <v>930.485420876214</v>
      </c>
      <c r="K377" s="690">
        <f t="shared" si="166"/>
        <v>811.02892891785</v>
      </c>
      <c r="L377" s="690">
        <f t="shared" si="166"/>
        <v>776.495113119862</v>
      </c>
      <c r="M377" s="690">
        <f t="shared" si="166"/>
        <v>895.97040012248</v>
      </c>
      <c r="N377" s="690">
        <f t="shared" si="166"/>
        <v>980.376944845594</v>
      </c>
      <c r="O377" s="690">
        <f t="shared" si="166"/>
        <v>958.233056848012</v>
      </c>
      <c r="P377" s="690">
        <f t="shared" si="166"/>
        <v>1125.02856864568</v>
      </c>
      <c r="Q377" s="693">
        <f t="shared" si="165"/>
        <v>10395.7759171485</v>
      </c>
      <c r="R377" s="686"/>
    </row>
    <row r="378" ht="15" spans="3:17">
      <c r="C378" s="44" t="s">
        <v>360</v>
      </c>
      <c r="D378" s="4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</row>
    <row r="379" spans="3:17">
      <c r="C379" s="682" t="s">
        <v>351</v>
      </c>
      <c r="D379" s="55" t="s">
        <v>361</v>
      </c>
      <c r="E379" s="55">
        <v>0</v>
      </c>
      <c r="F379" s="55">
        <v>0</v>
      </c>
      <c r="G379" s="55">
        <v>0</v>
      </c>
      <c r="H379" s="55">
        <v>0</v>
      </c>
      <c r="I379" s="55">
        <v>0</v>
      </c>
      <c r="J379" s="55">
        <v>0</v>
      </c>
      <c r="K379" s="55">
        <v>0</v>
      </c>
      <c r="L379" s="55">
        <v>0</v>
      </c>
      <c r="M379" s="55">
        <v>0</v>
      </c>
      <c r="N379" s="55">
        <v>0</v>
      </c>
      <c r="O379" s="55">
        <v>0</v>
      </c>
      <c r="P379" s="55">
        <v>0</v>
      </c>
      <c r="Q379" s="55">
        <f t="shared" ref="Q379:Q397" si="167">SUM(E379:P379)</f>
        <v>0</v>
      </c>
    </row>
    <row r="380" spans="3:17">
      <c r="C380" s="683"/>
      <c r="D380" s="55" t="s">
        <v>362</v>
      </c>
      <c r="E380" s="55">
        <v>0</v>
      </c>
      <c r="F380" s="55">
        <v>0</v>
      </c>
      <c r="G380" s="55">
        <v>0</v>
      </c>
      <c r="H380" s="55">
        <v>0</v>
      </c>
      <c r="I380" s="55">
        <v>0</v>
      </c>
      <c r="J380" s="55">
        <v>0</v>
      </c>
      <c r="K380" s="55">
        <v>0</v>
      </c>
      <c r="L380" s="55">
        <v>0</v>
      </c>
      <c r="M380" s="55">
        <v>0</v>
      </c>
      <c r="N380" s="55">
        <v>0</v>
      </c>
      <c r="O380" s="55">
        <v>0</v>
      </c>
      <c r="P380" s="55">
        <v>0</v>
      </c>
      <c r="Q380" s="55">
        <f t="shared" si="167"/>
        <v>0</v>
      </c>
    </row>
    <row r="381" spans="3:17">
      <c r="C381" s="683"/>
      <c r="D381" s="55" t="s">
        <v>363</v>
      </c>
      <c r="E381" s="55">
        <v>0</v>
      </c>
      <c r="F381" s="55">
        <v>0</v>
      </c>
      <c r="G381" s="55">
        <v>0</v>
      </c>
      <c r="H381" s="55">
        <v>0</v>
      </c>
      <c r="I381" s="55">
        <v>0</v>
      </c>
      <c r="J381" s="55">
        <v>0</v>
      </c>
      <c r="K381" s="55">
        <v>0</v>
      </c>
      <c r="L381" s="55">
        <v>0</v>
      </c>
      <c r="M381" s="55">
        <v>0</v>
      </c>
      <c r="N381" s="55">
        <v>0</v>
      </c>
      <c r="O381" s="55">
        <v>0</v>
      </c>
      <c r="P381" s="55">
        <v>0</v>
      </c>
      <c r="Q381" s="55">
        <f t="shared" si="167"/>
        <v>0</v>
      </c>
    </row>
    <row r="382" spans="3:17">
      <c r="C382" s="683"/>
      <c r="D382" s="55" t="s">
        <v>364</v>
      </c>
      <c r="E382" s="55">
        <v>0</v>
      </c>
      <c r="F382" s="55">
        <v>0</v>
      </c>
      <c r="G382" s="55">
        <v>0</v>
      </c>
      <c r="H382" s="55">
        <v>0</v>
      </c>
      <c r="I382" s="55">
        <v>0</v>
      </c>
      <c r="J382" s="55">
        <v>0</v>
      </c>
      <c r="K382" s="55">
        <v>0</v>
      </c>
      <c r="L382" s="55">
        <v>0</v>
      </c>
      <c r="M382" s="55">
        <v>0</v>
      </c>
      <c r="N382" s="55">
        <v>0</v>
      </c>
      <c r="O382" s="55">
        <v>0</v>
      </c>
      <c r="P382" s="55">
        <v>0</v>
      </c>
      <c r="Q382" s="55">
        <f t="shared" si="167"/>
        <v>0</v>
      </c>
    </row>
    <row r="383" spans="3:17">
      <c r="C383" s="683"/>
      <c r="D383" s="55" t="s">
        <v>365</v>
      </c>
      <c r="E383" s="55">
        <v>0</v>
      </c>
      <c r="F383" s="55">
        <v>0</v>
      </c>
      <c r="G383" s="55">
        <v>0</v>
      </c>
      <c r="H383" s="55">
        <v>0</v>
      </c>
      <c r="I383" s="55">
        <v>0</v>
      </c>
      <c r="J383" s="55">
        <v>0</v>
      </c>
      <c r="K383" s="55">
        <v>0</v>
      </c>
      <c r="L383" s="55">
        <v>0</v>
      </c>
      <c r="M383" s="55">
        <v>0</v>
      </c>
      <c r="N383" s="55">
        <v>0</v>
      </c>
      <c r="O383" s="55">
        <v>0</v>
      </c>
      <c r="P383" s="55">
        <v>0</v>
      </c>
      <c r="Q383" s="55">
        <f t="shared" si="167"/>
        <v>0</v>
      </c>
    </row>
    <row r="384" spans="3:17">
      <c r="C384" s="683"/>
      <c r="D384" s="55" t="s">
        <v>366</v>
      </c>
      <c r="E384" s="55">
        <v>0</v>
      </c>
      <c r="F384" s="55">
        <v>0</v>
      </c>
      <c r="G384" s="55">
        <v>0</v>
      </c>
      <c r="H384" s="55">
        <v>0</v>
      </c>
      <c r="I384" s="55">
        <v>0</v>
      </c>
      <c r="J384" s="55">
        <v>0</v>
      </c>
      <c r="K384" s="55">
        <v>0</v>
      </c>
      <c r="L384" s="55">
        <v>0</v>
      </c>
      <c r="M384" s="55">
        <v>0</v>
      </c>
      <c r="N384" s="55">
        <v>0</v>
      </c>
      <c r="O384" s="55">
        <v>0</v>
      </c>
      <c r="P384" s="55">
        <v>0</v>
      </c>
      <c r="Q384" s="55">
        <f t="shared" si="167"/>
        <v>0</v>
      </c>
    </row>
    <row r="385" spans="3:17">
      <c r="C385" s="683"/>
      <c r="D385" s="55" t="s">
        <v>367</v>
      </c>
      <c r="E385" s="55">
        <v>0</v>
      </c>
      <c r="F385" s="55">
        <v>0</v>
      </c>
      <c r="G385" s="55">
        <v>0</v>
      </c>
      <c r="H385" s="55">
        <v>0</v>
      </c>
      <c r="I385" s="55">
        <v>0</v>
      </c>
      <c r="J385" s="55">
        <v>0</v>
      </c>
      <c r="K385" s="55">
        <v>0</v>
      </c>
      <c r="L385" s="55">
        <v>0</v>
      </c>
      <c r="M385" s="55">
        <v>0</v>
      </c>
      <c r="N385" s="55">
        <v>0</v>
      </c>
      <c r="O385" s="55">
        <v>0</v>
      </c>
      <c r="P385" s="55">
        <v>0</v>
      </c>
      <c r="Q385" s="55">
        <f t="shared" si="167"/>
        <v>0</v>
      </c>
    </row>
    <row r="386" spans="3:17">
      <c r="C386" s="683"/>
      <c r="D386" s="55" t="s">
        <v>368</v>
      </c>
      <c r="E386" s="55">
        <v>0</v>
      </c>
      <c r="F386" s="55">
        <v>0</v>
      </c>
      <c r="G386" s="55">
        <v>0</v>
      </c>
      <c r="H386" s="55">
        <v>0</v>
      </c>
      <c r="I386" s="55">
        <v>0</v>
      </c>
      <c r="J386" s="55">
        <v>0</v>
      </c>
      <c r="K386" s="55">
        <v>0</v>
      </c>
      <c r="L386" s="55">
        <v>0</v>
      </c>
      <c r="M386" s="55">
        <v>0</v>
      </c>
      <c r="N386" s="55">
        <v>0</v>
      </c>
      <c r="O386" s="55">
        <v>0</v>
      </c>
      <c r="P386" s="55">
        <v>0</v>
      </c>
      <c r="Q386" s="55">
        <f t="shared" si="167"/>
        <v>0</v>
      </c>
    </row>
    <row r="387" spans="3:17">
      <c r="C387" s="683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>
        <f t="shared" si="167"/>
        <v>0</v>
      </c>
    </row>
    <row r="388" spans="3:17">
      <c r="C388" s="683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>
        <f t="shared" si="167"/>
        <v>0</v>
      </c>
    </row>
    <row r="389" spans="3:17">
      <c r="C389" s="683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>
        <f t="shared" si="167"/>
        <v>0</v>
      </c>
    </row>
    <row r="390" spans="3:17">
      <c r="C390" s="683"/>
      <c r="D390" s="679" t="s">
        <v>493</v>
      </c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>
        <f t="shared" si="167"/>
        <v>0</v>
      </c>
    </row>
    <row r="391" spans="3:17">
      <c r="C391" s="683"/>
      <c r="D391" s="679" t="s">
        <v>494</v>
      </c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>
        <f t="shared" si="167"/>
        <v>0</v>
      </c>
    </row>
    <row r="392" spans="3:17">
      <c r="C392" s="683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>
        <f t="shared" si="167"/>
        <v>0</v>
      </c>
    </row>
    <row r="393" spans="3:17">
      <c r="C393" s="683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>
        <f t="shared" si="167"/>
        <v>0</v>
      </c>
    </row>
    <row r="394" spans="3:17">
      <c r="C394" s="683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>
        <f t="shared" si="167"/>
        <v>0</v>
      </c>
    </row>
    <row r="395" spans="3:17">
      <c r="C395" s="683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>
        <f t="shared" si="167"/>
        <v>0</v>
      </c>
    </row>
    <row r="396" spans="3:17">
      <c r="C396" s="684"/>
      <c r="D396" s="67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>
        <f t="shared" si="167"/>
        <v>0</v>
      </c>
    </row>
    <row r="397" ht="15" spans="3:18">
      <c r="C397" s="537" t="s">
        <v>211</v>
      </c>
      <c r="D397" s="540"/>
      <c r="E397" s="55">
        <f t="shared" ref="E397:P397" si="168">SUM(E379:E396)</f>
        <v>0</v>
      </c>
      <c r="F397" s="55">
        <f t="shared" si="168"/>
        <v>0</v>
      </c>
      <c r="G397" s="55">
        <f t="shared" si="168"/>
        <v>0</v>
      </c>
      <c r="H397" s="55">
        <f t="shared" si="168"/>
        <v>0</v>
      </c>
      <c r="I397" s="55">
        <f t="shared" si="168"/>
        <v>0</v>
      </c>
      <c r="J397" s="55">
        <f t="shared" si="168"/>
        <v>0</v>
      </c>
      <c r="K397" s="55">
        <f t="shared" si="168"/>
        <v>0</v>
      </c>
      <c r="L397" s="55">
        <f t="shared" si="168"/>
        <v>0</v>
      </c>
      <c r="M397" s="55">
        <f t="shared" si="168"/>
        <v>0</v>
      </c>
      <c r="N397" s="55">
        <f t="shared" si="168"/>
        <v>0</v>
      </c>
      <c r="O397" s="55">
        <f t="shared" si="168"/>
        <v>0</v>
      </c>
      <c r="P397" s="55">
        <f t="shared" si="168"/>
        <v>0</v>
      </c>
      <c r="Q397" s="316">
        <f t="shared" si="167"/>
        <v>0</v>
      </c>
      <c r="R397" s="686"/>
    </row>
    <row r="398" ht="15" spans="3:18">
      <c r="C398" s="44" t="s">
        <v>369</v>
      </c>
      <c r="D398" s="45"/>
      <c r="E398" s="55">
        <f t="shared" ref="E398:Q398" si="169">E377+E397</f>
        <v>998.811708609681</v>
      </c>
      <c r="F398" s="55">
        <f t="shared" si="169"/>
        <v>594.653675553141</v>
      </c>
      <c r="G398" s="55">
        <f t="shared" si="169"/>
        <v>718.12401896052</v>
      </c>
      <c r="H398" s="55">
        <f t="shared" si="169"/>
        <v>775.929958717594</v>
      </c>
      <c r="I398" s="55">
        <f t="shared" si="169"/>
        <v>830.638121931882</v>
      </c>
      <c r="J398" s="55">
        <f t="shared" si="169"/>
        <v>930.485420876214</v>
      </c>
      <c r="K398" s="55">
        <f t="shared" si="169"/>
        <v>811.02892891785</v>
      </c>
      <c r="L398" s="55">
        <f t="shared" si="169"/>
        <v>776.495113119862</v>
      </c>
      <c r="M398" s="55">
        <f t="shared" si="169"/>
        <v>895.97040012248</v>
      </c>
      <c r="N398" s="55">
        <f t="shared" si="169"/>
        <v>980.376944845594</v>
      </c>
      <c r="O398" s="55">
        <f t="shared" si="169"/>
        <v>958.233056848012</v>
      </c>
      <c r="P398" s="55">
        <f t="shared" si="169"/>
        <v>1125.02856864568</v>
      </c>
      <c r="Q398" s="316">
        <f t="shared" si="169"/>
        <v>10395.7759171485</v>
      </c>
      <c r="R398" s="686"/>
    </row>
    <row r="399" ht="15" spans="3:17">
      <c r="C399" s="663" t="s">
        <v>370</v>
      </c>
      <c r="D399" s="676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</row>
    <row r="400" ht="15" spans="3:17">
      <c r="C400" s="44" t="s">
        <v>350</v>
      </c>
      <c r="D400" s="4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</row>
    <row r="401" spans="3:17">
      <c r="C401" s="694" t="s">
        <v>371</v>
      </c>
      <c r="D401" s="55" t="s">
        <v>372</v>
      </c>
      <c r="E401" s="147">
        <f>SUM('[40]TGSPDCL MoD'!AJ25:AJ30)+'[40]TGSPDCL MoD'!$AW$25/12</f>
        <v>41.0115580868415</v>
      </c>
      <c r="F401" s="147">
        <f>SUM('[40]TGSPDCL MoD'!AK25:AK30)+'[40]TGSPDCL MoD'!$AW$25/12</f>
        <v>52.4754108332666</v>
      </c>
      <c r="G401" s="147">
        <f>SUM('[40]TGSPDCL MoD'!AL25:AL30)+'[40]TGSPDCL MoD'!$AW$25/12</f>
        <v>53.3391386919814</v>
      </c>
      <c r="H401" s="147">
        <f>SUM('[40]TGSPDCL MoD'!AM25:AM30)+'[40]TGSPDCL MoD'!$AW$25/12</f>
        <v>39.1073332146149</v>
      </c>
      <c r="I401" s="147">
        <f>SUM('[40]TGSPDCL MoD'!AN25:AN30)+'[40]TGSPDCL MoD'!$AW$25/12</f>
        <v>33.527397585558</v>
      </c>
      <c r="J401" s="147">
        <f>SUM('[40]TGSPDCL MoD'!AO25:AO30)+'[40]TGSPDCL MoD'!$AW$25/12</f>
        <v>35.7190903741965</v>
      </c>
      <c r="K401" s="147">
        <f>SUM('[40]TGSPDCL MoD'!AP25:AP30)+'[40]TGSPDCL MoD'!$AW$25/12</f>
        <v>33.2107713833659</v>
      </c>
      <c r="L401" s="147">
        <f>SUM('[40]TGSPDCL MoD'!AQ25:AQ30)+'[40]TGSPDCL MoD'!$AW$25/12</f>
        <v>49.8996176224003</v>
      </c>
      <c r="M401" s="147">
        <f>SUM('[40]TGSPDCL MoD'!AR25:AR30)+'[40]TGSPDCL MoD'!$AW$25/12</f>
        <v>31.0645963867677</v>
      </c>
      <c r="N401" s="147">
        <f>SUM('[40]TGSPDCL MoD'!AS25:AS30)+'[40]TGSPDCL MoD'!$AW$25/12</f>
        <v>32.8292222277015</v>
      </c>
      <c r="O401" s="147">
        <f>SUM('[40]TGSPDCL MoD'!AT25:AT30)+'[40]TGSPDCL MoD'!$AW$25/12</f>
        <v>41.8021547138583</v>
      </c>
      <c r="P401" s="147">
        <f>SUM('[40]TGSPDCL MoD'!AU25:AU30)+'[40]TGSPDCL MoD'!$AW$25/12</f>
        <v>52.6846594538456</v>
      </c>
      <c r="Q401" s="147">
        <f t="shared" ref="Q401:Q428" si="170">SUM(E401:P401)</f>
        <v>496.670950574398</v>
      </c>
    </row>
    <row r="402" spans="3:17">
      <c r="C402" s="695"/>
      <c r="D402" s="55" t="s">
        <v>373</v>
      </c>
      <c r="E402" s="147">
        <f>'[40]TGSPDCL MoD'!AJ31</f>
        <v>10.8582562393919</v>
      </c>
      <c r="F402" s="147">
        <f>'[40]TGSPDCL MoD'!AK31</f>
        <v>13.2002330753391</v>
      </c>
      <c r="G402" s="147">
        <f>'[40]TGSPDCL MoD'!AL31</f>
        <v>12.7744191051669</v>
      </c>
      <c r="H402" s="147">
        <f>'[40]TGSPDCL MoD'!AM31</f>
        <v>0</v>
      </c>
      <c r="I402" s="147">
        <f>'[40]TGSPDCL MoD'!AN31</f>
        <v>4.12507283604347</v>
      </c>
      <c r="J402" s="147">
        <f>'[40]TGSPDCL MoD'!AO31</f>
        <v>9.01613734567571</v>
      </c>
      <c r="K402" s="147">
        <f>'[40]TGSPDCL MoD'!AP31</f>
        <v>7.92013984520346</v>
      </c>
      <c r="L402" s="147">
        <f>'[40]TGSPDCL MoD'!AQ31</f>
        <v>12.7744191051669</v>
      </c>
      <c r="M402" s="147">
        <f>'[40]TGSPDCL MoD'!AR31</f>
        <v>10.3780961459044</v>
      </c>
      <c r="N402" s="147">
        <f>'[40]TGSPDCL MoD'!AS31</f>
        <v>10.5601864602713</v>
      </c>
      <c r="O402" s="147">
        <f>'[40]TGSPDCL MoD'!AT31</f>
        <v>10.4963143647455</v>
      </c>
      <c r="P402" s="147">
        <f>'[40]TGSPDCL MoD'!AU31</f>
        <v>12.6977187061785</v>
      </c>
      <c r="Q402" s="147">
        <f t="shared" si="170"/>
        <v>114.800993229087</v>
      </c>
    </row>
    <row r="403" spans="3:17">
      <c r="C403" s="695"/>
      <c r="D403" s="55" t="s">
        <v>374</v>
      </c>
      <c r="E403" s="147">
        <f>SUM('[40]TGSPDCL MoD'!AJ42:AJ45)</f>
        <v>16.9567610267853</v>
      </c>
      <c r="F403" s="147">
        <f>SUM('[40]TGSPDCL MoD'!AK42:AK45)</f>
        <v>16.83931159976</v>
      </c>
      <c r="G403" s="147">
        <f>SUM('[40]TGSPDCL MoD'!AL42:AL45)</f>
        <v>16.2961079997677</v>
      </c>
      <c r="H403" s="147">
        <f>SUM('[40]TGSPDCL MoD'!AM42:AM45)</f>
        <v>18.2046611889297</v>
      </c>
      <c r="I403" s="147">
        <f>SUM('[40]TGSPDCL MoD'!AN42:AN45)</f>
        <v>17.1238983988733</v>
      </c>
      <c r="J403" s="147">
        <f>SUM('[40]TGSPDCL MoD'!AO42:AO45)</f>
        <v>17.617414053803</v>
      </c>
      <c r="K403" s="147">
        <f>SUM('[40]TGSPDCL MoD'!AP42:AP45)</f>
        <v>16.1566368051751</v>
      </c>
      <c r="L403" s="147">
        <f>SUM('[40]TGSPDCL MoD'!AQ42:AQ45)</f>
        <v>12.2220809998258</v>
      </c>
      <c r="M403" s="147">
        <f>SUM('[40]TGSPDCL MoD'!AR42:AR45)</f>
        <v>10.7379056231578</v>
      </c>
      <c r="N403" s="147">
        <f>SUM('[40]TGSPDCL MoD'!AS42:AS45)</f>
        <v>15.0330678724209</v>
      </c>
      <c r="O403" s="147">
        <f>SUM('[40]TGSPDCL MoD'!AT42:AT45)</f>
        <v>17.0301669186762</v>
      </c>
      <c r="P403" s="147">
        <f>SUM('[40]TGSPDCL MoD'!AU42:AU45)</f>
        <v>18.2046611889297</v>
      </c>
      <c r="Q403" s="147">
        <f t="shared" si="170"/>
        <v>192.422673676104</v>
      </c>
    </row>
    <row r="404" spans="3:17">
      <c r="C404" s="695"/>
      <c r="D404" s="55" t="s">
        <v>375</v>
      </c>
      <c r="E404" s="147">
        <f>'[40]TGSPDCL MoD'!AJ40</f>
        <v>68.9803221108915</v>
      </c>
      <c r="F404" s="147">
        <f>'[40]TGSPDCL MoD'!AK40</f>
        <v>89.0995827265682</v>
      </c>
      <c r="G404" s="147">
        <f>'[40]TGSPDCL MoD'!AL40</f>
        <v>86.2254026386144</v>
      </c>
      <c r="H404" s="147">
        <f>'[40]TGSPDCL MoD'!AM40</f>
        <v>58.3282345898197</v>
      </c>
      <c r="I404" s="147">
        <f>'[40]TGSPDCL MoD'!AN40</f>
        <v>53.4597496359409</v>
      </c>
      <c r="J404" s="147">
        <f>'[40]TGSPDCL MoD'!AO40</f>
        <v>56.0465117150994</v>
      </c>
      <c r="K404" s="147">
        <f>'[40]TGSPDCL MoD'!AP40</f>
        <v>53.4597496359409</v>
      </c>
      <c r="L404" s="147">
        <f>'[40]TGSPDCL MoD'!AQ40</f>
        <v>0</v>
      </c>
      <c r="M404" s="147">
        <f>'[40]TGSPDCL MoD'!AR40</f>
        <v>30.0711091702168</v>
      </c>
      <c r="N404" s="147">
        <f>'[40]TGSPDCL MoD'!AS40</f>
        <v>60.1422183404336</v>
      </c>
      <c r="O404" s="147">
        <f>'[40]TGSPDCL MoD'!AT40</f>
        <v>70.8485391680615</v>
      </c>
      <c r="P404" s="147">
        <f>'[40]TGSPDCL MoD'!AU40</f>
        <v>78.9431534078579</v>
      </c>
      <c r="Q404" s="147">
        <f t="shared" si="170"/>
        <v>705.604573139445</v>
      </c>
    </row>
    <row r="405" spans="3:17">
      <c r="C405" s="695"/>
      <c r="D405" s="55" t="s">
        <v>376</v>
      </c>
      <c r="E405" s="147">
        <f>'[40]TGSPDCL MoD'!AJ41+'[40]TGSPDCL MoD'!$AW$41/12</f>
        <v>32.9218656530934</v>
      </c>
      <c r="F405" s="147">
        <f>'[40]TGSPDCL MoD'!AK41+'[40]TGSPDCL MoD'!$AW$41/12</f>
        <v>42.1398610632606</v>
      </c>
      <c r="G405" s="147">
        <f>'[40]TGSPDCL MoD'!AL41+'[40]TGSPDCL MoD'!$AW$41/12</f>
        <v>0.548548620326613</v>
      </c>
      <c r="H405" s="147">
        <f>'[40]TGSPDCL MoD'!AM41+'[40]TGSPDCL MoD'!$AW$41/12</f>
        <v>15.1055079753535</v>
      </c>
      <c r="I405" s="147">
        <f>'[40]TGSPDCL MoD'!AN41+'[40]TGSPDCL MoD'!$AW$41/12</f>
        <v>25.503336086087</v>
      </c>
      <c r="J405" s="147">
        <f>'[40]TGSPDCL MoD'!AO41+'[40]TGSPDCL MoD'!$AW$41/12</f>
        <v>26.7108258021722</v>
      </c>
      <c r="K405" s="147">
        <f>'[40]TGSPDCL MoD'!AP41+'[40]TGSPDCL MoD'!$AW$41/12</f>
        <v>25.503336086087</v>
      </c>
      <c r="L405" s="147">
        <f>'[40]TGSPDCL MoD'!AQ41+'[40]TGSPDCL MoD'!$AW$41/12</f>
        <v>35.6106927721108</v>
      </c>
      <c r="M405" s="147">
        <f>'[40]TGSPDCL MoD'!AR41+'[40]TGSPDCL MoD'!$AW$41/12</f>
        <v>29.3606343490389</v>
      </c>
      <c r="N405" s="147">
        <f>'[40]TGSPDCL MoD'!AS41+'[40]TGSPDCL MoD'!$AW$41/12</f>
        <v>29.1907043885538</v>
      </c>
      <c r="O405" s="147">
        <f>'[40]TGSPDCL MoD'!AT41+'[40]TGSPDCL MoD'!$AW$41/12</f>
        <v>33.6203502886596</v>
      </c>
      <c r="P405" s="147">
        <f>'[40]TGSPDCL MoD'!AU41+'[40]TGSPDCL MoD'!$AW$41/12</f>
        <v>38.6732696246507</v>
      </c>
      <c r="Q405" s="147">
        <f t="shared" si="170"/>
        <v>334.888932709394</v>
      </c>
    </row>
    <row r="406" spans="3:17">
      <c r="C406" s="695"/>
      <c r="D406" s="55" t="s">
        <v>377</v>
      </c>
      <c r="E406" s="147">
        <f>SUM('[40]TGSPDCL MoD'!AJ49:AJ51)</f>
        <v>48.1194434820069</v>
      </c>
      <c r="F406" s="147">
        <f>SUM('[40]TGSPDCL MoD'!AK49:AK51)</f>
        <v>62.1542811642585</v>
      </c>
      <c r="G406" s="147">
        <f>SUM('[40]TGSPDCL MoD'!AL49:AL51)</f>
        <v>40.0995362350058</v>
      </c>
      <c r="H406" s="147">
        <f>SUM('[40]TGSPDCL MoD'!AM49:AM51)</f>
        <v>33.6669022973068</v>
      </c>
      <c r="I406" s="147">
        <f>SUM('[40]TGSPDCL MoD'!AN49:AN51)</f>
        <v>37.2925686985551</v>
      </c>
      <c r="J406" s="147">
        <f>SUM('[40]TGSPDCL MoD'!AO49:AO51)</f>
        <v>38.9713904926253</v>
      </c>
      <c r="K406" s="147">
        <f>SUM('[40]TGSPDCL MoD'!AP49:AP51)</f>
        <v>37.2925686985551</v>
      </c>
      <c r="L406" s="147">
        <f>SUM('[40]TGSPDCL MoD'!AQ49:AQ51)</f>
        <v>30.8754460960561</v>
      </c>
      <c r="M406" s="147">
        <f>SUM('[40]TGSPDCL MoD'!AR49:AR51)</f>
        <v>33.6935785127914</v>
      </c>
      <c r="N406" s="147">
        <f>SUM('[40]TGSPDCL MoD'!AS49:AS51)</f>
        <v>40.7785588458611</v>
      </c>
      <c r="O406" s="147">
        <f>SUM('[40]TGSPDCL MoD'!AT49:AT51)</f>
        <v>49.3021863110156</v>
      </c>
      <c r="P406" s="147">
        <f>SUM('[40]TGSPDCL MoD'!AU49:AU51)</f>
        <v>54.3849960187266</v>
      </c>
      <c r="Q406" s="147">
        <f t="shared" si="170"/>
        <v>506.631456852764</v>
      </c>
    </row>
    <row r="407" spans="3:17">
      <c r="C407" s="695"/>
      <c r="D407" s="55" t="s">
        <v>378</v>
      </c>
      <c r="E407" s="147">
        <f>'[40]TGSPDCL MoD'!AJ53</f>
        <v>6.13704536519749</v>
      </c>
      <c r="F407" s="147">
        <f>'[40]TGSPDCL MoD'!AK53</f>
        <v>7.92701693004675</v>
      </c>
      <c r="G407" s="147">
        <f>'[40]TGSPDCL MoD'!AL53</f>
        <v>7.67130670649686</v>
      </c>
      <c r="H407" s="147">
        <f>'[40]TGSPDCL MoD'!AM53</f>
        <v>5.1525610045304</v>
      </c>
      <c r="I407" s="147">
        <f>'[40]TGSPDCL MoD'!AN53</f>
        <v>4.75621015802806</v>
      </c>
      <c r="J407" s="147">
        <f>'[40]TGSPDCL MoD'!AO53</f>
        <v>4.98634935922296</v>
      </c>
      <c r="K407" s="147">
        <f>'[40]TGSPDCL MoD'!AP53</f>
        <v>4.75621015802806</v>
      </c>
      <c r="L407" s="147">
        <f>'[40]TGSPDCL MoD'!AQ53</f>
        <v>6.13704536519749</v>
      </c>
      <c r="M407" s="147">
        <f>'[40]TGSPDCL MoD'!AR53</f>
        <v>5.35073642778156</v>
      </c>
      <c r="N407" s="147">
        <f>'[40]TGSPDCL MoD'!AS53</f>
        <v>5.35073642778156</v>
      </c>
      <c r="O407" s="147">
        <f>'[40]TGSPDCL MoD'!AT53</f>
        <v>6.30325701050492</v>
      </c>
      <c r="P407" s="147">
        <f>'[40]TGSPDCL MoD'!AU53</f>
        <v>6.93613981379091</v>
      </c>
      <c r="Q407" s="147">
        <f t="shared" si="170"/>
        <v>71.464614726607</v>
      </c>
    </row>
    <row r="408" spans="3:17">
      <c r="C408" s="695"/>
      <c r="D408" s="55" t="s">
        <v>379</v>
      </c>
      <c r="E408" s="147">
        <f>'[40]TGSPDCL MoD'!AJ54</f>
        <v>34.6182324068674</v>
      </c>
      <c r="F408" s="147">
        <f>'[40]TGSPDCL MoD'!AK54</f>
        <v>45.7576217892523</v>
      </c>
      <c r="G408" s="147">
        <f>'[40]TGSPDCL MoD'!AL54</f>
        <v>44.28156947347</v>
      </c>
      <c r="H408" s="147">
        <f>'[40]TGSPDCL MoD'!AM54</f>
        <v>29.742454163014</v>
      </c>
      <c r="I408" s="147">
        <f>'[40]TGSPDCL MoD'!AN54</f>
        <v>27.4545730735514</v>
      </c>
      <c r="J408" s="147">
        <f>'[40]TGSPDCL MoD'!AO54</f>
        <v>27.6759809209188</v>
      </c>
      <c r="K408" s="147">
        <f>'[40]TGSPDCL MoD'!AP54</f>
        <v>27.4545730735514</v>
      </c>
      <c r="L408" s="147">
        <f>'[40]TGSPDCL MoD'!AQ54</f>
        <v>33.2111771051025</v>
      </c>
      <c r="M408" s="147">
        <f>'[40]TGSPDCL MoD'!AR54</f>
        <v>29.742454163014</v>
      </c>
      <c r="N408" s="147">
        <f>'[40]TGSPDCL MoD'!AS54</f>
        <v>29.742454163014</v>
      </c>
      <c r="O408" s="147">
        <f>'[40]TGSPDCL MoD'!AT54</f>
        <v>35.3145516550923</v>
      </c>
      <c r="P408" s="147">
        <f>'[40]TGSPDCL MoD'!AU54</f>
        <v>40.0379190655958</v>
      </c>
      <c r="Q408" s="147">
        <f t="shared" si="170"/>
        <v>405.033561052444</v>
      </c>
    </row>
    <row r="409" spans="3:17">
      <c r="C409" s="695"/>
      <c r="D409" s="685" t="s">
        <v>380</v>
      </c>
      <c r="E409" s="147">
        <f>'[40]TGSPDCL MoD'!AJ55</f>
        <v>99.8233486444313</v>
      </c>
      <c r="F409" s="147">
        <f>'[40]TGSPDCL MoD'!AK55</f>
        <v>102.948505539168</v>
      </c>
      <c r="G409" s="147">
        <f>'[40]TGSPDCL MoD'!AL55</f>
        <v>99.8656305641115</v>
      </c>
      <c r="H409" s="147">
        <f>'[40]TGSPDCL MoD'!AM55</f>
        <v>102.410767754032</v>
      </c>
      <c r="I409" s="147">
        <f>'[40]TGSPDCL MoD'!AN55</f>
        <v>84.0306729571793</v>
      </c>
      <c r="J409" s="147">
        <f>'[40]TGSPDCL MoD'!AO55</f>
        <v>90.8054404655287</v>
      </c>
      <c r="K409" s="147">
        <f>'[40]TGSPDCL MoD'!AP55</f>
        <v>79.8905432780348</v>
      </c>
      <c r="L409" s="147">
        <f>'[40]TGSPDCL MoD'!AQ55</f>
        <v>99.8656305641116</v>
      </c>
      <c r="M409" s="147">
        <f>'[40]TGSPDCL MoD'!AR55</f>
        <v>98.8341545676747</v>
      </c>
      <c r="N409" s="147">
        <f>'[40]TGSPDCL MoD'!AS55</f>
        <v>89.6379615600448</v>
      </c>
      <c r="O409" s="147">
        <f>'[40]TGSPDCL MoD'!AT55</f>
        <v>88.3787387856105</v>
      </c>
      <c r="P409" s="147">
        <f>'[40]TGSPDCL MoD'!AU55</f>
        <v>109.734980439109</v>
      </c>
      <c r="Q409" s="147">
        <f t="shared" si="170"/>
        <v>1146.22637511904</v>
      </c>
    </row>
    <row r="410" spans="3:17">
      <c r="C410" s="311"/>
      <c r="D410" s="685" t="s">
        <v>450</v>
      </c>
      <c r="E410" s="147">
        <f>'[40]TGSPDCL MoD'!AJ56</f>
        <v>97.7602916440837</v>
      </c>
      <c r="F410" s="147">
        <f>'[40]TGSPDCL MoD'!AK56</f>
        <v>99.9693797875229</v>
      </c>
      <c r="G410" s="147">
        <f>'[40]TGSPDCL MoD'!AL56</f>
        <v>98.8229388943119</v>
      </c>
      <c r="H410" s="147">
        <f>'[40]TGSPDCL MoD'!AM56</f>
        <v>97.1430721121657</v>
      </c>
      <c r="I410" s="147">
        <f>'[40]TGSPDCL MoD'!AN56</f>
        <v>81.3965785583353</v>
      </c>
      <c r="J410" s="147">
        <f>'[40]TGSPDCL MoD'!AO56</f>
        <v>85.0849876763081</v>
      </c>
      <c r="K410" s="147">
        <f>'[40]TGSPDCL MoD'!AP56</f>
        <v>78.6287305194223</v>
      </c>
      <c r="L410" s="147">
        <f>'[40]TGSPDCL MoD'!AQ56</f>
        <v>99.8702259961143</v>
      </c>
      <c r="M410" s="147">
        <f>'[40]TGSPDCL MoD'!AR56</f>
        <v>96.4209882911667</v>
      </c>
      <c r="N410" s="147">
        <f>'[40]TGSPDCL MoD'!AS56</f>
        <v>87.9373750496302</v>
      </c>
      <c r="O410" s="147">
        <f>'[40]TGSPDCL MoD'!AT56</f>
        <v>88.3828056350589</v>
      </c>
      <c r="P410" s="147">
        <f>'[40]TGSPDCL MoD'!AU56</f>
        <v>105.987604518517</v>
      </c>
      <c r="Q410" s="147">
        <f t="shared" si="170"/>
        <v>1117.40497868264</v>
      </c>
    </row>
    <row r="411" spans="3:17">
      <c r="C411" s="55"/>
      <c r="D411" s="55" t="s">
        <v>381</v>
      </c>
      <c r="E411" s="147">
        <f>'[40]TGSPDCL MoD'!AJ33</f>
        <v>1.20422687474276</v>
      </c>
      <c r="F411" s="147">
        <f>'[40]TGSPDCL MoD'!AK33</f>
        <v>1.60563583299041</v>
      </c>
      <c r="G411" s="147">
        <f>'[40]TGSPDCL MoD'!AL33</f>
        <v>1.55384112870029</v>
      </c>
      <c r="H411" s="147">
        <f>'[40]TGSPDCL MoD'!AM33</f>
        <v>1.04366329144375</v>
      </c>
      <c r="I411" s="147">
        <f>'[40]TGSPDCL MoD'!AN33</f>
        <v>0.963381499794244</v>
      </c>
      <c r="J411" s="147">
        <f>'[40]TGSPDCL MoD'!AO33</f>
        <v>0.97115070543774</v>
      </c>
      <c r="K411" s="147">
        <f>'[40]TGSPDCL MoD'!AP33</f>
        <v>0.963381499794244</v>
      </c>
      <c r="L411" s="147">
        <f>'[40]TGSPDCL MoD'!AQ33</f>
        <v>1.16538084652526</v>
      </c>
      <c r="M411" s="147">
        <f>'[40]TGSPDCL MoD'!AR33</f>
        <v>1.04366329144375</v>
      </c>
      <c r="N411" s="147">
        <f>'[40]TGSPDCL MoD'!AS33</f>
        <v>1.04366329144375</v>
      </c>
      <c r="O411" s="147">
        <f>'[40]TGSPDCL MoD'!AT33</f>
        <v>1.23918830013851</v>
      </c>
      <c r="P411" s="147">
        <f>'[40]TGSPDCL MoD'!AU33</f>
        <v>1.40493135386653</v>
      </c>
      <c r="Q411" s="147">
        <f t="shared" si="170"/>
        <v>14.2021079163212</v>
      </c>
    </row>
    <row r="412" spans="3:17">
      <c r="C412" s="55"/>
      <c r="D412" s="55" t="s">
        <v>382</v>
      </c>
      <c r="E412" s="147">
        <f>'[40]TGSPDCL MoD'!AJ34</f>
        <v>1.02168059227813</v>
      </c>
      <c r="F412" s="147">
        <f>'[40]TGSPDCL MoD'!AK34</f>
        <v>1.05573661202074</v>
      </c>
      <c r="G412" s="147">
        <f>'[40]TGSPDCL MoD'!AL34</f>
        <v>1.02168059227813</v>
      </c>
      <c r="H412" s="147">
        <f>'[40]TGSPDCL MoD'!AM34</f>
        <v>1.07804090664089</v>
      </c>
      <c r="I412" s="147">
        <f>'[40]TGSPDCL MoD'!AN34</f>
        <v>0.899606549679643</v>
      </c>
      <c r="J412" s="147">
        <f>'[40]TGSPDCL MoD'!AO34</f>
        <v>0.978510989787509</v>
      </c>
      <c r="K412" s="147">
        <f>'[40]TGSPDCL MoD'!AP34</f>
        <v>0.832693665819174</v>
      </c>
      <c r="L412" s="147">
        <f>'[40]TGSPDCL MoD'!AQ34</f>
        <v>1.02168059227813</v>
      </c>
      <c r="M412" s="147">
        <f>'[40]TGSPDCL MoD'!AR34</f>
        <v>1.05573661202074</v>
      </c>
      <c r="N412" s="147">
        <f>'[40]TGSPDCL MoD'!AS34</f>
        <v>0.966519433540113</v>
      </c>
      <c r="O412" s="147">
        <f>'[40]TGSPDCL MoD'!AT34</f>
        <v>0.966759264665061</v>
      </c>
      <c r="P412" s="147">
        <f>'[40]TGSPDCL MoD'!AU34</f>
        <v>1.18956237974168</v>
      </c>
      <c r="Q412" s="147">
        <f t="shared" si="170"/>
        <v>12.0882081907499</v>
      </c>
    </row>
    <row r="413" spans="3:17">
      <c r="C413" s="55"/>
      <c r="D413" s="55" t="s">
        <v>383</v>
      </c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55">
        <f t="shared" si="170"/>
        <v>0</v>
      </c>
    </row>
    <row r="414" spans="3:17">
      <c r="C414" s="55"/>
      <c r="D414" s="55" t="s">
        <v>384</v>
      </c>
      <c r="E414" s="147">
        <f>'[40]TGSPDCL MoD'!AJ52</f>
        <v>7.18393803058944</v>
      </c>
      <c r="F414" s="147">
        <f>'[40]TGSPDCL MoD'!AK52</f>
        <v>7.42340263160909</v>
      </c>
      <c r="G414" s="147">
        <f>'[40]TGSPDCL MoD'!AL52</f>
        <v>7.18393803058944</v>
      </c>
      <c r="H414" s="147">
        <f>'[40]TGSPDCL MoD'!AM52</f>
        <v>7.89389998149981</v>
      </c>
      <c r="I414" s="147">
        <f>'[40]TGSPDCL MoD'!AN52</f>
        <v>6.32557548186409</v>
      </c>
      <c r="J414" s="147">
        <f>'[40]TGSPDCL MoD'!AO52</f>
        <v>7.18393803058944</v>
      </c>
      <c r="K414" s="147">
        <f>'[40]TGSPDCL MoD'!AP52</f>
        <v>6.16874303190052</v>
      </c>
      <c r="L414" s="147">
        <f>'[40]TGSPDCL MoD'!AQ52</f>
        <v>7.18393803058944</v>
      </c>
      <c r="M414" s="147">
        <f>'[40]TGSPDCL MoD'!AR52</f>
        <v>7.42340263160909</v>
      </c>
      <c r="N414" s="147">
        <f>'[40]TGSPDCL MoD'!AS52</f>
        <v>7.26657018164552</v>
      </c>
      <c r="O414" s="147">
        <f>'[40]TGSPDCL MoD'!AT52</f>
        <v>6.9444734295698</v>
      </c>
      <c r="P414" s="147">
        <f>'[40]TGSPDCL MoD'!AU52</f>
        <v>8.36439733139053</v>
      </c>
      <c r="Q414" s="55">
        <f t="shared" si="170"/>
        <v>86.5462168234462</v>
      </c>
    </row>
    <row r="415" spans="3:17">
      <c r="C415" s="55"/>
      <c r="D415" s="55" t="s">
        <v>385</v>
      </c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>
        <f t="shared" si="170"/>
        <v>0</v>
      </c>
    </row>
    <row r="416" spans="3:17">
      <c r="C416" s="55"/>
      <c r="D416" s="55" t="s">
        <v>386</v>
      </c>
      <c r="E416" s="147">
        <f>'[40]TGSPDCL MoD'!AJ46</f>
        <v>13.5948967271557</v>
      </c>
      <c r="F416" s="147">
        <f>'[40]TGSPDCL MoD'!AK46</f>
        <v>17.5600749392428</v>
      </c>
      <c r="G416" s="147">
        <f>'[40]TGSPDCL MoD'!AL46</f>
        <v>16.9936209089446</v>
      </c>
      <c r="H416" s="147">
        <f>'[40]TGSPDCL MoD'!AM46</f>
        <v>12.0979438855952</v>
      </c>
      <c r="I416" s="147">
        <f>'[40]TGSPDCL MoD'!AN46</f>
        <v>10.5360449635456</v>
      </c>
      <c r="J416" s="147">
        <f>'[40]TGSPDCL MoD'!AO46</f>
        <v>11.045853590814</v>
      </c>
      <c r="K416" s="147">
        <f>'[40]TGSPDCL MoD'!AP46</f>
        <v>10.5360449635456</v>
      </c>
      <c r="L416" s="147">
        <f>'[40]TGSPDCL MoD'!AQ46</f>
        <v>14.2966608991666</v>
      </c>
      <c r="M416" s="147">
        <f>'[40]TGSPDCL MoD'!AR46</f>
        <v>11.8530505839889</v>
      </c>
      <c r="N416" s="147">
        <f>'[40]TGSPDCL MoD'!AS46</f>
        <v>11.8530505839889</v>
      </c>
      <c r="O416" s="147">
        <f>'[40]TGSPDCL MoD'!AT46</f>
        <v>13.9630918468495</v>
      </c>
      <c r="P416" s="147">
        <f>'[40]TGSPDCL MoD'!AU46</f>
        <v>15.8040674453185</v>
      </c>
      <c r="Q416" s="147">
        <f t="shared" si="170"/>
        <v>160.134401338156</v>
      </c>
    </row>
    <row r="417" spans="3:17">
      <c r="C417" s="55"/>
      <c r="D417" s="55" t="s">
        <v>387</v>
      </c>
      <c r="E417" s="147">
        <f>'[40]TGSPDCL MoD'!AJ47</f>
        <v>18.5670652758452</v>
      </c>
      <c r="F417" s="147">
        <f>'[40]TGSPDCL MoD'!AK47</f>
        <v>0</v>
      </c>
      <c r="G417" s="147">
        <f>'[40]TGSPDCL MoD'!AL47</f>
        <v>10.434383791384</v>
      </c>
      <c r="H417" s="147">
        <f>'[40]TGSPDCL MoD'!AM47</f>
        <v>17.7589120214145</v>
      </c>
      <c r="I417" s="147">
        <f>'[40]TGSPDCL MoD'!AN47</f>
        <v>14.4291160173992</v>
      </c>
      <c r="J417" s="147">
        <f>'[40]TGSPDCL MoD'!AO47</f>
        <v>15.926514588139</v>
      </c>
      <c r="K417" s="147">
        <f>'[40]TGSPDCL MoD'!AP47</f>
        <v>14.6642993516349</v>
      </c>
      <c r="L417" s="147">
        <f>'[40]TGSPDCL MoD'!AQ47</f>
        <v>21.3291080441527</v>
      </c>
      <c r="M417" s="147">
        <f>'[40]TGSPDCL MoD'!AR47</f>
        <v>18.7102823082759</v>
      </c>
      <c r="N417" s="147">
        <f>'[40]TGSPDCL MoD'!AS47</f>
        <v>18.2345971648452</v>
      </c>
      <c r="O417" s="147">
        <f>'[40]TGSPDCL MoD'!AT47</f>
        <v>17.9481630999836</v>
      </c>
      <c r="P417" s="147">
        <f>'[40]TGSPDCL MoD'!AU47</f>
        <v>21.5643931688604</v>
      </c>
      <c r="Q417" s="147">
        <f t="shared" si="170"/>
        <v>189.566834831935</v>
      </c>
    </row>
    <row r="418" spans="3:17">
      <c r="C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>
        <f t="shared" si="170"/>
        <v>0</v>
      </c>
    </row>
    <row r="419" spans="3:17"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>
        <f t="shared" si="170"/>
        <v>0</v>
      </c>
    </row>
    <row r="420" spans="3:17"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>
        <f t="shared" si="170"/>
        <v>0</v>
      </c>
    </row>
    <row r="421" spans="3:17"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>
        <f t="shared" si="170"/>
        <v>0</v>
      </c>
    </row>
    <row r="422" spans="3:17"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>
        <f t="shared" si="170"/>
        <v>0</v>
      </c>
    </row>
    <row r="423" spans="3:17"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>
        <f t="shared" si="170"/>
        <v>0</v>
      </c>
    </row>
    <row r="424" spans="3:17"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>
        <f t="shared" si="170"/>
        <v>0</v>
      </c>
    </row>
    <row r="425" spans="3:17"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>
        <f t="shared" si="170"/>
        <v>0</v>
      </c>
    </row>
    <row r="426" spans="3:17"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>
        <f t="shared" si="170"/>
        <v>0</v>
      </c>
    </row>
    <row r="427" spans="3:17"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>
        <f t="shared" si="170"/>
        <v>0</v>
      </c>
    </row>
    <row r="428" ht="15" spans="3:17">
      <c r="C428" s="537" t="s">
        <v>211</v>
      </c>
      <c r="D428" s="540"/>
      <c r="E428" s="690">
        <f t="shared" ref="E428:P428" si="171">SUM(E401:E427)</f>
        <v>498.758932160202</v>
      </c>
      <c r="F428" s="690">
        <f t="shared" si="171"/>
        <v>560.156054524306</v>
      </c>
      <c r="G428" s="690">
        <f t="shared" si="171"/>
        <v>497.112063381149</v>
      </c>
      <c r="H428" s="690">
        <f t="shared" si="171"/>
        <v>438.733954386361</v>
      </c>
      <c r="I428" s="690">
        <f t="shared" si="171"/>
        <v>401.823782500435</v>
      </c>
      <c r="J428" s="690">
        <f t="shared" si="171"/>
        <v>428.740096110318</v>
      </c>
      <c r="K428" s="690">
        <f t="shared" si="171"/>
        <v>397.438421996058</v>
      </c>
      <c r="L428" s="690">
        <f t="shared" si="171"/>
        <v>425.463104038798</v>
      </c>
      <c r="M428" s="690">
        <f t="shared" si="171"/>
        <v>415.740389064852</v>
      </c>
      <c r="N428" s="690">
        <f t="shared" si="171"/>
        <v>440.566885991176</v>
      </c>
      <c r="O428" s="690">
        <f t="shared" si="171"/>
        <v>482.54074079249</v>
      </c>
      <c r="P428" s="690">
        <f t="shared" si="171"/>
        <v>566.612453916379</v>
      </c>
      <c r="Q428" s="693">
        <f t="shared" si="170"/>
        <v>5553.68687886252</v>
      </c>
    </row>
    <row r="429" ht="15" spans="3:17">
      <c r="C429" s="44" t="s">
        <v>388</v>
      </c>
      <c r="D429" s="4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</row>
    <row r="430" spans="3:17">
      <c r="C430" s="682" t="s">
        <v>389</v>
      </c>
      <c r="D430" s="685" t="s">
        <v>390</v>
      </c>
      <c r="E430" s="147">
        <f>'[40]TGSPDCL MoD'!AJ32</f>
        <v>2.82541496483981</v>
      </c>
      <c r="F430" s="147">
        <f>'[40]TGSPDCL MoD'!AK32</f>
        <v>2.9195954636678</v>
      </c>
      <c r="G430" s="147">
        <f>'[40]TGSPDCL MoD'!AL32</f>
        <v>2.82541496483981</v>
      </c>
      <c r="H430" s="147">
        <f>'[40]TGSPDCL MoD'!AM32</f>
        <v>2.9195954636678</v>
      </c>
      <c r="I430" s="147">
        <f>'[40]TGSPDCL MoD'!AN32</f>
        <v>2.9195954636678</v>
      </c>
      <c r="J430" s="147">
        <f>'[40]TGSPDCL MoD'!AO32</f>
        <v>2.82541496483981</v>
      </c>
      <c r="K430" s="147">
        <f>'[40]TGSPDCL MoD'!AP32</f>
        <v>2.9195954636678</v>
      </c>
      <c r="L430" s="147">
        <f>'[40]TGSPDCL MoD'!AQ32</f>
        <v>2.82541496483981</v>
      </c>
      <c r="M430" s="147">
        <f>'[40]TGSPDCL MoD'!AR32</f>
        <v>2.9195954636678</v>
      </c>
      <c r="N430" s="147">
        <f>'[40]TGSPDCL MoD'!AS32</f>
        <v>2.9195954636678</v>
      </c>
      <c r="O430" s="147">
        <f>'[40]TGSPDCL MoD'!AT32</f>
        <v>2.73123446601182</v>
      </c>
      <c r="P430" s="147">
        <f>'[40]TGSPDCL MoD'!AU32</f>
        <v>2.9195954636678</v>
      </c>
      <c r="Q430" s="147">
        <f t="shared" ref="Q430:Q444" si="172">SUM(E430:P430)</f>
        <v>34.4700625710457</v>
      </c>
    </row>
    <row r="431" spans="3:17">
      <c r="C431" s="683"/>
      <c r="D431" s="685" t="s">
        <v>391</v>
      </c>
      <c r="E431" s="147">
        <f>'[40]TGSPDCL MoD'!AJ37+'[40]TGSPDCL MoD'!AJ36</f>
        <v>12.107257600678</v>
      </c>
      <c r="F431" s="147">
        <f>'[40]TGSPDCL MoD'!AK37+'[40]TGSPDCL MoD'!AK36</f>
        <v>12.5108328540339</v>
      </c>
      <c r="G431" s="147">
        <f>'[40]TGSPDCL MoD'!AL37+'[40]TGSPDCL MoD'!AL36</f>
        <v>12.107257600678</v>
      </c>
      <c r="H431" s="147">
        <f>'[40]TGSPDCL MoD'!AM37+'[40]TGSPDCL MoD'!AM36</f>
        <v>12.5108328540339</v>
      </c>
      <c r="I431" s="147">
        <f>'[40]TGSPDCL MoD'!AN37+'[40]TGSPDCL MoD'!AN36</f>
        <v>12.5108328540339</v>
      </c>
      <c r="J431" s="147">
        <f>'[40]TGSPDCL MoD'!AO37+'[40]TGSPDCL MoD'!AO36</f>
        <v>12.107257600678</v>
      </c>
      <c r="K431" s="147">
        <f>'[40]TGSPDCL MoD'!AP37+'[40]TGSPDCL MoD'!AP36</f>
        <v>12.5108328540339</v>
      </c>
      <c r="L431" s="147">
        <f>'[40]TGSPDCL MoD'!AQ37+'[40]TGSPDCL MoD'!AQ36</f>
        <v>12.107257600678</v>
      </c>
      <c r="M431" s="147">
        <f>'[40]TGSPDCL MoD'!AR37+'[40]TGSPDCL MoD'!AR36</f>
        <v>12.5108328540339</v>
      </c>
      <c r="N431" s="147">
        <f>'[40]TGSPDCL MoD'!AS37+'[40]TGSPDCL MoD'!AS36</f>
        <v>12.5108328540339</v>
      </c>
      <c r="O431" s="147">
        <f>'[40]TGSPDCL MoD'!AT37+'[40]TGSPDCL MoD'!AT36</f>
        <v>11.7036823473221</v>
      </c>
      <c r="P431" s="147">
        <f>'[40]TGSPDCL MoD'!AU37+'[40]TGSPDCL MoD'!AU36</f>
        <v>12.5108328540339</v>
      </c>
      <c r="Q431" s="147">
        <f t="shared" si="172"/>
        <v>147.708542728272</v>
      </c>
    </row>
    <row r="432" spans="3:17">
      <c r="C432" s="683"/>
      <c r="D432" s="685" t="s">
        <v>392</v>
      </c>
      <c r="E432" s="147">
        <f>'[40]TGSPDCL MoD'!AJ38+'[40]TGSPDCL MoD'!AJ39</f>
        <v>12.107257600678</v>
      </c>
      <c r="F432" s="147">
        <f>'[40]TGSPDCL MoD'!AK38+'[40]TGSPDCL MoD'!AK39</f>
        <v>12.5108328540339</v>
      </c>
      <c r="G432" s="147">
        <f>'[40]TGSPDCL MoD'!AL38+'[40]TGSPDCL MoD'!AL39</f>
        <v>12.107257600678</v>
      </c>
      <c r="H432" s="147">
        <f>'[40]TGSPDCL MoD'!AM38+'[40]TGSPDCL MoD'!AM39</f>
        <v>12.5108328540339</v>
      </c>
      <c r="I432" s="147">
        <f>'[40]TGSPDCL MoD'!AN38+'[40]TGSPDCL MoD'!AN39</f>
        <v>12.5108328540339</v>
      </c>
      <c r="J432" s="147">
        <f>'[40]TGSPDCL MoD'!AO38+'[40]TGSPDCL MoD'!AO39</f>
        <v>12.107257600678</v>
      </c>
      <c r="K432" s="147">
        <f>'[40]TGSPDCL MoD'!AP38+'[40]TGSPDCL MoD'!AP39</f>
        <v>12.5108328540339</v>
      </c>
      <c r="L432" s="147">
        <f>'[40]TGSPDCL MoD'!AQ38+'[40]TGSPDCL MoD'!AQ39</f>
        <v>12.107257600678</v>
      </c>
      <c r="M432" s="147">
        <f>'[40]TGSPDCL MoD'!AR38+'[40]TGSPDCL MoD'!AR39</f>
        <v>12.5108328540339</v>
      </c>
      <c r="N432" s="147">
        <f>'[40]TGSPDCL MoD'!AS38+'[40]TGSPDCL MoD'!AS39</f>
        <v>12.5108328540339</v>
      </c>
      <c r="O432" s="147">
        <f>'[40]TGSPDCL MoD'!AT38+'[40]TGSPDCL MoD'!AT39</f>
        <v>11.7036823473221</v>
      </c>
      <c r="P432" s="147">
        <f>'[40]TGSPDCL MoD'!AU38+'[40]TGSPDCL MoD'!AU39</f>
        <v>12.5108328540339</v>
      </c>
      <c r="Q432" s="147">
        <f t="shared" si="172"/>
        <v>147.708542728272</v>
      </c>
    </row>
    <row r="433" spans="3:17">
      <c r="C433" s="684"/>
      <c r="D433" s="685" t="s">
        <v>393</v>
      </c>
      <c r="E433" s="147">
        <f>'[40]TGSPDCL MoD'!AJ48</f>
        <v>11.3519927912433</v>
      </c>
      <c r="F433" s="147">
        <f>'[40]TGSPDCL MoD'!AK48</f>
        <v>11.7303925509514</v>
      </c>
      <c r="G433" s="147">
        <f>'[40]TGSPDCL MoD'!AL48</f>
        <v>11.3519927912433</v>
      </c>
      <c r="H433" s="147">
        <f>'[40]TGSPDCL MoD'!AM48</f>
        <v>11.7303925509514</v>
      </c>
      <c r="I433" s="147">
        <f>'[40]TGSPDCL MoD'!AN48</f>
        <v>11.7303925509514</v>
      </c>
      <c r="J433" s="147">
        <f>'[40]TGSPDCL MoD'!AO48</f>
        <v>11.3519927912433</v>
      </c>
      <c r="K433" s="147">
        <f>'[40]TGSPDCL MoD'!AP48</f>
        <v>11.7303925509514</v>
      </c>
      <c r="L433" s="147">
        <f>'[40]TGSPDCL MoD'!AQ48</f>
        <v>11.3519927912433</v>
      </c>
      <c r="M433" s="147">
        <f>'[40]TGSPDCL MoD'!AR48</f>
        <v>11.7303925509514</v>
      </c>
      <c r="N433" s="147">
        <f>'[40]TGSPDCL MoD'!AS48</f>
        <v>11.7303925509514</v>
      </c>
      <c r="O433" s="147">
        <f>'[40]TGSPDCL MoD'!AT48</f>
        <v>10.9735930315352</v>
      </c>
      <c r="P433" s="147">
        <f>'[40]TGSPDCL MoD'!AU48</f>
        <v>11.7303925509514</v>
      </c>
      <c r="Q433" s="147">
        <f t="shared" si="172"/>
        <v>138.494312053168</v>
      </c>
    </row>
    <row r="434" spans="3:17">
      <c r="C434" s="55"/>
      <c r="D434" s="55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>
        <f t="shared" si="172"/>
        <v>0</v>
      </c>
    </row>
    <row r="435" spans="3:17">
      <c r="C435" s="55"/>
      <c r="D435" s="55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>
        <f t="shared" si="172"/>
        <v>0</v>
      </c>
    </row>
    <row r="436" spans="3:17">
      <c r="C436" s="55"/>
      <c r="D436" s="55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>
        <f t="shared" si="172"/>
        <v>0</v>
      </c>
    </row>
    <row r="437" spans="3:17">
      <c r="C437" s="55"/>
      <c r="D437" s="55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>
        <f t="shared" si="172"/>
        <v>0</v>
      </c>
    </row>
    <row r="438" spans="3:17">
      <c r="C438" s="55"/>
      <c r="D438" s="55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>
        <f t="shared" si="172"/>
        <v>0</v>
      </c>
    </row>
    <row r="439" spans="3:17">
      <c r="C439" s="55"/>
      <c r="D439" s="55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>
        <f t="shared" si="172"/>
        <v>0</v>
      </c>
    </row>
    <row r="440" spans="3:17">
      <c r="C440" s="55"/>
      <c r="D440" s="55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>
        <f t="shared" si="172"/>
        <v>0</v>
      </c>
    </row>
    <row r="441" spans="3:21">
      <c r="C441" s="55"/>
      <c r="D441" s="55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>
        <f t="shared" si="172"/>
        <v>0</v>
      </c>
      <c r="U441" s="12">
        <f>(5408/3439)</f>
        <v>1.57255015993021</v>
      </c>
    </row>
    <row r="442" spans="3:21">
      <c r="C442" s="55"/>
      <c r="D442" s="55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>
        <f t="shared" si="172"/>
        <v>0</v>
      </c>
      <c r="U442" s="12">
        <f>U441^(1/5)</f>
        <v>1.09476499243979</v>
      </c>
    </row>
    <row r="443" spans="3:21">
      <c r="C443" s="55"/>
      <c r="D443" s="55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>
        <f t="shared" si="172"/>
        <v>0</v>
      </c>
      <c r="U443" s="696">
        <f>U442-1</f>
        <v>0.0947649924397851</v>
      </c>
    </row>
    <row r="444" ht="15" spans="3:18">
      <c r="C444" s="537" t="s">
        <v>211</v>
      </c>
      <c r="D444" s="540"/>
      <c r="E444" s="147">
        <f t="shared" ref="E444:P444" si="173">SUM(E430:E443)</f>
        <v>38.3919229574391</v>
      </c>
      <c r="F444" s="147">
        <f t="shared" si="173"/>
        <v>39.6716537226871</v>
      </c>
      <c r="G444" s="147">
        <f t="shared" si="173"/>
        <v>38.3919229574391</v>
      </c>
      <c r="H444" s="147">
        <f t="shared" si="173"/>
        <v>39.6716537226871</v>
      </c>
      <c r="I444" s="147">
        <f t="shared" si="173"/>
        <v>39.6716537226871</v>
      </c>
      <c r="J444" s="147">
        <f t="shared" si="173"/>
        <v>38.3919229574391</v>
      </c>
      <c r="K444" s="147">
        <f t="shared" si="173"/>
        <v>39.6716537226871</v>
      </c>
      <c r="L444" s="147">
        <f t="shared" si="173"/>
        <v>38.3919229574391</v>
      </c>
      <c r="M444" s="147">
        <f t="shared" si="173"/>
        <v>39.6716537226871</v>
      </c>
      <c r="N444" s="147">
        <f t="shared" si="173"/>
        <v>39.6716537226871</v>
      </c>
      <c r="O444" s="147">
        <f t="shared" si="173"/>
        <v>37.1121921921911</v>
      </c>
      <c r="P444" s="147">
        <f t="shared" si="173"/>
        <v>39.6716537226871</v>
      </c>
      <c r="Q444" s="316">
        <f t="shared" si="172"/>
        <v>468.381460080757</v>
      </c>
      <c r="R444" s="686"/>
    </row>
    <row r="445" ht="15" spans="3:18">
      <c r="C445" s="44" t="s">
        <v>395</v>
      </c>
      <c r="D445" s="45"/>
      <c r="E445" s="147">
        <f t="shared" ref="E445:Q445" si="174">E428+E444</f>
        <v>537.150855117641</v>
      </c>
      <c r="F445" s="147">
        <f t="shared" si="174"/>
        <v>599.827708246993</v>
      </c>
      <c r="G445" s="147">
        <f t="shared" si="174"/>
        <v>535.503986338589</v>
      </c>
      <c r="H445" s="147">
        <f t="shared" si="174"/>
        <v>478.405608109048</v>
      </c>
      <c r="I445" s="147">
        <f t="shared" si="174"/>
        <v>441.495436223122</v>
      </c>
      <c r="J445" s="147">
        <f t="shared" si="174"/>
        <v>467.132019067757</v>
      </c>
      <c r="K445" s="147">
        <f t="shared" si="174"/>
        <v>437.110075718746</v>
      </c>
      <c r="L445" s="147">
        <f t="shared" si="174"/>
        <v>463.855026996237</v>
      </c>
      <c r="M445" s="147">
        <f t="shared" si="174"/>
        <v>455.412042787539</v>
      </c>
      <c r="N445" s="147">
        <f t="shared" si="174"/>
        <v>480.238539713863</v>
      </c>
      <c r="O445" s="147">
        <f t="shared" si="174"/>
        <v>519.652932984681</v>
      </c>
      <c r="P445" s="147">
        <f t="shared" si="174"/>
        <v>606.284107639067</v>
      </c>
      <c r="Q445" s="316">
        <f t="shared" si="174"/>
        <v>6022.06833894328</v>
      </c>
      <c r="R445" s="686"/>
    </row>
    <row r="446" ht="15" spans="3:17">
      <c r="C446" s="663" t="s">
        <v>396</v>
      </c>
      <c r="D446" s="676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</row>
    <row r="447" spans="3:17">
      <c r="C447" s="55" t="s">
        <v>397</v>
      </c>
      <c r="D447" s="55" t="s">
        <v>397</v>
      </c>
      <c r="E447" s="147">
        <f>'[40]TGSPDCL MoD'!AJ23</f>
        <v>30.7460260129259</v>
      </c>
      <c r="F447" s="147">
        <f>'[40]TGSPDCL MoD'!AK23</f>
        <v>31.7708935466901</v>
      </c>
      <c r="G447" s="147">
        <f>'[40]TGSPDCL MoD'!AL23</f>
        <v>30.7460260129259</v>
      </c>
      <c r="H447" s="147">
        <f>'[40]TGSPDCL MoD'!AM23</f>
        <v>32.7673572327845</v>
      </c>
      <c r="I447" s="147">
        <f>'[40]TGSPDCL MoD'!AN23</f>
        <v>27.0723811207711</v>
      </c>
      <c r="J447" s="147">
        <f>'[40]TGSPDCL MoD'!AO23</f>
        <v>30.6123802831486</v>
      </c>
      <c r="K447" s="147">
        <f>'[40]TGSPDCL MoD'!AP23</f>
        <v>26.4011650599256</v>
      </c>
      <c r="L447" s="147">
        <f>'[40]TGSPDCL MoD'!AQ23</f>
        <v>30.7460260129259</v>
      </c>
      <c r="M447" s="147">
        <f>'[40]TGSPDCL MoD'!AR23</f>
        <v>31.7708935466901</v>
      </c>
      <c r="N447" s="147">
        <f>'[40]TGSPDCL MoD'!AS23</f>
        <v>31.0996774858445</v>
      </c>
      <c r="O447" s="147">
        <f>'[40]TGSPDCL MoD'!AT23</f>
        <v>29.7211584791617</v>
      </c>
      <c r="P447" s="147">
        <f>'[40]TGSPDCL MoD'!AU23</f>
        <v>35.7981899117635</v>
      </c>
      <c r="Q447" s="147">
        <f>SUM(E447:P447)</f>
        <v>369.252174705557</v>
      </c>
    </row>
    <row r="448" spans="3:17">
      <c r="C448" s="55" t="s">
        <v>398</v>
      </c>
      <c r="D448" s="55" t="s">
        <v>398</v>
      </c>
      <c r="E448" s="147">
        <f>'[40]TGSPDCL MoD'!AJ24</f>
        <v>0</v>
      </c>
      <c r="F448" s="147">
        <f>'[40]TGSPDCL MoD'!AK24</f>
        <v>0</v>
      </c>
      <c r="G448" s="147">
        <f>'[40]TGSPDCL MoD'!AL24</f>
        <v>0</v>
      </c>
      <c r="H448" s="147">
        <f>'[40]TGSPDCL MoD'!AM24</f>
        <v>0</v>
      </c>
      <c r="I448" s="147">
        <f>'[40]TGSPDCL MoD'!AN24</f>
        <v>0</v>
      </c>
      <c r="J448" s="147">
        <f>'[40]TGSPDCL MoD'!AO24</f>
        <v>0</v>
      </c>
      <c r="K448" s="147">
        <f>'[40]TGSPDCL MoD'!AP24</f>
        <v>0</v>
      </c>
      <c r="L448" s="147">
        <f>'[40]TGSPDCL MoD'!AQ24</f>
        <v>0</v>
      </c>
      <c r="M448" s="147">
        <f>'[40]TGSPDCL MoD'!AR24</f>
        <v>0</v>
      </c>
      <c r="N448" s="147">
        <f>'[40]TGSPDCL MoD'!AS24</f>
        <v>0</v>
      </c>
      <c r="O448" s="147">
        <f>'[40]TGSPDCL MoD'!AT24</f>
        <v>0</v>
      </c>
      <c r="P448" s="147">
        <f>'[40]TGSPDCL MoD'!AU24</f>
        <v>0</v>
      </c>
      <c r="Q448" s="147">
        <f>SUM(E448:P448)</f>
        <v>0</v>
      </c>
    </row>
    <row r="449" spans="3:17">
      <c r="C449" s="55"/>
      <c r="D449" s="55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</row>
    <row r="450" spans="3:17">
      <c r="C450" s="55"/>
      <c r="D450" s="55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</row>
    <row r="451" spans="3:17">
      <c r="C451" s="55"/>
      <c r="D451" s="55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</row>
    <row r="452" spans="3:17">
      <c r="C452" s="55"/>
      <c r="D452" s="55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</row>
    <row r="453" spans="3:17">
      <c r="C453" s="55"/>
      <c r="D453" s="55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</row>
    <row r="454" ht="15" spans="3:18">
      <c r="C454" s="44" t="s">
        <v>399</v>
      </c>
      <c r="D454" s="45"/>
      <c r="E454" s="147">
        <f t="shared" ref="E454:P454" si="175">SUM(E447:E453)</f>
        <v>30.7460260129259</v>
      </c>
      <c r="F454" s="147">
        <f t="shared" si="175"/>
        <v>31.7708935466901</v>
      </c>
      <c r="G454" s="147">
        <f t="shared" si="175"/>
        <v>30.7460260129259</v>
      </c>
      <c r="H454" s="147">
        <f t="shared" si="175"/>
        <v>32.7673572327845</v>
      </c>
      <c r="I454" s="147">
        <f t="shared" si="175"/>
        <v>27.0723811207711</v>
      </c>
      <c r="J454" s="147">
        <f t="shared" si="175"/>
        <v>30.6123802831486</v>
      </c>
      <c r="K454" s="147">
        <f t="shared" si="175"/>
        <v>26.4011650599256</v>
      </c>
      <c r="L454" s="147">
        <f t="shared" si="175"/>
        <v>30.7460260129259</v>
      </c>
      <c r="M454" s="147">
        <f t="shared" si="175"/>
        <v>31.7708935466901</v>
      </c>
      <c r="N454" s="147">
        <f t="shared" si="175"/>
        <v>31.0996774858445</v>
      </c>
      <c r="O454" s="147">
        <f t="shared" si="175"/>
        <v>29.7211584791617</v>
      </c>
      <c r="P454" s="147">
        <f t="shared" si="175"/>
        <v>35.7981899117635</v>
      </c>
      <c r="Q454" s="316">
        <f>SUM(E454:P454)</f>
        <v>369.252174705557</v>
      </c>
      <c r="R454" s="686"/>
    </row>
    <row r="455" ht="15" spans="3:4">
      <c r="C455" s="663" t="s">
        <v>400</v>
      </c>
      <c r="D455" s="676"/>
    </row>
    <row r="456" spans="3:17">
      <c r="C456" s="55" t="s">
        <v>401</v>
      </c>
      <c r="D456" s="55" t="s">
        <v>401</v>
      </c>
      <c r="E456" s="147">
        <f>SUM('[40]TGSPDCL MoD'!AJ20:AJ22)</f>
        <v>267.837475080095</v>
      </c>
      <c r="F456" s="147">
        <f>SUM('[40]TGSPDCL MoD'!AK20:AK22)</f>
        <v>86.8227713921875</v>
      </c>
      <c r="G456" s="147">
        <f>SUM('[40]TGSPDCL MoD'!AL20:AL22)</f>
        <v>98.2031971611399</v>
      </c>
      <c r="H456" s="147">
        <f>SUM('[40]TGSPDCL MoD'!AM20:AM22)</f>
        <v>223.661593283236</v>
      </c>
      <c r="I456" s="147">
        <f>SUM('[40]TGSPDCL MoD'!AN20:AN22)</f>
        <v>210.092024379057</v>
      </c>
      <c r="J456" s="147">
        <f>SUM('[40]TGSPDCL MoD'!AO20:AO22)</f>
        <v>223.288411024297</v>
      </c>
      <c r="K456" s="147">
        <f>SUM('[40]TGSPDCL MoD'!AP20:AP22)</f>
        <v>218.487082107614</v>
      </c>
      <c r="L456" s="147">
        <f>SUM('[40]TGSPDCL MoD'!AQ20:AQ22)</f>
        <v>286.485129401258</v>
      </c>
      <c r="M456" s="147">
        <f>SUM('[40]TGSPDCL MoD'!AR20:AR22)</f>
        <v>258.689532488806</v>
      </c>
      <c r="N456" s="147">
        <f>SUM('[40]TGSPDCL MoD'!AS20:AS22)</f>
        <v>253.036389455486</v>
      </c>
      <c r="O456" s="147">
        <f>SUM('[40]TGSPDCL MoD'!AT20:AT22)</f>
        <v>247.711561796304</v>
      </c>
      <c r="P456" s="147">
        <f>SUM('[40]TGSPDCL MoD'!AU20:AU22)</f>
        <v>295.361526269976</v>
      </c>
      <c r="Q456" s="147">
        <f>SUM(E456:P456)</f>
        <v>2669.67669383946</v>
      </c>
    </row>
    <row r="457" spans="3:17">
      <c r="C457" s="55" t="s">
        <v>402</v>
      </c>
      <c r="D457" s="55" t="s">
        <v>402</v>
      </c>
      <c r="E457" s="55">
        <v>0</v>
      </c>
      <c r="F457" s="55">
        <v>0</v>
      </c>
      <c r="G457" s="55">
        <v>0</v>
      </c>
      <c r="H457" s="55">
        <v>0</v>
      </c>
      <c r="I457" s="55">
        <v>0</v>
      </c>
      <c r="J457" s="55">
        <v>0</v>
      </c>
      <c r="K457" s="55">
        <v>0</v>
      </c>
      <c r="L457" s="55">
        <v>0</v>
      </c>
      <c r="M457" s="55">
        <v>0</v>
      </c>
      <c r="N457" s="55">
        <v>0</v>
      </c>
      <c r="O457" s="55">
        <v>0</v>
      </c>
      <c r="P457" s="55">
        <v>0</v>
      </c>
      <c r="Q457" s="55">
        <v>0</v>
      </c>
    </row>
    <row r="458" spans="3:17">
      <c r="C458" s="55" t="s">
        <v>403</v>
      </c>
      <c r="D458" s="55" t="s">
        <v>403</v>
      </c>
      <c r="E458" s="55">
        <v>0</v>
      </c>
      <c r="F458" s="55">
        <v>0</v>
      </c>
      <c r="G458" s="55">
        <v>0</v>
      </c>
      <c r="H458" s="55">
        <v>0</v>
      </c>
      <c r="I458" s="55">
        <v>0</v>
      </c>
      <c r="J458" s="55">
        <v>0</v>
      </c>
      <c r="K458" s="55">
        <v>0</v>
      </c>
      <c r="L458" s="55">
        <v>0</v>
      </c>
      <c r="M458" s="55">
        <v>0</v>
      </c>
      <c r="N458" s="55">
        <v>0</v>
      </c>
      <c r="O458" s="55">
        <v>0</v>
      </c>
      <c r="P458" s="55">
        <v>0</v>
      </c>
      <c r="Q458" s="55">
        <v>0</v>
      </c>
    </row>
    <row r="459" spans="3:17"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>
        <f t="shared" ref="Q459:Q464" si="176">SUM(E459:P459)</f>
        <v>0</v>
      </c>
    </row>
    <row r="460" spans="3:17"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>
        <f t="shared" si="176"/>
        <v>0</v>
      </c>
    </row>
    <row r="461" spans="3:17"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>
        <f t="shared" si="176"/>
        <v>0</v>
      </c>
    </row>
    <row r="462" spans="3:17"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>
        <f t="shared" si="176"/>
        <v>0</v>
      </c>
    </row>
    <row r="463" spans="3:17"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>
        <f t="shared" si="176"/>
        <v>0</v>
      </c>
    </row>
    <row r="464" ht="15" spans="3:18">
      <c r="C464" s="44" t="s">
        <v>404</v>
      </c>
      <c r="D464" s="45"/>
      <c r="E464" s="147">
        <f t="shared" ref="E464:P464" si="177">SUM(E456:E463)</f>
        <v>267.837475080095</v>
      </c>
      <c r="F464" s="147">
        <f t="shared" si="177"/>
        <v>86.8227713921875</v>
      </c>
      <c r="G464" s="147">
        <f t="shared" si="177"/>
        <v>98.2031971611399</v>
      </c>
      <c r="H464" s="147">
        <f t="shared" si="177"/>
        <v>223.661593283236</v>
      </c>
      <c r="I464" s="147">
        <f t="shared" si="177"/>
        <v>210.092024379057</v>
      </c>
      <c r="J464" s="147">
        <f t="shared" si="177"/>
        <v>223.288411024297</v>
      </c>
      <c r="K464" s="147">
        <f t="shared" si="177"/>
        <v>218.487082107614</v>
      </c>
      <c r="L464" s="147">
        <f t="shared" si="177"/>
        <v>286.485129401258</v>
      </c>
      <c r="M464" s="147">
        <f t="shared" si="177"/>
        <v>258.689532488806</v>
      </c>
      <c r="N464" s="147">
        <f t="shared" si="177"/>
        <v>253.036389455486</v>
      </c>
      <c r="O464" s="147">
        <f t="shared" si="177"/>
        <v>247.711561796304</v>
      </c>
      <c r="P464" s="147">
        <f t="shared" si="177"/>
        <v>295.361526269976</v>
      </c>
      <c r="Q464" s="316">
        <f t="shared" si="176"/>
        <v>2669.67669383946</v>
      </c>
      <c r="R464" s="686"/>
    </row>
    <row r="465" ht="15" spans="3:17">
      <c r="C465" s="663" t="s">
        <v>405</v>
      </c>
      <c r="D465" s="676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</row>
    <row r="466" spans="3:17">
      <c r="C466" s="55"/>
      <c r="D466" s="55" t="s">
        <v>406</v>
      </c>
      <c r="E466" s="147">
        <f>'[40]TGSPDCL MoD'!F104*[40]Gen_Cost!$BN231/10</f>
        <v>0.0243813126858572</v>
      </c>
      <c r="F466" s="147">
        <f>'[40]TGSPDCL MoD'!G104*[40]Gen_Cost!$BN231/10</f>
        <v>0.0209078555152691</v>
      </c>
      <c r="G466" s="147">
        <f>'[40]TGSPDCL MoD'!H104*[40]Gen_Cost!$BN231/10</f>
        <v>0.0497327402473932</v>
      </c>
      <c r="H466" s="147">
        <f>'[40]TGSPDCL MoD'!I104*[40]Gen_Cost!$BN231/10</f>
        <v>0.0723393463589819</v>
      </c>
      <c r="I466" s="147">
        <f>'[40]TGSPDCL MoD'!J104*[40]Gen_Cost!$BN231/10</f>
        <v>0.0394741207667835</v>
      </c>
      <c r="J466" s="147">
        <f>'[40]TGSPDCL MoD'!K104*[40]Gen_Cost!$BN231/10</f>
        <v>0.0290281127467041</v>
      </c>
      <c r="K466" s="147">
        <f>'[40]TGSPDCL MoD'!L104*[40]Gen_Cost!$BN231/10</f>
        <v>0.0176034973230074</v>
      </c>
      <c r="L466" s="147">
        <f>'[40]TGSPDCL MoD'!M104*[40]Gen_Cost!$BN231/10</f>
        <v>0.024443849476385</v>
      </c>
      <c r="M466" s="147">
        <f>'[40]TGSPDCL MoD'!N104*[40]Gen_Cost!$BN231/10</f>
        <v>0.0279507999852291</v>
      </c>
      <c r="N466" s="147">
        <f>'[40]TGSPDCL MoD'!O104*[40]Gen_Cost!$BN231/10</f>
        <v>0.02703225279869</v>
      </c>
      <c r="O466" s="147">
        <f>'[40]TGSPDCL MoD'!P104*[40]Gen_Cost!$BN231/10</f>
        <v>0.0185345399483146</v>
      </c>
      <c r="P466" s="147">
        <f>'[40]TGSPDCL MoD'!Q104*[40]Gen_Cost!$BN231/10</f>
        <v>0.0240715721473846</v>
      </c>
      <c r="Q466" s="147">
        <f>SUM(E466:P466)</f>
        <v>0.3755</v>
      </c>
    </row>
    <row r="467" spans="3:17">
      <c r="C467" s="55"/>
      <c r="D467" s="55" t="s">
        <v>407</v>
      </c>
      <c r="E467" s="147">
        <v>0</v>
      </c>
      <c r="F467" s="147">
        <v>0</v>
      </c>
      <c r="G467" s="147">
        <v>0</v>
      </c>
      <c r="H467" s="147">
        <v>0</v>
      </c>
      <c r="I467" s="147">
        <v>0</v>
      </c>
      <c r="J467" s="147">
        <v>0</v>
      </c>
      <c r="K467" s="147">
        <v>0</v>
      </c>
      <c r="L467" s="147">
        <v>0</v>
      </c>
      <c r="M467" s="147">
        <v>0</v>
      </c>
      <c r="N467" s="147">
        <v>0</v>
      </c>
      <c r="O467" s="147">
        <v>0</v>
      </c>
      <c r="P467" s="147">
        <v>0</v>
      </c>
      <c r="Q467" s="147">
        <v>0</v>
      </c>
    </row>
    <row r="468" spans="3:17">
      <c r="C468" s="55"/>
      <c r="D468" s="55" t="s">
        <v>408</v>
      </c>
      <c r="E468" s="147">
        <f>'[40]TGSPDCL MoD'!F101*[40]Gen_Cost!$BN$233/10</f>
        <v>7.41537086840161</v>
      </c>
      <c r="F468" s="147">
        <f>'[40]TGSPDCL MoD'!G101*[40]Gen_Cost!$BN$233/10</f>
        <v>5.21405718639057</v>
      </c>
      <c r="G468" s="147">
        <f>'[40]TGSPDCL MoD'!H101*[40]Gen_Cost!$BN$233/10</f>
        <v>4.33520433151294</v>
      </c>
      <c r="H468" s="147">
        <f>'[40]TGSPDCL MoD'!I101*[40]Gen_Cost!$BN$233/10</f>
        <v>6.12138937330458</v>
      </c>
      <c r="I468" s="147">
        <f>'[40]TGSPDCL MoD'!J101*[40]Gen_Cost!$BN$233/10</f>
        <v>6.12138937330458</v>
      </c>
      <c r="J468" s="147">
        <f>'[40]TGSPDCL MoD'!K101*[40]Gen_Cost!$BN$233/10</f>
        <v>4.36366965502397</v>
      </c>
      <c r="K468" s="147">
        <f>'[40]TGSPDCL MoD'!L101*[40]Gen_Cost!$BN$233/10</f>
        <v>6.12138937330458</v>
      </c>
      <c r="L468" s="147">
        <f>'[40]TGSPDCL MoD'!M101*[40]Gen_Cost!$BN$233/10</f>
        <v>5.7517580886675</v>
      </c>
      <c r="M468" s="147">
        <f>'[40]TGSPDCL MoD'!N101*[40]Gen_Cost!$BN$233/10</f>
        <v>9.38701010779229</v>
      </c>
      <c r="N468" s="147">
        <f>'[40]TGSPDCL MoD'!O101*[40]Gen_Cost!$BN$233/10</f>
        <v>9.54386356613535</v>
      </c>
      <c r="O468" s="147">
        <f>'[40]TGSPDCL MoD'!P101*[40]Gen_Cost!$BN$233/10</f>
        <v>10.4260160958055</v>
      </c>
      <c r="P468" s="147">
        <f>'[40]TGSPDCL MoD'!Q101*[40]Gen_Cost!$BN$233/10</f>
        <v>10.1090748774452</v>
      </c>
      <c r="Q468" s="147">
        <f t="shared" ref="Q468:Q490" si="178">SUM(E468:P468)</f>
        <v>84.9101928970887</v>
      </c>
    </row>
    <row r="469" spans="3:17">
      <c r="C469" s="55"/>
      <c r="D469" s="55" t="s">
        <v>409</v>
      </c>
      <c r="E469" s="147">
        <f>'[40]TGSPDCL MoD'!F102*[40]Gen_Cost!$BN$234/10</f>
        <v>2.11460846193843</v>
      </c>
      <c r="F469" s="147">
        <f>'[40]TGSPDCL MoD'!G102*[40]Gen_Cost!$BN$234/10</f>
        <v>1.48686959061685</v>
      </c>
      <c r="G469" s="147">
        <f>'[40]TGSPDCL MoD'!H102*[40]Gen_Cost!$BN$234/10</f>
        <v>1.23625101513303</v>
      </c>
      <c r="H469" s="147">
        <f>'[40]TGSPDCL MoD'!I102*[40]Gen_Cost!$BN$234/10</f>
        <v>1.74560949105975</v>
      </c>
      <c r="I469" s="147">
        <f>'[40]TGSPDCL MoD'!J102*[40]Gen_Cost!$BN$234/10</f>
        <v>1.74560949105975</v>
      </c>
      <c r="J469" s="147">
        <f>'[40]TGSPDCL MoD'!K102*[40]Gen_Cost!$BN$234/10</f>
        <v>1.244368345343</v>
      </c>
      <c r="K469" s="147">
        <f>'[40]TGSPDCL MoD'!L102*[40]Gen_Cost!$BN$234/10</f>
        <v>1.74560949105975</v>
      </c>
      <c r="L469" s="147">
        <f>'[40]TGSPDCL MoD'!M102*[40]Gen_Cost!$BN$234/10</f>
        <v>1.64020337501215</v>
      </c>
      <c r="M469" s="147">
        <f>'[40]TGSPDCL MoD'!N102*[40]Gen_Cost!$BN$234/10</f>
        <v>2.67685208986964</v>
      </c>
      <c r="N469" s="147">
        <f>'[40]TGSPDCL MoD'!O102*[40]Gen_Cost!$BN$234/10</f>
        <v>2.72158129575599</v>
      </c>
      <c r="O469" s="147">
        <f>'[40]TGSPDCL MoD'!P102*[40]Gen_Cost!$BN$234/10</f>
        <v>2.9731408248835</v>
      </c>
      <c r="P469" s="147">
        <f>'[40]TGSPDCL MoD'!Q102*[40]Gen_Cost!$BN$234/10</f>
        <v>2.88276010162965</v>
      </c>
      <c r="Q469" s="147">
        <f t="shared" si="178"/>
        <v>24.2134635733615</v>
      </c>
    </row>
    <row r="470" spans="3:17">
      <c r="C470" s="55"/>
      <c r="D470" s="55" t="s">
        <v>410</v>
      </c>
      <c r="E470" s="147">
        <f>SUM('[40]TGSPDCL MoD'!F99:F100)*[40]Gen_Cost!$BN$235/10</f>
        <v>7.52083336681499</v>
      </c>
      <c r="F470" s="147">
        <f>SUM('[40]TGSPDCL MoD'!G99:G100)*[40]Gen_Cost!$BN$235/10</f>
        <v>6.44938602830006</v>
      </c>
      <c r="G470" s="147">
        <f>SUM('[40]TGSPDCL MoD'!H99:H100)*[40]Gen_Cost!$BN$235/10</f>
        <v>15.3409152778185</v>
      </c>
      <c r="H470" s="147">
        <f>SUM('[40]TGSPDCL MoD'!I99:I100)*[40]Gen_Cost!$BN$235/10</f>
        <v>22.314310014399</v>
      </c>
      <c r="I470" s="147">
        <f>SUM('[40]TGSPDCL MoD'!J99:J100)*[40]Gen_Cost!$BN$235/10</f>
        <v>12.1764684458815</v>
      </c>
      <c r="J470" s="147">
        <f>SUM('[40]TGSPDCL MoD'!K99:K100)*[40]Gen_Cost!$BN$235/10</f>
        <v>8.95421841038601</v>
      </c>
      <c r="K470" s="147">
        <f>SUM('[40]TGSPDCL MoD'!L99:L100)*[40]Gen_Cost!$BN$235/10</f>
        <v>5.43010016504606</v>
      </c>
      <c r="L470" s="147">
        <f>SUM('[40]TGSPDCL MoD'!M99:M100)*[40]Gen_Cost!$BN$235/10</f>
        <v>7.54012391063907</v>
      </c>
      <c r="M470" s="147">
        <f>SUM('[40]TGSPDCL MoD'!N99:N100)*[40]Gen_Cost!$BN$235/10</f>
        <v>8.62190284282851</v>
      </c>
      <c r="N470" s="147">
        <f>SUM('[40]TGSPDCL MoD'!O99:O100)*[40]Gen_Cost!$BN$235/10</f>
        <v>8.3385612353225</v>
      </c>
      <c r="O470" s="147">
        <f>SUM('[40]TGSPDCL MoD'!P99:P100)*[40]Gen_Cost!$BN$235/10</f>
        <v>5.71729620459312</v>
      </c>
      <c r="P470" s="147">
        <f>SUM('[40]TGSPDCL MoD'!Q99:Q100)*[40]Gen_Cost!$BN$235/10</f>
        <v>7.42528859419282</v>
      </c>
      <c r="Q470" s="147">
        <f t="shared" si="178"/>
        <v>115.829404496222</v>
      </c>
    </row>
    <row r="471" spans="3:17">
      <c r="C471" s="55"/>
      <c r="D471" s="55" t="s">
        <v>368</v>
      </c>
      <c r="E471" s="147">
        <f>'[40]TGSPDCL MoD'!F103*[40]Gen_Cost!$BN$236/10</f>
        <v>0.00169129778891853</v>
      </c>
      <c r="F471" s="147">
        <f>'[40]TGSPDCL MoD'!G103*[40]Gen_Cost!$BN$236/10</f>
        <v>0.00181234123819283</v>
      </c>
      <c r="G471" s="147">
        <f>'[40]TGSPDCL MoD'!H103*[40]Gen_Cost!$BN$236/10</f>
        <v>0.00187767328407004</v>
      </c>
      <c r="H471" s="147">
        <f>'[40]TGSPDCL MoD'!I103*[40]Gen_Cost!$BN$236/10</f>
        <v>0.00410501800540011</v>
      </c>
      <c r="I471" s="147">
        <f>'[40]TGSPDCL MoD'!J103*[40]Gen_Cost!$BN$236/10</f>
        <v>0.00963783290124066</v>
      </c>
      <c r="J471" s="147">
        <f>'[40]TGSPDCL MoD'!K103*[40]Gen_Cost!$BN$236/10</f>
        <v>0.00486774525807197</v>
      </c>
      <c r="K471" s="147">
        <f>'[40]TGSPDCL MoD'!L103*[40]Gen_Cost!$BN$236/10</f>
        <v>0.00536548658876116</v>
      </c>
      <c r="L471" s="147">
        <f>'[40]TGSPDCL MoD'!M103*[40]Gen_Cost!$BN$236/10</f>
        <v>0.00184025099701946</v>
      </c>
      <c r="M471" s="147">
        <f>'[40]TGSPDCL MoD'!N103*[40]Gen_Cost!$BN$236/10</f>
        <v>0.00315695976848462</v>
      </c>
      <c r="N471" s="147">
        <f>'[40]TGSPDCL MoD'!O103*[40]Gen_Cost!$BN$236/10</f>
        <v>0.00602391351703972</v>
      </c>
      <c r="O471" s="147">
        <f>'[40]TGSPDCL MoD'!P103*[40]Gen_Cost!$BN$236/10</f>
        <v>0.00560336734608544</v>
      </c>
      <c r="P471" s="147">
        <f>'[40]TGSPDCL MoD'!Q103*[40]Gen_Cost!$BN$236/10</f>
        <v>0.00251302879967317</v>
      </c>
      <c r="Q471" s="147">
        <f t="shared" si="178"/>
        <v>0.0484949154929577</v>
      </c>
    </row>
    <row r="472" spans="3:17">
      <c r="C472" s="55"/>
      <c r="D472" s="55" t="s">
        <v>411</v>
      </c>
      <c r="E472" s="690">
        <f>'[40]TGSPDCL MoD'!F114*[40]Gen_Cost!$BN237/10</f>
        <v>293.453795758599</v>
      </c>
      <c r="F472" s="690">
        <f>'[40]TGSPDCL MoD'!G114*[40]Gen_Cost!$BN237/10</f>
        <v>302.597623302912</v>
      </c>
      <c r="G472" s="690">
        <f>'[40]TGSPDCL MoD'!H114*[40]Gen_Cost!$BN237/10</f>
        <v>283.307248826785</v>
      </c>
      <c r="H472" s="690">
        <f>'[40]TGSPDCL MoD'!I114*[40]Gen_Cost!$BN237/10</f>
        <v>221.890029260102</v>
      </c>
      <c r="I472" s="690">
        <f>'[40]TGSPDCL MoD'!J114*[40]Gen_Cost!$BN237/10</f>
        <v>272.909089610852</v>
      </c>
      <c r="J472" s="690">
        <f>'[40]TGSPDCL MoD'!K114*[40]Gen_Cost!$BN237/10</f>
        <v>240.560564503323</v>
      </c>
      <c r="K472" s="690">
        <f>'[40]TGSPDCL MoD'!L114*[40]Gen_Cost!$BN237/10</f>
        <v>294.92175413424</v>
      </c>
      <c r="L472" s="690">
        <f>'[40]TGSPDCL MoD'!M114*[40]Gen_Cost!$BN237/10</f>
        <v>227.405709117961</v>
      </c>
      <c r="M472" s="690">
        <f>'[40]TGSPDCL MoD'!N114*[40]Gen_Cost!$BN237/10</f>
        <v>249.28674474396</v>
      </c>
      <c r="N472" s="690">
        <f>'[40]TGSPDCL MoD'!O114*[40]Gen_Cost!$BN237/10</f>
        <v>265.77618329959</v>
      </c>
      <c r="O472" s="690">
        <f>'[40]TGSPDCL MoD'!P114*[40]Gen_Cost!$BN237/10</f>
        <v>282.545188583234</v>
      </c>
      <c r="P472" s="690">
        <f>'[40]TGSPDCL MoD'!Q114*[40]Gen_Cost!$BN237/10</f>
        <v>292.520754990764</v>
      </c>
      <c r="Q472" s="690">
        <f t="shared" si="178"/>
        <v>3227.17468613232</v>
      </c>
    </row>
    <row r="473" spans="3:17">
      <c r="C473" s="55"/>
      <c r="D473" s="55" t="s">
        <v>412</v>
      </c>
      <c r="E473" s="147">
        <f>'[40]TGSPDCL MoD'!F107*[40]Gen_Cost!$BN$242/10</f>
        <v>8.54768180382809</v>
      </c>
      <c r="F473" s="147">
        <f>'[40]TGSPDCL MoD'!G107*[40]Gen_Cost!$BN$242/10</f>
        <v>8.81402195497801</v>
      </c>
      <c r="G473" s="147">
        <f>'[40]TGSPDCL MoD'!H107*[40]Gen_Cost!$BN$242/10</f>
        <v>8.25213458026414</v>
      </c>
      <c r="H473" s="147">
        <f>'[40]TGSPDCL MoD'!I107*[40]Gen_Cost!$BN$242/10</f>
        <v>6.46318225550463</v>
      </c>
      <c r="I473" s="147">
        <f>'[40]TGSPDCL MoD'!J107*[40]Gen_Cost!$BN$242/10</f>
        <v>7.94925842869289</v>
      </c>
      <c r="J473" s="147">
        <f>'[40]TGSPDCL MoD'!K107*[40]Gen_Cost!$BN$242/10</f>
        <v>7.00701503828959</v>
      </c>
      <c r="K473" s="147">
        <f>'[40]TGSPDCL MoD'!L107*[40]Gen_Cost!$BN$242/10</f>
        <v>8.59044029350378</v>
      </c>
      <c r="L473" s="147">
        <f>'[40]TGSPDCL MoD'!M107*[40]Gen_Cost!$BN$242/10</f>
        <v>6.62384221982671</v>
      </c>
      <c r="M473" s="147">
        <f>'[40]TGSPDCL MoD'!N107*[40]Gen_Cost!$BN$242/10</f>
        <v>7.26119001621753</v>
      </c>
      <c r="N473" s="147">
        <f>'[40]TGSPDCL MoD'!O107*[40]Gen_Cost!$BN$242/10</f>
        <v>7.74149211465503</v>
      </c>
      <c r="O473" s="147">
        <f>'[40]TGSPDCL MoD'!P107*[40]Gen_Cost!$BN$242/10</f>
        <v>8.22993739429697</v>
      </c>
      <c r="P473" s="147">
        <f>'[40]TGSPDCL MoD'!Q107*[40]Gen_Cost!$BN$242/10</f>
        <v>8.5205043206647</v>
      </c>
      <c r="Q473" s="147">
        <f t="shared" si="178"/>
        <v>94.0007004207221</v>
      </c>
    </row>
    <row r="474" spans="3:17">
      <c r="C474" s="55"/>
      <c r="D474" s="55" t="s">
        <v>413</v>
      </c>
      <c r="E474" s="147">
        <f>'[40]TGSPDCL MoD'!F108*[40]Gen_Cost!$BN$243/10</f>
        <v>34.0095525595596</v>
      </c>
      <c r="F474" s="147">
        <f>'[40]TGSPDCL MoD'!G108*[40]Gen_Cost!$BN$243/10</f>
        <v>35.0692678808759</v>
      </c>
      <c r="G474" s="147">
        <f>'[40]TGSPDCL MoD'!H108*[40]Gen_Cost!$BN$243/10</f>
        <v>32.8336280148334</v>
      </c>
      <c r="H474" s="147">
        <f>'[40]TGSPDCL MoD'!I108*[40]Gen_Cost!$BN$243/10</f>
        <v>25.7157369290648</v>
      </c>
      <c r="I474" s="147">
        <f>'[40]TGSPDCL MoD'!J108*[40]Gen_Cost!$BN$243/10</f>
        <v>31.6285431003147</v>
      </c>
      <c r="J474" s="147">
        <f>'[40]TGSPDCL MoD'!K108*[40]Gen_Cost!$BN$243/10</f>
        <v>27.8795411082814</v>
      </c>
      <c r="K474" s="147">
        <f>'[40]TGSPDCL MoD'!L108*[40]Gen_Cost!$BN$243/10</f>
        <v>34.1796802193587</v>
      </c>
      <c r="L474" s="147">
        <f>'[40]TGSPDCL MoD'!M108*[40]Gen_Cost!$BN$243/10</f>
        <v>26.3549714754867</v>
      </c>
      <c r="M474" s="147">
        <f>'[40]TGSPDCL MoD'!N108*[40]Gen_Cost!$BN$243/10</f>
        <v>28.8908535868641</v>
      </c>
      <c r="N474" s="147">
        <f>'[40]TGSPDCL MoD'!O108*[40]Gen_Cost!$BN$243/10</f>
        <v>30.8018816101535</v>
      </c>
      <c r="O474" s="147">
        <f>'[40]TGSPDCL MoD'!P108*[40]Gen_Cost!$BN$243/10</f>
        <v>32.7453097573046</v>
      </c>
      <c r="P474" s="147">
        <f>'[40]TGSPDCL MoD'!Q108*[40]Gen_Cost!$BN$243/10</f>
        <v>33.9014186744554</v>
      </c>
      <c r="Q474" s="147">
        <f t="shared" si="178"/>
        <v>374.010384916553</v>
      </c>
    </row>
    <row r="475" spans="3:17">
      <c r="C475" s="55"/>
      <c r="D475" s="55" t="s">
        <v>414</v>
      </c>
      <c r="E475" s="690">
        <f>'[40]TGSPDCL MoD'!F109*[40]Gen_Cost!$BN$240/10</f>
        <v>29.4708635804668</v>
      </c>
      <c r="F475" s="690">
        <f>'[40]TGSPDCL MoD'!G109*[40]Gen_Cost!$BN$240/10</f>
        <v>30.3891563340675</v>
      </c>
      <c r="G475" s="690">
        <f>'[40]TGSPDCL MoD'!H109*[40]Gen_Cost!$BN$240/10</f>
        <v>28.4518701145029</v>
      </c>
      <c r="H475" s="690">
        <f>'[40]TGSPDCL MoD'!I109*[40]Gen_Cost!$BN$240/10</f>
        <v>22.2838854930662</v>
      </c>
      <c r="I475" s="690">
        <f>'[40]TGSPDCL MoD'!J109*[40]Gen_Cost!$BN$240/10</f>
        <v>27.4076078280038</v>
      </c>
      <c r="J475" s="690">
        <f>'[40]TGSPDCL MoD'!K109*[40]Gen_Cost!$BN$240/10</f>
        <v>24.1589227394063</v>
      </c>
      <c r="K475" s="690">
        <f>'[40]TGSPDCL MoD'!L109*[40]Gen_Cost!$BN$240/10</f>
        <v>29.6182871328474</v>
      </c>
      <c r="L475" s="690">
        <f>'[40]TGSPDCL MoD'!M109*[40]Gen_Cost!$BN$240/10</f>
        <v>22.8378120429827</v>
      </c>
      <c r="M475" s="690">
        <f>'[40]TGSPDCL MoD'!N109*[40]Gen_Cost!$BN$240/10</f>
        <v>25.0352721721528</v>
      </c>
      <c r="N475" s="690">
        <f>'[40]TGSPDCL MoD'!O109*[40]Gen_Cost!$BN$240/10</f>
        <v>26.6912670892921</v>
      </c>
      <c r="O475" s="690">
        <f>'[40]TGSPDCL MoD'!P109*[40]Gen_Cost!$BN$240/10</f>
        <v>28.3753382249776</v>
      </c>
      <c r="P475" s="690">
        <f>'[40]TGSPDCL MoD'!Q109*[40]Gen_Cost!$BN$240/10</f>
        <v>29.3771605253987</v>
      </c>
      <c r="Q475" s="690">
        <f t="shared" si="178"/>
        <v>324.097443277165</v>
      </c>
    </row>
    <row r="476" spans="3:17">
      <c r="C476" s="55"/>
      <c r="D476" s="55" t="s">
        <v>415</v>
      </c>
      <c r="E476" s="147">
        <f>'[40]TGSPDCL MoD'!F110*[40]Gen_Cost!$BN$239/10</f>
        <v>70.1360928480313</v>
      </c>
      <c r="F476" s="147">
        <f>'[40]TGSPDCL MoD'!G110*[40]Gen_Cost!$BN$239/10</f>
        <v>72.3214874379237</v>
      </c>
      <c r="G476" s="147">
        <f>'[40]TGSPDCL MoD'!H110*[40]Gen_Cost!$BN$239/10</f>
        <v>67.711046152496</v>
      </c>
      <c r="H476" s="147">
        <f>'[40]TGSPDCL MoD'!I110*[40]Gen_Cost!$BN$239/10</f>
        <v>53.0321976378211</v>
      </c>
      <c r="I476" s="147">
        <f>'[40]TGSPDCL MoD'!J110*[40]Gen_Cost!$BN$239/10</f>
        <v>65.2258635760292</v>
      </c>
      <c r="J476" s="147">
        <f>'[40]TGSPDCL MoD'!K110*[40]Gen_Cost!$BN$239/10</f>
        <v>57.4944960039266</v>
      </c>
      <c r="K476" s="147">
        <f>'[40]TGSPDCL MoD'!L110*[40]Gen_Cost!$BN$239/10</f>
        <v>70.4869380796112</v>
      </c>
      <c r="L476" s="147">
        <f>'[40]TGSPDCL MoD'!M110*[40]Gen_Cost!$BN$239/10</f>
        <v>54.3504570715788</v>
      </c>
      <c r="M476" s="147">
        <f>'[40]TGSPDCL MoD'!N110*[40]Gen_Cost!$BN$239/10</f>
        <v>59.5800719835585</v>
      </c>
      <c r="N476" s="147">
        <f>'[40]TGSPDCL MoD'!O110*[40]Gen_Cost!$BN$239/10</f>
        <v>63.5210835167708</v>
      </c>
      <c r="O476" s="147">
        <f>'[40]TGSPDCL MoD'!P110*[40]Gen_Cost!$BN$239/10</f>
        <v>67.5289121035587</v>
      </c>
      <c r="P476" s="147">
        <f>'[40]TGSPDCL MoD'!Q110*[40]Gen_Cost!$BN$239/10</f>
        <v>69.9130940834224</v>
      </c>
      <c r="Q476" s="147">
        <f t="shared" si="178"/>
        <v>771.301740494728</v>
      </c>
    </row>
    <row r="477" spans="3:17">
      <c r="C477" s="55"/>
      <c r="D477" s="55" t="s">
        <v>416</v>
      </c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>
        <f t="shared" si="178"/>
        <v>0</v>
      </c>
    </row>
    <row r="478" spans="3:17">
      <c r="C478" s="55"/>
      <c r="D478" s="55" t="s">
        <v>417</v>
      </c>
      <c r="E478" s="147">
        <f>[40]Gen_Cost!$BN238*'[40]TGSPDCL MoD'!F112/10</f>
        <v>85.7290029596454</v>
      </c>
      <c r="F478" s="147">
        <f>[40]Gen_Cost!$BN238*'[40]TGSPDCL MoD'!G112/10</f>
        <v>88.4002623876666</v>
      </c>
      <c r="G478" s="147">
        <f>[40]Gen_Cost!$BN238*'[40]TGSPDCL MoD'!H112/10</f>
        <v>82.7648111021194</v>
      </c>
      <c r="H478" s="147">
        <f>[40]Gen_Cost!$BN238*'[40]TGSPDCL MoD'!I112/10</f>
        <v>64.8225078363044</v>
      </c>
      <c r="I478" s="147">
        <f>[40]Gen_Cost!$BN238*'[40]TGSPDCL MoD'!J112/10</f>
        <v>79.7271137368726</v>
      </c>
      <c r="J478" s="147">
        <f>[40]Gen_Cost!$BN238*'[40]TGSPDCL MoD'!K112/10</f>
        <v>70.2768805323077</v>
      </c>
      <c r="K478" s="147">
        <f>[40]Gen_Cost!$BN238*'[40]TGSPDCL MoD'!L112/10</f>
        <v>86.1578493734549</v>
      </c>
      <c r="L478" s="147">
        <f>[40]Gen_Cost!$BN238*'[40]TGSPDCL MoD'!M112/10</f>
        <v>66.4338474805452</v>
      </c>
      <c r="M478" s="147">
        <f>[40]Gen_Cost!$BN238*'[40]TGSPDCL MoD'!N112/10</f>
        <v>72.8261293152109</v>
      </c>
      <c r="N478" s="147">
        <f>[40]Gen_Cost!$BN238*'[40]TGSPDCL MoD'!O112/10</f>
        <v>77.643320802151</v>
      </c>
      <c r="O478" s="147">
        <f>[40]Gen_Cost!$BN238*'[40]TGSPDCL MoD'!P112/10</f>
        <v>82.5421843519491</v>
      </c>
      <c r="P478" s="147">
        <f>[40]Gen_Cost!$BN238*'[40]TGSPDCL MoD'!Q112/10</f>
        <v>85.4564263022518</v>
      </c>
      <c r="Q478" s="147">
        <f t="shared" si="178"/>
        <v>942.780336180479</v>
      </c>
    </row>
    <row r="479" spans="3:17">
      <c r="C479" s="55"/>
      <c r="D479" s="55" t="s">
        <v>418</v>
      </c>
      <c r="E479" s="147">
        <f>'[40]TGSPDCL MoD'!F113*[40]Gen_Cost!$BN241/10</f>
        <v>43.8722109274752</v>
      </c>
      <c r="F479" s="147">
        <f>'[40]TGSPDCL MoD'!G113*[40]Gen_Cost!$BN241/10</f>
        <v>45.2392402060419</v>
      </c>
      <c r="G479" s="147">
        <f>'[40]TGSPDCL MoD'!H113*[40]Gen_Cost!$BN241/10</f>
        <v>42.3552721329802</v>
      </c>
      <c r="H479" s="147">
        <f>'[40]TGSPDCL MoD'!I113*[40]Gen_Cost!$BN241/10</f>
        <v>33.1732160466273</v>
      </c>
      <c r="I479" s="147">
        <f>'[40]TGSPDCL MoD'!J113*[40]Gen_Cost!$BN241/10</f>
        <v>40.8007165573754</v>
      </c>
      <c r="J479" s="147">
        <f>'[40]TGSPDCL MoD'!K113*[40]Gen_Cost!$BN241/10</f>
        <v>35.9645163199871</v>
      </c>
      <c r="K479" s="147">
        <f>'[40]TGSPDCL MoD'!L113*[40]Gen_Cost!$BN241/10</f>
        <v>44.0916750489816</v>
      </c>
      <c r="L479" s="147">
        <f>'[40]TGSPDCL MoD'!M113*[40]Gen_Cost!$BN241/10</f>
        <v>33.9978265087509</v>
      </c>
      <c r="M479" s="147">
        <f>'[40]TGSPDCL MoD'!N113*[40]Gen_Cost!$BN241/10</f>
        <v>37.2691060906483</v>
      </c>
      <c r="N479" s="147">
        <f>'[40]TGSPDCL MoD'!O113*[40]Gen_Cost!$BN241/10</f>
        <v>39.7343259543688</v>
      </c>
      <c r="O479" s="147">
        <f>'[40]TGSPDCL MoD'!P113*[40]Gen_Cost!$BN241/10</f>
        <v>42.2413418712908</v>
      </c>
      <c r="P479" s="147">
        <f>'[40]TGSPDCL MoD'!Q113*[40]Gen_Cost!$BN241/10</f>
        <v>43.7327185713971</v>
      </c>
      <c r="Q479" s="147">
        <f t="shared" si="178"/>
        <v>482.472166235925</v>
      </c>
    </row>
    <row r="480" spans="3:17">
      <c r="C480" s="55"/>
      <c r="D480" s="697" t="s">
        <v>419</v>
      </c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>
        <f t="shared" si="178"/>
        <v>0</v>
      </c>
    </row>
    <row r="481" spans="3:17">
      <c r="C481" s="55"/>
      <c r="D481" s="697" t="s">
        <v>420</v>
      </c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>
        <f t="shared" si="178"/>
        <v>0</v>
      </c>
    </row>
    <row r="482" spans="3:17"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>
        <f t="shared" si="178"/>
        <v>0</v>
      </c>
    </row>
    <row r="483" spans="3:17"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>
        <f t="shared" si="178"/>
        <v>0</v>
      </c>
    </row>
    <row r="484" spans="3:17"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>
        <f t="shared" si="178"/>
        <v>0</v>
      </c>
    </row>
    <row r="485" spans="3:17"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>
        <f t="shared" si="178"/>
        <v>0</v>
      </c>
    </row>
    <row r="486" spans="3:17"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>
        <f t="shared" si="178"/>
        <v>0</v>
      </c>
    </row>
    <row r="487" spans="3:17"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>
        <f t="shared" si="178"/>
        <v>0</v>
      </c>
    </row>
    <row r="488" spans="3:17"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>
        <f t="shared" si="178"/>
        <v>0</v>
      </c>
    </row>
    <row r="489" spans="3:17"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>
        <f t="shared" si="178"/>
        <v>0</v>
      </c>
    </row>
    <row r="490" ht="15" spans="3:18">
      <c r="C490" s="698" t="s">
        <v>421</v>
      </c>
      <c r="D490" s="699"/>
      <c r="E490" s="55">
        <f t="shared" ref="E490:P490" si="179">SUM(E466:E489)</f>
        <v>582.296085745236</v>
      </c>
      <c r="F490" s="55">
        <f t="shared" si="179"/>
        <v>596.004092506526</v>
      </c>
      <c r="G490" s="55">
        <f t="shared" si="179"/>
        <v>566.639991961977</v>
      </c>
      <c r="H490" s="55">
        <f t="shared" si="179"/>
        <v>457.638508701618</v>
      </c>
      <c r="I490" s="55">
        <f t="shared" si="179"/>
        <v>545.740772102054</v>
      </c>
      <c r="J490" s="55">
        <f t="shared" si="179"/>
        <v>477.93808851428</v>
      </c>
      <c r="K490" s="55">
        <f t="shared" si="179"/>
        <v>581.36669229532</v>
      </c>
      <c r="L490" s="55">
        <f t="shared" si="179"/>
        <v>452.962835391924</v>
      </c>
      <c r="M490" s="55">
        <f t="shared" si="179"/>
        <v>500.866240708856</v>
      </c>
      <c r="N490" s="55">
        <f t="shared" si="179"/>
        <v>532.546616650511</v>
      </c>
      <c r="O490" s="55">
        <f t="shared" si="179"/>
        <v>563.348803319188</v>
      </c>
      <c r="P490" s="55">
        <f t="shared" si="179"/>
        <v>583.865785642568</v>
      </c>
      <c r="Q490" s="316">
        <f t="shared" si="178"/>
        <v>6441.21451354006</v>
      </c>
      <c r="R490" s="686"/>
    </row>
    <row r="491" ht="15" spans="3:17">
      <c r="C491" s="663" t="s">
        <v>422</v>
      </c>
      <c r="D491" s="676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</row>
    <row r="492" spans="3:18">
      <c r="C492" s="55"/>
      <c r="D492" s="55" t="s">
        <v>423</v>
      </c>
      <c r="E492" s="147">
        <f>'[40]ST,D-D'!D17</f>
        <v>49.589054166455</v>
      </c>
      <c r="F492" s="147">
        <f>'[40]ST,D-D'!E17</f>
        <v>523.287318016461</v>
      </c>
      <c r="G492" s="147">
        <f>'[40]ST,D-D'!F17</f>
        <v>259.726184028926</v>
      </c>
      <c r="H492" s="147">
        <f>'[40]ST,D-D'!G17</f>
        <v>22.9383239720243</v>
      </c>
      <c r="I492" s="147">
        <f>'[40]ST,D-D'!H17</f>
        <v>0</v>
      </c>
      <c r="J492" s="147">
        <f>'[40]ST,D-D'!I17</f>
        <v>3.45236679103654</v>
      </c>
      <c r="K492" s="147">
        <f>'[40]ST,D-D'!J17</f>
        <v>0</v>
      </c>
      <c r="L492" s="147">
        <f>'[40]ST,D-D'!K17</f>
        <v>32.8302081172017</v>
      </c>
      <c r="M492" s="147">
        <f>'[40]ST,D-D'!L17</f>
        <v>25.7366368999723</v>
      </c>
      <c r="N492" s="147">
        <f>'[40]ST,D-D'!M17</f>
        <v>20.310948673836</v>
      </c>
      <c r="O492" s="147">
        <f>'[40]ST,D-D'!N17</f>
        <v>138.805203029544</v>
      </c>
      <c r="P492" s="147">
        <f>'[40]ST,D-D'!O17</f>
        <v>485.077190540866</v>
      </c>
      <c r="Q492" s="147">
        <f>SUM(E492:P492)</f>
        <v>1561.75343423632</v>
      </c>
      <c r="R492" s="686"/>
    </row>
    <row r="493" spans="3:17"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>
        <f>SUM(E493:P493)</f>
        <v>0</v>
      </c>
    </row>
    <row r="494" spans="3:17"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>
        <f>SUM(E494:P494)</f>
        <v>0</v>
      </c>
    </row>
    <row r="495" spans="3:17"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>
        <v>0</v>
      </c>
    </row>
    <row r="496" spans="3:17">
      <c r="C496" s="55"/>
      <c r="D496" s="697" t="s">
        <v>534</v>
      </c>
      <c r="E496" s="55">
        <v>0</v>
      </c>
      <c r="F496" s="55">
        <v>0</v>
      </c>
      <c r="G496" s="55">
        <v>0</v>
      </c>
      <c r="H496" s="55">
        <v>0</v>
      </c>
      <c r="I496" s="55">
        <v>0</v>
      </c>
      <c r="J496" s="55">
        <v>0</v>
      </c>
      <c r="K496" s="55">
        <v>0</v>
      </c>
      <c r="L496" s="55">
        <v>0</v>
      </c>
      <c r="M496" s="55">
        <v>0</v>
      </c>
      <c r="N496" s="55">
        <v>0</v>
      </c>
      <c r="O496" s="55">
        <v>0</v>
      </c>
      <c r="P496" s="55">
        <v>0</v>
      </c>
      <c r="Q496" s="55">
        <v>0</v>
      </c>
    </row>
    <row r="497" spans="3:17">
      <c r="C497" s="55"/>
      <c r="D497" s="679" t="s">
        <v>535</v>
      </c>
      <c r="E497" s="55">
        <v>0</v>
      </c>
      <c r="F497" s="55">
        <v>0</v>
      </c>
      <c r="G497" s="55">
        <v>0</v>
      </c>
      <c r="H497" s="55">
        <v>0</v>
      </c>
      <c r="I497" s="55">
        <v>0</v>
      </c>
      <c r="J497" s="55">
        <v>0</v>
      </c>
      <c r="K497" s="55">
        <v>0</v>
      </c>
      <c r="L497" s="55">
        <v>0</v>
      </c>
      <c r="M497" s="55">
        <v>0</v>
      </c>
      <c r="N497" s="55">
        <v>0</v>
      </c>
      <c r="O497" s="55">
        <v>0</v>
      </c>
      <c r="P497" s="55">
        <v>0</v>
      </c>
      <c r="Q497" s="55">
        <v>0</v>
      </c>
    </row>
    <row r="498" spans="3:17">
      <c r="C498" s="55"/>
      <c r="D498" s="679" t="s">
        <v>502</v>
      </c>
      <c r="E498" s="55">
        <v>0</v>
      </c>
      <c r="F498" s="55">
        <v>0</v>
      </c>
      <c r="G498" s="55">
        <v>0</v>
      </c>
      <c r="H498" s="55">
        <v>0</v>
      </c>
      <c r="I498" s="55">
        <v>0</v>
      </c>
      <c r="J498" s="55">
        <v>0</v>
      </c>
      <c r="K498" s="55">
        <v>0</v>
      </c>
      <c r="L498" s="55">
        <v>0</v>
      </c>
      <c r="M498" s="55">
        <v>0</v>
      </c>
      <c r="N498" s="55">
        <v>0</v>
      </c>
      <c r="O498" s="55">
        <v>0</v>
      </c>
      <c r="P498" s="55">
        <v>0</v>
      </c>
      <c r="Q498" s="55">
        <v>0</v>
      </c>
    </row>
    <row r="499" spans="3:17">
      <c r="C499" s="55"/>
      <c r="D499" s="679" t="s">
        <v>503</v>
      </c>
      <c r="E499" s="55">
        <v>0</v>
      </c>
      <c r="F499" s="55">
        <v>0</v>
      </c>
      <c r="G499" s="55">
        <v>0</v>
      </c>
      <c r="H499" s="55">
        <v>0</v>
      </c>
      <c r="I499" s="55">
        <v>0</v>
      </c>
      <c r="J499" s="55">
        <v>0</v>
      </c>
      <c r="K499" s="55">
        <v>0</v>
      </c>
      <c r="L499" s="55">
        <v>0</v>
      </c>
      <c r="M499" s="55">
        <v>0</v>
      </c>
      <c r="N499" s="55">
        <v>0</v>
      </c>
      <c r="O499" s="55">
        <v>0</v>
      </c>
      <c r="P499" s="55">
        <v>0</v>
      </c>
      <c r="Q499" s="55">
        <v>0</v>
      </c>
    </row>
    <row r="500" spans="3:17">
      <c r="C500" s="55"/>
      <c r="D500" s="688" t="s">
        <v>504</v>
      </c>
      <c r="E500" s="55">
        <v>0</v>
      </c>
      <c r="F500" s="55">
        <v>0</v>
      </c>
      <c r="G500" s="55">
        <v>0</v>
      </c>
      <c r="H500" s="55">
        <v>0</v>
      </c>
      <c r="I500" s="55">
        <v>0</v>
      </c>
      <c r="J500" s="55">
        <v>0</v>
      </c>
      <c r="K500" s="55">
        <v>0</v>
      </c>
      <c r="L500" s="55">
        <v>0</v>
      </c>
      <c r="M500" s="55">
        <v>0</v>
      </c>
      <c r="N500" s="55">
        <v>0</v>
      </c>
      <c r="O500" s="55">
        <v>0</v>
      </c>
      <c r="P500" s="55">
        <v>0</v>
      </c>
      <c r="Q500" s="55">
        <v>0</v>
      </c>
    </row>
    <row r="501" spans="3:17">
      <c r="C501" s="55"/>
      <c r="D501" s="679" t="s">
        <v>505</v>
      </c>
      <c r="E501" s="55">
        <v>0</v>
      </c>
      <c r="F501" s="55">
        <v>0</v>
      </c>
      <c r="G501" s="55">
        <v>0</v>
      </c>
      <c r="H501" s="55">
        <v>0</v>
      </c>
      <c r="I501" s="55">
        <v>0</v>
      </c>
      <c r="J501" s="55">
        <v>0</v>
      </c>
      <c r="K501" s="55">
        <v>0</v>
      </c>
      <c r="L501" s="55">
        <v>0</v>
      </c>
      <c r="M501" s="55">
        <v>0</v>
      </c>
      <c r="N501" s="55">
        <v>0</v>
      </c>
      <c r="O501" s="55">
        <v>0</v>
      </c>
      <c r="P501" s="55">
        <v>0</v>
      </c>
      <c r="Q501" s="55">
        <v>0</v>
      </c>
    </row>
    <row r="502" spans="3:17">
      <c r="C502" s="55"/>
      <c r="D502" s="679" t="s">
        <v>506</v>
      </c>
      <c r="E502" s="55">
        <v>0</v>
      </c>
      <c r="F502" s="55">
        <v>0</v>
      </c>
      <c r="G502" s="55">
        <v>0</v>
      </c>
      <c r="H502" s="55">
        <v>0</v>
      </c>
      <c r="I502" s="55">
        <v>0</v>
      </c>
      <c r="J502" s="55">
        <v>0</v>
      </c>
      <c r="K502" s="55">
        <v>0</v>
      </c>
      <c r="L502" s="55">
        <v>0</v>
      </c>
      <c r="M502" s="55">
        <v>0</v>
      </c>
      <c r="N502" s="55">
        <v>0</v>
      </c>
      <c r="O502" s="55">
        <v>0</v>
      </c>
      <c r="P502" s="55">
        <v>0</v>
      </c>
      <c r="Q502" s="55">
        <v>0</v>
      </c>
    </row>
    <row r="503" spans="3:17">
      <c r="C503" s="55"/>
      <c r="D503" s="679" t="s">
        <v>507</v>
      </c>
      <c r="E503" s="55">
        <v>0</v>
      </c>
      <c r="F503" s="55">
        <v>0</v>
      </c>
      <c r="G503" s="55">
        <v>0</v>
      </c>
      <c r="H503" s="55">
        <v>0</v>
      </c>
      <c r="I503" s="55">
        <v>0</v>
      </c>
      <c r="J503" s="55">
        <v>0</v>
      </c>
      <c r="K503" s="55">
        <v>0</v>
      </c>
      <c r="L503" s="55">
        <v>0</v>
      </c>
      <c r="M503" s="55">
        <v>0</v>
      </c>
      <c r="N503" s="55">
        <v>0</v>
      </c>
      <c r="O503" s="55">
        <v>0</v>
      </c>
      <c r="P503" s="55">
        <v>0</v>
      </c>
      <c r="Q503" s="55">
        <v>0</v>
      </c>
    </row>
    <row r="504" spans="3:17">
      <c r="C504" s="55"/>
      <c r="D504" s="679" t="s">
        <v>508</v>
      </c>
      <c r="E504" s="55">
        <v>0</v>
      </c>
      <c r="F504" s="55">
        <v>0</v>
      </c>
      <c r="G504" s="55">
        <v>0</v>
      </c>
      <c r="H504" s="55">
        <v>0</v>
      </c>
      <c r="I504" s="55">
        <v>0</v>
      </c>
      <c r="J504" s="55">
        <v>0</v>
      </c>
      <c r="K504" s="55">
        <v>0</v>
      </c>
      <c r="L504" s="55">
        <v>0</v>
      </c>
      <c r="M504" s="55">
        <v>0</v>
      </c>
      <c r="N504" s="55">
        <v>0</v>
      </c>
      <c r="O504" s="55">
        <v>0</v>
      </c>
      <c r="P504" s="55">
        <v>0</v>
      </c>
      <c r="Q504" s="55">
        <v>0</v>
      </c>
    </row>
    <row r="505" spans="3:17">
      <c r="C505" s="55"/>
      <c r="D505" s="679" t="s">
        <v>509</v>
      </c>
      <c r="E505" s="55">
        <v>0</v>
      </c>
      <c r="F505" s="55">
        <v>0</v>
      </c>
      <c r="G505" s="55">
        <v>0</v>
      </c>
      <c r="H505" s="55">
        <v>0</v>
      </c>
      <c r="I505" s="55">
        <v>0</v>
      </c>
      <c r="J505" s="55">
        <v>0</v>
      </c>
      <c r="K505" s="55">
        <v>0</v>
      </c>
      <c r="L505" s="55">
        <v>0</v>
      </c>
      <c r="M505" s="55">
        <v>0</v>
      </c>
      <c r="N505" s="55">
        <v>0</v>
      </c>
      <c r="O505" s="55">
        <v>0</v>
      </c>
      <c r="P505" s="55">
        <v>0</v>
      </c>
      <c r="Q505" s="55">
        <v>0</v>
      </c>
    </row>
    <row r="506" spans="3:17">
      <c r="C506" s="55"/>
      <c r="D506" s="679" t="s">
        <v>510</v>
      </c>
      <c r="E506" s="55">
        <v>0</v>
      </c>
      <c r="F506" s="55">
        <v>0</v>
      </c>
      <c r="G506" s="55">
        <v>0</v>
      </c>
      <c r="H506" s="55">
        <v>0</v>
      </c>
      <c r="I506" s="55">
        <v>0</v>
      </c>
      <c r="J506" s="55">
        <v>0</v>
      </c>
      <c r="K506" s="55">
        <v>0</v>
      </c>
      <c r="L506" s="55">
        <v>0</v>
      </c>
      <c r="M506" s="55">
        <v>0</v>
      </c>
      <c r="N506" s="55">
        <v>0</v>
      </c>
      <c r="O506" s="55">
        <v>0</v>
      </c>
      <c r="P506" s="55">
        <v>0</v>
      </c>
      <c r="Q506" s="55">
        <v>0</v>
      </c>
    </row>
    <row r="507" spans="3:17">
      <c r="C507" s="55"/>
      <c r="D507" s="679" t="s">
        <v>511</v>
      </c>
      <c r="E507" s="55">
        <v>0</v>
      </c>
      <c r="F507" s="55">
        <v>0</v>
      </c>
      <c r="G507" s="55">
        <v>0</v>
      </c>
      <c r="H507" s="55">
        <v>0</v>
      </c>
      <c r="I507" s="55">
        <v>0</v>
      </c>
      <c r="J507" s="55">
        <v>0</v>
      </c>
      <c r="K507" s="55">
        <v>0</v>
      </c>
      <c r="L507" s="55">
        <v>0</v>
      </c>
      <c r="M507" s="55">
        <v>0</v>
      </c>
      <c r="N507" s="55">
        <v>0</v>
      </c>
      <c r="O507" s="55">
        <v>0</v>
      </c>
      <c r="P507" s="55">
        <v>0</v>
      </c>
      <c r="Q507" s="55">
        <v>0</v>
      </c>
    </row>
    <row r="508" spans="3:17">
      <c r="C508" s="55"/>
      <c r="D508" s="679" t="s">
        <v>512</v>
      </c>
      <c r="E508" s="55">
        <v>0</v>
      </c>
      <c r="F508" s="55">
        <v>0</v>
      </c>
      <c r="G508" s="55">
        <v>0</v>
      </c>
      <c r="H508" s="55">
        <v>0</v>
      </c>
      <c r="I508" s="55">
        <v>0</v>
      </c>
      <c r="J508" s="55">
        <v>0</v>
      </c>
      <c r="K508" s="55">
        <v>0</v>
      </c>
      <c r="L508" s="55">
        <v>0</v>
      </c>
      <c r="M508" s="55">
        <v>0</v>
      </c>
      <c r="N508" s="55">
        <v>0</v>
      </c>
      <c r="O508" s="55">
        <v>0</v>
      </c>
      <c r="P508" s="55">
        <v>0</v>
      </c>
      <c r="Q508" s="55">
        <v>0</v>
      </c>
    </row>
    <row r="509" spans="3:17"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>
        <v>0</v>
      </c>
    </row>
    <row r="510" spans="3:17"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>
        <v>0</v>
      </c>
    </row>
    <row r="511" spans="3:17"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>
        <v>0</v>
      </c>
    </row>
    <row r="512" spans="3:17"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>
        <f t="shared" ref="Q512:Q520" si="180">SUM(E512:P512)</f>
        <v>0</v>
      </c>
    </row>
    <row r="513" spans="3:17"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>
        <f t="shared" si="180"/>
        <v>0</v>
      </c>
    </row>
    <row r="514" spans="3:17"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>
        <f t="shared" si="180"/>
        <v>0</v>
      </c>
    </row>
    <row r="515" spans="3:17"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>
        <f t="shared" si="180"/>
        <v>0</v>
      </c>
    </row>
    <row r="516" spans="3:17"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>
        <f t="shared" si="180"/>
        <v>0</v>
      </c>
    </row>
    <row r="517" spans="3:17"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>
        <f t="shared" si="180"/>
        <v>0</v>
      </c>
    </row>
    <row r="518" spans="3:17"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>
        <f t="shared" si="180"/>
        <v>0</v>
      </c>
    </row>
    <row r="519" spans="3:17"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>
        <f t="shared" si="180"/>
        <v>0</v>
      </c>
    </row>
    <row r="520" ht="15" spans="3:18">
      <c r="C520" s="44" t="s">
        <v>424</v>
      </c>
      <c r="D520" s="45"/>
      <c r="E520" s="55">
        <f t="shared" ref="E520:P520" si="181">SUM(E492:E519)</f>
        <v>49.589054166455</v>
      </c>
      <c r="F520" s="55">
        <f t="shared" si="181"/>
        <v>523.287318016461</v>
      </c>
      <c r="G520" s="55">
        <f t="shared" si="181"/>
        <v>259.726184028926</v>
      </c>
      <c r="H520" s="55">
        <f t="shared" si="181"/>
        <v>22.9383239720243</v>
      </c>
      <c r="I520" s="55">
        <f t="shared" si="181"/>
        <v>0</v>
      </c>
      <c r="J520" s="55">
        <f t="shared" si="181"/>
        <v>3.45236679103654</v>
      </c>
      <c r="K520" s="55">
        <f t="shared" si="181"/>
        <v>0</v>
      </c>
      <c r="L520" s="55">
        <f t="shared" si="181"/>
        <v>32.8302081172017</v>
      </c>
      <c r="M520" s="55">
        <f t="shared" si="181"/>
        <v>25.7366368999723</v>
      </c>
      <c r="N520" s="55">
        <f t="shared" si="181"/>
        <v>20.310948673836</v>
      </c>
      <c r="O520" s="55">
        <f t="shared" si="181"/>
        <v>138.805203029544</v>
      </c>
      <c r="P520" s="55">
        <f t="shared" si="181"/>
        <v>485.077190540866</v>
      </c>
      <c r="Q520" s="316">
        <f t="shared" si="180"/>
        <v>1561.75343423632</v>
      </c>
      <c r="R520" s="686"/>
    </row>
    <row r="521" ht="15" spans="3:17">
      <c r="C521" s="663" t="s">
        <v>425</v>
      </c>
      <c r="D521" s="676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</row>
    <row r="522" spans="3:18">
      <c r="C522" s="55" t="s">
        <v>426</v>
      </c>
      <c r="D522" s="55" t="s">
        <v>427</v>
      </c>
      <c r="E522" s="147">
        <f>'[40]ST,D-D'!D21</f>
        <v>134.443506533265</v>
      </c>
      <c r="F522" s="147">
        <f>'[40]ST,D-D'!E21</f>
        <v>254.740404353209</v>
      </c>
      <c r="G522" s="147">
        <f>'[40]ST,D-D'!F21</f>
        <v>257.536117097196</v>
      </c>
      <c r="H522" s="147">
        <f>'[40]ST,D-D'!G21</f>
        <v>176.904396479004</v>
      </c>
      <c r="I522" s="147">
        <f>'[40]ST,D-D'!H21</f>
        <v>190.281881799814</v>
      </c>
      <c r="J522" s="147">
        <f>'[40]ST,D-D'!I21</f>
        <v>203.984714950292</v>
      </c>
      <c r="K522" s="147">
        <f>'[40]ST,D-D'!J21</f>
        <v>164.382424462502</v>
      </c>
      <c r="L522" s="147">
        <f>'[40]ST,D-D'!K21</f>
        <v>209.254223660672</v>
      </c>
      <c r="M522" s="147">
        <f>'[40]ST,D-D'!L21</f>
        <v>141.542255844292</v>
      </c>
      <c r="N522" s="147">
        <f>'[40]ST,D-D'!M21</f>
        <v>141.581435985722</v>
      </c>
      <c r="O522" s="147">
        <f>'[40]ST,D-D'!N21</f>
        <v>25.9206694641046</v>
      </c>
      <c r="P522" s="147">
        <f>'[40]ST,D-D'!O21</f>
        <v>4.55013329013403</v>
      </c>
      <c r="Q522" s="147">
        <f>SUM(E522:P522)</f>
        <v>1905.12216392021</v>
      </c>
      <c r="R522" s="686"/>
    </row>
    <row r="523" spans="3:17">
      <c r="C523" s="55" t="s">
        <v>426</v>
      </c>
      <c r="D523" s="55" t="s">
        <v>428</v>
      </c>
      <c r="E523" s="147">
        <f>IF('[40]ST,D-D'!D19&lt;0,'[40]ST,D-D'!D19,0)</f>
        <v>0</v>
      </c>
      <c r="F523" s="147">
        <f>IF('[40]ST,D-D'!E19&lt;0,'[40]ST,D-D'!E19,0)</f>
        <v>0</v>
      </c>
      <c r="G523" s="147">
        <f>IF('[40]ST,D-D'!F19&lt;0,'[40]ST,D-D'!F19,0)</f>
        <v>0</v>
      </c>
      <c r="H523" s="147">
        <f>IF('[40]ST,D-D'!G19&lt;0,'[40]ST,D-D'!G19,0)</f>
        <v>0</v>
      </c>
      <c r="I523" s="147">
        <f>IF('[40]ST,D-D'!H19&lt;0,'[40]ST,D-D'!H19,0)</f>
        <v>0</v>
      </c>
      <c r="J523" s="147">
        <f>IF('[40]ST,D-D'!I19&lt;0,'[40]ST,D-D'!I19,0)</f>
        <v>0</v>
      </c>
      <c r="K523" s="147">
        <f>IF('[40]ST,D-D'!J19&lt;0,'[40]ST,D-D'!J19,0)</f>
        <v>0</v>
      </c>
      <c r="L523" s="147">
        <f>IF('[40]ST,D-D'!K19&lt;0,'[40]ST,D-D'!K19,0)</f>
        <v>0</v>
      </c>
      <c r="M523" s="147">
        <f>IF('[40]ST,D-D'!L19&lt;0,'[40]ST,D-D'!L19,0)</f>
        <v>0</v>
      </c>
      <c r="N523" s="147">
        <f>IF('[40]ST,D-D'!M19&lt;0,'[40]ST,D-D'!M19,0)</f>
        <v>0</v>
      </c>
      <c r="O523" s="147">
        <f>IF('[40]ST,D-D'!N19&lt;0,'[40]ST,D-D'!N19,0)</f>
        <v>0</v>
      </c>
      <c r="P523" s="147">
        <f>IF('[40]ST,D-D'!O19&lt;0,'[40]ST,D-D'!O19,0)</f>
        <v>0</v>
      </c>
      <c r="Q523" s="147">
        <f>SUM(E523:P523)</f>
        <v>0</v>
      </c>
    </row>
    <row r="524" ht="15" spans="3:18">
      <c r="C524" s="44" t="s">
        <v>429</v>
      </c>
      <c r="D524" s="45"/>
      <c r="E524" s="147">
        <f t="shared" ref="E524:Q524" si="182">E522+E523</f>
        <v>134.443506533265</v>
      </c>
      <c r="F524" s="147">
        <f t="shared" si="182"/>
        <v>254.740404353209</v>
      </c>
      <c r="G524" s="147">
        <f t="shared" si="182"/>
        <v>257.536117097196</v>
      </c>
      <c r="H524" s="147">
        <f t="shared" si="182"/>
        <v>176.904396479004</v>
      </c>
      <c r="I524" s="147">
        <f t="shared" si="182"/>
        <v>190.281881799814</v>
      </c>
      <c r="J524" s="147">
        <f t="shared" si="182"/>
        <v>203.984714950292</v>
      </c>
      <c r="K524" s="147">
        <f t="shared" si="182"/>
        <v>164.382424462502</v>
      </c>
      <c r="L524" s="147">
        <f t="shared" si="182"/>
        <v>209.254223660672</v>
      </c>
      <c r="M524" s="147">
        <f t="shared" si="182"/>
        <v>141.542255844292</v>
      </c>
      <c r="N524" s="147">
        <f t="shared" si="182"/>
        <v>141.581435985722</v>
      </c>
      <c r="O524" s="147">
        <f t="shared" si="182"/>
        <v>25.9206694641046</v>
      </c>
      <c r="P524" s="147">
        <f t="shared" si="182"/>
        <v>4.55013329013403</v>
      </c>
      <c r="Q524" s="147">
        <f t="shared" si="182"/>
        <v>1905.12216392021</v>
      </c>
      <c r="R524" s="686"/>
    </row>
    <row r="525" ht="15" spans="3:17">
      <c r="C525" s="44" t="s">
        <v>224</v>
      </c>
      <c r="D525" s="45"/>
      <c r="E525" s="700">
        <f t="shared" ref="E525:Q525" si="183">E398+E445+E454+E464+E490+E520+E524</f>
        <v>2600.8747112653</v>
      </c>
      <c r="F525" s="700">
        <f t="shared" si="183"/>
        <v>2687.10686361521</v>
      </c>
      <c r="G525" s="700">
        <f t="shared" si="183"/>
        <v>2466.47952156127</v>
      </c>
      <c r="H525" s="700">
        <f t="shared" si="183"/>
        <v>2168.24574649531</v>
      </c>
      <c r="I525" s="700">
        <f t="shared" si="183"/>
        <v>2245.3206175567</v>
      </c>
      <c r="J525" s="700">
        <f t="shared" si="183"/>
        <v>2336.89340150703</v>
      </c>
      <c r="K525" s="700">
        <f t="shared" si="183"/>
        <v>2238.77636856196</v>
      </c>
      <c r="L525" s="700">
        <f t="shared" si="183"/>
        <v>2252.62856270008</v>
      </c>
      <c r="M525" s="700">
        <f t="shared" si="183"/>
        <v>2309.98800239864</v>
      </c>
      <c r="N525" s="700">
        <f t="shared" si="183"/>
        <v>2439.19055281086</v>
      </c>
      <c r="O525" s="700">
        <f t="shared" si="183"/>
        <v>2483.393385921</v>
      </c>
      <c r="P525" s="700">
        <f t="shared" si="183"/>
        <v>3135.96550194006</v>
      </c>
      <c r="Q525" s="693">
        <f t="shared" si="183"/>
        <v>29364.8632363334</v>
      </c>
    </row>
    <row r="526" spans="4:5">
      <c r="D526" s="13"/>
      <c r="E526" s="13"/>
    </row>
    <row r="527" spans="5:5">
      <c r="E527" s="13"/>
    </row>
    <row r="528" spans="5:5">
      <c r="E528" s="13"/>
    </row>
  </sheetData>
  <mergeCells count="91">
    <mergeCell ref="C2:Q2"/>
    <mergeCell ref="E6:Q6"/>
    <mergeCell ref="C9:D9"/>
    <mergeCell ref="C10:D10"/>
    <mergeCell ref="C29:D29"/>
    <mergeCell ref="C30:D30"/>
    <mergeCell ref="C49:D49"/>
    <mergeCell ref="C50:D50"/>
    <mergeCell ref="C51:D51"/>
    <mergeCell ref="C52:D52"/>
    <mergeCell ref="C79:D79"/>
    <mergeCell ref="C80:D80"/>
    <mergeCell ref="C95:D95"/>
    <mergeCell ref="C96:D96"/>
    <mergeCell ref="C97:D97"/>
    <mergeCell ref="C105:D105"/>
    <mergeCell ref="C106:D106"/>
    <mergeCell ref="C115:D115"/>
    <mergeCell ref="C116:D116"/>
    <mergeCell ref="C141:D141"/>
    <mergeCell ref="C142:D142"/>
    <mergeCell ref="C173:D173"/>
    <mergeCell ref="C174:D174"/>
    <mergeCell ref="C177:D177"/>
    <mergeCell ref="C178:D178"/>
    <mergeCell ref="E182:Q182"/>
    <mergeCell ref="C185:D185"/>
    <mergeCell ref="C186:D186"/>
    <mergeCell ref="C205:D205"/>
    <mergeCell ref="C206:D206"/>
    <mergeCell ref="C225:D225"/>
    <mergeCell ref="C226:D226"/>
    <mergeCell ref="C227:D227"/>
    <mergeCell ref="C228:D228"/>
    <mergeCell ref="C255:D255"/>
    <mergeCell ref="C256:D256"/>
    <mergeCell ref="C271:D271"/>
    <mergeCell ref="C272:D272"/>
    <mergeCell ref="C273:D273"/>
    <mergeCell ref="C281:D281"/>
    <mergeCell ref="C282:D282"/>
    <mergeCell ref="C291:D291"/>
    <mergeCell ref="C292:D292"/>
    <mergeCell ref="C317:D317"/>
    <mergeCell ref="C318:D318"/>
    <mergeCell ref="C345:D345"/>
    <mergeCell ref="C346:D346"/>
    <mergeCell ref="C349:D349"/>
    <mergeCell ref="C350:D350"/>
    <mergeCell ref="E354:Q354"/>
    <mergeCell ref="C357:D357"/>
    <mergeCell ref="C358:D358"/>
    <mergeCell ref="C377:D377"/>
    <mergeCell ref="C378:D378"/>
    <mergeCell ref="C397:D397"/>
    <mergeCell ref="C398:D398"/>
    <mergeCell ref="C399:D399"/>
    <mergeCell ref="C400:D400"/>
    <mergeCell ref="C428:D428"/>
    <mergeCell ref="C429:D429"/>
    <mergeCell ref="C444:D444"/>
    <mergeCell ref="C445:D445"/>
    <mergeCell ref="C446:D446"/>
    <mergeCell ref="C454:D454"/>
    <mergeCell ref="C455:D455"/>
    <mergeCell ref="C464:D464"/>
    <mergeCell ref="C465:D465"/>
    <mergeCell ref="C490:D490"/>
    <mergeCell ref="C491:D491"/>
    <mergeCell ref="C520:D520"/>
    <mergeCell ref="C521:D521"/>
    <mergeCell ref="C524:D524"/>
    <mergeCell ref="C525:D525"/>
    <mergeCell ref="C6:C8"/>
    <mergeCell ref="C11:C28"/>
    <mergeCell ref="C31:C48"/>
    <mergeCell ref="C53:C61"/>
    <mergeCell ref="C81:C84"/>
    <mergeCell ref="C182:C184"/>
    <mergeCell ref="C187:C204"/>
    <mergeCell ref="C207:C224"/>
    <mergeCell ref="C229:C237"/>
    <mergeCell ref="C257:C260"/>
    <mergeCell ref="C354:C356"/>
    <mergeCell ref="C359:C376"/>
    <mergeCell ref="C379:C396"/>
    <mergeCell ref="C401:C410"/>
    <mergeCell ref="C430:C433"/>
    <mergeCell ref="D6:D8"/>
    <mergeCell ref="D182:D184"/>
    <mergeCell ref="D354:D356"/>
  </mergeCells>
  <pageMargins left="0.7" right="0.7" top="0.75" bottom="0.75" header="0.3" footer="0.3"/>
  <pageSetup paperSize="1" orientation="portrait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B2:U528"/>
  <sheetViews>
    <sheetView showGridLines="0" zoomScale="49" zoomScaleNormal="49" topLeftCell="A132" workbookViewId="0">
      <selection activeCell="H500" sqref="H500"/>
    </sheetView>
  </sheetViews>
  <sheetFormatPr defaultColWidth="9.14285714285714" defaultRowHeight="14.25"/>
  <cols>
    <col min="1" max="1" width="3.14285714285714" style="12" customWidth="1"/>
    <col min="2" max="2" width="8.14285714285714" style="12" customWidth="1"/>
    <col min="3" max="3" width="22.1428571428571" style="12" customWidth="1"/>
    <col min="4" max="4" width="40.1428571428571" style="12" customWidth="1"/>
    <col min="5" max="5" width="15.1428571428571" style="12" customWidth="1"/>
    <col min="6" max="6" width="14.4285714285714" style="12" customWidth="1"/>
    <col min="7" max="8" width="15.1428571428571" style="12" customWidth="1"/>
    <col min="9" max="10" width="14.8571428571429" style="12" customWidth="1"/>
    <col min="11" max="11" width="12.5714285714286" style="12" customWidth="1"/>
    <col min="12" max="12" width="15.1428571428571" style="12" customWidth="1"/>
    <col min="13" max="13" width="14.8571428571429" style="12" customWidth="1"/>
    <col min="14" max="14" width="14.4285714285714" style="12" customWidth="1"/>
    <col min="15" max="16" width="15.1428571428571" style="12" customWidth="1"/>
    <col min="17" max="17" width="16.1428571428571" style="12" customWidth="1"/>
    <col min="18" max="18" width="12.4285714285714" style="12" customWidth="1"/>
    <col min="19" max="19" width="12.8571428571429" style="12" customWidth="1"/>
    <col min="20" max="16384" width="9.14285714285714" style="12"/>
  </cols>
  <sheetData>
    <row r="2" ht="15" spans="3:17">
      <c r="C2" s="2" t="s">
        <v>156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ht="15" spans="10:10">
      <c r="J3" s="3" t="s">
        <v>542</v>
      </c>
    </row>
    <row r="4" ht="15" spans="3:10">
      <c r="C4" s="11" t="s">
        <v>522</v>
      </c>
      <c r="J4" s="3"/>
    </row>
    <row r="5" ht="15" spans="3:17">
      <c r="C5" s="14"/>
      <c r="Q5" s="3" t="s">
        <v>109</v>
      </c>
    </row>
    <row r="6" ht="15" customHeight="1" spans="3:17">
      <c r="C6" s="673" t="s">
        <v>345</v>
      </c>
      <c r="D6" s="658" t="s">
        <v>346</v>
      </c>
      <c r="E6" s="135" t="s">
        <v>463</v>
      </c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</row>
    <row r="7" ht="15" spans="3:17">
      <c r="C7" s="674"/>
      <c r="D7" s="660"/>
      <c r="E7" s="135" t="s">
        <v>246</v>
      </c>
      <c r="F7" s="135" t="s">
        <v>247</v>
      </c>
      <c r="G7" s="135" t="s">
        <v>248</v>
      </c>
      <c r="H7" s="135" t="s">
        <v>249</v>
      </c>
      <c r="I7" s="135" t="s">
        <v>250</v>
      </c>
      <c r="J7" s="135" t="s">
        <v>251</v>
      </c>
      <c r="K7" s="135" t="s">
        <v>252</v>
      </c>
      <c r="L7" s="135" t="s">
        <v>253</v>
      </c>
      <c r="M7" s="135" t="s">
        <v>254</v>
      </c>
      <c r="N7" s="135" t="s">
        <v>255</v>
      </c>
      <c r="O7" s="135" t="s">
        <v>256</v>
      </c>
      <c r="P7" s="135" t="s">
        <v>257</v>
      </c>
      <c r="Q7" s="135" t="s">
        <v>97</v>
      </c>
    </row>
    <row r="8" customHeight="1" spans="3:17">
      <c r="C8" s="675"/>
      <c r="D8" s="662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</row>
    <row r="9" ht="15" spans="2:17">
      <c r="B9" s="656"/>
      <c r="C9" s="663" t="s">
        <v>349</v>
      </c>
      <c r="D9" s="676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ht="15" spans="3:17">
      <c r="C10" s="44" t="s">
        <v>350</v>
      </c>
      <c r="D10" s="4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customHeight="1" spans="2:17">
      <c r="B11" s="656"/>
      <c r="C11" s="677" t="s">
        <v>351</v>
      </c>
      <c r="D11" s="47" t="s">
        <v>352</v>
      </c>
      <c r="E11" s="147">
        <f t="shared" ref="E11:P11" si="0">E187+E359</f>
        <v>108.478238325118</v>
      </c>
      <c r="F11" s="147">
        <f t="shared" si="0"/>
        <v>129.843540549711</v>
      </c>
      <c r="G11" s="147">
        <f t="shared" si="0"/>
        <v>125.551329783858</v>
      </c>
      <c r="H11" s="147">
        <f t="shared" si="0"/>
        <v>0</v>
      </c>
      <c r="I11" s="147">
        <f t="shared" si="0"/>
        <v>43.2227556942315</v>
      </c>
      <c r="J11" s="147">
        <f t="shared" si="0"/>
        <v>93.7225492552208</v>
      </c>
      <c r="K11" s="147">
        <f t="shared" si="0"/>
        <v>83.5956593646676</v>
      </c>
      <c r="L11" s="147">
        <f t="shared" si="0"/>
        <v>127.783687518572</v>
      </c>
      <c r="M11" s="147">
        <f t="shared" si="0"/>
        <v>107.439789892345</v>
      </c>
      <c r="N11" s="147">
        <f t="shared" si="0"/>
        <v>108.304155570573</v>
      </c>
      <c r="O11" s="147">
        <f t="shared" si="0"/>
        <v>103.942727458374</v>
      </c>
      <c r="P11" s="147">
        <f t="shared" si="0"/>
        <v>126.3434397216</v>
      </c>
      <c r="Q11" s="147">
        <f t="shared" ref="Q11:Q29" si="1">SUM(E11:P11)</f>
        <v>1158.22787313427</v>
      </c>
    </row>
    <row r="12" spans="2:17">
      <c r="B12" s="656"/>
      <c r="C12" s="678"/>
      <c r="D12" s="47" t="s">
        <v>353</v>
      </c>
      <c r="E12" s="147">
        <f t="shared" ref="E12:P12" si="2">E188+E360</f>
        <v>111.500506800276</v>
      </c>
      <c r="F12" s="147">
        <f t="shared" si="2"/>
        <v>0</v>
      </c>
      <c r="G12" s="147">
        <f t="shared" si="2"/>
        <v>64.3581491781036</v>
      </c>
      <c r="H12" s="147">
        <f t="shared" si="2"/>
        <v>110.20011544772</v>
      </c>
      <c r="I12" s="147">
        <f t="shared" si="2"/>
        <v>91.4419829407945</v>
      </c>
      <c r="J12" s="147">
        <f t="shared" si="2"/>
        <v>96.0839973644927</v>
      </c>
      <c r="K12" s="147">
        <f t="shared" si="2"/>
        <v>95.9448215195842</v>
      </c>
      <c r="L12" s="147">
        <f t="shared" si="2"/>
        <v>125.996939940231</v>
      </c>
      <c r="M12" s="147">
        <f t="shared" si="2"/>
        <v>113.336815759186</v>
      </c>
      <c r="N12" s="147">
        <f t="shared" si="2"/>
        <v>111.074223375399</v>
      </c>
      <c r="O12" s="147">
        <f t="shared" si="2"/>
        <v>106.659841279223</v>
      </c>
      <c r="P12" s="147">
        <f t="shared" si="2"/>
        <v>127.38683424173</v>
      </c>
      <c r="Q12" s="147">
        <f t="shared" si="1"/>
        <v>1153.98422784674</v>
      </c>
    </row>
    <row r="13" spans="2:17">
      <c r="B13" s="656"/>
      <c r="C13" s="678"/>
      <c r="D13" s="47" t="s">
        <v>354</v>
      </c>
      <c r="E13" s="147">
        <f t="shared" ref="E13:P13" si="3">E189+E361</f>
        <v>231.2553013251</v>
      </c>
      <c r="F13" s="147">
        <f t="shared" si="3"/>
        <v>0</v>
      </c>
      <c r="G13" s="147">
        <f t="shared" si="3"/>
        <v>121.326247741606</v>
      </c>
      <c r="H13" s="147">
        <f t="shared" si="3"/>
        <v>227.943676291827</v>
      </c>
      <c r="I13" s="147">
        <f t="shared" si="3"/>
        <v>184.620919004559</v>
      </c>
      <c r="J13" s="147">
        <f t="shared" si="3"/>
        <v>184.278015901989</v>
      </c>
      <c r="K13" s="147">
        <f t="shared" si="3"/>
        <v>187.172793464281</v>
      </c>
      <c r="L13" s="147">
        <f t="shared" si="3"/>
        <v>239.791674872284</v>
      </c>
      <c r="M13" s="147">
        <f t="shared" si="3"/>
        <v>213.936528653863</v>
      </c>
      <c r="N13" s="147">
        <f t="shared" si="3"/>
        <v>213.659509520547</v>
      </c>
      <c r="O13" s="147">
        <f t="shared" si="3"/>
        <v>205.832037343635</v>
      </c>
      <c r="P13" s="147">
        <f t="shared" si="3"/>
        <v>247.205488881915</v>
      </c>
      <c r="Q13" s="147">
        <f t="shared" si="1"/>
        <v>2257.02219300161</v>
      </c>
    </row>
    <row r="14" spans="2:17">
      <c r="B14" s="656"/>
      <c r="C14" s="678"/>
      <c r="D14" s="47" t="s">
        <v>355</v>
      </c>
      <c r="E14" s="147">
        <f t="shared" ref="E14:P14" si="4">E190+E362</f>
        <v>20.682301431057</v>
      </c>
      <c r="F14" s="147">
        <f t="shared" si="4"/>
        <v>0</v>
      </c>
      <c r="G14" s="147">
        <f t="shared" si="4"/>
        <v>11.9186143839989</v>
      </c>
      <c r="H14" s="147">
        <f t="shared" si="4"/>
        <v>19.7416656880062</v>
      </c>
      <c r="I14" s="147">
        <f t="shared" si="4"/>
        <v>16.4815741065005</v>
      </c>
      <c r="J14" s="147">
        <f t="shared" si="4"/>
        <v>17.5273740941161</v>
      </c>
      <c r="K14" s="147">
        <f t="shared" si="4"/>
        <v>15.9382255095829</v>
      </c>
      <c r="L14" s="147">
        <f t="shared" si="4"/>
        <v>24.3476482146057</v>
      </c>
      <c r="M14" s="147">
        <f t="shared" si="4"/>
        <v>19.3542887780686</v>
      </c>
      <c r="N14" s="147">
        <f t="shared" si="4"/>
        <v>20.2850142849238</v>
      </c>
      <c r="O14" s="147">
        <f t="shared" si="4"/>
        <v>19.7942478102885</v>
      </c>
      <c r="P14" s="147">
        <f t="shared" si="4"/>
        <v>24.088454463347</v>
      </c>
      <c r="Q14" s="147">
        <f t="shared" si="1"/>
        <v>210.159408764495</v>
      </c>
    </row>
    <row r="15" spans="2:17">
      <c r="B15" s="656"/>
      <c r="C15" s="678"/>
      <c r="D15" s="47" t="s">
        <v>356</v>
      </c>
      <c r="E15" s="147">
        <f t="shared" ref="E15:P15" si="5">E191+E363</f>
        <v>109.321991674653</v>
      </c>
      <c r="F15" s="147">
        <f t="shared" si="5"/>
        <v>112.966058063808</v>
      </c>
      <c r="G15" s="147">
        <f t="shared" si="5"/>
        <v>109.712279716314</v>
      </c>
      <c r="H15" s="147">
        <f t="shared" si="5"/>
        <v>115.352664924311</v>
      </c>
      <c r="I15" s="147">
        <f t="shared" si="5"/>
        <v>93.8732031797841</v>
      </c>
      <c r="J15" s="147">
        <f t="shared" si="5"/>
        <v>102.393133047386</v>
      </c>
      <c r="K15" s="147">
        <f t="shared" si="5"/>
        <v>0</v>
      </c>
      <c r="L15" s="147">
        <f t="shared" si="5"/>
        <v>54.6609958373264</v>
      </c>
      <c r="M15" s="147">
        <f t="shared" si="5"/>
        <v>110.026460579137</v>
      </c>
      <c r="N15" s="147">
        <f t="shared" si="5"/>
        <v>98.64641690079</v>
      </c>
      <c r="O15" s="147">
        <f t="shared" si="5"/>
        <v>99.1787628246751</v>
      </c>
      <c r="P15" s="147">
        <f t="shared" si="5"/>
        <v>121.053679067648</v>
      </c>
      <c r="Q15" s="147">
        <f t="shared" si="1"/>
        <v>1127.18564581583</v>
      </c>
    </row>
    <row r="16" spans="2:17">
      <c r="B16" s="656"/>
      <c r="C16" s="678"/>
      <c r="D16" s="47" t="s">
        <v>357</v>
      </c>
      <c r="E16" s="147">
        <f t="shared" ref="E16:P16" si="6">E192+E364</f>
        <v>143.64649184294</v>
      </c>
      <c r="F16" s="147">
        <f t="shared" si="6"/>
        <v>145.90681544418</v>
      </c>
      <c r="G16" s="147">
        <f t="shared" si="6"/>
        <v>143.64649184294</v>
      </c>
      <c r="H16" s="147">
        <f t="shared" si="6"/>
        <v>159.338716047583</v>
      </c>
      <c r="I16" s="147">
        <f t="shared" si="6"/>
        <v>131.401282320591</v>
      </c>
      <c r="J16" s="147">
        <f t="shared" si="6"/>
        <v>148.825796781371</v>
      </c>
      <c r="K16" s="147">
        <f t="shared" si="6"/>
        <v>133.642417109468</v>
      </c>
      <c r="L16" s="147">
        <f t="shared" si="6"/>
        <v>0</v>
      </c>
      <c r="M16" s="147">
        <f t="shared" si="6"/>
        <v>73.8001028683001</v>
      </c>
      <c r="N16" s="147">
        <f t="shared" si="6"/>
        <v>148.434708237704</v>
      </c>
      <c r="O16" s="147">
        <f t="shared" si="6"/>
        <v>144.546726813178</v>
      </c>
      <c r="P16" s="147">
        <f t="shared" si="6"/>
        <v>160.469954851572</v>
      </c>
      <c r="Q16" s="147">
        <f t="shared" si="1"/>
        <v>1533.65950415983</v>
      </c>
    </row>
    <row r="17" spans="2:17">
      <c r="B17" s="656"/>
      <c r="C17" s="678"/>
      <c r="D17" s="47" t="s">
        <v>358</v>
      </c>
      <c r="E17" s="147">
        <f t="shared" ref="E17:P17" si="7">E193+E365</f>
        <v>302.781200239817</v>
      </c>
      <c r="F17" s="147">
        <f t="shared" si="7"/>
        <v>155.100893680192</v>
      </c>
      <c r="G17" s="147">
        <f t="shared" si="7"/>
        <v>226.049606087537</v>
      </c>
      <c r="H17" s="147">
        <f t="shared" si="7"/>
        <v>324.571795321338</v>
      </c>
      <c r="I17" s="147">
        <f t="shared" si="7"/>
        <v>236.248007450697</v>
      </c>
      <c r="J17" s="147">
        <f t="shared" si="7"/>
        <v>235.393639822801</v>
      </c>
      <c r="K17" s="147">
        <f t="shared" si="7"/>
        <v>270.024615275112</v>
      </c>
      <c r="L17" s="147">
        <f t="shared" si="7"/>
        <v>225.799065381053</v>
      </c>
      <c r="M17" s="147">
        <f t="shared" si="7"/>
        <v>271.873263503743</v>
      </c>
      <c r="N17" s="147">
        <f t="shared" si="7"/>
        <v>307.916133700414</v>
      </c>
      <c r="O17" s="147">
        <f t="shared" si="7"/>
        <v>291.263210316662</v>
      </c>
      <c r="P17" s="147">
        <f t="shared" si="7"/>
        <v>342.959943302625</v>
      </c>
      <c r="Q17" s="147">
        <f t="shared" si="1"/>
        <v>3189.98137408199</v>
      </c>
    </row>
    <row r="18" spans="2:17">
      <c r="B18" s="656"/>
      <c r="C18" s="678"/>
      <c r="D18" s="47" t="s">
        <v>359</v>
      </c>
      <c r="E18" s="147">
        <f t="shared" ref="E18:P18" si="8">E194+E366</f>
        <v>941.867206608917</v>
      </c>
      <c r="F18" s="147">
        <f t="shared" si="8"/>
        <v>565.428683355988</v>
      </c>
      <c r="G18" s="147">
        <f t="shared" si="8"/>
        <v>560.671333947344</v>
      </c>
      <c r="H18" s="147">
        <f t="shared" si="8"/>
        <v>604.836469860113</v>
      </c>
      <c r="I18" s="147">
        <f t="shared" si="8"/>
        <v>926.446649444253</v>
      </c>
      <c r="J18" s="147">
        <f t="shared" si="8"/>
        <v>970.755567580286</v>
      </c>
      <c r="K18" s="147">
        <f t="shared" si="8"/>
        <v>900.085792870409</v>
      </c>
      <c r="L18" s="147">
        <f t="shared" si="8"/>
        <v>731.996518416562</v>
      </c>
      <c r="M18" s="147">
        <f t="shared" si="8"/>
        <v>875.263471454233</v>
      </c>
      <c r="N18" s="147">
        <f t="shared" si="8"/>
        <v>972.974724956157</v>
      </c>
      <c r="O18" s="147">
        <f t="shared" si="8"/>
        <v>906.05053580537</v>
      </c>
      <c r="P18" s="147">
        <f t="shared" si="8"/>
        <v>1003.10808346774</v>
      </c>
      <c r="Q18" s="147">
        <f t="shared" si="1"/>
        <v>9959.48503776737</v>
      </c>
    </row>
    <row r="19" spans="2:17">
      <c r="B19" s="656"/>
      <c r="C19" s="678"/>
      <c r="D19" s="679" t="s">
        <v>492</v>
      </c>
      <c r="E19" s="147">
        <f t="shared" ref="E19:P19" si="9">E195+E367</f>
        <v>0</v>
      </c>
      <c r="F19" s="147">
        <f t="shared" si="9"/>
        <v>0</v>
      </c>
      <c r="G19" s="147">
        <f t="shared" si="9"/>
        <v>0</v>
      </c>
      <c r="H19" s="147">
        <f t="shared" si="9"/>
        <v>0</v>
      </c>
      <c r="I19" s="147">
        <f t="shared" si="9"/>
        <v>0</v>
      </c>
      <c r="J19" s="147">
        <f t="shared" si="9"/>
        <v>0</v>
      </c>
      <c r="K19" s="147">
        <f t="shared" si="9"/>
        <v>0</v>
      </c>
      <c r="L19" s="147">
        <f t="shared" si="9"/>
        <v>0</v>
      </c>
      <c r="M19" s="147">
        <f t="shared" si="9"/>
        <v>0</v>
      </c>
      <c r="N19" s="147">
        <f t="shared" si="9"/>
        <v>0</v>
      </c>
      <c r="O19" s="147">
        <f t="shared" si="9"/>
        <v>0</v>
      </c>
      <c r="P19" s="147">
        <f t="shared" si="9"/>
        <v>0</v>
      </c>
      <c r="Q19" s="147">
        <f t="shared" si="1"/>
        <v>0</v>
      </c>
    </row>
    <row r="20" spans="2:17">
      <c r="B20" s="656"/>
      <c r="C20" s="678"/>
      <c r="D20" s="47"/>
      <c r="E20" s="147">
        <f t="shared" ref="E20:P20" si="10">E196+E368</f>
        <v>0</v>
      </c>
      <c r="F20" s="147">
        <f t="shared" si="10"/>
        <v>0</v>
      </c>
      <c r="G20" s="147">
        <f t="shared" si="10"/>
        <v>0</v>
      </c>
      <c r="H20" s="147">
        <f t="shared" si="10"/>
        <v>0</v>
      </c>
      <c r="I20" s="147">
        <f t="shared" si="10"/>
        <v>0</v>
      </c>
      <c r="J20" s="147">
        <f t="shared" si="10"/>
        <v>0</v>
      </c>
      <c r="K20" s="147">
        <f t="shared" si="10"/>
        <v>0</v>
      </c>
      <c r="L20" s="147">
        <f t="shared" si="10"/>
        <v>0</v>
      </c>
      <c r="M20" s="147">
        <f t="shared" si="10"/>
        <v>0</v>
      </c>
      <c r="N20" s="147">
        <f t="shared" si="10"/>
        <v>0</v>
      </c>
      <c r="O20" s="147">
        <f t="shared" si="10"/>
        <v>0</v>
      </c>
      <c r="P20" s="147">
        <f t="shared" si="10"/>
        <v>0</v>
      </c>
      <c r="Q20" s="147">
        <f t="shared" si="1"/>
        <v>0</v>
      </c>
    </row>
    <row r="21" spans="2:17">
      <c r="B21" s="656"/>
      <c r="C21" s="678"/>
      <c r="D21" s="47"/>
      <c r="E21" s="147">
        <f t="shared" ref="E21:P21" si="11">E197+E369</f>
        <v>0</v>
      </c>
      <c r="F21" s="147">
        <f t="shared" si="11"/>
        <v>0</v>
      </c>
      <c r="G21" s="147">
        <f t="shared" si="11"/>
        <v>0</v>
      </c>
      <c r="H21" s="147">
        <f t="shared" si="11"/>
        <v>0</v>
      </c>
      <c r="I21" s="147">
        <f t="shared" si="11"/>
        <v>0</v>
      </c>
      <c r="J21" s="147">
        <f t="shared" si="11"/>
        <v>0</v>
      </c>
      <c r="K21" s="147">
        <f t="shared" si="11"/>
        <v>0</v>
      </c>
      <c r="L21" s="147">
        <f t="shared" si="11"/>
        <v>0</v>
      </c>
      <c r="M21" s="147">
        <f t="shared" si="11"/>
        <v>0</v>
      </c>
      <c r="N21" s="147">
        <f t="shared" si="11"/>
        <v>0</v>
      </c>
      <c r="O21" s="147">
        <f t="shared" si="11"/>
        <v>0</v>
      </c>
      <c r="P21" s="147">
        <f t="shared" si="11"/>
        <v>0</v>
      </c>
      <c r="Q21" s="147">
        <f t="shared" si="1"/>
        <v>0</v>
      </c>
    </row>
    <row r="22" spans="2:17">
      <c r="B22" s="656"/>
      <c r="C22" s="678"/>
      <c r="D22" s="47"/>
      <c r="E22" s="147">
        <f t="shared" ref="E22:P22" si="12">E198+E370</f>
        <v>0</v>
      </c>
      <c r="F22" s="147">
        <f t="shared" si="12"/>
        <v>0</v>
      </c>
      <c r="G22" s="147">
        <f t="shared" si="12"/>
        <v>0</v>
      </c>
      <c r="H22" s="147">
        <f t="shared" si="12"/>
        <v>0</v>
      </c>
      <c r="I22" s="147">
        <f t="shared" si="12"/>
        <v>0</v>
      </c>
      <c r="J22" s="147">
        <f t="shared" si="12"/>
        <v>0</v>
      </c>
      <c r="K22" s="147">
        <f t="shared" si="12"/>
        <v>0</v>
      </c>
      <c r="L22" s="147">
        <f t="shared" si="12"/>
        <v>0</v>
      </c>
      <c r="M22" s="147">
        <f t="shared" si="12"/>
        <v>0</v>
      </c>
      <c r="N22" s="147">
        <f t="shared" si="12"/>
        <v>0</v>
      </c>
      <c r="O22" s="147">
        <f t="shared" si="12"/>
        <v>0</v>
      </c>
      <c r="P22" s="147">
        <f t="shared" si="12"/>
        <v>0</v>
      </c>
      <c r="Q22" s="147">
        <f t="shared" si="1"/>
        <v>0</v>
      </c>
    </row>
    <row r="23" spans="2:17">
      <c r="B23" s="656"/>
      <c r="C23" s="678"/>
      <c r="D23" s="47"/>
      <c r="E23" s="147">
        <f t="shared" ref="E23:P23" si="13">E199+E371</f>
        <v>0</v>
      </c>
      <c r="F23" s="147">
        <f t="shared" si="13"/>
        <v>0</v>
      </c>
      <c r="G23" s="147">
        <f t="shared" si="13"/>
        <v>0</v>
      </c>
      <c r="H23" s="147">
        <f t="shared" si="13"/>
        <v>0</v>
      </c>
      <c r="I23" s="147">
        <f t="shared" si="13"/>
        <v>0</v>
      </c>
      <c r="J23" s="147">
        <f t="shared" si="13"/>
        <v>0</v>
      </c>
      <c r="K23" s="147">
        <f t="shared" si="13"/>
        <v>0</v>
      </c>
      <c r="L23" s="147">
        <f t="shared" si="13"/>
        <v>0</v>
      </c>
      <c r="M23" s="147">
        <f t="shared" si="13"/>
        <v>0</v>
      </c>
      <c r="N23" s="147">
        <f t="shared" si="13"/>
        <v>0</v>
      </c>
      <c r="O23" s="147">
        <f t="shared" si="13"/>
        <v>0</v>
      </c>
      <c r="P23" s="147">
        <f t="shared" si="13"/>
        <v>0</v>
      </c>
      <c r="Q23" s="147">
        <f t="shared" si="1"/>
        <v>0</v>
      </c>
    </row>
    <row r="24" spans="2:17">
      <c r="B24" s="656"/>
      <c r="C24" s="678"/>
      <c r="D24" s="47"/>
      <c r="E24" s="147">
        <f t="shared" ref="E24:P24" si="14">E200+E372</f>
        <v>0</v>
      </c>
      <c r="F24" s="147">
        <f t="shared" si="14"/>
        <v>0</v>
      </c>
      <c r="G24" s="147">
        <f t="shared" si="14"/>
        <v>0</v>
      </c>
      <c r="H24" s="147">
        <f t="shared" si="14"/>
        <v>0</v>
      </c>
      <c r="I24" s="147">
        <f t="shared" si="14"/>
        <v>0</v>
      </c>
      <c r="J24" s="147">
        <f t="shared" si="14"/>
        <v>0</v>
      </c>
      <c r="K24" s="147">
        <f t="shared" si="14"/>
        <v>0</v>
      </c>
      <c r="L24" s="147">
        <f t="shared" si="14"/>
        <v>0</v>
      </c>
      <c r="M24" s="147">
        <f t="shared" si="14"/>
        <v>0</v>
      </c>
      <c r="N24" s="147">
        <f t="shared" si="14"/>
        <v>0</v>
      </c>
      <c r="O24" s="147">
        <f t="shared" si="14"/>
        <v>0</v>
      </c>
      <c r="P24" s="147">
        <f t="shared" si="14"/>
        <v>0</v>
      </c>
      <c r="Q24" s="147">
        <f t="shared" si="1"/>
        <v>0</v>
      </c>
    </row>
    <row r="25" spans="2:17">
      <c r="B25" s="656"/>
      <c r="C25" s="678"/>
      <c r="D25" s="47"/>
      <c r="E25" s="147">
        <f t="shared" ref="E25:P25" si="15">E201+E373</f>
        <v>0</v>
      </c>
      <c r="F25" s="147">
        <f t="shared" si="15"/>
        <v>0</v>
      </c>
      <c r="G25" s="147">
        <f t="shared" si="15"/>
        <v>0</v>
      </c>
      <c r="H25" s="147">
        <f t="shared" si="15"/>
        <v>0</v>
      </c>
      <c r="I25" s="147">
        <f t="shared" si="15"/>
        <v>0</v>
      </c>
      <c r="J25" s="147">
        <f t="shared" si="15"/>
        <v>0</v>
      </c>
      <c r="K25" s="147">
        <f t="shared" si="15"/>
        <v>0</v>
      </c>
      <c r="L25" s="147">
        <f t="shared" si="15"/>
        <v>0</v>
      </c>
      <c r="M25" s="147">
        <f t="shared" si="15"/>
        <v>0</v>
      </c>
      <c r="N25" s="147">
        <f t="shared" si="15"/>
        <v>0</v>
      </c>
      <c r="O25" s="147">
        <f t="shared" si="15"/>
        <v>0</v>
      </c>
      <c r="P25" s="147">
        <f t="shared" si="15"/>
        <v>0</v>
      </c>
      <c r="Q25" s="147">
        <f t="shared" si="1"/>
        <v>0</v>
      </c>
    </row>
    <row r="26" spans="2:17">
      <c r="B26" s="656"/>
      <c r="C26" s="678"/>
      <c r="D26" s="47"/>
      <c r="E26" s="147">
        <f t="shared" ref="E26:P26" si="16">E202+E374</f>
        <v>0</v>
      </c>
      <c r="F26" s="147">
        <f t="shared" si="16"/>
        <v>0</v>
      </c>
      <c r="G26" s="147">
        <f t="shared" si="16"/>
        <v>0</v>
      </c>
      <c r="H26" s="147">
        <f t="shared" si="16"/>
        <v>0</v>
      </c>
      <c r="I26" s="147">
        <f t="shared" si="16"/>
        <v>0</v>
      </c>
      <c r="J26" s="147">
        <f t="shared" si="16"/>
        <v>0</v>
      </c>
      <c r="K26" s="147">
        <f t="shared" si="16"/>
        <v>0</v>
      </c>
      <c r="L26" s="147">
        <f t="shared" si="16"/>
        <v>0</v>
      </c>
      <c r="M26" s="147">
        <f t="shared" si="16"/>
        <v>0</v>
      </c>
      <c r="N26" s="147">
        <f t="shared" si="16"/>
        <v>0</v>
      </c>
      <c r="O26" s="147">
        <f t="shared" si="16"/>
        <v>0</v>
      </c>
      <c r="P26" s="147">
        <f t="shared" si="16"/>
        <v>0</v>
      </c>
      <c r="Q26" s="147">
        <f t="shared" si="1"/>
        <v>0</v>
      </c>
    </row>
    <row r="27" spans="2:17">
      <c r="B27" s="656"/>
      <c r="C27" s="678"/>
      <c r="D27" s="47"/>
      <c r="E27" s="147">
        <f t="shared" ref="E27:P27" si="17">E203+E375</f>
        <v>0</v>
      </c>
      <c r="F27" s="147">
        <f t="shared" si="17"/>
        <v>0</v>
      </c>
      <c r="G27" s="147">
        <f t="shared" si="17"/>
        <v>0</v>
      </c>
      <c r="H27" s="147">
        <f t="shared" si="17"/>
        <v>0</v>
      </c>
      <c r="I27" s="147">
        <f t="shared" si="17"/>
        <v>0</v>
      </c>
      <c r="J27" s="147">
        <f t="shared" si="17"/>
        <v>0</v>
      </c>
      <c r="K27" s="147">
        <f t="shared" si="17"/>
        <v>0</v>
      </c>
      <c r="L27" s="147">
        <f t="shared" si="17"/>
        <v>0</v>
      </c>
      <c r="M27" s="147">
        <f t="shared" si="17"/>
        <v>0</v>
      </c>
      <c r="N27" s="147">
        <f t="shared" si="17"/>
        <v>0</v>
      </c>
      <c r="O27" s="147">
        <f t="shared" si="17"/>
        <v>0</v>
      </c>
      <c r="P27" s="147">
        <f t="shared" si="17"/>
        <v>0</v>
      </c>
      <c r="Q27" s="147">
        <f t="shared" si="1"/>
        <v>0</v>
      </c>
    </row>
    <row r="28" spans="2:17">
      <c r="B28" s="656"/>
      <c r="C28" s="680"/>
      <c r="D28" s="47"/>
      <c r="E28" s="147">
        <f t="shared" ref="E28:P28" si="18">E204+E376</f>
        <v>0</v>
      </c>
      <c r="F28" s="147">
        <f t="shared" si="18"/>
        <v>0</v>
      </c>
      <c r="G28" s="147">
        <f t="shared" si="18"/>
        <v>0</v>
      </c>
      <c r="H28" s="147">
        <f t="shared" si="18"/>
        <v>0</v>
      </c>
      <c r="I28" s="147">
        <f t="shared" si="18"/>
        <v>0</v>
      </c>
      <c r="J28" s="147">
        <f t="shared" si="18"/>
        <v>0</v>
      </c>
      <c r="K28" s="147">
        <f t="shared" si="18"/>
        <v>0</v>
      </c>
      <c r="L28" s="147">
        <f t="shared" si="18"/>
        <v>0</v>
      </c>
      <c r="M28" s="147">
        <f t="shared" si="18"/>
        <v>0</v>
      </c>
      <c r="N28" s="147">
        <f t="shared" si="18"/>
        <v>0</v>
      </c>
      <c r="O28" s="147">
        <f t="shared" si="18"/>
        <v>0</v>
      </c>
      <c r="P28" s="147">
        <f t="shared" si="18"/>
        <v>0</v>
      </c>
      <c r="Q28" s="147">
        <f t="shared" si="1"/>
        <v>0</v>
      </c>
    </row>
    <row r="29" ht="15" spans="3:18">
      <c r="C29" s="537" t="s">
        <v>211</v>
      </c>
      <c r="D29" s="540"/>
      <c r="E29" s="681">
        <f t="shared" ref="E29:P29" si="19">SUM(E11:E28)</f>
        <v>1969.53323824788</v>
      </c>
      <c r="F29" s="681">
        <f t="shared" si="19"/>
        <v>1109.24599109388</v>
      </c>
      <c r="G29" s="681">
        <f t="shared" si="19"/>
        <v>1363.2340526817</v>
      </c>
      <c r="H29" s="681">
        <f t="shared" si="19"/>
        <v>1561.9851035809</v>
      </c>
      <c r="I29" s="681">
        <f t="shared" si="19"/>
        <v>1723.73637414141</v>
      </c>
      <c r="J29" s="681">
        <f t="shared" si="19"/>
        <v>1848.98007384766</v>
      </c>
      <c r="K29" s="681">
        <f t="shared" si="19"/>
        <v>1686.4043251131</v>
      </c>
      <c r="L29" s="681">
        <f t="shared" si="19"/>
        <v>1530.37653018063</v>
      </c>
      <c r="M29" s="681">
        <f t="shared" si="19"/>
        <v>1785.03072148888</v>
      </c>
      <c r="N29" s="681">
        <f t="shared" si="19"/>
        <v>1981.29488654651</v>
      </c>
      <c r="O29" s="681">
        <f t="shared" si="19"/>
        <v>1877.26808965141</v>
      </c>
      <c r="P29" s="681">
        <f t="shared" si="19"/>
        <v>2152.61587799818</v>
      </c>
      <c r="Q29" s="681">
        <f t="shared" si="1"/>
        <v>20589.7052645721</v>
      </c>
      <c r="R29" s="686"/>
    </row>
    <row r="30" ht="15" spans="3:17">
      <c r="C30" s="44" t="s">
        <v>360</v>
      </c>
      <c r="D30" s="4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3:17">
      <c r="C31" s="682" t="s">
        <v>351</v>
      </c>
      <c r="D31" s="55" t="s">
        <v>361</v>
      </c>
      <c r="E31" s="55">
        <f t="shared" ref="E31:P31" si="20">E207+E379</f>
        <v>0</v>
      </c>
      <c r="F31" s="55">
        <f t="shared" si="20"/>
        <v>0</v>
      </c>
      <c r="G31" s="55">
        <f t="shared" si="20"/>
        <v>0</v>
      </c>
      <c r="H31" s="55">
        <f t="shared" si="20"/>
        <v>0</v>
      </c>
      <c r="I31" s="55">
        <f t="shared" si="20"/>
        <v>0</v>
      </c>
      <c r="J31" s="55">
        <f t="shared" si="20"/>
        <v>0</v>
      </c>
      <c r="K31" s="55">
        <f t="shared" si="20"/>
        <v>0</v>
      </c>
      <c r="L31" s="55">
        <f t="shared" si="20"/>
        <v>0</v>
      </c>
      <c r="M31" s="55">
        <f t="shared" si="20"/>
        <v>0</v>
      </c>
      <c r="N31" s="55">
        <f t="shared" si="20"/>
        <v>0</v>
      </c>
      <c r="O31" s="55">
        <f t="shared" si="20"/>
        <v>0</v>
      </c>
      <c r="P31" s="55">
        <f t="shared" si="20"/>
        <v>0</v>
      </c>
      <c r="Q31" s="55">
        <f t="shared" ref="Q31:Q48" si="21">SUM(E31:P31)</f>
        <v>0</v>
      </c>
    </row>
    <row r="32" spans="3:17">
      <c r="C32" s="683"/>
      <c r="D32" s="55" t="s">
        <v>362</v>
      </c>
      <c r="E32" s="55">
        <f t="shared" ref="E32:P32" si="22">E208+E380</f>
        <v>0</v>
      </c>
      <c r="F32" s="55">
        <f t="shared" si="22"/>
        <v>0</v>
      </c>
      <c r="G32" s="55">
        <f t="shared" si="22"/>
        <v>0</v>
      </c>
      <c r="H32" s="55">
        <f t="shared" si="22"/>
        <v>0</v>
      </c>
      <c r="I32" s="55">
        <f t="shared" si="22"/>
        <v>0</v>
      </c>
      <c r="J32" s="55">
        <f t="shared" si="22"/>
        <v>0</v>
      </c>
      <c r="K32" s="55">
        <f t="shared" si="22"/>
        <v>0</v>
      </c>
      <c r="L32" s="55">
        <f t="shared" si="22"/>
        <v>0</v>
      </c>
      <c r="M32" s="55">
        <f t="shared" si="22"/>
        <v>0</v>
      </c>
      <c r="N32" s="55">
        <f t="shared" si="22"/>
        <v>0</v>
      </c>
      <c r="O32" s="55">
        <f t="shared" si="22"/>
        <v>0</v>
      </c>
      <c r="P32" s="55">
        <f t="shared" si="22"/>
        <v>0</v>
      </c>
      <c r="Q32" s="55">
        <f t="shared" si="21"/>
        <v>0</v>
      </c>
    </row>
    <row r="33" spans="3:17">
      <c r="C33" s="683"/>
      <c r="D33" s="55" t="s">
        <v>363</v>
      </c>
      <c r="E33" s="55">
        <f t="shared" ref="E33:P33" si="23">E209+E381</f>
        <v>0</v>
      </c>
      <c r="F33" s="55">
        <f t="shared" si="23"/>
        <v>0</v>
      </c>
      <c r="G33" s="55">
        <f t="shared" si="23"/>
        <v>0</v>
      </c>
      <c r="H33" s="55">
        <f t="shared" si="23"/>
        <v>0</v>
      </c>
      <c r="I33" s="55">
        <f t="shared" si="23"/>
        <v>0</v>
      </c>
      <c r="J33" s="55">
        <f t="shared" si="23"/>
        <v>0</v>
      </c>
      <c r="K33" s="55">
        <f t="shared" si="23"/>
        <v>0</v>
      </c>
      <c r="L33" s="55">
        <f t="shared" si="23"/>
        <v>0</v>
      </c>
      <c r="M33" s="55">
        <f t="shared" si="23"/>
        <v>0</v>
      </c>
      <c r="N33" s="55">
        <f t="shared" si="23"/>
        <v>0</v>
      </c>
      <c r="O33" s="55">
        <f t="shared" si="23"/>
        <v>0</v>
      </c>
      <c r="P33" s="55">
        <f t="shared" si="23"/>
        <v>0</v>
      </c>
      <c r="Q33" s="55">
        <f t="shared" si="21"/>
        <v>0</v>
      </c>
    </row>
    <row r="34" spans="3:17">
      <c r="C34" s="683"/>
      <c r="D34" s="55" t="s">
        <v>364</v>
      </c>
      <c r="E34" s="55">
        <f t="shared" ref="E34:P34" si="24">E210+E382</f>
        <v>0</v>
      </c>
      <c r="F34" s="55">
        <f t="shared" si="24"/>
        <v>0</v>
      </c>
      <c r="G34" s="55">
        <f t="shared" si="24"/>
        <v>0</v>
      </c>
      <c r="H34" s="55">
        <f t="shared" si="24"/>
        <v>0</v>
      </c>
      <c r="I34" s="55">
        <f t="shared" si="24"/>
        <v>0</v>
      </c>
      <c r="J34" s="55">
        <f t="shared" si="24"/>
        <v>0</v>
      </c>
      <c r="K34" s="55">
        <f t="shared" si="24"/>
        <v>0</v>
      </c>
      <c r="L34" s="55">
        <f t="shared" si="24"/>
        <v>0</v>
      </c>
      <c r="M34" s="55">
        <f t="shared" si="24"/>
        <v>0</v>
      </c>
      <c r="N34" s="55">
        <f t="shared" si="24"/>
        <v>0</v>
      </c>
      <c r="O34" s="55">
        <f t="shared" si="24"/>
        <v>0</v>
      </c>
      <c r="P34" s="55">
        <f t="shared" si="24"/>
        <v>0</v>
      </c>
      <c r="Q34" s="55">
        <f t="shared" si="21"/>
        <v>0</v>
      </c>
    </row>
    <row r="35" spans="3:17">
      <c r="C35" s="683"/>
      <c r="D35" s="55" t="s">
        <v>365</v>
      </c>
      <c r="E35" s="55">
        <f t="shared" ref="E35:P35" si="25">E211+E383</f>
        <v>0</v>
      </c>
      <c r="F35" s="55">
        <f t="shared" si="25"/>
        <v>0</v>
      </c>
      <c r="G35" s="55">
        <f t="shared" si="25"/>
        <v>0</v>
      </c>
      <c r="H35" s="55">
        <f t="shared" si="25"/>
        <v>0</v>
      </c>
      <c r="I35" s="55">
        <f t="shared" si="25"/>
        <v>0</v>
      </c>
      <c r="J35" s="55">
        <f t="shared" si="25"/>
        <v>0</v>
      </c>
      <c r="K35" s="55">
        <f t="shared" si="25"/>
        <v>0</v>
      </c>
      <c r="L35" s="55">
        <f t="shared" si="25"/>
        <v>0</v>
      </c>
      <c r="M35" s="55">
        <f t="shared" si="25"/>
        <v>0</v>
      </c>
      <c r="N35" s="55">
        <f t="shared" si="25"/>
        <v>0</v>
      </c>
      <c r="O35" s="55">
        <f t="shared" si="25"/>
        <v>0</v>
      </c>
      <c r="P35" s="55">
        <f t="shared" si="25"/>
        <v>0</v>
      </c>
      <c r="Q35" s="55">
        <f t="shared" si="21"/>
        <v>0</v>
      </c>
    </row>
    <row r="36" spans="3:17">
      <c r="C36" s="683"/>
      <c r="D36" s="55" t="s">
        <v>366</v>
      </c>
      <c r="E36" s="55">
        <f t="shared" ref="E36:P36" si="26">E212+E384</f>
        <v>0</v>
      </c>
      <c r="F36" s="55">
        <f t="shared" si="26"/>
        <v>0</v>
      </c>
      <c r="G36" s="55">
        <f t="shared" si="26"/>
        <v>0</v>
      </c>
      <c r="H36" s="55">
        <f t="shared" si="26"/>
        <v>0</v>
      </c>
      <c r="I36" s="55">
        <f t="shared" si="26"/>
        <v>0</v>
      </c>
      <c r="J36" s="55">
        <f t="shared" si="26"/>
        <v>0</v>
      </c>
      <c r="K36" s="55">
        <f t="shared" si="26"/>
        <v>0</v>
      </c>
      <c r="L36" s="55">
        <f t="shared" si="26"/>
        <v>0</v>
      </c>
      <c r="M36" s="55">
        <f t="shared" si="26"/>
        <v>0</v>
      </c>
      <c r="N36" s="55">
        <f t="shared" si="26"/>
        <v>0</v>
      </c>
      <c r="O36" s="55">
        <f t="shared" si="26"/>
        <v>0</v>
      </c>
      <c r="P36" s="55">
        <f t="shared" si="26"/>
        <v>0</v>
      </c>
      <c r="Q36" s="55">
        <f t="shared" si="21"/>
        <v>0</v>
      </c>
    </row>
    <row r="37" spans="3:17">
      <c r="C37" s="683"/>
      <c r="D37" s="55" t="s">
        <v>367</v>
      </c>
      <c r="E37" s="55">
        <f t="shared" ref="E37:P37" si="27">E213+E385</f>
        <v>0</v>
      </c>
      <c r="F37" s="55">
        <f t="shared" si="27"/>
        <v>0</v>
      </c>
      <c r="G37" s="55">
        <f t="shared" si="27"/>
        <v>0</v>
      </c>
      <c r="H37" s="55">
        <f t="shared" si="27"/>
        <v>0</v>
      </c>
      <c r="I37" s="55">
        <f t="shared" si="27"/>
        <v>0</v>
      </c>
      <c r="J37" s="55">
        <f t="shared" si="27"/>
        <v>0</v>
      </c>
      <c r="K37" s="55">
        <f t="shared" si="27"/>
        <v>0</v>
      </c>
      <c r="L37" s="55">
        <f t="shared" si="27"/>
        <v>0</v>
      </c>
      <c r="M37" s="55">
        <f t="shared" si="27"/>
        <v>0</v>
      </c>
      <c r="N37" s="55">
        <f t="shared" si="27"/>
        <v>0</v>
      </c>
      <c r="O37" s="55">
        <f t="shared" si="27"/>
        <v>0</v>
      </c>
      <c r="P37" s="55">
        <f t="shared" si="27"/>
        <v>0</v>
      </c>
      <c r="Q37" s="55">
        <f t="shared" si="21"/>
        <v>0</v>
      </c>
    </row>
    <row r="38" spans="3:17">
      <c r="C38" s="683"/>
      <c r="D38" s="55" t="s">
        <v>368</v>
      </c>
      <c r="E38" s="55">
        <f t="shared" ref="E38:P38" si="28">E214+E386</f>
        <v>0</v>
      </c>
      <c r="F38" s="55">
        <f t="shared" si="28"/>
        <v>0</v>
      </c>
      <c r="G38" s="55">
        <f t="shared" si="28"/>
        <v>0</v>
      </c>
      <c r="H38" s="55">
        <f t="shared" si="28"/>
        <v>0</v>
      </c>
      <c r="I38" s="55">
        <f t="shared" si="28"/>
        <v>0</v>
      </c>
      <c r="J38" s="55">
        <f t="shared" si="28"/>
        <v>0</v>
      </c>
      <c r="K38" s="55">
        <f t="shared" si="28"/>
        <v>0</v>
      </c>
      <c r="L38" s="55">
        <f t="shared" si="28"/>
        <v>0</v>
      </c>
      <c r="M38" s="55">
        <f t="shared" si="28"/>
        <v>0</v>
      </c>
      <c r="N38" s="55">
        <f t="shared" si="28"/>
        <v>0</v>
      </c>
      <c r="O38" s="55">
        <f t="shared" si="28"/>
        <v>0</v>
      </c>
      <c r="P38" s="55">
        <f t="shared" si="28"/>
        <v>0</v>
      </c>
      <c r="Q38" s="55">
        <f t="shared" si="21"/>
        <v>0</v>
      </c>
    </row>
    <row r="39" spans="3:17">
      <c r="C39" s="683"/>
      <c r="D39" s="55"/>
      <c r="E39" s="55">
        <f t="shared" ref="E39:P39" si="29">E215+E387</f>
        <v>0</v>
      </c>
      <c r="F39" s="55">
        <f t="shared" si="29"/>
        <v>0</v>
      </c>
      <c r="G39" s="55">
        <f t="shared" si="29"/>
        <v>0</v>
      </c>
      <c r="H39" s="55">
        <f t="shared" si="29"/>
        <v>0</v>
      </c>
      <c r="I39" s="55">
        <f t="shared" si="29"/>
        <v>0</v>
      </c>
      <c r="J39" s="55">
        <f t="shared" si="29"/>
        <v>0</v>
      </c>
      <c r="K39" s="55">
        <f t="shared" si="29"/>
        <v>0</v>
      </c>
      <c r="L39" s="55">
        <f t="shared" si="29"/>
        <v>0</v>
      </c>
      <c r="M39" s="55">
        <f t="shared" si="29"/>
        <v>0</v>
      </c>
      <c r="N39" s="55">
        <f t="shared" si="29"/>
        <v>0</v>
      </c>
      <c r="O39" s="55">
        <f t="shared" si="29"/>
        <v>0</v>
      </c>
      <c r="P39" s="55">
        <f t="shared" si="29"/>
        <v>0</v>
      </c>
      <c r="Q39" s="55">
        <f t="shared" si="21"/>
        <v>0</v>
      </c>
    </row>
    <row r="40" spans="3:18">
      <c r="C40" s="683"/>
      <c r="D40" s="679" t="s">
        <v>493</v>
      </c>
      <c r="E40" s="55">
        <f t="shared" ref="E40:P40" si="30">($Q$49-$Q$43)/12</f>
        <v>116.81139875</v>
      </c>
      <c r="F40" s="55">
        <f t="shared" si="30"/>
        <v>116.81139875</v>
      </c>
      <c r="G40" s="55">
        <f t="shared" si="30"/>
        <v>116.81139875</v>
      </c>
      <c r="H40" s="55">
        <f t="shared" si="30"/>
        <v>116.81139875</v>
      </c>
      <c r="I40" s="55">
        <f t="shared" si="30"/>
        <v>116.81139875</v>
      </c>
      <c r="J40" s="55">
        <f t="shared" si="30"/>
        <v>116.81139875</v>
      </c>
      <c r="K40" s="55">
        <f t="shared" si="30"/>
        <v>116.81139875</v>
      </c>
      <c r="L40" s="55">
        <f t="shared" si="30"/>
        <v>116.81139875</v>
      </c>
      <c r="M40" s="55">
        <f t="shared" si="30"/>
        <v>116.81139875</v>
      </c>
      <c r="N40" s="55">
        <f t="shared" si="30"/>
        <v>116.81139875</v>
      </c>
      <c r="O40" s="55">
        <f t="shared" si="30"/>
        <v>116.81139875</v>
      </c>
      <c r="P40" s="55">
        <f t="shared" si="30"/>
        <v>116.81139875</v>
      </c>
      <c r="Q40" s="55">
        <f t="shared" si="21"/>
        <v>1401.736785</v>
      </c>
      <c r="R40" s="686"/>
    </row>
    <row r="41" spans="3:17">
      <c r="C41" s="683"/>
      <c r="D41" s="679" t="s">
        <v>494</v>
      </c>
      <c r="E41" s="55">
        <f t="shared" ref="E41:P41" si="31">E217+E389</f>
        <v>0</v>
      </c>
      <c r="F41" s="55">
        <f t="shared" si="31"/>
        <v>0</v>
      </c>
      <c r="G41" s="55">
        <f t="shared" si="31"/>
        <v>0</v>
      </c>
      <c r="H41" s="55">
        <f t="shared" si="31"/>
        <v>0</v>
      </c>
      <c r="I41" s="55">
        <f t="shared" si="31"/>
        <v>0</v>
      </c>
      <c r="J41" s="55">
        <f t="shared" si="31"/>
        <v>0</v>
      </c>
      <c r="K41" s="55">
        <f t="shared" si="31"/>
        <v>0</v>
      </c>
      <c r="L41" s="55">
        <f t="shared" si="31"/>
        <v>0</v>
      </c>
      <c r="M41" s="55">
        <f t="shared" si="31"/>
        <v>0</v>
      </c>
      <c r="N41" s="55">
        <f t="shared" si="31"/>
        <v>0</v>
      </c>
      <c r="O41" s="55">
        <f t="shared" si="31"/>
        <v>0</v>
      </c>
      <c r="P41" s="55">
        <f t="shared" si="31"/>
        <v>0</v>
      </c>
      <c r="Q41" s="55">
        <f t="shared" si="21"/>
        <v>0</v>
      </c>
    </row>
    <row r="42" spans="3:17">
      <c r="C42" s="683"/>
      <c r="D42" s="679"/>
      <c r="E42" s="55">
        <f t="shared" ref="E42:P42" si="32">E218+E390</f>
        <v>0</v>
      </c>
      <c r="F42" s="55">
        <f t="shared" si="32"/>
        <v>0</v>
      </c>
      <c r="G42" s="55">
        <f t="shared" si="32"/>
        <v>0</v>
      </c>
      <c r="H42" s="55">
        <f t="shared" si="32"/>
        <v>0</v>
      </c>
      <c r="I42" s="55">
        <f t="shared" si="32"/>
        <v>0</v>
      </c>
      <c r="J42" s="55">
        <f t="shared" si="32"/>
        <v>0</v>
      </c>
      <c r="K42" s="55">
        <f t="shared" si="32"/>
        <v>0</v>
      </c>
      <c r="L42" s="55">
        <f t="shared" si="32"/>
        <v>0</v>
      </c>
      <c r="M42" s="55">
        <f t="shared" si="32"/>
        <v>0</v>
      </c>
      <c r="N42" s="55">
        <f t="shared" si="32"/>
        <v>0</v>
      </c>
      <c r="O42" s="55">
        <f t="shared" si="32"/>
        <v>0</v>
      </c>
      <c r="P42" s="55">
        <f t="shared" si="32"/>
        <v>0</v>
      </c>
      <c r="Q42" s="55">
        <f t="shared" si="21"/>
        <v>0</v>
      </c>
    </row>
    <row r="43" spans="3:18">
      <c r="C43" s="683"/>
      <c r="D43" s="55"/>
      <c r="E43" s="55">
        <f t="shared" ref="E43:P43" si="33">E49</f>
        <v>42.6114384505844</v>
      </c>
      <c r="F43" s="55">
        <f t="shared" si="33"/>
        <v>45.6610702318074</v>
      </c>
      <c r="G43" s="55">
        <f t="shared" si="33"/>
        <v>47.3070798641664</v>
      </c>
      <c r="H43" s="55">
        <f t="shared" si="33"/>
        <v>103.423964260899</v>
      </c>
      <c r="I43" s="55">
        <f t="shared" si="33"/>
        <v>242.82058792901</v>
      </c>
      <c r="J43" s="55">
        <f t="shared" si="33"/>
        <v>122.64051240207</v>
      </c>
      <c r="K43" s="55">
        <f t="shared" si="33"/>
        <v>135.180867043305</v>
      </c>
      <c r="L43" s="55">
        <f t="shared" si="33"/>
        <v>46.3642432497133</v>
      </c>
      <c r="M43" s="55">
        <f t="shared" si="33"/>
        <v>79.5380906586358</v>
      </c>
      <c r="N43" s="55">
        <f t="shared" si="33"/>
        <v>151.769618422499</v>
      </c>
      <c r="O43" s="55">
        <f t="shared" si="33"/>
        <v>136.306084445884</v>
      </c>
      <c r="P43" s="55">
        <f t="shared" si="33"/>
        <v>63.3145580414264</v>
      </c>
      <c r="Q43" s="55">
        <f t="shared" si="21"/>
        <v>1216.938115</v>
      </c>
      <c r="R43" s="686"/>
    </row>
    <row r="44" spans="3:17">
      <c r="C44" s="683"/>
      <c r="D44" s="55"/>
      <c r="E44" s="55">
        <f t="shared" ref="E44:P44" si="34">E220+E392</f>
        <v>0</v>
      </c>
      <c r="F44" s="55">
        <f t="shared" si="34"/>
        <v>0</v>
      </c>
      <c r="G44" s="55">
        <f t="shared" si="34"/>
        <v>0</v>
      </c>
      <c r="H44" s="55">
        <f t="shared" si="34"/>
        <v>0</v>
      </c>
      <c r="I44" s="55">
        <f t="shared" si="34"/>
        <v>0</v>
      </c>
      <c r="J44" s="55">
        <f t="shared" si="34"/>
        <v>0</v>
      </c>
      <c r="K44" s="55">
        <f t="shared" si="34"/>
        <v>0</v>
      </c>
      <c r="L44" s="55">
        <f t="shared" si="34"/>
        <v>0</v>
      </c>
      <c r="M44" s="55">
        <f t="shared" si="34"/>
        <v>0</v>
      </c>
      <c r="N44" s="55">
        <f t="shared" si="34"/>
        <v>0</v>
      </c>
      <c r="O44" s="55">
        <f t="shared" si="34"/>
        <v>0</v>
      </c>
      <c r="P44" s="55">
        <f t="shared" si="34"/>
        <v>0</v>
      </c>
      <c r="Q44" s="55">
        <f t="shared" si="21"/>
        <v>0</v>
      </c>
    </row>
    <row r="45" spans="3:17">
      <c r="C45" s="683"/>
      <c r="D45" s="55"/>
      <c r="E45" s="55">
        <f t="shared" ref="E45:P45" si="35">E221+E393</f>
        <v>0</v>
      </c>
      <c r="F45" s="55">
        <f t="shared" si="35"/>
        <v>0</v>
      </c>
      <c r="G45" s="55">
        <f t="shared" si="35"/>
        <v>0</v>
      </c>
      <c r="H45" s="55">
        <f t="shared" si="35"/>
        <v>0</v>
      </c>
      <c r="I45" s="55">
        <f t="shared" si="35"/>
        <v>0</v>
      </c>
      <c r="J45" s="55">
        <f t="shared" si="35"/>
        <v>0</v>
      </c>
      <c r="K45" s="55">
        <f t="shared" si="35"/>
        <v>0</v>
      </c>
      <c r="L45" s="55">
        <f t="shared" si="35"/>
        <v>0</v>
      </c>
      <c r="M45" s="55">
        <f t="shared" si="35"/>
        <v>0</v>
      </c>
      <c r="N45" s="55">
        <f t="shared" si="35"/>
        <v>0</v>
      </c>
      <c r="O45" s="55">
        <f t="shared" si="35"/>
        <v>0</v>
      </c>
      <c r="P45" s="55">
        <f t="shared" si="35"/>
        <v>0</v>
      </c>
      <c r="Q45" s="55">
        <f t="shared" si="21"/>
        <v>0</v>
      </c>
    </row>
    <row r="46" spans="3:17">
      <c r="C46" s="683"/>
      <c r="D46" s="55"/>
      <c r="E46" s="55">
        <f t="shared" ref="E46:P46" si="36">E222+E394</f>
        <v>0</v>
      </c>
      <c r="F46" s="55">
        <f t="shared" si="36"/>
        <v>0</v>
      </c>
      <c r="G46" s="55">
        <f t="shared" si="36"/>
        <v>0</v>
      </c>
      <c r="H46" s="55">
        <f t="shared" si="36"/>
        <v>0</v>
      </c>
      <c r="I46" s="55">
        <f t="shared" si="36"/>
        <v>0</v>
      </c>
      <c r="J46" s="55">
        <f t="shared" si="36"/>
        <v>0</v>
      </c>
      <c r="K46" s="55">
        <f t="shared" si="36"/>
        <v>0</v>
      </c>
      <c r="L46" s="55">
        <f t="shared" si="36"/>
        <v>0</v>
      </c>
      <c r="M46" s="55">
        <f t="shared" si="36"/>
        <v>0</v>
      </c>
      <c r="N46" s="55">
        <f t="shared" si="36"/>
        <v>0</v>
      </c>
      <c r="O46" s="55">
        <f t="shared" si="36"/>
        <v>0</v>
      </c>
      <c r="P46" s="55">
        <f t="shared" si="36"/>
        <v>0</v>
      </c>
      <c r="Q46" s="55">
        <f t="shared" si="21"/>
        <v>0</v>
      </c>
    </row>
    <row r="47" spans="3:17">
      <c r="C47" s="683"/>
      <c r="D47" s="55"/>
      <c r="E47" s="55">
        <f t="shared" ref="E47:P47" si="37">E223+E395</f>
        <v>0</v>
      </c>
      <c r="F47" s="55">
        <f t="shared" si="37"/>
        <v>0</v>
      </c>
      <c r="G47" s="55">
        <f t="shared" si="37"/>
        <v>0</v>
      </c>
      <c r="H47" s="55">
        <f t="shared" si="37"/>
        <v>0</v>
      </c>
      <c r="I47" s="55">
        <f t="shared" si="37"/>
        <v>0</v>
      </c>
      <c r="J47" s="55">
        <f t="shared" si="37"/>
        <v>0</v>
      </c>
      <c r="K47" s="55">
        <f t="shared" si="37"/>
        <v>0</v>
      </c>
      <c r="L47" s="55">
        <f t="shared" si="37"/>
        <v>0</v>
      </c>
      <c r="M47" s="55">
        <f t="shared" si="37"/>
        <v>0</v>
      </c>
      <c r="N47" s="55">
        <f t="shared" si="37"/>
        <v>0</v>
      </c>
      <c r="O47" s="55">
        <f t="shared" si="37"/>
        <v>0</v>
      </c>
      <c r="P47" s="55">
        <f t="shared" si="37"/>
        <v>0</v>
      </c>
      <c r="Q47" s="55">
        <f t="shared" si="21"/>
        <v>0</v>
      </c>
    </row>
    <row r="48" spans="3:17">
      <c r="C48" s="684"/>
      <c r="D48" s="67"/>
      <c r="E48" s="55">
        <f t="shared" ref="E48:P48" si="38">E224+E396</f>
        <v>0</v>
      </c>
      <c r="F48" s="55">
        <f t="shared" si="38"/>
        <v>0</v>
      </c>
      <c r="G48" s="55">
        <f t="shared" si="38"/>
        <v>0</v>
      </c>
      <c r="H48" s="55">
        <f t="shared" si="38"/>
        <v>0</v>
      </c>
      <c r="I48" s="55">
        <f t="shared" si="38"/>
        <v>0</v>
      </c>
      <c r="J48" s="55">
        <f t="shared" si="38"/>
        <v>0</v>
      </c>
      <c r="K48" s="55">
        <f t="shared" si="38"/>
        <v>0</v>
      </c>
      <c r="L48" s="55">
        <f t="shared" si="38"/>
        <v>0</v>
      </c>
      <c r="M48" s="55">
        <f t="shared" si="38"/>
        <v>0</v>
      </c>
      <c r="N48" s="55">
        <f t="shared" si="38"/>
        <v>0</v>
      </c>
      <c r="O48" s="55">
        <f t="shared" si="38"/>
        <v>0</v>
      </c>
      <c r="P48" s="55">
        <f t="shared" si="38"/>
        <v>0</v>
      </c>
      <c r="Q48" s="55">
        <f t="shared" si="21"/>
        <v>0</v>
      </c>
    </row>
    <row r="49" ht="15" spans="3:18">
      <c r="C49" s="537" t="s">
        <v>211</v>
      </c>
      <c r="D49" s="540"/>
      <c r="E49" s="55">
        <f t="shared" ref="E49:Q49" si="39">E225+E397</f>
        <v>42.6114384505844</v>
      </c>
      <c r="F49" s="55">
        <f t="shared" si="39"/>
        <v>45.6610702318074</v>
      </c>
      <c r="G49" s="55">
        <f t="shared" si="39"/>
        <v>47.3070798641664</v>
      </c>
      <c r="H49" s="55">
        <f t="shared" si="39"/>
        <v>103.423964260899</v>
      </c>
      <c r="I49" s="55">
        <f t="shared" si="39"/>
        <v>242.82058792901</v>
      </c>
      <c r="J49" s="55">
        <f t="shared" si="39"/>
        <v>122.64051240207</v>
      </c>
      <c r="K49" s="55">
        <f t="shared" si="39"/>
        <v>135.180867043305</v>
      </c>
      <c r="L49" s="55">
        <f t="shared" si="39"/>
        <v>46.3642432497133</v>
      </c>
      <c r="M49" s="55">
        <f t="shared" si="39"/>
        <v>79.5380906586358</v>
      </c>
      <c r="N49" s="55">
        <f t="shared" si="39"/>
        <v>151.769618422499</v>
      </c>
      <c r="O49" s="55">
        <f t="shared" si="39"/>
        <v>136.306084445884</v>
      </c>
      <c r="P49" s="55">
        <f t="shared" si="39"/>
        <v>63.3145580414264</v>
      </c>
      <c r="Q49" s="55">
        <f t="shared" si="39"/>
        <v>2618.6749</v>
      </c>
      <c r="R49" s="686"/>
    </row>
    <row r="50" ht="15" spans="3:18">
      <c r="C50" s="44" t="s">
        <v>369</v>
      </c>
      <c r="D50" s="45"/>
      <c r="E50" s="54">
        <f t="shared" ref="E50:Q50" si="40">E29+E49</f>
        <v>2012.14467669846</v>
      </c>
      <c r="F50" s="54">
        <f t="shared" si="40"/>
        <v>1154.90706132569</v>
      </c>
      <c r="G50" s="54">
        <f t="shared" si="40"/>
        <v>1410.54113254587</v>
      </c>
      <c r="H50" s="54">
        <f t="shared" si="40"/>
        <v>1665.4090678418</v>
      </c>
      <c r="I50" s="54">
        <f t="shared" si="40"/>
        <v>1966.55696207042</v>
      </c>
      <c r="J50" s="54">
        <f t="shared" si="40"/>
        <v>1971.62058624973</v>
      </c>
      <c r="K50" s="54">
        <f t="shared" si="40"/>
        <v>1821.58519215641</v>
      </c>
      <c r="L50" s="54">
        <f t="shared" si="40"/>
        <v>1576.74077343035</v>
      </c>
      <c r="M50" s="54">
        <f t="shared" si="40"/>
        <v>1864.56881214751</v>
      </c>
      <c r="N50" s="54">
        <f t="shared" si="40"/>
        <v>2133.06450496901</v>
      </c>
      <c r="O50" s="54">
        <f t="shared" si="40"/>
        <v>2013.57417409729</v>
      </c>
      <c r="P50" s="54">
        <f t="shared" si="40"/>
        <v>2215.93043603961</v>
      </c>
      <c r="Q50" s="54">
        <f t="shared" si="40"/>
        <v>23208.3801645721</v>
      </c>
      <c r="R50" s="686"/>
    </row>
    <row r="51" ht="15" spans="3:17">
      <c r="C51" s="663" t="s">
        <v>370</v>
      </c>
      <c r="D51" s="676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ht="15" spans="3:17">
      <c r="C52" s="44" t="s">
        <v>350</v>
      </c>
      <c r="D52" s="4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</row>
    <row r="53" ht="15" customHeight="1" spans="3:17">
      <c r="C53" s="682" t="s">
        <v>371</v>
      </c>
      <c r="D53" s="55" t="s">
        <v>372</v>
      </c>
      <c r="E53" s="147">
        <f t="shared" ref="E53:P53" si="41">E229+E401</f>
        <v>57.8729261675476</v>
      </c>
      <c r="F53" s="147">
        <f t="shared" si="41"/>
        <v>74.4019118458717</v>
      </c>
      <c r="G53" s="147">
        <f t="shared" si="41"/>
        <v>75.6949066836404</v>
      </c>
      <c r="H53" s="147">
        <f t="shared" si="41"/>
        <v>62.2678747686565</v>
      </c>
      <c r="I53" s="147">
        <f t="shared" si="41"/>
        <v>50.8573305069333</v>
      </c>
      <c r="J53" s="147">
        <f t="shared" si="41"/>
        <v>54.1962395692134</v>
      </c>
      <c r="K53" s="147">
        <f t="shared" si="41"/>
        <v>52.6090597278695</v>
      </c>
      <c r="L53" s="147">
        <f t="shared" si="41"/>
        <v>73.9033510907714</v>
      </c>
      <c r="M53" s="147">
        <f t="shared" si="41"/>
        <v>49.4110590431469</v>
      </c>
      <c r="N53" s="147">
        <f t="shared" si="41"/>
        <v>49.8191643055702</v>
      </c>
      <c r="O53" s="147">
        <f t="shared" si="41"/>
        <v>58.0941652190389</v>
      </c>
      <c r="P53" s="147">
        <f t="shared" si="41"/>
        <v>74.5005362883942</v>
      </c>
      <c r="Q53" s="147">
        <f t="shared" ref="Q53:Q79" si="42">SUM(E53:P53)</f>
        <v>733.628525216654</v>
      </c>
    </row>
    <row r="54" spans="3:17">
      <c r="C54" s="683"/>
      <c r="D54" s="55" t="s">
        <v>373</v>
      </c>
      <c r="E54" s="147">
        <f t="shared" ref="E54:P54" si="43">E230+E402</f>
        <v>16.1033957714584</v>
      </c>
      <c r="F54" s="147">
        <f t="shared" si="43"/>
        <v>18.888848013008</v>
      </c>
      <c r="G54" s="147">
        <f t="shared" si="43"/>
        <v>18.279530335169</v>
      </c>
      <c r="H54" s="147">
        <f t="shared" si="43"/>
        <v>0</v>
      </c>
      <c r="I54" s="147">
        <f t="shared" si="43"/>
        <v>6.29628267100266</v>
      </c>
      <c r="J54" s="147">
        <f t="shared" si="43"/>
        <v>13.0568073822636</v>
      </c>
      <c r="K54" s="147">
        <f t="shared" si="43"/>
        <v>13.4920342950057</v>
      </c>
      <c r="L54" s="147">
        <f t="shared" si="43"/>
        <v>17.8443034224269</v>
      </c>
      <c r="M54" s="147">
        <f t="shared" si="43"/>
        <v>15.7407066775067</v>
      </c>
      <c r="N54" s="147">
        <f t="shared" si="43"/>
        <v>15.7407066775067</v>
      </c>
      <c r="O54" s="147">
        <f t="shared" si="43"/>
        <v>15.0298360533612</v>
      </c>
      <c r="P54" s="147">
        <f t="shared" si="43"/>
        <v>17.9893790600076</v>
      </c>
      <c r="Q54" s="147">
        <f t="shared" si="42"/>
        <v>168.461830358716</v>
      </c>
    </row>
    <row r="55" customHeight="1" spans="3:17">
      <c r="C55" s="683"/>
      <c r="D55" s="55" t="s">
        <v>374</v>
      </c>
      <c r="E55" s="147">
        <f t="shared" ref="E55:P55" si="44">E231+E403</f>
        <v>31.692047538012</v>
      </c>
      <c r="F55" s="147">
        <f t="shared" si="44"/>
        <v>32.5103047065382</v>
      </c>
      <c r="G55" s="147">
        <f t="shared" si="44"/>
        <v>31.692047538012</v>
      </c>
      <c r="H55" s="147">
        <f t="shared" si="44"/>
        <v>32.7484491226123</v>
      </c>
      <c r="I55" s="147">
        <f t="shared" si="44"/>
        <v>32.7484491226123</v>
      </c>
      <c r="J55" s="147">
        <f t="shared" si="44"/>
        <v>31.692047538012</v>
      </c>
      <c r="K55" s="147">
        <f t="shared" si="44"/>
        <v>30.2923154384164</v>
      </c>
      <c r="L55" s="147">
        <f t="shared" si="44"/>
        <v>23.5480474632519</v>
      </c>
      <c r="M55" s="147">
        <f t="shared" si="44"/>
        <v>20.1170459797254</v>
      </c>
      <c r="N55" s="147">
        <f t="shared" si="44"/>
        <v>28.5366142371485</v>
      </c>
      <c r="O55" s="147">
        <f t="shared" si="44"/>
        <v>29.5792443688112</v>
      </c>
      <c r="P55" s="147">
        <f t="shared" si="44"/>
        <v>32.7484491226123</v>
      </c>
      <c r="Q55" s="147">
        <f t="shared" si="42"/>
        <v>357.905062175765</v>
      </c>
    </row>
    <row r="56" spans="3:17">
      <c r="C56" s="683"/>
      <c r="D56" s="55" t="s">
        <v>375</v>
      </c>
      <c r="E56" s="147">
        <f t="shared" ref="E56:P56" si="45">E232+E404</f>
        <v>105.316779820248</v>
      </c>
      <c r="F56" s="147">
        <f t="shared" si="45"/>
        <v>127.614529310383</v>
      </c>
      <c r="G56" s="147">
        <f t="shared" si="45"/>
        <v>123.66451508433</v>
      </c>
      <c r="H56" s="147">
        <f t="shared" si="45"/>
        <v>99.5376085743499</v>
      </c>
      <c r="I56" s="147">
        <f t="shared" si="45"/>
        <v>77.7637566987108</v>
      </c>
      <c r="J56" s="147">
        <f t="shared" si="45"/>
        <v>87.2960881650044</v>
      </c>
      <c r="K56" s="147">
        <f t="shared" si="45"/>
        <v>77.255434650298</v>
      </c>
      <c r="L56" s="147">
        <f t="shared" si="45"/>
        <v>0</v>
      </c>
      <c r="M56" s="147">
        <f t="shared" si="45"/>
        <v>51.3240794211491</v>
      </c>
      <c r="N56" s="147">
        <f t="shared" si="45"/>
        <v>102.648158842298</v>
      </c>
      <c r="O56" s="147">
        <f t="shared" si="45"/>
        <v>101.143053873936</v>
      </c>
      <c r="P56" s="147">
        <f t="shared" si="45"/>
        <v>122.667521601405</v>
      </c>
      <c r="Q56" s="147">
        <f t="shared" si="42"/>
        <v>1076.23152604211</v>
      </c>
    </row>
    <row r="57" spans="3:17">
      <c r="C57" s="683"/>
      <c r="D57" s="55" t="s">
        <v>376</v>
      </c>
      <c r="E57" s="147">
        <f t="shared" ref="E57:P57" si="46">E233+E405</f>
        <v>63.2549243705778</v>
      </c>
      <c r="F57" s="147">
        <f t="shared" si="46"/>
        <v>78.289018000417</v>
      </c>
      <c r="G57" s="147">
        <f t="shared" si="46"/>
        <v>0.612867579581407</v>
      </c>
      <c r="H57" s="147">
        <f t="shared" si="46"/>
        <v>30.2037820256139</v>
      </c>
      <c r="I57" s="147">
        <f t="shared" si="46"/>
        <v>47.1121479572025</v>
      </c>
      <c r="J57" s="147">
        <f t="shared" si="46"/>
        <v>53.1753932060849</v>
      </c>
      <c r="K57" s="147">
        <f t="shared" si="46"/>
        <v>49.8139654726371</v>
      </c>
      <c r="L57" s="147">
        <f t="shared" si="46"/>
        <v>73.9935626776059</v>
      </c>
      <c r="M57" s="147">
        <f t="shared" si="46"/>
        <v>63.4764749940928</v>
      </c>
      <c r="N57" s="147">
        <f t="shared" si="46"/>
        <v>61.6441286245237</v>
      </c>
      <c r="O57" s="147">
        <f t="shared" si="46"/>
        <v>60.749242098938</v>
      </c>
      <c r="P57" s="147">
        <f t="shared" si="46"/>
        <v>74.590153694663</v>
      </c>
      <c r="Q57" s="147">
        <f t="shared" si="42"/>
        <v>656.915660701938</v>
      </c>
    </row>
    <row r="58" customHeight="1" spans="3:17">
      <c r="C58" s="683"/>
      <c r="D58" s="55" t="s">
        <v>377</v>
      </c>
      <c r="E58" s="147">
        <f t="shared" ref="E58:P58" si="47">E234+E406</f>
        <v>74.4276149543016</v>
      </c>
      <c r="F58" s="147">
        <f t="shared" si="47"/>
        <v>90.4806299444449</v>
      </c>
      <c r="G58" s="147">
        <f t="shared" si="47"/>
        <v>57.9757972587518</v>
      </c>
      <c r="H58" s="147">
        <f t="shared" si="47"/>
        <v>56.5439718351462</v>
      </c>
      <c r="I58" s="147">
        <f t="shared" si="47"/>
        <v>56.5503937152781</v>
      </c>
      <c r="J58" s="147">
        <f t="shared" si="47"/>
        <v>61.293329962366</v>
      </c>
      <c r="K58" s="147">
        <f t="shared" si="47"/>
        <v>54.288377966667</v>
      </c>
      <c r="L58" s="147">
        <f t="shared" si="47"/>
        <v>58.539129760045</v>
      </c>
      <c r="M58" s="147">
        <f t="shared" si="47"/>
        <v>54.743828110083</v>
      </c>
      <c r="N58" s="147">
        <f t="shared" si="47"/>
        <v>67.8012720322941</v>
      </c>
      <c r="O58" s="147">
        <f t="shared" si="47"/>
        <v>71.5088849560938</v>
      </c>
      <c r="P58" s="147">
        <f t="shared" si="47"/>
        <v>88.2186141958342</v>
      </c>
      <c r="Q58" s="147">
        <f t="shared" si="42"/>
        <v>792.371844691306</v>
      </c>
    </row>
    <row r="59" spans="3:17">
      <c r="C59" s="683"/>
      <c r="D59" s="55" t="s">
        <v>378</v>
      </c>
      <c r="E59" s="147">
        <f t="shared" ref="E59:P59" si="48">E235+E407</f>
        <v>6.86098203844723</v>
      </c>
      <c r="F59" s="147">
        <f t="shared" si="48"/>
        <v>8.34080169379859</v>
      </c>
      <c r="G59" s="147">
        <f t="shared" si="48"/>
        <v>8.0717435746438</v>
      </c>
      <c r="H59" s="147">
        <f t="shared" si="48"/>
        <v>6.60625251010629</v>
      </c>
      <c r="I59" s="147">
        <f t="shared" si="48"/>
        <v>5.21300105862413</v>
      </c>
      <c r="J59" s="147">
        <f t="shared" si="48"/>
        <v>5.65022050225067</v>
      </c>
      <c r="K59" s="147">
        <f t="shared" si="48"/>
        <v>5.00448101627917</v>
      </c>
      <c r="L59" s="147">
        <f t="shared" si="48"/>
        <v>8.2735371640099</v>
      </c>
      <c r="M59" s="147">
        <f t="shared" si="48"/>
        <v>6.46412131269391</v>
      </c>
      <c r="N59" s="147">
        <f t="shared" si="48"/>
        <v>6.67264135503888</v>
      </c>
      <c r="O59" s="147">
        <f t="shared" si="48"/>
        <v>6.59192391929244</v>
      </c>
      <c r="P59" s="147">
        <f t="shared" si="48"/>
        <v>8.13228165145363</v>
      </c>
      <c r="Q59" s="147">
        <f t="shared" si="42"/>
        <v>81.8819877966386</v>
      </c>
    </row>
    <row r="60" spans="3:17">
      <c r="C60" s="683"/>
      <c r="D60" s="55" t="s">
        <v>379</v>
      </c>
      <c r="E60" s="147">
        <f t="shared" ref="E60:P60" si="49">E236+E408</f>
        <v>39.6040810797499</v>
      </c>
      <c r="F60" s="147">
        <f t="shared" si="49"/>
        <v>48.1461377832254</v>
      </c>
      <c r="G60" s="147">
        <f t="shared" si="49"/>
        <v>46.5930365644117</v>
      </c>
      <c r="H60" s="147">
        <f t="shared" si="49"/>
        <v>34.9059498928384</v>
      </c>
      <c r="I60" s="147">
        <f t="shared" si="49"/>
        <v>30.0913361145159</v>
      </c>
      <c r="J60" s="147">
        <f t="shared" si="49"/>
        <v>31.375434966455</v>
      </c>
      <c r="K60" s="147">
        <f t="shared" si="49"/>
        <v>28.8876826699352</v>
      </c>
      <c r="L60" s="147">
        <f t="shared" si="49"/>
        <v>46.5930365644117</v>
      </c>
      <c r="M60" s="147">
        <f t="shared" si="49"/>
        <v>33.7758110332138</v>
      </c>
      <c r="N60" s="147">
        <f t="shared" si="49"/>
        <v>33.7870609611634</v>
      </c>
      <c r="O60" s="147">
        <f t="shared" si="49"/>
        <v>38.0509798609362</v>
      </c>
      <c r="P60" s="147">
        <f t="shared" si="49"/>
        <v>45.7541921902208</v>
      </c>
      <c r="Q60" s="147">
        <f t="shared" si="42"/>
        <v>457.564739681077</v>
      </c>
    </row>
    <row r="61" spans="3:17">
      <c r="C61" s="684"/>
      <c r="D61" s="685" t="s">
        <v>380</v>
      </c>
      <c r="E61" s="147">
        <f t="shared" ref="E61:P61" si="50">E237+E409</f>
        <v>173.948437459214</v>
      </c>
      <c r="F61" s="147">
        <f t="shared" si="50"/>
        <v>179.746718707854</v>
      </c>
      <c r="G61" s="147">
        <f t="shared" si="50"/>
        <v>173.948437459214</v>
      </c>
      <c r="H61" s="147">
        <f t="shared" si="50"/>
        <v>183.436162409441</v>
      </c>
      <c r="I61" s="147">
        <f t="shared" si="50"/>
        <v>146.787402939042</v>
      </c>
      <c r="J61" s="147">
        <f t="shared" si="50"/>
        <v>159.258705604317</v>
      </c>
      <c r="K61" s="147">
        <f t="shared" si="50"/>
        <v>139.700795335411</v>
      </c>
      <c r="L61" s="147">
        <f t="shared" si="50"/>
        <v>173.948437459214</v>
      </c>
      <c r="M61" s="147">
        <f t="shared" si="50"/>
        <v>172.151786931466</v>
      </c>
      <c r="N61" s="147">
        <f t="shared" si="50"/>
        <v>156.883775257348</v>
      </c>
      <c r="O61" s="147">
        <f t="shared" si="50"/>
        <v>155.49193658326</v>
      </c>
      <c r="P61" s="147">
        <f t="shared" si="50"/>
        <v>191.139116372437</v>
      </c>
      <c r="Q61" s="147">
        <f t="shared" si="42"/>
        <v>2006.44171251822</v>
      </c>
    </row>
    <row r="62" spans="3:17">
      <c r="C62" s="55"/>
      <c r="D62" s="685" t="s">
        <v>450</v>
      </c>
      <c r="E62" s="147">
        <f t="shared" ref="E62:P62" si="51">E238+E410</f>
        <v>174.320760490352</v>
      </c>
      <c r="F62" s="147">
        <f t="shared" si="51"/>
        <v>180.90283571037</v>
      </c>
      <c r="G62" s="147">
        <f t="shared" si="51"/>
        <v>175.067260364874</v>
      </c>
      <c r="H62" s="147">
        <f t="shared" si="51"/>
        <v>175.054831179185</v>
      </c>
      <c r="I62" s="147">
        <f t="shared" si="51"/>
        <v>144.132956774773</v>
      </c>
      <c r="J62" s="147">
        <f t="shared" si="51"/>
        <v>153.405130500424</v>
      </c>
      <c r="K62" s="147">
        <f t="shared" si="51"/>
        <v>138.34502779226</v>
      </c>
      <c r="L62" s="147">
        <f t="shared" si="51"/>
        <v>175.067260364874</v>
      </c>
      <c r="M62" s="147">
        <f t="shared" si="51"/>
        <v>168.55033166614</v>
      </c>
      <c r="N62" s="147">
        <f t="shared" si="51"/>
        <v>154.149599443343</v>
      </c>
      <c r="O62" s="147">
        <f t="shared" si="51"/>
        <v>156.385665580206</v>
      </c>
      <c r="P62" s="147">
        <f t="shared" si="51"/>
        <v>191.821820501554</v>
      </c>
      <c r="Q62" s="147">
        <f t="shared" si="42"/>
        <v>1987.20348036835</v>
      </c>
    </row>
    <row r="63" spans="3:17">
      <c r="C63" s="55"/>
      <c r="D63" s="55" t="s">
        <v>381</v>
      </c>
      <c r="E63" s="147">
        <f t="shared" ref="E63:P63" si="52">E239+E411</f>
        <v>1.38970797055797</v>
      </c>
      <c r="F63" s="147">
        <f t="shared" si="52"/>
        <v>1.68944890538428</v>
      </c>
      <c r="G63" s="147">
        <f t="shared" si="52"/>
        <v>1.63495055359758</v>
      </c>
      <c r="H63" s="147">
        <f t="shared" si="52"/>
        <v>1.22485045640356</v>
      </c>
      <c r="I63" s="147">
        <f t="shared" si="52"/>
        <v>1.05590556586516</v>
      </c>
      <c r="J63" s="147">
        <f t="shared" si="52"/>
        <v>1.06271785983848</v>
      </c>
      <c r="K63" s="147">
        <f t="shared" si="52"/>
        <v>1.01366934323056</v>
      </c>
      <c r="L63" s="147">
        <f t="shared" si="52"/>
        <v>1.63495055359758</v>
      </c>
      <c r="M63" s="147">
        <f t="shared" si="52"/>
        <v>1.18261423376896</v>
      </c>
      <c r="N63" s="147">
        <f t="shared" si="52"/>
        <v>1.14037801113436</v>
      </c>
      <c r="O63" s="147">
        <f t="shared" si="52"/>
        <v>1.33520961877137</v>
      </c>
      <c r="P63" s="147">
        <f t="shared" si="52"/>
        <v>1.56274023748036</v>
      </c>
      <c r="Q63" s="147">
        <f t="shared" si="42"/>
        <v>15.9271433096302</v>
      </c>
    </row>
    <row r="64" spans="3:17">
      <c r="C64" s="55"/>
      <c r="D64" s="55" t="s">
        <v>382</v>
      </c>
      <c r="E64" s="147">
        <f t="shared" ref="E64:P64" si="53">E240+E412</f>
        <v>1.12043463342479</v>
      </c>
      <c r="F64" s="147">
        <f t="shared" si="53"/>
        <v>1.13431389127127</v>
      </c>
      <c r="G64" s="147">
        <f t="shared" si="53"/>
        <v>1.12043463342479</v>
      </c>
      <c r="H64" s="147">
        <f t="shared" si="53"/>
        <v>1.20471958107431</v>
      </c>
      <c r="I64" s="147">
        <f t="shared" si="53"/>
        <v>1.01697107493286</v>
      </c>
      <c r="J64" s="147">
        <f t="shared" si="53"/>
        <v>1.14314614626448</v>
      </c>
      <c r="K64" s="147">
        <f t="shared" si="53"/>
        <v>1.04043963820054</v>
      </c>
      <c r="L64" s="147">
        <f t="shared" si="53"/>
        <v>1.12043463342479</v>
      </c>
      <c r="M64" s="147">
        <f t="shared" si="53"/>
        <v>1.13431389127127</v>
      </c>
      <c r="N64" s="147">
        <f t="shared" si="53"/>
        <v>1.15778245453895</v>
      </c>
      <c r="O64" s="147">
        <f t="shared" si="53"/>
        <v>1.08813381516389</v>
      </c>
      <c r="P64" s="147">
        <f t="shared" si="53"/>
        <v>1.25165670760967</v>
      </c>
      <c r="Q64" s="147">
        <f t="shared" si="42"/>
        <v>13.5327811006016</v>
      </c>
    </row>
    <row r="65" spans="3:17">
      <c r="C65" s="55"/>
      <c r="D65" s="55" t="s">
        <v>383</v>
      </c>
      <c r="E65" s="147">
        <f t="shared" ref="E65:P65" si="54">E241+E413</f>
        <v>0.123115483319074</v>
      </c>
      <c r="F65" s="147">
        <f t="shared" si="54"/>
        <v>0.149669803250647</v>
      </c>
      <c r="G65" s="147">
        <f t="shared" si="54"/>
        <v>0.144841745081261</v>
      </c>
      <c r="H65" s="147">
        <f t="shared" si="54"/>
        <v>0.108510607356716</v>
      </c>
      <c r="I65" s="147">
        <f t="shared" si="54"/>
        <v>0.0935436270316535</v>
      </c>
      <c r="J65" s="147">
        <f t="shared" si="54"/>
        <v>0.0941471343028249</v>
      </c>
      <c r="K65" s="147">
        <f t="shared" si="54"/>
        <v>0.0898018819503879</v>
      </c>
      <c r="L65" s="147">
        <f t="shared" si="54"/>
        <v>0.144841745081261</v>
      </c>
      <c r="M65" s="147">
        <f t="shared" si="54"/>
        <v>0.10476886227545</v>
      </c>
      <c r="N65" s="147">
        <f t="shared" si="54"/>
        <v>0.101027117194185</v>
      </c>
      <c r="O65" s="147">
        <f t="shared" si="54"/>
        <v>0.118287425149699</v>
      </c>
      <c r="P65" s="147">
        <f t="shared" si="54"/>
        <v>0.13844456800684</v>
      </c>
      <c r="Q65" s="147">
        <f t="shared" si="42"/>
        <v>1.411</v>
      </c>
    </row>
    <row r="66" spans="3:17">
      <c r="C66" s="55"/>
      <c r="D66" s="55" t="s">
        <v>384</v>
      </c>
      <c r="E66" s="147">
        <f t="shared" ref="E66:P66" si="55">E242+E414</f>
        <v>7.87832619576535</v>
      </c>
      <c r="F66" s="147">
        <f t="shared" si="55"/>
        <v>8.14093706895753</v>
      </c>
      <c r="G66" s="147">
        <f t="shared" si="55"/>
        <v>7.87832619576535</v>
      </c>
      <c r="H66" s="147">
        <f t="shared" si="55"/>
        <v>8.80101304752166</v>
      </c>
      <c r="I66" s="147">
        <f t="shared" si="55"/>
        <v>7.31584209575238</v>
      </c>
      <c r="J66" s="147">
        <f t="shared" si="55"/>
        <v>8.51710940082741</v>
      </c>
      <c r="K66" s="147">
        <f t="shared" si="55"/>
        <v>7.64588008503444</v>
      </c>
      <c r="L66" s="147">
        <f t="shared" si="55"/>
        <v>7.87832619576535</v>
      </c>
      <c r="M66" s="147">
        <f t="shared" si="55"/>
        <v>8.14093706895753</v>
      </c>
      <c r="N66" s="147">
        <f t="shared" si="55"/>
        <v>8.14093706895753</v>
      </c>
      <c r="O66" s="147">
        <f t="shared" si="55"/>
        <v>7.94930210743891</v>
      </c>
      <c r="P66" s="147">
        <f t="shared" si="55"/>
        <v>8.80101304752166</v>
      </c>
      <c r="Q66" s="147">
        <f t="shared" si="42"/>
        <v>97.0879495782651</v>
      </c>
    </row>
    <row r="67" spans="3:17">
      <c r="C67" s="55"/>
      <c r="D67" s="55" t="s">
        <v>385</v>
      </c>
      <c r="E67" s="147">
        <f t="shared" ref="E67:P67" si="56">E243+E415</f>
        <v>4.465398786461</v>
      </c>
      <c r="F67" s="147">
        <f t="shared" si="56"/>
        <v>4.61424541267637</v>
      </c>
      <c r="G67" s="147">
        <f t="shared" si="56"/>
        <v>4.465398786461</v>
      </c>
      <c r="H67" s="147">
        <f t="shared" si="56"/>
        <v>4.98837341910958</v>
      </c>
      <c r="I67" s="147">
        <f t="shared" si="56"/>
        <v>4.14658540463484</v>
      </c>
      <c r="J67" s="147">
        <f t="shared" si="56"/>
        <v>4.8274581475254</v>
      </c>
      <c r="K67" s="147">
        <f t="shared" si="56"/>
        <v>4.33364940785145</v>
      </c>
      <c r="L67" s="147">
        <f t="shared" si="56"/>
        <v>4.465398786461</v>
      </c>
      <c r="M67" s="147">
        <f t="shared" si="56"/>
        <v>4.61424541267637</v>
      </c>
      <c r="N67" s="147">
        <f t="shared" si="56"/>
        <v>4.61424541267637</v>
      </c>
      <c r="O67" s="147">
        <f t="shared" si="56"/>
        <v>4.50562760435704</v>
      </c>
      <c r="P67" s="147">
        <f t="shared" si="56"/>
        <v>4.98837341910958</v>
      </c>
      <c r="Q67" s="147">
        <f t="shared" si="42"/>
        <v>55.029</v>
      </c>
    </row>
    <row r="68" spans="3:17">
      <c r="C68" s="55"/>
      <c r="D68" s="55" t="s">
        <v>386</v>
      </c>
      <c r="E68" s="147">
        <f t="shared" ref="E68:P68" si="57">E244+E416</f>
        <v>24.8151023306854</v>
      </c>
      <c r="F68" s="147">
        <f t="shared" si="57"/>
        <v>19.400533554226</v>
      </c>
      <c r="G68" s="147">
        <f t="shared" si="57"/>
        <v>23.4584168234416</v>
      </c>
      <c r="H68" s="147">
        <f t="shared" si="57"/>
        <v>23.8200101183671</v>
      </c>
      <c r="I68" s="147">
        <f t="shared" si="57"/>
        <v>18.9780989511996</v>
      </c>
      <c r="J68" s="147">
        <f t="shared" si="57"/>
        <v>20.7476791489636</v>
      </c>
      <c r="K68" s="147">
        <f t="shared" si="57"/>
        <v>18.8638877100792</v>
      </c>
      <c r="L68" s="147">
        <f t="shared" si="57"/>
        <v>27.6951068535257</v>
      </c>
      <c r="M68" s="147">
        <f t="shared" si="57"/>
        <v>23.7441938446425</v>
      </c>
      <c r="N68" s="147">
        <f t="shared" si="57"/>
        <v>23.491438196377</v>
      </c>
      <c r="O68" s="147">
        <f t="shared" si="57"/>
        <v>23.0812313455994</v>
      </c>
      <c r="P68" s="147">
        <f t="shared" si="57"/>
        <v>28.5653593766811</v>
      </c>
      <c r="Q68" s="147">
        <f t="shared" si="42"/>
        <v>276.661058253788</v>
      </c>
    </row>
    <row r="69" spans="3:17">
      <c r="C69" s="55"/>
      <c r="D69" s="55" t="s">
        <v>387</v>
      </c>
      <c r="E69" s="147">
        <f t="shared" ref="E69:P69" si="58">E245+E417</f>
        <v>22.4424726314837</v>
      </c>
      <c r="F69" s="147">
        <f t="shared" si="58"/>
        <v>0</v>
      </c>
      <c r="G69" s="147">
        <f t="shared" si="58"/>
        <v>11.4634212721967</v>
      </c>
      <c r="H69" s="147">
        <f t="shared" si="58"/>
        <v>22.1221925634842</v>
      </c>
      <c r="I69" s="147">
        <f t="shared" si="58"/>
        <v>18.1853992857994</v>
      </c>
      <c r="J69" s="147">
        <f t="shared" si="58"/>
        <v>19.0518832411156</v>
      </c>
      <c r="K69" s="147">
        <f t="shared" si="58"/>
        <v>17.684883709126</v>
      </c>
      <c r="L69" s="147">
        <f t="shared" si="58"/>
        <v>22.9268425443934</v>
      </c>
      <c r="M69" s="147">
        <f t="shared" si="58"/>
        <v>20.8060836619143</v>
      </c>
      <c r="N69" s="147">
        <f t="shared" si="58"/>
        <v>20.1874615924929</v>
      </c>
      <c r="O69" s="147">
        <f t="shared" si="58"/>
        <v>19.7305153237638</v>
      </c>
      <c r="P69" s="147">
        <f t="shared" si="58"/>
        <v>24.6921017825532</v>
      </c>
      <c r="Q69" s="147">
        <f t="shared" si="42"/>
        <v>219.293257608323</v>
      </c>
    </row>
    <row r="70" spans="3:17">
      <c r="C70" s="55"/>
      <c r="D70" s="55"/>
      <c r="E70" s="147">
        <f t="shared" ref="E70:P70" si="59">E246+E419</f>
        <v>0</v>
      </c>
      <c r="F70" s="147">
        <f t="shared" si="59"/>
        <v>0</v>
      </c>
      <c r="G70" s="147">
        <f t="shared" si="59"/>
        <v>0</v>
      </c>
      <c r="H70" s="147">
        <f t="shared" si="59"/>
        <v>0</v>
      </c>
      <c r="I70" s="147">
        <f t="shared" si="59"/>
        <v>0</v>
      </c>
      <c r="J70" s="147">
        <f t="shared" si="59"/>
        <v>0</v>
      </c>
      <c r="K70" s="147">
        <f t="shared" si="59"/>
        <v>0</v>
      </c>
      <c r="L70" s="147">
        <f t="shared" si="59"/>
        <v>0</v>
      </c>
      <c r="M70" s="147">
        <f t="shared" si="59"/>
        <v>0</v>
      </c>
      <c r="N70" s="147">
        <f t="shared" si="59"/>
        <v>0</v>
      </c>
      <c r="O70" s="147">
        <f t="shared" si="59"/>
        <v>0</v>
      </c>
      <c r="P70" s="147">
        <f t="shared" si="59"/>
        <v>0</v>
      </c>
      <c r="Q70" s="147">
        <f t="shared" si="42"/>
        <v>0</v>
      </c>
    </row>
    <row r="71" spans="3:17">
      <c r="C71" s="55"/>
      <c r="D71" s="55"/>
      <c r="E71" s="147">
        <f t="shared" ref="E71:P71" si="60">E247+E420</f>
        <v>0</v>
      </c>
      <c r="F71" s="147">
        <f t="shared" si="60"/>
        <v>0</v>
      </c>
      <c r="G71" s="147">
        <f t="shared" si="60"/>
        <v>0</v>
      </c>
      <c r="H71" s="147">
        <f t="shared" si="60"/>
        <v>0</v>
      </c>
      <c r="I71" s="147">
        <f t="shared" si="60"/>
        <v>0</v>
      </c>
      <c r="J71" s="147">
        <f t="shared" si="60"/>
        <v>0</v>
      </c>
      <c r="K71" s="147">
        <f t="shared" si="60"/>
        <v>0</v>
      </c>
      <c r="L71" s="147">
        <f t="shared" si="60"/>
        <v>0</v>
      </c>
      <c r="M71" s="147">
        <f t="shared" si="60"/>
        <v>0</v>
      </c>
      <c r="N71" s="147">
        <f t="shared" si="60"/>
        <v>0</v>
      </c>
      <c r="O71" s="147">
        <f t="shared" si="60"/>
        <v>0</v>
      </c>
      <c r="P71" s="147">
        <f t="shared" si="60"/>
        <v>0</v>
      </c>
      <c r="Q71" s="147">
        <f t="shared" si="42"/>
        <v>0</v>
      </c>
    </row>
    <row r="72" spans="3:17">
      <c r="C72" s="55"/>
      <c r="D72" s="55"/>
      <c r="E72" s="147">
        <f t="shared" ref="E72:P72" si="61">E248+E421</f>
        <v>0</v>
      </c>
      <c r="F72" s="147">
        <f t="shared" si="61"/>
        <v>0</v>
      </c>
      <c r="G72" s="147">
        <f t="shared" si="61"/>
        <v>0</v>
      </c>
      <c r="H72" s="147">
        <f t="shared" si="61"/>
        <v>0</v>
      </c>
      <c r="I72" s="147">
        <f t="shared" si="61"/>
        <v>0</v>
      </c>
      <c r="J72" s="147">
        <f t="shared" si="61"/>
        <v>0</v>
      </c>
      <c r="K72" s="147">
        <f t="shared" si="61"/>
        <v>0</v>
      </c>
      <c r="L72" s="147">
        <f t="shared" si="61"/>
        <v>0</v>
      </c>
      <c r="M72" s="147">
        <f t="shared" si="61"/>
        <v>0</v>
      </c>
      <c r="N72" s="147">
        <f t="shared" si="61"/>
        <v>0</v>
      </c>
      <c r="O72" s="147">
        <f t="shared" si="61"/>
        <v>0</v>
      </c>
      <c r="P72" s="147">
        <f t="shared" si="61"/>
        <v>0</v>
      </c>
      <c r="Q72" s="147">
        <f t="shared" si="42"/>
        <v>0</v>
      </c>
    </row>
    <row r="73" spans="3:17">
      <c r="C73" s="55"/>
      <c r="D73" s="55"/>
      <c r="E73" s="147">
        <f t="shared" ref="E73:P73" si="62">E249+E422</f>
        <v>0</v>
      </c>
      <c r="F73" s="147">
        <f t="shared" si="62"/>
        <v>0</v>
      </c>
      <c r="G73" s="147">
        <f t="shared" si="62"/>
        <v>0</v>
      </c>
      <c r="H73" s="147">
        <f t="shared" si="62"/>
        <v>0</v>
      </c>
      <c r="I73" s="147">
        <f t="shared" si="62"/>
        <v>0</v>
      </c>
      <c r="J73" s="147">
        <f t="shared" si="62"/>
        <v>0</v>
      </c>
      <c r="K73" s="147">
        <f t="shared" si="62"/>
        <v>0</v>
      </c>
      <c r="L73" s="147">
        <f t="shared" si="62"/>
        <v>0</v>
      </c>
      <c r="M73" s="147">
        <f t="shared" si="62"/>
        <v>0</v>
      </c>
      <c r="N73" s="147">
        <f t="shared" si="62"/>
        <v>0</v>
      </c>
      <c r="O73" s="147">
        <f t="shared" si="62"/>
        <v>0</v>
      </c>
      <c r="P73" s="147">
        <f t="shared" si="62"/>
        <v>0</v>
      </c>
      <c r="Q73" s="147">
        <f t="shared" si="42"/>
        <v>0</v>
      </c>
    </row>
    <row r="74" spans="3:17">
      <c r="C74" s="55"/>
      <c r="D74" s="55"/>
      <c r="E74" s="147">
        <f t="shared" ref="E74:P74" si="63">E250+E423</f>
        <v>0</v>
      </c>
      <c r="F74" s="147">
        <f t="shared" si="63"/>
        <v>0</v>
      </c>
      <c r="G74" s="147">
        <f t="shared" si="63"/>
        <v>0</v>
      </c>
      <c r="H74" s="147">
        <f t="shared" si="63"/>
        <v>0</v>
      </c>
      <c r="I74" s="147">
        <f t="shared" si="63"/>
        <v>0</v>
      </c>
      <c r="J74" s="147">
        <f t="shared" si="63"/>
        <v>0</v>
      </c>
      <c r="K74" s="147">
        <f t="shared" si="63"/>
        <v>0</v>
      </c>
      <c r="L74" s="147">
        <f t="shared" si="63"/>
        <v>0</v>
      </c>
      <c r="M74" s="147">
        <f t="shared" si="63"/>
        <v>0</v>
      </c>
      <c r="N74" s="147">
        <f t="shared" si="63"/>
        <v>0</v>
      </c>
      <c r="O74" s="147">
        <f t="shared" si="63"/>
        <v>0</v>
      </c>
      <c r="P74" s="147">
        <f t="shared" si="63"/>
        <v>0</v>
      </c>
      <c r="Q74" s="147">
        <f t="shared" si="42"/>
        <v>0</v>
      </c>
    </row>
    <row r="75" spans="3:17">
      <c r="C75" s="55"/>
      <c r="D75" s="55"/>
      <c r="E75" s="147">
        <f t="shared" ref="E75:P75" si="64">E251+E424</f>
        <v>0</v>
      </c>
      <c r="F75" s="147">
        <f t="shared" si="64"/>
        <v>0</v>
      </c>
      <c r="G75" s="147">
        <f t="shared" si="64"/>
        <v>0</v>
      </c>
      <c r="H75" s="147">
        <f t="shared" si="64"/>
        <v>0</v>
      </c>
      <c r="I75" s="147">
        <f t="shared" si="64"/>
        <v>0</v>
      </c>
      <c r="J75" s="147">
        <f t="shared" si="64"/>
        <v>0</v>
      </c>
      <c r="K75" s="147">
        <f t="shared" si="64"/>
        <v>0</v>
      </c>
      <c r="L75" s="147">
        <f t="shared" si="64"/>
        <v>0</v>
      </c>
      <c r="M75" s="147">
        <f t="shared" si="64"/>
        <v>0</v>
      </c>
      <c r="N75" s="147">
        <f t="shared" si="64"/>
        <v>0</v>
      </c>
      <c r="O75" s="147">
        <f t="shared" si="64"/>
        <v>0</v>
      </c>
      <c r="P75" s="147">
        <f t="shared" si="64"/>
        <v>0</v>
      </c>
      <c r="Q75" s="147">
        <f t="shared" si="42"/>
        <v>0</v>
      </c>
    </row>
    <row r="76" spans="3:17">
      <c r="C76" s="55"/>
      <c r="D76" s="55"/>
      <c r="E76" s="147">
        <f t="shared" ref="E76:P76" si="65">E252+E425</f>
        <v>0</v>
      </c>
      <c r="F76" s="147">
        <f t="shared" si="65"/>
        <v>0</v>
      </c>
      <c r="G76" s="147">
        <f t="shared" si="65"/>
        <v>0</v>
      </c>
      <c r="H76" s="147">
        <f t="shared" si="65"/>
        <v>0</v>
      </c>
      <c r="I76" s="147">
        <f t="shared" si="65"/>
        <v>0</v>
      </c>
      <c r="J76" s="147">
        <f t="shared" si="65"/>
        <v>0</v>
      </c>
      <c r="K76" s="147">
        <f t="shared" si="65"/>
        <v>0</v>
      </c>
      <c r="L76" s="147">
        <f t="shared" si="65"/>
        <v>0</v>
      </c>
      <c r="M76" s="147">
        <f t="shared" si="65"/>
        <v>0</v>
      </c>
      <c r="N76" s="147">
        <f t="shared" si="65"/>
        <v>0</v>
      </c>
      <c r="O76" s="147">
        <f t="shared" si="65"/>
        <v>0</v>
      </c>
      <c r="P76" s="147">
        <f t="shared" si="65"/>
        <v>0</v>
      </c>
      <c r="Q76" s="147">
        <f t="shared" si="42"/>
        <v>0</v>
      </c>
    </row>
    <row r="77" spans="3:17">
      <c r="C77" s="55"/>
      <c r="D77" s="55"/>
      <c r="E77" s="147">
        <f t="shared" ref="E77:P77" si="66">E253+E426</f>
        <v>0</v>
      </c>
      <c r="F77" s="147">
        <f t="shared" si="66"/>
        <v>0</v>
      </c>
      <c r="G77" s="147">
        <f t="shared" si="66"/>
        <v>0</v>
      </c>
      <c r="H77" s="147">
        <f t="shared" si="66"/>
        <v>0</v>
      </c>
      <c r="I77" s="147">
        <f t="shared" si="66"/>
        <v>0</v>
      </c>
      <c r="J77" s="147">
        <f t="shared" si="66"/>
        <v>0</v>
      </c>
      <c r="K77" s="147">
        <f t="shared" si="66"/>
        <v>0</v>
      </c>
      <c r="L77" s="147">
        <f t="shared" si="66"/>
        <v>0</v>
      </c>
      <c r="M77" s="147">
        <f t="shared" si="66"/>
        <v>0</v>
      </c>
      <c r="N77" s="147">
        <f t="shared" si="66"/>
        <v>0</v>
      </c>
      <c r="O77" s="147">
        <f t="shared" si="66"/>
        <v>0</v>
      </c>
      <c r="P77" s="147">
        <f t="shared" si="66"/>
        <v>0</v>
      </c>
      <c r="Q77" s="147">
        <f t="shared" si="42"/>
        <v>0</v>
      </c>
    </row>
    <row r="78" spans="3:17">
      <c r="C78" s="55"/>
      <c r="D78" s="55"/>
      <c r="E78" s="147">
        <f t="shared" ref="E78:P78" si="67">E254+E427</f>
        <v>0</v>
      </c>
      <c r="F78" s="147">
        <f t="shared" si="67"/>
        <v>0</v>
      </c>
      <c r="G78" s="147">
        <f t="shared" si="67"/>
        <v>0</v>
      </c>
      <c r="H78" s="147">
        <f t="shared" si="67"/>
        <v>0</v>
      </c>
      <c r="I78" s="147">
        <f t="shared" si="67"/>
        <v>0</v>
      </c>
      <c r="J78" s="147">
        <f t="shared" si="67"/>
        <v>0</v>
      </c>
      <c r="K78" s="147">
        <f t="shared" si="67"/>
        <v>0</v>
      </c>
      <c r="L78" s="147">
        <f t="shared" si="67"/>
        <v>0</v>
      </c>
      <c r="M78" s="147">
        <f t="shared" si="67"/>
        <v>0</v>
      </c>
      <c r="N78" s="147">
        <f t="shared" si="67"/>
        <v>0</v>
      </c>
      <c r="O78" s="147">
        <f t="shared" si="67"/>
        <v>0</v>
      </c>
      <c r="P78" s="147">
        <f t="shared" si="67"/>
        <v>0</v>
      </c>
      <c r="Q78" s="147">
        <f t="shared" si="42"/>
        <v>0</v>
      </c>
    </row>
    <row r="79" ht="15" spans="3:17">
      <c r="C79" s="537" t="s">
        <v>211</v>
      </c>
      <c r="D79" s="540"/>
      <c r="E79" s="681">
        <f t="shared" ref="E79:P79" si="68">SUM(E53:E78)</f>
        <v>805.636507721605</v>
      </c>
      <c r="F79" s="681">
        <f t="shared" si="68"/>
        <v>874.450884351676</v>
      </c>
      <c r="G79" s="681">
        <f t="shared" si="68"/>
        <v>761.765932452596</v>
      </c>
      <c r="H79" s="681">
        <f t="shared" si="68"/>
        <v>743.574552111267</v>
      </c>
      <c r="I79" s="681">
        <f t="shared" si="68"/>
        <v>648.34540356391</v>
      </c>
      <c r="J79" s="681">
        <f t="shared" si="68"/>
        <v>705.843538475228</v>
      </c>
      <c r="K79" s="681">
        <f t="shared" si="68"/>
        <v>640.361386140252</v>
      </c>
      <c r="L79" s="681">
        <f t="shared" si="68"/>
        <v>717.57656727886</v>
      </c>
      <c r="M79" s="681">
        <f t="shared" si="68"/>
        <v>695.482402144725</v>
      </c>
      <c r="N79" s="681">
        <f t="shared" si="68"/>
        <v>736.516391589606</v>
      </c>
      <c r="O79" s="681">
        <f t="shared" si="68"/>
        <v>750.433239754118</v>
      </c>
      <c r="P79" s="681">
        <f t="shared" si="68"/>
        <v>917.561753817544</v>
      </c>
      <c r="Q79" s="681">
        <f t="shared" si="42"/>
        <v>8997.54855940139</v>
      </c>
    </row>
    <row r="80" ht="15" spans="3:17">
      <c r="C80" s="44" t="s">
        <v>388</v>
      </c>
      <c r="D80" s="4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</row>
    <row r="81" spans="3:17">
      <c r="C81" s="682" t="s">
        <v>389</v>
      </c>
      <c r="D81" s="55" t="s">
        <v>390</v>
      </c>
      <c r="E81" s="55">
        <f t="shared" ref="E81:P81" si="69">E257+E430</f>
        <v>2.88631034807786</v>
      </c>
      <c r="F81" s="55">
        <f t="shared" si="69"/>
        <v>2.98252069301379</v>
      </c>
      <c r="G81" s="55">
        <f t="shared" si="69"/>
        <v>2.88631034807786</v>
      </c>
      <c r="H81" s="55">
        <f t="shared" si="69"/>
        <v>2.98252069301379</v>
      </c>
      <c r="I81" s="55">
        <f t="shared" si="69"/>
        <v>2.98252069301379</v>
      </c>
      <c r="J81" s="55">
        <f t="shared" si="69"/>
        <v>2.88631034807786</v>
      </c>
      <c r="K81" s="55">
        <f t="shared" si="69"/>
        <v>2.98252069301379</v>
      </c>
      <c r="L81" s="55">
        <f t="shared" si="69"/>
        <v>2.88631034807786</v>
      </c>
      <c r="M81" s="55">
        <f t="shared" si="69"/>
        <v>2.98252069301379</v>
      </c>
      <c r="N81" s="55">
        <f t="shared" si="69"/>
        <v>2.98252069301379</v>
      </c>
      <c r="O81" s="55">
        <f t="shared" si="69"/>
        <v>2.693889658206</v>
      </c>
      <c r="P81" s="55">
        <f t="shared" si="69"/>
        <v>2.98252069301379</v>
      </c>
      <c r="Q81" s="55">
        <f t="shared" ref="Q81:Q96" si="70">SUM(E81:P81)</f>
        <v>35.116775901614</v>
      </c>
    </row>
    <row r="82" spans="3:17">
      <c r="C82" s="683"/>
      <c r="D82" s="55" t="s">
        <v>391</v>
      </c>
      <c r="E82" s="55">
        <f t="shared" ref="E82:P82" si="71">E258+E431</f>
        <v>12.368201957783</v>
      </c>
      <c r="F82" s="55">
        <f t="shared" si="71"/>
        <v>12.7804753563758</v>
      </c>
      <c r="G82" s="55">
        <f t="shared" si="71"/>
        <v>12.368201957783</v>
      </c>
      <c r="H82" s="55">
        <f t="shared" si="71"/>
        <v>12.7804753563758</v>
      </c>
      <c r="I82" s="55">
        <f t="shared" si="71"/>
        <v>12.7804753563758</v>
      </c>
      <c r="J82" s="55">
        <f t="shared" si="71"/>
        <v>12.368201957783</v>
      </c>
      <c r="K82" s="55">
        <f t="shared" si="71"/>
        <v>12.7804753563758</v>
      </c>
      <c r="L82" s="55">
        <f t="shared" si="71"/>
        <v>12.368201957783</v>
      </c>
      <c r="M82" s="55">
        <f t="shared" si="71"/>
        <v>12.7804753563758</v>
      </c>
      <c r="N82" s="55">
        <f t="shared" si="71"/>
        <v>12.7804753563758</v>
      </c>
      <c r="O82" s="55">
        <f t="shared" si="71"/>
        <v>11.5436551605975</v>
      </c>
      <c r="P82" s="55">
        <f t="shared" si="71"/>
        <v>12.7804753563758</v>
      </c>
      <c r="Q82" s="55">
        <f t="shared" si="70"/>
        <v>150.47979048636</v>
      </c>
    </row>
    <row r="83" spans="3:17">
      <c r="C83" s="683"/>
      <c r="D83" s="55" t="s">
        <v>392</v>
      </c>
      <c r="E83" s="55">
        <f t="shared" ref="E83:P83" si="72">E259+E432</f>
        <v>12.368201957783</v>
      </c>
      <c r="F83" s="55">
        <f t="shared" si="72"/>
        <v>12.7804753563758</v>
      </c>
      <c r="G83" s="55">
        <f t="shared" si="72"/>
        <v>12.368201957783</v>
      </c>
      <c r="H83" s="55">
        <f t="shared" si="72"/>
        <v>12.7804753563758</v>
      </c>
      <c r="I83" s="55">
        <f t="shared" si="72"/>
        <v>12.7804753563758</v>
      </c>
      <c r="J83" s="55">
        <f t="shared" si="72"/>
        <v>12.368201957783</v>
      </c>
      <c r="K83" s="55">
        <f t="shared" si="72"/>
        <v>12.7804753563758</v>
      </c>
      <c r="L83" s="55">
        <f t="shared" si="72"/>
        <v>12.368201957783</v>
      </c>
      <c r="M83" s="55">
        <f t="shared" si="72"/>
        <v>12.7804753563758</v>
      </c>
      <c r="N83" s="55">
        <f t="shared" si="72"/>
        <v>12.7804753563758</v>
      </c>
      <c r="O83" s="55">
        <f t="shared" si="72"/>
        <v>11.5436551605975</v>
      </c>
      <c r="P83" s="55">
        <f t="shared" si="72"/>
        <v>12.7804753563758</v>
      </c>
      <c r="Q83" s="55">
        <f t="shared" si="70"/>
        <v>150.47979048636</v>
      </c>
    </row>
    <row r="84" spans="3:17">
      <c r="C84" s="684"/>
      <c r="D84" s="55" t="s">
        <v>393</v>
      </c>
      <c r="E84" s="55">
        <f t="shared" ref="E84:P84" si="73">E260+E433</f>
        <v>11.5966591358833</v>
      </c>
      <c r="F84" s="55">
        <f t="shared" si="73"/>
        <v>11.9832144404127</v>
      </c>
      <c r="G84" s="55">
        <f t="shared" si="73"/>
        <v>11.5966591358833</v>
      </c>
      <c r="H84" s="55">
        <f t="shared" si="73"/>
        <v>11.9832144404127</v>
      </c>
      <c r="I84" s="55">
        <f t="shared" si="73"/>
        <v>11.9832144404127</v>
      </c>
      <c r="J84" s="55">
        <f t="shared" si="73"/>
        <v>11.5966591358833</v>
      </c>
      <c r="K84" s="55">
        <f t="shared" si="73"/>
        <v>11.9832144404127</v>
      </c>
      <c r="L84" s="55">
        <f t="shared" si="73"/>
        <v>11.5966591358833</v>
      </c>
      <c r="M84" s="55">
        <f t="shared" si="73"/>
        <v>11.9832144404127</v>
      </c>
      <c r="N84" s="55">
        <f t="shared" si="73"/>
        <v>11.9832144404127</v>
      </c>
      <c r="O84" s="55">
        <f t="shared" si="73"/>
        <v>10.8235485268244</v>
      </c>
      <c r="P84" s="55">
        <f t="shared" si="73"/>
        <v>11.9832144404127</v>
      </c>
      <c r="Q84" s="55">
        <f t="shared" si="70"/>
        <v>141.092686153246</v>
      </c>
    </row>
    <row r="85" spans="3:17">
      <c r="C85" s="55"/>
      <c r="D85" s="55"/>
      <c r="E85" s="55">
        <f t="shared" ref="E85:P85" si="74">E261+E434</f>
        <v>0</v>
      </c>
      <c r="F85" s="55">
        <f t="shared" si="74"/>
        <v>0</v>
      </c>
      <c r="G85" s="55">
        <f t="shared" si="74"/>
        <v>0</v>
      </c>
      <c r="H85" s="55">
        <f t="shared" si="74"/>
        <v>0</v>
      </c>
      <c r="I85" s="55">
        <f t="shared" si="74"/>
        <v>0</v>
      </c>
      <c r="J85" s="55">
        <f t="shared" si="74"/>
        <v>0</v>
      </c>
      <c r="K85" s="55">
        <f t="shared" si="74"/>
        <v>0</v>
      </c>
      <c r="L85" s="55">
        <f t="shared" si="74"/>
        <v>0</v>
      </c>
      <c r="M85" s="55">
        <f t="shared" si="74"/>
        <v>0</v>
      </c>
      <c r="N85" s="55">
        <f t="shared" si="74"/>
        <v>0</v>
      </c>
      <c r="O85" s="55">
        <f t="shared" si="74"/>
        <v>0</v>
      </c>
      <c r="P85" s="55">
        <f t="shared" si="74"/>
        <v>0</v>
      </c>
      <c r="Q85" s="55">
        <f t="shared" si="70"/>
        <v>0</v>
      </c>
    </row>
    <row r="86" spans="3:17">
      <c r="C86" s="55"/>
      <c r="D86" s="55"/>
      <c r="E86" s="55">
        <f t="shared" ref="E86:P86" si="75">E262+E435</f>
        <v>0</v>
      </c>
      <c r="F86" s="55">
        <f t="shared" si="75"/>
        <v>0</v>
      </c>
      <c r="G86" s="55">
        <f t="shared" si="75"/>
        <v>0</v>
      </c>
      <c r="H86" s="55">
        <f t="shared" si="75"/>
        <v>0</v>
      </c>
      <c r="I86" s="55">
        <f t="shared" si="75"/>
        <v>0</v>
      </c>
      <c r="J86" s="55">
        <f t="shared" si="75"/>
        <v>0</v>
      </c>
      <c r="K86" s="55">
        <f t="shared" si="75"/>
        <v>0</v>
      </c>
      <c r="L86" s="55">
        <f t="shared" si="75"/>
        <v>0</v>
      </c>
      <c r="M86" s="55">
        <f t="shared" si="75"/>
        <v>0</v>
      </c>
      <c r="N86" s="55">
        <f t="shared" si="75"/>
        <v>0</v>
      </c>
      <c r="O86" s="55">
        <f t="shared" si="75"/>
        <v>0</v>
      </c>
      <c r="P86" s="55">
        <f t="shared" si="75"/>
        <v>0</v>
      </c>
      <c r="Q86" s="55">
        <f t="shared" si="70"/>
        <v>0</v>
      </c>
    </row>
    <row r="87" spans="3:17">
      <c r="C87" s="55"/>
      <c r="D87" s="55"/>
      <c r="E87" s="55">
        <f t="shared" ref="E87:P87" si="76">E263+E436</f>
        <v>0</v>
      </c>
      <c r="F87" s="55">
        <f t="shared" si="76"/>
        <v>0</v>
      </c>
      <c r="G87" s="55">
        <f t="shared" si="76"/>
        <v>0</v>
      </c>
      <c r="H87" s="55">
        <f t="shared" si="76"/>
        <v>0</v>
      </c>
      <c r="I87" s="55">
        <f t="shared" si="76"/>
        <v>0</v>
      </c>
      <c r="J87" s="55">
        <f t="shared" si="76"/>
        <v>0</v>
      </c>
      <c r="K87" s="55">
        <f t="shared" si="76"/>
        <v>0</v>
      </c>
      <c r="L87" s="55">
        <f t="shared" si="76"/>
        <v>0</v>
      </c>
      <c r="M87" s="55">
        <f t="shared" si="76"/>
        <v>0</v>
      </c>
      <c r="N87" s="55">
        <f t="shared" si="76"/>
        <v>0</v>
      </c>
      <c r="O87" s="55">
        <f t="shared" si="76"/>
        <v>0</v>
      </c>
      <c r="P87" s="55">
        <f t="shared" si="76"/>
        <v>0</v>
      </c>
      <c r="Q87" s="55">
        <f t="shared" si="70"/>
        <v>0</v>
      </c>
    </row>
    <row r="88" spans="3:17">
      <c r="C88" s="55"/>
      <c r="D88" s="55"/>
      <c r="E88" s="55">
        <f t="shared" ref="E88:P88" si="77">E264+E437</f>
        <v>0</v>
      </c>
      <c r="F88" s="55">
        <f t="shared" si="77"/>
        <v>0</v>
      </c>
      <c r="G88" s="55">
        <f t="shared" si="77"/>
        <v>0</v>
      </c>
      <c r="H88" s="55">
        <f t="shared" si="77"/>
        <v>0</v>
      </c>
      <c r="I88" s="55">
        <f t="shared" si="77"/>
        <v>0</v>
      </c>
      <c r="J88" s="55">
        <f t="shared" si="77"/>
        <v>0</v>
      </c>
      <c r="K88" s="55">
        <f t="shared" si="77"/>
        <v>0</v>
      </c>
      <c r="L88" s="55">
        <f t="shared" si="77"/>
        <v>0</v>
      </c>
      <c r="M88" s="55">
        <f t="shared" si="77"/>
        <v>0</v>
      </c>
      <c r="N88" s="55">
        <f t="shared" si="77"/>
        <v>0</v>
      </c>
      <c r="O88" s="55">
        <f t="shared" si="77"/>
        <v>0</v>
      </c>
      <c r="P88" s="55">
        <f t="shared" si="77"/>
        <v>0</v>
      </c>
      <c r="Q88" s="55">
        <f t="shared" si="70"/>
        <v>0</v>
      </c>
    </row>
    <row r="89" spans="3:17">
      <c r="C89" s="55"/>
      <c r="D89" s="55"/>
      <c r="E89" s="55">
        <f t="shared" ref="E89:P89" si="78">E265+E438</f>
        <v>0</v>
      </c>
      <c r="F89" s="55">
        <f t="shared" si="78"/>
        <v>0</v>
      </c>
      <c r="G89" s="55">
        <f t="shared" si="78"/>
        <v>0</v>
      </c>
      <c r="H89" s="55">
        <f t="shared" si="78"/>
        <v>0</v>
      </c>
      <c r="I89" s="55">
        <f t="shared" si="78"/>
        <v>0</v>
      </c>
      <c r="J89" s="55">
        <f t="shared" si="78"/>
        <v>0</v>
      </c>
      <c r="K89" s="55">
        <f t="shared" si="78"/>
        <v>0</v>
      </c>
      <c r="L89" s="55">
        <f t="shared" si="78"/>
        <v>0</v>
      </c>
      <c r="M89" s="55">
        <f t="shared" si="78"/>
        <v>0</v>
      </c>
      <c r="N89" s="55">
        <f t="shared" si="78"/>
        <v>0</v>
      </c>
      <c r="O89" s="55">
        <f t="shared" si="78"/>
        <v>0</v>
      </c>
      <c r="P89" s="55">
        <f t="shared" si="78"/>
        <v>0</v>
      </c>
      <c r="Q89" s="55">
        <f t="shared" si="70"/>
        <v>0</v>
      </c>
    </row>
    <row r="90" spans="3:17">
      <c r="C90" s="55"/>
      <c r="D90" s="55"/>
      <c r="E90" s="55">
        <f t="shared" ref="E90:P90" si="79">E266+E439</f>
        <v>0</v>
      </c>
      <c r="F90" s="55">
        <f t="shared" si="79"/>
        <v>0</v>
      </c>
      <c r="G90" s="55">
        <f t="shared" si="79"/>
        <v>0</v>
      </c>
      <c r="H90" s="55">
        <f t="shared" si="79"/>
        <v>0</v>
      </c>
      <c r="I90" s="55">
        <f t="shared" si="79"/>
        <v>0</v>
      </c>
      <c r="J90" s="55">
        <f t="shared" si="79"/>
        <v>0</v>
      </c>
      <c r="K90" s="55">
        <f t="shared" si="79"/>
        <v>0</v>
      </c>
      <c r="L90" s="55">
        <f t="shared" si="79"/>
        <v>0</v>
      </c>
      <c r="M90" s="55">
        <f t="shared" si="79"/>
        <v>0</v>
      </c>
      <c r="N90" s="55">
        <f t="shared" si="79"/>
        <v>0</v>
      </c>
      <c r="O90" s="55">
        <f t="shared" si="79"/>
        <v>0</v>
      </c>
      <c r="P90" s="55">
        <f t="shared" si="79"/>
        <v>0</v>
      </c>
      <c r="Q90" s="55">
        <f t="shared" si="70"/>
        <v>0</v>
      </c>
    </row>
    <row r="91" spans="3:17">
      <c r="C91" s="55"/>
      <c r="D91" s="55"/>
      <c r="E91" s="55">
        <f t="shared" ref="E91:P91" si="80">E267+E440</f>
        <v>0</v>
      </c>
      <c r="F91" s="55">
        <f t="shared" si="80"/>
        <v>0</v>
      </c>
      <c r="G91" s="55">
        <f t="shared" si="80"/>
        <v>0</v>
      </c>
      <c r="H91" s="55">
        <f t="shared" si="80"/>
        <v>0</v>
      </c>
      <c r="I91" s="55">
        <f t="shared" si="80"/>
        <v>0</v>
      </c>
      <c r="J91" s="55">
        <f t="shared" si="80"/>
        <v>0</v>
      </c>
      <c r="K91" s="55">
        <f t="shared" si="80"/>
        <v>0</v>
      </c>
      <c r="L91" s="55">
        <f t="shared" si="80"/>
        <v>0</v>
      </c>
      <c r="M91" s="55">
        <f t="shared" si="80"/>
        <v>0</v>
      </c>
      <c r="N91" s="55">
        <f t="shared" si="80"/>
        <v>0</v>
      </c>
      <c r="O91" s="55">
        <f t="shared" si="80"/>
        <v>0</v>
      </c>
      <c r="P91" s="55">
        <f t="shared" si="80"/>
        <v>0</v>
      </c>
      <c r="Q91" s="55">
        <f t="shared" si="70"/>
        <v>0</v>
      </c>
    </row>
    <row r="92" spans="3:17">
      <c r="C92" s="55"/>
      <c r="D92" s="55"/>
      <c r="E92" s="55">
        <f t="shared" ref="E92:P92" si="81">E268+E441</f>
        <v>0</v>
      </c>
      <c r="F92" s="55">
        <f t="shared" si="81"/>
        <v>0</v>
      </c>
      <c r="G92" s="55">
        <f t="shared" si="81"/>
        <v>0</v>
      </c>
      <c r="H92" s="55">
        <f t="shared" si="81"/>
        <v>0</v>
      </c>
      <c r="I92" s="55">
        <f t="shared" si="81"/>
        <v>0</v>
      </c>
      <c r="J92" s="55">
        <f t="shared" si="81"/>
        <v>0</v>
      </c>
      <c r="K92" s="55">
        <f t="shared" si="81"/>
        <v>0</v>
      </c>
      <c r="L92" s="55">
        <f t="shared" si="81"/>
        <v>0</v>
      </c>
      <c r="M92" s="55">
        <f t="shared" si="81"/>
        <v>0</v>
      </c>
      <c r="N92" s="55">
        <f t="shared" si="81"/>
        <v>0</v>
      </c>
      <c r="O92" s="55">
        <f t="shared" si="81"/>
        <v>0</v>
      </c>
      <c r="P92" s="55">
        <f t="shared" si="81"/>
        <v>0</v>
      </c>
      <c r="Q92" s="55">
        <f t="shared" si="70"/>
        <v>0</v>
      </c>
    </row>
    <row r="93" spans="3:17">
      <c r="C93" s="55"/>
      <c r="D93" s="55"/>
      <c r="E93" s="55">
        <f t="shared" ref="E93:P93" si="82">E269+E442</f>
        <v>0</v>
      </c>
      <c r="F93" s="55">
        <f t="shared" si="82"/>
        <v>0</v>
      </c>
      <c r="G93" s="55">
        <f t="shared" si="82"/>
        <v>0</v>
      </c>
      <c r="H93" s="55">
        <f t="shared" si="82"/>
        <v>0</v>
      </c>
      <c r="I93" s="55">
        <f t="shared" si="82"/>
        <v>0</v>
      </c>
      <c r="J93" s="55">
        <f t="shared" si="82"/>
        <v>0</v>
      </c>
      <c r="K93" s="55">
        <f t="shared" si="82"/>
        <v>0</v>
      </c>
      <c r="L93" s="55">
        <f t="shared" si="82"/>
        <v>0</v>
      </c>
      <c r="M93" s="55">
        <f t="shared" si="82"/>
        <v>0</v>
      </c>
      <c r="N93" s="55">
        <f t="shared" si="82"/>
        <v>0</v>
      </c>
      <c r="O93" s="55">
        <f t="shared" si="82"/>
        <v>0</v>
      </c>
      <c r="P93" s="55">
        <f t="shared" si="82"/>
        <v>0</v>
      </c>
      <c r="Q93" s="55">
        <f t="shared" si="70"/>
        <v>0</v>
      </c>
    </row>
    <row r="94" spans="3:17">
      <c r="C94" s="55"/>
      <c r="D94" s="55"/>
      <c r="E94" s="55">
        <f t="shared" ref="E94:P94" si="83">E270+E443</f>
        <v>0</v>
      </c>
      <c r="F94" s="55">
        <f t="shared" si="83"/>
        <v>0</v>
      </c>
      <c r="G94" s="55">
        <f t="shared" si="83"/>
        <v>0</v>
      </c>
      <c r="H94" s="55">
        <f t="shared" si="83"/>
        <v>0</v>
      </c>
      <c r="I94" s="55">
        <f t="shared" si="83"/>
        <v>0</v>
      </c>
      <c r="J94" s="55">
        <f t="shared" si="83"/>
        <v>0</v>
      </c>
      <c r="K94" s="55">
        <f t="shared" si="83"/>
        <v>0</v>
      </c>
      <c r="L94" s="55">
        <f t="shared" si="83"/>
        <v>0</v>
      </c>
      <c r="M94" s="55">
        <f t="shared" si="83"/>
        <v>0</v>
      </c>
      <c r="N94" s="55">
        <f t="shared" si="83"/>
        <v>0</v>
      </c>
      <c r="O94" s="55">
        <f t="shared" si="83"/>
        <v>0</v>
      </c>
      <c r="P94" s="55">
        <f t="shared" si="83"/>
        <v>0</v>
      </c>
      <c r="Q94" s="55">
        <f t="shared" si="70"/>
        <v>0</v>
      </c>
    </row>
    <row r="95" ht="15" spans="3:18">
      <c r="C95" s="537" t="s">
        <v>211</v>
      </c>
      <c r="D95" s="540"/>
      <c r="E95" s="54">
        <f t="shared" ref="E95:P95" si="84">SUM(E81:E94)</f>
        <v>39.2193733995272</v>
      </c>
      <c r="F95" s="54">
        <f t="shared" si="84"/>
        <v>40.5266858461781</v>
      </c>
      <c r="G95" s="54">
        <f t="shared" si="84"/>
        <v>39.2193733995272</v>
      </c>
      <c r="H95" s="54">
        <f t="shared" si="84"/>
        <v>40.5266858461781</v>
      </c>
      <c r="I95" s="54">
        <f t="shared" si="84"/>
        <v>40.5266858461781</v>
      </c>
      <c r="J95" s="54">
        <f t="shared" si="84"/>
        <v>39.2193733995272</v>
      </c>
      <c r="K95" s="54">
        <f t="shared" si="84"/>
        <v>40.5266858461781</v>
      </c>
      <c r="L95" s="54">
        <f t="shared" si="84"/>
        <v>39.2193733995272</v>
      </c>
      <c r="M95" s="54">
        <f t="shared" si="84"/>
        <v>40.5266858461781</v>
      </c>
      <c r="N95" s="54">
        <f t="shared" si="84"/>
        <v>40.5266858461781</v>
      </c>
      <c r="O95" s="54">
        <f t="shared" si="84"/>
        <v>36.6047485062254</v>
      </c>
      <c r="P95" s="54">
        <f t="shared" si="84"/>
        <v>40.5266858461781</v>
      </c>
      <c r="Q95" s="54">
        <f t="shared" si="70"/>
        <v>477.169043027581</v>
      </c>
      <c r="R95" s="686"/>
    </row>
    <row r="96" ht="15" spans="3:18">
      <c r="C96" s="44" t="s">
        <v>395</v>
      </c>
      <c r="D96" s="45"/>
      <c r="E96" s="54">
        <f t="shared" ref="E96:P96" si="85">E79+E95</f>
        <v>844.855881121133</v>
      </c>
      <c r="F96" s="54">
        <f t="shared" si="85"/>
        <v>914.977570197855</v>
      </c>
      <c r="G96" s="54">
        <f t="shared" si="85"/>
        <v>800.985305852123</v>
      </c>
      <c r="H96" s="54">
        <f t="shared" si="85"/>
        <v>784.101237957445</v>
      </c>
      <c r="I96" s="54">
        <f t="shared" si="85"/>
        <v>688.872089410088</v>
      </c>
      <c r="J96" s="54">
        <f t="shared" si="85"/>
        <v>745.062911874755</v>
      </c>
      <c r="K96" s="54">
        <f t="shared" si="85"/>
        <v>680.88807198643</v>
      </c>
      <c r="L96" s="54">
        <f t="shared" si="85"/>
        <v>756.795940678387</v>
      </c>
      <c r="M96" s="54">
        <f t="shared" si="85"/>
        <v>736.009087990903</v>
      </c>
      <c r="N96" s="54">
        <f t="shared" si="85"/>
        <v>777.043077435784</v>
      </c>
      <c r="O96" s="54">
        <f t="shared" si="85"/>
        <v>787.037988260343</v>
      </c>
      <c r="P96" s="54">
        <f t="shared" si="85"/>
        <v>958.088439663722</v>
      </c>
      <c r="Q96" s="54">
        <f t="shared" si="70"/>
        <v>9474.71760242897</v>
      </c>
      <c r="R96" s="686"/>
    </row>
    <row r="97" ht="15" spans="3:17">
      <c r="C97" s="663" t="s">
        <v>396</v>
      </c>
      <c r="D97" s="676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</row>
    <row r="98" spans="3:17">
      <c r="C98" s="55" t="s">
        <v>397</v>
      </c>
      <c r="D98" s="55" t="s">
        <v>397</v>
      </c>
      <c r="E98" s="55">
        <f t="shared" ref="E98:P98" si="86">E274+E447</f>
        <v>51.7025261209541</v>
      </c>
      <c r="F98" s="55">
        <f t="shared" si="86"/>
        <v>53.4259436583193</v>
      </c>
      <c r="G98" s="55">
        <f t="shared" si="86"/>
        <v>51.7025261209541</v>
      </c>
      <c r="H98" s="55">
        <f t="shared" si="86"/>
        <v>57.7577769279126</v>
      </c>
      <c r="I98" s="55">
        <f t="shared" si="86"/>
        <v>48.0111520713275</v>
      </c>
      <c r="J98" s="55">
        <f t="shared" si="86"/>
        <v>55.8946228334639</v>
      </c>
      <c r="K98" s="55">
        <f t="shared" si="86"/>
        <v>50.1770687061241</v>
      </c>
      <c r="L98" s="55">
        <f t="shared" si="86"/>
        <v>51.7025261209541</v>
      </c>
      <c r="M98" s="55">
        <f t="shared" si="86"/>
        <v>53.4259436583193</v>
      </c>
      <c r="N98" s="55">
        <f t="shared" si="86"/>
        <v>53.4259436583193</v>
      </c>
      <c r="O98" s="55">
        <f t="shared" si="86"/>
        <v>52.1683146445663</v>
      </c>
      <c r="P98" s="55">
        <f t="shared" si="86"/>
        <v>57.7577769279128</v>
      </c>
      <c r="Q98" s="55">
        <f t="shared" ref="Q98:Q105" si="87">SUM(E98:P98)</f>
        <v>637.152121449127</v>
      </c>
    </row>
    <row r="99" spans="3:17">
      <c r="C99" s="55" t="s">
        <v>398</v>
      </c>
      <c r="D99" s="55" t="s">
        <v>398</v>
      </c>
      <c r="E99" s="55">
        <f t="shared" ref="E99:P99" si="88">E275+E448</f>
        <v>0</v>
      </c>
      <c r="F99" s="55">
        <f t="shared" si="88"/>
        <v>0</v>
      </c>
      <c r="G99" s="55">
        <f t="shared" si="88"/>
        <v>0</v>
      </c>
      <c r="H99" s="55">
        <f t="shared" si="88"/>
        <v>0</v>
      </c>
      <c r="I99" s="55">
        <f t="shared" si="88"/>
        <v>0</v>
      </c>
      <c r="J99" s="55">
        <f t="shared" si="88"/>
        <v>0</v>
      </c>
      <c r="K99" s="55">
        <f t="shared" si="88"/>
        <v>0</v>
      </c>
      <c r="L99" s="55">
        <f t="shared" si="88"/>
        <v>0</v>
      </c>
      <c r="M99" s="55">
        <f t="shared" si="88"/>
        <v>0</v>
      </c>
      <c r="N99" s="55">
        <f t="shared" si="88"/>
        <v>0</v>
      </c>
      <c r="O99" s="55">
        <f t="shared" si="88"/>
        <v>0</v>
      </c>
      <c r="P99" s="55">
        <f t="shared" si="88"/>
        <v>0</v>
      </c>
      <c r="Q99" s="55">
        <f t="shared" si="87"/>
        <v>0</v>
      </c>
    </row>
    <row r="100" ht="15" customHeight="1" spans="3:17">
      <c r="C100" s="55"/>
      <c r="D100" s="55"/>
      <c r="E100" s="55">
        <f t="shared" ref="E100:P100" si="89">E276+E449</f>
        <v>0</v>
      </c>
      <c r="F100" s="55">
        <f t="shared" si="89"/>
        <v>0</v>
      </c>
      <c r="G100" s="55">
        <f t="shared" si="89"/>
        <v>0</v>
      </c>
      <c r="H100" s="55">
        <f t="shared" si="89"/>
        <v>0</v>
      </c>
      <c r="I100" s="55">
        <f t="shared" si="89"/>
        <v>0</v>
      </c>
      <c r="J100" s="55">
        <f t="shared" si="89"/>
        <v>0</v>
      </c>
      <c r="K100" s="55">
        <f t="shared" si="89"/>
        <v>0</v>
      </c>
      <c r="L100" s="55">
        <f t="shared" si="89"/>
        <v>0</v>
      </c>
      <c r="M100" s="55">
        <f t="shared" si="89"/>
        <v>0</v>
      </c>
      <c r="N100" s="55">
        <f t="shared" si="89"/>
        <v>0</v>
      </c>
      <c r="O100" s="55">
        <f t="shared" si="89"/>
        <v>0</v>
      </c>
      <c r="P100" s="55">
        <f t="shared" si="89"/>
        <v>0</v>
      </c>
      <c r="Q100" s="55">
        <f t="shared" si="87"/>
        <v>0</v>
      </c>
    </row>
    <row r="101" spans="3:17">
      <c r="C101" s="55"/>
      <c r="D101" s="55"/>
      <c r="E101" s="55">
        <f t="shared" ref="E101:P101" si="90">E277+E450</f>
        <v>0</v>
      </c>
      <c r="F101" s="55">
        <f t="shared" si="90"/>
        <v>0</v>
      </c>
      <c r="G101" s="55">
        <f t="shared" si="90"/>
        <v>0</v>
      </c>
      <c r="H101" s="55">
        <f t="shared" si="90"/>
        <v>0</v>
      </c>
      <c r="I101" s="55">
        <f t="shared" si="90"/>
        <v>0</v>
      </c>
      <c r="J101" s="55">
        <f t="shared" si="90"/>
        <v>0</v>
      </c>
      <c r="K101" s="55">
        <f t="shared" si="90"/>
        <v>0</v>
      </c>
      <c r="L101" s="55">
        <f t="shared" si="90"/>
        <v>0</v>
      </c>
      <c r="M101" s="55">
        <f t="shared" si="90"/>
        <v>0</v>
      </c>
      <c r="N101" s="55">
        <f t="shared" si="90"/>
        <v>0</v>
      </c>
      <c r="O101" s="55">
        <f t="shared" si="90"/>
        <v>0</v>
      </c>
      <c r="P101" s="55">
        <f t="shared" si="90"/>
        <v>0</v>
      </c>
      <c r="Q101" s="55">
        <f t="shared" si="87"/>
        <v>0</v>
      </c>
    </row>
    <row r="102" customHeight="1" spans="3:17">
      <c r="C102" s="55"/>
      <c r="D102" s="55"/>
      <c r="E102" s="55">
        <f t="shared" ref="E102:P102" si="91">E278+E451</f>
        <v>0</v>
      </c>
      <c r="F102" s="55">
        <f t="shared" si="91"/>
        <v>0</v>
      </c>
      <c r="G102" s="55">
        <f t="shared" si="91"/>
        <v>0</v>
      </c>
      <c r="H102" s="55">
        <f t="shared" si="91"/>
        <v>0</v>
      </c>
      <c r="I102" s="55">
        <f t="shared" si="91"/>
        <v>0</v>
      </c>
      <c r="J102" s="55">
        <f t="shared" si="91"/>
        <v>0</v>
      </c>
      <c r="K102" s="55">
        <f t="shared" si="91"/>
        <v>0</v>
      </c>
      <c r="L102" s="55">
        <f t="shared" si="91"/>
        <v>0</v>
      </c>
      <c r="M102" s="55">
        <f t="shared" si="91"/>
        <v>0</v>
      </c>
      <c r="N102" s="55">
        <f t="shared" si="91"/>
        <v>0</v>
      </c>
      <c r="O102" s="55">
        <f t="shared" si="91"/>
        <v>0</v>
      </c>
      <c r="P102" s="55">
        <f t="shared" si="91"/>
        <v>0</v>
      </c>
      <c r="Q102" s="55">
        <f t="shared" si="87"/>
        <v>0</v>
      </c>
    </row>
    <row r="103" spans="3:17">
      <c r="C103" s="55"/>
      <c r="D103" s="55"/>
      <c r="E103" s="55">
        <f t="shared" ref="E103:P103" si="92">E279+E452</f>
        <v>0</v>
      </c>
      <c r="F103" s="55">
        <f t="shared" si="92"/>
        <v>0</v>
      </c>
      <c r="G103" s="55">
        <f t="shared" si="92"/>
        <v>0</v>
      </c>
      <c r="H103" s="55">
        <f t="shared" si="92"/>
        <v>0</v>
      </c>
      <c r="I103" s="55">
        <f t="shared" si="92"/>
        <v>0</v>
      </c>
      <c r="J103" s="55">
        <f t="shared" si="92"/>
        <v>0</v>
      </c>
      <c r="K103" s="55">
        <f t="shared" si="92"/>
        <v>0</v>
      </c>
      <c r="L103" s="55">
        <f t="shared" si="92"/>
        <v>0</v>
      </c>
      <c r="M103" s="55">
        <f t="shared" si="92"/>
        <v>0</v>
      </c>
      <c r="N103" s="55">
        <f t="shared" si="92"/>
        <v>0</v>
      </c>
      <c r="O103" s="55">
        <f t="shared" si="92"/>
        <v>0</v>
      </c>
      <c r="P103" s="55">
        <f t="shared" si="92"/>
        <v>0</v>
      </c>
      <c r="Q103" s="55">
        <f t="shared" si="87"/>
        <v>0</v>
      </c>
    </row>
    <row r="104" spans="3:17">
      <c r="C104" s="55"/>
      <c r="D104" s="55"/>
      <c r="E104" s="55">
        <f t="shared" ref="E104:P104" si="93">E280+E453</f>
        <v>0</v>
      </c>
      <c r="F104" s="55">
        <f t="shared" si="93"/>
        <v>0</v>
      </c>
      <c r="G104" s="55">
        <f t="shared" si="93"/>
        <v>0</v>
      </c>
      <c r="H104" s="55">
        <f t="shared" si="93"/>
        <v>0</v>
      </c>
      <c r="I104" s="55">
        <f t="shared" si="93"/>
        <v>0</v>
      </c>
      <c r="J104" s="55">
        <f t="shared" si="93"/>
        <v>0</v>
      </c>
      <c r="K104" s="55">
        <f t="shared" si="93"/>
        <v>0</v>
      </c>
      <c r="L104" s="55">
        <f t="shared" si="93"/>
        <v>0</v>
      </c>
      <c r="M104" s="55">
        <f t="shared" si="93"/>
        <v>0</v>
      </c>
      <c r="N104" s="55">
        <f t="shared" si="93"/>
        <v>0</v>
      </c>
      <c r="O104" s="55">
        <f t="shared" si="93"/>
        <v>0</v>
      </c>
      <c r="P104" s="55">
        <f t="shared" si="93"/>
        <v>0</v>
      </c>
      <c r="Q104" s="55">
        <f t="shared" si="87"/>
        <v>0</v>
      </c>
    </row>
    <row r="105" customHeight="1" spans="3:18">
      <c r="C105" s="44" t="s">
        <v>399</v>
      </c>
      <c r="D105" s="45"/>
      <c r="E105" s="54">
        <f t="shared" ref="E105:P105" si="94">SUM(E98:E104)</f>
        <v>51.7025261209541</v>
      </c>
      <c r="F105" s="54">
        <f t="shared" si="94"/>
        <v>53.4259436583193</v>
      </c>
      <c r="G105" s="54">
        <f t="shared" si="94"/>
        <v>51.7025261209541</v>
      </c>
      <c r="H105" s="54">
        <f t="shared" si="94"/>
        <v>57.7577769279126</v>
      </c>
      <c r="I105" s="54">
        <f t="shared" si="94"/>
        <v>48.0111520713275</v>
      </c>
      <c r="J105" s="54">
        <f t="shared" si="94"/>
        <v>55.8946228334639</v>
      </c>
      <c r="K105" s="54">
        <f t="shared" si="94"/>
        <v>50.1770687061241</v>
      </c>
      <c r="L105" s="54">
        <f t="shared" si="94"/>
        <v>51.7025261209541</v>
      </c>
      <c r="M105" s="54">
        <f t="shared" si="94"/>
        <v>53.4259436583193</v>
      </c>
      <c r="N105" s="54">
        <f t="shared" si="94"/>
        <v>53.4259436583193</v>
      </c>
      <c r="O105" s="54">
        <f t="shared" si="94"/>
        <v>52.1683146445663</v>
      </c>
      <c r="P105" s="54">
        <f t="shared" si="94"/>
        <v>57.7577769279128</v>
      </c>
      <c r="Q105" s="54">
        <f t="shared" si="87"/>
        <v>637.152121449127</v>
      </c>
      <c r="R105" s="686"/>
    </row>
    <row r="106" ht="15" spans="3:17">
      <c r="C106" s="663" t="s">
        <v>400</v>
      </c>
      <c r="D106" s="676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</row>
    <row r="107" spans="3:17">
      <c r="C107" s="55" t="s">
        <v>401</v>
      </c>
      <c r="D107" s="55" t="s">
        <v>401</v>
      </c>
      <c r="E107" s="55">
        <f t="shared" ref="E107:P107" si="95">E283+E456</f>
        <v>494.619913713691</v>
      </c>
      <c r="F107" s="55">
        <f t="shared" si="95"/>
        <v>139.445088144102</v>
      </c>
      <c r="G107" s="55">
        <f t="shared" si="95"/>
        <v>184.509482786917</v>
      </c>
      <c r="H107" s="55">
        <f t="shared" si="95"/>
        <v>456.401086157428</v>
      </c>
      <c r="I107" s="55">
        <f t="shared" si="95"/>
        <v>430.547424492938</v>
      </c>
      <c r="J107" s="55">
        <f t="shared" si="95"/>
        <v>483.431779220031</v>
      </c>
      <c r="K107" s="55">
        <f t="shared" si="95"/>
        <v>413.735022983753</v>
      </c>
      <c r="L107" s="55">
        <f t="shared" si="95"/>
        <v>500.33352047418</v>
      </c>
      <c r="M107" s="55">
        <f t="shared" si="95"/>
        <v>511.874551295108</v>
      </c>
      <c r="N107" s="55">
        <f t="shared" si="95"/>
        <v>470.036028259544</v>
      </c>
      <c r="O107" s="55">
        <f t="shared" si="95"/>
        <v>460.8925458118</v>
      </c>
      <c r="P107" s="55">
        <f t="shared" si="95"/>
        <v>573.160048889136</v>
      </c>
      <c r="Q107" s="55">
        <f t="shared" ref="Q107:Q115" si="96">SUM(E107:P107)</f>
        <v>5118.98649222863</v>
      </c>
    </row>
    <row r="108" spans="3:17">
      <c r="C108" s="55" t="s">
        <v>402</v>
      </c>
      <c r="D108" s="55" t="s">
        <v>402</v>
      </c>
      <c r="E108" s="55">
        <f t="shared" ref="E108:P108" si="97">E284+E457</f>
        <v>0</v>
      </c>
      <c r="F108" s="55">
        <f t="shared" si="97"/>
        <v>0</v>
      </c>
      <c r="G108" s="55">
        <f t="shared" si="97"/>
        <v>0</v>
      </c>
      <c r="H108" s="55">
        <f t="shared" si="97"/>
        <v>0</v>
      </c>
      <c r="I108" s="55">
        <f t="shared" si="97"/>
        <v>0</v>
      </c>
      <c r="J108" s="55">
        <f t="shared" si="97"/>
        <v>0</v>
      </c>
      <c r="K108" s="55">
        <f t="shared" si="97"/>
        <v>0</v>
      </c>
      <c r="L108" s="55">
        <f t="shared" si="97"/>
        <v>0</v>
      </c>
      <c r="M108" s="55">
        <f t="shared" si="97"/>
        <v>0</v>
      </c>
      <c r="N108" s="55">
        <f t="shared" si="97"/>
        <v>0</v>
      </c>
      <c r="O108" s="55">
        <f t="shared" si="97"/>
        <v>0</v>
      </c>
      <c r="P108" s="55">
        <f t="shared" si="97"/>
        <v>0</v>
      </c>
      <c r="Q108" s="55">
        <f t="shared" si="96"/>
        <v>0</v>
      </c>
    </row>
    <row r="109" spans="3:17">
      <c r="C109" s="55" t="s">
        <v>403</v>
      </c>
      <c r="D109" s="55" t="s">
        <v>403</v>
      </c>
      <c r="E109" s="55">
        <f t="shared" ref="E109:P109" si="98">E285+E458</f>
        <v>0</v>
      </c>
      <c r="F109" s="55">
        <f t="shared" si="98"/>
        <v>0</v>
      </c>
      <c r="G109" s="55">
        <f t="shared" si="98"/>
        <v>0</v>
      </c>
      <c r="H109" s="55">
        <f t="shared" si="98"/>
        <v>0</v>
      </c>
      <c r="I109" s="55">
        <f t="shared" si="98"/>
        <v>0</v>
      </c>
      <c r="J109" s="55">
        <f t="shared" si="98"/>
        <v>0</v>
      </c>
      <c r="K109" s="55">
        <f t="shared" si="98"/>
        <v>0</v>
      </c>
      <c r="L109" s="55">
        <f t="shared" si="98"/>
        <v>0</v>
      </c>
      <c r="M109" s="55">
        <f t="shared" si="98"/>
        <v>0</v>
      </c>
      <c r="N109" s="55">
        <f t="shared" si="98"/>
        <v>0</v>
      </c>
      <c r="O109" s="55">
        <f t="shared" si="98"/>
        <v>0</v>
      </c>
      <c r="P109" s="55">
        <f t="shared" si="98"/>
        <v>0</v>
      </c>
      <c r="Q109" s="55">
        <f t="shared" si="96"/>
        <v>0</v>
      </c>
    </row>
    <row r="110" spans="3:17">
      <c r="C110" s="55"/>
      <c r="D110" s="55"/>
      <c r="E110" s="55">
        <f t="shared" ref="E110:P110" si="99">E286+E459</f>
        <v>0</v>
      </c>
      <c r="F110" s="55">
        <f t="shared" si="99"/>
        <v>0</v>
      </c>
      <c r="G110" s="55">
        <f t="shared" si="99"/>
        <v>0</v>
      </c>
      <c r="H110" s="55">
        <f t="shared" si="99"/>
        <v>0</v>
      </c>
      <c r="I110" s="55">
        <f t="shared" si="99"/>
        <v>0</v>
      </c>
      <c r="J110" s="55">
        <f t="shared" si="99"/>
        <v>0</v>
      </c>
      <c r="K110" s="55">
        <f t="shared" si="99"/>
        <v>0</v>
      </c>
      <c r="L110" s="55">
        <f t="shared" si="99"/>
        <v>0</v>
      </c>
      <c r="M110" s="55">
        <f t="shared" si="99"/>
        <v>0</v>
      </c>
      <c r="N110" s="55">
        <f t="shared" si="99"/>
        <v>0</v>
      </c>
      <c r="O110" s="55">
        <f t="shared" si="99"/>
        <v>0</v>
      </c>
      <c r="P110" s="55">
        <f t="shared" si="99"/>
        <v>0</v>
      </c>
      <c r="Q110" s="55">
        <f t="shared" si="96"/>
        <v>0</v>
      </c>
    </row>
    <row r="111" spans="3:17">
      <c r="C111" s="55"/>
      <c r="D111" s="55"/>
      <c r="E111" s="55">
        <f t="shared" ref="E111:P111" si="100">E287+E460</f>
        <v>0</v>
      </c>
      <c r="F111" s="55">
        <f t="shared" si="100"/>
        <v>0</v>
      </c>
      <c r="G111" s="55">
        <f t="shared" si="100"/>
        <v>0</v>
      </c>
      <c r="H111" s="55">
        <f t="shared" si="100"/>
        <v>0</v>
      </c>
      <c r="I111" s="55">
        <f t="shared" si="100"/>
        <v>0</v>
      </c>
      <c r="J111" s="55">
        <f t="shared" si="100"/>
        <v>0</v>
      </c>
      <c r="K111" s="55">
        <f t="shared" si="100"/>
        <v>0</v>
      </c>
      <c r="L111" s="55">
        <f t="shared" si="100"/>
        <v>0</v>
      </c>
      <c r="M111" s="55">
        <f t="shared" si="100"/>
        <v>0</v>
      </c>
      <c r="N111" s="55">
        <f t="shared" si="100"/>
        <v>0</v>
      </c>
      <c r="O111" s="55">
        <f t="shared" si="100"/>
        <v>0</v>
      </c>
      <c r="P111" s="55">
        <f t="shared" si="100"/>
        <v>0</v>
      </c>
      <c r="Q111" s="55">
        <f t="shared" si="96"/>
        <v>0</v>
      </c>
    </row>
    <row r="112" spans="3:17">
      <c r="C112" s="55"/>
      <c r="D112" s="55"/>
      <c r="E112" s="55">
        <f t="shared" ref="E112:P112" si="101">E288+E461</f>
        <v>0</v>
      </c>
      <c r="F112" s="55">
        <f t="shared" si="101"/>
        <v>0</v>
      </c>
      <c r="G112" s="55">
        <f t="shared" si="101"/>
        <v>0</v>
      </c>
      <c r="H112" s="55">
        <f t="shared" si="101"/>
        <v>0</v>
      </c>
      <c r="I112" s="55">
        <f t="shared" si="101"/>
        <v>0</v>
      </c>
      <c r="J112" s="55">
        <f t="shared" si="101"/>
        <v>0</v>
      </c>
      <c r="K112" s="55">
        <f t="shared" si="101"/>
        <v>0</v>
      </c>
      <c r="L112" s="55">
        <f t="shared" si="101"/>
        <v>0</v>
      </c>
      <c r="M112" s="55">
        <f t="shared" si="101"/>
        <v>0</v>
      </c>
      <c r="N112" s="55">
        <f t="shared" si="101"/>
        <v>0</v>
      </c>
      <c r="O112" s="55">
        <f t="shared" si="101"/>
        <v>0</v>
      </c>
      <c r="P112" s="55">
        <f t="shared" si="101"/>
        <v>0</v>
      </c>
      <c r="Q112" s="55">
        <f t="shared" si="96"/>
        <v>0</v>
      </c>
    </row>
    <row r="113" spans="3:17">
      <c r="C113" s="55"/>
      <c r="D113" s="55"/>
      <c r="E113" s="55">
        <f t="shared" ref="E113:P113" si="102">E289+E462</f>
        <v>0</v>
      </c>
      <c r="F113" s="55">
        <f t="shared" si="102"/>
        <v>0</v>
      </c>
      <c r="G113" s="55">
        <f t="shared" si="102"/>
        <v>0</v>
      </c>
      <c r="H113" s="55">
        <f t="shared" si="102"/>
        <v>0</v>
      </c>
      <c r="I113" s="55">
        <f t="shared" si="102"/>
        <v>0</v>
      </c>
      <c r="J113" s="55">
        <f t="shared" si="102"/>
        <v>0</v>
      </c>
      <c r="K113" s="55">
        <f t="shared" si="102"/>
        <v>0</v>
      </c>
      <c r="L113" s="55">
        <f t="shared" si="102"/>
        <v>0</v>
      </c>
      <c r="M113" s="55">
        <f t="shared" si="102"/>
        <v>0</v>
      </c>
      <c r="N113" s="55">
        <f t="shared" si="102"/>
        <v>0</v>
      </c>
      <c r="O113" s="55">
        <f t="shared" si="102"/>
        <v>0</v>
      </c>
      <c r="P113" s="55">
        <f t="shared" si="102"/>
        <v>0</v>
      </c>
      <c r="Q113" s="55">
        <f t="shared" si="96"/>
        <v>0</v>
      </c>
    </row>
    <row r="114" spans="3:17">
      <c r="C114" s="55"/>
      <c r="D114" s="55"/>
      <c r="E114" s="55">
        <f t="shared" ref="E114:P114" si="103">E290+E463</f>
        <v>0</v>
      </c>
      <c r="F114" s="55">
        <f t="shared" si="103"/>
        <v>0</v>
      </c>
      <c r="G114" s="55">
        <f t="shared" si="103"/>
        <v>0</v>
      </c>
      <c r="H114" s="55">
        <f t="shared" si="103"/>
        <v>0</v>
      </c>
      <c r="I114" s="55">
        <f t="shared" si="103"/>
        <v>0</v>
      </c>
      <c r="J114" s="55">
        <f t="shared" si="103"/>
        <v>0</v>
      </c>
      <c r="K114" s="55">
        <f t="shared" si="103"/>
        <v>0</v>
      </c>
      <c r="L114" s="55">
        <f t="shared" si="103"/>
        <v>0</v>
      </c>
      <c r="M114" s="55">
        <f t="shared" si="103"/>
        <v>0</v>
      </c>
      <c r="N114" s="55">
        <f t="shared" si="103"/>
        <v>0</v>
      </c>
      <c r="O114" s="55">
        <f t="shared" si="103"/>
        <v>0</v>
      </c>
      <c r="P114" s="55">
        <f t="shared" si="103"/>
        <v>0</v>
      </c>
      <c r="Q114" s="55">
        <f t="shared" si="96"/>
        <v>0</v>
      </c>
    </row>
    <row r="115" ht="15" spans="3:18">
      <c r="C115" s="44" t="s">
        <v>404</v>
      </c>
      <c r="D115" s="45"/>
      <c r="E115" s="54">
        <f t="shared" ref="E115:P115" si="104">SUM(E107:E114)</f>
        <v>494.619913713691</v>
      </c>
      <c r="F115" s="54">
        <f t="shared" si="104"/>
        <v>139.445088144102</v>
      </c>
      <c r="G115" s="54">
        <f t="shared" si="104"/>
        <v>184.509482786917</v>
      </c>
      <c r="H115" s="54">
        <f t="shared" si="104"/>
        <v>456.401086157428</v>
      </c>
      <c r="I115" s="54">
        <f t="shared" si="104"/>
        <v>430.547424492938</v>
      </c>
      <c r="J115" s="54">
        <f t="shared" si="104"/>
        <v>483.431779220031</v>
      </c>
      <c r="K115" s="54">
        <f t="shared" si="104"/>
        <v>413.735022983753</v>
      </c>
      <c r="L115" s="54">
        <f t="shared" si="104"/>
        <v>500.33352047418</v>
      </c>
      <c r="M115" s="54">
        <f t="shared" si="104"/>
        <v>511.874551295108</v>
      </c>
      <c r="N115" s="54">
        <f t="shared" si="104"/>
        <v>470.036028259544</v>
      </c>
      <c r="O115" s="54">
        <f t="shared" si="104"/>
        <v>460.8925458118</v>
      </c>
      <c r="P115" s="54">
        <f t="shared" si="104"/>
        <v>573.160048889136</v>
      </c>
      <c r="Q115" s="54">
        <f t="shared" si="96"/>
        <v>5118.98649222863</v>
      </c>
      <c r="R115" s="686"/>
    </row>
    <row r="116" ht="15" spans="3:17">
      <c r="C116" s="663" t="s">
        <v>405</v>
      </c>
      <c r="D116" s="676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</row>
    <row r="117" spans="3:17">
      <c r="C117" s="55"/>
      <c r="D117" s="55" t="s">
        <v>406</v>
      </c>
      <c r="E117" s="147">
        <f t="shared" ref="E117:P117" si="105">E293+E466</f>
        <v>0.0243813126858572</v>
      </c>
      <c r="F117" s="147">
        <f t="shared" si="105"/>
        <v>0.0209078555152691</v>
      </c>
      <c r="G117" s="147">
        <f t="shared" si="105"/>
        <v>0.0497327402473932</v>
      </c>
      <c r="H117" s="147">
        <f t="shared" si="105"/>
        <v>0.0723393463589819</v>
      </c>
      <c r="I117" s="147">
        <f t="shared" si="105"/>
        <v>0.0394741207667835</v>
      </c>
      <c r="J117" s="147">
        <f t="shared" si="105"/>
        <v>0.0290281127467042</v>
      </c>
      <c r="K117" s="147">
        <f t="shared" si="105"/>
        <v>0.0176034973230074</v>
      </c>
      <c r="L117" s="147">
        <f t="shared" si="105"/>
        <v>0.024443849476385</v>
      </c>
      <c r="M117" s="147">
        <f t="shared" si="105"/>
        <v>0.0279507999852291</v>
      </c>
      <c r="N117" s="147">
        <f t="shared" si="105"/>
        <v>0.02703225279869</v>
      </c>
      <c r="O117" s="147">
        <f t="shared" si="105"/>
        <v>0.0185345399483146</v>
      </c>
      <c r="P117" s="147">
        <f t="shared" si="105"/>
        <v>0.0240715721473846</v>
      </c>
      <c r="Q117" s="147">
        <f t="shared" ref="Q117:Q141" si="106">SUM(E117:P117)</f>
        <v>0.3755</v>
      </c>
    </row>
    <row r="118" spans="3:17">
      <c r="C118" s="55"/>
      <c r="D118" s="55" t="s">
        <v>407</v>
      </c>
      <c r="E118" s="147">
        <f t="shared" ref="E118:P118" si="107">E294+E467</f>
        <v>0</v>
      </c>
      <c r="F118" s="147">
        <f t="shared" si="107"/>
        <v>0</v>
      </c>
      <c r="G118" s="147">
        <f t="shared" si="107"/>
        <v>0</v>
      </c>
      <c r="H118" s="147">
        <f t="shared" si="107"/>
        <v>0</v>
      </c>
      <c r="I118" s="147">
        <f t="shared" si="107"/>
        <v>0</v>
      </c>
      <c r="J118" s="147">
        <f t="shared" si="107"/>
        <v>0</v>
      </c>
      <c r="K118" s="147">
        <f t="shared" si="107"/>
        <v>0</v>
      </c>
      <c r="L118" s="147">
        <f t="shared" si="107"/>
        <v>0</v>
      </c>
      <c r="M118" s="147">
        <f t="shared" si="107"/>
        <v>0</v>
      </c>
      <c r="N118" s="147">
        <f t="shared" si="107"/>
        <v>0</v>
      </c>
      <c r="O118" s="147">
        <f t="shared" si="107"/>
        <v>0</v>
      </c>
      <c r="P118" s="147">
        <f t="shared" si="107"/>
        <v>0</v>
      </c>
      <c r="Q118" s="147">
        <f t="shared" si="106"/>
        <v>0</v>
      </c>
    </row>
    <row r="119" spans="3:17">
      <c r="C119" s="55"/>
      <c r="D119" s="55" t="s">
        <v>408</v>
      </c>
      <c r="E119" s="147">
        <f t="shared" ref="E119:P119" si="108">E295+E468</f>
        <v>7.80244806402148</v>
      </c>
      <c r="F119" s="147">
        <f t="shared" si="108"/>
        <v>5.48622734069936</v>
      </c>
      <c r="G119" s="147">
        <f t="shared" si="108"/>
        <v>4.56149897878834</v>
      </c>
      <c r="H119" s="147">
        <f t="shared" si="108"/>
        <v>6.44092163594741</v>
      </c>
      <c r="I119" s="147">
        <f t="shared" si="108"/>
        <v>6.44092163594741</v>
      </c>
      <c r="J119" s="147">
        <f t="shared" si="108"/>
        <v>4.59145017236474</v>
      </c>
      <c r="K119" s="147">
        <f t="shared" si="108"/>
        <v>6.44092163594741</v>
      </c>
      <c r="L119" s="147">
        <f t="shared" si="108"/>
        <v>6.05199585564587</v>
      </c>
      <c r="M119" s="147">
        <f t="shared" si="108"/>
        <v>9.87700549875283</v>
      </c>
      <c r="N119" s="147">
        <f t="shared" si="108"/>
        <v>10.0420465983961</v>
      </c>
      <c r="O119" s="147">
        <f t="shared" si="108"/>
        <v>10.5919625007976</v>
      </c>
      <c r="P119" s="147">
        <f t="shared" si="108"/>
        <v>10.6367615465702</v>
      </c>
      <c r="Q119" s="147">
        <f t="shared" si="106"/>
        <v>88.9641614638788</v>
      </c>
    </row>
    <row r="120" spans="3:17">
      <c r="C120" s="55"/>
      <c r="D120" s="55" t="s">
        <v>409</v>
      </c>
      <c r="E120" s="147">
        <f t="shared" ref="E120:P120" si="109">E296+E469</f>
        <v>2.22498955113912</v>
      </c>
      <c r="F120" s="147">
        <f t="shared" si="109"/>
        <v>1.56448314786196</v>
      </c>
      <c r="G120" s="147">
        <f t="shared" si="109"/>
        <v>1.30078245725672</v>
      </c>
      <c r="H120" s="147">
        <f t="shared" si="109"/>
        <v>1.83672909093386</v>
      </c>
      <c r="I120" s="147">
        <f t="shared" si="109"/>
        <v>1.83672909093386</v>
      </c>
      <c r="J120" s="147">
        <f t="shared" si="109"/>
        <v>1.30932350645113</v>
      </c>
      <c r="K120" s="147">
        <f t="shared" si="109"/>
        <v>1.83672909093386</v>
      </c>
      <c r="L120" s="147">
        <f t="shared" si="109"/>
        <v>1.72582084902837</v>
      </c>
      <c r="M120" s="147">
        <f t="shared" si="109"/>
        <v>2.81658190492868</v>
      </c>
      <c r="N120" s="147">
        <f t="shared" si="109"/>
        <v>2.86364594421502</v>
      </c>
      <c r="O120" s="147">
        <f t="shared" si="109"/>
        <v>3.02046302608585</v>
      </c>
      <c r="P120" s="147">
        <f t="shared" si="109"/>
        <v>3.03323817151805</v>
      </c>
      <c r="Q120" s="147">
        <f t="shared" si="106"/>
        <v>25.3695158312865</v>
      </c>
    </row>
    <row r="121" spans="3:17">
      <c r="C121" s="55"/>
      <c r="D121" s="55" t="s">
        <v>410</v>
      </c>
      <c r="E121" s="147">
        <f t="shared" ref="E121:P121" si="110">E297+E470</f>
        <v>7.68292779748834</v>
      </c>
      <c r="F121" s="147">
        <f t="shared" si="110"/>
        <v>6.58838785236162</v>
      </c>
      <c r="G121" s="147">
        <f t="shared" si="110"/>
        <v>15.6715537598435</v>
      </c>
      <c r="H121" s="147">
        <f t="shared" si="110"/>
        <v>22.7952441344944</v>
      </c>
      <c r="I121" s="147">
        <f t="shared" si="110"/>
        <v>12.4389044850918</v>
      </c>
      <c r="J121" s="147">
        <f t="shared" si="110"/>
        <v>9.14720619040524</v>
      </c>
      <c r="K121" s="147">
        <f t="shared" si="110"/>
        <v>5.54713360427051</v>
      </c>
      <c r="L121" s="147">
        <f t="shared" si="110"/>
        <v>7.70263410504046</v>
      </c>
      <c r="M121" s="147">
        <f t="shared" si="110"/>
        <v>8.80772831780792</v>
      </c>
      <c r="N121" s="147">
        <f t="shared" si="110"/>
        <v>8.5182799274077</v>
      </c>
      <c r="O121" s="147">
        <f t="shared" si="110"/>
        <v>5.84051950021404</v>
      </c>
      <c r="P121" s="147">
        <f t="shared" si="110"/>
        <v>7.58532377494445</v>
      </c>
      <c r="Q121" s="147">
        <f t="shared" si="106"/>
        <v>118.32584344937</v>
      </c>
    </row>
    <row r="122" spans="3:17">
      <c r="C122" s="55"/>
      <c r="D122" s="55" t="s">
        <v>368</v>
      </c>
      <c r="E122" s="147">
        <f t="shared" ref="E122:P122" si="111">E298+E471</f>
        <v>0.00169806342756752</v>
      </c>
      <c r="F122" s="147">
        <f t="shared" si="111"/>
        <v>0.00181959108266529</v>
      </c>
      <c r="G122" s="147">
        <f t="shared" si="111"/>
        <v>0.00188518447401193</v>
      </c>
      <c r="H122" s="147">
        <f t="shared" si="111"/>
        <v>0.00412143916355103</v>
      </c>
      <c r="I122" s="147">
        <f t="shared" si="111"/>
        <v>0.00967638678287898</v>
      </c>
      <c r="J122" s="147">
        <f t="shared" si="111"/>
        <v>0.00488721752704033</v>
      </c>
      <c r="K122" s="147">
        <f t="shared" si="111"/>
        <v>0.00538694995474754</v>
      </c>
      <c r="L122" s="147">
        <f t="shared" si="111"/>
        <v>0.00184761248791175</v>
      </c>
      <c r="M122" s="147">
        <f t="shared" si="111"/>
        <v>0.00316958844284514</v>
      </c>
      <c r="N122" s="147">
        <f t="shared" si="111"/>
        <v>0.00604801076494963</v>
      </c>
      <c r="O122" s="147">
        <f t="shared" si="111"/>
        <v>0.0054317898050051</v>
      </c>
      <c r="P122" s="147">
        <f t="shared" si="111"/>
        <v>0.0025230815797835</v>
      </c>
      <c r="Q122" s="147">
        <f t="shared" si="106"/>
        <v>0.0484949154929577</v>
      </c>
    </row>
    <row r="123" spans="3:17">
      <c r="C123" s="55"/>
      <c r="D123" s="55" t="s">
        <v>411</v>
      </c>
      <c r="E123" s="147">
        <f t="shared" ref="E123:P123" si="112">E299+E472</f>
        <v>299.778523834921</v>
      </c>
      <c r="F123" s="147">
        <f t="shared" si="112"/>
        <v>309.119425752202</v>
      </c>
      <c r="G123" s="147">
        <f t="shared" si="112"/>
        <v>289.413291197946</v>
      </c>
      <c r="H123" s="147">
        <f t="shared" si="112"/>
        <v>226.672363372664</v>
      </c>
      <c r="I123" s="147">
        <f t="shared" si="112"/>
        <v>278.791023347244</v>
      </c>
      <c r="J123" s="147">
        <f t="shared" si="112"/>
        <v>245.74529947135</v>
      </c>
      <c r="K123" s="147">
        <f t="shared" si="112"/>
        <v>301.278120709321</v>
      </c>
      <c r="L123" s="147">
        <f t="shared" si="112"/>
        <v>232.306921145074</v>
      </c>
      <c r="M123" s="147">
        <f t="shared" si="112"/>
        <v>254.65955264873</v>
      </c>
      <c r="N123" s="147">
        <f t="shared" si="112"/>
        <v>271.504383489289</v>
      </c>
      <c r="O123" s="147">
        <f t="shared" si="112"/>
        <v>278.681882120385</v>
      </c>
      <c r="P123" s="147">
        <f t="shared" si="112"/>
        <v>298.825373498811</v>
      </c>
      <c r="Q123" s="147">
        <f t="shared" si="106"/>
        <v>3286.77616058794</v>
      </c>
    </row>
    <row r="124" spans="3:17">
      <c r="C124" s="55"/>
      <c r="D124" s="55" t="s">
        <v>412</v>
      </c>
      <c r="E124" s="147">
        <f t="shared" ref="E124:P124" si="113">E300+E473</f>
        <v>8.73190761338825</v>
      </c>
      <c r="F124" s="147">
        <f t="shared" si="113"/>
        <v>9.00398811977014</v>
      </c>
      <c r="G124" s="147">
        <f t="shared" si="113"/>
        <v>8.42999054268049</v>
      </c>
      <c r="H124" s="147">
        <f t="shared" si="113"/>
        <v>6.60248142581556</v>
      </c>
      <c r="I124" s="147">
        <f t="shared" si="113"/>
        <v>8.12058658561762</v>
      </c>
      <c r="J124" s="147">
        <f t="shared" si="113"/>
        <v>7.15803528537589</v>
      </c>
      <c r="K124" s="147">
        <f t="shared" si="113"/>
        <v>8.77558766490455</v>
      </c>
      <c r="L124" s="147">
        <f t="shared" si="113"/>
        <v>6.76660404968329</v>
      </c>
      <c r="M124" s="147">
        <f t="shared" si="113"/>
        <v>7.41768842593942</v>
      </c>
      <c r="N124" s="147">
        <f t="shared" si="113"/>
        <v>7.90834234197482</v>
      </c>
      <c r="O124" s="147">
        <f t="shared" si="113"/>
        <v>8.11740753497197</v>
      </c>
      <c r="P124" s="147">
        <f t="shared" si="113"/>
        <v>8.7041443814859</v>
      </c>
      <c r="Q124" s="147">
        <f t="shared" si="106"/>
        <v>95.7367639716079</v>
      </c>
    </row>
    <row r="125" spans="3:17">
      <c r="C125" s="55"/>
      <c r="D125" s="55" t="s">
        <v>413</v>
      </c>
      <c r="E125" s="147">
        <f t="shared" ref="E125:P125" si="114">E301+E474</f>
        <v>34.7425509908135</v>
      </c>
      <c r="F125" s="147">
        <f t="shared" si="114"/>
        <v>35.8251060618366</v>
      </c>
      <c r="G125" s="147">
        <f t="shared" si="114"/>
        <v>33.541282071296</v>
      </c>
      <c r="H125" s="147">
        <f t="shared" si="114"/>
        <v>26.2699810578146</v>
      </c>
      <c r="I125" s="147">
        <f t="shared" si="114"/>
        <v>32.3102242966426</v>
      </c>
      <c r="J125" s="147">
        <f t="shared" si="114"/>
        <v>28.4804211069424</v>
      </c>
      <c r="K125" s="147">
        <f t="shared" si="114"/>
        <v>34.9163453647667</v>
      </c>
      <c r="L125" s="147">
        <f t="shared" si="114"/>
        <v>26.9229928487006</v>
      </c>
      <c r="M125" s="147">
        <f t="shared" si="114"/>
        <v>29.513530122219</v>
      </c>
      <c r="N125" s="147">
        <f t="shared" si="114"/>
        <v>31.4657460012057</v>
      </c>
      <c r="O125" s="147">
        <f t="shared" si="114"/>
        <v>32.2975754764708</v>
      </c>
      <c r="P125" s="147">
        <f t="shared" si="114"/>
        <v>34.6320865261462</v>
      </c>
      <c r="Q125" s="147">
        <f t="shared" si="106"/>
        <v>380.917841924855</v>
      </c>
    </row>
    <row r="126" spans="3:17">
      <c r="C126" s="55"/>
      <c r="D126" s="55" t="s">
        <v>414</v>
      </c>
      <c r="E126" s="147">
        <f t="shared" ref="E126:P126" si="115">E302+E475</f>
        <v>30.1060409099641</v>
      </c>
      <c r="F126" s="147">
        <f t="shared" si="115"/>
        <v>31.0441253719868</v>
      </c>
      <c r="G126" s="147">
        <f t="shared" si="115"/>
        <v>29.0650853611207</v>
      </c>
      <c r="H126" s="147">
        <f t="shared" si="115"/>
        <v>22.7641638819116</v>
      </c>
      <c r="I126" s="147">
        <f t="shared" si="115"/>
        <v>27.998316379878</v>
      </c>
      <c r="J126" s="147">
        <f t="shared" si="115"/>
        <v>24.6796132847393</v>
      </c>
      <c r="K126" s="147">
        <f t="shared" si="115"/>
        <v>30.2566418411836</v>
      </c>
      <c r="L126" s="147">
        <f t="shared" si="115"/>
        <v>23.3300290567603</v>
      </c>
      <c r="M126" s="147">
        <f t="shared" si="115"/>
        <v>25.5748504331742</v>
      </c>
      <c r="N126" s="147">
        <f t="shared" si="115"/>
        <v>27.2665365483762</v>
      </c>
      <c r="O126" s="147">
        <f t="shared" si="115"/>
        <v>27.9873555872276</v>
      </c>
      <c r="P126" s="147">
        <f t="shared" si="115"/>
        <v>30.0103182990007</v>
      </c>
      <c r="Q126" s="147">
        <f t="shared" si="106"/>
        <v>330.083076955323</v>
      </c>
    </row>
    <row r="127" spans="3:17">
      <c r="C127" s="55"/>
      <c r="D127" s="55" t="s">
        <v>415</v>
      </c>
      <c r="E127" s="147">
        <f t="shared" ref="E127:P127" si="116">E303+E476</f>
        <v>71.6477165585124</v>
      </c>
      <c r="F127" s="147">
        <f t="shared" si="116"/>
        <v>73.8802123504348</v>
      </c>
      <c r="G127" s="147">
        <f t="shared" si="116"/>
        <v>69.1704035057402</v>
      </c>
      <c r="H127" s="147">
        <f t="shared" si="116"/>
        <v>54.175185849924</v>
      </c>
      <c r="I127" s="147">
        <f t="shared" si="116"/>
        <v>66.6316584801135</v>
      </c>
      <c r="J127" s="147">
        <f t="shared" si="116"/>
        <v>58.7336588921418</v>
      </c>
      <c r="K127" s="147">
        <f t="shared" si="116"/>
        <v>72.0061234598294</v>
      </c>
      <c r="L127" s="147">
        <f t="shared" si="116"/>
        <v>55.5218573627656</v>
      </c>
      <c r="M127" s="147">
        <f t="shared" si="116"/>
        <v>60.8641847110476</v>
      </c>
      <c r="N127" s="147">
        <f t="shared" si="116"/>
        <v>64.8901357701871</v>
      </c>
      <c r="O127" s="147">
        <f t="shared" si="116"/>
        <v>66.6055734904789</v>
      </c>
      <c r="P127" s="147">
        <f t="shared" si="116"/>
        <v>71.419911563526</v>
      </c>
      <c r="Q127" s="147">
        <f t="shared" si="106"/>
        <v>785.546621994701</v>
      </c>
    </row>
    <row r="128" spans="3:17">
      <c r="C128" s="55"/>
      <c r="D128" s="55" t="s">
        <v>416</v>
      </c>
      <c r="E128" s="147">
        <f t="shared" ref="E128:P128" si="117">E304+E477</f>
        <v>0</v>
      </c>
      <c r="F128" s="147">
        <f t="shared" si="117"/>
        <v>0</v>
      </c>
      <c r="G128" s="147">
        <f t="shared" si="117"/>
        <v>0</v>
      </c>
      <c r="H128" s="147">
        <f t="shared" si="117"/>
        <v>0</v>
      </c>
      <c r="I128" s="147">
        <f t="shared" si="117"/>
        <v>0</v>
      </c>
      <c r="J128" s="147">
        <f t="shared" si="117"/>
        <v>0</v>
      </c>
      <c r="K128" s="147">
        <f t="shared" si="117"/>
        <v>0</v>
      </c>
      <c r="L128" s="147">
        <f t="shared" si="117"/>
        <v>0</v>
      </c>
      <c r="M128" s="147">
        <f t="shared" si="117"/>
        <v>0</v>
      </c>
      <c r="N128" s="147">
        <f t="shared" si="117"/>
        <v>0</v>
      </c>
      <c r="O128" s="147">
        <f t="shared" si="117"/>
        <v>0</v>
      </c>
      <c r="P128" s="147">
        <f t="shared" si="117"/>
        <v>0</v>
      </c>
      <c r="Q128" s="147">
        <f t="shared" si="106"/>
        <v>0</v>
      </c>
    </row>
    <row r="129" spans="3:17">
      <c r="C129" s="55"/>
      <c r="D129" s="55" t="s">
        <v>417</v>
      </c>
      <c r="E129" s="147">
        <f t="shared" ref="E129:P129" si="118">E305+E478</f>
        <v>87.5766963267466</v>
      </c>
      <c r="F129" s="147">
        <f t="shared" si="118"/>
        <v>90.3055286665781</v>
      </c>
      <c r="G129" s="147">
        <f t="shared" si="118"/>
        <v>84.5486180661963</v>
      </c>
      <c r="H129" s="147">
        <f t="shared" si="118"/>
        <v>66.2196093262678</v>
      </c>
      <c r="I129" s="147">
        <f t="shared" si="118"/>
        <v>81.4454500541525</v>
      </c>
      <c r="J129" s="147">
        <f t="shared" si="118"/>
        <v>71.7915386006073</v>
      </c>
      <c r="K129" s="147">
        <f t="shared" si="118"/>
        <v>88.0147855480885</v>
      </c>
      <c r="L129" s="147">
        <f t="shared" si="118"/>
        <v>67.8656777258895</v>
      </c>
      <c r="M129" s="147">
        <f t="shared" si="118"/>
        <v>74.395730633807</v>
      </c>
      <c r="N129" s="147">
        <f t="shared" si="118"/>
        <v>79.316745709628</v>
      </c>
      <c r="O129" s="147">
        <f t="shared" si="118"/>
        <v>81.4135657551736</v>
      </c>
      <c r="P129" s="147">
        <f t="shared" si="118"/>
        <v>87.298244900436</v>
      </c>
      <c r="Q129" s="147">
        <f t="shared" si="106"/>
        <v>960.192191313571</v>
      </c>
    </row>
    <row r="130" spans="3:17">
      <c r="C130" s="55"/>
      <c r="D130" s="55" t="s">
        <v>418</v>
      </c>
      <c r="E130" s="147">
        <f t="shared" ref="E130:P130" si="119">E306+E479</f>
        <v>44.817776492596</v>
      </c>
      <c r="F130" s="147">
        <f t="shared" si="119"/>
        <v>46.214268973153</v>
      </c>
      <c r="G130" s="147">
        <f t="shared" si="119"/>
        <v>43.2681435379901</v>
      </c>
      <c r="H130" s="147">
        <f t="shared" si="119"/>
        <v>33.8881891495296</v>
      </c>
      <c r="I130" s="147">
        <f t="shared" si="119"/>
        <v>41.6800830582494</v>
      </c>
      <c r="J130" s="147">
        <f t="shared" si="119"/>
        <v>36.7396495416663</v>
      </c>
      <c r="K130" s="147">
        <f t="shared" si="119"/>
        <v>45.0419706632994</v>
      </c>
      <c r="L130" s="147">
        <f t="shared" si="119"/>
        <v>34.7305722116916</v>
      </c>
      <c r="M130" s="147">
        <f t="shared" si="119"/>
        <v>38.072356772963</v>
      </c>
      <c r="N130" s="147">
        <f t="shared" si="119"/>
        <v>40.5907088350456</v>
      </c>
      <c r="O130" s="147">
        <f t="shared" si="119"/>
        <v>41.6637661218362</v>
      </c>
      <c r="P130" s="147">
        <f t="shared" si="119"/>
        <v>44.6752776965479</v>
      </c>
      <c r="Q130" s="147">
        <f t="shared" si="106"/>
        <v>491.382763054568</v>
      </c>
    </row>
    <row r="131" spans="3:17">
      <c r="C131" s="55"/>
      <c r="D131" s="687" t="s">
        <v>419</v>
      </c>
      <c r="E131" s="147">
        <f t="shared" ref="E131:P131" si="120">E307+E480</f>
        <v>0</v>
      </c>
      <c r="F131" s="147">
        <f t="shared" si="120"/>
        <v>0</v>
      </c>
      <c r="G131" s="147">
        <f t="shared" si="120"/>
        <v>0</v>
      </c>
      <c r="H131" s="147">
        <f t="shared" si="120"/>
        <v>0</v>
      </c>
      <c r="I131" s="147">
        <f t="shared" si="120"/>
        <v>0</v>
      </c>
      <c r="J131" s="147">
        <f t="shared" si="120"/>
        <v>0</v>
      </c>
      <c r="K131" s="147">
        <f t="shared" si="120"/>
        <v>0</v>
      </c>
      <c r="L131" s="147">
        <f t="shared" si="120"/>
        <v>0</v>
      </c>
      <c r="M131" s="147">
        <f t="shared" si="120"/>
        <v>0</v>
      </c>
      <c r="N131" s="147">
        <f t="shared" si="120"/>
        <v>0</v>
      </c>
      <c r="O131" s="147">
        <f t="shared" si="120"/>
        <v>0</v>
      </c>
      <c r="P131" s="147">
        <f t="shared" si="120"/>
        <v>0</v>
      </c>
      <c r="Q131" s="147">
        <f t="shared" si="106"/>
        <v>0</v>
      </c>
    </row>
    <row r="132" spans="3:17">
      <c r="C132" s="55"/>
      <c r="D132" s="687" t="s">
        <v>420</v>
      </c>
      <c r="E132" s="147">
        <f t="shared" ref="E132:P132" si="121">E308+E481</f>
        <v>0</v>
      </c>
      <c r="F132" s="147">
        <f t="shared" si="121"/>
        <v>0</v>
      </c>
      <c r="G132" s="147">
        <f t="shared" si="121"/>
        <v>0</v>
      </c>
      <c r="H132" s="147">
        <f t="shared" si="121"/>
        <v>0</v>
      </c>
      <c r="I132" s="147">
        <f t="shared" si="121"/>
        <v>0</v>
      </c>
      <c r="J132" s="147">
        <f t="shared" si="121"/>
        <v>0</v>
      </c>
      <c r="K132" s="147">
        <f t="shared" si="121"/>
        <v>0</v>
      </c>
      <c r="L132" s="147">
        <f t="shared" si="121"/>
        <v>0</v>
      </c>
      <c r="M132" s="147">
        <f t="shared" si="121"/>
        <v>0</v>
      </c>
      <c r="N132" s="147">
        <f t="shared" si="121"/>
        <v>0</v>
      </c>
      <c r="O132" s="147">
        <f t="shared" si="121"/>
        <v>0</v>
      </c>
      <c r="P132" s="147">
        <f t="shared" si="121"/>
        <v>0</v>
      </c>
      <c r="Q132" s="147">
        <f t="shared" si="106"/>
        <v>0</v>
      </c>
    </row>
    <row r="133" spans="3:17">
      <c r="C133" s="55"/>
      <c r="D133" s="55"/>
      <c r="E133" s="55">
        <f t="shared" ref="E133:P133" si="122">E309+E482</f>
        <v>0</v>
      </c>
      <c r="F133" s="55">
        <f t="shared" si="122"/>
        <v>0</v>
      </c>
      <c r="G133" s="55">
        <f t="shared" si="122"/>
        <v>0</v>
      </c>
      <c r="H133" s="55">
        <f t="shared" si="122"/>
        <v>0</v>
      </c>
      <c r="I133" s="55">
        <f t="shared" si="122"/>
        <v>0</v>
      </c>
      <c r="J133" s="55">
        <f t="shared" si="122"/>
        <v>0</v>
      </c>
      <c r="K133" s="55">
        <f t="shared" si="122"/>
        <v>0</v>
      </c>
      <c r="L133" s="55">
        <f t="shared" si="122"/>
        <v>0</v>
      </c>
      <c r="M133" s="55">
        <f t="shared" si="122"/>
        <v>0</v>
      </c>
      <c r="N133" s="55">
        <f t="shared" si="122"/>
        <v>0</v>
      </c>
      <c r="O133" s="55">
        <f t="shared" si="122"/>
        <v>0</v>
      </c>
      <c r="P133" s="55">
        <f t="shared" si="122"/>
        <v>0</v>
      </c>
      <c r="Q133" s="55">
        <f t="shared" si="106"/>
        <v>0</v>
      </c>
    </row>
    <row r="134" spans="3:17">
      <c r="C134" s="55"/>
      <c r="D134" s="55"/>
      <c r="E134" s="55">
        <f t="shared" ref="E134:P134" si="123">E310+E483</f>
        <v>0</v>
      </c>
      <c r="F134" s="55">
        <f t="shared" si="123"/>
        <v>0</v>
      </c>
      <c r="G134" s="55">
        <f t="shared" si="123"/>
        <v>0</v>
      </c>
      <c r="H134" s="55">
        <f t="shared" si="123"/>
        <v>0</v>
      </c>
      <c r="I134" s="55">
        <f t="shared" si="123"/>
        <v>0</v>
      </c>
      <c r="J134" s="55">
        <f t="shared" si="123"/>
        <v>0</v>
      </c>
      <c r="K134" s="55">
        <f t="shared" si="123"/>
        <v>0</v>
      </c>
      <c r="L134" s="55">
        <f t="shared" si="123"/>
        <v>0</v>
      </c>
      <c r="M134" s="55">
        <f t="shared" si="123"/>
        <v>0</v>
      </c>
      <c r="N134" s="55">
        <f t="shared" si="123"/>
        <v>0</v>
      </c>
      <c r="O134" s="55">
        <f t="shared" si="123"/>
        <v>0</v>
      </c>
      <c r="P134" s="55">
        <f t="shared" si="123"/>
        <v>0</v>
      </c>
      <c r="Q134" s="55">
        <f t="shared" si="106"/>
        <v>0</v>
      </c>
    </row>
    <row r="135" spans="3:17">
      <c r="C135" s="55"/>
      <c r="D135" s="55"/>
      <c r="E135" s="55">
        <f t="shared" ref="E135:P135" si="124">E311+E484</f>
        <v>0</v>
      </c>
      <c r="F135" s="55">
        <f t="shared" si="124"/>
        <v>0</v>
      </c>
      <c r="G135" s="55">
        <f t="shared" si="124"/>
        <v>0</v>
      </c>
      <c r="H135" s="55">
        <f t="shared" si="124"/>
        <v>0</v>
      </c>
      <c r="I135" s="55">
        <f t="shared" si="124"/>
        <v>0</v>
      </c>
      <c r="J135" s="55">
        <f t="shared" si="124"/>
        <v>0</v>
      </c>
      <c r="K135" s="55">
        <f t="shared" si="124"/>
        <v>0</v>
      </c>
      <c r="L135" s="55">
        <f t="shared" si="124"/>
        <v>0</v>
      </c>
      <c r="M135" s="55">
        <f t="shared" si="124"/>
        <v>0</v>
      </c>
      <c r="N135" s="55">
        <f t="shared" si="124"/>
        <v>0</v>
      </c>
      <c r="O135" s="55">
        <f t="shared" si="124"/>
        <v>0</v>
      </c>
      <c r="P135" s="55">
        <f t="shared" si="124"/>
        <v>0</v>
      </c>
      <c r="Q135" s="55">
        <f t="shared" si="106"/>
        <v>0</v>
      </c>
    </row>
    <row r="136" spans="3:17">
      <c r="C136" s="55"/>
      <c r="D136" s="55"/>
      <c r="E136" s="55">
        <f t="shared" ref="E136:P136" si="125">E312+E485</f>
        <v>0</v>
      </c>
      <c r="F136" s="55">
        <f t="shared" si="125"/>
        <v>0</v>
      </c>
      <c r="G136" s="55">
        <f t="shared" si="125"/>
        <v>0</v>
      </c>
      <c r="H136" s="55">
        <f t="shared" si="125"/>
        <v>0</v>
      </c>
      <c r="I136" s="55">
        <f t="shared" si="125"/>
        <v>0</v>
      </c>
      <c r="J136" s="55">
        <f t="shared" si="125"/>
        <v>0</v>
      </c>
      <c r="K136" s="55">
        <f t="shared" si="125"/>
        <v>0</v>
      </c>
      <c r="L136" s="55">
        <f t="shared" si="125"/>
        <v>0</v>
      </c>
      <c r="M136" s="55">
        <f t="shared" si="125"/>
        <v>0</v>
      </c>
      <c r="N136" s="55">
        <f t="shared" si="125"/>
        <v>0</v>
      </c>
      <c r="O136" s="55">
        <f t="shared" si="125"/>
        <v>0</v>
      </c>
      <c r="P136" s="55">
        <f t="shared" si="125"/>
        <v>0</v>
      </c>
      <c r="Q136" s="55">
        <f t="shared" si="106"/>
        <v>0</v>
      </c>
    </row>
    <row r="137" spans="3:17">
      <c r="C137" s="55"/>
      <c r="D137" s="55"/>
      <c r="E137" s="55">
        <f t="shared" ref="E137:P137" si="126">E313+E486</f>
        <v>0</v>
      </c>
      <c r="F137" s="55">
        <f t="shared" si="126"/>
        <v>0</v>
      </c>
      <c r="G137" s="55">
        <f t="shared" si="126"/>
        <v>0</v>
      </c>
      <c r="H137" s="55">
        <f t="shared" si="126"/>
        <v>0</v>
      </c>
      <c r="I137" s="55">
        <f t="shared" si="126"/>
        <v>0</v>
      </c>
      <c r="J137" s="55">
        <f t="shared" si="126"/>
        <v>0</v>
      </c>
      <c r="K137" s="55">
        <f t="shared" si="126"/>
        <v>0</v>
      </c>
      <c r="L137" s="55">
        <f t="shared" si="126"/>
        <v>0</v>
      </c>
      <c r="M137" s="55">
        <f t="shared" si="126"/>
        <v>0</v>
      </c>
      <c r="N137" s="55">
        <f t="shared" si="126"/>
        <v>0</v>
      </c>
      <c r="O137" s="55">
        <f t="shared" si="126"/>
        <v>0</v>
      </c>
      <c r="P137" s="55">
        <f t="shared" si="126"/>
        <v>0</v>
      </c>
      <c r="Q137" s="55">
        <f t="shared" si="106"/>
        <v>0</v>
      </c>
    </row>
    <row r="138" spans="3:17">
      <c r="C138" s="55"/>
      <c r="D138" s="55"/>
      <c r="E138" s="55">
        <f t="shared" ref="E138:P138" si="127">E314+E487</f>
        <v>0</v>
      </c>
      <c r="F138" s="55">
        <f t="shared" si="127"/>
        <v>0</v>
      </c>
      <c r="G138" s="55">
        <f t="shared" si="127"/>
        <v>0</v>
      </c>
      <c r="H138" s="55">
        <f t="shared" si="127"/>
        <v>0</v>
      </c>
      <c r="I138" s="55">
        <f t="shared" si="127"/>
        <v>0</v>
      </c>
      <c r="J138" s="55">
        <f t="shared" si="127"/>
        <v>0</v>
      </c>
      <c r="K138" s="55">
        <f t="shared" si="127"/>
        <v>0</v>
      </c>
      <c r="L138" s="55">
        <f t="shared" si="127"/>
        <v>0</v>
      </c>
      <c r="M138" s="55">
        <f t="shared" si="127"/>
        <v>0</v>
      </c>
      <c r="N138" s="55">
        <f t="shared" si="127"/>
        <v>0</v>
      </c>
      <c r="O138" s="55">
        <f t="shared" si="127"/>
        <v>0</v>
      </c>
      <c r="P138" s="55">
        <f t="shared" si="127"/>
        <v>0</v>
      </c>
      <c r="Q138" s="55">
        <f t="shared" si="106"/>
        <v>0</v>
      </c>
    </row>
    <row r="139" spans="3:17">
      <c r="C139" s="55"/>
      <c r="D139" s="55"/>
      <c r="E139" s="55">
        <f t="shared" ref="E139:P139" si="128">E315+E488</f>
        <v>0</v>
      </c>
      <c r="F139" s="55">
        <f t="shared" si="128"/>
        <v>0</v>
      </c>
      <c r="G139" s="55">
        <f t="shared" si="128"/>
        <v>0</v>
      </c>
      <c r="H139" s="55">
        <f t="shared" si="128"/>
        <v>0</v>
      </c>
      <c r="I139" s="55">
        <f t="shared" si="128"/>
        <v>0</v>
      </c>
      <c r="J139" s="55">
        <f t="shared" si="128"/>
        <v>0</v>
      </c>
      <c r="K139" s="55">
        <f t="shared" si="128"/>
        <v>0</v>
      </c>
      <c r="L139" s="55">
        <f t="shared" si="128"/>
        <v>0</v>
      </c>
      <c r="M139" s="55">
        <f t="shared" si="128"/>
        <v>0</v>
      </c>
      <c r="N139" s="55">
        <f t="shared" si="128"/>
        <v>0</v>
      </c>
      <c r="O139" s="55">
        <f t="shared" si="128"/>
        <v>0</v>
      </c>
      <c r="P139" s="55">
        <f t="shared" si="128"/>
        <v>0</v>
      </c>
      <c r="Q139" s="55">
        <f t="shared" si="106"/>
        <v>0</v>
      </c>
    </row>
    <row r="140" spans="3:17">
      <c r="C140" s="55"/>
      <c r="D140" s="55"/>
      <c r="E140" s="55">
        <f t="shared" ref="E140:P140" si="129">E316+E489</f>
        <v>0</v>
      </c>
      <c r="F140" s="55">
        <f t="shared" si="129"/>
        <v>0</v>
      </c>
      <c r="G140" s="55">
        <f t="shared" si="129"/>
        <v>0</v>
      </c>
      <c r="H140" s="55">
        <f t="shared" si="129"/>
        <v>0</v>
      </c>
      <c r="I140" s="55">
        <f t="shared" si="129"/>
        <v>0</v>
      </c>
      <c r="J140" s="55">
        <f t="shared" si="129"/>
        <v>0</v>
      </c>
      <c r="K140" s="55">
        <f t="shared" si="129"/>
        <v>0</v>
      </c>
      <c r="L140" s="55">
        <f t="shared" si="129"/>
        <v>0</v>
      </c>
      <c r="M140" s="55">
        <f t="shared" si="129"/>
        <v>0</v>
      </c>
      <c r="N140" s="55">
        <f t="shared" si="129"/>
        <v>0</v>
      </c>
      <c r="O140" s="55">
        <f t="shared" si="129"/>
        <v>0</v>
      </c>
      <c r="P140" s="55">
        <f t="shared" si="129"/>
        <v>0</v>
      </c>
      <c r="Q140" s="55">
        <f t="shared" si="106"/>
        <v>0</v>
      </c>
    </row>
    <row r="141" ht="15" spans="3:18">
      <c r="C141" s="44" t="s">
        <v>421</v>
      </c>
      <c r="D141" s="45"/>
      <c r="E141" s="681">
        <f t="shared" ref="E141:P141" si="130">SUM(E117:E140)</f>
        <v>595.137657515704</v>
      </c>
      <c r="F141" s="681">
        <f t="shared" si="130"/>
        <v>609.054481083482</v>
      </c>
      <c r="G141" s="681">
        <f t="shared" si="130"/>
        <v>579.02226740358</v>
      </c>
      <c r="H141" s="681">
        <f t="shared" si="130"/>
        <v>467.741329710825</v>
      </c>
      <c r="I141" s="681">
        <f t="shared" si="130"/>
        <v>557.74304792142</v>
      </c>
      <c r="J141" s="681">
        <f t="shared" si="130"/>
        <v>488.410111382318</v>
      </c>
      <c r="K141" s="681">
        <f t="shared" si="130"/>
        <v>594.137350029823</v>
      </c>
      <c r="L141" s="681">
        <f t="shared" si="130"/>
        <v>462.951396672243</v>
      </c>
      <c r="M141" s="681">
        <f t="shared" si="130"/>
        <v>512.030329857798</v>
      </c>
      <c r="N141" s="681">
        <f t="shared" si="130"/>
        <v>544.399651429289</v>
      </c>
      <c r="O141" s="681">
        <f t="shared" si="130"/>
        <v>556.244037443395</v>
      </c>
      <c r="P141" s="681">
        <f t="shared" si="130"/>
        <v>596.847275012714</v>
      </c>
      <c r="Q141" s="681">
        <f t="shared" si="106"/>
        <v>6563.71893546259</v>
      </c>
      <c r="R141" s="686"/>
    </row>
    <row r="142" ht="15" spans="3:17">
      <c r="C142" s="663" t="s">
        <v>422</v>
      </c>
      <c r="D142" s="676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</row>
    <row r="143" spans="3:18">
      <c r="C143" s="55"/>
      <c r="D143" s="55" t="s">
        <v>423</v>
      </c>
      <c r="E143" s="147">
        <f t="shared" ref="E143:P143" si="131">E319+E492</f>
        <v>175.392703902047</v>
      </c>
      <c r="F143" s="147">
        <f t="shared" si="131"/>
        <v>846.371767522551</v>
      </c>
      <c r="G143" s="147">
        <f t="shared" si="131"/>
        <v>545.222713977762</v>
      </c>
      <c r="H143" s="147">
        <f t="shared" si="131"/>
        <v>72.6909487708275</v>
      </c>
      <c r="I143" s="147">
        <f t="shared" si="131"/>
        <v>3.09357586675529</v>
      </c>
      <c r="J143" s="147">
        <f t="shared" si="131"/>
        <v>35.687944483585</v>
      </c>
      <c r="K143" s="147">
        <f t="shared" si="131"/>
        <v>0</v>
      </c>
      <c r="L143" s="147">
        <f t="shared" si="131"/>
        <v>223.776029323808</v>
      </c>
      <c r="M143" s="147">
        <f t="shared" si="131"/>
        <v>90.9179511295266</v>
      </c>
      <c r="N143" s="147">
        <f t="shared" si="131"/>
        <v>77.3785342213801</v>
      </c>
      <c r="O143" s="147">
        <f t="shared" si="131"/>
        <v>379.555119778304</v>
      </c>
      <c r="P143" s="147">
        <f t="shared" si="131"/>
        <v>719.365447714657</v>
      </c>
      <c r="Q143" s="147">
        <f>SUM(E143:P143)</f>
        <v>3169.4527366912</v>
      </c>
      <c r="R143" s="686"/>
    </row>
    <row r="144" spans="3:17"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</row>
    <row r="145" spans="3:17"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</row>
    <row r="146" spans="3:17"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</row>
    <row r="147" spans="3:17"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</row>
    <row r="148" spans="3:17">
      <c r="C148" s="55"/>
      <c r="D148" s="679" t="s">
        <v>534</v>
      </c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</row>
    <row r="149" spans="3:17">
      <c r="C149" s="55"/>
      <c r="D149" s="679" t="s">
        <v>535</v>
      </c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</row>
    <row r="150" spans="3:17">
      <c r="C150" s="55"/>
      <c r="D150" s="679" t="s">
        <v>502</v>
      </c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</row>
    <row r="151" spans="3:17">
      <c r="C151" s="55"/>
      <c r="D151" s="679" t="s">
        <v>503</v>
      </c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</row>
    <row r="152" spans="3:17">
      <c r="C152" s="55"/>
      <c r="D152" s="688" t="s">
        <v>504</v>
      </c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</row>
    <row r="153" spans="3:17">
      <c r="C153" s="55"/>
      <c r="D153" s="679" t="s">
        <v>505</v>
      </c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</row>
    <row r="154" spans="3:17">
      <c r="C154" s="55"/>
      <c r="D154" s="679" t="s">
        <v>506</v>
      </c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</row>
    <row r="155" spans="3:17">
      <c r="C155" s="55"/>
      <c r="D155" s="679" t="s">
        <v>507</v>
      </c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</row>
    <row r="156" spans="3:17">
      <c r="C156" s="55"/>
      <c r="D156" s="679" t="s">
        <v>508</v>
      </c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</row>
    <row r="157" spans="3:17">
      <c r="C157" s="55"/>
      <c r="D157" s="679" t="s">
        <v>509</v>
      </c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</row>
    <row r="158" spans="3:17">
      <c r="C158" s="55"/>
      <c r="D158" s="679" t="s">
        <v>510</v>
      </c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</row>
    <row r="159" spans="3:17">
      <c r="C159" s="55"/>
      <c r="D159" s="679" t="s">
        <v>511</v>
      </c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</row>
    <row r="160" spans="3:17">
      <c r="C160" s="55"/>
      <c r="D160" s="679" t="s">
        <v>512</v>
      </c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</row>
    <row r="161" spans="3:17"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</row>
    <row r="162" spans="3:17"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</row>
    <row r="163" spans="3:17"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</row>
    <row r="164" spans="3:17"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</row>
    <row r="165" spans="3:17"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</row>
    <row r="166" spans="3:17">
      <c r="C166" s="55"/>
      <c r="D166" s="55"/>
      <c r="E166" s="55">
        <f t="shared" ref="E166:P166" si="132">E338+E513</f>
        <v>0</v>
      </c>
      <c r="F166" s="55">
        <f t="shared" si="132"/>
        <v>0</v>
      </c>
      <c r="G166" s="55">
        <f t="shared" si="132"/>
        <v>0</v>
      </c>
      <c r="H166" s="55">
        <f t="shared" si="132"/>
        <v>0</v>
      </c>
      <c r="I166" s="55">
        <f t="shared" si="132"/>
        <v>0</v>
      </c>
      <c r="J166" s="55">
        <f t="shared" si="132"/>
        <v>0</v>
      </c>
      <c r="K166" s="55">
        <f t="shared" si="132"/>
        <v>0</v>
      </c>
      <c r="L166" s="55">
        <f t="shared" si="132"/>
        <v>0</v>
      </c>
      <c r="M166" s="55">
        <f t="shared" si="132"/>
        <v>0</v>
      </c>
      <c r="N166" s="55">
        <f t="shared" si="132"/>
        <v>0</v>
      </c>
      <c r="O166" s="55">
        <f t="shared" si="132"/>
        <v>0</v>
      </c>
      <c r="P166" s="55">
        <f t="shared" si="132"/>
        <v>0</v>
      </c>
      <c r="Q166" s="55">
        <f t="shared" ref="Q166:Q173" si="133">SUM(E166:P166)</f>
        <v>0</v>
      </c>
    </row>
    <row r="167" spans="3:17">
      <c r="C167" s="55"/>
      <c r="D167" s="55"/>
      <c r="E167" s="55">
        <f t="shared" ref="E167:P167" si="134">E339+E514</f>
        <v>0</v>
      </c>
      <c r="F167" s="55">
        <f t="shared" si="134"/>
        <v>0</v>
      </c>
      <c r="G167" s="55">
        <f t="shared" si="134"/>
        <v>0</v>
      </c>
      <c r="H167" s="55">
        <f t="shared" si="134"/>
        <v>0</v>
      </c>
      <c r="I167" s="55">
        <f t="shared" si="134"/>
        <v>0</v>
      </c>
      <c r="J167" s="55">
        <f t="shared" si="134"/>
        <v>0</v>
      </c>
      <c r="K167" s="55">
        <f t="shared" si="134"/>
        <v>0</v>
      </c>
      <c r="L167" s="55">
        <f t="shared" si="134"/>
        <v>0</v>
      </c>
      <c r="M167" s="55">
        <f t="shared" si="134"/>
        <v>0</v>
      </c>
      <c r="N167" s="55">
        <f t="shared" si="134"/>
        <v>0</v>
      </c>
      <c r="O167" s="55">
        <f t="shared" si="134"/>
        <v>0</v>
      </c>
      <c r="P167" s="55">
        <f t="shared" si="134"/>
        <v>0</v>
      </c>
      <c r="Q167" s="55">
        <f t="shared" si="133"/>
        <v>0</v>
      </c>
    </row>
    <row r="168" spans="3:17">
      <c r="C168" s="55"/>
      <c r="D168" s="55"/>
      <c r="E168" s="55">
        <f t="shared" ref="E168:P168" si="135">E340+E515</f>
        <v>0</v>
      </c>
      <c r="F168" s="55">
        <f t="shared" si="135"/>
        <v>0</v>
      </c>
      <c r="G168" s="55">
        <f t="shared" si="135"/>
        <v>0</v>
      </c>
      <c r="H168" s="55">
        <f t="shared" si="135"/>
        <v>0</v>
      </c>
      <c r="I168" s="55">
        <f t="shared" si="135"/>
        <v>0</v>
      </c>
      <c r="J168" s="55">
        <f t="shared" si="135"/>
        <v>0</v>
      </c>
      <c r="K168" s="55">
        <f t="shared" si="135"/>
        <v>0</v>
      </c>
      <c r="L168" s="55">
        <f t="shared" si="135"/>
        <v>0</v>
      </c>
      <c r="M168" s="55">
        <f t="shared" si="135"/>
        <v>0</v>
      </c>
      <c r="N168" s="55">
        <f t="shared" si="135"/>
        <v>0</v>
      </c>
      <c r="O168" s="55">
        <f t="shared" si="135"/>
        <v>0</v>
      </c>
      <c r="P168" s="55">
        <f t="shared" si="135"/>
        <v>0</v>
      </c>
      <c r="Q168" s="55">
        <f t="shared" si="133"/>
        <v>0</v>
      </c>
    </row>
    <row r="169" spans="3:17">
      <c r="C169" s="55"/>
      <c r="D169" s="55"/>
      <c r="E169" s="55">
        <f t="shared" ref="E169:P169" si="136">E341+E516</f>
        <v>0</v>
      </c>
      <c r="F169" s="55">
        <f t="shared" si="136"/>
        <v>0</v>
      </c>
      <c r="G169" s="55">
        <f t="shared" si="136"/>
        <v>0</v>
      </c>
      <c r="H169" s="55">
        <f t="shared" si="136"/>
        <v>0</v>
      </c>
      <c r="I169" s="55">
        <f t="shared" si="136"/>
        <v>0</v>
      </c>
      <c r="J169" s="55">
        <f t="shared" si="136"/>
        <v>0</v>
      </c>
      <c r="K169" s="55">
        <f t="shared" si="136"/>
        <v>0</v>
      </c>
      <c r="L169" s="55">
        <f t="shared" si="136"/>
        <v>0</v>
      </c>
      <c r="M169" s="55">
        <f t="shared" si="136"/>
        <v>0</v>
      </c>
      <c r="N169" s="55">
        <f t="shared" si="136"/>
        <v>0</v>
      </c>
      <c r="O169" s="55">
        <f t="shared" si="136"/>
        <v>0</v>
      </c>
      <c r="P169" s="55">
        <f t="shared" si="136"/>
        <v>0</v>
      </c>
      <c r="Q169" s="55">
        <f t="shared" si="133"/>
        <v>0</v>
      </c>
    </row>
    <row r="170" spans="3:17">
      <c r="C170" s="55"/>
      <c r="D170" s="55"/>
      <c r="E170" s="55">
        <f t="shared" ref="E170:P170" si="137">E342+E517</f>
        <v>0</v>
      </c>
      <c r="F170" s="55">
        <f t="shared" si="137"/>
        <v>0</v>
      </c>
      <c r="G170" s="55">
        <f t="shared" si="137"/>
        <v>0</v>
      </c>
      <c r="H170" s="55">
        <f t="shared" si="137"/>
        <v>0</v>
      </c>
      <c r="I170" s="55">
        <f t="shared" si="137"/>
        <v>0</v>
      </c>
      <c r="J170" s="55">
        <f t="shared" si="137"/>
        <v>0</v>
      </c>
      <c r="K170" s="55">
        <f t="shared" si="137"/>
        <v>0</v>
      </c>
      <c r="L170" s="55">
        <f t="shared" si="137"/>
        <v>0</v>
      </c>
      <c r="M170" s="55">
        <f t="shared" si="137"/>
        <v>0</v>
      </c>
      <c r="N170" s="55">
        <f t="shared" si="137"/>
        <v>0</v>
      </c>
      <c r="O170" s="55">
        <f t="shared" si="137"/>
        <v>0</v>
      </c>
      <c r="P170" s="55">
        <f t="shared" si="137"/>
        <v>0</v>
      </c>
      <c r="Q170" s="55">
        <f t="shared" si="133"/>
        <v>0</v>
      </c>
    </row>
    <row r="171" spans="3:17">
      <c r="C171" s="55"/>
      <c r="D171" s="55"/>
      <c r="E171" s="55">
        <f t="shared" ref="E171:P171" si="138">E343+E518</f>
        <v>0</v>
      </c>
      <c r="F171" s="55">
        <f t="shared" si="138"/>
        <v>0</v>
      </c>
      <c r="G171" s="55">
        <f t="shared" si="138"/>
        <v>0</v>
      </c>
      <c r="H171" s="55">
        <f t="shared" si="138"/>
        <v>0</v>
      </c>
      <c r="I171" s="55">
        <f t="shared" si="138"/>
        <v>0</v>
      </c>
      <c r="J171" s="55">
        <f t="shared" si="138"/>
        <v>0</v>
      </c>
      <c r="K171" s="55">
        <f t="shared" si="138"/>
        <v>0</v>
      </c>
      <c r="L171" s="55">
        <f t="shared" si="138"/>
        <v>0</v>
      </c>
      <c r="M171" s="55">
        <f t="shared" si="138"/>
        <v>0</v>
      </c>
      <c r="N171" s="55">
        <f t="shared" si="138"/>
        <v>0</v>
      </c>
      <c r="O171" s="55">
        <f t="shared" si="138"/>
        <v>0</v>
      </c>
      <c r="P171" s="55">
        <f t="shared" si="138"/>
        <v>0</v>
      </c>
      <c r="Q171" s="55">
        <f t="shared" si="133"/>
        <v>0</v>
      </c>
    </row>
    <row r="172" spans="3:17">
      <c r="C172" s="55"/>
      <c r="D172" s="55"/>
      <c r="E172" s="55">
        <f t="shared" ref="E172:P172" si="139">E344+E519</f>
        <v>0</v>
      </c>
      <c r="F172" s="55">
        <f t="shared" si="139"/>
        <v>0</v>
      </c>
      <c r="G172" s="55">
        <f t="shared" si="139"/>
        <v>0</v>
      </c>
      <c r="H172" s="55">
        <f t="shared" si="139"/>
        <v>0</v>
      </c>
      <c r="I172" s="55">
        <f t="shared" si="139"/>
        <v>0</v>
      </c>
      <c r="J172" s="55">
        <f t="shared" si="139"/>
        <v>0</v>
      </c>
      <c r="K172" s="55">
        <f t="shared" si="139"/>
        <v>0</v>
      </c>
      <c r="L172" s="55">
        <f t="shared" si="139"/>
        <v>0</v>
      </c>
      <c r="M172" s="55">
        <f t="shared" si="139"/>
        <v>0</v>
      </c>
      <c r="N172" s="55">
        <f t="shared" si="139"/>
        <v>0</v>
      </c>
      <c r="O172" s="55">
        <f t="shared" si="139"/>
        <v>0</v>
      </c>
      <c r="P172" s="55">
        <f t="shared" si="139"/>
        <v>0</v>
      </c>
      <c r="Q172" s="55">
        <f t="shared" si="133"/>
        <v>0</v>
      </c>
    </row>
    <row r="173" ht="15" spans="3:18">
      <c r="C173" s="44" t="s">
        <v>424</v>
      </c>
      <c r="D173" s="45"/>
      <c r="E173" s="54">
        <f t="shared" ref="E173:P173" si="140">SUM(E143:E172)</f>
        <v>175.392703902047</v>
      </c>
      <c r="F173" s="54">
        <f t="shared" si="140"/>
        <v>846.371767522551</v>
      </c>
      <c r="G173" s="54">
        <f t="shared" si="140"/>
        <v>545.222713977762</v>
      </c>
      <c r="H173" s="54">
        <f t="shared" si="140"/>
        <v>72.6909487708275</v>
      </c>
      <c r="I173" s="54">
        <f t="shared" si="140"/>
        <v>3.09357586675529</v>
      </c>
      <c r="J173" s="54">
        <f t="shared" si="140"/>
        <v>35.687944483585</v>
      </c>
      <c r="K173" s="54">
        <f t="shared" si="140"/>
        <v>0</v>
      </c>
      <c r="L173" s="54">
        <f t="shared" si="140"/>
        <v>223.776029323808</v>
      </c>
      <c r="M173" s="54">
        <f t="shared" si="140"/>
        <v>90.9179511295266</v>
      </c>
      <c r="N173" s="54">
        <f t="shared" si="140"/>
        <v>77.3785342213801</v>
      </c>
      <c r="O173" s="54">
        <f t="shared" si="140"/>
        <v>379.555119778304</v>
      </c>
      <c r="P173" s="54">
        <f t="shared" si="140"/>
        <v>719.365447714657</v>
      </c>
      <c r="Q173" s="54">
        <f t="shared" si="133"/>
        <v>3169.4527366912</v>
      </c>
      <c r="R173" s="686"/>
    </row>
    <row r="174" ht="15" spans="3:17">
      <c r="C174" s="663" t="s">
        <v>425</v>
      </c>
      <c r="D174" s="676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</row>
    <row r="175" spans="3:18">
      <c r="C175" s="55" t="s">
        <v>426</v>
      </c>
      <c r="D175" s="55" t="s">
        <v>427</v>
      </c>
      <c r="E175" s="147">
        <f>E522+E347</f>
        <v>173.183640561346</v>
      </c>
      <c r="F175" s="147">
        <f t="shared" ref="F175:P175" si="141">F522+F347</f>
        <v>267.83982727971</v>
      </c>
      <c r="G175" s="147">
        <f t="shared" si="141"/>
        <v>272.285907771952</v>
      </c>
      <c r="H175" s="147">
        <f t="shared" si="141"/>
        <v>229.07151999094</v>
      </c>
      <c r="I175" s="147">
        <f t="shared" si="141"/>
        <v>267.97036831288</v>
      </c>
      <c r="J175" s="147">
        <f t="shared" si="141"/>
        <v>261.381078834772</v>
      </c>
      <c r="K175" s="147">
        <f t="shared" si="141"/>
        <v>262.216385174737</v>
      </c>
      <c r="L175" s="147">
        <f t="shared" si="141"/>
        <v>242.324957901759</v>
      </c>
      <c r="M175" s="147">
        <f t="shared" si="141"/>
        <v>185.713566134311</v>
      </c>
      <c r="N175" s="147">
        <f t="shared" si="141"/>
        <v>188.393627672576</v>
      </c>
      <c r="O175" s="147">
        <f t="shared" si="141"/>
        <v>32.035800317347</v>
      </c>
      <c r="P175" s="147">
        <f t="shared" si="141"/>
        <v>34.0503361486841</v>
      </c>
      <c r="Q175" s="147">
        <f>SUM(E175:P175)</f>
        <v>2416.46701610101</v>
      </c>
      <c r="R175" s="686"/>
    </row>
    <row r="176" spans="3:17">
      <c r="C176" s="55" t="s">
        <v>426</v>
      </c>
      <c r="D176" s="55" t="s">
        <v>428</v>
      </c>
      <c r="E176" s="147">
        <f t="shared" ref="E176:P176" si="142">E523+E348</f>
        <v>0</v>
      </c>
      <c r="F176" s="147">
        <f t="shared" si="142"/>
        <v>0</v>
      </c>
      <c r="G176" s="147">
        <f t="shared" si="142"/>
        <v>0</v>
      </c>
      <c r="H176" s="147">
        <f t="shared" si="142"/>
        <v>0</v>
      </c>
      <c r="I176" s="147">
        <f t="shared" si="142"/>
        <v>0</v>
      </c>
      <c r="J176" s="147">
        <f t="shared" si="142"/>
        <v>0</v>
      </c>
      <c r="K176" s="147">
        <f t="shared" si="142"/>
        <v>0</v>
      </c>
      <c r="L176" s="147">
        <f t="shared" si="142"/>
        <v>0</v>
      </c>
      <c r="M176" s="147">
        <f t="shared" si="142"/>
        <v>0</v>
      </c>
      <c r="N176" s="147">
        <f t="shared" si="142"/>
        <v>0</v>
      </c>
      <c r="O176" s="147">
        <f t="shared" si="142"/>
        <v>0</v>
      </c>
      <c r="P176" s="147">
        <f t="shared" si="142"/>
        <v>0</v>
      </c>
      <c r="Q176" s="147">
        <f>SUM(E176:P176)</f>
        <v>0</v>
      </c>
    </row>
    <row r="177" ht="15" spans="3:18">
      <c r="C177" s="44" t="s">
        <v>429</v>
      </c>
      <c r="D177" s="45"/>
      <c r="E177" s="681">
        <f>E175+E176</f>
        <v>173.183640561346</v>
      </c>
      <c r="F177" s="681">
        <f t="shared" ref="F177:P177" si="143">F175+F176</f>
        <v>267.83982727971</v>
      </c>
      <c r="G177" s="681">
        <f t="shared" si="143"/>
        <v>272.285907771952</v>
      </c>
      <c r="H177" s="681">
        <f t="shared" si="143"/>
        <v>229.07151999094</v>
      </c>
      <c r="I177" s="681">
        <f t="shared" si="143"/>
        <v>267.97036831288</v>
      </c>
      <c r="J177" s="681">
        <f t="shared" si="143"/>
        <v>261.381078834772</v>
      </c>
      <c r="K177" s="681">
        <f t="shared" si="143"/>
        <v>262.216385174737</v>
      </c>
      <c r="L177" s="681">
        <f t="shared" si="143"/>
        <v>242.324957901759</v>
      </c>
      <c r="M177" s="681">
        <f t="shared" si="143"/>
        <v>185.713566134311</v>
      </c>
      <c r="N177" s="681">
        <f t="shared" si="143"/>
        <v>188.393627672576</v>
      </c>
      <c r="O177" s="681">
        <f t="shared" si="143"/>
        <v>32.035800317347</v>
      </c>
      <c r="P177" s="681">
        <f t="shared" si="143"/>
        <v>34.0503361486841</v>
      </c>
      <c r="Q177" s="681">
        <f>SUM(E177:P177)</f>
        <v>2416.46701610101</v>
      </c>
      <c r="R177" s="686"/>
    </row>
    <row r="178" ht="15" spans="3:18">
      <c r="C178" s="44" t="s">
        <v>224</v>
      </c>
      <c r="D178" s="45"/>
      <c r="E178" s="681">
        <f>E50+E96+E105+E115+E141+E173+E177</f>
        <v>4347.03699963334</v>
      </c>
      <c r="F178" s="681">
        <f t="shared" ref="F178:Q178" si="144">F50+F96+F105+F115+F141+F173+F177</f>
        <v>3986.02173921171</v>
      </c>
      <c r="G178" s="681">
        <f t="shared" si="144"/>
        <v>3844.26933645916</v>
      </c>
      <c r="H178" s="681">
        <f t="shared" si="144"/>
        <v>3733.17296735718</v>
      </c>
      <c r="I178" s="681">
        <f t="shared" si="144"/>
        <v>3962.79462014583</v>
      </c>
      <c r="J178" s="681">
        <f t="shared" si="144"/>
        <v>4041.48903487866</v>
      </c>
      <c r="K178" s="681">
        <f t="shared" si="144"/>
        <v>3822.73909103728</v>
      </c>
      <c r="L178" s="681">
        <f t="shared" si="144"/>
        <v>3814.62514460168</v>
      </c>
      <c r="M178" s="681">
        <f t="shared" si="144"/>
        <v>3954.54024221348</v>
      </c>
      <c r="N178" s="681">
        <f t="shared" si="144"/>
        <v>4243.7413676459</v>
      </c>
      <c r="O178" s="681">
        <f t="shared" si="144"/>
        <v>4281.50798035305</v>
      </c>
      <c r="P178" s="681">
        <f t="shared" si="144"/>
        <v>5155.19976039643</v>
      </c>
      <c r="Q178" s="681">
        <f t="shared" si="144"/>
        <v>50588.8750689337</v>
      </c>
      <c r="R178" s="686"/>
    </row>
    <row r="180" ht="15" spans="3:10">
      <c r="C180" s="11" t="s">
        <v>513</v>
      </c>
      <c r="J180" s="3"/>
    </row>
    <row r="181" ht="15" spans="3:17">
      <c r="C181" s="14"/>
      <c r="Q181" s="3" t="s">
        <v>109</v>
      </c>
    </row>
    <row r="182" ht="15" spans="3:17">
      <c r="C182" s="658" t="s">
        <v>345</v>
      </c>
      <c r="D182" s="658" t="s">
        <v>346</v>
      </c>
      <c r="E182" s="135" t="s">
        <v>463</v>
      </c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</row>
    <row r="183" ht="15" spans="3:17">
      <c r="C183" s="660"/>
      <c r="D183" s="660"/>
      <c r="E183" s="135" t="s">
        <v>246</v>
      </c>
      <c r="F183" s="135" t="s">
        <v>247</v>
      </c>
      <c r="G183" s="135" t="s">
        <v>248</v>
      </c>
      <c r="H183" s="135" t="s">
        <v>249</v>
      </c>
      <c r="I183" s="135" t="s">
        <v>250</v>
      </c>
      <c r="J183" s="135" t="s">
        <v>251</v>
      </c>
      <c r="K183" s="135" t="s">
        <v>252</v>
      </c>
      <c r="L183" s="135" t="s">
        <v>253</v>
      </c>
      <c r="M183" s="135" t="s">
        <v>254</v>
      </c>
      <c r="N183" s="135" t="s">
        <v>255</v>
      </c>
      <c r="O183" s="135" t="s">
        <v>256</v>
      </c>
      <c r="P183" s="135" t="s">
        <v>257</v>
      </c>
      <c r="Q183" s="135" t="s">
        <v>97</v>
      </c>
    </row>
    <row r="184" spans="3:17">
      <c r="C184" s="662"/>
      <c r="D184" s="662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</row>
    <row r="185" ht="15" spans="2:17">
      <c r="B185" s="656"/>
      <c r="C185" s="663" t="s">
        <v>349</v>
      </c>
      <c r="D185" s="676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</row>
    <row r="186" ht="15" spans="3:17">
      <c r="C186" s="44" t="s">
        <v>350</v>
      </c>
      <c r="D186" s="4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</row>
    <row r="187" spans="2:17">
      <c r="B187" s="656"/>
      <c r="C187" s="689" t="s">
        <v>351</v>
      </c>
      <c r="D187" s="47" t="s">
        <v>352</v>
      </c>
      <c r="E187" s="690">
        <f>'[41]TGSPDCL MoD'!U4+'[41]TGSPDCL MoD'!U5</f>
        <v>31.0152554275835</v>
      </c>
      <c r="F187" s="690">
        <f>'[41]TGSPDCL MoD'!V4+'[41]TGSPDCL MoD'!V5</f>
        <v>37.123345547692</v>
      </c>
      <c r="G187" s="690">
        <f>'[41]TGSPDCL MoD'!W4+'[41]TGSPDCL MoD'!W5</f>
        <v>35.8962479955575</v>
      </c>
      <c r="H187" s="690">
        <f>'[41]TGSPDCL MoD'!X4+'[41]TGSPDCL MoD'!X5</f>
        <v>0</v>
      </c>
      <c r="I187" s="690">
        <f>'[41]TGSPDCL MoD'!Y4+'[41]TGSPDCL MoD'!Y5</f>
        <v>12.35791462729</v>
      </c>
      <c r="J187" s="690">
        <f>'[41]TGSPDCL MoD'!Z4+'[41]TGSPDCL MoD'!Z5</f>
        <v>26.7956663556005</v>
      </c>
      <c r="K187" s="690">
        <f>'[41]TGSPDCL MoD'!AA4+'[41]TGSPDCL MoD'!AA5</f>
        <v>23.9010216967367</v>
      </c>
      <c r="L187" s="690">
        <f>'[41]TGSPDCL MoD'!AB4+'[41]TGSPDCL MoD'!AB5</f>
        <v>36.5349195291025</v>
      </c>
      <c r="M187" s="690">
        <f>'[41]TGSPDCL MoD'!AC4+'[41]TGSPDCL MoD'!AC5</f>
        <v>30.7169362286496</v>
      </c>
      <c r="N187" s="690">
        <f>'[41]TGSPDCL MoD'!AD4+'[41]TGSPDCL MoD'!AD5</f>
        <v>30.964746292398</v>
      </c>
      <c r="O187" s="690">
        <f>'[41]TGSPDCL MoD'!AE4+'[41]TGSPDCL MoD'!AE5</f>
        <v>29.7184012350037</v>
      </c>
      <c r="P187" s="690">
        <f>'[41]TGSPDCL MoD'!AF4+'[41]TGSPDCL MoD'!AF5</f>
        <v>36.1231350643861</v>
      </c>
      <c r="Q187" s="690">
        <f t="shared" ref="Q187:Q205" si="145">SUM(E187:P187)</f>
        <v>331.14759</v>
      </c>
    </row>
    <row r="188" spans="2:17">
      <c r="B188" s="656"/>
      <c r="C188" s="691"/>
      <c r="D188" s="47" t="s">
        <v>353</v>
      </c>
      <c r="E188" s="690">
        <f>'[41]TGSPDCL MoD'!U6</f>
        <v>39.3800582223217</v>
      </c>
      <c r="F188" s="690">
        <f>'[41]TGSPDCL MoD'!V6</f>
        <v>0</v>
      </c>
      <c r="G188" s="690">
        <f>'[41]TGSPDCL MoD'!W6</f>
        <v>22.7301896147821</v>
      </c>
      <c r="H188" s="690">
        <f>'[41]TGSPDCL MoD'!X6</f>
        <v>38.9207823979778</v>
      </c>
      <c r="I188" s="690">
        <f>'[41]TGSPDCL MoD'!Y6</f>
        <v>32.2957331362023</v>
      </c>
      <c r="J188" s="690">
        <f>'[41]TGSPDCL MoD'!Z6</f>
        <v>33.9352126643226</v>
      </c>
      <c r="K188" s="690">
        <f>'[41]TGSPDCL MoD'!AA6</f>
        <v>33.8860581534337</v>
      </c>
      <c r="L188" s="690">
        <f>'[41]TGSPDCL MoD'!AB6</f>
        <v>44.4999486824608</v>
      </c>
      <c r="M188" s="690">
        <f>'[41]TGSPDCL MoD'!AC6</f>
        <v>40.028610913168</v>
      </c>
      <c r="N188" s="690">
        <f>'[41]TGSPDCL MoD'!AD6</f>
        <v>39.229502260088</v>
      </c>
      <c r="O188" s="690">
        <f>'[41]TGSPDCL MoD'!AE6</f>
        <v>37.6704185487072</v>
      </c>
      <c r="P188" s="690">
        <f>'[41]TGSPDCL MoD'!AF6</f>
        <v>44.9908354065359</v>
      </c>
      <c r="Q188" s="690">
        <f t="shared" si="145"/>
        <v>407.56735</v>
      </c>
    </row>
    <row r="189" spans="2:17">
      <c r="B189" s="656"/>
      <c r="C189" s="691"/>
      <c r="D189" s="47" t="s">
        <v>354</v>
      </c>
      <c r="E189" s="690">
        <f>'[41]TGSPDCL MoD'!U7</f>
        <v>108.744562448808</v>
      </c>
      <c r="F189" s="690">
        <f>'[41]TGSPDCL MoD'!V7</f>
        <v>0</v>
      </c>
      <c r="G189" s="690">
        <f>'[41]TGSPDCL MoD'!W7</f>
        <v>57.0519665867854</v>
      </c>
      <c r="H189" s="690">
        <f>'[41]TGSPDCL MoD'!X7</f>
        <v>107.18731721735</v>
      </c>
      <c r="I189" s="690">
        <f>'[41]TGSPDCL MoD'!Y7</f>
        <v>86.8153981379385</v>
      </c>
      <c r="J189" s="690">
        <f>'[41]TGSPDCL MoD'!Z7</f>
        <v>86.6541527626428</v>
      </c>
      <c r="K189" s="690">
        <f>'[41]TGSPDCL MoD'!AA7</f>
        <v>88.0153813165149</v>
      </c>
      <c r="L189" s="690">
        <f>'[41]TGSPDCL MoD'!AB7</f>
        <v>112.758672399883</v>
      </c>
      <c r="M189" s="690">
        <f>'[41]TGSPDCL MoD'!AC7</f>
        <v>100.600652469263</v>
      </c>
      <c r="N189" s="690">
        <f>'[41]TGSPDCL MoD'!AD7</f>
        <v>100.470388106588</v>
      </c>
      <c r="O189" s="690">
        <f>'[41]TGSPDCL MoD'!AE7</f>
        <v>96.7896290836333</v>
      </c>
      <c r="P189" s="690">
        <f>'[41]TGSPDCL MoD'!AF7</f>
        <v>116.244914470593</v>
      </c>
      <c r="Q189" s="690">
        <f t="shared" si="145"/>
        <v>1061.333035</v>
      </c>
    </row>
    <row r="190" spans="2:17">
      <c r="B190" s="656"/>
      <c r="C190" s="691"/>
      <c r="D190" s="47" t="s">
        <v>355</v>
      </c>
      <c r="E190" s="690">
        <f>'[41]TGSPDCL MoD'!U8</f>
        <v>9.97847680238404</v>
      </c>
      <c r="F190" s="690">
        <f>'[41]TGSPDCL MoD'!V8</f>
        <v>0</v>
      </c>
      <c r="G190" s="690">
        <f>'[41]TGSPDCL MoD'!W8</f>
        <v>5.75030866578057</v>
      </c>
      <c r="H190" s="690">
        <f>'[41]TGSPDCL MoD'!X8</f>
        <v>9.52465342238859</v>
      </c>
      <c r="I190" s="690">
        <f>'[41]TGSPDCL MoD'!Y8</f>
        <v>7.95177487557211</v>
      </c>
      <c r="J190" s="690">
        <f>'[41]TGSPDCL MoD'!Z8</f>
        <v>8.45633627320679</v>
      </c>
      <c r="K190" s="690">
        <f>'[41]TGSPDCL MoD'!AA8</f>
        <v>7.68962845110269</v>
      </c>
      <c r="L190" s="690">
        <f>'[41]TGSPDCL MoD'!AB8</f>
        <v>11.7468766090618</v>
      </c>
      <c r="M190" s="690">
        <f>'[41]TGSPDCL MoD'!AC8</f>
        <v>9.33775780429325</v>
      </c>
      <c r="N190" s="690">
        <f>'[41]TGSPDCL MoD'!AD8</f>
        <v>9.78679984685801</v>
      </c>
      <c r="O190" s="690">
        <f>'[41]TGSPDCL MoD'!AE8</f>
        <v>9.55002243120823</v>
      </c>
      <c r="P190" s="690">
        <f>'[41]TGSPDCL MoD'!AF8</f>
        <v>11.6218248181439</v>
      </c>
      <c r="Q190" s="690">
        <f t="shared" si="145"/>
        <v>101.39446</v>
      </c>
    </row>
    <row r="191" spans="2:17">
      <c r="B191" s="656"/>
      <c r="C191" s="691"/>
      <c r="D191" s="47" t="s">
        <v>356</v>
      </c>
      <c r="E191" s="690">
        <f>'[41]TGSPDCL MoD'!U9</f>
        <v>34.405006755406</v>
      </c>
      <c r="F191" s="690">
        <f>'[41]TGSPDCL MoD'!V9</f>
        <v>35.5518403139195</v>
      </c>
      <c r="G191" s="690">
        <f>'[41]TGSPDCL MoD'!W9</f>
        <v>34.5278353144564</v>
      </c>
      <c r="H191" s="690">
        <f>'[41]TGSPDCL MoD'!X9</f>
        <v>36.3029355318192</v>
      </c>
      <c r="I191" s="690">
        <f>'[41]TGSPDCL MoD'!Y9</f>
        <v>29.5430785707219</v>
      </c>
      <c r="J191" s="690">
        <f>'[41]TGSPDCL MoD'!Z9</f>
        <v>32.2244077356972</v>
      </c>
      <c r="K191" s="690">
        <f>'[41]TGSPDCL MoD'!AA9</f>
        <v>0</v>
      </c>
      <c r="L191" s="690">
        <f>'[41]TGSPDCL MoD'!AB9</f>
        <v>17.202503377703</v>
      </c>
      <c r="M191" s="690">
        <f>'[41]TGSPDCL MoD'!AC9</f>
        <v>34.6267119864073</v>
      </c>
      <c r="N191" s="690">
        <f>'[41]TGSPDCL MoD'!AD9</f>
        <v>31.0452690065213</v>
      </c>
      <c r="O191" s="690">
        <f>'[41]TGSPDCL MoD'!AE9</f>
        <v>31.2128049691114</v>
      </c>
      <c r="P191" s="690">
        <f>'[41]TGSPDCL MoD'!AF9</f>
        <v>38.0971164382367</v>
      </c>
      <c r="Q191" s="690">
        <f t="shared" si="145"/>
        <v>354.73951</v>
      </c>
    </row>
    <row r="192" spans="2:17">
      <c r="B192" s="656"/>
      <c r="C192" s="691"/>
      <c r="D192" s="47" t="s">
        <v>357</v>
      </c>
      <c r="E192" s="690">
        <f>'[41]TGSPDCL MoD'!U10</f>
        <v>55.6767963634332</v>
      </c>
      <c r="F192" s="690">
        <f>'[41]TGSPDCL MoD'!V10</f>
        <v>56.5528886038152</v>
      </c>
      <c r="G192" s="690">
        <f>'[41]TGSPDCL MoD'!W10</f>
        <v>55.6767963634332</v>
      </c>
      <c r="H192" s="690">
        <f>'[41]TGSPDCL MoD'!X10</f>
        <v>61.7590386815161</v>
      </c>
      <c r="I192" s="690">
        <f>'[41]TGSPDCL MoD'!Y10</f>
        <v>50.9306029252473</v>
      </c>
      <c r="J192" s="690">
        <f>'[41]TGSPDCL MoD'!Z10</f>
        <v>57.6842739054287</v>
      </c>
      <c r="K192" s="690">
        <f>'[41]TGSPDCL MoD'!AA10</f>
        <v>51.7992576599534</v>
      </c>
      <c r="L192" s="690">
        <f>'[41]TGSPDCL MoD'!AB10</f>
        <v>0</v>
      </c>
      <c r="M192" s="690">
        <f>'[41]TGSPDCL MoD'!AC10</f>
        <v>28.6046198990464</v>
      </c>
      <c r="N192" s="690">
        <f>'[41]TGSPDCL MoD'!AD10</f>
        <v>57.5326895755476</v>
      </c>
      <c r="O192" s="690">
        <f>'[41]TGSPDCL MoD'!AE10</f>
        <v>56.0257237787438</v>
      </c>
      <c r="P192" s="690">
        <f>'[41]TGSPDCL MoD'!AF10</f>
        <v>62.1975022438352</v>
      </c>
      <c r="Q192" s="690">
        <f t="shared" si="145"/>
        <v>594.44019</v>
      </c>
    </row>
    <row r="193" spans="2:17">
      <c r="B193" s="656"/>
      <c r="C193" s="691"/>
      <c r="D193" s="47" t="s">
        <v>358</v>
      </c>
      <c r="E193" s="690">
        <f>SUM('[41]TGSPDCL MoD'!U11:U14)</f>
        <v>137.964853469001</v>
      </c>
      <c r="F193" s="690">
        <f>SUM('[41]TGSPDCL MoD'!V11:V14)</f>
        <v>70.5127558205578</v>
      </c>
      <c r="G193" s="690">
        <f>SUM('[41]TGSPDCL MoD'!W11:W14)</f>
        <v>102.926278667</v>
      </c>
      <c r="H193" s="690">
        <f>SUM('[41]TGSPDCL MoD'!X11:X14)</f>
        <v>147.900430165162</v>
      </c>
      <c r="I193" s="690">
        <f>SUM('[41]TGSPDCL MoD'!Y11:Y14)</f>
        <v>107.759453795993</v>
      </c>
      <c r="J193" s="690">
        <f>SUM('[41]TGSPDCL MoD'!Z11:Z14)</f>
        <v>107.523473692386</v>
      </c>
      <c r="K193" s="690">
        <f>SUM('[41]TGSPDCL MoD'!AA11:AA14)</f>
        <v>123.037306339242</v>
      </c>
      <c r="L193" s="690">
        <f>SUM('[41]TGSPDCL MoD'!AB11:AB14)</f>
        <v>102.80494056422</v>
      </c>
      <c r="M193" s="690">
        <f>SUM('[41]TGSPDCL MoD'!AC11:AC14)</f>
        <v>123.844022249383</v>
      </c>
      <c r="N193" s="690">
        <f>SUM('[41]TGSPDCL MoD'!AD11:AD14)</f>
        <v>140.305188568433</v>
      </c>
      <c r="O193" s="690">
        <f>SUM('[41]TGSPDCL MoD'!AE11:AE14)</f>
        <v>132.71554812519</v>
      </c>
      <c r="P193" s="690">
        <f>SUM('[41]TGSPDCL MoD'!AF11:AF14)</f>
        <v>156.282673543432</v>
      </c>
      <c r="Q193" s="690">
        <f t="shared" si="145"/>
        <v>1453.576925</v>
      </c>
    </row>
    <row r="194" spans="2:17">
      <c r="B194" s="656"/>
      <c r="C194" s="691"/>
      <c r="D194" s="47" t="s">
        <v>359</v>
      </c>
      <c r="E194" s="690">
        <f>SUM('[41]TGSPDCL MoD'!U15:U19)</f>
        <v>447.596682714774</v>
      </c>
      <c r="F194" s="690">
        <f>SUM('[41]TGSPDCL MoD'!V15:V19)</f>
        <v>267.803976149112</v>
      </c>
      <c r="G194" s="690">
        <f>SUM('[41]TGSPDCL MoD'!W15:W19)</f>
        <v>266.683749202895</v>
      </c>
      <c r="H194" s="690">
        <f>SUM('[41]TGSPDCL MoD'!X15:X19)</f>
        <v>288.991466322258</v>
      </c>
      <c r="I194" s="690">
        <f>SUM('[41]TGSPDCL MoD'!Y15:Y19)</f>
        <v>440.167446765436</v>
      </c>
      <c r="J194" s="690">
        <f>SUM('[41]TGSPDCL MoD'!Z15:Z19)</f>
        <v>461.438520847448</v>
      </c>
      <c r="K194" s="690">
        <f>SUM('[41]TGSPDCL MoD'!AA15:AA19)</f>
        <v>427.794712839943</v>
      </c>
      <c r="L194" s="690">
        <f>SUM('[41]TGSPDCL MoD'!AB15:AB19)</f>
        <v>347.36349881464</v>
      </c>
      <c r="M194" s="690">
        <f>SUM('[41]TGSPDCL MoD'!AC15:AC19)</f>
        <v>415.679067649438</v>
      </c>
      <c r="N194" s="690">
        <f>SUM('[41]TGSPDCL MoD'!AD15:AD19)</f>
        <v>462.383705272566</v>
      </c>
      <c r="O194" s="690">
        <f>SUM('[41]TGSPDCL MoD'!AE15:AE19)</f>
        <v>430.675952790952</v>
      </c>
      <c r="P194" s="690">
        <f>SUM('[41]TGSPDCL MoD'!AF15:AF19)</f>
        <v>476.819804875697</v>
      </c>
      <c r="Q194" s="690">
        <f t="shared" si="145"/>
        <v>4733.39858424516</v>
      </c>
    </row>
    <row r="195" spans="2:17">
      <c r="B195" s="656"/>
      <c r="C195" s="691"/>
      <c r="D195" s="679"/>
      <c r="E195" s="690"/>
      <c r="F195" s="690"/>
      <c r="G195" s="690"/>
      <c r="H195" s="690"/>
      <c r="I195" s="690"/>
      <c r="J195" s="690"/>
      <c r="K195" s="690"/>
      <c r="L195" s="690"/>
      <c r="M195" s="690"/>
      <c r="N195" s="690"/>
      <c r="O195" s="690"/>
      <c r="P195" s="690"/>
      <c r="Q195" s="690">
        <f t="shared" si="145"/>
        <v>0</v>
      </c>
    </row>
    <row r="196" spans="2:17">
      <c r="B196" s="656"/>
      <c r="C196" s="691"/>
      <c r="D196" s="47"/>
      <c r="E196" s="690"/>
      <c r="F196" s="690"/>
      <c r="G196" s="690"/>
      <c r="H196" s="690"/>
      <c r="I196" s="690"/>
      <c r="J196" s="690"/>
      <c r="K196" s="690"/>
      <c r="L196" s="690"/>
      <c r="M196" s="690"/>
      <c r="N196" s="690"/>
      <c r="O196" s="690"/>
      <c r="P196" s="690"/>
      <c r="Q196" s="690">
        <f t="shared" si="145"/>
        <v>0</v>
      </c>
    </row>
    <row r="197" spans="2:17">
      <c r="B197" s="656"/>
      <c r="C197" s="691"/>
      <c r="D197" s="47"/>
      <c r="E197" s="690"/>
      <c r="F197" s="690"/>
      <c r="G197" s="690"/>
      <c r="H197" s="690"/>
      <c r="I197" s="690"/>
      <c r="J197" s="690"/>
      <c r="K197" s="690"/>
      <c r="L197" s="690"/>
      <c r="M197" s="690"/>
      <c r="N197" s="690"/>
      <c r="O197" s="690"/>
      <c r="P197" s="690"/>
      <c r="Q197" s="690">
        <f t="shared" si="145"/>
        <v>0</v>
      </c>
    </row>
    <row r="198" spans="2:17">
      <c r="B198" s="656"/>
      <c r="C198" s="691"/>
      <c r="D198" s="47"/>
      <c r="E198" s="690"/>
      <c r="F198" s="690"/>
      <c r="G198" s="690"/>
      <c r="H198" s="690"/>
      <c r="I198" s="690"/>
      <c r="J198" s="690"/>
      <c r="K198" s="690"/>
      <c r="L198" s="690"/>
      <c r="M198" s="690"/>
      <c r="N198" s="690"/>
      <c r="O198" s="690"/>
      <c r="P198" s="690"/>
      <c r="Q198" s="690">
        <f t="shared" si="145"/>
        <v>0</v>
      </c>
    </row>
    <row r="199" spans="2:17">
      <c r="B199" s="656"/>
      <c r="C199" s="691"/>
      <c r="D199" s="47"/>
      <c r="E199" s="690"/>
      <c r="F199" s="690"/>
      <c r="G199" s="690"/>
      <c r="H199" s="690"/>
      <c r="I199" s="690"/>
      <c r="J199" s="690"/>
      <c r="K199" s="690"/>
      <c r="L199" s="690"/>
      <c r="M199" s="690"/>
      <c r="N199" s="690"/>
      <c r="O199" s="690"/>
      <c r="P199" s="690"/>
      <c r="Q199" s="690">
        <f t="shared" si="145"/>
        <v>0</v>
      </c>
    </row>
    <row r="200" spans="2:17">
      <c r="B200" s="656"/>
      <c r="C200" s="691"/>
      <c r="D200" s="47"/>
      <c r="E200" s="690"/>
      <c r="F200" s="690"/>
      <c r="G200" s="690"/>
      <c r="H200" s="690"/>
      <c r="I200" s="690"/>
      <c r="J200" s="690"/>
      <c r="K200" s="690"/>
      <c r="L200" s="690"/>
      <c r="M200" s="690"/>
      <c r="N200" s="690"/>
      <c r="O200" s="690"/>
      <c r="P200" s="690"/>
      <c r="Q200" s="690">
        <f t="shared" si="145"/>
        <v>0</v>
      </c>
    </row>
    <row r="201" spans="2:17">
      <c r="B201" s="656"/>
      <c r="C201" s="691"/>
      <c r="D201" s="47"/>
      <c r="E201" s="690"/>
      <c r="F201" s="690"/>
      <c r="G201" s="690"/>
      <c r="H201" s="690"/>
      <c r="I201" s="690"/>
      <c r="J201" s="690"/>
      <c r="K201" s="690"/>
      <c r="L201" s="690"/>
      <c r="M201" s="690"/>
      <c r="N201" s="690"/>
      <c r="O201" s="690"/>
      <c r="P201" s="690"/>
      <c r="Q201" s="690">
        <f t="shared" si="145"/>
        <v>0</v>
      </c>
    </row>
    <row r="202" spans="2:17">
      <c r="B202" s="656"/>
      <c r="C202" s="691"/>
      <c r="D202" s="47"/>
      <c r="E202" s="690"/>
      <c r="F202" s="690"/>
      <c r="G202" s="690"/>
      <c r="H202" s="690"/>
      <c r="I202" s="690"/>
      <c r="J202" s="690"/>
      <c r="K202" s="690"/>
      <c r="L202" s="690"/>
      <c r="M202" s="690"/>
      <c r="N202" s="690"/>
      <c r="O202" s="690"/>
      <c r="P202" s="690"/>
      <c r="Q202" s="690">
        <f t="shared" si="145"/>
        <v>0</v>
      </c>
    </row>
    <row r="203" spans="2:17">
      <c r="B203" s="656"/>
      <c r="C203" s="691"/>
      <c r="D203" s="47"/>
      <c r="E203" s="690"/>
      <c r="F203" s="690"/>
      <c r="G203" s="690"/>
      <c r="H203" s="690"/>
      <c r="I203" s="690"/>
      <c r="J203" s="690"/>
      <c r="K203" s="690"/>
      <c r="L203" s="690"/>
      <c r="M203" s="690"/>
      <c r="N203" s="690"/>
      <c r="O203" s="690"/>
      <c r="P203" s="690"/>
      <c r="Q203" s="690">
        <f t="shared" si="145"/>
        <v>0</v>
      </c>
    </row>
    <row r="204" spans="2:17">
      <c r="B204" s="656"/>
      <c r="C204" s="692"/>
      <c r="D204" s="47"/>
      <c r="E204" s="690"/>
      <c r="F204" s="690"/>
      <c r="G204" s="690"/>
      <c r="H204" s="690"/>
      <c r="I204" s="690"/>
      <c r="J204" s="690"/>
      <c r="K204" s="690"/>
      <c r="L204" s="690"/>
      <c r="M204" s="690"/>
      <c r="N204" s="690"/>
      <c r="O204" s="690"/>
      <c r="P204" s="690"/>
      <c r="Q204" s="690">
        <f t="shared" si="145"/>
        <v>0</v>
      </c>
    </row>
    <row r="205" ht="15" spans="3:18">
      <c r="C205" s="537" t="s">
        <v>211</v>
      </c>
      <c r="D205" s="540"/>
      <c r="E205" s="690">
        <f t="shared" ref="E205:P205" si="146">SUM(E187:E204)</f>
        <v>864.761692203712</v>
      </c>
      <c r="F205" s="690">
        <f t="shared" si="146"/>
        <v>467.544806435097</v>
      </c>
      <c r="G205" s="690">
        <f t="shared" si="146"/>
        <v>581.243372410691</v>
      </c>
      <c r="H205" s="690">
        <f t="shared" si="146"/>
        <v>690.586623738472</v>
      </c>
      <c r="I205" s="690">
        <f t="shared" si="146"/>
        <v>767.821402834401</v>
      </c>
      <c r="J205" s="690">
        <f t="shared" si="146"/>
        <v>814.712044236733</v>
      </c>
      <c r="K205" s="690">
        <f t="shared" si="146"/>
        <v>756.123366456926</v>
      </c>
      <c r="L205" s="690">
        <f t="shared" si="146"/>
        <v>672.911359977071</v>
      </c>
      <c r="M205" s="690">
        <f t="shared" si="146"/>
        <v>783.438379199649</v>
      </c>
      <c r="N205" s="690">
        <f t="shared" si="146"/>
        <v>871.718288929</v>
      </c>
      <c r="O205" s="690">
        <f t="shared" si="146"/>
        <v>824.358500962549</v>
      </c>
      <c r="P205" s="690">
        <f t="shared" si="146"/>
        <v>942.37780686086</v>
      </c>
      <c r="Q205" s="693">
        <f t="shared" si="145"/>
        <v>9037.59764424516</v>
      </c>
      <c r="R205" s="686"/>
    </row>
    <row r="206" ht="15" spans="3:17">
      <c r="C206" s="44" t="s">
        <v>360</v>
      </c>
      <c r="D206" s="4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</row>
    <row r="207" spans="3:17">
      <c r="C207" s="682" t="s">
        <v>351</v>
      </c>
      <c r="D207" s="55" t="s">
        <v>361</v>
      </c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>
        <f t="shared" ref="Q207:Q217" si="147">SUM(E207:P207)</f>
        <v>0</v>
      </c>
    </row>
    <row r="208" spans="3:17">
      <c r="C208" s="683"/>
      <c r="D208" s="55" t="s">
        <v>362</v>
      </c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>
        <f t="shared" si="147"/>
        <v>0</v>
      </c>
    </row>
    <row r="209" spans="3:17">
      <c r="C209" s="683"/>
      <c r="D209" s="55" t="s">
        <v>363</v>
      </c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>
        <f t="shared" si="147"/>
        <v>0</v>
      </c>
    </row>
    <row r="210" spans="3:17">
      <c r="C210" s="683"/>
      <c r="D210" s="55" t="s">
        <v>364</v>
      </c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>
        <f t="shared" si="147"/>
        <v>0</v>
      </c>
    </row>
    <row r="211" spans="3:17">
      <c r="C211" s="683"/>
      <c r="D211" s="55" t="s">
        <v>365</v>
      </c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>
        <f t="shared" si="147"/>
        <v>0</v>
      </c>
    </row>
    <row r="212" spans="3:17">
      <c r="C212" s="683"/>
      <c r="D212" s="55" t="s">
        <v>366</v>
      </c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>
        <f t="shared" si="147"/>
        <v>0</v>
      </c>
    </row>
    <row r="213" spans="3:17">
      <c r="C213" s="683"/>
      <c r="D213" s="55" t="s">
        <v>367</v>
      </c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>
        <f t="shared" si="147"/>
        <v>0</v>
      </c>
    </row>
    <row r="214" spans="3:17">
      <c r="C214" s="683"/>
      <c r="D214" s="55" t="s">
        <v>368</v>
      </c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>
        <f t="shared" si="147"/>
        <v>0</v>
      </c>
    </row>
    <row r="215" spans="3:17">
      <c r="C215" s="683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>
        <f t="shared" si="147"/>
        <v>0</v>
      </c>
    </row>
    <row r="216" spans="3:17">
      <c r="C216" s="683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>
        <f t="shared" si="147"/>
        <v>0</v>
      </c>
    </row>
    <row r="217" spans="3:17">
      <c r="C217" s="683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>
        <f t="shared" si="147"/>
        <v>0</v>
      </c>
    </row>
    <row r="218" spans="3:18">
      <c r="C218" s="683"/>
      <c r="D218" s="679" t="s">
        <v>493</v>
      </c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>
        <f>'[41]PP summary'!$G$59+'[41]PP summary'!$G$60</f>
        <v>1401.736785</v>
      </c>
      <c r="R218" s="686"/>
    </row>
    <row r="219" spans="3:17">
      <c r="C219" s="683"/>
      <c r="D219" s="679" t="s">
        <v>494</v>
      </c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>
        <f t="shared" ref="Q219:Q224" si="148">SUM(E219:P219)</f>
        <v>0</v>
      </c>
    </row>
    <row r="220" spans="3:17">
      <c r="C220" s="683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>
        <f t="shared" si="148"/>
        <v>0</v>
      </c>
    </row>
    <row r="221" spans="3:17">
      <c r="C221" s="683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>
        <f t="shared" si="148"/>
        <v>0</v>
      </c>
    </row>
    <row r="222" spans="3:17">
      <c r="C222" s="683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>
        <f t="shared" si="148"/>
        <v>0</v>
      </c>
    </row>
    <row r="223" spans="3:17">
      <c r="C223" s="683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>
        <f t="shared" si="148"/>
        <v>0</v>
      </c>
    </row>
    <row r="224" spans="3:17">
      <c r="C224" s="684"/>
      <c r="D224" s="67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>
        <f t="shared" si="148"/>
        <v>0</v>
      </c>
    </row>
    <row r="225" ht="15" spans="3:18">
      <c r="C225" s="537" t="s">
        <v>211</v>
      </c>
      <c r="D225" s="540"/>
      <c r="E225" s="147">
        <f>SUM('[41]TGSPDCL MoD'!U57:U96)</f>
        <v>42.6114384505844</v>
      </c>
      <c r="F225" s="147">
        <f>SUM('[41]TGSPDCL MoD'!V57:V96)</f>
        <v>45.6610702318074</v>
      </c>
      <c r="G225" s="147">
        <f>SUM('[41]TGSPDCL MoD'!W57:W96)</f>
        <v>47.3070798641664</v>
      </c>
      <c r="H225" s="147">
        <f>SUM('[41]TGSPDCL MoD'!X57:X96)</f>
        <v>103.423964260899</v>
      </c>
      <c r="I225" s="147">
        <f>SUM('[41]TGSPDCL MoD'!Y57:Y96)</f>
        <v>242.82058792901</v>
      </c>
      <c r="J225" s="147">
        <f>SUM('[41]TGSPDCL MoD'!Z57:Z96)</f>
        <v>122.64051240207</v>
      </c>
      <c r="K225" s="147">
        <f>SUM('[41]TGSPDCL MoD'!AA57:AA96)</f>
        <v>135.180867043305</v>
      </c>
      <c r="L225" s="147">
        <f>SUM('[41]TGSPDCL MoD'!AB57:AB96)</f>
        <v>46.3642432497133</v>
      </c>
      <c r="M225" s="147">
        <f>SUM('[41]TGSPDCL MoD'!AC57:AC96)</f>
        <v>79.5380906586358</v>
      </c>
      <c r="N225" s="147">
        <f>SUM('[41]TGSPDCL MoD'!AD57:AD96)</f>
        <v>151.769618422499</v>
      </c>
      <c r="O225" s="147">
        <f>SUM('[41]TGSPDCL MoD'!AE57:AE96)</f>
        <v>136.306084445884</v>
      </c>
      <c r="P225" s="147">
        <f>SUM('[41]TGSPDCL MoD'!AF57:AF96)</f>
        <v>63.3145580414264</v>
      </c>
      <c r="Q225" s="316">
        <f>SUM(E225:P225)+Q218</f>
        <v>2618.6749</v>
      </c>
      <c r="R225" s="686"/>
    </row>
    <row r="226" ht="15" spans="3:17">
      <c r="C226" s="44" t="s">
        <v>369</v>
      </c>
      <c r="D226" s="45"/>
      <c r="E226" s="55">
        <f t="shared" ref="E226:Q226" si="149">E205+E225</f>
        <v>907.373130654296</v>
      </c>
      <c r="F226" s="55">
        <f t="shared" si="149"/>
        <v>513.205876666904</v>
      </c>
      <c r="G226" s="55">
        <f t="shared" si="149"/>
        <v>628.550452274857</v>
      </c>
      <c r="H226" s="55">
        <f t="shared" si="149"/>
        <v>794.01058799937</v>
      </c>
      <c r="I226" s="55">
        <f t="shared" si="149"/>
        <v>1010.64199076341</v>
      </c>
      <c r="J226" s="55">
        <f t="shared" si="149"/>
        <v>937.352556638803</v>
      </c>
      <c r="K226" s="55">
        <f t="shared" si="149"/>
        <v>891.304233500231</v>
      </c>
      <c r="L226" s="55">
        <f t="shared" si="149"/>
        <v>719.275603226784</v>
      </c>
      <c r="M226" s="55">
        <f t="shared" si="149"/>
        <v>862.976469858285</v>
      </c>
      <c r="N226" s="55">
        <f t="shared" si="149"/>
        <v>1023.4879073515</v>
      </c>
      <c r="O226" s="55">
        <f t="shared" si="149"/>
        <v>960.664585408433</v>
      </c>
      <c r="P226" s="55">
        <f t="shared" si="149"/>
        <v>1005.69236490229</v>
      </c>
      <c r="Q226" s="316">
        <f t="shared" si="149"/>
        <v>11656.2725442452</v>
      </c>
    </row>
    <row r="227" ht="15" spans="3:17">
      <c r="C227" s="663" t="s">
        <v>370</v>
      </c>
      <c r="D227" s="676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</row>
    <row r="228" ht="15" spans="3:17">
      <c r="C228" s="44" t="s">
        <v>350</v>
      </c>
      <c r="D228" s="4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</row>
    <row r="229" spans="3:17">
      <c r="C229" s="682" t="s">
        <v>371</v>
      </c>
      <c r="D229" s="55" t="s">
        <v>372</v>
      </c>
      <c r="E229" s="147">
        <f>SUM('[41]TGSPDCL MoD'!U25:U30)</f>
        <v>12.6724494736872</v>
      </c>
      <c r="F229" s="147">
        <f>SUM('[41]TGSPDCL MoD'!V25:V30)</f>
        <v>16.3855241621105</v>
      </c>
      <c r="G229" s="147">
        <f>SUM('[41]TGSPDCL MoD'!W25:W30)</f>
        <v>16.7242644558241</v>
      </c>
      <c r="H229" s="147">
        <f>SUM('[41]TGSPDCL MoD'!X25:X30)</f>
        <v>13.7238519717634</v>
      </c>
      <c r="I229" s="147">
        <f>SUM('[41]TGSPDCL MoD'!Y25:Y30)</f>
        <v>11.1998937732217</v>
      </c>
      <c r="J229" s="147">
        <f>SUM('[41]TGSPDCL MoD'!Z25:Z30)</f>
        <v>11.9459031827315</v>
      </c>
      <c r="K229" s="147">
        <f>SUM('[41]TGSPDCL MoD'!AA25:AA30)</f>
        <v>11.580095128285</v>
      </c>
      <c r="L229" s="147">
        <f>SUM('[41]TGSPDCL MoD'!AB25:AB30)</f>
        <v>16.3260676830664</v>
      </c>
      <c r="M229" s="147">
        <f>SUM('[41]TGSPDCL MoD'!AC25:AC30)</f>
        <v>10.6723303168572</v>
      </c>
      <c r="N229" s="147">
        <f>SUM('[41]TGSPDCL MoD'!AD25:AD30)</f>
        <v>10.7960163505394</v>
      </c>
      <c r="O229" s="147">
        <f>SUM('[41]TGSPDCL MoD'!AE25:AE30)</f>
        <v>12.7758227920305</v>
      </c>
      <c r="P229" s="147">
        <f>SUM('[41]TGSPDCL MoD'!AF25:AF30)</f>
        <v>16.4587999406523</v>
      </c>
      <c r="Q229" s="147">
        <f t="shared" ref="Q229:Q255" si="150">SUM(E229:P229)</f>
        <v>161.261019230769</v>
      </c>
    </row>
    <row r="230" spans="3:17">
      <c r="C230" s="683"/>
      <c r="D230" s="55" t="s">
        <v>373</v>
      </c>
      <c r="E230" s="147">
        <f>'[41]TGSPDCL MoD'!U31</f>
        <v>3.67025350102016</v>
      </c>
      <c r="F230" s="147">
        <f>'[41]TGSPDCL MoD'!V31</f>
        <v>4.30510816065609</v>
      </c>
      <c r="G230" s="147">
        <f>'[41]TGSPDCL MoD'!W31</f>
        <v>4.16623370386073</v>
      </c>
      <c r="H230" s="147">
        <f>'[41]TGSPDCL MoD'!X31</f>
        <v>0</v>
      </c>
      <c r="I230" s="147">
        <f>'[41]TGSPDCL MoD'!Y31</f>
        <v>1.43503605355203</v>
      </c>
      <c r="J230" s="147">
        <f>'[41]TGSPDCL MoD'!Z31</f>
        <v>2.97588121704337</v>
      </c>
      <c r="K230" s="147">
        <f>'[41]TGSPDCL MoD'!AA31</f>
        <v>3.07507725761149</v>
      </c>
      <c r="L230" s="147">
        <f>'[41]TGSPDCL MoD'!AB31</f>
        <v>4.06703766329262</v>
      </c>
      <c r="M230" s="147">
        <f>'[41]TGSPDCL MoD'!AC31</f>
        <v>3.58759013388007</v>
      </c>
      <c r="N230" s="147">
        <f>'[41]TGSPDCL MoD'!AD31</f>
        <v>3.58759013388007</v>
      </c>
      <c r="O230" s="147">
        <f>'[41]TGSPDCL MoD'!AE31</f>
        <v>3.42556993428549</v>
      </c>
      <c r="P230" s="147">
        <f>'[41]TGSPDCL MoD'!AF31</f>
        <v>4.10010301014865</v>
      </c>
      <c r="Q230" s="147">
        <f t="shared" si="150"/>
        <v>38.3954807692308</v>
      </c>
    </row>
    <row r="231" spans="3:17">
      <c r="C231" s="683"/>
      <c r="D231" s="55" t="s">
        <v>374</v>
      </c>
      <c r="E231" s="147">
        <f>SUM('[41]TGSPDCL MoD'!U42:U45)</f>
        <v>13.1550167385276</v>
      </c>
      <c r="F231" s="147">
        <f>SUM('[41]TGSPDCL MoD'!V42:V45)</f>
        <v>13.4908419318017</v>
      </c>
      <c r="G231" s="147">
        <f>SUM('[41]TGSPDCL MoD'!W42:W45)</f>
        <v>13.1550167385276</v>
      </c>
      <c r="H231" s="147">
        <f>SUM('[41]TGSPDCL MoD'!X42:X45)</f>
        <v>13.5935172964785</v>
      </c>
      <c r="I231" s="147">
        <f>SUM('[41]TGSPDCL MoD'!Y42:Y45)</f>
        <v>13.5935172964785</v>
      </c>
      <c r="J231" s="147">
        <f>SUM('[41]TGSPDCL MoD'!Z42:Z45)</f>
        <v>13.1550167385276</v>
      </c>
      <c r="K231" s="147">
        <f>SUM('[41]TGSPDCL MoD'!AA42:AA45)</f>
        <v>12.5740034992426</v>
      </c>
      <c r="L231" s="147">
        <f>SUM('[41]TGSPDCL MoD'!AB42:AB45)</f>
        <v>9.64527436363863</v>
      </c>
      <c r="M231" s="147">
        <f>SUM('[41]TGSPDCL MoD'!AC42:AC45)</f>
        <v>8.14521358839175</v>
      </c>
      <c r="N231" s="147">
        <f>SUM('[41]TGSPDCL MoD'!AD42:AD45)</f>
        <v>11.7760488892814</v>
      </c>
      <c r="O231" s="147">
        <f>SUM('[41]TGSPDCL MoD'!AE42:AE45)</f>
        <v>12.2780156226257</v>
      </c>
      <c r="P231" s="147">
        <f>SUM('[41]TGSPDCL MoD'!AF42:AF45)</f>
        <v>13.5935172964785</v>
      </c>
      <c r="Q231" s="147">
        <f t="shared" si="150"/>
        <v>148.155</v>
      </c>
    </row>
    <row r="232" spans="3:17">
      <c r="C232" s="683"/>
      <c r="D232" s="55" t="s">
        <v>375</v>
      </c>
      <c r="E232" s="147">
        <f>'[41]TGSPDCL MoD'!U40</f>
        <v>25.9618272674491</v>
      </c>
      <c r="F232" s="147">
        <f>'[41]TGSPDCL MoD'!V40</f>
        <v>31.4584852710812</v>
      </c>
      <c r="G232" s="147">
        <f>'[41]TGSPDCL MoD'!W40</f>
        <v>30.4847602178107</v>
      </c>
      <c r="H232" s="147">
        <f>'[41]TGSPDCL MoD'!X40</f>
        <v>24.5371934541945</v>
      </c>
      <c r="I232" s="147">
        <f>'[41]TGSPDCL MoD'!Y40</f>
        <v>19.1696823860894</v>
      </c>
      <c r="J232" s="147">
        <f>'[41]TGSPDCL MoD'!Z40</f>
        <v>21.5195144205133</v>
      </c>
      <c r="K232" s="147">
        <f>'[41]TGSPDCL MoD'!AA40</f>
        <v>19.0443750111426</v>
      </c>
      <c r="L232" s="147">
        <f>'[41]TGSPDCL MoD'!AB40</f>
        <v>0</v>
      </c>
      <c r="M232" s="147">
        <f>'[41]TGSPDCL MoD'!AC40</f>
        <v>12.651990374819</v>
      </c>
      <c r="N232" s="147">
        <f>'[41]TGSPDCL MoD'!AD40</f>
        <v>25.3039807496381</v>
      </c>
      <c r="O232" s="147">
        <f>'[41]TGSPDCL MoD'!AE40</f>
        <v>24.9329546389396</v>
      </c>
      <c r="P232" s="147">
        <f>'[41]TGSPDCL MoD'!AF40</f>
        <v>30.2389895758043</v>
      </c>
      <c r="Q232" s="147">
        <f t="shared" si="150"/>
        <v>265.303753367482</v>
      </c>
    </row>
    <row r="233" spans="3:17">
      <c r="C233" s="683"/>
      <c r="D233" s="55" t="s">
        <v>376</v>
      </c>
      <c r="E233" s="147">
        <f>'[41]TGSPDCL MoD'!U41</f>
        <v>25.5852281702216</v>
      </c>
      <c r="F233" s="147">
        <f>'[41]TGSPDCL MoD'!V41</f>
        <v>31.7256829310748</v>
      </c>
      <c r="G233" s="147">
        <f>'[41]TGSPDCL MoD'!W41</f>
        <v>0</v>
      </c>
      <c r="H233" s="147">
        <f>'[41]TGSPDCL MoD'!X41</f>
        <v>12.0859744499332</v>
      </c>
      <c r="I233" s="147">
        <f>'[41]TGSPDCL MoD'!Y41</f>
        <v>18.9919482079257</v>
      </c>
      <c r="J233" s="147">
        <f>'[41]TGSPDCL MoD'!Z41</f>
        <v>21.4683916884176</v>
      </c>
      <c r="K233" s="147">
        <f>'[41]TGSPDCL MoD'!AA41</f>
        <v>20.0954658947305</v>
      </c>
      <c r="L233" s="147">
        <f>'[41]TGSPDCL MoD'!AB41</f>
        <v>29.9712672851168</v>
      </c>
      <c r="M233" s="147">
        <f>'[41]TGSPDCL MoD'!AC41</f>
        <v>25.6757172688283</v>
      </c>
      <c r="N233" s="147">
        <f>'[41]TGSPDCL MoD'!AD41</f>
        <v>24.9273223029874</v>
      </c>
      <c r="O233" s="147">
        <f>'[41]TGSPDCL MoD'!AE41</f>
        <v>24.5618190434128</v>
      </c>
      <c r="P233" s="147">
        <f>'[41]TGSPDCL MoD'!AF41</f>
        <v>30.2149361248332</v>
      </c>
      <c r="Q233" s="147">
        <f t="shared" si="150"/>
        <v>265.303753367482</v>
      </c>
    </row>
    <row r="234" spans="3:17">
      <c r="C234" s="683"/>
      <c r="D234" s="55" t="s">
        <v>377</v>
      </c>
      <c r="E234" s="147">
        <f>SUM('[41]TGSPDCL MoD'!U49:U51)</f>
        <v>20.6319172228899</v>
      </c>
      <c r="F234" s="147">
        <f>SUM('[41]TGSPDCL MoD'!V49:V51)</f>
        <v>25.0819385846895</v>
      </c>
      <c r="G234" s="147">
        <f>SUM('[41]TGSPDCL MoD'!W49:W51)</f>
        <v>15.7830931556836</v>
      </c>
      <c r="H234" s="147">
        <f>SUM('[41]TGSPDCL MoD'!X49:X51)</f>
        <v>15.5699042420705</v>
      </c>
      <c r="I234" s="147">
        <f>SUM('[41]TGSPDCL MoD'!Y49:Y51)</f>
        <v>15.676211615431</v>
      </c>
      <c r="J234" s="147">
        <f>SUM('[41]TGSPDCL MoD'!Z49:Z51)</f>
        <v>16.9909906541446</v>
      </c>
      <c r="K234" s="147">
        <f>SUM('[41]TGSPDCL MoD'!AA49:AA51)</f>
        <v>15.0491631508137</v>
      </c>
      <c r="L234" s="147">
        <f>SUM('[41]TGSPDCL MoD'!AB49:AB51)</f>
        <v>16.3464256569769</v>
      </c>
      <c r="M234" s="147">
        <f>SUM('[41]TGSPDCL MoD'!AC49:AC51)</f>
        <v>15.1989295774451</v>
      </c>
      <c r="N234" s="147">
        <f>SUM('[41]TGSPDCL MoD'!AD49:AD51)</f>
        <v>18.8042135899473</v>
      </c>
      <c r="O234" s="147">
        <f>SUM('[41]TGSPDCL MoD'!AE49:AE51)</f>
        <v>19.8228224298354</v>
      </c>
      <c r="P234" s="147">
        <f>SUM('[41]TGSPDCL MoD'!AF49:AF51)</f>
        <v>24.4548901200724</v>
      </c>
      <c r="Q234" s="147">
        <f t="shared" si="150"/>
        <v>219.4105</v>
      </c>
    </row>
    <row r="235" spans="3:17">
      <c r="C235" s="683"/>
      <c r="D235" s="55" t="s">
        <v>378</v>
      </c>
      <c r="E235" s="55">
        <f>'[41]TGSPDCL MoD'!U53</f>
        <v>0</v>
      </c>
      <c r="F235" s="55">
        <f>'[41]TGSPDCL MoD'!V53</f>
        <v>0</v>
      </c>
      <c r="G235" s="55">
        <f>'[41]TGSPDCL MoD'!W53</f>
        <v>0</v>
      </c>
      <c r="H235" s="55">
        <f>'[41]TGSPDCL MoD'!X53</f>
        <v>0</v>
      </c>
      <c r="I235" s="55">
        <f>'[41]TGSPDCL MoD'!Y53</f>
        <v>0</v>
      </c>
      <c r="J235" s="55">
        <f>'[41]TGSPDCL MoD'!Z53</f>
        <v>0</v>
      </c>
      <c r="K235" s="55">
        <f>'[41]TGSPDCL MoD'!AA53</f>
        <v>0</v>
      </c>
      <c r="L235" s="55">
        <f>'[41]TGSPDCL MoD'!AB53</f>
        <v>0</v>
      </c>
      <c r="M235" s="55">
        <f>'[41]TGSPDCL MoD'!AC53</f>
        <v>0</v>
      </c>
      <c r="N235" s="55">
        <f>'[41]TGSPDCL MoD'!AD53</f>
        <v>0</v>
      </c>
      <c r="O235" s="55">
        <f>'[41]TGSPDCL MoD'!AE53</f>
        <v>0</v>
      </c>
      <c r="P235" s="55">
        <f>'[41]TGSPDCL MoD'!AF53</f>
        <v>0</v>
      </c>
      <c r="Q235" s="55">
        <f t="shared" si="150"/>
        <v>0</v>
      </c>
    </row>
    <row r="236" spans="3:17">
      <c r="C236" s="683"/>
      <c r="D236" s="55" t="s">
        <v>379</v>
      </c>
      <c r="E236" s="55">
        <f>'[41]TGSPDCL MoD'!U54</f>
        <v>0</v>
      </c>
      <c r="F236" s="55">
        <f>'[41]TGSPDCL MoD'!V54</f>
        <v>0</v>
      </c>
      <c r="G236" s="55">
        <f>'[41]TGSPDCL MoD'!W54</f>
        <v>0</v>
      </c>
      <c r="H236" s="55">
        <f>'[41]TGSPDCL MoD'!X54</f>
        <v>0</v>
      </c>
      <c r="I236" s="55">
        <f>'[41]TGSPDCL MoD'!Y54</f>
        <v>0</v>
      </c>
      <c r="J236" s="55">
        <f>'[41]TGSPDCL MoD'!Z54</f>
        <v>0</v>
      </c>
      <c r="K236" s="55">
        <f>'[41]TGSPDCL MoD'!AA54</f>
        <v>0</v>
      </c>
      <c r="L236" s="55">
        <f>'[41]TGSPDCL MoD'!AB54</f>
        <v>0</v>
      </c>
      <c r="M236" s="55">
        <f>'[41]TGSPDCL MoD'!AC54</f>
        <v>0</v>
      </c>
      <c r="N236" s="55">
        <f>'[41]TGSPDCL MoD'!AD54</f>
        <v>0</v>
      </c>
      <c r="O236" s="55">
        <f>'[41]TGSPDCL MoD'!AE54</f>
        <v>0</v>
      </c>
      <c r="P236" s="55">
        <f>'[41]TGSPDCL MoD'!AF54</f>
        <v>0</v>
      </c>
      <c r="Q236" s="55">
        <f t="shared" si="150"/>
        <v>0</v>
      </c>
    </row>
    <row r="237" spans="3:17">
      <c r="C237" s="684"/>
      <c r="D237" s="55" t="s">
        <v>380</v>
      </c>
      <c r="E237" s="147">
        <f>'[41]TGSPDCL MoD'!U55</f>
        <v>68.869890521319</v>
      </c>
      <c r="F237" s="147">
        <f>'[41]TGSPDCL MoD'!V55</f>
        <v>71.1655535386963</v>
      </c>
      <c r="G237" s="147">
        <f>'[41]TGSPDCL MoD'!W55</f>
        <v>68.869890521319</v>
      </c>
      <c r="H237" s="147">
        <f>'[41]TGSPDCL MoD'!X55</f>
        <v>72.6262828647209</v>
      </c>
      <c r="I237" s="147">
        <f>'[41]TGSPDCL MoD'!Y55</f>
        <v>58.1162585762856</v>
      </c>
      <c r="J237" s="147">
        <f>'[41]TGSPDCL MoD'!Z55</f>
        <v>63.0539128706343</v>
      </c>
      <c r="K237" s="147">
        <f>'[41]TGSPDCL MoD'!AA55</f>
        <v>55.3105197208044</v>
      </c>
      <c r="L237" s="147">
        <f>'[41]TGSPDCL MoD'!AB55</f>
        <v>68.869890521319</v>
      </c>
      <c r="M237" s="147">
        <f>'[41]TGSPDCL MoD'!AC55</f>
        <v>68.1585583187513</v>
      </c>
      <c r="N237" s="147">
        <f>'[41]TGSPDCL MoD'!AD55</f>
        <v>62.1136273735032</v>
      </c>
      <c r="O237" s="147">
        <f>'[41]TGSPDCL MoD'!AE55</f>
        <v>61.5625688040335</v>
      </c>
      <c r="P237" s="147">
        <f>'[41]TGSPDCL MoD'!AF55</f>
        <v>75.6760463686136</v>
      </c>
      <c r="Q237" s="147">
        <f t="shared" si="150"/>
        <v>794.393</v>
      </c>
    </row>
    <row r="238" spans="3:17">
      <c r="C238" s="55"/>
      <c r="D238" s="685" t="s">
        <v>450</v>
      </c>
      <c r="E238" s="147">
        <f>'[41]TGSPDCL MoD'!U56</f>
        <v>69.6854616330195</v>
      </c>
      <c r="F238" s="147">
        <f>'[41]TGSPDCL MoD'!V56</f>
        <v>72.3166740538466</v>
      </c>
      <c r="G238" s="147">
        <f>'[41]TGSPDCL MoD'!W56</f>
        <v>69.9838781166257</v>
      </c>
      <c r="H238" s="147">
        <f>'[41]TGSPDCL MoD'!X56</f>
        <v>69.9789094970534</v>
      </c>
      <c r="I238" s="147">
        <f>'[41]TGSPDCL MoD'!Y56</f>
        <v>57.6177593599818</v>
      </c>
      <c r="J238" s="147">
        <f>'[41]TGSPDCL MoD'!Z56</f>
        <v>61.324350041413</v>
      </c>
      <c r="K238" s="147">
        <f>'[41]TGSPDCL MoD'!AA56</f>
        <v>55.3040102579758</v>
      </c>
      <c r="L238" s="147">
        <f>'[41]TGSPDCL MoD'!AB56</f>
        <v>69.9838781166257</v>
      </c>
      <c r="M238" s="147">
        <f>'[41]TGSPDCL MoD'!AC56</f>
        <v>67.3787082933455</v>
      </c>
      <c r="N238" s="147">
        <f>'[41]TGSPDCL MoD'!AD56</f>
        <v>61.6219546515171</v>
      </c>
      <c r="O238" s="147">
        <f>'[41]TGSPDCL MoD'!AE56</f>
        <v>62.5158315514969</v>
      </c>
      <c r="P238" s="147">
        <f>'[41]TGSPDCL MoD'!AF56</f>
        <v>76.6815844270989</v>
      </c>
      <c r="Q238" s="147">
        <f t="shared" si="150"/>
        <v>794.393</v>
      </c>
    </row>
    <row r="239" spans="3:17">
      <c r="C239" s="55"/>
      <c r="D239" s="55" t="s">
        <v>386</v>
      </c>
      <c r="E239" s="55">
        <f>'[41]TGSPDCL MoD'!U46</f>
        <v>0</v>
      </c>
      <c r="F239" s="55">
        <f>'[41]TGSPDCL MoD'!V46</f>
        <v>0</v>
      </c>
      <c r="G239" s="55">
        <f>'[41]TGSPDCL MoD'!W46</f>
        <v>0</v>
      </c>
      <c r="H239" s="55">
        <f>'[41]TGSPDCL MoD'!X46</f>
        <v>0</v>
      </c>
      <c r="I239" s="55">
        <f>'[41]TGSPDCL MoD'!Y46</f>
        <v>0</v>
      </c>
      <c r="J239" s="55">
        <f>'[41]TGSPDCL MoD'!Z46</f>
        <v>0</v>
      </c>
      <c r="K239" s="55">
        <f>'[41]TGSPDCL MoD'!AA46</f>
        <v>0</v>
      </c>
      <c r="L239" s="55">
        <f>'[41]TGSPDCL MoD'!AB46</f>
        <v>0</v>
      </c>
      <c r="M239" s="55">
        <f>'[41]TGSPDCL MoD'!AC46</f>
        <v>0</v>
      </c>
      <c r="N239" s="55">
        <f>'[41]TGSPDCL MoD'!AD46</f>
        <v>0</v>
      </c>
      <c r="O239" s="55">
        <f>'[41]TGSPDCL MoD'!AE46</f>
        <v>0</v>
      </c>
      <c r="P239" s="55">
        <f>'[41]TGSPDCL MoD'!AF46</f>
        <v>0</v>
      </c>
      <c r="Q239" s="55">
        <f t="shared" si="150"/>
        <v>0</v>
      </c>
    </row>
    <row r="240" spans="3:17">
      <c r="C240" s="55"/>
      <c r="D240" s="55" t="s">
        <v>387</v>
      </c>
      <c r="E240" s="55">
        <f>'[41]TGSPDCL MoD'!U35</f>
        <v>0</v>
      </c>
      <c r="F240" s="55">
        <f>'[41]TGSPDCL MoD'!V35</f>
        <v>0</v>
      </c>
      <c r="G240" s="55">
        <f>'[41]TGSPDCL MoD'!W35</f>
        <v>0</v>
      </c>
      <c r="H240" s="55">
        <f>'[41]TGSPDCL MoD'!X35</f>
        <v>0</v>
      </c>
      <c r="I240" s="55">
        <f>'[41]TGSPDCL MoD'!Y35</f>
        <v>0</v>
      </c>
      <c r="J240" s="55">
        <f>'[41]TGSPDCL MoD'!Z35</f>
        <v>0</v>
      </c>
      <c r="K240" s="55">
        <f>'[41]TGSPDCL MoD'!AA35</f>
        <v>0</v>
      </c>
      <c r="L240" s="55">
        <f>'[41]TGSPDCL MoD'!AB35</f>
        <v>0</v>
      </c>
      <c r="M240" s="55">
        <f>'[41]TGSPDCL MoD'!AC35</f>
        <v>0</v>
      </c>
      <c r="N240" s="55">
        <f>'[41]TGSPDCL MoD'!AD35</f>
        <v>0</v>
      </c>
      <c r="O240" s="55">
        <f>'[41]TGSPDCL MoD'!AE35</f>
        <v>0</v>
      </c>
      <c r="P240" s="55">
        <f>'[41]TGSPDCL MoD'!AF35</f>
        <v>0</v>
      </c>
      <c r="Q240" s="55">
        <f t="shared" si="150"/>
        <v>0</v>
      </c>
    </row>
    <row r="241" spans="3:17">
      <c r="C241" s="55"/>
      <c r="D241" s="55" t="s">
        <v>381</v>
      </c>
      <c r="E241" s="147">
        <f>'[41]TGSPDCL MoD'!U33</f>
        <v>0.123115483319074</v>
      </c>
      <c r="F241" s="147">
        <f>'[41]TGSPDCL MoD'!V33</f>
        <v>0.149669803250647</v>
      </c>
      <c r="G241" s="147">
        <f>'[41]TGSPDCL MoD'!W33</f>
        <v>0.144841745081261</v>
      </c>
      <c r="H241" s="147">
        <f>'[41]TGSPDCL MoD'!X33</f>
        <v>0.108510607356716</v>
      </c>
      <c r="I241" s="147">
        <f>'[41]TGSPDCL MoD'!Y33</f>
        <v>0.0935436270316535</v>
      </c>
      <c r="J241" s="147">
        <f>'[41]TGSPDCL MoD'!Z33</f>
        <v>0.0941471343028249</v>
      </c>
      <c r="K241" s="147">
        <f>'[41]TGSPDCL MoD'!AA33</f>
        <v>0.0898018819503879</v>
      </c>
      <c r="L241" s="147">
        <f>'[41]TGSPDCL MoD'!AB33</f>
        <v>0.144841745081261</v>
      </c>
      <c r="M241" s="147">
        <f>'[41]TGSPDCL MoD'!AC33</f>
        <v>0.10476886227545</v>
      </c>
      <c r="N241" s="147">
        <f>'[41]TGSPDCL MoD'!AD33</f>
        <v>0.101027117194185</v>
      </c>
      <c r="O241" s="147">
        <f>'[41]TGSPDCL MoD'!AE33</f>
        <v>0.118287425149699</v>
      </c>
      <c r="P241" s="147">
        <f>'[41]TGSPDCL MoD'!AF33</f>
        <v>0.13844456800684</v>
      </c>
      <c r="Q241" s="147">
        <f t="shared" si="150"/>
        <v>1.411</v>
      </c>
    </row>
    <row r="242" spans="3:17">
      <c r="C242" s="55"/>
      <c r="D242" s="55" t="s">
        <v>382</v>
      </c>
      <c r="E242" s="55">
        <f>'[41]TGSPDCL MoD'!U34</f>
        <v>0</v>
      </c>
      <c r="F242" s="55">
        <f>'[41]TGSPDCL MoD'!V34</f>
        <v>0</v>
      </c>
      <c r="G242" s="55">
        <f>'[41]TGSPDCL MoD'!W34</f>
        <v>0</v>
      </c>
      <c r="H242" s="55">
        <f>'[41]TGSPDCL MoD'!X34</f>
        <v>0</v>
      </c>
      <c r="I242" s="55">
        <f>'[41]TGSPDCL MoD'!Y34</f>
        <v>0</v>
      </c>
      <c r="J242" s="55">
        <f>'[41]TGSPDCL MoD'!Z34</f>
        <v>0</v>
      </c>
      <c r="K242" s="55">
        <f>'[41]TGSPDCL MoD'!AA34</f>
        <v>0</v>
      </c>
      <c r="L242" s="55">
        <f>'[41]TGSPDCL MoD'!AB34</f>
        <v>0</v>
      </c>
      <c r="M242" s="55">
        <f>'[41]TGSPDCL MoD'!AC34</f>
        <v>0</v>
      </c>
      <c r="N242" s="55">
        <f>'[41]TGSPDCL MoD'!AD34</f>
        <v>0</v>
      </c>
      <c r="O242" s="55">
        <f>'[41]TGSPDCL MoD'!AE34</f>
        <v>0</v>
      </c>
      <c r="P242" s="55">
        <f>'[41]TGSPDCL MoD'!AF34</f>
        <v>0</v>
      </c>
      <c r="Q242" s="55">
        <f t="shared" si="150"/>
        <v>0</v>
      </c>
    </row>
    <row r="243" spans="3:17">
      <c r="C243" s="55"/>
      <c r="D243" s="55" t="s">
        <v>383</v>
      </c>
      <c r="E243" s="147">
        <f>'[41]TGSPDCL MoD'!U52</f>
        <v>4.465398786461</v>
      </c>
      <c r="F243" s="147">
        <f>'[41]TGSPDCL MoD'!V52</f>
        <v>4.61424541267637</v>
      </c>
      <c r="G243" s="147">
        <f>'[41]TGSPDCL MoD'!W52</f>
        <v>4.465398786461</v>
      </c>
      <c r="H243" s="147">
        <f>'[41]TGSPDCL MoD'!X52</f>
        <v>4.98837341910958</v>
      </c>
      <c r="I243" s="147">
        <f>'[41]TGSPDCL MoD'!Y52</f>
        <v>4.14658540463484</v>
      </c>
      <c r="J243" s="147">
        <f>'[41]TGSPDCL MoD'!Z52</f>
        <v>4.8274581475254</v>
      </c>
      <c r="K243" s="147">
        <f>'[41]TGSPDCL MoD'!AA52</f>
        <v>4.33364940785145</v>
      </c>
      <c r="L243" s="147">
        <f>'[41]TGSPDCL MoD'!AB52</f>
        <v>4.465398786461</v>
      </c>
      <c r="M243" s="147">
        <f>'[41]TGSPDCL MoD'!AC52</f>
        <v>4.61424541267637</v>
      </c>
      <c r="N243" s="147">
        <f>'[41]TGSPDCL MoD'!AD52</f>
        <v>4.61424541267637</v>
      </c>
      <c r="O243" s="147">
        <f>'[41]TGSPDCL MoD'!AE52</f>
        <v>4.50562760435704</v>
      </c>
      <c r="P243" s="147">
        <f>'[41]TGSPDCL MoD'!AF52</f>
        <v>4.98837341910958</v>
      </c>
      <c r="Q243" s="147">
        <f t="shared" si="150"/>
        <v>55.029</v>
      </c>
    </row>
    <row r="244" spans="3:17">
      <c r="C244" s="55"/>
      <c r="D244" s="55" t="s">
        <v>536</v>
      </c>
      <c r="E244" s="147">
        <f>'[41]TGSPDCL MoD'!U47</f>
        <v>9.16951075469668</v>
      </c>
      <c r="F244" s="147">
        <f>'[41]TGSPDCL MoD'!V47</f>
        <v>0</v>
      </c>
      <c r="G244" s="147">
        <f>'[41]TGSPDCL MoD'!W47</f>
        <v>4.68370693225514</v>
      </c>
      <c r="H244" s="147">
        <f>'[41]TGSPDCL MoD'!X47</f>
        <v>9.03865121990922</v>
      </c>
      <c r="I244" s="147">
        <f>'[41]TGSPDCL MoD'!Y47</f>
        <v>7.43016231177941</v>
      </c>
      <c r="J244" s="147">
        <f>'[41]TGSPDCL MoD'!Z47</f>
        <v>7.7841889860015</v>
      </c>
      <c r="K244" s="147">
        <f>'[41]TGSPDCL MoD'!AA47</f>
        <v>7.22566243163869</v>
      </c>
      <c r="L244" s="147">
        <f>'[41]TGSPDCL MoD'!AB47</f>
        <v>9.3674138645103</v>
      </c>
      <c r="M244" s="147">
        <f>'[41]TGSPDCL MoD'!AC47</f>
        <v>8.50091748060781</v>
      </c>
      <c r="N244" s="147">
        <f>'[41]TGSPDCL MoD'!AD47</f>
        <v>8.24816183234227</v>
      </c>
      <c r="O244" s="147">
        <f>'[41]TGSPDCL MoD'!AE47</f>
        <v>8.06146343265025</v>
      </c>
      <c r="P244" s="147">
        <f>'[41]TGSPDCL MoD'!AF47</f>
        <v>10.0886607536087</v>
      </c>
      <c r="Q244" s="147">
        <f t="shared" si="150"/>
        <v>89.5985</v>
      </c>
    </row>
    <row r="245" spans="3:17"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>
        <f t="shared" si="150"/>
        <v>0</v>
      </c>
    </row>
    <row r="246" spans="3:17"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>
        <f t="shared" si="150"/>
        <v>0</v>
      </c>
    </row>
    <row r="247" spans="3:17"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>
        <f t="shared" si="150"/>
        <v>0</v>
      </c>
    </row>
    <row r="248" spans="3:17"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>
        <f t="shared" si="150"/>
        <v>0</v>
      </c>
    </row>
    <row r="249" spans="3:17"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>
        <f t="shared" si="150"/>
        <v>0</v>
      </c>
    </row>
    <row r="250" spans="3:17"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>
        <f t="shared" si="150"/>
        <v>0</v>
      </c>
    </row>
    <row r="251" spans="3:17"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>
        <f t="shared" si="150"/>
        <v>0</v>
      </c>
    </row>
    <row r="252" spans="3:17"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>
        <f t="shared" si="150"/>
        <v>0</v>
      </c>
    </row>
    <row r="253" spans="3:17"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>
        <f t="shared" si="150"/>
        <v>0</v>
      </c>
    </row>
    <row r="254" spans="3:17"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>
        <f t="shared" si="150"/>
        <v>0</v>
      </c>
    </row>
    <row r="255" ht="15" spans="3:17">
      <c r="C255" s="537" t="s">
        <v>211</v>
      </c>
      <c r="D255" s="540"/>
      <c r="E255" s="147">
        <f t="shared" ref="E255:P255" si="151">SUM(E229:E254)</f>
        <v>253.990069552611</v>
      </c>
      <c r="F255" s="147">
        <f t="shared" si="151"/>
        <v>270.693723849884</v>
      </c>
      <c r="G255" s="147">
        <f t="shared" si="151"/>
        <v>228.461084373449</v>
      </c>
      <c r="H255" s="147">
        <f t="shared" si="151"/>
        <v>236.25116902259</v>
      </c>
      <c r="I255" s="147">
        <f t="shared" si="151"/>
        <v>207.470598612412</v>
      </c>
      <c r="J255" s="147">
        <f t="shared" si="151"/>
        <v>225.139755081255</v>
      </c>
      <c r="K255" s="147">
        <f t="shared" si="151"/>
        <v>203.681823642047</v>
      </c>
      <c r="L255" s="147">
        <f t="shared" si="151"/>
        <v>229.187495686089</v>
      </c>
      <c r="M255" s="147">
        <f t="shared" si="151"/>
        <v>224.688969627878</v>
      </c>
      <c r="N255" s="147">
        <f t="shared" si="151"/>
        <v>231.894188403507</v>
      </c>
      <c r="O255" s="147">
        <f t="shared" si="151"/>
        <v>234.560783278817</v>
      </c>
      <c r="P255" s="147">
        <f t="shared" si="151"/>
        <v>286.634345604427</v>
      </c>
      <c r="Q255" s="316">
        <f t="shared" si="150"/>
        <v>2832.65400673496</v>
      </c>
    </row>
    <row r="256" ht="15" spans="3:17">
      <c r="C256" s="44" t="s">
        <v>388</v>
      </c>
      <c r="D256" s="4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</row>
    <row r="257" spans="3:17">
      <c r="C257" s="682" t="s">
        <v>389</v>
      </c>
      <c r="D257" s="55" t="s">
        <v>390</v>
      </c>
      <c r="E257" s="147">
        <v>0</v>
      </c>
      <c r="F257" s="147">
        <v>0</v>
      </c>
      <c r="G257" s="147">
        <v>0</v>
      </c>
      <c r="H257" s="147">
        <v>0</v>
      </c>
      <c r="I257" s="147">
        <v>0</v>
      </c>
      <c r="J257" s="147">
        <v>0</v>
      </c>
      <c r="K257" s="147">
        <v>0</v>
      </c>
      <c r="L257" s="147">
        <v>0</v>
      </c>
      <c r="M257" s="147">
        <v>0</v>
      </c>
      <c r="N257" s="147">
        <v>0</v>
      </c>
      <c r="O257" s="147">
        <v>0</v>
      </c>
      <c r="P257" s="147">
        <v>0</v>
      </c>
      <c r="Q257" s="147">
        <f t="shared" ref="Q257:Q271" si="152">SUM(E257:P257)</f>
        <v>0</v>
      </c>
    </row>
    <row r="258" spans="3:17">
      <c r="C258" s="683"/>
      <c r="D258" s="55" t="s">
        <v>391</v>
      </c>
      <c r="E258" s="147">
        <v>0</v>
      </c>
      <c r="F258" s="147">
        <v>0</v>
      </c>
      <c r="G258" s="147">
        <v>0</v>
      </c>
      <c r="H258" s="147">
        <v>0</v>
      </c>
      <c r="I258" s="147">
        <v>0</v>
      </c>
      <c r="J258" s="147">
        <v>0</v>
      </c>
      <c r="K258" s="147">
        <v>0</v>
      </c>
      <c r="L258" s="147">
        <v>0</v>
      </c>
      <c r="M258" s="147">
        <v>0</v>
      </c>
      <c r="N258" s="147">
        <v>0</v>
      </c>
      <c r="O258" s="147">
        <v>0</v>
      </c>
      <c r="P258" s="147">
        <v>0</v>
      </c>
      <c r="Q258" s="147">
        <f t="shared" si="152"/>
        <v>0</v>
      </c>
    </row>
    <row r="259" spans="3:17">
      <c r="C259" s="683"/>
      <c r="D259" s="55" t="s">
        <v>392</v>
      </c>
      <c r="E259" s="147">
        <v>0</v>
      </c>
      <c r="F259" s="147">
        <v>0</v>
      </c>
      <c r="G259" s="147">
        <v>0</v>
      </c>
      <c r="H259" s="147">
        <v>0</v>
      </c>
      <c r="I259" s="147">
        <v>0</v>
      </c>
      <c r="J259" s="147">
        <v>0</v>
      </c>
      <c r="K259" s="147">
        <v>0</v>
      </c>
      <c r="L259" s="147">
        <v>0</v>
      </c>
      <c r="M259" s="147">
        <v>0</v>
      </c>
      <c r="N259" s="147">
        <v>0</v>
      </c>
      <c r="O259" s="147">
        <v>0</v>
      </c>
      <c r="P259" s="147">
        <v>0</v>
      </c>
      <c r="Q259" s="147">
        <f t="shared" si="152"/>
        <v>0</v>
      </c>
    </row>
    <row r="260" spans="3:17">
      <c r="C260" s="684"/>
      <c r="D260" s="55" t="s">
        <v>393</v>
      </c>
      <c r="E260" s="147">
        <v>0</v>
      </c>
      <c r="F260" s="147">
        <v>0</v>
      </c>
      <c r="G260" s="147">
        <v>0</v>
      </c>
      <c r="H260" s="147">
        <v>0</v>
      </c>
      <c r="I260" s="147">
        <v>0</v>
      </c>
      <c r="J260" s="147">
        <v>0</v>
      </c>
      <c r="K260" s="147">
        <v>0</v>
      </c>
      <c r="L260" s="147">
        <v>0</v>
      </c>
      <c r="M260" s="147">
        <v>0</v>
      </c>
      <c r="N260" s="147">
        <v>0</v>
      </c>
      <c r="O260" s="147">
        <v>0</v>
      </c>
      <c r="P260" s="147">
        <v>0</v>
      </c>
      <c r="Q260" s="147">
        <f t="shared" si="152"/>
        <v>0</v>
      </c>
    </row>
    <row r="261" spans="3:17">
      <c r="C261" s="55"/>
      <c r="D261" s="55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>
        <f t="shared" si="152"/>
        <v>0</v>
      </c>
    </row>
    <row r="262" spans="3:17">
      <c r="C262" s="55"/>
      <c r="D262" s="55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>
        <f t="shared" si="152"/>
        <v>0</v>
      </c>
    </row>
    <row r="263" spans="3:17">
      <c r="C263" s="55"/>
      <c r="D263" s="55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>
        <f t="shared" si="152"/>
        <v>0</v>
      </c>
    </row>
    <row r="264" spans="3:17">
      <c r="C264" s="55"/>
      <c r="D264" s="55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>
        <f t="shared" si="152"/>
        <v>0</v>
      </c>
    </row>
    <row r="265" spans="3:17">
      <c r="C265" s="55"/>
      <c r="D265" s="55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>
        <f t="shared" si="152"/>
        <v>0</v>
      </c>
    </row>
    <row r="266" spans="3:17">
      <c r="C266" s="55"/>
      <c r="D266" s="55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>
        <f t="shared" si="152"/>
        <v>0</v>
      </c>
    </row>
    <row r="267" spans="3:17">
      <c r="C267" s="55"/>
      <c r="D267" s="55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>
        <f t="shared" si="152"/>
        <v>0</v>
      </c>
    </row>
    <row r="268" spans="3:17">
      <c r="C268" s="55"/>
      <c r="D268" s="55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>
        <f t="shared" si="152"/>
        <v>0</v>
      </c>
    </row>
    <row r="269" spans="3:17">
      <c r="C269" s="55"/>
      <c r="D269" s="55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>
        <f t="shared" si="152"/>
        <v>0</v>
      </c>
    </row>
    <row r="270" spans="3:17">
      <c r="C270" s="55"/>
      <c r="D270" s="55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>
        <f t="shared" si="152"/>
        <v>0</v>
      </c>
    </row>
    <row r="271" ht="15" spans="3:18">
      <c r="C271" s="537" t="s">
        <v>211</v>
      </c>
      <c r="D271" s="540"/>
      <c r="E271" s="147">
        <f t="shared" ref="E271:P271" si="153">SUM(E257:E270)</f>
        <v>0</v>
      </c>
      <c r="F271" s="147">
        <f t="shared" si="153"/>
        <v>0</v>
      </c>
      <c r="G271" s="147">
        <f t="shared" si="153"/>
        <v>0</v>
      </c>
      <c r="H271" s="147">
        <f t="shared" si="153"/>
        <v>0</v>
      </c>
      <c r="I271" s="147">
        <f t="shared" si="153"/>
        <v>0</v>
      </c>
      <c r="J271" s="147">
        <f t="shared" si="153"/>
        <v>0</v>
      </c>
      <c r="K271" s="147">
        <f t="shared" si="153"/>
        <v>0</v>
      </c>
      <c r="L271" s="147">
        <f t="shared" si="153"/>
        <v>0</v>
      </c>
      <c r="M271" s="147">
        <f t="shared" si="153"/>
        <v>0</v>
      </c>
      <c r="N271" s="147">
        <f t="shared" si="153"/>
        <v>0</v>
      </c>
      <c r="O271" s="147">
        <f t="shared" si="153"/>
        <v>0</v>
      </c>
      <c r="P271" s="147">
        <f t="shared" si="153"/>
        <v>0</v>
      </c>
      <c r="Q271" s="316">
        <f t="shared" si="152"/>
        <v>0</v>
      </c>
      <c r="R271" s="686"/>
    </row>
    <row r="272" ht="15" spans="3:18">
      <c r="C272" s="44" t="s">
        <v>395</v>
      </c>
      <c r="D272" s="45"/>
      <c r="E272" s="147">
        <f t="shared" ref="E272:Q272" si="154">E255+E271</f>
        <v>253.990069552611</v>
      </c>
      <c r="F272" s="147">
        <f t="shared" si="154"/>
        <v>270.693723849884</v>
      </c>
      <c r="G272" s="147">
        <f t="shared" si="154"/>
        <v>228.461084373449</v>
      </c>
      <c r="H272" s="147">
        <f t="shared" si="154"/>
        <v>236.25116902259</v>
      </c>
      <c r="I272" s="147">
        <f t="shared" si="154"/>
        <v>207.470598612412</v>
      </c>
      <c r="J272" s="147">
        <f t="shared" si="154"/>
        <v>225.139755081255</v>
      </c>
      <c r="K272" s="147">
        <f t="shared" si="154"/>
        <v>203.681823642047</v>
      </c>
      <c r="L272" s="147">
        <f t="shared" si="154"/>
        <v>229.187495686089</v>
      </c>
      <c r="M272" s="147">
        <f t="shared" si="154"/>
        <v>224.688969627878</v>
      </c>
      <c r="N272" s="147">
        <f t="shared" si="154"/>
        <v>231.894188403507</v>
      </c>
      <c r="O272" s="147">
        <f t="shared" si="154"/>
        <v>234.560783278817</v>
      </c>
      <c r="P272" s="147">
        <f t="shared" si="154"/>
        <v>286.634345604427</v>
      </c>
      <c r="Q272" s="316">
        <f t="shared" si="154"/>
        <v>2832.65400673496</v>
      </c>
      <c r="R272" s="686"/>
    </row>
    <row r="273" ht="15" spans="3:17">
      <c r="C273" s="663" t="s">
        <v>396</v>
      </c>
      <c r="D273" s="676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</row>
    <row r="274" spans="3:17">
      <c r="C274" s="55" t="s">
        <v>397</v>
      </c>
      <c r="D274" s="55" t="s">
        <v>397</v>
      </c>
      <c r="E274" s="147">
        <f>'[41]TGSPDCL MoD'!U23</f>
        <v>17.9846375308931</v>
      </c>
      <c r="F274" s="147">
        <f>'[41]TGSPDCL MoD'!V23</f>
        <v>18.5841254485896</v>
      </c>
      <c r="G274" s="147">
        <f>'[41]TGSPDCL MoD'!W23</f>
        <v>17.9846375308931</v>
      </c>
      <c r="H274" s="147">
        <f>'[41]TGSPDCL MoD'!X23</f>
        <v>20.0909464309076</v>
      </c>
      <c r="I274" s="147">
        <f>'[41]TGSPDCL MoD'!Y23</f>
        <v>16.700599220692</v>
      </c>
      <c r="J274" s="147">
        <f>'[41]TGSPDCL MoD'!Z23</f>
        <v>19.4428513847493</v>
      </c>
      <c r="K274" s="147">
        <f>'[41]TGSPDCL MoD'!AA23</f>
        <v>17.454009711851</v>
      </c>
      <c r="L274" s="147">
        <f>'[41]TGSPDCL MoD'!AB23</f>
        <v>17.9846375308931</v>
      </c>
      <c r="M274" s="147">
        <f>'[41]TGSPDCL MoD'!AC23</f>
        <v>18.5841254485896</v>
      </c>
      <c r="N274" s="147">
        <f>'[41]TGSPDCL MoD'!AD23</f>
        <v>18.5841254485896</v>
      </c>
      <c r="O274" s="147">
        <f>'[41]TGSPDCL MoD'!AE23</f>
        <v>18.1466612924327</v>
      </c>
      <c r="P274" s="147">
        <f>'[41]TGSPDCL MoD'!AF23</f>
        <v>20.0909464309077</v>
      </c>
      <c r="Q274" s="55">
        <f t="shared" ref="Q274:Q281" si="155">SUM(E274:P274)</f>
        <v>221.632303409988</v>
      </c>
    </row>
    <row r="275" spans="3:17">
      <c r="C275" s="55" t="s">
        <v>398</v>
      </c>
      <c r="D275" s="55" t="s">
        <v>398</v>
      </c>
      <c r="E275" s="55">
        <v>0</v>
      </c>
      <c r="F275" s="55">
        <v>0</v>
      </c>
      <c r="G275" s="55">
        <v>0</v>
      </c>
      <c r="H275" s="55">
        <v>0</v>
      </c>
      <c r="I275" s="55">
        <v>0</v>
      </c>
      <c r="J275" s="55">
        <v>0</v>
      </c>
      <c r="K275" s="55">
        <v>0</v>
      </c>
      <c r="L275" s="55">
        <v>0</v>
      </c>
      <c r="M275" s="55">
        <v>0</v>
      </c>
      <c r="N275" s="55">
        <v>0</v>
      </c>
      <c r="O275" s="55">
        <v>0</v>
      </c>
      <c r="P275" s="55">
        <v>0</v>
      </c>
      <c r="Q275" s="55">
        <f t="shared" si="155"/>
        <v>0</v>
      </c>
    </row>
    <row r="276" spans="3:17"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>
        <f t="shared" si="155"/>
        <v>0</v>
      </c>
    </row>
    <row r="277" spans="3:17"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>
        <f t="shared" si="155"/>
        <v>0</v>
      </c>
    </row>
    <row r="278" spans="3:17"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>
        <f t="shared" si="155"/>
        <v>0</v>
      </c>
    </row>
    <row r="279" spans="3:17"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>
        <f t="shared" si="155"/>
        <v>0</v>
      </c>
    </row>
    <row r="280" spans="3:17"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>
        <f t="shared" si="155"/>
        <v>0</v>
      </c>
    </row>
    <row r="281" ht="15" spans="3:18">
      <c r="C281" s="44" t="s">
        <v>399</v>
      </c>
      <c r="D281" s="45"/>
      <c r="E281" s="147">
        <f t="shared" ref="E281:P281" si="156">SUM(E274:E280)</f>
        <v>17.9846375308931</v>
      </c>
      <c r="F281" s="147">
        <f t="shared" si="156"/>
        <v>18.5841254485896</v>
      </c>
      <c r="G281" s="147">
        <f t="shared" si="156"/>
        <v>17.9846375308931</v>
      </c>
      <c r="H281" s="147">
        <f t="shared" si="156"/>
        <v>20.0909464309076</v>
      </c>
      <c r="I281" s="147">
        <f t="shared" si="156"/>
        <v>16.700599220692</v>
      </c>
      <c r="J281" s="147">
        <f t="shared" si="156"/>
        <v>19.4428513847493</v>
      </c>
      <c r="K281" s="147">
        <f t="shared" si="156"/>
        <v>17.454009711851</v>
      </c>
      <c r="L281" s="147">
        <f t="shared" si="156"/>
        <v>17.9846375308931</v>
      </c>
      <c r="M281" s="147">
        <f t="shared" si="156"/>
        <v>18.5841254485896</v>
      </c>
      <c r="N281" s="147">
        <f t="shared" si="156"/>
        <v>18.5841254485896</v>
      </c>
      <c r="O281" s="147">
        <f t="shared" si="156"/>
        <v>18.1466612924327</v>
      </c>
      <c r="P281" s="147">
        <f t="shared" si="156"/>
        <v>20.0909464309077</v>
      </c>
      <c r="Q281" s="316">
        <f t="shared" si="155"/>
        <v>221.632303409988</v>
      </c>
      <c r="R281" s="686"/>
    </row>
    <row r="282" ht="15" spans="3:17">
      <c r="C282" s="663" t="s">
        <v>400</v>
      </c>
      <c r="D282" s="676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</row>
    <row r="283" spans="3:17">
      <c r="C283" s="55" t="s">
        <v>401</v>
      </c>
      <c r="D283" s="55" t="s">
        <v>401</v>
      </c>
      <c r="E283" s="147">
        <f>'[41]TGSPDCL MoD'!U20+'[41]TGSPDCL MoD'!U21+'[41]TGSPDCL MoD'!U22</f>
        <v>195.887621034248</v>
      </c>
      <c r="F283" s="147">
        <f>'[41]TGSPDCL MoD'!V20+'[41]TGSPDCL MoD'!V21+'[41]TGSPDCL MoD'!V22</f>
        <v>45.6488030557941</v>
      </c>
      <c r="G283" s="147">
        <f>'[41]TGSPDCL MoD'!W20+'[41]TGSPDCL MoD'!W21+'[41]TGSPDCL MoD'!W22</f>
        <v>77.7442443821163</v>
      </c>
      <c r="H283" s="147">
        <f>'[41]TGSPDCL MoD'!X20+'[41]TGSPDCL MoD'!X21+'[41]TGSPDCL MoD'!X22</f>
        <v>185.232198841748</v>
      </c>
      <c r="I283" s="147">
        <f>'[41]TGSPDCL MoD'!Y20+'[41]TGSPDCL MoD'!Y21+'[41]TGSPDCL MoD'!Y22</f>
        <v>170.101356697206</v>
      </c>
      <c r="J283" s="147">
        <f>'[41]TGSPDCL MoD'!Z20+'[41]TGSPDCL MoD'!Z21+'[41]TGSPDCL MoD'!Z22</f>
        <v>190.653766136637</v>
      </c>
      <c r="K283" s="147">
        <f>'[41]TGSPDCL MoD'!AA20+'[41]TGSPDCL MoD'!AA21+'[41]TGSPDCL MoD'!AA22</f>
        <v>163.148908525732</v>
      </c>
      <c r="L283" s="147">
        <f>'[41]TGSPDCL MoD'!AB20+'[41]TGSPDCL MoD'!AB21+'[41]TGSPDCL MoD'!AB22</f>
        <v>197.762524167901</v>
      </c>
      <c r="M283" s="147">
        <f>'[41]TGSPDCL MoD'!AC20+'[41]TGSPDCL MoD'!AC21+'[41]TGSPDCL MoD'!AC22</f>
        <v>202.641349531157</v>
      </c>
      <c r="N283" s="147">
        <f>'[41]TGSPDCL MoD'!AD20+'[41]TGSPDCL MoD'!AD21+'[41]TGSPDCL MoD'!AD22</f>
        <v>184.993204712258</v>
      </c>
      <c r="O283" s="147">
        <f>'[41]TGSPDCL MoD'!AE20+'[41]TGSPDCL MoD'!AE21+'[41]TGSPDCL MoD'!AE22</f>
        <v>181.888625199364</v>
      </c>
      <c r="P283" s="147">
        <f>'[41]TGSPDCL MoD'!AF20+'[41]TGSPDCL MoD'!AF21+'[41]TGSPDCL MoD'!AF22</f>
        <v>226.768357715837</v>
      </c>
      <c r="Q283" s="147">
        <f t="shared" ref="Q283:Q291" si="157">SUM(E283:P283)</f>
        <v>2022.47096</v>
      </c>
    </row>
    <row r="284" spans="3:17">
      <c r="C284" s="55" t="s">
        <v>402</v>
      </c>
      <c r="D284" s="55" t="s">
        <v>402</v>
      </c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>
        <f t="shared" si="157"/>
        <v>0</v>
      </c>
    </row>
    <row r="285" spans="3:17">
      <c r="C285" s="55" t="s">
        <v>403</v>
      </c>
      <c r="D285" s="55" t="s">
        <v>403</v>
      </c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>
        <f t="shared" si="157"/>
        <v>0</v>
      </c>
    </row>
    <row r="286" spans="3:17"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>
        <f t="shared" si="157"/>
        <v>0</v>
      </c>
    </row>
    <row r="287" spans="3:17"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>
        <f t="shared" si="157"/>
        <v>0</v>
      </c>
    </row>
    <row r="288" spans="3:17"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>
        <f t="shared" si="157"/>
        <v>0</v>
      </c>
    </row>
    <row r="289" spans="3:17"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>
        <f t="shared" si="157"/>
        <v>0</v>
      </c>
    </row>
    <row r="290" spans="3:17"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>
        <f t="shared" si="157"/>
        <v>0</v>
      </c>
    </row>
    <row r="291" ht="15" spans="3:18">
      <c r="C291" s="44" t="s">
        <v>404</v>
      </c>
      <c r="D291" s="45"/>
      <c r="E291" s="147">
        <f t="shared" ref="E291:P291" si="158">SUM(E283:E290)</f>
        <v>195.887621034248</v>
      </c>
      <c r="F291" s="147">
        <f t="shared" si="158"/>
        <v>45.6488030557941</v>
      </c>
      <c r="G291" s="147">
        <f t="shared" si="158"/>
        <v>77.7442443821163</v>
      </c>
      <c r="H291" s="147">
        <f t="shared" si="158"/>
        <v>185.232198841748</v>
      </c>
      <c r="I291" s="147">
        <f t="shared" si="158"/>
        <v>170.101356697206</v>
      </c>
      <c r="J291" s="147">
        <f t="shared" si="158"/>
        <v>190.653766136637</v>
      </c>
      <c r="K291" s="147">
        <f t="shared" si="158"/>
        <v>163.148908525732</v>
      </c>
      <c r="L291" s="147">
        <f t="shared" si="158"/>
        <v>197.762524167901</v>
      </c>
      <c r="M291" s="147">
        <f t="shared" si="158"/>
        <v>202.641349531157</v>
      </c>
      <c r="N291" s="147">
        <f t="shared" si="158"/>
        <v>184.993204712258</v>
      </c>
      <c r="O291" s="147">
        <f t="shared" si="158"/>
        <v>181.888625199364</v>
      </c>
      <c r="P291" s="147">
        <f t="shared" si="158"/>
        <v>226.768357715837</v>
      </c>
      <c r="Q291" s="316">
        <f t="shared" si="157"/>
        <v>2022.47096</v>
      </c>
      <c r="R291" s="686"/>
    </row>
    <row r="292" ht="15" spans="3:17">
      <c r="C292" s="663" t="s">
        <v>405</v>
      </c>
      <c r="D292" s="676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</row>
    <row r="293" spans="3:17">
      <c r="C293" s="55"/>
      <c r="D293" s="55" t="s">
        <v>406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f t="shared" ref="Q293:Q317" si="159">SUM(E293:P293)</f>
        <v>0</v>
      </c>
    </row>
    <row r="294" spans="3:17">
      <c r="C294" s="55"/>
      <c r="D294" s="55" t="s">
        <v>407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0</v>
      </c>
      <c r="P294" s="55">
        <v>0</v>
      </c>
      <c r="Q294" s="55">
        <f t="shared" si="159"/>
        <v>0</v>
      </c>
    </row>
    <row r="295" spans="3:17">
      <c r="C295" s="55"/>
      <c r="D295" s="55" t="s">
        <v>408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f t="shared" si="159"/>
        <v>0</v>
      </c>
    </row>
    <row r="296" spans="3:17">
      <c r="C296" s="55"/>
      <c r="D296" s="55" t="s">
        <v>409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f t="shared" si="159"/>
        <v>0</v>
      </c>
    </row>
    <row r="297" spans="3:17">
      <c r="C297" s="55"/>
      <c r="D297" s="55" t="s">
        <v>410</v>
      </c>
      <c r="E297" s="55">
        <v>0</v>
      </c>
      <c r="F297" s="55">
        <v>0</v>
      </c>
      <c r="G297" s="55">
        <v>0</v>
      </c>
      <c r="H297" s="55">
        <v>0</v>
      </c>
      <c r="I297" s="55">
        <v>0</v>
      </c>
      <c r="J297" s="55">
        <v>0</v>
      </c>
      <c r="K297" s="55">
        <v>0</v>
      </c>
      <c r="L297" s="55">
        <v>0</v>
      </c>
      <c r="M297" s="55">
        <v>0</v>
      </c>
      <c r="N297" s="55">
        <v>0</v>
      </c>
      <c r="O297" s="55">
        <v>0</v>
      </c>
      <c r="P297" s="55">
        <v>0</v>
      </c>
      <c r="Q297" s="55">
        <f t="shared" si="159"/>
        <v>0</v>
      </c>
    </row>
    <row r="298" spans="3:17">
      <c r="C298" s="55"/>
      <c r="D298" s="55" t="s">
        <v>368</v>
      </c>
      <c r="E298" s="55">
        <v>0</v>
      </c>
      <c r="F298" s="55">
        <v>0</v>
      </c>
      <c r="G298" s="55">
        <v>0</v>
      </c>
      <c r="H298" s="55">
        <v>0</v>
      </c>
      <c r="I298" s="55">
        <v>0</v>
      </c>
      <c r="J298" s="55">
        <v>0</v>
      </c>
      <c r="K298" s="55">
        <v>0</v>
      </c>
      <c r="L298" s="55">
        <v>0</v>
      </c>
      <c r="M298" s="55">
        <v>0</v>
      </c>
      <c r="N298" s="55">
        <v>0</v>
      </c>
      <c r="O298" s="55">
        <v>0</v>
      </c>
      <c r="P298" s="55">
        <v>0</v>
      </c>
      <c r="Q298" s="55">
        <f t="shared" si="159"/>
        <v>0</v>
      </c>
    </row>
    <row r="299" spans="3:17">
      <c r="C299" s="55"/>
      <c r="D299" s="55" t="s">
        <v>411</v>
      </c>
      <c r="E299" s="55">
        <v>0</v>
      </c>
      <c r="F299" s="55">
        <v>0</v>
      </c>
      <c r="G299" s="55">
        <v>0</v>
      </c>
      <c r="H299" s="55">
        <v>0</v>
      </c>
      <c r="I299" s="55">
        <v>0</v>
      </c>
      <c r="J299" s="55">
        <v>0</v>
      </c>
      <c r="K299" s="55">
        <v>0</v>
      </c>
      <c r="L299" s="55">
        <v>0</v>
      </c>
      <c r="M299" s="55">
        <v>0</v>
      </c>
      <c r="N299" s="55">
        <v>0</v>
      </c>
      <c r="O299" s="55">
        <v>0</v>
      </c>
      <c r="P299" s="55">
        <v>0</v>
      </c>
      <c r="Q299" s="55">
        <f t="shared" si="159"/>
        <v>0</v>
      </c>
    </row>
    <row r="300" spans="3:17">
      <c r="C300" s="55"/>
      <c r="D300" s="55" t="s">
        <v>412</v>
      </c>
      <c r="E300" s="55">
        <v>0</v>
      </c>
      <c r="F300" s="55">
        <v>0</v>
      </c>
      <c r="G300" s="55">
        <v>0</v>
      </c>
      <c r="H300" s="55">
        <v>0</v>
      </c>
      <c r="I300" s="55">
        <v>0</v>
      </c>
      <c r="J300" s="55">
        <v>0</v>
      </c>
      <c r="K300" s="55">
        <v>0</v>
      </c>
      <c r="L300" s="55">
        <v>0</v>
      </c>
      <c r="M300" s="55">
        <v>0</v>
      </c>
      <c r="N300" s="55">
        <v>0</v>
      </c>
      <c r="O300" s="55">
        <v>0</v>
      </c>
      <c r="P300" s="55">
        <v>0</v>
      </c>
      <c r="Q300" s="55">
        <f t="shared" si="159"/>
        <v>0</v>
      </c>
    </row>
    <row r="301" spans="3:17">
      <c r="C301" s="55"/>
      <c r="D301" s="55" t="s">
        <v>413</v>
      </c>
      <c r="E301" s="55">
        <v>0</v>
      </c>
      <c r="F301" s="55">
        <v>0</v>
      </c>
      <c r="G301" s="55">
        <v>0</v>
      </c>
      <c r="H301" s="55">
        <v>0</v>
      </c>
      <c r="I301" s="55">
        <v>0</v>
      </c>
      <c r="J301" s="55">
        <v>0</v>
      </c>
      <c r="K301" s="55">
        <v>0</v>
      </c>
      <c r="L301" s="55">
        <v>0</v>
      </c>
      <c r="M301" s="55">
        <v>0</v>
      </c>
      <c r="N301" s="55">
        <v>0</v>
      </c>
      <c r="O301" s="55">
        <v>0</v>
      </c>
      <c r="P301" s="55">
        <v>0</v>
      </c>
      <c r="Q301" s="55">
        <f t="shared" si="159"/>
        <v>0</v>
      </c>
    </row>
    <row r="302" spans="3:17">
      <c r="C302" s="55"/>
      <c r="D302" s="55" t="s">
        <v>414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f t="shared" si="159"/>
        <v>0</v>
      </c>
    </row>
    <row r="303" spans="3:17">
      <c r="C303" s="55"/>
      <c r="D303" s="55" t="s">
        <v>415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f t="shared" si="159"/>
        <v>0</v>
      </c>
    </row>
    <row r="304" spans="3:17">
      <c r="C304" s="55"/>
      <c r="D304" s="55" t="s">
        <v>416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f t="shared" si="159"/>
        <v>0</v>
      </c>
    </row>
    <row r="305" spans="3:17">
      <c r="C305" s="55"/>
      <c r="D305" s="55" t="s">
        <v>417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f t="shared" si="159"/>
        <v>0</v>
      </c>
    </row>
    <row r="306" spans="3:17">
      <c r="C306" s="55"/>
      <c r="D306" s="55" t="s">
        <v>418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f t="shared" si="159"/>
        <v>0</v>
      </c>
    </row>
    <row r="307" spans="3:17">
      <c r="C307" s="55"/>
      <c r="D307" s="687" t="s">
        <v>419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f t="shared" si="159"/>
        <v>0</v>
      </c>
    </row>
    <row r="308" spans="3:17">
      <c r="C308" s="55"/>
      <c r="D308" s="687" t="s">
        <v>420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f t="shared" si="159"/>
        <v>0</v>
      </c>
    </row>
    <row r="309" spans="3:17"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>
        <f t="shared" si="159"/>
        <v>0</v>
      </c>
    </row>
    <row r="310" spans="3:17"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>
        <f t="shared" si="159"/>
        <v>0</v>
      </c>
    </row>
    <row r="311" spans="3:17"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>
        <f t="shared" si="159"/>
        <v>0</v>
      </c>
    </row>
    <row r="312" spans="3:17"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>
        <f t="shared" si="159"/>
        <v>0</v>
      </c>
    </row>
    <row r="313" spans="3:17"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>
        <f t="shared" si="159"/>
        <v>0</v>
      </c>
    </row>
    <row r="314" spans="3:17"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>
        <f t="shared" si="159"/>
        <v>0</v>
      </c>
    </row>
    <row r="315" spans="3:17"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>
        <f t="shared" si="159"/>
        <v>0</v>
      </c>
    </row>
    <row r="316" spans="3:17"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>
        <f t="shared" si="159"/>
        <v>0</v>
      </c>
    </row>
    <row r="317" ht="15" spans="3:17">
      <c r="C317" s="44" t="s">
        <v>421</v>
      </c>
      <c r="D317" s="45"/>
      <c r="E317" s="55">
        <f t="shared" ref="E317:P317" si="160">SUM(E293:E316)</f>
        <v>0</v>
      </c>
      <c r="F317" s="55">
        <f t="shared" si="160"/>
        <v>0</v>
      </c>
      <c r="G317" s="55">
        <f t="shared" si="160"/>
        <v>0</v>
      </c>
      <c r="H317" s="55">
        <f t="shared" si="160"/>
        <v>0</v>
      </c>
      <c r="I317" s="55">
        <f t="shared" si="160"/>
        <v>0</v>
      </c>
      <c r="J317" s="55">
        <f t="shared" si="160"/>
        <v>0</v>
      </c>
      <c r="K317" s="55">
        <f t="shared" si="160"/>
        <v>0</v>
      </c>
      <c r="L317" s="55">
        <f t="shared" si="160"/>
        <v>0</v>
      </c>
      <c r="M317" s="55">
        <f t="shared" si="160"/>
        <v>0</v>
      </c>
      <c r="N317" s="55">
        <f t="shared" si="160"/>
        <v>0</v>
      </c>
      <c r="O317" s="55">
        <f t="shared" si="160"/>
        <v>0</v>
      </c>
      <c r="P317" s="55">
        <f t="shared" si="160"/>
        <v>0</v>
      </c>
      <c r="Q317" s="316">
        <f t="shared" si="159"/>
        <v>0</v>
      </c>
    </row>
    <row r="318" ht="15" spans="3:17">
      <c r="C318" s="663" t="s">
        <v>422</v>
      </c>
      <c r="D318" s="676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</row>
    <row r="319" spans="3:17">
      <c r="C319" s="55"/>
      <c r="D319" s="55" t="s">
        <v>423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f>SUM(E319:P319)</f>
        <v>0</v>
      </c>
    </row>
    <row r="320" spans="3:17"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>
        <f>SUM(E320:P320)</f>
        <v>0</v>
      </c>
    </row>
    <row r="321" spans="3:17"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>
        <f>SUM(E321:P321)</f>
        <v>0</v>
      </c>
    </row>
    <row r="322" spans="3:17"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>
        <f>SUM(E322:P322)</f>
        <v>0</v>
      </c>
    </row>
    <row r="323" spans="3:17"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</row>
    <row r="324" spans="3:17">
      <c r="C324" s="55"/>
      <c r="D324" s="679" t="s">
        <v>534</v>
      </c>
      <c r="E324" s="55">
        <v>0</v>
      </c>
      <c r="F324" s="55">
        <v>0</v>
      </c>
      <c r="G324" s="55">
        <v>0</v>
      </c>
      <c r="H324" s="55">
        <v>0</v>
      </c>
      <c r="I324" s="55">
        <v>0</v>
      </c>
      <c r="J324" s="55">
        <v>0</v>
      </c>
      <c r="K324" s="55">
        <v>0</v>
      </c>
      <c r="L324" s="55">
        <v>0</v>
      </c>
      <c r="M324" s="55">
        <v>0</v>
      </c>
      <c r="N324" s="55">
        <v>0</v>
      </c>
      <c r="O324" s="55">
        <v>0</v>
      </c>
      <c r="P324" s="55">
        <v>0</v>
      </c>
      <c r="Q324" s="55"/>
    </row>
    <row r="325" spans="3:17">
      <c r="C325" s="55"/>
      <c r="D325" s="679" t="s">
        <v>535</v>
      </c>
      <c r="E325" s="55">
        <v>0</v>
      </c>
      <c r="F325" s="55">
        <v>0</v>
      </c>
      <c r="G325" s="55">
        <v>0</v>
      </c>
      <c r="H325" s="55">
        <v>0</v>
      </c>
      <c r="I325" s="55">
        <v>0</v>
      </c>
      <c r="J325" s="55">
        <v>0</v>
      </c>
      <c r="K325" s="55">
        <v>0</v>
      </c>
      <c r="L325" s="55">
        <v>0</v>
      </c>
      <c r="M325" s="55">
        <v>0</v>
      </c>
      <c r="N325" s="55">
        <v>0</v>
      </c>
      <c r="O325" s="55">
        <v>0</v>
      </c>
      <c r="P325" s="55">
        <v>0</v>
      </c>
      <c r="Q325" s="55"/>
    </row>
    <row r="326" spans="3:17">
      <c r="C326" s="55"/>
      <c r="D326" s="679" t="s">
        <v>502</v>
      </c>
      <c r="E326" s="55">
        <v>0</v>
      </c>
      <c r="F326" s="55">
        <v>0</v>
      </c>
      <c r="G326" s="55">
        <v>0</v>
      </c>
      <c r="H326" s="55">
        <v>0</v>
      </c>
      <c r="I326" s="55">
        <v>0</v>
      </c>
      <c r="J326" s="55">
        <v>0</v>
      </c>
      <c r="K326" s="55">
        <v>0</v>
      </c>
      <c r="L326" s="55">
        <v>0</v>
      </c>
      <c r="M326" s="55">
        <v>0</v>
      </c>
      <c r="N326" s="55">
        <v>0</v>
      </c>
      <c r="O326" s="55">
        <v>0</v>
      </c>
      <c r="P326" s="55">
        <v>0</v>
      </c>
      <c r="Q326" s="55"/>
    </row>
    <row r="327" spans="3:17">
      <c r="C327" s="55"/>
      <c r="D327" s="679" t="s">
        <v>503</v>
      </c>
      <c r="E327" s="55">
        <v>0</v>
      </c>
      <c r="F327" s="55">
        <v>0</v>
      </c>
      <c r="G327" s="55">
        <v>0</v>
      </c>
      <c r="H327" s="55">
        <v>0</v>
      </c>
      <c r="I327" s="55">
        <v>0</v>
      </c>
      <c r="J327" s="55">
        <v>0</v>
      </c>
      <c r="K327" s="55">
        <v>0</v>
      </c>
      <c r="L327" s="55">
        <v>0</v>
      </c>
      <c r="M327" s="55">
        <v>0</v>
      </c>
      <c r="N327" s="55">
        <v>0</v>
      </c>
      <c r="O327" s="55">
        <v>0</v>
      </c>
      <c r="P327" s="55">
        <v>0</v>
      </c>
      <c r="Q327" s="55"/>
    </row>
    <row r="328" spans="3:17">
      <c r="C328" s="55"/>
      <c r="D328" s="688" t="s">
        <v>504</v>
      </c>
      <c r="E328" s="55">
        <v>0</v>
      </c>
      <c r="F328" s="55">
        <v>0</v>
      </c>
      <c r="G328" s="55">
        <v>0</v>
      </c>
      <c r="H328" s="55">
        <v>0</v>
      </c>
      <c r="I328" s="55">
        <v>0</v>
      </c>
      <c r="J328" s="55">
        <v>0</v>
      </c>
      <c r="K328" s="55">
        <v>0</v>
      </c>
      <c r="L328" s="55">
        <v>0</v>
      </c>
      <c r="M328" s="55">
        <v>0</v>
      </c>
      <c r="N328" s="55">
        <v>0</v>
      </c>
      <c r="O328" s="55">
        <v>0</v>
      </c>
      <c r="P328" s="55">
        <v>0</v>
      </c>
      <c r="Q328" s="55"/>
    </row>
    <row r="329" spans="3:17">
      <c r="C329" s="55"/>
      <c r="D329" s="679" t="s">
        <v>505</v>
      </c>
      <c r="E329" s="55">
        <v>0</v>
      </c>
      <c r="F329" s="55">
        <v>0</v>
      </c>
      <c r="G329" s="55">
        <v>0</v>
      </c>
      <c r="H329" s="55">
        <v>0</v>
      </c>
      <c r="I329" s="55">
        <v>0</v>
      </c>
      <c r="J329" s="55">
        <v>0</v>
      </c>
      <c r="K329" s="55">
        <v>0</v>
      </c>
      <c r="L329" s="55">
        <v>0</v>
      </c>
      <c r="M329" s="55">
        <v>0</v>
      </c>
      <c r="N329" s="55">
        <v>0</v>
      </c>
      <c r="O329" s="55">
        <v>0</v>
      </c>
      <c r="P329" s="55">
        <v>0</v>
      </c>
      <c r="Q329" s="55"/>
    </row>
    <row r="330" spans="3:17">
      <c r="C330" s="55"/>
      <c r="D330" s="679" t="s">
        <v>506</v>
      </c>
      <c r="E330" s="55">
        <v>0</v>
      </c>
      <c r="F330" s="55">
        <v>0</v>
      </c>
      <c r="G330" s="55">
        <v>0</v>
      </c>
      <c r="H330" s="55">
        <v>0</v>
      </c>
      <c r="I330" s="55">
        <v>0</v>
      </c>
      <c r="J330" s="55">
        <v>0</v>
      </c>
      <c r="K330" s="55">
        <v>0</v>
      </c>
      <c r="L330" s="55">
        <v>0</v>
      </c>
      <c r="M330" s="55">
        <v>0</v>
      </c>
      <c r="N330" s="55">
        <v>0</v>
      </c>
      <c r="O330" s="55">
        <v>0</v>
      </c>
      <c r="P330" s="55">
        <v>0</v>
      </c>
      <c r="Q330" s="55"/>
    </row>
    <row r="331" spans="3:17">
      <c r="C331" s="55"/>
      <c r="D331" s="679" t="s">
        <v>507</v>
      </c>
      <c r="E331" s="55">
        <v>0</v>
      </c>
      <c r="F331" s="55">
        <v>0</v>
      </c>
      <c r="G331" s="55">
        <v>0</v>
      </c>
      <c r="H331" s="55">
        <v>0</v>
      </c>
      <c r="I331" s="55">
        <v>0</v>
      </c>
      <c r="J331" s="55">
        <v>0</v>
      </c>
      <c r="K331" s="55">
        <v>0</v>
      </c>
      <c r="L331" s="55">
        <v>0</v>
      </c>
      <c r="M331" s="55">
        <v>0</v>
      </c>
      <c r="N331" s="55">
        <v>0</v>
      </c>
      <c r="O331" s="55">
        <v>0</v>
      </c>
      <c r="P331" s="55">
        <v>0</v>
      </c>
      <c r="Q331" s="55"/>
    </row>
    <row r="332" spans="3:17">
      <c r="C332" s="55"/>
      <c r="D332" s="679" t="s">
        <v>508</v>
      </c>
      <c r="E332" s="55">
        <v>0</v>
      </c>
      <c r="F332" s="55">
        <v>0</v>
      </c>
      <c r="G332" s="55">
        <v>0</v>
      </c>
      <c r="H332" s="55">
        <v>0</v>
      </c>
      <c r="I332" s="55">
        <v>0</v>
      </c>
      <c r="J332" s="55">
        <v>0</v>
      </c>
      <c r="K332" s="55">
        <v>0</v>
      </c>
      <c r="L332" s="55">
        <v>0</v>
      </c>
      <c r="M332" s="55">
        <v>0</v>
      </c>
      <c r="N332" s="55">
        <v>0</v>
      </c>
      <c r="O332" s="55">
        <v>0</v>
      </c>
      <c r="P332" s="55">
        <v>0</v>
      </c>
      <c r="Q332" s="55"/>
    </row>
    <row r="333" spans="3:17">
      <c r="C333" s="55"/>
      <c r="D333" s="679" t="s">
        <v>509</v>
      </c>
      <c r="E333" s="55">
        <v>0</v>
      </c>
      <c r="F333" s="55">
        <v>0</v>
      </c>
      <c r="G333" s="55">
        <v>0</v>
      </c>
      <c r="H333" s="55">
        <v>0</v>
      </c>
      <c r="I333" s="55">
        <v>0</v>
      </c>
      <c r="J333" s="55">
        <v>0</v>
      </c>
      <c r="K333" s="55">
        <v>0</v>
      </c>
      <c r="L333" s="55">
        <v>0</v>
      </c>
      <c r="M333" s="55">
        <v>0</v>
      </c>
      <c r="N333" s="55">
        <v>0</v>
      </c>
      <c r="O333" s="55">
        <v>0</v>
      </c>
      <c r="P333" s="55">
        <v>0</v>
      </c>
      <c r="Q333" s="55"/>
    </row>
    <row r="334" spans="3:17">
      <c r="C334" s="55"/>
      <c r="D334" s="679" t="s">
        <v>510</v>
      </c>
      <c r="E334" s="55">
        <v>0</v>
      </c>
      <c r="F334" s="55">
        <v>0</v>
      </c>
      <c r="G334" s="55">
        <v>0</v>
      </c>
      <c r="H334" s="55">
        <v>0</v>
      </c>
      <c r="I334" s="55">
        <v>0</v>
      </c>
      <c r="J334" s="55">
        <v>0</v>
      </c>
      <c r="K334" s="55">
        <v>0</v>
      </c>
      <c r="L334" s="55">
        <v>0</v>
      </c>
      <c r="M334" s="55">
        <v>0</v>
      </c>
      <c r="N334" s="55">
        <v>0</v>
      </c>
      <c r="O334" s="55">
        <v>0</v>
      </c>
      <c r="P334" s="55">
        <v>0</v>
      </c>
      <c r="Q334" s="55"/>
    </row>
    <row r="335" spans="3:17">
      <c r="C335" s="55"/>
      <c r="D335" s="679" t="s">
        <v>511</v>
      </c>
      <c r="E335" s="55">
        <v>0</v>
      </c>
      <c r="F335" s="55">
        <v>0</v>
      </c>
      <c r="G335" s="55">
        <v>0</v>
      </c>
      <c r="H335" s="55">
        <v>0</v>
      </c>
      <c r="I335" s="55">
        <v>0</v>
      </c>
      <c r="J335" s="55">
        <v>0</v>
      </c>
      <c r="K335" s="55">
        <v>0</v>
      </c>
      <c r="L335" s="55">
        <v>0</v>
      </c>
      <c r="M335" s="55">
        <v>0</v>
      </c>
      <c r="N335" s="55">
        <v>0</v>
      </c>
      <c r="O335" s="55">
        <v>0</v>
      </c>
      <c r="P335" s="55">
        <v>0</v>
      </c>
      <c r="Q335" s="55"/>
    </row>
    <row r="336" spans="3:17">
      <c r="C336" s="55"/>
      <c r="D336" s="679" t="s">
        <v>512</v>
      </c>
      <c r="E336" s="55">
        <v>0</v>
      </c>
      <c r="F336" s="55">
        <v>0</v>
      </c>
      <c r="G336" s="55">
        <v>0</v>
      </c>
      <c r="H336" s="55">
        <v>0</v>
      </c>
      <c r="I336" s="55">
        <v>0</v>
      </c>
      <c r="J336" s="55">
        <v>0</v>
      </c>
      <c r="K336" s="55">
        <v>0</v>
      </c>
      <c r="L336" s="55">
        <v>0</v>
      </c>
      <c r="M336" s="55">
        <v>0</v>
      </c>
      <c r="N336" s="55">
        <v>0</v>
      </c>
      <c r="O336" s="55">
        <v>0</v>
      </c>
      <c r="P336" s="55">
        <v>0</v>
      </c>
      <c r="Q336" s="55"/>
    </row>
    <row r="337" spans="3:17"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</row>
    <row r="338" spans="3:17"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>
        <f t="shared" ref="Q338:Q349" si="161">SUM(E338:P338)</f>
        <v>0</v>
      </c>
    </row>
    <row r="339" spans="3:17"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>
        <f t="shared" si="161"/>
        <v>0</v>
      </c>
    </row>
    <row r="340" spans="3:17"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>
        <f t="shared" si="161"/>
        <v>0</v>
      </c>
    </row>
    <row r="341" spans="3:17"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>
        <f t="shared" si="161"/>
        <v>0</v>
      </c>
    </row>
    <row r="342" spans="3:17"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>
        <f t="shared" si="161"/>
        <v>0</v>
      </c>
    </row>
    <row r="343" spans="3:17"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>
        <f t="shared" si="161"/>
        <v>0</v>
      </c>
    </row>
    <row r="344" spans="3:17"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>
        <f t="shared" si="161"/>
        <v>0</v>
      </c>
    </row>
    <row r="345" ht="15" spans="3:17">
      <c r="C345" s="44" t="s">
        <v>424</v>
      </c>
      <c r="D345" s="45"/>
      <c r="E345" s="55">
        <f t="shared" ref="E345:P345" si="162">SUM(E319:E344)</f>
        <v>0</v>
      </c>
      <c r="F345" s="55">
        <f t="shared" si="162"/>
        <v>0</v>
      </c>
      <c r="G345" s="55">
        <f t="shared" si="162"/>
        <v>0</v>
      </c>
      <c r="H345" s="55">
        <f t="shared" si="162"/>
        <v>0</v>
      </c>
      <c r="I345" s="55">
        <f t="shared" si="162"/>
        <v>0</v>
      </c>
      <c r="J345" s="55">
        <f t="shared" si="162"/>
        <v>0</v>
      </c>
      <c r="K345" s="55">
        <f t="shared" si="162"/>
        <v>0</v>
      </c>
      <c r="L345" s="55">
        <f t="shared" si="162"/>
        <v>0</v>
      </c>
      <c r="M345" s="55">
        <f t="shared" si="162"/>
        <v>0</v>
      </c>
      <c r="N345" s="55">
        <f t="shared" si="162"/>
        <v>0</v>
      </c>
      <c r="O345" s="55">
        <f t="shared" si="162"/>
        <v>0</v>
      </c>
      <c r="P345" s="55">
        <f t="shared" si="162"/>
        <v>0</v>
      </c>
      <c r="Q345" s="316">
        <f t="shared" si="161"/>
        <v>0</v>
      </c>
    </row>
    <row r="346" ht="15" spans="3:17">
      <c r="C346" s="663" t="s">
        <v>425</v>
      </c>
      <c r="D346" s="676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</row>
    <row r="347" spans="3:17">
      <c r="C347" s="55" t="s">
        <v>426</v>
      </c>
      <c r="D347" s="55" t="s">
        <v>427</v>
      </c>
      <c r="E347" s="55">
        <v>0</v>
      </c>
      <c r="F347" s="55">
        <v>0</v>
      </c>
      <c r="G347" s="55">
        <v>0</v>
      </c>
      <c r="H347" s="55">
        <v>0</v>
      </c>
      <c r="I347" s="55">
        <v>0</v>
      </c>
      <c r="J347" s="55">
        <v>0</v>
      </c>
      <c r="K347" s="55">
        <v>0</v>
      </c>
      <c r="L347" s="55">
        <v>0</v>
      </c>
      <c r="M347" s="55">
        <v>0</v>
      </c>
      <c r="N347" s="55">
        <v>0</v>
      </c>
      <c r="O347" s="55">
        <v>0</v>
      </c>
      <c r="P347" s="55">
        <v>0</v>
      </c>
      <c r="Q347" s="55">
        <f t="shared" si="161"/>
        <v>0</v>
      </c>
    </row>
    <row r="348" spans="3:17">
      <c r="C348" s="55" t="s">
        <v>426</v>
      </c>
      <c r="D348" s="55" t="s">
        <v>428</v>
      </c>
      <c r="E348" s="55">
        <v>0</v>
      </c>
      <c r="F348" s="55">
        <v>0</v>
      </c>
      <c r="G348" s="55">
        <v>0</v>
      </c>
      <c r="H348" s="55">
        <v>0</v>
      </c>
      <c r="I348" s="55">
        <v>0</v>
      </c>
      <c r="J348" s="55">
        <v>0</v>
      </c>
      <c r="K348" s="55">
        <v>0</v>
      </c>
      <c r="L348" s="55">
        <v>0</v>
      </c>
      <c r="M348" s="55">
        <v>0</v>
      </c>
      <c r="N348" s="55">
        <v>0</v>
      </c>
      <c r="O348" s="55">
        <v>0</v>
      </c>
      <c r="P348" s="55">
        <v>0</v>
      </c>
      <c r="Q348" s="55">
        <f t="shared" si="161"/>
        <v>0</v>
      </c>
    </row>
    <row r="349" ht="15" spans="3:17">
      <c r="C349" s="44" t="s">
        <v>429</v>
      </c>
      <c r="D349" s="45"/>
      <c r="E349" s="55">
        <f>E347+E348</f>
        <v>0</v>
      </c>
      <c r="F349" s="55">
        <f t="shared" ref="F349:P349" si="163">F347+F348</f>
        <v>0</v>
      </c>
      <c r="G349" s="55">
        <f t="shared" si="163"/>
        <v>0</v>
      </c>
      <c r="H349" s="55">
        <f t="shared" si="163"/>
        <v>0</v>
      </c>
      <c r="I349" s="55">
        <f t="shared" si="163"/>
        <v>0</v>
      </c>
      <c r="J349" s="55">
        <f t="shared" si="163"/>
        <v>0</v>
      </c>
      <c r="K349" s="55">
        <f t="shared" si="163"/>
        <v>0</v>
      </c>
      <c r="L349" s="55">
        <f t="shared" si="163"/>
        <v>0</v>
      </c>
      <c r="M349" s="55">
        <f t="shared" si="163"/>
        <v>0</v>
      </c>
      <c r="N349" s="55">
        <f t="shared" si="163"/>
        <v>0</v>
      </c>
      <c r="O349" s="55">
        <f t="shared" si="163"/>
        <v>0</v>
      </c>
      <c r="P349" s="55">
        <f t="shared" si="163"/>
        <v>0</v>
      </c>
      <c r="Q349" s="55">
        <f t="shared" si="161"/>
        <v>0</v>
      </c>
    </row>
    <row r="350" ht="15" spans="3:17">
      <c r="C350" s="44" t="s">
        <v>224</v>
      </c>
      <c r="D350" s="45"/>
      <c r="E350" s="147">
        <f t="shared" ref="E350:Q350" si="164">E226+E272+E281+E291+E317+E345+E349</f>
        <v>1375.23545877205</v>
      </c>
      <c r="F350" s="147">
        <f t="shared" si="164"/>
        <v>848.132529021172</v>
      </c>
      <c r="G350" s="147">
        <f t="shared" si="164"/>
        <v>952.740418561316</v>
      </c>
      <c r="H350" s="147">
        <f t="shared" si="164"/>
        <v>1235.58490229462</v>
      </c>
      <c r="I350" s="147">
        <f t="shared" si="164"/>
        <v>1404.91454529372</v>
      </c>
      <c r="J350" s="147">
        <f t="shared" si="164"/>
        <v>1372.58892924144</v>
      </c>
      <c r="K350" s="147">
        <f t="shared" si="164"/>
        <v>1275.58897537986</v>
      </c>
      <c r="L350" s="147">
        <f t="shared" si="164"/>
        <v>1164.21026061167</v>
      </c>
      <c r="M350" s="147">
        <f t="shared" si="164"/>
        <v>1308.89091446591</v>
      </c>
      <c r="N350" s="147">
        <f t="shared" si="164"/>
        <v>1458.95942591585</v>
      </c>
      <c r="O350" s="147">
        <f t="shared" si="164"/>
        <v>1395.26065517905</v>
      </c>
      <c r="P350" s="147">
        <f t="shared" si="164"/>
        <v>1539.18601465346</v>
      </c>
      <c r="Q350" s="316">
        <f t="shared" si="164"/>
        <v>16733.0298143901</v>
      </c>
    </row>
    <row r="351" ht="15" spans="4:5">
      <c r="D351" s="11"/>
      <c r="E351" s="11"/>
    </row>
    <row r="352" ht="15" spans="3:10">
      <c r="C352" s="11" t="s">
        <v>524</v>
      </c>
      <c r="J352" s="3"/>
    </row>
    <row r="353" ht="15" spans="3:17">
      <c r="C353" s="14"/>
      <c r="Q353" s="3" t="s">
        <v>109</v>
      </c>
    </row>
    <row r="354" ht="15" spans="3:17">
      <c r="C354" s="658" t="s">
        <v>345</v>
      </c>
      <c r="D354" s="658" t="s">
        <v>346</v>
      </c>
      <c r="E354" s="135" t="s">
        <v>463</v>
      </c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</row>
    <row r="355" ht="15" spans="3:17">
      <c r="C355" s="660"/>
      <c r="D355" s="660"/>
      <c r="E355" s="135" t="s">
        <v>246</v>
      </c>
      <c r="F355" s="135" t="s">
        <v>247</v>
      </c>
      <c r="G355" s="135" t="s">
        <v>248</v>
      </c>
      <c r="H355" s="135" t="s">
        <v>249</v>
      </c>
      <c r="I355" s="135" t="s">
        <v>250</v>
      </c>
      <c r="J355" s="135" t="s">
        <v>251</v>
      </c>
      <c r="K355" s="135" t="s">
        <v>252</v>
      </c>
      <c r="L355" s="135" t="s">
        <v>253</v>
      </c>
      <c r="M355" s="135" t="s">
        <v>254</v>
      </c>
      <c r="N355" s="135" t="s">
        <v>255</v>
      </c>
      <c r="O355" s="135" t="s">
        <v>256</v>
      </c>
      <c r="P355" s="135" t="s">
        <v>257</v>
      </c>
      <c r="Q355" s="135" t="s">
        <v>97</v>
      </c>
    </row>
    <row r="356" spans="3:17">
      <c r="C356" s="662"/>
      <c r="D356" s="662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</row>
    <row r="357" ht="15" spans="2:17">
      <c r="B357" s="656"/>
      <c r="C357" s="663" t="s">
        <v>349</v>
      </c>
      <c r="D357" s="676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</row>
    <row r="358" ht="15" spans="3:17">
      <c r="C358" s="44" t="s">
        <v>350</v>
      </c>
      <c r="D358" s="4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</row>
    <row r="359" spans="2:17">
      <c r="B359" s="656"/>
      <c r="C359" s="677" t="s">
        <v>351</v>
      </c>
      <c r="D359" s="47" t="s">
        <v>352</v>
      </c>
      <c r="E359" s="690">
        <f>'[41]TGSPDCL MoD'!AJ4+'[41]TGSPDCL MoD'!AJ5</f>
        <v>77.462982897535</v>
      </c>
      <c r="F359" s="690">
        <f>'[41]TGSPDCL MoD'!AK4+'[41]TGSPDCL MoD'!AK5</f>
        <v>92.7201950020194</v>
      </c>
      <c r="G359" s="690">
        <f>'[41]TGSPDCL MoD'!AL4+'[41]TGSPDCL MoD'!AL5</f>
        <v>89.6550817883001</v>
      </c>
      <c r="H359" s="690">
        <f>'[41]TGSPDCL MoD'!AM4+'[41]TGSPDCL MoD'!AM5</f>
        <v>0</v>
      </c>
      <c r="I359" s="690">
        <f>'[41]TGSPDCL MoD'!AN4+'[41]TGSPDCL MoD'!AN5</f>
        <v>30.8648410669415</v>
      </c>
      <c r="J359" s="690">
        <f>'[41]TGSPDCL MoD'!AO4+'[41]TGSPDCL MoD'!AO5</f>
        <v>66.9268828996203</v>
      </c>
      <c r="K359" s="690">
        <f>'[41]TGSPDCL MoD'!AP4+'[41]TGSPDCL MoD'!AP5</f>
        <v>59.6946376679309</v>
      </c>
      <c r="L359" s="690">
        <f>'[41]TGSPDCL MoD'!AQ4+'[41]TGSPDCL MoD'!AQ5</f>
        <v>91.2487679894692</v>
      </c>
      <c r="M359" s="690">
        <f>'[41]TGSPDCL MoD'!AR4+'[41]TGSPDCL MoD'!AR5</f>
        <v>76.7228536636949</v>
      </c>
      <c r="N359" s="690">
        <f>'[41]TGSPDCL MoD'!AS4+'[41]TGSPDCL MoD'!AS5</f>
        <v>77.3394092781745</v>
      </c>
      <c r="O359" s="690">
        <f>'[41]TGSPDCL MoD'!AT4+'[41]TGSPDCL MoD'!AT5</f>
        <v>74.22432622337</v>
      </c>
      <c r="P359" s="690">
        <f>'[41]TGSPDCL MoD'!AU4+'[41]TGSPDCL MoD'!AU5</f>
        <v>90.2203046572137</v>
      </c>
      <c r="Q359" s="690">
        <f t="shared" ref="Q359:Q377" si="165">SUM(E359:P359)</f>
        <v>827.080283134269</v>
      </c>
    </row>
    <row r="360" spans="2:17">
      <c r="B360" s="656"/>
      <c r="C360" s="678"/>
      <c r="D360" s="47" t="s">
        <v>353</v>
      </c>
      <c r="E360" s="690">
        <f>'[41]TGSPDCL MoD'!AJ6</f>
        <v>72.1204485779546</v>
      </c>
      <c r="F360" s="690">
        <f>'[41]TGSPDCL MoD'!AK6</f>
        <v>0</v>
      </c>
      <c r="G360" s="690">
        <f>'[41]TGSPDCL MoD'!AL6</f>
        <v>41.6279595633215</v>
      </c>
      <c r="H360" s="690">
        <f>'[41]TGSPDCL MoD'!AM6</f>
        <v>71.2793330497424</v>
      </c>
      <c r="I360" s="690">
        <f>'[41]TGSPDCL MoD'!AN6</f>
        <v>59.1462498045922</v>
      </c>
      <c r="J360" s="690">
        <f>'[41]TGSPDCL MoD'!AO6</f>
        <v>62.1487847001701</v>
      </c>
      <c r="K360" s="690">
        <f>'[41]TGSPDCL MoD'!AP6</f>
        <v>62.0587633661505</v>
      </c>
      <c r="L360" s="690">
        <f>'[41]TGSPDCL MoD'!AQ6</f>
        <v>81.4969912577702</v>
      </c>
      <c r="M360" s="690">
        <f>'[41]TGSPDCL MoD'!AR6</f>
        <v>73.3082048460182</v>
      </c>
      <c r="N360" s="690">
        <f>'[41]TGSPDCL MoD'!AS6</f>
        <v>71.8447211153114</v>
      </c>
      <c r="O360" s="690">
        <f>'[41]TGSPDCL MoD'!AT6</f>
        <v>68.9894227305155</v>
      </c>
      <c r="P360" s="690">
        <f>'[41]TGSPDCL MoD'!AU6</f>
        <v>82.395998835194</v>
      </c>
      <c r="Q360" s="690">
        <f t="shared" si="165"/>
        <v>746.416877846741</v>
      </c>
    </row>
    <row r="361" spans="2:17">
      <c r="B361" s="656"/>
      <c r="C361" s="678"/>
      <c r="D361" s="47" t="s">
        <v>354</v>
      </c>
      <c r="E361" s="690">
        <f>'[41]TGSPDCL MoD'!AJ7</f>
        <v>122.510738876292</v>
      </c>
      <c r="F361" s="690">
        <f>'[41]TGSPDCL MoD'!AK7</f>
        <v>0</v>
      </c>
      <c r="G361" s="690">
        <f>'[41]TGSPDCL MoD'!AL7</f>
        <v>64.2742811548207</v>
      </c>
      <c r="H361" s="690">
        <f>'[41]TGSPDCL MoD'!AM7</f>
        <v>120.756359074477</v>
      </c>
      <c r="I361" s="690">
        <f>'[41]TGSPDCL MoD'!AN7</f>
        <v>97.8055208666202</v>
      </c>
      <c r="J361" s="690">
        <f>'[41]TGSPDCL MoD'!AO7</f>
        <v>97.6238631393462</v>
      </c>
      <c r="K361" s="690">
        <f>'[41]TGSPDCL MoD'!AP7</f>
        <v>99.1574121477657</v>
      </c>
      <c r="L361" s="690">
        <f>'[41]TGSPDCL MoD'!AQ7</f>
        <v>127.033002472401</v>
      </c>
      <c r="M361" s="690">
        <f>'[41]TGSPDCL MoD'!AR7</f>
        <v>113.3358761846</v>
      </c>
      <c r="N361" s="690">
        <f>'[41]TGSPDCL MoD'!AS7</f>
        <v>113.189121413959</v>
      </c>
      <c r="O361" s="690">
        <f>'[41]TGSPDCL MoD'!AT7</f>
        <v>109.042408260002</v>
      </c>
      <c r="P361" s="690">
        <f>'[41]TGSPDCL MoD'!AU7</f>
        <v>130.960574411322</v>
      </c>
      <c r="Q361" s="690">
        <f t="shared" si="165"/>
        <v>1195.68915800161</v>
      </c>
    </row>
    <row r="362" spans="2:17">
      <c r="B362" s="656"/>
      <c r="C362" s="678"/>
      <c r="D362" s="47" t="s">
        <v>355</v>
      </c>
      <c r="E362" s="690">
        <f>'[41]TGSPDCL MoD'!AJ8</f>
        <v>10.703824628673</v>
      </c>
      <c r="F362" s="690">
        <f>'[41]TGSPDCL MoD'!AK8</f>
        <v>0</v>
      </c>
      <c r="G362" s="690">
        <f>'[41]TGSPDCL MoD'!AL8</f>
        <v>6.16830571821829</v>
      </c>
      <c r="H362" s="690">
        <f>'[41]TGSPDCL MoD'!AM8</f>
        <v>10.2170122656176</v>
      </c>
      <c r="I362" s="690">
        <f>'[41]TGSPDCL MoD'!AN8</f>
        <v>8.5297992309284</v>
      </c>
      <c r="J362" s="690">
        <f>'[41]TGSPDCL MoD'!AO8</f>
        <v>9.07103782090933</v>
      </c>
      <c r="K362" s="690">
        <f>'[41]TGSPDCL MoD'!AP8</f>
        <v>8.2485970584802</v>
      </c>
      <c r="L362" s="690">
        <f>'[41]TGSPDCL MoD'!AQ8</f>
        <v>12.6007716055439</v>
      </c>
      <c r="M362" s="690">
        <f>'[41]TGSPDCL MoD'!AR8</f>
        <v>10.0165309737753</v>
      </c>
      <c r="N362" s="690">
        <f>'[41]TGSPDCL MoD'!AS8</f>
        <v>10.4982144380658</v>
      </c>
      <c r="O362" s="690">
        <f>'[41]TGSPDCL MoD'!AT8</f>
        <v>10.2442253790803</v>
      </c>
      <c r="P362" s="690">
        <f>'[41]TGSPDCL MoD'!AU8</f>
        <v>12.4666296452031</v>
      </c>
      <c r="Q362" s="690">
        <f t="shared" si="165"/>
        <v>108.764948764495</v>
      </c>
    </row>
    <row r="363" spans="2:17">
      <c r="B363" s="656"/>
      <c r="C363" s="678"/>
      <c r="D363" s="47" t="s">
        <v>356</v>
      </c>
      <c r="E363" s="690">
        <f>'[41]TGSPDCL MoD'!AJ9</f>
        <v>74.9169849192468</v>
      </c>
      <c r="F363" s="690">
        <f>'[41]TGSPDCL MoD'!AK9</f>
        <v>77.4142177498884</v>
      </c>
      <c r="G363" s="690">
        <f>'[41]TGSPDCL MoD'!AL9</f>
        <v>75.184444401858</v>
      </c>
      <c r="H363" s="690">
        <f>'[41]TGSPDCL MoD'!AM9</f>
        <v>79.0497293924916</v>
      </c>
      <c r="I363" s="690">
        <f>'[41]TGSPDCL MoD'!AN9</f>
        <v>64.3301246090622</v>
      </c>
      <c r="J363" s="690">
        <f>'[41]TGSPDCL MoD'!AO9</f>
        <v>70.1687253116889</v>
      </c>
      <c r="K363" s="690">
        <f>'[41]TGSPDCL MoD'!AP9</f>
        <v>0</v>
      </c>
      <c r="L363" s="690">
        <f>'[41]TGSPDCL MoD'!AQ9</f>
        <v>37.4584924596234</v>
      </c>
      <c r="M363" s="690">
        <f>'[41]TGSPDCL MoD'!AR9</f>
        <v>75.3997485927297</v>
      </c>
      <c r="N363" s="690">
        <f>'[41]TGSPDCL MoD'!AS9</f>
        <v>67.6011478942687</v>
      </c>
      <c r="O363" s="690">
        <f>'[41]TGSPDCL MoD'!AT9</f>
        <v>67.9659578555637</v>
      </c>
      <c r="P363" s="690">
        <f>'[41]TGSPDCL MoD'!AU9</f>
        <v>82.9565626294116</v>
      </c>
      <c r="Q363" s="690">
        <f t="shared" si="165"/>
        <v>772.446135815833</v>
      </c>
    </row>
    <row r="364" spans="2:17">
      <c r="B364" s="656"/>
      <c r="C364" s="678"/>
      <c r="D364" s="47" t="s">
        <v>357</v>
      </c>
      <c r="E364" s="690">
        <f>'[41]TGSPDCL MoD'!AJ10</f>
        <v>87.9696954795066</v>
      </c>
      <c r="F364" s="690">
        <f>'[41]TGSPDCL MoD'!AK10</f>
        <v>89.3539268403646</v>
      </c>
      <c r="G364" s="690">
        <f>'[41]TGSPDCL MoD'!AL10</f>
        <v>87.9696954795066</v>
      </c>
      <c r="H364" s="690">
        <f>'[41]TGSPDCL MoD'!AM10</f>
        <v>97.5796773660674</v>
      </c>
      <c r="I364" s="690">
        <f>'[41]TGSPDCL MoD'!AN10</f>
        <v>80.4706793953439</v>
      </c>
      <c r="J364" s="690">
        <f>'[41]TGSPDCL MoD'!AO10</f>
        <v>91.1415228759421</v>
      </c>
      <c r="K364" s="690">
        <f>'[41]TGSPDCL MoD'!AP10</f>
        <v>81.8431594495144</v>
      </c>
      <c r="L364" s="690">
        <f>'[41]TGSPDCL MoD'!AQ10</f>
        <v>0</v>
      </c>
      <c r="M364" s="690">
        <f>'[41]TGSPDCL MoD'!AR10</f>
        <v>45.1954829692537</v>
      </c>
      <c r="N364" s="690">
        <f>'[41]TGSPDCL MoD'!AS10</f>
        <v>90.9020186621568</v>
      </c>
      <c r="O364" s="690">
        <f>'[41]TGSPDCL MoD'!AT10</f>
        <v>88.5210030344343</v>
      </c>
      <c r="P364" s="690">
        <f>'[41]TGSPDCL MoD'!AU10</f>
        <v>98.2724526077371</v>
      </c>
      <c r="Q364" s="690">
        <f t="shared" si="165"/>
        <v>939.219314159828</v>
      </c>
    </row>
    <row r="365" spans="2:17">
      <c r="B365" s="656"/>
      <c r="C365" s="678"/>
      <c r="D365" s="47" t="s">
        <v>358</v>
      </c>
      <c r="E365" s="690">
        <f>SUM('[41]TGSPDCL MoD'!AJ11:AJ14)</f>
        <v>164.816346770816</v>
      </c>
      <c r="F365" s="690">
        <f>SUM('[41]TGSPDCL MoD'!AK11:AK14)</f>
        <v>84.5881378596344</v>
      </c>
      <c r="G365" s="690">
        <f>SUM('[41]TGSPDCL MoD'!AL11:AL14)</f>
        <v>123.123327420536</v>
      </c>
      <c r="H365" s="690">
        <f>SUM('[41]TGSPDCL MoD'!AM11:AM14)</f>
        <v>176.671365156176</v>
      </c>
      <c r="I365" s="690">
        <f>SUM('[41]TGSPDCL MoD'!AN11:AN14)</f>
        <v>128.488553654703</v>
      </c>
      <c r="J365" s="690">
        <f>SUM('[41]TGSPDCL MoD'!AO11:AO14)</f>
        <v>127.870166130415</v>
      </c>
      <c r="K365" s="690">
        <f>SUM('[41]TGSPDCL MoD'!AP11:AP14)</f>
        <v>146.987308935871</v>
      </c>
      <c r="L365" s="690">
        <f>SUM('[41]TGSPDCL MoD'!AQ11:AQ14)</f>
        <v>122.994124816833</v>
      </c>
      <c r="M365" s="690">
        <f>SUM('[41]TGSPDCL MoD'!AR11:AR14)</f>
        <v>148.02924125436</v>
      </c>
      <c r="N365" s="690">
        <f>SUM('[41]TGSPDCL MoD'!AS11:AS14)</f>
        <v>167.610945131982</v>
      </c>
      <c r="O365" s="690">
        <f>SUM('[41]TGSPDCL MoD'!AT11:AT14)</f>
        <v>158.547662191473</v>
      </c>
      <c r="P365" s="690">
        <f>SUM('[41]TGSPDCL MoD'!AU11:AU14)</f>
        <v>186.677269759193</v>
      </c>
      <c r="Q365" s="690">
        <f t="shared" si="165"/>
        <v>1736.40444908199</v>
      </c>
    </row>
    <row r="366" spans="2:17">
      <c r="B366" s="656"/>
      <c r="C366" s="678"/>
      <c r="D366" s="47" t="s">
        <v>359</v>
      </c>
      <c r="E366" s="690">
        <f>SUM('[41]TGSPDCL MoD'!AJ15:AJ19)+'[41]TGSPDCL MoD'!$AW$15/12</f>
        <v>494.270523894142</v>
      </c>
      <c r="F366" s="690">
        <f>SUM('[41]TGSPDCL MoD'!AK15:AK19)+'[41]TGSPDCL MoD'!$AW$15/12</f>
        <v>297.624707206876</v>
      </c>
      <c r="G366" s="690">
        <f>SUM('[41]TGSPDCL MoD'!AL15:AL19)+'[41]TGSPDCL MoD'!$AW$15/12</f>
        <v>293.987584744448</v>
      </c>
      <c r="H366" s="690">
        <f>SUM('[41]TGSPDCL MoD'!AM15:AM19)+'[41]TGSPDCL MoD'!$AW$15/12</f>
        <v>315.845003537855</v>
      </c>
      <c r="I366" s="690">
        <f>SUM('[41]TGSPDCL MoD'!AN15:AN19)+'[41]TGSPDCL MoD'!$AW$15/12</f>
        <v>486.279202678817</v>
      </c>
      <c r="J366" s="690">
        <f>SUM('[41]TGSPDCL MoD'!AO15:AO19)+'[41]TGSPDCL MoD'!$AW$15/12</f>
        <v>509.317046732838</v>
      </c>
      <c r="K366" s="690">
        <f>SUM('[41]TGSPDCL MoD'!AP15:AP19)+'[41]TGSPDCL MoD'!$AW$15/12</f>
        <v>472.291080030466</v>
      </c>
      <c r="L366" s="690">
        <f>SUM('[41]TGSPDCL MoD'!AQ15:AQ19)+'[41]TGSPDCL MoD'!$AW$15/12</f>
        <v>384.633019601922</v>
      </c>
      <c r="M366" s="690">
        <f>SUM('[41]TGSPDCL MoD'!AR15:AR19)+'[41]TGSPDCL MoD'!$AW$15/12</f>
        <v>459.584403804795</v>
      </c>
      <c r="N366" s="690">
        <f>SUM('[41]TGSPDCL MoD'!AS15:AS19)+'[41]TGSPDCL MoD'!$AW$15/12</f>
        <v>510.591019683591</v>
      </c>
      <c r="O366" s="690">
        <f>SUM('[41]TGSPDCL MoD'!AT15:AT19)+'[41]TGSPDCL MoD'!$AW$15/12</f>
        <v>475.374583014418</v>
      </c>
      <c r="P366" s="690">
        <f>SUM('[41]TGSPDCL MoD'!AU15:AU19)+'[41]TGSPDCL MoD'!$AW$15/12</f>
        <v>526.288278592045</v>
      </c>
      <c r="Q366" s="690">
        <f t="shared" si="165"/>
        <v>5226.08645352221</v>
      </c>
    </row>
    <row r="367" spans="2:17">
      <c r="B367" s="656"/>
      <c r="C367" s="678"/>
      <c r="D367" s="679" t="s">
        <v>492</v>
      </c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>
        <f t="shared" si="165"/>
        <v>0</v>
      </c>
    </row>
    <row r="368" spans="2:17">
      <c r="B368" s="656"/>
      <c r="C368" s="678"/>
      <c r="D368" s="47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>
        <f t="shared" si="165"/>
        <v>0</v>
      </c>
    </row>
    <row r="369" spans="2:17">
      <c r="B369" s="656"/>
      <c r="C369" s="678"/>
      <c r="D369" s="47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>
        <f t="shared" si="165"/>
        <v>0</v>
      </c>
    </row>
    <row r="370" spans="2:17">
      <c r="B370" s="656"/>
      <c r="C370" s="678"/>
      <c r="D370" s="47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>
        <f t="shared" si="165"/>
        <v>0</v>
      </c>
    </row>
    <row r="371" spans="2:17">
      <c r="B371" s="656"/>
      <c r="C371" s="678"/>
      <c r="D371" s="47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>
        <f t="shared" si="165"/>
        <v>0</v>
      </c>
    </row>
    <row r="372" spans="2:17">
      <c r="B372" s="656"/>
      <c r="C372" s="678"/>
      <c r="D372" s="47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>
        <f t="shared" si="165"/>
        <v>0</v>
      </c>
    </row>
    <row r="373" spans="2:17">
      <c r="B373" s="656"/>
      <c r="C373" s="678"/>
      <c r="D373" s="47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>
        <f t="shared" si="165"/>
        <v>0</v>
      </c>
    </row>
    <row r="374" spans="2:17">
      <c r="B374" s="656"/>
      <c r="C374" s="678"/>
      <c r="D374" s="47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>
        <f t="shared" si="165"/>
        <v>0</v>
      </c>
    </row>
    <row r="375" spans="2:17">
      <c r="B375" s="656"/>
      <c r="C375" s="678"/>
      <c r="D375" s="47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>
        <f t="shared" si="165"/>
        <v>0</v>
      </c>
    </row>
    <row r="376" spans="2:17">
      <c r="B376" s="656"/>
      <c r="C376" s="680"/>
      <c r="D376" s="47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>
        <f t="shared" si="165"/>
        <v>0</v>
      </c>
    </row>
    <row r="377" ht="15" spans="3:18">
      <c r="C377" s="537" t="s">
        <v>211</v>
      </c>
      <c r="D377" s="540"/>
      <c r="E377" s="690">
        <f t="shared" ref="E377:P377" si="166">SUM(E359:E376)</f>
        <v>1104.77154604417</v>
      </c>
      <c r="F377" s="690">
        <f t="shared" si="166"/>
        <v>641.701184658783</v>
      </c>
      <c r="G377" s="690">
        <f t="shared" si="166"/>
        <v>781.99068027101</v>
      </c>
      <c r="H377" s="690">
        <f t="shared" si="166"/>
        <v>871.398479842427</v>
      </c>
      <c r="I377" s="690">
        <f t="shared" si="166"/>
        <v>955.914971307009</v>
      </c>
      <c r="J377" s="690">
        <f t="shared" si="166"/>
        <v>1034.26802961093</v>
      </c>
      <c r="K377" s="690">
        <f t="shared" si="166"/>
        <v>930.280958656178</v>
      </c>
      <c r="L377" s="690">
        <f t="shared" si="166"/>
        <v>857.465170203563</v>
      </c>
      <c r="M377" s="690">
        <f t="shared" si="166"/>
        <v>1001.59234228923</v>
      </c>
      <c r="N377" s="690">
        <f t="shared" si="166"/>
        <v>1109.57659761751</v>
      </c>
      <c r="O377" s="690">
        <f t="shared" si="166"/>
        <v>1052.90958868886</v>
      </c>
      <c r="P377" s="690">
        <f t="shared" si="166"/>
        <v>1210.23807113732</v>
      </c>
      <c r="Q377" s="693">
        <f t="shared" si="165"/>
        <v>11552.107620327</v>
      </c>
      <c r="R377" s="686"/>
    </row>
    <row r="378" ht="15" spans="3:17">
      <c r="C378" s="44" t="s">
        <v>360</v>
      </c>
      <c r="D378" s="4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</row>
    <row r="379" spans="3:17">
      <c r="C379" s="682" t="s">
        <v>351</v>
      </c>
      <c r="D379" s="55" t="s">
        <v>361</v>
      </c>
      <c r="E379" s="55">
        <v>0</v>
      </c>
      <c r="F379" s="55">
        <v>0</v>
      </c>
      <c r="G379" s="55">
        <v>0</v>
      </c>
      <c r="H379" s="55">
        <v>0</v>
      </c>
      <c r="I379" s="55">
        <v>0</v>
      </c>
      <c r="J379" s="55">
        <v>0</v>
      </c>
      <c r="K379" s="55">
        <v>0</v>
      </c>
      <c r="L379" s="55">
        <v>0</v>
      </c>
      <c r="M379" s="55">
        <v>0</v>
      </c>
      <c r="N379" s="55">
        <v>0</v>
      </c>
      <c r="O379" s="55">
        <v>0</v>
      </c>
      <c r="P379" s="55">
        <v>0</v>
      </c>
      <c r="Q379" s="55">
        <f t="shared" ref="Q379:Q397" si="167">SUM(E379:P379)</f>
        <v>0</v>
      </c>
    </row>
    <row r="380" spans="3:17">
      <c r="C380" s="683"/>
      <c r="D380" s="55" t="s">
        <v>362</v>
      </c>
      <c r="E380" s="55">
        <v>0</v>
      </c>
      <c r="F380" s="55">
        <v>0</v>
      </c>
      <c r="G380" s="55">
        <v>0</v>
      </c>
      <c r="H380" s="55">
        <v>0</v>
      </c>
      <c r="I380" s="55">
        <v>0</v>
      </c>
      <c r="J380" s="55">
        <v>0</v>
      </c>
      <c r="K380" s="55">
        <v>0</v>
      </c>
      <c r="L380" s="55">
        <v>0</v>
      </c>
      <c r="M380" s="55">
        <v>0</v>
      </c>
      <c r="N380" s="55">
        <v>0</v>
      </c>
      <c r="O380" s="55">
        <v>0</v>
      </c>
      <c r="P380" s="55">
        <v>0</v>
      </c>
      <c r="Q380" s="55">
        <f t="shared" si="167"/>
        <v>0</v>
      </c>
    </row>
    <row r="381" spans="3:17">
      <c r="C381" s="683"/>
      <c r="D381" s="55" t="s">
        <v>363</v>
      </c>
      <c r="E381" s="55">
        <v>0</v>
      </c>
      <c r="F381" s="55">
        <v>0</v>
      </c>
      <c r="G381" s="55">
        <v>0</v>
      </c>
      <c r="H381" s="55">
        <v>0</v>
      </c>
      <c r="I381" s="55">
        <v>0</v>
      </c>
      <c r="J381" s="55">
        <v>0</v>
      </c>
      <c r="K381" s="55">
        <v>0</v>
      </c>
      <c r="L381" s="55">
        <v>0</v>
      </c>
      <c r="M381" s="55">
        <v>0</v>
      </c>
      <c r="N381" s="55">
        <v>0</v>
      </c>
      <c r="O381" s="55">
        <v>0</v>
      </c>
      <c r="P381" s="55">
        <v>0</v>
      </c>
      <c r="Q381" s="55">
        <f t="shared" si="167"/>
        <v>0</v>
      </c>
    </row>
    <row r="382" spans="3:17">
      <c r="C382" s="683"/>
      <c r="D382" s="55" t="s">
        <v>364</v>
      </c>
      <c r="E382" s="55">
        <v>0</v>
      </c>
      <c r="F382" s="55">
        <v>0</v>
      </c>
      <c r="G382" s="55">
        <v>0</v>
      </c>
      <c r="H382" s="55">
        <v>0</v>
      </c>
      <c r="I382" s="55">
        <v>0</v>
      </c>
      <c r="J382" s="55">
        <v>0</v>
      </c>
      <c r="K382" s="55">
        <v>0</v>
      </c>
      <c r="L382" s="55">
        <v>0</v>
      </c>
      <c r="M382" s="55">
        <v>0</v>
      </c>
      <c r="N382" s="55">
        <v>0</v>
      </c>
      <c r="O382" s="55">
        <v>0</v>
      </c>
      <c r="P382" s="55">
        <v>0</v>
      </c>
      <c r="Q382" s="55">
        <f t="shared" si="167"/>
        <v>0</v>
      </c>
    </row>
    <row r="383" spans="3:17">
      <c r="C383" s="683"/>
      <c r="D383" s="55" t="s">
        <v>365</v>
      </c>
      <c r="E383" s="55">
        <v>0</v>
      </c>
      <c r="F383" s="55">
        <v>0</v>
      </c>
      <c r="G383" s="55">
        <v>0</v>
      </c>
      <c r="H383" s="55">
        <v>0</v>
      </c>
      <c r="I383" s="55">
        <v>0</v>
      </c>
      <c r="J383" s="55">
        <v>0</v>
      </c>
      <c r="K383" s="55">
        <v>0</v>
      </c>
      <c r="L383" s="55">
        <v>0</v>
      </c>
      <c r="M383" s="55">
        <v>0</v>
      </c>
      <c r="N383" s="55">
        <v>0</v>
      </c>
      <c r="O383" s="55">
        <v>0</v>
      </c>
      <c r="P383" s="55">
        <v>0</v>
      </c>
      <c r="Q383" s="55">
        <f t="shared" si="167"/>
        <v>0</v>
      </c>
    </row>
    <row r="384" spans="3:17">
      <c r="C384" s="683"/>
      <c r="D384" s="55" t="s">
        <v>366</v>
      </c>
      <c r="E384" s="55">
        <v>0</v>
      </c>
      <c r="F384" s="55">
        <v>0</v>
      </c>
      <c r="G384" s="55">
        <v>0</v>
      </c>
      <c r="H384" s="55">
        <v>0</v>
      </c>
      <c r="I384" s="55">
        <v>0</v>
      </c>
      <c r="J384" s="55">
        <v>0</v>
      </c>
      <c r="K384" s="55">
        <v>0</v>
      </c>
      <c r="L384" s="55">
        <v>0</v>
      </c>
      <c r="M384" s="55">
        <v>0</v>
      </c>
      <c r="N384" s="55">
        <v>0</v>
      </c>
      <c r="O384" s="55">
        <v>0</v>
      </c>
      <c r="P384" s="55">
        <v>0</v>
      </c>
      <c r="Q384" s="55">
        <f t="shared" si="167"/>
        <v>0</v>
      </c>
    </row>
    <row r="385" spans="3:17">
      <c r="C385" s="683"/>
      <c r="D385" s="55" t="s">
        <v>367</v>
      </c>
      <c r="E385" s="55">
        <v>0</v>
      </c>
      <c r="F385" s="55">
        <v>0</v>
      </c>
      <c r="G385" s="55">
        <v>0</v>
      </c>
      <c r="H385" s="55">
        <v>0</v>
      </c>
      <c r="I385" s="55">
        <v>0</v>
      </c>
      <c r="J385" s="55">
        <v>0</v>
      </c>
      <c r="K385" s="55">
        <v>0</v>
      </c>
      <c r="L385" s="55">
        <v>0</v>
      </c>
      <c r="M385" s="55">
        <v>0</v>
      </c>
      <c r="N385" s="55">
        <v>0</v>
      </c>
      <c r="O385" s="55">
        <v>0</v>
      </c>
      <c r="P385" s="55">
        <v>0</v>
      </c>
      <c r="Q385" s="55">
        <f t="shared" si="167"/>
        <v>0</v>
      </c>
    </row>
    <row r="386" spans="3:17">
      <c r="C386" s="683"/>
      <c r="D386" s="55" t="s">
        <v>368</v>
      </c>
      <c r="E386" s="55">
        <v>0</v>
      </c>
      <c r="F386" s="55">
        <v>0</v>
      </c>
      <c r="G386" s="55">
        <v>0</v>
      </c>
      <c r="H386" s="55">
        <v>0</v>
      </c>
      <c r="I386" s="55">
        <v>0</v>
      </c>
      <c r="J386" s="55">
        <v>0</v>
      </c>
      <c r="K386" s="55">
        <v>0</v>
      </c>
      <c r="L386" s="55">
        <v>0</v>
      </c>
      <c r="M386" s="55">
        <v>0</v>
      </c>
      <c r="N386" s="55">
        <v>0</v>
      </c>
      <c r="O386" s="55">
        <v>0</v>
      </c>
      <c r="P386" s="55">
        <v>0</v>
      </c>
      <c r="Q386" s="55">
        <f t="shared" si="167"/>
        <v>0</v>
      </c>
    </row>
    <row r="387" spans="3:17">
      <c r="C387" s="683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>
        <f t="shared" si="167"/>
        <v>0</v>
      </c>
    </row>
    <row r="388" spans="3:17">
      <c r="C388" s="683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>
        <f t="shared" si="167"/>
        <v>0</v>
      </c>
    </row>
    <row r="389" spans="3:17">
      <c r="C389" s="683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>
        <f t="shared" si="167"/>
        <v>0</v>
      </c>
    </row>
    <row r="390" spans="3:17">
      <c r="C390" s="683"/>
      <c r="D390" s="679" t="s">
        <v>493</v>
      </c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>
        <f t="shared" si="167"/>
        <v>0</v>
      </c>
    </row>
    <row r="391" spans="3:17">
      <c r="C391" s="683"/>
      <c r="D391" s="679" t="s">
        <v>494</v>
      </c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>
        <f t="shared" si="167"/>
        <v>0</v>
      </c>
    </row>
    <row r="392" spans="3:17">
      <c r="C392" s="683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>
        <f t="shared" si="167"/>
        <v>0</v>
      </c>
    </row>
    <row r="393" spans="3:17">
      <c r="C393" s="683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>
        <f t="shared" si="167"/>
        <v>0</v>
      </c>
    </row>
    <row r="394" spans="3:17">
      <c r="C394" s="683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>
        <f t="shared" si="167"/>
        <v>0</v>
      </c>
    </row>
    <row r="395" spans="3:17">
      <c r="C395" s="683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>
        <f t="shared" si="167"/>
        <v>0</v>
      </c>
    </row>
    <row r="396" spans="3:17">
      <c r="C396" s="684"/>
      <c r="D396" s="67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>
        <f t="shared" si="167"/>
        <v>0</v>
      </c>
    </row>
    <row r="397" ht="15" spans="3:17">
      <c r="C397" s="537" t="s">
        <v>211</v>
      </c>
      <c r="D397" s="540"/>
      <c r="E397" s="55">
        <f t="shared" ref="E397:P397" si="168">SUM(E379:E396)</f>
        <v>0</v>
      </c>
      <c r="F397" s="55">
        <f t="shared" si="168"/>
        <v>0</v>
      </c>
      <c r="G397" s="55">
        <f t="shared" si="168"/>
        <v>0</v>
      </c>
      <c r="H397" s="55">
        <f t="shared" si="168"/>
        <v>0</v>
      </c>
      <c r="I397" s="55">
        <f t="shared" si="168"/>
        <v>0</v>
      </c>
      <c r="J397" s="55">
        <f t="shared" si="168"/>
        <v>0</v>
      </c>
      <c r="K397" s="55">
        <f t="shared" si="168"/>
        <v>0</v>
      </c>
      <c r="L397" s="55">
        <f t="shared" si="168"/>
        <v>0</v>
      </c>
      <c r="M397" s="55">
        <f t="shared" si="168"/>
        <v>0</v>
      </c>
      <c r="N397" s="55">
        <f t="shared" si="168"/>
        <v>0</v>
      </c>
      <c r="O397" s="55">
        <f t="shared" si="168"/>
        <v>0</v>
      </c>
      <c r="P397" s="55">
        <f t="shared" si="168"/>
        <v>0</v>
      </c>
      <c r="Q397" s="316">
        <f t="shared" si="167"/>
        <v>0</v>
      </c>
    </row>
    <row r="398" ht="15" spans="3:18">
      <c r="C398" s="44" t="s">
        <v>369</v>
      </c>
      <c r="D398" s="45"/>
      <c r="E398" s="55">
        <f t="shared" ref="E398:Q398" si="169">E377+E397</f>
        <v>1104.77154604417</v>
      </c>
      <c r="F398" s="55">
        <f t="shared" si="169"/>
        <v>641.701184658783</v>
      </c>
      <c r="G398" s="55">
        <f t="shared" si="169"/>
        <v>781.99068027101</v>
      </c>
      <c r="H398" s="55">
        <f t="shared" si="169"/>
        <v>871.398479842427</v>
      </c>
      <c r="I398" s="55">
        <f t="shared" si="169"/>
        <v>955.914971307009</v>
      </c>
      <c r="J398" s="55">
        <f t="shared" si="169"/>
        <v>1034.26802961093</v>
      </c>
      <c r="K398" s="55">
        <f t="shared" si="169"/>
        <v>930.280958656178</v>
      </c>
      <c r="L398" s="55">
        <f t="shared" si="169"/>
        <v>857.465170203563</v>
      </c>
      <c r="M398" s="55">
        <f t="shared" si="169"/>
        <v>1001.59234228923</v>
      </c>
      <c r="N398" s="55">
        <f t="shared" si="169"/>
        <v>1109.57659761751</v>
      </c>
      <c r="O398" s="55">
        <f t="shared" si="169"/>
        <v>1052.90958868886</v>
      </c>
      <c r="P398" s="55">
        <f t="shared" si="169"/>
        <v>1210.23807113732</v>
      </c>
      <c r="Q398" s="316">
        <f t="shared" si="169"/>
        <v>11552.107620327</v>
      </c>
      <c r="R398" s="686"/>
    </row>
    <row r="399" ht="15" spans="3:17">
      <c r="C399" s="663" t="s">
        <v>370</v>
      </c>
      <c r="D399" s="676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</row>
    <row r="400" ht="15" spans="3:17">
      <c r="C400" s="44" t="s">
        <v>350</v>
      </c>
      <c r="D400" s="4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</row>
    <row r="401" spans="3:17">
      <c r="C401" s="694" t="s">
        <v>371</v>
      </c>
      <c r="D401" s="55" t="s">
        <v>372</v>
      </c>
      <c r="E401" s="147">
        <f>SUM('[41]TGSPDCL MoD'!AJ25:AJ30)+'[41]TGSPDCL MoD'!$AW$25/12</f>
        <v>45.2004766938604</v>
      </c>
      <c r="F401" s="147">
        <f>SUM('[41]TGSPDCL MoD'!AK25:AK30)+'[41]TGSPDCL MoD'!$AW$25/12</f>
        <v>58.0163876837612</v>
      </c>
      <c r="G401" s="147">
        <f>SUM('[41]TGSPDCL MoD'!AL25:AL30)+'[41]TGSPDCL MoD'!$AW$25/12</f>
        <v>58.9706422278163</v>
      </c>
      <c r="H401" s="147">
        <f>SUM('[41]TGSPDCL MoD'!AM25:AM30)+'[41]TGSPDCL MoD'!$AW$25/12</f>
        <v>48.5440227968931</v>
      </c>
      <c r="I401" s="147">
        <f>SUM('[41]TGSPDCL MoD'!AN25:AN30)+'[41]TGSPDCL MoD'!$AW$25/12</f>
        <v>39.6574367337116</v>
      </c>
      <c r="J401" s="147">
        <f>SUM('[41]TGSPDCL MoD'!AO25:AO30)+'[41]TGSPDCL MoD'!$AW$25/12</f>
        <v>42.2503363864819</v>
      </c>
      <c r="K401" s="147">
        <f>SUM('[41]TGSPDCL MoD'!AP25:AP30)+'[41]TGSPDCL MoD'!$AW$25/12</f>
        <v>41.0289645995845</v>
      </c>
      <c r="L401" s="147">
        <f>SUM('[41]TGSPDCL MoD'!AQ25:AQ30)+'[41]TGSPDCL MoD'!$AW$25/12</f>
        <v>57.5772834077051</v>
      </c>
      <c r="M401" s="147">
        <f>SUM('[41]TGSPDCL MoD'!AR25:AR30)+'[41]TGSPDCL MoD'!$AW$25/12</f>
        <v>38.7387287262897</v>
      </c>
      <c r="N401" s="147">
        <f>SUM('[41]TGSPDCL MoD'!AS25:AS30)+'[41]TGSPDCL MoD'!$AW$25/12</f>
        <v>39.0231479550308</v>
      </c>
      <c r="O401" s="147">
        <f>SUM('[41]TGSPDCL MoD'!AT25:AT30)+'[41]TGSPDCL MoD'!$AW$25/12</f>
        <v>45.3183424270084</v>
      </c>
      <c r="P401" s="147">
        <f>SUM('[41]TGSPDCL MoD'!AU25:AU30)+'[41]TGSPDCL MoD'!$AW$25/12</f>
        <v>58.0417363477419</v>
      </c>
      <c r="Q401" s="147">
        <f t="shared" ref="Q401:Q428" si="170">SUM(E401:P401)</f>
        <v>572.367505985885</v>
      </c>
    </row>
    <row r="402" spans="3:17">
      <c r="C402" s="695"/>
      <c r="D402" s="55" t="s">
        <v>373</v>
      </c>
      <c r="E402" s="147">
        <f>'[41]TGSPDCL MoD'!AJ31</f>
        <v>12.4331422704382</v>
      </c>
      <c r="F402" s="147">
        <f>'[41]TGSPDCL MoD'!AK31</f>
        <v>14.5837398523519</v>
      </c>
      <c r="G402" s="147">
        <f>'[41]TGSPDCL MoD'!AL31</f>
        <v>14.1132966313083</v>
      </c>
      <c r="H402" s="147">
        <f>'[41]TGSPDCL MoD'!AM31</f>
        <v>0</v>
      </c>
      <c r="I402" s="147">
        <f>'[41]TGSPDCL MoD'!AN31</f>
        <v>4.86124661745063</v>
      </c>
      <c r="J402" s="147">
        <f>'[41]TGSPDCL MoD'!AO31</f>
        <v>10.0809261652202</v>
      </c>
      <c r="K402" s="147">
        <f>'[41]TGSPDCL MoD'!AP31</f>
        <v>10.4169570373942</v>
      </c>
      <c r="L402" s="147">
        <f>'[41]TGSPDCL MoD'!AQ31</f>
        <v>13.7772657591343</v>
      </c>
      <c r="M402" s="147">
        <f>'[41]TGSPDCL MoD'!AR31</f>
        <v>12.1531165436266</v>
      </c>
      <c r="N402" s="147">
        <f>'[41]TGSPDCL MoD'!AS31</f>
        <v>12.1531165436266</v>
      </c>
      <c r="O402" s="147">
        <f>'[41]TGSPDCL MoD'!AT31</f>
        <v>11.6042661190757</v>
      </c>
      <c r="P402" s="147">
        <f>'[41]TGSPDCL MoD'!AU31</f>
        <v>13.8892760498589</v>
      </c>
      <c r="Q402" s="147">
        <f t="shared" si="170"/>
        <v>130.066349589486</v>
      </c>
    </row>
    <row r="403" spans="3:17">
      <c r="C403" s="695"/>
      <c r="D403" s="55" t="s">
        <v>374</v>
      </c>
      <c r="E403" s="147">
        <f>SUM('[41]TGSPDCL MoD'!AJ42:AJ45)</f>
        <v>18.5370307994844</v>
      </c>
      <c r="F403" s="147">
        <f>SUM('[41]TGSPDCL MoD'!AK42:AK45)</f>
        <v>19.0194627747365</v>
      </c>
      <c r="G403" s="147">
        <f>SUM('[41]TGSPDCL MoD'!AL42:AL45)</f>
        <v>18.5370307994844</v>
      </c>
      <c r="H403" s="147">
        <f>SUM('[41]TGSPDCL MoD'!AM42:AM45)</f>
        <v>19.1549318261338</v>
      </c>
      <c r="I403" s="147">
        <f>SUM('[41]TGSPDCL MoD'!AN42:AN45)</f>
        <v>19.1549318261338</v>
      </c>
      <c r="J403" s="147">
        <f>SUM('[41]TGSPDCL MoD'!AO42:AO45)</f>
        <v>18.5370307994844</v>
      </c>
      <c r="K403" s="147">
        <f>SUM('[41]TGSPDCL MoD'!AP42:AP45)</f>
        <v>17.7183119391738</v>
      </c>
      <c r="L403" s="147">
        <f>SUM('[41]TGSPDCL MoD'!AQ42:AQ45)</f>
        <v>13.9027730996133</v>
      </c>
      <c r="M403" s="147">
        <f>SUM('[41]TGSPDCL MoD'!AR42:AR45)</f>
        <v>11.9718323913336</v>
      </c>
      <c r="N403" s="147">
        <f>SUM('[41]TGSPDCL MoD'!AS42:AS45)</f>
        <v>16.7605653478671</v>
      </c>
      <c r="O403" s="147">
        <f>SUM('[41]TGSPDCL MoD'!AT42:AT45)</f>
        <v>17.3012287461854</v>
      </c>
      <c r="P403" s="147">
        <f>SUM('[41]TGSPDCL MoD'!AU42:AU45)</f>
        <v>19.1549318261338</v>
      </c>
      <c r="Q403" s="147">
        <f t="shared" si="170"/>
        <v>209.750062175765</v>
      </c>
    </row>
    <row r="404" spans="3:17">
      <c r="C404" s="695"/>
      <c r="D404" s="55" t="s">
        <v>375</v>
      </c>
      <c r="E404" s="147">
        <f>'[41]TGSPDCL MoD'!AJ40</f>
        <v>79.354952552799</v>
      </c>
      <c r="F404" s="147">
        <f>'[41]TGSPDCL MoD'!AK40</f>
        <v>96.1560440393014</v>
      </c>
      <c r="G404" s="147">
        <f>'[41]TGSPDCL MoD'!AL40</f>
        <v>93.1797548665193</v>
      </c>
      <c r="H404" s="147">
        <f>'[41]TGSPDCL MoD'!AM40</f>
        <v>75.0004151201554</v>
      </c>
      <c r="I404" s="147">
        <f>'[41]TGSPDCL MoD'!AN40</f>
        <v>58.5940743126214</v>
      </c>
      <c r="J404" s="147">
        <f>'[41]TGSPDCL MoD'!AO40</f>
        <v>65.7765737444911</v>
      </c>
      <c r="K404" s="147">
        <f>'[41]TGSPDCL MoD'!AP40</f>
        <v>58.2110596391554</v>
      </c>
      <c r="L404" s="147">
        <f>'[41]TGSPDCL MoD'!AQ40</f>
        <v>0</v>
      </c>
      <c r="M404" s="147">
        <f>'[41]TGSPDCL MoD'!AR40</f>
        <v>38.6720890463301</v>
      </c>
      <c r="N404" s="147">
        <f>'[41]TGSPDCL MoD'!AS40</f>
        <v>77.3441780926603</v>
      </c>
      <c r="O404" s="147">
        <f>'[41]TGSPDCL MoD'!AT40</f>
        <v>76.2100992349966</v>
      </c>
      <c r="P404" s="147">
        <f>'[41]TGSPDCL MoD'!AU40</f>
        <v>92.4285320256007</v>
      </c>
      <c r="Q404" s="147">
        <f t="shared" si="170"/>
        <v>810.927772674631</v>
      </c>
    </row>
    <row r="405" spans="3:17">
      <c r="C405" s="695"/>
      <c r="D405" s="55" t="s">
        <v>376</v>
      </c>
      <c r="E405" s="147">
        <f>'[41]TGSPDCL MoD'!AJ41+'[41]TGSPDCL MoD'!$AW$41/12</f>
        <v>37.6696962003562</v>
      </c>
      <c r="F405" s="147">
        <f>'[41]TGSPDCL MoD'!AK41+'[41]TGSPDCL MoD'!$AW$41/12</f>
        <v>46.5633350693422</v>
      </c>
      <c r="G405" s="147">
        <f>'[41]TGSPDCL MoD'!AL41+'[41]TGSPDCL MoD'!$AW$41/12</f>
        <v>0.612867579581407</v>
      </c>
      <c r="H405" s="147">
        <f>'[41]TGSPDCL MoD'!AM41+'[41]TGSPDCL MoD'!$AW$41/12</f>
        <v>18.1178075756807</v>
      </c>
      <c r="I405" s="147">
        <f>'[41]TGSPDCL MoD'!AN41+'[41]TGSPDCL MoD'!$AW$41/12</f>
        <v>28.1201997492768</v>
      </c>
      <c r="J405" s="147">
        <f>'[41]TGSPDCL MoD'!AO41+'[41]TGSPDCL MoD'!$AW$41/12</f>
        <v>31.7070015176673</v>
      </c>
      <c r="K405" s="147">
        <f>'[41]TGSPDCL MoD'!AP41+'[41]TGSPDCL MoD'!$AW$41/12</f>
        <v>29.7184995779066</v>
      </c>
      <c r="L405" s="147">
        <f>'[41]TGSPDCL MoD'!AQ41+'[41]TGSPDCL MoD'!$AW$41/12</f>
        <v>44.0222953924891</v>
      </c>
      <c r="M405" s="147">
        <f>'[41]TGSPDCL MoD'!AR41+'[41]TGSPDCL MoD'!$AW$41/12</f>
        <v>37.8007577252645</v>
      </c>
      <c r="N405" s="147">
        <f>'[41]TGSPDCL MoD'!AS41+'[41]TGSPDCL MoD'!$AW$41/12</f>
        <v>36.7168063215363</v>
      </c>
      <c r="O405" s="147">
        <f>'[41]TGSPDCL MoD'!AT41+'[41]TGSPDCL MoD'!$AW$41/12</f>
        <v>36.1874230555252</v>
      </c>
      <c r="P405" s="147">
        <f>'[41]TGSPDCL MoD'!AU41+'[41]TGSPDCL MoD'!$AW$41/12</f>
        <v>44.3752175698298</v>
      </c>
      <c r="Q405" s="147">
        <f t="shared" si="170"/>
        <v>391.611907334456</v>
      </c>
    </row>
    <row r="406" spans="3:17">
      <c r="C406" s="695"/>
      <c r="D406" s="55" t="s">
        <v>377</v>
      </c>
      <c r="E406" s="147">
        <f>SUM('[41]TGSPDCL MoD'!AJ49:AJ51)</f>
        <v>53.7956977314117</v>
      </c>
      <c r="F406" s="147">
        <f>SUM('[41]TGSPDCL MoD'!AK49:AK51)</f>
        <v>65.3986913597553</v>
      </c>
      <c r="G406" s="147">
        <f>SUM('[41]TGSPDCL MoD'!AL49:AL51)</f>
        <v>42.1927041030682</v>
      </c>
      <c r="H406" s="147">
        <f>SUM('[41]TGSPDCL MoD'!AM49:AM51)</f>
        <v>40.9740675930756</v>
      </c>
      <c r="I406" s="147">
        <f>SUM('[41]TGSPDCL MoD'!AN49:AN51)</f>
        <v>40.8741820998471</v>
      </c>
      <c r="J406" s="147">
        <f>SUM('[41]TGSPDCL MoD'!AO49:AO51)</f>
        <v>44.3023393082214</v>
      </c>
      <c r="K406" s="147">
        <f>SUM('[41]TGSPDCL MoD'!AP49:AP51)</f>
        <v>39.2392148158533</v>
      </c>
      <c r="L406" s="147">
        <f>SUM('[41]TGSPDCL MoD'!AQ49:AQ51)</f>
        <v>42.1927041030681</v>
      </c>
      <c r="M406" s="147">
        <f>SUM('[41]TGSPDCL MoD'!AR49:AR51)</f>
        <v>39.5448985326379</v>
      </c>
      <c r="N406" s="147">
        <f>SUM('[41]TGSPDCL MoD'!AS49:AS51)</f>
        <v>48.9970584423468</v>
      </c>
      <c r="O406" s="147">
        <f>SUM('[41]TGSPDCL MoD'!AT49:AT51)</f>
        <v>51.6860625262584</v>
      </c>
      <c r="P406" s="147">
        <f>SUM('[41]TGSPDCL MoD'!AU49:AU51)</f>
        <v>63.7637240757618</v>
      </c>
      <c r="Q406" s="147">
        <f t="shared" si="170"/>
        <v>572.961344691306</v>
      </c>
    </row>
    <row r="407" spans="3:17">
      <c r="C407" s="695"/>
      <c r="D407" s="55" t="s">
        <v>378</v>
      </c>
      <c r="E407" s="147">
        <f>'[41]TGSPDCL MoD'!AJ53</f>
        <v>6.86098203844723</v>
      </c>
      <c r="F407" s="147">
        <f>'[41]TGSPDCL MoD'!AK53</f>
        <v>8.34080169379859</v>
      </c>
      <c r="G407" s="147">
        <f>'[41]TGSPDCL MoD'!AL53</f>
        <v>8.0717435746438</v>
      </c>
      <c r="H407" s="147">
        <f>'[41]TGSPDCL MoD'!AM53</f>
        <v>6.60625251010629</v>
      </c>
      <c r="I407" s="147">
        <f>'[41]TGSPDCL MoD'!AN53</f>
        <v>5.21300105862413</v>
      </c>
      <c r="J407" s="147">
        <f>'[41]TGSPDCL MoD'!AO53</f>
        <v>5.65022050225067</v>
      </c>
      <c r="K407" s="147">
        <f>'[41]TGSPDCL MoD'!AP53</f>
        <v>5.00448101627917</v>
      </c>
      <c r="L407" s="147">
        <f>'[41]TGSPDCL MoD'!AQ53</f>
        <v>8.2735371640099</v>
      </c>
      <c r="M407" s="147">
        <f>'[41]TGSPDCL MoD'!AR53</f>
        <v>6.46412131269391</v>
      </c>
      <c r="N407" s="147">
        <f>'[41]TGSPDCL MoD'!AS53</f>
        <v>6.67264135503888</v>
      </c>
      <c r="O407" s="147">
        <f>'[41]TGSPDCL MoD'!AT53</f>
        <v>6.59192391929244</v>
      </c>
      <c r="P407" s="147">
        <f>'[41]TGSPDCL MoD'!AU53</f>
        <v>8.13228165145363</v>
      </c>
      <c r="Q407" s="147">
        <f t="shared" si="170"/>
        <v>81.8819877966386</v>
      </c>
    </row>
    <row r="408" spans="3:17">
      <c r="C408" s="695"/>
      <c r="D408" s="55" t="s">
        <v>379</v>
      </c>
      <c r="E408" s="147">
        <f>'[41]TGSPDCL MoD'!AJ54</f>
        <v>39.6040810797499</v>
      </c>
      <c r="F408" s="147">
        <f>'[41]TGSPDCL MoD'!AK54</f>
        <v>48.1461377832254</v>
      </c>
      <c r="G408" s="147">
        <f>'[41]TGSPDCL MoD'!AL54</f>
        <v>46.5930365644117</v>
      </c>
      <c r="H408" s="147">
        <f>'[41]TGSPDCL MoD'!AM54</f>
        <v>34.9059498928384</v>
      </c>
      <c r="I408" s="147">
        <f>'[41]TGSPDCL MoD'!AN54</f>
        <v>30.0913361145159</v>
      </c>
      <c r="J408" s="147">
        <f>'[41]TGSPDCL MoD'!AO54</f>
        <v>31.375434966455</v>
      </c>
      <c r="K408" s="147">
        <f>'[41]TGSPDCL MoD'!AP54</f>
        <v>28.8876826699352</v>
      </c>
      <c r="L408" s="147">
        <f>'[41]TGSPDCL MoD'!AQ54</f>
        <v>46.5930365644117</v>
      </c>
      <c r="M408" s="147">
        <f>'[41]TGSPDCL MoD'!AR54</f>
        <v>33.7758110332138</v>
      </c>
      <c r="N408" s="147">
        <f>'[41]TGSPDCL MoD'!AS54</f>
        <v>33.7870609611634</v>
      </c>
      <c r="O408" s="147">
        <f>'[41]TGSPDCL MoD'!AT54</f>
        <v>38.0509798609362</v>
      </c>
      <c r="P408" s="147">
        <f>'[41]TGSPDCL MoD'!AU54</f>
        <v>45.7541921902208</v>
      </c>
      <c r="Q408" s="147">
        <f t="shared" si="170"/>
        <v>457.564739681077</v>
      </c>
    </row>
    <row r="409" spans="3:17">
      <c r="C409" s="695"/>
      <c r="D409" s="685" t="s">
        <v>380</v>
      </c>
      <c r="E409" s="147">
        <f>'[41]TGSPDCL MoD'!AJ55</f>
        <v>105.078546937895</v>
      </c>
      <c r="F409" s="147">
        <f>'[41]TGSPDCL MoD'!AK55</f>
        <v>108.581165169158</v>
      </c>
      <c r="G409" s="147">
        <f>'[41]TGSPDCL MoD'!AL55</f>
        <v>105.078546937895</v>
      </c>
      <c r="H409" s="147">
        <f>'[41]TGSPDCL MoD'!AM55</f>
        <v>110.80987954472</v>
      </c>
      <c r="I409" s="147">
        <f>'[41]TGSPDCL MoD'!AN55</f>
        <v>88.671144362756</v>
      </c>
      <c r="J409" s="147">
        <f>'[41]TGSPDCL MoD'!AO55</f>
        <v>96.2047927336824</v>
      </c>
      <c r="K409" s="147">
        <f>'[41]TGSPDCL MoD'!AP55</f>
        <v>84.390275614607</v>
      </c>
      <c r="L409" s="147">
        <f>'[41]TGSPDCL MoD'!AQ55</f>
        <v>105.078546937895</v>
      </c>
      <c r="M409" s="147">
        <f>'[41]TGSPDCL MoD'!AR55</f>
        <v>103.993228612715</v>
      </c>
      <c r="N409" s="147">
        <f>'[41]TGSPDCL MoD'!AS55</f>
        <v>94.7701478838445</v>
      </c>
      <c r="O409" s="147">
        <f>'[41]TGSPDCL MoD'!AT55</f>
        <v>93.9293677792264</v>
      </c>
      <c r="P409" s="147">
        <f>'[41]TGSPDCL MoD'!AU55</f>
        <v>115.463070003823</v>
      </c>
      <c r="Q409" s="147">
        <f t="shared" si="170"/>
        <v>1212.04871251822</v>
      </c>
    </row>
    <row r="410" spans="3:17">
      <c r="C410" s="311"/>
      <c r="D410" s="685" t="s">
        <v>450</v>
      </c>
      <c r="E410" s="147">
        <f>'[41]TGSPDCL MoD'!AJ56</f>
        <v>104.635298857332</v>
      </c>
      <c r="F410" s="147">
        <f>'[41]TGSPDCL MoD'!AK56</f>
        <v>108.586161656523</v>
      </c>
      <c r="G410" s="147">
        <f>'[41]TGSPDCL MoD'!AL56</f>
        <v>105.083382248248</v>
      </c>
      <c r="H410" s="147">
        <f>'[41]TGSPDCL MoD'!AM56</f>
        <v>105.075921682132</v>
      </c>
      <c r="I410" s="147">
        <f>'[41]TGSPDCL MoD'!AN56</f>
        <v>86.515197414791</v>
      </c>
      <c r="J410" s="147">
        <f>'[41]TGSPDCL MoD'!AO56</f>
        <v>92.0807804590107</v>
      </c>
      <c r="K410" s="147">
        <f>'[41]TGSPDCL MoD'!AP56</f>
        <v>83.0410175342839</v>
      </c>
      <c r="L410" s="147">
        <f>'[41]TGSPDCL MoD'!AQ56</f>
        <v>105.083382248248</v>
      </c>
      <c r="M410" s="147">
        <f>'[41]TGSPDCL MoD'!AR56</f>
        <v>101.171623372795</v>
      </c>
      <c r="N410" s="147">
        <f>'[41]TGSPDCL MoD'!AS56</f>
        <v>92.527644791826</v>
      </c>
      <c r="O410" s="147">
        <f>'[41]TGSPDCL MoD'!AT56</f>
        <v>93.8698340287088</v>
      </c>
      <c r="P410" s="147">
        <f>'[41]TGSPDCL MoD'!AU56</f>
        <v>115.140236074455</v>
      </c>
      <c r="Q410" s="147">
        <f t="shared" si="170"/>
        <v>1192.81048036835</v>
      </c>
    </row>
    <row r="411" spans="3:17">
      <c r="C411" s="55"/>
      <c r="D411" s="55" t="s">
        <v>381</v>
      </c>
      <c r="E411" s="147">
        <f>'[41]TGSPDCL MoD'!AJ33</f>
        <v>1.38970797055797</v>
      </c>
      <c r="F411" s="147">
        <f>'[41]TGSPDCL MoD'!AK33</f>
        <v>1.68944890538428</v>
      </c>
      <c r="G411" s="147">
        <f>'[41]TGSPDCL MoD'!AL33</f>
        <v>1.63495055359758</v>
      </c>
      <c r="H411" s="147">
        <f>'[41]TGSPDCL MoD'!AM33</f>
        <v>1.22485045640356</v>
      </c>
      <c r="I411" s="147">
        <f>'[41]TGSPDCL MoD'!AN33</f>
        <v>1.05590556586516</v>
      </c>
      <c r="J411" s="147">
        <f>'[41]TGSPDCL MoD'!AO33</f>
        <v>1.06271785983848</v>
      </c>
      <c r="K411" s="147">
        <f>'[41]TGSPDCL MoD'!AP33</f>
        <v>1.01366934323056</v>
      </c>
      <c r="L411" s="147">
        <f>'[41]TGSPDCL MoD'!AQ33</f>
        <v>1.63495055359758</v>
      </c>
      <c r="M411" s="147">
        <f>'[41]TGSPDCL MoD'!AR33</f>
        <v>1.18261423376896</v>
      </c>
      <c r="N411" s="147">
        <f>'[41]TGSPDCL MoD'!AS33</f>
        <v>1.14037801113436</v>
      </c>
      <c r="O411" s="147">
        <f>'[41]TGSPDCL MoD'!AT33</f>
        <v>1.33520961877137</v>
      </c>
      <c r="P411" s="147">
        <f>'[41]TGSPDCL MoD'!AU33</f>
        <v>1.56274023748036</v>
      </c>
      <c r="Q411" s="147">
        <f t="shared" si="170"/>
        <v>15.9271433096302</v>
      </c>
    </row>
    <row r="412" spans="3:17">
      <c r="C412" s="55"/>
      <c r="D412" s="55" t="s">
        <v>382</v>
      </c>
      <c r="E412" s="147">
        <f>'[41]TGSPDCL MoD'!AJ34</f>
        <v>1.12043463342479</v>
      </c>
      <c r="F412" s="147">
        <f>'[41]TGSPDCL MoD'!AK34</f>
        <v>1.13431389127127</v>
      </c>
      <c r="G412" s="147">
        <f>'[41]TGSPDCL MoD'!AL34</f>
        <v>1.12043463342479</v>
      </c>
      <c r="H412" s="147">
        <f>'[41]TGSPDCL MoD'!AM34</f>
        <v>1.20471958107431</v>
      </c>
      <c r="I412" s="147">
        <f>'[41]TGSPDCL MoD'!AN34</f>
        <v>1.01697107493286</v>
      </c>
      <c r="J412" s="147">
        <f>'[41]TGSPDCL MoD'!AO34</f>
        <v>1.14314614626448</v>
      </c>
      <c r="K412" s="147">
        <f>'[41]TGSPDCL MoD'!AP34</f>
        <v>1.04043963820054</v>
      </c>
      <c r="L412" s="147">
        <f>'[41]TGSPDCL MoD'!AQ34</f>
        <v>1.12043463342479</v>
      </c>
      <c r="M412" s="147">
        <f>'[41]TGSPDCL MoD'!AR34</f>
        <v>1.13431389127127</v>
      </c>
      <c r="N412" s="147">
        <f>'[41]TGSPDCL MoD'!AS34</f>
        <v>1.15778245453895</v>
      </c>
      <c r="O412" s="147">
        <f>'[41]TGSPDCL MoD'!AT34</f>
        <v>1.08813381516389</v>
      </c>
      <c r="P412" s="147">
        <f>'[41]TGSPDCL MoD'!AU34</f>
        <v>1.25165670760967</v>
      </c>
      <c r="Q412" s="147">
        <f t="shared" si="170"/>
        <v>13.5327811006016</v>
      </c>
    </row>
    <row r="413" spans="3:17">
      <c r="C413" s="55"/>
      <c r="D413" s="55" t="s">
        <v>383</v>
      </c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55">
        <f t="shared" si="170"/>
        <v>0</v>
      </c>
    </row>
    <row r="414" spans="3:17">
      <c r="C414" s="55"/>
      <c r="D414" s="55" t="s">
        <v>384</v>
      </c>
      <c r="E414" s="147">
        <f>'[41]TGSPDCL MoD'!AJ52</f>
        <v>7.87832619576535</v>
      </c>
      <c r="F414" s="147">
        <f>'[41]TGSPDCL MoD'!AK52</f>
        <v>8.14093706895753</v>
      </c>
      <c r="G414" s="147">
        <f>'[41]TGSPDCL MoD'!AL52</f>
        <v>7.87832619576535</v>
      </c>
      <c r="H414" s="147">
        <f>'[41]TGSPDCL MoD'!AM52</f>
        <v>8.80101304752166</v>
      </c>
      <c r="I414" s="147">
        <f>'[41]TGSPDCL MoD'!AN52</f>
        <v>7.31584209575238</v>
      </c>
      <c r="J414" s="147">
        <f>'[41]TGSPDCL MoD'!AO52</f>
        <v>8.51710940082741</v>
      </c>
      <c r="K414" s="147">
        <f>'[41]TGSPDCL MoD'!AP52</f>
        <v>7.64588008503444</v>
      </c>
      <c r="L414" s="147">
        <f>'[41]TGSPDCL MoD'!AQ52</f>
        <v>7.87832619576535</v>
      </c>
      <c r="M414" s="147">
        <f>'[41]TGSPDCL MoD'!AR52</f>
        <v>8.14093706895753</v>
      </c>
      <c r="N414" s="147">
        <f>'[41]TGSPDCL MoD'!AS52</f>
        <v>8.14093706895753</v>
      </c>
      <c r="O414" s="147">
        <f>'[41]TGSPDCL MoD'!AT52</f>
        <v>7.94930210743891</v>
      </c>
      <c r="P414" s="147">
        <f>'[41]TGSPDCL MoD'!AU52</f>
        <v>8.80101304752166</v>
      </c>
      <c r="Q414" s="55">
        <f t="shared" si="170"/>
        <v>97.0879495782651</v>
      </c>
    </row>
    <row r="415" spans="3:17">
      <c r="C415" s="55"/>
      <c r="D415" s="55" t="s">
        <v>385</v>
      </c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>
        <f t="shared" si="170"/>
        <v>0</v>
      </c>
    </row>
    <row r="416" spans="3:17">
      <c r="C416" s="55"/>
      <c r="D416" s="55" t="s">
        <v>386</v>
      </c>
      <c r="E416" s="147">
        <f>'[41]TGSPDCL MoD'!AJ46</f>
        <v>15.6455915759887</v>
      </c>
      <c r="F416" s="147">
        <f>'[41]TGSPDCL MoD'!AK46</f>
        <v>19.400533554226</v>
      </c>
      <c r="G416" s="147">
        <f>'[41]TGSPDCL MoD'!AL46</f>
        <v>18.7747098911865</v>
      </c>
      <c r="H416" s="147">
        <f>'[41]TGSPDCL MoD'!AM46</f>
        <v>14.7813588984579</v>
      </c>
      <c r="I416" s="147">
        <f>'[41]TGSPDCL MoD'!AN46</f>
        <v>11.5479366394202</v>
      </c>
      <c r="J416" s="147">
        <f>'[41]TGSPDCL MoD'!AO46</f>
        <v>12.9634901629621</v>
      </c>
      <c r="K416" s="147">
        <f>'[41]TGSPDCL MoD'!AP46</f>
        <v>11.6382252784405</v>
      </c>
      <c r="L416" s="147">
        <f>'[41]TGSPDCL MoD'!AQ46</f>
        <v>18.3276929890154</v>
      </c>
      <c r="M416" s="147">
        <f>'[41]TGSPDCL MoD'!AR46</f>
        <v>15.2432763640347</v>
      </c>
      <c r="N416" s="147">
        <f>'[41]TGSPDCL MoD'!AS46</f>
        <v>15.2432763640347</v>
      </c>
      <c r="O416" s="147">
        <f>'[41]TGSPDCL MoD'!AT46</f>
        <v>15.0197679129492</v>
      </c>
      <c r="P416" s="147">
        <f>'[41]TGSPDCL MoD'!AU46</f>
        <v>18.4766986230724</v>
      </c>
      <c r="Q416" s="147">
        <f t="shared" si="170"/>
        <v>187.062558253788</v>
      </c>
    </row>
    <row r="417" spans="3:17">
      <c r="C417" s="55"/>
      <c r="D417" s="55" t="s">
        <v>387</v>
      </c>
      <c r="E417" s="147">
        <f>'[41]TGSPDCL MoD'!AJ47</f>
        <v>22.4424726314837</v>
      </c>
      <c r="F417" s="147">
        <f>'[41]TGSPDCL MoD'!AK47</f>
        <v>0</v>
      </c>
      <c r="G417" s="147">
        <f>'[41]TGSPDCL MoD'!AL47</f>
        <v>11.4634212721967</v>
      </c>
      <c r="H417" s="147">
        <f>'[41]TGSPDCL MoD'!AM47</f>
        <v>22.1221925634842</v>
      </c>
      <c r="I417" s="147">
        <f>'[41]TGSPDCL MoD'!AN47</f>
        <v>18.1853992857994</v>
      </c>
      <c r="J417" s="147">
        <f>'[41]TGSPDCL MoD'!AO47</f>
        <v>19.0518832411156</v>
      </c>
      <c r="K417" s="147">
        <f>'[41]TGSPDCL MoD'!AP47</f>
        <v>17.684883709126</v>
      </c>
      <c r="L417" s="147">
        <f>'[41]TGSPDCL MoD'!AQ47</f>
        <v>22.9268425443934</v>
      </c>
      <c r="M417" s="147">
        <f>'[41]TGSPDCL MoD'!AR47</f>
        <v>20.8060836619143</v>
      </c>
      <c r="N417" s="147">
        <f>'[41]TGSPDCL MoD'!AS47</f>
        <v>20.1874615924929</v>
      </c>
      <c r="O417" s="147">
        <f>'[41]TGSPDCL MoD'!AT47</f>
        <v>19.7305153237638</v>
      </c>
      <c r="P417" s="147">
        <f>'[41]TGSPDCL MoD'!AU47</f>
        <v>24.6921017825532</v>
      </c>
      <c r="Q417" s="147">
        <f t="shared" si="170"/>
        <v>219.293257608323</v>
      </c>
    </row>
    <row r="418" spans="3:17">
      <c r="C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>
        <f t="shared" si="170"/>
        <v>0</v>
      </c>
    </row>
    <row r="419" spans="3:17"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>
        <f t="shared" si="170"/>
        <v>0</v>
      </c>
    </row>
    <row r="420" spans="3:17"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>
        <f t="shared" si="170"/>
        <v>0</v>
      </c>
    </row>
    <row r="421" spans="3:17"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>
        <f t="shared" si="170"/>
        <v>0</v>
      </c>
    </row>
    <row r="422" spans="3:17"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>
        <f t="shared" si="170"/>
        <v>0</v>
      </c>
    </row>
    <row r="423" spans="3:17"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>
        <f t="shared" si="170"/>
        <v>0</v>
      </c>
    </row>
    <row r="424" spans="3:17"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>
        <f t="shared" si="170"/>
        <v>0</v>
      </c>
    </row>
    <row r="425" spans="3:17"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>
        <f t="shared" si="170"/>
        <v>0</v>
      </c>
    </row>
    <row r="426" spans="3:17"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>
        <f t="shared" si="170"/>
        <v>0</v>
      </c>
    </row>
    <row r="427" spans="3:17"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>
        <f t="shared" si="170"/>
        <v>0</v>
      </c>
    </row>
    <row r="428" ht="15" spans="3:17">
      <c r="C428" s="537" t="s">
        <v>211</v>
      </c>
      <c r="D428" s="540"/>
      <c r="E428" s="690">
        <f t="shared" ref="E428:P428" si="171">SUM(E401:E427)</f>
        <v>551.646438168995</v>
      </c>
      <c r="F428" s="690">
        <f t="shared" si="171"/>
        <v>603.757160501793</v>
      </c>
      <c r="G428" s="690">
        <f t="shared" si="171"/>
        <v>533.304848079147</v>
      </c>
      <c r="H428" s="690">
        <f t="shared" si="171"/>
        <v>507.323383088677</v>
      </c>
      <c r="I428" s="690">
        <f t="shared" si="171"/>
        <v>440.874804951498</v>
      </c>
      <c r="J428" s="690">
        <f t="shared" si="171"/>
        <v>480.703783393973</v>
      </c>
      <c r="K428" s="690">
        <f t="shared" si="171"/>
        <v>436.679562498205</v>
      </c>
      <c r="L428" s="690">
        <f t="shared" si="171"/>
        <v>488.389071592771</v>
      </c>
      <c r="M428" s="690">
        <f t="shared" si="171"/>
        <v>470.793432516847</v>
      </c>
      <c r="N428" s="690">
        <f t="shared" si="171"/>
        <v>504.622203186099</v>
      </c>
      <c r="O428" s="690">
        <f t="shared" si="171"/>
        <v>515.872456475301</v>
      </c>
      <c r="P428" s="690">
        <f t="shared" si="171"/>
        <v>630.927408213117</v>
      </c>
      <c r="Q428" s="693">
        <f t="shared" si="170"/>
        <v>6164.89455266642</v>
      </c>
    </row>
    <row r="429" ht="15" spans="3:17">
      <c r="C429" s="44" t="s">
        <v>388</v>
      </c>
      <c r="D429" s="4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</row>
    <row r="430" spans="3:17">
      <c r="C430" s="682" t="s">
        <v>389</v>
      </c>
      <c r="D430" s="685" t="s">
        <v>390</v>
      </c>
      <c r="E430" s="147">
        <f>'[41]TGSPDCL MoD'!AJ32</f>
        <v>2.88631034807786</v>
      </c>
      <c r="F430" s="147">
        <f>'[41]TGSPDCL MoD'!AK32</f>
        <v>2.98252069301379</v>
      </c>
      <c r="G430" s="147">
        <f>'[41]TGSPDCL MoD'!AL32</f>
        <v>2.88631034807786</v>
      </c>
      <c r="H430" s="147">
        <f>'[41]TGSPDCL MoD'!AM32</f>
        <v>2.98252069301379</v>
      </c>
      <c r="I430" s="147">
        <f>'[41]TGSPDCL MoD'!AN32</f>
        <v>2.98252069301379</v>
      </c>
      <c r="J430" s="147">
        <f>'[41]TGSPDCL MoD'!AO32</f>
        <v>2.88631034807786</v>
      </c>
      <c r="K430" s="147">
        <f>'[41]TGSPDCL MoD'!AP32</f>
        <v>2.98252069301379</v>
      </c>
      <c r="L430" s="147">
        <f>'[41]TGSPDCL MoD'!AQ32</f>
        <v>2.88631034807786</v>
      </c>
      <c r="M430" s="147">
        <f>'[41]TGSPDCL MoD'!AR32</f>
        <v>2.98252069301379</v>
      </c>
      <c r="N430" s="147">
        <f>'[41]TGSPDCL MoD'!AS32</f>
        <v>2.98252069301379</v>
      </c>
      <c r="O430" s="147">
        <f>'[41]TGSPDCL MoD'!AT32</f>
        <v>2.693889658206</v>
      </c>
      <c r="P430" s="147">
        <f>'[41]TGSPDCL MoD'!AU32</f>
        <v>2.98252069301379</v>
      </c>
      <c r="Q430" s="147">
        <f t="shared" ref="Q430:Q444" si="172">SUM(E430:P430)</f>
        <v>35.116775901614</v>
      </c>
    </row>
    <row r="431" spans="3:17">
      <c r="C431" s="683"/>
      <c r="D431" s="685" t="s">
        <v>391</v>
      </c>
      <c r="E431" s="147">
        <f>'[41]TGSPDCL MoD'!AJ37+'[41]TGSPDCL MoD'!AJ36</f>
        <v>12.368201957783</v>
      </c>
      <c r="F431" s="147">
        <f>'[41]TGSPDCL MoD'!AK37+'[41]TGSPDCL MoD'!AK36</f>
        <v>12.7804753563758</v>
      </c>
      <c r="G431" s="147">
        <f>'[41]TGSPDCL MoD'!AL37+'[41]TGSPDCL MoD'!AL36</f>
        <v>12.368201957783</v>
      </c>
      <c r="H431" s="147">
        <f>'[41]TGSPDCL MoD'!AM37+'[41]TGSPDCL MoD'!AM36</f>
        <v>12.7804753563758</v>
      </c>
      <c r="I431" s="147">
        <f>'[41]TGSPDCL MoD'!AN37+'[41]TGSPDCL MoD'!AN36</f>
        <v>12.7804753563758</v>
      </c>
      <c r="J431" s="147">
        <f>'[41]TGSPDCL MoD'!AO37+'[41]TGSPDCL MoD'!AO36</f>
        <v>12.368201957783</v>
      </c>
      <c r="K431" s="147">
        <f>'[41]TGSPDCL MoD'!AP37+'[41]TGSPDCL MoD'!AP36</f>
        <v>12.7804753563758</v>
      </c>
      <c r="L431" s="147">
        <f>'[41]TGSPDCL MoD'!AQ37+'[41]TGSPDCL MoD'!AQ36</f>
        <v>12.368201957783</v>
      </c>
      <c r="M431" s="147">
        <f>'[41]TGSPDCL MoD'!AR37+'[41]TGSPDCL MoD'!AR36</f>
        <v>12.7804753563758</v>
      </c>
      <c r="N431" s="147">
        <f>'[41]TGSPDCL MoD'!AS37+'[41]TGSPDCL MoD'!AS36</f>
        <v>12.7804753563758</v>
      </c>
      <c r="O431" s="147">
        <f>'[41]TGSPDCL MoD'!AT37+'[41]TGSPDCL MoD'!AT36</f>
        <v>11.5436551605975</v>
      </c>
      <c r="P431" s="147">
        <f>'[41]TGSPDCL MoD'!AU37+'[41]TGSPDCL MoD'!AU36</f>
        <v>12.7804753563758</v>
      </c>
      <c r="Q431" s="147">
        <f t="shared" si="172"/>
        <v>150.47979048636</v>
      </c>
    </row>
    <row r="432" spans="3:17">
      <c r="C432" s="683"/>
      <c r="D432" s="685" t="s">
        <v>392</v>
      </c>
      <c r="E432" s="147">
        <f>'[41]TGSPDCL MoD'!AJ38+'[41]TGSPDCL MoD'!AJ39</f>
        <v>12.368201957783</v>
      </c>
      <c r="F432" s="147">
        <f>'[41]TGSPDCL MoD'!AK38+'[41]TGSPDCL MoD'!AK39</f>
        <v>12.7804753563758</v>
      </c>
      <c r="G432" s="147">
        <f>'[41]TGSPDCL MoD'!AL38+'[41]TGSPDCL MoD'!AL39</f>
        <v>12.368201957783</v>
      </c>
      <c r="H432" s="147">
        <f>'[41]TGSPDCL MoD'!AM38+'[41]TGSPDCL MoD'!AM39</f>
        <v>12.7804753563758</v>
      </c>
      <c r="I432" s="147">
        <f>'[41]TGSPDCL MoD'!AN38+'[41]TGSPDCL MoD'!AN39</f>
        <v>12.7804753563758</v>
      </c>
      <c r="J432" s="147">
        <f>'[41]TGSPDCL MoD'!AO38+'[41]TGSPDCL MoD'!AO39</f>
        <v>12.368201957783</v>
      </c>
      <c r="K432" s="147">
        <f>'[41]TGSPDCL MoD'!AP38+'[41]TGSPDCL MoD'!AP39</f>
        <v>12.7804753563758</v>
      </c>
      <c r="L432" s="147">
        <f>'[41]TGSPDCL MoD'!AQ38+'[41]TGSPDCL MoD'!AQ39</f>
        <v>12.368201957783</v>
      </c>
      <c r="M432" s="147">
        <f>'[41]TGSPDCL MoD'!AR38+'[41]TGSPDCL MoD'!AR39</f>
        <v>12.7804753563758</v>
      </c>
      <c r="N432" s="147">
        <f>'[41]TGSPDCL MoD'!AS38+'[41]TGSPDCL MoD'!AS39</f>
        <v>12.7804753563758</v>
      </c>
      <c r="O432" s="147">
        <f>'[41]TGSPDCL MoD'!AT38+'[41]TGSPDCL MoD'!AT39</f>
        <v>11.5436551605975</v>
      </c>
      <c r="P432" s="147">
        <f>'[41]TGSPDCL MoD'!AU38+'[41]TGSPDCL MoD'!AU39</f>
        <v>12.7804753563758</v>
      </c>
      <c r="Q432" s="147">
        <f t="shared" si="172"/>
        <v>150.47979048636</v>
      </c>
    </row>
    <row r="433" spans="3:17">
      <c r="C433" s="684"/>
      <c r="D433" s="685" t="s">
        <v>393</v>
      </c>
      <c r="E433" s="147">
        <f>'[41]TGSPDCL MoD'!AJ48</f>
        <v>11.5966591358833</v>
      </c>
      <c r="F433" s="147">
        <f>'[41]TGSPDCL MoD'!AK48</f>
        <v>11.9832144404127</v>
      </c>
      <c r="G433" s="147">
        <f>'[41]TGSPDCL MoD'!AL48</f>
        <v>11.5966591358833</v>
      </c>
      <c r="H433" s="147">
        <f>'[41]TGSPDCL MoD'!AM48</f>
        <v>11.9832144404127</v>
      </c>
      <c r="I433" s="147">
        <f>'[41]TGSPDCL MoD'!AN48</f>
        <v>11.9832144404127</v>
      </c>
      <c r="J433" s="147">
        <f>'[41]TGSPDCL MoD'!AO48</f>
        <v>11.5966591358833</v>
      </c>
      <c r="K433" s="147">
        <f>'[41]TGSPDCL MoD'!AP48</f>
        <v>11.9832144404127</v>
      </c>
      <c r="L433" s="147">
        <f>'[41]TGSPDCL MoD'!AQ48</f>
        <v>11.5966591358833</v>
      </c>
      <c r="M433" s="147">
        <f>'[41]TGSPDCL MoD'!AR48</f>
        <v>11.9832144404127</v>
      </c>
      <c r="N433" s="147">
        <f>'[41]TGSPDCL MoD'!AS48</f>
        <v>11.9832144404127</v>
      </c>
      <c r="O433" s="147">
        <f>'[41]TGSPDCL MoD'!AT48</f>
        <v>10.8235485268244</v>
      </c>
      <c r="P433" s="147">
        <f>'[41]TGSPDCL MoD'!AU48</f>
        <v>11.9832144404127</v>
      </c>
      <c r="Q433" s="147">
        <f t="shared" si="172"/>
        <v>141.092686153246</v>
      </c>
    </row>
    <row r="434" spans="3:17">
      <c r="C434" s="55"/>
      <c r="D434" s="55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>
        <f t="shared" si="172"/>
        <v>0</v>
      </c>
    </row>
    <row r="435" spans="3:17">
      <c r="C435" s="55"/>
      <c r="D435" s="55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>
        <f t="shared" si="172"/>
        <v>0</v>
      </c>
    </row>
    <row r="436" spans="3:17">
      <c r="C436" s="55"/>
      <c r="D436" s="55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>
        <f t="shared" si="172"/>
        <v>0</v>
      </c>
    </row>
    <row r="437" spans="3:17">
      <c r="C437" s="55"/>
      <c r="D437" s="55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>
        <f t="shared" si="172"/>
        <v>0</v>
      </c>
    </row>
    <row r="438" spans="3:17">
      <c r="C438" s="55"/>
      <c r="D438" s="55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>
        <f t="shared" si="172"/>
        <v>0</v>
      </c>
    </row>
    <row r="439" spans="3:17">
      <c r="C439" s="55"/>
      <c r="D439" s="55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>
        <f t="shared" si="172"/>
        <v>0</v>
      </c>
    </row>
    <row r="440" spans="3:17">
      <c r="C440" s="55"/>
      <c r="D440" s="55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>
        <f t="shared" si="172"/>
        <v>0</v>
      </c>
    </row>
    <row r="441" spans="3:21">
      <c r="C441" s="55"/>
      <c r="D441" s="55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>
        <f t="shared" si="172"/>
        <v>0</v>
      </c>
      <c r="U441" s="12">
        <f>(5408/3439)</f>
        <v>1.57255015993021</v>
      </c>
    </row>
    <row r="442" spans="3:21">
      <c r="C442" s="55"/>
      <c r="D442" s="55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>
        <f t="shared" si="172"/>
        <v>0</v>
      </c>
      <c r="U442" s="12">
        <f>U441^(1/5)</f>
        <v>1.09476499243979</v>
      </c>
    </row>
    <row r="443" spans="3:21">
      <c r="C443" s="55"/>
      <c r="D443" s="55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>
        <f t="shared" si="172"/>
        <v>0</v>
      </c>
      <c r="U443" s="696">
        <f>U442-1</f>
        <v>0.0947649924397851</v>
      </c>
    </row>
    <row r="444" ht="15" spans="3:18">
      <c r="C444" s="537" t="s">
        <v>211</v>
      </c>
      <c r="D444" s="540"/>
      <c r="E444" s="147">
        <f t="shared" ref="E444:P444" si="173">SUM(E430:E443)</f>
        <v>39.2193733995272</v>
      </c>
      <c r="F444" s="147">
        <f t="shared" si="173"/>
        <v>40.5266858461781</v>
      </c>
      <c r="G444" s="147">
        <f t="shared" si="173"/>
        <v>39.2193733995272</v>
      </c>
      <c r="H444" s="147">
        <f t="shared" si="173"/>
        <v>40.5266858461781</v>
      </c>
      <c r="I444" s="147">
        <f t="shared" si="173"/>
        <v>40.5266858461781</v>
      </c>
      <c r="J444" s="147">
        <f t="shared" si="173"/>
        <v>39.2193733995272</v>
      </c>
      <c r="K444" s="147">
        <f t="shared" si="173"/>
        <v>40.5266858461781</v>
      </c>
      <c r="L444" s="147">
        <f t="shared" si="173"/>
        <v>39.2193733995272</v>
      </c>
      <c r="M444" s="147">
        <f t="shared" si="173"/>
        <v>40.5266858461781</v>
      </c>
      <c r="N444" s="147">
        <f t="shared" si="173"/>
        <v>40.5266858461781</v>
      </c>
      <c r="O444" s="147">
        <f t="shared" si="173"/>
        <v>36.6047485062254</v>
      </c>
      <c r="P444" s="147">
        <f t="shared" si="173"/>
        <v>40.5266858461781</v>
      </c>
      <c r="Q444" s="316">
        <f t="shared" si="172"/>
        <v>477.169043027581</v>
      </c>
      <c r="R444" s="686"/>
    </row>
    <row r="445" ht="15" spans="3:18">
      <c r="C445" s="44" t="s">
        <v>395</v>
      </c>
      <c r="D445" s="45"/>
      <c r="E445" s="147">
        <f t="shared" ref="E445:Q445" si="174">E428+E444</f>
        <v>590.865811568522</v>
      </c>
      <c r="F445" s="147">
        <f t="shared" si="174"/>
        <v>644.283846347971</v>
      </c>
      <c r="G445" s="147">
        <f t="shared" si="174"/>
        <v>572.524221478674</v>
      </c>
      <c r="H445" s="147">
        <f t="shared" si="174"/>
        <v>547.850068934855</v>
      </c>
      <c r="I445" s="147">
        <f t="shared" si="174"/>
        <v>481.401490797677</v>
      </c>
      <c r="J445" s="147">
        <f t="shared" si="174"/>
        <v>519.9231567935</v>
      </c>
      <c r="K445" s="147">
        <f t="shared" si="174"/>
        <v>477.206248344383</v>
      </c>
      <c r="L445" s="147">
        <f t="shared" si="174"/>
        <v>527.608444992298</v>
      </c>
      <c r="M445" s="147">
        <f t="shared" si="174"/>
        <v>511.320118363025</v>
      </c>
      <c r="N445" s="147">
        <f t="shared" si="174"/>
        <v>545.148889032277</v>
      </c>
      <c r="O445" s="147">
        <f t="shared" si="174"/>
        <v>552.477204981526</v>
      </c>
      <c r="P445" s="147">
        <f t="shared" si="174"/>
        <v>671.454094059295</v>
      </c>
      <c r="Q445" s="316">
        <f t="shared" si="174"/>
        <v>6642.063595694</v>
      </c>
      <c r="R445" s="686"/>
    </row>
    <row r="446" ht="15" spans="3:17">
      <c r="C446" s="663" t="s">
        <v>396</v>
      </c>
      <c r="D446" s="676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</row>
    <row r="447" spans="3:17">
      <c r="C447" s="55" t="s">
        <v>397</v>
      </c>
      <c r="D447" s="55" t="s">
        <v>397</v>
      </c>
      <c r="E447" s="147">
        <f>'[41]TGSPDCL MoD'!AJ23</f>
        <v>33.717888590061</v>
      </c>
      <c r="F447" s="147">
        <f>'[41]TGSPDCL MoD'!AK23</f>
        <v>34.8418182097297</v>
      </c>
      <c r="G447" s="147">
        <f>'[41]TGSPDCL MoD'!AL23</f>
        <v>33.717888590061</v>
      </c>
      <c r="H447" s="147">
        <f>'[41]TGSPDCL MoD'!AM23</f>
        <v>37.666830497005</v>
      </c>
      <c r="I447" s="147">
        <f>'[41]TGSPDCL MoD'!AN23</f>
        <v>31.3105528506355</v>
      </c>
      <c r="J447" s="147">
        <f>'[41]TGSPDCL MoD'!AO23</f>
        <v>36.4517714487146</v>
      </c>
      <c r="K447" s="147">
        <f>'[41]TGSPDCL MoD'!AP23</f>
        <v>32.7230589942731</v>
      </c>
      <c r="L447" s="147">
        <f>'[41]TGSPDCL MoD'!AQ23</f>
        <v>33.717888590061</v>
      </c>
      <c r="M447" s="147">
        <f>'[41]TGSPDCL MoD'!AR23</f>
        <v>34.8418182097297</v>
      </c>
      <c r="N447" s="147">
        <f>'[41]TGSPDCL MoD'!AS23</f>
        <v>34.8418182097297</v>
      </c>
      <c r="O447" s="147">
        <f>'[41]TGSPDCL MoD'!AT23</f>
        <v>34.0216533521336</v>
      </c>
      <c r="P447" s="147">
        <f>'[41]TGSPDCL MoD'!AU23</f>
        <v>37.6668304970051</v>
      </c>
      <c r="Q447" s="147">
        <f>SUM(E447:P447)</f>
        <v>415.519818039139</v>
      </c>
    </row>
    <row r="448" spans="3:17">
      <c r="C448" s="55" t="s">
        <v>398</v>
      </c>
      <c r="D448" s="55" t="s">
        <v>398</v>
      </c>
      <c r="E448" s="147">
        <f>'[41]TGSPDCL MoD'!AJ24</f>
        <v>0</v>
      </c>
      <c r="F448" s="147">
        <f>'[41]TGSPDCL MoD'!AK24</f>
        <v>0</v>
      </c>
      <c r="G448" s="147">
        <f>'[41]TGSPDCL MoD'!AL24</f>
        <v>0</v>
      </c>
      <c r="H448" s="147">
        <f>'[41]TGSPDCL MoD'!AM24</f>
        <v>0</v>
      </c>
      <c r="I448" s="147">
        <f>'[41]TGSPDCL MoD'!AN24</f>
        <v>0</v>
      </c>
      <c r="J448" s="147">
        <f>'[41]TGSPDCL MoD'!AO24</f>
        <v>0</v>
      </c>
      <c r="K448" s="147">
        <f>'[41]TGSPDCL MoD'!AP24</f>
        <v>0</v>
      </c>
      <c r="L448" s="147">
        <f>'[41]TGSPDCL MoD'!AQ24</f>
        <v>0</v>
      </c>
      <c r="M448" s="147">
        <f>'[41]TGSPDCL MoD'!AR24</f>
        <v>0</v>
      </c>
      <c r="N448" s="147">
        <f>'[41]TGSPDCL MoD'!AS24</f>
        <v>0</v>
      </c>
      <c r="O448" s="147">
        <f>'[41]TGSPDCL MoD'!AT24</f>
        <v>0</v>
      </c>
      <c r="P448" s="147">
        <f>'[41]TGSPDCL MoD'!AU24</f>
        <v>0</v>
      </c>
      <c r="Q448" s="147">
        <f>SUM(E448:P448)</f>
        <v>0</v>
      </c>
    </row>
    <row r="449" spans="3:17">
      <c r="C449" s="55"/>
      <c r="D449" s="55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</row>
    <row r="450" spans="3:17">
      <c r="C450" s="55"/>
      <c r="D450" s="55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</row>
    <row r="451" spans="3:17">
      <c r="C451" s="55"/>
      <c r="D451" s="55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</row>
    <row r="452" spans="3:17">
      <c r="C452" s="55"/>
      <c r="D452" s="55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</row>
    <row r="453" spans="3:17">
      <c r="C453" s="55"/>
      <c r="D453" s="55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</row>
    <row r="454" ht="15" spans="3:18">
      <c r="C454" s="44" t="s">
        <v>399</v>
      </c>
      <c r="D454" s="45"/>
      <c r="E454" s="147">
        <f t="shared" ref="E454:P454" si="175">SUM(E447:E453)</f>
        <v>33.717888590061</v>
      </c>
      <c r="F454" s="147">
        <f t="shared" si="175"/>
        <v>34.8418182097297</v>
      </c>
      <c r="G454" s="147">
        <f t="shared" si="175"/>
        <v>33.717888590061</v>
      </c>
      <c r="H454" s="147">
        <f t="shared" si="175"/>
        <v>37.666830497005</v>
      </c>
      <c r="I454" s="147">
        <f t="shared" si="175"/>
        <v>31.3105528506355</v>
      </c>
      <c r="J454" s="147">
        <f t="shared" si="175"/>
        <v>36.4517714487146</v>
      </c>
      <c r="K454" s="147">
        <f t="shared" si="175"/>
        <v>32.7230589942731</v>
      </c>
      <c r="L454" s="147">
        <f t="shared" si="175"/>
        <v>33.717888590061</v>
      </c>
      <c r="M454" s="147">
        <f t="shared" si="175"/>
        <v>34.8418182097297</v>
      </c>
      <c r="N454" s="147">
        <f t="shared" si="175"/>
        <v>34.8418182097297</v>
      </c>
      <c r="O454" s="147">
        <f t="shared" si="175"/>
        <v>34.0216533521336</v>
      </c>
      <c r="P454" s="147">
        <f t="shared" si="175"/>
        <v>37.6668304970051</v>
      </c>
      <c r="Q454" s="316">
        <f>SUM(E454:P454)</f>
        <v>415.519818039139</v>
      </c>
      <c r="R454" s="686"/>
    </row>
    <row r="455" ht="15" spans="3:4">
      <c r="C455" s="663" t="s">
        <v>400</v>
      </c>
      <c r="D455" s="676"/>
    </row>
    <row r="456" spans="3:17">
      <c r="C456" s="55" t="s">
        <v>401</v>
      </c>
      <c r="D456" s="55" t="s">
        <v>401</v>
      </c>
      <c r="E456" s="147">
        <f>SUM('[41]TGSPDCL MoD'!AJ20:AJ22)</f>
        <v>298.732292679443</v>
      </c>
      <c r="F456" s="147">
        <f>SUM('[41]TGSPDCL MoD'!AK20:AK22)</f>
        <v>93.7962850883082</v>
      </c>
      <c r="G456" s="147">
        <f>SUM('[41]TGSPDCL MoD'!AL20:AL22)</f>
        <v>106.765238404801</v>
      </c>
      <c r="H456" s="147">
        <f>SUM('[41]TGSPDCL MoD'!AM20:AM22)</f>
        <v>271.16888731568</v>
      </c>
      <c r="I456" s="147">
        <f>SUM('[41]TGSPDCL MoD'!AN20:AN22)</f>
        <v>260.446067795733</v>
      </c>
      <c r="J456" s="147">
        <f>SUM('[41]TGSPDCL MoD'!AO20:AO22)</f>
        <v>292.778013083394</v>
      </c>
      <c r="K456" s="147">
        <f>SUM('[41]TGSPDCL MoD'!AP20:AP22)</f>
        <v>250.586114458021</v>
      </c>
      <c r="L456" s="147">
        <f>SUM('[41]TGSPDCL MoD'!AQ20:AQ22)</f>
        <v>302.570996306279</v>
      </c>
      <c r="M456" s="147">
        <f>SUM('[41]TGSPDCL MoD'!AR20:AR22)</f>
        <v>309.23320176395</v>
      </c>
      <c r="N456" s="147">
        <f>SUM('[41]TGSPDCL MoD'!AS20:AS22)</f>
        <v>285.042823547286</v>
      </c>
      <c r="O456" s="147">
        <f>SUM('[41]TGSPDCL MoD'!AT20:AT22)</f>
        <v>279.003920612436</v>
      </c>
      <c r="P456" s="147">
        <f>SUM('[41]TGSPDCL MoD'!AU20:AU22)</f>
        <v>346.391691173299</v>
      </c>
      <c r="Q456" s="147">
        <f>SUM(E456:P456)</f>
        <v>3096.51553222863</v>
      </c>
    </row>
    <row r="457" spans="3:17">
      <c r="C457" s="55" t="s">
        <v>402</v>
      </c>
      <c r="D457" s="55" t="s">
        <v>402</v>
      </c>
      <c r="E457" s="55">
        <v>0</v>
      </c>
      <c r="F457" s="55">
        <v>0</v>
      </c>
      <c r="G457" s="55">
        <v>0</v>
      </c>
      <c r="H457" s="55">
        <v>0</v>
      </c>
      <c r="I457" s="55">
        <v>0</v>
      </c>
      <c r="J457" s="55">
        <v>0</v>
      </c>
      <c r="K457" s="55">
        <v>0</v>
      </c>
      <c r="L457" s="55">
        <v>0</v>
      </c>
      <c r="M457" s="55">
        <v>0</v>
      </c>
      <c r="N457" s="55">
        <v>0</v>
      </c>
      <c r="O457" s="55">
        <v>0</v>
      </c>
      <c r="P457" s="55">
        <v>0</v>
      </c>
      <c r="Q457" s="55">
        <v>0</v>
      </c>
    </row>
    <row r="458" spans="3:17">
      <c r="C458" s="55" t="s">
        <v>403</v>
      </c>
      <c r="D458" s="55" t="s">
        <v>403</v>
      </c>
      <c r="E458" s="55">
        <v>0</v>
      </c>
      <c r="F458" s="55">
        <v>0</v>
      </c>
      <c r="G458" s="55">
        <v>0</v>
      </c>
      <c r="H458" s="55">
        <v>0</v>
      </c>
      <c r="I458" s="55">
        <v>0</v>
      </c>
      <c r="J458" s="55">
        <v>0</v>
      </c>
      <c r="K458" s="55">
        <v>0</v>
      </c>
      <c r="L458" s="55">
        <v>0</v>
      </c>
      <c r="M458" s="55">
        <v>0</v>
      </c>
      <c r="N458" s="55">
        <v>0</v>
      </c>
      <c r="O458" s="55">
        <v>0</v>
      </c>
      <c r="P458" s="55">
        <v>0</v>
      </c>
      <c r="Q458" s="55">
        <v>0</v>
      </c>
    </row>
    <row r="459" spans="3:17"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>
        <f t="shared" ref="Q459:Q464" si="176">SUM(E459:P459)</f>
        <v>0</v>
      </c>
    </row>
    <row r="460" spans="3:17"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>
        <f t="shared" si="176"/>
        <v>0</v>
      </c>
    </row>
    <row r="461" spans="3:17"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>
        <f t="shared" si="176"/>
        <v>0</v>
      </c>
    </row>
    <row r="462" spans="3:17"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>
        <f t="shared" si="176"/>
        <v>0</v>
      </c>
    </row>
    <row r="463" spans="3:17"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>
        <f t="shared" si="176"/>
        <v>0</v>
      </c>
    </row>
    <row r="464" ht="15" spans="3:18">
      <c r="C464" s="44" t="s">
        <v>404</v>
      </c>
      <c r="D464" s="45"/>
      <c r="E464" s="147">
        <f t="shared" ref="E464:P464" si="177">SUM(E456:E463)</f>
        <v>298.732292679443</v>
      </c>
      <c r="F464" s="147">
        <f t="shared" si="177"/>
        <v>93.7962850883082</v>
      </c>
      <c r="G464" s="147">
        <f t="shared" si="177"/>
        <v>106.765238404801</v>
      </c>
      <c r="H464" s="147">
        <f t="shared" si="177"/>
        <v>271.16888731568</v>
      </c>
      <c r="I464" s="147">
        <f t="shared" si="177"/>
        <v>260.446067795733</v>
      </c>
      <c r="J464" s="147">
        <f t="shared" si="177"/>
        <v>292.778013083394</v>
      </c>
      <c r="K464" s="147">
        <f t="shared" si="177"/>
        <v>250.586114458021</v>
      </c>
      <c r="L464" s="147">
        <f t="shared" si="177"/>
        <v>302.570996306279</v>
      </c>
      <c r="M464" s="147">
        <f t="shared" si="177"/>
        <v>309.23320176395</v>
      </c>
      <c r="N464" s="147">
        <f t="shared" si="177"/>
        <v>285.042823547286</v>
      </c>
      <c r="O464" s="147">
        <f t="shared" si="177"/>
        <v>279.003920612436</v>
      </c>
      <c r="P464" s="147">
        <f t="shared" si="177"/>
        <v>346.391691173299</v>
      </c>
      <c r="Q464" s="316">
        <f t="shared" si="176"/>
        <v>3096.51553222863</v>
      </c>
      <c r="R464" s="686"/>
    </row>
    <row r="465" ht="15" spans="3:17">
      <c r="C465" s="663" t="s">
        <v>405</v>
      </c>
      <c r="D465" s="676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</row>
    <row r="466" spans="3:17">
      <c r="C466" s="55"/>
      <c r="D466" s="55" t="s">
        <v>406</v>
      </c>
      <c r="E466" s="147">
        <f>'[41]TGSPDCL MoD'!F104*[41]Gen_Cost!$BN231/10</f>
        <v>0.0243813126858572</v>
      </c>
      <c r="F466" s="147">
        <f>'[41]TGSPDCL MoD'!G104*[41]Gen_Cost!$BN231/10</f>
        <v>0.0209078555152691</v>
      </c>
      <c r="G466" s="147">
        <f>'[41]TGSPDCL MoD'!H104*[41]Gen_Cost!$BN231/10</f>
        <v>0.0497327402473932</v>
      </c>
      <c r="H466" s="147">
        <f>'[41]TGSPDCL MoD'!I104*[41]Gen_Cost!$BN231/10</f>
        <v>0.0723393463589819</v>
      </c>
      <c r="I466" s="147">
        <f>'[41]TGSPDCL MoD'!J104*[41]Gen_Cost!$BN231/10</f>
        <v>0.0394741207667835</v>
      </c>
      <c r="J466" s="147">
        <f>'[41]TGSPDCL MoD'!K104*[41]Gen_Cost!$BN231/10</f>
        <v>0.0290281127467042</v>
      </c>
      <c r="K466" s="147">
        <f>'[41]TGSPDCL MoD'!L104*[41]Gen_Cost!$BN231/10</f>
        <v>0.0176034973230074</v>
      </c>
      <c r="L466" s="147">
        <f>'[41]TGSPDCL MoD'!M104*[41]Gen_Cost!$BN231/10</f>
        <v>0.024443849476385</v>
      </c>
      <c r="M466" s="147">
        <f>'[41]TGSPDCL MoD'!N104*[41]Gen_Cost!$BN231/10</f>
        <v>0.0279507999852291</v>
      </c>
      <c r="N466" s="147">
        <f>'[41]TGSPDCL MoD'!O104*[41]Gen_Cost!$BN231/10</f>
        <v>0.02703225279869</v>
      </c>
      <c r="O466" s="147">
        <f>'[41]TGSPDCL MoD'!P104*[41]Gen_Cost!$BN231/10</f>
        <v>0.0185345399483146</v>
      </c>
      <c r="P466" s="147">
        <f>'[41]TGSPDCL MoD'!Q104*[41]Gen_Cost!$BN231/10</f>
        <v>0.0240715721473846</v>
      </c>
      <c r="Q466" s="147">
        <f>SUM(E466:P466)</f>
        <v>0.3755</v>
      </c>
    </row>
    <row r="467" spans="3:17">
      <c r="C467" s="55"/>
      <c r="D467" s="55" t="s">
        <v>407</v>
      </c>
      <c r="E467" s="147">
        <v>0</v>
      </c>
      <c r="F467" s="147">
        <v>0</v>
      </c>
      <c r="G467" s="147">
        <v>0</v>
      </c>
      <c r="H467" s="147">
        <v>0</v>
      </c>
      <c r="I467" s="147">
        <v>0</v>
      </c>
      <c r="J467" s="147">
        <v>0</v>
      </c>
      <c r="K467" s="147">
        <v>0</v>
      </c>
      <c r="L467" s="147">
        <v>0</v>
      </c>
      <c r="M467" s="147">
        <v>0</v>
      </c>
      <c r="N467" s="147">
        <v>0</v>
      </c>
      <c r="O467" s="147">
        <v>0</v>
      </c>
      <c r="P467" s="147">
        <v>0</v>
      </c>
      <c r="Q467" s="147">
        <v>0</v>
      </c>
    </row>
    <row r="468" spans="3:17">
      <c r="C468" s="55"/>
      <c r="D468" s="55" t="s">
        <v>408</v>
      </c>
      <c r="E468" s="147">
        <f>'[41]TGSPDCL MoD'!F101*[41]Gen_Cost!$BN$233/10</f>
        <v>7.80244806402148</v>
      </c>
      <c r="F468" s="147">
        <f>'[41]TGSPDCL MoD'!G101*[41]Gen_Cost!$BN$233/10</f>
        <v>5.48622734069936</v>
      </c>
      <c r="G468" s="147">
        <f>'[41]TGSPDCL MoD'!H101*[41]Gen_Cost!$BN$233/10</f>
        <v>4.56149897878834</v>
      </c>
      <c r="H468" s="147">
        <f>'[41]TGSPDCL MoD'!I101*[41]Gen_Cost!$BN$233/10</f>
        <v>6.44092163594741</v>
      </c>
      <c r="I468" s="147">
        <f>'[41]TGSPDCL MoD'!J101*[41]Gen_Cost!$BN$233/10</f>
        <v>6.44092163594741</v>
      </c>
      <c r="J468" s="147">
        <f>'[41]TGSPDCL MoD'!K101*[41]Gen_Cost!$BN$233/10</f>
        <v>4.59145017236474</v>
      </c>
      <c r="K468" s="147">
        <f>'[41]TGSPDCL MoD'!L101*[41]Gen_Cost!$BN$233/10</f>
        <v>6.44092163594741</v>
      </c>
      <c r="L468" s="147">
        <f>'[41]TGSPDCL MoD'!M101*[41]Gen_Cost!$BN$233/10</f>
        <v>6.05199585564587</v>
      </c>
      <c r="M468" s="147">
        <f>'[41]TGSPDCL MoD'!N101*[41]Gen_Cost!$BN$233/10</f>
        <v>9.87700549875283</v>
      </c>
      <c r="N468" s="147">
        <f>'[41]TGSPDCL MoD'!O101*[41]Gen_Cost!$BN$233/10</f>
        <v>10.0420465983961</v>
      </c>
      <c r="O468" s="147">
        <f>'[41]TGSPDCL MoD'!P101*[41]Gen_Cost!$BN$233/10</f>
        <v>10.5919625007976</v>
      </c>
      <c r="P468" s="147">
        <f>'[41]TGSPDCL MoD'!Q101*[41]Gen_Cost!$BN$233/10</f>
        <v>10.6367615465702</v>
      </c>
      <c r="Q468" s="147">
        <f t="shared" ref="Q468:Q490" si="178">SUM(E468:P468)</f>
        <v>88.9641614638788</v>
      </c>
    </row>
    <row r="469" spans="3:17">
      <c r="C469" s="55"/>
      <c r="D469" s="55" t="s">
        <v>409</v>
      </c>
      <c r="E469" s="147">
        <f>'[41]TGSPDCL MoD'!F102*[41]Gen_Cost!$BN$234/10</f>
        <v>2.22498955113912</v>
      </c>
      <c r="F469" s="147">
        <f>'[41]TGSPDCL MoD'!G102*[41]Gen_Cost!$BN$234/10</f>
        <v>1.56448314786196</v>
      </c>
      <c r="G469" s="147">
        <f>'[41]TGSPDCL MoD'!H102*[41]Gen_Cost!$BN$234/10</f>
        <v>1.30078245725672</v>
      </c>
      <c r="H469" s="147">
        <f>'[41]TGSPDCL MoD'!I102*[41]Gen_Cost!$BN$234/10</f>
        <v>1.83672909093386</v>
      </c>
      <c r="I469" s="147">
        <f>'[41]TGSPDCL MoD'!J102*[41]Gen_Cost!$BN$234/10</f>
        <v>1.83672909093386</v>
      </c>
      <c r="J469" s="147">
        <f>'[41]TGSPDCL MoD'!K102*[41]Gen_Cost!$BN$234/10</f>
        <v>1.30932350645113</v>
      </c>
      <c r="K469" s="147">
        <f>'[41]TGSPDCL MoD'!L102*[41]Gen_Cost!$BN$234/10</f>
        <v>1.83672909093386</v>
      </c>
      <c r="L469" s="147">
        <f>'[41]TGSPDCL MoD'!M102*[41]Gen_Cost!$BN$234/10</f>
        <v>1.72582084902837</v>
      </c>
      <c r="M469" s="147">
        <f>'[41]TGSPDCL MoD'!N102*[41]Gen_Cost!$BN$234/10</f>
        <v>2.81658190492868</v>
      </c>
      <c r="N469" s="147">
        <f>'[41]TGSPDCL MoD'!O102*[41]Gen_Cost!$BN$234/10</f>
        <v>2.86364594421502</v>
      </c>
      <c r="O469" s="147">
        <f>'[41]TGSPDCL MoD'!P102*[41]Gen_Cost!$BN$234/10</f>
        <v>3.02046302608585</v>
      </c>
      <c r="P469" s="147">
        <f>'[41]TGSPDCL MoD'!Q102*[41]Gen_Cost!$BN$234/10</f>
        <v>3.03323817151805</v>
      </c>
      <c r="Q469" s="147">
        <f t="shared" si="178"/>
        <v>25.3695158312865</v>
      </c>
    </row>
    <row r="470" spans="3:17">
      <c r="C470" s="55"/>
      <c r="D470" s="55" t="s">
        <v>410</v>
      </c>
      <c r="E470" s="147">
        <f>SUM('[41]TGSPDCL MoD'!F99:F100)*[41]Gen_Cost!$BN$235/10</f>
        <v>7.68292779748834</v>
      </c>
      <c r="F470" s="147">
        <f>SUM('[41]TGSPDCL MoD'!G99:G100)*[41]Gen_Cost!$BN$235/10</f>
        <v>6.58838785236162</v>
      </c>
      <c r="G470" s="147">
        <f>SUM('[41]TGSPDCL MoD'!H99:H100)*[41]Gen_Cost!$BN$235/10</f>
        <v>15.6715537598435</v>
      </c>
      <c r="H470" s="147">
        <f>SUM('[41]TGSPDCL MoD'!I99:I100)*[41]Gen_Cost!$BN$235/10</f>
        <v>22.7952441344944</v>
      </c>
      <c r="I470" s="147">
        <f>SUM('[41]TGSPDCL MoD'!J99:J100)*[41]Gen_Cost!$BN$235/10</f>
        <v>12.4389044850918</v>
      </c>
      <c r="J470" s="147">
        <f>SUM('[41]TGSPDCL MoD'!K99:K100)*[41]Gen_Cost!$BN$235/10</f>
        <v>9.14720619040524</v>
      </c>
      <c r="K470" s="147">
        <f>SUM('[41]TGSPDCL MoD'!L99:L100)*[41]Gen_Cost!$BN$235/10</f>
        <v>5.54713360427051</v>
      </c>
      <c r="L470" s="147">
        <f>SUM('[41]TGSPDCL MoD'!M99:M100)*[41]Gen_Cost!$BN$235/10</f>
        <v>7.70263410504046</v>
      </c>
      <c r="M470" s="147">
        <f>SUM('[41]TGSPDCL MoD'!N99:N100)*[41]Gen_Cost!$BN$235/10</f>
        <v>8.80772831780792</v>
      </c>
      <c r="N470" s="147">
        <f>SUM('[41]TGSPDCL MoD'!O99:O100)*[41]Gen_Cost!$BN$235/10</f>
        <v>8.5182799274077</v>
      </c>
      <c r="O470" s="147">
        <f>SUM('[41]TGSPDCL MoD'!P99:P100)*[41]Gen_Cost!$BN$235/10</f>
        <v>5.84051950021404</v>
      </c>
      <c r="P470" s="147">
        <f>SUM('[41]TGSPDCL MoD'!Q99:Q100)*[41]Gen_Cost!$BN$235/10</f>
        <v>7.58532377494445</v>
      </c>
      <c r="Q470" s="147">
        <f t="shared" si="178"/>
        <v>118.32584344937</v>
      </c>
    </row>
    <row r="471" spans="3:17">
      <c r="C471" s="55"/>
      <c r="D471" s="55" t="s">
        <v>368</v>
      </c>
      <c r="E471" s="147">
        <f>'[41]TGSPDCL MoD'!F103*[41]Gen_Cost!$BN$236/10</f>
        <v>0.00169806342756752</v>
      </c>
      <c r="F471" s="147">
        <f>'[41]TGSPDCL MoD'!G103*[41]Gen_Cost!$BN$236/10</f>
        <v>0.00181959108266529</v>
      </c>
      <c r="G471" s="147">
        <f>'[41]TGSPDCL MoD'!H103*[41]Gen_Cost!$BN$236/10</f>
        <v>0.00188518447401193</v>
      </c>
      <c r="H471" s="147">
        <f>'[41]TGSPDCL MoD'!I103*[41]Gen_Cost!$BN$236/10</f>
        <v>0.00412143916355103</v>
      </c>
      <c r="I471" s="147">
        <f>'[41]TGSPDCL MoD'!J103*[41]Gen_Cost!$BN$236/10</f>
        <v>0.00967638678287898</v>
      </c>
      <c r="J471" s="147">
        <f>'[41]TGSPDCL MoD'!K103*[41]Gen_Cost!$BN$236/10</f>
        <v>0.00488721752704033</v>
      </c>
      <c r="K471" s="147">
        <f>'[41]TGSPDCL MoD'!L103*[41]Gen_Cost!$BN$236/10</f>
        <v>0.00538694995474754</v>
      </c>
      <c r="L471" s="147">
        <f>'[41]TGSPDCL MoD'!M103*[41]Gen_Cost!$BN$236/10</f>
        <v>0.00184761248791175</v>
      </c>
      <c r="M471" s="147">
        <f>'[41]TGSPDCL MoD'!N103*[41]Gen_Cost!$BN$236/10</f>
        <v>0.00316958844284514</v>
      </c>
      <c r="N471" s="147">
        <f>'[41]TGSPDCL MoD'!O103*[41]Gen_Cost!$BN$236/10</f>
        <v>0.00604801076494963</v>
      </c>
      <c r="O471" s="147">
        <f>'[41]TGSPDCL MoD'!P103*[41]Gen_Cost!$BN$236/10</f>
        <v>0.0054317898050051</v>
      </c>
      <c r="P471" s="147">
        <f>'[41]TGSPDCL MoD'!Q103*[41]Gen_Cost!$BN$236/10</f>
        <v>0.0025230815797835</v>
      </c>
      <c r="Q471" s="147">
        <f t="shared" si="178"/>
        <v>0.0484949154929577</v>
      </c>
    </row>
    <row r="472" spans="3:17">
      <c r="C472" s="55"/>
      <c r="D472" s="55" t="s">
        <v>411</v>
      </c>
      <c r="E472" s="690">
        <f>'[41]TGSPDCL MoD'!F114*[41]Gen_Cost!$BN237/10</f>
        <v>299.778523834921</v>
      </c>
      <c r="F472" s="690">
        <f>'[41]TGSPDCL MoD'!G114*[41]Gen_Cost!$BN237/10</f>
        <v>309.119425752202</v>
      </c>
      <c r="G472" s="690">
        <f>'[41]TGSPDCL MoD'!H114*[41]Gen_Cost!$BN237/10</f>
        <v>289.413291197946</v>
      </c>
      <c r="H472" s="690">
        <f>'[41]TGSPDCL MoD'!I114*[41]Gen_Cost!$BN237/10</f>
        <v>226.672363372664</v>
      </c>
      <c r="I472" s="690">
        <f>'[41]TGSPDCL MoD'!J114*[41]Gen_Cost!$BN237/10</f>
        <v>278.791023347244</v>
      </c>
      <c r="J472" s="690">
        <f>'[41]TGSPDCL MoD'!K114*[41]Gen_Cost!$BN237/10</f>
        <v>245.74529947135</v>
      </c>
      <c r="K472" s="690">
        <f>'[41]TGSPDCL MoD'!L114*[41]Gen_Cost!$BN237/10</f>
        <v>301.278120709321</v>
      </c>
      <c r="L472" s="690">
        <f>'[41]TGSPDCL MoD'!M114*[41]Gen_Cost!$BN237/10</f>
        <v>232.306921145074</v>
      </c>
      <c r="M472" s="690">
        <f>'[41]TGSPDCL MoD'!N114*[41]Gen_Cost!$BN237/10</f>
        <v>254.65955264873</v>
      </c>
      <c r="N472" s="690">
        <f>'[41]TGSPDCL MoD'!O114*[41]Gen_Cost!$BN237/10</f>
        <v>271.504383489289</v>
      </c>
      <c r="O472" s="690">
        <f>'[41]TGSPDCL MoD'!P114*[41]Gen_Cost!$BN237/10</f>
        <v>278.681882120385</v>
      </c>
      <c r="P472" s="690">
        <f>'[41]TGSPDCL MoD'!Q114*[41]Gen_Cost!$BN237/10</f>
        <v>298.825373498811</v>
      </c>
      <c r="Q472" s="690">
        <f t="shared" si="178"/>
        <v>3286.77616058794</v>
      </c>
    </row>
    <row r="473" spans="3:17">
      <c r="C473" s="55"/>
      <c r="D473" s="55" t="s">
        <v>412</v>
      </c>
      <c r="E473" s="147">
        <f>'[41]TGSPDCL MoD'!F107*[41]Gen_Cost!$BN$242/10</f>
        <v>8.73190761338825</v>
      </c>
      <c r="F473" s="147">
        <f>'[41]TGSPDCL MoD'!G107*[41]Gen_Cost!$BN$242/10</f>
        <v>9.00398811977014</v>
      </c>
      <c r="G473" s="147">
        <f>'[41]TGSPDCL MoD'!H107*[41]Gen_Cost!$BN$242/10</f>
        <v>8.42999054268049</v>
      </c>
      <c r="H473" s="147">
        <f>'[41]TGSPDCL MoD'!I107*[41]Gen_Cost!$BN$242/10</f>
        <v>6.60248142581556</v>
      </c>
      <c r="I473" s="147">
        <f>'[41]TGSPDCL MoD'!J107*[41]Gen_Cost!$BN$242/10</f>
        <v>8.12058658561762</v>
      </c>
      <c r="J473" s="147">
        <f>'[41]TGSPDCL MoD'!K107*[41]Gen_Cost!$BN$242/10</f>
        <v>7.15803528537589</v>
      </c>
      <c r="K473" s="147">
        <f>'[41]TGSPDCL MoD'!L107*[41]Gen_Cost!$BN$242/10</f>
        <v>8.77558766490455</v>
      </c>
      <c r="L473" s="147">
        <f>'[41]TGSPDCL MoD'!M107*[41]Gen_Cost!$BN$242/10</f>
        <v>6.76660404968329</v>
      </c>
      <c r="M473" s="147">
        <f>'[41]TGSPDCL MoD'!N107*[41]Gen_Cost!$BN$242/10</f>
        <v>7.41768842593942</v>
      </c>
      <c r="N473" s="147">
        <f>'[41]TGSPDCL MoD'!O107*[41]Gen_Cost!$BN$242/10</f>
        <v>7.90834234197482</v>
      </c>
      <c r="O473" s="147">
        <f>'[41]TGSPDCL MoD'!P107*[41]Gen_Cost!$BN$242/10</f>
        <v>8.11740753497197</v>
      </c>
      <c r="P473" s="147">
        <f>'[41]TGSPDCL MoD'!Q107*[41]Gen_Cost!$BN$242/10</f>
        <v>8.7041443814859</v>
      </c>
      <c r="Q473" s="147">
        <f t="shared" si="178"/>
        <v>95.7367639716079</v>
      </c>
    </row>
    <row r="474" spans="3:17">
      <c r="C474" s="55"/>
      <c r="D474" s="55" t="s">
        <v>413</v>
      </c>
      <c r="E474" s="147">
        <f>'[41]TGSPDCL MoD'!F108*[41]Gen_Cost!$BN$243/10</f>
        <v>34.7425509908135</v>
      </c>
      <c r="F474" s="147">
        <f>'[41]TGSPDCL MoD'!G108*[41]Gen_Cost!$BN$243/10</f>
        <v>35.8251060618366</v>
      </c>
      <c r="G474" s="147">
        <f>'[41]TGSPDCL MoD'!H108*[41]Gen_Cost!$BN$243/10</f>
        <v>33.541282071296</v>
      </c>
      <c r="H474" s="147">
        <f>'[41]TGSPDCL MoD'!I108*[41]Gen_Cost!$BN$243/10</f>
        <v>26.2699810578146</v>
      </c>
      <c r="I474" s="147">
        <f>'[41]TGSPDCL MoD'!J108*[41]Gen_Cost!$BN$243/10</f>
        <v>32.3102242966426</v>
      </c>
      <c r="J474" s="147">
        <f>'[41]TGSPDCL MoD'!K108*[41]Gen_Cost!$BN$243/10</f>
        <v>28.4804211069424</v>
      </c>
      <c r="K474" s="147">
        <f>'[41]TGSPDCL MoD'!L108*[41]Gen_Cost!$BN$243/10</f>
        <v>34.9163453647667</v>
      </c>
      <c r="L474" s="147">
        <f>'[41]TGSPDCL MoD'!M108*[41]Gen_Cost!$BN$243/10</f>
        <v>26.9229928487006</v>
      </c>
      <c r="M474" s="147">
        <f>'[41]TGSPDCL MoD'!N108*[41]Gen_Cost!$BN$243/10</f>
        <v>29.513530122219</v>
      </c>
      <c r="N474" s="147">
        <f>'[41]TGSPDCL MoD'!O108*[41]Gen_Cost!$BN$243/10</f>
        <v>31.4657460012057</v>
      </c>
      <c r="O474" s="147">
        <f>'[41]TGSPDCL MoD'!P108*[41]Gen_Cost!$BN$243/10</f>
        <v>32.2975754764708</v>
      </c>
      <c r="P474" s="147">
        <f>'[41]TGSPDCL MoD'!Q108*[41]Gen_Cost!$BN$243/10</f>
        <v>34.6320865261462</v>
      </c>
      <c r="Q474" s="147">
        <f t="shared" si="178"/>
        <v>380.917841924855</v>
      </c>
    </row>
    <row r="475" spans="3:17">
      <c r="C475" s="55"/>
      <c r="D475" s="55" t="s">
        <v>414</v>
      </c>
      <c r="E475" s="690">
        <f>'[41]TGSPDCL MoD'!F109*[41]Gen_Cost!$BN$240/10</f>
        <v>30.1060409099641</v>
      </c>
      <c r="F475" s="690">
        <f>'[41]TGSPDCL MoD'!G109*[41]Gen_Cost!$BN$240/10</f>
        <v>31.0441253719868</v>
      </c>
      <c r="G475" s="690">
        <f>'[41]TGSPDCL MoD'!H109*[41]Gen_Cost!$BN$240/10</f>
        <v>29.0650853611207</v>
      </c>
      <c r="H475" s="690">
        <f>'[41]TGSPDCL MoD'!I109*[41]Gen_Cost!$BN$240/10</f>
        <v>22.7641638819116</v>
      </c>
      <c r="I475" s="690">
        <f>'[41]TGSPDCL MoD'!J109*[41]Gen_Cost!$BN$240/10</f>
        <v>27.998316379878</v>
      </c>
      <c r="J475" s="690">
        <f>'[41]TGSPDCL MoD'!K109*[41]Gen_Cost!$BN$240/10</f>
        <v>24.6796132847393</v>
      </c>
      <c r="K475" s="690">
        <f>'[41]TGSPDCL MoD'!L109*[41]Gen_Cost!$BN$240/10</f>
        <v>30.2566418411836</v>
      </c>
      <c r="L475" s="690">
        <f>'[41]TGSPDCL MoD'!M109*[41]Gen_Cost!$BN$240/10</f>
        <v>23.3300290567603</v>
      </c>
      <c r="M475" s="690">
        <f>'[41]TGSPDCL MoD'!N109*[41]Gen_Cost!$BN$240/10</f>
        <v>25.5748504331742</v>
      </c>
      <c r="N475" s="690">
        <f>'[41]TGSPDCL MoD'!O109*[41]Gen_Cost!$BN$240/10</f>
        <v>27.2665365483762</v>
      </c>
      <c r="O475" s="690">
        <f>'[41]TGSPDCL MoD'!P109*[41]Gen_Cost!$BN$240/10</f>
        <v>27.9873555872276</v>
      </c>
      <c r="P475" s="690">
        <f>'[41]TGSPDCL MoD'!Q109*[41]Gen_Cost!$BN$240/10</f>
        <v>30.0103182990007</v>
      </c>
      <c r="Q475" s="690">
        <f t="shared" si="178"/>
        <v>330.083076955323</v>
      </c>
    </row>
    <row r="476" spans="3:17">
      <c r="C476" s="55"/>
      <c r="D476" s="55" t="s">
        <v>415</v>
      </c>
      <c r="E476" s="147">
        <f>'[41]TGSPDCL MoD'!F110*[41]Gen_Cost!$BN$239/10</f>
        <v>71.6477165585124</v>
      </c>
      <c r="F476" s="147">
        <f>'[41]TGSPDCL MoD'!G110*[41]Gen_Cost!$BN$239/10</f>
        <v>73.8802123504348</v>
      </c>
      <c r="G476" s="147">
        <f>'[41]TGSPDCL MoD'!H110*[41]Gen_Cost!$BN$239/10</f>
        <v>69.1704035057402</v>
      </c>
      <c r="H476" s="147">
        <f>'[41]TGSPDCL MoD'!I110*[41]Gen_Cost!$BN$239/10</f>
        <v>54.175185849924</v>
      </c>
      <c r="I476" s="147">
        <f>'[41]TGSPDCL MoD'!J110*[41]Gen_Cost!$BN$239/10</f>
        <v>66.6316584801135</v>
      </c>
      <c r="J476" s="147">
        <f>'[41]TGSPDCL MoD'!K110*[41]Gen_Cost!$BN$239/10</f>
        <v>58.7336588921418</v>
      </c>
      <c r="K476" s="147">
        <f>'[41]TGSPDCL MoD'!L110*[41]Gen_Cost!$BN$239/10</f>
        <v>72.0061234598294</v>
      </c>
      <c r="L476" s="147">
        <f>'[41]TGSPDCL MoD'!M110*[41]Gen_Cost!$BN$239/10</f>
        <v>55.5218573627656</v>
      </c>
      <c r="M476" s="147">
        <f>'[41]TGSPDCL MoD'!N110*[41]Gen_Cost!$BN$239/10</f>
        <v>60.8641847110476</v>
      </c>
      <c r="N476" s="147">
        <f>'[41]TGSPDCL MoD'!O110*[41]Gen_Cost!$BN$239/10</f>
        <v>64.8901357701871</v>
      </c>
      <c r="O476" s="147">
        <f>'[41]TGSPDCL MoD'!P110*[41]Gen_Cost!$BN$239/10</f>
        <v>66.6055734904789</v>
      </c>
      <c r="P476" s="147">
        <f>'[41]TGSPDCL MoD'!Q110*[41]Gen_Cost!$BN$239/10</f>
        <v>71.419911563526</v>
      </c>
      <c r="Q476" s="147">
        <f t="shared" si="178"/>
        <v>785.546621994701</v>
      </c>
    </row>
    <row r="477" spans="3:17">
      <c r="C477" s="55"/>
      <c r="D477" s="55" t="s">
        <v>416</v>
      </c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>
        <f t="shared" si="178"/>
        <v>0</v>
      </c>
    </row>
    <row r="478" spans="3:17">
      <c r="C478" s="55"/>
      <c r="D478" s="55" t="s">
        <v>417</v>
      </c>
      <c r="E478" s="147">
        <f>[41]Gen_Cost!$BN238*'[41]TGSPDCL MoD'!F112/10</f>
        <v>87.5766963267466</v>
      </c>
      <c r="F478" s="147">
        <f>[41]Gen_Cost!$BN238*'[41]TGSPDCL MoD'!G112/10</f>
        <v>90.3055286665781</v>
      </c>
      <c r="G478" s="147">
        <f>[41]Gen_Cost!$BN238*'[41]TGSPDCL MoD'!H112/10</f>
        <v>84.5486180661963</v>
      </c>
      <c r="H478" s="147">
        <f>[41]Gen_Cost!$BN238*'[41]TGSPDCL MoD'!I112/10</f>
        <v>66.2196093262678</v>
      </c>
      <c r="I478" s="147">
        <f>[41]Gen_Cost!$BN238*'[41]TGSPDCL MoD'!J112/10</f>
        <v>81.4454500541525</v>
      </c>
      <c r="J478" s="147">
        <f>[41]Gen_Cost!$BN238*'[41]TGSPDCL MoD'!K112/10</f>
        <v>71.7915386006073</v>
      </c>
      <c r="K478" s="147">
        <f>[41]Gen_Cost!$BN238*'[41]TGSPDCL MoD'!L112/10</f>
        <v>88.0147855480885</v>
      </c>
      <c r="L478" s="147">
        <f>[41]Gen_Cost!$BN238*'[41]TGSPDCL MoD'!M112/10</f>
        <v>67.8656777258895</v>
      </c>
      <c r="M478" s="147">
        <f>[41]Gen_Cost!$BN238*'[41]TGSPDCL MoD'!N112/10</f>
        <v>74.395730633807</v>
      </c>
      <c r="N478" s="147">
        <f>[41]Gen_Cost!$BN238*'[41]TGSPDCL MoD'!O112/10</f>
        <v>79.316745709628</v>
      </c>
      <c r="O478" s="147">
        <f>[41]Gen_Cost!$BN238*'[41]TGSPDCL MoD'!P112/10</f>
        <v>81.4135657551736</v>
      </c>
      <c r="P478" s="147">
        <f>[41]Gen_Cost!$BN238*'[41]TGSPDCL MoD'!Q112/10</f>
        <v>87.298244900436</v>
      </c>
      <c r="Q478" s="147">
        <f t="shared" si="178"/>
        <v>960.192191313571</v>
      </c>
    </row>
    <row r="479" spans="3:17">
      <c r="C479" s="55"/>
      <c r="D479" s="55" t="s">
        <v>418</v>
      </c>
      <c r="E479" s="147">
        <f>'[41]TGSPDCL MoD'!F113*[41]Gen_Cost!$BN241/10</f>
        <v>44.817776492596</v>
      </c>
      <c r="F479" s="147">
        <f>'[41]TGSPDCL MoD'!G113*[41]Gen_Cost!$BN241/10</f>
        <v>46.214268973153</v>
      </c>
      <c r="G479" s="147">
        <f>'[41]TGSPDCL MoD'!H113*[41]Gen_Cost!$BN241/10</f>
        <v>43.2681435379901</v>
      </c>
      <c r="H479" s="147">
        <f>'[41]TGSPDCL MoD'!I113*[41]Gen_Cost!$BN241/10</f>
        <v>33.8881891495296</v>
      </c>
      <c r="I479" s="147">
        <f>'[41]TGSPDCL MoD'!J113*[41]Gen_Cost!$BN241/10</f>
        <v>41.6800830582494</v>
      </c>
      <c r="J479" s="147">
        <f>'[41]TGSPDCL MoD'!K113*[41]Gen_Cost!$BN241/10</f>
        <v>36.7396495416663</v>
      </c>
      <c r="K479" s="147">
        <f>'[41]TGSPDCL MoD'!L113*[41]Gen_Cost!$BN241/10</f>
        <v>45.0419706632994</v>
      </c>
      <c r="L479" s="147">
        <f>'[41]TGSPDCL MoD'!M113*[41]Gen_Cost!$BN241/10</f>
        <v>34.7305722116916</v>
      </c>
      <c r="M479" s="147">
        <f>'[41]TGSPDCL MoD'!N113*[41]Gen_Cost!$BN241/10</f>
        <v>38.072356772963</v>
      </c>
      <c r="N479" s="147">
        <f>'[41]TGSPDCL MoD'!O113*[41]Gen_Cost!$BN241/10</f>
        <v>40.5907088350456</v>
      </c>
      <c r="O479" s="147">
        <f>'[41]TGSPDCL MoD'!P113*[41]Gen_Cost!$BN241/10</f>
        <v>41.6637661218362</v>
      </c>
      <c r="P479" s="147">
        <f>'[41]TGSPDCL MoD'!Q113*[41]Gen_Cost!$BN241/10</f>
        <v>44.6752776965479</v>
      </c>
      <c r="Q479" s="147">
        <f t="shared" si="178"/>
        <v>491.382763054568</v>
      </c>
    </row>
    <row r="480" spans="3:17">
      <c r="C480" s="55"/>
      <c r="D480" s="697" t="s">
        <v>419</v>
      </c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>
        <f t="shared" si="178"/>
        <v>0</v>
      </c>
    </row>
    <row r="481" spans="3:17">
      <c r="C481" s="55"/>
      <c r="D481" s="697" t="s">
        <v>420</v>
      </c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>
        <f t="shared" si="178"/>
        <v>0</v>
      </c>
    </row>
    <row r="482" spans="3:17"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>
        <f t="shared" si="178"/>
        <v>0</v>
      </c>
    </row>
    <row r="483" spans="3:17"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>
        <f t="shared" si="178"/>
        <v>0</v>
      </c>
    </row>
    <row r="484" spans="3:17"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>
        <f t="shared" si="178"/>
        <v>0</v>
      </c>
    </row>
    <row r="485" spans="3:17"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>
        <f t="shared" si="178"/>
        <v>0</v>
      </c>
    </row>
    <row r="486" spans="3:17"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>
        <f t="shared" si="178"/>
        <v>0</v>
      </c>
    </row>
    <row r="487" spans="3:17"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>
        <f t="shared" si="178"/>
        <v>0</v>
      </c>
    </row>
    <row r="488" spans="3:17"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>
        <f t="shared" si="178"/>
        <v>0</v>
      </c>
    </row>
    <row r="489" spans="3:17"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>
        <f t="shared" si="178"/>
        <v>0</v>
      </c>
    </row>
    <row r="490" ht="15" spans="3:18">
      <c r="C490" s="698" t="s">
        <v>421</v>
      </c>
      <c r="D490" s="699"/>
      <c r="E490" s="55">
        <f t="shared" ref="E490:P490" si="179">SUM(E466:E489)</f>
        <v>595.137657515704</v>
      </c>
      <c r="F490" s="55">
        <f t="shared" si="179"/>
        <v>609.054481083482</v>
      </c>
      <c r="G490" s="55">
        <f t="shared" si="179"/>
        <v>579.02226740358</v>
      </c>
      <c r="H490" s="55">
        <f t="shared" si="179"/>
        <v>467.741329710825</v>
      </c>
      <c r="I490" s="55">
        <f t="shared" si="179"/>
        <v>557.74304792142</v>
      </c>
      <c r="J490" s="55">
        <f t="shared" si="179"/>
        <v>488.410111382318</v>
      </c>
      <c r="K490" s="55">
        <f t="shared" si="179"/>
        <v>594.137350029823</v>
      </c>
      <c r="L490" s="55">
        <f t="shared" si="179"/>
        <v>462.951396672243</v>
      </c>
      <c r="M490" s="55">
        <f t="shared" si="179"/>
        <v>512.030329857798</v>
      </c>
      <c r="N490" s="55">
        <f t="shared" si="179"/>
        <v>544.399651429289</v>
      </c>
      <c r="O490" s="55">
        <f t="shared" si="179"/>
        <v>556.244037443395</v>
      </c>
      <c r="P490" s="55">
        <f t="shared" si="179"/>
        <v>596.847275012714</v>
      </c>
      <c r="Q490" s="316">
        <f t="shared" si="178"/>
        <v>6563.71893546259</v>
      </c>
      <c r="R490" s="686"/>
    </row>
    <row r="491" ht="15" spans="3:17">
      <c r="C491" s="663" t="s">
        <v>422</v>
      </c>
      <c r="D491" s="676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</row>
    <row r="492" spans="3:18">
      <c r="C492" s="55"/>
      <c r="D492" s="55" t="s">
        <v>423</v>
      </c>
      <c r="E492" s="147">
        <f>'[41]ST,D-D'!D17</f>
        <v>175.392703902047</v>
      </c>
      <c r="F492" s="147">
        <f>'[41]ST,D-D'!E17</f>
        <v>846.371767522551</v>
      </c>
      <c r="G492" s="147">
        <f>'[41]ST,D-D'!F17</f>
        <v>545.222713977762</v>
      </c>
      <c r="H492" s="147">
        <f>'[41]ST,D-D'!G17</f>
        <v>72.6909487708275</v>
      </c>
      <c r="I492" s="147">
        <f>'[41]ST,D-D'!H17</f>
        <v>3.09357586675529</v>
      </c>
      <c r="J492" s="147">
        <f>'[41]ST,D-D'!I17</f>
        <v>35.687944483585</v>
      </c>
      <c r="K492" s="147">
        <f>'[41]ST,D-D'!J17</f>
        <v>0</v>
      </c>
      <c r="L492" s="147">
        <f>'[41]ST,D-D'!K17</f>
        <v>223.776029323808</v>
      </c>
      <c r="M492" s="147">
        <f>'[41]ST,D-D'!L17</f>
        <v>90.9179511295266</v>
      </c>
      <c r="N492" s="147">
        <f>'[41]ST,D-D'!M17</f>
        <v>77.3785342213801</v>
      </c>
      <c r="O492" s="147">
        <f>'[41]ST,D-D'!N17</f>
        <v>379.555119778304</v>
      </c>
      <c r="P492" s="147">
        <f>'[41]ST,D-D'!O17</f>
        <v>719.365447714657</v>
      </c>
      <c r="Q492" s="147">
        <f>SUM(E492:P492)</f>
        <v>3169.4527366912</v>
      </c>
      <c r="R492" s="686"/>
    </row>
    <row r="493" spans="3:17"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>
        <f>SUM(E493:P493)</f>
        <v>0</v>
      </c>
    </row>
    <row r="494" spans="3:17"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>
        <f>SUM(E494:P494)</f>
        <v>0</v>
      </c>
    </row>
    <row r="495" spans="3:17"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>
        <v>0</v>
      </c>
    </row>
    <row r="496" spans="3:17">
      <c r="C496" s="55"/>
      <c r="D496" s="697" t="s">
        <v>534</v>
      </c>
      <c r="E496" s="55">
        <v>0</v>
      </c>
      <c r="F496" s="55">
        <v>0</v>
      </c>
      <c r="G496" s="55">
        <v>0</v>
      </c>
      <c r="H496" s="55">
        <v>0</v>
      </c>
      <c r="I496" s="55">
        <v>0</v>
      </c>
      <c r="J496" s="55">
        <v>0</v>
      </c>
      <c r="K496" s="55">
        <v>0</v>
      </c>
      <c r="L496" s="55">
        <v>0</v>
      </c>
      <c r="M496" s="55">
        <v>0</v>
      </c>
      <c r="N496" s="55">
        <v>0</v>
      </c>
      <c r="O496" s="55">
        <v>0</v>
      </c>
      <c r="P496" s="55">
        <v>0</v>
      </c>
      <c r="Q496" s="55">
        <v>0</v>
      </c>
    </row>
    <row r="497" spans="3:17">
      <c r="C497" s="55"/>
      <c r="D497" s="679" t="s">
        <v>535</v>
      </c>
      <c r="E497" s="55">
        <v>0</v>
      </c>
      <c r="F497" s="55">
        <v>0</v>
      </c>
      <c r="G497" s="55">
        <v>0</v>
      </c>
      <c r="H497" s="55">
        <v>0</v>
      </c>
      <c r="I497" s="55">
        <v>0</v>
      </c>
      <c r="J497" s="55">
        <v>0</v>
      </c>
      <c r="K497" s="55">
        <v>0</v>
      </c>
      <c r="L497" s="55">
        <v>0</v>
      </c>
      <c r="M497" s="55">
        <v>0</v>
      </c>
      <c r="N497" s="55">
        <v>0</v>
      </c>
      <c r="O497" s="55">
        <v>0</v>
      </c>
      <c r="P497" s="55">
        <v>0</v>
      </c>
      <c r="Q497" s="55">
        <v>0</v>
      </c>
    </row>
    <row r="498" spans="3:17">
      <c r="C498" s="55"/>
      <c r="D498" s="679" t="s">
        <v>502</v>
      </c>
      <c r="E498" s="55">
        <v>0</v>
      </c>
      <c r="F498" s="55">
        <v>0</v>
      </c>
      <c r="G498" s="55">
        <v>0</v>
      </c>
      <c r="H498" s="55">
        <v>0</v>
      </c>
      <c r="I498" s="55">
        <v>0</v>
      </c>
      <c r="J498" s="55">
        <v>0</v>
      </c>
      <c r="K498" s="55">
        <v>0</v>
      </c>
      <c r="L498" s="55">
        <v>0</v>
      </c>
      <c r="M498" s="55">
        <v>0</v>
      </c>
      <c r="N498" s="55">
        <v>0</v>
      </c>
      <c r="O498" s="55">
        <v>0</v>
      </c>
      <c r="P498" s="55">
        <v>0</v>
      </c>
      <c r="Q498" s="55">
        <v>0</v>
      </c>
    </row>
    <row r="499" spans="3:17">
      <c r="C499" s="55"/>
      <c r="D499" s="679" t="s">
        <v>503</v>
      </c>
      <c r="E499" s="55">
        <v>0</v>
      </c>
      <c r="F499" s="55">
        <v>0</v>
      </c>
      <c r="G499" s="55">
        <v>0</v>
      </c>
      <c r="H499" s="55">
        <v>0</v>
      </c>
      <c r="I499" s="55">
        <v>0</v>
      </c>
      <c r="J499" s="55">
        <v>0</v>
      </c>
      <c r="K499" s="55">
        <v>0</v>
      </c>
      <c r="L499" s="55">
        <v>0</v>
      </c>
      <c r="M499" s="55">
        <v>0</v>
      </c>
      <c r="N499" s="55">
        <v>0</v>
      </c>
      <c r="O499" s="55">
        <v>0</v>
      </c>
      <c r="P499" s="55">
        <v>0</v>
      </c>
      <c r="Q499" s="55">
        <v>0</v>
      </c>
    </row>
    <row r="500" spans="3:17">
      <c r="C500" s="55"/>
      <c r="D500" s="688" t="s">
        <v>504</v>
      </c>
      <c r="E500" s="55">
        <v>0</v>
      </c>
      <c r="F500" s="55">
        <v>0</v>
      </c>
      <c r="G500" s="55">
        <v>0</v>
      </c>
      <c r="H500" s="55">
        <v>0</v>
      </c>
      <c r="I500" s="55">
        <v>0</v>
      </c>
      <c r="J500" s="55">
        <v>0</v>
      </c>
      <c r="K500" s="55">
        <v>0</v>
      </c>
      <c r="L500" s="55">
        <v>0</v>
      </c>
      <c r="M500" s="55">
        <v>0</v>
      </c>
      <c r="N500" s="55">
        <v>0</v>
      </c>
      <c r="O500" s="55">
        <v>0</v>
      </c>
      <c r="P500" s="55">
        <v>0</v>
      </c>
      <c r="Q500" s="55">
        <v>0</v>
      </c>
    </row>
    <row r="501" spans="3:17">
      <c r="C501" s="55"/>
      <c r="D501" s="679" t="s">
        <v>505</v>
      </c>
      <c r="E501" s="55">
        <v>0</v>
      </c>
      <c r="F501" s="55">
        <v>0</v>
      </c>
      <c r="G501" s="55">
        <v>0</v>
      </c>
      <c r="H501" s="55">
        <v>0</v>
      </c>
      <c r="I501" s="55">
        <v>0</v>
      </c>
      <c r="J501" s="55">
        <v>0</v>
      </c>
      <c r="K501" s="55">
        <v>0</v>
      </c>
      <c r="L501" s="55">
        <v>0</v>
      </c>
      <c r="M501" s="55">
        <v>0</v>
      </c>
      <c r="N501" s="55">
        <v>0</v>
      </c>
      <c r="O501" s="55">
        <v>0</v>
      </c>
      <c r="P501" s="55">
        <v>0</v>
      </c>
      <c r="Q501" s="55">
        <v>0</v>
      </c>
    </row>
    <row r="502" spans="3:17">
      <c r="C502" s="55"/>
      <c r="D502" s="679" t="s">
        <v>506</v>
      </c>
      <c r="E502" s="55">
        <v>0</v>
      </c>
      <c r="F502" s="55">
        <v>0</v>
      </c>
      <c r="G502" s="55">
        <v>0</v>
      </c>
      <c r="H502" s="55">
        <v>0</v>
      </c>
      <c r="I502" s="55">
        <v>0</v>
      </c>
      <c r="J502" s="55">
        <v>0</v>
      </c>
      <c r="K502" s="55">
        <v>0</v>
      </c>
      <c r="L502" s="55">
        <v>0</v>
      </c>
      <c r="M502" s="55">
        <v>0</v>
      </c>
      <c r="N502" s="55">
        <v>0</v>
      </c>
      <c r="O502" s="55">
        <v>0</v>
      </c>
      <c r="P502" s="55">
        <v>0</v>
      </c>
      <c r="Q502" s="55">
        <v>0</v>
      </c>
    </row>
    <row r="503" spans="3:17">
      <c r="C503" s="55"/>
      <c r="D503" s="679" t="s">
        <v>507</v>
      </c>
      <c r="E503" s="55">
        <v>0</v>
      </c>
      <c r="F503" s="55">
        <v>0</v>
      </c>
      <c r="G503" s="55">
        <v>0</v>
      </c>
      <c r="H503" s="55">
        <v>0</v>
      </c>
      <c r="I503" s="55">
        <v>0</v>
      </c>
      <c r="J503" s="55">
        <v>0</v>
      </c>
      <c r="K503" s="55">
        <v>0</v>
      </c>
      <c r="L503" s="55">
        <v>0</v>
      </c>
      <c r="M503" s="55">
        <v>0</v>
      </c>
      <c r="N503" s="55">
        <v>0</v>
      </c>
      <c r="O503" s="55">
        <v>0</v>
      </c>
      <c r="P503" s="55">
        <v>0</v>
      </c>
      <c r="Q503" s="55">
        <v>0</v>
      </c>
    </row>
    <row r="504" spans="3:17">
      <c r="C504" s="55"/>
      <c r="D504" s="679" t="s">
        <v>508</v>
      </c>
      <c r="E504" s="55">
        <v>0</v>
      </c>
      <c r="F504" s="55">
        <v>0</v>
      </c>
      <c r="G504" s="55">
        <v>0</v>
      </c>
      <c r="H504" s="55">
        <v>0</v>
      </c>
      <c r="I504" s="55">
        <v>0</v>
      </c>
      <c r="J504" s="55">
        <v>0</v>
      </c>
      <c r="K504" s="55">
        <v>0</v>
      </c>
      <c r="L504" s="55">
        <v>0</v>
      </c>
      <c r="M504" s="55">
        <v>0</v>
      </c>
      <c r="N504" s="55">
        <v>0</v>
      </c>
      <c r="O504" s="55">
        <v>0</v>
      </c>
      <c r="P504" s="55">
        <v>0</v>
      </c>
      <c r="Q504" s="55">
        <v>0</v>
      </c>
    </row>
    <row r="505" spans="3:17">
      <c r="C505" s="55"/>
      <c r="D505" s="679" t="s">
        <v>509</v>
      </c>
      <c r="E505" s="55">
        <v>0</v>
      </c>
      <c r="F505" s="55">
        <v>0</v>
      </c>
      <c r="G505" s="55">
        <v>0</v>
      </c>
      <c r="H505" s="55">
        <v>0</v>
      </c>
      <c r="I505" s="55">
        <v>0</v>
      </c>
      <c r="J505" s="55">
        <v>0</v>
      </c>
      <c r="K505" s="55">
        <v>0</v>
      </c>
      <c r="L505" s="55">
        <v>0</v>
      </c>
      <c r="M505" s="55">
        <v>0</v>
      </c>
      <c r="N505" s="55">
        <v>0</v>
      </c>
      <c r="O505" s="55">
        <v>0</v>
      </c>
      <c r="P505" s="55">
        <v>0</v>
      </c>
      <c r="Q505" s="55">
        <v>0</v>
      </c>
    </row>
    <row r="506" spans="3:17">
      <c r="C506" s="55"/>
      <c r="D506" s="679" t="s">
        <v>510</v>
      </c>
      <c r="E506" s="55">
        <v>0</v>
      </c>
      <c r="F506" s="55">
        <v>0</v>
      </c>
      <c r="G506" s="55">
        <v>0</v>
      </c>
      <c r="H506" s="55">
        <v>0</v>
      </c>
      <c r="I506" s="55">
        <v>0</v>
      </c>
      <c r="J506" s="55">
        <v>0</v>
      </c>
      <c r="K506" s="55">
        <v>0</v>
      </c>
      <c r="L506" s="55">
        <v>0</v>
      </c>
      <c r="M506" s="55">
        <v>0</v>
      </c>
      <c r="N506" s="55">
        <v>0</v>
      </c>
      <c r="O506" s="55">
        <v>0</v>
      </c>
      <c r="P506" s="55">
        <v>0</v>
      </c>
      <c r="Q506" s="55">
        <v>0</v>
      </c>
    </row>
    <row r="507" spans="3:17">
      <c r="C507" s="55"/>
      <c r="D507" s="679" t="s">
        <v>511</v>
      </c>
      <c r="E507" s="55">
        <v>0</v>
      </c>
      <c r="F507" s="55">
        <v>0</v>
      </c>
      <c r="G507" s="55">
        <v>0</v>
      </c>
      <c r="H507" s="55">
        <v>0</v>
      </c>
      <c r="I507" s="55">
        <v>0</v>
      </c>
      <c r="J507" s="55">
        <v>0</v>
      </c>
      <c r="K507" s="55">
        <v>0</v>
      </c>
      <c r="L507" s="55">
        <v>0</v>
      </c>
      <c r="M507" s="55">
        <v>0</v>
      </c>
      <c r="N507" s="55">
        <v>0</v>
      </c>
      <c r="O507" s="55">
        <v>0</v>
      </c>
      <c r="P507" s="55">
        <v>0</v>
      </c>
      <c r="Q507" s="55">
        <v>0</v>
      </c>
    </row>
    <row r="508" spans="3:17">
      <c r="C508" s="55"/>
      <c r="D508" s="679" t="s">
        <v>512</v>
      </c>
      <c r="E508" s="55">
        <v>0</v>
      </c>
      <c r="F508" s="55">
        <v>0</v>
      </c>
      <c r="G508" s="55">
        <v>0</v>
      </c>
      <c r="H508" s="55">
        <v>0</v>
      </c>
      <c r="I508" s="55">
        <v>0</v>
      </c>
      <c r="J508" s="55">
        <v>0</v>
      </c>
      <c r="K508" s="55">
        <v>0</v>
      </c>
      <c r="L508" s="55">
        <v>0</v>
      </c>
      <c r="M508" s="55">
        <v>0</v>
      </c>
      <c r="N508" s="55">
        <v>0</v>
      </c>
      <c r="O508" s="55">
        <v>0</v>
      </c>
      <c r="P508" s="55">
        <v>0</v>
      </c>
      <c r="Q508" s="55">
        <v>0</v>
      </c>
    </row>
    <row r="509" spans="3:17"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>
        <v>0</v>
      </c>
    </row>
    <row r="510" spans="3:17"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>
        <v>0</v>
      </c>
    </row>
    <row r="511" spans="3:17"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>
        <v>0</v>
      </c>
    </row>
    <row r="512" spans="3:17"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>
        <f t="shared" ref="Q512:Q520" si="180">SUM(E512:P512)</f>
        <v>0</v>
      </c>
    </row>
    <row r="513" spans="3:17"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>
        <f t="shared" si="180"/>
        <v>0</v>
      </c>
    </row>
    <row r="514" spans="3:17"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>
        <f t="shared" si="180"/>
        <v>0</v>
      </c>
    </row>
    <row r="515" spans="3:17"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>
        <f t="shared" si="180"/>
        <v>0</v>
      </c>
    </row>
    <row r="516" spans="3:17"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>
        <f t="shared" si="180"/>
        <v>0</v>
      </c>
    </row>
    <row r="517" spans="3:17"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>
        <f t="shared" si="180"/>
        <v>0</v>
      </c>
    </row>
    <row r="518" spans="3:17"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>
        <f t="shared" si="180"/>
        <v>0</v>
      </c>
    </row>
    <row r="519" spans="3:17"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>
        <f t="shared" si="180"/>
        <v>0</v>
      </c>
    </row>
    <row r="520" ht="15" spans="3:18">
      <c r="C520" s="44" t="s">
        <v>424</v>
      </c>
      <c r="D520" s="45"/>
      <c r="E520" s="55">
        <f t="shared" ref="E520:P520" si="181">SUM(E492:E519)</f>
        <v>175.392703902047</v>
      </c>
      <c r="F520" s="55">
        <f t="shared" si="181"/>
        <v>846.371767522551</v>
      </c>
      <c r="G520" s="55">
        <f t="shared" si="181"/>
        <v>545.222713977762</v>
      </c>
      <c r="H520" s="55">
        <f t="shared" si="181"/>
        <v>72.6909487708275</v>
      </c>
      <c r="I520" s="55">
        <f t="shared" si="181"/>
        <v>3.09357586675529</v>
      </c>
      <c r="J520" s="55">
        <f t="shared" si="181"/>
        <v>35.687944483585</v>
      </c>
      <c r="K520" s="55">
        <f t="shared" si="181"/>
        <v>0</v>
      </c>
      <c r="L520" s="55">
        <f t="shared" si="181"/>
        <v>223.776029323808</v>
      </c>
      <c r="M520" s="55">
        <f t="shared" si="181"/>
        <v>90.9179511295266</v>
      </c>
      <c r="N520" s="55">
        <f t="shared" si="181"/>
        <v>77.3785342213801</v>
      </c>
      <c r="O520" s="55">
        <f t="shared" si="181"/>
        <v>379.555119778304</v>
      </c>
      <c r="P520" s="55">
        <f t="shared" si="181"/>
        <v>719.365447714657</v>
      </c>
      <c r="Q520" s="316">
        <f t="shared" si="180"/>
        <v>3169.4527366912</v>
      </c>
      <c r="R520" s="686"/>
    </row>
    <row r="521" ht="15" spans="3:17">
      <c r="C521" s="663" t="s">
        <v>425</v>
      </c>
      <c r="D521" s="676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</row>
    <row r="522" spans="3:18">
      <c r="C522" s="55" t="s">
        <v>426</v>
      </c>
      <c r="D522" s="55" t="s">
        <v>427</v>
      </c>
      <c r="E522" s="147">
        <f>'[41]ST,D-D'!D21</f>
        <v>173.183640561346</v>
      </c>
      <c r="F522" s="147">
        <f>'[41]ST,D-D'!E21</f>
        <v>267.83982727971</v>
      </c>
      <c r="G522" s="147">
        <f>'[41]ST,D-D'!F21</f>
        <v>272.285907771952</v>
      </c>
      <c r="H522" s="147">
        <f>'[41]ST,D-D'!G21</f>
        <v>229.07151999094</v>
      </c>
      <c r="I522" s="147">
        <f>'[41]ST,D-D'!H21</f>
        <v>267.97036831288</v>
      </c>
      <c r="J522" s="147">
        <f>'[41]ST,D-D'!I21</f>
        <v>261.381078834772</v>
      </c>
      <c r="K522" s="147">
        <f>'[41]ST,D-D'!J21</f>
        <v>262.216385174737</v>
      </c>
      <c r="L522" s="147">
        <f>'[41]ST,D-D'!K21</f>
        <v>242.324957901759</v>
      </c>
      <c r="M522" s="147">
        <f>'[41]ST,D-D'!L21</f>
        <v>185.713566134311</v>
      </c>
      <c r="N522" s="147">
        <f>'[41]ST,D-D'!M21</f>
        <v>188.393627672576</v>
      </c>
      <c r="O522" s="147">
        <f>'[41]ST,D-D'!N21</f>
        <v>32.035800317347</v>
      </c>
      <c r="P522" s="147">
        <f>'[41]ST,D-D'!O21</f>
        <v>34.0503361486841</v>
      </c>
      <c r="Q522" s="147">
        <f>SUM(E522:P522)</f>
        <v>2416.46701610101</v>
      </c>
      <c r="R522" s="686"/>
    </row>
    <row r="523" spans="3:17">
      <c r="C523" s="55" t="s">
        <v>426</v>
      </c>
      <c r="D523" s="55" t="s">
        <v>428</v>
      </c>
      <c r="E523" s="147">
        <v>0</v>
      </c>
      <c r="F523" s="147">
        <v>0</v>
      </c>
      <c r="G523" s="147">
        <v>0</v>
      </c>
      <c r="H523" s="147">
        <v>0</v>
      </c>
      <c r="I523" s="147">
        <v>0</v>
      </c>
      <c r="J523" s="147">
        <v>0</v>
      </c>
      <c r="K523" s="147">
        <v>0</v>
      </c>
      <c r="L523" s="147">
        <v>0</v>
      </c>
      <c r="M523" s="147">
        <v>0</v>
      </c>
      <c r="N523" s="147">
        <v>0</v>
      </c>
      <c r="O523" s="147">
        <v>0</v>
      </c>
      <c r="P523" s="147">
        <v>0</v>
      </c>
      <c r="Q523" s="147">
        <f>SUM(E523:P523)</f>
        <v>0</v>
      </c>
    </row>
    <row r="524" ht="15" spans="3:18">
      <c r="C524" s="44" t="s">
        <v>429</v>
      </c>
      <c r="D524" s="45"/>
      <c r="E524" s="147">
        <f>E522+E523</f>
        <v>173.183640561346</v>
      </c>
      <c r="F524" s="147">
        <f t="shared" ref="F524:P524" si="182">F522+F523</f>
        <v>267.83982727971</v>
      </c>
      <c r="G524" s="147">
        <f t="shared" si="182"/>
        <v>272.285907771952</v>
      </c>
      <c r="H524" s="147">
        <f t="shared" si="182"/>
        <v>229.07151999094</v>
      </c>
      <c r="I524" s="147">
        <f t="shared" si="182"/>
        <v>267.97036831288</v>
      </c>
      <c r="J524" s="147">
        <f t="shared" si="182"/>
        <v>261.381078834772</v>
      </c>
      <c r="K524" s="147">
        <f t="shared" si="182"/>
        <v>262.216385174737</v>
      </c>
      <c r="L524" s="147">
        <f t="shared" si="182"/>
        <v>242.324957901759</v>
      </c>
      <c r="M524" s="147">
        <f t="shared" si="182"/>
        <v>185.713566134311</v>
      </c>
      <c r="N524" s="147">
        <f t="shared" si="182"/>
        <v>188.393627672576</v>
      </c>
      <c r="O524" s="147">
        <f t="shared" si="182"/>
        <v>32.035800317347</v>
      </c>
      <c r="P524" s="147">
        <f t="shared" si="182"/>
        <v>34.0503361486841</v>
      </c>
      <c r="Q524" s="147">
        <f>SUM(E524:P524)</f>
        <v>2416.46701610101</v>
      </c>
      <c r="R524" s="686"/>
    </row>
    <row r="525" ht="15" spans="3:17">
      <c r="C525" s="44" t="s">
        <v>224</v>
      </c>
      <c r="D525" s="45"/>
      <c r="E525" s="700">
        <f>E398+E445+E454+E464+E490+E520+E524</f>
        <v>2971.80154086129</v>
      </c>
      <c r="F525" s="700">
        <f t="shared" ref="F525:Q525" si="183">F398+F445+F454+F464+F490+F520+F524</f>
        <v>3137.88921019053</v>
      </c>
      <c r="G525" s="700">
        <f t="shared" si="183"/>
        <v>2891.52891789784</v>
      </c>
      <c r="H525" s="700">
        <f t="shared" si="183"/>
        <v>2497.58806506256</v>
      </c>
      <c r="I525" s="700">
        <f t="shared" si="183"/>
        <v>2557.88007485211</v>
      </c>
      <c r="J525" s="700">
        <f t="shared" si="183"/>
        <v>2668.90010563721</v>
      </c>
      <c r="K525" s="700">
        <f t="shared" si="183"/>
        <v>2547.15011565741</v>
      </c>
      <c r="L525" s="700">
        <f t="shared" si="183"/>
        <v>2650.41488399001</v>
      </c>
      <c r="M525" s="700">
        <f t="shared" si="183"/>
        <v>2645.64932774757</v>
      </c>
      <c r="N525" s="700">
        <f t="shared" si="183"/>
        <v>2784.78194173005</v>
      </c>
      <c r="O525" s="700">
        <f t="shared" si="183"/>
        <v>2886.247325174</v>
      </c>
      <c r="P525" s="700">
        <f t="shared" si="183"/>
        <v>3616.01374574297</v>
      </c>
      <c r="Q525" s="693">
        <f t="shared" si="183"/>
        <v>33855.8452545436</v>
      </c>
    </row>
    <row r="526" spans="4:5">
      <c r="D526" s="13"/>
      <c r="E526" s="13"/>
    </row>
    <row r="527" spans="5:5">
      <c r="E527" s="13"/>
    </row>
    <row r="528" spans="5:5">
      <c r="E528" s="13"/>
    </row>
  </sheetData>
  <mergeCells count="91">
    <mergeCell ref="C2:Q2"/>
    <mergeCell ref="E6:Q6"/>
    <mergeCell ref="C9:D9"/>
    <mergeCell ref="C10:D10"/>
    <mergeCell ref="C29:D29"/>
    <mergeCell ref="C30:D30"/>
    <mergeCell ref="C49:D49"/>
    <mergeCell ref="C50:D50"/>
    <mergeCell ref="C51:D51"/>
    <mergeCell ref="C52:D52"/>
    <mergeCell ref="C79:D79"/>
    <mergeCell ref="C80:D80"/>
    <mergeCell ref="C95:D95"/>
    <mergeCell ref="C96:D96"/>
    <mergeCell ref="C97:D97"/>
    <mergeCell ref="C105:D105"/>
    <mergeCell ref="C106:D106"/>
    <mergeCell ref="C115:D115"/>
    <mergeCell ref="C116:D116"/>
    <mergeCell ref="C141:D141"/>
    <mergeCell ref="C142:D142"/>
    <mergeCell ref="C173:D173"/>
    <mergeCell ref="C174:D174"/>
    <mergeCell ref="C177:D177"/>
    <mergeCell ref="C178:D178"/>
    <mergeCell ref="E182:Q182"/>
    <mergeCell ref="C185:D185"/>
    <mergeCell ref="C186:D186"/>
    <mergeCell ref="C205:D205"/>
    <mergeCell ref="C206:D206"/>
    <mergeCell ref="C225:D225"/>
    <mergeCell ref="C226:D226"/>
    <mergeCell ref="C227:D227"/>
    <mergeCell ref="C228:D228"/>
    <mergeCell ref="C255:D255"/>
    <mergeCell ref="C256:D256"/>
    <mergeCell ref="C271:D271"/>
    <mergeCell ref="C272:D272"/>
    <mergeCell ref="C273:D273"/>
    <mergeCell ref="C281:D281"/>
    <mergeCell ref="C282:D282"/>
    <mergeCell ref="C291:D291"/>
    <mergeCell ref="C292:D292"/>
    <mergeCell ref="C317:D317"/>
    <mergeCell ref="C318:D318"/>
    <mergeCell ref="C345:D345"/>
    <mergeCell ref="C346:D346"/>
    <mergeCell ref="C349:D349"/>
    <mergeCell ref="C350:D350"/>
    <mergeCell ref="E354:Q354"/>
    <mergeCell ref="C357:D357"/>
    <mergeCell ref="C358:D358"/>
    <mergeCell ref="C377:D377"/>
    <mergeCell ref="C378:D378"/>
    <mergeCell ref="C397:D397"/>
    <mergeCell ref="C398:D398"/>
    <mergeCell ref="C399:D399"/>
    <mergeCell ref="C400:D400"/>
    <mergeCell ref="C428:D428"/>
    <mergeCell ref="C429:D429"/>
    <mergeCell ref="C444:D444"/>
    <mergeCell ref="C445:D445"/>
    <mergeCell ref="C446:D446"/>
    <mergeCell ref="C454:D454"/>
    <mergeCell ref="C455:D455"/>
    <mergeCell ref="C464:D464"/>
    <mergeCell ref="C465:D465"/>
    <mergeCell ref="C490:D490"/>
    <mergeCell ref="C491:D491"/>
    <mergeCell ref="C520:D520"/>
    <mergeCell ref="C521:D521"/>
    <mergeCell ref="C524:D524"/>
    <mergeCell ref="C525:D525"/>
    <mergeCell ref="C6:C8"/>
    <mergeCell ref="C11:C28"/>
    <mergeCell ref="C31:C48"/>
    <mergeCell ref="C53:C61"/>
    <mergeCell ref="C81:C84"/>
    <mergeCell ref="C182:C184"/>
    <mergeCell ref="C187:C204"/>
    <mergeCell ref="C207:C224"/>
    <mergeCell ref="C229:C237"/>
    <mergeCell ref="C257:C260"/>
    <mergeCell ref="C354:C356"/>
    <mergeCell ref="C359:C376"/>
    <mergeCell ref="C379:C396"/>
    <mergeCell ref="C401:C410"/>
    <mergeCell ref="C430:C433"/>
    <mergeCell ref="D6:D8"/>
    <mergeCell ref="D182:D184"/>
    <mergeCell ref="D354:D356"/>
  </mergeCells>
  <pageMargins left="0.7" right="0.7" top="0.75" bottom="0.75" header="0.3" footer="0.3"/>
  <pageSetup paperSize="1" orientation="portrait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  <pageSetUpPr fitToPage="1"/>
  </sheetPr>
  <dimension ref="B2:V25"/>
  <sheetViews>
    <sheetView showGridLines="0" view="pageBreakPreview" zoomScale="115" zoomScaleNormal="55" workbookViewId="0">
      <selection activeCell="D4" sqref="D4"/>
    </sheetView>
  </sheetViews>
  <sheetFormatPr defaultColWidth="9.14285714285714" defaultRowHeight="14.25"/>
  <cols>
    <col min="1" max="1" width="3.14285714285714" style="12" customWidth="1"/>
    <col min="2" max="2" width="8.14285714285714" style="12" customWidth="1"/>
    <col min="3" max="3" width="8.14285714285714" style="13" customWidth="1"/>
    <col min="4" max="4" width="41.1428571428571" style="12" customWidth="1"/>
    <col min="5" max="5" width="14" style="13" customWidth="1"/>
    <col min="6" max="6" width="19.4285714285714" style="12" hidden="1" customWidth="1"/>
    <col min="7" max="7" width="16.5714285714286" style="12" hidden="1" customWidth="1"/>
    <col min="8" max="8" width="13.1428571428571" style="12" hidden="1" customWidth="1"/>
    <col min="9" max="9" width="17.1428571428571" style="12" hidden="1" customWidth="1"/>
    <col min="10" max="10" width="20.1428571428571" style="12" hidden="1" customWidth="1"/>
    <col min="11" max="11" width="11.2857142857143" style="12" hidden="1" customWidth="1"/>
    <col min="12" max="12" width="19.7142857142857" style="12" customWidth="1"/>
    <col min="13" max="13" width="14.8571428571429" style="12" hidden="1" customWidth="1"/>
    <col min="14" max="14" width="12.5714285714286" style="12" hidden="1" customWidth="1"/>
    <col min="15" max="15" width="11.8571428571429" style="12" hidden="1" customWidth="1"/>
    <col min="16" max="16" width="13.8571428571429" style="12" customWidth="1"/>
    <col min="17" max="19" width="11.8571428571429" style="12" customWidth="1"/>
    <col min="20" max="20" width="11.4285714285714" style="12" customWidth="1"/>
    <col min="21" max="21" width="12.4285714285714" style="12" customWidth="1"/>
    <col min="22" max="22" width="12.8571428571429" style="12" customWidth="1"/>
    <col min="23" max="16384" width="9.14285714285714" style="12"/>
  </cols>
  <sheetData>
    <row r="2" ht="15" spans="3:15">
      <c r="C2" s="2" t="s">
        <v>0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customHeight="1" spans="3:15">
      <c r="C3" s="3" t="s">
        <v>543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ht="15" spans="4:4">
      <c r="D4" s="11"/>
    </row>
    <row r="5" ht="15" spans="2:22">
      <c r="B5" s="14"/>
      <c r="C5" s="3"/>
      <c r="D5" s="14"/>
      <c r="F5" s="655"/>
      <c r="G5" s="655"/>
      <c r="H5" s="655"/>
      <c r="I5" s="655"/>
      <c r="J5" s="655"/>
      <c r="L5" s="3" t="s">
        <v>236</v>
      </c>
      <c r="O5" s="117"/>
      <c r="V5" s="3" t="s">
        <v>236</v>
      </c>
    </row>
    <row r="6" ht="15" customHeight="1" spans="2:15">
      <c r="B6" s="656"/>
      <c r="C6" s="657" t="s">
        <v>3</v>
      </c>
      <c r="D6" s="658" t="s">
        <v>110</v>
      </c>
      <c r="E6" s="16" t="s">
        <v>297</v>
      </c>
      <c r="F6" s="306" t="s">
        <v>163</v>
      </c>
      <c r="G6" s="307"/>
      <c r="H6" s="308"/>
      <c r="I6" s="306" t="s">
        <v>164</v>
      </c>
      <c r="J6" s="307"/>
      <c r="K6" s="135" t="s">
        <v>114</v>
      </c>
      <c r="L6" s="135"/>
      <c r="M6" s="135"/>
      <c r="N6" s="135"/>
      <c r="O6" s="135"/>
    </row>
    <row r="7" ht="45" spans="2:15">
      <c r="B7" s="656"/>
      <c r="C7" s="659"/>
      <c r="D7" s="660"/>
      <c r="E7" s="309"/>
      <c r="F7" s="5" t="s">
        <v>116</v>
      </c>
      <c r="G7" s="5" t="s">
        <v>237</v>
      </c>
      <c r="H7" s="5" t="s">
        <v>118</v>
      </c>
      <c r="I7" s="5" t="s">
        <v>116</v>
      </c>
      <c r="J7" s="5" t="s">
        <v>238</v>
      </c>
      <c r="K7" s="5" t="s">
        <v>544</v>
      </c>
      <c r="L7" s="669" t="s">
        <v>545</v>
      </c>
      <c r="M7" s="5" t="s">
        <v>546</v>
      </c>
      <c r="N7" s="5" t="s">
        <v>547</v>
      </c>
      <c r="O7" s="5" t="s">
        <v>548</v>
      </c>
    </row>
    <row r="8" ht="15" customHeight="1" spans="2:15">
      <c r="B8" s="656"/>
      <c r="C8" s="661"/>
      <c r="D8" s="662"/>
      <c r="E8" s="535"/>
      <c r="F8" s="5" t="s">
        <v>127</v>
      </c>
      <c r="G8" s="5" t="s">
        <v>128</v>
      </c>
      <c r="H8" s="5" t="s">
        <v>129</v>
      </c>
      <c r="I8" s="5" t="s">
        <v>127</v>
      </c>
      <c r="J8" s="5" t="s">
        <v>130</v>
      </c>
      <c r="K8" s="5" t="s">
        <v>132</v>
      </c>
      <c r="L8" s="669" t="s">
        <v>132</v>
      </c>
      <c r="M8" s="5" t="s">
        <v>132</v>
      </c>
      <c r="N8" s="5" t="s">
        <v>132</v>
      </c>
      <c r="O8" s="5" t="s">
        <v>132</v>
      </c>
    </row>
    <row r="9" ht="15" spans="3:15">
      <c r="C9" s="135" t="s">
        <v>283</v>
      </c>
      <c r="D9" s="167" t="s">
        <v>549</v>
      </c>
      <c r="E9" s="135" t="s">
        <v>550</v>
      </c>
      <c r="F9" s="100">
        <v>1114.73</v>
      </c>
      <c r="G9" s="153">
        <f>'[52]FY 2022-23 Input SP'!$P$178</f>
        <v>1718.82474534763</v>
      </c>
      <c r="H9" s="316">
        <f>G9-F9</f>
        <v>604.09474534763</v>
      </c>
      <c r="I9" s="135">
        <v>1081.98</v>
      </c>
      <c r="J9" s="316">
        <f>[53]TGSPDCL!$D$5</f>
        <v>1714</v>
      </c>
      <c r="K9" s="126">
        <f>'[54]TRANSMISSION projections'!E17</f>
        <v>1623.6925924152</v>
      </c>
      <c r="L9" s="127">
        <v>1702</v>
      </c>
      <c r="M9" s="126">
        <f>'[54]TRANSMISSION projections'!G17</f>
        <v>1790.12108313776</v>
      </c>
      <c r="N9" s="126">
        <f>'[54]TRANSMISSION projections'!H17</f>
        <v>1879.62713729465</v>
      </c>
      <c r="O9" s="126">
        <f>'[54]TRANSMISSION projections'!I17</f>
        <v>1973.60849415938</v>
      </c>
    </row>
    <row r="10" spans="3:15">
      <c r="C10" s="100"/>
      <c r="D10" s="334"/>
      <c r="E10" s="100"/>
      <c r="F10" s="55"/>
      <c r="G10" s="55"/>
      <c r="H10" s="55"/>
      <c r="I10" s="55"/>
      <c r="J10" s="55"/>
      <c r="K10" s="55"/>
      <c r="L10" s="55"/>
      <c r="M10" s="55"/>
      <c r="N10" s="55"/>
      <c r="O10" s="55"/>
    </row>
    <row r="11" ht="15" spans="3:15">
      <c r="C11" s="135" t="s">
        <v>285</v>
      </c>
      <c r="D11" s="663" t="s">
        <v>135</v>
      </c>
      <c r="E11" s="664"/>
      <c r="F11" s="55"/>
      <c r="G11" s="55"/>
      <c r="H11" s="55"/>
      <c r="I11" s="55"/>
      <c r="J11" s="55"/>
      <c r="K11" s="55"/>
      <c r="L11" s="55"/>
      <c r="M11" s="55"/>
      <c r="N11" s="55"/>
      <c r="O11" s="55"/>
    </row>
    <row r="12" spans="3:15">
      <c r="C12" s="100">
        <v>1</v>
      </c>
      <c r="D12" s="665" t="s">
        <v>551</v>
      </c>
      <c r="E12" s="664" t="s">
        <v>552</v>
      </c>
      <c r="F12" s="55"/>
      <c r="G12" s="55"/>
      <c r="H12" s="55"/>
      <c r="I12" s="55"/>
      <c r="J12" s="55"/>
      <c r="K12" s="538">
        <f>'[54]TRANSMISSION projections'!E5*70.55%</f>
        <v>15937.83762</v>
      </c>
      <c r="L12" s="670">
        <f>23544.83*70.55%</f>
        <v>16610.877565</v>
      </c>
      <c r="M12" s="538">
        <f>'[54]TRANSMISSION projections'!G5*70.55%</f>
        <v>15715.87321</v>
      </c>
      <c r="N12" s="538">
        <f>'[54]TRANSMISSION projections'!H5*70.55%</f>
        <v>15613.455775</v>
      </c>
      <c r="O12" s="538">
        <f>'[54]TRANSMISSION projections'!I5*70.55%</f>
        <v>15243.477465</v>
      </c>
    </row>
    <row r="13" spans="3:15">
      <c r="C13" s="666">
        <v>2</v>
      </c>
      <c r="D13" s="667" t="s">
        <v>553</v>
      </c>
      <c r="E13" s="666" t="s">
        <v>554</v>
      </c>
      <c r="F13" s="55"/>
      <c r="G13" s="55"/>
      <c r="H13" s="341">
        <f t="shared" ref="H13:H14" si="0">G13-F13</f>
        <v>0</v>
      </c>
      <c r="I13" s="55"/>
      <c r="J13" s="147"/>
      <c r="K13" s="538">
        <f>'[54]TRANSMISSION projections'!E6</f>
        <v>109.55</v>
      </c>
      <c r="L13" s="670">
        <v>73.64</v>
      </c>
      <c r="M13" s="538">
        <f>'[54]TRANSMISSION projections'!G6</f>
        <v>166.83</v>
      </c>
      <c r="N13" s="538">
        <f>'[54]TRANSMISSION projections'!H6</f>
        <v>188.64</v>
      </c>
      <c r="O13" s="538">
        <f>'[54]TRANSMISSION projections'!I6</f>
        <v>211.85</v>
      </c>
    </row>
    <row r="14" ht="15" spans="3:15">
      <c r="C14" s="100">
        <v>3</v>
      </c>
      <c r="D14" s="663" t="s">
        <v>135</v>
      </c>
      <c r="E14" s="537" t="s">
        <v>550</v>
      </c>
      <c r="F14" s="100">
        <v>2383.64</v>
      </c>
      <c r="G14" s="147">
        <f>'[52]FY 2022-23 Input SP'!$P$176</f>
        <v>2383.6425912</v>
      </c>
      <c r="H14" s="316">
        <f t="shared" si="0"/>
        <v>0.00259120000009716</v>
      </c>
      <c r="I14" s="150">
        <v>2670.27</v>
      </c>
      <c r="J14" s="316">
        <f>[53]TGSPDCL!$D$4</f>
        <v>2670</v>
      </c>
      <c r="K14" s="671">
        <f>'[54]TRANSMISSION projections'!E10</f>
        <v>2095.10924</v>
      </c>
      <c r="L14" s="672">
        <f>L12*L13*12/10^4</f>
        <v>1467.87002866392</v>
      </c>
      <c r="M14" s="671">
        <f>'[54]TRANSMISSION projections'!G10</f>
        <v>3146.33246</v>
      </c>
      <c r="N14" s="671">
        <f>'[54]TRANSMISSION projections'!H10</f>
        <v>3534.435065</v>
      </c>
      <c r="O14" s="671">
        <f>'[54]TRANSMISSION projections'!I10</f>
        <v>3875.149235</v>
      </c>
    </row>
    <row r="15" spans="3:15">
      <c r="C15" s="100"/>
      <c r="D15" s="334"/>
      <c r="E15" s="100"/>
      <c r="F15" s="55"/>
      <c r="G15" s="55"/>
      <c r="H15" s="55"/>
      <c r="I15" s="55"/>
      <c r="J15" s="55"/>
      <c r="K15" s="55"/>
      <c r="L15" s="100"/>
      <c r="M15" s="55"/>
      <c r="N15" s="55"/>
      <c r="O15" s="55"/>
    </row>
    <row r="16" ht="15" spans="3:15">
      <c r="C16" s="135" t="s">
        <v>287</v>
      </c>
      <c r="D16" s="663" t="s">
        <v>136</v>
      </c>
      <c r="E16" s="664"/>
      <c r="F16" s="55"/>
      <c r="G16" s="55"/>
      <c r="H16" s="55"/>
      <c r="I16" s="55"/>
      <c r="J16" s="55"/>
      <c r="K16" s="55"/>
      <c r="L16" s="55"/>
      <c r="M16" s="55"/>
      <c r="N16" s="55"/>
      <c r="O16" s="55"/>
    </row>
    <row r="17" spans="3:15">
      <c r="C17" s="100">
        <v>1</v>
      </c>
      <c r="D17" s="665" t="s">
        <v>555</v>
      </c>
      <c r="E17" s="664" t="s">
        <v>552</v>
      </c>
      <c r="F17" s="55"/>
      <c r="G17" s="55"/>
      <c r="H17" s="55"/>
      <c r="I17" s="55"/>
      <c r="J17" s="55"/>
      <c r="K17" s="147">
        <f>'[54]SLDC projections'!D6*70.55%</f>
        <v>16648.75586</v>
      </c>
      <c r="L17" s="147">
        <f>(24584.78-129)*70.55%</f>
        <v>17253.55279</v>
      </c>
      <c r="M17" s="147">
        <f>'[54]SLDC projections'!F6*70.55%</f>
        <v>16426.79145</v>
      </c>
      <c r="N17" s="147">
        <f>'[54]SLDC projections'!G6*70.55%</f>
        <v>16318.72296</v>
      </c>
      <c r="O17" s="147">
        <f>'[54]SLDC projections'!H6*70.55%</f>
        <v>15944.518705</v>
      </c>
    </row>
    <row r="18" spans="3:15">
      <c r="C18" s="666">
        <v>2</v>
      </c>
      <c r="D18" s="667" t="s">
        <v>136</v>
      </c>
      <c r="E18" s="666" t="s">
        <v>554</v>
      </c>
      <c r="F18" s="55"/>
      <c r="G18" s="55"/>
      <c r="H18" s="341">
        <f t="shared" ref="H18:H19" si="1">G18-F18</f>
        <v>0</v>
      </c>
      <c r="I18" s="55"/>
      <c r="J18" s="341"/>
      <c r="K18" s="147">
        <f>'[54]SLDC projections'!D7</f>
        <v>2.9518</v>
      </c>
      <c r="L18" s="147">
        <f>2594.98/1000</f>
        <v>2.59498</v>
      </c>
      <c r="M18" s="147">
        <f>'[54]SLDC projections'!F7</f>
        <v>3.94622</v>
      </c>
      <c r="N18" s="147">
        <f>'[54]SLDC projections'!G7</f>
        <v>4.10997</v>
      </c>
      <c r="O18" s="147">
        <f>'[54]SLDC projections'!H7</f>
        <v>4.35503</v>
      </c>
    </row>
    <row r="19" ht="15" spans="3:15">
      <c r="C19" s="100">
        <v>3</v>
      </c>
      <c r="D19" s="668" t="s">
        <v>136</v>
      </c>
      <c r="E19" s="537" t="s">
        <v>550</v>
      </c>
      <c r="F19" s="100">
        <v>31.67</v>
      </c>
      <c r="G19" s="101">
        <f>'[52]FY 2022-23 Input SP'!$P$177</f>
        <v>31.6680813</v>
      </c>
      <c r="H19" s="316">
        <f t="shared" si="1"/>
        <v>-0.00191870000000094</v>
      </c>
      <c r="I19" s="150">
        <v>32.81</v>
      </c>
      <c r="J19" s="316">
        <f>[53]TGSPDCL!$D$6</f>
        <v>33</v>
      </c>
      <c r="K19" s="150">
        <f>'[54]SLDC projections'!D10</f>
        <v>58.972745</v>
      </c>
      <c r="L19" s="158">
        <f>L17*L18*12/10000</f>
        <v>53.727149302793</v>
      </c>
      <c r="M19" s="150">
        <f>'[54]SLDC projections'!F10</f>
        <v>77.78843</v>
      </c>
      <c r="N19" s="150">
        <f>'[54]SLDC projections'!G10</f>
        <v>80.48344</v>
      </c>
      <c r="O19" s="150">
        <f>'[54]SLDC projections'!H10</f>
        <v>83.326605</v>
      </c>
    </row>
    <row r="22" ht="15" spans="5:9">
      <c r="E22" s="3"/>
      <c r="F22" s="11"/>
      <c r="G22" s="11"/>
      <c r="H22" s="11"/>
      <c r="I22" s="11"/>
    </row>
    <row r="23" spans="6:9">
      <c r="F23" s="13"/>
      <c r="G23" s="13"/>
      <c r="H23" s="13"/>
      <c r="I23" s="13"/>
    </row>
    <row r="24" spans="6:9">
      <c r="F24" s="13"/>
      <c r="G24" s="13"/>
      <c r="H24" s="13"/>
      <c r="I24" s="13"/>
    </row>
    <row r="25" spans="6:9">
      <c r="F25" s="13"/>
      <c r="G25" s="13"/>
      <c r="H25" s="13"/>
      <c r="I25" s="13"/>
    </row>
  </sheetData>
  <mergeCells count="8">
    <mergeCell ref="C2:O2"/>
    <mergeCell ref="C3:O3"/>
    <mergeCell ref="F6:H6"/>
    <mergeCell ref="I6:J6"/>
    <mergeCell ref="K6:O6"/>
    <mergeCell ref="C6:C8"/>
    <mergeCell ref="D6:D8"/>
    <mergeCell ref="E6:E8"/>
  </mergeCells>
  <printOptions horizontalCentered="1"/>
  <pageMargins left="0.708333333333333" right="0.708333333333333" top="0.747916666666667" bottom="0.747916666666667" header="0.314583333333333" footer="0.314583333333333"/>
  <pageSetup paperSize="9" orientation="portrait" horizontalDpi="600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1:P16"/>
  <sheetViews>
    <sheetView showGridLines="0" zoomScaleSheetLayoutView="80" workbookViewId="0">
      <selection activeCell="B2" sqref="B2:P2"/>
    </sheetView>
  </sheetViews>
  <sheetFormatPr defaultColWidth="9.14285714285714" defaultRowHeight="14.25"/>
  <cols>
    <col min="1" max="1" width="9.14285714285714" style="12"/>
    <col min="2" max="2" width="7.14285714285714" style="12" customWidth="1"/>
    <col min="3" max="3" width="32.1428571428571" style="12" customWidth="1"/>
    <col min="4" max="4" width="14.4285714285714" style="12" customWidth="1"/>
    <col min="5" max="7" width="14.8571428571429" style="12" customWidth="1"/>
    <col min="8" max="9" width="12.1428571428571" style="12" customWidth="1"/>
    <col min="10" max="10" width="11.8571428571429" style="12" customWidth="1"/>
    <col min="11" max="13" width="12.1428571428571" style="12" customWidth="1"/>
    <col min="14" max="14" width="13" style="12" customWidth="1"/>
    <col min="15" max="15" width="13.4285714285714" style="12" customWidth="1"/>
    <col min="16" max="16" width="12.8571428571429" style="12" customWidth="1"/>
    <col min="17" max="16384" width="9.14285714285714" style="12"/>
  </cols>
  <sheetData>
    <row r="1" ht="15" spans="3:12">
      <c r="C1" s="34"/>
      <c r="D1" s="34"/>
      <c r="E1" s="34"/>
      <c r="F1" s="34"/>
      <c r="G1" s="34"/>
      <c r="I1" s="34"/>
      <c r="J1" s="34"/>
      <c r="K1" s="2"/>
      <c r="L1" s="34"/>
    </row>
    <row r="2" ht="15" spans="2:16">
      <c r="B2" s="2" t="s">
        <v>156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2:12">
      <c r="B3" s="3"/>
      <c r="C3" s="3"/>
      <c r="D3" s="3"/>
      <c r="E3" s="3"/>
      <c r="F3" s="3"/>
      <c r="G3" s="3"/>
      <c r="H3" s="3" t="s">
        <v>556</v>
      </c>
      <c r="I3" s="3"/>
      <c r="J3" s="3"/>
      <c r="K3" s="3"/>
      <c r="L3" s="3"/>
    </row>
    <row r="4" ht="15" spans="2:12"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ht="15" spans="16:16">
      <c r="P5" s="33" t="s">
        <v>109</v>
      </c>
    </row>
    <row r="6" ht="15" customHeight="1" spans="2:16">
      <c r="B6" s="175" t="s">
        <v>3</v>
      </c>
      <c r="C6" s="175" t="s">
        <v>110</v>
      </c>
      <c r="D6" s="513" t="s">
        <v>111</v>
      </c>
      <c r="E6" s="306" t="s">
        <v>163</v>
      </c>
      <c r="F6" s="307"/>
      <c r="G6" s="308"/>
      <c r="H6" s="306" t="s">
        <v>164</v>
      </c>
      <c r="I6" s="307"/>
      <c r="J6" s="307"/>
      <c r="K6" s="307"/>
      <c r="L6" s="135" t="s">
        <v>114</v>
      </c>
      <c r="M6" s="135"/>
      <c r="N6" s="135"/>
      <c r="O6" s="135"/>
      <c r="P6" s="135"/>
    </row>
    <row r="7" ht="30" spans="2:16">
      <c r="B7" s="175"/>
      <c r="C7" s="175"/>
      <c r="D7" s="514"/>
      <c r="E7" s="5" t="s">
        <v>116</v>
      </c>
      <c r="F7" s="5" t="s">
        <v>237</v>
      </c>
      <c r="G7" s="5" t="s">
        <v>118</v>
      </c>
      <c r="H7" s="5" t="s">
        <v>116</v>
      </c>
      <c r="I7" s="5" t="s">
        <v>119</v>
      </c>
      <c r="J7" s="5" t="s">
        <v>120</v>
      </c>
      <c r="K7" s="5" t="s">
        <v>238</v>
      </c>
      <c r="L7" s="5" t="s">
        <v>557</v>
      </c>
      <c r="M7" s="5" t="s">
        <v>299</v>
      </c>
      <c r="N7" s="5" t="s">
        <v>300</v>
      </c>
      <c r="O7" s="5" t="s">
        <v>301</v>
      </c>
      <c r="P7" s="5" t="s">
        <v>302</v>
      </c>
    </row>
    <row r="8" ht="15" spans="2:16">
      <c r="B8" s="175"/>
      <c r="C8" s="175"/>
      <c r="D8" s="515"/>
      <c r="E8" s="5" t="s">
        <v>127</v>
      </c>
      <c r="F8" s="5" t="s">
        <v>128</v>
      </c>
      <c r="G8" s="5" t="s">
        <v>129</v>
      </c>
      <c r="H8" s="5" t="s">
        <v>127</v>
      </c>
      <c r="I8" s="5" t="s">
        <v>130</v>
      </c>
      <c r="J8" s="5" t="s">
        <v>131</v>
      </c>
      <c r="K8" s="5" t="s">
        <v>131</v>
      </c>
      <c r="L8" s="5" t="s">
        <v>132</v>
      </c>
      <c r="M8" s="5" t="s">
        <v>132</v>
      </c>
      <c r="N8" s="5" t="s">
        <v>132</v>
      </c>
      <c r="O8" s="5" t="s">
        <v>132</v>
      </c>
      <c r="P8" s="5" t="s">
        <v>132</v>
      </c>
    </row>
    <row r="9" ht="15" spans="2:16">
      <c r="B9" s="100">
        <v>1</v>
      </c>
      <c r="C9" s="334" t="s">
        <v>558</v>
      </c>
      <c r="D9" s="334" t="s">
        <v>41</v>
      </c>
      <c r="E9" s="334"/>
      <c r="F9" s="350">
        <f>F15.1x!G33</f>
        <v>0</v>
      </c>
      <c r="G9" s="516">
        <f>F9-E9</f>
        <v>0</v>
      </c>
      <c r="H9" s="345"/>
      <c r="I9" s="350">
        <f>SUM(F15.1x!H33)</f>
        <v>0</v>
      </c>
      <c r="J9" s="350">
        <f>F15.1x!I33</f>
        <v>0</v>
      </c>
      <c r="K9" s="350">
        <f>I9+J9</f>
        <v>0</v>
      </c>
      <c r="L9" s="350">
        <f>F15.1x!K33</f>
        <v>0</v>
      </c>
      <c r="M9" s="350">
        <f>F15.1x!L33</f>
        <v>0</v>
      </c>
      <c r="N9" s="350">
        <f>F15.1x!M33</f>
        <v>0</v>
      </c>
      <c r="O9" s="350">
        <f>F15.1x!N33</f>
        <v>0</v>
      </c>
      <c r="P9" s="350">
        <f>F15.1x!O33</f>
        <v>0</v>
      </c>
    </row>
    <row r="10" ht="15" spans="2:16">
      <c r="B10" s="100">
        <f>B9+1</f>
        <v>2</v>
      </c>
      <c r="C10" s="342" t="s">
        <v>559</v>
      </c>
      <c r="D10" s="342" t="s">
        <v>43</v>
      </c>
      <c r="E10" s="342"/>
      <c r="F10" s="350">
        <f>F15.2x!G37</f>
        <v>0</v>
      </c>
      <c r="G10" s="516">
        <f t="shared" ref="G10:G12" si="0">F10-E10</f>
        <v>0</v>
      </c>
      <c r="H10" s="345"/>
      <c r="I10" s="350">
        <f>SUM(F15.2x!D37:H37)</f>
        <v>0</v>
      </c>
      <c r="J10" s="350">
        <f>SUM(F15.1x!I33)</f>
        <v>0</v>
      </c>
      <c r="K10" s="350">
        <f t="shared" ref="K10:K12" si="1">I10+J10</f>
        <v>0</v>
      </c>
      <c r="L10" s="350">
        <f>F15.2x!K37</f>
        <v>0</v>
      </c>
      <c r="M10" s="350">
        <f>F15.2x!L37</f>
        <v>0</v>
      </c>
      <c r="N10" s="350">
        <f>F15.2x!M37</f>
        <v>0</v>
      </c>
      <c r="O10" s="350">
        <f>F15.2x!N37</f>
        <v>0</v>
      </c>
      <c r="P10" s="350">
        <f>F15.2x!O37</f>
        <v>0</v>
      </c>
    </row>
    <row r="11" ht="15" spans="2:16">
      <c r="B11" s="100">
        <f>B10+1</f>
        <v>3</v>
      </c>
      <c r="C11" s="334" t="s">
        <v>560</v>
      </c>
      <c r="D11" s="334" t="s">
        <v>45</v>
      </c>
      <c r="E11" s="334"/>
      <c r="F11" s="350">
        <f>F15.3x!E17</f>
        <v>0</v>
      </c>
      <c r="G11" s="516">
        <f t="shared" si="0"/>
        <v>0</v>
      </c>
      <c r="H11" s="345"/>
      <c r="I11" s="350">
        <f>F15.3x!H17</f>
        <v>0</v>
      </c>
      <c r="J11" s="350">
        <f>F15.3x!I17</f>
        <v>0</v>
      </c>
      <c r="K11" s="350">
        <f t="shared" si="1"/>
        <v>0</v>
      </c>
      <c r="L11" s="350">
        <f>F15.3x!K17</f>
        <v>0</v>
      </c>
      <c r="M11" s="350">
        <f>F15.3x!L17</f>
        <v>0</v>
      </c>
      <c r="N11" s="350">
        <f>F15.3x!M17</f>
        <v>0</v>
      </c>
      <c r="O11" s="350">
        <f>F15.3x!N17</f>
        <v>0</v>
      </c>
      <c r="P11" s="350">
        <f>F15.3x!O17</f>
        <v>0</v>
      </c>
    </row>
    <row r="12" ht="15" spans="2:16">
      <c r="B12" s="100">
        <f>B11+1</f>
        <v>4</v>
      </c>
      <c r="C12" s="334" t="s">
        <v>561</v>
      </c>
      <c r="D12" s="334"/>
      <c r="E12" s="334"/>
      <c r="F12" s="347">
        <f>SUM(F9:F11)</f>
        <v>0</v>
      </c>
      <c r="G12" s="517">
        <f t="shared" si="0"/>
        <v>0</v>
      </c>
      <c r="H12" s="345"/>
      <c r="I12" s="517">
        <f>SUM(I9:I11)</f>
        <v>0</v>
      </c>
      <c r="J12" s="517">
        <f>SUM(J9:J11)</f>
        <v>0</v>
      </c>
      <c r="K12" s="517">
        <f t="shared" si="1"/>
        <v>0</v>
      </c>
      <c r="L12" s="347">
        <f>SUM(L9:L11)</f>
        <v>0</v>
      </c>
      <c r="M12" s="347">
        <f t="shared" ref="M12:P12" si="2">SUM(M9:M11)</f>
        <v>0</v>
      </c>
      <c r="N12" s="347">
        <f t="shared" si="2"/>
        <v>0</v>
      </c>
      <c r="O12" s="347">
        <f t="shared" si="2"/>
        <v>0</v>
      </c>
      <c r="P12" s="347">
        <f t="shared" si="2"/>
        <v>0</v>
      </c>
    </row>
    <row r="13" spans="2:16">
      <c r="B13" s="483" t="s">
        <v>225</v>
      </c>
      <c r="C13" s="522"/>
      <c r="D13" s="518"/>
      <c r="E13" s="518"/>
      <c r="F13" s="518"/>
      <c r="G13" s="521"/>
      <c r="H13" s="521"/>
      <c r="I13" s="521"/>
      <c r="J13" s="521"/>
      <c r="K13" s="521"/>
      <c r="L13" s="521"/>
      <c r="M13" s="521"/>
      <c r="N13" s="521"/>
      <c r="O13" s="521"/>
      <c r="P13" s="521"/>
    </row>
    <row r="14" spans="2:3">
      <c r="B14" s="523">
        <v>1</v>
      </c>
      <c r="C14" s="522" t="s">
        <v>562</v>
      </c>
    </row>
    <row r="16" spans="2:2">
      <c r="B16" s="13"/>
    </row>
  </sheetData>
  <mergeCells count="7">
    <mergeCell ref="B2:P2"/>
    <mergeCell ref="E6:G6"/>
    <mergeCell ref="H6:K6"/>
    <mergeCell ref="L6:P6"/>
    <mergeCell ref="B6:B8"/>
    <mergeCell ref="C6:C8"/>
    <mergeCell ref="D6:D8"/>
  </mergeCells>
  <pageMargins left="0.708661417322835" right="0.708661417322835" top="0.748031496062992" bottom="0.748031496062992" header="0.31496062992126" footer="0.31496062992126"/>
  <pageSetup paperSize="9" scale="61" orientation="landscape"/>
  <headerFooter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B2:P38"/>
  <sheetViews>
    <sheetView showGridLines="0" zoomScale="55" zoomScaleNormal="55" zoomScaleSheetLayoutView="70" workbookViewId="0">
      <selection activeCell="B2" sqref="B2:P2"/>
    </sheetView>
  </sheetViews>
  <sheetFormatPr defaultColWidth="9.14285714285714" defaultRowHeight="14.25"/>
  <cols>
    <col min="1" max="1" width="6.85714285714286" style="15" customWidth="1"/>
    <col min="2" max="2" width="7" style="15" customWidth="1"/>
    <col min="3" max="3" width="50.5714285714286" style="15" customWidth="1"/>
    <col min="4" max="6" width="16.8571428571429" style="15" customWidth="1"/>
    <col min="7" max="7" width="16" style="15" customWidth="1"/>
    <col min="8" max="9" width="14.4285714285714" style="15" customWidth="1"/>
    <col min="10" max="10" width="18" style="15" customWidth="1"/>
    <col min="11" max="12" width="12.1428571428571" style="15" customWidth="1"/>
    <col min="13" max="13" width="13" style="15" customWidth="1"/>
    <col min="14" max="14" width="13.4285714285714" style="15" customWidth="1"/>
    <col min="15" max="15" width="12.8571428571429" style="15" customWidth="1"/>
    <col min="16" max="16384" width="9.14285714285714" style="15"/>
  </cols>
  <sheetData>
    <row r="2" ht="15" spans="2:16">
      <c r="B2" s="2" t="s">
        <v>156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="479" customFormat="1" ht="15" spans="3:10">
      <c r="C3" s="12"/>
      <c r="D3" s="12"/>
      <c r="E3" s="12"/>
      <c r="F3" s="12"/>
      <c r="G3" s="12"/>
      <c r="H3" s="3" t="s">
        <v>563</v>
      </c>
      <c r="I3" s="12"/>
      <c r="J3" s="12"/>
    </row>
    <row r="4" s="479" customFormat="1" ht="15" spans="3:10">
      <c r="C4" s="501"/>
      <c r="D4" s="501"/>
      <c r="E4" s="501"/>
      <c r="F4" s="501"/>
      <c r="G4" s="502"/>
      <c r="H4" s="502"/>
      <c r="I4" s="502"/>
      <c r="J4" s="502"/>
    </row>
    <row r="5" ht="15" spans="15:15">
      <c r="O5" s="33" t="s">
        <v>109</v>
      </c>
    </row>
    <row r="6" ht="12.75" customHeight="1" spans="2:15">
      <c r="B6" s="6" t="s">
        <v>564</v>
      </c>
      <c r="C6" s="6" t="s">
        <v>110</v>
      </c>
      <c r="D6" s="5" t="s">
        <v>565</v>
      </c>
      <c r="E6" s="5" t="s">
        <v>566</v>
      </c>
      <c r="F6" s="5" t="s">
        <v>567</v>
      </c>
      <c r="G6" s="5" t="s">
        <v>112</v>
      </c>
      <c r="H6" s="5" t="s">
        <v>526</v>
      </c>
      <c r="I6" s="5"/>
      <c r="J6" s="5"/>
      <c r="K6" s="135" t="s">
        <v>114</v>
      </c>
      <c r="L6" s="135"/>
      <c r="M6" s="135"/>
      <c r="N6" s="135"/>
      <c r="O6" s="135"/>
    </row>
    <row r="7" ht="30" spans="2:15">
      <c r="B7" s="6"/>
      <c r="C7" s="6"/>
      <c r="D7" s="5" t="s">
        <v>237</v>
      </c>
      <c r="E7" s="5" t="s">
        <v>237</v>
      </c>
      <c r="F7" s="5" t="s">
        <v>237</v>
      </c>
      <c r="G7" s="5" t="s">
        <v>237</v>
      </c>
      <c r="H7" s="5" t="s">
        <v>119</v>
      </c>
      <c r="I7" s="5" t="s">
        <v>120</v>
      </c>
      <c r="J7" s="5" t="s">
        <v>238</v>
      </c>
      <c r="K7" s="5" t="s">
        <v>557</v>
      </c>
      <c r="L7" s="5" t="s">
        <v>299</v>
      </c>
      <c r="M7" s="5" t="s">
        <v>300</v>
      </c>
      <c r="N7" s="5" t="s">
        <v>301</v>
      </c>
      <c r="O7" s="5" t="s">
        <v>302</v>
      </c>
    </row>
    <row r="8" ht="15" spans="2:15">
      <c r="B8" s="55"/>
      <c r="C8" s="6"/>
      <c r="D8" s="5" t="s">
        <v>128</v>
      </c>
      <c r="E8" s="5" t="s">
        <v>128</v>
      </c>
      <c r="F8" s="5" t="s">
        <v>128</v>
      </c>
      <c r="G8" s="5" t="s">
        <v>128</v>
      </c>
      <c r="H8" s="5" t="s">
        <v>130</v>
      </c>
      <c r="I8" s="5" t="s">
        <v>131</v>
      </c>
      <c r="J8" s="5" t="s">
        <v>131</v>
      </c>
      <c r="K8" s="5" t="s">
        <v>132</v>
      </c>
      <c r="L8" s="5" t="s">
        <v>132</v>
      </c>
      <c r="M8" s="5" t="s">
        <v>132</v>
      </c>
      <c r="N8" s="5" t="s">
        <v>132</v>
      </c>
      <c r="O8" s="5" t="s">
        <v>132</v>
      </c>
    </row>
    <row r="9" spans="2:15">
      <c r="B9" s="20">
        <v>1</v>
      </c>
      <c r="C9" s="354" t="s">
        <v>568</v>
      </c>
      <c r="D9" s="354"/>
      <c r="E9" s="354"/>
      <c r="F9" s="354"/>
      <c r="G9" s="21"/>
      <c r="H9" s="21"/>
      <c r="I9" s="21"/>
      <c r="J9" s="21"/>
      <c r="K9" s="21"/>
      <c r="L9" s="21"/>
      <c r="M9" s="21"/>
      <c r="N9" s="21"/>
      <c r="O9" s="21"/>
    </row>
    <row r="10" spans="2:15">
      <c r="B10" s="20">
        <v>2</v>
      </c>
      <c r="C10" s="354" t="s">
        <v>569</v>
      </c>
      <c r="D10" s="354"/>
      <c r="E10" s="354"/>
      <c r="F10" s="354"/>
      <c r="G10" s="21"/>
      <c r="H10" s="21"/>
      <c r="I10" s="21"/>
      <c r="J10" s="21"/>
      <c r="K10" s="21"/>
      <c r="L10" s="21"/>
      <c r="M10" s="21"/>
      <c r="N10" s="21"/>
      <c r="O10" s="21"/>
    </row>
    <row r="11" spans="2:15">
      <c r="B11" s="20">
        <v>3</v>
      </c>
      <c r="C11" s="21" t="s">
        <v>570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</row>
    <row r="12" spans="2:15">
      <c r="B12" s="20">
        <v>4</v>
      </c>
      <c r="C12" s="354" t="s">
        <v>571</v>
      </c>
      <c r="D12" s="354"/>
      <c r="E12" s="354"/>
      <c r="F12" s="354"/>
      <c r="G12" s="21"/>
      <c r="H12" s="21"/>
      <c r="I12" s="21"/>
      <c r="J12" s="21"/>
      <c r="K12" s="21"/>
      <c r="L12" s="21"/>
      <c r="M12" s="21"/>
      <c r="N12" s="21"/>
      <c r="O12" s="21"/>
    </row>
    <row r="13" spans="2:15">
      <c r="B13" s="20">
        <v>5</v>
      </c>
      <c r="C13" s="354" t="s">
        <v>572</v>
      </c>
      <c r="D13" s="354"/>
      <c r="E13" s="354"/>
      <c r="F13" s="354"/>
      <c r="G13" s="21"/>
      <c r="H13" s="21"/>
      <c r="I13" s="21"/>
      <c r="J13" s="21"/>
      <c r="K13" s="21"/>
      <c r="L13" s="21"/>
      <c r="M13" s="21"/>
      <c r="N13" s="21"/>
      <c r="O13" s="21"/>
    </row>
    <row r="14" spans="2:15">
      <c r="B14" s="20">
        <v>6</v>
      </c>
      <c r="C14" s="21" t="s">
        <v>573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</row>
    <row r="15" spans="2:15">
      <c r="B15" s="20">
        <v>7</v>
      </c>
      <c r="C15" s="354" t="s">
        <v>574</v>
      </c>
      <c r="D15" s="354"/>
      <c r="E15" s="354"/>
      <c r="F15" s="354"/>
      <c r="G15" s="21"/>
      <c r="H15" s="21"/>
      <c r="I15" s="21"/>
      <c r="J15" s="21"/>
      <c r="K15" s="21"/>
      <c r="L15" s="21"/>
      <c r="M15" s="21"/>
      <c r="N15" s="21"/>
      <c r="O15" s="21"/>
    </row>
    <row r="16" spans="2:15">
      <c r="B16" s="20">
        <v>8</v>
      </c>
      <c r="C16" s="354" t="s">
        <v>575</v>
      </c>
      <c r="D16" s="354"/>
      <c r="E16" s="354"/>
      <c r="F16" s="354"/>
      <c r="G16" s="21"/>
      <c r="H16" s="21"/>
      <c r="I16" s="21"/>
      <c r="J16" s="21"/>
      <c r="K16" s="21"/>
      <c r="L16" s="21"/>
      <c r="M16" s="21"/>
      <c r="N16" s="21"/>
      <c r="O16" s="21"/>
    </row>
    <row r="17" spans="2:15">
      <c r="B17" s="20">
        <v>9</v>
      </c>
      <c r="C17" s="354" t="s">
        <v>576</v>
      </c>
      <c r="D17" s="354"/>
      <c r="E17" s="354"/>
      <c r="F17" s="354"/>
      <c r="G17" s="21"/>
      <c r="H17" s="21"/>
      <c r="I17" s="21"/>
      <c r="J17" s="21"/>
      <c r="K17" s="21"/>
      <c r="L17" s="21"/>
      <c r="M17" s="21"/>
      <c r="N17" s="21"/>
      <c r="O17" s="21"/>
    </row>
    <row r="18" spans="2:15">
      <c r="B18" s="20">
        <v>10</v>
      </c>
      <c r="C18" s="354" t="s">
        <v>577</v>
      </c>
      <c r="D18" s="354"/>
      <c r="E18" s="354"/>
      <c r="F18" s="354"/>
      <c r="G18" s="354"/>
      <c r="H18" s="21"/>
      <c r="I18" s="21"/>
      <c r="J18" s="21"/>
      <c r="K18" s="21"/>
      <c r="L18" s="21"/>
      <c r="M18" s="21"/>
      <c r="N18" s="21"/>
      <c r="O18" s="21"/>
    </row>
    <row r="19" spans="2:15">
      <c r="B19" s="20">
        <v>11</v>
      </c>
      <c r="C19" s="354" t="s">
        <v>578</v>
      </c>
      <c r="D19" s="354"/>
      <c r="E19" s="354"/>
      <c r="F19" s="354"/>
      <c r="G19" s="354"/>
      <c r="H19" s="21"/>
      <c r="I19" s="21"/>
      <c r="J19" s="21"/>
      <c r="K19" s="21"/>
      <c r="L19" s="21"/>
      <c r="M19" s="21"/>
      <c r="N19" s="21"/>
      <c r="O19" s="21"/>
    </row>
    <row r="20" spans="2:15">
      <c r="B20" s="20">
        <v>12</v>
      </c>
      <c r="C20" s="354" t="s">
        <v>579</v>
      </c>
      <c r="D20" s="354"/>
      <c r="E20" s="354"/>
      <c r="F20" s="354"/>
      <c r="G20" s="354"/>
      <c r="H20" s="21"/>
      <c r="I20" s="21"/>
      <c r="J20" s="21"/>
      <c r="K20" s="21"/>
      <c r="L20" s="21"/>
      <c r="M20" s="21"/>
      <c r="N20" s="21"/>
      <c r="O20" s="21"/>
    </row>
    <row r="21" spans="2:15">
      <c r="B21" s="20">
        <v>13</v>
      </c>
      <c r="C21" s="354" t="s">
        <v>580</v>
      </c>
      <c r="D21" s="354"/>
      <c r="E21" s="354"/>
      <c r="F21" s="354"/>
      <c r="G21" s="354"/>
      <c r="H21" s="21"/>
      <c r="I21" s="21"/>
      <c r="J21" s="21"/>
      <c r="K21" s="21"/>
      <c r="L21" s="21"/>
      <c r="M21" s="21"/>
      <c r="N21" s="21"/>
      <c r="O21" s="21"/>
    </row>
    <row r="22" spans="2:15">
      <c r="B22" s="20">
        <v>14</v>
      </c>
      <c r="C22" s="354" t="s">
        <v>581</v>
      </c>
      <c r="D22" s="354"/>
      <c r="E22" s="354"/>
      <c r="F22" s="354"/>
      <c r="G22" s="354"/>
      <c r="H22" s="21"/>
      <c r="I22" s="21"/>
      <c r="J22" s="21"/>
      <c r="K22" s="21"/>
      <c r="L22" s="21"/>
      <c r="M22" s="21"/>
      <c r="N22" s="21"/>
      <c r="O22" s="21"/>
    </row>
    <row r="23" spans="2:15">
      <c r="B23" s="20">
        <v>15</v>
      </c>
      <c r="C23" s="354" t="s">
        <v>582</v>
      </c>
      <c r="D23" s="354"/>
      <c r="E23" s="354"/>
      <c r="F23" s="354"/>
      <c r="G23" s="21"/>
      <c r="H23" s="21"/>
      <c r="I23" s="21"/>
      <c r="J23" s="21"/>
      <c r="K23" s="21"/>
      <c r="L23" s="21"/>
      <c r="M23" s="21"/>
      <c r="N23" s="21"/>
      <c r="O23" s="21"/>
    </row>
    <row r="24" spans="2:15">
      <c r="B24" s="20">
        <v>16</v>
      </c>
      <c r="C24" s="354" t="s">
        <v>583</v>
      </c>
      <c r="D24" s="354"/>
      <c r="E24" s="354"/>
      <c r="F24" s="354"/>
      <c r="G24" s="652"/>
      <c r="H24" s="21"/>
      <c r="I24" s="21"/>
      <c r="J24" s="21"/>
      <c r="K24" s="21"/>
      <c r="L24" s="21"/>
      <c r="M24" s="21"/>
      <c r="N24" s="21"/>
      <c r="O24" s="21"/>
    </row>
    <row r="25" spans="2:15">
      <c r="B25" s="20">
        <v>17</v>
      </c>
      <c r="C25" s="354" t="s">
        <v>584</v>
      </c>
      <c r="D25" s="354"/>
      <c r="E25" s="354"/>
      <c r="F25" s="354"/>
      <c r="G25" s="652"/>
      <c r="H25" s="21"/>
      <c r="I25" s="21"/>
      <c r="J25" s="21"/>
      <c r="K25" s="21"/>
      <c r="L25" s="21"/>
      <c r="M25" s="21"/>
      <c r="N25" s="21"/>
      <c r="O25" s="21"/>
    </row>
    <row r="26" spans="2:15">
      <c r="B26" s="20">
        <v>18</v>
      </c>
      <c r="C26" s="354" t="s">
        <v>585</v>
      </c>
      <c r="D26" s="354"/>
      <c r="E26" s="354"/>
      <c r="F26" s="354"/>
      <c r="G26" s="652"/>
      <c r="H26" s="21"/>
      <c r="I26" s="21"/>
      <c r="J26" s="21"/>
      <c r="K26" s="21"/>
      <c r="L26" s="21"/>
      <c r="M26" s="21"/>
      <c r="N26" s="21"/>
      <c r="O26" s="21"/>
    </row>
    <row r="27" spans="2:15">
      <c r="B27" s="20">
        <f>+B26+0.1</f>
        <v>18.1</v>
      </c>
      <c r="C27" s="354" t="s">
        <v>586</v>
      </c>
      <c r="D27" s="354"/>
      <c r="E27" s="354"/>
      <c r="F27" s="354"/>
      <c r="G27" s="652"/>
      <c r="H27" s="21"/>
      <c r="I27" s="21"/>
      <c r="J27" s="21"/>
      <c r="K27" s="21"/>
      <c r="L27" s="21"/>
      <c r="M27" s="21"/>
      <c r="N27" s="21"/>
      <c r="O27" s="21"/>
    </row>
    <row r="28" spans="2:15">
      <c r="B28" s="20">
        <f>+B27+0.1</f>
        <v>18.2</v>
      </c>
      <c r="C28" s="354" t="s">
        <v>587</v>
      </c>
      <c r="D28" s="354"/>
      <c r="E28" s="354"/>
      <c r="F28" s="354"/>
      <c r="G28" s="652"/>
      <c r="H28" s="21"/>
      <c r="I28" s="21"/>
      <c r="J28" s="21"/>
      <c r="K28" s="21"/>
      <c r="L28" s="21"/>
      <c r="M28" s="21"/>
      <c r="N28" s="21"/>
      <c r="O28" s="21"/>
    </row>
    <row r="29" spans="2:15">
      <c r="B29" s="20">
        <f>+B28+0.1</f>
        <v>18.3</v>
      </c>
      <c r="C29" s="354" t="s">
        <v>588</v>
      </c>
      <c r="D29" s="354"/>
      <c r="E29" s="354"/>
      <c r="F29" s="354"/>
      <c r="G29" s="652"/>
      <c r="H29" s="21"/>
      <c r="I29" s="21"/>
      <c r="J29" s="21"/>
      <c r="K29" s="21"/>
      <c r="L29" s="21"/>
      <c r="M29" s="21"/>
      <c r="N29" s="21"/>
      <c r="O29" s="21"/>
    </row>
    <row r="30" spans="2:15">
      <c r="B30" s="20">
        <f>+B29+0.1</f>
        <v>18.4</v>
      </c>
      <c r="C30" s="354" t="s">
        <v>589</v>
      </c>
      <c r="D30" s="354"/>
      <c r="E30" s="354"/>
      <c r="F30" s="354"/>
      <c r="G30" s="21"/>
      <c r="H30" s="21"/>
      <c r="I30" s="21"/>
      <c r="J30" s="21"/>
      <c r="K30" s="21"/>
      <c r="L30" s="21"/>
      <c r="M30" s="21"/>
      <c r="N30" s="21"/>
      <c r="O30" s="21"/>
    </row>
    <row r="31" ht="28.5" spans="2:15">
      <c r="B31" s="20">
        <v>19</v>
      </c>
      <c r="C31" s="505" t="s">
        <v>590</v>
      </c>
      <c r="D31" s="354"/>
      <c r="E31" s="354"/>
      <c r="F31" s="354"/>
      <c r="G31" s="21"/>
      <c r="H31" s="21"/>
      <c r="I31" s="21"/>
      <c r="J31" s="21"/>
      <c r="K31" s="21"/>
      <c r="L31" s="21"/>
      <c r="M31" s="21"/>
      <c r="N31" s="21"/>
      <c r="O31" s="21"/>
    </row>
    <row r="32" spans="2:15">
      <c r="B32" s="20">
        <v>20</v>
      </c>
      <c r="C32" s="354" t="s">
        <v>440</v>
      </c>
      <c r="D32" s="354"/>
      <c r="E32" s="354"/>
      <c r="F32" s="354"/>
      <c r="G32" s="21"/>
      <c r="H32" s="21"/>
      <c r="I32" s="21"/>
      <c r="J32" s="21"/>
      <c r="K32" s="21"/>
      <c r="L32" s="21"/>
      <c r="M32" s="21"/>
      <c r="N32" s="21"/>
      <c r="O32" s="21"/>
    </row>
    <row r="33" ht="15" spans="2:15">
      <c r="B33" s="6">
        <v>21</v>
      </c>
      <c r="C33" s="358" t="s">
        <v>591</v>
      </c>
      <c r="D33" s="506">
        <f>SUM(D9:D32)</f>
        <v>0</v>
      </c>
      <c r="E33" s="506">
        <f t="shared" ref="E33:O33" si="0">SUM(E9:E32)</f>
        <v>0</v>
      </c>
      <c r="F33" s="506">
        <f t="shared" si="0"/>
        <v>0</v>
      </c>
      <c r="G33" s="506">
        <f t="shared" si="0"/>
        <v>0</v>
      </c>
      <c r="H33" s="506">
        <f t="shared" si="0"/>
        <v>0</v>
      </c>
      <c r="I33" s="506">
        <f t="shared" si="0"/>
        <v>0</v>
      </c>
      <c r="J33" s="506">
        <f t="shared" si="0"/>
        <v>0</v>
      </c>
      <c r="K33" s="506">
        <f t="shared" si="0"/>
        <v>0</v>
      </c>
      <c r="L33" s="506">
        <f t="shared" si="0"/>
        <v>0</v>
      </c>
      <c r="M33" s="506">
        <f t="shared" si="0"/>
        <v>0</v>
      </c>
      <c r="N33" s="506">
        <f t="shared" si="0"/>
        <v>0</v>
      </c>
      <c r="O33" s="506">
        <f t="shared" si="0"/>
        <v>0</v>
      </c>
    </row>
    <row r="34" spans="2:15">
      <c r="B34" s="20">
        <v>22</v>
      </c>
      <c r="C34" s="354" t="s">
        <v>592</v>
      </c>
      <c r="D34" s="504"/>
      <c r="E34" s="504"/>
      <c r="F34" s="504"/>
      <c r="G34" s="504"/>
      <c r="H34" s="504"/>
      <c r="I34" s="504"/>
      <c r="J34" s="504"/>
      <c r="K34" s="504"/>
      <c r="L34" s="504"/>
      <c r="M34" s="504"/>
      <c r="N34" s="504"/>
      <c r="O34" s="504"/>
    </row>
    <row r="35" ht="15" spans="2:15">
      <c r="B35" s="6">
        <v>23</v>
      </c>
      <c r="C35" s="19" t="s">
        <v>593</v>
      </c>
      <c r="D35" s="30">
        <f>D33-D34</f>
        <v>0</v>
      </c>
      <c r="E35" s="30">
        <f t="shared" ref="E35:O35" si="1">E33-E34</f>
        <v>0</v>
      </c>
      <c r="F35" s="30">
        <f t="shared" si="1"/>
        <v>0</v>
      </c>
      <c r="G35" s="30">
        <f t="shared" si="1"/>
        <v>0</v>
      </c>
      <c r="H35" s="30">
        <f t="shared" si="1"/>
        <v>0</v>
      </c>
      <c r="I35" s="30">
        <f t="shared" si="1"/>
        <v>0</v>
      </c>
      <c r="J35" s="30">
        <f t="shared" si="1"/>
        <v>0</v>
      </c>
      <c r="K35" s="30">
        <f t="shared" si="1"/>
        <v>0</v>
      </c>
      <c r="L35" s="30">
        <f t="shared" si="1"/>
        <v>0</v>
      </c>
      <c r="M35" s="30">
        <f t="shared" si="1"/>
        <v>0</v>
      </c>
      <c r="N35" s="30">
        <f t="shared" si="1"/>
        <v>0</v>
      </c>
      <c r="O35" s="30">
        <f t="shared" si="1"/>
        <v>0</v>
      </c>
    </row>
    <row r="37" ht="15" spans="2:2">
      <c r="B37" s="653"/>
    </row>
    <row r="38" spans="2:2">
      <c r="B38" s="654"/>
    </row>
  </sheetData>
  <mergeCells count="5">
    <mergeCell ref="B2:P2"/>
    <mergeCell ref="H6:J6"/>
    <mergeCell ref="K6:O6"/>
    <mergeCell ref="B6:B8"/>
    <mergeCell ref="C6:C8"/>
  </mergeCells>
  <pageMargins left="0.75" right="0.75" top="1" bottom="1" header="0.5" footer="0.5"/>
  <pageSetup paperSize="9" scale="69" fitToHeight="0" orientation="landscape"/>
  <headerFooter alignWithMargins="0"/>
  <rowBreaks count="1" manualBreakCount="1">
    <brk id="36" max="8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2:P39"/>
  <sheetViews>
    <sheetView showGridLines="0" zoomScale="59" zoomScaleNormal="59" zoomScaleSheetLayoutView="70" workbookViewId="0">
      <selection activeCell="B2" sqref="B2:P2"/>
    </sheetView>
  </sheetViews>
  <sheetFormatPr defaultColWidth="9.14285714285714" defaultRowHeight="14.25"/>
  <cols>
    <col min="1" max="1" width="6.85714285714286" style="15" customWidth="1"/>
    <col min="2" max="2" width="7" style="15" customWidth="1"/>
    <col min="3" max="3" width="44.1428571428571" style="15" customWidth="1"/>
    <col min="4" max="10" width="15.8571428571429" style="15" customWidth="1"/>
    <col min="11" max="12" width="12.1428571428571" style="15" customWidth="1"/>
    <col min="13" max="13" width="13" style="15" customWidth="1"/>
    <col min="14" max="14" width="13.4285714285714" style="15" customWidth="1"/>
    <col min="15" max="15" width="12.8571428571429" style="15" customWidth="1"/>
    <col min="16" max="16384" width="9.14285714285714" style="15"/>
  </cols>
  <sheetData>
    <row r="2" ht="15" spans="2:16">
      <c r="B2" s="2" t="s">
        <v>156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="479" customFormat="1" ht="15" spans="3:12">
      <c r="C3" s="12"/>
      <c r="D3" s="12"/>
      <c r="E3" s="12"/>
      <c r="F3" s="12"/>
      <c r="G3" s="12"/>
      <c r="H3" s="3" t="s">
        <v>594</v>
      </c>
      <c r="I3" s="12"/>
      <c r="J3" s="12"/>
      <c r="K3" s="12"/>
      <c r="L3" s="12"/>
    </row>
    <row r="5" ht="15" spans="15:15">
      <c r="O5" s="33" t="s">
        <v>109</v>
      </c>
    </row>
    <row r="6" ht="12.75" customHeight="1" spans="2:15">
      <c r="B6" s="5" t="s">
        <v>3</v>
      </c>
      <c r="C6" s="6" t="s">
        <v>110</v>
      </c>
      <c r="D6" s="5" t="s">
        <v>565</v>
      </c>
      <c r="E6" s="5" t="s">
        <v>566</v>
      </c>
      <c r="F6" s="5" t="s">
        <v>567</v>
      </c>
      <c r="G6" s="5" t="s">
        <v>112</v>
      </c>
      <c r="H6" s="5" t="s">
        <v>526</v>
      </c>
      <c r="I6" s="5"/>
      <c r="J6" s="5"/>
      <c r="K6" s="135" t="s">
        <v>114</v>
      </c>
      <c r="L6" s="135"/>
      <c r="M6" s="135"/>
      <c r="N6" s="135"/>
      <c r="O6" s="135"/>
    </row>
    <row r="7" ht="30" spans="2:15">
      <c r="B7" s="5"/>
      <c r="C7" s="6"/>
      <c r="D7" s="5" t="s">
        <v>237</v>
      </c>
      <c r="E7" s="5" t="s">
        <v>237</v>
      </c>
      <c r="F7" s="5" t="s">
        <v>237</v>
      </c>
      <c r="G7" s="5" t="s">
        <v>237</v>
      </c>
      <c r="H7" s="5" t="s">
        <v>119</v>
      </c>
      <c r="I7" s="5" t="s">
        <v>120</v>
      </c>
      <c r="J7" s="5" t="s">
        <v>238</v>
      </c>
      <c r="K7" s="5" t="s">
        <v>557</v>
      </c>
      <c r="L7" s="5" t="s">
        <v>299</v>
      </c>
      <c r="M7" s="5" t="s">
        <v>300</v>
      </c>
      <c r="N7" s="5" t="s">
        <v>301</v>
      </c>
      <c r="O7" s="5" t="s">
        <v>302</v>
      </c>
    </row>
    <row r="8" ht="15" spans="2:15">
      <c r="B8" s="5"/>
      <c r="C8" s="6"/>
      <c r="D8" s="5" t="s">
        <v>128</v>
      </c>
      <c r="E8" s="5" t="s">
        <v>128</v>
      </c>
      <c r="F8" s="5" t="s">
        <v>128</v>
      </c>
      <c r="G8" s="5" t="s">
        <v>128</v>
      </c>
      <c r="H8" s="5" t="s">
        <v>130</v>
      </c>
      <c r="I8" s="5" t="s">
        <v>131</v>
      </c>
      <c r="J8" s="5" t="s">
        <v>131</v>
      </c>
      <c r="K8" s="5" t="s">
        <v>132</v>
      </c>
      <c r="L8" s="5" t="s">
        <v>132</v>
      </c>
      <c r="M8" s="5" t="s">
        <v>132</v>
      </c>
      <c r="N8" s="5" t="s">
        <v>132</v>
      </c>
      <c r="O8" s="5" t="s">
        <v>132</v>
      </c>
    </row>
    <row r="9" spans="2:15">
      <c r="B9" s="21">
        <v>1</v>
      </c>
      <c r="C9" s="976" t="s">
        <v>595</v>
      </c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</row>
    <row r="10" spans="2:15">
      <c r="B10" s="21">
        <v>2</v>
      </c>
      <c r="C10" s="487" t="s">
        <v>596</v>
      </c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</row>
    <row r="11" spans="2:15">
      <c r="B11" s="21">
        <v>3</v>
      </c>
      <c r="C11" s="487" t="s">
        <v>597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</row>
    <row r="12" spans="2:15">
      <c r="B12" s="21">
        <v>4</v>
      </c>
      <c r="C12" s="487" t="s">
        <v>598</v>
      </c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</row>
    <row r="13" spans="2:15">
      <c r="B13" s="21">
        <v>5</v>
      </c>
      <c r="C13" s="487" t="s">
        <v>599</v>
      </c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</row>
    <row r="14" spans="2:15">
      <c r="B14" s="21">
        <v>6</v>
      </c>
      <c r="C14" s="487" t="s">
        <v>600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</row>
    <row r="15" spans="2:15">
      <c r="B15" s="21">
        <v>7</v>
      </c>
      <c r="C15" s="487" t="s">
        <v>601</v>
      </c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</row>
    <row r="16" spans="2:15">
      <c r="B16" s="21">
        <v>8</v>
      </c>
      <c r="C16" s="487" t="s">
        <v>602</v>
      </c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</row>
    <row r="17" spans="2:15">
      <c r="B17" s="21">
        <v>9</v>
      </c>
      <c r="C17" s="487" t="s">
        <v>603</v>
      </c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</row>
    <row r="18" spans="2:15">
      <c r="B18" s="21">
        <v>10</v>
      </c>
      <c r="C18" s="487" t="s">
        <v>604</v>
      </c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</row>
    <row r="19" spans="2:15">
      <c r="B19" s="21">
        <v>11</v>
      </c>
      <c r="C19" s="487" t="s">
        <v>605</v>
      </c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</row>
    <row r="20" spans="2:15">
      <c r="B20" s="21">
        <v>12</v>
      </c>
      <c r="C20" s="487" t="s">
        <v>606</v>
      </c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</row>
    <row r="21" spans="2:15">
      <c r="B21" s="21">
        <v>13</v>
      </c>
      <c r="C21" s="487" t="s">
        <v>607</v>
      </c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</row>
    <row r="22" spans="2:15">
      <c r="B22" s="21">
        <v>14</v>
      </c>
      <c r="C22" s="487" t="s">
        <v>608</v>
      </c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</row>
    <row r="23" spans="2:15">
      <c r="B23" s="21">
        <v>15</v>
      </c>
      <c r="C23" s="487" t="s">
        <v>609</v>
      </c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</row>
    <row r="24" spans="2:15">
      <c r="B24" s="21">
        <v>16</v>
      </c>
      <c r="C24" s="976" t="s">
        <v>610</v>
      </c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</row>
    <row r="25" spans="2:15">
      <c r="B25" s="21">
        <v>17</v>
      </c>
      <c r="C25" s="976" t="s">
        <v>611</v>
      </c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</row>
    <row r="26" spans="2:15">
      <c r="B26" s="21">
        <v>18</v>
      </c>
      <c r="C26" s="487" t="s">
        <v>612</v>
      </c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</row>
    <row r="27" spans="2:15">
      <c r="B27" s="21">
        <v>19</v>
      </c>
      <c r="C27" s="487" t="s">
        <v>613</v>
      </c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</row>
    <row r="28" spans="2:15">
      <c r="B28" s="21">
        <v>20</v>
      </c>
      <c r="C28" s="487" t="s">
        <v>614</v>
      </c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</row>
    <row r="29" spans="2:15">
      <c r="B29" s="21">
        <v>21</v>
      </c>
      <c r="C29" s="487" t="s">
        <v>615</v>
      </c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</row>
    <row r="30" spans="2:15">
      <c r="B30" s="21">
        <v>22</v>
      </c>
      <c r="C30" s="487" t="s">
        <v>616</v>
      </c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</row>
    <row r="31" spans="2:15">
      <c r="B31" s="21">
        <v>23</v>
      </c>
      <c r="C31" s="487" t="s">
        <v>617</v>
      </c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</row>
    <row r="32" spans="2:15">
      <c r="B32" s="21">
        <v>24</v>
      </c>
      <c r="C32" s="487" t="s">
        <v>618</v>
      </c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</row>
    <row r="33" spans="2:15">
      <c r="B33" s="21">
        <v>25</v>
      </c>
      <c r="C33" s="487" t="s">
        <v>619</v>
      </c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</row>
    <row r="34" spans="2:15">
      <c r="B34" s="21">
        <v>26</v>
      </c>
      <c r="C34" s="487" t="s">
        <v>620</v>
      </c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</row>
    <row r="35" spans="2:15">
      <c r="B35" s="21">
        <v>27</v>
      </c>
      <c r="C35" s="487" t="s">
        <v>621</v>
      </c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</row>
    <row r="36" spans="2:15">
      <c r="B36" s="21">
        <v>28</v>
      </c>
      <c r="C36" s="487" t="s">
        <v>440</v>
      </c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</row>
    <row r="37" ht="15" spans="2:15">
      <c r="B37" s="21">
        <v>29</v>
      </c>
      <c r="C37" s="491" t="s">
        <v>622</v>
      </c>
      <c r="D37" s="30">
        <f>SUM(D9:D36)</f>
        <v>0</v>
      </c>
      <c r="E37" s="30">
        <f t="shared" ref="E37:O37" si="0">SUM(E9:E36)</f>
        <v>0</v>
      </c>
      <c r="F37" s="30">
        <f t="shared" si="0"/>
        <v>0</v>
      </c>
      <c r="G37" s="30">
        <f t="shared" si="0"/>
        <v>0</v>
      </c>
      <c r="H37" s="30">
        <f t="shared" si="0"/>
        <v>0</v>
      </c>
      <c r="I37" s="30">
        <f t="shared" si="0"/>
        <v>0</v>
      </c>
      <c r="J37" s="30">
        <f t="shared" si="0"/>
        <v>0</v>
      </c>
      <c r="K37" s="30">
        <f t="shared" si="0"/>
        <v>0</v>
      </c>
      <c r="L37" s="30">
        <f t="shared" si="0"/>
        <v>0</v>
      </c>
      <c r="M37" s="30">
        <f t="shared" si="0"/>
        <v>0</v>
      </c>
      <c r="N37" s="30">
        <f t="shared" si="0"/>
        <v>0</v>
      </c>
      <c r="O37" s="30">
        <f t="shared" si="0"/>
        <v>0</v>
      </c>
    </row>
    <row r="38" ht="15" spans="2:15">
      <c r="B38" s="21">
        <v>30</v>
      </c>
      <c r="C38" s="354" t="s">
        <v>592</v>
      </c>
      <c r="D38" s="497"/>
      <c r="E38" s="497"/>
      <c r="F38" s="497"/>
      <c r="G38" s="497"/>
      <c r="H38" s="497"/>
      <c r="I38" s="497"/>
      <c r="J38" s="497"/>
      <c r="K38" s="497"/>
      <c r="L38" s="497"/>
      <c r="M38" s="497"/>
      <c r="N38" s="497"/>
      <c r="O38" s="497"/>
    </row>
    <row r="39" ht="15" spans="2:15">
      <c r="B39" s="21">
        <v>31</v>
      </c>
      <c r="C39" s="19" t="s">
        <v>623</v>
      </c>
      <c r="D39" s="30">
        <f>D37-D38</f>
        <v>0</v>
      </c>
      <c r="E39" s="30">
        <f t="shared" ref="E39:O39" si="1">E37-E38</f>
        <v>0</v>
      </c>
      <c r="F39" s="30">
        <f t="shared" si="1"/>
        <v>0</v>
      </c>
      <c r="G39" s="30">
        <f t="shared" si="1"/>
        <v>0</v>
      </c>
      <c r="H39" s="30">
        <f t="shared" si="1"/>
        <v>0</v>
      </c>
      <c r="I39" s="30">
        <f t="shared" si="1"/>
        <v>0</v>
      </c>
      <c r="J39" s="30">
        <f t="shared" si="1"/>
        <v>0</v>
      </c>
      <c r="K39" s="30">
        <f t="shared" si="1"/>
        <v>0</v>
      </c>
      <c r="L39" s="30">
        <f t="shared" si="1"/>
        <v>0</v>
      </c>
      <c r="M39" s="30">
        <f t="shared" si="1"/>
        <v>0</v>
      </c>
      <c r="N39" s="30">
        <f t="shared" si="1"/>
        <v>0</v>
      </c>
      <c r="O39" s="30">
        <f t="shared" si="1"/>
        <v>0</v>
      </c>
    </row>
  </sheetData>
  <mergeCells count="5">
    <mergeCell ref="B2:P2"/>
    <mergeCell ref="H6:J6"/>
    <mergeCell ref="K6:O6"/>
    <mergeCell ref="B6:B8"/>
    <mergeCell ref="C6:C8"/>
  </mergeCells>
  <pageMargins left="0.75" right="0.75" top="1" bottom="1" header="0.5" footer="0.5"/>
  <pageSetup paperSize="9" scale="56" orientation="landscape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2:P21"/>
  <sheetViews>
    <sheetView showGridLines="0" zoomScale="62" zoomScaleNormal="62" zoomScaleSheetLayoutView="90" workbookViewId="0">
      <selection activeCell="B2" sqref="B2:P2"/>
    </sheetView>
  </sheetViews>
  <sheetFormatPr defaultColWidth="9.14285714285714" defaultRowHeight="14.25"/>
  <cols>
    <col min="1" max="1" width="6.85714285714286" style="15" customWidth="1"/>
    <col min="2" max="2" width="8.85714285714286" style="486" customWidth="1"/>
    <col min="3" max="3" width="45.8571428571429" style="15" customWidth="1"/>
    <col min="4" max="10" width="15.8571428571429" style="15" customWidth="1"/>
    <col min="11" max="12" width="12.1428571428571" style="15" customWidth="1"/>
    <col min="13" max="13" width="13" style="15" customWidth="1"/>
    <col min="14" max="14" width="13.4285714285714" style="15" customWidth="1"/>
    <col min="15" max="15" width="12.8571428571429" style="15" customWidth="1"/>
    <col min="16" max="16384" width="9.14285714285714" style="15"/>
  </cols>
  <sheetData>
    <row r="2" ht="15" spans="2:16">
      <c r="B2" s="2" t="s">
        <v>156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="479" customFormat="1" ht="15" spans="3:12">
      <c r="C3" s="12"/>
      <c r="D3" s="12"/>
      <c r="E3" s="12"/>
      <c r="F3" s="12"/>
      <c r="G3" s="12"/>
      <c r="H3" s="3" t="s">
        <v>624</v>
      </c>
      <c r="I3" s="12"/>
      <c r="J3" s="12"/>
      <c r="K3" s="12"/>
      <c r="L3" s="12"/>
    </row>
    <row r="5" ht="15" spans="15:15">
      <c r="O5" s="33" t="s">
        <v>109</v>
      </c>
    </row>
    <row r="6" ht="12.75" customHeight="1" spans="2:15">
      <c r="B6" s="5" t="s">
        <v>3</v>
      </c>
      <c r="C6" s="6" t="s">
        <v>110</v>
      </c>
      <c r="D6" s="5" t="s">
        <v>565</v>
      </c>
      <c r="E6" s="5" t="s">
        <v>566</v>
      </c>
      <c r="F6" s="5" t="s">
        <v>567</v>
      </c>
      <c r="G6" s="5" t="s">
        <v>112</v>
      </c>
      <c r="H6" s="5" t="s">
        <v>526</v>
      </c>
      <c r="I6" s="5"/>
      <c r="J6" s="5"/>
      <c r="K6" s="135" t="s">
        <v>114</v>
      </c>
      <c r="L6" s="135"/>
      <c r="M6" s="135"/>
      <c r="N6" s="135"/>
      <c r="O6" s="135"/>
    </row>
    <row r="7" ht="30" spans="2:15">
      <c r="B7" s="5"/>
      <c r="C7" s="6"/>
      <c r="D7" s="5" t="s">
        <v>237</v>
      </c>
      <c r="E7" s="5" t="s">
        <v>237</v>
      </c>
      <c r="F7" s="5" t="s">
        <v>237</v>
      </c>
      <c r="G7" s="5" t="s">
        <v>237</v>
      </c>
      <c r="H7" s="5" t="s">
        <v>119</v>
      </c>
      <c r="I7" s="5" t="s">
        <v>120</v>
      </c>
      <c r="J7" s="5" t="s">
        <v>238</v>
      </c>
      <c r="K7" s="5" t="s">
        <v>557</v>
      </c>
      <c r="L7" s="5" t="s">
        <v>299</v>
      </c>
      <c r="M7" s="5" t="s">
        <v>300</v>
      </c>
      <c r="N7" s="5" t="s">
        <v>301</v>
      </c>
      <c r="O7" s="5" t="s">
        <v>302</v>
      </c>
    </row>
    <row r="8" ht="15" spans="2:15">
      <c r="B8" s="5"/>
      <c r="C8" s="6"/>
      <c r="D8" s="5" t="s">
        <v>128</v>
      </c>
      <c r="E8" s="5" t="s">
        <v>128</v>
      </c>
      <c r="F8" s="5" t="s">
        <v>128</v>
      </c>
      <c r="G8" s="5" t="s">
        <v>128</v>
      </c>
      <c r="H8" s="5" t="s">
        <v>130</v>
      </c>
      <c r="I8" s="5" t="s">
        <v>131</v>
      </c>
      <c r="J8" s="5" t="s">
        <v>131</v>
      </c>
      <c r="K8" s="5" t="s">
        <v>132</v>
      </c>
      <c r="L8" s="5" t="s">
        <v>132</v>
      </c>
      <c r="M8" s="5" t="s">
        <v>132</v>
      </c>
      <c r="N8" s="5" t="s">
        <v>132</v>
      </c>
      <c r="O8" s="5" t="s">
        <v>132</v>
      </c>
    </row>
    <row r="9" spans="2:15">
      <c r="B9" s="20">
        <v>1</v>
      </c>
      <c r="C9" s="487" t="s">
        <v>625</v>
      </c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</row>
    <row r="10" spans="2:15">
      <c r="B10" s="20">
        <v>2</v>
      </c>
      <c r="C10" s="487" t="s">
        <v>626</v>
      </c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</row>
    <row r="11" spans="2:15">
      <c r="B11" s="20">
        <v>3</v>
      </c>
      <c r="C11" s="487" t="s">
        <v>627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</row>
    <row r="12" spans="2:15">
      <c r="B12" s="20">
        <v>4</v>
      </c>
      <c r="C12" s="487" t="s">
        <v>628</v>
      </c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</row>
    <row r="13" spans="2:15">
      <c r="B13" s="20">
        <v>5</v>
      </c>
      <c r="C13" s="487" t="s">
        <v>629</v>
      </c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</row>
    <row r="14" spans="2:15">
      <c r="B14" s="20">
        <v>6</v>
      </c>
      <c r="C14" s="487" t="s">
        <v>630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</row>
    <row r="15" spans="2:15">
      <c r="B15" s="20">
        <v>7</v>
      </c>
      <c r="C15" s="487" t="s">
        <v>631</v>
      </c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</row>
    <row r="16" spans="2:15">
      <c r="B16" s="20">
        <v>8</v>
      </c>
      <c r="C16" s="487" t="s">
        <v>632</v>
      </c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</row>
    <row r="17" ht="15" spans="2:15">
      <c r="B17" s="20">
        <v>9</v>
      </c>
      <c r="C17" s="491" t="s">
        <v>633</v>
      </c>
      <c r="D17" s="30">
        <f>SUM(D9:D16)</f>
        <v>0</v>
      </c>
      <c r="E17" s="30">
        <f t="shared" ref="E17:O17" si="0">SUM(E9:E16)</f>
        <v>0</v>
      </c>
      <c r="F17" s="30">
        <f t="shared" si="0"/>
        <v>0</v>
      </c>
      <c r="G17" s="30">
        <f t="shared" si="0"/>
        <v>0</v>
      </c>
      <c r="H17" s="30">
        <f t="shared" si="0"/>
        <v>0</v>
      </c>
      <c r="I17" s="30">
        <f t="shared" si="0"/>
        <v>0</v>
      </c>
      <c r="J17" s="30">
        <f t="shared" si="0"/>
        <v>0</v>
      </c>
      <c r="K17" s="30">
        <f t="shared" si="0"/>
        <v>0</v>
      </c>
      <c r="L17" s="30">
        <f t="shared" si="0"/>
        <v>0</v>
      </c>
      <c r="M17" s="30">
        <f t="shared" si="0"/>
        <v>0</v>
      </c>
      <c r="N17" s="30">
        <f t="shared" si="0"/>
        <v>0</v>
      </c>
      <c r="O17" s="30">
        <f t="shared" si="0"/>
        <v>0</v>
      </c>
    </row>
    <row r="18" spans="2:15">
      <c r="B18" s="20"/>
      <c r="C18" s="493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</row>
    <row r="19" spans="2:15">
      <c r="B19" s="20">
        <v>10</v>
      </c>
      <c r="C19" s="493" t="s">
        <v>634</v>
      </c>
      <c r="D19" s="351"/>
      <c r="E19" s="351"/>
      <c r="F19" s="21"/>
      <c r="G19" s="351">
        <f>F17x!F12</f>
        <v>0</v>
      </c>
      <c r="H19" s="351"/>
      <c r="I19" s="21"/>
      <c r="J19" s="351">
        <f>F17x!F21</f>
        <v>0</v>
      </c>
      <c r="K19" s="351">
        <f>F17x!F30</f>
        <v>0</v>
      </c>
      <c r="L19" s="351">
        <f>F17x!F39</f>
        <v>0</v>
      </c>
      <c r="M19" s="351">
        <f>F17x!F48</f>
        <v>0</v>
      </c>
      <c r="N19" s="351">
        <f>F17x!F57</f>
        <v>0</v>
      </c>
      <c r="O19" s="351">
        <f>F17x!F66</f>
        <v>0</v>
      </c>
    </row>
    <row r="20" ht="28.5" spans="2:15">
      <c r="B20" s="20">
        <v>11</v>
      </c>
      <c r="C20" s="493" t="s">
        <v>635</v>
      </c>
      <c r="D20" s="21"/>
      <c r="E20" s="21"/>
      <c r="F20" s="21"/>
      <c r="G20" s="651" t="e">
        <f t="shared" ref="G20:O20" si="1">G17/G19</f>
        <v>#DIV/0!</v>
      </c>
      <c r="H20" s="21"/>
      <c r="I20" s="21"/>
      <c r="J20" s="651" t="e">
        <f t="shared" si="1"/>
        <v>#DIV/0!</v>
      </c>
      <c r="K20" s="651" t="e">
        <f t="shared" si="1"/>
        <v>#DIV/0!</v>
      </c>
      <c r="L20" s="651" t="e">
        <f t="shared" si="1"/>
        <v>#DIV/0!</v>
      </c>
      <c r="M20" s="651" t="e">
        <f t="shared" si="1"/>
        <v>#DIV/0!</v>
      </c>
      <c r="N20" s="651" t="e">
        <f t="shared" si="1"/>
        <v>#DIV/0!</v>
      </c>
      <c r="O20" s="651" t="e">
        <f t="shared" si="1"/>
        <v>#DIV/0!</v>
      </c>
    </row>
    <row r="21" spans="2:15">
      <c r="B21" s="20"/>
      <c r="C21" s="493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</row>
  </sheetData>
  <mergeCells count="5">
    <mergeCell ref="B2:P2"/>
    <mergeCell ref="H6:J6"/>
    <mergeCell ref="K6:O6"/>
    <mergeCell ref="B6:B8"/>
    <mergeCell ref="C6:C8"/>
  </mergeCells>
  <pageMargins left="0.75" right="0.75" top="1" bottom="1" header="0.5" footer="0.5"/>
  <pageSetup paperSize="9" scale="54" orientation="landscape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1:P15"/>
  <sheetViews>
    <sheetView showGridLines="0" zoomScaleSheetLayoutView="90" workbookViewId="0">
      <selection activeCell="C9" sqref="C9"/>
    </sheetView>
  </sheetViews>
  <sheetFormatPr defaultColWidth="9.14285714285714" defaultRowHeight="14.25"/>
  <cols>
    <col min="1" max="1" width="4.14285714285714" style="479" customWidth="1"/>
    <col min="2" max="2" width="6.14285714285714" style="479" customWidth="1"/>
    <col min="3" max="3" width="34.5714285714286" style="479" customWidth="1"/>
    <col min="4" max="4" width="13.8571428571429" style="479" customWidth="1"/>
    <col min="5" max="5" width="12.5714285714286" style="479" customWidth="1"/>
    <col min="6" max="6" width="13.4285714285714" style="479" customWidth="1"/>
    <col min="7" max="7" width="13.8571428571429" style="479" customWidth="1"/>
    <col min="8" max="8" width="12.5714285714286" style="479" customWidth="1"/>
    <col min="9" max="9" width="13.1428571428571" style="479" customWidth="1"/>
    <col min="10" max="10" width="12.5714285714286" style="479" customWidth="1"/>
    <col min="11" max="11" width="11.8571428571429" style="479" customWidth="1"/>
    <col min="12" max="12" width="13.8571428571429" style="479" customWidth="1"/>
    <col min="13" max="18" width="11.8571428571429" style="479" customWidth="1"/>
    <col min="19" max="16384" width="9.14285714285714" style="479"/>
  </cols>
  <sheetData>
    <row r="1" ht="15" spans="2:2">
      <c r="B1" s="480"/>
    </row>
    <row r="2" ht="15" spans="2:16">
      <c r="B2" s="2" t="s">
        <v>156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3:13">
      <c r="C3" s="12"/>
      <c r="D3" s="12"/>
      <c r="E3" s="12"/>
      <c r="F3" s="12"/>
      <c r="G3" s="12"/>
      <c r="H3" s="3" t="s">
        <v>636</v>
      </c>
      <c r="I3" s="12"/>
      <c r="J3" s="12"/>
      <c r="K3" s="12"/>
      <c r="L3" s="12"/>
      <c r="M3" s="12"/>
    </row>
    <row r="4" ht="15" spans="2:12">
      <c r="B4" s="34"/>
      <c r="C4" s="481"/>
      <c r="D4" s="481"/>
      <c r="E4" s="481"/>
      <c r="F4" s="481"/>
      <c r="G4" s="481"/>
      <c r="H4" s="481"/>
      <c r="I4" s="481"/>
      <c r="J4" s="481"/>
      <c r="K4" s="481"/>
      <c r="L4" s="481"/>
    </row>
    <row r="5" ht="15" spans="15:15">
      <c r="O5" s="33" t="s">
        <v>109</v>
      </c>
    </row>
    <row r="6" s="15" customFormat="1" ht="15" customHeight="1" spans="2:15">
      <c r="B6" s="16" t="s">
        <v>3</v>
      </c>
      <c r="C6" s="6" t="s">
        <v>110</v>
      </c>
      <c r="D6" s="306" t="s">
        <v>112</v>
      </c>
      <c r="E6" s="307"/>
      <c r="F6" s="308"/>
      <c r="G6" s="306" t="s">
        <v>526</v>
      </c>
      <c r="H6" s="307"/>
      <c r="I6" s="307"/>
      <c r="J6" s="307"/>
      <c r="K6" s="135" t="s">
        <v>114</v>
      </c>
      <c r="L6" s="135"/>
      <c r="M6" s="135"/>
      <c r="N6" s="135"/>
      <c r="O6" s="135"/>
    </row>
    <row r="7" s="15" customFormat="1" ht="30" spans="2:15">
      <c r="B7" s="309"/>
      <c r="C7" s="6"/>
      <c r="D7" s="5" t="s">
        <v>116</v>
      </c>
      <c r="E7" s="5" t="s">
        <v>237</v>
      </c>
      <c r="F7" s="5" t="s">
        <v>118</v>
      </c>
      <c r="G7" s="5" t="s">
        <v>116</v>
      </c>
      <c r="H7" s="5" t="s">
        <v>119</v>
      </c>
      <c r="I7" s="5" t="s">
        <v>120</v>
      </c>
      <c r="J7" s="5" t="s">
        <v>238</v>
      </c>
      <c r="K7" s="5" t="s">
        <v>557</v>
      </c>
      <c r="L7" s="5" t="s">
        <v>299</v>
      </c>
      <c r="M7" s="5" t="s">
        <v>300</v>
      </c>
      <c r="N7" s="5" t="s">
        <v>301</v>
      </c>
      <c r="O7" s="5" t="s">
        <v>302</v>
      </c>
    </row>
    <row r="8" s="15" customFormat="1" ht="15" spans="2:15">
      <c r="B8" s="310"/>
      <c r="C8" s="100"/>
      <c r="D8" s="5" t="s">
        <v>127</v>
      </c>
      <c r="E8" s="5" t="s">
        <v>128</v>
      </c>
      <c r="F8" s="5" t="s">
        <v>129</v>
      </c>
      <c r="G8" s="5" t="s">
        <v>127</v>
      </c>
      <c r="H8" s="5" t="s">
        <v>130</v>
      </c>
      <c r="I8" s="5" t="s">
        <v>131</v>
      </c>
      <c r="J8" s="5" t="s">
        <v>131</v>
      </c>
      <c r="K8" s="5" t="s">
        <v>132</v>
      </c>
      <c r="L8" s="5" t="s">
        <v>132</v>
      </c>
      <c r="M8" s="5" t="s">
        <v>132</v>
      </c>
      <c r="N8" s="5" t="s">
        <v>132</v>
      </c>
      <c r="O8" s="5" t="s">
        <v>132</v>
      </c>
    </row>
    <row r="9" s="12" customFormat="1" ht="15" spans="2:15">
      <c r="B9" s="311">
        <v>1</v>
      </c>
      <c r="C9" s="55" t="s">
        <v>637</v>
      </c>
      <c r="D9" s="20"/>
      <c r="E9" s="55"/>
      <c r="F9" s="316">
        <f>E9-D9</f>
        <v>0</v>
      </c>
      <c r="G9" s="208"/>
      <c r="H9" s="208"/>
      <c r="I9" s="208"/>
      <c r="J9" s="208"/>
      <c r="K9" s="208"/>
      <c r="L9" s="208"/>
      <c r="M9" s="208"/>
      <c r="N9" s="208"/>
      <c r="O9" s="208"/>
    </row>
    <row r="10" s="12" customFormat="1" ht="15" spans="2:15">
      <c r="B10" s="100">
        <v>2</v>
      </c>
      <c r="C10" s="55" t="s">
        <v>638</v>
      </c>
      <c r="D10" s="20"/>
      <c r="E10" s="147">
        <f>F16.1x!G11</f>
        <v>0</v>
      </c>
      <c r="F10" s="316">
        <f t="shared" ref="F10:F12" si="0">E10-D10</f>
        <v>0</v>
      </c>
      <c r="G10" s="208"/>
      <c r="H10" s="208"/>
      <c r="I10" s="208"/>
      <c r="J10" s="340">
        <f>H10+I10</f>
        <v>0</v>
      </c>
      <c r="K10" s="340">
        <f>F16.1x!G23</f>
        <v>0</v>
      </c>
      <c r="L10" s="340">
        <f>F16.1x!G29</f>
        <v>0</v>
      </c>
      <c r="M10" s="340">
        <f>F16.1x!G35</f>
        <v>0</v>
      </c>
      <c r="N10" s="340">
        <f>F16.1x!G41</f>
        <v>0</v>
      </c>
      <c r="O10" s="340">
        <f>F16.1x!G47</f>
        <v>0</v>
      </c>
    </row>
    <row r="11" s="12" customFormat="1" ht="15" spans="2:15">
      <c r="B11" s="100">
        <v>3</v>
      </c>
      <c r="C11" s="334" t="s">
        <v>639</v>
      </c>
      <c r="D11" s="20"/>
      <c r="E11" s="147">
        <f>F16.1x!H11</f>
        <v>0</v>
      </c>
      <c r="F11" s="316">
        <f t="shared" si="0"/>
        <v>0</v>
      </c>
      <c r="G11" s="208"/>
      <c r="H11" s="208"/>
      <c r="I11" s="208"/>
      <c r="J11" s="340">
        <f>H11+I11</f>
        <v>0</v>
      </c>
      <c r="K11" s="340">
        <f>F16.1x!H23</f>
        <v>0</v>
      </c>
      <c r="L11" s="340">
        <f>F16.1x!H29</f>
        <v>0</v>
      </c>
      <c r="M11" s="340">
        <f>F16.1x!H35</f>
        <v>0</v>
      </c>
      <c r="N11" s="340">
        <f>F16.1x!H41</f>
        <v>0</v>
      </c>
      <c r="O11" s="340">
        <f>F16.1x!H47</f>
        <v>0</v>
      </c>
    </row>
    <row r="12" s="12" customFormat="1" ht="15" spans="2:15">
      <c r="B12" s="100">
        <v>4</v>
      </c>
      <c r="C12" s="55" t="s">
        <v>640</v>
      </c>
      <c r="D12" s="21"/>
      <c r="E12" s="334"/>
      <c r="F12" s="316">
        <f t="shared" si="0"/>
        <v>0</v>
      </c>
      <c r="G12" s="334"/>
      <c r="H12" s="334"/>
      <c r="I12" s="334"/>
      <c r="J12" s="334"/>
      <c r="K12" s="334"/>
      <c r="L12" s="334"/>
      <c r="M12" s="334"/>
      <c r="N12" s="334"/>
      <c r="O12" s="334"/>
    </row>
    <row r="13" s="11" customFormat="1" ht="15" spans="2:13">
      <c r="B13" s="482"/>
      <c r="C13" s="483"/>
      <c r="D13" s="484"/>
      <c r="E13" s="484"/>
      <c r="F13" s="484"/>
      <c r="G13" s="218"/>
      <c r="H13" s="14"/>
      <c r="I13" s="14"/>
      <c r="J13" s="14"/>
      <c r="K13" s="14"/>
      <c r="L13" s="14"/>
      <c r="M13" s="14"/>
    </row>
    <row r="15" spans="2:2">
      <c r="B15" s="485"/>
    </row>
  </sheetData>
  <mergeCells count="6">
    <mergeCell ref="B2:P2"/>
    <mergeCell ref="D6:F6"/>
    <mergeCell ref="G6:J6"/>
    <mergeCell ref="K6:O6"/>
    <mergeCell ref="B6:B8"/>
    <mergeCell ref="C6:C8"/>
  </mergeCells>
  <pageMargins left="1.02" right="0.25" top="1" bottom="1" header="0.25" footer="0.25"/>
  <pageSetup paperSize="9" scale="67" orientation="landscape"/>
  <headerFooter alignWithMargins="0">
    <oddHeader>&amp;C&amp;F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N83"/>
  <sheetViews>
    <sheetView showGridLines="0" zoomScaleSheetLayoutView="70" workbookViewId="0">
      <pane xSplit="4" ySplit="7" topLeftCell="G38" activePane="bottomRight" state="frozen"/>
      <selection/>
      <selection pane="topRight"/>
      <selection pane="bottomLeft"/>
      <selection pane="bottomRight" activeCell="J46" sqref="J46"/>
    </sheetView>
  </sheetViews>
  <sheetFormatPr defaultColWidth="9.14285714285714" defaultRowHeight="14.25"/>
  <cols>
    <col min="1" max="1" width="3.14285714285714" style="12" customWidth="1"/>
    <col min="2" max="2" width="8.42857142857143" style="12" customWidth="1"/>
    <col min="3" max="3" width="21.5714285714286" style="12" customWidth="1"/>
    <col min="4" max="4" width="44.5714285714286" style="12" customWidth="1"/>
    <col min="5" max="5" width="13.5714285714286" style="12" customWidth="1"/>
    <col min="6" max="6" width="12.5714285714286" style="12" customWidth="1"/>
    <col min="7" max="8" width="13.4285714285714" style="12" customWidth="1"/>
    <col min="9" max="9" width="12.5714285714286" style="12" customWidth="1"/>
    <col min="10" max="10" width="13.4285714285714" style="12" customWidth="1"/>
    <col min="11" max="11" width="11.8571428571429" style="12" customWidth="1"/>
    <col min="12" max="12" width="11.4285714285714" style="12" customWidth="1"/>
    <col min="13" max="13" width="12.4285714285714" style="12" customWidth="1"/>
    <col min="14" max="14" width="12.5714285714286" style="12" customWidth="1"/>
    <col min="15" max="16384" width="9.14285714285714" style="12"/>
  </cols>
  <sheetData>
    <row r="2" ht="15" spans="9:9">
      <c r="I2" s="2" t="s">
        <v>156</v>
      </c>
    </row>
    <row r="3" ht="15" spans="9:9">
      <c r="I3" s="3" t="s">
        <v>227</v>
      </c>
    </row>
    <row r="4" ht="15" spans="2:8">
      <c r="B4" s="14"/>
      <c r="C4" s="14"/>
      <c r="D4" s="655"/>
      <c r="E4" s="655"/>
      <c r="F4" s="655"/>
      <c r="G4" s="655"/>
      <c r="H4" s="655"/>
    </row>
    <row r="5" ht="15" customHeight="1" spans="2:14">
      <c r="B5" s="656"/>
      <c r="C5" s="658" t="s">
        <v>159</v>
      </c>
      <c r="D5" s="873"/>
      <c r="E5" s="16" t="s">
        <v>160</v>
      </c>
      <c r="F5" s="16" t="s">
        <v>161</v>
      </c>
      <c r="G5" s="16" t="s">
        <v>162</v>
      </c>
      <c r="H5" s="16" t="s">
        <v>163</v>
      </c>
      <c r="I5" s="16" t="s">
        <v>164</v>
      </c>
      <c r="J5" s="884" t="s">
        <v>114</v>
      </c>
      <c r="K5" s="885"/>
      <c r="L5" s="885"/>
      <c r="M5" s="885"/>
      <c r="N5" s="886"/>
    </row>
    <row r="6" ht="45" spans="2:14">
      <c r="B6" s="656"/>
      <c r="C6" s="660"/>
      <c r="D6" s="874"/>
      <c r="E6" s="535"/>
      <c r="F6" s="535"/>
      <c r="G6" s="535"/>
      <c r="H6" s="535"/>
      <c r="I6" s="535"/>
      <c r="J6" s="5" t="s">
        <v>165</v>
      </c>
      <c r="K6" s="5" t="s">
        <v>166</v>
      </c>
      <c r="L6" s="5" t="s">
        <v>167</v>
      </c>
      <c r="M6" s="5" t="s">
        <v>168</v>
      </c>
      <c r="N6" s="5" t="s">
        <v>169</v>
      </c>
    </row>
    <row r="7" ht="15" spans="2:14">
      <c r="B7" s="656"/>
      <c r="C7" s="662"/>
      <c r="D7" s="875"/>
      <c r="E7" s="5" t="s">
        <v>128</v>
      </c>
      <c r="F7" s="5" t="s">
        <v>128</v>
      </c>
      <c r="G7" s="5" t="s">
        <v>128</v>
      </c>
      <c r="H7" s="5" t="s">
        <v>128</v>
      </c>
      <c r="I7" s="5" t="s">
        <v>131</v>
      </c>
      <c r="J7" s="5" t="s">
        <v>132</v>
      </c>
      <c r="K7" s="5" t="s">
        <v>132</v>
      </c>
      <c r="L7" s="5" t="s">
        <v>132</v>
      </c>
      <c r="M7" s="5" t="s">
        <v>132</v>
      </c>
      <c r="N7" s="5" t="s">
        <v>132</v>
      </c>
    </row>
    <row r="8" ht="15" spans="2:14">
      <c r="B8" s="656"/>
      <c r="C8" s="44" t="s">
        <v>170</v>
      </c>
      <c r="D8" s="45"/>
      <c r="E8" s="45"/>
      <c r="F8" s="45"/>
      <c r="G8" s="45"/>
      <c r="H8" s="45"/>
      <c r="I8" s="55"/>
      <c r="J8" s="55"/>
      <c r="K8" s="55"/>
      <c r="L8" s="55"/>
      <c r="M8" s="55"/>
      <c r="N8" s="55"/>
    </row>
    <row r="9" spans="2:14">
      <c r="B9" s="656"/>
      <c r="C9" s="47" t="s">
        <v>171</v>
      </c>
      <c r="D9" s="47" t="s">
        <v>172</v>
      </c>
      <c r="E9" s="882">
        <f>'[11]FY19-20 Actual Sales'!$E$8</f>
        <v>8636.2</v>
      </c>
      <c r="F9" s="882">
        <f>'[11]FY20-21 Actual Sales '!$E$8</f>
        <v>9301.48</v>
      </c>
      <c r="G9" s="882">
        <f>'[11]FY21-22 Actual Sales '!$E$8</f>
        <v>10066.61028</v>
      </c>
      <c r="H9" s="882">
        <f>'[11]FY22-23 Actual Sales'!$E$8</f>
        <v>10879.19117</v>
      </c>
      <c r="I9" s="153">
        <f>'[10]Rev SP FY24'!$AK$10</f>
        <v>11855.6050362866</v>
      </c>
      <c r="J9" s="153">
        <f>'[10]Rev_SP-12me'!$AL$10</f>
        <v>12920</v>
      </c>
      <c r="K9" s="101"/>
      <c r="L9" s="101"/>
      <c r="M9" s="101"/>
      <c r="N9" s="101"/>
    </row>
    <row r="10" spans="3:14">
      <c r="C10" s="55" t="s">
        <v>228</v>
      </c>
      <c r="D10" s="55" t="s">
        <v>174</v>
      </c>
      <c r="E10" s="153">
        <f>'[11]FY19-20 Actual Sales'!$E$21</f>
        <v>2724.92024</v>
      </c>
      <c r="F10" s="153">
        <f>'[11]FY20-21 Actual Sales '!$E$21</f>
        <v>2860.64</v>
      </c>
      <c r="G10" s="153">
        <f>'[11]FY21-22 Actual Sales '!$E$21</f>
        <v>3227.92177</v>
      </c>
      <c r="H10" s="153">
        <f>'[11]FY22-23 Actual Sales'!$E$21</f>
        <v>3581.27058</v>
      </c>
      <c r="I10" s="153">
        <f>'[10]Rev SP FY24'!$AK$23</f>
        <v>3896.66042509697</v>
      </c>
      <c r="J10" s="153">
        <f>'[10]Rev_SP-12me'!$AL$23</f>
        <v>4240</v>
      </c>
      <c r="K10" s="101"/>
      <c r="L10" s="101"/>
      <c r="M10" s="101"/>
      <c r="N10" s="101"/>
    </row>
    <row r="11" spans="3:14">
      <c r="C11" s="55" t="s">
        <v>175</v>
      </c>
      <c r="D11" s="55" t="s">
        <v>176</v>
      </c>
      <c r="E11" s="153">
        <f>'[11]FY19-20 Actual Sales'!$F$34*0.7457/10^3</f>
        <v>933.072039</v>
      </c>
      <c r="F11" s="153">
        <f>'[11]FY20-21 Actual Sales '!$F$34*0.7457/10^3</f>
        <v>959.231195</v>
      </c>
      <c r="G11" s="153">
        <f>'[11]FY21-22 Actual Sales '!$E$34+'[11]FY21-22 Actual Sales '!$F$34*0.7457/10^3</f>
        <v>986.687869</v>
      </c>
      <c r="H11" s="153">
        <f>'[11]FY22-23 Actual Sales'!$E$34+'[11]FY22-23 Actual Sales'!$F$34*0.7457/10^3</f>
        <v>1023.465793</v>
      </c>
      <c r="I11" s="153">
        <f>'[10]Rev SP FY24'!$AM$36*0.7457/10^3</f>
        <v>1245.61344145895</v>
      </c>
      <c r="J11" s="153">
        <f>'[10]Rev_SP-12me'!$AN$36*0.7457/10^3</f>
        <v>1289.00022236926</v>
      </c>
      <c r="K11" s="101"/>
      <c r="L11" s="101"/>
      <c r="M11" s="101"/>
      <c r="N11" s="101"/>
    </row>
    <row r="12" spans="3:14">
      <c r="C12" s="55" t="s">
        <v>177</v>
      </c>
      <c r="D12" s="55" t="s">
        <v>178</v>
      </c>
      <c r="E12" s="153">
        <f>'[11]FY19-20 Actual Sales'!$F$41*0.7457/10^3</f>
        <v>12.199652</v>
      </c>
      <c r="F12" s="153">
        <f>'[11]FY20-21 Actual Sales '!$F$41*0.7457/10^3</f>
        <v>12.483018</v>
      </c>
      <c r="G12" s="153">
        <f>'[11]FY21-22 Actual Sales '!$E$41+'[11]FY21-22 Actual Sales '!$F$41*0.7457/10^3</f>
        <v>12.788755</v>
      </c>
      <c r="H12" s="153">
        <f>'[11]FY22-23 Actual Sales'!$E$41+'[11]FY22-23 Actual Sales'!$F$41*0.7457/10^3</f>
        <v>13.243632</v>
      </c>
      <c r="I12" s="153">
        <f>'[10]Rev SP FY24'!$AM$43*0.7457/10^3</f>
        <v>15.6862772158902</v>
      </c>
      <c r="J12" s="153">
        <f>'[10]Rev_SP-12me'!$AN$43*0.7457/10^3</f>
        <v>16.000002760208</v>
      </c>
      <c r="K12" s="101"/>
      <c r="L12" s="101"/>
      <c r="M12" s="101"/>
      <c r="N12" s="101"/>
    </row>
    <row r="13" spans="3:14">
      <c r="C13" s="55" t="s">
        <v>179</v>
      </c>
      <c r="D13" s="55" t="s">
        <v>180</v>
      </c>
      <c r="E13" s="153">
        <f>'[11]FY19-20 Actual Sales'!$F$44*0.7457/10^3</f>
        <v>4227.22416</v>
      </c>
      <c r="F13" s="153">
        <f>'[11]FY20-21 Actual Sales '!$F$44*0.7457/10^3</f>
        <v>4398.623305</v>
      </c>
      <c r="G13" s="153">
        <f>'[11]FY21-22 Actual Sales '!$E$44+'[11]FY21-22 Actual Sales '!$F$44*0.7457/10^3</f>
        <v>4666.090981</v>
      </c>
      <c r="H13" s="153">
        <f>'[11]FY22-23 Actual Sales'!$E$44+'[11]FY22-23 Actual Sales'!$F$44*0.7457/10^3</f>
        <v>4844.283453</v>
      </c>
      <c r="I13" s="153">
        <f>'[10]Rev SP FY24'!$AM$46*0.7457/10^3</f>
        <v>5886.58363504027</v>
      </c>
      <c r="J13" s="153">
        <f>'[10]Rev_SP-12me'!$AN$46*0.7457/10^3</f>
        <v>6081.00104905155</v>
      </c>
      <c r="K13" s="101"/>
      <c r="L13" s="101"/>
      <c r="M13" s="101"/>
      <c r="N13" s="101"/>
    </row>
    <row r="14" spans="3:14">
      <c r="C14" s="55" t="s">
        <v>181</v>
      </c>
      <c r="D14" s="55" t="s">
        <v>182</v>
      </c>
      <c r="E14" s="153">
        <f>'[11]FY19-20 Actual Sales'!$E$52+'[11]FY19-20 Actual Sales'!$F$52*0.7457/10^3</f>
        <v>283.817872</v>
      </c>
      <c r="F14" s="153">
        <f>'[11]FY20-21 Actual Sales '!$E$52+'[11]FY20-21 Actual Sales '!$F$52*0.7457/10^3</f>
        <v>270.868770145</v>
      </c>
      <c r="G14" s="153">
        <f>'[11]FY21-22 Actual Sales '!$E$52+'[11]FY21-22 Actual Sales '!$F$52*0.7457/10^3</f>
        <v>277.017488</v>
      </c>
      <c r="H14" s="153">
        <f>'[11]FY22-23 Actual Sales'!$E$52+'[11]FY22-23 Actual Sales'!$F$52*0.7457/10^3</f>
        <v>282.086721737</v>
      </c>
      <c r="I14" s="153">
        <f>'[10]Rev SP FY24'!$AK$54+'[10]Rev SP FY24'!$AM$65*0.7457/10^3</f>
        <v>317.258053833161</v>
      </c>
      <c r="J14" s="153">
        <f>'[10]Rev_SP-12me'!$AL$54+('[10]Rev_SP-12me'!$AN$65*0.7457/10^3)</f>
        <v>333.000022935218</v>
      </c>
      <c r="K14" s="101"/>
      <c r="L14" s="101"/>
      <c r="M14" s="101"/>
      <c r="N14" s="101"/>
    </row>
    <row r="15" spans="3:14">
      <c r="C15" s="55" t="s">
        <v>183</v>
      </c>
      <c r="D15" s="55" t="s">
        <v>184</v>
      </c>
      <c r="E15" s="153">
        <f>'[11]FY19-20 Actual Sales'!$E$61</f>
        <v>58.88</v>
      </c>
      <c r="F15" s="153">
        <f>'[11]FY20-21 Actual Sales '!$E$61</f>
        <v>62.42</v>
      </c>
      <c r="G15" s="153">
        <f>'[11]FY21-22 Actual Sales '!$E$61</f>
        <v>65.41</v>
      </c>
      <c r="H15" s="153">
        <f>'[11]FY22-23 Actual Sales'!$E$61</f>
        <v>71.36</v>
      </c>
      <c r="I15" s="153">
        <f>'[10]Rev SP FY24'!$AK$58</f>
        <v>76.271974700028</v>
      </c>
      <c r="J15" s="153">
        <f>'[10]Rev_SP-12me'!$AL$58</f>
        <v>82</v>
      </c>
      <c r="K15" s="101"/>
      <c r="L15" s="101"/>
      <c r="M15" s="101"/>
      <c r="N15" s="101"/>
    </row>
    <row r="16" spans="3:14">
      <c r="C16" s="55" t="s">
        <v>185</v>
      </c>
      <c r="D16" s="55" t="s">
        <v>186</v>
      </c>
      <c r="E16" s="153">
        <f>'[11]FY19-20 Actual Sales'!$E$66</f>
        <v>37.65</v>
      </c>
      <c r="F16" s="153">
        <f>'[11]FY20-21 Actual Sales '!$E$66</f>
        <v>59.95</v>
      </c>
      <c r="G16" s="153">
        <f>'[11]FY21-22 Actual Sales '!$E$66</f>
        <v>87.51</v>
      </c>
      <c r="H16" s="153">
        <f>'[11]FY22-23 Actual Sales'!$E$66</f>
        <v>102.26</v>
      </c>
      <c r="I16" s="153">
        <f>'[10]Rev SP FY24'!$AK$63</f>
        <v>107.619047619048</v>
      </c>
      <c r="J16" s="153">
        <f>'[10]Rev_SP-12me'!$AL$63</f>
        <v>113</v>
      </c>
      <c r="K16" s="101"/>
      <c r="L16" s="101"/>
      <c r="M16" s="101"/>
      <c r="N16" s="101"/>
    </row>
    <row r="17" spans="3:14">
      <c r="C17" s="55" t="s">
        <v>187</v>
      </c>
      <c r="D17" s="55" t="s">
        <v>188</v>
      </c>
      <c r="E17" s="153">
        <f>'[11]FY19-20 Actual Sales'!$E$67</f>
        <v>0.05</v>
      </c>
      <c r="F17" s="153">
        <f>'[11]FY20-21 Actual Sales '!$E$67</f>
        <v>0.38</v>
      </c>
      <c r="G17" s="153">
        <f>'[11]FY21-22 Actual Sales '!$E$67</f>
        <v>0.87</v>
      </c>
      <c r="H17" s="153">
        <f>'[11]FY22-23 Actual Sales'!$E$67</f>
        <v>1.93</v>
      </c>
      <c r="I17" s="153">
        <f>'[10]Rev SP FY24'!$AK$64</f>
        <v>1.9047619047619</v>
      </c>
      <c r="J17" s="153">
        <f>'[10]Rev_SP-12me'!$AL$64</f>
        <v>2</v>
      </c>
      <c r="K17" s="101"/>
      <c r="L17" s="101"/>
      <c r="M17" s="101"/>
      <c r="N17" s="101"/>
    </row>
    <row r="18" spans="3:14">
      <c r="C18" s="55"/>
      <c r="D18" s="55"/>
      <c r="E18" s="101"/>
      <c r="F18" s="101"/>
      <c r="G18" s="101"/>
      <c r="H18" s="101"/>
      <c r="I18" s="101"/>
      <c r="J18" s="101"/>
      <c r="K18" s="101"/>
      <c r="L18" s="101"/>
      <c r="M18" s="101"/>
      <c r="N18" s="101"/>
    </row>
    <row r="19" spans="3:14">
      <c r="C19" s="55"/>
      <c r="D19" s="55"/>
      <c r="E19" s="101"/>
      <c r="F19" s="101"/>
      <c r="G19" s="101"/>
      <c r="H19" s="101"/>
      <c r="I19" s="101"/>
      <c r="J19" s="101"/>
      <c r="K19" s="101"/>
      <c r="L19" s="101"/>
      <c r="M19" s="101"/>
      <c r="N19" s="101"/>
    </row>
    <row r="20" spans="3:14">
      <c r="C20" s="55"/>
      <c r="D20" s="55"/>
      <c r="E20" s="101"/>
      <c r="F20" s="101"/>
      <c r="G20" s="101"/>
      <c r="H20" s="101"/>
      <c r="I20" s="101"/>
      <c r="J20" s="101"/>
      <c r="K20" s="101"/>
      <c r="L20" s="101"/>
      <c r="M20" s="101"/>
      <c r="N20" s="101"/>
    </row>
    <row r="21" spans="3:14">
      <c r="C21" s="55"/>
      <c r="D21" s="55"/>
      <c r="E21" s="101"/>
      <c r="F21" s="101"/>
      <c r="G21" s="101"/>
      <c r="H21" s="101"/>
      <c r="I21" s="101"/>
      <c r="J21" s="101"/>
      <c r="K21" s="101"/>
      <c r="L21" s="101"/>
      <c r="M21" s="101"/>
      <c r="N21" s="101"/>
    </row>
    <row r="22" ht="15" spans="3:14">
      <c r="C22" s="537" t="s">
        <v>189</v>
      </c>
      <c r="D22" s="540"/>
      <c r="E22" s="878">
        <f t="shared" ref="E22:N22" si="0">SUM(E9:E21)</f>
        <v>16914.013963</v>
      </c>
      <c r="F22" s="878">
        <f t="shared" si="0"/>
        <v>17926.076288145</v>
      </c>
      <c r="G22" s="878">
        <f t="shared" si="0"/>
        <v>19390.907143</v>
      </c>
      <c r="H22" s="878">
        <f t="shared" si="0"/>
        <v>20799.091349737</v>
      </c>
      <c r="I22" s="878">
        <f t="shared" si="0"/>
        <v>23403.2026531557</v>
      </c>
      <c r="J22" s="878">
        <f t="shared" si="0"/>
        <v>25076.0012971162</v>
      </c>
      <c r="K22" s="878">
        <f t="shared" si="0"/>
        <v>0</v>
      </c>
      <c r="L22" s="878">
        <f t="shared" si="0"/>
        <v>0</v>
      </c>
      <c r="M22" s="878">
        <f t="shared" si="0"/>
        <v>0</v>
      </c>
      <c r="N22" s="878">
        <f t="shared" si="0"/>
        <v>0</v>
      </c>
    </row>
    <row r="23" ht="15" spans="3:14">
      <c r="C23" s="44" t="s">
        <v>190</v>
      </c>
      <c r="D23" s="45"/>
      <c r="E23" s="45"/>
      <c r="F23" s="45"/>
      <c r="G23" s="45"/>
      <c r="H23" s="45"/>
      <c r="I23" s="55"/>
      <c r="J23" s="55"/>
      <c r="K23" s="55"/>
      <c r="L23" s="55"/>
      <c r="M23" s="55"/>
      <c r="N23" s="55"/>
    </row>
    <row r="24" spans="3:14">
      <c r="C24" s="55" t="s">
        <v>191</v>
      </c>
      <c r="D24" s="55" t="s">
        <v>192</v>
      </c>
      <c r="E24" s="882">
        <f>'[11]FY19-20 Actual Sales'!$E$76+'[11]FY19-20 Actual Sales'!$E$77+'[11]FY19-20 Actual Sales'!$E$80+'[11]FY19-20 Actual Sales'!$E$84+'[11]FY19-20 Actual Sales'!$E$88</f>
        <v>1456.61206</v>
      </c>
      <c r="F24" s="882">
        <f>'[11]FY20-21 Actual Sales '!$E$76+'[11]FY20-21 Actual Sales '!$E$77+'[11]FY20-21 Actual Sales '!$E$80+'[11]FY20-21 Actual Sales '!$E$84+'[11]FY20-21 Actual Sales '!$E$88</f>
        <v>1559.39781</v>
      </c>
      <c r="G24" s="882">
        <f>'[11]FY21-22 Actual Sales '!$E$76+'[11]FY21-22 Actual Sales '!$E$88</f>
        <v>1591.4033</v>
      </c>
      <c r="H24" s="882">
        <f>'[11]FY22-23 Actual Sales'!$E$76+'[11]FY22-23 Actual Sales'!$E$88</f>
        <v>1678.74049</v>
      </c>
      <c r="I24" s="153">
        <f>'[10]Rev SP FY24'!$AK$84+'[10]Rev SP FY24'!$AK$100</f>
        <v>2011.13050913593</v>
      </c>
      <c r="J24" s="153">
        <f>'[10]Rev_SP-12me'!$AL$84+'[10]Rev_SP-12me'!$AL$100</f>
        <v>2149.83318531435</v>
      </c>
      <c r="K24" s="101"/>
      <c r="L24" s="101"/>
      <c r="M24" s="101"/>
      <c r="N24" s="101"/>
    </row>
    <row r="25" spans="3:14">
      <c r="C25" s="55" t="s">
        <v>193</v>
      </c>
      <c r="D25" s="55" t="s">
        <v>194</v>
      </c>
      <c r="E25" s="153">
        <v>0</v>
      </c>
      <c r="F25" s="153">
        <v>0</v>
      </c>
      <c r="G25" s="153">
        <f>'[11]FY21-22 Actual Sales '!$E$92</f>
        <v>0</v>
      </c>
      <c r="H25" s="153">
        <f>'[11]FY22-23 Actual Sales'!$E$92</f>
        <v>0</v>
      </c>
      <c r="I25" s="153">
        <f>'[10]Rev SP FY24'!$AK$99</f>
        <v>0</v>
      </c>
      <c r="J25" s="153">
        <f>'[10]Rev_SP-12me'!$AL$99</f>
        <v>0</v>
      </c>
      <c r="K25" s="101"/>
      <c r="L25" s="101"/>
      <c r="M25" s="101"/>
      <c r="N25" s="101"/>
    </row>
    <row r="26" spans="3:14">
      <c r="C26" s="55" t="s">
        <v>195</v>
      </c>
      <c r="D26" s="55" t="s">
        <v>196</v>
      </c>
      <c r="E26" s="153">
        <f>'[11]FY19-20 Actual Sales'!$E$93</f>
        <v>850.20017</v>
      </c>
      <c r="F26" s="153">
        <f>'[11]FY20-21 Actual Sales '!$E$90</f>
        <v>829.75967</v>
      </c>
      <c r="G26" s="153">
        <f>'[11]FY21-22 Actual Sales '!$E$93</f>
        <v>884.88667</v>
      </c>
      <c r="H26" s="153">
        <f>'[11]FY22-23 Actual Sales'!$E$93</f>
        <v>977.79554</v>
      </c>
      <c r="I26" s="153">
        <f>'[10]Rev SP FY24'!$AK$105</f>
        <v>1024.37162655513</v>
      </c>
      <c r="J26" s="153">
        <f>'[10]Rev_SP-12me'!$AL$105</f>
        <v>1086.972639034</v>
      </c>
      <c r="K26" s="101"/>
      <c r="L26" s="101"/>
      <c r="M26" s="101"/>
      <c r="N26" s="101"/>
    </row>
    <row r="27" spans="3:14">
      <c r="C27" s="55" t="s">
        <v>197</v>
      </c>
      <c r="D27" s="55" t="s">
        <v>198</v>
      </c>
      <c r="E27" s="153">
        <v>0</v>
      </c>
      <c r="F27" s="153">
        <v>0</v>
      </c>
      <c r="G27" s="153">
        <v>0</v>
      </c>
      <c r="H27" s="153">
        <f>'[11]FY22-23 Actual Sales'!$E$97</f>
        <v>0</v>
      </c>
      <c r="I27" s="153">
        <f>'[10]Rev SP FY24'!$AK$110</f>
        <v>0</v>
      </c>
      <c r="J27" s="153">
        <f>'[10]Rev_SP-12me'!$AL$110</f>
        <v>0</v>
      </c>
      <c r="K27" s="101"/>
      <c r="L27" s="101"/>
      <c r="M27" s="101"/>
      <c r="N27" s="101"/>
    </row>
    <row r="28" spans="3:14">
      <c r="C28" s="55" t="s">
        <v>199</v>
      </c>
      <c r="D28" s="55" t="s">
        <v>200</v>
      </c>
      <c r="E28" s="153">
        <f>'[11]FY19-20 Actual Sales'!$E$97</f>
        <v>1.69</v>
      </c>
      <c r="F28" s="153">
        <f>'[11]FY20-21 Actual Sales '!$E$94</f>
        <v>1.935</v>
      </c>
      <c r="G28" s="153">
        <f>'[11]FY21-22 Actual Sales '!$E$97</f>
        <v>1.815</v>
      </c>
      <c r="H28" s="153">
        <f>'[11]FY22-23 Actual Sales'!$E$101</f>
        <v>1.815</v>
      </c>
      <c r="I28" s="153">
        <f>'[10]Rev SP FY24'!$AK$115</f>
        <v>1.36192061771592</v>
      </c>
      <c r="J28" s="153">
        <f>'[10]Rev_SP-12me'!$AL$115</f>
        <v>1.40321141837645</v>
      </c>
      <c r="K28" s="101"/>
      <c r="L28" s="101"/>
      <c r="M28" s="101"/>
      <c r="N28" s="101"/>
    </row>
    <row r="29" spans="3:14">
      <c r="C29" s="55" t="s">
        <v>201</v>
      </c>
      <c r="D29" s="55" t="s">
        <v>202</v>
      </c>
      <c r="E29" s="153">
        <f>'[11]FY19-20 Actual Sales'!$E$101</f>
        <v>47.5072</v>
      </c>
      <c r="F29" s="153">
        <f>'[11]FY20-21 Actual Sales '!E98</f>
        <v>48.1282</v>
      </c>
      <c r="G29" s="153">
        <f>'[11]FY21-22 Actual Sales '!$E$101</f>
        <v>46.9432</v>
      </c>
      <c r="H29" s="153">
        <f>'[11]FY22-23 Actual Sales'!$E$105</f>
        <v>47.4582</v>
      </c>
      <c r="I29" s="153">
        <f>'[10]Rev SP FY24'!$AK$120</f>
        <v>48.2202444151422</v>
      </c>
      <c r="J29" s="153">
        <f>'[10]Rev_SP-12me'!$AL$120</f>
        <v>51.510819358386</v>
      </c>
      <c r="K29" s="101"/>
      <c r="L29" s="101"/>
      <c r="M29" s="101"/>
      <c r="N29" s="101"/>
    </row>
    <row r="30" spans="3:14">
      <c r="C30" s="55" t="s">
        <v>203</v>
      </c>
      <c r="D30" s="55" t="s">
        <v>204</v>
      </c>
      <c r="E30" s="153">
        <f>'[11]FY19-20 Actual Sales'!$E$102</f>
        <v>40.22</v>
      </c>
      <c r="F30" s="153">
        <f>'[11]FY20-21 Actual Sales '!E99</f>
        <v>39.385</v>
      </c>
      <c r="G30" s="153">
        <f>'[11]FY21-22 Actual Sales '!$E$102</f>
        <v>38.317</v>
      </c>
      <c r="H30" s="153">
        <f>'[11]FY22-23 Actual Sales'!$E$106</f>
        <v>37.139</v>
      </c>
      <c r="I30" s="153">
        <f>'[10]Rev SP FY24'!$AK$132</f>
        <v>37.7353472599881</v>
      </c>
      <c r="J30" s="153">
        <f>'[10]Rev_SP-12me'!$AL$132</f>
        <v>40.3104272844545</v>
      </c>
      <c r="K30" s="101"/>
      <c r="L30" s="101"/>
      <c r="M30" s="101"/>
      <c r="N30" s="101"/>
    </row>
    <row r="31" spans="3:14">
      <c r="C31" s="55" t="s">
        <v>205</v>
      </c>
      <c r="D31" s="55" t="s">
        <v>206</v>
      </c>
      <c r="E31" s="153">
        <f>'[11]FY19-20 Actual Sales'!$E$103</f>
        <v>65.856</v>
      </c>
      <c r="F31" s="153">
        <f>'[11]FY20-21 Actual Sales '!E100</f>
        <v>77.136</v>
      </c>
      <c r="G31" s="153">
        <f>'[11]FY21-22 Actual Sales '!$E$103</f>
        <v>85.437</v>
      </c>
      <c r="H31" s="153">
        <f>'[11]FY22-23 Actual Sales'!$E$107</f>
        <v>96.029</v>
      </c>
      <c r="I31" s="153">
        <f>'[10]Rev SP FY24'!$AK$124</f>
        <v>93.3498590453971</v>
      </c>
      <c r="J31" s="153">
        <f>'[10]Rev_SP-12me'!$AL$124</f>
        <v>98.017351997667</v>
      </c>
      <c r="K31" s="101"/>
      <c r="L31" s="101"/>
      <c r="M31" s="101"/>
      <c r="N31" s="101"/>
    </row>
    <row r="32" spans="3:14">
      <c r="C32" s="55" t="s">
        <v>207</v>
      </c>
      <c r="D32" s="55" t="s">
        <v>186</v>
      </c>
      <c r="E32" s="153">
        <f>'[11]FY19-20 Actual Sales'!$E$104</f>
        <v>54.888</v>
      </c>
      <c r="F32" s="153">
        <f>'[11]FY20-21 Actual Sales '!E101</f>
        <v>65.217</v>
      </c>
      <c r="G32" s="153">
        <f>'[11]FY21-22 Actual Sales '!$E$104</f>
        <v>76.162</v>
      </c>
      <c r="H32" s="153">
        <f>'[11]FY22-23 Actual Sales'!$E$108</f>
        <v>99.268</v>
      </c>
      <c r="I32" s="153">
        <f>'[10]Rev SP FY24'!$AK$125</f>
        <v>108.658710990018</v>
      </c>
      <c r="J32" s="153">
        <f>'[10]Rev_SP-12me'!$AL$125</f>
        <v>114.091646539519</v>
      </c>
      <c r="K32" s="101"/>
      <c r="L32" s="101"/>
      <c r="M32" s="101"/>
      <c r="N32" s="101"/>
    </row>
    <row r="33" spans="3:14">
      <c r="C33" s="55" t="s">
        <v>208</v>
      </c>
      <c r="D33" s="55" t="s">
        <v>209</v>
      </c>
      <c r="E33" s="153">
        <v>0</v>
      </c>
      <c r="F33" s="153">
        <v>0</v>
      </c>
      <c r="G33" s="153">
        <v>0</v>
      </c>
      <c r="H33" s="153">
        <v>0</v>
      </c>
      <c r="I33" s="153">
        <f>'[10]Rev SP FY24'!$AK$126</f>
        <v>0</v>
      </c>
      <c r="J33" s="153">
        <v>0</v>
      </c>
      <c r="K33" s="101"/>
      <c r="L33" s="101"/>
      <c r="M33" s="101"/>
      <c r="N33" s="101"/>
    </row>
    <row r="34" spans="3:14">
      <c r="C34" s="55" t="s">
        <v>210</v>
      </c>
      <c r="D34" s="55" t="s">
        <v>188</v>
      </c>
      <c r="E34" s="153">
        <f>'[11]FY19-20 Actual Sales'!$E$105</f>
        <v>2.5</v>
      </c>
      <c r="F34" s="153">
        <f>'[11]FY20-21 Actual Sales '!$E$102</f>
        <v>2.6</v>
      </c>
      <c r="G34" s="153">
        <f>'[11]FY21-22 Actual Sales '!$E$105</f>
        <v>2.6</v>
      </c>
      <c r="H34" s="153">
        <f>'[11]FY22-23 Actual Sales'!$E$109</f>
        <v>4.1</v>
      </c>
      <c r="I34" s="153">
        <f>'[10]Rev SP FY24'!$AK$127</f>
        <v>2.85714285714286</v>
      </c>
      <c r="J34" s="153">
        <f>'[10]Rev_SP-12me'!$AL$127</f>
        <v>3</v>
      </c>
      <c r="K34" s="101"/>
      <c r="L34" s="101"/>
      <c r="M34" s="101"/>
      <c r="N34" s="101"/>
    </row>
    <row r="35" spans="3:14">
      <c r="C35" s="55"/>
      <c r="D35" s="55"/>
      <c r="E35" s="101"/>
      <c r="F35" s="101"/>
      <c r="G35" s="101"/>
      <c r="H35" s="101"/>
      <c r="I35" s="101"/>
      <c r="J35" s="101"/>
      <c r="K35" s="101"/>
      <c r="L35" s="101"/>
      <c r="M35" s="101"/>
      <c r="N35" s="101"/>
    </row>
    <row r="36" spans="3:14">
      <c r="C36" s="55"/>
      <c r="D36" s="55"/>
      <c r="E36" s="101"/>
      <c r="F36" s="101"/>
      <c r="G36" s="101"/>
      <c r="H36" s="101"/>
      <c r="I36" s="101"/>
      <c r="J36" s="101"/>
      <c r="K36" s="101"/>
      <c r="L36" s="101"/>
      <c r="M36" s="101"/>
      <c r="N36" s="101"/>
    </row>
    <row r="37" spans="3:14">
      <c r="C37" s="55"/>
      <c r="D37" s="55"/>
      <c r="E37" s="883"/>
      <c r="F37" s="883"/>
      <c r="G37" s="883"/>
      <c r="H37" s="883"/>
      <c r="I37" s="101"/>
      <c r="J37" s="101"/>
      <c r="K37" s="101"/>
      <c r="L37" s="101"/>
      <c r="M37" s="101"/>
      <c r="N37" s="101"/>
    </row>
    <row r="38" spans="3:14">
      <c r="C38" s="55"/>
      <c r="D38" s="55"/>
      <c r="E38" s="101"/>
      <c r="F38" s="101"/>
      <c r="G38" s="101"/>
      <c r="H38" s="101"/>
      <c r="I38" s="101"/>
      <c r="J38" s="101"/>
      <c r="K38" s="101"/>
      <c r="L38" s="101"/>
      <c r="M38" s="101"/>
      <c r="N38" s="101"/>
    </row>
    <row r="39" ht="15" spans="3:14">
      <c r="C39" s="537" t="s">
        <v>211</v>
      </c>
      <c r="D39" s="540"/>
      <c r="E39" s="878">
        <f t="shared" ref="E39:N39" si="1">SUM(E24:E38)</f>
        <v>2519.47343</v>
      </c>
      <c r="F39" s="878">
        <f t="shared" si="1"/>
        <v>2623.55868</v>
      </c>
      <c r="G39" s="878">
        <f t="shared" si="1"/>
        <v>2727.56417</v>
      </c>
      <c r="H39" s="878">
        <f t="shared" si="1"/>
        <v>2942.34523</v>
      </c>
      <c r="I39" s="878">
        <f t="shared" si="1"/>
        <v>3327.68536087646</v>
      </c>
      <c r="J39" s="878">
        <f t="shared" si="1"/>
        <v>3545.13928094675</v>
      </c>
      <c r="K39" s="878">
        <f t="shared" si="1"/>
        <v>0</v>
      </c>
      <c r="L39" s="878">
        <f t="shared" si="1"/>
        <v>0</v>
      </c>
      <c r="M39" s="878">
        <f t="shared" si="1"/>
        <v>0</v>
      </c>
      <c r="N39" s="878">
        <f t="shared" si="1"/>
        <v>0</v>
      </c>
    </row>
    <row r="40" ht="15" spans="3:14">
      <c r="C40" s="44" t="s">
        <v>212</v>
      </c>
      <c r="D40" s="45"/>
      <c r="E40" s="45"/>
      <c r="F40" s="45"/>
      <c r="G40" s="45"/>
      <c r="H40" s="45"/>
      <c r="I40" s="55"/>
      <c r="J40" s="55"/>
      <c r="K40" s="55"/>
      <c r="L40" s="55"/>
      <c r="M40" s="55"/>
      <c r="N40" s="55"/>
    </row>
    <row r="41" spans="3:14">
      <c r="C41" s="55" t="s">
        <v>191</v>
      </c>
      <c r="D41" s="55" t="s">
        <v>192</v>
      </c>
      <c r="E41" s="883">
        <f>'[11]FY19-20 Actual Sales'!$E$108+'[11]FY19-20 Actual Sales'!$E$111+'[11]FY19-20 Actual Sales'!$E$115+'[11]FY19-20 Actual Sales'!$E$119</f>
        <v>1141.668</v>
      </c>
      <c r="F41" s="883">
        <f>'[11]FY20-21 Actual Sales '!$E$105+'[11]FY20-21 Actual Sales '!$E$108+'[11]FY20-21 Actual Sales '!$E$112+'[11]FY20-21 Actual Sales '!$E$116</f>
        <v>1153.126</v>
      </c>
      <c r="G41" s="883">
        <f>'[11]FY21-22 Actual Sales '!$E$108+'[11]FY21-22 Actual Sales '!$E$119</f>
        <v>1195.165</v>
      </c>
      <c r="H41" s="883">
        <f>'[11]FY22-23 Actual Sales'!$E$115+'[11]FY22-23 Actual Sales'!$E$126</f>
        <v>1240.124</v>
      </c>
      <c r="I41" s="101">
        <f>'[10]Rev SP FY24'!$AK$149+'[10]Rev SP FY24'!$AK$164</f>
        <v>1541.49192971273</v>
      </c>
      <c r="J41" s="101">
        <f>'[10]Rev_SP-12me'!$AL$149+'[10]Rev_SP-12me'!$AL$164</f>
        <v>1586.82545682237</v>
      </c>
      <c r="K41" s="101"/>
      <c r="L41" s="101"/>
      <c r="M41" s="101"/>
      <c r="N41" s="101"/>
    </row>
    <row r="42" spans="3:14">
      <c r="C42" s="55" t="s">
        <v>193</v>
      </c>
      <c r="D42" s="55" t="s">
        <v>194</v>
      </c>
      <c r="E42" s="101">
        <f>'[11]FY19-20 Actual Sales'!$E$123</f>
        <v>8</v>
      </c>
      <c r="F42" s="101">
        <f>'[11]FY20-21 Actual Sales '!$E$117</f>
        <v>4</v>
      </c>
      <c r="G42" s="101">
        <f>'[11]FY21-22 Actual Sales '!$E$123</f>
        <v>8</v>
      </c>
      <c r="H42" s="101">
        <f>'[11]FY22-23 Actual Sales'!$E$130</f>
        <v>8</v>
      </c>
      <c r="I42" s="101">
        <f>'[10]Rev SP FY24'!$AK$163</f>
        <v>15.5503512880562</v>
      </c>
      <c r="J42" s="101">
        <f>'[10]Rev_SP-12me'!$AL$163</f>
        <v>15.5503512880562</v>
      </c>
      <c r="K42" s="101"/>
      <c r="L42" s="101"/>
      <c r="M42" s="101"/>
      <c r="N42" s="101"/>
    </row>
    <row r="43" spans="3:14">
      <c r="C43" s="55" t="s">
        <v>195</v>
      </c>
      <c r="D43" s="55" t="s">
        <v>196</v>
      </c>
      <c r="E43" s="101">
        <f>'[11]FY19-20 Actual Sales'!$E$124</f>
        <v>338.432</v>
      </c>
      <c r="F43" s="101">
        <f>'[11]FY20-21 Actual Sales '!$E$118</f>
        <v>360.123</v>
      </c>
      <c r="G43" s="101">
        <f>'[11]FY21-22 Actual Sales '!$E$124</f>
        <v>384.044</v>
      </c>
      <c r="H43" s="101">
        <f>'[11]FY22-23 Actual Sales'!$E$131</f>
        <v>464.118</v>
      </c>
      <c r="I43" s="101">
        <f>'[10]Rev SP FY24'!$AK$169</f>
        <v>480.543647371744</v>
      </c>
      <c r="J43" s="101">
        <f>'[10]Rev_SP-12me'!$AL$169</f>
        <v>515.939730389015</v>
      </c>
      <c r="K43" s="101"/>
      <c r="L43" s="101"/>
      <c r="M43" s="101"/>
      <c r="N43" s="101"/>
    </row>
    <row r="44" spans="3:14">
      <c r="C44" s="55" t="s">
        <v>197</v>
      </c>
      <c r="D44" s="55" t="s">
        <v>198</v>
      </c>
      <c r="E44" s="101">
        <v>0</v>
      </c>
      <c r="F44" s="101">
        <v>0</v>
      </c>
      <c r="G44" s="101">
        <v>0</v>
      </c>
      <c r="H44" s="101">
        <v>0</v>
      </c>
      <c r="I44" s="101">
        <v>0</v>
      </c>
      <c r="J44" s="101">
        <f>'[10]Rev_SP-12me'!$AL$175</f>
        <v>0</v>
      </c>
      <c r="K44" s="101"/>
      <c r="L44" s="101"/>
      <c r="M44" s="101"/>
      <c r="N44" s="101"/>
    </row>
    <row r="45" spans="3:14">
      <c r="C45" s="55" t="s">
        <v>199</v>
      </c>
      <c r="D45" s="55" t="s">
        <v>200</v>
      </c>
      <c r="E45" s="101">
        <v>0</v>
      </c>
      <c r="F45" s="101">
        <v>0</v>
      </c>
      <c r="G45" s="101">
        <v>0</v>
      </c>
      <c r="H45" s="101">
        <v>0</v>
      </c>
      <c r="I45" s="101">
        <f>'[10]Rev SP FY24'!$AK$180</f>
        <v>0</v>
      </c>
      <c r="J45" s="101">
        <f>'[10]Rev_SP-12me'!$AL$180</f>
        <v>0</v>
      </c>
      <c r="K45" s="101"/>
      <c r="L45" s="101"/>
      <c r="M45" s="101"/>
      <c r="N45" s="101"/>
    </row>
    <row r="46" spans="3:14">
      <c r="C46" s="55" t="s">
        <v>201</v>
      </c>
      <c r="D46" s="55" t="s">
        <v>202</v>
      </c>
      <c r="E46" s="101">
        <f>'[11]FY19-20 Actual Sales'!$E$132</f>
        <v>42.91</v>
      </c>
      <c r="F46" s="101">
        <f>'[11]FY20-21 Actual Sales '!$E$126</f>
        <v>42.91</v>
      </c>
      <c r="G46" s="101">
        <f>'[11]FY21-22 Actual Sales '!$E$132</f>
        <v>44.91</v>
      </c>
      <c r="H46" s="101">
        <f>'[11]FY22-23 Actual Sales'!$E$143</f>
        <v>43.975</v>
      </c>
      <c r="I46" s="101">
        <f>'[10]Rev SP FY24'!$AK$185</f>
        <v>45.4573113319174</v>
      </c>
      <c r="J46" s="101">
        <f>'[10]Rev_SP-12me'!$AL$185</f>
        <v>47.7301768985133</v>
      </c>
      <c r="K46" s="101"/>
      <c r="L46" s="101"/>
      <c r="M46" s="101"/>
      <c r="N46" s="101"/>
    </row>
    <row r="47" spans="3:14">
      <c r="C47" s="55" t="s">
        <v>203</v>
      </c>
      <c r="D47" s="55" t="s">
        <v>204</v>
      </c>
      <c r="E47" s="101">
        <f>'[11]FY19-20 Actual Sales'!$E$133</f>
        <v>43.75</v>
      </c>
      <c r="F47" s="101">
        <f>'[11]FY20-21 Actual Sales '!$E$127</f>
        <v>43.75</v>
      </c>
      <c r="G47" s="101">
        <f>'[11]FY21-22 Actual Sales '!$E$133</f>
        <v>43.75</v>
      </c>
      <c r="H47" s="101">
        <f>'[11]FY22-23 Actual Sales'!$E$144</f>
        <v>43.75</v>
      </c>
      <c r="I47" s="101">
        <f>'[10]Rev SP FY24'!$AK$191</f>
        <v>45.224727021521</v>
      </c>
      <c r="J47" s="101">
        <f>'[10]Rev_SP-12me'!$AL$191</f>
        <v>47.4859633725971</v>
      </c>
      <c r="K47" s="101"/>
      <c r="L47" s="101"/>
      <c r="M47" s="101"/>
      <c r="N47" s="101"/>
    </row>
    <row r="48" spans="3:14">
      <c r="C48" s="55" t="s">
        <v>213</v>
      </c>
      <c r="D48" s="55" t="s">
        <v>229</v>
      </c>
      <c r="E48" s="101"/>
      <c r="F48" s="101"/>
      <c r="G48" s="101"/>
      <c r="H48" s="101">
        <f>'[11]FY22-23 Actual Sales'!$E$147</f>
        <v>4</v>
      </c>
      <c r="I48" s="101">
        <f>'[10]Rev SP FY24'!$AK$187</f>
        <v>4.44293015332198</v>
      </c>
      <c r="J48" s="101">
        <f>'[10]Rev_SP-12me'!$AL$187</f>
        <v>4.44293015332198</v>
      </c>
      <c r="K48" s="101"/>
      <c r="L48" s="101"/>
      <c r="M48" s="101"/>
      <c r="N48" s="101"/>
    </row>
    <row r="49" spans="3:14">
      <c r="C49" s="55" t="s">
        <v>215</v>
      </c>
      <c r="D49" s="55" t="s">
        <v>230</v>
      </c>
      <c r="E49" s="101"/>
      <c r="F49" s="101"/>
      <c r="G49" s="101"/>
      <c r="H49" s="101"/>
      <c r="I49" s="101">
        <f>'[10]Rev SP FY24'!$AK$188</f>
        <v>0</v>
      </c>
      <c r="J49" s="101">
        <f>'[10]Rev_SP-12me'!$AL$188</f>
        <v>0</v>
      </c>
      <c r="K49" s="101"/>
      <c r="L49" s="101"/>
      <c r="M49" s="101"/>
      <c r="N49" s="101"/>
    </row>
    <row r="50" spans="3:14">
      <c r="C50" s="55" t="s">
        <v>205</v>
      </c>
      <c r="D50" s="55" t="s">
        <v>206</v>
      </c>
      <c r="E50" s="101">
        <f>'[11]FY19-20 Actual Sales'!$E$134</f>
        <v>43.805</v>
      </c>
      <c r="F50" s="101">
        <f>'[11]FY20-21 Actual Sales '!$E$128</f>
        <v>51.705</v>
      </c>
      <c r="G50" s="101">
        <f>'[11]FY21-22 Actual Sales '!$E$134</f>
        <v>53.205</v>
      </c>
      <c r="H50" s="101">
        <f>'[11]FY22-23 Actual Sales'!$E$145</f>
        <v>61.705</v>
      </c>
      <c r="I50" s="101">
        <f>'[10]Rev SP FY24'!$AK$189</f>
        <v>59.9834742879362</v>
      </c>
      <c r="J50" s="101">
        <f>'[10]Rev_SP-12me'!$AL$189</f>
        <v>62.9826480023331</v>
      </c>
      <c r="K50" s="101"/>
      <c r="L50" s="101"/>
      <c r="M50" s="101"/>
      <c r="N50" s="101"/>
    </row>
    <row r="51" spans="3:14">
      <c r="C51" s="55" t="s">
        <v>231</v>
      </c>
      <c r="D51" s="55" t="s">
        <v>186</v>
      </c>
      <c r="E51" s="101">
        <f>'[11]FY19-20 Actual Sales'!$E$135</f>
        <v>12.352</v>
      </c>
      <c r="F51" s="101">
        <f>'[11]FY20-21 Actual Sales '!$E$129</f>
        <v>15.402</v>
      </c>
      <c r="G51" s="101">
        <f>'[11]FY21-22 Actual Sales '!$E$135</f>
        <v>17.802</v>
      </c>
      <c r="H51" s="101">
        <f>'[11]FY22-23 Actual Sales'!$E$146</f>
        <v>20.802</v>
      </c>
      <c r="I51" s="101">
        <f>'[10]Rev SP FY24'!$AK$190</f>
        <v>22.7698604385537</v>
      </c>
      <c r="J51" s="101">
        <f>'[10]Rev_SP-12me'!$AL$190</f>
        <v>23.9083534604814</v>
      </c>
      <c r="K51" s="101"/>
      <c r="L51" s="101"/>
      <c r="M51" s="101"/>
      <c r="N51" s="101"/>
    </row>
    <row r="52" spans="3:14">
      <c r="C52" s="55" t="s">
        <v>208</v>
      </c>
      <c r="D52" s="55" t="s">
        <v>209</v>
      </c>
      <c r="E52" s="101">
        <v>0</v>
      </c>
      <c r="F52" s="101">
        <v>0</v>
      </c>
      <c r="G52" s="101">
        <v>0</v>
      </c>
      <c r="H52" s="101">
        <v>0</v>
      </c>
      <c r="I52" s="101">
        <v>0</v>
      </c>
      <c r="J52" s="101">
        <v>0</v>
      </c>
      <c r="K52" s="101"/>
      <c r="L52" s="101"/>
      <c r="M52" s="101"/>
      <c r="N52" s="101"/>
    </row>
    <row r="53" spans="3:14">
      <c r="C53" s="55" t="s">
        <v>210</v>
      </c>
      <c r="D53" s="55" t="s">
        <v>188</v>
      </c>
      <c r="E53" s="101">
        <v>0</v>
      </c>
      <c r="F53" s="101">
        <v>0</v>
      </c>
      <c r="G53" s="101">
        <v>0</v>
      </c>
      <c r="H53" s="101">
        <v>0</v>
      </c>
      <c r="I53" s="101">
        <v>0</v>
      </c>
      <c r="J53" s="101">
        <v>0</v>
      </c>
      <c r="K53" s="101"/>
      <c r="L53" s="101"/>
      <c r="M53" s="101"/>
      <c r="N53" s="101"/>
    </row>
    <row r="54" spans="3:14">
      <c r="C54" s="55"/>
      <c r="D54" s="55"/>
      <c r="E54" s="101"/>
      <c r="F54" s="101"/>
      <c r="G54" s="101"/>
      <c r="H54" s="101"/>
      <c r="I54" s="101"/>
      <c r="J54" s="101"/>
      <c r="K54" s="101"/>
      <c r="L54" s="101"/>
      <c r="M54" s="101"/>
      <c r="N54" s="101"/>
    </row>
    <row r="55" spans="3:14">
      <c r="C55" s="55"/>
      <c r="D55" s="55"/>
      <c r="E55" s="101"/>
      <c r="F55" s="101"/>
      <c r="G55" s="101"/>
      <c r="H55" s="101"/>
      <c r="I55" s="101"/>
      <c r="J55" s="101"/>
      <c r="K55" s="101"/>
      <c r="L55" s="101"/>
      <c r="M55" s="101"/>
      <c r="N55" s="101"/>
    </row>
    <row r="56" spans="3:14">
      <c r="C56" s="55"/>
      <c r="D56" s="55"/>
      <c r="E56" s="883"/>
      <c r="F56" s="883"/>
      <c r="G56" s="883"/>
      <c r="H56" s="883"/>
      <c r="I56" s="101"/>
      <c r="J56" s="101"/>
      <c r="K56" s="101"/>
      <c r="L56" s="101"/>
      <c r="M56" s="101"/>
      <c r="N56" s="101"/>
    </row>
    <row r="57" spans="3:14">
      <c r="C57" s="55"/>
      <c r="D57" s="55"/>
      <c r="E57" s="101"/>
      <c r="F57" s="101"/>
      <c r="G57" s="101"/>
      <c r="H57" s="101"/>
      <c r="I57" s="101"/>
      <c r="J57" s="101"/>
      <c r="K57" s="101"/>
      <c r="L57" s="101"/>
      <c r="M57" s="101"/>
      <c r="N57" s="101"/>
    </row>
    <row r="58" ht="15" spans="3:14">
      <c r="C58" s="537" t="s">
        <v>211</v>
      </c>
      <c r="D58" s="540"/>
      <c r="E58" s="878">
        <f t="shared" ref="E58:N58" si="2">SUM(E41:E57)</f>
        <v>1630.917</v>
      </c>
      <c r="F58" s="878">
        <f t="shared" si="2"/>
        <v>1671.016</v>
      </c>
      <c r="G58" s="878">
        <f t="shared" si="2"/>
        <v>1746.876</v>
      </c>
      <c r="H58" s="878">
        <f t="shared" si="2"/>
        <v>1886.474</v>
      </c>
      <c r="I58" s="878">
        <f t="shared" si="2"/>
        <v>2215.46423160578</v>
      </c>
      <c r="J58" s="878">
        <f t="shared" si="2"/>
        <v>2304.86561038668</v>
      </c>
      <c r="K58" s="878">
        <f t="shared" si="2"/>
        <v>0</v>
      </c>
      <c r="L58" s="878">
        <f t="shared" si="2"/>
        <v>0</v>
      </c>
      <c r="M58" s="878">
        <f t="shared" si="2"/>
        <v>0</v>
      </c>
      <c r="N58" s="878">
        <f t="shared" si="2"/>
        <v>0</v>
      </c>
    </row>
    <row r="59" ht="15" spans="3:14">
      <c r="C59" s="44" t="s">
        <v>219</v>
      </c>
      <c r="D59" s="45"/>
      <c r="E59" s="45"/>
      <c r="F59" s="45"/>
      <c r="G59" s="45"/>
      <c r="H59" s="45"/>
      <c r="I59" s="55"/>
      <c r="J59" s="55"/>
      <c r="K59" s="55"/>
      <c r="L59" s="55"/>
      <c r="M59" s="55"/>
      <c r="N59" s="55"/>
    </row>
    <row r="60" spans="3:14">
      <c r="C60" s="55" t="s">
        <v>191</v>
      </c>
      <c r="D60" s="55" t="s">
        <v>192</v>
      </c>
      <c r="E60" s="882">
        <f>'[11]FY19-20 Actual Sales'!$E$138+'[11]FY19-20 Actual Sales'!$E$145</f>
        <v>597.044</v>
      </c>
      <c r="F60" s="882">
        <f>'[11]FY20-21 Actual Sales '!$E$132+'[11]FY20-21 Actual Sales '!$E$139</f>
        <v>634.072</v>
      </c>
      <c r="G60" s="882">
        <f>'[11]FY21-22 Actual Sales '!$E$138+'[11]FY21-22 Actual Sales '!$E$145</f>
        <v>694.194</v>
      </c>
      <c r="H60" s="882">
        <f>'[11]FY22-23 Actual Sales'!$E$149+'[11]FY22-23 Actual Sales'!$E$156</f>
        <v>784.049</v>
      </c>
      <c r="I60" s="153">
        <f>'[10]Rev SP FY24'!$AK$208+'[10]Rev SP FY24'!$AK$217</f>
        <v>892.99976350311</v>
      </c>
      <c r="J60" s="153">
        <f>'[10]Rev_SP-12me'!$AL$208+'[10]Rev_SP-12me'!$AL$217</f>
        <v>826.34135786329</v>
      </c>
      <c r="K60" s="101"/>
      <c r="L60" s="101"/>
      <c r="M60" s="101"/>
      <c r="N60" s="101"/>
    </row>
    <row r="61" spans="3:14">
      <c r="C61" s="55" t="s">
        <v>193</v>
      </c>
      <c r="D61" s="55" t="s">
        <v>194</v>
      </c>
      <c r="E61" s="153">
        <f>'[11]FY19-20 Actual Sales'!$E$149</f>
        <v>45.2</v>
      </c>
      <c r="F61" s="153">
        <f>'[11]FY20-21 Actual Sales '!$E$140</f>
        <v>25.2</v>
      </c>
      <c r="G61" s="153">
        <f>'[11]FY21-22 Actual Sales '!$E$149</f>
        <v>53.7</v>
      </c>
      <c r="H61" s="153">
        <f>'[11]FY22-23 Actual Sales'!$E$160</f>
        <v>34.7</v>
      </c>
      <c r="I61" s="153">
        <f>'[10]Rev SP FY24'!$AK$216</f>
        <v>67.4496487119438</v>
      </c>
      <c r="J61" s="153">
        <f>'[10]Rev_SP-12me'!$AL$216</f>
        <v>67.4496487119438</v>
      </c>
      <c r="K61" s="101"/>
      <c r="L61" s="101"/>
      <c r="M61" s="101"/>
      <c r="N61" s="101"/>
    </row>
    <row r="62" spans="3:14">
      <c r="C62" s="55" t="s">
        <v>195</v>
      </c>
      <c r="D62" s="55" t="s">
        <v>196</v>
      </c>
      <c r="E62" s="153">
        <f>'[11]FY19-20 Actual Sales'!$E$150</f>
        <v>17.07</v>
      </c>
      <c r="F62" s="153">
        <f>'[11]FY20-21 Actual Sales '!$E$141</f>
        <v>17.07</v>
      </c>
      <c r="G62" s="153">
        <f>'[11]FY21-22 Actual Sales '!$E$150</f>
        <v>17.57</v>
      </c>
      <c r="H62" s="153">
        <f>'[11]FY22-23 Actual Sales'!$E$161</f>
        <v>18.07</v>
      </c>
      <c r="I62" s="153">
        <f>'[10]Rev SP FY24'!$AK$222</f>
        <v>19.6689020141194</v>
      </c>
      <c r="J62" s="153">
        <f>'[10]Rev_SP-12me'!$AL$222</f>
        <v>20.0876305769858</v>
      </c>
      <c r="K62" s="101"/>
      <c r="L62" s="101"/>
      <c r="M62" s="101"/>
      <c r="N62" s="101"/>
    </row>
    <row r="63" spans="3:14">
      <c r="C63" s="55" t="s">
        <v>197</v>
      </c>
      <c r="D63" s="55" t="s">
        <v>198</v>
      </c>
      <c r="E63" s="153">
        <v>0</v>
      </c>
      <c r="F63" s="153">
        <v>0</v>
      </c>
      <c r="G63" s="153">
        <v>0</v>
      </c>
      <c r="H63" s="153">
        <f>'[11]FY22-23 Actual Sales'!$E$165</f>
        <v>0</v>
      </c>
      <c r="I63" s="153">
        <f>'[10]Rev SP FY24'!$AK$227</f>
        <v>0</v>
      </c>
      <c r="J63" s="153">
        <f>'[10]Rev_SP-12me'!$AL$227</f>
        <v>0</v>
      </c>
      <c r="K63" s="101"/>
      <c r="L63" s="101"/>
      <c r="M63" s="101"/>
      <c r="N63" s="101"/>
    </row>
    <row r="64" spans="3:14">
      <c r="C64" s="55" t="s">
        <v>199</v>
      </c>
      <c r="D64" s="55" t="s">
        <v>200</v>
      </c>
      <c r="E64" s="153">
        <f>'[11]FY19-20 Actual Sales'!$E$154</f>
        <v>15</v>
      </c>
      <c r="F64" s="153">
        <f>'[11]FY20-21 Actual Sales '!$E$145</f>
        <v>11</v>
      </c>
      <c r="G64" s="153">
        <f>'[11]FY21-22 Actual Sales '!$E$154</f>
        <v>11</v>
      </c>
      <c r="H64" s="153">
        <f>'[11]FY22-23 Actual Sales'!$E$169</f>
        <v>15</v>
      </c>
      <c r="I64" s="153">
        <f>'[10]Rev SP FY24'!$AK$232</f>
        <v>11.5967885816235</v>
      </c>
      <c r="J64" s="153">
        <f>'[10]Rev_SP-12me'!$AL$232</f>
        <v>11.5967885816235</v>
      </c>
      <c r="K64" s="101"/>
      <c r="L64" s="101"/>
      <c r="M64" s="101"/>
      <c r="N64" s="101"/>
    </row>
    <row r="65" spans="3:14">
      <c r="C65" s="55" t="s">
        <v>201</v>
      </c>
      <c r="D65" s="55" t="s">
        <v>202</v>
      </c>
      <c r="E65" s="153">
        <f>'[11]FY19-20 Actual Sales'!E158</f>
        <v>960.4078</v>
      </c>
      <c r="F65" s="153">
        <f>'[11]FY20-21 Actual Sales '!$E$149</f>
        <v>1450.4078</v>
      </c>
      <c r="G65" s="153">
        <f>'[11]FY21-22 Actual Sales '!$E$158</f>
        <v>1450.4078</v>
      </c>
      <c r="H65" s="153">
        <f>'[11]FY22-23 Actual Sales'!$E$173</f>
        <v>1654.4078</v>
      </c>
      <c r="I65" s="153">
        <f>'[10]Rev SP FY24'!$AK$237</f>
        <v>1710.17465456629</v>
      </c>
      <c r="J65" s="153">
        <f>'[10]Rev_SP-12me'!$AL$237</f>
        <v>1795.6833872946</v>
      </c>
      <c r="K65" s="101"/>
      <c r="L65" s="101"/>
      <c r="M65" s="101"/>
      <c r="N65" s="101"/>
    </row>
    <row r="66" spans="3:14">
      <c r="C66" s="55" t="s">
        <v>203</v>
      </c>
      <c r="D66" s="55" t="s">
        <v>220</v>
      </c>
      <c r="E66" s="153">
        <f>'[11]FY19-20 Actual Sales'!E159</f>
        <v>64.75</v>
      </c>
      <c r="F66" s="153">
        <f>'[11]FY20-21 Actual Sales '!$E$150</f>
        <v>64.75</v>
      </c>
      <c r="G66" s="153">
        <f>'[11]FY21-22 Actual Sales '!$E$159</f>
        <v>64.75</v>
      </c>
      <c r="H66" s="153">
        <f>'[11]FY22-23 Actual Sales'!$E$174</f>
        <v>64.75</v>
      </c>
      <c r="I66" s="153">
        <f>'[10]Rev SP FY24'!$AK$247</f>
        <v>66.9325959918511</v>
      </c>
      <c r="J66" s="153">
        <f>'[10]Rev_SP-12me'!$AL$247</f>
        <v>70.2792257914437</v>
      </c>
      <c r="K66" s="101"/>
      <c r="L66" s="101"/>
      <c r="M66" s="101"/>
      <c r="N66" s="101"/>
    </row>
    <row r="67" spans="3:14">
      <c r="C67" s="55" t="s">
        <v>221</v>
      </c>
      <c r="D67" s="55" t="s">
        <v>232</v>
      </c>
      <c r="E67" s="153">
        <f>'[11]FY19-20 Actual Sales'!E160+'[11]FY19-20 Actual Sales'!$E$161</f>
        <v>113.25</v>
      </c>
      <c r="F67" s="153">
        <f>'[11]FY20-21 Actual Sales '!$E$151+'[11]FY20-21 Actual Sales '!$E$152</f>
        <v>113.75</v>
      </c>
      <c r="G67" s="153">
        <f>'[11]FY21-22 Actual Sales '!$E$160+'[11]FY21-22 Actual Sales '!$E$161</f>
        <v>125.25</v>
      </c>
      <c r="H67" s="153">
        <f>'[11]FY22-23 Actual Sales'!$E$175+'[11]FY22-23 Actual Sales'!$E$176</f>
        <v>142.75</v>
      </c>
      <c r="I67" s="153">
        <f>'[10]Rev SP FY24'!$AK$240</f>
        <v>144.755108619325</v>
      </c>
      <c r="J67" s="153">
        <f>'[10]Rev_SP-12me'!$AL$240</f>
        <v>158.557069846678</v>
      </c>
      <c r="K67" s="101"/>
      <c r="L67" s="101"/>
      <c r="M67" s="101"/>
      <c r="N67" s="101"/>
    </row>
    <row r="68" spans="3:14">
      <c r="C68" s="55" t="s">
        <v>205</v>
      </c>
      <c r="D68" s="55" t="s">
        <v>206</v>
      </c>
      <c r="E68" s="153">
        <v>0</v>
      </c>
      <c r="F68" s="153">
        <v>0</v>
      </c>
      <c r="G68" s="153">
        <v>0</v>
      </c>
      <c r="H68" s="153">
        <v>0</v>
      </c>
      <c r="I68" s="153">
        <v>0</v>
      </c>
      <c r="J68" s="153">
        <f>'[10]Rev_SP-12me'!$AL$245</f>
        <v>0</v>
      </c>
      <c r="K68" s="101"/>
      <c r="L68" s="101"/>
      <c r="M68" s="101"/>
      <c r="N68" s="101"/>
    </row>
    <row r="69" spans="3:14">
      <c r="C69" s="55" t="s">
        <v>207</v>
      </c>
      <c r="D69" s="55" t="s">
        <v>186</v>
      </c>
      <c r="E69" s="153">
        <v>0</v>
      </c>
      <c r="F69" s="153">
        <v>0</v>
      </c>
      <c r="G69" s="153">
        <v>0</v>
      </c>
      <c r="H69" s="153">
        <v>0</v>
      </c>
      <c r="I69" s="153">
        <v>0</v>
      </c>
      <c r="J69" s="153">
        <f>'[10]Rev_SP-12me'!$AL$246</f>
        <v>0</v>
      </c>
      <c r="K69" s="101"/>
      <c r="L69" s="101"/>
      <c r="M69" s="101"/>
      <c r="N69" s="101"/>
    </row>
    <row r="70" spans="3:14">
      <c r="C70" s="55" t="s">
        <v>208</v>
      </c>
      <c r="D70" s="55" t="s">
        <v>209</v>
      </c>
      <c r="E70" s="153">
        <v>0</v>
      </c>
      <c r="F70" s="153">
        <v>0</v>
      </c>
      <c r="G70" s="153">
        <v>0</v>
      </c>
      <c r="H70" s="153">
        <v>0</v>
      </c>
      <c r="I70" s="153">
        <v>0</v>
      </c>
      <c r="J70" s="153">
        <v>0</v>
      </c>
      <c r="K70" s="101"/>
      <c r="L70" s="101"/>
      <c r="M70" s="101"/>
      <c r="N70" s="101"/>
    </row>
    <row r="71" spans="3:14">
      <c r="C71" s="55" t="s">
        <v>210</v>
      </c>
      <c r="D71" s="55" t="s">
        <v>188</v>
      </c>
      <c r="E71" s="153">
        <v>0</v>
      </c>
      <c r="F71" s="153">
        <v>0</v>
      </c>
      <c r="G71" s="153">
        <v>0</v>
      </c>
      <c r="H71" s="153">
        <v>0</v>
      </c>
      <c r="I71" s="153">
        <v>0</v>
      </c>
      <c r="J71" s="153">
        <v>0</v>
      </c>
      <c r="K71" s="101"/>
      <c r="L71" s="101"/>
      <c r="M71" s="101"/>
      <c r="N71" s="101"/>
    </row>
    <row r="72" spans="3:14">
      <c r="C72" s="55"/>
      <c r="D72" s="55"/>
      <c r="E72" s="101"/>
      <c r="F72" s="101"/>
      <c r="G72" s="101"/>
      <c r="H72" s="101"/>
      <c r="I72" s="101"/>
      <c r="J72" s="101"/>
      <c r="K72" s="101"/>
      <c r="L72" s="101"/>
      <c r="M72" s="101"/>
      <c r="N72" s="101"/>
    </row>
    <row r="73" spans="3:14">
      <c r="C73" s="55"/>
      <c r="D73" s="55"/>
      <c r="E73" s="883"/>
      <c r="F73" s="883"/>
      <c r="G73" s="883"/>
      <c r="H73" s="883"/>
      <c r="I73" s="101"/>
      <c r="J73" s="101"/>
      <c r="K73" s="101"/>
      <c r="L73" s="101"/>
      <c r="M73" s="101"/>
      <c r="N73" s="101"/>
    </row>
    <row r="74" spans="3:14">
      <c r="C74" s="55"/>
      <c r="D74" s="55"/>
      <c r="E74" s="101"/>
      <c r="F74" s="101"/>
      <c r="G74" s="101"/>
      <c r="H74" s="101"/>
      <c r="I74" s="101"/>
      <c r="J74" s="101"/>
      <c r="K74" s="101"/>
      <c r="L74" s="101"/>
      <c r="M74" s="101"/>
      <c r="N74" s="101"/>
    </row>
    <row r="75" spans="3:14">
      <c r="C75" s="55"/>
      <c r="D75" s="55"/>
      <c r="E75" s="883"/>
      <c r="F75" s="883"/>
      <c r="G75" s="883"/>
      <c r="H75" s="883"/>
      <c r="I75" s="101"/>
      <c r="J75" s="101"/>
      <c r="K75" s="101"/>
      <c r="L75" s="101"/>
      <c r="M75" s="101"/>
      <c r="N75" s="101"/>
    </row>
    <row r="76" ht="15" spans="3:14">
      <c r="C76" s="537" t="s">
        <v>211</v>
      </c>
      <c r="D76" s="540"/>
      <c r="E76" s="878">
        <f t="shared" ref="E76:N76" si="3">SUM(E60:E75)</f>
        <v>1812.7218</v>
      </c>
      <c r="F76" s="878">
        <f t="shared" si="3"/>
        <v>2316.2498</v>
      </c>
      <c r="G76" s="878">
        <f t="shared" si="3"/>
        <v>2416.8718</v>
      </c>
      <c r="H76" s="878">
        <f t="shared" si="3"/>
        <v>2713.7268</v>
      </c>
      <c r="I76" s="878">
        <f t="shared" si="3"/>
        <v>2913.57746198826</v>
      </c>
      <c r="J76" s="878">
        <f t="shared" si="3"/>
        <v>2949.99510866657</v>
      </c>
      <c r="K76" s="878">
        <f t="shared" si="3"/>
        <v>0</v>
      </c>
      <c r="L76" s="878">
        <f t="shared" si="3"/>
        <v>0</v>
      </c>
      <c r="M76" s="878">
        <f t="shared" si="3"/>
        <v>0</v>
      </c>
      <c r="N76" s="878">
        <f t="shared" si="3"/>
        <v>0</v>
      </c>
    </row>
    <row r="77" ht="15" spans="3:14">
      <c r="C77" s="537" t="s">
        <v>223</v>
      </c>
      <c r="D77" s="540"/>
      <c r="E77" s="878">
        <f t="shared" ref="E77:N77" si="4">E39+E58+E76</f>
        <v>5963.11223</v>
      </c>
      <c r="F77" s="878">
        <f t="shared" si="4"/>
        <v>6610.82448</v>
      </c>
      <c r="G77" s="878">
        <f t="shared" si="4"/>
        <v>6891.31197</v>
      </c>
      <c r="H77" s="878">
        <f t="shared" si="4"/>
        <v>7542.54603</v>
      </c>
      <c r="I77" s="878">
        <f t="shared" si="4"/>
        <v>8456.72705447051</v>
      </c>
      <c r="J77" s="878">
        <f t="shared" si="4"/>
        <v>8800</v>
      </c>
      <c r="K77" s="878">
        <f t="shared" si="4"/>
        <v>0</v>
      </c>
      <c r="L77" s="878">
        <f t="shared" si="4"/>
        <v>0</v>
      </c>
      <c r="M77" s="878">
        <f t="shared" si="4"/>
        <v>0</v>
      </c>
      <c r="N77" s="878">
        <f t="shared" si="4"/>
        <v>0</v>
      </c>
    </row>
    <row r="78" ht="15" spans="3:14">
      <c r="C78" s="537" t="s">
        <v>224</v>
      </c>
      <c r="D78" s="540"/>
      <c r="E78" s="878">
        <f t="shared" ref="E78:N78" si="5">E77+E22</f>
        <v>22877.126193</v>
      </c>
      <c r="F78" s="878">
        <f t="shared" si="5"/>
        <v>24536.900768145</v>
      </c>
      <c r="G78" s="878">
        <f t="shared" si="5"/>
        <v>26282.219113</v>
      </c>
      <c r="H78" s="878">
        <f t="shared" si="5"/>
        <v>28341.637379737</v>
      </c>
      <c r="I78" s="878">
        <f t="shared" si="5"/>
        <v>31859.9297076262</v>
      </c>
      <c r="J78" s="878">
        <f t="shared" si="5"/>
        <v>33876.0012971162</v>
      </c>
      <c r="K78" s="878">
        <f t="shared" si="5"/>
        <v>0</v>
      </c>
      <c r="L78" s="878">
        <f t="shared" si="5"/>
        <v>0</v>
      </c>
      <c r="M78" s="878">
        <f t="shared" si="5"/>
        <v>0</v>
      </c>
      <c r="N78" s="878">
        <f t="shared" si="5"/>
        <v>0</v>
      </c>
    </row>
    <row r="81" ht="15" spans="4:5">
      <c r="D81" s="11"/>
      <c r="E81" s="11" t="s">
        <v>225</v>
      </c>
    </row>
    <row r="82" spans="4:6">
      <c r="D82" s="13"/>
      <c r="E82" s="13">
        <v>1</v>
      </c>
      <c r="F82" s="12" t="s">
        <v>226</v>
      </c>
    </row>
    <row r="83" spans="5:6">
      <c r="E83" s="13">
        <f>E82+1</f>
        <v>2</v>
      </c>
      <c r="F83" s="12" t="s">
        <v>233</v>
      </c>
    </row>
  </sheetData>
  <mergeCells count="17">
    <mergeCell ref="J5:N5"/>
    <mergeCell ref="C8:D8"/>
    <mergeCell ref="C22:D22"/>
    <mergeCell ref="C23:D23"/>
    <mergeCell ref="C39:D39"/>
    <mergeCell ref="C40:D40"/>
    <mergeCell ref="C58:D58"/>
    <mergeCell ref="C59:D59"/>
    <mergeCell ref="C76:D76"/>
    <mergeCell ref="C77:D77"/>
    <mergeCell ref="C78:D78"/>
    <mergeCell ref="E5:E6"/>
    <mergeCell ref="F5:F6"/>
    <mergeCell ref="G5:G6"/>
    <mergeCell ref="H5:H6"/>
    <mergeCell ref="I5:I6"/>
    <mergeCell ref="C5:D7"/>
  </mergeCells>
  <pageMargins left="0.75" right="0.75" top="1" bottom="1" header="0.5" footer="0.5"/>
  <pageSetup paperSize="9" scale="38" orientation="landscape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1:Q48"/>
  <sheetViews>
    <sheetView showGridLines="0" zoomScaleSheetLayoutView="90" workbookViewId="0">
      <selection activeCell="F18" sqref="F18"/>
    </sheetView>
  </sheetViews>
  <sheetFormatPr defaultColWidth="9.14285714285714" defaultRowHeight="14.25"/>
  <cols>
    <col min="1" max="1" width="4.14285714285714" style="12" customWidth="1"/>
    <col min="2" max="2" width="6.14285714285714" style="12" customWidth="1"/>
    <col min="3" max="3" width="18.1428571428571" style="12" customWidth="1"/>
    <col min="4" max="4" width="21.1428571428571" style="12" customWidth="1"/>
    <col min="5" max="5" width="32.1428571428571" style="12" customWidth="1"/>
    <col min="6" max="7" width="22" style="12" customWidth="1"/>
    <col min="8" max="8" width="17.8571428571429" style="12" customWidth="1"/>
    <col min="9" max="9" width="35" style="12" customWidth="1"/>
    <col min="10" max="10" width="31.4285714285714" style="12" customWidth="1"/>
    <col min="11" max="11" width="37" style="12" customWidth="1"/>
    <col min="12" max="12" width="32.1428571428571" style="12" customWidth="1"/>
    <col min="13" max="13" width="13.1428571428571" style="12" customWidth="1"/>
    <col min="14" max="14" width="12.5714285714286" style="12" customWidth="1"/>
    <col min="15" max="15" width="11.8571428571429" style="12" customWidth="1"/>
    <col min="16" max="16" width="13.8571428571429" style="12" customWidth="1"/>
    <col min="17" max="22" width="11.8571428571429" style="12" customWidth="1"/>
    <col min="23" max="16384" width="9.14285714285714" style="12"/>
  </cols>
  <sheetData>
    <row r="1" ht="15" spans="2:2">
      <c r="B1" s="14"/>
    </row>
    <row r="2" ht="15" spans="2:16">
      <c r="B2" s="2" t="s">
        <v>156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8:9">
      <c r="H3" s="3" t="s">
        <v>641</v>
      </c>
      <c r="I3" s="3"/>
    </row>
    <row r="4" ht="15" spans="11:11">
      <c r="K4" s="3"/>
    </row>
    <row r="5" ht="45" spans="2:16">
      <c r="B5" s="5" t="s">
        <v>3</v>
      </c>
      <c r="C5" s="135" t="s">
        <v>642</v>
      </c>
      <c r="D5" s="175" t="s">
        <v>643</v>
      </c>
      <c r="E5" s="135" t="s">
        <v>644</v>
      </c>
      <c r="F5" s="175" t="s">
        <v>645</v>
      </c>
      <c r="G5" s="175" t="s">
        <v>646</v>
      </c>
      <c r="H5" s="175" t="s">
        <v>647</v>
      </c>
      <c r="I5" s="175" t="s">
        <v>648</v>
      </c>
      <c r="J5" s="135" t="s">
        <v>649</v>
      </c>
      <c r="K5" s="175" t="s">
        <v>650</v>
      </c>
      <c r="L5" s="175" t="s">
        <v>651</v>
      </c>
      <c r="M5" s="117"/>
      <c r="N5" s="117"/>
      <c r="O5" s="117"/>
      <c r="P5" s="117"/>
    </row>
    <row r="6" s="11" customFormat="1" ht="15" spans="2:17">
      <c r="B6" s="100"/>
      <c r="C6" s="175" t="s">
        <v>112</v>
      </c>
      <c r="D6" s="343"/>
      <c r="E6" s="343"/>
      <c r="F6" s="343"/>
      <c r="G6" s="343"/>
      <c r="H6" s="343"/>
      <c r="I6" s="343"/>
      <c r="J6" s="343"/>
      <c r="K6" s="175"/>
      <c r="L6" s="167"/>
      <c r="M6" s="14"/>
      <c r="N6" s="14"/>
      <c r="O6" s="14"/>
      <c r="P6" s="14"/>
      <c r="Q6" s="14"/>
    </row>
    <row r="7" spans="2:12">
      <c r="B7" s="100">
        <v>1</v>
      </c>
      <c r="C7" s="100"/>
      <c r="D7" s="55"/>
      <c r="E7" s="55"/>
      <c r="F7" s="55"/>
      <c r="G7" s="55"/>
      <c r="H7" s="55"/>
      <c r="I7" s="55"/>
      <c r="J7" s="55"/>
      <c r="K7" s="55"/>
      <c r="L7" s="55"/>
    </row>
    <row r="8" spans="2:12">
      <c r="B8" s="100">
        <v>2</v>
      </c>
      <c r="C8" s="100"/>
      <c r="D8" s="55"/>
      <c r="E8" s="55"/>
      <c r="F8" s="55"/>
      <c r="G8" s="55"/>
      <c r="H8" s="55"/>
      <c r="I8" s="55"/>
      <c r="J8" s="55"/>
      <c r="K8" s="55"/>
      <c r="L8" s="55"/>
    </row>
    <row r="9" spans="2:12">
      <c r="B9" s="100">
        <v>3</v>
      </c>
      <c r="C9" s="100"/>
      <c r="D9" s="55"/>
      <c r="E9" s="55"/>
      <c r="F9" s="55"/>
      <c r="G9" s="55"/>
      <c r="H9" s="55"/>
      <c r="I9" s="55"/>
      <c r="J9" s="55"/>
      <c r="K9" s="55"/>
      <c r="L9" s="55"/>
    </row>
    <row r="10" spans="2:12">
      <c r="B10" s="55"/>
      <c r="C10" s="55" t="s">
        <v>652</v>
      </c>
      <c r="D10" s="55"/>
      <c r="E10" s="55"/>
      <c r="F10" s="55"/>
      <c r="G10" s="55"/>
      <c r="H10" s="55"/>
      <c r="I10" s="55"/>
      <c r="J10" s="55"/>
      <c r="K10" s="55"/>
      <c r="L10" s="55"/>
    </row>
    <row r="11" ht="15" spans="2:12">
      <c r="B11" s="55"/>
      <c r="C11" s="135" t="s">
        <v>97</v>
      </c>
      <c r="D11" s="55"/>
      <c r="E11" s="55"/>
      <c r="F11" s="341">
        <f>SUM(F7:F10)</f>
        <v>0</v>
      </c>
      <c r="G11" s="341">
        <f>SUM(G7:G10)</f>
        <v>0</v>
      </c>
      <c r="H11" s="341">
        <f>SUM(H7:H10)</f>
        <v>0</v>
      </c>
      <c r="I11" s="55"/>
      <c r="J11" s="55"/>
      <c r="K11" s="55"/>
      <c r="L11" s="55"/>
    </row>
    <row r="12" ht="15" spans="2:12">
      <c r="B12" s="100"/>
      <c r="C12" s="175" t="s">
        <v>526</v>
      </c>
      <c r="D12" s="55"/>
      <c r="E12" s="55"/>
      <c r="F12" s="55"/>
      <c r="G12" s="55"/>
      <c r="H12" s="55"/>
      <c r="I12" s="55"/>
      <c r="J12" s="55"/>
      <c r="K12" s="55"/>
      <c r="L12" s="55"/>
    </row>
    <row r="13" spans="2:12">
      <c r="B13" s="100">
        <v>1</v>
      </c>
      <c r="C13" s="100"/>
      <c r="D13" s="55"/>
      <c r="E13" s="55"/>
      <c r="F13" s="55"/>
      <c r="G13" s="55"/>
      <c r="H13" s="55"/>
      <c r="I13" s="55"/>
      <c r="J13" s="55"/>
      <c r="K13" s="55"/>
      <c r="L13" s="55"/>
    </row>
    <row r="14" spans="2:12">
      <c r="B14" s="100">
        <v>2</v>
      </c>
      <c r="C14" s="100"/>
      <c r="D14" s="55"/>
      <c r="E14" s="55"/>
      <c r="F14" s="55"/>
      <c r="G14" s="55"/>
      <c r="H14" s="55"/>
      <c r="I14" s="55"/>
      <c r="J14" s="55"/>
      <c r="K14" s="55"/>
      <c r="L14" s="55"/>
    </row>
    <row r="15" spans="2:12">
      <c r="B15" s="100">
        <v>3</v>
      </c>
      <c r="C15" s="100"/>
      <c r="D15" s="55"/>
      <c r="E15" s="55"/>
      <c r="F15" s="55"/>
      <c r="G15" s="55"/>
      <c r="H15" s="55"/>
      <c r="I15" s="55"/>
      <c r="J15" s="55"/>
      <c r="K15" s="55"/>
      <c r="L15" s="55"/>
    </row>
    <row r="16" spans="2:12">
      <c r="B16" s="55"/>
      <c r="C16" s="55" t="s">
        <v>652</v>
      </c>
      <c r="D16" s="55"/>
      <c r="E16" s="55"/>
      <c r="F16" s="55"/>
      <c r="G16" s="55"/>
      <c r="H16" s="55"/>
      <c r="I16" s="55"/>
      <c r="J16" s="55"/>
      <c r="K16" s="55"/>
      <c r="L16" s="55"/>
    </row>
    <row r="17" ht="15" spans="2:12">
      <c r="B17" s="55"/>
      <c r="C17" s="135" t="s">
        <v>97</v>
      </c>
      <c r="D17" s="55"/>
      <c r="E17" s="55"/>
      <c r="F17" s="341">
        <f>SUM(F13:F16)</f>
        <v>0</v>
      </c>
      <c r="G17" s="341">
        <f>SUM(G13:G16)</f>
        <v>0</v>
      </c>
      <c r="H17" s="341">
        <f>SUM(H13:H16)</f>
        <v>0</v>
      </c>
      <c r="I17" s="55"/>
      <c r="J17" s="55"/>
      <c r="K17" s="55"/>
      <c r="L17" s="55"/>
    </row>
    <row r="18" ht="15" spans="2:12">
      <c r="B18" s="100"/>
      <c r="C18" s="175" t="s">
        <v>653</v>
      </c>
      <c r="D18" s="55"/>
      <c r="E18" s="55"/>
      <c r="F18" s="55"/>
      <c r="G18" s="55"/>
      <c r="H18" s="55"/>
      <c r="I18" s="55"/>
      <c r="J18" s="55"/>
      <c r="K18" s="55"/>
      <c r="L18" s="55"/>
    </row>
    <row r="19" spans="2:12">
      <c r="B19" s="100">
        <v>1</v>
      </c>
      <c r="C19" s="100"/>
      <c r="D19" s="55"/>
      <c r="E19" s="55"/>
      <c r="F19" s="55"/>
      <c r="G19" s="55"/>
      <c r="H19" s="55"/>
      <c r="I19" s="55"/>
      <c r="J19" s="55"/>
      <c r="K19" s="55"/>
      <c r="L19" s="55"/>
    </row>
    <row r="20" spans="2:12">
      <c r="B20" s="100">
        <v>2</v>
      </c>
      <c r="C20" s="100"/>
      <c r="D20" s="55"/>
      <c r="E20" s="55"/>
      <c r="F20" s="55"/>
      <c r="G20" s="55"/>
      <c r="H20" s="55"/>
      <c r="I20" s="55"/>
      <c r="J20" s="55"/>
      <c r="K20" s="55"/>
      <c r="L20" s="55"/>
    </row>
    <row r="21" spans="2:12">
      <c r="B21" s="100">
        <v>3</v>
      </c>
      <c r="C21" s="100"/>
      <c r="D21" s="55"/>
      <c r="E21" s="55"/>
      <c r="F21" s="55"/>
      <c r="G21" s="55"/>
      <c r="H21" s="55"/>
      <c r="I21" s="55"/>
      <c r="J21" s="55"/>
      <c r="K21" s="55"/>
      <c r="L21" s="55"/>
    </row>
    <row r="22" spans="2:12">
      <c r="B22" s="55"/>
      <c r="C22" s="55" t="s">
        <v>652</v>
      </c>
      <c r="D22" s="55"/>
      <c r="E22" s="55"/>
      <c r="F22" s="55"/>
      <c r="G22" s="55"/>
      <c r="H22" s="55"/>
      <c r="I22" s="55"/>
      <c r="J22" s="55"/>
      <c r="K22" s="55"/>
      <c r="L22" s="55"/>
    </row>
    <row r="23" ht="15" spans="2:12">
      <c r="B23" s="55"/>
      <c r="C23" s="135" t="s">
        <v>97</v>
      </c>
      <c r="D23" s="55"/>
      <c r="E23" s="55"/>
      <c r="F23" s="341">
        <f>SUM(F19:F22)</f>
        <v>0</v>
      </c>
      <c r="G23" s="341">
        <f>SUM(G19:G22)</f>
        <v>0</v>
      </c>
      <c r="H23" s="341">
        <f>SUM(H19:H22)</f>
        <v>0</v>
      </c>
      <c r="I23" s="55"/>
      <c r="J23" s="55"/>
      <c r="K23" s="55"/>
      <c r="L23" s="55"/>
    </row>
    <row r="24" ht="15" spans="2:12">
      <c r="B24" s="100"/>
      <c r="C24" s="175" t="s">
        <v>654</v>
      </c>
      <c r="D24" s="55"/>
      <c r="E24" s="55"/>
      <c r="F24" s="55"/>
      <c r="G24" s="55"/>
      <c r="H24" s="55"/>
      <c r="I24" s="55"/>
      <c r="J24" s="55"/>
      <c r="K24" s="55"/>
      <c r="L24" s="55"/>
    </row>
    <row r="25" spans="2:12">
      <c r="B25" s="100">
        <v>1</v>
      </c>
      <c r="C25" s="100"/>
      <c r="D25" s="55"/>
      <c r="E25" s="55"/>
      <c r="F25" s="55"/>
      <c r="G25" s="55"/>
      <c r="H25" s="55"/>
      <c r="I25" s="55"/>
      <c r="J25" s="55"/>
      <c r="K25" s="55"/>
      <c r="L25" s="55"/>
    </row>
    <row r="26" spans="2:12">
      <c r="B26" s="100">
        <v>2</v>
      </c>
      <c r="C26" s="100"/>
      <c r="D26" s="55"/>
      <c r="E26" s="55"/>
      <c r="F26" s="55"/>
      <c r="G26" s="55"/>
      <c r="H26" s="55"/>
      <c r="I26" s="55"/>
      <c r="J26" s="55"/>
      <c r="K26" s="55"/>
      <c r="L26" s="55"/>
    </row>
    <row r="27" spans="2:12">
      <c r="B27" s="100">
        <v>3</v>
      </c>
      <c r="C27" s="100"/>
      <c r="D27" s="55"/>
      <c r="E27" s="55"/>
      <c r="F27" s="55"/>
      <c r="G27" s="55"/>
      <c r="H27" s="55"/>
      <c r="I27" s="55"/>
      <c r="J27" s="55"/>
      <c r="K27" s="55"/>
      <c r="L27" s="55"/>
    </row>
    <row r="28" spans="2:12">
      <c r="B28" s="55"/>
      <c r="C28" s="55" t="s">
        <v>652</v>
      </c>
      <c r="D28" s="55"/>
      <c r="E28" s="55"/>
      <c r="F28" s="55"/>
      <c r="G28" s="55"/>
      <c r="H28" s="55"/>
      <c r="I28" s="55"/>
      <c r="J28" s="55"/>
      <c r="K28" s="55"/>
      <c r="L28" s="55"/>
    </row>
    <row r="29" ht="15" spans="2:12">
      <c r="B29" s="55"/>
      <c r="C29" s="135" t="s">
        <v>97</v>
      </c>
      <c r="D29" s="55"/>
      <c r="E29" s="55"/>
      <c r="F29" s="341">
        <f>SUM(F25:F28)</f>
        <v>0</v>
      </c>
      <c r="G29" s="341">
        <f>SUM(G25:G28)</f>
        <v>0</v>
      </c>
      <c r="H29" s="341">
        <f>SUM(H25:H28)</f>
        <v>0</v>
      </c>
      <c r="I29" s="55"/>
      <c r="J29" s="55"/>
      <c r="K29" s="55"/>
      <c r="L29" s="55"/>
    </row>
    <row r="30" ht="15" spans="2:12">
      <c r="B30" s="100"/>
      <c r="C30" s="175" t="s">
        <v>655</v>
      </c>
      <c r="D30" s="55"/>
      <c r="E30" s="55"/>
      <c r="F30" s="55"/>
      <c r="G30" s="55"/>
      <c r="H30" s="55"/>
      <c r="I30" s="55"/>
      <c r="J30" s="55"/>
      <c r="K30" s="55"/>
      <c r="L30" s="55"/>
    </row>
    <row r="31" spans="2:12">
      <c r="B31" s="100">
        <v>1</v>
      </c>
      <c r="C31" s="100"/>
      <c r="D31" s="55"/>
      <c r="E31" s="55"/>
      <c r="F31" s="55"/>
      <c r="G31" s="55"/>
      <c r="H31" s="55"/>
      <c r="I31" s="55"/>
      <c r="J31" s="55"/>
      <c r="K31" s="55"/>
      <c r="L31" s="55"/>
    </row>
    <row r="32" spans="2:12">
      <c r="B32" s="100">
        <v>2</v>
      </c>
      <c r="C32" s="100"/>
      <c r="D32" s="55"/>
      <c r="E32" s="55"/>
      <c r="F32" s="55"/>
      <c r="G32" s="55"/>
      <c r="H32" s="55"/>
      <c r="I32" s="55"/>
      <c r="J32" s="55"/>
      <c r="K32" s="55"/>
      <c r="L32" s="55"/>
    </row>
    <row r="33" spans="2:12">
      <c r="B33" s="100">
        <v>3</v>
      </c>
      <c r="C33" s="100"/>
      <c r="D33" s="55"/>
      <c r="E33" s="55"/>
      <c r="F33" s="55"/>
      <c r="G33" s="55"/>
      <c r="H33" s="55"/>
      <c r="I33" s="55"/>
      <c r="J33" s="55"/>
      <c r="K33" s="55"/>
      <c r="L33" s="55"/>
    </row>
    <row r="34" spans="2:12">
      <c r="B34" s="55"/>
      <c r="C34" s="55" t="s">
        <v>652</v>
      </c>
      <c r="D34" s="55"/>
      <c r="E34" s="55"/>
      <c r="F34" s="55"/>
      <c r="G34" s="55"/>
      <c r="H34" s="55"/>
      <c r="I34" s="55"/>
      <c r="J34" s="55"/>
      <c r="K34" s="55"/>
      <c r="L34" s="55"/>
    </row>
    <row r="35" ht="15" spans="2:12">
      <c r="B35" s="55"/>
      <c r="C35" s="135" t="s">
        <v>97</v>
      </c>
      <c r="D35" s="55"/>
      <c r="E35" s="55"/>
      <c r="F35" s="341">
        <f>SUM(F31:F34)</f>
        <v>0</v>
      </c>
      <c r="G35" s="341">
        <f>SUM(G31:G34)</f>
        <v>0</v>
      </c>
      <c r="H35" s="341">
        <f>SUM(H31:H34)</f>
        <v>0</v>
      </c>
      <c r="I35" s="55"/>
      <c r="J35" s="55"/>
      <c r="K35" s="55"/>
      <c r="L35" s="55"/>
    </row>
    <row r="36" ht="15" spans="2:12">
      <c r="B36" s="100"/>
      <c r="C36" s="175" t="s">
        <v>656</v>
      </c>
      <c r="D36" s="55"/>
      <c r="E36" s="55"/>
      <c r="F36" s="55"/>
      <c r="G36" s="55"/>
      <c r="H36" s="55"/>
      <c r="I36" s="55"/>
      <c r="J36" s="55"/>
      <c r="K36" s="55"/>
      <c r="L36" s="55"/>
    </row>
    <row r="37" spans="2:12">
      <c r="B37" s="100">
        <v>1</v>
      </c>
      <c r="C37" s="100"/>
      <c r="D37" s="55"/>
      <c r="E37" s="55"/>
      <c r="F37" s="55"/>
      <c r="G37" s="55"/>
      <c r="H37" s="55"/>
      <c r="I37" s="55"/>
      <c r="J37" s="55"/>
      <c r="K37" s="55"/>
      <c r="L37" s="55"/>
    </row>
    <row r="38" spans="2:12">
      <c r="B38" s="100">
        <v>2</v>
      </c>
      <c r="C38" s="100"/>
      <c r="D38" s="55"/>
      <c r="E38" s="55"/>
      <c r="F38" s="55"/>
      <c r="G38" s="55"/>
      <c r="H38" s="55"/>
      <c r="I38" s="55"/>
      <c r="J38" s="55"/>
      <c r="K38" s="55"/>
      <c r="L38" s="55"/>
    </row>
    <row r="39" spans="2:12">
      <c r="B39" s="100">
        <v>3</v>
      </c>
      <c r="C39" s="100"/>
      <c r="D39" s="55"/>
      <c r="E39" s="55"/>
      <c r="F39" s="55"/>
      <c r="G39" s="55"/>
      <c r="H39" s="55"/>
      <c r="I39" s="55"/>
      <c r="J39" s="55"/>
      <c r="K39" s="55"/>
      <c r="L39" s="55"/>
    </row>
    <row r="40" spans="2:12">
      <c r="B40" s="55"/>
      <c r="C40" s="55" t="s">
        <v>652</v>
      </c>
      <c r="D40" s="55"/>
      <c r="E40" s="55"/>
      <c r="F40" s="55"/>
      <c r="G40" s="55"/>
      <c r="H40" s="55"/>
      <c r="I40" s="55"/>
      <c r="J40" s="55"/>
      <c r="K40" s="55"/>
      <c r="L40" s="55"/>
    </row>
    <row r="41" ht="15" spans="2:12">
      <c r="B41" s="55"/>
      <c r="C41" s="135" t="s">
        <v>97</v>
      </c>
      <c r="D41" s="55"/>
      <c r="E41" s="55"/>
      <c r="F41" s="341">
        <f>SUM(F37:F40)</f>
        <v>0</v>
      </c>
      <c r="G41" s="341">
        <f>SUM(G37:G40)</f>
        <v>0</v>
      </c>
      <c r="H41" s="341">
        <f>SUM(H37:H40)</f>
        <v>0</v>
      </c>
      <c r="I41" s="55"/>
      <c r="J41" s="55"/>
      <c r="K41" s="55"/>
      <c r="L41" s="55"/>
    </row>
    <row r="42" ht="15" spans="2:12">
      <c r="B42" s="100"/>
      <c r="C42" s="175" t="s">
        <v>657</v>
      </c>
      <c r="D42" s="55"/>
      <c r="E42" s="55"/>
      <c r="F42" s="55"/>
      <c r="G42" s="55"/>
      <c r="H42" s="55"/>
      <c r="I42" s="55"/>
      <c r="J42" s="55"/>
      <c r="K42" s="55"/>
      <c r="L42" s="55"/>
    </row>
    <row r="43" spans="2:12">
      <c r="B43" s="100">
        <v>1</v>
      </c>
      <c r="C43" s="100"/>
      <c r="D43" s="55"/>
      <c r="E43" s="55"/>
      <c r="F43" s="55"/>
      <c r="G43" s="55"/>
      <c r="H43" s="55"/>
      <c r="I43" s="55"/>
      <c r="J43" s="55"/>
      <c r="K43" s="55"/>
      <c r="L43" s="55"/>
    </row>
    <row r="44" spans="2:12">
      <c r="B44" s="100">
        <v>2</v>
      </c>
      <c r="C44" s="100"/>
      <c r="D44" s="55"/>
      <c r="E44" s="55"/>
      <c r="F44" s="55"/>
      <c r="G44" s="55"/>
      <c r="H44" s="55"/>
      <c r="I44" s="55"/>
      <c r="J44" s="55"/>
      <c r="K44" s="55"/>
      <c r="L44" s="55"/>
    </row>
    <row r="45" spans="2:12">
      <c r="B45" s="100">
        <v>3</v>
      </c>
      <c r="C45" s="100"/>
      <c r="D45" s="55"/>
      <c r="E45" s="55"/>
      <c r="F45" s="55"/>
      <c r="G45" s="55"/>
      <c r="H45" s="55"/>
      <c r="I45" s="55"/>
      <c r="J45" s="55"/>
      <c r="K45" s="55"/>
      <c r="L45" s="55"/>
    </row>
    <row r="46" spans="2:12">
      <c r="B46" s="55"/>
      <c r="C46" s="55" t="s">
        <v>652</v>
      </c>
      <c r="D46" s="55"/>
      <c r="E46" s="55"/>
      <c r="F46" s="55"/>
      <c r="G46" s="55"/>
      <c r="H46" s="55"/>
      <c r="I46" s="55"/>
      <c r="J46" s="55"/>
      <c r="K46" s="55"/>
      <c r="L46" s="55"/>
    </row>
    <row r="47" ht="15" spans="2:12">
      <c r="B47" s="55"/>
      <c r="C47" s="135" t="s">
        <v>97</v>
      </c>
      <c r="D47" s="55"/>
      <c r="E47" s="55"/>
      <c r="F47" s="341">
        <f>SUM(F43:F46)</f>
        <v>0</v>
      </c>
      <c r="G47" s="341">
        <f>SUM(G43:G46)</f>
        <v>0</v>
      </c>
      <c r="H47" s="341">
        <f>SUM(H43:H46)</f>
        <v>0</v>
      </c>
      <c r="I47" s="55"/>
      <c r="J47" s="55"/>
      <c r="K47" s="55"/>
      <c r="L47" s="55"/>
    </row>
    <row r="48" spans="2:3">
      <c r="B48" s="482" t="s">
        <v>658</v>
      </c>
      <c r="C48" s="522" t="s">
        <v>659</v>
      </c>
    </row>
  </sheetData>
  <mergeCells count="1">
    <mergeCell ref="B2:P2"/>
  </mergeCells>
  <pageMargins left="1.02" right="0.25" top="1" bottom="1" header="0.25" footer="0.25"/>
  <pageSetup paperSize="9" scale="48" orientation="landscape"/>
  <headerFooter alignWithMargins="0">
    <oddHeader>&amp;C&amp;F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B2:P20"/>
  <sheetViews>
    <sheetView showGridLines="0" workbookViewId="0">
      <selection activeCell="B2" sqref="B2:P2"/>
    </sheetView>
  </sheetViews>
  <sheetFormatPr defaultColWidth="9.14285714285714" defaultRowHeight="14.25"/>
  <cols>
    <col min="1" max="2" width="9.14285714285714" style="1"/>
    <col min="3" max="3" width="42" style="1" customWidth="1"/>
    <col min="4" max="4" width="16.1428571428571" style="1" customWidth="1"/>
    <col min="5" max="5" width="12.5714285714286" style="1" customWidth="1"/>
    <col min="6" max="6" width="13.1428571428571" style="1" customWidth="1"/>
    <col min="7" max="7" width="12.5714285714286" style="1" customWidth="1"/>
    <col min="8" max="8" width="16.1428571428571" style="1" customWidth="1"/>
    <col min="9" max="12" width="15.8571428571429" style="1" customWidth="1"/>
    <col min="13" max="16384" width="9.14285714285714" style="1"/>
  </cols>
  <sheetData>
    <row r="2" ht="15" spans="2:16">
      <c r="B2" s="2" t="s">
        <v>156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7:7">
      <c r="G3" s="3" t="s">
        <v>660</v>
      </c>
    </row>
    <row r="5" ht="15" customHeight="1" spans="2:12">
      <c r="B5" s="5" t="s">
        <v>3</v>
      </c>
      <c r="C5" s="135" t="s">
        <v>110</v>
      </c>
      <c r="D5" s="5" t="s">
        <v>112</v>
      </c>
      <c r="E5" s="229" t="s">
        <v>526</v>
      </c>
      <c r="F5" s="230"/>
      <c r="G5" s="231"/>
      <c r="H5" s="5" t="s">
        <v>114</v>
      </c>
      <c r="I5" s="5"/>
      <c r="J5" s="5"/>
      <c r="K5" s="5"/>
      <c r="L5" s="5"/>
    </row>
    <row r="6" ht="30" spans="2:12">
      <c r="B6" s="5"/>
      <c r="C6" s="135"/>
      <c r="D6" s="5"/>
      <c r="E6" s="5" t="s">
        <v>119</v>
      </c>
      <c r="F6" s="5" t="s">
        <v>120</v>
      </c>
      <c r="G6" s="5" t="s">
        <v>238</v>
      </c>
      <c r="H6" s="5" t="s">
        <v>557</v>
      </c>
      <c r="I6" s="5" t="s">
        <v>299</v>
      </c>
      <c r="J6" s="5" t="s">
        <v>300</v>
      </c>
      <c r="K6" s="5" t="s">
        <v>301</v>
      </c>
      <c r="L6" s="5" t="s">
        <v>302</v>
      </c>
    </row>
    <row r="7" ht="15" spans="2:12">
      <c r="B7" s="5"/>
      <c r="C7" s="135"/>
      <c r="D7" s="39" t="s">
        <v>130</v>
      </c>
      <c r="E7" s="5" t="s">
        <v>130</v>
      </c>
      <c r="F7" s="5" t="s">
        <v>131</v>
      </c>
      <c r="G7" s="5" t="s">
        <v>131</v>
      </c>
      <c r="H7" s="5" t="s">
        <v>132</v>
      </c>
      <c r="I7" s="5" t="s">
        <v>132</v>
      </c>
      <c r="J7" s="5" t="s">
        <v>132</v>
      </c>
      <c r="K7" s="5" t="s">
        <v>132</v>
      </c>
      <c r="L7" s="5" t="s">
        <v>132</v>
      </c>
    </row>
    <row r="8" spans="2:12">
      <c r="B8" s="7">
        <v>1</v>
      </c>
      <c r="C8" s="8" t="s">
        <v>661</v>
      </c>
      <c r="D8" s="49">
        <f>F16.1x!H11</f>
        <v>0</v>
      </c>
      <c r="E8" s="8"/>
      <c r="F8" s="8"/>
      <c r="G8" s="49">
        <f>SUM(E8:F8)</f>
        <v>0</v>
      </c>
      <c r="H8" s="49">
        <f>F16.1x!H23</f>
        <v>0</v>
      </c>
      <c r="I8" s="49">
        <f>F16.1x!H29</f>
        <v>0</v>
      </c>
      <c r="J8" s="49">
        <f>F16.1x!H35</f>
        <v>0</v>
      </c>
      <c r="K8" s="49">
        <f>F16.1x!H41</f>
        <v>0</v>
      </c>
      <c r="L8" s="49">
        <f>F16.1x!H47</f>
        <v>0</v>
      </c>
    </row>
    <row r="9" spans="2:12">
      <c r="B9" s="8"/>
      <c r="C9" s="8"/>
      <c r="D9" s="8"/>
      <c r="E9" s="8"/>
      <c r="F9" s="8"/>
      <c r="G9" s="8"/>
      <c r="H9" s="8"/>
      <c r="I9" s="8"/>
      <c r="J9" s="8"/>
      <c r="K9" s="8"/>
      <c r="L9" s="8"/>
    </row>
    <row r="10" ht="15" spans="2:12">
      <c r="B10" s="7">
        <v>2</v>
      </c>
      <c r="C10" s="649" t="s">
        <v>662</v>
      </c>
      <c r="D10" s="8"/>
      <c r="E10" s="8"/>
      <c r="F10" s="8"/>
      <c r="G10" s="8"/>
      <c r="H10" s="8"/>
      <c r="I10" s="8"/>
      <c r="J10" s="8"/>
      <c r="K10" s="8"/>
      <c r="L10" s="8"/>
    </row>
    <row r="11" spans="2:12">
      <c r="B11" s="8"/>
      <c r="C11" s="8" t="s">
        <v>663</v>
      </c>
      <c r="D11" s="8"/>
      <c r="E11" s="8"/>
      <c r="F11" s="8"/>
      <c r="G11" s="8"/>
      <c r="H11" s="8"/>
      <c r="I11" s="8"/>
      <c r="J11" s="8"/>
      <c r="K11" s="8"/>
      <c r="L11" s="8"/>
    </row>
    <row r="12" spans="2:12">
      <c r="B12" s="8"/>
      <c r="C12" s="8" t="s">
        <v>664</v>
      </c>
      <c r="D12" s="8"/>
      <c r="E12" s="8"/>
      <c r="F12" s="8"/>
      <c r="G12" s="8"/>
      <c r="H12" s="8"/>
      <c r="I12" s="8"/>
      <c r="J12" s="8"/>
      <c r="K12" s="8"/>
      <c r="L12" s="8"/>
    </row>
    <row r="13" spans="2:12">
      <c r="B13" s="8"/>
      <c r="C13" s="8" t="s">
        <v>652</v>
      </c>
      <c r="D13" s="8"/>
      <c r="E13" s="8"/>
      <c r="F13" s="8"/>
      <c r="G13" s="8"/>
      <c r="H13" s="8"/>
      <c r="I13" s="8"/>
      <c r="J13" s="8"/>
      <c r="K13" s="8"/>
      <c r="L13" s="8"/>
    </row>
    <row r="14" ht="15" spans="2:12">
      <c r="B14" s="8"/>
      <c r="C14" s="649" t="s">
        <v>665</v>
      </c>
      <c r="D14" s="65">
        <f>SUM(D11:D13)</f>
        <v>0</v>
      </c>
      <c r="E14" s="8"/>
      <c r="F14" s="8"/>
      <c r="G14" s="65">
        <f>SUM(E14:F14)</f>
        <v>0</v>
      </c>
      <c r="H14" s="65">
        <f t="shared" ref="H14:L14" si="0">SUM(H11:H13)</f>
        <v>0</v>
      </c>
      <c r="I14" s="65">
        <f t="shared" si="0"/>
        <v>0</v>
      </c>
      <c r="J14" s="65">
        <f t="shared" si="0"/>
        <v>0</v>
      </c>
      <c r="K14" s="65">
        <f t="shared" si="0"/>
        <v>0</v>
      </c>
      <c r="L14" s="65">
        <f t="shared" si="0"/>
        <v>0</v>
      </c>
    </row>
    <row r="15" spans="2:12"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</row>
    <row r="16" spans="2:12">
      <c r="B16" s="7">
        <v>3</v>
      </c>
      <c r="C16" s="8" t="s">
        <v>666</v>
      </c>
      <c r="D16" s="8"/>
      <c r="E16" s="8"/>
      <c r="F16" s="8"/>
      <c r="G16" s="8"/>
      <c r="H16" s="8"/>
      <c r="I16" s="8"/>
      <c r="J16" s="8"/>
      <c r="K16" s="8"/>
      <c r="L16" s="8"/>
    </row>
    <row r="17" spans="2:12">
      <c r="B17" s="7">
        <v>4</v>
      </c>
      <c r="C17" s="8" t="s">
        <v>667</v>
      </c>
      <c r="D17" s="8"/>
      <c r="E17" s="8"/>
      <c r="F17" s="8"/>
      <c r="G17" s="8"/>
      <c r="H17" s="8"/>
      <c r="I17" s="8"/>
      <c r="J17" s="8"/>
      <c r="K17" s="8"/>
      <c r="L17" s="8"/>
    </row>
    <row r="18" spans="2:12">
      <c r="B18" s="7">
        <v>5</v>
      </c>
      <c r="C18" s="8" t="s">
        <v>668</v>
      </c>
      <c r="D18" s="8"/>
      <c r="E18" s="8"/>
      <c r="F18" s="8"/>
      <c r="G18" s="8"/>
      <c r="H18" s="8"/>
      <c r="I18" s="8"/>
      <c r="J18" s="8"/>
      <c r="K18" s="8"/>
      <c r="L18" s="8"/>
    </row>
    <row r="19" spans="2:12"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</row>
    <row r="20" ht="15" spans="2:12">
      <c r="B20" s="7">
        <v>6</v>
      </c>
      <c r="C20" s="649" t="s">
        <v>669</v>
      </c>
      <c r="D20" s="650">
        <f>D8+D14+SUM(D16:D18)</f>
        <v>0</v>
      </c>
      <c r="E20" s="8"/>
      <c r="F20" s="8"/>
      <c r="G20" s="650">
        <f t="shared" ref="G20:L20" si="1">G8+G14+SUM(G16:G18)</f>
        <v>0</v>
      </c>
      <c r="H20" s="650">
        <f t="shared" si="1"/>
        <v>0</v>
      </c>
      <c r="I20" s="650">
        <f t="shared" si="1"/>
        <v>0</v>
      </c>
      <c r="J20" s="650">
        <f t="shared" si="1"/>
        <v>0</v>
      </c>
      <c r="K20" s="650">
        <f t="shared" si="1"/>
        <v>0</v>
      </c>
      <c r="L20" s="650">
        <f t="shared" si="1"/>
        <v>0</v>
      </c>
    </row>
  </sheetData>
  <mergeCells count="6">
    <mergeCell ref="B2:P2"/>
    <mergeCell ref="E5:G5"/>
    <mergeCell ref="H5:L5"/>
    <mergeCell ref="B5:B7"/>
    <mergeCell ref="C5:C7"/>
    <mergeCell ref="D5:D6"/>
  </mergeCells>
  <pageMargins left="0.7" right="0.7" top="0.75" bottom="0.75" header="0.3" footer="0.3"/>
  <pageSetup paperSize="1" orientation="portrait"/>
  <headerFooter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1:P66"/>
  <sheetViews>
    <sheetView showGridLines="0" zoomScaleSheetLayoutView="90" workbookViewId="0">
      <selection activeCell="B2" sqref="B2:P2"/>
    </sheetView>
  </sheetViews>
  <sheetFormatPr defaultColWidth="9.14285714285714" defaultRowHeight="14.25"/>
  <cols>
    <col min="1" max="1" width="4.14285714285714" style="12" customWidth="1"/>
    <col min="2" max="2" width="9.14285714285714" style="12"/>
    <col min="3" max="3" width="23.8571428571429" style="12" customWidth="1"/>
    <col min="4" max="4" width="14.1428571428571" style="12" customWidth="1"/>
    <col min="5" max="6" width="13.1428571428571" style="12" customWidth="1"/>
    <col min="7" max="7" width="10.8571428571429" style="12" customWidth="1"/>
    <col min="8" max="8" width="14.8571428571429" style="12" customWidth="1"/>
    <col min="9" max="9" width="10.8571428571429" style="12" customWidth="1"/>
    <col min="10" max="10" width="15.1428571428571" style="12" customWidth="1"/>
    <col min="11" max="12" width="10.8571428571429" style="12" customWidth="1"/>
    <col min="13" max="13" width="13.8571428571429" style="12" customWidth="1"/>
    <col min="14" max="14" width="15.1428571428571" style="12" customWidth="1"/>
    <col min="15" max="15" width="10.8571428571429" style="12" customWidth="1"/>
    <col min="16" max="16" width="13.8571428571429" style="12" customWidth="1"/>
    <col min="17" max="22" width="11.8571428571429" style="12" customWidth="1"/>
    <col min="23" max="16384" width="9.14285714285714" style="12"/>
  </cols>
  <sheetData>
    <row r="1" ht="15" spans="2:2">
      <c r="B1" s="14"/>
    </row>
    <row r="2" ht="15" spans="2:16">
      <c r="B2" s="2" t="s">
        <v>156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8:9">
      <c r="H3" s="3" t="s">
        <v>670</v>
      </c>
      <c r="I3" s="3"/>
    </row>
    <row r="4" ht="15.75" spans="11:15">
      <c r="K4" s="3"/>
      <c r="O4" s="11" t="s">
        <v>109</v>
      </c>
    </row>
    <row r="5" ht="15" spans="2:15">
      <c r="B5" s="620" t="s">
        <v>112</v>
      </c>
      <c r="C5" s="621"/>
      <c r="D5" s="621"/>
      <c r="E5" s="621"/>
      <c r="F5" s="621"/>
      <c r="G5" s="621"/>
      <c r="H5" s="621"/>
      <c r="I5" s="621"/>
      <c r="J5" s="621"/>
      <c r="K5" s="621"/>
      <c r="L5" s="621"/>
      <c r="M5" s="621"/>
      <c r="N5" s="621"/>
      <c r="O5" s="643"/>
    </row>
    <row r="6" customHeight="1" spans="2:15">
      <c r="B6" s="622" t="s">
        <v>564</v>
      </c>
      <c r="C6" s="977" t="s">
        <v>671</v>
      </c>
      <c r="D6" s="623" t="s">
        <v>672</v>
      </c>
      <c r="E6" s="623" t="s">
        <v>673</v>
      </c>
      <c r="F6" s="623" t="s">
        <v>674</v>
      </c>
      <c r="G6" s="623"/>
      <c r="H6" s="623"/>
      <c r="I6" s="623"/>
      <c r="J6" s="623" t="s">
        <v>675</v>
      </c>
      <c r="K6" s="623"/>
      <c r="L6" s="623"/>
      <c r="M6" s="623"/>
      <c r="N6" s="623" t="s">
        <v>676</v>
      </c>
      <c r="O6" s="644"/>
    </row>
    <row r="7" ht="60.75" spans="2:15">
      <c r="B7" s="624"/>
      <c r="C7" s="625"/>
      <c r="D7" s="625"/>
      <c r="E7" s="625"/>
      <c r="F7" s="625" t="s">
        <v>677</v>
      </c>
      <c r="G7" s="625" t="s">
        <v>678</v>
      </c>
      <c r="H7" s="625" t="s">
        <v>679</v>
      </c>
      <c r="I7" s="625" t="s">
        <v>680</v>
      </c>
      <c r="J7" s="625" t="s">
        <v>681</v>
      </c>
      <c r="K7" s="625" t="s">
        <v>678</v>
      </c>
      <c r="L7" s="625" t="s">
        <v>682</v>
      </c>
      <c r="M7" s="625" t="s">
        <v>683</v>
      </c>
      <c r="N7" s="625" t="s">
        <v>677</v>
      </c>
      <c r="O7" s="645" t="s">
        <v>680</v>
      </c>
    </row>
    <row r="8" ht="15" spans="2:15">
      <c r="B8" s="626">
        <v>1</v>
      </c>
      <c r="C8" s="627" t="s">
        <v>684</v>
      </c>
      <c r="D8" s="628"/>
      <c r="E8" s="629"/>
      <c r="F8" s="630"/>
      <c r="G8" s="631"/>
      <c r="H8" s="630"/>
      <c r="I8" s="630"/>
      <c r="J8" s="630"/>
      <c r="K8" s="646"/>
      <c r="L8" s="630"/>
      <c r="M8" s="630"/>
      <c r="N8" s="630"/>
      <c r="O8" s="647"/>
    </row>
    <row r="9" ht="15" spans="2:15">
      <c r="B9" s="632">
        <v>2</v>
      </c>
      <c r="C9" s="633" t="s">
        <v>626</v>
      </c>
      <c r="D9" s="634"/>
      <c r="E9" s="416"/>
      <c r="F9" s="635"/>
      <c r="G9" s="636"/>
      <c r="H9" s="635"/>
      <c r="I9" s="635"/>
      <c r="J9" s="635"/>
      <c r="K9" s="638"/>
      <c r="L9" s="635"/>
      <c r="M9" s="635"/>
      <c r="N9" s="635"/>
      <c r="O9" s="648"/>
    </row>
    <row r="10" ht="15" spans="2:15">
      <c r="B10" s="632">
        <v>3</v>
      </c>
      <c r="C10" s="637" t="s">
        <v>685</v>
      </c>
      <c r="D10" s="634"/>
      <c r="E10" s="416"/>
      <c r="F10" s="635"/>
      <c r="G10" s="636"/>
      <c r="H10" s="635"/>
      <c r="I10" s="635"/>
      <c r="J10" s="635"/>
      <c r="K10" s="638"/>
      <c r="L10" s="635"/>
      <c r="M10" s="635"/>
      <c r="N10" s="635"/>
      <c r="O10" s="648"/>
    </row>
    <row r="11" ht="15" spans="2:15">
      <c r="B11" s="632"/>
      <c r="C11" s="637" t="s">
        <v>652</v>
      </c>
      <c r="D11" s="634"/>
      <c r="E11" s="426"/>
      <c r="F11" s="635"/>
      <c r="G11" s="636"/>
      <c r="H11" s="638"/>
      <c r="I11" s="635"/>
      <c r="J11" s="635"/>
      <c r="K11" s="638"/>
      <c r="L11" s="635"/>
      <c r="M11" s="635"/>
      <c r="N11" s="635"/>
      <c r="O11" s="648"/>
    </row>
    <row r="12" ht="15.75" spans="2:15">
      <c r="B12" s="639"/>
      <c r="C12" s="640" t="s">
        <v>97</v>
      </c>
      <c r="D12" s="640"/>
      <c r="E12" s="641"/>
      <c r="F12" s="642">
        <f>SUM(F8:F11)</f>
        <v>0</v>
      </c>
      <c r="G12" s="642">
        <f>SUM(G8:G11)</f>
        <v>0</v>
      </c>
      <c r="H12" s="642">
        <f>SUM(H8:H11)</f>
        <v>0</v>
      </c>
      <c r="I12" s="642">
        <f>SUM(I8:I11)</f>
        <v>0</v>
      </c>
      <c r="J12" s="642">
        <f>SUM(J8:J11)</f>
        <v>0</v>
      </c>
      <c r="K12" s="642">
        <f t="shared" ref="K12:O12" si="0">SUM(K8:K11)</f>
        <v>0</v>
      </c>
      <c r="L12" s="642">
        <f t="shared" si="0"/>
        <v>0</v>
      </c>
      <c r="M12" s="642">
        <f t="shared" si="0"/>
        <v>0</v>
      </c>
      <c r="N12" s="642">
        <f t="shared" si="0"/>
        <v>0</v>
      </c>
      <c r="O12" s="642">
        <f t="shared" si="0"/>
        <v>0</v>
      </c>
    </row>
    <row r="14" ht="15" spans="2:15">
      <c r="B14" s="620" t="s">
        <v>526</v>
      </c>
      <c r="C14" s="621"/>
      <c r="D14" s="621"/>
      <c r="E14" s="621"/>
      <c r="F14" s="621"/>
      <c r="G14" s="621"/>
      <c r="H14" s="621"/>
      <c r="I14" s="621"/>
      <c r="J14" s="621"/>
      <c r="K14" s="621"/>
      <c r="L14" s="621"/>
      <c r="M14" s="621"/>
      <c r="N14" s="621"/>
      <c r="O14" s="643"/>
    </row>
    <row r="15" customHeight="1" spans="2:15">
      <c r="B15" s="622" t="s">
        <v>564</v>
      </c>
      <c r="C15" s="977" t="s">
        <v>671</v>
      </c>
      <c r="D15" s="623" t="s">
        <v>672</v>
      </c>
      <c r="E15" s="623" t="s">
        <v>673</v>
      </c>
      <c r="F15" s="623" t="s">
        <v>674</v>
      </c>
      <c r="G15" s="623"/>
      <c r="H15" s="623"/>
      <c r="I15" s="623"/>
      <c r="J15" s="623" t="s">
        <v>675</v>
      </c>
      <c r="K15" s="623"/>
      <c r="L15" s="623"/>
      <c r="M15" s="623"/>
      <c r="N15" s="623" t="s">
        <v>676</v>
      </c>
      <c r="O15" s="644"/>
    </row>
    <row r="16" ht="60.75" spans="2:15">
      <c r="B16" s="624"/>
      <c r="C16" s="625"/>
      <c r="D16" s="625"/>
      <c r="E16" s="625"/>
      <c r="F16" s="625" t="s">
        <v>677</v>
      </c>
      <c r="G16" s="625" t="s">
        <v>678</v>
      </c>
      <c r="H16" s="625" t="s">
        <v>679</v>
      </c>
      <c r="I16" s="625" t="s">
        <v>680</v>
      </c>
      <c r="J16" s="625" t="s">
        <v>681</v>
      </c>
      <c r="K16" s="625" t="s">
        <v>678</v>
      </c>
      <c r="L16" s="625" t="s">
        <v>682</v>
      </c>
      <c r="M16" s="625" t="s">
        <v>683</v>
      </c>
      <c r="N16" s="625" t="s">
        <v>677</v>
      </c>
      <c r="O16" s="645" t="s">
        <v>680</v>
      </c>
    </row>
    <row r="17" ht="15" spans="2:15">
      <c r="B17" s="626">
        <v>1</v>
      </c>
      <c r="C17" s="627" t="s">
        <v>684</v>
      </c>
      <c r="D17" s="628"/>
      <c r="E17" s="629"/>
      <c r="F17" s="630"/>
      <c r="G17" s="631"/>
      <c r="H17" s="630"/>
      <c r="I17" s="630"/>
      <c r="J17" s="630"/>
      <c r="K17" s="646"/>
      <c r="L17" s="630"/>
      <c r="M17" s="630"/>
      <c r="N17" s="630"/>
      <c r="O17" s="647"/>
    </row>
    <row r="18" ht="15" spans="2:15">
      <c r="B18" s="632">
        <v>2</v>
      </c>
      <c r="C18" s="633" t="s">
        <v>626</v>
      </c>
      <c r="D18" s="634"/>
      <c r="E18" s="416"/>
      <c r="F18" s="635"/>
      <c r="G18" s="636"/>
      <c r="H18" s="635"/>
      <c r="I18" s="635"/>
      <c r="J18" s="635"/>
      <c r="K18" s="638"/>
      <c r="L18" s="635"/>
      <c r="M18" s="635"/>
      <c r="N18" s="635"/>
      <c r="O18" s="648"/>
    </row>
    <row r="19" ht="15" spans="2:15">
      <c r="B19" s="632">
        <v>3</v>
      </c>
      <c r="C19" s="637" t="s">
        <v>685</v>
      </c>
      <c r="D19" s="634"/>
      <c r="E19" s="416"/>
      <c r="F19" s="635"/>
      <c r="G19" s="636"/>
      <c r="H19" s="635"/>
      <c r="I19" s="635"/>
      <c r="J19" s="635"/>
      <c r="K19" s="638"/>
      <c r="L19" s="635"/>
      <c r="M19" s="635"/>
      <c r="N19" s="635"/>
      <c r="O19" s="648"/>
    </row>
    <row r="20" ht="15" spans="2:15">
      <c r="B20" s="632"/>
      <c r="C20" s="637" t="s">
        <v>652</v>
      </c>
      <c r="D20" s="634"/>
      <c r="E20" s="426"/>
      <c r="F20" s="635"/>
      <c r="G20" s="636"/>
      <c r="H20" s="638"/>
      <c r="I20" s="635"/>
      <c r="J20" s="635"/>
      <c r="K20" s="638"/>
      <c r="L20" s="635"/>
      <c r="M20" s="635"/>
      <c r="N20" s="635"/>
      <c r="O20" s="648"/>
    </row>
    <row r="21" ht="15.75" spans="2:15">
      <c r="B21" s="639"/>
      <c r="C21" s="640" t="s">
        <v>97</v>
      </c>
      <c r="D21" s="640"/>
      <c r="E21" s="641"/>
      <c r="F21" s="642">
        <f>SUM(F17:F20)</f>
        <v>0</v>
      </c>
      <c r="G21" s="642">
        <f>SUM(G17:G20)</f>
        <v>0</v>
      </c>
      <c r="H21" s="642">
        <f>SUM(H17:H20)</f>
        <v>0</v>
      </c>
      <c r="I21" s="642">
        <f>SUM(I17:I20)</f>
        <v>0</v>
      </c>
      <c r="J21" s="642">
        <f>SUM(J17:J20)</f>
        <v>0</v>
      </c>
      <c r="K21" s="642">
        <f t="shared" ref="K21" si="1">SUM(K17:K20)</f>
        <v>0</v>
      </c>
      <c r="L21" s="642">
        <f t="shared" ref="L21" si="2">SUM(L17:L20)</f>
        <v>0</v>
      </c>
      <c r="M21" s="642">
        <f t="shared" ref="M21" si="3">SUM(M17:M20)</f>
        <v>0</v>
      </c>
      <c r="N21" s="642">
        <f t="shared" ref="N21" si="4">SUM(N17:N20)</f>
        <v>0</v>
      </c>
      <c r="O21" s="642">
        <f t="shared" ref="O21" si="5">SUM(O17:O20)</f>
        <v>0</v>
      </c>
    </row>
    <row r="23" ht="15" spans="2:15">
      <c r="B23" s="620" t="s">
        <v>653</v>
      </c>
      <c r="C23" s="621"/>
      <c r="D23" s="621"/>
      <c r="E23" s="621"/>
      <c r="F23" s="621"/>
      <c r="G23" s="621"/>
      <c r="H23" s="621"/>
      <c r="I23" s="621"/>
      <c r="J23" s="621"/>
      <c r="K23" s="621"/>
      <c r="L23" s="621"/>
      <c r="M23" s="621"/>
      <c r="N23" s="621"/>
      <c r="O23" s="643"/>
    </row>
    <row r="24" ht="15" spans="2:15">
      <c r="B24" s="622" t="s">
        <v>564</v>
      </c>
      <c r="C24" s="977" t="s">
        <v>671</v>
      </c>
      <c r="D24" s="623" t="s">
        <v>672</v>
      </c>
      <c r="E24" s="623" t="s">
        <v>673</v>
      </c>
      <c r="F24" s="623" t="s">
        <v>674</v>
      </c>
      <c r="G24" s="623"/>
      <c r="H24" s="623"/>
      <c r="I24" s="623"/>
      <c r="J24" s="623" t="s">
        <v>675</v>
      </c>
      <c r="K24" s="623"/>
      <c r="L24" s="623"/>
      <c r="M24" s="623"/>
      <c r="N24" s="623" t="s">
        <v>676</v>
      </c>
      <c r="O24" s="644"/>
    </row>
    <row r="25" ht="60.75" spans="2:15">
      <c r="B25" s="624"/>
      <c r="C25" s="625"/>
      <c r="D25" s="625"/>
      <c r="E25" s="625"/>
      <c r="F25" s="625" t="s">
        <v>677</v>
      </c>
      <c r="G25" s="625" t="s">
        <v>678</v>
      </c>
      <c r="H25" s="625" t="s">
        <v>679</v>
      </c>
      <c r="I25" s="625" t="s">
        <v>680</v>
      </c>
      <c r="J25" s="625" t="s">
        <v>681</v>
      </c>
      <c r="K25" s="625" t="s">
        <v>678</v>
      </c>
      <c r="L25" s="625" t="s">
        <v>682</v>
      </c>
      <c r="M25" s="625" t="s">
        <v>683</v>
      </c>
      <c r="N25" s="625" t="s">
        <v>677</v>
      </c>
      <c r="O25" s="645" t="s">
        <v>680</v>
      </c>
    </row>
    <row r="26" ht="15" spans="2:15">
      <c r="B26" s="626">
        <v>1</v>
      </c>
      <c r="C26" s="627" t="s">
        <v>684</v>
      </c>
      <c r="D26" s="628"/>
      <c r="E26" s="629"/>
      <c r="F26" s="630"/>
      <c r="G26" s="631"/>
      <c r="H26" s="630"/>
      <c r="I26" s="630"/>
      <c r="J26" s="630"/>
      <c r="K26" s="646"/>
      <c r="L26" s="630"/>
      <c r="M26" s="630"/>
      <c r="N26" s="630"/>
      <c r="O26" s="647"/>
    </row>
    <row r="27" ht="15" spans="2:15">
      <c r="B27" s="632">
        <v>2</v>
      </c>
      <c r="C27" s="633" t="s">
        <v>626</v>
      </c>
      <c r="D27" s="634"/>
      <c r="E27" s="416"/>
      <c r="F27" s="635"/>
      <c r="G27" s="636"/>
      <c r="H27" s="635"/>
      <c r="I27" s="635"/>
      <c r="J27" s="635"/>
      <c r="K27" s="638"/>
      <c r="L27" s="635"/>
      <c r="M27" s="635"/>
      <c r="N27" s="635"/>
      <c r="O27" s="648"/>
    </row>
    <row r="28" ht="15" spans="2:15">
      <c r="B28" s="632">
        <v>3</v>
      </c>
      <c r="C28" s="637" t="s">
        <v>685</v>
      </c>
      <c r="D28" s="634"/>
      <c r="E28" s="416"/>
      <c r="F28" s="635"/>
      <c r="G28" s="636"/>
      <c r="H28" s="635"/>
      <c r="I28" s="635"/>
      <c r="J28" s="635"/>
      <c r="K28" s="638"/>
      <c r="L28" s="635"/>
      <c r="M28" s="635"/>
      <c r="N28" s="635"/>
      <c r="O28" s="648"/>
    </row>
    <row r="29" ht="15" spans="2:15">
      <c r="B29" s="632"/>
      <c r="C29" s="637" t="s">
        <v>652</v>
      </c>
      <c r="D29" s="634"/>
      <c r="E29" s="426"/>
      <c r="F29" s="635"/>
      <c r="G29" s="636"/>
      <c r="H29" s="638"/>
      <c r="I29" s="635"/>
      <c r="J29" s="635"/>
      <c r="K29" s="638"/>
      <c r="L29" s="635"/>
      <c r="M29" s="635"/>
      <c r="N29" s="635"/>
      <c r="O29" s="648"/>
    </row>
    <row r="30" ht="15.75" spans="2:15">
      <c r="B30" s="639"/>
      <c r="C30" s="640" t="s">
        <v>97</v>
      </c>
      <c r="D30" s="640"/>
      <c r="E30" s="641"/>
      <c r="F30" s="642">
        <f>SUM(F26:F29)</f>
        <v>0</v>
      </c>
      <c r="G30" s="642">
        <f>SUM(G26:G29)</f>
        <v>0</v>
      </c>
      <c r="H30" s="642">
        <f>SUM(H26:H29)</f>
        <v>0</v>
      </c>
      <c r="I30" s="642">
        <f>SUM(I26:I29)</f>
        <v>0</v>
      </c>
      <c r="J30" s="642">
        <f>SUM(J26:J29)</f>
        <v>0</v>
      </c>
      <c r="K30" s="642">
        <f t="shared" ref="K30" si="6">SUM(K26:K29)</f>
        <v>0</v>
      </c>
      <c r="L30" s="642">
        <f t="shared" ref="L30" si="7">SUM(L26:L29)</f>
        <v>0</v>
      </c>
      <c r="M30" s="642">
        <f t="shared" ref="M30" si="8">SUM(M26:M29)</f>
        <v>0</v>
      </c>
      <c r="N30" s="642">
        <f t="shared" ref="N30" si="9">SUM(N26:N29)</f>
        <v>0</v>
      </c>
      <c r="O30" s="642">
        <f t="shared" ref="O30" si="10">SUM(O26:O29)</f>
        <v>0</v>
      </c>
    </row>
    <row r="32" ht="15" spans="2:15">
      <c r="B32" s="620" t="s">
        <v>654</v>
      </c>
      <c r="C32" s="621"/>
      <c r="D32" s="621"/>
      <c r="E32" s="621"/>
      <c r="F32" s="621"/>
      <c r="G32" s="621"/>
      <c r="H32" s="621"/>
      <c r="I32" s="621"/>
      <c r="J32" s="621"/>
      <c r="K32" s="621"/>
      <c r="L32" s="621"/>
      <c r="M32" s="621"/>
      <c r="N32" s="621"/>
      <c r="O32" s="643"/>
    </row>
    <row r="33" ht="15" spans="2:15">
      <c r="B33" s="622" t="s">
        <v>564</v>
      </c>
      <c r="C33" s="977" t="s">
        <v>671</v>
      </c>
      <c r="D33" s="623" t="s">
        <v>672</v>
      </c>
      <c r="E33" s="623" t="s">
        <v>673</v>
      </c>
      <c r="F33" s="623" t="s">
        <v>674</v>
      </c>
      <c r="G33" s="623"/>
      <c r="H33" s="623"/>
      <c r="I33" s="623"/>
      <c r="J33" s="623" t="s">
        <v>675</v>
      </c>
      <c r="K33" s="623"/>
      <c r="L33" s="623"/>
      <c r="M33" s="623"/>
      <c r="N33" s="623" t="s">
        <v>676</v>
      </c>
      <c r="O33" s="644"/>
    </row>
    <row r="34" ht="60.75" spans="2:15">
      <c r="B34" s="624"/>
      <c r="C34" s="625"/>
      <c r="D34" s="625"/>
      <c r="E34" s="625"/>
      <c r="F34" s="625" t="s">
        <v>677</v>
      </c>
      <c r="G34" s="625" t="s">
        <v>678</v>
      </c>
      <c r="H34" s="625" t="s">
        <v>679</v>
      </c>
      <c r="I34" s="625" t="s">
        <v>680</v>
      </c>
      <c r="J34" s="625" t="s">
        <v>681</v>
      </c>
      <c r="K34" s="625" t="s">
        <v>678</v>
      </c>
      <c r="L34" s="625" t="s">
        <v>682</v>
      </c>
      <c r="M34" s="625" t="s">
        <v>683</v>
      </c>
      <c r="N34" s="625" t="s">
        <v>677</v>
      </c>
      <c r="O34" s="645" t="s">
        <v>680</v>
      </c>
    </row>
    <row r="35" ht="15" spans="2:15">
      <c r="B35" s="626">
        <v>1</v>
      </c>
      <c r="C35" s="627" t="s">
        <v>684</v>
      </c>
      <c r="D35" s="628"/>
      <c r="E35" s="629"/>
      <c r="F35" s="630"/>
      <c r="G35" s="631"/>
      <c r="H35" s="630"/>
      <c r="I35" s="630"/>
      <c r="J35" s="630"/>
      <c r="K35" s="646"/>
      <c r="L35" s="630"/>
      <c r="M35" s="630"/>
      <c r="N35" s="630"/>
      <c r="O35" s="647"/>
    </row>
    <row r="36" ht="15" spans="2:15">
      <c r="B36" s="632">
        <v>2</v>
      </c>
      <c r="C36" s="633" t="s">
        <v>626</v>
      </c>
      <c r="D36" s="634"/>
      <c r="E36" s="416"/>
      <c r="F36" s="635"/>
      <c r="G36" s="636"/>
      <c r="H36" s="635"/>
      <c r="I36" s="635"/>
      <c r="J36" s="635"/>
      <c r="K36" s="638"/>
      <c r="L36" s="635"/>
      <c r="M36" s="635"/>
      <c r="N36" s="635"/>
      <c r="O36" s="648"/>
    </row>
    <row r="37" ht="15" spans="2:15">
      <c r="B37" s="632">
        <v>3</v>
      </c>
      <c r="C37" s="637" t="s">
        <v>685</v>
      </c>
      <c r="D37" s="634"/>
      <c r="E37" s="416"/>
      <c r="F37" s="635"/>
      <c r="G37" s="636"/>
      <c r="H37" s="635"/>
      <c r="I37" s="635"/>
      <c r="J37" s="635"/>
      <c r="K37" s="638"/>
      <c r="L37" s="635"/>
      <c r="M37" s="635"/>
      <c r="N37" s="635"/>
      <c r="O37" s="648"/>
    </row>
    <row r="38" ht="15" spans="2:15">
      <c r="B38" s="632"/>
      <c r="C38" s="637" t="s">
        <v>652</v>
      </c>
      <c r="D38" s="634"/>
      <c r="E38" s="426"/>
      <c r="F38" s="635"/>
      <c r="G38" s="636"/>
      <c r="H38" s="638"/>
      <c r="I38" s="635"/>
      <c r="J38" s="635"/>
      <c r="K38" s="638"/>
      <c r="L38" s="635"/>
      <c r="M38" s="635"/>
      <c r="N38" s="635"/>
      <c r="O38" s="648"/>
    </row>
    <row r="39" ht="15.75" spans="2:15">
      <c r="B39" s="639"/>
      <c r="C39" s="640" t="s">
        <v>97</v>
      </c>
      <c r="D39" s="640"/>
      <c r="E39" s="641"/>
      <c r="F39" s="642">
        <f>SUM(F35:F38)</f>
        <v>0</v>
      </c>
      <c r="G39" s="642">
        <f>SUM(G35:G38)</f>
        <v>0</v>
      </c>
      <c r="H39" s="642">
        <f>SUM(H35:H38)</f>
        <v>0</v>
      </c>
      <c r="I39" s="642">
        <f>SUM(I35:I38)</f>
        <v>0</v>
      </c>
      <c r="J39" s="642">
        <f>SUM(J35:J38)</f>
        <v>0</v>
      </c>
      <c r="K39" s="642">
        <f t="shared" ref="K39" si="11">SUM(K35:K38)</f>
        <v>0</v>
      </c>
      <c r="L39" s="642">
        <f t="shared" ref="L39" si="12">SUM(L35:L38)</f>
        <v>0</v>
      </c>
      <c r="M39" s="642">
        <f t="shared" ref="M39" si="13">SUM(M35:M38)</f>
        <v>0</v>
      </c>
      <c r="N39" s="642">
        <f t="shared" ref="N39" si="14">SUM(N35:N38)</f>
        <v>0</v>
      </c>
      <c r="O39" s="642">
        <f t="shared" ref="O39" si="15">SUM(O35:O38)</f>
        <v>0</v>
      </c>
    </row>
    <row r="41" ht="15" spans="2:15">
      <c r="B41" s="620" t="s">
        <v>655</v>
      </c>
      <c r="C41" s="621"/>
      <c r="D41" s="621"/>
      <c r="E41" s="621"/>
      <c r="F41" s="621"/>
      <c r="G41" s="621"/>
      <c r="H41" s="621"/>
      <c r="I41" s="621"/>
      <c r="J41" s="621"/>
      <c r="K41" s="621"/>
      <c r="L41" s="621"/>
      <c r="M41" s="621"/>
      <c r="N41" s="621"/>
      <c r="O41" s="643"/>
    </row>
    <row r="42" ht="15" spans="2:15">
      <c r="B42" s="622" t="s">
        <v>564</v>
      </c>
      <c r="C42" s="977" t="s">
        <v>671</v>
      </c>
      <c r="D42" s="623" t="s">
        <v>672</v>
      </c>
      <c r="E42" s="623" t="s">
        <v>673</v>
      </c>
      <c r="F42" s="623" t="s">
        <v>674</v>
      </c>
      <c r="G42" s="623"/>
      <c r="H42" s="623"/>
      <c r="I42" s="623"/>
      <c r="J42" s="623" t="s">
        <v>675</v>
      </c>
      <c r="K42" s="623"/>
      <c r="L42" s="623"/>
      <c r="M42" s="623"/>
      <c r="N42" s="623" t="s">
        <v>676</v>
      </c>
      <c r="O42" s="644"/>
    </row>
    <row r="43" ht="60.75" spans="2:15">
      <c r="B43" s="624"/>
      <c r="C43" s="625"/>
      <c r="D43" s="625"/>
      <c r="E43" s="625"/>
      <c r="F43" s="625" t="s">
        <v>677</v>
      </c>
      <c r="G43" s="625" t="s">
        <v>678</v>
      </c>
      <c r="H43" s="625" t="s">
        <v>679</v>
      </c>
      <c r="I43" s="625" t="s">
        <v>680</v>
      </c>
      <c r="J43" s="625" t="s">
        <v>681</v>
      </c>
      <c r="K43" s="625" t="s">
        <v>678</v>
      </c>
      <c r="L43" s="625" t="s">
        <v>682</v>
      </c>
      <c r="M43" s="625" t="s">
        <v>683</v>
      </c>
      <c r="N43" s="625" t="s">
        <v>677</v>
      </c>
      <c r="O43" s="645" t="s">
        <v>680</v>
      </c>
    </row>
    <row r="44" ht="15" spans="2:15">
      <c r="B44" s="626">
        <v>1</v>
      </c>
      <c r="C44" s="627" t="s">
        <v>684</v>
      </c>
      <c r="D44" s="628"/>
      <c r="E44" s="629"/>
      <c r="F44" s="630"/>
      <c r="G44" s="631"/>
      <c r="H44" s="630"/>
      <c r="I44" s="630"/>
      <c r="J44" s="630"/>
      <c r="K44" s="646"/>
      <c r="L44" s="630"/>
      <c r="M44" s="630"/>
      <c r="N44" s="630"/>
      <c r="O44" s="647"/>
    </row>
    <row r="45" ht="15" spans="2:15">
      <c r="B45" s="632">
        <v>2</v>
      </c>
      <c r="C45" s="633" t="s">
        <v>626</v>
      </c>
      <c r="D45" s="634"/>
      <c r="E45" s="416"/>
      <c r="F45" s="635"/>
      <c r="G45" s="636"/>
      <c r="H45" s="635"/>
      <c r="I45" s="635"/>
      <c r="J45" s="635"/>
      <c r="K45" s="638"/>
      <c r="L45" s="635"/>
      <c r="M45" s="635"/>
      <c r="N45" s="635"/>
      <c r="O45" s="648"/>
    </row>
    <row r="46" ht="15" spans="2:15">
      <c r="B46" s="632">
        <v>3</v>
      </c>
      <c r="C46" s="637" t="s">
        <v>685</v>
      </c>
      <c r="D46" s="634"/>
      <c r="E46" s="416"/>
      <c r="F46" s="635"/>
      <c r="G46" s="636"/>
      <c r="H46" s="635"/>
      <c r="I46" s="635"/>
      <c r="J46" s="635"/>
      <c r="K46" s="638"/>
      <c r="L46" s="635"/>
      <c r="M46" s="635"/>
      <c r="N46" s="635"/>
      <c r="O46" s="648"/>
    </row>
    <row r="47" ht="15" spans="2:15">
      <c r="B47" s="632"/>
      <c r="C47" s="637" t="s">
        <v>652</v>
      </c>
      <c r="D47" s="634"/>
      <c r="E47" s="426"/>
      <c r="F47" s="635"/>
      <c r="G47" s="636"/>
      <c r="H47" s="638"/>
      <c r="I47" s="635"/>
      <c r="J47" s="635"/>
      <c r="K47" s="638"/>
      <c r="L47" s="635"/>
      <c r="M47" s="635"/>
      <c r="N47" s="635"/>
      <c r="O47" s="648"/>
    </row>
    <row r="48" ht="15.75" spans="2:15">
      <c r="B48" s="639"/>
      <c r="C48" s="640" t="s">
        <v>97</v>
      </c>
      <c r="D48" s="640"/>
      <c r="E48" s="641"/>
      <c r="F48" s="642">
        <f>SUM(F44:F47)</f>
        <v>0</v>
      </c>
      <c r="G48" s="642">
        <f>SUM(G44:G47)</f>
        <v>0</v>
      </c>
      <c r="H48" s="642">
        <f>SUM(H44:H47)</f>
        <v>0</v>
      </c>
      <c r="I48" s="642">
        <f>SUM(I44:I47)</f>
        <v>0</v>
      </c>
      <c r="J48" s="642">
        <f>SUM(J44:J47)</f>
        <v>0</v>
      </c>
      <c r="K48" s="642">
        <f t="shared" ref="K48" si="16">SUM(K44:K47)</f>
        <v>0</v>
      </c>
      <c r="L48" s="642">
        <f t="shared" ref="L48" si="17">SUM(L44:L47)</f>
        <v>0</v>
      </c>
      <c r="M48" s="642">
        <f t="shared" ref="M48" si="18">SUM(M44:M47)</f>
        <v>0</v>
      </c>
      <c r="N48" s="642">
        <f t="shared" ref="N48" si="19">SUM(N44:N47)</f>
        <v>0</v>
      </c>
      <c r="O48" s="642">
        <f t="shared" ref="O48" si="20">SUM(O44:O47)</f>
        <v>0</v>
      </c>
    </row>
    <row r="50" ht="15" spans="2:15">
      <c r="B50" s="620" t="s">
        <v>656</v>
      </c>
      <c r="C50" s="621"/>
      <c r="D50" s="621"/>
      <c r="E50" s="621"/>
      <c r="F50" s="621"/>
      <c r="G50" s="621"/>
      <c r="H50" s="621"/>
      <c r="I50" s="621"/>
      <c r="J50" s="621"/>
      <c r="K50" s="621"/>
      <c r="L50" s="621"/>
      <c r="M50" s="621"/>
      <c r="N50" s="621"/>
      <c r="O50" s="643"/>
    </row>
    <row r="51" ht="15" spans="2:15">
      <c r="B51" s="622" t="s">
        <v>564</v>
      </c>
      <c r="C51" s="977" t="s">
        <v>671</v>
      </c>
      <c r="D51" s="623" t="s">
        <v>672</v>
      </c>
      <c r="E51" s="623" t="s">
        <v>673</v>
      </c>
      <c r="F51" s="623" t="s">
        <v>674</v>
      </c>
      <c r="G51" s="623"/>
      <c r="H51" s="623"/>
      <c r="I51" s="623"/>
      <c r="J51" s="623" t="s">
        <v>675</v>
      </c>
      <c r="K51" s="623"/>
      <c r="L51" s="623"/>
      <c r="M51" s="623"/>
      <c r="N51" s="623" t="s">
        <v>676</v>
      </c>
      <c r="O51" s="644"/>
    </row>
    <row r="52" ht="60.75" spans="2:15">
      <c r="B52" s="624"/>
      <c r="C52" s="625"/>
      <c r="D52" s="625"/>
      <c r="E52" s="625"/>
      <c r="F52" s="625" t="s">
        <v>677</v>
      </c>
      <c r="G52" s="625" t="s">
        <v>678</v>
      </c>
      <c r="H52" s="625" t="s">
        <v>679</v>
      </c>
      <c r="I52" s="625" t="s">
        <v>680</v>
      </c>
      <c r="J52" s="625" t="s">
        <v>681</v>
      </c>
      <c r="K52" s="625" t="s">
        <v>678</v>
      </c>
      <c r="L52" s="625" t="s">
        <v>682</v>
      </c>
      <c r="M52" s="625" t="s">
        <v>683</v>
      </c>
      <c r="N52" s="625" t="s">
        <v>677</v>
      </c>
      <c r="O52" s="645" t="s">
        <v>680</v>
      </c>
    </row>
    <row r="53" ht="15" spans="2:15">
      <c r="B53" s="626">
        <v>1</v>
      </c>
      <c r="C53" s="627" t="s">
        <v>684</v>
      </c>
      <c r="D53" s="628"/>
      <c r="E53" s="629"/>
      <c r="F53" s="630"/>
      <c r="G53" s="631"/>
      <c r="H53" s="630"/>
      <c r="I53" s="630"/>
      <c r="J53" s="630"/>
      <c r="K53" s="646"/>
      <c r="L53" s="630"/>
      <c r="M53" s="630"/>
      <c r="N53" s="630"/>
      <c r="O53" s="647"/>
    </row>
    <row r="54" ht="15" spans="2:15">
      <c r="B54" s="632">
        <v>2</v>
      </c>
      <c r="C54" s="633" t="s">
        <v>626</v>
      </c>
      <c r="D54" s="634"/>
      <c r="E54" s="416"/>
      <c r="F54" s="635"/>
      <c r="G54" s="636"/>
      <c r="H54" s="635"/>
      <c r="I54" s="635"/>
      <c r="J54" s="635"/>
      <c r="K54" s="638"/>
      <c r="L54" s="635"/>
      <c r="M54" s="635"/>
      <c r="N54" s="635"/>
      <c r="O54" s="648"/>
    </row>
    <row r="55" ht="15" spans="2:15">
      <c r="B55" s="632">
        <v>3</v>
      </c>
      <c r="C55" s="637" t="s">
        <v>685</v>
      </c>
      <c r="D55" s="634"/>
      <c r="E55" s="416"/>
      <c r="F55" s="635"/>
      <c r="G55" s="636"/>
      <c r="H55" s="635"/>
      <c r="I55" s="635"/>
      <c r="J55" s="635"/>
      <c r="K55" s="638"/>
      <c r="L55" s="635"/>
      <c r="M55" s="635"/>
      <c r="N55" s="635"/>
      <c r="O55" s="648"/>
    </row>
    <row r="56" ht="15" spans="2:15">
      <c r="B56" s="632"/>
      <c r="C56" s="637" t="s">
        <v>652</v>
      </c>
      <c r="D56" s="634"/>
      <c r="E56" s="426"/>
      <c r="F56" s="635"/>
      <c r="G56" s="636"/>
      <c r="H56" s="638"/>
      <c r="I56" s="635"/>
      <c r="J56" s="635"/>
      <c r="K56" s="638"/>
      <c r="L56" s="635"/>
      <c r="M56" s="635"/>
      <c r="N56" s="635"/>
      <c r="O56" s="648"/>
    </row>
    <row r="57" ht="15.75" spans="2:15">
      <c r="B57" s="639"/>
      <c r="C57" s="640" t="s">
        <v>97</v>
      </c>
      <c r="D57" s="640"/>
      <c r="E57" s="641"/>
      <c r="F57" s="642">
        <f>SUM(F53:F56)</f>
        <v>0</v>
      </c>
      <c r="G57" s="642">
        <f>SUM(G53:G56)</f>
        <v>0</v>
      </c>
      <c r="H57" s="642">
        <f>SUM(H53:H56)</f>
        <v>0</v>
      </c>
      <c r="I57" s="642">
        <f>SUM(I53:I56)</f>
        <v>0</v>
      </c>
      <c r="J57" s="642">
        <f>SUM(J53:J56)</f>
        <v>0</v>
      </c>
      <c r="K57" s="642">
        <f t="shared" ref="K57" si="21">SUM(K53:K56)</f>
        <v>0</v>
      </c>
      <c r="L57" s="642">
        <f t="shared" ref="L57" si="22">SUM(L53:L56)</f>
        <v>0</v>
      </c>
      <c r="M57" s="642">
        <f t="shared" ref="M57" si="23">SUM(M53:M56)</f>
        <v>0</v>
      </c>
      <c r="N57" s="642">
        <f t="shared" ref="N57" si="24">SUM(N53:N56)</f>
        <v>0</v>
      </c>
      <c r="O57" s="642">
        <f t="shared" ref="O57" si="25">SUM(O53:O56)</f>
        <v>0</v>
      </c>
    </row>
    <row r="59" ht="15" spans="2:15">
      <c r="B59" s="620" t="s">
        <v>657</v>
      </c>
      <c r="C59" s="621"/>
      <c r="D59" s="621"/>
      <c r="E59" s="621"/>
      <c r="F59" s="621"/>
      <c r="G59" s="621"/>
      <c r="H59" s="621"/>
      <c r="I59" s="621"/>
      <c r="J59" s="621"/>
      <c r="K59" s="621"/>
      <c r="L59" s="621"/>
      <c r="M59" s="621"/>
      <c r="N59" s="621"/>
      <c r="O59" s="643"/>
    </row>
    <row r="60" ht="15" spans="2:15">
      <c r="B60" s="622" t="s">
        <v>564</v>
      </c>
      <c r="C60" s="977" t="s">
        <v>671</v>
      </c>
      <c r="D60" s="623" t="s">
        <v>672</v>
      </c>
      <c r="E60" s="623" t="s">
        <v>673</v>
      </c>
      <c r="F60" s="623" t="s">
        <v>674</v>
      </c>
      <c r="G60" s="623"/>
      <c r="H60" s="623"/>
      <c r="I60" s="623"/>
      <c r="J60" s="623" t="s">
        <v>675</v>
      </c>
      <c r="K60" s="623"/>
      <c r="L60" s="623"/>
      <c r="M60" s="623"/>
      <c r="N60" s="623" t="s">
        <v>676</v>
      </c>
      <c r="O60" s="644"/>
    </row>
    <row r="61" ht="60.75" spans="2:15">
      <c r="B61" s="624"/>
      <c r="C61" s="625"/>
      <c r="D61" s="625"/>
      <c r="E61" s="625"/>
      <c r="F61" s="625" t="s">
        <v>677</v>
      </c>
      <c r="G61" s="625" t="s">
        <v>678</v>
      </c>
      <c r="H61" s="625" t="s">
        <v>679</v>
      </c>
      <c r="I61" s="625" t="s">
        <v>680</v>
      </c>
      <c r="J61" s="625" t="s">
        <v>681</v>
      </c>
      <c r="K61" s="625" t="s">
        <v>678</v>
      </c>
      <c r="L61" s="625" t="s">
        <v>682</v>
      </c>
      <c r="M61" s="625" t="s">
        <v>683</v>
      </c>
      <c r="N61" s="625" t="s">
        <v>677</v>
      </c>
      <c r="O61" s="645" t="s">
        <v>680</v>
      </c>
    </row>
    <row r="62" ht="15" spans="2:15">
      <c r="B62" s="626">
        <v>1</v>
      </c>
      <c r="C62" s="627" t="s">
        <v>684</v>
      </c>
      <c r="D62" s="628"/>
      <c r="E62" s="629"/>
      <c r="F62" s="630"/>
      <c r="G62" s="631"/>
      <c r="H62" s="630"/>
      <c r="I62" s="630"/>
      <c r="J62" s="630"/>
      <c r="K62" s="646"/>
      <c r="L62" s="630"/>
      <c r="M62" s="630"/>
      <c r="N62" s="630"/>
      <c r="O62" s="647"/>
    </row>
    <row r="63" ht="15" spans="2:15">
      <c r="B63" s="632">
        <v>2</v>
      </c>
      <c r="C63" s="633" t="s">
        <v>626</v>
      </c>
      <c r="D63" s="634"/>
      <c r="E63" s="416"/>
      <c r="F63" s="635"/>
      <c r="G63" s="636"/>
      <c r="H63" s="635"/>
      <c r="I63" s="635"/>
      <c r="J63" s="635"/>
      <c r="K63" s="638"/>
      <c r="L63" s="635"/>
      <c r="M63" s="635"/>
      <c r="N63" s="635"/>
      <c r="O63" s="648"/>
    </row>
    <row r="64" ht="15" spans="2:15">
      <c r="B64" s="632">
        <v>3</v>
      </c>
      <c r="C64" s="637" t="s">
        <v>685</v>
      </c>
      <c r="D64" s="634"/>
      <c r="E64" s="416"/>
      <c r="F64" s="635"/>
      <c r="G64" s="636"/>
      <c r="H64" s="635"/>
      <c r="I64" s="635"/>
      <c r="J64" s="635"/>
      <c r="K64" s="638"/>
      <c r="L64" s="635"/>
      <c r="M64" s="635"/>
      <c r="N64" s="635"/>
      <c r="O64" s="648"/>
    </row>
    <row r="65" ht="15" spans="2:15">
      <c r="B65" s="632"/>
      <c r="C65" s="637" t="s">
        <v>652</v>
      </c>
      <c r="D65" s="634"/>
      <c r="E65" s="426"/>
      <c r="F65" s="635"/>
      <c r="G65" s="636"/>
      <c r="H65" s="638"/>
      <c r="I65" s="635"/>
      <c r="J65" s="635"/>
      <c r="K65" s="638"/>
      <c r="L65" s="635"/>
      <c r="M65" s="635"/>
      <c r="N65" s="635"/>
      <c r="O65" s="648"/>
    </row>
    <row r="66" ht="15.75" spans="2:15">
      <c r="B66" s="639"/>
      <c r="C66" s="640" t="s">
        <v>97</v>
      </c>
      <c r="D66" s="640"/>
      <c r="E66" s="641"/>
      <c r="F66" s="642">
        <f>SUM(F62:F65)</f>
        <v>0</v>
      </c>
      <c r="G66" s="642">
        <f>SUM(G62:G65)</f>
        <v>0</v>
      </c>
      <c r="H66" s="642">
        <f>SUM(H62:H65)</f>
        <v>0</v>
      </c>
      <c r="I66" s="642">
        <f>SUM(I62:I65)</f>
        <v>0</v>
      </c>
      <c r="J66" s="642">
        <f>SUM(J62:J65)</f>
        <v>0</v>
      </c>
      <c r="K66" s="642">
        <f t="shared" ref="K66" si="26">SUM(K62:K65)</f>
        <v>0</v>
      </c>
      <c r="L66" s="642">
        <f t="shared" ref="L66" si="27">SUM(L62:L65)</f>
        <v>0</v>
      </c>
      <c r="M66" s="642">
        <f t="shared" ref="M66" si="28">SUM(M62:M65)</f>
        <v>0</v>
      </c>
      <c r="N66" s="642">
        <f t="shared" ref="N66" si="29">SUM(N62:N65)</f>
        <v>0</v>
      </c>
      <c r="O66" s="642">
        <f t="shared" ref="O66" si="30">SUM(O62:O65)</f>
        <v>0</v>
      </c>
    </row>
  </sheetData>
  <mergeCells count="57">
    <mergeCell ref="B2:P2"/>
    <mergeCell ref="B5:O5"/>
    <mergeCell ref="F6:I6"/>
    <mergeCell ref="J6:M6"/>
    <mergeCell ref="N6:O6"/>
    <mergeCell ref="B14:O14"/>
    <mergeCell ref="F15:I15"/>
    <mergeCell ref="J15:M15"/>
    <mergeCell ref="N15:O15"/>
    <mergeCell ref="B23:O23"/>
    <mergeCell ref="F24:I24"/>
    <mergeCell ref="J24:M24"/>
    <mergeCell ref="N24:O24"/>
    <mergeCell ref="B32:O32"/>
    <mergeCell ref="F33:I33"/>
    <mergeCell ref="J33:M33"/>
    <mergeCell ref="N33:O33"/>
    <mergeCell ref="B41:O41"/>
    <mergeCell ref="F42:I42"/>
    <mergeCell ref="J42:M42"/>
    <mergeCell ref="N42:O42"/>
    <mergeCell ref="B50:O50"/>
    <mergeCell ref="F51:I51"/>
    <mergeCell ref="J51:M51"/>
    <mergeCell ref="N51:O51"/>
    <mergeCell ref="B59:O59"/>
    <mergeCell ref="F60:I60"/>
    <mergeCell ref="J60:M60"/>
    <mergeCell ref="N60:O60"/>
    <mergeCell ref="B6:B7"/>
    <mergeCell ref="B15:B16"/>
    <mergeCell ref="B24:B25"/>
    <mergeCell ref="B33:B34"/>
    <mergeCell ref="B42:B43"/>
    <mergeCell ref="B51:B52"/>
    <mergeCell ref="B60:B61"/>
    <mergeCell ref="C6:C7"/>
    <mergeCell ref="C15:C16"/>
    <mergeCell ref="C24:C25"/>
    <mergeCell ref="C33:C34"/>
    <mergeCell ref="C42:C43"/>
    <mergeCell ref="C51:C52"/>
    <mergeCell ref="C60:C61"/>
    <mergeCell ref="D6:D7"/>
    <mergeCell ref="D15:D16"/>
    <mergeCell ref="D24:D25"/>
    <mergeCell ref="D33:D34"/>
    <mergeCell ref="D42:D43"/>
    <mergeCell ref="D51:D52"/>
    <mergeCell ref="D60:D61"/>
    <mergeCell ref="E6:E7"/>
    <mergeCell ref="E15:E16"/>
    <mergeCell ref="E24:E25"/>
    <mergeCell ref="E33:E34"/>
    <mergeCell ref="E42:E43"/>
    <mergeCell ref="E51:E52"/>
    <mergeCell ref="E60:E61"/>
  </mergeCells>
  <pageMargins left="1.02" right="0.25" top="1" bottom="1" header="0.25" footer="0.25"/>
  <pageSetup paperSize="9" scale="34" orientation="landscape"/>
  <headerFooter alignWithMargins="0">
    <oddHeader>&amp;C&amp;F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1:P58"/>
  <sheetViews>
    <sheetView showGridLines="0" zoomScaleSheetLayoutView="90" workbookViewId="0">
      <selection activeCell="B2" sqref="B2:P2"/>
    </sheetView>
  </sheetViews>
  <sheetFormatPr defaultColWidth="9.14285714285714" defaultRowHeight="14.25"/>
  <cols>
    <col min="1" max="1" width="4.14285714285714" style="12" customWidth="1"/>
    <col min="2" max="2" width="6.14285714285714" style="12" customWidth="1"/>
    <col min="3" max="3" width="39.8571428571429" style="12" customWidth="1"/>
    <col min="4" max="4" width="13.8571428571429" style="12" customWidth="1"/>
    <col min="5" max="5" width="12.5714285714286" style="12" customWidth="1"/>
    <col min="6" max="6" width="13.4285714285714" style="12" customWidth="1"/>
    <col min="7" max="7" width="13.8571428571429" style="12" customWidth="1"/>
    <col min="8" max="8" width="12.5714285714286" style="12" customWidth="1"/>
    <col min="9" max="9" width="13.1428571428571" style="12" customWidth="1"/>
    <col min="10" max="10" width="12.5714285714286" style="12" customWidth="1"/>
    <col min="11" max="11" width="11.8571428571429" style="12" customWidth="1"/>
    <col min="12" max="12" width="13.8571428571429" style="12" customWidth="1"/>
    <col min="13" max="18" width="11.8571428571429" style="12" customWidth="1"/>
    <col min="19" max="16384" width="9.14285714285714" style="12"/>
  </cols>
  <sheetData>
    <row r="1" ht="15" spans="2:2">
      <c r="B1" s="14"/>
    </row>
    <row r="2" ht="15" spans="2:16">
      <c r="B2" s="2" t="s">
        <v>156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8:8">
      <c r="H3" s="3" t="s">
        <v>686</v>
      </c>
    </row>
    <row r="4" ht="15" spans="2:12">
      <c r="B4" s="2" t="s">
        <v>687</v>
      </c>
      <c r="C4" s="14" t="s">
        <v>688</v>
      </c>
      <c r="D4" s="117"/>
      <c r="E4" s="117"/>
      <c r="F4" s="117"/>
      <c r="G4" s="117"/>
      <c r="H4" s="117"/>
      <c r="I4" s="117"/>
      <c r="J4" s="117"/>
      <c r="K4" s="117"/>
      <c r="L4" s="117"/>
    </row>
    <row r="5" ht="15" spans="15:15">
      <c r="O5" s="33" t="s">
        <v>109</v>
      </c>
    </row>
    <row r="6" s="15" customFormat="1" ht="15" customHeight="1" spans="2:15">
      <c r="B6" s="16" t="s">
        <v>3</v>
      </c>
      <c r="C6" s="6" t="s">
        <v>110</v>
      </c>
      <c r="D6" s="306" t="s">
        <v>112</v>
      </c>
      <c r="E6" s="307"/>
      <c r="F6" s="308"/>
      <c r="G6" s="306" t="s">
        <v>526</v>
      </c>
      <c r="H6" s="307"/>
      <c r="I6" s="307"/>
      <c r="J6" s="307"/>
      <c r="K6" s="135" t="s">
        <v>114</v>
      </c>
      <c r="L6" s="135"/>
      <c r="M6" s="135"/>
      <c r="N6" s="135"/>
      <c r="O6" s="135"/>
    </row>
    <row r="7" s="15" customFormat="1" ht="30" spans="2:15">
      <c r="B7" s="309"/>
      <c r="C7" s="6"/>
      <c r="D7" s="5" t="s">
        <v>116</v>
      </c>
      <c r="E7" s="5" t="s">
        <v>237</v>
      </c>
      <c r="F7" s="5" t="s">
        <v>118</v>
      </c>
      <c r="G7" s="5" t="s">
        <v>116</v>
      </c>
      <c r="H7" s="5" t="s">
        <v>119</v>
      </c>
      <c r="I7" s="5" t="s">
        <v>120</v>
      </c>
      <c r="J7" s="5" t="s">
        <v>238</v>
      </c>
      <c r="K7" s="5" t="s">
        <v>557</v>
      </c>
      <c r="L7" s="5" t="s">
        <v>299</v>
      </c>
      <c r="M7" s="5" t="s">
        <v>300</v>
      </c>
      <c r="N7" s="5" t="s">
        <v>301</v>
      </c>
      <c r="O7" s="5" t="s">
        <v>302</v>
      </c>
    </row>
    <row r="8" s="15" customFormat="1" ht="15" spans="2:15">
      <c r="B8" s="310"/>
      <c r="C8" s="100"/>
      <c r="D8" s="5" t="s">
        <v>127</v>
      </c>
      <c r="E8" s="5" t="s">
        <v>128</v>
      </c>
      <c r="F8" s="5" t="s">
        <v>129</v>
      </c>
      <c r="G8" s="5" t="s">
        <v>127</v>
      </c>
      <c r="H8" s="5" t="s">
        <v>130</v>
      </c>
      <c r="I8" s="5" t="s">
        <v>131</v>
      </c>
      <c r="J8" s="5" t="s">
        <v>131</v>
      </c>
      <c r="K8" s="5" t="s">
        <v>132</v>
      </c>
      <c r="L8" s="5" t="s">
        <v>132</v>
      </c>
      <c r="M8" s="5" t="s">
        <v>132</v>
      </c>
      <c r="N8" s="5" t="s">
        <v>132</v>
      </c>
      <c r="O8" s="5" t="s">
        <v>132</v>
      </c>
    </row>
    <row r="9" spans="2:15">
      <c r="B9" s="311">
        <v>1</v>
      </c>
      <c r="C9" s="55" t="s">
        <v>689</v>
      </c>
      <c r="D9" s="20"/>
      <c r="E9" s="147">
        <f>D50</f>
        <v>0</v>
      </c>
      <c r="F9" s="341">
        <f>E9-D9</f>
        <v>0</v>
      </c>
      <c r="G9" s="208"/>
      <c r="H9" s="147">
        <f>E50</f>
        <v>0</v>
      </c>
      <c r="I9" s="147">
        <f>F50</f>
        <v>0</v>
      </c>
      <c r="J9" s="544">
        <f>H9+I9</f>
        <v>0</v>
      </c>
      <c r="K9" s="147">
        <f>H50</f>
        <v>0</v>
      </c>
      <c r="L9" s="147">
        <f t="shared" ref="L9:O9" si="0">I50</f>
        <v>0</v>
      </c>
      <c r="M9" s="147">
        <f t="shared" si="0"/>
        <v>0</v>
      </c>
      <c r="N9" s="147">
        <f t="shared" si="0"/>
        <v>0</v>
      </c>
      <c r="O9" s="147">
        <f t="shared" si="0"/>
        <v>0</v>
      </c>
    </row>
    <row r="10" spans="2:15">
      <c r="B10" s="100">
        <f>B9+1</f>
        <v>2</v>
      </c>
      <c r="C10" s="55" t="s">
        <v>690</v>
      </c>
      <c r="D10" s="20"/>
      <c r="E10" s="147"/>
      <c r="F10" s="341">
        <f t="shared" ref="F10:F21" si="1">E10-D10</f>
        <v>0</v>
      </c>
      <c r="G10" s="208"/>
      <c r="H10" s="147"/>
      <c r="I10" s="147"/>
      <c r="J10" s="544">
        <f t="shared" ref="J10:J21" si="2">H10+I10</f>
        <v>0</v>
      </c>
      <c r="K10" s="147"/>
      <c r="L10" s="147"/>
      <c r="M10" s="147"/>
      <c r="N10" s="147"/>
      <c r="O10" s="147"/>
    </row>
    <row r="11" spans="2:15">
      <c r="B11" s="100">
        <f t="shared" ref="B11:B21" si="3">B10+1</f>
        <v>3</v>
      </c>
      <c r="C11" s="334" t="s">
        <v>691</v>
      </c>
      <c r="D11" s="20"/>
      <c r="E11" s="147"/>
      <c r="F11" s="341">
        <f t="shared" si="1"/>
        <v>0</v>
      </c>
      <c r="G11" s="208"/>
      <c r="H11" s="147"/>
      <c r="I11" s="147"/>
      <c r="J11" s="544">
        <f t="shared" si="2"/>
        <v>0</v>
      </c>
      <c r="K11" s="147"/>
      <c r="L11" s="147"/>
      <c r="M11" s="147"/>
      <c r="N11" s="147"/>
      <c r="O11" s="147"/>
    </row>
    <row r="12" ht="28.5" spans="2:15">
      <c r="B12" s="100">
        <f t="shared" si="3"/>
        <v>4</v>
      </c>
      <c r="C12" s="312" t="s">
        <v>692</v>
      </c>
      <c r="D12" s="333"/>
      <c r="E12" s="543"/>
      <c r="F12" s="341">
        <f t="shared" si="1"/>
        <v>0</v>
      </c>
      <c r="G12" s="334"/>
      <c r="H12" s="543"/>
      <c r="I12" s="543"/>
      <c r="J12" s="544">
        <f t="shared" si="2"/>
        <v>0</v>
      </c>
      <c r="K12" s="543"/>
      <c r="L12" s="543"/>
      <c r="M12" s="543"/>
      <c r="N12" s="543"/>
      <c r="O12" s="543"/>
    </row>
    <row r="13" s="11" customFormat="1" ht="28.5" spans="2:15">
      <c r="B13" s="100">
        <f t="shared" si="3"/>
        <v>5</v>
      </c>
      <c r="C13" s="342" t="s">
        <v>693</v>
      </c>
      <c r="D13" s="333"/>
      <c r="E13" s="147">
        <f>D51</f>
        <v>0</v>
      </c>
      <c r="F13" s="341">
        <f t="shared" si="1"/>
        <v>0</v>
      </c>
      <c r="G13" s="334"/>
      <c r="H13" s="147">
        <f t="shared" ref="H13:I15" si="4">E51</f>
        <v>0</v>
      </c>
      <c r="I13" s="147">
        <f t="shared" si="4"/>
        <v>0</v>
      </c>
      <c r="J13" s="544">
        <f t="shared" si="2"/>
        <v>0</v>
      </c>
      <c r="K13" s="147">
        <f>H51</f>
        <v>0</v>
      </c>
      <c r="L13" s="147">
        <f t="shared" ref="L13:O13" si="5">I51</f>
        <v>0</v>
      </c>
      <c r="M13" s="147">
        <f t="shared" si="5"/>
        <v>0</v>
      </c>
      <c r="N13" s="147">
        <f t="shared" si="5"/>
        <v>0</v>
      </c>
      <c r="O13" s="147">
        <f t="shared" si="5"/>
        <v>0</v>
      </c>
    </row>
    <row r="14" ht="28.5" spans="2:15">
      <c r="B14" s="100">
        <f t="shared" si="3"/>
        <v>6</v>
      </c>
      <c r="C14" s="312" t="s">
        <v>694</v>
      </c>
      <c r="D14" s="333"/>
      <c r="E14" s="147">
        <f>D52</f>
        <v>0</v>
      </c>
      <c r="F14" s="341">
        <f t="shared" si="1"/>
        <v>0</v>
      </c>
      <c r="G14" s="334"/>
      <c r="H14" s="147">
        <f t="shared" si="4"/>
        <v>0</v>
      </c>
      <c r="I14" s="147">
        <f t="shared" si="4"/>
        <v>0</v>
      </c>
      <c r="J14" s="544">
        <f t="shared" si="2"/>
        <v>0</v>
      </c>
      <c r="K14" s="147">
        <f>H52</f>
        <v>0</v>
      </c>
      <c r="L14" s="147">
        <f t="shared" ref="L14:O14" si="6">I52</f>
        <v>0</v>
      </c>
      <c r="M14" s="147">
        <f t="shared" si="6"/>
        <v>0</v>
      </c>
      <c r="N14" s="147">
        <f t="shared" si="6"/>
        <v>0</v>
      </c>
      <c r="O14" s="147">
        <f t="shared" si="6"/>
        <v>0</v>
      </c>
    </row>
    <row r="15" spans="2:15">
      <c r="B15" s="100">
        <f t="shared" si="3"/>
        <v>7</v>
      </c>
      <c r="C15" s="55" t="s">
        <v>695</v>
      </c>
      <c r="D15" s="333"/>
      <c r="E15" s="147">
        <f>D53</f>
        <v>0</v>
      </c>
      <c r="F15" s="341">
        <f t="shared" si="1"/>
        <v>0</v>
      </c>
      <c r="G15" s="334"/>
      <c r="H15" s="147">
        <f t="shared" si="4"/>
        <v>0</v>
      </c>
      <c r="I15" s="147">
        <f t="shared" si="4"/>
        <v>0</v>
      </c>
      <c r="J15" s="544">
        <f t="shared" si="2"/>
        <v>0</v>
      </c>
      <c r="K15" s="147">
        <f>H53</f>
        <v>0</v>
      </c>
      <c r="L15" s="147">
        <f t="shared" ref="L15:O15" si="7">I53</f>
        <v>0</v>
      </c>
      <c r="M15" s="147">
        <f t="shared" si="7"/>
        <v>0</v>
      </c>
      <c r="N15" s="147">
        <f t="shared" si="7"/>
        <v>0</v>
      </c>
      <c r="O15" s="147">
        <f t="shared" si="7"/>
        <v>0</v>
      </c>
    </row>
    <row r="16" spans="2:15">
      <c r="B16" s="100">
        <f t="shared" si="3"/>
        <v>8</v>
      </c>
      <c r="C16" s="55" t="s">
        <v>696</v>
      </c>
      <c r="D16" s="333"/>
      <c r="E16" s="147"/>
      <c r="F16" s="341">
        <f t="shared" si="1"/>
        <v>0</v>
      </c>
      <c r="G16" s="334"/>
      <c r="H16" s="147"/>
      <c r="I16" s="147"/>
      <c r="J16" s="544">
        <f t="shared" si="2"/>
        <v>0</v>
      </c>
      <c r="K16" s="147"/>
      <c r="L16" s="147"/>
      <c r="M16" s="147"/>
      <c r="N16" s="147"/>
      <c r="O16" s="147"/>
    </row>
    <row r="17" spans="2:15">
      <c r="B17" s="100">
        <f t="shared" si="3"/>
        <v>9</v>
      </c>
      <c r="C17" s="55" t="s">
        <v>697</v>
      </c>
      <c r="D17" s="333"/>
      <c r="E17" s="147">
        <f>D54</f>
        <v>0</v>
      </c>
      <c r="F17" s="341">
        <f t="shared" si="1"/>
        <v>0</v>
      </c>
      <c r="G17" s="334"/>
      <c r="H17" s="147">
        <f t="shared" ref="H17:I21" si="8">E54</f>
        <v>0</v>
      </c>
      <c r="I17" s="147">
        <f t="shared" si="8"/>
        <v>0</v>
      </c>
      <c r="J17" s="544">
        <f t="shared" si="2"/>
        <v>0</v>
      </c>
      <c r="K17" s="147">
        <f>H54</f>
        <v>0</v>
      </c>
      <c r="L17" s="147">
        <f t="shared" ref="L17:O17" si="9">I54</f>
        <v>0</v>
      </c>
      <c r="M17" s="147">
        <f t="shared" si="9"/>
        <v>0</v>
      </c>
      <c r="N17" s="147">
        <f t="shared" si="9"/>
        <v>0</v>
      </c>
      <c r="O17" s="147">
        <f t="shared" si="9"/>
        <v>0</v>
      </c>
    </row>
    <row r="18" ht="28.5" spans="2:15">
      <c r="B18" s="100">
        <f t="shared" si="3"/>
        <v>10</v>
      </c>
      <c r="C18" s="312" t="s">
        <v>698</v>
      </c>
      <c r="D18" s="333"/>
      <c r="E18" s="147">
        <f t="shared" ref="E18:E21" si="10">D55</f>
        <v>0</v>
      </c>
      <c r="F18" s="341">
        <f t="shared" si="1"/>
        <v>0</v>
      </c>
      <c r="G18" s="334"/>
      <c r="H18" s="147">
        <f t="shared" si="8"/>
        <v>0</v>
      </c>
      <c r="I18" s="147">
        <f t="shared" si="8"/>
        <v>0</v>
      </c>
      <c r="J18" s="544">
        <f t="shared" si="2"/>
        <v>0</v>
      </c>
      <c r="K18" s="147">
        <f>H55</f>
        <v>0</v>
      </c>
      <c r="L18" s="147">
        <f t="shared" ref="L18:O18" si="11">I55</f>
        <v>0</v>
      </c>
      <c r="M18" s="147">
        <f t="shared" si="11"/>
        <v>0</v>
      </c>
      <c r="N18" s="147">
        <f t="shared" si="11"/>
        <v>0</v>
      </c>
      <c r="O18" s="147">
        <f t="shared" si="11"/>
        <v>0</v>
      </c>
    </row>
    <row r="19" spans="2:15">
      <c r="B19" s="100">
        <f t="shared" si="3"/>
        <v>11</v>
      </c>
      <c r="C19" s="55" t="s">
        <v>699</v>
      </c>
      <c r="D19" s="333"/>
      <c r="E19" s="147">
        <f t="shared" si="10"/>
        <v>0</v>
      </c>
      <c r="F19" s="341">
        <f t="shared" si="1"/>
        <v>0</v>
      </c>
      <c r="G19" s="334"/>
      <c r="H19" s="147">
        <f t="shared" si="8"/>
        <v>0</v>
      </c>
      <c r="I19" s="147">
        <f t="shared" si="8"/>
        <v>0</v>
      </c>
      <c r="J19" s="544">
        <f t="shared" si="2"/>
        <v>0</v>
      </c>
      <c r="K19" s="147">
        <f>H56</f>
        <v>0</v>
      </c>
      <c r="L19" s="147">
        <f t="shared" ref="L19:O19" si="12">I56</f>
        <v>0</v>
      </c>
      <c r="M19" s="147">
        <f t="shared" si="12"/>
        <v>0</v>
      </c>
      <c r="N19" s="147">
        <f t="shared" si="12"/>
        <v>0</v>
      </c>
      <c r="O19" s="147">
        <f t="shared" si="12"/>
        <v>0</v>
      </c>
    </row>
    <row r="20" spans="2:15">
      <c r="B20" s="100">
        <f t="shared" si="3"/>
        <v>12</v>
      </c>
      <c r="C20" s="55" t="s">
        <v>700</v>
      </c>
      <c r="D20" s="333"/>
      <c r="E20" s="147">
        <f t="shared" si="10"/>
        <v>0</v>
      </c>
      <c r="F20" s="341">
        <f t="shared" si="1"/>
        <v>0</v>
      </c>
      <c r="G20" s="334"/>
      <c r="H20" s="147">
        <f t="shared" si="8"/>
        <v>0</v>
      </c>
      <c r="I20" s="147">
        <f t="shared" si="8"/>
        <v>0</v>
      </c>
      <c r="J20" s="544">
        <f t="shared" si="2"/>
        <v>0</v>
      </c>
      <c r="K20" s="147">
        <f>H57</f>
        <v>0</v>
      </c>
      <c r="L20" s="147">
        <f t="shared" ref="L20:O20" si="13">I57</f>
        <v>0</v>
      </c>
      <c r="M20" s="147">
        <f t="shared" si="13"/>
        <v>0</v>
      </c>
      <c r="N20" s="147">
        <f t="shared" si="13"/>
        <v>0</v>
      </c>
      <c r="O20" s="147">
        <f t="shared" si="13"/>
        <v>0</v>
      </c>
    </row>
    <row r="21" spans="2:15">
      <c r="B21" s="100">
        <f t="shared" si="3"/>
        <v>13</v>
      </c>
      <c r="C21" s="55" t="s">
        <v>701</v>
      </c>
      <c r="D21" s="333"/>
      <c r="E21" s="147">
        <f t="shared" si="10"/>
        <v>0</v>
      </c>
      <c r="F21" s="341">
        <f t="shared" si="1"/>
        <v>0</v>
      </c>
      <c r="G21" s="334"/>
      <c r="H21" s="147">
        <f t="shared" si="8"/>
        <v>0</v>
      </c>
      <c r="I21" s="147">
        <f t="shared" si="8"/>
        <v>0</v>
      </c>
      <c r="J21" s="544">
        <f t="shared" si="2"/>
        <v>0</v>
      </c>
      <c r="K21" s="147">
        <f>H58</f>
        <v>0</v>
      </c>
      <c r="L21" s="147">
        <f t="shared" ref="L21:O21" si="14">I58</f>
        <v>0</v>
      </c>
      <c r="M21" s="147">
        <f t="shared" si="14"/>
        <v>0</v>
      </c>
      <c r="N21" s="147">
        <f t="shared" si="14"/>
        <v>0</v>
      </c>
      <c r="O21" s="147">
        <f t="shared" si="14"/>
        <v>0</v>
      </c>
    </row>
    <row r="23" ht="15" spans="2:3">
      <c r="B23" s="2" t="s">
        <v>702</v>
      </c>
      <c r="C23" s="14" t="s">
        <v>703</v>
      </c>
    </row>
    <row r="24" ht="15" spans="12:12">
      <c r="L24" s="33" t="s">
        <v>109</v>
      </c>
    </row>
    <row r="25" ht="15" customHeight="1" spans="2:12">
      <c r="B25" s="16" t="s">
        <v>3</v>
      </c>
      <c r="C25" s="6" t="s">
        <v>110</v>
      </c>
      <c r="D25" s="306" t="s">
        <v>112</v>
      </c>
      <c r="E25" s="306" t="s">
        <v>526</v>
      </c>
      <c r="F25" s="307"/>
      <c r="G25" s="308"/>
      <c r="H25" s="537" t="s">
        <v>114</v>
      </c>
      <c r="I25" s="539"/>
      <c r="J25" s="539"/>
      <c r="K25" s="539"/>
      <c r="L25" s="540"/>
    </row>
    <row r="26" ht="15" spans="2:12">
      <c r="B26" s="309"/>
      <c r="C26" s="6"/>
      <c r="D26" s="5" t="s">
        <v>237</v>
      </c>
      <c r="E26" s="5" t="s">
        <v>119</v>
      </c>
      <c r="F26" s="5" t="s">
        <v>120</v>
      </c>
      <c r="G26" s="5" t="s">
        <v>238</v>
      </c>
      <c r="H26" s="5" t="s">
        <v>514</v>
      </c>
      <c r="I26" s="5" t="s">
        <v>515</v>
      </c>
      <c r="J26" s="5" t="s">
        <v>516</v>
      </c>
      <c r="K26" s="5" t="s">
        <v>517</v>
      </c>
      <c r="L26" s="5" t="s">
        <v>518</v>
      </c>
    </row>
    <row r="27" ht="15" spans="2:12">
      <c r="B27" s="310"/>
      <c r="C27" s="100"/>
      <c r="D27" s="5" t="s">
        <v>128</v>
      </c>
      <c r="E27" s="5" t="s">
        <v>130</v>
      </c>
      <c r="F27" s="5" t="s">
        <v>131</v>
      </c>
      <c r="G27" s="5" t="s">
        <v>131</v>
      </c>
      <c r="H27" s="5" t="s">
        <v>132</v>
      </c>
      <c r="I27" s="5" t="s">
        <v>132</v>
      </c>
      <c r="J27" s="5" t="s">
        <v>132</v>
      </c>
      <c r="K27" s="5" t="s">
        <v>132</v>
      </c>
      <c r="L27" s="5" t="s">
        <v>132</v>
      </c>
    </row>
    <row r="28" ht="15" spans="2:12">
      <c r="B28" s="100">
        <v>1</v>
      </c>
      <c r="C28" s="54" t="s">
        <v>663</v>
      </c>
      <c r="D28" s="55"/>
      <c r="E28" s="55"/>
      <c r="F28" s="55"/>
      <c r="G28" s="55"/>
      <c r="H28" s="55"/>
      <c r="I28" s="55"/>
      <c r="J28" s="55"/>
      <c r="K28" s="55"/>
      <c r="L28" s="55"/>
    </row>
    <row r="29" spans="2:12">
      <c r="B29" s="55"/>
      <c r="C29" s="55" t="s">
        <v>704</v>
      </c>
      <c r="D29" s="55"/>
      <c r="E29" s="55"/>
      <c r="F29" s="55"/>
      <c r="G29" s="55"/>
      <c r="H29" s="55"/>
      <c r="I29" s="55"/>
      <c r="J29" s="55"/>
      <c r="K29" s="55"/>
      <c r="L29" s="55"/>
    </row>
    <row r="30" spans="2:12">
      <c r="B30" s="55"/>
      <c r="C30" s="55" t="s">
        <v>705</v>
      </c>
      <c r="D30" s="55"/>
      <c r="E30" s="55"/>
      <c r="F30" s="55"/>
      <c r="G30" s="55"/>
      <c r="H30" s="55"/>
      <c r="I30" s="55"/>
      <c r="J30" s="55"/>
      <c r="K30" s="55"/>
      <c r="L30" s="55"/>
    </row>
    <row r="31" spans="2:12">
      <c r="B31" s="55"/>
      <c r="C31" s="55" t="s">
        <v>706</v>
      </c>
      <c r="D31" s="55"/>
      <c r="E31" s="55"/>
      <c r="F31" s="55"/>
      <c r="G31" s="55"/>
      <c r="H31" s="55"/>
      <c r="I31" s="55"/>
      <c r="J31" s="55"/>
      <c r="K31" s="55"/>
      <c r="L31" s="55"/>
    </row>
    <row r="32" spans="2:12">
      <c r="B32" s="55"/>
      <c r="C32" s="55" t="s">
        <v>707</v>
      </c>
      <c r="D32" s="341">
        <f>D29+D30-D31</f>
        <v>0</v>
      </c>
      <c r="E32" s="341">
        <f t="shared" ref="E32" si="15">E29+E30-E31</f>
        <v>0</v>
      </c>
      <c r="F32" s="341">
        <f t="shared" ref="F32" si="16">F29+F30-F31</f>
        <v>0</v>
      </c>
      <c r="G32" s="341">
        <f t="shared" ref="G32" si="17">G29+G30-G31</f>
        <v>0</v>
      </c>
      <c r="H32" s="341">
        <f t="shared" ref="H32" si="18">H29+H30-H31</f>
        <v>0</v>
      </c>
      <c r="I32" s="341">
        <f t="shared" ref="I32" si="19">I29+I30-I31</f>
        <v>0</v>
      </c>
      <c r="J32" s="341">
        <f t="shared" ref="J32" si="20">J29+J30-J31</f>
        <v>0</v>
      </c>
      <c r="K32" s="341">
        <f t="shared" ref="K32" si="21">K29+K30-K31</f>
        <v>0</v>
      </c>
      <c r="L32" s="341">
        <f t="shared" ref="L32" si="22">L29+L30-L31</f>
        <v>0</v>
      </c>
    </row>
    <row r="33" spans="2:12">
      <c r="B33" s="55"/>
      <c r="C33" s="55" t="s">
        <v>708</v>
      </c>
      <c r="D33" s="341">
        <f>(D29+D32)/2</f>
        <v>0</v>
      </c>
      <c r="E33" s="341">
        <f t="shared" ref="E33" si="23">(E29+E32)/2</f>
        <v>0</v>
      </c>
      <c r="F33" s="341">
        <f t="shared" ref="F33" si="24">(F29+F32)/2</f>
        <v>0</v>
      </c>
      <c r="G33" s="341">
        <f t="shared" ref="G33" si="25">(G29+G32)/2</f>
        <v>0</v>
      </c>
      <c r="H33" s="341">
        <f t="shared" ref="H33" si="26">(H29+H32)/2</f>
        <v>0</v>
      </c>
      <c r="I33" s="341">
        <f t="shared" ref="I33" si="27">(I29+I32)/2</f>
        <v>0</v>
      </c>
      <c r="J33" s="341">
        <f t="shared" ref="J33" si="28">(J29+J32)/2</f>
        <v>0</v>
      </c>
      <c r="K33" s="341">
        <f t="shared" ref="K33" si="29">(K29+K32)/2</f>
        <v>0</v>
      </c>
      <c r="L33" s="341">
        <f t="shared" ref="L33" si="30">(L29+L32)/2</f>
        <v>0</v>
      </c>
    </row>
    <row r="34" spans="2:12">
      <c r="B34" s="55"/>
      <c r="C34" s="55" t="s">
        <v>709</v>
      </c>
      <c r="D34" s="55"/>
      <c r="E34" s="55"/>
      <c r="F34" s="55"/>
      <c r="G34" s="55"/>
      <c r="H34" s="55"/>
      <c r="I34" s="55"/>
      <c r="J34" s="55"/>
      <c r="K34" s="55"/>
      <c r="L34" s="55"/>
    </row>
    <row r="35" spans="2:12">
      <c r="B35" s="55"/>
      <c r="C35" s="55" t="s">
        <v>699</v>
      </c>
      <c r="D35" s="341">
        <f>D33*D34</f>
        <v>0</v>
      </c>
      <c r="E35" s="341">
        <f t="shared" ref="E35" si="31">E33*E34</f>
        <v>0</v>
      </c>
      <c r="F35" s="341">
        <f t="shared" ref="F35" si="32">F33*F34</f>
        <v>0</v>
      </c>
      <c r="G35" s="341">
        <f t="shared" ref="G35" si="33">G33*G34</f>
        <v>0</v>
      </c>
      <c r="H35" s="341">
        <f t="shared" ref="H35" si="34">H33*H34</f>
        <v>0</v>
      </c>
      <c r="I35" s="341">
        <f t="shared" ref="I35" si="35">I33*I34</f>
        <v>0</v>
      </c>
      <c r="J35" s="341">
        <f t="shared" ref="J35" si="36">J33*J34</f>
        <v>0</v>
      </c>
      <c r="K35" s="341">
        <f t="shared" ref="K35" si="37">K33*K34</f>
        <v>0</v>
      </c>
      <c r="L35" s="341">
        <f t="shared" ref="L35" si="38">L33*L34</f>
        <v>0</v>
      </c>
    </row>
    <row r="36" spans="2:12">
      <c r="B36" s="55"/>
      <c r="C36" s="55" t="s">
        <v>700</v>
      </c>
      <c r="D36" s="55"/>
      <c r="E36" s="55"/>
      <c r="F36" s="55"/>
      <c r="G36" s="55"/>
      <c r="H36" s="55"/>
      <c r="I36" s="55"/>
      <c r="J36" s="55"/>
      <c r="K36" s="55"/>
      <c r="L36" s="55"/>
    </row>
    <row r="37" spans="2:12">
      <c r="B37" s="55"/>
      <c r="C37" s="55" t="s">
        <v>701</v>
      </c>
      <c r="D37" s="341">
        <f>D35+D36</f>
        <v>0</v>
      </c>
      <c r="E37" s="341">
        <f t="shared" ref="E37" si="39">E35+E36</f>
        <v>0</v>
      </c>
      <c r="F37" s="341">
        <f t="shared" ref="F37" si="40">F35+F36</f>
        <v>0</v>
      </c>
      <c r="G37" s="341">
        <f t="shared" ref="G37" si="41">G35+G36</f>
        <v>0</v>
      </c>
      <c r="H37" s="341">
        <f t="shared" ref="H37" si="42">H35+H36</f>
        <v>0</v>
      </c>
      <c r="I37" s="341">
        <f t="shared" ref="I37" si="43">I35+I36</f>
        <v>0</v>
      </c>
      <c r="J37" s="341">
        <f t="shared" ref="J37" si="44">J35+J36</f>
        <v>0</v>
      </c>
      <c r="K37" s="341">
        <f t="shared" ref="K37" si="45">K35+K36</f>
        <v>0</v>
      </c>
      <c r="L37" s="341">
        <f t="shared" ref="L37" si="46">L35+L36</f>
        <v>0</v>
      </c>
    </row>
    <row r="38" ht="15" spans="2:12">
      <c r="B38" s="100">
        <v>2</v>
      </c>
      <c r="C38" s="54" t="s">
        <v>664</v>
      </c>
      <c r="D38" s="55"/>
      <c r="E38" s="55"/>
      <c r="F38" s="55"/>
      <c r="G38" s="55"/>
      <c r="H38" s="55"/>
      <c r="I38" s="55"/>
      <c r="J38" s="55"/>
      <c r="K38" s="55"/>
      <c r="L38" s="55"/>
    </row>
    <row r="39" spans="2:12">
      <c r="B39" s="55"/>
      <c r="C39" s="55" t="s">
        <v>704</v>
      </c>
      <c r="D39" s="55"/>
      <c r="E39" s="55"/>
      <c r="F39" s="55"/>
      <c r="G39" s="55"/>
      <c r="H39" s="55"/>
      <c r="I39" s="55"/>
      <c r="J39" s="55"/>
      <c r="K39" s="55"/>
      <c r="L39" s="55"/>
    </row>
    <row r="40" spans="2:12">
      <c r="B40" s="55"/>
      <c r="C40" s="55" t="s">
        <v>705</v>
      </c>
      <c r="D40" s="55"/>
      <c r="E40" s="55"/>
      <c r="F40" s="55"/>
      <c r="G40" s="55"/>
      <c r="H40" s="55"/>
      <c r="I40" s="55"/>
      <c r="J40" s="55"/>
      <c r="K40" s="55"/>
      <c r="L40" s="55"/>
    </row>
    <row r="41" spans="2:12">
      <c r="B41" s="55"/>
      <c r="C41" s="55" t="s">
        <v>706</v>
      </c>
      <c r="D41" s="55"/>
      <c r="E41" s="55"/>
      <c r="F41" s="55"/>
      <c r="G41" s="55"/>
      <c r="H41" s="55"/>
      <c r="I41" s="55"/>
      <c r="J41" s="55"/>
      <c r="K41" s="55"/>
      <c r="L41" s="55"/>
    </row>
    <row r="42" spans="2:12">
      <c r="B42" s="55"/>
      <c r="C42" s="55" t="s">
        <v>707</v>
      </c>
      <c r="D42" s="341">
        <f>D39+D40-D41</f>
        <v>0</v>
      </c>
      <c r="E42" s="341">
        <f t="shared" ref="E42" si="47">E39+E40-E41</f>
        <v>0</v>
      </c>
      <c r="F42" s="341">
        <f t="shared" ref="F42" si="48">F39+F40-F41</f>
        <v>0</v>
      </c>
      <c r="G42" s="341">
        <f t="shared" ref="G42" si="49">G39+G40-G41</f>
        <v>0</v>
      </c>
      <c r="H42" s="341">
        <f t="shared" ref="H42" si="50">H39+H40-H41</f>
        <v>0</v>
      </c>
      <c r="I42" s="341">
        <f t="shared" ref="I42" si="51">I39+I40-I41</f>
        <v>0</v>
      </c>
      <c r="J42" s="341">
        <f t="shared" ref="J42" si="52">J39+J40-J41</f>
        <v>0</v>
      </c>
      <c r="K42" s="341">
        <f t="shared" ref="K42" si="53">K39+K40-K41</f>
        <v>0</v>
      </c>
      <c r="L42" s="341">
        <f t="shared" ref="L42" si="54">L39+L40-L41</f>
        <v>0</v>
      </c>
    </row>
    <row r="43" spans="2:12">
      <c r="B43" s="55"/>
      <c r="C43" s="55" t="s">
        <v>708</v>
      </c>
      <c r="D43" s="341">
        <f>(D39+D42)/2</f>
        <v>0</v>
      </c>
      <c r="E43" s="341">
        <f t="shared" ref="E43" si="55">(E39+E42)/2</f>
        <v>0</v>
      </c>
      <c r="F43" s="341">
        <f t="shared" ref="F43" si="56">(F39+F42)/2</f>
        <v>0</v>
      </c>
      <c r="G43" s="341">
        <f t="shared" ref="G43" si="57">(G39+G42)/2</f>
        <v>0</v>
      </c>
      <c r="H43" s="341">
        <f t="shared" ref="H43" si="58">(H39+H42)/2</f>
        <v>0</v>
      </c>
      <c r="I43" s="341">
        <f t="shared" ref="I43" si="59">(I39+I42)/2</f>
        <v>0</v>
      </c>
      <c r="J43" s="341">
        <f t="shared" ref="J43" si="60">(J39+J42)/2</f>
        <v>0</v>
      </c>
      <c r="K43" s="341">
        <f t="shared" ref="K43" si="61">(K39+K42)/2</f>
        <v>0</v>
      </c>
      <c r="L43" s="341">
        <f t="shared" ref="L43" si="62">(L39+L42)/2</f>
        <v>0</v>
      </c>
    </row>
    <row r="44" spans="2:12">
      <c r="B44" s="55"/>
      <c r="C44" s="55" t="s">
        <v>709</v>
      </c>
      <c r="D44" s="55"/>
      <c r="E44" s="55"/>
      <c r="F44" s="55"/>
      <c r="G44" s="55"/>
      <c r="H44" s="55"/>
      <c r="I44" s="55"/>
      <c r="J44" s="55"/>
      <c r="K44" s="55"/>
      <c r="L44" s="55"/>
    </row>
    <row r="45" spans="2:12">
      <c r="B45" s="55"/>
      <c r="C45" s="55" t="s">
        <v>699</v>
      </c>
      <c r="D45" s="341">
        <f>D43*D44</f>
        <v>0</v>
      </c>
      <c r="E45" s="341">
        <f t="shared" ref="E45" si="63">E43*E44</f>
        <v>0</v>
      </c>
      <c r="F45" s="341">
        <f t="shared" ref="F45" si="64">F43*F44</f>
        <v>0</v>
      </c>
      <c r="G45" s="341">
        <f t="shared" ref="G45" si="65">G43*G44</f>
        <v>0</v>
      </c>
      <c r="H45" s="341">
        <f t="shared" ref="H45" si="66">H43*H44</f>
        <v>0</v>
      </c>
      <c r="I45" s="341">
        <f t="shared" ref="I45" si="67">I43*I44</f>
        <v>0</v>
      </c>
      <c r="J45" s="341">
        <f t="shared" ref="J45" si="68">J43*J44</f>
        <v>0</v>
      </c>
      <c r="K45" s="341">
        <f t="shared" ref="K45" si="69">K43*K44</f>
        <v>0</v>
      </c>
      <c r="L45" s="341">
        <f t="shared" ref="L45" si="70">L43*L44</f>
        <v>0</v>
      </c>
    </row>
    <row r="46" spans="2:12">
      <c r="B46" s="55"/>
      <c r="C46" s="55" t="s">
        <v>700</v>
      </c>
      <c r="D46" s="55"/>
      <c r="E46" s="55"/>
      <c r="F46" s="55"/>
      <c r="G46" s="55"/>
      <c r="H46" s="55"/>
      <c r="I46" s="55"/>
      <c r="J46" s="55"/>
      <c r="K46" s="55"/>
      <c r="L46" s="55"/>
    </row>
    <row r="47" spans="2:12">
      <c r="B47" s="55"/>
      <c r="C47" s="55" t="s">
        <v>701</v>
      </c>
      <c r="D47" s="341">
        <f>D45+D46</f>
        <v>0</v>
      </c>
      <c r="E47" s="341">
        <f t="shared" ref="E47" si="71">E45+E46</f>
        <v>0</v>
      </c>
      <c r="F47" s="341">
        <f t="shared" ref="F47" si="72">F45+F46</f>
        <v>0</v>
      </c>
      <c r="G47" s="341">
        <f t="shared" ref="G47" si="73">G45+G46</f>
        <v>0</v>
      </c>
      <c r="H47" s="341">
        <f t="shared" ref="H47" si="74">H45+H46</f>
        <v>0</v>
      </c>
      <c r="I47" s="341">
        <f t="shared" ref="I47" si="75">I45+I46</f>
        <v>0</v>
      </c>
      <c r="J47" s="341">
        <f t="shared" ref="J47" si="76">J45+J46</f>
        <v>0</v>
      </c>
      <c r="K47" s="341">
        <f t="shared" ref="K47" si="77">K45+K46</f>
        <v>0</v>
      </c>
      <c r="L47" s="341">
        <f t="shared" ref="L47" si="78">L45+L46</f>
        <v>0</v>
      </c>
    </row>
    <row r="48" spans="2:12">
      <c r="B48" s="55"/>
      <c r="C48" s="55" t="s">
        <v>710</v>
      </c>
      <c r="D48" s="55"/>
      <c r="E48" s="55"/>
      <c r="F48" s="55"/>
      <c r="G48" s="55"/>
      <c r="H48" s="55"/>
      <c r="I48" s="55"/>
      <c r="J48" s="55"/>
      <c r="K48" s="55"/>
      <c r="L48" s="55"/>
    </row>
    <row r="49" ht="15" spans="2:12">
      <c r="B49" s="100"/>
      <c r="C49" s="54" t="s">
        <v>97</v>
      </c>
      <c r="D49" s="55"/>
      <c r="E49" s="55"/>
      <c r="F49" s="55"/>
      <c r="G49" s="55"/>
      <c r="H49" s="55"/>
      <c r="I49" s="55"/>
      <c r="J49" s="55"/>
      <c r="K49" s="55"/>
      <c r="L49" s="55"/>
    </row>
    <row r="50" spans="2:12">
      <c r="B50" s="55"/>
      <c r="C50" s="55" t="s">
        <v>704</v>
      </c>
      <c r="D50" s="55"/>
      <c r="E50" s="55"/>
      <c r="F50" s="55"/>
      <c r="G50" s="55"/>
      <c r="H50" s="55"/>
      <c r="I50" s="55"/>
      <c r="J50" s="55"/>
      <c r="K50" s="55"/>
      <c r="L50" s="55"/>
    </row>
    <row r="51" spans="2:12">
      <c r="B51" s="55"/>
      <c r="C51" s="55" t="s">
        <v>705</v>
      </c>
      <c r="D51" s="55"/>
      <c r="E51" s="55"/>
      <c r="F51" s="55"/>
      <c r="G51" s="55"/>
      <c r="H51" s="55"/>
      <c r="I51" s="55"/>
      <c r="J51" s="55"/>
      <c r="K51" s="55"/>
      <c r="L51" s="55"/>
    </row>
    <row r="52" spans="2:12">
      <c r="B52" s="55"/>
      <c r="C52" s="55" t="s">
        <v>706</v>
      </c>
      <c r="D52" s="55"/>
      <c r="E52" s="55"/>
      <c r="F52" s="55"/>
      <c r="G52" s="55"/>
      <c r="H52" s="55"/>
      <c r="I52" s="55"/>
      <c r="J52" s="55"/>
      <c r="K52" s="55"/>
      <c r="L52" s="55"/>
    </row>
    <row r="53" spans="2:12">
      <c r="B53" s="55"/>
      <c r="C53" s="55" t="s">
        <v>707</v>
      </c>
      <c r="D53" s="341">
        <f>D50+D51-D52</f>
        <v>0</v>
      </c>
      <c r="E53" s="341">
        <f t="shared" ref="E53:L53" si="79">E50+E51-E52</f>
        <v>0</v>
      </c>
      <c r="F53" s="341">
        <f t="shared" si="79"/>
        <v>0</v>
      </c>
      <c r="G53" s="341">
        <f t="shared" si="79"/>
        <v>0</v>
      </c>
      <c r="H53" s="341">
        <f t="shared" si="79"/>
        <v>0</v>
      </c>
      <c r="I53" s="341">
        <f t="shared" si="79"/>
        <v>0</v>
      </c>
      <c r="J53" s="341">
        <f t="shared" si="79"/>
        <v>0</v>
      </c>
      <c r="K53" s="341">
        <f t="shared" si="79"/>
        <v>0</v>
      </c>
      <c r="L53" s="341">
        <f t="shared" si="79"/>
        <v>0</v>
      </c>
    </row>
    <row r="54" spans="2:12">
      <c r="B54" s="55"/>
      <c r="C54" s="55" t="s">
        <v>708</v>
      </c>
      <c r="D54" s="341">
        <f>(D50+D53)/2</f>
        <v>0</v>
      </c>
      <c r="E54" s="341">
        <f t="shared" ref="E54:L54" si="80">(E50+E53)/2</f>
        <v>0</v>
      </c>
      <c r="F54" s="341">
        <f t="shared" si="80"/>
        <v>0</v>
      </c>
      <c r="G54" s="341">
        <f t="shared" si="80"/>
        <v>0</v>
      </c>
      <c r="H54" s="341">
        <f t="shared" si="80"/>
        <v>0</v>
      </c>
      <c r="I54" s="341">
        <f t="shared" si="80"/>
        <v>0</v>
      </c>
      <c r="J54" s="341">
        <f t="shared" si="80"/>
        <v>0</v>
      </c>
      <c r="K54" s="341">
        <f t="shared" si="80"/>
        <v>0</v>
      </c>
      <c r="L54" s="341">
        <f t="shared" si="80"/>
        <v>0</v>
      </c>
    </row>
    <row r="55" spans="2:12">
      <c r="B55" s="55"/>
      <c r="C55" s="55" t="s">
        <v>709</v>
      </c>
      <c r="D55" s="55"/>
      <c r="E55" s="55"/>
      <c r="F55" s="55"/>
      <c r="G55" s="55"/>
      <c r="H55" s="55"/>
      <c r="I55" s="55"/>
      <c r="J55" s="55"/>
      <c r="K55" s="55"/>
      <c r="L55" s="55"/>
    </row>
    <row r="56" spans="2:12">
      <c r="B56" s="55"/>
      <c r="C56" s="55" t="s">
        <v>699</v>
      </c>
      <c r="D56" s="341">
        <f>D54*D55</f>
        <v>0</v>
      </c>
      <c r="E56" s="341">
        <f t="shared" ref="E56:L56" si="81">E54*E55</f>
        <v>0</v>
      </c>
      <c r="F56" s="341">
        <f t="shared" si="81"/>
        <v>0</v>
      </c>
      <c r="G56" s="341">
        <f t="shared" si="81"/>
        <v>0</v>
      </c>
      <c r="H56" s="341">
        <f t="shared" si="81"/>
        <v>0</v>
      </c>
      <c r="I56" s="341">
        <f t="shared" si="81"/>
        <v>0</v>
      </c>
      <c r="J56" s="341">
        <f t="shared" si="81"/>
        <v>0</v>
      </c>
      <c r="K56" s="341">
        <f t="shared" si="81"/>
        <v>0</v>
      </c>
      <c r="L56" s="341">
        <f t="shared" si="81"/>
        <v>0</v>
      </c>
    </row>
    <row r="57" spans="2:12">
      <c r="B57" s="55"/>
      <c r="C57" s="55" t="s">
        <v>700</v>
      </c>
      <c r="D57" s="55"/>
      <c r="E57" s="55"/>
      <c r="F57" s="55"/>
      <c r="G57" s="55"/>
      <c r="H57" s="55"/>
      <c r="I57" s="55"/>
      <c r="J57" s="55"/>
      <c r="K57" s="55"/>
      <c r="L57" s="55"/>
    </row>
    <row r="58" spans="2:12">
      <c r="B58" s="55"/>
      <c r="C58" s="55" t="s">
        <v>701</v>
      </c>
      <c r="D58" s="341">
        <f>D56+D57</f>
        <v>0</v>
      </c>
      <c r="E58" s="341">
        <f t="shared" ref="E58:L58" si="82">E56+E57</f>
        <v>0</v>
      </c>
      <c r="F58" s="341">
        <f t="shared" si="82"/>
        <v>0</v>
      </c>
      <c r="G58" s="341">
        <f t="shared" si="82"/>
        <v>0</v>
      </c>
      <c r="H58" s="341">
        <f t="shared" si="82"/>
        <v>0</v>
      </c>
      <c r="I58" s="341">
        <f t="shared" si="82"/>
        <v>0</v>
      </c>
      <c r="J58" s="341">
        <f t="shared" si="82"/>
        <v>0</v>
      </c>
      <c r="K58" s="341">
        <f t="shared" si="82"/>
        <v>0</v>
      </c>
      <c r="L58" s="341">
        <f t="shared" si="82"/>
        <v>0</v>
      </c>
    </row>
  </sheetData>
  <mergeCells count="10">
    <mergeCell ref="B2:P2"/>
    <mergeCell ref="D6:F6"/>
    <mergeCell ref="G6:J6"/>
    <mergeCell ref="K6:O6"/>
    <mergeCell ref="E25:G25"/>
    <mergeCell ref="H25:L25"/>
    <mergeCell ref="B6:B8"/>
    <mergeCell ref="B25:B27"/>
    <mergeCell ref="C6:C8"/>
    <mergeCell ref="C25:C27"/>
  </mergeCells>
  <pageMargins left="1.02" right="0.25" top="1" bottom="1" header="0.25" footer="0.25"/>
  <pageSetup paperSize="9" scale="48" orientation="landscape"/>
  <headerFooter alignWithMargins="0">
    <oddHeader>&amp;C&amp;F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1:P17"/>
  <sheetViews>
    <sheetView showGridLines="0" zoomScaleSheetLayoutView="90" workbookViewId="0">
      <selection activeCell="B2" sqref="B2:P2"/>
    </sheetView>
  </sheetViews>
  <sheetFormatPr defaultColWidth="9.14285714285714" defaultRowHeight="14.25"/>
  <cols>
    <col min="1" max="1" width="4.14285714285714" style="12" customWidth="1"/>
    <col min="2" max="2" width="6.14285714285714" style="12" customWidth="1"/>
    <col min="3" max="3" width="41" style="12" customWidth="1"/>
    <col min="4" max="4" width="13.8571428571429" style="12" customWidth="1"/>
    <col min="5" max="5" width="12.5714285714286" style="12" customWidth="1"/>
    <col min="6" max="6" width="13.4285714285714" style="12" customWidth="1"/>
    <col min="7" max="7" width="13.8571428571429" style="12" customWidth="1"/>
    <col min="8" max="8" width="12.5714285714286" style="12" customWidth="1"/>
    <col min="9" max="9" width="13.1428571428571" style="12" customWidth="1"/>
    <col min="10" max="10" width="12.5714285714286" style="12" customWidth="1"/>
    <col min="11" max="11" width="11.8571428571429" style="12" customWidth="1"/>
    <col min="12" max="12" width="13.8571428571429" style="12" customWidth="1"/>
    <col min="13" max="18" width="11.8571428571429" style="12" customWidth="1"/>
    <col min="19" max="16384" width="9.14285714285714" style="12"/>
  </cols>
  <sheetData>
    <row r="1" ht="15" spans="2:2">
      <c r="B1" s="14"/>
    </row>
    <row r="2" ht="15" spans="2:16">
      <c r="B2" s="2" t="s">
        <v>156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8:8">
      <c r="H3" s="3" t="s">
        <v>711</v>
      </c>
    </row>
    <row r="4" ht="15" spans="2:12">
      <c r="B4" s="2"/>
      <c r="C4" s="14"/>
      <c r="D4" s="117"/>
      <c r="E4" s="117"/>
      <c r="F4" s="117"/>
      <c r="G4" s="117"/>
      <c r="H4" s="117"/>
      <c r="I4" s="117"/>
      <c r="J4" s="117"/>
      <c r="K4" s="117"/>
      <c r="L4" s="117"/>
    </row>
    <row r="5" ht="15" spans="15:15">
      <c r="O5" s="33" t="s">
        <v>109</v>
      </c>
    </row>
    <row r="6" s="15" customFormat="1" ht="15" spans="2:15">
      <c r="B6" s="16" t="s">
        <v>3</v>
      </c>
      <c r="C6" s="6" t="s">
        <v>110</v>
      </c>
      <c r="D6" s="306" t="s">
        <v>112</v>
      </c>
      <c r="E6" s="307"/>
      <c r="F6" s="308"/>
      <c r="G6" s="306" t="s">
        <v>526</v>
      </c>
      <c r="H6" s="307"/>
      <c r="I6" s="307"/>
      <c r="J6" s="307"/>
      <c r="K6" s="135" t="s">
        <v>114</v>
      </c>
      <c r="L6" s="135"/>
      <c r="M6" s="135"/>
      <c r="N6" s="135"/>
      <c r="O6" s="135"/>
    </row>
    <row r="7" s="15" customFormat="1" ht="30" spans="2:15">
      <c r="B7" s="309"/>
      <c r="C7" s="6"/>
      <c r="D7" s="5" t="s">
        <v>116</v>
      </c>
      <c r="E7" s="5" t="s">
        <v>237</v>
      </c>
      <c r="F7" s="5" t="s">
        <v>118</v>
      </c>
      <c r="G7" s="5" t="s">
        <v>116</v>
      </c>
      <c r="H7" s="5" t="s">
        <v>119</v>
      </c>
      <c r="I7" s="5" t="s">
        <v>120</v>
      </c>
      <c r="J7" s="5" t="s">
        <v>238</v>
      </c>
      <c r="K7" s="5" t="s">
        <v>557</v>
      </c>
      <c r="L7" s="5" t="s">
        <v>299</v>
      </c>
      <c r="M7" s="5" t="s">
        <v>300</v>
      </c>
      <c r="N7" s="5" t="s">
        <v>301</v>
      </c>
      <c r="O7" s="5" t="s">
        <v>302</v>
      </c>
    </row>
    <row r="8" s="15" customFormat="1" ht="15" spans="2:15">
      <c r="B8" s="310"/>
      <c r="C8" s="100"/>
      <c r="D8" s="5" t="s">
        <v>127</v>
      </c>
      <c r="E8" s="5" t="s">
        <v>128</v>
      </c>
      <c r="F8" s="5" t="s">
        <v>129</v>
      </c>
      <c r="G8" s="5" t="s">
        <v>127</v>
      </c>
      <c r="H8" s="5" t="s">
        <v>130</v>
      </c>
      <c r="I8" s="5" t="s">
        <v>131</v>
      </c>
      <c r="J8" s="5" t="s">
        <v>131</v>
      </c>
      <c r="K8" s="5" t="s">
        <v>132</v>
      </c>
      <c r="L8" s="5" t="s">
        <v>132</v>
      </c>
      <c r="M8" s="5" t="s">
        <v>132</v>
      </c>
      <c r="N8" s="5" t="s">
        <v>132</v>
      </c>
      <c r="O8" s="5" t="s">
        <v>132</v>
      </c>
    </row>
    <row r="9" spans="2:15">
      <c r="B9" s="100">
        <v>1</v>
      </c>
      <c r="C9" s="312" t="s">
        <v>712</v>
      </c>
      <c r="D9" s="333"/>
      <c r="E9" s="351">
        <f>F15x!F12/12</f>
        <v>0</v>
      </c>
      <c r="F9" s="352">
        <f>E9-D9</f>
        <v>0</v>
      </c>
      <c r="G9" s="334"/>
      <c r="H9" s="351">
        <f>F15x!I12/12</f>
        <v>0</v>
      </c>
      <c r="I9" s="351">
        <f>F15x!J12/12</f>
        <v>0</v>
      </c>
      <c r="J9" s="619">
        <f>H9+I9</f>
        <v>0</v>
      </c>
      <c r="K9" s="351">
        <f>F15x!L12/12</f>
        <v>0</v>
      </c>
      <c r="L9" s="351">
        <f>F15x!M12/12</f>
        <v>0</v>
      </c>
      <c r="M9" s="351">
        <f>F15x!N12/12</f>
        <v>0</v>
      </c>
      <c r="N9" s="351">
        <f>F15x!O12/12</f>
        <v>0</v>
      </c>
      <c r="O9" s="351">
        <f>F15x!P12/12</f>
        <v>0</v>
      </c>
    </row>
    <row r="10" s="11" customFormat="1" ht="15" spans="2:15">
      <c r="B10" s="100">
        <f t="shared" ref="B10:B17" si="0">B9+1</f>
        <v>2</v>
      </c>
      <c r="C10" s="342" t="s">
        <v>713</v>
      </c>
      <c r="D10" s="333"/>
      <c r="E10" s="351">
        <f>F17x!F12*1%</f>
        <v>0</v>
      </c>
      <c r="F10" s="352">
        <f t="shared" ref="F10:F17" si="1">E10-D10</f>
        <v>0</v>
      </c>
      <c r="G10" s="334"/>
      <c r="H10" s="351">
        <f>F17x!F21/2*1%</f>
        <v>0</v>
      </c>
      <c r="I10" s="351">
        <f>F17x!F21/2*1%</f>
        <v>0</v>
      </c>
      <c r="J10" s="619">
        <f t="shared" ref="J10:J11" si="2">H10+I10</f>
        <v>0</v>
      </c>
      <c r="K10" s="351">
        <f>F17x!F30*1%</f>
        <v>0</v>
      </c>
      <c r="L10" s="351">
        <f>F17x!F39*1%</f>
        <v>0</v>
      </c>
      <c r="M10" s="351">
        <f>F17x!F48*1%</f>
        <v>0</v>
      </c>
      <c r="N10" s="351">
        <f>F17x!F57*1%</f>
        <v>0</v>
      </c>
      <c r="O10" s="351">
        <f>F17x!F66*1%</f>
        <v>0</v>
      </c>
    </row>
    <row r="11" spans="2:15">
      <c r="B11" s="100">
        <f t="shared" si="0"/>
        <v>3</v>
      </c>
      <c r="C11" s="312" t="s">
        <v>714</v>
      </c>
      <c r="D11" s="333"/>
      <c r="E11" s="351" t="e">
        <f>'F1'!F21*45/365</f>
        <v>#REF!</v>
      </c>
      <c r="F11" s="352" t="e">
        <f t="shared" si="1"/>
        <v>#REF!</v>
      </c>
      <c r="G11" s="334"/>
      <c r="H11" s="351">
        <f>'F1'!I21*45/365</f>
        <v>1929.11998942036</v>
      </c>
      <c r="I11" s="351">
        <f>'F1'!J21*45/365</f>
        <v>2188.11341393153</v>
      </c>
      <c r="J11" s="619">
        <f t="shared" si="2"/>
        <v>4117.23340335189</v>
      </c>
      <c r="K11" s="351">
        <f>'F1'!L21*45/365</f>
        <v>4794.04109589041</v>
      </c>
      <c r="L11" s="351">
        <f>'F1'!M21*45/365</f>
        <v>5675.67123287671</v>
      </c>
      <c r="M11" s="351">
        <f>'F1'!N21*45/365</f>
        <v>6750.61643835616</v>
      </c>
      <c r="N11" s="351">
        <f>'F1'!O21*45/365</f>
        <v>7601.31666464922</v>
      </c>
      <c r="O11" s="351">
        <f>'F1'!P21*45/365</f>
        <v>8388.80143773659</v>
      </c>
    </row>
    <row r="12" spans="2:15">
      <c r="B12" s="100"/>
      <c r="C12" s="312" t="s">
        <v>147</v>
      </c>
      <c r="D12" s="333"/>
      <c r="E12" s="351"/>
      <c r="F12" s="352">
        <f t="shared" si="1"/>
        <v>0</v>
      </c>
      <c r="G12" s="334"/>
      <c r="H12" s="351"/>
      <c r="I12" s="351"/>
      <c r="J12" s="334"/>
      <c r="K12" s="334"/>
      <c r="L12" s="334"/>
      <c r="M12" s="334"/>
      <c r="N12" s="334"/>
      <c r="O12" s="334"/>
    </row>
    <row r="13" spans="2:15">
      <c r="B13" s="100">
        <f>B11+1</f>
        <v>4</v>
      </c>
      <c r="C13" s="55" t="s">
        <v>715</v>
      </c>
      <c r="D13" s="333"/>
      <c r="E13" s="351"/>
      <c r="F13" s="352">
        <f t="shared" si="1"/>
        <v>0</v>
      </c>
      <c r="G13" s="334"/>
      <c r="H13" s="351"/>
      <c r="I13" s="351"/>
      <c r="J13" s="619">
        <f>H13+I13</f>
        <v>0</v>
      </c>
      <c r="K13" s="334"/>
      <c r="L13" s="334"/>
      <c r="M13" s="334"/>
      <c r="N13" s="334"/>
      <c r="O13" s="334"/>
    </row>
    <row r="14" ht="28.5" spans="2:15">
      <c r="B14" s="100">
        <f>B13+1</f>
        <v>5</v>
      </c>
      <c r="C14" s="312" t="s">
        <v>716</v>
      </c>
      <c r="D14" s="333"/>
      <c r="E14" s="351" t="e">
        <f>#REF!+'F14'!G9+'F14'!G14+'F14'!G19</f>
        <v>#REF!</v>
      </c>
      <c r="F14" s="352" t="e">
        <f t="shared" si="1"/>
        <v>#REF!</v>
      </c>
      <c r="G14" s="334"/>
      <c r="H14" s="351" t="e">
        <f>#REF!+'F14'!#REF!+'F14'!#REF!+'F14'!#REF!</f>
        <v>#REF!</v>
      </c>
      <c r="I14" s="351" t="e">
        <f>#REF!+'F14'!#REF!+'F14'!#REF!+'F14'!#REF!</f>
        <v>#REF!</v>
      </c>
      <c r="J14" s="619" t="e">
        <f t="shared" ref="J14:J17" si="3">H14+I14</f>
        <v>#REF!</v>
      </c>
      <c r="K14" s="351" t="e">
        <f>#REF!+'F14'!K9+'F14'!K14+'F14'!K19</f>
        <v>#REF!</v>
      </c>
      <c r="L14" s="351" t="e">
        <f>#REF!+'F14'!L9+'F14'!L14+'F14'!L19</f>
        <v>#REF!</v>
      </c>
      <c r="M14" s="351" t="e">
        <f>#REF!+'F14'!M9+'F14'!M14+'F14'!M19</f>
        <v>#REF!</v>
      </c>
      <c r="N14" s="351" t="e">
        <f>#REF!+'F14'!N9+'F14'!N14+'F14'!N19</f>
        <v>#REF!</v>
      </c>
      <c r="O14" s="351" t="e">
        <f>#REF!+'F14'!O9+'F14'!O14+'F14'!O19</f>
        <v>#REF!</v>
      </c>
    </row>
    <row r="15" spans="2:15">
      <c r="B15" s="100">
        <f>B14+1</f>
        <v>6</v>
      </c>
      <c r="C15" s="55" t="s">
        <v>717</v>
      </c>
      <c r="D15" s="333"/>
      <c r="E15" s="351" t="e">
        <f>SUM(E9:E11)-E13-E14</f>
        <v>#REF!</v>
      </c>
      <c r="F15" s="352" t="e">
        <f t="shared" si="1"/>
        <v>#REF!</v>
      </c>
      <c r="G15" s="334"/>
      <c r="H15" s="351" t="e">
        <f>SUM(H9:H11)-H13-H14</f>
        <v>#REF!</v>
      </c>
      <c r="I15" s="351" t="e">
        <f>SUM(I9:I11)-I13-I14</f>
        <v>#REF!</v>
      </c>
      <c r="J15" s="619" t="e">
        <f t="shared" si="3"/>
        <v>#REF!</v>
      </c>
      <c r="K15" s="351" t="e">
        <f>SUM(K9:K11)-K13-K14</f>
        <v>#REF!</v>
      </c>
      <c r="L15" s="351" t="e">
        <f>SUM(L9:L11)-L13-L14</f>
        <v>#REF!</v>
      </c>
      <c r="M15" s="351" t="e">
        <f t="shared" ref="M15:O15" si="4">SUM(M9:M11)-M13-M14</f>
        <v>#REF!</v>
      </c>
      <c r="N15" s="351" t="e">
        <f t="shared" si="4"/>
        <v>#REF!</v>
      </c>
      <c r="O15" s="351" t="e">
        <f t="shared" si="4"/>
        <v>#REF!</v>
      </c>
    </row>
    <row r="16" spans="2:15">
      <c r="B16" s="100">
        <f t="shared" si="0"/>
        <v>7</v>
      </c>
      <c r="C16" s="55" t="s">
        <v>718</v>
      </c>
      <c r="D16" s="333"/>
      <c r="E16" s="351"/>
      <c r="F16" s="352">
        <f t="shared" si="1"/>
        <v>0</v>
      </c>
      <c r="G16" s="334"/>
      <c r="H16" s="351"/>
      <c r="I16" s="351"/>
      <c r="J16" s="619">
        <f t="shared" si="3"/>
        <v>0</v>
      </c>
      <c r="K16" s="334"/>
      <c r="L16" s="334"/>
      <c r="M16" s="334"/>
      <c r="N16" s="334"/>
      <c r="O16" s="334"/>
    </row>
    <row r="17" spans="2:15">
      <c r="B17" s="100">
        <f t="shared" si="0"/>
        <v>8</v>
      </c>
      <c r="C17" s="312" t="s">
        <v>58</v>
      </c>
      <c r="D17" s="333"/>
      <c r="E17" s="352" t="e">
        <f>E15*E16</f>
        <v>#REF!</v>
      </c>
      <c r="F17" s="352" t="e">
        <f t="shared" si="1"/>
        <v>#REF!</v>
      </c>
      <c r="G17" s="334"/>
      <c r="H17" s="352" t="e">
        <f>H15*H16</f>
        <v>#REF!</v>
      </c>
      <c r="I17" s="352" t="e">
        <f>I15*I16</f>
        <v>#REF!</v>
      </c>
      <c r="J17" s="619" t="e">
        <f t="shared" si="3"/>
        <v>#REF!</v>
      </c>
      <c r="K17" s="352" t="e">
        <f t="shared" ref="K17:O17" si="5">K15*K16</f>
        <v>#REF!</v>
      </c>
      <c r="L17" s="352" t="e">
        <f t="shared" si="5"/>
        <v>#REF!</v>
      </c>
      <c r="M17" s="352" t="e">
        <f t="shared" si="5"/>
        <v>#REF!</v>
      </c>
      <c r="N17" s="352" t="e">
        <f t="shared" si="5"/>
        <v>#REF!</v>
      </c>
      <c r="O17" s="352" t="e">
        <f t="shared" si="5"/>
        <v>#REF!</v>
      </c>
    </row>
  </sheetData>
  <mergeCells count="6">
    <mergeCell ref="B2:P2"/>
    <mergeCell ref="D6:F6"/>
    <mergeCell ref="G6:J6"/>
    <mergeCell ref="K6:O6"/>
    <mergeCell ref="B6:B8"/>
    <mergeCell ref="C6:C8"/>
  </mergeCells>
  <pageMargins left="1.02" right="0.25" top="1" bottom="1" header="0.25" footer="0.25"/>
  <pageSetup paperSize="9" scale="65" orientation="landscape"/>
  <headerFooter alignWithMargins="0">
    <oddHeader>&amp;C&amp;F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1:P21"/>
  <sheetViews>
    <sheetView showGridLines="0" zoomScaleSheetLayoutView="90" topLeftCell="G1" workbookViewId="0">
      <selection activeCell="B2" sqref="B2:P2"/>
    </sheetView>
  </sheetViews>
  <sheetFormatPr defaultColWidth="9.14285714285714" defaultRowHeight="14.25"/>
  <cols>
    <col min="1" max="1" width="4.14285714285714" style="12" customWidth="1"/>
    <col min="2" max="2" width="6.14285714285714" style="12" customWidth="1"/>
    <col min="3" max="3" width="44.4285714285714" style="12" customWidth="1"/>
    <col min="4" max="4" width="13.8571428571429" style="12" customWidth="1"/>
    <col min="5" max="5" width="12.5714285714286" style="12" customWidth="1"/>
    <col min="6" max="6" width="13.4285714285714" style="12" customWidth="1"/>
    <col min="7" max="7" width="13.8571428571429" style="12" customWidth="1"/>
    <col min="8" max="8" width="12.5714285714286" style="12" customWidth="1"/>
    <col min="9" max="9" width="13.1428571428571" style="12" customWidth="1"/>
    <col min="10" max="10" width="12.5714285714286" style="12" customWidth="1"/>
    <col min="11" max="11" width="11.8571428571429" style="12" customWidth="1"/>
    <col min="12" max="12" width="13.8571428571429" style="12" customWidth="1"/>
    <col min="13" max="18" width="11.8571428571429" style="12" customWidth="1"/>
    <col min="19" max="16384" width="9.14285714285714" style="12"/>
  </cols>
  <sheetData>
    <row r="1" ht="15" spans="2:2">
      <c r="B1" s="14"/>
    </row>
    <row r="2" ht="15" spans="2:16">
      <c r="B2" s="2" t="s">
        <v>156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8:8">
      <c r="H3" s="3" t="s">
        <v>719</v>
      </c>
    </row>
    <row r="4" ht="15" spans="2:12">
      <c r="B4" s="2"/>
      <c r="C4" s="14"/>
      <c r="D4" s="117"/>
      <c r="E4" s="117"/>
      <c r="F4" s="117"/>
      <c r="G4" s="117"/>
      <c r="H4" s="117"/>
      <c r="I4" s="117"/>
      <c r="J4" s="117"/>
      <c r="K4" s="117"/>
      <c r="L4" s="117"/>
    </row>
    <row r="5" ht="15" spans="15:15">
      <c r="O5" s="33" t="s">
        <v>109</v>
      </c>
    </row>
    <row r="6" s="15" customFormat="1" ht="15" customHeight="1" spans="2:15">
      <c r="B6" s="16" t="s">
        <v>3</v>
      </c>
      <c r="C6" s="6" t="s">
        <v>110</v>
      </c>
      <c r="D6" s="306" t="s">
        <v>112</v>
      </c>
      <c r="E6" s="307"/>
      <c r="F6" s="308"/>
      <c r="G6" s="306" t="s">
        <v>526</v>
      </c>
      <c r="H6" s="307"/>
      <c r="I6" s="307"/>
      <c r="J6" s="307"/>
      <c r="K6" s="135" t="s">
        <v>114</v>
      </c>
      <c r="L6" s="135"/>
      <c r="M6" s="135"/>
      <c r="N6" s="135"/>
      <c r="O6" s="135"/>
    </row>
    <row r="7" s="15" customFormat="1" ht="30" spans="2:15">
      <c r="B7" s="309"/>
      <c r="C7" s="6"/>
      <c r="D7" s="5" t="s">
        <v>116</v>
      </c>
      <c r="E7" s="5" t="s">
        <v>237</v>
      </c>
      <c r="F7" s="5" t="s">
        <v>118</v>
      </c>
      <c r="G7" s="5" t="s">
        <v>116</v>
      </c>
      <c r="H7" s="5" t="s">
        <v>119</v>
      </c>
      <c r="I7" s="5" t="s">
        <v>120</v>
      </c>
      <c r="J7" s="5" t="s">
        <v>238</v>
      </c>
      <c r="K7" s="5" t="s">
        <v>557</v>
      </c>
      <c r="L7" s="5" t="s">
        <v>299</v>
      </c>
      <c r="M7" s="5" t="s">
        <v>300</v>
      </c>
      <c r="N7" s="5" t="s">
        <v>301</v>
      </c>
      <c r="O7" s="5" t="s">
        <v>302</v>
      </c>
    </row>
    <row r="8" s="15" customFormat="1" ht="15" spans="2:15">
      <c r="B8" s="310"/>
      <c r="C8" s="100"/>
      <c r="D8" s="5" t="s">
        <v>127</v>
      </c>
      <c r="E8" s="5" t="s">
        <v>128</v>
      </c>
      <c r="F8" s="5" t="s">
        <v>129</v>
      </c>
      <c r="G8" s="5" t="s">
        <v>127</v>
      </c>
      <c r="H8" s="5" t="s">
        <v>130</v>
      </c>
      <c r="I8" s="5" t="s">
        <v>131</v>
      </c>
      <c r="J8" s="5" t="s">
        <v>131</v>
      </c>
      <c r="K8" s="5" t="s">
        <v>132</v>
      </c>
      <c r="L8" s="5" t="s">
        <v>132</v>
      </c>
      <c r="M8" s="5" t="s">
        <v>132</v>
      </c>
      <c r="N8" s="5" t="s">
        <v>132</v>
      </c>
      <c r="O8" s="5" t="s">
        <v>132</v>
      </c>
    </row>
    <row r="9" spans="2:15">
      <c r="B9" s="311">
        <v>1</v>
      </c>
      <c r="C9" s="55" t="s">
        <v>720</v>
      </c>
      <c r="D9" s="20"/>
      <c r="E9" s="55"/>
      <c r="F9" s="147">
        <f>E9-D9</f>
        <v>0</v>
      </c>
      <c r="G9" s="208"/>
      <c r="H9" s="208"/>
      <c r="I9" s="208"/>
      <c r="J9" s="340">
        <f>H9+I9</f>
        <v>0</v>
      </c>
      <c r="K9" s="208"/>
      <c r="L9" s="208"/>
      <c r="M9" s="208"/>
      <c r="N9" s="208"/>
      <c r="O9" s="208"/>
    </row>
    <row r="10" spans="2:15">
      <c r="B10" s="100">
        <f>B9+1</f>
        <v>2</v>
      </c>
      <c r="C10" s="55" t="s">
        <v>639</v>
      </c>
      <c r="D10" s="20"/>
      <c r="E10" s="147">
        <f>F16.2x!D8</f>
        <v>0</v>
      </c>
      <c r="F10" s="147">
        <f t="shared" ref="F10:F21" si="0">E10-D10</f>
        <v>0</v>
      </c>
      <c r="G10" s="208"/>
      <c r="H10" s="147">
        <f>F16.2x!E8</f>
        <v>0</v>
      </c>
      <c r="I10" s="147">
        <f>F16.2x!F8</f>
        <v>0</v>
      </c>
      <c r="J10" s="340">
        <f>H10+I10</f>
        <v>0</v>
      </c>
      <c r="K10" s="147">
        <f>F16.2x!H8</f>
        <v>0</v>
      </c>
      <c r="L10" s="147">
        <f>F16.2x!I8</f>
        <v>0</v>
      </c>
      <c r="M10" s="147">
        <f>F16.2x!J8</f>
        <v>0</v>
      </c>
      <c r="N10" s="147">
        <f>F16.2x!K8</f>
        <v>0</v>
      </c>
      <c r="O10" s="147">
        <f>F16.2x!L8</f>
        <v>0</v>
      </c>
    </row>
    <row r="11" spans="2:15">
      <c r="B11" s="100">
        <f t="shared" ref="B11:B21" si="1">B10+1</f>
        <v>3</v>
      </c>
      <c r="C11" s="334" t="s">
        <v>721</v>
      </c>
      <c r="D11" s="20"/>
      <c r="E11" s="341">
        <f>E10*30%</f>
        <v>0</v>
      </c>
      <c r="F11" s="147">
        <f t="shared" si="0"/>
        <v>0</v>
      </c>
      <c r="G11" s="208"/>
      <c r="H11" s="341">
        <f>H10*30%</f>
        <v>0</v>
      </c>
      <c r="I11" s="341">
        <f>I10*30%</f>
        <v>0</v>
      </c>
      <c r="J11" s="340">
        <f t="shared" ref="J11:J13" si="2">H11+I11</f>
        <v>0</v>
      </c>
      <c r="K11" s="341">
        <f t="shared" ref="K11:O11" si="3">K10*30%</f>
        <v>0</v>
      </c>
      <c r="L11" s="341">
        <f t="shared" si="3"/>
        <v>0</v>
      </c>
      <c r="M11" s="341">
        <f t="shared" si="3"/>
        <v>0</v>
      </c>
      <c r="N11" s="341">
        <f t="shared" si="3"/>
        <v>0</v>
      </c>
      <c r="O11" s="341">
        <f t="shared" si="3"/>
        <v>0</v>
      </c>
    </row>
    <row r="12" ht="28.5" spans="2:15">
      <c r="B12" s="100">
        <f t="shared" si="1"/>
        <v>4</v>
      </c>
      <c r="C12" s="312" t="s">
        <v>722</v>
      </c>
      <c r="D12" s="333"/>
      <c r="E12" s="341">
        <f>F17x!H12*30%</f>
        <v>0</v>
      </c>
      <c r="F12" s="147">
        <f t="shared" si="0"/>
        <v>0</v>
      </c>
      <c r="G12" s="334"/>
      <c r="H12" s="341">
        <f>F17x!H21/2*30%</f>
        <v>0</v>
      </c>
      <c r="I12" s="341">
        <f>F17x!H21/2*30%</f>
        <v>0</v>
      </c>
      <c r="J12" s="340">
        <f t="shared" si="2"/>
        <v>0</v>
      </c>
      <c r="K12" s="341">
        <f>F17x!H30*30%</f>
        <v>0</v>
      </c>
      <c r="L12" s="341">
        <f>F17x!H39*30%</f>
        <v>0</v>
      </c>
      <c r="M12" s="341">
        <f>F17x!H48*30%</f>
        <v>0</v>
      </c>
      <c r="N12" s="341">
        <f>F17x!H57*30%</f>
        <v>0</v>
      </c>
      <c r="O12" s="341">
        <f>F17x!H66*30%</f>
        <v>0</v>
      </c>
    </row>
    <row r="13" s="11" customFormat="1" ht="15" spans="2:15">
      <c r="B13" s="100">
        <f t="shared" si="1"/>
        <v>5</v>
      </c>
      <c r="C13" s="342" t="s">
        <v>723</v>
      </c>
      <c r="D13" s="333"/>
      <c r="E13" s="341">
        <f>E9+E11+E12</f>
        <v>0</v>
      </c>
      <c r="F13" s="147">
        <f t="shared" si="0"/>
        <v>0</v>
      </c>
      <c r="G13" s="334"/>
      <c r="H13" s="341">
        <f>H9+H11+H12</f>
        <v>0</v>
      </c>
      <c r="I13" s="341">
        <f>I9+I11+I12</f>
        <v>0</v>
      </c>
      <c r="J13" s="340">
        <f t="shared" si="2"/>
        <v>0</v>
      </c>
      <c r="K13" s="341">
        <f t="shared" ref="K13:O13" si="4">K9+K11+K12</f>
        <v>0</v>
      </c>
      <c r="L13" s="341">
        <f t="shared" si="4"/>
        <v>0</v>
      </c>
      <c r="M13" s="341">
        <f t="shared" si="4"/>
        <v>0</v>
      </c>
      <c r="N13" s="341">
        <f t="shared" si="4"/>
        <v>0</v>
      </c>
      <c r="O13" s="341">
        <f t="shared" si="4"/>
        <v>0</v>
      </c>
    </row>
    <row r="14" s="11" customFormat="1" ht="15" spans="2:15">
      <c r="B14" s="100"/>
      <c r="C14" s="211" t="s">
        <v>724</v>
      </c>
      <c r="D14" s="333"/>
      <c r="E14" s="334"/>
      <c r="F14" s="55"/>
      <c r="G14" s="334"/>
      <c r="H14" s="334"/>
      <c r="I14" s="334"/>
      <c r="J14" s="334"/>
      <c r="K14" s="334"/>
      <c r="L14" s="334"/>
      <c r="M14" s="334"/>
      <c r="N14" s="334"/>
      <c r="O14" s="334"/>
    </row>
    <row r="15" s="11" customFormat="1" ht="15" spans="2:15">
      <c r="B15" s="100">
        <f>B13+1</f>
        <v>6</v>
      </c>
      <c r="C15" s="342" t="s">
        <v>725</v>
      </c>
      <c r="D15" s="333"/>
      <c r="E15" s="334"/>
      <c r="F15" s="147">
        <f t="shared" si="0"/>
        <v>0</v>
      </c>
      <c r="G15" s="334"/>
      <c r="H15" s="334"/>
      <c r="I15" s="334"/>
      <c r="J15" s="340">
        <f t="shared" ref="J15:J17" si="5">H15+I15</f>
        <v>0</v>
      </c>
      <c r="K15" s="334"/>
      <c r="L15" s="334"/>
      <c r="M15" s="334"/>
      <c r="N15" s="334"/>
      <c r="O15" s="334"/>
    </row>
    <row r="16" s="11" customFormat="1" ht="15" spans="2:15">
      <c r="B16" s="100">
        <f>B15+1</f>
        <v>7</v>
      </c>
      <c r="C16" s="342" t="s">
        <v>726</v>
      </c>
      <c r="D16" s="333"/>
      <c r="E16" s="334"/>
      <c r="F16" s="147">
        <f t="shared" si="0"/>
        <v>0</v>
      </c>
      <c r="G16" s="334"/>
      <c r="H16" s="334"/>
      <c r="I16" s="334"/>
      <c r="J16" s="340">
        <f t="shared" si="5"/>
        <v>0</v>
      </c>
      <c r="K16" s="334"/>
      <c r="L16" s="334"/>
      <c r="M16" s="334"/>
      <c r="N16" s="334"/>
      <c r="O16" s="334"/>
    </row>
    <row r="17" s="11" customFormat="1" ht="15" spans="2:15">
      <c r="B17" s="100">
        <f>B16+1</f>
        <v>8</v>
      </c>
      <c r="C17" s="343" t="s">
        <v>724</v>
      </c>
      <c r="D17" s="333"/>
      <c r="E17" s="341">
        <f>E15*E16</f>
        <v>0</v>
      </c>
      <c r="F17" s="147">
        <f t="shared" si="0"/>
        <v>0</v>
      </c>
      <c r="G17" s="334"/>
      <c r="H17" s="341">
        <f>H15*H16</f>
        <v>0</v>
      </c>
      <c r="I17" s="341">
        <f>I15*I16</f>
        <v>0</v>
      </c>
      <c r="J17" s="340">
        <f t="shared" si="5"/>
        <v>0</v>
      </c>
      <c r="K17" s="341">
        <f t="shared" ref="K17:O17" si="6">K15*K16</f>
        <v>0</v>
      </c>
      <c r="L17" s="341">
        <f t="shared" si="6"/>
        <v>0</v>
      </c>
      <c r="M17" s="341">
        <f t="shared" si="6"/>
        <v>0</v>
      </c>
      <c r="N17" s="341">
        <f t="shared" si="6"/>
        <v>0</v>
      </c>
      <c r="O17" s="341">
        <f t="shared" si="6"/>
        <v>0</v>
      </c>
    </row>
    <row r="18" ht="15" spans="2:15">
      <c r="B18" s="100"/>
      <c r="C18" s="211" t="s">
        <v>727</v>
      </c>
      <c r="D18" s="333"/>
      <c r="E18" s="334"/>
      <c r="F18" s="55"/>
      <c r="G18" s="334"/>
      <c r="H18" s="334"/>
      <c r="I18" s="334"/>
      <c r="J18" s="334"/>
      <c r="K18" s="334"/>
      <c r="L18" s="334"/>
      <c r="M18" s="334"/>
      <c r="N18" s="334"/>
      <c r="O18" s="334"/>
    </row>
    <row r="19" ht="28.5" spans="2:15">
      <c r="B19" s="100">
        <f>B17+1</f>
        <v>9</v>
      </c>
      <c r="C19" s="312" t="s">
        <v>728</v>
      </c>
      <c r="D19" s="333"/>
      <c r="E19" s="341">
        <f>E9*E17</f>
        <v>0</v>
      </c>
      <c r="F19" s="147">
        <f t="shared" si="0"/>
        <v>0</v>
      </c>
      <c r="G19" s="334"/>
      <c r="H19" s="341">
        <f>H9*H17</f>
        <v>0</v>
      </c>
      <c r="I19" s="341">
        <f>I9*I17</f>
        <v>0</v>
      </c>
      <c r="J19" s="340">
        <f t="shared" ref="J19:J21" si="7">H19+I19</f>
        <v>0</v>
      </c>
      <c r="K19" s="341">
        <f t="shared" ref="K19:O19" si="8">K9*K17</f>
        <v>0</v>
      </c>
      <c r="L19" s="341">
        <f t="shared" si="8"/>
        <v>0</v>
      </c>
      <c r="M19" s="341">
        <f t="shared" si="8"/>
        <v>0</v>
      </c>
      <c r="N19" s="341">
        <f t="shared" si="8"/>
        <v>0</v>
      </c>
      <c r="O19" s="341">
        <f t="shared" si="8"/>
        <v>0</v>
      </c>
    </row>
    <row r="20" ht="28.5" spans="2:15">
      <c r="B20" s="100">
        <f t="shared" si="1"/>
        <v>10</v>
      </c>
      <c r="C20" s="312" t="s">
        <v>729</v>
      </c>
      <c r="D20" s="333"/>
      <c r="E20" s="341">
        <f>E13*E17</f>
        <v>0</v>
      </c>
      <c r="F20" s="147">
        <f t="shared" si="0"/>
        <v>0</v>
      </c>
      <c r="G20" s="334"/>
      <c r="H20" s="341">
        <f>H13*H17</f>
        <v>0</v>
      </c>
      <c r="I20" s="341">
        <f>I13*I17</f>
        <v>0</v>
      </c>
      <c r="J20" s="340">
        <f t="shared" si="7"/>
        <v>0</v>
      </c>
      <c r="K20" s="341">
        <f t="shared" ref="K20:O20" si="9">K13*K17</f>
        <v>0</v>
      </c>
      <c r="L20" s="341">
        <f t="shared" si="9"/>
        <v>0</v>
      </c>
      <c r="M20" s="341">
        <f t="shared" si="9"/>
        <v>0</v>
      </c>
      <c r="N20" s="341">
        <f t="shared" si="9"/>
        <v>0</v>
      </c>
      <c r="O20" s="341">
        <f t="shared" si="9"/>
        <v>0</v>
      </c>
    </row>
    <row r="21" ht="15" spans="2:15">
      <c r="B21" s="100">
        <f t="shared" si="1"/>
        <v>11</v>
      </c>
      <c r="C21" s="54" t="s">
        <v>730</v>
      </c>
      <c r="D21" s="333"/>
      <c r="E21" s="147">
        <f>E19+E20</f>
        <v>0</v>
      </c>
      <c r="F21" s="147">
        <f t="shared" si="0"/>
        <v>0</v>
      </c>
      <c r="G21" s="334"/>
      <c r="H21" s="147">
        <f>H19+H20</f>
        <v>0</v>
      </c>
      <c r="I21" s="147">
        <f>I19+I20</f>
        <v>0</v>
      </c>
      <c r="J21" s="340">
        <f t="shared" si="7"/>
        <v>0</v>
      </c>
      <c r="K21" s="147">
        <f t="shared" ref="K21:O21" si="10">K19+K20</f>
        <v>0</v>
      </c>
      <c r="L21" s="147">
        <f t="shared" si="10"/>
        <v>0</v>
      </c>
      <c r="M21" s="147">
        <f t="shared" si="10"/>
        <v>0</v>
      </c>
      <c r="N21" s="147">
        <f t="shared" si="10"/>
        <v>0</v>
      </c>
      <c r="O21" s="147">
        <f t="shared" si="10"/>
        <v>0</v>
      </c>
    </row>
  </sheetData>
  <mergeCells count="6">
    <mergeCell ref="B2:P2"/>
    <mergeCell ref="D6:F6"/>
    <mergeCell ref="G6:J6"/>
    <mergeCell ref="K6:O6"/>
    <mergeCell ref="B6:B8"/>
    <mergeCell ref="C6:C8"/>
  </mergeCells>
  <pageMargins left="1.02" right="0.25" top="1" bottom="1" header="0.25" footer="0.25"/>
  <pageSetup paperSize="9" scale="65" orientation="landscape"/>
  <headerFooter alignWithMargins="0">
    <oddHeader>&amp;C&amp;F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1:P22"/>
  <sheetViews>
    <sheetView showGridLines="0" zoomScaleSheetLayoutView="90" workbookViewId="0">
      <selection activeCell="B4" sqref="B4"/>
    </sheetView>
  </sheetViews>
  <sheetFormatPr defaultColWidth="9.14285714285714" defaultRowHeight="14.25"/>
  <cols>
    <col min="1" max="1" width="4.14285714285714" style="12" customWidth="1"/>
    <col min="2" max="2" width="6.14285714285714" style="12" customWidth="1"/>
    <col min="3" max="3" width="43.5714285714286" style="12" customWidth="1"/>
    <col min="4" max="4" width="13.8571428571429" style="12" customWidth="1"/>
    <col min="5" max="5" width="12.5714285714286" style="12" customWidth="1"/>
    <col min="6" max="6" width="13.4285714285714" style="12" customWidth="1"/>
    <col min="7" max="7" width="13.8571428571429" style="12" customWidth="1"/>
    <col min="8" max="8" width="12.5714285714286" style="12" customWidth="1"/>
    <col min="9" max="9" width="13.1428571428571" style="12" customWidth="1"/>
    <col min="10" max="10" width="12.5714285714286" style="12" customWidth="1"/>
    <col min="11" max="11" width="11.8571428571429" style="12" customWidth="1"/>
    <col min="12" max="12" width="13.8571428571429" style="12" customWidth="1"/>
    <col min="13" max="18" width="11.8571428571429" style="12" customWidth="1"/>
    <col min="19" max="16384" width="9.14285714285714" style="12"/>
  </cols>
  <sheetData>
    <row r="1" ht="15" spans="2:2">
      <c r="B1" s="14"/>
    </row>
    <row r="2" ht="15" spans="2:16">
      <c r="B2" s="2" t="s">
        <v>156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8:8">
      <c r="H3" s="3" t="s">
        <v>731</v>
      </c>
    </row>
    <row r="4" ht="15" spans="2:12">
      <c r="B4" s="2"/>
      <c r="C4" s="14"/>
      <c r="D4" s="117"/>
      <c r="E4" s="117"/>
      <c r="F4" s="117"/>
      <c r="G4" s="117"/>
      <c r="H4" s="117"/>
      <c r="I4" s="117"/>
      <c r="J4" s="117"/>
      <c r="K4" s="117"/>
      <c r="L4" s="117"/>
    </row>
    <row r="5" ht="15" spans="15:15">
      <c r="O5" s="33" t="s">
        <v>109</v>
      </c>
    </row>
    <row r="6" s="15" customFormat="1" ht="15" customHeight="1" spans="2:15">
      <c r="B6" s="16" t="s">
        <v>3</v>
      </c>
      <c r="C6" s="6" t="s">
        <v>110</v>
      </c>
      <c r="D6" s="306" t="s">
        <v>112</v>
      </c>
      <c r="E6" s="307"/>
      <c r="F6" s="308"/>
      <c r="G6" s="306" t="s">
        <v>526</v>
      </c>
      <c r="H6" s="307"/>
      <c r="I6" s="307"/>
      <c r="J6" s="307"/>
      <c r="K6" s="135" t="s">
        <v>114</v>
      </c>
      <c r="L6" s="135"/>
      <c r="M6" s="135"/>
      <c r="N6" s="135"/>
      <c r="O6" s="135"/>
    </row>
    <row r="7" s="15" customFormat="1" ht="30" spans="2:15">
      <c r="B7" s="309"/>
      <c r="C7" s="6"/>
      <c r="D7" s="5" t="s">
        <v>116</v>
      </c>
      <c r="E7" s="5" t="s">
        <v>237</v>
      </c>
      <c r="F7" s="5" t="s">
        <v>118</v>
      </c>
      <c r="G7" s="5" t="s">
        <v>116</v>
      </c>
      <c r="H7" s="5" t="s">
        <v>119</v>
      </c>
      <c r="I7" s="5" t="s">
        <v>120</v>
      </c>
      <c r="J7" s="5" t="s">
        <v>238</v>
      </c>
      <c r="K7" s="5" t="s">
        <v>557</v>
      </c>
      <c r="L7" s="5" t="s">
        <v>299</v>
      </c>
      <c r="M7" s="5" t="s">
        <v>300</v>
      </c>
      <c r="N7" s="5" t="s">
        <v>301</v>
      </c>
      <c r="O7" s="5" t="s">
        <v>302</v>
      </c>
    </row>
    <row r="8" s="15" customFormat="1" ht="15" spans="2:15">
      <c r="B8" s="310"/>
      <c r="C8" s="100"/>
      <c r="D8" s="5" t="s">
        <v>127</v>
      </c>
      <c r="E8" s="5" t="s">
        <v>128</v>
      </c>
      <c r="F8" s="5" t="s">
        <v>129</v>
      </c>
      <c r="G8" s="5" t="s">
        <v>127</v>
      </c>
      <c r="H8" s="5" t="s">
        <v>130</v>
      </c>
      <c r="I8" s="5" t="s">
        <v>131</v>
      </c>
      <c r="J8" s="5" t="s">
        <v>131</v>
      </c>
      <c r="K8" s="5" t="s">
        <v>132</v>
      </c>
      <c r="L8" s="5" t="s">
        <v>132</v>
      </c>
      <c r="M8" s="5" t="s">
        <v>132</v>
      </c>
      <c r="N8" s="5" t="s">
        <v>132</v>
      </c>
      <c r="O8" s="5" t="s">
        <v>132</v>
      </c>
    </row>
    <row r="9" spans="2:15">
      <c r="B9" s="311">
        <v>1</v>
      </c>
      <c r="C9" s="55" t="s">
        <v>732</v>
      </c>
      <c r="D9" s="20"/>
      <c r="E9" s="55"/>
      <c r="F9" s="55"/>
      <c r="G9" s="208"/>
      <c r="H9" s="208"/>
      <c r="I9" s="208"/>
      <c r="J9" s="208"/>
      <c r="K9" s="208"/>
      <c r="L9" s="208"/>
      <c r="M9" s="208"/>
      <c r="N9" s="208"/>
      <c r="O9" s="208"/>
    </row>
    <row r="10" spans="2:15">
      <c r="B10" s="311">
        <f>B9+1</f>
        <v>2</v>
      </c>
      <c r="C10" s="55" t="s">
        <v>733</v>
      </c>
      <c r="D10" s="20"/>
      <c r="E10" s="55"/>
      <c r="F10" s="55"/>
      <c r="G10" s="208"/>
      <c r="H10" s="208"/>
      <c r="I10" s="208"/>
      <c r="J10" s="208"/>
      <c r="K10" s="208"/>
      <c r="L10" s="208"/>
      <c r="M10" s="208"/>
      <c r="N10" s="208"/>
      <c r="O10" s="208"/>
    </row>
    <row r="11" spans="2:15">
      <c r="B11" s="311">
        <f>B10+1</f>
        <v>3</v>
      </c>
      <c r="C11" s="55" t="s">
        <v>734</v>
      </c>
      <c r="D11" s="20"/>
      <c r="E11" s="55"/>
      <c r="F11" s="55"/>
      <c r="G11" s="208"/>
      <c r="H11" s="208"/>
      <c r="I11" s="208"/>
      <c r="J11" s="208"/>
      <c r="K11" s="208"/>
      <c r="L11" s="208"/>
      <c r="M11" s="208"/>
      <c r="N11" s="208"/>
      <c r="O11" s="208"/>
    </row>
    <row r="12" spans="2:15">
      <c r="B12" s="100">
        <f t="shared" ref="B12:B21" si="0">B11+1</f>
        <v>4</v>
      </c>
      <c r="C12" s="334" t="s">
        <v>735</v>
      </c>
      <c r="D12" s="20"/>
      <c r="E12" s="55"/>
      <c r="F12" s="55"/>
      <c r="G12" s="208"/>
      <c r="H12" s="208"/>
      <c r="I12" s="208"/>
      <c r="J12" s="208"/>
      <c r="K12" s="208"/>
      <c r="L12" s="208"/>
      <c r="M12" s="208"/>
      <c r="N12" s="208"/>
      <c r="O12" s="208"/>
    </row>
    <row r="13" ht="28.5" spans="2:15">
      <c r="B13" s="100">
        <f t="shared" si="0"/>
        <v>5</v>
      </c>
      <c r="C13" s="312" t="s">
        <v>736</v>
      </c>
      <c r="D13" s="333"/>
      <c r="E13" s="334"/>
      <c r="F13" s="21"/>
      <c r="G13" s="334"/>
      <c r="H13" s="334"/>
      <c r="I13" s="334"/>
      <c r="J13" s="334"/>
      <c r="K13" s="334"/>
      <c r="L13" s="334"/>
      <c r="M13" s="334"/>
      <c r="N13" s="334"/>
      <c r="O13" s="334"/>
    </row>
    <row r="14" s="11" customFormat="1" ht="15" spans="2:15">
      <c r="B14" s="100">
        <f t="shared" si="0"/>
        <v>6</v>
      </c>
      <c r="C14" s="342" t="s">
        <v>737</v>
      </c>
      <c r="D14" s="333"/>
      <c r="E14" s="334"/>
      <c r="F14" s="21"/>
      <c r="G14" s="334"/>
      <c r="H14" s="334"/>
      <c r="I14" s="334"/>
      <c r="J14" s="334"/>
      <c r="K14" s="334"/>
      <c r="L14" s="334"/>
      <c r="M14" s="334"/>
      <c r="N14" s="334"/>
      <c r="O14" s="334"/>
    </row>
    <row r="15" s="11" customFormat="1" ht="15" spans="2:15">
      <c r="B15" s="100">
        <f t="shared" si="0"/>
        <v>7</v>
      </c>
      <c r="C15" s="312" t="s">
        <v>738</v>
      </c>
      <c r="D15" s="333"/>
      <c r="E15" s="334"/>
      <c r="F15" s="21"/>
      <c r="G15" s="334"/>
      <c r="H15" s="334"/>
      <c r="I15" s="334"/>
      <c r="J15" s="334"/>
      <c r="K15" s="334"/>
      <c r="L15" s="334"/>
      <c r="M15" s="334"/>
      <c r="N15" s="334"/>
      <c r="O15" s="334"/>
    </row>
    <row r="16" s="11" customFormat="1" ht="28.5" spans="2:15">
      <c r="B16" s="100">
        <f t="shared" si="0"/>
        <v>8</v>
      </c>
      <c r="C16" s="342" t="s">
        <v>739</v>
      </c>
      <c r="D16" s="333"/>
      <c r="E16" s="334"/>
      <c r="F16" s="21"/>
      <c r="G16" s="334"/>
      <c r="H16" s="334"/>
      <c r="I16" s="334"/>
      <c r="J16" s="334"/>
      <c r="K16" s="334"/>
      <c r="L16" s="334"/>
      <c r="M16" s="334"/>
      <c r="N16" s="334"/>
      <c r="O16" s="334"/>
    </row>
    <row r="17" s="11" customFormat="1" ht="42.75" spans="2:15">
      <c r="B17" s="100">
        <f t="shared" si="0"/>
        <v>9</v>
      </c>
      <c r="C17" s="342" t="s">
        <v>740</v>
      </c>
      <c r="D17" s="333"/>
      <c r="E17" s="334"/>
      <c r="F17" s="21"/>
      <c r="G17" s="334"/>
      <c r="H17" s="334"/>
      <c r="I17" s="334"/>
      <c r="J17" s="334"/>
      <c r="K17" s="334"/>
      <c r="L17" s="334"/>
      <c r="M17" s="334"/>
      <c r="N17" s="334"/>
      <c r="O17" s="334"/>
    </row>
    <row r="18" s="11" customFormat="1" ht="15" spans="2:15">
      <c r="B18" s="100">
        <f t="shared" si="0"/>
        <v>10</v>
      </c>
      <c r="C18" s="342" t="s">
        <v>741</v>
      </c>
      <c r="D18" s="333"/>
      <c r="E18" s="334"/>
      <c r="F18" s="21"/>
      <c r="G18" s="334"/>
      <c r="H18" s="334"/>
      <c r="I18" s="334"/>
      <c r="J18" s="334"/>
      <c r="K18" s="334"/>
      <c r="L18" s="334"/>
      <c r="M18" s="334"/>
      <c r="N18" s="334"/>
      <c r="O18" s="334"/>
    </row>
    <row r="19" s="11" customFormat="1" ht="15" spans="2:15">
      <c r="B19" s="100">
        <f t="shared" si="0"/>
        <v>11</v>
      </c>
      <c r="C19" s="342" t="s">
        <v>742</v>
      </c>
      <c r="D19" s="333"/>
      <c r="E19" s="334"/>
      <c r="F19" s="21"/>
      <c r="G19" s="334"/>
      <c r="H19" s="334"/>
      <c r="I19" s="334"/>
      <c r="J19" s="334"/>
      <c r="K19" s="334"/>
      <c r="L19" s="334"/>
      <c r="M19" s="334"/>
      <c r="N19" s="334"/>
      <c r="O19" s="334"/>
    </row>
    <row r="20" s="11" customFormat="1" ht="15" spans="2:15">
      <c r="B20" s="100">
        <f t="shared" si="0"/>
        <v>12</v>
      </c>
      <c r="C20" s="342" t="s">
        <v>743</v>
      </c>
      <c r="D20" s="333"/>
      <c r="E20" s="334"/>
      <c r="F20" s="21"/>
      <c r="G20" s="334"/>
      <c r="H20" s="334"/>
      <c r="I20" s="334"/>
      <c r="J20" s="334"/>
      <c r="K20" s="334"/>
      <c r="L20" s="334"/>
      <c r="M20" s="334"/>
      <c r="N20" s="334"/>
      <c r="O20" s="334"/>
    </row>
    <row r="21" spans="2:15">
      <c r="B21" s="100">
        <f t="shared" si="0"/>
        <v>13</v>
      </c>
      <c r="C21" s="312" t="s">
        <v>652</v>
      </c>
      <c r="D21" s="333"/>
      <c r="E21" s="334"/>
      <c r="F21" s="21"/>
      <c r="G21" s="334"/>
      <c r="H21" s="334"/>
      <c r="I21" s="334"/>
      <c r="J21" s="334"/>
      <c r="K21" s="334"/>
      <c r="L21" s="334"/>
      <c r="M21" s="334"/>
      <c r="N21" s="334"/>
      <c r="O21" s="334"/>
    </row>
    <row r="22" ht="15" spans="2:15">
      <c r="B22" s="100"/>
      <c r="C22" s="175" t="s">
        <v>97</v>
      </c>
      <c r="D22" s="324">
        <f>SUM(D9:D21)</f>
        <v>0</v>
      </c>
      <c r="E22" s="324">
        <f t="shared" ref="E22:O22" si="1">SUM(E9:E21)</f>
        <v>0</v>
      </c>
      <c r="F22" s="324">
        <f>E22-D22</f>
        <v>0</v>
      </c>
      <c r="G22" s="324">
        <f t="shared" si="1"/>
        <v>0</v>
      </c>
      <c r="H22" s="324">
        <f t="shared" si="1"/>
        <v>0</v>
      </c>
      <c r="I22" s="324">
        <f t="shared" si="1"/>
        <v>0</v>
      </c>
      <c r="J22" s="324">
        <f t="shared" si="1"/>
        <v>0</v>
      </c>
      <c r="K22" s="324">
        <f t="shared" si="1"/>
        <v>0</v>
      </c>
      <c r="L22" s="324">
        <f t="shared" si="1"/>
        <v>0</v>
      </c>
      <c r="M22" s="324">
        <f t="shared" si="1"/>
        <v>0</v>
      </c>
      <c r="N22" s="324">
        <f t="shared" si="1"/>
        <v>0</v>
      </c>
      <c r="O22" s="324">
        <f t="shared" si="1"/>
        <v>0</v>
      </c>
    </row>
  </sheetData>
  <mergeCells count="6">
    <mergeCell ref="B2:P2"/>
    <mergeCell ref="D6:F6"/>
    <mergeCell ref="G6:J6"/>
    <mergeCell ref="K6:O6"/>
    <mergeCell ref="B6:B8"/>
    <mergeCell ref="C6:C8"/>
  </mergeCells>
  <pageMargins left="1.02" right="0.25" top="1" bottom="1" header="0.25" footer="0.25"/>
  <pageSetup paperSize="9" scale="64" orientation="landscape"/>
  <headerFooter alignWithMargins="0">
    <oddHeader>&amp;C&amp;F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1:P19"/>
  <sheetViews>
    <sheetView showGridLines="0" zoomScaleSheetLayoutView="90" topLeftCell="A4" workbookViewId="0">
      <selection activeCell="B2" sqref="B2:P2"/>
    </sheetView>
  </sheetViews>
  <sheetFormatPr defaultColWidth="9.14285714285714" defaultRowHeight="14.25"/>
  <cols>
    <col min="1" max="1" width="4.14285714285714" style="12" customWidth="1"/>
    <col min="2" max="2" width="6.14285714285714" style="12" customWidth="1"/>
    <col min="3" max="3" width="43.5714285714286" style="12" customWidth="1"/>
    <col min="4" max="4" width="13.8571428571429" style="12" customWidth="1"/>
    <col min="5" max="5" width="12.5714285714286" style="12" customWidth="1"/>
    <col min="6" max="6" width="13.4285714285714" style="12" customWidth="1"/>
    <col min="7" max="7" width="13.8571428571429" style="12" customWidth="1"/>
    <col min="8" max="8" width="12.5714285714286" style="12" customWidth="1"/>
    <col min="9" max="9" width="13.1428571428571" style="12" customWidth="1"/>
    <col min="10" max="10" width="12.5714285714286" style="12" customWidth="1"/>
    <col min="11" max="11" width="11.8571428571429" style="12" customWidth="1"/>
    <col min="12" max="12" width="13.8571428571429" style="12" customWidth="1"/>
    <col min="13" max="18" width="11.8571428571429" style="12" customWidth="1"/>
    <col min="19" max="16384" width="9.14285714285714" style="12"/>
  </cols>
  <sheetData>
    <row r="1" ht="15" spans="2:2">
      <c r="B1" s="14"/>
    </row>
    <row r="2" ht="15" spans="2:16">
      <c r="B2" s="2" t="s">
        <v>156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8:8">
      <c r="H3" s="3" t="s">
        <v>744</v>
      </c>
    </row>
    <row r="4" ht="15" spans="2:12">
      <c r="B4" s="2"/>
      <c r="C4" s="14"/>
      <c r="D4" s="117"/>
      <c r="E4" s="117"/>
      <c r="F4" s="117"/>
      <c r="G4" s="117"/>
      <c r="H4" s="117"/>
      <c r="I4" s="117"/>
      <c r="J4" s="117"/>
      <c r="K4" s="117"/>
      <c r="L4" s="117"/>
    </row>
    <row r="5" ht="15" spans="15:15">
      <c r="O5" s="33" t="s">
        <v>109</v>
      </c>
    </row>
    <row r="6" s="15" customFormat="1" ht="15" customHeight="1" spans="2:15">
      <c r="B6" s="16" t="s">
        <v>3</v>
      </c>
      <c r="C6" s="6" t="s">
        <v>110</v>
      </c>
      <c r="D6" s="306" t="s">
        <v>112</v>
      </c>
      <c r="E6" s="307"/>
      <c r="F6" s="308"/>
      <c r="G6" s="306" t="s">
        <v>526</v>
      </c>
      <c r="H6" s="307"/>
      <c r="I6" s="307"/>
      <c r="J6" s="307"/>
      <c r="K6" s="135" t="s">
        <v>114</v>
      </c>
      <c r="L6" s="135"/>
      <c r="M6" s="135"/>
      <c r="N6" s="135"/>
      <c r="O6" s="135"/>
    </row>
    <row r="7" s="15" customFormat="1" ht="30" spans="2:15">
      <c r="B7" s="309"/>
      <c r="C7" s="6"/>
      <c r="D7" s="5" t="s">
        <v>116</v>
      </c>
      <c r="E7" s="5" t="s">
        <v>237</v>
      </c>
      <c r="F7" s="5" t="s">
        <v>118</v>
      </c>
      <c r="G7" s="5" t="s">
        <v>116</v>
      </c>
      <c r="H7" s="5" t="s">
        <v>119</v>
      </c>
      <c r="I7" s="5" t="s">
        <v>120</v>
      </c>
      <c r="J7" s="5" t="s">
        <v>238</v>
      </c>
      <c r="K7" s="5" t="s">
        <v>557</v>
      </c>
      <c r="L7" s="5" t="s">
        <v>299</v>
      </c>
      <c r="M7" s="5" t="s">
        <v>300</v>
      </c>
      <c r="N7" s="5" t="s">
        <v>301</v>
      </c>
      <c r="O7" s="5" t="s">
        <v>302</v>
      </c>
    </row>
    <row r="8" s="15" customFormat="1" ht="15" spans="2:15">
      <c r="B8" s="310"/>
      <c r="C8" s="100"/>
      <c r="D8" s="5" t="s">
        <v>127</v>
      </c>
      <c r="E8" s="5" t="s">
        <v>128</v>
      </c>
      <c r="F8" s="5" t="s">
        <v>129</v>
      </c>
      <c r="G8" s="5" t="s">
        <v>127</v>
      </c>
      <c r="H8" s="5" t="s">
        <v>130</v>
      </c>
      <c r="I8" s="5" t="s">
        <v>131</v>
      </c>
      <c r="J8" s="5" t="s">
        <v>131</v>
      </c>
      <c r="K8" s="5" t="s">
        <v>132</v>
      </c>
      <c r="L8" s="5" t="s">
        <v>132</v>
      </c>
      <c r="M8" s="5" t="s">
        <v>132</v>
      </c>
      <c r="N8" s="5" t="s">
        <v>132</v>
      </c>
      <c r="O8" s="5" t="s">
        <v>132</v>
      </c>
    </row>
    <row r="9" spans="2:15">
      <c r="B9" s="311">
        <v>1</v>
      </c>
      <c r="C9" s="55"/>
      <c r="D9" s="20"/>
      <c r="E9" s="55"/>
      <c r="F9" s="55"/>
      <c r="G9" s="208"/>
      <c r="H9" s="208"/>
      <c r="I9" s="208"/>
      <c r="J9" s="208"/>
      <c r="K9" s="208"/>
      <c r="L9" s="208"/>
      <c r="M9" s="208"/>
      <c r="N9" s="208"/>
      <c r="O9" s="208"/>
    </row>
    <row r="10" spans="2:15">
      <c r="B10" s="311">
        <f>B9+1</f>
        <v>2</v>
      </c>
      <c r="C10" s="55"/>
      <c r="D10" s="20"/>
      <c r="E10" s="55"/>
      <c r="F10" s="55"/>
      <c r="G10" s="208"/>
      <c r="H10" s="208"/>
      <c r="I10" s="208"/>
      <c r="J10" s="208"/>
      <c r="K10" s="208"/>
      <c r="L10" s="208"/>
      <c r="M10" s="208"/>
      <c r="N10" s="208"/>
      <c r="O10" s="208"/>
    </row>
    <row r="11" spans="2:15">
      <c r="B11" s="311">
        <f>B10+1</f>
        <v>3</v>
      </c>
      <c r="C11" s="55"/>
      <c r="D11" s="20"/>
      <c r="E11" s="55"/>
      <c r="F11" s="55"/>
      <c r="G11" s="208"/>
      <c r="H11" s="208"/>
      <c r="I11" s="208"/>
      <c r="J11" s="208"/>
      <c r="K11" s="208"/>
      <c r="L11" s="208"/>
      <c r="M11" s="208"/>
      <c r="N11" s="208"/>
      <c r="O11" s="208"/>
    </row>
    <row r="12" spans="2:15">
      <c r="B12" s="100">
        <f t="shared" ref="B12:B18" si="0">B11+1</f>
        <v>4</v>
      </c>
      <c r="C12" s="334"/>
      <c r="D12" s="20"/>
      <c r="E12" s="55"/>
      <c r="F12" s="55"/>
      <c r="G12" s="208"/>
      <c r="H12" s="208"/>
      <c r="I12" s="208"/>
      <c r="J12" s="208"/>
      <c r="K12" s="208"/>
      <c r="L12" s="208"/>
      <c r="M12" s="208"/>
      <c r="N12" s="208"/>
      <c r="O12" s="208"/>
    </row>
    <row r="13" spans="2:15">
      <c r="B13" s="100">
        <f t="shared" si="0"/>
        <v>5</v>
      </c>
      <c r="C13" s="312"/>
      <c r="D13" s="333"/>
      <c r="E13" s="334"/>
      <c r="F13" s="21"/>
      <c r="G13" s="334"/>
      <c r="H13" s="334"/>
      <c r="I13" s="334"/>
      <c r="J13" s="334"/>
      <c r="K13" s="334"/>
      <c r="L13" s="334"/>
      <c r="M13" s="334"/>
      <c r="N13" s="334"/>
      <c r="O13" s="334"/>
    </row>
    <row r="14" s="11" customFormat="1" ht="15" spans="2:15">
      <c r="B14" s="100">
        <f t="shared" si="0"/>
        <v>6</v>
      </c>
      <c r="C14" s="342"/>
      <c r="D14" s="333"/>
      <c r="E14" s="334"/>
      <c r="F14" s="21"/>
      <c r="G14" s="334"/>
      <c r="H14" s="334"/>
      <c r="I14" s="334"/>
      <c r="J14" s="334"/>
      <c r="K14" s="334"/>
      <c r="L14" s="334"/>
      <c r="M14" s="334"/>
      <c r="N14" s="334"/>
      <c r="O14" s="334"/>
    </row>
    <row r="15" s="11" customFormat="1" ht="15" spans="2:15">
      <c r="B15" s="100">
        <f t="shared" si="0"/>
        <v>7</v>
      </c>
      <c r="C15" s="312"/>
      <c r="D15" s="333"/>
      <c r="E15" s="334"/>
      <c r="F15" s="21"/>
      <c r="G15" s="334"/>
      <c r="H15" s="334"/>
      <c r="I15" s="334"/>
      <c r="J15" s="334"/>
      <c r="K15" s="334"/>
      <c r="L15" s="334"/>
      <c r="M15" s="334"/>
      <c r="N15" s="334"/>
      <c r="O15" s="334"/>
    </row>
    <row r="16" s="11" customFormat="1" ht="15" spans="2:15">
      <c r="B16" s="100">
        <f t="shared" si="0"/>
        <v>8</v>
      </c>
      <c r="C16" s="342"/>
      <c r="D16" s="333"/>
      <c r="E16" s="334"/>
      <c r="F16" s="21"/>
      <c r="G16" s="334"/>
      <c r="H16" s="334"/>
      <c r="I16" s="334"/>
      <c r="J16" s="334"/>
      <c r="K16" s="334"/>
      <c r="L16" s="334"/>
      <c r="M16" s="334"/>
      <c r="N16" s="334"/>
      <c r="O16" s="334"/>
    </row>
    <row r="17" s="11" customFormat="1" ht="15" spans="2:15">
      <c r="B17" s="100">
        <f t="shared" si="0"/>
        <v>9</v>
      </c>
      <c r="C17" s="342"/>
      <c r="D17" s="333"/>
      <c r="E17" s="334"/>
      <c r="F17" s="21"/>
      <c r="G17" s="334"/>
      <c r="H17" s="334"/>
      <c r="I17" s="334"/>
      <c r="J17" s="334"/>
      <c r="K17" s="334"/>
      <c r="L17" s="334"/>
      <c r="M17" s="334"/>
      <c r="N17" s="334"/>
      <c r="O17" s="334"/>
    </row>
    <row r="18" spans="2:15">
      <c r="B18" s="100">
        <f t="shared" si="0"/>
        <v>10</v>
      </c>
      <c r="C18" s="312"/>
      <c r="D18" s="333"/>
      <c r="E18" s="334"/>
      <c r="F18" s="21"/>
      <c r="G18" s="334"/>
      <c r="H18" s="334"/>
      <c r="I18" s="334"/>
      <c r="J18" s="334"/>
      <c r="K18" s="334"/>
      <c r="L18" s="334"/>
      <c r="M18" s="334"/>
      <c r="N18" s="334"/>
      <c r="O18" s="334"/>
    </row>
    <row r="19" ht="15" spans="2:15">
      <c r="B19" s="100"/>
      <c r="C19" s="175" t="s">
        <v>97</v>
      </c>
      <c r="D19" s="324">
        <f>SUM(D9:D18)</f>
        <v>0</v>
      </c>
      <c r="E19" s="324">
        <f t="shared" ref="E19:O19" si="1">SUM(E9:E18)</f>
        <v>0</v>
      </c>
      <c r="F19" s="324">
        <f>E19-D19</f>
        <v>0</v>
      </c>
      <c r="G19" s="324">
        <f t="shared" si="1"/>
        <v>0</v>
      </c>
      <c r="H19" s="324">
        <f t="shared" si="1"/>
        <v>0</v>
      </c>
      <c r="I19" s="324">
        <f t="shared" si="1"/>
        <v>0</v>
      </c>
      <c r="J19" s="324">
        <f t="shared" si="1"/>
        <v>0</v>
      </c>
      <c r="K19" s="324">
        <f t="shared" si="1"/>
        <v>0</v>
      </c>
      <c r="L19" s="324">
        <f t="shared" si="1"/>
        <v>0</v>
      </c>
      <c r="M19" s="324">
        <f t="shared" si="1"/>
        <v>0</v>
      </c>
      <c r="N19" s="324">
        <f t="shared" si="1"/>
        <v>0</v>
      </c>
      <c r="O19" s="324">
        <f t="shared" si="1"/>
        <v>0</v>
      </c>
    </row>
  </sheetData>
  <mergeCells count="6">
    <mergeCell ref="B2:P2"/>
    <mergeCell ref="D6:F6"/>
    <mergeCell ref="G6:J6"/>
    <mergeCell ref="K6:O6"/>
    <mergeCell ref="B6:B8"/>
    <mergeCell ref="C6:C8"/>
  </mergeCells>
  <pageMargins left="1.02" right="0.25" top="1" bottom="1" header="0.25" footer="0.25"/>
  <pageSetup paperSize="9" scale="64" orientation="landscape"/>
  <headerFooter alignWithMargins="0">
    <oddHeader>&amp;C&amp;F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1:P74"/>
  <sheetViews>
    <sheetView showGridLines="0" zoomScaleSheetLayoutView="90" topLeftCell="A6" workbookViewId="0">
      <selection activeCell="H12" sqref="H12"/>
    </sheetView>
  </sheetViews>
  <sheetFormatPr defaultColWidth="9.14285714285714" defaultRowHeight="14.25"/>
  <cols>
    <col min="1" max="1" width="4.14285714285714" style="12" customWidth="1"/>
    <col min="2" max="2" width="7.14285714285714" style="12" customWidth="1"/>
    <col min="3" max="3" width="31.8571428571429" style="12" customWidth="1"/>
    <col min="4" max="4" width="13.8571428571429" style="12" customWidth="1"/>
    <col min="5" max="6" width="16.5714285714286" style="12" customWidth="1"/>
    <col min="7" max="9" width="21.1428571428571" style="12" customWidth="1"/>
    <col min="10" max="10" width="12.5714285714286" style="12" customWidth="1"/>
    <col min="11" max="11" width="11.8571428571429" style="12" customWidth="1"/>
    <col min="12" max="12" width="13.8571428571429" style="12" customWidth="1"/>
    <col min="13" max="18" width="11.8571428571429" style="12" customWidth="1"/>
    <col min="19" max="16384" width="9.14285714285714" style="12"/>
  </cols>
  <sheetData>
    <row r="1" ht="15" spans="2:2">
      <c r="B1" s="14"/>
    </row>
    <row r="2" ht="15" spans="2:16">
      <c r="B2" s="2" t="s">
        <v>156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8:8">
      <c r="H3" s="3" t="s">
        <v>745</v>
      </c>
    </row>
    <row r="4" ht="15" spans="2:12">
      <c r="B4" s="2"/>
      <c r="C4" s="14"/>
      <c r="D4" s="117"/>
      <c r="E4" s="117"/>
      <c r="F4" s="117"/>
      <c r="G4" s="117"/>
      <c r="H4" s="117"/>
      <c r="I4" s="117"/>
      <c r="J4" s="117"/>
      <c r="K4" s="117"/>
      <c r="L4" s="117"/>
    </row>
    <row r="5" ht="15" spans="15:15">
      <c r="O5" s="33" t="s">
        <v>109</v>
      </c>
    </row>
    <row r="6" s="15" customFormat="1" ht="15" spans="2:15">
      <c r="B6" s="16" t="s">
        <v>3</v>
      </c>
      <c r="C6" s="6" t="s">
        <v>110</v>
      </c>
      <c r="D6" s="306" t="s">
        <v>112</v>
      </c>
      <c r="E6" s="307"/>
      <c r="F6" s="308"/>
      <c r="G6" s="306" t="s">
        <v>526</v>
      </c>
      <c r="H6" s="307"/>
      <c r="I6" s="307"/>
      <c r="J6" s="307"/>
      <c r="K6" s="135" t="s">
        <v>114</v>
      </c>
      <c r="L6" s="135"/>
      <c r="M6" s="135"/>
      <c r="N6" s="135"/>
      <c r="O6" s="135"/>
    </row>
    <row r="7" s="15" customFormat="1" ht="30" spans="2:15">
      <c r="B7" s="309"/>
      <c r="C7" s="6"/>
      <c r="D7" s="5" t="s">
        <v>116</v>
      </c>
      <c r="E7" s="5" t="s">
        <v>237</v>
      </c>
      <c r="F7" s="5" t="s">
        <v>118</v>
      </c>
      <c r="G7" s="5" t="s">
        <v>116</v>
      </c>
      <c r="H7" s="5" t="s">
        <v>119</v>
      </c>
      <c r="I7" s="5" t="s">
        <v>120</v>
      </c>
      <c r="J7" s="5" t="s">
        <v>238</v>
      </c>
      <c r="K7" s="5" t="s">
        <v>557</v>
      </c>
      <c r="L7" s="5" t="s">
        <v>299</v>
      </c>
      <c r="M7" s="5" t="s">
        <v>300</v>
      </c>
      <c r="N7" s="5" t="s">
        <v>301</v>
      </c>
      <c r="O7" s="5" t="s">
        <v>302</v>
      </c>
    </row>
    <row r="8" s="15" customFormat="1" ht="15" spans="2:15">
      <c r="B8" s="310"/>
      <c r="C8" s="100"/>
      <c r="D8" s="5" t="s">
        <v>127</v>
      </c>
      <c r="E8" s="5" t="s">
        <v>128</v>
      </c>
      <c r="F8" s="5" t="s">
        <v>129</v>
      </c>
      <c r="G8" s="5" t="s">
        <v>127</v>
      </c>
      <c r="H8" s="5" t="s">
        <v>130</v>
      </c>
      <c r="I8" s="5" t="s">
        <v>131</v>
      </c>
      <c r="J8" s="5" t="s">
        <v>131</v>
      </c>
      <c r="K8" s="5" t="s">
        <v>132</v>
      </c>
      <c r="L8" s="5" t="s">
        <v>132</v>
      </c>
      <c r="M8" s="5" t="s">
        <v>132</v>
      </c>
      <c r="N8" s="5" t="s">
        <v>132</v>
      </c>
      <c r="O8" s="5" t="s">
        <v>132</v>
      </c>
    </row>
    <row r="9" ht="28.5" spans="2:15">
      <c r="B9" s="311">
        <v>1</v>
      </c>
      <c r="C9" s="312" t="s">
        <v>746</v>
      </c>
      <c r="D9" s="20"/>
      <c r="E9" s="147">
        <f>G20</f>
        <v>0</v>
      </c>
      <c r="F9" s="341">
        <f>E9-D9</f>
        <v>0</v>
      </c>
      <c r="G9" s="208"/>
      <c r="H9" s="147">
        <f>G29/2</f>
        <v>0</v>
      </c>
      <c r="I9" s="147">
        <f>G29/2</f>
        <v>0</v>
      </c>
      <c r="J9" s="341">
        <f>H9+I9</f>
        <v>0</v>
      </c>
      <c r="K9" s="147">
        <f>G38</f>
        <v>0</v>
      </c>
      <c r="L9" s="147">
        <f>G47</f>
        <v>0</v>
      </c>
      <c r="M9" s="147">
        <f>G56</f>
        <v>0</v>
      </c>
      <c r="N9" s="147">
        <f>G65</f>
        <v>0</v>
      </c>
      <c r="O9" s="147">
        <f>G74</f>
        <v>0</v>
      </c>
    </row>
    <row r="10" ht="28.5" spans="2:15">
      <c r="B10" s="311">
        <f>B9+1</f>
        <v>2</v>
      </c>
      <c r="C10" s="312" t="s">
        <v>747</v>
      </c>
      <c r="D10" s="20"/>
      <c r="E10" s="147">
        <f>I20</f>
        <v>0</v>
      </c>
      <c r="F10" s="341">
        <f>E10-D10</f>
        <v>0</v>
      </c>
      <c r="G10" s="208"/>
      <c r="H10" s="147">
        <f>I29/2</f>
        <v>0</v>
      </c>
      <c r="I10" s="147">
        <f>I29/2</f>
        <v>0</v>
      </c>
      <c r="J10" s="341">
        <f>H10+I10</f>
        <v>0</v>
      </c>
      <c r="K10" s="147">
        <f>I38</f>
        <v>0</v>
      </c>
      <c r="L10" s="147">
        <f>I47</f>
        <v>0</v>
      </c>
      <c r="M10" s="147">
        <f>I56</f>
        <v>0</v>
      </c>
      <c r="N10" s="147">
        <f>I65</f>
        <v>0</v>
      </c>
      <c r="O10" s="147">
        <f>I74</f>
        <v>0</v>
      </c>
    </row>
    <row r="13" ht="15" spans="2:2">
      <c r="B13" s="11" t="s">
        <v>523</v>
      </c>
    </row>
    <row r="14" ht="60" spans="2:9">
      <c r="B14" s="135" t="s">
        <v>3</v>
      </c>
      <c r="C14" s="175" t="s">
        <v>748</v>
      </c>
      <c r="D14" s="175" t="s">
        <v>749</v>
      </c>
      <c r="E14" s="175" t="s">
        <v>750</v>
      </c>
      <c r="F14" s="175" t="s">
        <v>751</v>
      </c>
      <c r="G14" s="175" t="s">
        <v>746</v>
      </c>
      <c r="H14" s="175" t="s">
        <v>752</v>
      </c>
      <c r="I14" s="175" t="s">
        <v>747</v>
      </c>
    </row>
    <row r="15" ht="30" spans="2:9">
      <c r="B15" s="135"/>
      <c r="C15" s="175"/>
      <c r="D15" s="175" t="s">
        <v>753</v>
      </c>
      <c r="E15" s="135" t="s">
        <v>304</v>
      </c>
      <c r="F15" s="135" t="s">
        <v>754</v>
      </c>
      <c r="G15" s="135" t="s">
        <v>550</v>
      </c>
      <c r="H15" s="135" t="s">
        <v>754</v>
      </c>
      <c r="I15" s="135" t="s">
        <v>550</v>
      </c>
    </row>
    <row r="16" spans="2:9">
      <c r="B16" s="100">
        <v>1</v>
      </c>
      <c r="C16" s="55"/>
      <c r="D16" s="55"/>
      <c r="E16" s="55"/>
      <c r="F16" s="55"/>
      <c r="G16" s="55"/>
      <c r="H16" s="55"/>
      <c r="I16" s="55"/>
    </row>
    <row r="17" spans="2:9">
      <c r="B17" s="100">
        <f>B16+1</f>
        <v>2</v>
      </c>
      <c r="C17" s="55"/>
      <c r="D17" s="55"/>
      <c r="E17" s="55"/>
      <c r="F17" s="55"/>
      <c r="G17" s="55"/>
      <c r="H17" s="55"/>
      <c r="I17" s="55"/>
    </row>
    <row r="18" spans="2:9">
      <c r="B18" s="100">
        <f>B17+1</f>
        <v>3</v>
      </c>
      <c r="C18" s="55"/>
      <c r="D18" s="55"/>
      <c r="E18" s="55"/>
      <c r="F18" s="55"/>
      <c r="G18" s="55"/>
      <c r="H18" s="55"/>
      <c r="I18" s="55"/>
    </row>
    <row r="19" spans="2:9">
      <c r="B19" s="100"/>
      <c r="C19" s="55" t="s">
        <v>710</v>
      </c>
      <c r="D19" s="55"/>
      <c r="E19" s="55"/>
      <c r="F19" s="55"/>
      <c r="G19" s="55"/>
      <c r="H19" s="55"/>
      <c r="I19" s="55"/>
    </row>
    <row r="20" ht="15" spans="2:9">
      <c r="B20" s="100"/>
      <c r="C20" s="135" t="s">
        <v>97</v>
      </c>
      <c r="D20" s="55"/>
      <c r="E20" s="316">
        <f>SUM(E16:E19)</f>
        <v>0</v>
      </c>
      <c r="F20" s="316">
        <f t="shared" ref="F20:I20" si="0">SUM(F16:F19)</f>
        <v>0</v>
      </c>
      <c r="G20" s="316">
        <f t="shared" si="0"/>
        <v>0</v>
      </c>
      <c r="H20" s="316">
        <f t="shared" si="0"/>
        <v>0</v>
      </c>
      <c r="I20" s="316">
        <f t="shared" si="0"/>
        <v>0</v>
      </c>
    </row>
    <row r="22" ht="15" spans="2:2">
      <c r="B22" s="11" t="s">
        <v>755</v>
      </c>
    </row>
    <row r="23" ht="60" spans="2:9">
      <c r="B23" s="135" t="s">
        <v>3</v>
      </c>
      <c r="C23" s="175" t="s">
        <v>748</v>
      </c>
      <c r="D23" s="175" t="s">
        <v>749</v>
      </c>
      <c r="E23" s="175" t="s">
        <v>750</v>
      </c>
      <c r="F23" s="175" t="s">
        <v>751</v>
      </c>
      <c r="G23" s="175" t="s">
        <v>746</v>
      </c>
      <c r="H23" s="175" t="s">
        <v>752</v>
      </c>
      <c r="I23" s="175" t="s">
        <v>747</v>
      </c>
    </row>
    <row r="24" ht="30" spans="2:9">
      <c r="B24" s="135"/>
      <c r="C24" s="175"/>
      <c r="D24" s="175" t="s">
        <v>753</v>
      </c>
      <c r="E24" s="135" t="s">
        <v>304</v>
      </c>
      <c r="F24" s="135" t="s">
        <v>754</v>
      </c>
      <c r="G24" s="135" t="s">
        <v>550</v>
      </c>
      <c r="H24" s="135" t="s">
        <v>754</v>
      </c>
      <c r="I24" s="135" t="s">
        <v>550</v>
      </c>
    </row>
    <row r="25" spans="2:9">
      <c r="B25" s="100">
        <v>1</v>
      </c>
      <c r="C25" s="55"/>
      <c r="D25" s="55"/>
      <c r="E25" s="55"/>
      <c r="F25" s="55"/>
      <c r="G25" s="55"/>
      <c r="H25" s="55"/>
      <c r="I25" s="55"/>
    </row>
    <row r="26" spans="2:9">
      <c r="B26" s="100">
        <f>B25+1</f>
        <v>2</v>
      </c>
      <c r="C26" s="55"/>
      <c r="D26" s="55"/>
      <c r="E26" s="55"/>
      <c r="F26" s="55"/>
      <c r="G26" s="55"/>
      <c r="H26" s="55"/>
      <c r="I26" s="55"/>
    </row>
    <row r="27" spans="2:9">
      <c r="B27" s="100">
        <f>B26+1</f>
        <v>3</v>
      </c>
      <c r="C27" s="55"/>
      <c r="D27" s="55"/>
      <c r="E27" s="55"/>
      <c r="F27" s="55"/>
      <c r="G27" s="55"/>
      <c r="H27" s="55"/>
      <c r="I27" s="55"/>
    </row>
    <row r="28" spans="2:9">
      <c r="B28" s="100"/>
      <c r="C28" s="55" t="s">
        <v>710</v>
      </c>
      <c r="D28" s="55"/>
      <c r="E28" s="55"/>
      <c r="F28" s="55"/>
      <c r="G28" s="55"/>
      <c r="H28" s="55"/>
      <c r="I28" s="55"/>
    </row>
    <row r="29" ht="15" spans="2:9">
      <c r="B29" s="100"/>
      <c r="C29" s="135" t="s">
        <v>97</v>
      </c>
      <c r="D29" s="55"/>
      <c r="E29" s="316">
        <f>SUM(E25:E28)</f>
        <v>0</v>
      </c>
      <c r="F29" s="316">
        <f t="shared" ref="F29" si="1">SUM(F25:F28)</f>
        <v>0</v>
      </c>
      <c r="G29" s="316">
        <f t="shared" ref="G29" si="2">SUM(G25:G28)</f>
        <v>0</v>
      </c>
      <c r="H29" s="316">
        <f t="shared" ref="H29" si="3">SUM(H25:H28)</f>
        <v>0</v>
      </c>
      <c r="I29" s="316">
        <f t="shared" ref="I29" si="4">SUM(I25:I28)</f>
        <v>0</v>
      </c>
    </row>
    <row r="31" ht="15" spans="2:2">
      <c r="B31" s="11" t="s">
        <v>756</v>
      </c>
    </row>
    <row r="32" ht="60" spans="2:9">
      <c r="B32" s="135" t="s">
        <v>3</v>
      </c>
      <c r="C32" s="175" t="s">
        <v>748</v>
      </c>
      <c r="D32" s="175" t="s">
        <v>749</v>
      </c>
      <c r="E32" s="175" t="s">
        <v>750</v>
      </c>
      <c r="F32" s="175" t="s">
        <v>751</v>
      </c>
      <c r="G32" s="175" t="s">
        <v>746</v>
      </c>
      <c r="H32" s="175" t="s">
        <v>752</v>
      </c>
      <c r="I32" s="175" t="s">
        <v>747</v>
      </c>
    </row>
    <row r="33" ht="30" spans="2:9">
      <c r="B33" s="135"/>
      <c r="C33" s="175"/>
      <c r="D33" s="175" t="s">
        <v>753</v>
      </c>
      <c r="E33" s="135" t="s">
        <v>304</v>
      </c>
      <c r="F33" s="135" t="s">
        <v>754</v>
      </c>
      <c r="G33" s="135" t="s">
        <v>550</v>
      </c>
      <c r="H33" s="135" t="s">
        <v>754</v>
      </c>
      <c r="I33" s="135" t="s">
        <v>550</v>
      </c>
    </row>
    <row r="34" spans="2:9">
      <c r="B34" s="100">
        <v>1</v>
      </c>
      <c r="C34" s="55"/>
      <c r="D34" s="55"/>
      <c r="E34" s="55"/>
      <c r="F34" s="55"/>
      <c r="G34" s="55"/>
      <c r="H34" s="55"/>
      <c r="I34" s="55"/>
    </row>
    <row r="35" spans="2:9">
      <c r="B35" s="100">
        <f>B34+1</f>
        <v>2</v>
      </c>
      <c r="C35" s="55"/>
      <c r="D35" s="55"/>
      <c r="E35" s="55"/>
      <c r="F35" s="55"/>
      <c r="G35" s="55"/>
      <c r="H35" s="55"/>
      <c r="I35" s="55"/>
    </row>
    <row r="36" spans="2:9">
      <c r="B36" s="100">
        <f>B35+1</f>
        <v>3</v>
      </c>
      <c r="C36" s="55"/>
      <c r="D36" s="55"/>
      <c r="E36" s="55"/>
      <c r="F36" s="55"/>
      <c r="G36" s="55"/>
      <c r="H36" s="55"/>
      <c r="I36" s="55"/>
    </row>
    <row r="37" spans="2:9">
      <c r="B37" s="100"/>
      <c r="C37" s="55" t="s">
        <v>710</v>
      </c>
      <c r="D37" s="55"/>
      <c r="E37" s="55"/>
      <c r="F37" s="55"/>
      <c r="G37" s="55"/>
      <c r="H37" s="55"/>
      <c r="I37" s="55"/>
    </row>
    <row r="38" ht="15" spans="2:9">
      <c r="B38" s="100"/>
      <c r="C38" s="135" t="s">
        <v>97</v>
      </c>
      <c r="D38" s="55"/>
      <c r="E38" s="316">
        <f>SUM(E34:E37)</f>
        <v>0</v>
      </c>
      <c r="F38" s="316">
        <f t="shared" ref="F38" si="5">SUM(F34:F37)</f>
        <v>0</v>
      </c>
      <c r="G38" s="316">
        <f t="shared" ref="G38" si="6">SUM(G34:G37)</f>
        <v>0</v>
      </c>
      <c r="H38" s="316">
        <f t="shared" ref="H38" si="7">SUM(H34:H37)</f>
        <v>0</v>
      </c>
      <c r="I38" s="316">
        <f t="shared" ref="I38" si="8">SUM(I34:I37)</f>
        <v>0</v>
      </c>
    </row>
    <row r="40" ht="15" spans="2:2">
      <c r="B40" s="11" t="s">
        <v>443</v>
      </c>
    </row>
    <row r="41" ht="60" spans="2:9">
      <c r="B41" s="135" t="s">
        <v>3</v>
      </c>
      <c r="C41" s="175" t="s">
        <v>748</v>
      </c>
      <c r="D41" s="175" t="s">
        <v>749</v>
      </c>
      <c r="E41" s="175" t="s">
        <v>750</v>
      </c>
      <c r="F41" s="175" t="s">
        <v>751</v>
      </c>
      <c r="G41" s="175" t="s">
        <v>746</v>
      </c>
      <c r="H41" s="175" t="s">
        <v>752</v>
      </c>
      <c r="I41" s="175" t="s">
        <v>747</v>
      </c>
    </row>
    <row r="42" ht="30" spans="2:9">
      <c r="B42" s="135"/>
      <c r="C42" s="175"/>
      <c r="D42" s="175" t="s">
        <v>753</v>
      </c>
      <c r="E42" s="135" t="s">
        <v>304</v>
      </c>
      <c r="F42" s="135" t="s">
        <v>754</v>
      </c>
      <c r="G42" s="135" t="s">
        <v>550</v>
      </c>
      <c r="H42" s="135" t="s">
        <v>754</v>
      </c>
      <c r="I42" s="135" t="s">
        <v>550</v>
      </c>
    </row>
    <row r="43" spans="2:9">
      <c r="B43" s="100">
        <v>1</v>
      </c>
      <c r="C43" s="55"/>
      <c r="D43" s="55"/>
      <c r="E43" s="55"/>
      <c r="F43" s="55"/>
      <c r="G43" s="55"/>
      <c r="H43" s="55"/>
      <c r="I43" s="55"/>
    </row>
    <row r="44" spans="2:9">
      <c r="B44" s="100">
        <f>B43+1</f>
        <v>2</v>
      </c>
      <c r="C44" s="55"/>
      <c r="D44" s="55"/>
      <c r="E44" s="55"/>
      <c r="F44" s="55"/>
      <c r="G44" s="55"/>
      <c r="H44" s="55"/>
      <c r="I44" s="55"/>
    </row>
    <row r="45" spans="2:9">
      <c r="B45" s="100">
        <f>B44+1</f>
        <v>3</v>
      </c>
      <c r="C45" s="55"/>
      <c r="D45" s="55"/>
      <c r="E45" s="55"/>
      <c r="F45" s="55"/>
      <c r="G45" s="55"/>
      <c r="H45" s="55"/>
      <c r="I45" s="55"/>
    </row>
    <row r="46" spans="2:9">
      <c r="B46" s="100"/>
      <c r="C46" s="55" t="s">
        <v>710</v>
      </c>
      <c r="D46" s="55"/>
      <c r="E46" s="55"/>
      <c r="F46" s="55"/>
      <c r="G46" s="55"/>
      <c r="H46" s="55"/>
      <c r="I46" s="55"/>
    </row>
    <row r="47" ht="15" spans="2:9">
      <c r="B47" s="100"/>
      <c r="C47" s="135" t="s">
        <v>97</v>
      </c>
      <c r="D47" s="55"/>
      <c r="E47" s="316">
        <f>SUM(E43:E46)</f>
        <v>0</v>
      </c>
      <c r="F47" s="316">
        <f t="shared" ref="F47" si="9">SUM(F43:F46)</f>
        <v>0</v>
      </c>
      <c r="G47" s="316">
        <f t="shared" ref="G47" si="10">SUM(G43:G46)</f>
        <v>0</v>
      </c>
      <c r="H47" s="316">
        <f t="shared" ref="H47" si="11">SUM(H43:H46)</f>
        <v>0</v>
      </c>
      <c r="I47" s="316">
        <f t="shared" ref="I47" si="12">SUM(I43:I46)</f>
        <v>0</v>
      </c>
    </row>
    <row r="49" ht="15" spans="2:2">
      <c r="B49" s="11" t="s">
        <v>459</v>
      </c>
    </row>
    <row r="50" ht="60" spans="2:9">
      <c r="B50" s="135" t="s">
        <v>3</v>
      </c>
      <c r="C50" s="175" t="s">
        <v>748</v>
      </c>
      <c r="D50" s="175" t="s">
        <v>749</v>
      </c>
      <c r="E50" s="175" t="s">
        <v>750</v>
      </c>
      <c r="F50" s="175" t="s">
        <v>751</v>
      </c>
      <c r="G50" s="175" t="s">
        <v>746</v>
      </c>
      <c r="H50" s="175" t="s">
        <v>752</v>
      </c>
      <c r="I50" s="175" t="s">
        <v>747</v>
      </c>
    </row>
    <row r="51" ht="30" spans="2:9">
      <c r="B51" s="135"/>
      <c r="C51" s="175"/>
      <c r="D51" s="175" t="s">
        <v>753</v>
      </c>
      <c r="E51" s="135" t="s">
        <v>304</v>
      </c>
      <c r="F51" s="135" t="s">
        <v>754</v>
      </c>
      <c r="G51" s="135" t="s">
        <v>550</v>
      </c>
      <c r="H51" s="135" t="s">
        <v>754</v>
      </c>
      <c r="I51" s="135" t="s">
        <v>550</v>
      </c>
    </row>
    <row r="52" spans="2:9">
      <c r="B52" s="100">
        <v>1</v>
      </c>
      <c r="C52" s="55"/>
      <c r="D52" s="55"/>
      <c r="E52" s="55"/>
      <c r="F52" s="55"/>
      <c r="G52" s="55"/>
      <c r="H52" s="55"/>
      <c r="I52" s="55"/>
    </row>
    <row r="53" spans="2:9">
      <c r="B53" s="100">
        <f>B52+1</f>
        <v>2</v>
      </c>
      <c r="C53" s="55"/>
      <c r="D53" s="55"/>
      <c r="E53" s="55"/>
      <c r="F53" s="55"/>
      <c r="G53" s="55"/>
      <c r="H53" s="55"/>
      <c r="I53" s="55"/>
    </row>
    <row r="54" spans="2:9">
      <c r="B54" s="100">
        <f>B53+1</f>
        <v>3</v>
      </c>
      <c r="C54" s="55"/>
      <c r="D54" s="55"/>
      <c r="E54" s="55"/>
      <c r="F54" s="55"/>
      <c r="G54" s="55"/>
      <c r="H54" s="55"/>
      <c r="I54" s="55"/>
    </row>
    <row r="55" spans="2:9">
      <c r="B55" s="100"/>
      <c r="C55" s="55" t="s">
        <v>710</v>
      </c>
      <c r="D55" s="55"/>
      <c r="E55" s="55"/>
      <c r="F55" s="55"/>
      <c r="G55" s="55"/>
      <c r="H55" s="55"/>
      <c r="I55" s="55"/>
    </row>
    <row r="56" ht="15" spans="2:9">
      <c r="B56" s="100"/>
      <c r="C56" s="135" t="s">
        <v>97</v>
      </c>
      <c r="D56" s="55"/>
      <c r="E56" s="316">
        <f>SUM(E52:E55)</f>
        <v>0</v>
      </c>
      <c r="F56" s="316">
        <f t="shared" ref="F56" si="13">SUM(F52:F55)</f>
        <v>0</v>
      </c>
      <c r="G56" s="316">
        <f t="shared" ref="G56" si="14">SUM(G52:G55)</f>
        <v>0</v>
      </c>
      <c r="H56" s="316">
        <f t="shared" ref="H56" si="15">SUM(H52:H55)</f>
        <v>0</v>
      </c>
      <c r="I56" s="316">
        <f t="shared" ref="I56" si="16">SUM(I52:I55)</f>
        <v>0</v>
      </c>
    </row>
    <row r="58" ht="15" spans="2:5">
      <c r="B58" s="11" t="s">
        <v>461</v>
      </c>
      <c r="E58" s="12" t="s">
        <v>757</v>
      </c>
    </row>
    <row r="59" ht="60" spans="2:9">
      <c r="B59" s="135" t="s">
        <v>3</v>
      </c>
      <c r="C59" s="175" t="s">
        <v>748</v>
      </c>
      <c r="D59" s="175" t="s">
        <v>749</v>
      </c>
      <c r="E59" s="175" t="s">
        <v>750</v>
      </c>
      <c r="F59" s="175" t="s">
        <v>751</v>
      </c>
      <c r="G59" s="175" t="s">
        <v>746</v>
      </c>
      <c r="H59" s="175" t="s">
        <v>752</v>
      </c>
      <c r="I59" s="175" t="s">
        <v>747</v>
      </c>
    </row>
    <row r="60" ht="30" spans="2:9">
      <c r="B60" s="135"/>
      <c r="C60" s="175"/>
      <c r="D60" s="175" t="s">
        <v>753</v>
      </c>
      <c r="E60" s="135" t="s">
        <v>304</v>
      </c>
      <c r="F60" s="135" t="s">
        <v>754</v>
      </c>
      <c r="G60" s="135" t="s">
        <v>550</v>
      </c>
      <c r="H60" s="135" t="s">
        <v>754</v>
      </c>
      <c r="I60" s="135" t="s">
        <v>550</v>
      </c>
    </row>
    <row r="61" spans="2:9">
      <c r="B61" s="100">
        <v>1</v>
      </c>
      <c r="C61" s="55"/>
      <c r="D61" s="55"/>
      <c r="E61" s="55"/>
      <c r="F61" s="55"/>
      <c r="G61" s="55"/>
      <c r="H61" s="55"/>
      <c r="I61" s="55"/>
    </row>
    <row r="62" spans="2:9">
      <c r="B62" s="100">
        <f>B61+1</f>
        <v>2</v>
      </c>
      <c r="C62" s="55"/>
      <c r="D62" s="55"/>
      <c r="E62" s="55"/>
      <c r="F62" s="55"/>
      <c r="G62" s="55"/>
      <c r="H62" s="55"/>
      <c r="I62" s="55"/>
    </row>
    <row r="63" spans="2:9">
      <c r="B63" s="100">
        <f>B62+1</f>
        <v>3</v>
      </c>
      <c r="C63" s="55"/>
      <c r="D63" s="55"/>
      <c r="E63" s="55"/>
      <c r="F63" s="55"/>
      <c r="G63" s="55"/>
      <c r="H63" s="55"/>
      <c r="I63" s="55"/>
    </row>
    <row r="64" spans="2:9">
      <c r="B64" s="100"/>
      <c r="C64" s="55" t="s">
        <v>710</v>
      </c>
      <c r="D64" s="55"/>
      <c r="E64" s="55"/>
      <c r="F64" s="55"/>
      <c r="G64" s="55"/>
      <c r="H64" s="55"/>
      <c r="I64" s="55"/>
    </row>
    <row r="65" ht="15" spans="2:9">
      <c r="B65" s="100"/>
      <c r="C65" s="135" t="s">
        <v>97</v>
      </c>
      <c r="D65" s="55"/>
      <c r="E65" s="316">
        <f>SUM(E61:E64)</f>
        <v>0</v>
      </c>
      <c r="F65" s="316">
        <f t="shared" ref="F65" si="17">SUM(F61:F64)</f>
        <v>0</v>
      </c>
      <c r="G65" s="316">
        <f t="shared" ref="G65" si="18">SUM(G61:G64)</f>
        <v>0</v>
      </c>
      <c r="H65" s="316">
        <f t="shared" ref="H65" si="19">SUM(H61:H64)</f>
        <v>0</v>
      </c>
      <c r="I65" s="316">
        <f t="shared" ref="I65" si="20">SUM(I61:I64)</f>
        <v>0</v>
      </c>
    </row>
    <row r="67" ht="15" spans="2:2">
      <c r="B67" s="11" t="s">
        <v>463</v>
      </c>
    </row>
    <row r="68" ht="60" spans="2:9">
      <c r="B68" s="135" t="s">
        <v>3</v>
      </c>
      <c r="C68" s="175" t="s">
        <v>748</v>
      </c>
      <c r="D68" s="175" t="s">
        <v>749</v>
      </c>
      <c r="E68" s="175" t="s">
        <v>750</v>
      </c>
      <c r="F68" s="175" t="s">
        <v>751</v>
      </c>
      <c r="G68" s="175" t="s">
        <v>746</v>
      </c>
      <c r="H68" s="175" t="s">
        <v>752</v>
      </c>
      <c r="I68" s="175" t="s">
        <v>747</v>
      </c>
    </row>
    <row r="69" ht="30" spans="2:9">
      <c r="B69" s="135"/>
      <c r="C69" s="175"/>
      <c r="D69" s="175" t="s">
        <v>753</v>
      </c>
      <c r="E69" s="135" t="s">
        <v>304</v>
      </c>
      <c r="F69" s="135" t="s">
        <v>754</v>
      </c>
      <c r="G69" s="135" t="s">
        <v>550</v>
      </c>
      <c r="H69" s="135" t="s">
        <v>754</v>
      </c>
      <c r="I69" s="135" t="s">
        <v>550</v>
      </c>
    </row>
    <row r="70" spans="2:9">
      <c r="B70" s="100">
        <v>1</v>
      </c>
      <c r="C70" s="55"/>
      <c r="D70" s="55"/>
      <c r="E70" s="55"/>
      <c r="F70" s="55"/>
      <c r="G70" s="55"/>
      <c r="H70" s="55"/>
      <c r="I70" s="55"/>
    </row>
    <row r="71" spans="2:9">
      <c r="B71" s="100">
        <f>B70+1</f>
        <v>2</v>
      </c>
      <c r="C71" s="55"/>
      <c r="D71" s="55"/>
      <c r="E71" s="55"/>
      <c r="F71" s="55"/>
      <c r="G71" s="55"/>
      <c r="H71" s="55"/>
      <c r="I71" s="55"/>
    </row>
    <row r="72" spans="2:9">
      <c r="B72" s="100">
        <f>B71+1</f>
        <v>3</v>
      </c>
      <c r="C72" s="55"/>
      <c r="D72" s="55"/>
      <c r="E72" s="55"/>
      <c r="F72" s="55"/>
      <c r="G72" s="55"/>
      <c r="H72" s="55"/>
      <c r="I72" s="55"/>
    </row>
    <row r="73" spans="2:9">
      <c r="B73" s="100"/>
      <c r="C73" s="55" t="s">
        <v>710</v>
      </c>
      <c r="D73" s="55"/>
      <c r="E73" s="55"/>
      <c r="F73" s="55"/>
      <c r="G73" s="55"/>
      <c r="H73" s="55"/>
      <c r="I73" s="55"/>
    </row>
    <row r="74" ht="15" spans="2:9">
      <c r="B74" s="100"/>
      <c r="C74" s="135" t="s">
        <v>97</v>
      </c>
      <c r="D74" s="55"/>
      <c r="E74" s="316">
        <f>SUM(E70:E73)</f>
        <v>0</v>
      </c>
      <c r="F74" s="316">
        <f t="shared" ref="F74" si="21">SUM(F70:F73)</f>
        <v>0</v>
      </c>
      <c r="G74" s="316">
        <f t="shared" ref="G74" si="22">SUM(G70:G73)</f>
        <v>0</v>
      </c>
      <c r="H74" s="316">
        <f t="shared" ref="H74" si="23">SUM(H70:H73)</f>
        <v>0</v>
      </c>
      <c r="I74" s="316">
        <f t="shared" ref="I74" si="24">SUM(I70:I73)</f>
        <v>0</v>
      </c>
    </row>
  </sheetData>
  <mergeCells count="20">
    <mergeCell ref="B2:P2"/>
    <mergeCell ref="D6:F6"/>
    <mergeCell ref="G6:J6"/>
    <mergeCell ref="K6:O6"/>
    <mergeCell ref="B6:B8"/>
    <mergeCell ref="B14:B15"/>
    <mergeCell ref="B23:B24"/>
    <mergeCell ref="B32:B33"/>
    <mergeCell ref="B41:B42"/>
    <mergeCell ref="B50:B51"/>
    <mergeCell ref="B59:B60"/>
    <mergeCell ref="B68:B69"/>
    <mergeCell ref="C6:C8"/>
    <mergeCell ref="C14:C15"/>
    <mergeCell ref="C23:C24"/>
    <mergeCell ref="C32:C33"/>
    <mergeCell ref="C41:C42"/>
    <mergeCell ref="C50:C51"/>
    <mergeCell ref="C59:C60"/>
    <mergeCell ref="C68:C69"/>
  </mergeCells>
  <pageMargins left="1.02" right="0.25" top="1" bottom="1" header="0.25" footer="0.25"/>
  <pageSetup paperSize="9" scale="30" orientation="landscape"/>
  <headerFooter alignWithMargins="0">
    <oddHeader>&amp;C&amp;F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  <pageSetUpPr fitToPage="1"/>
  </sheetPr>
  <dimension ref="A1:P38"/>
  <sheetViews>
    <sheetView showGridLines="0" zoomScale="67" zoomScaleNormal="67" zoomScaleSheetLayoutView="80" workbookViewId="0">
      <selection activeCell="R21" sqref="R21"/>
    </sheetView>
  </sheetViews>
  <sheetFormatPr defaultColWidth="9.14285714285714" defaultRowHeight="14.25"/>
  <cols>
    <col min="1" max="1" width="9.14285714285714" style="12"/>
    <col min="2" max="2" width="7.14285714285714" style="12" customWidth="1"/>
    <col min="3" max="3" width="32.1428571428571" style="12" customWidth="1"/>
    <col min="4" max="4" width="14.4285714285714" style="12" customWidth="1"/>
    <col min="5" max="7" width="14.8571428571429" style="12" customWidth="1"/>
    <col min="8" max="9" width="12.1428571428571" style="12" customWidth="1"/>
    <col min="10" max="10" width="11.8571428571429" style="12" customWidth="1"/>
    <col min="11" max="13" width="12.1428571428571" style="12" customWidth="1"/>
    <col min="14" max="14" width="13" style="12" customWidth="1"/>
    <col min="15" max="15" width="13.4285714285714" style="12" customWidth="1"/>
    <col min="16" max="16" width="12.8571428571429" style="12" customWidth="1"/>
    <col min="17" max="16384" width="9.14285714285714" style="12"/>
  </cols>
  <sheetData>
    <row r="1" ht="15" spans="3:12">
      <c r="C1" s="34"/>
      <c r="D1" s="34"/>
      <c r="E1" s="34"/>
      <c r="F1" s="34"/>
      <c r="G1" s="34"/>
      <c r="I1" s="34"/>
      <c r="J1" s="34"/>
      <c r="K1" s="2"/>
      <c r="L1" s="34"/>
    </row>
    <row r="2" ht="15" spans="3:12">
      <c r="C2" s="34"/>
      <c r="D2" s="34"/>
      <c r="E2" s="34"/>
      <c r="F2" s="34"/>
      <c r="G2" s="618"/>
      <c r="H2" s="2" t="s">
        <v>758</v>
      </c>
      <c r="I2" s="34"/>
      <c r="J2" s="34"/>
      <c r="K2" s="2"/>
      <c r="L2" s="34"/>
    </row>
    <row r="3" ht="15" spans="2:12">
      <c r="B3" s="3"/>
      <c r="C3" s="3"/>
      <c r="D3" s="3"/>
      <c r="E3" s="3"/>
      <c r="F3" s="3"/>
      <c r="G3" s="3"/>
      <c r="H3" s="3" t="s">
        <v>556</v>
      </c>
      <c r="I3" s="3"/>
      <c r="J3" s="3"/>
      <c r="K3" s="3"/>
      <c r="L3" s="3"/>
    </row>
    <row r="4" ht="15" spans="2:12"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ht="15" spans="2:12">
      <c r="B5" s="14" t="s">
        <v>759</v>
      </c>
      <c r="C5" s="3"/>
      <c r="D5" s="3"/>
      <c r="E5" s="3"/>
      <c r="F5" s="3"/>
      <c r="G5" s="3"/>
      <c r="H5" s="3"/>
      <c r="I5" s="3"/>
      <c r="J5" s="3"/>
      <c r="K5" s="3"/>
      <c r="L5" s="3"/>
    </row>
    <row r="6" ht="15" spans="16:16">
      <c r="P6" s="33" t="s">
        <v>109</v>
      </c>
    </row>
    <row r="7" ht="15" spans="2:16">
      <c r="B7" s="175" t="s">
        <v>3</v>
      </c>
      <c r="C7" s="175" t="s">
        <v>110</v>
      </c>
      <c r="D7" s="513" t="s">
        <v>111</v>
      </c>
      <c r="E7" s="306" t="s">
        <v>112</v>
      </c>
      <c r="F7" s="307"/>
      <c r="G7" s="308"/>
      <c r="H7" s="306" t="s">
        <v>760</v>
      </c>
      <c r="I7" s="307"/>
      <c r="J7" s="307"/>
      <c r="K7" s="307"/>
      <c r="L7" s="135" t="s">
        <v>114</v>
      </c>
      <c r="M7" s="135"/>
      <c r="N7" s="135"/>
      <c r="O7" s="135"/>
      <c r="P7" s="135"/>
    </row>
    <row r="8" ht="30" spans="2:16">
      <c r="B8" s="175"/>
      <c r="C8" s="175"/>
      <c r="D8" s="514"/>
      <c r="E8" s="5" t="s">
        <v>116</v>
      </c>
      <c r="F8" s="5" t="s">
        <v>237</v>
      </c>
      <c r="G8" s="5" t="s">
        <v>118</v>
      </c>
      <c r="H8" s="5" t="s">
        <v>116</v>
      </c>
      <c r="I8" s="5" t="s">
        <v>119</v>
      </c>
      <c r="J8" s="5" t="s">
        <v>120</v>
      </c>
      <c r="K8" s="5" t="s">
        <v>238</v>
      </c>
      <c r="L8" s="5" t="s">
        <v>514</v>
      </c>
      <c r="M8" s="5" t="s">
        <v>515</v>
      </c>
      <c r="N8" s="5" t="s">
        <v>516</v>
      </c>
      <c r="O8" s="5" t="s">
        <v>517</v>
      </c>
      <c r="P8" s="5" t="s">
        <v>518</v>
      </c>
    </row>
    <row r="9" ht="15" spans="2:16">
      <c r="B9" s="175"/>
      <c r="C9" s="175"/>
      <c r="D9" s="515"/>
      <c r="E9" s="5" t="s">
        <v>127</v>
      </c>
      <c r="F9" s="5" t="s">
        <v>128</v>
      </c>
      <c r="G9" s="5" t="s">
        <v>129</v>
      </c>
      <c r="H9" s="5" t="s">
        <v>127</v>
      </c>
      <c r="I9" s="5" t="s">
        <v>130</v>
      </c>
      <c r="J9" s="5" t="s">
        <v>131</v>
      </c>
      <c r="K9" s="5" t="s">
        <v>131</v>
      </c>
      <c r="L9" s="5" t="s">
        <v>132</v>
      </c>
      <c r="M9" s="5" t="s">
        <v>132</v>
      </c>
      <c r="N9" s="5" t="s">
        <v>132</v>
      </c>
      <c r="O9" s="5" t="s">
        <v>132</v>
      </c>
      <c r="P9" s="5" t="s">
        <v>132</v>
      </c>
    </row>
    <row r="10" ht="15" spans="2:16">
      <c r="B10" s="100">
        <v>1</v>
      </c>
      <c r="C10" s="334" t="s">
        <v>558</v>
      </c>
      <c r="D10" s="334" t="s">
        <v>41</v>
      </c>
      <c r="E10" s="334"/>
      <c r="F10" s="350">
        <f>F20+F30</f>
        <v>5761.826</v>
      </c>
      <c r="G10" s="516">
        <f>F10</f>
        <v>5761.826</v>
      </c>
      <c r="H10" s="345"/>
      <c r="I10" s="350">
        <f t="shared" ref="I10:K12" si="0">I20+I30</f>
        <v>0</v>
      </c>
      <c r="J10" s="350">
        <f t="shared" si="0"/>
        <v>0</v>
      </c>
      <c r="K10" s="361">
        <f t="shared" si="0"/>
        <v>5162.849</v>
      </c>
      <c r="L10" s="361">
        <f>'[55]O&amp;M Projections New Methodology'!J5</f>
        <v>3510.7241</v>
      </c>
      <c r="M10" s="361">
        <f>'[55]O&amp;M Projections New Methodology'!K5</f>
        <v>3763.397479</v>
      </c>
      <c r="N10" s="361">
        <f>'[55]O&amp;M Projections New Methodology'!L5</f>
        <v>4786.99130569</v>
      </c>
      <c r="O10" s="361">
        <f>'[55]O&amp;M Projections New Methodology'!M5</f>
        <v>5131.6506265091</v>
      </c>
      <c r="P10" s="361">
        <f>'[55]O&amp;M Projections New Methodology'!N5</f>
        <v>5501.2016941392</v>
      </c>
    </row>
    <row r="11" ht="15" spans="2:16">
      <c r="B11" s="100">
        <f>B10+1</f>
        <v>2</v>
      </c>
      <c r="C11" s="342" t="s">
        <v>559</v>
      </c>
      <c r="D11" s="342" t="s">
        <v>43</v>
      </c>
      <c r="E11" s="342"/>
      <c r="F11" s="350">
        <f>F21+F31</f>
        <v>169.95452551</v>
      </c>
      <c r="G11" s="516">
        <f t="shared" ref="G11:G12" si="1">F11</f>
        <v>169.95452551</v>
      </c>
      <c r="H11" s="345"/>
      <c r="I11" s="350">
        <f t="shared" si="0"/>
        <v>0</v>
      </c>
      <c r="J11" s="350">
        <f t="shared" si="0"/>
        <v>0</v>
      </c>
      <c r="K11" s="361">
        <f t="shared" si="0"/>
        <v>170.08</v>
      </c>
      <c r="L11" s="361">
        <f>'[55]O&amp;M Projections New Methodology'!J6</f>
        <v>187.48414050811</v>
      </c>
      <c r="M11" s="361">
        <f>'[55]O&amp;M Projections New Methodology'!K6</f>
        <v>196.486659966624</v>
      </c>
      <c r="N11" s="361">
        <f>'[55]O&amp;M Projections New Methodology'!L6</f>
        <v>205.921457890833</v>
      </c>
      <c r="O11" s="361">
        <f>'[55]O&amp;M Projections New Methodology'!M6</f>
        <v>215.809291211367</v>
      </c>
      <c r="P11" s="361">
        <f>'[55]O&amp;M Projections New Methodology'!N6</f>
        <v>226.171913554745</v>
      </c>
    </row>
    <row r="12" ht="15" spans="2:16">
      <c r="B12" s="100">
        <f>B11+1</f>
        <v>3</v>
      </c>
      <c r="C12" s="334" t="s">
        <v>560</v>
      </c>
      <c r="D12" s="334" t="s">
        <v>45</v>
      </c>
      <c r="E12" s="334"/>
      <c r="F12" s="350">
        <f>F22+F32</f>
        <v>193.93</v>
      </c>
      <c r="G12" s="516">
        <f t="shared" si="1"/>
        <v>193.93</v>
      </c>
      <c r="H12" s="345"/>
      <c r="I12" s="350">
        <f t="shared" si="0"/>
        <v>0</v>
      </c>
      <c r="J12" s="350">
        <f t="shared" si="0"/>
        <v>0</v>
      </c>
      <c r="K12" s="361">
        <f t="shared" si="0"/>
        <v>242.44</v>
      </c>
      <c r="L12" s="361">
        <f>'[55]O&amp;M Projections New Methodology'!J7</f>
        <v>213.691353627035</v>
      </c>
      <c r="M12" s="361">
        <f>'[55]O&amp;M Projections New Methodology'!K7</f>
        <v>256.320215447624</v>
      </c>
      <c r="N12" s="361">
        <f>'[55]O&amp;M Projections New Methodology'!L7</f>
        <v>310.299299547051</v>
      </c>
      <c r="O12" s="361">
        <f>'[55]O&amp;M Projections New Methodology'!M7</f>
        <v>368.820509761403</v>
      </c>
      <c r="P12" s="361">
        <f>'[55]O&amp;M Projections New Methodology'!N7</f>
        <v>430.84163614502</v>
      </c>
    </row>
    <row r="13" ht="15" spans="2:16">
      <c r="B13" s="100">
        <f>B12+1</f>
        <v>4</v>
      </c>
      <c r="C13" s="334" t="s">
        <v>561</v>
      </c>
      <c r="D13" s="334"/>
      <c r="E13" s="334"/>
      <c r="F13" s="347">
        <f>SUM(F10:F12)</f>
        <v>6125.71052551</v>
      </c>
      <c r="G13" s="517">
        <f>F13-E13</f>
        <v>6125.71052551</v>
      </c>
      <c r="H13" s="345"/>
      <c r="I13" s="517">
        <f t="shared" ref="I13:P13" si="2">SUM(I10:I12)</f>
        <v>0</v>
      </c>
      <c r="J13" s="517">
        <f t="shared" si="2"/>
        <v>0</v>
      </c>
      <c r="K13" s="525">
        <f t="shared" si="2"/>
        <v>5575.369</v>
      </c>
      <c r="L13" s="525">
        <f t="shared" si="2"/>
        <v>3911.89959413514</v>
      </c>
      <c r="M13" s="525">
        <f t="shared" si="2"/>
        <v>4216.20435441425</v>
      </c>
      <c r="N13" s="525">
        <f t="shared" si="2"/>
        <v>5303.21206312788</v>
      </c>
      <c r="O13" s="525">
        <f t="shared" si="2"/>
        <v>5716.28042748187</v>
      </c>
      <c r="P13" s="525">
        <f t="shared" si="2"/>
        <v>6158.21524383896</v>
      </c>
    </row>
    <row r="14" ht="15" spans="2:16">
      <c r="B14" s="13"/>
      <c r="C14" s="518"/>
      <c r="D14" s="518"/>
      <c r="E14" s="518"/>
      <c r="F14" s="519"/>
      <c r="G14" s="520"/>
      <c r="H14" s="521"/>
      <c r="I14" s="520"/>
      <c r="J14" s="520"/>
      <c r="K14" s="520"/>
      <c r="L14" s="519"/>
      <c r="M14" s="519"/>
      <c r="N14" s="519"/>
      <c r="O14" s="519"/>
      <c r="P14" s="519"/>
    </row>
    <row r="15" ht="15" spans="2:12">
      <c r="B15" s="14" t="s">
        <v>761</v>
      </c>
      <c r="C15" s="3"/>
      <c r="D15" s="3"/>
      <c r="E15" s="3"/>
      <c r="F15" s="3"/>
      <c r="G15" s="3"/>
      <c r="H15" s="3"/>
      <c r="I15" s="3"/>
      <c r="J15" s="3"/>
      <c r="K15" s="3"/>
      <c r="L15" s="3"/>
    </row>
    <row r="16" ht="15" spans="16:16">
      <c r="P16" s="33" t="s">
        <v>109</v>
      </c>
    </row>
    <row r="17" ht="14.1" customHeight="1" spans="2:16">
      <c r="B17" s="175" t="s">
        <v>3</v>
      </c>
      <c r="C17" s="175" t="s">
        <v>110</v>
      </c>
      <c r="D17" s="513" t="s">
        <v>111</v>
      </c>
      <c r="E17" s="306" t="s">
        <v>112</v>
      </c>
      <c r="F17" s="307"/>
      <c r="G17" s="308"/>
      <c r="H17" s="306" t="s">
        <v>760</v>
      </c>
      <c r="I17" s="307"/>
      <c r="J17" s="307"/>
      <c r="K17" s="307"/>
      <c r="L17" s="135" t="s">
        <v>114</v>
      </c>
      <c r="M17" s="135"/>
      <c r="N17" s="135"/>
      <c r="O17" s="135"/>
      <c r="P17" s="135"/>
    </row>
    <row r="18" ht="30" spans="2:16">
      <c r="B18" s="175"/>
      <c r="C18" s="175"/>
      <c r="D18" s="514"/>
      <c r="E18" s="5" t="s">
        <v>116</v>
      </c>
      <c r="F18" s="5" t="s">
        <v>237</v>
      </c>
      <c r="G18" s="5" t="s">
        <v>118</v>
      </c>
      <c r="H18" s="5" t="s">
        <v>116</v>
      </c>
      <c r="I18" s="5" t="s">
        <v>119</v>
      </c>
      <c r="J18" s="5" t="s">
        <v>120</v>
      </c>
      <c r="K18" s="5" t="s">
        <v>238</v>
      </c>
      <c r="L18" s="5" t="s">
        <v>514</v>
      </c>
      <c r="M18" s="5" t="s">
        <v>515</v>
      </c>
      <c r="N18" s="5" t="s">
        <v>516</v>
      </c>
      <c r="O18" s="5" t="s">
        <v>517</v>
      </c>
      <c r="P18" s="5" t="s">
        <v>518</v>
      </c>
    </row>
    <row r="19" ht="15" spans="2:16">
      <c r="B19" s="175"/>
      <c r="C19" s="175"/>
      <c r="D19" s="515"/>
      <c r="E19" s="5" t="s">
        <v>127</v>
      </c>
      <c r="F19" s="5" t="s">
        <v>128</v>
      </c>
      <c r="G19" s="5" t="s">
        <v>129</v>
      </c>
      <c r="H19" s="5" t="s">
        <v>127</v>
      </c>
      <c r="I19" s="5" t="s">
        <v>130</v>
      </c>
      <c r="J19" s="5" t="s">
        <v>131</v>
      </c>
      <c r="K19" s="5" t="s">
        <v>131</v>
      </c>
      <c r="L19" s="5" t="s">
        <v>132</v>
      </c>
      <c r="M19" s="5" t="s">
        <v>132</v>
      </c>
      <c r="N19" s="5" t="s">
        <v>132</v>
      </c>
      <c r="O19" s="5" t="s">
        <v>132</v>
      </c>
      <c r="P19" s="5" t="s">
        <v>132</v>
      </c>
    </row>
    <row r="20" ht="15" spans="2:16">
      <c r="B20" s="100">
        <v>1</v>
      </c>
      <c r="C20" s="334" t="s">
        <v>558</v>
      </c>
      <c r="D20" s="334" t="s">
        <v>41</v>
      </c>
      <c r="E20" s="334"/>
      <c r="F20" s="350">
        <f>[56]F15.1!G66</f>
        <v>5292.306</v>
      </c>
      <c r="G20" s="516">
        <f>F20</f>
        <v>5292.306</v>
      </c>
      <c r="H20" s="345"/>
      <c r="I20" s="350">
        <f>[56]F15.1!H66</f>
        <v>0</v>
      </c>
      <c r="J20" s="350">
        <f>[56]F15.1!I66</f>
        <v>0</v>
      </c>
      <c r="K20" s="361">
        <f>[56]F15.1!J66</f>
        <v>4693.329</v>
      </c>
      <c r="L20" s="361">
        <f>90%*L10</f>
        <v>3159.65169</v>
      </c>
      <c r="M20" s="361">
        <f t="shared" ref="M20:P20" si="3">90%*M10</f>
        <v>3387.0577311</v>
      </c>
      <c r="N20" s="361">
        <f t="shared" si="3"/>
        <v>4308.292175121</v>
      </c>
      <c r="O20" s="361">
        <f t="shared" si="3"/>
        <v>4618.48556385819</v>
      </c>
      <c r="P20" s="361">
        <f t="shared" si="3"/>
        <v>4951.08152472528</v>
      </c>
    </row>
    <row r="21" ht="15" spans="2:16">
      <c r="B21" s="100">
        <f>B20+1</f>
        <v>2</v>
      </c>
      <c r="C21" s="342" t="s">
        <v>559</v>
      </c>
      <c r="D21" s="342" t="s">
        <v>43</v>
      </c>
      <c r="E21" s="342"/>
      <c r="F21" s="350">
        <f>[56]F15.2!G75</f>
        <v>154.089</v>
      </c>
      <c r="G21" s="516">
        <f t="shared" ref="G21:G22" si="4">F21</f>
        <v>154.089</v>
      </c>
      <c r="H21" s="345"/>
      <c r="I21" s="350">
        <f>[56]F15.2!H75</f>
        <v>0</v>
      </c>
      <c r="J21" s="350">
        <f>[56]F15.2!I75</f>
        <v>0</v>
      </c>
      <c r="K21" s="361">
        <f>[56]F15.2!J75</f>
        <v>153.072</v>
      </c>
      <c r="L21" s="361">
        <f t="shared" ref="L21:P22" si="5">90%*L11</f>
        <v>168.735726457299</v>
      </c>
      <c r="M21" s="361">
        <f t="shared" si="5"/>
        <v>176.837993969962</v>
      </c>
      <c r="N21" s="361">
        <f t="shared" si="5"/>
        <v>185.32931210175</v>
      </c>
      <c r="O21" s="361">
        <f t="shared" si="5"/>
        <v>194.22836209023</v>
      </c>
      <c r="P21" s="361">
        <f t="shared" si="5"/>
        <v>203.554722199271</v>
      </c>
    </row>
    <row r="22" ht="15" spans="2:16">
      <c r="B22" s="100">
        <f>B21+1</f>
        <v>3</v>
      </c>
      <c r="C22" s="334" t="s">
        <v>560</v>
      </c>
      <c r="D22" s="334" t="s">
        <v>45</v>
      </c>
      <c r="E22" s="334"/>
      <c r="F22" s="350">
        <f>[56]F15.3!G40</f>
        <v>174.537</v>
      </c>
      <c r="G22" s="516">
        <f t="shared" si="4"/>
        <v>174.537</v>
      </c>
      <c r="H22" s="345"/>
      <c r="I22" s="350">
        <f>[56]F15.3!H40</f>
        <v>0</v>
      </c>
      <c r="J22" s="350">
        <f>[56]F15.3!I40</f>
        <v>0</v>
      </c>
      <c r="K22" s="361">
        <f>[56]F15.3!J40</f>
        <v>218.196</v>
      </c>
      <c r="L22" s="361">
        <f t="shared" si="5"/>
        <v>192.322218264331</v>
      </c>
      <c r="M22" s="361">
        <f t="shared" si="5"/>
        <v>230.688193902862</v>
      </c>
      <c r="N22" s="361">
        <f t="shared" si="5"/>
        <v>279.269369592346</v>
      </c>
      <c r="O22" s="361">
        <f t="shared" si="5"/>
        <v>331.938458785263</v>
      </c>
      <c r="P22" s="361">
        <f t="shared" si="5"/>
        <v>387.757472530518</v>
      </c>
    </row>
    <row r="23" ht="15" spans="2:16">
      <c r="B23" s="100">
        <f>B22+1</f>
        <v>4</v>
      </c>
      <c r="C23" s="334" t="s">
        <v>561</v>
      </c>
      <c r="D23" s="334"/>
      <c r="E23" s="334"/>
      <c r="F23" s="347">
        <f>SUM(F20:F22)</f>
        <v>5620.932</v>
      </c>
      <c r="G23" s="517">
        <f>F23-E23</f>
        <v>5620.932</v>
      </c>
      <c r="H23" s="345"/>
      <c r="I23" s="517">
        <f t="shared" ref="I23:P23" si="6">SUM(I20:I22)</f>
        <v>0</v>
      </c>
      <c r="J23" s="517">
        <f t="shared" si="6"/>
        <v>0</v>
      </c>
      <c r="K23" s="525">
        <f t="shared" si="6"/>
        <v>5064.597</v>
      </c>
      <c r="L23" s="525">
        <f t="shared" si="6"/>
        <v>3520.70963472163</v>
      </c>
      <c r="M23" s="525">
        <f t="shared" si="6"/>
        <v>3794.58391897282</v>
      </c>
      <c r="N23" s="525">
        <f t="shared" si="6"/>
        <v>4772.8908568151</v>
      </c>
      <c r="O23" s="525">
        <f t="shared" si="6"/>
        <v>5144.65238473368</v>
      </c>
      <c r="P23" s="525">
        <f t="shared" si="6"/>
        <v>5542.39371945507</v>
      </c>
    </row>
    <row r="24" ht="15" spans="2:16">
      <c r="B24" s="13"/>
      <c r="C24" s="518"/>
      <c r="D24" s="518"/>
      <c r="E24" s="518"/>
      <c r="F24" s="519"/>
      <c r="G24" s="520"/>
      <c r="H24" s="521"/>
      <c r="I24" s="520"/>
      <c r="J24" s="520"/>
      <c r="K24" s="520"/>
      <c r="L24" s="519"/>
      <c r="M24" s="519"/>
      <c r="N24" s="519"/>
      <c r="O24" s="519"/>
      <c r="P24" s="519"/>
    </row>
    <row r="25" ht="15" spans="1:16">
      <c r="A25" s="518"/>
      <c r="B25" s="14" t="s">
        <v>762</v>
      </c>
      <c r="C25" s="518"/>
      <c r="D25" s="518"/>
      <c r="E25" s="518"/>
      <c r="F25" s="519"/>
      <c r="G25" s="520"/>
      <c r="H25" s="521"/>
      <c r="I25" s="520"/>
      <c r="J25" s="520"/>
      <c r="K25" s="520"/>
      <c r="L25" s="519"/>
      <c r="M25" s="519"/>
      <c r="N25" s="519"/>
      <c r="O25" s="519"/>
      <c r="P25" s="519"/>
    </row>
    <row r="26" ht="15" spans="16:16">
      <c r="P26" s="33" t="s">
        <v>109</v>
      </c>
    </row>
    <row r="27" ht="14.1" customHeight="1" spans="2:16">
      <c r="B27" s="175" t="s">
        <v>3</v>
      </c>
      <c r="C27" s="175" t="s">
        <v>110</v>
      </c>
      <c r="D27" s="513" t="s">
        <v>111</v>
      </c>
      <c r="E27" s="306" t="s">
        <v>112</v>
      </c>
      <c r="F27" s="307"/>
      <c r="G27" s="308"/>
      <c r="H27" s="306" t="s">
        <v>760</v>
      </c>
      <c r="I27" s="307"/>
      <c r="J27" s="307"/>
      <c r="K27" s="307"/>
      <c r="L27" s="135" t="s">
        <v>114</v>
      </c>
      <c r="M27" s="135"/>
      <c r="N27" s="135"/>
      <c r="O27" s="135"/>
      <c r="P27" s="135"/>
    </row>
    <row r="28" ht="30" spans="2:16">
      <c r="B28" s="175"/>
      <c r="C28" s="175"/>
      <c r="D28" s="514"/>
      <c r="E28" s="5" t="s">
        <v>116</v>
      </c>
      <c r="F28" s="5" t="s">
        <v>237</v>
      </c>
      <c r="G28" s="5" t="s">
        <v>118</v>
      </c>
      <c r="H28" s="5" t="s">
        <v>116</v>
      </c>
      <c r="I28" s="5" t="s">
        <v>119</v>
      </c>
      <c r="J28" s="5" t="s">
        <v>120</v>
      </c>
      <c r="K28" s="5" t="s">
        <v>238</v>
      </c>
      <c r="L28" s="5" t="s">
        <v>514</v>
      </c>
      <c r="M28" s="5" t="s">
        <v>515</v>
      </c>
      <c r="N28" s="5" t="s">
        <v>516</v>
      </c>
      <c r="O28" s="5" t="s">
        <v>517</v>
      </c>
      <c r="P28" s="5" t="s">
        <v>518</v>
      </c>
    </row>
    <row r="29" ht="15" spans="2:16">
      <c r="B29" s="175"/>
      <c r="C29" s="175"/>
      <c r="D29" s="515"/>
      <c r="E29" s="5" t="s">
        <v>127</v>
      </c>
      <c r="F29" s="5" t="s">
        <v>128</v>
      </c>
      <c r="G29" s="5" t="s">
        <v>129</v>
      </c>
      <c r="H29" s="5" t="s">
        <v>127</v>
      </c>
      <c r="I29" s="5" t="s">
        <v>130</v>
      </c>
      <c r="J29" s="5" t="s">
        <v>131</v>
      </c>
      <c r="K29" s="5" t="s">
        <v>131</v>
      </c>
      <c r="L29" s="5" t="s">
        <v>132</v>
      </c>
      <c r="M29" s="5" t="s">
        <v>132</v>
      </c>
      <c r="N29" s="5" t="s">
        <v>132</v>
      </c>
      <c r="O29" s="5" t="s">
        <v>132</v>
      </c>
      <c r="P29" s="5" t="s">
        <v>132</v>
      </c>
    </row>
    <row r="30" ht="15" spans="2:16">
      <c r="B30" s="100">
        <v>1</v>
      </c>
      <c r="C30" s="334" t="s">
        <v>558</v>
      </c>
      <c r="D30" s="334" t="s">
        <v>41</v>
      </c>
      <c r="E30" s="334"/>
      <c r="F30" s="350">
        <f>[56]F15.1!G99</f>
        <v>469.52</v>
      </c>
      <c r="G30" s="516">
        <f>F30</f>
        <v>469.52</v>
      </c>
      <c r="H30" s="345"/>
      <c r="I30" s="350">
        <f>[56]F15.1!H99</f>
        <v>0</v>
      </c>
      <c r="J30" s="350">
        <f>[56]F15.1!I99</f>
        <v>0</v>
      </c>
      <c r="K30" s="361">
        <f>[56]F15.1!J99</f>
        <v>469.52</v>
      </c>
      <c r="L30" s="361">
        <f>10%*L10</f>
        <v>351.07241</v>
      </c>
      <c r="M30" s="361">
        <f t="shared" ref="M30:P30" si="7">10%*M10</f>
        <v>376.3397479</v>
      </c>
      <c r="N30" s="361">
        <f t="shared" si="7"/>
        <v>478.699130569</v>
      </c>
      <c r="O30" s="361">
        <f t="shared" si="7"/>
        <v>513.16506265091</v>
      </c>
      <c r="P30" s="361">
        <f t="shared" si="7"/>
        <v>550.12016941392</v>
      </c>
    </row>
    <row r="31" ht="15" spans="2:16">
      <c r="B31" s="100">
        <f>B30+1</f>
        <v>2</v>
      </c>
      <c r="C31" s="342" t="s">
        <v>559</v>
      </c>
      <c r="D31" s="342" t="s">
        <v>43</v>
      </c>
      <c r="E31" s="342"/>
      <c r="F31" s="350">
        <f>[56]F15.2!G112</f>
        <v>15.86552551</v>
      </c>
      <c r="G31" s="516">
        <f t="shared" ref="G31:G32" si="8">F31</f>
        <v>15.86552551</v>
      </c>
      <c r="H31" s="345"/>
      <c r="I31" s="350">
        <f>[56]F15.2!H112</f>
        <v>0</v>
      </c>
      <c r="J31" s="350">
        <f>[56]F15.2!I112</f>
        <v>0</v>
      </c>
      <c r="K31" s="361">
        <f>[56]F15.2!J112</f>
        <v>17.008</v>
      </c>
      <c r="L31" s="361">
        <f t="shared" ref="L31:P32" si="9">10%*L11</f>
        <v>18.748414050811</v>
      </c>
      <c r="M31" s="361">
        <f t="shared" si="9"/>
        <v>19.6486659966624</v>
      </c>
      <c r="N31" s="361">
        <f t="shared" si="9"/>
        <v>20.5921457890833</v>
      </c>
      <c r="O31" s="361">
        <f t="shared" si="9"/>
        <v>21.5809291211367</v>
      </c>
      <c r="P31" s="361">
        <f t="shared" si="9"/>
        <v>22.6171913554745</v>
      </c>
    </row>
    <row r="32" ht="15" spans="2:16">
      <c r="B32" s="100">
        <f>B31+1</f>
        <v>3</v>
      </c>
      <c r="C32" s="334" t="s">
        <v>560</v>
      </c>
      <c r="D32" s="334" t="s">
        <v>45</v>
      </c>
      <c r="E32" s="334"/>
      <c r="F32" s="350">
        <f>[56]F15.3!G60</f>
        <v>19.393</v>
      </c>
      <c r="G32" s="516">
        <f t="shared" si="8"/>
        <v>19.393</v>
      </c>
      <c r="H32" s="345"/>
      <c r="I32" s="350">
        <f>[56]F15.3!H60</f>
        <v>0</v>
      </c>
      <c r="J32" s="350">
        <f>[56]F15.3!I60</f>
        <v>0</v>
      </c>
      <c r="K32" s="361">
        <f>[56]F15.3!J60</f>
        <v>24.244</v>
      </c>
      <c r="L32" s="361">
        <f t="shared" si="9"/>
        <v>21.3691353627035</v>
      </c>
      <c r="M32" s="361">
        <f t="shared" si="9"/>
        <v>25.6320215447624</v>
      </c>
      <c r="N32" s="361">
        <f t="shared" si="9"/>
        <v>31.0299299547051</v>
      </c>
      <c r="O32" s="361">
        <f t="shared" si="9"/>
        <v>36.8820509761403</v>
      </c>
      <c r="P32" s="361">
        <f t="shared" si="9"/>
        <v>43.084163614502</v>
      </c>
    </row>
    <row r="33" ht="15" spans="2:16">
      <c r="B33" s="100">
        <f>B32+1</f>
        <v>4</v>
      </c>
      <c r="C33" s="334" t="s">
        <v>561</v>
      </c>
      <c r="D33" s="334"/>
      <c r="E33" s="334"/>
      <c r="F33" s="347">
        <f>SUM(F30:F32)</f>
        <v>504.77852551</v>
      </c>
      <c r="G33" s="517">
        <f>F33-E33</f>
        <v>504.77852551</v>
      </c>
      <c r="H33" s="345"/>
      <c r="I33" s="517">
        <f t="shared" ref="I33:P33" si="10">SUM(I30:I32)</f>
        <v>0</v>
      </c>
      <c r="J33" s="517">
        <f t="shared" si="10"/>
        <v>0</v>
      </c>
      <c r="K33" s="525">
        <f t="shared" si="10"/>
        <v>510.772</v>
      </c>
      <c r="L33" s="525">
        <f t="shared" si="10"/>
        <v>391.189959413514</v>
      </c>
      <c r="M33" s="525">
        <f t="shared" si="10"/>
        <v>421.620435441425</v>
      </c>
      <c r="N33" s="525">
        <f t="shared" si="10"/>
        <v>530.321206312788</v>
      </c>
      <c r="O33" s="525">
        <f t="shared" si="10"/>
        <v>571.628042748187</v>
      </c>
      <c r="P33" s="525">
        <f t="shared" si="10"/>
        <v>615.821524383897</v>
      </c>
    </row>
    <row r="34" ht="15" spans="2:16">
      <c r="B34" s="13"/>
      <c r="C34" s="518"/>
      <c r="D34" s="518"/>
      <c r="E34" s="518"/>
      <c r="F34" s="519"/>
      <c r="G34" s="520"/>
      <c r="H34" s="521"/>
      <c r="I34" s="520"/>
      <c r="J34" s="520"/>
      <c r="K34" s="520"/>
      <c r="L34" s="519"/>
      <c r="M34" s="519"/>
      <c r="N34" s="519"/>
      <c r="O34" s="519"/>
      <c r="P34" s="519"/>
    </row>
    <row r="35" spans="2:16">
      <c r="B35" s="483" t="s">
        <v>225</v>
      </c>
      <c r="C35" s="522"/>
      <c r="D35" s="518"/>
      <c r="E35" s="518"/>
      <c r="F35" s="518"/>
      <c r="G35" s="521"/>
      <c r="H35" s="521"/>
      <c r="I35" s="521"/>
      <c r="J35" s="521"/>
      <c r="K35" s="521"/>
      <c r="L35" s="521"/>
      <c r="M35" s="521"/>
      <c r="N35" s="521"/>
      <c r="O35" s="521"/>
      <c r="P35" s="521"/>
    </row>
    <row r="36" spans="2:3">
      <c r="B36" s="523">
        <v>1</v>
      </c>
      <c r="C36" s="522" t="s">
        <v>562</v>
      </c>
    </row>
    <row r="38" spans="2:2">
      <c r="B38" s="13"/>
    </row>
  </sheetData>
  <mergeCells count="18">
    <mergeCell ref="E7:G7"/>
    <mergeCell ref="H7:K7"/>
    <mergeCell ref="L7:P7"/>
    <mergeCell ref="E17:G17"/>
    <mergeCell ref="H17:K17"/>
    <mergeCell ref="L17:P17"/>
    <mergeCell ref="E27:G27"/>
    <mergeCell ref="H27:K27"/>
    <mergeCell ref="L27:P27"/>
    <mergeCell ref="B7:B9"/>
    <mergeCell ref="B17:B19"/>
    <mergeCell ref="B27:B29"/>
    <mergeCell ref="C7:C9"/>
    <mergeCell ref="C17:C19"/>
    <mergeCell ref="C27:C29"/>
    <mergeCell ref="D7:D9"/>
    <mergeCell ref="D17:D19"/>
    <mergeCell ref="D27:D29"/>
  </mergeCells>
  <pageMargins left="0.708661417322835" right="0.708661417322835" top="0.748031496062992" bottom="0.748031496062992" header="0.31496062992126" footer="0.31496062992126"/>
  <pageSetup paperSize="9" scale="6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S825"/>
  <sheetViews>
    <sheetView showGridLines="0" zoomScaleSheetLayoutView="70" topLeftCell="A5" workbookViewId="0">
      <pane xSplit="4" ySplit="4" topLeftCell="E60" activePane="bottomRight" state="frozen"/>
      <selection/>
      <selection pane="topRight"/>
      <selection pane="bottomLeft"/>
      <selection pane="bottomRight" activeCell="A81" sqref="A81"/>
    </sheetView>
  </sheetViews>
  <sheetFormatPr defaultColWidth="9.14285714285714" defaultRowHeight="14.25"/>
  <cols>
    <col min="1" max="1" width="3.14285714285714" style="12" customWidth="1"/>
    <col min="2" max="2" width="8.42857142857143" style="12" customWidth="1"/>
    <col min="3" max="3" width="21.5714285714286" style="12" customWidth="1"/>
    <col min="4" max="4" width="45.8571428571429" style="12" customWidth="1"/>
    <col min="5" max="5" width="13.5714285714286" style="12" customWidth="1"/>
    <col min="6" max="6" width="12.5714285714286" style="12" customWidth="1"/>
    <col min="7" max="7" width="13.4285714285714" style="12" customWidth="1"/>
    <col min="8" max="8" width="13.5714285714286" style="12" customWidth="1"/>
    <col min="9" max="9" width="12.5714285714286" style="12" customWidth="1"/>
    <col min="10" max="10" width="14.5714285714286" style="12" customWidth="1"/>
    <col min="11" max="11" width="12.5714285714286" style="12" customWidth="1"/>
    <col min="12" max="12" width="11.8571428571429" style="12" customWidth="1"/>
    <col min="13" max="13" width="13.8571428571429" style="12" customWidth="1"/>
    <col min="14" max="16" width="11.8571428571429" style="12" customWidth="1"/>
    <col min="17" max="17" width="11.4285714285714" style="12" customWidth="1"/>
    <col min="18" max="18" width="12.4285714285714" style="12" customWidth="1"/>
    <col min="19" max="19" width="12.5714285714286" style="12" customWidth="1"/>
    <col min="20" max="16384" width="9.14285714285714" style="12"/>
  </cols>
  <sheetData>
    <row r="2" ht="15" spans="10:10">
      <c r="J2" s="2" t="s">
        <v>156</v>
      </c>
    </row>
    <row r="3" ht="15" spans="10:10">
      <c r="J3" s="3" t="s">
        <v>234</v>
      </c>
    </row>
    <row r="4" ht="15" spans="2:19">
      <c r="B4" s="14"/>
      <c r="C4" s="14" t="s">
        <v>235</v>
      </c>
      <c r="D4" s="655"/>
      <c r="E4" s="655"/>
      <c r="F4" s="655"/>
      <c r="G4" s="655"/>
      <c r="S4" s="3" t="s">
        <v>236</v>
      </c>
    </row>
    <row r="5" ht="15" spans="2:19">
      <c r="B5" s="656"/>
      <c r="C5" s="658" t="s">
        <v>159</v>
      </c>
      <c r="D5" s="873"/>
      <c r="E5" s="16" t="s">
        <v>160</v>
      </c>
      <c r="F5" s="16" t="s">
        <v>161</v>
      </c>
      <c r="G5" s="16" t="s">
        <v>162</v>
      </c>
      <c r="H5" s="306" t="s">
        <v>163</v>
      </c>
      <c r="I5" s="307"/>
      <c r="J5" s="308"/>
      <c r="K5" s="306" t="s">
        <v>164</v>
      </c>
      <c r="L5" s="307"/>
      <c r="M5" s="307"/>
      <c r="N5" s="307"/>
      <c r="O5" s="135" t="s">
        <v>114</v>
      </c>
      <c r="P5" s="135"/>
      <c r="Q5" s="135"/>
      <c r="R5" s="135"/>
      <c r="S5" s="135"/>
    </row>
    <row r="6" ht="45" spans="2:19">
      <c r="B6" s="656"/>
      <c r="C6" s="660"/>
      <c r="D6" s="874"/>
      <c r="E6" s="535"/>
      <c r="F6" s="535"/>
      <c r="G6" s="535"/>
      <c r="H6" s="5" t="s">
        <v>116</v>
      </c>
      <c r="I6" s="5" t="s">
        <v>237</v>
      </c>
      <c r="J6" s="5" t="s">
        <v>118</v>
      </c>
      <c r="K6" s="5" t="s">
        <v>116</v>
      </c>
      <c r="L6" s="5" t="s">
        <v>119</v>
      </c>
      <c r="M6" s="5" t="s">
        <v>120</v>
      </c>
      <c r="N6" s="5" t="s">
        <v>238</v>
      </c>
      <c r="O6" s="5" t="s">
        <v>165</v>
      </c>
      <c r="P6" s="5" t="s">
        <v>166</v>
      </c>
      <c r="Q6" s="5" t="s">
        <v>167</v>
      </c>
      <c r="R6" s="5" t="s">
        <v>168</v>
      </c>
      <c r="S6" s="5" t="s">
        <v>169</v>
      </c>
    </row>
    <row r="7" ht="15" spans="2:19">
      <c r="B7" s="656"/>
      <c r="C7" s="662"/>
      <c r="D7" s="875"/>
      <c r="E7" s="5" t="s">
        <v>128</v>
      </c>
      <c r="F7" s="5" t="s">
        <v>128</v>
      </c>
      <c r="G7" s="5" t="s">
        <v>128</v>
      </c>
      <c r="H7" s="5" t="s">
        <v>127</v>
      </c>
      <c r="I7" s="5" t="s">
        <v>128</v>
      </c>
      <c r="J7" s="5" t="s">
        <v>129</v>
      </c>
      <c r="K7" s="5" t="s">
        <v>127</v>
      </c>
      <c r="L7" s="5" t="s">
        <v>130</v>
      </c>
      <c r="M7" s="5" t="s">
        <v>131</v>
      </c>
      <c r="N7" s="5" t="s">
        <v>131</v>
      </c>
      <c r="O7" s="5" t="s">
        <v>132</v>
      </c>
      <c r="P7" s="5" t="s">
        <v>132</v>
      </c>
      <c r="Q7" s="5" t="s">
        <v>132</v>
      </c>
      <c r="R7" s="5" t="s">
        <v>132</v>
      </c>
      <c r="S7" s="5" t="s">
        <v>132</v>
      </c>
    </row>
    <row r="8" ht="15" spans="2:19">
      <c r="B8" s="656"/>
      <c r="C8" s="44" t="s">
        <v>170</v>
      </c>
      <c r="D8" s="45"/>
      <c r="E8" s="876">
        <f>F4Ax!E8+F4Bx!E8</f>
        <v>0</v>
      </c>
      <c r="F8" s="876">
        <f>F4Ax!F8+F4Bx!F8</f>
        <v>0</v>
      </c>
      <c r="G8" s="876">
        <f>F4Ax!G8+F4Bx!G8</f>
        <v>0</v>
      </c>
      <c r="H8" s="876">
        <f>F4Ax!H8+F4Bx!H8</f>
        <v>0</v>
      </c>
      <c r="I8" s="876">
        <f>F4Ax!I8+F4Bx!I8</f>
        <v>0</v>
      </c>
      <c r="J8" s="876">
        <f>F4Ax!J8+F4Bx!J8</f>
        <v>0</v>
      </c>
      <c r="K8" s="876">
        <f>F4Ax!K8+F4Bx!K8</f>
        <v>0</v>
      </c>
      <c r="L8" s="876">
        <f>F4Ax!L8+F4Bx!L8</f>
        <v>0</v>
      </c>
      <c r="M8" s="876">
        <f>F4Ax!M8+F4Bx!M8</f>
        <v>0</v>
      </c>
      <c r="N8" s="876">
        <f>F4Ax!N8+F4Bx!N8</f>
        <v>0</v>
      </c>
      <c r="O8" s="876">
        <f>F4Ax!O8+F4Bx!O8</f>
        <v>0</v>
      </c>
      <c r="P8" s="876">
        <f>F4Ax!P8+F4Bx!P8</f>
        <v>0</v>
      </c>
      <c r="Q8" s="876">
        <f>F4Ax!Q8+F4Bx!Q8</f>
        <v>0</v>
      </c>
      <c r="R8" s="876">
        <f>F4Ax!R8+F4Bx!R8</f>
        <v>0</v>
      </c>
      <c r="S8" s="876">
        <f>F4Ax!S8+F4Bx!S8</f>
        <v>0</v>
      </c>
    </row>
    <row r="9" ht="15" spans="2:19">
      <c r="B9" s="656"/>
      <c r="C9" s="47" t="s">
        <v>171</v>
      </c>
      <c r="D9" s="47" t="s">
        <v>172</v>
      </c>
      <c r="E9" s="876">
        <f>F4Ax!E9+F4Bx!E9</f>
        <v>8709.647634</v>
      </c>
      <c r="F9" s="876">
        <f>F4Ax!F9+F4Bx!F9</f>
        <v>8911.84365781</v>
      </c>
      <c r="G9" s="876">
        <f>F4Ax!G9+F4Bx!G9</f>
        <v>9335.21218323</v>
      </c>
      <c r="H9" s="876">
        <f>F4Ax!H9+F4Bx!H9</f>
        <v>10722.4</v>
      </c>
      <c r="I9" s="876">
        <f>F4Ax!I9+F4Bx!I9</f>
        <v>9952.10895307</v>
      </c>
      <c r="J9" s="876">
        <f>F4Ax!J9+F4Bx!J9</f>
        <v>-770.29104693</v>
      </c>
      <c r="K9" s="876">
        <f>F4Ax!K9+F4Bx!K9</f>
        <v>11346.06</v>
      </c>
      <c r="L9" s="876">
        <f>F4Ax!L9+F4Bx!L9</f>
        <v>6049.98</v>
      </c>
      <c r="M9" s="876">
        <f>F4Ax!M9+F4Bx!M9</f>
        <v>5059.34</v>
      </c>
      <c r="N9" s="876">
        <f>F4Ax!N9+F4Bx!N9</f>
        <v>11109.32</v>
      </c>
      <c r="O9" s="876">
        <f>F4Ax!O9+F4Bx!O9</f>
        <v>11109.32</v>
      </c>
      <c r="P9" s="876">
        <f>F4Ax!P9+F4Bx!P9</f>
        <v>0</v>
      </c>
      <c r="Q9" s="876">
        <f>F4Ax!Q9+F4Bx!Q9</f>
        <v>0</v>
      </c>
      <c r="R9" s="876">
        <f>F4Ax!R9+F4Bx!R9</f>
        <v>0</v>
      </c>
      <c r="S9" s="876">
        <f>F4Ax!S9+F4Bx!S9</f>
        <v>0</v>
      </c>
    </row>
    <row r="10" ht="15" spans="3:19">
      <c r="C10" s="55" t="s">
        <v>173</v>
      </c>
      <c r="D10" s="55" t="s">
        <v>174</v>
      </c>
      <c r="E10" s="876">
        <f>F4Ax!E10+F4Bx!E10</f>
        <v>2582.086421</v>
      </c>
      <c r="F10" s="876">
        <f>F4Ax!F10+F4Bx!F10</f>
        <v>2160.57243333</v>
      </c>
      <c r="G10" s="876">
        <f>F4Ax!G10+F4Bx!G10</f>
        <v>2468.33932908</v>
      </c>
      <c r="H10" s="876">
        <f>F4Ax!H10+F4Bx!H10</f>
        <v>3110.72</v>
      </c>
      <c r="I10" s="876">
        <f>F4Ax!I10+F4Bx!I10</f>
        <v>3076.96768843</v>
      </c>
      <c r="J10" s="876">
        <f>F4Ax!J10+F4Bx!J10</f>
        <v>-33.7523115699996</v>
      </c>
      <c r="K10" s="876">
        <f>F4Ax!K10+F4Bx!K10</f>
        <v>2974.84</v>
      </c>
      <c r="L10" s="876">
        <f>F4Ax!L10+F4Bx!L10</f>
        <v>1703.42</v>
      </c>
      <c r="M10" s="876">
        <f>F4Ax!M10+F4Bx!M10</f>
        <v>1707.36</v>
      </c>
      <c r="N10" s="876">
        <f>F4Ax!N10+F4Bx!N10</f>
        <v>3410.78</v>
      </c>
      <c r="O10" s="876">
        <f>F4Ax!O10+F4Bx!O10</f>
        <v>3410.78</v>
      </c>
      <c r="P10" s="876">
        <f>F4Ax!P10+F4Bx!P10</f>
        <v>0</v>
      </c>
      <c r="Q10" s="876">
        <f>F4Ax!Q10+F4Bx!Q10</f>
        <v>0</v>
      </c>
      <c r="R10" s="876">
        <f>F4Ax!R10+F4Bx!R10</f>
        <v>0</v>
      </c>
      <c r="S10" s="876">
        <f>F4Ax!S10+F4Bx!S10</f>
        <v>0</v>
      </c>
    </row>
    <row r="11" ht="15" spans="3:19">
      <c r="C11" s="55" t="s">
        <v>175</v>
      </c>
      <c r="D11" s="55" t="s">
        <v>176</v>
      </c>
      <c r="E11" s="876">
        <f>F4Ax!E11+F4Bx!E11</f>
        <v>846.820004</v>
      </c>
      <c r="F11" s="876">
        <f>F4Ax!F11+F4Bx!F11</f>
        <v>880.0070935</v>
      </c>
      <c r="G11" s="876">
        <f>F4Ax!G11+F4Bx!G11</f>
        <v>892.181106</v>
      </c>
      <c r="H11" s="876">
        <f>F4Ax!H11+F4Bx!H11</f>
        <v>905.51</v>
      </c>
      <c r="I11" s="876">
        <f>F4Ax!I11+F4Bx!I11</f>
        <v>933.0692865</v>
      </c>
      <c r="J11" s="876">
        <f>F4Ax!J11+F4Bx!J11</f>
        <v>27.5592865</v>
      </c>
      <c r="K11" s="876">
        <f>F4Ax!K11+F4Bx!K11</f>
        <v>847.17</v>
      </c>
      <c r="L11" s="876">
        <f>F4Ax!L11+F4Bx!L11</f>
        <v>487.45</v>
      </c>
      <c r="M11" s="876">
        <f>F4Ax!M11+F4Bx!M11</f>
        <v>541.25</v>
      </c>
      <c r="N11" s="876">
        <f>F4Ax!N11+F4Bx!N11</f>
        <v>1028.7</v>
      </c>
      <c r="O11" s="876">
        <f>F4Ax!O11+F4Bx!O11</f>
        <v>1028.7</v>
      </c>
      <c r="P11" s="876">
        <f>F4Ax!P11+F4Bx!P11</f>
        <v>0</v>
      </c>
      <c r="Q11" s="876">
        <f>F4Ax!Q11+F4Bx!Q11</f>
        <v>0</v>
      </c>
      <c r="R11" s="876">
        <f>F4Ax!R11+F4Bx!R11</f>
        <v>0</v>
      </c>
      <c r="S11" s="876">
        <f>F4Ax!S11+F4Bx!S11</f>
        <v>0</v>
      </c>
    </row>
    <row r="12" ht="15" spans="3:19">
      <c r="C12" s="55" t="s">
        <v>177</v>
      </c>
      <c r="D12" s="55" t="s">
        <v>178</v>
      </c>
      <c r="E12" s="876">
        <f>F4Ax!E12+F4Bx!E12</f>
        <v>9.077129</v>
      </c>
      <c r="F12" s="876">
        <f>F4Ax!F12+F4Bx!F12</f>
        <v>9.579231</v>
      </c>
      <c r="G12" s="876">
        <f>F4Ax!G12+F4Bx!G12</f>
        <v>8.981455</v>
      </c>
      <c r="H12" s="876">
        <f>F4Ax!H12+F4Bx!H12</f>
        <v>9.17</v>
      </c>
      <c r="I12" s="876">
        <f>F4Ax!I12+F4Bx!I12</f>
        <v>9.52599</v>
      </c>
      <c r="J12" s="876">
        <f>F4Ax!J12+F4Bx!J12</f>
        <v>0.355990000000002</v>
      </c>
      <c r="K12" s="876">
        <f>F4Ax!K12+F4Bx!K12</f>
        <v>9.5</v>
      </c>
      <c r="L12" s="876">
        <f>F4Ax!L12+F4Bx!L12</f>
        <v>5.2</v>
      </c>
      <c r="M12" s="876">
        <f>F4Ax!M12+F4Bx!M12</f>
        <v>5.28</v>
      </c>
      <c r="N12" s="876">
        <f>F4Ax!N12+F4Bx!N12</f>
        <v>10.48</v>
      </c>
      <c r="O12" s="876">
        <f>F4Ax!O12+F4Bx!O12</f>
        <v>10.48</v>
      </c>
      <c r="P12" s="876">
        <f>F4Ax!P12+F4Bx!P12</f>
        <v>0</v>
      </c>
      <c r="Q12" s="876">
        <f>F4Ax!Q12+F4Bx!Q12</f>
        <v>0</v>
      </c>
      <c r="R12" s="876">
        <f>F4Ax!R12+F4Bx!R12</f>
        <v>0</v>
      </c>
      <c r="S12" s="876">
        <f>F4Ax!S12+F4Bx!S12</f>
        <v>0</v>
      </c>
    </row>
    <row r="13" ht="15" spans="3:19">
      <c r="C13" s="55" t="s">
        <v>179</v>
      </c>
      <c r="D13" s="55" t="s">
        <v>180</v>
      </c>
      <c r="E13" s="876">
        <f>F4Ax!E13+F4Bx!E13</f>
        <v>10818.3927530706</v>
      </c>
      <c r="F13" s="876">
        <f>F4Ax!F13+F4Bx!F13</f>
        <v>11744.8428733557</v>
      </c>
      <c r="G13" s="876">
        <f>F4Ax!G13+F4Bx!G13</f>
        <v>11724.3576385522</v>
      </c>
      <c r="H13" s="876">
        <f>F4Ax!H13+F4Bx!H13</f>
        <v>10391.18</v>
      </c>
      <c r="I13" s="876">
        <f>F4Ax!I13+F4Bx!I13</f>
        <v>12127.2243701067</v>
      </c>
      <c r="J13" s="876">
        <f>F4Ax!J13+F4Bx!J13</f>
        <v>1736.04437010665</v>
      </c>
      <c r="K13" s="876">
        <f>F4Ax!K13+F4Bx!K13</f>
        <v>11410.74</v>
      </c>
      <c r="L13" s="876">
        <f>F4Ax!L13+F4Bx!L13</f>
        <v>6250.22945630742</v>
      </c>
      <c r="M13" s="876">
        <f>F4Ax!M13+F4Bx!M13</f>
        <v>7188.69585891948</v>
      </c>
      <c r="N13" s="876">
        <f>F4Ax!N13+F4Bx!N13</f>
        <v>13438.9253152269</v>
      </c>
      <c r="O13" s="876">
        <f>F4Ax!O13+F4Bx!O13</f>
        <v>12127.2243701067</v>
      </c>
      <c r="P13" s="876">
        <f>F4Ax!P13+F4Bx!P13</f>
        <v>0</v>
      </c>
      <c r="Q13" s="876">
        <f>F4Ax!Q13+F4Bx!Q13</f>
        <v>0</v>
      </c>
      <c r="R13" s="876">
        <f>F4Ax!R13+F4Bx!R13</f>
        <v>0</v>
      </c>
      <c r="S13" s="876">
        <f>F4Ax!S13+F4Bx!S13</f>
        <v>0</v>
      </c>
    </row>
    <row r="14" ht="15" spans="3:19">
      <c r="C14" s="55" t="s">
        <v>181</v>
      </c>
      <c r="D14" s="55" t="s">
        <v>182</v>
      </c>
      <c r="E14" s="876">
        <f>F4Ax!E14+F4Bx!E14</f>
        <v>484.0302154</v>
      </c>
      <c r="F14" s="876">
        <f>F4Ax!F14+F4Bx!F14</f>
        <v>478.21771542</v>
      </c>
      <c r="G14" s="876">
        <f>F4Ax!G14+F4Bx!G14</f>
        <v>462.1855846</v>
      </c>
      <c r="H14" s="876">
        <f>F4Ax!H14+F4Bx!H14</f>
        <v>484.03</v>
      </c>
      <c r="I14" s="876">
        <f>F4Ax!I14+F4Bx!I14</f>
        <v>466.66695525</v>
      </c>
      <c r="J14" s="876">
        <f>F4Ax!J14+F4Bx!J14</f>
        <v>-17.36304475</v>
      </c>
      <c r="K14" s="876">
        <f>F4Ax!K14+F4Bx!K14</f>
        <v>454.29</v>
      </c>
      <c r="L14" s="876">
        <f>F4Ax!L14+F4Bx!L14</f>
        <v>232.26</v>
      </c>
      <c r="M14" s="876">
        <f>F4Ax!M14+F4Bx!M14</f>
        <v>253.25</v>
      </c>
      <c r="N14" s="876">
        <f>F4Ax!N14+F4Bx!N14</f>
        <v>485.51</v>
      </c>
      <c r="O14" s="876">
        <f>F4Ax!O14+F4Bx!O14</f>
        <v>485.51</v>
      </c>
      <c r="P14" s="876">
        <f>F4Ax!P14+F4Bx!P14</f>
        <v>0</v>
      </c>
      <c r="Q14" s="876">
        <f>F4Ax!Q14+F4Bx!Q14</f>
        <v>0</v>
      </c>
      <c r="R14" s="876">
        <f>F4Ax!R14+F4Bx!R14</f>
        <v>0</v>
      </c>
      <c r="S14" s="876">
        <f>F4Ax!S14+F4Bx!S14</f>
        <v>0</v>
      </c>
    </row>
    <row r="15" ht="15" spans="3:19">
      <c r="C15" s="55" t="s">
        <v>183</v>
      </c>
      <c r="D15" s="55" t="s">
        <v>184</v>
      </c>
      <c r="E15" s="876">
        <f>F4Ax!E15+F4Bx!E15</f>
        <v>76.52737232</v>
      </c>
      <c r="F15" s="876">
        <f>F4Ax!F15+F4Bx!F15</f>
        <v>47.7098197</v>
      </c>
      <c r="G15" s="876">
        <f>F4Ax!G15+F4Bx!G15</f>
        <v>61.3140215</v>
      </c>
      <c r="H15" s="876">
        <f>F4Ax!H15+F4Bx!H15</f>
        <v>93.61</v>
      </c>
      <c r="I15" s="876">
        <f>F4Ax!I15+F4Bx!I15</f>
        <v>88.07401945</v>
      </c>
      <c r="J15" s="876">
        <f>F4Ax!J15+F4Bx!J15</f>
        <v>-5.53598055</v>
      </c>
      <c r="K15" s="876">
        <f>F4Ax!K15+F4Bx!K15</f>
        <v>103.75</v>
      </c>
      <c r="L15" s="876">
        <f>F4Ax!L15+F4Bx!L15</f>
        <v>46.15</v>
      </c>
      <c r="M15" s="876">
        <f>F4Ax!M15+F4Bx!M15</f>
        <v>50.08</v>
      </c>
      <c r="N15" s="876">
        <f>F4Ax!N15+F4Bx!N15</f>
        <v>96.23</v>
      </c>
      <c r="O15" s="876">
        <f>F4Ax!O15+F4Bx!O15</f>
        <v>96.23</v>
      </c>
      <c r="P15" s="876">
        <f>F4Ax!P15+F4Bx!P15</f>
        <v>0</v>
      </c>
      <c r="Q15" s="876">
        <f>F4Ax!Q15+F4Bx!Q15</f>
        <v>0</v>
      </c>
      <c r="R15" s="876">
        <f>F4Ax!R15+F4Bx!R15</f>
        <v>0</v>
      </c>
      <c r="S15" s="876">
        <f>F4Ax!S15+F4Bx!S15</f>
        <v>0</v>
      </c>
    </row>
    <row r="16" ht="15" spans="3:19">
      <c r="C16" s="55" t="s">
        <v>185</v>
      </c>
      <c r="D16" s="55" t="s">
        <v>186</v>
      </c>
      <c r="E16" s="876">
        <f>F4Ax!E16+F4Bx!E16</f>
        <v>42.86933842</v>
      </c>
      <c r="F16" s="876">
        <f>F4Ax!F16+F4Bx!F16</f>
        <v>53.42929032</v>
      </c>
      <c r="G16" s="876">
        <f>F4Ax!G16+F4Bx!G16</f>
        <v>82.287986</v>
      </c>
      <c r="H16" s="876">
        <f>F4Ax!H16+F4Bx!H16</f>
        <v>70.84</v>
      </c>
      <c r="I16" s="876">
        <f>F4Ax!I16+F4Bx!I16</f>
        <v>96.3381664</v>
      </c>
      <c r="J16" s="876">
        <f>F4Ax!J16+F4Bx!J16</f>
        <v>25.4981664</v>
      </c>
      <c r="K16" s="876">
        <f>F4Ax!K16+F4Bx!K16</f>
        <v>100.49</v>
      </c>
      <c r="L16" s="876">
        <f>F4Ax!L16+F4Bx!L16</f>
        <v>55.45</v>
      </c>
      <c r="M16" s="876">
        <f>F4Ax!M16+F4Bx!M16</f>
        <v>50.77</v>
      </c>
      <c r="N16" s="876">
        <f>F4Ax!N16+F4Bx!N16</f>
        <v>106.22</v>
      </c>
      <c r="O16" s="876">
        <f>F4Ax!O16+F4Bx!O16</f>
        <v>106.22</v>
      </c>
      <c r="P16" s="876">
        <f>F4Ax!P16+F4Bx!P16</f>
        <v>0</v>
      </c>
      <c r="Q16" s="876">
        <f>F4Ax!Q16+F4Bx!Q16</f>
        <v>0</v>
      </c>
      <c r="R16" s="876">
        <f>F4Ax!R16+F4Bx!R16</f>
        <v>0</v>
      </c>
      <c r="S16" s="876">
        <f>F4Ax!S16+F4Bx!S16</f>
        <v>0</v>
      </c>
    </row>
    <row r="17" ht="15" spans="3:19">
      <c r="C17" s="55" t="s">
        <v>187</v>
      </c>
      <c r="D17" s="55" t="s">
        <v>188</v>
      </c>
      <c r="E17" s="876">
        <f>F4Ax!E17+F4Bx!E17</f>
        <v>0.000108</v>
      </c>
      <c r="F17" s="876">
        <f>F4Ax!F17+F4Bx!F17</f>
        <v>0.0195023</v>
      </c>
      <c r="G17" s="876">
        <f>F4Ax!G17+F4Bx!G17</f>
        <v>0.130377</v>
      </c>
      <c r="H17" s="876">
        <f>F4Ax!H17+F4Bx!H17</f>
        <v>1.74</v>
      </c>
      <c r="I17" s="876">
        <f>F4Ax!I17+F4Bx!I17</f>
        <v>0.532207</v>
      </c>
      <c r="J17" s="876">
        <f>F4Ax!J17+F4Bx!J17</f>
        <v>-1.207793</v>
      </c>
      <c r="K17" s="876">
        <f>F4Ax!K17+F4Bx!K17</f>
        <v>1.64</v>
      </c>
      <c r="L17" s="876">
        <f>F4Ax!L17+F4Bx!L17</f>
        <v>0.86</v>
      </c>
      <c r="M17" s="876">
        <f>F4Ax!M17+F4Bx!M17</f>
        <v>1.34</v>
      </c>
      <c r="N17" s="876">
        <f>F4Ax!N17+F4Bx!N17</f>
        <v>2.2</v>
      </c>
      <c r="O17" s="876">
        <f>F4Ax!O17+F4Bx!O17</f>
        <v>2.2</v>
      </c>
      <c r="P17" s="876">
        <f>F4Ax!P17+F4Bx!P17</f>
        <v>0</v>
      </c>
      <c r="Q17" s="876">
        <f>F4Ax!Q17+F4Bx!Q17</f>
        <v>0</v>
      </c>
      <c r="R17" s="876">
        <f>F4Ax!R17+F4Bx!R17</f>
        <v>0</v>
      </c>
      <c r="S17" s="876">
        <f>F4Ax!S17+F4Bx!S17</f>
        <v>0</v>
      </c>
    </row>
    <row r="18" ht="15" spans="3:19">
      <c r="C18" s="55"/>
      <c r="D18" s="55"/>
      <c r="E18" s="876"/>
      <c r="F18" s="876"/>
      <c r="G18" s="876"/>
      <c r="H18" s="876"/>
      <c r="I18" s="876"/>
      <c r="J18" s="876"/>
      <c r="K18" s="876"/>
      <c r="L18" s="876"/>
      <c r="M18" s="876"/>
      <c r="N18" s="876"/>
      <c r="O18" s="876"/>
      <c r="P18" s="876"/>
      <c r="Q18" s="876"/>
      <c r="R18" s="876"/>
      <c r="S18" s="876"/>
    </row>
    <row r="19" ht="15" spans="3:19">
      <c r="C19" s="55"/>
      <c r="D19" s="55"/>
      <c r="E19" s="876"/>
      <c r="F19" s="876"/>
      <c r="G19" s="876"/>
      <c r="H19" s="876"/>
      <c r="I19" s="876"/>
      <c r="J19" s="876"/>
      <c r="K19" s="876"/>
      <c r="L19" s="876"/>
      <c r="M19" s="876"/>
      <c r="N19" s="876"/>
      <c r="O19" s="876"/>
      <c r="P19" s="876"/>
      <c r="Q19" s="876"/>
      <c r="R19" s="876"/>
      <c r="S19" s="876"/>
    </row>
    <row r="20" ht="15" spans="3:19">
      <c r="C20" s="55"/>
      <c r="D20" s="55"/>
      <c r="E20" s="876"/>
      <c r="F20" s="876"/>
      <c r="G20" s="876"/>
      <c r="H20" s="876"/>
      <c r="I20" s="876"/>
      <c r="J20" s="876"/>
      <c r="K20" s="876"/>
      <c r="L20" s="876"/>
      <c r="M20" s="876"/>
      <c r="N20" s="876"/>
      <c r="O20" s="876"/>
      <c r="P20" s="876"/>
      <c r="Q20" s="876"/>
      <c r="R20" s="876"/>
      <c r="S20" s="876"/>
    </row>
    <row r="21" ht="15" spans="3:19">
      <c r="C21" s="55"/>
      <c r="D21" s="55"/>
      <c r="E21" s="876"/>
      <c r="F21" s="876"/>
      <c r="G21" s="876"/>
      <c r="H21" s="876"/>
      <c r="I21" s="876"/>
      <c r="J21" s="876"/>
      <c r="K21" s="876"/>
      <c r="L21" s="876"/>
      <c r="M21" s="876"/>
      <c r="N21" s="876"/>
      <c r="O21" s="876"/>
      <c r="P21" s="876"/>
      <c r="Q21" s="876"/>
      <c r="R21" s="876"/>
      <c r="S21" s="876"/>
    </row>
    <row r="22" ht="15" spans="3:19">
      <c r="C22" s="537" t="s">
        <v>189</v>
      </c>
      <c r="D22" s="540"/>
      <c r="E22" s="877">
        <f>Q99</f>
        <v>23569.4509752106</v>
      </c>
      <c r="F22" s="877">
        <f>Q173</f>
        <v>24286.2216167357</v>
      </c>
      <c r="G22" s="877">
        <f>Q246</f>
        <v>25034.9896809622</v>
      </c>
      <c r="H22" s="877">
        <f>SUM(H9:H21)</f>
        <v>25789.2</v>
      </c>
      <c r="I22" s="877">
        <f>Q319</f>
        <v>26750.5076362067</v>
      </c>
      <c r="J22" s="877">
        <f>I22-H22</f>
        <v>961.30763620666</v>
      </c>
      <c r="K22" s="877">
        <f>SUM(K9:K21)</f>
        <v>27248.48</v>
      </c>
      <c r="L22" s="877">
        <f>SUM(E395:J395)</f>
        <v>14753.6202198774</v>
      </c>
      <c r="M22" s="877">
        <f>SUM(K395:P395)</f>
        <v>14351.0943831913</v>
      </c>
      <c r="N22" s="877">
        <f>L22+M22</f>
        <v>29104.7146030687</v>
      </c>
      <c r="O22" s="877">
        <f>Q469</f>
        <v>28376.6643701067</v>
      </c>
      <c r="P22" s="877">
        <f>Q543</f>
        <v>0</v>
      </c>
      <c r="Q22" s="877">
        <f>Q617</f>
        <v>0</v>
      </c>
      <c r="R22" s="877">
        <f>Q691</f>
        <v>0</v>
      </c>
      <c r="S22" s="877">
        <f>Q765</f>
        <v>0</v>
      </c>
    </row>
    <row r="23" ht="15" spans="3:19">
      <c r="C23" s="44" t="s">
        <v>190</v>
      </c>
      <c r="D23" s="45"/>
      <c r="E23" s="876">
        <f>F4Ax!E23+F4Bx!E23</f>
        <v>0</v>
      </c>
      <c r="F23" s="876">
        <f>F4Ax!F23+F4Bx!F23</f>
        <v>0</v>
      </c>
      <c r="G23" s="876">
        <f>F4Ax!G23+F4Bx!G23</f>
        <v>0</v>
      </c>
      <c r="H23" s="876">
        <f>F4Ax!H23+F4Bx!H23</f>
        <v>0</v>
      </c>
      <c r="I23" s="876">
        <f>F4Ax!I23+F4Bx!I23</f>
        <v>0</v>
      </c>
      <c r="J23" s="876">
        <f>F4Ax!J23+F4Bx!J23</f>
        <v>0</v>
      </c>
      <c r="K23" s="876">
        <f>F4Ax!K23+F4Bx!K23</f>
        <v>0</v>
      </c>
      <c r="L23" s="876">
        <f>F4Ax!L23+F4Bx!L23</f>
        <v>0</v>
      </c>
      <c r="M23" s="876">
        <f>F4Ax!M23+F4Bx!M23</f>
        <v>0</v>
      </c>
      <c r="N23" s="876">
        <f>F4Ax!N23+F4Bx!N23</f>
        <v>0</v>
      </c>
      <c r="O23" s="876">
        <f>F4Ax!O23+F4Bx!O23</f>
        <v>0</v>
      </c>
      <c r="P23" s="876">
        <f>F4Ax!P23+F4Bx!P23</f>
        <v>0</v>
      </c>
      <c r="Q23" s="876">
        <f>F4Ax!Q23+F4Bx!Q23</f>
        <v>0</v>
      </c>
      <c r="R23" s="876">
        <f>F4Ax!R23+F4Bx!R23</f>
        <v>0</v>
      </c>
      <c r="S23" s="876">
        <f>F4Ax!S23+F4Bx!S23</f>
        <v>0</v>
      </c>
    </row>
    <row r="24" ht="15" spans="3:19">
      <c r="C24" s="55" t="s">
        <v>191</v>
      </c>
      <c r="D24" s="55" t="s">
        <v>192</v>
      </c>
      <c r="E24" s="876">
        <f>F4Ax!E24+F4Bx!E24</f>
        <v>3661.12433634736</v>
      </c>
      <c r="F24" s="876">
        <f>F4Ax!F24+F4Bx!F24</f>
        <v>3460.2168271</v>
      </c>
      <c r="G24" s="876">
        <f>F4Ax!G24+F4Bx!G24</f>
        <v>3860.71856804</v>
      </c>
      <c r="H24" s="876">
        <f>F4Ax!H24+F4Bx!H24</f>
        <v>4440.71</v>
      </c>
      <c r="I24" s="876">
        <f>F4Ax!I24+F4Bx!I24</f>
        <v>4197.4817069</v>
      </c>
      <c r="J24" s="876">
        <f>F4Ax!J24+F4Bx!J24</f>
        <v>-243.2282931</v>
      </c>
      <c r="K24" s="876">
        <f>F4Ax!K24+F4Bx!K24</f>
        <v>4401.71</v>
      </c>
      <c r="L24" s="876">
        <f>F4Ax!L24+F4Bx!L24</f>
        <v>2117.18</v>
      </c>
      <c r="M24" s="876">
        <f>F4Ax!M24+F4Bx!M24</f>
        <v>2374.24</v>
      </c>
      <c r="N24" s="876">
        <f>F4Ax!N24+F4Bx!N24</f>
        <v>4491.42</v>
      </c>
      <c r="O24" s="876">
        <f>F4Ax!O24+F4Bx!O24</f>
        <v>4491.42</v>
      </c>
      <c r="P24" s="876">
        <f>F4Ax!P24+F4Bx!P24</f>
        <v>0</v>
      </c>
      <c r="Q24" s="876">
        <f>F4Ax!Q24+F4Bx!Q24</f>
        <v>0</v>
      </c>
      <c r="R24" s="876">
        <f>F4Ax!R24+F4Bx!R24</f>
        <v>0</v>
      </c>
      <c r="S24" s="876">
        <f>F4Ax!S24+F4Bx!S24</f>
        <v>0</v>
      </c>
    </row>
    <row r="25" ht="15" spans="3:19">
      <c r="C25" s="55" t="s">
        <v>193</v>
      </c>
      <c r="D25" s="55" t="s">
        <v>194</v>
      </c>
      <c r="E25" s="876">
        <f>F4Ax!E25+F4Bx!E25</f>
        <v>0</v>
      </c>
      <c r="F25" s="876">
        <f>F4Ax!F25+F4Bx!F25</f>
        <v>0</v>
      </c>
      <c r="G25" s="876">
        <f>F4Ax!G25+F4Bx!G25</f>
        <v>0</v>
      </c>
      <c r="H25" s="876">
        <f>F4Ax!H25+F4Bx!H25</f>
        <v>0</v>
      </c>
      <c r="I25" s="876">
        <f>F4Ax!I25+F4Bx!I25</f>
        <v>0.413403</v>
      </c>
      <c r="J25" s="876">
        <f>F4Ax!J25+F4Bx!J25</f>
        <v>0.413403</v>
      </c>
      <c r="K25" s="876">
        <f>F4Ax!K25+F4Bx!K25</f>
        <v>0.41</v>
      </c>
      <c r="L25" s="876">
        <f>F4Ax!L25+F4Bx!L25</f>
        <v>0.07</v>
      </c>
      <c r="M25" s="876">
        <f>F4Ax!M25+F4Bx!M25</f>
        <v>0.07</v>
      </c>
      <c r="N25" s="876">
        <f>F4Ax!N25+F4Bx!N25</f>
        <v>0.14</v>
      </c>
      <c r="O25" s="876">
        <f>F4Ax!O25+F4Bx!O25</f>
        <v>0.14</v>
      </c>
      <c r="P25" s="876">
        <f>F4Ax!P25+F4Bx!P25</f>
        <v>0</v>
      </c>
      <c r="Q25" s="876">
        <f>F4Ax!Q25+F4Bx!Q25</f>
        <v>0</v>
      </c>
      <c r="R25" s="876">
        <f>F4Ax!R25+F4Bx!R25</f>
        <v>0</v>
      </c>
      <c r="S25" s="876">
        <f>F4Ax!S25+F4Bx!S25</f>
        <v>0</v>
      </c>
    </row>
    <row r="26" ht="15" spans="3:19">
      <c r="C26" s="55" t="s">
        <v>239</v>
      </c>
      <c r="D26" s="55" t="s">
        <v>196</v>
      </c>
      <c r="E26" s="876">
        <f>F4Ax!E26+F4Bx!E26</f>
        <v>1664.12308595</v>
      </c>
      <c r="F26" s="876">
        <f>F4Ax!F26+F4Bx!F26</f>
        <v>1181.77761811</v>
      </c>
      <c r="G26" s="876">
        <f>F4Ax!G26+F4Bx!G26</f>
        <v>1451.62618627</v>
      </c>
      <c r="H26" s="876">
        <f>F4Ax!H26+F4Bx!H26</f>
        <v>2024.94</v>
      </c>
      <c r="I26" s="876">
        <f>F4Ax!I26+F4Bx!I26</f>
        <v>1890.23215567</v>
      </c>
      <c r="J26" s="876">
        <f>F4Ax!J26+F4Bx!J26</f>
        <v>-134.70784433</v>
      </c>
      <c r="K26" s="876">
        <f>F4Ax!K26+F4Bx!K26</f>
        <v>1884.74</v>
      </c>
      <c r="L26" s="876">
        <f>F4Ax!L26+F4Bx!L26</f>
        <v>1214.29304462376</v>
      </c>
      <c r="M26" s="876">
        <f>F4Ax!M26+F4Bx!M26</f>
        <v>1119.9329973473</v>
      </c>
      <c r="N26" s="876">
        <f>F4Ax!N26+F4Bx!N26</f>
        <v>2334.22604197106</v>
      </c>
      <c r="O26" s="876">
        <f>F4Ax!O26+F4Bx!O26</f>
        <v>2334.22604197106</v>
      </c>
      <c r="P26" s="876">
        <f>F4Ax!P26+F4Bx!P26</f>
        <v>0</v>
      </c>
      <c r="Q26" s="876">
        <f>F4Ax!Q26+F4Bx!Q26</f>
        <v>0</v>
      </c>
      <c r="R26" s="876">
        <f>F4Ax!R26+F4Bx!R26</f>
        <v>0</v>
      </c>
      <c r="S26" s="876">
        <f>F4Ax!S26+F4Bx!S26</f>
        <v>0</v>
      </c>
    </row>
    <row r="27" ht="15" spans="3:19">
      <c r="C27" s="55" t="s">
        <v>197</v>
      </c>
      <c r="D27" s="55" t="s">
        <v>198</v>
      </c>
      <c r="E27" s="876">
        <f>F4Ax!E27+F4Bx!E27</f>
        <v>0</v>
      </c>
      <c r="F27" s="876">
        <f>F4Ax!F27+F4Bx!F27</f>
        <v>0</v>
      </c>
      <c r="G27" s="876">
        <f>F4Ax!G27+F4Bx!G27</f>
        <v>0</v>
      </c>
      <c r="H27" s="876">
        <f>F4Ax!H27+F4Bx!H27</f>
        <v>0</v>
      </c>
      <c r="I27" s="876">
        <f>F4Ax!I27+F4Bx!I27</f>
        <v>0.243296</v>
      </c>
      <c r="J27" s="876">
        <f>F4Ax!J27+F4Bx!J27</f>
        <v>0.243296</v>
      </c>
      <c r="K27" s="876">
        <f>F4Ax!K27+F4Bx!K27</f>
        <v>1</v>
      </c>
      <c r="L27" s="876">
        <f>F4Ax!L27+F4Bx!L27</f>
        <v>0.126627528047789</v>
      </c>
      <c r="M27" s="876">
        <f>F4Ax!M27+F4Bx!M27</f>
        <v>0.137551216298677</v>
      </c>
      <c r="N27" s="876">
        <f>F4Ax!N27+F4Bx!N27</f>
        <v>0.264178744346466</v>
      </c>
      <c r="O27" s="876">
        <f>F4Ax!O27+F4Bx!O27</f>
        <v>0.264178744346466</v>
      </c>
      <c r="P27" s="876">
        <f>F4Ax!P27+F4Bx!P27</f>
        <v>0</v>
      </c>
      <c r="Q27" s="876">
        <f>F4Ax!Q27+F4Bx!Q27</f>
        <v>0</v>
      </c>
      <c r="R27" s="876">
        <f>F4Ax!R27+F4Bx!R27</f>
        <v>0</v>
      </c>
      <c r="S27" s="876">
        <f>F4Ax!S27+F4Bx!S27</f>
        <v>0</v>
      </c>
    </row>
    <row r="28" ht="15" spans="3:19">
      <c r="C28" s="55" t="s">
        <v>199</v>
      </c>
      <c r="D28" s="55" t="s">
        <v>200</v>
      </c>
      <c r="E28" s="876">
        <f>F4Ax!E28+F4Bx!E28</f>
        <v>4.335629</v>
      </c>
      <c r="F28" s="876">
        <f>F4Ax!F28+F4Bx!F28</f>
        <v>2.345433</v>
      </c>
      <c r="G28" s="876">
        <f>F4Ax!G28+F4Bx!G28</f>
        <v>3.3875608</v>
      </c>
      <c r="H28" s="876">
        <f>F4Ax!H28+F4Bx!H28</f>
        <v>3.84</v>
      </c>
      <c r="I28" s="876">
        <f>F4Ax!I28+F4Bx!I28</f>
        <v>4.348109</v>
      </c>
      <c r="J28" s="876">
        <f>F4Ax!J28+F4Bx!J28</f>
        <v>0.508109</v>
      </c>
      <c r="K28" s="876">
        <f>F4Ax!K28+F4Bx!K28</f>
        <v>4.05</v>
      </c>
      <c r="L28" s="876">
        <f>F4Ax!L28+F4Bx!L28</f>
        <v>1.63</v>
      </c>
      <c r="M28" s="876">
        <f>F4Ax!M28+F4Bx!M28</f>
        <v>3.64</v>
      </c>
      <c r="N28" s="876">
        <f>F4Ax!N28+F4Bx!N28</f>
        <v>5.27</v>
      </c>
      <c r="O28" s="876">
        <f>F4Ax!O28+F4Bx!O28</f>
        <v>5.27</v>
      </c>
      <c r="P28" s="876">
        <f>F4Ax!P28+F4Bx!P28</f>
        <v>0</v>
      </c>
      <c r="Q28" s="876">
        <f>F4Ax!Q28+F4Bx!Q28</f>
        <v>0</v>
      </c>
      <c r="R28" s="876">
        <f>F4Ax!R28+F4Bx!R28</f>
        <v>0</v>
      </c>
      <c r="S28" s="876">
        <f>F4Ax!S28+F4Bx!S28</f>
        <v>0</v>
      </c>
    </row>
    <row r="29" ht="15" spans="3:19">
      <c r="C29" s="55" t="s">
        <v>201</v>
      </c>
      <c r="D29" s="55" t="s">
        <v>202</v>
      </c>
      <c r="E29" s="876">
        <f>F4Ax!E29+F4Bx!E29</f>
        <v>41.89</v>
      </c>
      <c r="F29" s="876">
        <f>F4Ax!F29+F4Bx!F29</f>
        <v>42.12</v>
      </c>
      <c r="G29" s="876">
        <f>F4Ax!G29+F4Bx!G29</f>
        <v>41.676726</v>
      </c>
      <c r="H29" s="876">
        <f>F4Ax!H29+F4Bx!H29</f>
        <v>57.51</v>
      </c>
      <c r="I29" s="876">
        <f>F4Ax!I29+F4Bx!I29</f>
        <v>47.07831532</v>
      </c>
      <c r="J29" s="876">
        <f>F4Ax!J29+F4Bx!J29</f>
        <v>-10.43168468</v>
      </c>
      <c r="K29" s="876">
        <f>F4Ax!K29+F4Bx!K29</f>
        <v>38.83</v>
      </c>
      <c r="L29" s="876">
        <f>F4Ax!L29+F4Bx!L29</f>
        <v>33.7129158035</v>
      </c>
      <c r="M29" s="876">
        <f>F4Ax!M29+F4Bx!M29</f>
        <v>43.334597151</v>
      </c>
      <c r="N29" s="876">
        <f>F4Ax!N29+F4Bx!N29</f>
        <v>77.0475129545</v>
      </c>
      <c r="O29" s="876">
        <f>F4Ax!O29+F4Bx!O29</f>
        <v>77.0475129545</v>
      </c>
      <c r="P29" s="876">
        <f>F4Ax!P29+F4Bx!P29</f>
        <v>0</v>
      </c>
      <c r="Q29" s="876">
        <f>F4Ax!Q29+F4Bx!Q29</f>
        <v>0</v>
      </c>
      <c r="R29" s="876">
        <f>F4Ax!R29+F4Bx!R29</f>
        <v>0</v>
      </c>
      <c r="S29" s="876">
        <f>F4Ax!S29+F4Bx!S29</f>
        <v>0</v>
      </c>
    </row>
    <row r="30" ht="15" spans="3:19">
      <c r="C30" s="55" t="s">
        <v>203</v>
      </c>
      <c r="D30" s="55" t="s">
        <v>204</v>
      </c>
      <c r="E30" s="876">
        <f>F4Ax!E30+F4Bx!E30</f>
        <v>95.48</v>
      </c>
      <c r="F30" s="876">
        <f>F4Ax!F30+F4Bx!F30</f>
        <v>112.56</v>
      </c>
      <c r="G30" s="876">
        <f>F4Ax!G30+F4Bx!G30</f>
        <v>130.22228</v>
      </c>
      <c r="H30" s="876">
        <f>F4Ax!H30+F4Bx!H30</f>
        <v>154.57</v>
      </c>
      <c r="I30" s="876">
        <f>F4Ax!I30+F4Bx!I30</f>
        <v>137.65589982</v>
      </c>
      <c r="J30" s="876">
        <f>F4Ax!J30+F4Bx!J30</f>
        <v>-16.91410018</v>
      </c>
      <c r="K30" s="876">
        <f>F4Ax!K30+F4Bx!K30</f>
        <v>155.21</v>
      </c>
      <c r="L30" s="876">
        <f>F4Ax!L30+F4Bx!L30</f>
        <v>66.8670841965</v>
      </c>
      <c r="M30" s="876">
        <f>F4Ax!M30+F4Bx!M30</f>
        <v>79.605402849</v>
      </c>
      <c r="N30" s="876">
        <f>F4Ax!N30+F4Bx!N30</f>
        <v>146.4724870455</v>
      </c>
      <c r="O30" s="876">
        <f>F4Ax!O30+F4Bx!O30</f>
        <v>146.4724870455</v>
      </c>
      <c r="P30" s="876">
        <f>F4Ax!P30+F4Bx!P30</f>
        <v>0</v>
      </c>
      <c r="Q30" s="876">
        <f>F4Ax!Q30+F4Bx!Q30</f>
        <v>0</v>
      </c>
      <c r="R30" s="876">
        <f>F4Ax!R30+F4Bx!R30</f>
        <v>0</v>
      </c>
      <c r="S30" s="876">
        <f>F4Ax!S30+F4Bx!S30</f>
        <v>0</v>
      </c>
    </row>
    <row r="31" ht="15" spans="3:19">
      <c r="C31" s="55" t="s">
        <v>205</v>
      </c>
      <c r="D31" s="55" t="s">
        <v>206</v>
      </c>
      <c r="E31" s="876">
        <f>F4Ax!E31+F4Bx!E31</f>
        <v>118.49</v>
      </c>
      <c r="F31" s="876">
        <f>F4Ax!F31+F4Bx!F31</f>
        <v>127.59</v>
      </c>
      <c r="G31" s="876">
        <f>F4Ax!G31+F4Bx!G31</f>
        <v>146.68270205</v>
      </c>
      <c r="H31" s="876">
        <f>F4Ax!H31+F4Bx!H31</f>
        <v>154.67</v>
      </c>
      <c r="I31" s="876">
        <f>F4Ax!I31+F4Bx!I31</f>
        <v>183.9896945</v>
      </c>
      <c r="J31" s="876">
        <f>F4Ax!J31+F4Bx!J31</f>
        <v>29.3196945</v>
      </c>
      <c r="K31" s="876">
        <f>F4Ax!K31+F4Bx!K31</f>
        <v>202.26</v>
      </c>
      <c r="L31" s="876">
        <f>F4Ax!L31+F4Bx!L31</f>
        <v>118.24</v>
      </c>
      <c r="M31" s="876">
        <f>F4Ax!M31+F4Bx!M31</f>
        <v>104.4</v>
      </c>
      <c r="N31" s="876">
        <f>F4Ax!N31+F4Bx!N31</f>
        <v>222.64</v>
      </c>
      <c r="O31" s="876">
        <f>F4Ax!O31+F4Bx!O31</f>
        <v>222.64</v>
      </c>
      <c r="P31" s="876">
        <f>F4Ax!P31+F4Bx!P31</f>
        <v>0</v>
      </c>
      <c r="Q31" s="876">
        <f>F4Ax!Q31+F4Bx!Q31</f>
        <v>0</v>
      </c>
      <c r="R31" s="876">
        <f>F4Ax!R31+F4Bx!R31</f>
        <v>0</v>
      </c>
      <c r="S31" s="876">
        <f>F4Ax!S31+F4Bx!S31</f>
        <v>0</v>
      </c>
    </row>
    <row r="32" ht="15" spans="3:19">
      <c r="C32" s="55" t="s">
        <v>207</v>
      </c>
      <c r="D32" s="55" t="s">
        <v>186</v>
      </c>
      <c r="E32" s="876">
        <f>F4Ax!E32+F4Bx!E32</f>
        <v>91.83</v>
      </c>
      <c r="F32" s="876">
        <f>F4Ax!F32+F4Bx!F32</f>
        <v>85.4</v>
      </c>
      <c r="G32" s="876">
        <f>F4Ax!G32+F4Bx!G32</f>
        <v>112.48471693</v>
      </c>
      <c r="H32" s="876">
        <f>F4Ax!H32+F4Bx!H32</f>
        <v>124.57</v>
      </c>
      <c r="I32" s="876">
        <f>F4Ax!I32+F4Bx!I32</f>
        <v>153.938916</v>
      </c>
      <c r="J32" s="876">
        <f>F4Ax!J32+F4Bx!J32</f>
        <v>29.368916</v>
      </c>
      <c r="K32" s="876">
        <f>F4Ax!K32+F4Bx!K32</f>
        <v>170.56</v>
      </c>
      <c r="L32" s="876">
        <f>F4Ax!L32+F4Bx!L32</f>
        <v>80.83</v>
      </c>
      <c r="M32" s="876">
        <f>F4Ax!M32+F4Bx!M32</f>
        <v>88.89</v>
      </c>
      <c r="N32" s="876">
        <f>F4Ax!N32+F4Bx!N32</f>
        <v>169.72</v>
      </c>
      <c r="O32" s="876">
        <f>F4Ax!O32+F4Bx!O32</f>
        <v>169.72</v>
      </c>
      <c r="P32" s="876">
        <f>F4Ax!P32+F4Bx!P32</f>
        <v>0</v>
      </c>
      <c r="Q32" s="876">
        <f>F4Ax!Q32+F4Bx!Q32</f>
        <v>0</v>
      </c>
      <c r="R32" s="876">
        <f>F4Ax!R32+F4Bx!R32</f>
        <v>0</v>
      </c>
      <c r="S32" s="876">
        <f>F4Ax!S32+F4Bx!S32</f>
        <v>0</v>
      </c>
    </row>
    <row r="33" ht="15" spans="3:19">
      <c r="C33" s="55" t="s">
        <v>208</v>
      </c>
      <c r="D33" s="55" t="s">
        <v>209</v>
      </c>
      <c r="E33" s="876">
        <f>F4Ax!E33+F4Bx!E33</f>
        <v>0</v>
      </c>
      <c r="F33" s="876">
        <f>F4Ax!F33+F4Bx!F33</f>
        <v>0</v>
      </c>
      <c r="G33" s="876">
        <f>F4Ax!G33+F4Bx!G33</f>
        <v>0</v>
      </c>
      <c r="H33" s="876">
        <f>F4Ax!H33+F4Bx!H33</f>
        <v>0</v>
      </c>
      <c r="I33" s="876">
        <f>F4Ax!I33+F4Bx!I33</f>
        <v>0</v>
      </c>
      <c r="J33" s="876">
        <f>F4Ax!J33+F4Bx!J33</f>
        <v>0</v>
      </c>
      <c r="K33" s="876">
        <f>F4Ax!K33+F4Bx!K33</f>
        <v>0</v>
      </c>
      <c r="L33" s="876">
        <f>F4Ax!L33+F4Bx!L33</f>
        <v>0</v>
      </c>
      <c r="M33" s="876">
        <f>F4Ax!M33+F4Bx!M33</f>
        <v>0</v>
      </c>
      <c r="N33" s="876">
        <f>F4Ax!N33+F4Bx!N33</f>
        <v>0</v>
      </c>
      <c r="O33" s="876">
        <f>F4Ax!O33+F4Bx!O33</f>
        <v>0</v>
      </c>
      <c r="P33" s="876">
        <f>F4Ax!P33+F4Bx!P33</f>
        <v>0</v>
      </c>
      <c r="Q33" s="876">
        <f>F4Ax!Q33+F4Bx!Q33</f>
        <v>0</v>
      </c>
      <c r="R33" s="876">
        <f>F4Ax!R33+F4Bx!R33</f>
        <v>0</v>
      </c>
      <c r="S33" s="876">
        <f>F4Ax!S33+F4Bx!S33</f>
        <v>0</v>
      </c>
    </row>
    <row r="34" ht="15" spans="3:19">
      <c r="C34" s="55" t="s">
        <v>210</v>
      </c>
      <c r="D34" s="55" t="s">
        <v>188</v>
      </c>
      <c r="E34" s="876">
        <f>F4Ax!E34+F4Bx!E34</f>
        <v>2.43</v>
      </c>
      <c r="F34" s="876">
        <f>F4Ax!F34+F4Bx!F34</f>
        <v>1.6</v>
      </c>
      <c r="G34" s="876">
        <f>F4Ax!G34+F4Bx!G34</f>
        <v>3.428271</v>
      </c>
      <c r="H34" s="876">
        <f>F4Ax!H34+F4Bx!H34</f>
        <v>14.02</v>
      </c>
      <c r="I34" s="876">
        <f>F4Ax!I34+F4Bx!I34</f>
        <v>5.539859</v>
      </c>
      <c r="J34" s="876">
        <f>F4Ax!J34+F4Bx!J34</f>
        <v>-8.480141</v>
      </c>
      <c r="K34" s="876">
        <f>F4Ax!K34+F4Bx!K34</f>
        <v>6.55</v>
      </c>
      <c r="L34" s="876">
        <f>F4Ax!L34+F4Bx!L34</f>
        <v>2.96</v>
      </c>
      <c r="M34" s="876">
        <f>F4Ax!M34+F4Bx!M34</f>
        <v>3.75</v>
      </c>
      <c r="N34" s="876">
        <f>F4Ax!N34+F4Bx!N34</f>
        <v>6.71</v>
      </c>
      <c r="O34" s="876">
        <f>F4Ax!O34+F4Bx!O34</f>
        <v>6.71</v>
      </c>
      <c r="P34" s="876">
        <f>F4Ax!P34+F4Bx!P34</f>
        <v>0</v>
      </c>
      <c r="Q34" s="876">
        <f>F4Ax!Q34+F4Bx!Q34</f>
        <v>0</v>
      </c>
      <c r="R34" s="876">
        <f>F4Ax!R34+F4Bx!R34</f>
        <v>0</v>
      </c>
      <c r="S34" s="876">
        <f>F4Ax!S34+F4Bx!S34</f>
        <v>0</v>
      </c>
    </row>
    <row r="35" ht="15" spans="3:19">
      <c r="C35" s="55"/>
      <c r="D35" s="55"/>
      <c r="E35" s="876"/>
      <c r="F35" s="876"/>
      <c r="G35" s="876"/>
      <c r="H35" s="876"/>
      <c r="I35" s="876"/>
      <c r="J35" s="876"/>
      <c r="K35" s="876"/>
      <c r="L35" s="876"/>
      <c r="M35" s="876"/>
      <c r="N35" s="876"/>
      <c r="O35" s="876"/>
      <c r="P35" s="876"/>
      <c r="Q35" s="876"/>
      <c r="R35" s="876"/>
      <c r="S35" s="876"/>
    </row>
    <row r="36" ht="15" spans="3:19">
      <c r="C36" s="55"/>
      <c r="D36" s="55"/>
      <c r="E36" s="876"/>
      <c r="F36" s="876"/>
      <c r="G36" s="876"/>
      <c r="H36" s="876"/>
      <c r="I36" s="876"/>
      <c r="J36" s="876"/>
      <c r="K36" s="876"/>
      <c r="L36" s="876"/>
      <c r="M36" s="876"/>
      <c r="N36" s="876"/>
      <c r="O36" s="876"/>
      <c r="P36" s="876"/>
      <c r="Q36" s="876"/>
      <c r="R36" s="876"/>
      <c r="S36" s="876"/>
    </row>
    <row r="37" ht="15" spans="3:19">
      <c r="C37" s="55"/>
      <c r="D37" s="55"/>
      <c r="E37" s="876"/>
      <c r="F37" s="876"/>
      <c r="G37" s="876"/>
      <c r="H37" s="876"/>
      <c r="I37" s="876"/>
      <c r="J37" s="876"/>
      <c r="K37" s="876"/>
      <c r="L37" s="876"/>
      <c r="M37" s="876"/>
      <c r="N37" s="876"/>
      <c r="O37" s="876"/>
      <c r="P37" s="876"/>
      <c r="Q37" s="876"/>
      <c r="R37" s="876"/>
      <c r="S37" s="876"/>
    </row>
    <row r="38" ht="15" spans="3:19">
      <c r="C38" s="55"/>
      <c r="D38" s="55"/>
      <c r="E38" s="876"/>
      <c r="F38" s="876"/>
      <c r="G38" s="876"/>
      <c r="H38" s="876"/>
      <c r="I38" s="876"/>
      <c r="J38" s="876"/>
      <c r="K38" s="876"/>
      <c r="L38" s="876"/>
      <c r="M38" s="876"/>
      <c r="N38" s="876"/>
      <c r="O38" s="876"/>
      <c r="P38" s="876"/>
      <c r="Q38" s="876"/>
      <c r="R38" s="876"/>
      <c r="S38" s="876"/>
    </row>
    <row r="39" ht="15" spans="3:19">
      <c r="C39" s="537" t="s">
        <v>211</v>
      </c>
      <c r="D39" s="540"/>
      <c r="E39" s="878">
        <f>Q116</f>
        <v>5679.70305129736</v>
      </c>
      <c r="F39" s="878">
        <f>Q190</f>
        <v>5013.60987821</v>
      </c>
      <c r="G39" s="878">
        <f>Q263</f>
        <v>5750.22701109</v>
      </c>
      <c r="H39" s="878">
        <f>SUM(H24:H38)</f>
        <v>6974.83</v>
      </c>
      <c r="I39" s="878">
        <f>Q336</f>
        <v>6620.92135521</v>
      </c>
      <c r="J39" s="878">
        <f>I39-H39</f>
        <v>-353.908644789999</v>
      </c>
      <c r="K39" s="878">
        <f>SUM(K24:K38)</f>
        <v>6865.32</v>
      </c>
      <c r="L39" s="878">
        <f>SUM(E412:J412)</f>
        <v>3385.247875645</v>
      </c>
      <c r="M39" s="878">
        <f>SUM(K412:P412)</f>
        <v>3603.704055326</v>
      </c>
      <c r="N39" s="878">
        <f>L39+M39</f>
        <v>6988.951930971</v>
      </c>
      <c r="O39" s="878">
        <f>Q486</f>
        <v>7453.9102207154</v>
      </c>
      <c r="P39" s="878">
        <f>Q560</f>
        <v>0</v>
      </c>
      <c r="Q39" s="878">
        <f>Q634</f>
        <v>0</v>
      </c>
      <c r="R39" s="878">
        <f>Q708</f>
        <v>0</v>
      </c>
      <c r="S39" s="878">
        <f>Q782</f>
        <v>0</v>
      </c>
    </row>
    <row r="40" ht="15" spans="3:19">
      <c r="C40" s="44" t="s">
        <v>212</v>
      </c>
      <c r="D40" s="45"/>
      <c r="E40" s="876">
        <f>F4Ax!E40+F4Bx!E40</f>
        <v>0</v>
      </c>
      <c r="F40" s="876">
        <f>F4Ax!F40+F4Bx!F40</f>
        <v>0</v>
      </c>
      <c r="G40" s="876">
        <f>F4Ax!G40+F4Bx!G40</f>
        <v>0</v>
      </c>
      <c r="H40" s="876">
        <f>F4Ax!H40+F4Bx!H40</f>
        <v>0</v>
      </c>
      <c r="I40" s="876">
        <f>F4Ax!I40+F4Bx!I40</f>
        <v>0</v>
      </c>
      <c r="J40" s="876">
        <f>F4Ax!J40+F4Bx!J40</f>
        <v>0</v>
      </c>
      <c r="K40" s="876">
        <f>F4Ax!K40+F4Bx!K40</f>
        <v>0</v>
      </c>
      <c r="L40" s="876">
        <f>F4Ax!L40+F4Bx!L40</f>
        <v>0</v>
      </c>
      <c r="M40" s="876">
        <f>F4Ax!M40+F4Bx!M40</f>
        <v>0</v>
      </c>
      <c r="N40" s="876">
        <f>F4Ax!N40+F4Bx!N40</f>
        <v>0</v>
      </c>
      <c r="O40" s="876">
        <f>F4Ax!O40+F4Bx!O40</f>
        <v>0</v>
      </c>
      <c r="P40" s="876">
        <f>F4Ax!P40+F4Bx!P40</f>
        <v>0</v>
      </c>
      <c r="Q40" s="876">
        <f>F4Ax!Q40+F4Bx!Q40</f>
        <v>0</v>
      </c>
      <c r="R40" s="876">
        <f>F4Ax!R40+F4Bx!R40</f>
        <v>0</v>
      </c>
      <c r="S40" s="876">
        <f>F4Ax!S40+F4Bx!S40</f>
        <v>0</v>
      </c>
    </row>
    <row r="41" ht="15" spans="3:19">
      <c r="C41" s="55" t="s">
        <v>191</v>
      </c>
      <c r="D41" s="55" t="s">
        <v>192</v>
      </c>
      <c r="E41" s="876">
        <f>F4Ax!E41+F4Bx!E41</f>
        <v>4218.92397782</v>
      </c>
      <c r="F41" s="876">
        <f>F4Ax!F41+F4Bx!F41</f>
        <v>3575.85890144</v>
      </c>
      <c r="G41" s="876">
        <f>F4Ax!G41+F4Bx!G41</f>
        <v>4590.39422317</v>
      </c>
      <c r="H41" s="876">
        <f>F4Ax!H41+F4Bx!H41</f>
        <v>5721.31</v>
      </c>
      <c r="I41" s="876">
        <f>F4Ax!I41+F4Bx!I41</f>
        <v>5498.74110573</v>
      </c>
      <c r="J41" s="876">
        <f>F4Ax!J41+F4Bx!J41</f>
        <v>-222.568894270001</v>
      </c>
      <c r="K41" s="876">
        <f>F4Ax!K41+F4Bx!K41</f>
        <v>6733.34</v>
      </c>
      <c r="L41" s="876">
        <f>F4Ax!L41+F4Bx!L41</f>
        <v>2737.7397821201</v>
      </c>
      <c r="M41" s="876">
        <f>F4Ax!M41+F4Bx!M41</f>
        <v>3334.3997821201</v>
      </c>
      <c r="N41" s="876">
        <f>F4Ax!N41+F4Bx!N41</f>
        <v>6072.1395642402</v>
      </c>
      <c r="O41" s="876">
        <f>F4Ax!O41+F4Bx!O41</f>
        <v>6072.1395642402</v>
      </c>
      <c r="P41" s="876">
        <f>F4Ax!P41+F4Bx!P41</f>
        <v>0</v>
      </c>
      <c r="Q41" s="876">
        <f>F4Ax!Q41+F4Bx!Q41</f>
        <v>0</v>
      </c>
      <c r="R41" s="876">
        <f>F4Ax!R41+F4Bx!R41</f>
        <v>0</v>
      </c>
      <c r="S41" s="876">
        <f>F4Ax!S41+F4Bx!S41</f>
        <v>0</v>
      </c>
    </row>
    <row r="42" ht="15" spans="3:19">
      <c r="C42" s="55" t="s">
        <v>193</v>
      </c>
      <c r="D42" s="55" t="s">
        <v>194</v>
      </c>
      <c r="E42" s="876">
        <f>F4Ax!E42+F4Bx!E42</f>
        <v>44.0475</v>
      </c>
      <c r="F42" s="876">
        <f>F4Ax!F42+F4Bx!F42</f>
        <v>25.4862</v>
      </c>
      <c r="G42" s="876">
        <f>F4Ax!G42+F4Bx!G42</f>
        <v>37.0829</v>
      </c>
      <c r="H42" s="876">
        <f>F4Ax!H42+F4Bx!H42</f>
        <v>44.05</v>
      </c>
      <c r="I42" s="876">
        <f>F4Ax!I42+F4Bx!I42</f>
        <v>43.282</v>
      </c>
      <c r="J42" s="876">
        <f>F4Ax!J42+F4Bx!J42</f>
        <v>-0.767999999999994</v>
      </c>
      <c r="K42" s="876">
        <f>F4Ax!K42+F4Bx!K42</f>
        <v>37.08</v>
      </c>
      <c r="L42" s="876">
        <f>F4Ax!L42+F4Bx!L42</f>
        <v>0</v>
      </c>
      <c r="M42" s="876">
        <f>F4Ax!M42+F4Bx!M42</f>
        <v>0</v>
      </c>
      <c r="N42" s="876">
        <f>F4Ax!N42+F4Bx!N42</f>
        <v>0</v>
      </c>
      <c r="O42" s="876">
        <f>F4Ax!O42+F4Bx!O42</f>
        <v>0</v>
      </c>
      <c r="P42" s="876">
        <f>F4Ax!P42+F4Bx!P42</f>
        <v>0</v>
      </c>
      <c r="Q42" s="876">
        <f>F4Ax!Q42+F4Bx!Q42</f>
        <v>0</v>
      </c>
      <c r="R42" s="876">
        <f>F4Ax!R42+F4Bx!R42</f>
        <v>0</v>
      </c>
      <c r="S42" s="876">
        <f>F4Ax!S42+F4Bx!S42</f>
        <v>0</v>
      </c>
    </row>
    <row r="43" ht="15" spans="3:19">
      <c r="C43" s="55" t="s">
        <v>239</v>
      </c>
      <c r="D43" s="55" t="s">
        <v>196</v>
      </c>
      <c r="E43" s="876">
        <f>F4Ax!E43+F4Bx!E43</f>
        <v>867.96008174</v>
      </c>
      <c r="F43" s="876">
        <f>F4Ax!F43+F4Bx!F43</f>
        <v>626.180324</v>
      </c>
      <c r="G43" s="876">
        <f>F4Ax!G43+F4Bx!G43</f>
        <v>772.70093215</v>
      </c>
      <c r="H43" s="876">
        <f>F4Ax!H43+F4Bx!H43</f>
        <v>1183.43</v>
      </c>
      <c r="I43" s="876">
        <f>F4Ax!I43+F4Bx!I43</f>
        <v>1197.782522</v>
      </c>
      <c r="J43" s="876">
        <f>F4Ax!J43+F4Bx!J43</f>
        <v>14.3525219999999</v>
      </c>
      <c r="K43" s="876">
        <f>F4Ax!K43+F4Bx!K43</f>
        <v>1302.04</v>
      </c>
      <c r="L43" s="876">
        <f>F4Ax!L43+F4Bx!L43</f>
        <v>821.909428307358</v>
      </c>
      <c r="M43" s="876">
        <f>F4Ax!M43+F4Bx!M43</f>
        <v>796.050262982964</v>
      </c>
      <c r="N43" s="876">
        <f>F4Ax!N43+F4Bx!N43</f>
        <v>1617.95969129032</v>
      </c>
      <c r="O43" s="876">
        <f>F4Ax!O43+F4Bx!O43</f>
        <v>1617.95969129032</v>
      </c>
      <c r="P43" s="876">
        <f>F4Ax!P43+F4Bx!P43</f>
        <v>0</v>
      </c>
      <c r="Q43" s="876">
        <f>F4Ax!Q43+F4Bx!Q43</f>
        <v>0</v>
      </c>
      <c r="R43" s="876">
        <f>F4Ax!R43+F4Bx!R43</f>
        <v>0</v>
      </c>
      <c r="S43" s="876">
        <f>F4Ax!S43+F4Bx!S43</f>
        <v>0</v>
      </c>
    </row>
    <row r="44" ht="15" spans="3:19">
      <c r="C44" s="55" t="s">
        <v>197</v>
      </c>
      <c r="D44" s="55" t="s">
        <v>198</v>
      </c>
      <c r="E44" s="876">
        <f>F4Ax!E44+F4Bx!E44</f>
        <v>0</v>
      </c>
      <c r="F44" s="876">
        <f>F4Ax!F44+F4Bx!F44</f>
        <v>0</v>
      </c>
      <c r="G44" s="876">
        <f>F4Ax!G44+F4Bx!G44</f>
        <v>0</v>
      </c>
      <c r="H44" s="876">
        <f>F4Ax!H44+F4Bx!H44</f>
        <v>0</v>
      </c>
      <c r="I44" s="876">
        <f>F4Ax!I44+F4Bx!I44</f>
        <v>1.8433</v>
      </c>
      <c r="J44" s="876">
        <f>F4Ax!J44+F4Bx!J44</f>
        <v>1.8433</v>
      </c>
      <c r="K44" s="876">
        <f>F4Ax!K44+F4Bx!K44</f>
        <v>0</v>
      </c>
      <c r="L44" s="876">
        <f>F4Ax!L44+F4Bx!L44</f>
        <v>1.22247372481117</v>
      </c>
      <c r="M44" s="876">
        <f>F4Ax!M44+F4Bx!M44</f>
        <v>0.994908824995266</v>
      </c>
      <c r="N44" s="876">
        <f>F4Ax!N44+F4Bx!N44</f>
        <v>2.21738254980644</v>
      </c>
      <c r="O44" s="876">
        <f>F4Ax!O44+F4Bx!O44</f>
        <v>2.21738254980644</v>
      </c>
      <c r="P44" s="876">
        <f>F4Ax!P44+F4Bx!P44</f>
        <v>0</v>
      </c>
      <c r="Q44" s="876">
        <f>F4Ax!Q44+F4Bx!Q44</f>
        <v>0</v>
      </c>
      <c r="R44" s="876">
        <f>F4Ax!R44+F4Bx!R44</f>
        <v>0</v>
      </c>
      <c r="S44" s="876">
        <f>F4Ax!S44+F4Bx!S44</f>
        <v>0</v>
      </c>
    </row>
    <row r="45" ht="15" spans="3:19">
      <c r="C45" s="55" t="s">
        <v>199</v>
      </c>
      <c r="D45" s="55" t="s">
        <v>200</v>
      </c>
      <c r="E45" s="876">
        <f>F4Ax!E45+F4Bx!E45</f>
        <v>0</v>
      </c>
      <c r="F45" s="876">
        <f>F4Ax!F45+F4Bx!F45</f>
        <v>0</v>
      </c>
      <c r="G45" s="876">
        <f>F4Ax!G45+F4Bx!G45</f>
        <v>0</v>
      </c>
      <c r="H45" s="876">
        <f>F4Ax!H45+F4Bx!H45</f>
        <v>0</v>
      </c>
      <c r="I45" s="876">
        <f>F4Ax!I45+F4Bx!I45</f>
        <v>0</v>
      </c>
      <c r="J45" s="876">
        <f>F4Ax!J45+F4Bx!J45</f>
        <v>0</v>
      </c>
      <c r="K45" s="876">
        <f>F4Ax!K45+F4Bx!K45</f>
        <v>0</v>
      </c>
      <c r="L45" s="876">
        <f>F4Ax!L45+F4Bx!L45</f>
        <v>0</v>
      </c>
      <c r="M45" s="876">
        <f>F4Ax!M45+F4Bx!M45</f>
        <v>0</v>
      </c>
      <c r="N45" s="876">
        <f>F4Ax!N45+F4Bx!N45</f>
        <v>0</v>
      </c>
      <c r="O45" s="876">
        <f>F4Ax!O45+F4Bx!O45</f>
        <v>0</v>
      </c>
      <c r="P45" s="876">
        <f>F4Ax!P45+F4Bx!P45</f>
        <v>0</v>
      </c>
      <c r="Q45" s="876">
        <f>F4Ax!Q45+F4Bx!Q45</f>
        <v>0</v>
      </c>
      <c r="R45" s="876">
        <f>F4Ax!R45+F4Bx!R45</f>
        <v>0</v>
      </c>
      <c r="S45" s="876">
        <f>F4Ax!S45+F4Bx!S45</f>
        <v>0</v>
      </c>
    </row>
    <row r="46" ht="15" spans="3:19">
      <c r="C46" s="55" t="s">
        <v>201</v>
      </c>
      <c r="D46" s="55" t="s">
        <v>202</v>
      </c>
      <c r="E46" s="876">
        <f>F4Ax!E46+F4Bx!E46</f>
        <v>17.59</v>
      </c>
      <c r="F46" s="876">
        <f>F4Ax!F46+F4Bx!F46</f>
        <v>14.51</v>
      </c>
      <c r="G46" s="876">
        <f>F4Ax!G46+F4Bx!G46</f>
        <v>15.38839</v>
      </c>
      <c r="H46" s="876">
        <f>F4Ax!H46+F4Bx!H46</f>
        <v>20.26</v>
      </c>
      <c r="I46" s="876">
        <f>F4Ax!I46+F4Bx!I46</f>
        <v>17.04318</v>
      </c>
      <c r="J46" s="876">
        <f>F4Ax!J46+F4Bx!J46</f>
        <v>-3.21682</v>
      </c>
      <c r="K46" s="876">
        <f>F4Ax!K46+F4Bx!K46</f>
        <v>15.48</v>
      </c>
      <c r="L46" s="876">
        <f>F4Ax!L46+F4Bx!L46</f>
        <v>28.6986758684329</v>
      </c>
      <c r="M46" s="876">
        <f>F4Ax!M46+F4Bx!M46</f>
        <v>25.295830999789</v>
      </c>
      <c r="N46" s="876">
        <f>F4Ax!N46+F4Bx!N46</f>
        <v>53.9945068682218</v>
      </c>
      <c r="O46" s="876">
        <f>F4Ax!O46+F4Bx!O46</f>
        <v>53.9945068682218</v>
      </c>
      <c r="P46" s="876">
        <f>F4Ax!P46+F4Bx!P46</f>
        <v>0</v>
      </c>
      <c r="Q46" s="876">
        <f>F4Ax!Q46+F4Bx!Q46</f>
        <v>0</v>
      </c>
      <c r="R46" s="876">
        <f>F4Ax!R46+F4Bx!R46</f>
        <v>0</v>
      </c>
      <c r="S46" s="876">
        <f>F4Ax!S46+F4Bx!S46</f>
        <v>0</v>
      </c>
    </row>
    <row r="47" ht="15" spans="3:19">
      <c r="C47" s="55" t="s">
        <v>203</v>
      </c>
      <c r="D47" s="55" t="s">
        <v>204</v>
      </c>
      <c r="E47" s="876">
        <f>F4Ax!E47+F4Bx!E47</f>
        <v>158.72</v>
      </c>
      <c r="F47" s="876">
        <f>F4Ax!F47+F4Bx!F47</f>
        <v>191.4</v>
      </c>
      <c r="G47" s="876">
        <f>F4Ax!G47+F4Bx!G47</f>
        <v>229.68429</v>
      </c>
      <c r="H47" s="876">
        <f>F4Ax!H47+F4Bx!H47</f>
        <v>233.67</v>
      </c>
      <c r="I47" s="876">
        <f>F4Ax!I47+F4Bx!I47</f>
        <v>247.927045</v>
      </c>
      <c r="J47" s="876">
        <f>F4Ax!J47+F4Bx!J47</f>
        <v>14.257045</v>
      </c>
      <c r="K47" s="876">
        <f>F4Ax!K47+F4Bx!K47</f>
        <v>277.08</v>
      </c>
      <c r="L47" s="876">
        <f>F4Ax!L47+F4Bx!L47</f>
        <v>128.981324131567</v>
      </c>
      <c r="M47" s="876">
        <f>F4Ax!M47+F4Bx!M47</f>
        <v>137.644169000211</v>
      </c>
      <c r="N47" s="876">
        <f>F4Ax!N47+F4Bx!N47</f>
        <v>266.625493131778</v>
      </c>
      <c r="O47" s="876">
        <f>F4Ax!O47+F4Bx!O47</f>
        <v>266.625493131778</v>
      </c>
      <c r="P47" s="876">
        <f>F4Ax!P47+F4Bx!P47</f>
        <v>0</v>
      </c>
      <c r="Q47" s="876">
        <f>F4Ax!Q47+F4Bx!Q47</f>
        <v>0</v>
      </c>
      <c r="R47" s="876">
        <f>F4Ax!R47+F4Bx!R47</f>
        <v>0</v>
      </c>
      <c r="S47" s="876">
        <f>F4Ax!S47+F4Bx!S47</f>
        <v>0</v>
      </c>
    </row>
    <row r="48" ht="15" spans="3:19">
      <c r="C48" s="55" t="s">
        <v>213</v>
      </c>
      <c r="D48" s="55" t="s">
        <v>229</v>
      </c>
      <c r="E48" s="876">
        <f>F4Ax!E48+F4Bx!E48</f>
        <v>0</v>
      </c>
      <c r="F48" s="876">
        <f>F4Ax!F48+F4Bx!F48</f>
        <v>0</v>
      </c>
      <c r="G48" s="876">
        <f>F4Ax!G48+F4Bx!G48</f>
        <v>0</v>
      </c>
      <c r="H48" s="876">
        <f>F4Ax!H48+F4Bx!H48</f>
        <v>0</v>
      </c>
      <c r="I48" s="876">
        <f>F4Ax!I48+F4Bx!I48</f>
        <v>2.9508</v>
      </c>
      <c r="J48" s="876">
        <f>F4Ax!J48+F4Bx!J48</f>
        <v>2.9508</v>
      </c>
      <c r="K48" s="876">
        <f>F4Ax!K48+F4Bx!K48</f>
        <v>0</v>
      </c>
      <c r="L48" s="876">
        <f>F4Ax!L48+F4Bx!L48</f>
        <v>0</v>
      </c>
      <c r="M48" s="876">
        <f>F4Ax!M48+F4Bx!M48</f>
        <v>0</v>
      </c>
      <c r="N48" s="876">
        <f>F4Ax!N48+F4Bx!N48</f>
        <v>0</v>
      </c>
      <c r="O48" s="876">
        <f>F4Ax!O48+F4Bx!O48</f>
        <v>0</v>
      </c>
      <c r="P48" s="876">
        <f>F4Ax!P48+F4Bx!P48</f>
        <v>0</v>
      </c>
      <c r="Q48" s="876">
        <f>F4Ax!Q48+F4Bx!Q48</f>
        <v>0</v>
      </c>
      <c r="R48" s="876">
        <f>F4Ax!R48+F4Bx!R48</f>
        <v>0</v>
      </c>
      <c r="S48" s="876">
        <f>F4Ax!S48+F4Bx!S48</f>
        <v>0</v>
      </c>
    </row>
    <row r="49" ht="15" spans="3:19">
      <c r="C49" s="55" t="s">
        <v>205</v>
      </c>
      <c r="D49" s="55" t="s">
        <v>206</v>
      </c>
      <c r="E49" s="876">
        <f>F4Ax!E49+F4Bx!E49</f>
        <v>76.6</v>
      </c>
      <c r="F49" s="876">
        <f>F4Ax!F49+F4Bx!F49</f>
        <v>85.16</v>
      </c>
      <c r="G49" s="876">
        <f>F4Ax!G49+F4Bx!G49</f>
        <v>99.584716</v>
      </c>
      <c r="H49" s="876">
        <f>F4Ax!H49+F4Bx!H49</f>
        <v>121.07</v>
      </c>
      <c r="I49" s="876">
        <f>F4Ax!I49+F4Bx!I49</f>
        <v>124.072753</v>
      </c>
      <c r="J49" s="876">
        <f>F4Ax!J49+F4Bx!J49</f>
        <v>3.00275300000001</v>
      </c>
      <c r="K49" s="876">
        <f>F4Ax!K49+F4Bx!K49</f>
        <v>145.97</v>
      </c>
      <c r="L49" s="876">
        <f>F4Ax!L49+F4Bx!L49</f>
        <v>86.03</v>
      </c>
      <c r="M49" s="876">
        <f>F4Ax!M49+F4Bx!M49</f>
        <v>64.09</v>
      </c>
      <c r="N49" s="876">
        <f>F4Ax!N49+F4Bx!N49</f>
        <v>150.12</v>
      </c>
      <c r="O49" s="876">
        <f>F4Ax!O49+F4Bx!O49</f>
        <v>150.12</v>
      </c>
      <c r="P49" s="876">
        <f>F4Ax!P49+F4Bx!P49</f>
        <v>0</v>
      </c>
      <c r="Q49" s="876">
        <f>F4Ax!Q49+F4Bx!Q49</f>
        <v>0</v>
      </c>
      <c r="R49" s="876">
        <f>F4Ax!R49+F4Bx!R49</f>
        <v>0</v>
      </c>
      <c r="S49" s="876">
        <f>F4Ax!S49+F4Bx!S49</f>
        <v>0</v>
      </c>
    </row>
    <row r="50" ht="15" spans="3:19">
      <c r="C50" s="55" t="s">
        <v>231</v>
      </c>
      <c r="D50" s="55" t="s">
        <v>186</v>
      </c>
      <c r="E50" s="876">
        <f>F4Ax!E50+F4Bx!E50</f>
        <v>44.13</v>
      </c>
      <c r="F50" s="876">
        <f>F4Ax!F50+F4Bx!F50</f>
        <v>18.45</v>
      </c>
      <c r="G50" s="876">
        <f>F4Ax!G50+F4Bx!G50</f>
        <v>41.242005</v>
      </c>
      <c r="H50" s="876">
        <f>F4Ax!H50+F4Bx!H50</f>
        <v>26.65</v>
      </c>
      <c r="I50" s="876">
        <f>F4Ax!I50+F4Bx!I50</f>
        <v>40.313566</v>
      </c>
      <c r="J50" s="876">
        <f>F4Ax!J50+F4Bx!J50</f>
        <v>13.663566</v>
      </c>
      <c r="K50" s="876">
        <f>F4Ax!K50+F4Bx!K50</f>
        <v>43.08</v>
      </c>
      <c r="L50" s="876">
        <f>F4Ax!L50+F4Bx!L50</f>
        <v>18.54</v>
      </c>
      <c r="M50" s="876">
        <f>F4Ax!M50+F4Bx!M50</f>
        <v>25.92</v>
      </c>
      <c r="N50" s="876">
        <f>F4Ax!N50+F4Bx!N50</f>
        <v>44.46</v>
      </c>
      <c r="O50" s="876">
        <f>F4Ax!O50+F4Bx!O50</f>
        <v>44.46</v>
      </c>
      <c r="P50" s="876">
        <f>F4Ax!P50+F4Bx!P50</f>
        <v>0</v>
      </c>
      <c r="Q50" s="876">
        <f>F4Ax!Q50+F4Bx!Q50</f>
        <v>0</v>
      </c>
      <c r="R50" s="876">
        <f>F4Ax!R50+F4Bx!R50</f>
        <v>0</v>
      </c>
      <c r="S50" s="876">
        <f>F4Ax!S50+F4Bx!S50</f>
        <v>0</v>
      </c>
    </row>
    <row r="51" ht="15" spans="3:19">
      <c r="C51" s="55" t="s">
        <v>208</v>
      </c>
      <c r="D51" s="55" t="s">
        <v>209</v>
      </c>
      <c r="E51" s="876">
        <f>F4Ax!E51+F4Bx!E51</f>
        <v>0</v>
      </c>
      <c r="F51" s="876">
        <f>F4Ax!F51+F4Bx!F51</f>
        <v>0</v>
      </c>
      <c r="G51" s="876">
        <f>F4Ax!G51+F4Bx!G51</f>
        <v>0</v>
      </c>
      <c r="H51" s="876">
        <f>F4Ax!H51+F4Bx!H51</f>
        <v>0</v>
      </c>
      <c r="I51" s="876">
        <f>F4Ax!I51+F4Bx!I51</f>
        <v>0</v>
      </c>
      <c r="J51" s="876">
        <f>F4Ax!J51+F4Bx!J51</f>
        <v>0</v>
      </c>
      <c r="K51" s="876">
        <f>F4Ax!K51+F4Bx!K51</f>
        <v>0</v>
      </c>
      <c r="L51" s="876">
        <f>F4Ax!L51+F4Bx!L51</f>
        <v>0</v>
      </c>
      <c r="M51" s="876">
        <f>F4Ax!M51+F4Bx!M51</f>
        <v>0</v>
      </c>
      <c r="N51" s="876">
        <f>F4Ax!N51+F4Bx!N51</f>
        <v>0</v>
      </c>
      <c r="O51" s="876">
        <f>F4Ax!O51+F4Bx!O51</f>
        <v>0</v>
      </c>
      <c r="P51" s="876">
        <f>F4Ax!P51+F4Bx!P51</f>
        <v>0</v>
      </c>
      <c r="Q51" s="876">
        <f>F4Ax!Q51+F4Bx!Q51</f>
        <v>0</v>
      </c>
      <c r="R51" s="876">
        <f>F4Ax!R51+F4Bx!R51</f>
        <v>0</v>
      </c>
      <c r="S51" s="876">
        <f>F4Ax!S51+F4Bx!S51</f>
        <v>0</v>
      </c>
    </row>
    <row r="52" ht="15" spans="3:19">
      <c r="C52" s="55" t="s">
        <v>210</v>
      </c>
      <c r="D52" s="55" t="s">
        <v>188</v>
      </c>
      <c r="E52" s="876">
        <f>F4Ax!E52+F4Bx!E52</f>
        <v>0</v>
      </c>
      <c r="F52" s="876">
        <f>F4Ax!F52+F4Bx!F52</f>
        <v>0</v>
      </c>
      <c r="G52" s="876">
        <f>F4Ax!G52+F4Bx!G52</f>
        <v>0</v>
      </c>
      <c r="H52" s="876">
        <f>F4Ax!H52+F4Bx!H52</f>
        <v>0</v>
      </c>
      <c r="I52" s="876">
        <f>F4Ax!I52+F4Bx!I52</f>
        <v>0</v>
      </c>
      <c r="J52" s="876">
        <f>F4Ax!J52+F4Bx!J52</f>
        <v>0</v>
      </c>
      <c r="K52" s="876">
        <f>F4Ax!K52+F4Bx!K52</f>
        <v>0</v>
      </c>
      <c r="L52" s="876">
        <f>F4Ax!L52+F4Bx!L52</f>
        <v>0</v>
      </c>
      <c r="M52" s="876">
        <f>F4Ax!M52+F4Bx!M52</f>
        <v>0</v>
      </c>
      <c r="N52" s="876">
        <f>F4Ax!N52+F4Bx!N52</f>
        <v>0</v>
      </c>
      <c r="O52" s="876">
        <f>F4Ax!O52+F4Bx!O52</f>
        <v>0</v>
      </c>
      <c r="P52" s="876">
        <f>F4Ax!P52+F4Bx!P52</f>
        <v>0</v>
      </c>
      <c r="Q52" s="876">
        <f>F4Ax!Q52+F4Bx!Q52</f>
        <v>0</v>
      </c>
      <c r="R52" s="876">
        <f>F4Ax!R52+F4Bx!R52</f>
        <v>0</v>
      </c>
      <c r="S52" s="876">
        <f>F4Ax!S52+F4Bx!S52</f>
        <v>0</v>
      </c>
    </row>
    <row r="53" ht="15" spans="3:19">
      <c r="C53" s="55"/>
      <c r="D53" s="55"/>
      <c r="E53" s="876"/>
      <c r="F53" s="876"/>
      <c r="G53" s="876"/>
      <c r="H53" s="876"/>
      <c r="I53" s="876"/>
      <c r="J53" s="876"/>
      <c r="K53" s="876"/>
      <c r="L53" s="876"/>
      <c r="M53" s="876"/>
      <c r="N53" s="876"/>
      <c r="O53" s="876"/>
      <c r="P53" s="876"/>
      <c r="Q53" s="876"/>
      <c r="R53" s="876"/>
      <c r="S53" s="876"/>
    </row>
    <row r="54" ht="15" spans="3:19">
      <c r="C54" s="55"/>
      <c r="D54" s="55"/>
      <c r="E54" s="876"/>
      <c r="F54" s="876"/>
      <c r="G54" s="876"/>
      <c r="H54" s="876"/>
      <c r="I54" s="876"/>
      <c r="J54" s="876"/>
      <c r="K54" s="876"/>
      <c r="L54" s="876"/>
      <c r="M54" s="876"/>
      <c r="N54" s="876"/>
      <c r="O54" s="876"/>
      <c r="P54" s="876"/>
      <c r="Q54" s="876"/>
      <c r="R54" s="876"/>
      <c r="S54" s="876"/>
    </row>
    <row r="55" ht="15" spans="3:19">
      <c r="C55" s="55"/>
      <c r="D55" s="55"/>
      <c r="E55" s="876"/>
      <c r="F55" s="876"/>
      <c r="G55" s="876"/>
      <c r="H55" s="876"/>
      <c r="I55" s="876"/>
      <c r="J55" s="876"/>
      <c r="K55" s="876"/>
      <c r="L55" s="876"/>
      <c r="M55" s="876"/>
      <c r="N55" s="876"/>
      <c r="O55" s="876"/>
      <c r="P55" s="876"/>
      <c r="Q55" s="876"/>
      <c r="R55" s="876"/>
      <c r="S55" s="876"/>
    </row>
    <row r="56" ht="15" spans="3:19">
      <c r="C56" s="55"/>
      <c r="D56" s="55"/>
      <c r="E56" s="876"/>
      <c r="F56" s="876"/>
      <c r="G56" s="876"/>
      <c r="H56" s="876"/>
      <c r="I56" s="876"/>
      <c r="J56" s="876"/>
      <c r="K56" s="876"/>
      <c r="L56" s="876"/>
      <c r="M56" s="876"/>
      <c r="N56" s="876"/>
      <c r="O56" s="876"/>
      <c r="P56" s="876"/>
      <c r="Q56" s="876"/>
      <c r="R56" s="876"/>
      <c r="S56" s="876"/>
    </row>
    <row r="57" ht="15" spans="3:19">
      <c r="C57" s="537" t="s">
        <v>211</v>
      </c>
      <c r="D57" s="540"/>
      <c r="E57" s="877">
        <f>Q133</f>
        <v>5427.97155956</v>
      </c>
      <c r="F57" s="877">
        <f>Q207</f>
        <v>4537.04542544</v>
      </c>
      <c r="G57" s="877">
        <f>Q280</f>
        <v>5786.07745632</v>
      </c>
      <c r="H57" s="877">
        <f>SUM(H41:H56)</f>
        <v>7350.44</v>
      </c>
      <c r="I57" s="877">
        <f>Q354</f>
        <v>7173.95627173</v>
      </c>
      <c r="J57" s="877">
        <f>I57-H57</f>
        <v>-176.483728270001</v>
      </c>
      <c r="K57" s="877">
        <f>SUM(K41:K56)</f>
        <v>8554.07</v>
      </c>
      <c r="L57" s="877">
        <f>SUM(E429:J429)</f>
        <v>3785.738015213</v>
      </c>
      <c r="M57" s="877">
        <f>SUM(K429:P429)</f>
        <v>4034.08937694922</v>
      </c>
      <c r="N57" s="877">
        <f>L57+M57</f>
        <v>7819.82739216222</v>
      </c>
      <c r="O57" s="877">
        <f>Q503</f>
        <v>8207.51663808033</v>
      </c>
      <c r="P57" s="877">
        <f>Q577</f>
        <v>0</v>
      </c>
      <c r="Q57" s="877">
        <f>Q651</f>
        <v>0</v>
      </c>
      <c r="R57" s="877">
        <f>Q725</f>
        <v>0</v>
      </c>
      <c r="S57" s="877">
        <f>Q799</f>
        <v>0</v>
      </c>
    </row>
    <row r="58" ht="15" spans="3:19">
      <c r="C58" s="44" t="s">
        <v>219</v>
      </c>
      <c r="D58" s="45"/>
      <c r="E58" s="876">
        <f>F4Ax!E58+F4Bx!E58</f>
        <v>0</v>
      </c>
      <c r="F58" s="876">
        <f>F4Ax!F58+F4Bx!F58</f>
        <v>0</v>
      </c>
      <c r="G58" s="876">
        <f>F4Ax!G58+F4Bx!G58</f>
        <v>0</v>
      </c>
      <c r="H58" s="876">
        <f>F4Ax!H58+F4Bx!H58</f>
        <v>0</v>
      </c>
      <c r="I58" s="876">
        <f>F4Ax!I58+F4Bx!I58</f>
        <v>0</v>
      </c>
      <c r="J58" s="876">
        <f>F4Ax!J58+F4Bx!J58</f>
        <v>0</v>
      </c>
      <c r="K58" s="876">
        <f>F4Ax!K58+F4Bx!K58</f>
        <v>0</v>
      </c>
      <c r="L58" s="876">
        <f>F4Ax!L58+F4Bx!L58</f>
        <v>0</v>
      </c>
      <c r="M58" s="876">
        <f>F4Ax!M58+F4Bx!M58</f>
        <v>0</v>
      </c>
      <c r="N58" s="876">
        <f>F4Ax!N58+F4Bx!N58</f>
        <v>0</v>
      </c>
      <c r="O58" s="876">
        <f>F4Ax!O58+F4Bx!O58</f>
        <v>0</v>
      </c>
      <c r="P58" s="876">
        <f>F4Ax!P58+F4Bx!P58</f>
        <v>0</v>
      </c>
      <c r="Q58" s="876">
        <f>F4Ax!Q58+F4Bx!Q58</f>
        <v>0</v>
      </c>
      <c r="R58" s="876">
        <f>F4Ax!R58+F4Bx!R58</f>
        <v>0</v>
      </c>
      <c r="S58" s="876">
        <f>F4Ax!S58+F4Bx!S58</f>
        <v>0</v>
      </c>
    </row>
    <row r="59" ht="15" spans="3:19">
      <c r="C59" s="55" t="s">
        <v>191</v>
      </c>
      <c r="D59" s="55" t="s">
        <v>192</v>
      </c>
      <c r="E59" s="876">
        <f>F4Ax!E59+F4Bx!E59</f>
        <v>2503.92938901</v>
      </c>
      <c r="F59" s="876">
        <f>F4Ax!F59+F4Bx!F59</f>
        <v>2237.72151054</v>
      </c>
      <c r="G59" s="876">
        <f>F4Ax!G59+F4Bx!G59</f>
        <v>3160.693707</v>
      </c>
      <c r="H59" s="876">
        <f>F4Ax!H59+F4Bx!H59</f>
        <v>3534.58</v>
      </c>
      <c r="I59" s="876">
        <f>F4Ax!I59+F4Bx!I59</f>
        <v>4311.075245</v>
      </c>
      <c r="J59" s="876">
        <f>F4Ax!J59+F4Bx!J59</f>
        <v>776.495245</v>
      </c>
      <c r="K59" s="876">
        <f>F4Ax!K59+F4Bx!K59</f>
        <v>5214.14</v>
      </c>
      <c r="L59" s="876">
        <f>F4Ax!L59+F4Bx!L59</f>
        <v>2995.31170742926</v>
      </c>
      <c r="M59" s="876">
        <f>F4Ax!M59+F4Bx!M59</f>
        <v>3145.56520742926</v>
      </c>
      <c r="N59" s="876">
        <f>F4Ax!N59+F4Bx!N59</f>
        <v>6140.87691485852</v>
      </c>
      <c r="O59" s="876">
        <f>F4Ax!O59+F4Bx!O59</f>
        <v>6140.87691485852</v>
      </c>
      <c r="P59" s="876">
        <f>F4Ax!P59+F4Bx!P59</f>
        <v>0</v>
      </c>
      <c r="Q59" s="876">
        <f>F4Ax!Q59+F4Bx!Q59</f>
        <v>0</v>
      </c>
      <c r="R59" s="876">
        <f>F4Ax!R59+F4Bx!R59</f>
        <v>0</v>
      </c>
      <c r="S59" s="876">
        <f>F4Ax!S59+F4Bx!S59</f>
        <v>0</v>
      </c>
    </row>
    <row r="60" ht="15" spans="3:19">
      <c r="C60" s="55" t="s">
        <v>193</v>
      </c>
      <c r="D60" s="55" t="s">
        <v>194</v>
      </c>
      <c r="E60" s="876">
        <f>F4Ax!E60+F4Bx!E60</f>
        <v>193.954</v>
      </c>
      <c r="F60" s="876">
        <f>F4Ax!F60+F4Bx!F60</f>
        <v>104.53</v>
      </c>
      <c r="G60" s="876">
        <f>F4Ax!G60+F4Bx!G60</f>
        <v>211.2313</v>
      </c>
      <c r="H60" s="876">
        <f>F4Ax!H60+F4Bx!H60</f>
        <v>193.95</v>
      </c>
      <c r="I60" s="876">
        <f>F4Ax!I60+F4Bx!I60</f>
        <v>209.4758</v>
      </c>
      <c r="J60" s="876">
        <f>F4Ax!J60+F4Bx!J60</f>
        <v>15.5258</v>
      </c>
      <c r="K60" s="876">
        <f>F4Ax!K60+F4Bx!K60</f>
        <v>211.23</v>
      </c>
      <c r="L60" s="876">
        <f>F4Ax!L60+F4Bx!L60</f>
        <v>76.91</v>
      </c>
      <c r="M60" s="876">
        <f>F4Ax!M60+F4Bx!M60</f>
        <v>104.2965</v>
      </c>
      <c r="N60" s="876">
        <f>F4Ax!N60+F4Bx!N60</f>
        <v>181.2065</v>
      </c>
      <c r="O60" s="876">
        <f>F4Ax!O60+F4Bx!O60</f>
        <v>181.2065</v>
      </c>
      <c r="P60" s="876">
        <f>F4Ax!P60+F4Bx!P60</f>
        <v>0</v>
      </c>
      <c r="Q60" s="876">
        <f>F4Ax!Q60+F4Bx!Q60</f>
        <v>0</v>
      </c>
      <c r="R60" s="876">
        <f>F4Ax!R60+F4Bx!R60</f>
        <v>0</v>
      </c>
      <c r="S60" s="876">
        <f>F4Ax!S60+F4Bx!S60</f>
        <v>0</v>
      </c>
    </row>
    <row r="61" ht="15" spans="3:19">
      <c r="C61" s="55" t="s">
        <v>239</v>
      </c>
      <c r="D61" s="55" t="s">
        <v>196</v>
      </c>
      <c r="E61" s="876">
        <f>F4Ax!E61+F4Bx!E61</f>
        <v>50.823967</v>
      </c>
      <c r="F61" s="876">
        <f>F4Ax!F61+F4Bx!F61</f>
        <v>37.02036</v>
      </c>
      <c r="G61" s="876">
        <f>F4Ax!G61+F4Bx!G61</f>
        <v>40.808457</v>
      </c>
      <c r="H61" s="876">
        <f>F4Ax!H61+F4Bx!H61</f>
        <v>53.02</v>
      </c>
      <c r="I61" s="876">
        <f>F4Ax!I61+F4Bx!I61</f>
        <v>46.242353</v>
      </c>
      <c r="J61" s="876">
        <f>F4Ax!J61+F4Bx!J61</f>
        <v>-6.77764700000001</v>
      </c>
      <c r="K61" s="876">
        <f>F4Ax!K61+F4Bx!K61</f>
        <v>40.39</v>
      </c>
      <c r="L61" s="876">
        <f>F4Ax!L61+F4Bx!L61</f>
        <v>35.955005895817</v>
      </c>
      <c r="M61" s="876">
        <f>F4Ax!M61+F4Bx!M61</f>
        <v>25.4204867882948</v>
      </c>
      <c r="N61" s="876">
        <f>F4Ax!N61+F4Bx!N61</f>
        <v>61.3754926841118</v>
      </c>
      <c r="O61" s="876">
        <f>F4Ax!O61+F4Bx!O61</f>
        <v>61.3754926841118</v>
      </c>
      <c r="P61" s="876">
        <f>F4Ax!P61+F4Bx!P61</f>
        <v>0</v>
      </c>
      <c r="Q61" s="876">
        <f>F4Ax!Q61+F4Bx!Q61</f>
        <v>0</v>
      </c>
      <c r="R61" s="876">
        <f>F4Ax!R61+F4Bx!R61</f>
        <v>0</v>
      </c>
      <c r="S61" s="876">
        <f>F4Ax!S61+F4Bx!S61</f>
        <v>0</v>
      </c>
    </row>
    <row r="62" ht="15" spans="3:19">
      <c r="C62" s="55" t="s">
        <v>197</v>
      </c>
      <c r="D62" s="55" t="s">
        <v>198</v>
      </c>
      <c r="E62" s="876">
        <f>F4Ax!E62+F4Bx!E62</f>
        <v>0</v>
      </c>
      <c r="F62" s="876">
        <f>F4Ax!F62+F4Bx!F62</f>
        <v>0</v>
      </c>
      <c r="G62" s="876">
        <f>F4Ax!G62+F4Bx!G62</f>
        <v>0</v>
      </c>
      <c r="H62" s="876">
        <f>F4Ax!H62+F4Bx!H62</f>
        <v>0</v>
      </c>
      <c r="I62" s="876">
        <f>F4Ax!I62+F4Bx!I62</f>
        <v>0</v>
      </c>
      <c r="J62" s="876">
        <f>F4Ax!J62+F4Bx!J62</f>
        <v>0</v>
      </c>
      <c r="K62" s="876">
        <f>F4Ax!K62+F4Bx!K62</f>
        <v>0</v>
      </c>
      <c r="L62" s="876">
        <f>F4Ax!L62+F4Bx!L62</f>
        <v>0</v>
      </c>
      <c r="M62" s="876">
        <f>F4Ax!M62+F4Bx!M62</f>
        <v>0</v>
      </c>
      <c r="N62" s="876">
        <f>F4Ax!N62+F4Bx!N62</f>
        <v>0</v>
      </c>
      <c r="O62" s="876">
        <f>F4Ax!O62+F4Bx!O62</f>
        <v>0</v>
      </c>
      <c r="P62" s="876">
        <f>F4Ax!P62+F4Bx!P62</f>
        <v>0</v>
      </c>
      <c r="Q62" s="876">
        <f>F4Ax!Q62+F4Bx!Q62</f>
        <v>0</v>
      </c>
      <c r="R62" s="876">
        <f>F4Ax!R62+F4Bx!R62</f>
        <v>0</v>
      </c>
      <c r="S62" s="876">
        <f>F4Ax!S62+F4Bx!S62</f>
        <v>0</v>
      </c>
    </row>
    <row r="63" ht="15" spans="3:19">
      <c r="C63" s="55" t="s">
        <v>199</v>
      </c>
      <c r="D63" s="55" t="s">
        <v>200</v>
      </c>
      <c r="E63" s="876">
        <f>F4Ax!E63+F4Bx!E63</f>
        <v>86.414</v>
      </c>
      <c r="F63" s="876">
        <f>F4Ax!F63+F4Bx!F63</f>
        <v>50.366</v>
      </c>
      <c r="G63" s="876">
        <f>F4Ax!G63+F4Bx!G63</f>
        <v>0</v>
      </c>
      <c r="H63" s="876">
        <f>F4Ax!H63+F4Bx!H63</f>
        <v>109.79</v>
      </c>
      <c r="I63" s="876">
        <f>F4Ax!I63+F4Bx!I63</f>
        <v>60.93195</v>
      </c>
      <c r="J63" s="876">
        <f>F4Ax!J63+F4Bx!J63</f>
        <v>-48.85805</v>
      </c>
      <c r="K63" s="876">
        <f>F4Ax!K63+F4Bx!K63</f>
        <v>55.76</v>
      </c>
      <c r="L63" s="876">
        <f>F4Ax!L63+F4Bx!L63</f>
        <v>30.35</v>
      </c>
      <c r="M63" s="876">
        <f>F4Ax!M63+F4Bx!M63</f>
        <v>43.38</v>
      </c>
      <c r="N63" s="876">
        <f>F4Ax!N63+F4Bx!N63</f>
        <v>73.73</v>
      </c>
      <c r="O63" s="876">
        <f>F4Ax!O63+F4Bx!O63</f>
        <v>73.73</v>
      </c>
      <c r="P63" s="876">
        <f>F4Ax!P63+F4Bx!P63</f>
        <v>0</v>
      </c>
      <c r="Q63" s="876">
        <f>F4Ax!Q63+F4Bx!Q63</f>
        <v>0</v>
      </c>
      <c r="R63" s="876">
        <f>F4Ax!R63+F4Bx!R63</f>
        <v>0</v>
      </c>
      <c r="S63" s="876">
        <f>F4Ax!S63+F4Bx!S63</f>
        <v>0</v>
      </c>
    </row>
    <row r="64" ht="15" spans="3:19">
      <c r="C64" s="55" t="s">
        <v>201</v>
      </c>
      <c r="D64" s="55" t="s">
        <v>240</v>
      </c>
      <c r="E64" s="876">
        <f>F4Ax!E64+F4Bx!E64</f>
        <v>1861.57</v>
      </c>
      <c r="F64" s="876">
        <f>F4Ax!F64+F4Bx!F64</f>
        <v>1560.78</v>
      </c>
      <c r="G64" s="876">
        <f>F4Ax!G64+F4Bx!G64</f>
        <v>1877.73325733</v>
      </c>
      <c r="H64" s="876">
        <f>F4Ax!H64+F4Bx!H64</f>
        <v>3161.75</v>
      </c>
      <c r="I64" s="876">
        <f>F4Ax!I64+F4Bx!I64</f>
        <v>1642.35012187</v>
      </c>
      <c r="J64" s="876">
        <f>F4Ax!J64+F4Bx!J64</f>
        <v>-1519.39987813</v>
      </c>
      <c r="K64" s="876">
        <f>F4Ax!K64+F4Bx!K64</f>
        <v>3790.35</v>
      </c>
      <c r="L64" s="876">
        <f>F4Ax!L64+F4Bx!L64</f>
        <v>995.428513552285</v>
      </c>
      <c r="M64" s="876">
        <f>F4Ax!M64+F4Bx!M64</f>
        <v>991.811912232724</v>
      </c>
      <c r="N64" s="876">
        <f>F4Ax!N64+F4Bx!N64</f>
        <v>1987.24042578501</v>
      </c>
      <c r="O64" s="876">
        <f>F4Ax!O64+F4Bx!O64</f>
        <v>1987.24042578501</v>
      </c>
      <c r="P64" s="876">
        <f>F4Ax!P64+F4Bx!P64</f>
        <v>0</v>
      </c>
      <c r="Q64" s="876">
        <f>F4Ax!Q64+F4Bx!Q64</f>
        <v>0</v>
      </c>
      <c r="R64" s="876">
        <f>F4Ax!R64+F4Bx!R64</f>
        <v>0</v>
      </c>
      <c r="S64" s="876">
        <f>F4Ax!S64+F4Bx!S64</f>
        <v>0</v>
      </c>
    </row>
    <row r="65" ht="15" spans="3:19">
      <c r="C65" s="55" t="s">
        <v>203</v>
      </c>
      <c r="D65" s="55" t="s">
        <v>220</v>
      </c>
      <c r="E65" s="876">
        <f>F4Ax!E65+F4Bx!E65</f>
        <v>204.79</v>
      </c>
      <c r="F65" s="876">
        <f>F4Ax!F65+F4Bx!F65</f>
        <v>208.01</v>
      </c>
      <c r="G65" s="876">
        <f>F4Ax!G65+F4Bx!G65</f>
        <v>238.748</v>
      </c>
      <c r="H65" s="876">
        <f>F4Ax!H65+F4Bx!H65</f>
        <v>234.54</v>
      </c>
      <c r="I65" s="876">
        <f>F4Ax!I65+F4Bx!I65</f>
        <v>260.3885</v>
      </c>
      <c r="J65" s="876">
        <f>F4Ax!J65+F4Bx!J65</f>
        <v>25.8485</v>
      </c>
      <c r="K65" s="876">
        <f>F4Ax!K65+F4Bx!K65</f>
        <v>282.28</v>
      </c>
      <c r="L65" s="876">
        <f>F4Ax!L65+F4Bx!L65</f>
        <v>157.821486447715</v>
      </c>
      <c r="M65" s="876">
        <f>F4Ax!M65+F4Bx!M65</f>
        <v>157.248087767276</v>
      </c>
      <c r="N65" s="876">
        <f>F4Ax!N65+F4Bx!N65</f>
        <v>315.069574214991</v>
      </c>
      <c r="O65" s="876">
        <f>F4Ax!O65+F4Bx!O65</f>
        <v>315.069574214991</v>
      </c>
      <c r="P65" s="876">
        <f>F4Ax!P65+F4Bx!P65</f>
        <v>0</v>
      </c>
      <c r="Q65" s="876">
        <f>F4Ax!Q65+F4Bx!Q65</f>
        <v>0</v>
      </c>
      <c r="R65" s="876">
        <f>F4Ax!R65+F4Bx!R65</f>
        <v>0</v>
      </c>
      <c r="S65" s="876">
        <f>F4Ax!S65+F4Bx!S65</f>
        <v>0</v>
      </c>
    </row>
    <row r="66" ht="15" spans="3:19">
      <c r="C66" s="55" t="s">
        <v>241</v>
      </c>
      <c r="D66" s="55" t="s">
        <v>229</v>
      </c>
      <c r="E66" s="876">
        <f>F4Ax!E66+F4Bx!E66</f>
        <v>250</v>
      </c>
      <c r="F66" s="876">
        <f>F4Ax!F66+F4Bx!F66</f>
        <v>192.31</v>
      </c>
      <c r="G66" s="876">
        <f>F4Ax!G66+F4Bx!G66</f>
        <v>298.610028</v>
      </c>
      <c r="H66" s="876">
        <f>F4Ax!H66+F4Bx!H66</f>
        <v>862.64</v>
      </c>
      <c r="I66" s="876">
        <f>F4Ax!I66+F4Bx!I66</f>
        <v>386.274181</v>
      </c>
      <c r="J66" s="876">
        <f>F4Ax!J66+F4Bx!J66</f>
        <v>-476.365819</v>
      </c>
      <c r="K66" s="876">
        <f>F4Ax!K66+F4Bx!K66</f>
        <v>566.31</v>
      </c>
      <c r="L66" s="876">
        <f>F4Ax!L66+F4Bx!L66</f>
        <v>230.909656744452</v>
      </c>
      <c r="M66" s="876">
        <f>F4Ax!M66+F4Bx!M66</f>
        <v>239.385943023876</v>
      </c>
      <c r="N66" s="876">
        <f>F4Ax!N66+F4Bx!N66</f>
        <v>470.295599768328</v>
      </c>
      <c r="O66" s="876">
        <f>F4Ax!O66+F4Bx!O66</f>
        <v>470.295599768328</v>
      </c>
      <c r="P66" s="876">
        <f>F4Ax!P66+F4Bx!P66</f>
        <v>0</v>
      </c>
      <c r="Q66" s="876">
        <f>F4Ax!Q66+F4Bx!Q66</f>
        <v>0</v>
      </c>
      <c r="R66" s="876">
        <f>F4Ax!R66+F4Bx!R66</f>
        <v>0</v>
      </c>
      <c r="S66" s="876">
        <f>F4Ax!S66+F4Bx!S66</f>
        <v>0</v>
      </c>
    </row>
    <row r="67" ht="15" spans="3:19">
      <c r="C67" s="55" t="s">
        <v>242</v>
      </c>
      <c r="D67" s="55" t="s">
        <v>243</v>
      </c>
      <c r="E67" s="876">
        <f>F4Ax!E67+F4Bx!E67</f>
        <v>81.01</v>
      </c>
      <c r="F67" s="876">
        <f>F4Ax!F67+F4Bx!F67</f>
        <v>47.06</v>
      </c>
      <c r="G67" s="876">
        <f>F4Ax!G67+F4Bx!G67</f>
        <v>65.583331</v>
      </c>
      <c r="H67" s="876">
        <f>F4Ax!H67+F4Bx!H67</f>
        <v>276.72</v>
      </c>
      <c r="I67" s="876">
        <f>F4Ax!I67+F4Bx!I67</f>
        <v>88.577285</v>
      </c>
      <c r="J67" s="876">
        <f>F4Ax!J67+F4Bx!J67</f>
        <v>-188.142715</v>
      </c>
      <c r="K67" s="876">
        <f>F4Ax!K67+F4Bx!K67</f>
        <v>110</v>
      </c>
      <c r="L67" s="876">
        <f>F4Ax!L67+F4Bx!L67</f>
        <v>52.9503432555476</v>
      </c>
      <c r="M67" s="876">
        <f>F4Ax!M67+F4Bx!M67</f>
        <v>54.894056976124</v>
      </c>
      <c r="N67" s="876">
        <f>F4Ax!N67+F4Bx!N67</f>
        <v>107.844400231672</v>
      </c>
      <c r="O67" s="876">
        <f>F4Ax!O67+F4Bx!O67</f>
        <v>107.844400231672</v>
      </c>
      <c r="P67" s="876">
        <f>F4Ax!P67+F4Bx!P67</f>
        <v>0</v>
      </c>
      <c r="Q67" s="876">
        <f>F4Ax!Q67+F4Bx!Q67</f>
        <v>0</v>
      </c>
      <c r="R67" s="876">
        <f>F4Ax!R67+F4Bx!R67</f>
        <v>0</v>
      </c>
      <c r="S67" s="876">
        <f>F4Ax!S67+F4Bx!S67</f>
        <v>0</v>
      </c>
    </row>
    <row r="68" ht="15" spans="3:19">
      <c r="C68" s="55" t="s">
        <v>205</v>
      </c>
      <c r="D68" s="55" t="s">
        <v>206</v>
      </c>
      <c r="E68" s="876">
        <f>F4Ax!E68+F4Bx!E68</f>
        <v>0</v>
      </c>
      <c r="F68" s="876">
        <f>F4Ax!F68+F4Bx!F68</f>
        <v>0</v>
      </c>
      <c r="G68" s="876">
        <f>F4Ax!G68+F4Bx!G68</f>
        <v>0</v>
      </c>
      <c r="H68" s="876">
        <f>F4Ax!H68+F4Bx!H68</f>
        <v>0</v>
      </c>
      <c r="I68" s="876">
        <f>F4Ax!I68+F4Bx!I68</f>
        <v>0</v>
      </c>
      <c r="J68" s="876">
        <f>F4Ax!J68+F4Bx!J68</f>
        <v>0</v>
      </c>
      <c r="K68" s="876">
        <f>F4Ax!K68+F4Bx!K68</f>
        <v>0</v>
      </c>
      <c r="L68" s="876">
        <f>F4Ax!L68+F4Bx!L68</f>
        <v>0</v>
      </c>
      <c r="M68" s="876">
        <f>F4Ax!M68+F4Bx!M68</f>
        <v>0</v>
      </c>
      <c r="N68" s="876">
        <f>F4Ax!N68+F4Bx!N68</f>
        <v>0</v>
      </c>
      <c r="O68" s="876">
        <f>F4Ax!O68+F4Bx!O68</f>
        <v>0</v>
      </c>
      <c r="P68" s="876">
        <f>F4Ax!P68+F4Bx!P68</f>
        <v>0</v>
      </c>
      <c r="Q68" s="876">
        <f>F4Ax!Q68+F4Bx!Q68</f>
        <v>0</v>
      </c>
      <c r="R68" s="876">
        <f>F4Ax!R68+F4Bx!R68</f>
        <v>0</v>
      </c>
      <c r="S68" s="876">
        <f>F4Ax!S68+F4Bx!S68</f>
        <v>0</v>
      </c>
    </row>
    <row r="69" ht="15" spans="3:19">
      <c r="C69" s="55" t="s">
        <v>207</v>
      </c>
      <c r="D69" s="55" t="s">
        <v>186</v>
      </c>
      <c r="E69" s="876">
        <f>F4Ax!E69+F4Bx!E69</f>
        <v>0</v>
      </c>
      <c r="F69" s="876">
        <f>F4Ax!F69+F4Bx!F69</f>
        <v>0</v>
      </c>
      <c r="G69" s="876">
        <f>F4Ax!G69+F4Bx!G69</f>
        <v>0</v>
      </c>
      <c r="H69" s="876">
        <f>F4Ax!H69+F4Bx!H69</f>
        <v>0</v>
      </c>
      <c r="I69" s="876">
        <f>F4Ax!I69+F4Bx!I69</f>
        <v>0</v>
      </c>
      <c r="J69" s="876">
        <f>F4Ax!J69+F4Bx!J69</f>
        <v>0</v>
      </c>
      <c r="K69" s="876">
        <f>F4Ax!K69+F4Bx!K69</f>
        <v>0</v>
      </c>
      <c r="L69" s="876">
        <f>F4Ax!L69+F4Bx!L69</f>
        <v>0</v>
      </c>
      <c r="M69" s="876">
        <f>F4Ax!M69+F4Bx!M69</f>
        <v>0</v>
      </c>
      <c r="N69" s="876">
        <f>F4Ax!N69+F4Bx!N69</f>
        <v>0</v>
      </c>
      <c r="O69" s="876">
        <f>F4Ax!O69+F4Bx!O69</f>
        <v>0</v>
      </c>
      <c r="P69" s="876">
        <f>F4Ax!P69+F4Bx!P69</f>
        <v>0</v>
      </c>
      <c r="Q69" s="876">
        <f>F4Ax!Q69+F4Bx!Q69</f>
        <v>0</v>
      </c>
      <c r="R69" s="876">
        <f>F4Ax!R69+F4Bx!R69</f>
        <v>0</v>
      </c>
      <c r="S69" s="876">
        <f>F4Ax!S69+F4Bx!S69</f>
        <v>0</v>
      </c>
    </row>
    <row r="70" ht="15" spans="3:19">
      <c r="C70" s="55" t="s">
        <v>208</v>
      </c>
      <c r="D70" s="55" t="s">
        <v>209</v>
      </c>
      <c r="E70" s="876">
        <f>F4Ax!E70+F4Bx!E70</f>
        <v>0</v>
      </c>
      <c r="F70" s="876">
        <f>F4Ax!F70+F4Bx!F70</f>
        <v>0</v>
      </c>
      <c r="G70" s="876">
        <f>F4Ax!G70+F4Bx!G70</f>
        <v>0</v>
      </c>
      <c r="H70" s="876">
        <f>F4Ax!H70+F4Bx!H70</f>
        <v>0</v>
      </c>
      <c r="I70" s="876">
        <f>F4Ax!I70+F4Bx!I70</f>
        <v>0</v>
      </c>
      <c r="J70" s="876">
        <f>F4Ax!J70+F4Bx!J70</f>
        <v>0</v>
      </c>
      <c r="K70" s="876">
        <f>F4Ax!K70+F4Bx!K70</f>
        <v>0</v>
      </c>
      <c r="L70" s="876">
        <f>F4Ax!L70+F4Bx!L70</f>
        <v>0</v>
      </c>
      <c r="M70" s="876">
        <f>F4Ax!M70+F4Bx!M70</f>
        <v>0</v>
      </c>
      <c r="N70" s="876">
        <f>F4Ax!N70+F4Bx!N70</f>
        <v>0</v>
      </c>
      <c r="O70" s="876">
        <f>F4Ax!O70+F4Bx!O70</f>
        <v>0</v>
      </c>
      <c r="P70" s="876">
        <f>F4Ax!P70+F4Bx!P70</f>
        <v>0</v>
      </c>
      <c r="Q70" s="876">
        <f>F4Ax!Q70+F4Bx!Q70</f>
        <v>0</v>
      </c>
      <c r="R70" s="876">
        <f>F4Ax!R70+F4Bx!R70</f>
        <v>0</v>
      </c>
      <c r="S70" s="876">
        <f>F4Ax!S70+F4Bx!S70</f>
        <v>0</v>
      </c>
    </row>
    <row r="71" ht="15" spans="3:19">
      <c r="C71" s="55" t="s">
        <v>210</v>
      </c>
      <c r="D71" s="55" t="s">
        <v>188</v>
      </c>
      <c r="E71" s="876">
        <f>F4Ax!E71+F4Bx!E71</f>
        <v>0</v>
      </c>
      <c r="F71" s="876">
        <f>F4Ax!F71+F4Bx!F71</f>
        <v>0</v>
      </c>
      <c r="G71" s="876">
        <f>F4Ax!G71+F4Bx!G71</f>
        <v>0</v>
      </c>
      <c r="H71" s="876">
        <f>F4Ax!H71+F4Bx!H71</f>
        <v>0</v>
      </c>
      <c r="I71" s="876">
        <f>F4Ax!I71+F4Bx!I71</f>
        <v>0</v>
      </c>
      <c r="J71" s="876">
        <f>F4Ax!J71+F4Bx!J71</f>
        <v>0</v>
      </c>
      <c r="K71" s="876">
        <f>F4Ax!K71+F4Bx!K71</f>
        <v>0</v>
      </c>
      <c r="L71" s="876">
        <f>F4Ax!L71+F4Bx!L71</f>
        <v>0</v>
      </c>
      <c r="M71" s="876">
        <f>F4Ax!M71+F4Bx!M71</f>
        <v>0</v>
      </c>
      <c r="N71" s="876">
        <f>F4Ax!N71+F4Bx!N71</f>
        <v>0</v>
      </c>
      <c r="O71" s="876">
        <f>F4Ax!O71+F4Bx!O71</f>
        <v>0</v>
      </c>
      <c r="P71" s="876">
        <f>F4Ax!P71+F4Bx!P71</f>
        <v>0</v>
      </c>
      <c r="Q71" s="876">
        <f>F4Ax!Q71+F4Bx!Q71</f>
        <v>0</v>
      </c>
      <c r="R71" s="876">
        <f>F4Ax!R71+F4Bx!R71</f>
        <v>0</v>
      </c>
      <c r="S71" s="876">
        <f>F4Ax!S71+F4Bx!S71</f>
        <v>0</v>
      </c>
    </row>
    <row r="72" ht="15" spans="3:19">
      <c r="C72" s="55"/>
      <c r="D72" s="55"/>
      <c r="E72" s="876"/>
      <c r="F72" s="876"/>
      <c r="G72" s="876"/>
      <c r="H72" s="876"/>
      <c r="I72" s="876"/>
      <c r="J72" s="876"/>
      <c r="K72" s="876"/>
      <c r="L72" s="876"/>
      <c r="M72" s="876"/>
      <c r="N72" s="876"/>
      <c r="O72" s="876"/>
      <c r="P72" s="876"/>
      <c r="Q72" s="876"/>
      <c r="R72" s="876"/>
      <c r="S72" s="876"/>
    </row>
    <row r="73" ht="15" spans="3:19">
      <c r="C73" s="55"/>
      <c r="D73" s="55"/>
      <c r="E73" s="876"/>
      <c r="F73" s="876"/>
      <c r="G73" s="876"/>
      <c r="H73" s="876"/>
      <c r="I73" s="876"/>
      <c r="J73" s="876"/>
      <c r="K73" s="876"/>
      <c r="L73" s="876"/>
      <c r="M73" s="876"/>
      <c r="N73" s="876"/>
      <c r="O73" s="876"/>
      <c r="P73" s="876"/>
      <c r="Q73" s="876"/>
      <c r="R73" s="876"/>
      <c r="S73" s="876"/>
    </row>
    <row r="74" ht="15" spans="3:19">
      <c r="C74" s="55"/>
      <c r="D74" s="55"/>
      <c r="E74" s="876"/>
      <c r="F74" s="876"/>
      <c r="G74" s="876"/>
      <c r="H74" s="876"/>
      <c r="I74" s="876"/>
      <c r="J74" s="876"/>
      <c r="K74" s="876"/>
      <c r="L74" s="876"/>
      <c r="M74" s="876"/>
      <c r="N74" s="876"/>
      <c r="O74" s="876"/>
      <c r="P74" s="876"/>
      <c r="Q74" s="876"/>
      <c r="R74" s="876"/>
      <c r="S74" s="876"/>
    </row>
    <row r="75" ht="15" spans="3:19">
      <c r="C75" s="55"/>
      <c r="D75" s="55"/>
      <c r="E75" s="876"/>
      <c r="F75" s="876"/>
      <c r="G75" s="876"/>
      <c r="H75" s="876"/>
      <c r="I75" s="876"/>
      <c r="J75" s="876"/>
      <c r="K75" s="876"/>
      <c r="L75" s="876"/>
      <c r="M75" s="876"/>
      <c r="N75" s="876"/>
      <c r="O75" s="876"/>
      <c r="P75" s="876"/>
      <c r="Q75" s="876"/>
      <c r="R75" s="876"/>
      <c r="S75" s="876"/>
    </row>
    <row r="76" ht="15" spans="3:19">
      <c r="C76" s="537" t="s">
        <v>211</v>
      </c>
      <c r="D76" s="540"/>
      <c r="E76" s="877">
        <f>Q152</f>
        <v>5232.49135601</v>
      </c>
      <c r="F76" s="877">
        <f>Q225</f>
        <v>4437.79787054</v>
      </c>
      <c r="G76" s="877">
        <f>Q299</f>
        <v>5940.81574433</v>
      </c>
      <c r="H76" s="877">
        <f>SUM(H59:H75)</f>
        <v>8426.99</v>
      </c>
      <c r="I76" s="877">
        <f>Q373</f>
        <v>7005.31543587</v>
      </c>
      <c r="J76" s="877">
        <f>I76-H76</f>
        <v>-1421.67456413</v>
      </c>
      <c r="K76" s="877">
        <f>SUM(K59:K75)</f>
        <v>10270.46</v>
      </c>
      <c r="L76" s="877">
        <f>SUM(E448:J448)</f>
        <v>3322.92591676</v>
      </c>
      <c r="M76" s="877">
        <f>SUM(K448:P448)</f>
        <v>4302.92772929445</v>
      </c>
      <c r="N76" s="877">
        <f>L76+M76</f>
        <v>7625.85364605445</v>
      </c>
      <c r="O76" s="877">
        <f>Q522</f>
        <v>9337.63890754263</v>
      </c>
      <c r="P76" s="877">
        <f>Q596</f>
        <v>0</v>
      </c>
      <c r="Q76" s="877">
        <f>Q670</f>
        <v>0</v>
      </c>
      <c r="R76" s="877">
        <f>Q744</f>
        <v>0</v>
      </c>
      <c r="S76" s="877">
        <f>Q818</f>
        <v>0</v>
      </c>
    </row>
    <row r="77" ht="15" spans="3:19">
      <c r="C77" s="537" t="s">
        <v>223</v>
      </c>
      <c r="D77" s="540"/>
      <c r="E77" s="877">
        <f>Q153</f>
        <v>16340.1659668674</v>
      </c>
      <c r="F77" s="877">
        <f>Q226</f>
        <v>13988.45317419</v>
      </c>
      <c r="G77" s="877">
        <f>Q300</f>
        <v>17477.12021174</v>
      </c>
      <c r="H77" s="877">
        <f>SUM(H39,H57,H76)</f>
        <v>22752.26</v>
      </c>
      <c r="I77" s="877">
        <f>Q374</f>
        <v>20800.19306281</v>
      </c>
      <c r="J77" s="877">
        <f>I77-H77</f>
        <v>-1952.06693719</v>
      </c>
      <c r="K77" s="877">
        <f>SUM(K39,K57,K76)</f>
        <v>25689.85</v>
      </c>
      <c r="L77" s="877">
        <f>SUM(E449:J449)</f>
        <v>10493.911807618</v>
      </c>
      <c r="M77" s="877">
        <f>SUM(K449:P449)</f>
        <v>11940.7211615697</v>
      </c>
      <c r="N77" s="877">
        <f>L77+M77</f>
        <v>22434.6329691877</v>
      </c>
      <c r="O77" s="877">
        <f>Q523</f>
        <v>24999.0657663384</v>
      </c>
      <c r="P77" s="877">
        <f>Q597</f>
        <v>0</v>
      </c>
      <c r="Q77" s="877">
        <f>Q671</f>
        <v>0</v>
      </c>
      <c r="R77" s="877">
        <f>Q745</f>
        <v>0</v>
      </c>
      <c r="S77" s="877">
        <f>Q819</f>
        <v>0</v>
      </c>
    </row>
    <row r="78" ht="15" spans="3:19">
      <c r="C78" s="537" t="s">
        <v>224</v>
      </c>
      <c r="D78" s="540"/>
      <c r="E78" s="878">
        <f>Q154</f>
        <v>39909.616942078</v>
      </c>
      <c r="F78" s="877">
        <f>Q227</f>
        <v>38274.6747909257</v>
      </c>
      <c r="G78" s="877">
        <f>Q301</f>
        <v>42512.1098927022</v>
      </c>
      <c r="H78" s="877">
        <f>SUM(H22,H77)</f>
        <v>48541.46</v>
      </c>
      <c r="I78" s="877">
        <f>Q375</f>
        <v>47550.7006990167</v>
      </c>
      <c r="J78" s="877">
        <f>I78-H78</f>
        <v>-990.759300983351</v>
      </c>
      <c r="K78" s="877">
        <f>SUM(K22,K77)</f>
        <v>52938.33</v>
      </c>
      <c r="L78" s="877">
        <f>SUM(E450:J450)</f>
        <v>25247.5320274954</v>
      </c>
      <c r="M78" s="877">
        <f>SUM(K450:P450)</f>
        <v>26291.8155447609</v>
      </c>
      <c r="N78" s="877">
        <f>L78+M78</f>
        <v>51539.3475722564</v>
      </c>
      <c r="O78" s="877">
        <f>Q524</f>
        <v>53375.730136445</v>
      </c>
      <c r="P78" s="877">
        <f>Q598</f>
        <v>0</v>
      </c>
      <c r="Q78" s="877">
        <f>Q672</f>
        <v>0</v>
      </c>
      <c r="R78" s="877">
        <f>Q746</f>
        <v>0</v>
      </c>
      <c r="S78" s="877">
        <f>Q820</f>
        <v>0</v>
      </c>
    </row>
    <row r="81" ht="15" spans="3:14">
      <c r="C81" s="14" t="s">
        <v>244</v>
      </c>
      <c r="N81" s="920"/>
    </row>
    <row r="82" ht="15" spans="3:17">
      <c r="C82" s="14"/>
      <c r="Q82" s="3" t="s">
        <v>236</v>
      </c>
    </row>
    <row r="83" ht="15" spans="3:17">
      <c r="C83" s="6" t="s">
        <v>159</v>
      </c>
      <c r="D83" s="6"/>
      <c r="E83" s="135" t="s">
        <v>245</v>
      </c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</row>
    <row r="84" ht="15" spans="3:17">
      <c r="C84" s="6"/>
      <c r="D84" s="6"/>
      <c r="E84" s="135" t="s">
        <v>246</v>
      </c>
      <c r="F84" s="135" t="s">
        <v>247</v>
      </c>
      <c r="G84" s="135" t="s">
        <v>248</v>
      </c>
      <c r="H84" s="135" t="s">
        <v>249</v>
      </c>
      <c r="I84" s="135" t="s">
        <v>250</v>
      </c>
      <c r="J84" s="135" t="s">
        <v>251</v>
      </c>
      <c r="K84" s="135" t="s">
        <v>252</v>
      </c>
      <c r="L84" s="135" t="s">
        <v>253</v>
      </c>
      <c r="M84" s="135" t="s">
        <v>254</v>
      </c>
      <c r="N84" s="135" t="s">
        <v>255</v>
      </c>
      <c r="O84" s="135" t="s">
        <v>256</v>
      </c>
      <c r="P84" s="135" t="s">
        <v>257</v>
      </c>
      <c r="Q84" s="135" t="s">
        <v>97</v>
      </c>
    </row>
    <row r="85" ht="15" spans="3:17">
      <c r="C85" s="44" t="s">
        <v>170</v>
      </c>
      <c r="D85" s="45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316">
        <f t="shared" ref="Q85:Q116" si="0">SUM(E85:P85)</f>
        <v>0</v>
      </c>
    </row>
    <row r="86" ht="15" spans="3:17">
      <c r="C86" s="47" t="s">
        <v>171</v>
      </c>
      <c r="D86" s="47" t="s">
        <v>172</v>
      </c>
      <c r="E86" s="147">
        <f>F4Ax!E86+F4Bx!E86</f>
        <v>884.884793</v>
      </c>
      <c r="F86" s="147">
        <f>F4Ax!F86+F4Bx!F86</f>
        <v>1043.906337</v>
      </c>
      <c r="G86" s="147">
        <f>F4Ax!G86+F4Bx!G86</f>
        <v>792.471829</v>
      </c>
      <c r="H86" s="147">
        <f>F4Ax!H86+F4Bx!H86</f>
        <v>709.51629</v>
      </c>
      <c r="I86" s="147">
        <f>F4Ax!I86+F4Bx!I86</f>
        <v>712.021638</v>
      </c>
      <c r="J86" s="147">
        <f>F4Ax!J86+F4Bx!J86</f>
        <v>683.041211</v>
      </c>
      <c r="K86" s="147">
        <f>F4Ax!K86+F4Bx!K86</f>
        <v>670.673864</v>
      </c>
      <c r="L86" s="147">
        <f>F4Ax!L86+F4Bx!L86</f>
        <v>623.023792</v>
      </c>
      <c r="M86" s="147">
        <f>F4Ax!M86+F4Bx!M86</f>
        <v>587.786236</v>
      </c>
      <c r="N86" s="147">
        <f>F4Ax!N86+F4Bx!N86</f>
        <v>604.0984</v>
      </c>
      <c r="O86" s="147">
        <f>F4Ax!O86+F4Bx!O86</f>
        <v>620.276841</v>
      </c>
      <c r="P86" s="147">
        <f>F4Ax!P86+F4Bx!P86</f>
        <v>777.946403</v>
      </c>
      <c r="Q86" s="316">
        <f t="shared" si="0"/>
        <v>8709.647634</v>
      </c>
    </row>
    <row r="87" ht="15" spans="3:17">
      <c r="C87" s="55" t="s">
        <v>173</v>
      </c>
      <c r="D87" s="55" t="s">
        <v>174</v>
      </c>
      <c r="E87" s="147">
        <f>F4Ax!E87+F4Bx!E87</f>
        <v>256.562792</v>
      </c>
      <c r="F87" s="147">
        <f>F4Ax!F87+F4Bx!F87</f>
        <v>285.334947</v>
      </c>
      <c r="G87" s="147">
        <f>F4Ax!G87+F4Bx!G87</f>
        <v>241.302582</v>
      </c>
      <c r="H87" s="147">
        <f>F4Ax!H87+F4Bx!H87</f>
        <v>229.495392</v>
      </c>
      <c r="I87" s="147">
        <f>F4Ax!I87+F4Bx!I87</f>
        <v>218.639599</v>
      </c>
      <c r="J87" s="147">
        <f>F4Ax!J87+F4Bx!J87</f>
        <v>213.824873</v>
      </c>
      <c r="K87" s="147">
        <f>F4Ax!K87+F4Bx!K87</f>
        <v>209.363924</v>
      </c>
      <c r="L87" s="147">
        <f>F4Ax!L87+F4Bx!L87</f>
        <v>206.508438</v>
      </c>
      <c r="M87" s="147">
        <f>F4Ax!M87+F4Bx!M87</f>
        <v>194.340244</v>
      </c>
      <c r="N87" s="147">
        <f>F4Ax!N87+F4Bx!N87</f>
        <v>196.372163</v>
      </c>
      <c r="O87" s="147">
        <f>F4Ax!O87+F4Bx!O87</f>
        <v>205.114459</v>
      </c>
      <c r="P87" s="147">
        <f>F4Ax!P87+F4Bx!P87</f>
        <v>125.227008</v>
      </c>
      <c r="Q87" s="316">
        <f t="shared" si="0"/>
        <v>2582.086421</v>
      </c>
    </row>
    <row r="88" ht="15" spans="3:17">
      <c r="C88" s="55" t="s">
        <v>175</v>
      </c>
      <c r="D88" s="55" t="s">
        <v>176</v>
      </c>
      <c r="E88" s="147">
        <f>F4Ax!E88+F4Bx!E88</f>
        <v>76.251569</v>
      </c>
      <c r="F88" s="147">
        <f>F4Ax!F88+F4Bx!F88</f>
        <v>79.648053</v>
      </c>
      <c r="G88" s="147">
        <f>F4Ax!G88+F4Bx!G88</f>
        <v>71.291729</v>
      </c>
      <c r="H88" s="147">
        <f>F4Ax!H88+F4Bx!H88</f>
        <v>75.360349</v>
      </c>
      <c r="I88" s="147">
        <f>F4Ax!I88+F4Bx!I88</f>
        <v>68.289691</v>
      </c>
      <c r="J88" s="147">
        <f>F4Ax!J88+F4Bx!J88</f>
        <v>65.419105</v>
      </c>
      <c r="K88" s="147">
        <f>F4Ax!K88+F4Bx!K88</f>
        <v>63.78829</v>
      </c>
      <c r="L88" s="147">
        <f>F4Ax!L88+F4Bx!L88</f>
        <v>74.435213</v>
      </c>
      <c r="M88" s="147">
        <f>F4Ax!M88+F4Bx!M88</f>
        <v>81.513021</v>
      </c>
      <c r="N88" s="147">
        <f>F4Ax!N88+F4Bx!N88</f>
        <v>76.33141</v>
      </c>
      <c r="O88" s="147">
        <f>F4Ax!O88+F4Bx!O88</f>
        <v>74.669941</v>
      </c>
      <c r="P88" s="147">
        <f>F4Ax!P88+F4Bx!P88</f>
        <v>39.821633</v>
      </c>
      <c r="Q88" s="316">
        <f t="shared" si="0"/>
        <v>846.820004</v>
      </c>
    </row>
    <row r="89" ht="15" spans="3:17">
      <c r="C89" s="55" t="s">
        <v>177</v>
      </c>
      <c r="D89" s="55" t="s">
        <v>178</v>
      </c>
      <c r="E89" s="147">
        <f>F4Ax!E89+F4Bx!E89</f>
        <v>0.850626</v>
      </c>
      <c r="F89" s="147">
        <f>F4Ax!F89+F4Bx!F89</f>
        <v>0.84115</v>
      </c>
      <c r="G89" s="147">
        <f>F4Ax!G89+F4Bx!G89</f>
        <v>0.808885</v>
      </c>
      <c r="H89" s="147">
        <f>F4Ax!H89+F4Bx!H89</f>
        <v>0.811432</v>
      </c>
      <c r="I89" s="147">
        <f>F4Ax!I89+F4Bx!I89</f>
        <v>0.772806</v>
      </c>
      <c r="J89" s="147">
        <f>F4Ax!J89+F4Bx!J89</f>
        <v>0.781606</v>
      </c>
      <c r="K89" s="147">
        <f>F4Ax!K89+F4Bx!K89</f>
        <v>0.766743</v>
      </c>
      <c r="L89" s="147">
        <f>F4Ax!L89+F4Bx!L89</f>
        <v>0.78723</v>
      </c>
      <c r="M89" s="147">
        <f>F4Ax!M89+F4Bx!M89</f>
        <v>0.822177</v>
      </c>
      <c r="N89" s="147">
        <f>F4Ax!N89+F4Bx!N89</f>
        <v>0.653015</v>
      </c>
      <c r="O89" s="147">
        <f>F4Ax!O89+F4Bx!O89</f>
        <v>0.764459</v>
      </c>
      <c r="P89" s="147">
        <f>F4Ax!P89+F4Bx!P89</f>
        <v>0.417</v>
      </c>
      <c r="Q89" s="316">
        <f t="shared" si="0"/>
        <v>9.077129</v>
      </c>
    </row>
    <row r="90" ht="15" spans="3:17">
      <c r="C90" s="55" t="s">
        <v>179</v>
      </c>
      <c r="D90" s="55" t="s">
        <v>180</v>
      </c>
      <c r="E90" s="147">
        <f>F4Ax!E90+F4Bx!E90</f>
        <v>803.002796767668</v>
      </c>
      <c r="F90" s="147">
        <f>F4Ax!F90+F4Bx!F90</f>
        <v>649.039038739027</v>
      </c>
      <c r="G90" s="147">
        <f>F4Ax!G90+F4Bx!G90</f>
        <v>573.288955114617</v>
      </c>
      <c r="H90" s="147">
        <f>F4Ax!H90+F4Bx!H90</f>
        <v>776.234785796966</v>
      </c>
      <c r="I90" s="147">
        <f>F4Ax!I90+F4Bx!I90</f>
        <v>1063.16006873165</v>
      </c>
      <c r="J90" s="147">
        <f>F4Ax!J90+F4Bx!J90</f>
        <v>817.897245027652</v>
      </c>
      <c r="K90" s="147">
        <f>F4Ax!K90+F4Bx!K90</f>
        <v>677.755441547175</v>
      </c>
      <c r="L90" s="147">
        <f>F4Ax!L90+F4Bx!L90</f>
        <v>638.62</v>
      </c>
      <c r="M90" s="147">
        <f>F4Ax!M90+F4Bx!M90</f>
        <v>1027.11</v>
      </c>
      <c r="N90" s="147">
        <f>F4Ax!N90+F4Bx!N90</f>
        <v>1221.02768290285</v>
      </c>
      <c r="O90" s="147">
        <f>F4Ax!O90+F4Bx!O90</f>
        <v>1210.79</v>
      </c>
      <c r="P90" s="147">
        <f>F4Ax!P90+F4Bx!P90</f>
        <v>1360.46673844303</v>
      </c>
      <c r="Q90" s="316">
        <f t="shared" si="0"/>
        <v>10818.3927530706</v>
      </c>
    </row>
    <row r="91" ht="15" spans="3:17">
      <c r="C91" s="55" t="s">
        <v>181</v>
      </c>
      <c r="D91" s="55" t="s">
        <v>182</v>
      </c>
      <c r="E91" s="147">
        <f>F4Ax!E91+F4Bx!E91</f>
        <v>39.596774</v>
      </c>
      <c r="F91" s="147">
        <f>F4Ax!F91+F4Bx!F91</f>
        <v>40.309135</v>
      </c>
      <c r="G91" s="147">
        <f>F4Ax!G91+F4Bx!G91</f>
        <v>38.952576</v>
      </c>
      <c r="H91" s="147">
        <f>F4Ax!H91+F4Bx!H91</f>
        <v>39.0937444</v>
      </c>
      <c r="I91" s="147">
        <f>F4Ax!I91+F4Bx!I91</f>
        <v>40.184036</v>
      </c>
      <c r="J91" s="147">
        <f>F4Ax!J91+F4Bx!J91</f>
        <v>39.51</v>
      </c>
      <c r="K91" s="147">
        <f>F4Ax!K91+F4Bx!K91</f>
        <v>42.541449</v>
      </c>
      <c r="L91" s="147">
        <f>F4Ax!L91+F4Bx!L91</f>
        <v>41.050427</v>
      </c>
      <c r="M91" s="147">
        <f>F4Ax!M91+F4Bx!M91</f>
        <v>41.551359</v>
      </c>
      <c r="N91" s="147">
        <f>F4Ax!N91+F4Bx!N91</f>
        <v>43.003093</v>
      </c>
      <c r="O91" s="147">
        <f>F4Ax!O91+F4Bx!O91</f>
        <v>41.037552</v>
      </c>
      <c r="P91" s="147">
        <f>F4Ax!P91+F4Bx!P91</f>
        <v>37.20007</v>
      </c>
      <c r="Q91" s="316">
        <f t="shared" si="0"/>
        <v>484.0302154</v>
      </c>
    </row>
    <row r="92" ht="15" spans="3:17">
      <c r="C92" s="55" t="s">
        <v>183</v>
      </c>
      <c r="D92" s="55" t="s">
        <v>184</v>
      </c>
      <c r="E92" s="147">
        <f>F4Ax!E92+F4Bx!E92</f>
        <v>6.699668</v>
      </c>
      <c r="F92" s="147">
        <f>F4Ax!F92+F4Bx!F92</f>
        <v>7.455792</v>
      </c>
      <c r="G92" s="147">
        <f>F4Ax!G92+F4Bx!G92</f>
        <v>6.460264</v>
      </c>
      <c r="H92" s="147">
        <f>F4Ax!H92+F4Bx!H92</f>
        <v>7.08003</v>
      </c>
      <c r="I92" s="147">
        <f>F4Ax!I92+F4Bx!I92</f>
        <v>6.986888</v>
      </c>
      <c r="J92" s="147">
        <f>F4Ax!J92+F4Bx!J92</f>
        <v>6.41</v>
      </c>
      <c r="K92" s="147">
        <f>F4Ax!K92+F4Bx!K92</f>
        <v>5.88161</v>
      </c>
      <c r="L92" s="147">
        <f>F4Ax!L92+F4Bx!L92</f>
        <v>6.689935</v>
      </c>
      <c r="M92" s="147">
        <f>F4Ax!M92+F4Bx!M92</f>
        <v>6.17857472</v>
      </c>
      <c r="N92" s="147">
        <f>F4Ax!N92+F4Bx!N92</f>
        <v>5.9845786</v>
      </c>
      <c r="O92" s="147">
        <f>F4Ax!O92+F4Bx!O92</f>
        <v>6.680032</v>
      </c>
      <c r="P92" s="147">
        <f>F4Ax!P92+F4Bx!P92</f>
        <v>4.02</v>
      </c>
      <c r="Q92" s="316">
        <f t="shared" si="0"/>
        <v>76.52737232</v>
      </c>
    </row>
    <row r="93" ht="15" spans="3:17">
      <c r="C93" s="55" t="s">
        <v>185</v>
      </c>
      <c r="D93" s="55" t="s">
        <v>186</v>
      </c>
      <c r="E93" s="147">
        <f>F4Ax!E93+F4Bx!E93</f>
        <v>3.306331</v>
      </c>
      <c r="F93" s="147">
        <f>F4Ax!F93+F4Bx!F93</f>
        <v>3.702237</v>
      </c>
      <c r="G93" s="147">
        <f>F4Ax!G93+F4Bx!G93</f>
        <v>3.389874</v>
      </c>
      <c r="H93" s="147">
        <f>F4Ax!H93+F4Bx!H93</f>
        <v>3.622246</v>
      </c>
      <c r="I93" s="147">
        <f>F4Ax!I93+F4Bx!I93</f>
        <v>3.36</v>
      </c>
      <c r="J93" s="147">
        <f>F4Ax!J93+F4Bx!J93</f>
        <v>3.57</v>
      </c>
      <c r="K93" s="147">
        <f>F4Ax!K93+F4Bx!K93</f>
        <v>3.481424</v>
      </c>
      <c r="L93" s="147">
        <f>F4Ax!L93+F4Bx!L93</f>
        <v>3.64040799</v>
      </c>
      <c r="M93" s="147">
        <f>F4Ax!M93+F4Bx!M93</f>
        <v>3.87637443</v>
      </c>
      <c r="N93" s="147">
        <f>F4Ax!N93+F4Bx!N93</f>
        <v>4.161525</v>
      </c>
      <c r="O93" s="147">
        <f>F4Ax!O93+F4Bx!O93</f>
        <v>4.474799</v>
      </c>
      <c r="P93" s="147">
        <f>F4Ax!P93+F4Bx!P93</f>
        <v>2.28412</v>
      </c>
      <c r="Q93" s="316">
        <f t="shared" si="0"/>
        <v>42.86933842</v>
      </c>
    </row>
    <row r="94" ht="15" spans="3:17">
      <c r="C94" s="55" t="s">
        <v>187</v>
      </c>
      <c r="D94" s="55" t="s">
        <v>188</v>
      </c>
      <c r="E94" s="147">
        <f>F4Ax!E94+F4Bx!E94</f>
        <v>0</v>
      </c>
      <c r="F94" s="147">
        <f>F4Ax!F94+F4Bx!F94</f>
        <v>0</v>
      </c>
      <c r="G94" s="147">
        <f>F4Ax!G94+F4Bx!G94</f>
        <v>0</v>
      </c>
      <c r="H94" s="147">
        <f>F4Ax!H94+F4Bx!H94</f>
        <v>0</v>
      </c>
      <c r="I94" s="147">
        <f>F4Ax!I94+F4Bx!I94</f>
        <v>0</v>
      </c>
      <c r="J94" s="147">
        <f>F4Ax!J94+F4Bx!J94</f>
        <v>0</v>
      </c>
      <c r="K94" s="147">
        <f>F4Ax!K94+F4Bx!K94</f>
        <v>0</v>
      </c>
      <c r="L94" s="147">
        <f>F4Ax!L94+F4Bx!L94</f>
        <v>0</v>
      </c>
      <c r="M94" s="147">
        <f>F4Ax!M94+F4Bx!M94</f>
        <v>2.5e-5</v>
      </c>
      <c r="N94" s="147">
        <f>F4Ax!N94+F4Bx!N94</f>
        <v>8.3e-5</v>
      </c>
      <c r="O94" s="147">
        <f>F4Ax!O94+F4Bx!O94</f>
        <v>0</v>
      </c>
      <c r="P94" s="147">
        <f>F4Ax!P94+F4Bx!P94</f>
        <v>0</v>
      </c>
      <c r="Q94" s="316">
        <f t="shared" si="0"/>
        <v>0.000108</v>
      </c>
    </row>
    <row r="95" ht="15" spans="3:17">
      <c r="C95" s="55"/>
      <c r="D95" s="55"/>
      <c r="E95" s="147">
        <f>F4Ax!E95+F4Bx!E95</f>
        <v>0</v>
      </c>
      <c r="F95" s="147">
        <f>F4Ax!F95+F4Bx!F95</f>
        <v>0</v>
      </c>
      <c r="G95" s="147">
        <f>F4Ax!G95+F4Bx!G95</f>
        <v>0</v>
      </c>
      <c r="H95" s="147">
        <f>F4Ax!H95+F4Bx!H95</f>
        <v>0</v>
      </c>
      <c r="I95" s="147">
        <f>F4Ax!I95+F4Bx!I95</f>
        <v>0</v>
      </c>
      <c r="J95" s="147">
        <f>F4Ax!J95+F4Bx!J95</f>
        <v>0</v>
      </c>
      <c r="K95" s="147">
        <f>F4Ax!K95+F4Bx!K95</f>
        <v>0</v>
      </c>
      <c r="L95" s="147">
        <f>F4Ax!L95+F4Bx!L95</f>
        <v>0</v>
      </c>
      <c r="M95" s="147">
        <f>F4Ax!M95+F4Bx!M95</f>
        <v>0</v>
      </c>
      <c r="N95" s="147">
        <f>F4Ax!N95+F4Bx!N95</f>
        <v>0</v>
      </c>
      <c r="O95" s="147">
        <f>F4Ax!O95+F4Bx!O95</f>
        <v>0</v>
      </c>
      <c r="P95" s="147">
        <f>F4Ax!P95+F4Bx!P95</f>
        <v>0</v>
      </c>
      <c r="Q95" s="316">
        <f t="shared" si="0"/>
        <v>0</v>
      </c>
    </row>
    <row r="96" ht="15" spans="3:17">
      <c r="C96" s="55"/>
      <c r="D96" s="55"/>
      <c r="E96" s="147">
        <f>F4Ax!E96+F4Bx!E96</f>
        <v>0</v>
      </c>
      <c r="F96" s="147">
        <f>F4Ax!F96+F4Bx!F96</f>
        <v>0</v>
      </c>
      <c r="G96" s="147">
        <f>F4Ax!G96+F4Bx!G96</f>
        <v>0</v>
      </c>
      <c r="H96" s="147">
        <f>F4Ax!H96+F4Bx!H96</f>
        <v>0</v>
      </c>
      <c r="I96" s="147">
        <f>F4Ax!I96+F4Bx!I96</f>
        <v>0</v>
      </c>
      <c r="J96" s="147">
        <f>F4Ax!J96+F4Bx!J96</f>
        <v>0</v>
      </c>
      <c r="K96" s="147">
        <f>F4Ax!K96+F4Bx!K96</f>
        <v>0</v>
      </c>
      <c r="L96" s="147">
        <f>F4Ax!L96+F4Bx!L96</f>
        <v>0</v>
      </c>
      <c r="M96" s="147">
        <f>F4Ax!M96+F4Bx!M96</f>
        <v>0</v>
      </c>
      <c r="N96" s="147">
        <f>F4Ax!N96+F4Bx!N96</f>
        <v>0</v>
      </c>
      <c r="O96" s="147">
        <f>F4Ax!O96+F4Bx!O96</f>
        <v>0</v>
      </c>
      <c r="P96" s="147">
        <f>F4Ax!P96+F4Bx!P96</f>
        <v>0</v>
      </c>
      <c r="Q96" s="316">
        <f t="shared" si="0"/>
        <v>0</v>
      </c>
    </row>
    <row r="97" ht="15" spans="3:17">
      <c r="C97" s="55"/>
      <c r="D97" s="55"/>
      <c r="E97" s="147">
        <f>F4Ax!E97+F4Bx!E97</f>
        <v>0</v>
      </c>
      <c r="F97" s="147">
        <f>F4Ax!F97+F4Bx!F97</f>
        <v>0</v>
      </c>
      <c r="G97" s="147">
        <f>F4Ax!G97+F4Bx!G97</f>
        <v>0</v>
      </c>
      <c r="H97" s="147">
        <f>F4Ax!H97+F4Bx!H97</f>
        <v>0</v>
      </c>
      <c r="I97" s="147">
        <f>F4Ax!I97+F4Bx!I97</f>
        <v>0</v>
      </c>
      <c r="J97" s="147">
        <f>F4Ax!J97+F4Bx!J97</f>
        <v>0</v>
      </c>
      <c r="K97" s="147">
        <f>F4Ax!K97+F4Bx!K97</f>
        <v>0</v>
      </c>
      <c r="L97" s="147">
        <f>F4Ax!L97+F4Bx!L97</f>
        <v>0</v>
      </c>
      <c r="M97" s="147">
        <f>F4Ax!M97+F4Bx!M97</f>
        <v>0</v>
      </c>
      <c r="N97" s="147">
        <f>F4Ax!N97+F4Bx!N97</f>
        <v>0</v>
      </c>
      <c r="O97" s="147">
        <f>F4Ax!O97+F4Bx!O97</f>
        <v>0</v>
      </c>
      <c r="P97" s="147">
        <f>F4Ax!P97+F4Bx!P97</f>
        <v>0</v>
      </c>
      <c r="Q97" s="316">
        <f t="shared" si="0"/>
        <v>0</v>
      </c>
    </row>
    <row r="98" ht="15" spans="3:17">
      <c r="C98" s="55" t="s">
        <v>258</v>
      </c>
      <c r="D98" s="55" t="s">
        <v>258</v>
      </c>
      <c r="E98" s="147">
        <f>F4Ax!E98+F4Bx!E98</f>
        <v>0</v>
      </c>
      <c r="F98" s="147">
        <f>F4Ax!F98+F4Bx!F98</f>
        <v>0</v>
      </c>
      <c r="G98" s="147">
        <f>F4Ax!G98+F4Bx!G98</f>
        <v>0</v>
      </c>
      <c r="H98" s="147">
        <f>F4Ax!H98+F4Bx!H98</f>
        <v>0</v>
      </c>
      <c r="I98" s="147">
        <f>F4Ax!I98+F4Bx!I98</f>
        <v>0</v>
      </c>
      <c r="J98" s="147">
        <f>F4Ax!J98+F4Bx!J98</f>
        <v>0</v>
      </c>
      <c r="K98" s="147">
        <f>F4Ax!K98+F4Bx!K98</f>
        <v>0</v>
      </c>
      <c r="L98" s="147">
        <f>F4Ax!L98+F4Bx!L98</f>
        <v>0</v>
      </c>
      <c r="M98" s="147">
        <f>F4Ax!M98+F4Bx!M98</f>
        <v>0</v>
      </c>
      <c r="N98" s="147">
        <f>F4Ax!N98+F4Bx!N98</f>
        <v>0</v>
      </c>
      <c r="O98" s="147">
        <f>F4Ax!O98+F4Bx!O98</f>
        <v>0</v>
      </c>
      <c r="P98" s="147">
        <f>F4Ax!P98+F4Bx!P98</f>
        <v>0</v>
      </c>
      <c r="Q98" s="316">
        <f t="shared" si="0"/>
        <v>0</v>
      </c>
    </row>
    <row r="99" ht="15" spans="3:17">
      <c r="C99" s="537" t="s">
        <v>189</v>
      </c>
      <c r="D99" s="540"/>
      <c r="E99" s="316">
        <f t="shared" ref="E99:P99" si="1">SUM(E86:E98)</f>
        <v>2071.15534976767</v>
      </c>
      <c r="F99" s="316">
        <f t="shared" si="1"/>
        <v>2110.23668973903</v>
      </c>
      <c r="G99" s="316">
        <f t="shared" si="1"/>
        <v>1727.96669411462</v>
      </c>
      <c r="H99" s="316">
        <f t="shared" si="1"/>
        <v>1841.21426919697</v>
      </c>
      <c r="I99" s="316">
        <f t="shared" si="1"/>
        <v>2113.41472673165</v>
      </c>
      <c r="J99" s="316">
        <f t="shared" si="1"/>
        <v>1830.45404002765</v>
      </c>
      <c r="K99" s="316">
        <f t="shared" si="1"/>
        <v>1674.25274554718</v>
      </c>
      <c r="L99" s="316">
        <f t="shared" si="1"/>
        <v>1594.75544299</v>
      </c>
      <c r="M99" s="316">
        <f t="shared" si="1"/>
        <v>1943.17801115</v>
      </c>
      <c r="N99" s="316">
        <f t="shared" si="1"/>
        <v>2151.63195050285</v>
      </c>
      <c r="O99" s="316">
        <f t="shared" si="1"/>
        <v>2163.808083</v>
      </c>
      <c r="P99" s="316">
        <f t="shared" si="1"/>
        <v>2347.38297244303</v>
      </c>
      <c r="Q99" s="316">
        <f t="shared" si="0"/>
        <v>23569.4509752106</v>
      </c>
    </row>
    <row r="100" ht="15" spans="3:17">
      <c r="C100" s="44" t="s">
        <v>190</v>
      </c>
      <c r="D100" s="45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316">
        <f t="shared" si="0"/>
        <v>0</v>
      </c>
    </row>
    <row r="101" ht="15" spans="3:17">
      <c r="C101" s="55" t="s">
        <v>191</v>
      </c>
      <c r="D101" s="55" t="s">
        <v>192</v>
      </c>
      <c r="E101" s="147">
        <f>F4Ax!E101+F4Bx!E101</f>
        <v>306.4062041324</v>
      </c>
      <c r="F101" s="147">
        <f>F4Ax!F101+F4Bx!F101</f>
        <v>303.426912033253</v>
      </c>
      <c r="G101" s="147">
        <f>F4Ax!G101+F4Bx!G101</f>
        <v>313.617830779067</v>
      </c>
      <c r="H101" s="147">
        <f>F4Ax!H101+F4Bx!H101</f>
        <v>302.286195540025</v>
      </c>
      <c r="I101" s="147">
        <f>F4Ax!I101+F4Bx!I101</f>
        <v>300.537060824971</v>
      </c>
      <c r="J101" s="147">
        <f>F4Ax!J101+F4Bx!J101</f>
        <v>298.376113303519</v>
      </c>
      <c r="K101" s="147">
        <f>F4Ax!K101+F4Bx!K101</f>
        <v>270.034982081941</v>
      </c>
      <c r="L101" s="147">
        <f>F4Ax!L101+F4Bx!L101</f>
        <v>302.381370717692</v>
      </c>
      <c r="M101" s="147">
        <f>F4Ax!M101+F4Bx!M101</f>
        <v>311.846913116749</v>
      </c>
      <c r="N101" s="147">
        <f>F4Ax!N101+F4Bx!N101</f>
        <v>316.216871389554</v>
      </c>
      <c r="O101" s="147">
        <f>F4Ax!O101+F4Bx!O101</f>
        <v>328.230280838616</v>
      </c>
      <c r="P101" s="147">
        <f>F4Ax!P101+F4Bx!P101</f>
        <v>307.763601589577</v>
      </c>
      <c r="Q101" s="316">
        <f t="shared" si="0"/>
        <v>3661.12433634736</v>
      </c>
    </row>
    <row r="102" ht="15" spans="3:17">
      <c r="C102" s="55" t="s">
        <v>193</v>
      </c>
      <c r="D102" s="55" t="s">
        <v>194</v>
      </c>
      <c r="E102" s="147">
        <f>F4Ax!E102+F4Bx!E102</f>
        <v>0</v>
      </c>
      <c r="F102" s="147">
        <f>F4Ax!F102+F4Bx!F102</f>
        <v>0</v>
      </c>
      <c r="G102" s="147">
        <f>F4Ax!G102+F4Bx!G102</f>
        <v>0</v>
      </c>
      <c r="H102" s="147">
        <f>F4Ax!H102+F4Bx!H102</f>
        <v>0</v>
      </c>
      <c r="I102" s="147">
        <f>F4Ax!I102+F4Bx!I102</f>
        <v>0</v>
      </c>
      <c r="J102" s="147">
        <f>F4Ax!J102+F4Bx!J102</f>
        <v>0</v>
      </c>
      <c r="K102" s="147">
        <f>F4Ax!K102+F4Bx!K102</f>
        <v>0</v>
      </c>
      <c r="L102" s="147">
        <f>F4Ax!L102+F4Bx!L102</f>
        <v>0</v>
      </c>
      <c r="M102" s="147">
        <f>F4Ax!M102+F4Bx!M102</f>
        <v>0</v>
      </c>
      <c r="N102" s="147">
        <f>F4Ax!N102+F4Bx!N102</f>
        <v>0</v>
      </c>
      <c r="O102" s="147">
        <f>F4Ax!O102+F4Bx!O102</f>
        <v>0</v>
      </c>
      <c r="P102" s="147">
        <f>F4Ax!P102+F4Bx!P102</f>
        <v>0</v>
      </c>
      <c r="Q102" s="316">
        <f t="shared" si="0"/>
        <v>0</v>
      </c>
    </row>
    <row r="103" ht="15" spans="3:17">
      <c r="C103" s="55" t="s">
        <v>239</v>
      </c>
      <c r="D103" s="55" t="s">
        <v>196</v>
      </c>
      <c r="E103" s="147">
        <f>F4Ax!E103+F4Bx!E103</f>
        <v>153.17</v>
      </c>
      <c r="F103" s="147">
        <f>F4Ax!F103+F4Bx!F103</f>
        <v>160.67</v>
      </c>
      <c r="G103" s="147">
        <f>F4Ax!G103+F4Bx!G103</f>
        <v>171.93</v>
      </c>
      <c r="H103" s="147">
        <f>F4Ax!H103+F4Bx!H103</f>
        <v>143.08</v>
      </c>
      <c r="I103" s="147">
        <f>F4Ax!I103+F4Bx!I103</f>
        <v>138.64</v>
      </c>
      <c r="J103" s="147">
        <f>F4Ax!J103+F4Bx!J103</f>
        <v>136.23</v>
      </c>
      <c r="K103" s="147">
        <f>F4Ax!K103+F4Bx!K103</f>
        <v>128.39563286</v>
      </c>
      <c r="L103" s="147">
        <f>F4Ax!L103+F4Bx!L103</f>
        <v>136.43721588</v>
      </c>
      <c r="M103" s="147">
        <f>F4Ax!M103+F4Bx!M103</f>
        <v>122.81</v>
      </c>
      <c r="N103" s="147">
        <f>F4Ax!N103+F4Bx!N103</f>
        <v>117.4</v>
      </c>
      <c r="O103" s="147">
        <f>F4Ax!O103+F4Bx!O103</f>
        <v>128.05227648</v>
      </c>
      <c r="P103" s="147">
        <f>F4Ax!P103+F4Bx!P103</f>
        <v>127.30796073</v>
      </c>
      <c r="Q103" s="316">
        <f t="shared" si="0"/>
        <v>1664.12308595</v>
      </c>
    </row>
    <row r="104" ht="15" spans="3:17">
      <c r="C104" s="55" t="s">
        <v>197</v>
      </c>
      <c r="D104" s="55" t="s">
        <v>198</v>
      </c>
      <c r="E104" s="147">
        <f>F4Ax!E104+F4Bx!E104</f>
        <v>0</v>
      </c>
      <c r="F104" s="147">
        <f>F4Ax!F104+F4Bx!F104</f>
        <v>0</v>
      </c>
      <c r="G104" s="147">
        <f>F4Ax!G104+F4Bx!G104</f>
        <v>0</v>
      </c>
      <c r="H104" s="147">
        <f>F4Ax!H104+F4Bx!H104</f>
        <v>0</v>
      </c>
      <c r="I104" s="147">
        <f>F4Ax!I104+F4Bx!I104</f>
        <v>0</v>
      </c>
      <c r="J104" s="147">
        <f>F4Ax!J104+F4Bx!J104</f>
        <v>0</v>
      </c>
      <c r="K104" s="147">
        <f>F4Ax!K104+F4Bx!K104</f>
        <v>0</v>
      </c>
      <c r="L104" s="147">
        <f>F4Ax!L104+F4Bx!L104</f>
        <v>0</v>
      </c>
      <c r="M104" s="147">
        <f>F4Ax!M104+F4Bx!M104</f>
        <v>0</v>
      </c>
      <c r="N104" s="147">
        <f>F4Ax!N104+F4Bx!N104</f>
        <v>0</v>
      </c>
      <c r="O104" s="147">
        <f>F4Ax!O104+F4Bx!O104</f>
        <v>0</v>
      </c>
      <c r="P104" s="147">
        <f>F4Ax!P104+F4Bx!P104</f>
        <v>0</v>
      </c>
      <c r="Q104" s="316">
        <f t="shared" si="0"/>
        <v>0</v>
      </c>
    </row>
    <row r="105" ht="15" spans="3:17">
      <c r="C105" s="55" t="s">
        <v>199</v>
      </c>
      <c r="D105" s="55" t="s">
        <v>200</v>
      </c>
      <c r="E105" s="147">
        <f>F4Ax!E105+F4Bx!E105</f>
        <v>0.41</v>
      </c>
      <c r="F105" s="147">
        <f>F4Ax!F105+F4Bx!F105</f>
        <v>0.45</v>
      </c>
      <c r="G105" s="147">
        <f>F4Ax!G105+F4Bx!G105</f>
        <v>0.47</v>
      </c>
      <c r="H105" s="147">
        <f>F4Ax!H105+F4Bx!H105</f>
        <v>0.39</v>
      </c>
      <c r="I105" s="147">
        <f>F4Ax!I105+F4Bx!I105</f>
        <v>0.36</v>
      </c>
      <c r="J105" s="147">
        <f>F4Ax!J105+F4Bx!J105</f>
        <v>0.36</v>
      </c>
      <c r="K105" s="147">
        <f>F4Ax!K105+F4Bx!K105</f>
        <v>0.332443</v>
      </c>
      <c r="L105" s="147">
        <f>F4Ax!L105+F4Bx!L105</f>
        <v>0.332566</v>
      </c>
      <c r="M105" s="147">
        <f>F4Ax!M105+F4Bx!M105</f>
        <v>0.302489</v>
      </c>
      <c r="N105" s="147">
        <f>F4Ax!N105+F4Bx!N105</f>
        <v>0.304442</v>
      </c>
      <c r="O105" s="147">
        <f>F4Ax!O105+F4Bx!O105</f>
        <v>0.317742</v>
      </c>
      <c r="P105" s="147">
        <f>F4Ax!P105+F4Bx!P105</f>
        <v>0.305947</v>
      </c>
      <c r="Q105" s="316">
        <f t="shared" si="0"/>
        <v>4.335629</v>
      </c>
    </row>
    <row r="106" ht="15" spans="3:17">
      <c r="C106" s="55" t="s">
        <v>201</v>
      </c>
      <c r="D106" s="55" t="s">
        <v>202</v>
      </c>
      <c r="E106" s="147">
        <f>F4Ax!E106+F4Bx!E106</f>
        <v>3.71</v>
      </c>
      <c r="F106" s="147">
        <f>F4Ax!F106+F4Bx!F106</f>
        <v>0.84</v>
      </c>
      <c r="G106" s="147">
        <f>F4Ax!G106+F4Bx!G106</f>
        <v>0.76</v>
      </c>
      <c r="H106" s="147">
        <f>F4Ax!H106+F4Bx!H106</f>
        <v>0.74</v>
      </c>
      <c r="I106" s="147">
        <f>F4Ax!I106+F4Bx!I106</f>
        <v>1.63</v>
      </c>
      <c r="J106" s="147">
        <f>F4Ax!J106+F4Bx!J106</f>
        <v>5.26</v>
      </c>
      <c r="K106" s="147">
        <f>F4Ax!K106+F4Bx!K106</f>
        <v>4.03</v>
      </c>
      <c r="L106" s="147">
        <f>F4Ax!L106+F4Bx!L106</f>
        <v>4.24</v>
      </c>
      <c r="M106" s="147">
        <f>F4Ax!M106+F4Bx!M106</f>
        <v>2.29</v>
      </c>
      <c r="N106" s="147">
        <f>F4Ax!N106+F4Bx!N106</f>
        <v>5.98</v>
      </c>
      <c r="O106" s="147">
        <f>F4Ax!O106+F4Bx!O106</f>
        <v>5.99</v>
      </c>
      <c r="P106" s="147">
        <f>F4Ax!P106+F4Bx!P106</f>
        <v>6.42</v>
      </c>
      <c r="Q106" s="316">
        <f t="shared" si="0"/>
        <v>41.89</v>
      </c>
    </row>
    <row r="107" ht="15" spans="3:17">
      <c r="C107" s="55" t="s">
        <v>203</v>
      </c>
      <c r="D107" s="55" t="s">
        <v>204</v>
      </c>
      <c r="E107" s="147">
        <f>F4Ax!E107+F4Bx!E107</f>
        <v>8.63</v>
      </c>
      <c r="F107" s="147">
        <f>F4Ax!F107+F4Bx!F107</f>
        <v>7.57</v>
      </c>
      <c r="G107" s="147">
        <f>F4Ax!G107+F4Bx!G107</f>
        <v>7.77</v>
      </c>
      <c r="H107" s="147">
        <f>F4Ax!H107+F4Bx!H107</f>
        <v>8.25</v>
      </c>
      <c r="I107" s="147">
        <f>F4Ax!I107+F4Bx!I107</f>
        <v>7.21</v>
      </c>
      <c r="J107" s="147">
        <f>F4Ax!J107+F4Bx!J107</f>
        <v>7.25</v>
      </c>
      <c r="K107" s="147">
        <f>F4Ax!K107+F4Bx!K107</f>
        <v>7.04</v>
      </c>
      <c r="L107" s="147">
        <f>F4Ax!L107+F4Bx!L107</f>
        <v>8.16</v>
      </c>
      <c r="M107" s="147">
        <f>F4Ax!M107+F4Bx!M107</f>
        <v>8.35</v>
      </c>
      <c r="N107" s="147">
        <f>F4Ax!N107+F4Bx!N107</f>
        <v>8.5</v>
      </c>
      <c r="O107" s="147">
        <f>F4Ax!O107+F4Bx!O107</f>
        <v>8.5</v>
      </c>
      <c r="P107" s="147">
        <f>F4Ax!P107+F4Bx!P107</f>
        <v>8.25</v>
      </c>
      <c r="Q107" s="316">
        <f t="shared" si="0"/>
        <v>95.48</v>
      </c>
    </row>
    <row r="108" ht="15" spans="3:17">
      <c r="C108" s="55" t="s">
        <v>205</v>
      </c>
      <c r="D108" s="55" t="s">
        <v>206</v>
      </c>
      <c r="E108" s="147">
        <f>F4Ax!E108+F4Bx!E108</f>
        <v>11.59</v>
      </c>
      <c r="F108" s="147">
        <f>F4Ax!F108+F4Bx!F108</f>
        <v>12.5</v>
      </c>
      <c r="G108" s="147">
        <f>F4Ax!G108+F4Bx!G108</f>
        <v>13.82</v>
      </c>
      <c r="H108" s="147">
        <f>F4Ax!H108+F4Bx!H108</f>
        <v>9.76</v>
      </c>
      <c r="I108" s="147">
        <f>F4Ax!I108+F4Bx!I108</f>
        <v>9.09</v>
      </c>
      <c r="J108" s="147">
        <f>F4Ax!J108+F4Bx!J108</f>
        <v>8.85</v>
      </c>
      <c r="K108" s="147">
        <f>F4Ax!K108+F4Bx!K108</f>
        <v>8.74</v>
      </c>
      <c r="L108" s="147">
        <f>F4Ax!L108+F4Bx!L108</f>
        <v>9.1</v>
      </c>
      <c r="M108" s="147">
        <f>F4Ax!M108+F4Bx!M108</f>
        <v>8.32</v>
      </c>
      <c r="N108" s="147">
        <f>F4Ax!N108+F4Bx!N108</f>
        <v>8.49</v>
      </c>
      <c r="O108" s="147">
        <f>F4Ax!O108+F4Bx!O108</f>
        <v>8.76</v>
      </c>
      <c r="P108" s="147">
        <f>F4Ax!P108+F4Bx!P108</f>
        <v>9.47</v>
      </c>
      <c r="Q108" s="316">
        <f t="shared" si="0"/>
        <v>118.49</v>
      </c>
    </row>
    <row r="109" ht="15" spans="3:17">
      <c r="C109" s="55" t="s">
        <v>207</v>
      </c>
      <c r="D109" s="55" t="s">
        <v>186</v>
      </c>
      <c r="E109" s="147">
        <f>F4Ax!E109+F4Bx!E109</f>
        <v>7.52</v>
      </c>
      <c r="F109" s="147">
        <f>F4Ax!F109+F4Bx!F109</f>
        <v>7.25</v>
      </c>
      <c r="G109" s="147">
        <f>F4Ax!G109+F4Bx!G109</f>
        <v>7.44</v>
      </c>
      <c r="H109" s="147">
        <f>F4Ax!H109+F4Bx!H109</f>
        <v>7.2</v>
      </c>
      <c r="I109" s="147">
        <f>F4Ax!I109+F4Bx!I109</f>
        <v>6.97</v>
      </c>
      <c r="J109" s="147">
        <f>F4Ax!J109+F4Bx!J109</f>
        <v>8</v>
      </c>
      <c r="K109" s="147">
        <f>F4Ax!K109+F4Bx!K109</f>
        <v>7.91</v>
      </c>
      <c r="L109" s="147">
        <f>F4Ax!L109+F4Bx!L109</f>
        <v>8.53</v>
      </c>
      <c r="M109" s="147">
        <f>F4Ax!M109+F4Bx!M109</f>
        <v>7.71</v>
      </c>
      <c r="N109" s="147">
        <f>F4Ax!N109+F4Bx!N109</f>
        <v>7.85</v>
      </c>
      <c r="O109" s="147">
        <f>F4Ax!O109+F4Bx!O109</f>
        <v>8.03</v>
      </c>
      <c r="P109" s="147">
        <f>F4Ax!P109+F4Bx!P109</f>
        <v>7.42</v>
      </c>
      <c r="Q109" s="316">
        <f t="shared" si="0"/>
        <v>91.83</v>
      </c>
    </row>
    <row r="110" ht="15" spans="3:17">
      <c r="C110" s="55" t="s">
        <v>208</v>
      </c>
      <c r="D110" s="55" t="s">
        <v>209</v>
      </c>
      <c r="E110" s="147">
        <f>F4Ax!E110+F4Bx!E110</f>
        <v>0</v>
      </c>
      <c r="F110" s="147">
        <f>F4Ax!F110+F4Bx!F110</f>
        <v>0</v>
      </c>
      <c r="G110" s="147">
        <f>F4Ax!G110+F4Bx!G110</f>
        <v>0</v>
      </c>
      <c r="H110" s="147">
        <f>F4Ax!H110+F4Bx!H110</f>
        <v>0</v>
      </c>
      <c r="I110" s="147">
        <f>F4Ax!I110+F4Bx!I110</f>
        <v>0</v>
      </c>
      <c r="J110" s="147">
        <f>F4Ax!J110+F4Bx!J110</f>
        <v>0</v>
      </c>
      <c r="K110" s="147">
        <f>F4Ax!K110+F4Bx!K110</f>
        <v>0</v>
      </c>
      <c r="L110" s="147">
        <f>F4Ax!L110+F4Bx!L110</f>
        <v>0</v>
      </c>
      <c r="M110" s="147">
        <f>F4Ax!M110+F4Bx!M110</f>
        <v>0</v>
      </c>
      <c r="N110" s="147">
        <f>F4Ax!N110+F4Bx!N110</f>
        <v>0</v>
      </c>
      <c r="O110" s="147">
        <f>F4Ax!O110+F4Bx!O110</f>
        <v>0</v>
      </c>
      <c r="P110" s="147">
        <f>F4Ax!P110+F4Bx!P110</f>
        <v>0</v>
      </c>
      <c r="Q110" s="316">
        <f t="shared" si="0"/>
        <v>0</v>
      </c>
    </row>
    <row r="111" ht="15" spans="3:17">
      <c r="C111" s="55" t="s">
        <v>210</v>
      </c>
      <c r="D111" s="55" t="s">
        <v>188</v>
      </c>
      <c r="E111" s="147">
        <f>F4Ax!E111+F4Bx!E111</f>
        <v>0</v>
      </c>
      <c r="F111" s="147">
        <f>F4Ax!F111+F4Bx!F111</f>
        <v>0</v>
      </c>
      <c r="G111" s="147">
        <f>F4Ax!G111+F4Bx!G111</f>
        <v>0</v>
      </c>
      <c r="H111" s="147">
        <f>F4Ax!H111+F4Bx!H111</f>
        <v>0</v>
      </c>
      <c r="I111" s="147">
        <f>F4Ax!I111+F4Bx!I111</f>
        <v>0</v>
      </c>
      <c r="J111" s="147">
        <f>F4Ax!J111+F4Bx!J111</f>
        <v>0.19</v>
      </c>
      <c r="K111" s="147">
        <f>F4Ax!K111+F4Bx!K111</f>
        <v>0.36</v>
      </c>
      <c r="L111" s="147">
        <f>F4Ax!L111+F4Bx!L111</f>
        <v>0.33</v>
      </c>
      <c r="M111" s="147">
        <f>F4Ax!M111+F4Bx!M111</f>
        <v>0.37</v>
      </c>
      <c r="N111" s="147">
        <f>F4Ax!N111+F4Bx!N111</f>
        <v>0.39</v>
      </c>
      <c r="O111" s="147">
        <f>F4Ax!O111+F4Bx!O111</f>
        <v>0.4</v>
      </c>
      <c r="P111" s="147">
        <f>F4Ax!P111+F4Bx!P111</f>
        <v>0.39</v>
      </c>
      <c r="Q111" s="316">
        <f t="shared" si="0"/>
        <v>2.43</v>
      </c>
    </row>
    <row r="112" ht="15" spans="3:17">
      <c r="C112" s="55"/>
      <c r="D112" s="55"/>
      <c r="E112" s="147">
        <f>F4Ax!E112+F4Bx!E112</f>
        <v>0</v>
      </c>
      <c r="F112" s="147">
        <f>F4Ax!F112+F4Bx!F112</f>
        <v>0</v>
      </c>
      <c r="G112" s="147">
        <f>F4Ax!G112+F4Bx!G112</f>
        <v>0</v>
      </c>
      <c r="H112" s="147">
        <f>F4Ax!H112+F4Bx!H112</f>
        <v>0</v>
      </c>
      <c r="I112" s="147">
        <f>F4Ax!I112+F4Bx!I112</f>
        <v>0</v>
      </c>
      <c r="J112" s="147">
        <f>F4Ax!J112+F4Bx!J112</f>
        <v>0</v>
      </c>
      <c r="K112" s="147">
        <f>F4Ax!K112+F4Bx!K112</f>
        <v>0</v>
      </c>
      <c r="L112" s="147">
        <f>F4Ax!L112+F4Bx!L112</f>
        <v>0</v>
      </c>
      <c r="M112" s="147">
        <f>F4Ax!M112+F4Bx!M112</f>
        <v>0</v>
      </c>
      <c r="N112" s="147">
        <f>F4Ax!N112+F4Bx!N112</f>
        <v>0</v>
      </c>
      <c r="O112" s="147">
        <f>F4Ax!O112+F4Bx!O112</f>
        <v>0</v>
      </c>
      <c r="P112" s="147">
        <f>F4Ax!P112+F4Bx!P112</f>
        <v>0</v>
      </c>
      <c r="Q112" s="316">
        <f t="shared" si="0"/>
        <v>0</v>
      </c>
    </row>
    <row r="113" ht="15" spans="3:17">
      <c r="C113" s="55"/>
      <c r="D113" s="55"/>
      <c r="E113" s="147">
        <f>F4Ax!E113+F4Bx!E113</f>
        <v>0</v>
      </c>
      <c r="F113" s="147">
        <f>F4Ax!F113+F4Bx!F113</f>
        <v>0</v>
      </c>
      <c r="G113" s="147">
        <f>F4Ax!G113+F4Bx!G113</f>
        <v>0</v>
      </c>
      <c r="H113" s="147">
        <f>F4Ax!H113+F4Bx!H113</f>
        <v>0</v>
      </c>
      <c r="I113" s="147">
        <f>F4Ax!I113+F4Bx!I113</f>
        <v>0</v>
      </c>
      <c r="J113" s="147">
        <f>F4Ax!J113+F4Bx!J113</f>
        <v>0</v>
      </c>
      <c r="K113" s="147">
        <f>F4Ax!K113+F4Bx!K113</f>
        <v>0</v>
      </c>
      <c r="L113" s="147">
        <f>F4Ax!L113+F4Bx!L113</f>
        <v>0</v>
      </c>
      <c r="M113" s="147">
        <f>F4Ax!M113+F4Bx!M113</f>
        <v>0</v>
      </c>
      <c r="N113" s="147">
        <f>F4Ax!N113+F4Bx!N113</f>
        <v>0</v>
      </c>
      <c r="O113" s="147">
        <f>F4Ax!O113+F4Bx!O113</f>
        <v>0</v>
      </c>
      <c r="P113" s="147">
        <f>F4Ax!P113+F4Bx!P113</f>
        <v>0</v>
      </c>
      <c r="Q113" s="316">
        <f t="shared" si="0"/>
        <v>0</v>
      </c>
    </row>
    <row r="114" ht="15" spans="3:17">
      <c r="C114" s="55"/>
      <c r="D114" s="55"/>
      <c r="E114" s="147">
        <f>F4Ax!E114+F4Bx!E114</f>
        <v>0</v>
      </c>
      <c r="F114" s="147">
        <f>F4Ax!F114+F4Bx!F114</f>
        <v>0</v>
      </c>
      <c r="G114" s="147">
        <f>F4Ax!G114+F4Bx!G114</f>
        <v>0</v>
      </c>
      <c r="H114" s="147">
        <f>F4Ax!H114+F4Bx!H114</f>
        <v>0</v>
      </c>
      <c r="I114" s="147">
        <f>F4Ax!I114+F4Bx!I114</f>
        <v>0</v>
      </c>
      <c r="J114" s="147">
        <f>F4Ax!J114+F4Bx!J114</f>
        <v>0</v>
      </c>
      <c r="K114" s="147">
        <f>F4Ax!K114+F4Bx!K114</f>
        <v>0</v>
      </c>
      <c r="L114" s="147">
        <f>F4Ax!L114+F4Bx!L114</f>
        <v>0</v>
      </c>
      <c r="M114" s="147">
        <f>F4Ax!M114+F4Bx!M114</f>
        <v>0</v>
      </c>
      <c r="N114" s="147">
        <f>F4Ax!N114+F4Bx!N114</f>
        <v>0</v>
      </c>
      <c r="O114" s="147">
        <f>F4Ax!O114+F4Bx!O114</f>
        <v>0</v>
      </c>
      <c r="P114" s="147">
        <f>F4Ax!P114+F4Bx!P114</f>
        <v>0</v>
      </c>
      <c r="Q114" s="316">
        <f t="shared" si="0"/>
        <v>0</v>
      </c>
    </row>
    <row r="115" ht="15" spans="3:17">
      <c r="C115" s="55" t="s">
        <v>258</v>
      </c>
      <c r="D115" s="55" t="s">
        <v>258</v>
      </c>
      <c r="E115" s="147">
        <f>F4Ax!E115+F4Bx!E115</f>
        <v>0</v>
      </c>
      <c r="F115" s="147">
        <f>F4Ax!F115+F4Bx!F115</f>
        <v>0</v>
      </c>
      <c r="G115" s="147">
        <f>F4Ax!G115+F4Bx!G115</f>
        <v>0</v>
      </c>
      <c r="H115" s="147">
        <f>F4Ax!H115+F4Bx!H115</f>
        <v>0</v>
      </c>
      <c r="I115" s="147">
        <f>F4Ax!I115+F4Bx!I115</f>
        <v>0</v>
      </c>
      <c r="J115" s="147">
        <f>F4Ax!J115+F4Bx!J115</f>
        <v>0</v>
      </c>
      <c r="K115" s="147">
        <f>F4Ax!K115+F4Bx!K115</f>
        <v>0</v>
      </c>
      <c r="L115" s="147">
        <f>F4Ax!L115+F4Bx!L115</f>
        <v>0</v>
      </c>
      <c r="M115" s="147">
        <f>F4Ax!M115+F4Bx!M115</f>
        <v>0</v>
      </c>
      <c r="N115" s="147">
        <f>F4Ax!N115+F4Bx!N115</f>
        <v>0</v>
      </c>
      <c r="O115" s="147">
        <f>F4Ax!O115+F4Bx!O115</f>
        <v>0</v>
      </c>
      <c r="P115" s="147">
        <f>F4Ax!P115+F4Bx!P115</f>
        <v>0</v>
      </c>
      <c r="Q115" s="316">
        <f t="shared" si="0"/>
        <v>0</v>
      </c>
    </row>
    <row r="116" ht="15" spans="3:17">
      <c r="C116" s="537" t="s">
        <v>211</v>
      </c>
      <c r="D116" s="540"/>
      <c r="E116" s="316">
        <f t="shared" ref="E116:P116" si="2">SUM(E101:E115)</f>
        <v>491.4362041324</v>
      </c>
      <c r="F116" s="316">
        <f t="shared" si="2"/>
        <v>492.706912033253</v>
      </c>
      <c r="G116" s="316">
        <f t="shared" si="2"/>
        <v>515.807830779067</v>
      </c>
      <c r="H116" s="316">
        <f t="shared" si="2"/>
        <v>471.706195540025</v>
      </c>
      <c r="I116" s="316">
        <f t="shared" si="2"/>
        <v>464.437060824971</v>
      </c>
      <c r="J116" s="316">
        <f t="shared" si="2"/>
        <v>464.516113303519</v>
      </c>
      <c r="K116" s="316">
        <f t="shared" si="2"/>
        <v>426.843057941941</v>
      </c>
      <c r="L116" s="316">
        <f t="shared" si="2"/>
        <v>469.511152597692</v>
      </c>
      <c r="M116" s="316">
        <f t="shared" si="2"/>
        <v>461.999402116749</v>
      </c>
      <c r="N116" s="316">
        <f t="shared" si="2"/>
        <v>465.131313389554</v>
      </c>
      <c r="O116" s="316">
        <f t="shared" si="2"/>
        <v>488.280299318616</v>
      </c>
      <c r="P116" s="316">
        <f t="shared" si="2"/>
        <v>467.327509319577</v>
      </c>
      <c r="Q116" s="316">
        <f t="shared" si="0"/>
        <v>5679.70305129736</v>
      </c>
    </row>
    <row r="117" ht="15" spans="3:17">
      <c r="C117" s="44" t="s">
        <v>212</v>
      </c>
      <c r="D117" s="45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316">
        <f t="shared" ref="Q117:Q148" si="3">SUM(E117:P117)</f>
        <v>0</v>
      </c>
    </row>
    <row r="118" ht="15" spans="3:17">
      <c r="C118" s="55" t="s">
        <v>191</v>
      </c>
      <c r="D118" s="55" t="s">
        <v>192</v>
      </c>
      <c r="E118" s="147">
        <f>F4Ax!E118+F4Bx!E118</f>
        <v>392.07</v>
      </c>
      <c r="F118" s="147">
        <f>F4Ax!F118+F4Bx!F118</f>
        <v>360.78</v>
      </c>
      <c r="G118" s="147">
        <f>F4Ax!G118+F4Bx!G118</f>
        <v>401.21</v>
      </c>
      <c r="H118" s="147">
        <f>F4Ax!H118+F4Bx!H118</f>
        <v>381.48</v>
      </c>
      <c r="I118" s="147">
        <f>F4Ax!I118+F4Bx!I118</f>
        <v>367.95</v>
      </c>
      <c r="J118" s="147">
        <f>F4Ax!J118+F4Bx!J118</f>
        <v>359.49</v>
      </c>
      <c r="K118" s="147">
        <f>F4Ax!K118+F4Bx!K118</f>
        <v>315.49885033</v>
      </c>
      <c r="L118" s="147">
        <f>F4Ax!L118+F4Bx!L118</f>
        <v>329.63431352</v>
      </c>
      <c r="M118" s="147">
        <f>F4Ax!M118+F4Bx!M118</f>
        <v>322.74</v>
      </c>
      <c r="N118" s="147">
        <f>F4Ax!N118+F4Bx!N118</f>
        <v>327.06</v>
      </c>
      <c r="O118" s="147">
        <f>F4Ax!O118+F4Bx!O118</f>
        <v>339.78558844</v>
      </c>
      <c r="P118" s="147">
        <f>F4Ax!P118+F4Bx!P118</f>
        <v>321.22522553</v>
      </c>
      <c r="Q118" s="316">
        <f t="shared" si="3"/>
        <v>4218.92397782</v>
      </c>
    </row>
    <row r="119" ht="15" spans="3:17">
      <c r="C119" s="55" t="s">
        <v>193</v>
      </c>
      <c r="D119" s="55" t="s">
        <v>194</v>
      </c>
      <c r="E119" s="147">
        <f>F4Ax!E119+F4Bx!E119</f>
        <v>4.55</v>
      </c>
      <c r="F119" s="147">
        <f>F4Ax!F119+F4Bx!F119</f>
        <v>4.88</v>
      </c>
      <c r="G119" s="147">
        <f>F4Ax!G119+F4Bx!G119</f>
        <v>4.47</v>
      </c>
      <c r="H119" s="147">
        <f>F4Ax!H119+F4Bx!H119</f>
        <v>4.65</v>
      </c>
      <c r="I119" s="147">
        <f>F4Ax!I119+F4Bx!I119</f>
        <v>4.91</v>
      </c>
      <c r="J119" s="147">
        <f>F4Ax!J119+F4Bx!J119</f>
        <v>4.04</v>
      </c>
      <c r="K119" s="147">
        <f>F4Ax!K119+F4Bx!K119</f>
        <v>3.85</v>
      </c>
      <c r="L119" s="147">
        <f>F4Ax!L119+F4Bx!L119</f>
        <v>2.92</v>
      </c>
      <c r="M119" s="147">
        <f>F4Ax!M119+F4Bx!M119</f>
        <v>2.46</v>
      </c>
      <c r="N119" s="147">
        <f>F4Ax!N119+F4Bx!N119</f>
        <v>2.58</v>
      </c>
      <c r="O119" s="147">
        <f>F4Ax!O119+F4Bx!O119</f>
        <v>2.3955</v>
      </c>
      <c r="P119" s="147">
        <f>F4Ax!P119+F4Bx!P119</f>
        <v>2.342</v>
      </c>
      <c r="Q119" s="316">
        <f t="shared" si="3"/>
        <v>44.0475</v>
      </c>
    </row>
    <row r="120" ht="15" spans="3:17">
      <c r="C120" s="55" t="s">
        <v>239</v>
      </c>
      <c r="D120" s="55" t="s">
        <v>196</v>
      </c>
      <c r="E120" s="147">
        <f>F4Ax!E120+F4Bx!E120</f>
        <v>71.36</v>
      </c>
      <c r="F120" s="147">
        <f>F4Ax!F120+F4Bx!F120</f>
        <v>74.91</v>
      </c>
      <c r="G120" s="147">
        <f>F4Ax!G120+F4Bx!G120</f>
        <v>83.57</v>
      </c>
      <c r="H120" s="147">
        <f>F4Ax!H120+F4Bx!H120</f>
        <v>73.96</v>
      </c>
      <c r="I120" s="147">
        <f>F4Ax!I120+F4Bx!I120</f>
        <v>73.49</v>
      </c>
      <c r="J120" s="147">
        <f>F4Ax!J120+F4Bx!J120</f>
        <v>75.21</v>
      </c>
      <c r="K120" s="147">
        <f>F4Ax!K120+F4Bx!K120</f>
        <v>71.14057271</v>
      </c>
      <c r="L120" s="147">
        <f>F4Ax!L120+F4Bx!L120</f>
        <v>74.09192839</v>
      </c>
      <c r="M120" s="147">
        <f>F4Ax!M120+F4Bx!M120</f>
        <v>66.06916142</v>
      </c>
      <c r="N120" s="147">
        <f>F4Ax!N120+F4Bx!N120</f>
        <v>64.17145726</v>
      </c>
      <c r="O120" s="147">
        <f>F4Ax!O120+F4Bx!O120</f>
        <v>70.43499459</v>
      </c>
      <c r="P120" s="147">
        <f>F4Ax!P120+F4Bx!P120</f>
        <v>69.55196737</v>
      </c>
      <c r="Q120" s="316">
        <f t="shared" si="3"/>
        <v>867.96008174</v>
      </c>
    </row>
    <row r="121" ht="15" spans="3:17">
      <c r="C121" s="55" t="s">
        <v>197</v>
      </c>
      <c r="D121" s="55" t="s">
        <v>198</v>
      </c>
      <c r="E121" s="147">
        <f>F4Ax!E121+F4Bx!E121</f>
        <v>0</v>
      </c>
      <c r="F121" s="147">
        <f>F4Ax!F121+F4Bx!F121</f>
        <v>0</v>
      </c>
      <c r="G121" s="147">
        <f>F4Ax!G121+F4Bx!G121</f>
        <v>0</v>
      </c>
      <c r="H121" s="147">
        <f>F4Ax!H121+F4Bx!H121</f>
        <v>0</v>
      </c>
      <c r="I121" s="147">
        <f>F4Ax!I121+F4Bx!I121</f>
        <v>0</v>
      </c>
      <c r="J121" s="147">
        <f>F4Ax!J121+F4Bx!J121</f>
        <v>0</v>
      </c>
      <c r="K121" s="147">
        <f>F4Ax!K121+F4Bx!K121</f>
        <v>0</v>
      </c>
      <c r="L121" s="147">
        <f>F4Ax!L121+F4Bx!L121</f>
        <v>0</v>
      </c>
      <c r="M121" s="147">
        <f>F4Ax!M121+F4Bx!M121</f>
        <v>0</v>
      </c>
      <c r="N121" s="147">
        <f>F4Ax!N121+F4Bx!N121</f>
        <v>0</v>
      </c>
      <c r="O121" s="147">
        <f>F4Ax!O121+F4Bx!O121</f>
        <v>0</v>
      </c>
      <c r="P121" s="147">
        <f>F4Ax!P121+F4Bx!P121</f>
        <v>0</v>
      </c>
      <c r="Q121" s="316">
        <f t="shared" si="3"/>
        <v>0</v>
      </c>
    </row>
    <row r="122" ht="15" spans="3:17">
      <c r="C122" s="55" t="s">
        <v>199</v>
      </c>
      <c r="D122" s="55" t="s">
        <v>200</v>
      </c>
      <c r="E122" s="147">
        <f>F4Ax!E122+F4Bx!E122</f>
        <v>0</v>
      </c>
      <c r="F122" s="147">
        <f>F4Ax!F122+F4Bx!F122</f>
        <v>0</v>
      </c>
      <c r="G122" s="147">
        <f>F4Ax!G122+F4Bx!G122</f>
        <v>0</v>
      </c>
      <c r="H122" s="147">
        <f>F4Ax!H122+F4Bx!H122</f>
        <v>0</v>
      </c>
      <c r="I122" s="147">
        <f>F4Ax!I122+F4Bx!I122</f>
        <v>0</v>
      </c>
      <c r="J122" s="147">
        <f>F4Ax!J122+F4Bx!J122</f>
        <v>0</v>
      </c>
      <c r="K122" s="147">
        <f>F4Ax!K122+F4Bx!K122</f>
        <v>0</v>
      </c>
      <c r="L122" s="147">
        <f>F4Ax!L122+F4Bx!L122</f>
        <v>0</v>
      </c>
      <c r="M122" s="147">
        <f>F4Ax!M122+F4Bx!M122</f>
        <v>0</v>
      </c>
      <c r="N122" s="147">
        <f>F4Ax!N122+F4Bx!N122</f>
        <v>0</v>
      </c>
      <c r="O122" s="147">
        <f>F4Ax!O122+F4Bx!O122</f>
        <v>0</v>
      </c>
      <c r="P122" s="147">
        <f>F4Ax!P122+F4Bx!P122</f>
        <v>0</v>
      </c>
      <c r="Q122" s="316">
        <f t="shared" si="3"/>
        <v>0</v>
      </c>
    </row>
    <row r="123" ht="15" spans="3:17">
      <c r="C123" s="55" t="s">
        <v>201</v>
      </c>
      <c r="D123" s="55" t="s">
        <v>202</v>
      </c>
      <c r="E123" s="147">
        <f>F4Ax!E123+F4Bx!E123</f>
        <v>0.94</v>
      </c>
      <c r="F123" s="147">
        <f>F4Ax!F123+F4Bx!F123</f>
        <v>0.59</v>
      </c>
      <c r="G123" s="147">
        <f>F4Ax!G123+F4Bx!G123</f>
        <v>0.19</v>
      </c>
      <c r="H123" s="147">
        <f>F4Ax!H123+F4Bx!H123</f>
        <v>0.22</v>
      </c>
      <c r="I123" s="147">
        <f>F4Ax!I123+F4Bx!I123</f>
        <v>0.93</v>
      </c>
      <c r="J123" s="147">
        <f>F4Ax!J123+F4Bx!J123</f>
        <v>2.2</v>
      </c>
      <c r="K123" s="147">
        <f>F4Ax!K123+F4Bx!K123</f>
        <v>1.64</v>
      </c>
      <c r="L123" s="147">
        <f>F4Ax!L123+F4Bx!L123</f>
        <v>1.47</v>
      </c>
      <c r="M123" s="147">
        <f>F4Ax!M123+F4Bx!M123</f>
        <v>1.63</v>
      </c>
      <c r="N123" s="147">
        <f>F4Ax!N123+F4Bx!N123</f>
        <v>2.47</v>
      </c>
      <c r="O123" s="147">
        <f>F4Ax!O123+F4Bx!O123</f>
        <v>2.97</v>
      </c>
      <c r="P123" s="147">
        <f>F4Ax!P123+F4Bx!P123</f>
        <v>2.34</v>
      </c>
      <c r="Q123" s="316">
        <f t="shared" si="3"/>
        <v>17.59</v>
      </c>
    </row>
    <row r="124" ht="15" spans="3:17">
      <c r="C124" s="55" t="s">
        <v>203</v>
      </c>
      <c r="D124" s="55" t="s">
        <v>204</v>
      </c>
      <c r="E124" s="147">
        <f>F4Ax!E124+F4Bx!E124</f>
        <v>14.27</v>
      </c>
      <c r="F124" s="147">
        <f>F4Ax!F124+F4Bx!F124</f>
        <v>13.8</v>
      </c>
      <c r="G124" s="147">
        <f>F4Ax!G124+F4Bx!G124</f>
        <v>13.72</v>
      </c>
      <c r="H124" s="147">
        <f>F4Ax!H124+F4Bx!H124</f>
        <v>11.95</v>
      </c>
      <c r="I124" s="147">
        <f>F4Ax!I124+F4Bx!I124</f>
        <v>12.4</v>
      </c>
      <c r="J124" s="147">
        <f>F4Ax!J124+F4Bx!J124</f>
        <v>12.75</v>
      </c>
      <c r="K124" s="147">
        <f>F4Ax!K124+F4Bx!K124</f>
        <v>12.18</v>
      </c>
      <c r="L124" s="147">
        <f>F4Ax!L124+F4Bx!L124</f>
        <v>13.12</v>
      </c>
      <c r="M124" s="147">
        <f>F4Ax!M124+F4Bx!M124</f>
        <v>13.06</v>
      </c>
      <c r="N124" s="147">
        <f>F4Ax!N124+F4Bx!N124</f>
        <v>13.79</v>
      </c>
      <c r="O124" s="147">
        <f>F4Ax!O124+F4Bx!O124</f>
        <v>13.73</v>
      </c>
      <c r="P124" s="147">
        <f>F4Ax!P124+F4Bx!P124</f>
        <v>13.95</v>
      </c>
      <c r="Q124" s="316">
        <f t="shared" si="3"/>
        <v>158.72</v>
      </c>
    </row>
    <row r="125" ht="15" spans="3:17">
      <c r="C125" s="55" t="s">
        <v>205</v>
      </c>
      <c r="D125" s="55" t="s">
        <v>206</v>
      </c>
      <c r="E125" s="147">
        <f>F4Ax!E125+F4Bx!E125</f>
        <v>7.54</v>
      </c>
      <c r="F125" s="147">
        <f>F4Ax!F125+F4Bx!F125</f>
        <v>8.99</v>
      </c>
      <c r="G125" s="147">
        <f>F4Ax!G125+F4Bx!G125</f>
        <v>9.43</v>
      </c>
      <c r="H125" s="147">
        <f>F4Ax!H125+F4Bx!H125</f>
        <v>5.96</v>
      </c>
      <c r="I125" s="147">
        <f>F4Ax!I125+F4Bx!I125</f>
        <v>5.81</v>
      </c>
      <c r="J125" s="147">
        <f>F4Ax!J125+F4Bx!J125</f>
        <v>5.8</v>
      </c>
      <c r="K125" s="147">
        <f>F4Ax!K125+F4Bx!K125</f>
        <v>5.29</v>
      </c>
      <c r="L125" s="147">
        <f>F4Ax!L125+F4Bx!L125</f>
        <v>5.58</v>
      </c>
      <c r="M125" s="147">
        <f>F4Ax!M125+F4Bx!M125</f>
        <v>5.26</v>
      </c>
      <c r="N125" s="147">
        <f>F4Ax!N125+F4Bx!N125</f>
        <v>5.38</v>
      </c>
      <c r="O125" s="147">
        <f>F4Ax!O125+F4Bx!O125</f>
        <v>5.58</v>
      </c>
      <c r="P125" s="147">
        <f>F4Ax!P125+F4Bx!P125</f>
        <v>5.98</v>
      </c>
      <c r="Q125" s="316">
        <f t="shared" si="3"/>
        <v>76.6</v>
      </c>
    </row>
    <row r="126" ht="15" spans="3:17">
      <c r="C126" s="55" t="s">
        <v>231</v>
      </c>
      <c r="D126" s="55" t="s">
        <v>186</v>
      </c>
      <c r="E126" s="147">
        <f>F4Ax!E126+F4Bx!E126</f>
        <v>2.36</v>
      </c>
      <c r="F126" s="147">
        <f>F4Ax!F126+F4Bx!F126</f>
        <v>2.99</v>
      </c>
      <c r="G126" s="147">
        <f>F4Ax!G126+F4Bx!G126</f>
        <v>4.03</v>
      </c>
      <c r="H126" s="147">
        <f>F4Ax!H126+F4Bx!H126</f>
        <v>4.12</v>
      </c>
      <c r="I126" s="147">
        <f>F4Ax!I126+F4Bx!I126</f>
        <v>4.58</v>
      </c>
      <c r="J126" s="147">
        <f>F4Ax!J126+F4Bx!J126</f>
        <v>4.27</v>
      </c>
      <c r="K126" s="147">
        <f>F4Ax!K126+F4Bx!K126</f>
        <v>3.27</v>
      </c>
      <c r="L126" s="147">
        <f>F4Ax!L126+F4Bx!L126</f>
        <v>3.72</v>
      </c>
      <c r="M126" s="147">
        <f>F4Ax!M126+F4Bx!M126</f>
        <v>4.74</v>
      </c>
      <c r="N126" s="147">
        <f>F4Ax!N126+F4Bx!N126</f>
        <v>4.9</v>
      </c>
      <c r="O126" s="147">
        <f>F4Ax!O126+F4Bx!O126</f>
        <v>2.85</v>
      </c>
      <c r="P126" s="147">
        <f>F4Ax!P126+F4Bx!P126</f>
        <v>2.3</v>
      </c>
      <c r="Q126" s="316">
        <f t="shared" si="3"/>
        <v>44.13</v>
      </c>
    </row>
    <row r="127" ht="15" spans="3:17">
      <c r="C127" s="55" t="s">
        <v>208</v>
      </c>
      <c r="D127" s="55" t="s">
        <v>209</v>
      </c>
      <c r="E127" s="147">
        <f>F4Ax!E127+F4Bx!E127</f>
        <v>0</v>
      </c>
      <c r="F127" s="147">
        <f>F4Ax!F127+F4Bx!F127</f>
        <v>0</v>
      </c>
      <c r="G127" s="147">
        <f>F4Ax!G127+F4Bx!G127</f>
        <v>0</v>
      </c>
      <c r="H127" s="147">
        <f>F4Ax!H127+F4Bx!H127</f>
        <v>0</v>
      </c>
      <c r="I127" s="147">
        <f>F4Ax!I127+F4Bx!I127</f>
        <v>0</v>
      </c>
      <c r="J127" s="147">
        <f>F4Ax!J127+F4Bx!J127</f>
        <v>0</v>
      </c>
      <c r="K127" s="147">
        <f>F4Ax!K127+F4Bx!K127</f>
        <v>0</v>
      </c>
      <c r="L127" s="147">
        <f>F4Ax!L127+F4Bx!L127</f>
        <v>0</v>
      </c>
      <c r="M127" s="147">
        <f>F4Ax!M127+F4Bx!M127</f>
        <v>0</v>
      </c>
      <c r="N127" s="147">
        <f>F4Ax!N127+F4Bx!N127</f>
        <v>0</v>
      </c>
      <c r="O127" s="147">
        <f>F4Ax!O127+F4Bx!O127</f>
        <v>0</v>
      </c>
      <c r="P127" s="147">
        <f>F4Ax!P127+F4Bx!P127</f>
        <v>0</v>
      </c>
      <c r="Q127" s="316">
        <f t="shared" si="3"/>
        <v>0</v>
      </c>
    </row>
    <row r="128" ht="15" spans="3:17">
      <c r="C128" s="55" t="s">
        <v>210</v>
      </c>
      <c r="D128" s="55" t="s">
        <v>188</v>
      </c>
      <c r="E128" s="147">
        <f>F4Ax!E128+F4Bx!E128</f>
        <v>0</v>
      </c>
      <c r="F128" s="147">
        <f>F4Ax!F128+F4Bx!F128</f>
        <v>0</v>
      </c>
      <c r="G128" s="147">
        <f>F4Ax!G128+F4Bx!G128</f>
        <v>0</v>
      </c>
      <c r="H128" s="147">
        <f>F4Ax!H128+F4Bx!H128</f>
        <v>0</v>
      </c>
      <c r="I128" s="147">
        <f>F4Ax!I128+F4Bx!I128</f>
        <v>0</v>
      </c>
      <c r="J128" s="147">
        <f>F4Ax!J128+F4Bx!J128</f>
        <v>0</v>
      </c>
      <c r="K128" s="147">
        <f>F4Ax!K128+F4Bx!K128</f>
        <v>0</v>
      </c>
      <c r="L128" s="147">
        <f>F4Ax!L128+F4Bx!L128</f>
        <v>0</v>
      </c>
      <c r="M128" s="147">
        <f>F4Ax!M128+F4Bx!M128</f>
        <v>0</v>
      </c>
      <c r="N128" s="147">
        <f>F4Ax!N128+F4Bx!N128</f>
        <v>0</v>
      </c>
      <c r="O128" s="147">
        <f>F4Ax!O128+F4Bx!O128</f>
        <v>0</v>
      </c>
      <c r="P128" s="147">
        <f>F4Ax!P128+F4Bx!P128</f>
        <v>0</v>
      </c>
      <c r="Q128" s="316">
        <f t="shared" si="3"/>
        <v>0</v>
      </c>
    </row>
    <row r="129" ht="15" spans="3:17">
      <c r="C129" s="55"/>
      <c r="D129" s="55"/>
      <c r="E129" s="147">
        <f>F4Ax!E129+F4Bx!E129</f>
        <v>0</v>
      </c>
      <c r="F129" s="147">
        <f>F4Ax!F129+F4Bx!F129</f>
        <v>0</v>
      </c>
      <c r="G129" s="147">
        <f>F4Ax!G129+F4Bx!G129</f>
        <v>0</v>
      </c>
      <c r="H129" s="147">
        <f>F4Ax!H129+F4Bx!H129</f>
        <v>0</v>
      </c>
      <c r="I129" s="147">
        <f>F4Ax!I129+F4Bx!I129</f>
        <v>0</v>
      </c>
      <c r="J129" s="147">
        <f>F4Ax!J129+F4Bx!J129</f>
        <v>0</v>
      </c>
      <c r="K129" s="147">
        <f>F4Ax!K129+F4Bx!K129</f>
        <v>0</v>
      </c>
      <c r="L129" s="147">
        <f>F4Ax!L129+F4Bx!L129</f>
        <v>0</v>
      </c>
      <c r="M129" s="147">
        <f>F4Ax!M129+F4Bx!M129</f>
        <v>0</v>
      </c>
      <c r="N129" s="147">
        <f>F4Ax!N129+F4Bx!N129</f>
        <v>0</v>
      </c>
      <c r="O129" s="147">
        <f>F4Ax!O129+F4Bx!O129</f>
        <v>0</v>
      </c>
      <c r="P129" s="147">
        <f>F4Ax!P129+F4Bx!P129</f>
        <v>0</v>
      </c>
      <c r="Q129" s="316">
        <f t="shared" si="3"/>
        <v>0</v>
      </c>
    </row>
    <row r="130" ht="15" spans="3:17">
      <c r="C130" s="55"/>
      <c r="D130" s="55"/>
      <c r="E130" s="147">
        <f>F4Ax!E130+F4Bx!E130</f>
        <v>0</v>
      </c>
      <c r="F130" s="147">
        <f>F4Ax!F130+F4Bx!F130</f>
        <v>0</v>
      </c>
      <c r="G130" s="147">
        <f>F4Ax!G130+F4Bx!G130</f>
        <v>0</v>
      </c>
      <c r="H130" s="147">
        <f>F4Ax!H130+F4Bx!H130</f>
        <v>0</v>
      </c>
      <c r="I130" s="147">
        <f>F4Ax!I130+F4Bx!I130</f>
        <v>0</v>
      </c>
      <c r="J130" s="147">
        <f>F4Ax!J130+F4Bx!J130</f>
        <v>0</v>
      </c>
      <c r="K130" s="147">
        <f>F4Ax!K130+F4Bx!K130</f>
        <v>0</v>
      </c>
      <c r="L130" s="147">
        <f>F4Ax!L130+F4Bx!L130</f>
        <v>0</v>
      </c>
      <c r="M130" s="147">
        <f>F4Ax!M130+F4Bx!M130</f>
        <v>0</v>
      </c>
      <c r="N130" s="147">
        <f>F4Ax!N130+F4Bx!N130</f>
        <v>0</v>
      </c>
      <c r="O130" s="147">
        <f>F4Ax!O130+F4Bx!O130</f>
        <v>0</v>
      </c>
      <c r="P130" s="147">
        <f>F4Ax!P130+F4Bx!P130</f>
        <v>0</v>
      </c>
      <c r="Q130" s="316">
        <f t="shared" si="3"/>
        <v>0</v>
      </c>
    </row>
    <row r="131" ht="15" spans="3:17">
      <c r="C131" s="55"/>
      <c r="D131" s="55"/>
      <c r="E131" s="147">
        <f>F4Ax!E131+F4Bx!E131</f>
        <v>0</v>
      </c>
      <c r="F131" s="147">
        <f>F4Ax!F131+F4Bx!F131</f>
        <v>0</v>
      </c>
      <c r="G131" s="147">
        <f>F4Ax!G131+F4Bx!G131</f>
        <v>0</v>
      </c>
      <c r="H131" s="147">
        <f>F4Ax!H131+F4Bx!H131</f>
        <v>0</v>
      </c>
      <c r="I131" s="147">
        <f>F4Ax!I131+F4Bx!I131</f>
        <v>0</v>
      </c>
      <c r="J131" s="147">
        <f>F4Ax!J131+F4Bx!J131</f>
        <v>0</v>
      </c>
      <c r="K131" s="147">
        <f>F4Ax!K131+F4Bx!K131</f>
        <v>0</v>
      </c>
      <c r="L131" s="147">
        <f>F4Ax!L131+F4Bx!L131</f>
        <v>0</v>
      </c>
      <c r="M131" s="147">
        <f>F4Ax!M131+F4Bx!M131</f>
        <v>0</v>
      </c>
      <c r="N131" s="147">
        <f>F4Ax!N131+F4Bx!N131</f>
        <v>0</v>
      </c>
      <c r="O131" s="147">
        <f>F4Ax!O131+F4Bx!O131</f>
        <v>0</v>
      </c>
      <c r="P131" s="147">
        <f>F4Ax!P131+F4Bx!P131</f>
        <v>0</v>
      </c>
      <c r="Q131" s="316">
        <f t="shared" si="3"/>
        <v>0</v>
      </c>
    </row>
    <row r="132" ht="15" spans="3:17">
      <c r="C132" s="55" t="s">
        <v>258</v>
      </c>
      <c r="D132" s="55" t="s">
        <v>258</v>
      </c>
      <c r="E132" s="147">
        <f>F4Ax!E132+F4Bx!E132</f>
        <v>0</v>
      </c>
      <c r="F132" s="147">
        <f>F4Ax!F132+F4Bx!F132</f>
        <v>0</v>
      </c>
      <c r="G132" s="147">
        <f>F4Ax!G132+F4Bx!G132</f>
        <v>0</v>
      </c>
      <c r="H132" s="147">
        <f>F4Ax!H132+F4Bx!H132</f>
        <v>0</v>
      </c>
      <c r="I132" s="147">
        <f>F4Ax!I132+F4Bx!I132</f>
        <v>0</v>
      </c>
      <c r="J132" s="147">
        <f>F4Ax!J132+F4Bx!J132</f>
        <v>0</v>
      </c>
      <c r="K132" s="147">
        <f>F4Ax!K132+F4Bx!K132</f>
        <v>0</v>
      </c>
      <c r="L132" s="147">
        <f>F4Ax!L132+F4Bx!L132</f>
        <v>0</v>
      </c>
      <c r="M132" s="147">
        <f>F4Ax!M132+F4Bx!M132</f>
        <v>0</v>
      </c>
      <c r="N132" s="147">
        <f>F4Ax!N132+F4Bx!N132</f>
        <v>0</v>
      </c>
      <c r="O132" s="147">
        <f>F4Ax!O132+F4Bx!O132</f>
        <v>0</v>
      </c>
      <c r="P132" s="147">
        <f>F4Ax!P132+F4Bx!P132</f>
        <v>0</v>
      </c>
      <c r="Q132" s="316">
        <f t="shared" si="3"/>
        <v>0</v>
      </c>
    </row>
    <row r="133" ht="15" spans="3:17">
      <c r="C133" s="537" t="s">
        <v>211</v>
      </c>
      <c r="D133" s="540"/>
      <c r="E133" s="316">
        <f t="shared" ref="E133:P133" si="4">SUM(E118:E132)</f>
        <v>493.09</v>
      </c>
      <c r="F133" s="316">
        <f t="shared" si="4"/>
        <v>466.94</v>
      </c>
      <c r="G133" s="316">
        <f t="shared" si="4"/>
        <v>516.62</v>
      </c>
      <c r="H133" s="316">
        <f t="shared" si="4"/>
        <v>482.34</v>
      </c>
      <c r="I133" s="316">
        <f t="shared" si="4"/>
        <v>470.07</v>
      </c>
      <c r="J133" s="316">
        <f t="shared" si="4"/>
        <v>463.76</v>
      </c>
      <c r="K133" s="316">
        <f t="shared" si="4"/>
        <v>412.86942304</v>
      </c>
      <c r="L133" s="316">
        <f t="shared" si="4"/>
        <v>430.53624191</v>
      </c>
      <c r="M133" s="316">
        <f t="shared" si="4"/>
        <v>415.95916142</v>
      </c>
      <c r="N133" s="316">
        <f t="shared" si="4"/>
        <v>420.35145726</v>
      </c>
      <c r="O133" s="316">
        <f t="shared" si="4"/>
        <v>437.74608303</v>
      </c>
      <c r="P133" s="316">
        <f t="shared" si="4"/>
        <v>417.6891929</v>
      </c>
      <c r="Q133" s="316">
        <f t="shared" si="3"/>
        <v>5427.97155956</v>
      </c>
    </row>
    <row r="134" ht="15" spans="3:17">
      <c r="C134" s="44" t="s">
        <v>219</v>
      </c>
      <c r="D134" s="4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316">
        <f t="shared" si="3"/>
        <v>0</v>
      </c>
    </row>
    <row r="135" ht="15" spans="3:17">
      <c r="C135" s="55" t="s">
        <v>191</v>
      </c>
      <c r="D135" s="55" t="s">
        <v>192</v>
      </c>
      <c r="E135" s="147">
        <f>F4Ax!E135+F4Bx!E135</f>
        <v>232.58</v>
      </c>
      <c r="F135" s="147">
        <f>F4Ax!F135+F4Bx!F135</f>
        <v>211.74</v>
      </c>
      <c r="G135" s="147">
        <f>F4Ax!G135+F4Bx!G135</f>
        <v>225.03</v>
      </c>
      <c r="H135" s="147">
        <f>F4Ax!H135+F4Bx!H135</f>
        <v>213.29</v>
      </c>
      <c r="I135" s="147">
        <f>F4Ax!I135+F4Bx!I135</f>
        <v>211.73</v>
      </c>
      <c r="J135" s="147">
        <f>F4Ax!J135+F4Bx!J135</f>
        <v>195.46</v>
      </c>
      <c r="K135" s="147">
        <f>F4Ax!K135+F4Bx!K135</f>
        <v>189.71196556</v>
      </c>
      <c r="L135" s="147">
        <f>F4Ax!L135+F4Bx!L135</f>
        <v>208.85335118</v>
      </c>
      <c r="M135" s="147">
        <f>F4Ax!M135+F4Bx!M135</f>
        <v>209.16</v>
      </c>
      <c r="N135" s="147">
        <f>F4Ax!N135+F4Bx!N135</f>
        <v>201.8</v>
      </c>
      <c r="O135" s="147">
        <f>F4Ax!O135+F4Bx!O135</f>
        <v>209.46616522</v>
      </c>
      <c r="P135" s="147">
        <f>F4Ax!P135+F4Bx!P135</f>
        <v>195.10790705</v>
      </c>
      <c r="Q135" s="316">
        <f t="shared" si="3"/>
        <v>2503.92938901</v>
      </c>
    </row>
    <row r="136" ht="15" spans="3:17">
      <c r="C136" s="55" t="s">
        <v>193</v>
      </c>
      <c r="D136" s="55" t="s">
        <v>194</v>
      </c>
      <c r="E136" s="147">
        <f>F4Ax!E136+F4Bx!E136</f>
        <v>26.34</v>
      </c>
      <c r="F136" s="147">
        <f>F4Ax!F136+F4Bx!F136</f>
        <v>20.22</v>
      </c>
      <c r="G136" s="147">
        <f>F4Ax!G136+F4Bx!G136</f>
        <v>23.21</v>
      </c>
      <c r="H136" s="147">
        <f>F4Ax!H136+F4Bx!H136</f>
        <v>21.26</v>
      </c>
      <c r="I136" s="147">
        <f>F4Ax!I136+F4Bx!I136</f>
        <v>17.96</v>
      </c>
      <c r="J136" s="147">
        <f>F4Ax!J136+F4Bx!J136</f>
        <v>13.3</v>
      </c>
      <c r="K136" s="147">
        <f>F4Ax!K136+F4Bx!K136</f>
        <v>13.13</v>
      </c>
      <c r="L136" s="147">
        <f>F4Ax!L136+F4Bx!L136</f>
        <v>10.95</v>
      </c>
      <c r="M136" s="147">
        <f>F4Ax!M136+F4Bx!M136</f>
        <v>6.61</v>
      </c>
      <c r="N136" s="147">
        <f>F4Ax!N136+F4Bx!N136</f>
        <v>9.99</v>
      </c>
      <c r="O136" s="147">
        <f>F4Ax!O136+F4Bx!O136</f>
        <v>14.964</v>
      </c>
      <c r="P136" s="147">
        <f>F4Ax!P136+F4Bx!P136</f>
        <v>16.02</v>
      </c>
      <c r="Q136" s="316">
        <f t="shared" si="3"/>
        <v>193.954</v>
      </c>
    </row>
    <row r="137" ht="15" spans="3:17">
      <c r="C137" s="55" t="s">
        <v>239</v>
      </c>
      <c r="D137" s="55" t="s">
        <v>196</v>
      </c>
      <c r="E137" s="147">
        <f>F4Ax!E137+F4Bx!E137</f>
        <v>4.83</v>
      </c>
      <c r="F137" s="147">
        <f>F4Ax!F137+F4Bx!F137</f>
        <v>5.09</v>
      </c>
      <c r="G137" s="147">
        <f>F4Ax!G137+F4Bx!G137</f>
        <v>5.51</v>
      </c>
      <c r="H137" s="147">
        <f>F4Ax!H137+F4Bx!H137</f>
        <v>4.76</v>
      </c>
      <c r="I137" s="147">
        <f>F4Ax!I137+F4Bx!I137</f>
        <v>4.06</v>
      </c>
      <c r="J137" s="147">
        <f>F4Ax!J137+F4Bx!J137</f>
        <v>4.23</v>
      </c>
      <c r="K137" s="147">
        <f>F4Ax!K137+F4Bx!K137</f>
        <v>3.826916</v>
      </c>
      <c r="L137" s="147">
        <f>F4Ax!L137+F4Bx!L137</f>
        <v>4.24071</v>
      </c>
      <c r="M137" s="147">
        <f>F4Ax!M137+F4Bx!M137</f>
        <v>3.455934</v>
      </c>
      <c r="N137" s="147">
        <f>F4Ax!N137+F4Bx!N137</f>
        <v>3.31506</v>
      </c>
      <c r="O137" s="147">
        <f>F4Ax!O137+F4Bx!O137</f>
        <v>3.781275</v>
      </c>
      <c r="P137" s="147">
        <f>F4Ax!P137+F4Bx!P137</f>
        <v>3.724072</v>
      </c>
      <c r="Q137" s="316">
        <f t="shared" si="3"/>
        <v>50.823967</v>
      </c>
    </row>
    <row r="138" ht="15" spans="3:17">
      <c r="C138" s="55" t="s">
        <v>197</v>
      </c>
      <c r="D138" s="55" t="s">
        <v>198</v>
      </c>
      <c r="E138" s="147">
        <f>F4Ax!E138+F4Bx!E138</f>
        <v>0</v>
      </c>
      <c r="F138" s="147">
        <f>F4Ax!F138+F4Bx!F138</f>
        <v>0</v>
      </c>
      <c r="G138" s="147">
        <f>F4Ax!G138+F4Bx!G138</f>
        <v>0</v>
      </c>
      <c r="H138" s="147">
        <f>F4Ax!H138+F4Bx!H138</f>
        <v>0</v>
      </c>
      <c r="I138" s="147">
        <f>F4Ax!I138+F4Bx!I138</f>
        <v>0</v>
      </c>
      <c r="J138" s="147">
        <f>F4Ax!J138+F4Bx!J138</f>
        <v>0</v>
      </c>
      <c r="K138" s="147">
        <f>F4Ax!K138+F4Bx!K138</f>
        <v>0</v>
      </c>
      <c r="L138" s="147">
        <f>F4Ax!L138+F4Bx!L138</f>
        <v>0</v>
      </c>
      <c r="M138" s="147">
        <f>F4Ax!M138+F4Bx!M138</f>
        <v>0</v>
      </c>
      <c r="N138" s="147">
        <f>F4Ax!N138+F4Bx!N138</f>
        <v>0</v>
      </c>
      <c r="O138" s="147">
        <f>F4Ax!O138+F4Bx!O138</f>
        <v>0</v>
      </c>
      <c r="P138" s="147">
        <f>F4Ax!P138+F4Bx!P138</f>
        <v>0</v>
      </c>
      <c r="Q138" s="316">
        <f t="shared" si="3"/>
        <v>0</v>
      </c>
    </row>
    <row r="139" ht="15" spans="3:17">
      <c r="C139" s="55" t="s">
        <v>199</v>
      </c>
      <c r="D139" s="55" t="s">
        <v>200</v>
      </c>
      <c r="E139" s="147">
        <f>F4Ax!E139+F4Bx!E139</f>
        <v>7.01</v>
      </c>
      <c r="F139" s="147">
        <f>F4Ax!F139+F4Bx!F139</f>
        <v>7.37</v>
      </c>
      <c r="G139" s="147">
        <f>F4Ax!G139+F4Bx!G139</f>
        <v>8.5</v>
      </c>
      <c r="H139" s="147">
        <f>F4Ax!H139+F4Bx!H139</f>
        <v>7.68</v>
      </c>
      <c r="I139" s="147">
        <f>F4Ax!I139+F4Bx!I139</f>
        <v>7.11</v>
      </c>
      <c r="J139" s="147">
        <f>F4Ax!J139+F4Bx!J139</f>
        <v>7.46</v>
      </c>
      <c r="K139" s="147">
        <f>F4Ax!K139+F4Bx!K139</f>
        <v>7.354</v>
      </c>
      <c r="L139" s="147">
        <f>F4Ax!L139+F4Bx!L139</f>
        <v>7.307</v>
      </c>
      <c r="M139" s="147">
        <f>F4Ax!M139+F4Bx!M139</f>
        <v>6.691</v>
      </c>
      <c r="N139" s="147">
        <f>F4Ax!N139+F4Bx!N139</f>
        <v>6.449</v>
      </c>
      <c r="O139" s="147">
        <f>F4Ax!O139+F4Bx!O139</f>
        <v>7.028</v>
      </c>
      <c r="P139" s="147">
        <f>F4Ax!P139+F4Bx!P139</f>
        <v>6.455</v>
      </c>
      <c r="Q139" s="316">
        <f t="shared" si="3"/>
        <v>86.414</v>
      </c>
    </row>
    <row r="140" ht="15" spans="3:17">
      <c r="C140" s="55" t="s">
        <v>201</v>
      </c>
      <c r="D140" s="55" t="s">
        <v>240</v>
      </c>
      <c r="E140" s="147">
        <f>F4Ax!E140+F4Bx!E140</f>
        <v>50.56</v>
      </c>
      <c r="F140" s="147">
        <f>F4Ax!F140+F4Bx!F140</f>
        <v>24.21</v>
      </c>
      <c r="G140" s="147">
        <f>F4Ax!G140+F4Bx!G140</f>
        <v>34.28</v>
      </c>
      <c r="H140" s="147">
        <f>F4Ax!H140+F4Bx!H140</f>
        <v>24.28</v>
      </c>
      <c r="I140" s="147">
        <f>F4Ax!I140+F4Bx!I140</f>
        <v>130.01</v>
      </c>
      <c r="J140" s="147">
        <f>F4Ax!J140+F4Bx!J140</f>
        <v>301.46</v>
      </c>
      <c r="K140" s="147">
        <f>F4Ax!K140+F4Bx!K140</f>
        <v>226.43</v>
      </c>
      <c r="L140" s="147">
        <f>F4Ax!L140+F4Bx!L140</f>
        <v>224.67</v>
      </c>
      <c r="M140" s="147">
        <f>F4Ax!M140+F4Bx!M140</f>
        <v>192.1</v>
      </c>
      <c r="N140" s="147">
        <f>F4Ax!N140+F4Bx!N140</f>
        <v>207.44</v>
      </c>
      <c r="O140" s="147">
        <f>F4Ax!O140+F4Bx!O140</f>
        <v>231.59</v>
      </c>
      <c r="P140" s="147">
        <f>F4Ax!P140+F4Bx!P140</f>
        <v>214.54</v>
      </c>
      <c r="Q140" s="316">
        <f t="shared" si="3"/>
        <v>1861.57</v>
      </c>
    </row>
    <row r="141" ht="15" spans="3:17">
      <c r="C141" s="55" t="s">
        <v>203</v>
      </c>
      <c r="D141" s="55" t="s">
        <v>220</v>
      </c>
      <c r="E141" s="147">
        <f>F4Ax!E141+F4Bx!E141</f>
        <v>15.33</v>
      </c>
      <c r="F141" s="147">
        <f>F4Ax!F141+F4Bx!F141</f>
        <v>16.25</v>
      </c>
      <c r="G141" s="147">
        <f>F4Ax!G141+F4Bx!G141</f>
        <v>16.82</v>
      </c>
      <c r="H141" s="147">
        <f>F4Ax!H141+F4Bx!H141</f>
        <v>15.02</v>
      </c>
      <c r="I141" s="147">
        <f>F4Ax!I141+F4Bx!I141</f>
        <v>17.5</v>
      </c>
      <c r="J141" s="147">
        <f>F4Ax!J141+F4Bx!J141</f>
        <v>16.47</v>
      </c>
      <c r="K141" s="147">
        <f>F4Ax!K141+F4Bx!K141</f>
        <v>18.22</v>
      </c>
      <c r="L141" s="147">
        <f>F4Ax!L141+F4Bx!L141</f>
        <v>17.79</v>
      </c>
      <c r="M141" s="147">
        <f>F4Ax!M141+F4Bx!M141</f>
        <v>17.12</v>
      </c>
      <c r="N141" s="147">
        <f>F4Ax!N141+F4Bx!N141</f>
        <v>18.2</v>
      </c>
      <c r="O141" s="147">
        <f>F4Ax!O141+F4Bx!O141</f>
        <v>17.93</v>
      </c>
      <c r="P141" s="147">
        <f>F4Ax!P141+F4Bx!P141</f>
        <v>18.14</v>
      </c>
      <c r="Q141" s="316">
        <f t="shared" si="3"/>
        <v>204.79</v>
      </c>
    </row>
    <row r="142" ht="15" spans="3:17">
      <c r="C142" s="55" t="s">
        <v>241</v>
      </c>
      <c r="D142" s="55" t="s">
        <v>229</v>
      </c>
      <c r="E142" s="147">
        <f>F4Ax!E142+F4Bx!E142</f>
        <v>18.49</v>
      </c>
      <c r="F142" s="147">
        <f>F4Ax!F142+F4Bx!F142</f>
        <v>18.61</v>
      </c>
      <c r="G142" s="147">
        <f>F4Ax!G142+F4Bx!G142</f>
        <v>18.85</v>
      </c>
      <c r="H142" s="147">
        <f>F4Ax!H142+F4Bx!H142</f>
        <v>20.85</v>
      </c>
      <c r="I142" s="147">
        <f>F4Ax!I142+F4Bx!I142</f>
        <v>18.32</v>
      </c>
      <c r="J142" s="147">
        <f>F4Ax!J142+F4Bx!J142</f>
        <v>20.49</v>
      </c>
      <c r="K142" s="147">
        <f>F4Ax!K142+F4Bx!K142</f>
        <v>18.43</v>
      </c>
      <c r="L142" s="147">
        <f>F4Ax!L142+F4Bx!L142</f>
        <v>19.86</v>
      </c>
      <c r="M142" s="147">
        <f>F4Ax!M142+F4Bx!M142</f>
        <v>25.18</v>
      </c>
      <c r="N142" s="147">
        <f>F4Ax!N142+F4Bx!N142</f>
        <v>23.59</v>
      </c>
      <c r="O142" s="147">
        <f>F4Ax!O142+F4Bx!O142</f>
        <v>24.66</v>
      </c>
      <c r="P142" s="147">
        <f>F4Ax!P142+F4Bx!P142</f>
        <v>22.67</v>
      </c>
      <c r="Q142" s="316">
        <f t="shared" si="3"/>
        <v>250</v>
      </c>
    </row>
    <row r="143" ht="15" spans="3:17">
      <c r="C143" s="55" t="s">
        <v>259</v>
      </c>
      <c r="D143" s="55" t="s">
        <v>243</v>
      </c>
      <c r="E143" s="147">
        <f>F4Ax!E143+F4Bx!E143</f>
        <v>6.79</v>
      </c>
      <c r="F143" s="147">
        <f>F4Ax!F143+F4Bx!F143</f>
        <v>7.17</v>
      </c>
      <c r="G143" s="147">
        <f>F4Ax!G143+F4Bx!G143</f>
        <v>6.92</v>
      </c>
      <c r="H143" s="147">
        <f>F4Ax!H143+F4Bx!H143</f>
        <v>6.32</v>
      </c>
      <c r="I143" s="147">
        <f>F4Ax!I143+F4Bx!I143</f>
        <v>6.4</v>
      </c>
      <c r="J143" s="147">
        <f>F4Ax!J143+F4Bx!J143</f>
        <v>6.52</v>
      </c>
      <c r="K143" s="147">
        <f>F4Ax!K143+F4Bx!K143</f>
        <v>6.65</v>
      </c>
      <c r="L143" s="147">
        <f>F4Ax!L143+F4Bx!L143</f>
        <v>6.95</v>
      </c>
      <c r="M143" s="147">
        <f>F4Ax!M143+F4Bx!M143</f>
        <v>6.53</v>
      </c>
      <c r="N143" s="147">
        <f>F4Ax!N143+F4Bx!N143</f>
        <v>6.69</v>
      </c>
      <c r="O143" s="147">
        <f>F4Ax!O143+F4Bx!O143</f>
        <v>7.19</v>
      </c>
      <c r="P143" s="147">
        <f>F4Ax!P143+F4Bx!P143</f>
        <v>6.88</v>
      </c>
      <c r="Q143" s="316">
        <f t="shared" si="3"/>
        <v>81.01</v>
      </c>
    </row>
    <row r="144" ht="15" spans="3:17">
      <c r="C144" s="55" t="s">
        <v>205</v>
      </c>
      <c r="D144" s="55" t="s">
        <v>206</v>
      </c>
      <c r="E144" s="147">
        <f>F4Ax!E144+F4Bx!E144</f>
        <v>0</v>
      </c>
      <c r="F144" s="147">
        <f>F4Ax!F144+F4Bx!F144</f>
        <v>0</v>
      </c>
      <c r="G144" s="147">
        <f>F4Ax!G144+F4Bx!G144</f>
        <v>0</v>
      </c>
      <c r="H144" s="147">
        <f>F4Ax!H144+F4Bx!H144</f>
        <v>0</v>
      </c>
      <c r="I144" s="147">
        <f>F4Ax!I144+F4Bx!I144</f>
        <v>0</v>
      </c>
      <c r="J144" s="147">
        <f>F4Ax!J144+F4Bx!J144</f>
        <v>0</v>
      </c>
      <c r="K144" s="147">
        <f>F4Ax!K144+F4Bx!K144</f>
        <v>0</v>
      </c>
      <c r="L144" s="147">
        <f>F4Ax!L144+F4Bx!L144</f>
        <v>0</v>
      </c>
      <c r="M144" s="147">
        <f>F4Ax!M144+F4Bx!M144</f>
        <v>0</v>
      </c>
      <c r="N144" s="147">
        <f>F4Ax!N144+F4Bx!N144</f>
        <v>0</v>
      </c>
      <c r="O144" s="147">
        <f>F4Ax!O144+F4Bx!O144</f>
        <v>0</v>
      </c>
      <c r="P144" s="147">
        <f>F4Ax!P144+F4Bx!P144</f>
        <v>0</v>
      </c>
      <c r="Q144" s="316">
        <f t="shared" si="3"/>
        <v>0</v>
      </c>
    </row>
    <row r="145" ht="15" spans="3:17">
      <c r="C145" s="55" t="s">
        <v>207</v>
      </c>
      <c r="D145" s="55" t="s">
        <v>186</v>
      </c>
      <c r="E145" s="147">
        <f>F4Ax!E145+F4Bx!E145</f>
        <v>0</v>
      </c>
      <c r="F145" s="147">
        <f>F4Ax!F145+F4Bx!F145</f>
        <v>0</v>
      </c>
      <c r="G145" s="147">
        <f>F4Ax!G145+F4Bx!G145</f>
        <v>0</v>
      </c>
      <c r="H145" s="147">
        <f>F4Ax!H145+F4Bx!H145</f>
        <v>0</v>
      </c>
      <c r="I145" s="147">
        <f>F4Ax!I145+F4Bx!I145</f>
        <v>0</v>
      </c>
      <c r="J145" s="147">
        <f>F4Ax!J145+F4Bx!J145</f>
        <v>0</v>
      </c>
      <c r="K145" s="147">
        <f>F4Ax!K145+F4Bx!K145</f>
        <v>0</v>
      </c>
      <c r="L145" s="147">
        <f>F4Ax!L145+F4Bx!L145</f>
        <v>0</v>
      </c>
      <c r="M145" s="147">
        <f>F4Ax!M145+F4Bx!M145</f>
        <v>0</v>
      </c>
      <c r="N145" s="147">
        <f>F4Ax!N145+F4Bx!N145</f>
        <v>0</v>
      </c>
      <c r="O145" s="147">
        <f>F4Ax!O145+F4Bx!O145</f>
        <v>0</v>
      </c>
      <c r="P145" s="147">
        <f>F4Ax!P145+F4Bx!P145</f>
        <v>0</v>
      </c>
      <c r="Q145" s="316">
        <f t="shared" si="3"/>
        <v>0</v>
      </c>
    </row>
    <row r="146" ht="15" spans="3:17">
      <c r="C146" s="55" t="s">
        <v>208</v>
      </c>
      <c r="D146" s="55" t="s">
        <v>209</v>
      </c>
      <c r="E146" s="147">
        <f>F4Ax!E146+F4Bx!E146</f>
        <v>0</v>
      </c>
      <c r="F146" s="147">
        <f>F4Ax!F146+F4Bx!F146</f>
        <v>0</v>
      </c>
      <c r="G146" s="147">
        <f>F4Ax!G146+F4Bx!G146</f>
        <v>0</v>
      </c>
      <c r="H146" s="147">
        <f>F4Ax!H146+F4Bx!H146</f>
        <v>0</v>
      </c>
      <c r="I146" s="147">
        <f>F4Ax!I146+F4Bx!I146</f>
        <v>0</v>
      </c>
      <c r="J146" s="147">
        <f>F4Ax!J146+F4Bx!J146</f>
        <v>0</v>
      </c>
      <c r="K146" s="147">
        <f>F4Ax!K146+F4Bx!K146</f>
        <v>0</v>
      </c>
      <c r="L146" s="147">
        <f>F4Ax!L146+F4Bx!L146</f>
        <v>0</v>
      </c>
      <c r="M146" s="147">
        <f>F4Ax!M146+F4Bx!M146</f>
        <v>0</v>
      </c>
      <c r="N146" s="147">
        <f>F4Ax!N146+F4Bx!N146</f>
        <v>0</v>
      </c>
      <c r="O146" s="147">
        <f>F4Ax!O146+F4Bx!O146</f>
        <v>0</v>
      </c>
      <c r="P146" s="147">
        <f>F4Ax!P146+F4Bx!P146</f>
        <v>0</v>
      </c>
      <c r="Q146" s="316">
        <f t="shared" si="3"/>
        <v>0</v>
      </c>
    </row>
    <row r="147" ht="15" spans="3:17">
      <c r="C147" s="55" t="s">
        <v>210</v>
      </c>
      <c r="D147" s="55" t="s">
        <v>188</v>
      </c>
      <c r="E147" s="147">
        <f>F4Ax!E147+F4Bx!E147</f>
        <v>0</v>
      </c>
      <c r="F147" s="147">
        <f>F4Ax!F147+F4Bx!F147</f>
        <v>0</v>
      </c>
      <c r="G147" s="147">
        <f>F4Ax!G147+F4Bx!G147</f>
        <v>0</v>
      </c>
      <c r="H147" s="147">
        <f>F4Ax!H147+F4Bx!H147</f>
        <v>0</v>
      </c>
      <c r="I147" s="147">
        <f>F4Ax!I147+F4Bx!I147</f>
        <v>0</v>
      </c>
      <c r="J147" s="147">
        <f>F4Ax!J147+F4Bx!J147</f>
        <v>0</v>
      </c>
      <c r="K147" s="147">
        <f>F4Ax!K147+F4Bx!K147</f>
        <v>0</v>
      </c>
      <c r="L147" s="147">
        <f>F4Ax!L147+F4Bx!L147</f>
        <v>0</v>
      </c>
      <c r="M147" s="147">
        <f>F4Ax!M147+F4Bx!M147</f>
        <v>0</v>
      </c>
      <c r="N147" s="147">
        <f>F4Ax!N147+F4Bx!N147</f>
        <v>0</v>
      </c>
      <c r="O147" s="147">
        <f>F4Ax!O147+F4Bx!O147</f>
        <v>0</v>
      </c>
      <c r="P147" s="147">
        <f>F4Ax!P147+F4Bx!P147</f>
        <v>0</v>
      </c>
      <c r="Q147" s="316">
        <f t="shared" si="3"/>
        <v>0</v>
      </c>
    </row>
    <row r="148" ht="15" spans="3:17">
      <c r="C148" s="55"/>
      <c r="D148" s="55"/>
      <c r="E148" s="147">
        <f>F4Ax!E148+F4Bx!E148</f>
        <v>0</v>
      </c>
      <c r="F148" s="147">
        <f>F4Ax!F148+F4Bx!F148</f>
        <v>0</v>
      </c>
      <c r="G148" s="147">
        <f>F4Ax!G148+F4Bx!G148</f>
        <v>0</v>
      </c>
      <c r="H148" s="147">
        <f>F4Ax!H148+F4Bx!H148</f>
        <v>0</v>
      </c>
      <c r="I148" s="147">
        <f>F4Ax!I148+F4Bx!I148</f>
        <v>0</v>
      </c>
      <c r="J148" s="147">
        <f>F4Ax!J148+F4Bx!J148</f>
        <v>0</v>
      </c>
      <c r="K148" s="147">
        <f>F4Ax!K148+F4Bx!K148</f>
        <v>0</v>
      </c>
      <c r="L148" s="147">
        <f>F4Ax!L148+F4Bx!L148</f>
        <v>0</v>
      </c>
      <c r="M148" s="147">
        <f>F4Ax!M148+F4Bx!M148</f>
        <v>0</v>
      </c>
      <c r="N148" s="147">
        <f>F4Ax!N148+F4Bx!N148</f>
        <v>0</v>
      </c>
      <c r="O148" s="147">
        <f>F4Ax!O148+F4Bx!O148</f>
        <v>0</v>
      </c>
      <c r="P148" s="147">
        <f>F4Ax!P148+F4Bx!P148</f>
        <v>0</v>
      </c>
      <c r="Q148" s="316">
        <f t="shared" si="3"/>
        <v>0</v>
      </c>
    </row>
    <row r="149" ht="15" spans="3:17">
      <c r="C149" s="55"/>
      <c r="D149" s="55"/>
      <c r="E149" s="147">
        <f>F4Ax!E149+F4Bx!E149</f>
        <v>0</v>
      </c>
      <c r="F149" s="147">
        <f>F4Ax!F149+F4Bx!F149</f>
        <v>0</v>
      </c>
      <c r="G149" s="147">
        <f>F4Ax!G149+F4Bx!G149</f>
        <v>0</v>
      </c>
      <c r="H149" s="147">
        <f>F4Ax!H149+F4Bx!H149</f>
        <v>0</v>
      </c>
      <c r="I149" s="147">
        <f>F4Ax!I149+F4Bx!I149</f>
        <v>0</v>
      </c>
      <c r="J149" s="147">
        <f>F4Ax!J149+F4Bx!J149</f>
        <v>0</v>
      </c>
      <c r="K149" s="147">
        <f>F4Ax!K149+F4Bx!K149</f>
        <v>0</v>
      </c>
      <c r="L149" s="147">
        <f>F4Ax!L149+F4Bx!L149</f>
        <v>0</v>
      </c>
      <c r="M149" s="147">
        <f>F4Ax!M149+F4Bx!M149</f>
        <v>0</v>
      </c>
      <c r="N149" s="147">
        <f>F4Ax!N149+F4Bx!N149</f>
        <v>0</v>
      </c>
      <c r="O149" s="147">
        <f>F4Ax!O149+F4Bx!O149</f>
        <v>0</v>
      </c>
      <c r="P149" s="147">
        <f>F4Ax!P149+F4Bx!P149</f>
        <v>0</v>
      </c>
      <c r="Q149" s="316">
        <f t="shared" ref="Q149:Q154" si="5">SUM(E149:P149)</f>
        <v>0</v>
      </c>
    </row>
    <row r="150" ht="15" spans="3:17">
      <c r="C150" s="55"/>
      <c r="D150" s="55"/>
      <c r="E150" s="147">
        <f>F4Ax!E150+F4Bx!E150</f>
        <v>0</v>
      </c>
      <c r="F150" s="147">
        <f>F4Ax!F150+F4Bx!F150</f>
        <v>0</v>
      </c>
      <c r="G150" s="147">
        <f>F4Ax!G150+F4Bx!G150</f>
        <v>0</v>
      </c>
      <c r="H150" s="147">
        <f>F4Ax!H150+F4Bx!H150</f>
        <v>0</v>
      </c>
      <c r="I150" s="147">
        <f>F4Ax!I150+F4Bx!I150</f>
        <v>0</v>
      </c>
      <c r="J150" s="147">
        <f>F4Ax!J150+F4Bx!J150</f>
        <v>0</v>
      </c>
      <c r="K150" s="147">
        <f>F4Ax!K150+F4Bx!K150</f>
        <v>0</v>
      </c>
      <c r="L150" s="147">
        <f>F4Ax!L150+F4Bx!L150</f>
        <v>0</v>
      </c>
      <c r="M150" s="147">
        <f>F4Ax!M150+F4Bx!M150</f>
        <v>0</v>
      </c>
      <c r="N150" s="147">
        <f>F4Ax!N150+F4Bx!N150</f>
        <v>0</v>
      </c>
      <c r="O150" s="147">
        <f>F4Ax!O150+F4Bx!O150</f>
        <v>0</v>
      </c>
      <c r="P150" s="147">
        <f>F4Ax!P150+F4Bx!P150</f>
        <v>0</v>
      </c>
      <c r="Q150" s="316">
        <f t="shared" si="5"/>
        <v>0</v>
      </c>
    </row>
    <row r="151" ht="15" spans="3:17">
      <c r="C151" s="55" t="s">
        <v>258</v>
      </c>
      <c r="D151" s="55" t="s">
        <v>258</v>
      </c>
      <c r="E151" s="147">
        <f>F4Ax!E151+F4Bx!E151</f>
        <v>0</v>
      </c>
      <c r="F151" s="147">
        <f>F4Ax!F151+F4Bx!F151</f>
        <v>0</v>
      </c>
      <c r="G151" s="147">
        <f>F4Ax!G151+F4Bx!G151</f>
        <v>0</v>
      </c>
      <c r="H151" s="147">
        <f>F4Ax!H151+F4Bx!H151</f>
        <v>0</v>
      </c>
      <c r="I151" s="147">
        <f>F4Ax!I151+F4Bx!I151</f>
        <v>0</v>
      </c>
      <c r="J151" s="147">
        <f>F4Ax!J151+F4Bx!J151</f>
        <v>0</v>
      </c>
      <c r="K151" s="147">
        <f>F4Ax!K151+F4Bx!K151</f>
        <v>0</v>
      </c>
      <c r="L151" s="147">
        <f>F4Ax!L151+F4Bx!L151</f>
        <v>0</v>
      </c>
      <c r="M151" s="147">
        <f>F4Ax!M151+F4Bx!M151</f>
        <v>0</v>
      </c>
      <c r="N151" s="147">
        <f>F4Ax!N151+F4Bx!N151</f>
        <v>0</v>
      </c>
      <c r="O151" s="147">
        <f>F4Ax!O151+F4Bx!O151</f>
        <v>0</v>
      </c>
      <c r="P151" s="147">
        <f>F4Ax!P151+F4Bx!P151</f>
        <v>0</v>
      </c>
      <c r="Q151" s="316">
        <f t="shared" si="5"/>
        <v>0</v>
      </c>
    </row>
    <row r="152" ht="15" spans="3:17">
      <c r="C152" s="537" t="s">
        <v>211</v>
      </c>
      <c r="D152" s="540"/>
      <c r="E152" s="316">
        <f t="shared" ref="E152:P152" si="6">SUM(E135:E151)</f>
        <v>361.93</v>
      </c>
      <c r="F152" s="316">
        <f t="shared" si="6"/>
        <v>310.66</v>
      </c>
      <c r="G152" s="316">
        <f t="shared" si="6"/>
        <v>339.12</v>
      </c>
      <c r="H152" s="316">
        <f t="shared" si="6"/>
        <v>313.46</v>
      </c>
      <c r="I152" s="316">
        <f t="shared" si="6"/>
        <v>413.09</v>
      </c>
      <c r="J152" s="316">
        <f t="shared" si="6"/>
        <v>565.39</v>
      </c>
      <c r="K152" s="316">
        <f t="shared" si="6"/>
        <v>483.75288156</v>
      </c>
      <c r="L152" s="316">
        <f t="shared" si="6"/>
        <v>500.62106118</v>
      </c>
      <c r="M152" s="316">
        <f t="shared" si="6"/>
        <v>466.846934</v>
      </c>
      <c r="N152" s="316">
        <f t="shared" si="6"/>
        <v>477.47406</v>
      </c>
      <c r="O152" s="316">
        <f t="shared" si="6"/>
        <v>516.60944022</v>
      </c>
      <c r="P152" s="316">
        <f t="shared" si="6"/>
        <v>483.53697905</v>
      </c>
      <c r="Q152" s="316">
        <f t="shared" si="5"/>
        <v>5232.49135601</v>
      </c>
    </row>
    <row r="153" ht="15" spans="3:17">
      <c r="C153" s="537" t="s">
        <v>223</v>
      </c>
      <c r="D153" s="540"/>
      <c r="E153" s="316">
        <f t="shared" ref="E153:P153" si="7">E116+E133+E152</f>
        <v>1346.4562041324</v>
      </c>
      <c r="F153" s="316">
        <f t="shared" si="7"/>
        <v>1270.30691203325</v>
      </c>
      <c r="G153" s="316">
        <f t="shared" si="7"/>
        <v>1371.54783077907</v>
      </c>
      <c r="H153" s="316">
        <f t="shared" si="7"/>
        <v>1267.50619554002</v>
      </c>
      <c r="I153" s="316">
        <f t="shared" si="7"/>
        <v>1347.59706082497</v>
      </c>
      <c r="J153" s="316">
        <f t="shared" si="7"/>
        <v>1493.66611330352</v>
      </c>
      <c r="K153" s="316">
        <f t="shared" si="7"/>
        <v>1323.46536254194</v>
      </c>
      <c r="L153" s="316">
        <f t="shared" si="7"/>
        <v>1400.66845568769</v>
      </c>
      <c r="M153" s="316">
        <f t="shared" si="7"/>
        <v>1344.80549753675</v>
      </c>
      <c r="N153" s="316">
        <f t="shared" si="7"/>
        <v>1362.95683064955</v>
      </c>
      <c r="O153" s="316">
        <f t="shared" si="7"/>
        <v>1442.63582256862</v>
      </c>
      <c r="P153" s="316">
        <f t="shared" si="7"/>
        <v>1368.55368126958</v>
      </c>
      <c r="Q153" s="316">
        <f t="shared" si="5"/>
        <v>16340.1659668674</v>
      </c>
    </row>
    <row r="154" ht="15" spans="3:17">
      <c r="C154" s="537" t="s">
        <v>224</v>
      </c>
      <c r="D154" s="540"/>
      <c r="E154" s="316">
        <f t="shared" ref="E154:P154" si="8">E153+E99</f>
        <v>3417.61155390007</v>
      </c>
      <c r="F154" s="316">
        <f t="shared" si="8"/>
        <v>3380.54360177228</v>
      </c>
      <c r="G154" s="316">
        <f t="shared" si="8"/>
        <v>3099.51452489368</v>
      </c>
      <c r="H154" s="316">
        <f t="shared" si="8"/>
        <v>3108.72046473699</v>
      </c>
      <c r="I154" s="316">
        <f t="shared" si="8"/>
        <v>3461.01178755662</v>
      </c>
      <c r="J154" s="316">
        <f t="shared" si="8"/>
        <v>3324.12015333117</v>
      </c>
      <c r="K154" s="316">
        <f t="shared" si="8"/>
        <v>2997.71810808912</v>
      </c>
      <c r="L154" s="316">
        <f t="shared" si="8"/>
        <v>2995.42389867769</v>
      </c>
      <c r="M154" s="316">
        <f t="shared" si="8"/>
        <v>3287.98350868675</v>
      </c>
      <c r="N154" s="316">
        <f t="shared" si="8"/>
        <v>3514.5887811524</v>
      </c>
      <c r="O154" s="316">
        <f t="shared" si="8"/>
        <v>3606.44390556862</v>
      </c>
      <c r="P154" s="316">
        <f t="shared" si="8"/>
        <v>3715.93665371261</v>
      </c>
      <c r="Q154" s="316">
        <f t="shared" si="5"/>
        <v>39909.616942078</v>
      </c>
    </row>
    <row r="155" ht="15" spans="3:17">
      <c r="C155" s="3"/>
      <c r="D155" s="3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</row>
    <row r="156" ht="15" spans="3:17">
      <c r="C156" s="14"/>
      <c r="Q156" s="3" t="s">
        <v>236</v>
      </c>
    </row>
    <row r="157" ht="15" spans="3:17">
      <c r="C157" s="6" t="s">
        <v>159</v>
      </c>
      <c r="D157" s="6"/>
      <c r="E157" s="135" t="s">
        <v>260</v>
      </c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</row>
    <row r="158" ht="15" spans="3:17">
      <c r="C158" s="6"/>
      <c r="D158" s="6"/>
      <c r="E158" s="135" t="s">
        <v>246</v>
      </c>
      <c r="F158" s="135" t="s">
        <v>247</v>
      </c>
      <c r="G158" s="135" t="s">
        <v>248</v>
      </c>
      <c r="H158" s="135" t="s">
        <v>249</v>
      </c>
      <c r="I158" s="135" t="s">
        <v>250</v>
      </c>
      <c r="J158" s="135" t="s">
        <v>251</v>
      </c>
      <c r="K158" s="135" t="s">
        <v>252</v>
      </c>
      <c r="L158" s="135" t="s">
        <v>253</v>
      </c>
      <c r="M158" s="135" t="s">
        <v>254</v>
      </c>
      <c r="N158" s="135" t="s">
        <v>255</v>
      </c>
      <c r="O158" s="135" t="s">
        <v>256</v>
      </c>
      <c r="P158" s="135" t="s">
        <v>257</v>
      </c>
      <c r="Q158" s="135" t="s">
        <v>97</v>
      </c>
    </row>
    <row r="159" ht="15" spans="3:17">
      <c r="C159" s="44" t="s">
        <v>170</v>
      </c>
      <c r="D159" s="45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316">
        <f t="shared" ref="Q159:Q190" si="9">SUM(E159:P159)</f>
        <v>0</v>
      </c>
    </row>
    <row r="160" ht="15" spans="3:17">
      <c r="C160" s="47" t="s">
        <v>171</v>
      </c>
      <c r="D160" s="47" t="s">
        <v>172</v>
      </c>
      <c r="E160" s="147">
        <f>F4Ax!E160+F4Bx!E160</f>
        <v>889.482661</v>
      </c>
      <c r="F160" s="147">
        <f>F4Ax!F160+F4Bx!F160</f>
        <v>1007.1437855</v>
      </c>
      <c r="G160" s="147">
        <f>F4Ax!G160+F4Bx!G160</f>
        <v>774.11618395</v>
      </c>
      <c r="H160" s="147">
        <f>F4Ax!H160+F4Bx!H160</f>
        <v>787.64137773</v>
      </c>
      <c r="I160" s="147">
        <f>F4Ax!I160+F4Bx!I160</f>
        <v>711.48126579</v>
      </c>
      <c r="J160" s="147">
        <f>F4Ax!J160+F4Bx!J160</f>
        <v>733.62959309</v>
      </c>
      <c r="K160" s="147">
        <f>F4Ax!K160+F4Bx!K160</f>
        <v>716.03611939</v>
      </c>
      <c r="L160" s="147">
        <f>F4Ax!L160+F4Bx!L160</f>
        <v>619.75025767</v>
      </c>
      <c r="M160" s="147">
        <f>F4Ax!M160+F4Bx!M160</f>
        <v>597.95278521</v>
      </c>
      <c r="N160" s="147">
        <f>F4Ax!N160+F4Bx!N160</f>
        <v>616.09748825</v>
      </c>
      <c r="O160" s="147">
        <f>F4Ax!O160+F4Bx!O160</f>
        <v>615.98324113</v>
      </c>
      <c r="P160" s="147">
        <f>F4Ax!P160+F4Bx!P160</f>
        <v>842.5288991</v>
      </c>
      <c r="Q160" s="316">
        <f t="shared" si="9"/>
        <v>8911.84365781</v>
      </c>
    </row>
    <row r="161" ht="15" spans="3:17">
      <c r="C161" s="55" t="s">
        <v>173</v>
      </c>
      <c r="D161" s="55" t="s">
        <v>174</v>
      </c>
      <c r="E161" s="147">
        <f>F4Ax!E161+F4Bx!E161</f>
        <v>157.241375</v>
      </c>
      <c r="F161" s="147">
        <f>F4Ax!F161+F4Bx!F161</f>
        <v>245.755592</v>
      </c>
      <c r="G161" s="147">
        <f>F4Ax!G161+F4Bx!G161</f>
        <v>166.2556645</v>
      </c>
      <c r="H161" s="147">
        <f>F4Ax!H161+F4Bx!H161</f>
        <v>165.3770375</v>
      </c>
      <c r="I161" s="147">
        <f>F4Ax!I161+F4Bx!I161</f>
        <v>155.674095</v>
      </c>
      <c r="J161" s="147">
        <f>F4Ax!J161+F4Bx!J161</f>
        <v>171.68024801</v>
      </c>
      <c r="K161" s="147">
        <f>F4Ax!K161+F4Bx!K161</f>
        <v>177.68252325</v>
      </c>
      <c r="L161" s="147">
        <f>F4Ax!L161+F4Bx!L161</f>
        <v>167.36727319</v>
      </c>
      <c r="M161" s="147">
        <f>F4Ax!M161+F4Bx!M161</f>
        <v>169.94316952</v>
      </c>
      <c r="N161" s="147">
        <f>F4Ax!N161+F4Bx!N161</f>
        <v>173.3462431</v>
      </c>
      <c r="O161" s="147">
        <f>F4Ax!O161+F4Bx!O161</f>
        <v>180.2769248</v>
      </c>
      <c r="P161" s="147">
        <f>F4Ax!P161+F4Bx!P161</f>
        <v>229.97228746</v>
      </c>
      <c r="Q161" s="316">
        <f t="shared" si="9"/>
        <v>2160.57243333</v>
      </c>
    </row>
    <row r="162" ht="15" spans="3:17">
      <c r="C162" s="55" t="s">
        <v>175</v>
      </c>
      <c r="D162" s="55" t="s">
        <v>176</v>
      </c>
      <c r="E162" s="147">
        <f>F4Ax!E162+F4Bx!E162</f>
        <v>81.518555</v>
      </c>
      <c r="F162" s="147">
        <f>F4Ax!F162+F4Bx!F162</f>
        <v>63.440446</v>
      </c>
      <c r="G162" s="147">
        <f>F4Ax!G162+F4Bx!G162</f>
        <v>63.1360545</v>
      </c>
      <c r="H162" s="147">
        <f>F4Ax!H162+F4Bx!H162</f>
        <v>66.772574</v>
      </c>
      <c r="I162" s="147">
        <f>F4Ax!I162+F4Bx!I162</f>
        <v>64.056426</v>
      </c>
      <c r="J162" s="147">
        <f>F4Ax!J162+F4Bx!J162</f>
        <v>70.532176</v>
      </c>
      <c r="K162" s="147">
        <f>F4Ax!K162+F4Bx!K162</f>
        <v>69.908382</v>
      </c>
      <c r="L162" s="147">
        <f>F4Ax!L162+F4Bx!L162</f>
        <v>77.5692</v>
      </c>
      <c r="M162" s="147">
        <f>F4Ax!M162+F4Bx!M162</f>
        <v>87.046812</v>
      </c>
      <c r="N162" s="147">
        <f>F4Ax!N162+F4Bx!N162</f>
        <v>78.657146</v>
      </c>
      <c r="O162" s="147">
        <f>F4Ax!O162+F4Bx!O162</f>
        <v>76.932426</v>
      </c>
      <c r="P162" s="147">
        <f>F4Ax!P162+F4Bx!P162</f>
        <v>80.436896</v>
      </c>
      <c r="Q162" s="316">
        <f t="shared" si="9"/>
        <v>880.0070935</v>
      </c>
    </row>
    <row r="163" ht="15" spans="3:17">
      <c r="C163" s="55" t="s">
        <v>177</v>
      </c>
      <c r="D163" s="55" t="s">
        <v>178</v>
      </c>
      <c r="E163" s="147">
        <f>F4Ax!E163+F4Bx!E163</f>
        <v>1.115069</v>
      </c>
      <c r="F163" s="147">
        <f>F4Ax!F163+F4Bx!F163</f>
        <v>0.815745</v>
      </c>
      <c r="G163" s="147">
        <f>F4Ax!G163+F4Bx!G163</f>
        <v>0.760655</v>
      </c>
      <c r="H163" s="147">
        <f>F4Ax!H163+F4Bx!H163</f>
        <v>0.807323</v>
      </c>
      <c r="I163" s="147">
        <f>F4Ax!I163+F4Bx!I163</f>
        <v>0.67538</v>
      </c>
      <c r="J163" s="147">
        <f>F4Ax!J163+F4Bx!J163</f>
        <v>0.80567</v>
      </c>
      <c r="K163" s="147">
        <f>F4Ax!K163+F4Bx!K163</f>
        <v>0.767763</v>
      </c>
      <c r="L163" s="147">
        <f>F4Ax!L163+F4Bx!L163</f>
        <v>0.727058</v>
      </c>
      <c r="M163" s="147">
        <f>F4Ax!M163+F4Bx!M163</f>
        <v>0.813521</v>
      </c>
      <c r="N163" s="147">
        <f>F4Ax!N163+F4Bx!N163</f>
        <v>0.735393</v>
      </c>
      <c r="O163" s="147">
        <f>F4Ax!O163+F4Bx!O163</f>
        <v>0.738009</v>
      </c>
      <c r="P163" s="147">
        <f>F4Ax!P163+F4Bx!P163</f>
        <v>0.817645</v>
      </c>
      <c r="Q163" s="316">
        <f t="shared" si="9"/>
        <v>9.579231</v>
      </c>
    </row>
    <row r="164" ht="15" spans="3:17">
      <c r="C164" s="55" t="s">
        <v>179</v>
      </c>
      <c r="D164" s="55" t="s">
        <v>180</v>
      </c>
      <c r="E164" s="147">
        <f>F4Ax!E164+F4Bx!E164</f>
        <v>700.883191121226</v>
      </c>
      <c r="F164" s="147">
        <f>F4Ax!F164+F4Bx!F164</f>
        <v>652.515841899179</v>
      </c>
      <c r="G164" s="147">
        <f>F4Ax!G164+F4Bx!G164</f>
        <v>557.744076512743</v>
      </c>
      <c r="H164" s="147">
        <f>F4Ax!H164+F4Bx!H164</f>
        <v>1005.72579887347</v>
      </c>
      <c r="I164" s="147">
        <f>F4Ax!I164+F4Bx!I164</f>
        <v>937.29656875768</v>
      </c>
      <c r="J164" s="147">
        <f>F4Ax!J164+F4Bx!J164</f>
        <v>743.72</v>
      </c>
      <c r="K164" s="147">
        <f>F4Ax!K164+F4Bx!K164</f>
        <v>613.03</v>
      </c>
      <c r="L164" s="147">
        <f>F4Ax!L164+F4Bx!L164</f>
        <v>504.954009414208</v>
      </c>
      <c r="M164" s="147">
        <f>F4Ax!M164+F4Bx!M164</f>
        <v>1080.42</v>
      </c>
      <c r="N164" s="147">
        <f>F4Ax!N164+F4Bx!N164</f>
        <v>1496.2531956607</v>
      </c>
      <c r="O164" s="147">
        <f>F4Ax!O164+F4Bx!O164</f>
        <v>1389.22311687039</v>
      </c>
      <c r="P164" s="147">
        <f>F4Ax!P164+F4Bx!P164</f>
        <v>2063.07707424606</v>
      </c>
      <c r="Q164" s="316">
        <f t="shared" si="9"/>
        <v>11744.8428733557</v>
      </c>
    </row>
    <row r="165" ht="15" spans="3:17">
      <c r="C165" s="55" t="s">
        <v>181</v>
      </c>
      <c r="D165" s="55" t="s">
        <v>182</v>
      </c>
      <c r="E165" s="147">
        <f>F4Ax!E165+F4Bx!E165</f>
        <v>45.4151409</v>
      </c>
      <c r="F165" s="147">
        <f>F4Ax!F165+F4Bx!F165</f>
        <v>41.22368106</v>
      </c>
      <c r="G165" s="147">
        <f>F4Ax!G165+F4Bx!G165</f>
        <v>40.33599186</v>
      </c>
      <c r="H165" s="147">
        <f>F4Ax!H165+F4Bx!H165</f>
        <v>44.05345225</v>
      </c>
      <c r="I165" s="147">
        <f>F4Ax!I165+F4Bx!I165</f>
        <v>36.911133</v>
      </c>
      <c r="J165" s="147">
        <f>F4Ax!J165+F4Bx!J165</f>
        <v>36.38</v>
      </c>
      <c r="K165" s="147">
        <f>F4Ax!K165+F4Bx!K165</f>
        <v>38.78735625</v>
      </c>
      <c r="L165" s="147">
        <f>F4Ax!L165+F4Bx!L165</f>
        <v>39.129566</v>
      </c>
      <c r="M165" s="147">
        <f>F4Ax!M165+F4Bx!M165</f>
        <v>39.831662</v>
      </c>
      <c r="N165" s="147">
        <f>F4Ax!N165+F4Bx!N165</f>
        <v>38.81545775</v>
      </c>
      <c r="O165" s="147">
        <f>F4Ax!O165+F4Bx!O165</f>
        <v>36.45786175</v>
      </c>
      <c r="P165" s="147">
        <f>F4Ax!P165+F4Bx!P165</f>
        <v>40.8764126</v>
      </c>
      <c r="Q165" s="316">
        <f t="shared" si="9"/>
        <v>478.21771542</v>
      </c>
    </row>
    <row r="166" ht="15" spans="3:17">
      <c r="C166" s="55" t="s">
        <v>183</v>
      </c>
      <c r="D166" s="55" t="s">
        <v>184</v>
      </c>
      <c r="E166" s="147">
        <f>F4Ax!E166+F4Bx!E166</f>
        <v>2.141105</v>
      </c>
      <c r="F166" s="147">
        <f>F4Ax!F166+F4Bx!F166</f>
        <v>6.077554</v>
      </c>
      <c r="G166" s="147">
        <f>F4Ax!G166+F4Bx!G166</f>
        <v>3.59016925</v>
      </c>
      <c r="H166" s="147">
        <f>F4Ax!H166+F4Bx!H166</f>
        <v>3.49083375</v>
      </c>
      <c r="I166" s="147">
        <f>F4Ax!I166+F4Bx!I166</f>
        <v>3.271898</v>
      </c>
      <c r="J166" s="147">
        <f>F4Ax!J166+F4Bx!J166</f>
        <v>3.65</v>
      </c>
      <c r="K166" s="147">
        <f>F4Ax!K166+F4Bx!K166</f>
        <v>3.649295</v>
      </c>
      <c r="L166" s="147">
        <f>F4Ax!L166+F4Bx!L166</f>
        <v>3.419242</v>
      </c>
      <c r="M166" s="147">
        <f>F4Ax!M166+F4Bx!M166</f>
        <v>3.638594</v>
      </c>
      <c r="N166" s="147">
        <f>F4Ax!N166+F4Bx!N166</f>
        <v>3.606449</v>
      </c>
      <c r="O166" s="147">
        <f>F4Ax!O166+F4Bx!O166</f>
        <v>4.993773</v>
      </c>
      <c r="P166" s="147">
        <f>F4Ax!P166+F4Bx!P166</f>
        <v>6.1809067</v>
      </c>
      <c r="Q166" s="316">
        <f t="shared" si="9"/>
        <v>47.7098197</v>
      </c>
    </row>
    <row r="167" ht="15" spans="3:17">
      <c r="C167" s="55" t="s">
        <v>185</v>
      </c>
      <c r="D167" s="55" t="s">
        <v>186</v>
      </c>
      <c r="E167" s="147">
        <f>F4Ax!E167+F4Bx!E167</f>
        <v>3.94086732</v>
      </c>
      <c r="F167" s="147">
        <f>F4Ax!F167+F4Bx!F167</f>
        <v>4.516936</v>
      </c>
      <c r="G167" s="147">
        <f>F4Ax!G167+F4Bx!G167</f>
        <v>3.017399</v>
      </c>
      <c r="H167" s="147">
        <f>F4Ax!H167+F4Bx!H167</f>
        <v>3.306336</v>
      </c>
      <c r="I167" s="147">
        <f>F4Ax!I167+F4Bx!I167</f>
        <v>3.423059</v>
      </c>
      <c r="J167" s="147">
        <f>F4Ax!J167+F4Bx!J167</f>
        <v>3.922136</v>
      </c>
      <c r="K167" s="147">
        <f>F4Ax!K167+F4Bx!K167</f>
        <v>4.317746</v>
      </c>
      <c r="L167" s="147">
        <f>F4Ax!L167+F4Bx!L167</f>
        <v>4.214107</v>
      </c>
      <c r="M167" s="147">
        <f>F4Ax!M167+F4Bx!M167</f>
        <v>5.094679</v>
      </c>
      <c r="N167" s="147">
        <f>F4Ax!N167+F4Bx!N167</f>
        <v>5.290805</v>
      </c>
      <c r="O167" s="147">
        <f>F4Ax!O167+F4Bx!O167</f>
        <v>5.583481</v>
      </c>
      <c r="P167" s="147">
        <f>F4Ax!P167+F4Bx!P167</f>
        <v>6.801739</v>
      </c>
      <c r="Q167" s="316">
        <f t="shared" si="9"/>
        <v>53.42929032</v>
      </c>
    </row>
    <row r="168" ht="15" spans="3:17">
      <c r="C168" s="55" t="s">
        <v>187</v>
      </c>
      <c r="D168" s="55" t="s">
        <v>188</v>
      </c>
      <c r="E168" s="147">
        <f>F4Ax!E168+F4Bx!E168</f>
        <v>5.2e-5</v>
      </c>
      <c r="F168" s="147">
        <f>F4Ax!F168+F4Bx!F168</f>
        <v>0.000643</v>
      </c>
      <c r="G168" s="147">
        <f>F4Ax!G168+F4Bx!G168</f>
        <v>0.0004393</v>
      </c>
      <c r="H168" s="147">
        <f>F4Ax!H168+F4Bx!H168</f>
        <v>0.000616</v>
      </c>
      <c r="I168" s="147">
        <f>F4Ax!I168+F4Bx!I168</f>
        <v>0.00096</v>
      </c>
      <c r="J168" s="147">
        <f>F4Ax!J168+F4Bx!J168</f>
        <v>0.00159</v>
      </c>
      <c r="K168" s="147">
        <f>F4Ax!K168+F4Bx!K168</f>
        <v>0.000971</v>
      </c>
      <c r="L168" s="147">
        <f>F4Ax!L168+F4Bx!L168</f>
        <v>0.006312</v>
      </c>
      <c r="M168" s="147">
        <f>F4Ax!M168+F4Bx!M168</f>
        <v>0.002167</v>
      </c>
      <c r="N168" s="147">
        <f>F4Ax!N168+F4Bx!N168</f>
        <v>0.001029</v>
      </c>
      <c r="O168" s="147">
        <f>F4Ax!O168+F4Bx!O168</f>
        <v>0.003907</v>
      </c>
      <c r="P168" s="147">
        <f>F4Ax!P168+F4Bx!P168</f>
        <v>0.000816</v>
      </c>
      <c r="Q168" s="316">
        <f t="shared" si="9"/>
        <v>0.0195023</v>
      </c>
    </row>
    <row r="169" ht="15" spans="3:17">
      <c r="C169" s="55"/>
      <c r="D169" s="55"/>
      <c r="E169" s="147">
        <f>F4Ax!E169+F4Bx!E169</f>
        <v>0</v>
      </c>
      <c r="F169" s="147">
        <f>F4Ax!F169+F4Bx!F169</f>
        <v>0</v>
      </c>
      <c r="G169" s="147">
        <f>F4Ax!G169+F4Bx!G169</f>
        <v>0</v>
      </c>
      <c r="H169" s="147">
        <f>F4Ax!H169+F4Bx!H169</f>
        <v>0</v>
      </c>
      <c r="I169" s="147">
        <f>F4Ax!I169+F4Bx!I169</f>
        <v>0</v>
      </c>
      <c r="J169" s="147">
        <f>F4Ax!J169+F4Bx!J169</f>
        <v>0</v>
      </c>
      <c r="K169" s="147">
        <f>F4Ax!K169+F4Bx!K169</f>
        <v>0</v>
      </c>
      <c r="L169" s="147">
        <f>F4Ax!L169+F4Bx!L169</f>
        <v>0</v>
      </c>
      <c r="M169" s="147">
        <f>F4Ax!M169+F4Bx!M169</f>
        <v>0</v>
      </c>
      <c r="N169" s="147">
        <f>F4Ax!N169+F4Bx!N169</f>
        <v>0</v>
      </c>
      <c r="O169" s="147">
        <f>F4Ax!O169+F4Bx!O169</f>
        <v>0</v>
      </c>
      <c r="P169" s="147">
        <f>F4Ax!P169+F4Bx!P169</f>
        <v>0</v>
      </c>
      <c r="Q169" s="316">
        <f t="shared" si="9"/>
        <v>0</v>
      </c>
    </row>
    <row r="170" ht="15" spans="3:17">
      <c r="C170" s="55"/>
      <c r="D170" s="55"/>
      <c r="E170" s="147">
        <f>F4Ax!E170+F4Bx!E170</f>
        <v>0</v>
      </c>
      <c r="F170" s="147">
        <f>F4Ax!F170+F4Bx!F170</f>
        <v>0</v>
      </c>
      <c r="G170" s="147">
        <f>F4Ax!G170+F4Bx!G170</f>
        <v>0</v>
      </c>
      <c r="H170" s="147">
        <f>F4Ax!H170+F4Bx!H170</f>
        <v>0</v>
      </c>
      <c r="I170" s="147">
        <f>F4Ax!I170+F4Bx!I170</f>
        <v>0</v>
      </c>
      <c r="J170" s="147">
        <f>F4Ax!J170+F4Bx!J170</f>
        <v>0</v>
      </c>
      <c r="K170" s="147">
        <f>F4Ax!K170+F4Bx!K170</f>
        <v>0</v>
      </c>
      <c r="L170" s="147">
        <f>F4Ax!L170+F4Bx!L170</f>
        <v>0</v>
      </c>
      <c r="M170" s="147">
        <f>F4Ax!M170+F4Bx!M170</f>
        <v>0</v>
      </c>
      <c r="N170" s="147">
        <f>F4Ax!N170+F4Bx!N170</f>
        <v>0</v>
      </c>
      <c r="O170" s="147">
        <f>F4Ax!O170+F4Bx!O170</f>
        <v>0</v>
      </c>
      <c r="P170" s="147">
        <f>F4Ax!P170+F4Bx!P170</f>
        <v>0</v>
      </c>
      <c r="Q170" s="316">
        <f t="shared" si="9"/>
        <v>0</v>
      </c>
    </row>
    <row r="171" ht="15" spans="3:17">
      <c r="C171" s="55"/>
      <c r="D171" s="55"/>
      <c r="E171" s="147">
        <f>F4Ax!E171+F4Bx!E171</f>
        <v>0</v>
      </c>
      <c r="F171" s="147">
        <f>F4Ax!F171+F4Bx!F171</f>
        <v>0</v>
      </c>
      <c r="G171" s="147">
        <f>F4Ax!G171+F4Bx!G171</f>
        <v>0</v>
      </c>
      <c r="H171" s="147">
        <f>F4Ax!H171+F4Bx!H171</f>
        <v>0</v>
      </c>
      <c r="I171" s="147">
        <f>F4Ax!I171+F4Bx!I171</f>
        <v>0</v>
      </c>
      <c r="J171" s="147">
        <f>F4Ax!J171+F4Bx!J171</f>
        <v>0</v>
      </c>
      <c r="K171" s="147">
        <f>F4Ax!K171+F4Bx!K171</f>
        <v>0</v>
      </c>
      <c r="L171" s="147">
        <f>F4Ax!L171+F4Bx!L171</f>
        <v>0</v>
      </c>
      <c r="M171" s="147">
        <f>F4Ax!M171+F4Bx!M171</f>
        <v>0</v>
      </c>
      <c r="N171" s="147">
        <f>F4Ax!N171+F4Bx!N171</f>
        <v>0</v>
      </c>
      <c r="O171" s="147">
        <f>F4Ax!O171+F4Bx!O171</f>
        <v>0</v>
      </c>
      <c r="P171" s="147">
        <f>F4Ax!P171+F4Bx!P171</f>
        <v>0</v>
      </c>
      <c r="Q171" s="316">
        <f t="shared" si="9"/>
        <v>0</v>
      </c>
    </row>
    <row r="172" ht="15" spans="3:17">
      <c r="C172" s="55" t="s">
        <v>258</v>
      </c>
      <c r="D172" s="55" t="s">
        <v>258</v>
      </c>
      <c r="E172" s="147">
        <f>F4Ax!E172+F4Bx!E172</f>
        <v>0</v>
      </c>
      <c r="F172" s="147">
        <f>F4Ax!F172+F4Bx!F172</f>
        <v>0</v>
      </c>
      <c r="G172" s="147">
        <f>F4Ax!G172+F4Bx!G172</f>
        <v>0</v>
      </c>
      <c r="H172" s="147">
        <f>F4Ax!H172+F4Bx!H172</f>
        <v>0</v>
      </c>
      <c r="I172" s="147">
        <f>F4Ax!I172+F4Bx!I172</f>
        <v>0</v>
      </c>
      <c r="J172" s="147">
        <f>F4Ax!J172+F4Bx!J172</f>
        <v>0</v>
      </c>
      <c r="K172" s="147">
        <f>F4Ax!K172+F4Bx!K172</f>
        <v>0</v>
      </c>
      <c r="L172" s="147">
        <f>F4Ax!L172+F4Bx!L172</f>
        <v>0</v>
      </c>
      <c r="M172" s="147">
        <f>F4Ax!M172+F4Bx!M172</f>
        <v>0</v>
      </c>
      <c r="N172" s="147">
        <f>F4Ax!N172+F4Bx!N172</f>
        <v>0</v>
      </c>
      <c r="O172" s="147">
        <f>F4Ax!O172+F4Bx!O172</f>
        <v>0</v>
      </c>
      <c r="P172" s="147">
        <f>F4Ax!P172+F4Bx!P172</f>
        <v>0</v>
      </c>
      <c r="Q172" s="316">
        <f t="shared" si="9"/>
        <v>0</v>
      </c>
    </row>
    <row r="173" ht="15" spans="3:17">
      <c r="C173" s="537" t="s">
        <v>189</v>
      </c>
      <c r="D173" s="540"/>
      <c r="E173" s="316">
        <f t="shared" ref="E173:P173" si="10">SUM(E160:E172)</f>
        <v>1881.73801634123</v>
      </c>
      <c r="F173" s="316">
        <f t="shared" si="10"/>
        <v>2021.49022445918</v>
      </c>
      <c r="G173" s="316">
        <f t="shared" si="10"/>
        <v>1608.95663387274</v>
      </c>
      <c r="H173" s="316">
        <f t="shared" si="10"/>
        <v>2077.17534910347</v>
      </c>
      <c r="I173" s="316">
        <f t="shared" si="10"/>
        <v>1912.79078554768</v>
      </c>
      <c r="J173" s="316">
        <f t="shared" si="10"/>
        <v>1764.3214131</v>
      </c>
      <c r="K173" s="316">
        <f t="shared" si="10"/>
        <v>1624.18015589</v>
      </c>
      <c r="L173" s="316">
        <f t="shared" si="10"/>
        <v>1417.13702527421</v>
      </c>
      <c r="M173" s="316">
        <f t="shared" si="10"/>
        <v>1984.74338973</v>
      </c>
      <c r="N173" s="316">
        <f t="shared" si="10"/>
        <v>2412.8032067607</v>
      </c>
      <c r="O173" s="316">
        <f t="shared" si="10"/>
        <v>2310.19274055039</v>
      </c>
      <c r="P173" s="316">
        <f t="shared" si="10"/>
        <v>3270.69267610606</v>
      </c>
      <c r="Q173" s="316">
        <f t="shared" si="9"/>
        <v>24286.2216167357</v>
      </c>
    </row>
    <row r="174" ht="15" spans="3:17">
      <c r="C174" s="44" t="s">
        <v>190</v>
      </c>
      <c r="D174" s="45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316">
        <f t="shared" si="9"/>
        <v>0</v>
      </c>
    </row>
    <row r="175" ht="15" spans="3:17">
      <c r="C175" s="55" t="s">
        <v>191</v>
      </c>
      <c r="D175" s="55" t="s">
        <v>192</v>
      </c>
      <c r="E175" s="147">
        <f>F4Ax!E175+F4Bx!E175</f>
        <v>179.85</v>
      </c>
      <c r="F175" s="147">
        <f>F4Ax!F175+F4Bx!F175</f>
        <v>226.56</v>
      </c>
      <c r="G175" s="147">
        <f>F4Ax!G175+F4Bx!G175</f>
        <v>284.68</v>
      </c>
      <c r="H175" s="147">
        <f>F4Ax!H175+F4Bx!H175</f>
        <v>284.77</v>
      </c>
      <c r="I175" s="147">
        <f>F4Ax!I175+F4Bx!I175</f>
        <v>286.1</v>
      </c>
      <c r="J175" s="147">
        <f>F4Ax!J175+F4Bx!J175</f>
        <v>302.35</v>
      </c>
      <c r="K175" s="147">
        <f>F4Ax!K175+F4Bx!K175</f>
        <v>296.49</v>
      </c>
      <c r="L175" s="147">
        <f>F4Ax!L175+F4Bx!L175</f>
        <v>312.36</v>
      </c>
      <c r="M175" s="147">
        <f>F4Ax!M175+F4Bx!M175</f>
        <v>321.46</v>
      </c>
      <c r="N175" s="147">
        <f>F4Ax!N175+F4Bx!N175</f>
        <v>328.87</v>
      </c>
      <c r="O175" s="147">
        <f>F4Ax!O175+F4Bx!O175</f>
        <v>328.01</v>
      </c>
      <c r="P175" s="147">
        <f>F4Ax!P175+F4Bx!P175</f>
        <v>308.7168271</v>
      </c>
      <c r="Q175" s="316">
        <f t="shared" si="9"/>
        <v>3460.2168271</v>
      </c>
    </row>
    <row r="176" ht="15" spans="3:17">
      <c r="C176" s="55" t="s">
        <v>193</v>
      </c>
      <c r="D176" s="55" t="s">
        <v>194</v>
      </c>
      <c r="E176" s="147">
        <f>F4Ax!E176+F4Bx!E176</f>
        <v>0</v>
      </c>
      <c r="F176" s="147">
        <f>F4Ax!F176+F4Bx!F176</f>
        <v>0</v>
      </c>
      <c r="G176" s="147">
        <f>F4Ax!G176+F4Bx!G176</f>
        <v>0</v>
      </c>
      <c r="H176" s="147">
        <f>F4Ax!H176+F4Bx!H176</f>
        <v>0</v>
      </c>
      <c r="I176" s="147">
        <f>F4Ax!I176+F4Bx!I176</f>
        <v>0</v>
      </c>
      <c r="J176" s="147">
        <f>F4Ax!J176+F4Bx!J176</f>
        <v>0</v>
      </c>
      <c r="K176" s="147">
        <f>F4Ax!K176+F4Bx!K176</f>
        <v>0</v>
      </c>
      <c r="L176" s="147">
        <f>F4Ax!L176+F4Bx!L176</f>
        <v>0</v>
      </c>
      <c r="M176" s="147">
        <f>F4Ax!M176+F4Bx!M176</f>
        <v>0</v>
      </c>
      <c r="N176" s="147">
        <f>F4Ax!N176+F4Bx!N176</f>
        <v>0</v>
      </c>
      <c r="O176" s="147">
        <f>F4Ax!O176+F4Bx!O176</f>
        <v>0</v>
      </c>
      <c r="P176" s="147">
        <f>F4Ax!P176+F4Bx!P176</f>
        <v>0</v>
      </c>
      <c r="Q176" s="316">
        <f t="shared" si="9"/>
        <v>0</v>
      </c>
    </row>
    <row r="177" ht="15" spans="3:17">
      <c r="C177" s="55" t="s">
        <v>239</v>
      </c>
      <c r="D177" s="55" t="s">
        <v>196</v>
      </c>
      <c r="E177" s="147">
        <f>F4Ax!E177+F4Bx!E177</f>
        <v>82.26</v>
      </c>
      <c r="F177" s="147">
        <f>F4Ax!F177+F4Bx!F177</f>
        <v>85.21</v>
      </c>
      <c r="G177" s="147">
        <f>F4Ax!G177+F4Bx!G177</f>
        <v>106.06</v>
      </c>
      <c r="H177" s="147">
        <f>F4Ax!H177+F4Bx!H177</f>
        <v>96.06</v>
      </c>
      <c r="I177" s="147">
        <f>F4Ax!I177+F4Bx!I177</f>
        <v>97.93</v>
      </c>
      <c r="J177" s="147">
        <f>F4Ax!J177+F4Bx!J177</f>
        <v>100.08</v>
      </c>
      <c r="K177" s="147">
        <f>F4Ax!K177+F4Bx!K177</f>
        <v>101.43</v>
      </c>
      <c r="L177" s="147">
        <f>F4Ax!L177+F4Bx!L177</f>
        <v>102.75</v>
      </c>
      <c r="M177" s="147">
        <f>F4Ax!M177+F4Bx!M177</f>
        <v>96.2</v>
      </c>
      <c r="N177" s="147">
        <f>F4Ax!N177+F4Bx!N177</f>
        <v>98.12473311</v>
      </c>
      <c r="O177" s="147">
        <f>F4Ax!O177+F4Bx!O177</f>
        <v>105.462729</v>
      </c>
      <c r="P177" s="147">
        <f>F4Ax!P177+F4Bx!P177</f>
        <v>110.210156</v>
      </c>
      <c r="Q177" s="316">
        <f t="shared" si="9"/>
        <v>1181.77761811</v>
      </c>
    </row>
    <row r="178" ht="15" spans="3:17">
      <c r="C178" s="55" t="s">
        <v>197</v>
      </c>
      <c r="D178" s="55" t="s">
        <v>198</v>
      </c>
      <c r="E178" s="147">
        <f>F4Ax!E178+F4Bx!E178</f>
        <v>0</v>
      </c>
      <c r="F178" s="147">
        <f>F4Ax!F178+F4Bx!F178</f>
        <v>0</v>
      </c>
      <c r="G178" s="147">
        <f>F4Ax!G178+F4Bx!G178</f>
        <v>0</v>
      </c>
      <c r="H178" s="147">
        <f>F4Ax!H178+F4Bx!H178</f>
        <v>0</v>
      </c>
      <c r="I178" s="147">
        <f>F4Ax!I178+F4Bx!I178</f>
        <v>0</v>
      </c>
      <c r="J178" s="147">
        <f>F4Ax!J178+F4Bx!J178</f>
        <v>0</v>
      </c>
      <c r="K178" s="147">
        <f>F4Ax!K178+F4Bx!K178</f>
        <v>0</v>
      </c>
      <c r="L178" s="147">
        <f>F4Ax!L178+F4Bx!L178</f>
        <v>0</v>
      </c>
      <c r="M178" s="147">
        <f>F4Ax!M178+F4Bx!M178</f>
        <v>0</v>
      </c>
      <c r="N178" s="147">
        <f>F4Ax!N178+F4Bx!N178</f>
        <v>0</v>
      </c>
      <c r="O178" s="147">
        <f>F4Ax!O178+F4Bx!O178</f>
        <v>0</v>
      </c>
      <c r="P178" s="147">
        <f>F4Ax!P178+F4Bx!P178</f>
        <v>0</v>
      </c>
      <c r="Q178" s="316">
        <f t="shared" si="9"/>
        <v>0</v>
      </c>
    </row>
    <row r="179" ht="15" spans="3:17">
      <c r="C179" s="55" t="s">
        <v>199</v>
      </c>
      <c r="D179" s="55" t="s">
        <v>200</v>
      </c>
      <c r="E179" s="147">
        <f>F4Ax!E179+F4Bx!E179</f>
        <v>0.16</v>
      </c>
      <c r="F179" s="147">
        <f>F4Ax!F179+F4Bx!F179</f>
        <v>0.13</v>
      </c>
      <c r="G179" s="147">
        <f>F4Ax!G179+F4Bx!G179</f>
        <v>0.18</v>
      </c>
      <c r="H179" s="147">
        <f>F4Ax!H179+F4Bx!H179</f>
        <v>0.19</v>
      </c>
      <c r="I179" s="147">
        <f>F4Ax!I179+F4Bx!I179</f>
        <v>0.19</v>
      </c>
      <c r="J179" s="147">
        <f>F4Ax!J179+F4Bx!J179</f>
        <v>0.18</v>
      </c>
      <c r="K179" s="147">
        <f>F4Ax!K179+F4Bx!K179</f>
        <v>0.2</v>
      </c>
      <c r="L179" s="147">
        <f>F4Ax!L179+F4Bx!L179</f>
        <v>0.22</v>
      </c>
      <c r="M179" s="147">
        <f>F4Ax!M179+F4Bx!M179</f>
        <v>0.22</v>
      </c>
      <c r="N179" s="147">
        <f>F4Ax!N179+F4Bx!N179</f>
        <v>0.215848</v>
      </c>
      <c r="O179" s="147">
        <f>F4Ax!O179+F4Bx!O179</f>
        <v>0.218184</v>
      </c>
      <c r="P179" s="147">
        <f>F4Ax!P179+F4Bx!P179</f>
        <v>0.241401</v>
      </c>
      <c r="Q179" s="316">
        <f t="shared" si="9"/>
        <v>2.345433</v>
      </c>
    </row>
    <row r="180" ht="15" spans="3:17">
      <c r="C180" s="55" t="s">
        <v>201</v>
      </c>
      <c r="D180" s="55" t="s">
        <v>202</v>
      </c>
      <c r="E180" s="147">
        <f>F4Ax!E180+F4Bx!E180</f>
        <v>3.91</v>
      </c>
      <c r="F180" s="147">
        <f>F4Ax!F180+F4Bx!F180</f>
        <v>1.12</v>
      </c>
      <c r="G180" s="147">
        <f>F4Ax!G180+F4Bx!G180</f>
        <v>1.39</v>
      </c>
      <c r="H180" s="147">
        <f>F4Ax!H180+F4Bx!H180</f>
        <v>1.09</v>
      </c>
      <c r="I180" s="147">
        <f>F4Ax!I180+F4Bx!I180</f>
        <v>1.49</v>
      </c>
      <c r="J180" s="147">
        <f>F4Ax!J180+F4Bx!J180</f>
        <v>3.87</v>
      </c>
      <c r="K180" s="147">
        <f>F4Ax!K180+F4Bx!K180</f>
        <v>3.19</v>
      </c>
      <c r="L180" s="147">
        <f>F4Ax!L180+F4Bx!L180</f>
        <v>4.29</v>
      </c>
      <c r="M180" s="147">
        <f>F4Ax!M180+F4Bx!M180</f>
        <v>2.37</v>
      </c>
      <c r="N180" s="147">
        <f>F4Ax!N180+F4Bx!N180</f>
        <v>5.82</v>
      </c>
      <c r="O180" s="147">
        <f>F4Ax!O180+F4Bx!O180</f>
        <v>6.69</v>
      </c>
      <c r="P180" s="147">
        <f>F4Ax!P180+F4Bx!P180</f>
        <v>6.89</v>
      </c>
      <c r="Q180" s="316">
        <f t="shared" si="9"/>
        <v>42.12</v>
      </c>
    </row>
    <row r="181" ht="15" spans="3:17">
      <c r="C181" s="55" t="s">
        <v>203</v>
      </c>
      <c r="D181" s="55" t="s">
        <v>204</v>
      </c>
      <c r="E181" s="147">
        <f>F4Ax!E181+F4Bx!E181</f>
        <v>9.29</v>
      </c>
      <c r="F181" s="147">
        <f>F4Ax!F181+F4Bx!F181</f>
        <v>9.21</v>
      </c>
      <c r="G181" s="147">
        <f>F4Ax!G181+F4Bx!G181</f>
        <v>8.94</v>
      </c>
      <c r="H181" s="147">
        <f>F4Ax!H181+F4Bx!H181</f>
        <v>8.9</v>
      </c>
      <c r="I181" s="147">
        <f>F4Ax!I181+F4Bx!I181</f>
        <v>8.82</v>
      </c>
      <c r="J181" s="147">
        <f>F4Ax!J181+F4Bx!J181</f>
        <v>9.34</v>
      </c>
      <c r="K181" s="147">
        <f>F4Ax!K181+F4Bx!K181</f>
        <v>8.56</v>
      </c>
      <c r="L181" s="147">
        <f>F4Ax!L181+F4Bx!L181</f>
        <v>8.18</v>
      </c>
      <c r="M181" s="147">
        <f>F4Ax!M181+F4Bx!M181</f>
        <v>10.08</v>
      </c>
      <c r="N181" s="147">
        <f>F4Ax!N181+F4Bx!N181</f>
        <v>10.47</v>
      </c>
      <c r="O181" s="147">
        <f>F4Ax!O181+F4Bx!O181</f>
        <v>10.72</v>
      </c>
      <c r="P181" s="147">
        <f>F4Ax!P181+F4Bx!P181</f>
        <v>10.05</v>
      </c>
      <c r="Q181" s="316">
        <f t="shared" si="9"/>
        <v>112.56</v>
      </c>
    </row>
    <row r="182" ht="15" spans="3:17">
      <c r="C182" s="55" t="s">
        <v>205</v>
      </c>
      <c r="D182" s="55" t="s">
        <v>206</v>
      </c>
      <c r="E182" s="147">
        <f>F4Ax!E182+F4Bx!E182</f>
        <v>11.64</v>
      </c>
      <c r="F182" s="147">
        <f>F4Ax!F182+F4Bx!F182</f>
        <v>13.6</v>
      </c>
      <c r="G182" s="147">
        <f>F4Ax!G182+F4Bx!G182</f>
        <v>13.89</v>
      </c>
      <c r="H182" s="147">
        <f>F4Ax!H182+F4Bx!H182</f>
        <v>10.1</v>
      </c>
      <c r="I182" s="147">
        <f>F4Ax!I182+F4Bx!I182</f>
        <v>10.44</v>
      </c>
      <c r="J182" s="147">
        <f>F4Ax!J182+F4Bx!J182</f>
        <v>10.38</v>
      </c>
      <c r="K182" s="147">
        <f>F4Ax!K182+F4Bx!K182</f>
        <v>10.01</v>
      </c>
      <c r="L182" s="147">
        <f>F4Ax!L182+F4Bx!L182</f>
        <v>9.76</v>
      </c>
      <c r="M182" s="147">
        <f>F4Ax!M182+F4Bx!M182</f>
        <v>9.04</v>
      </c>
      <c r="N182" s="147">
        <f>F4Ax!N182+F4Bx!N182</f>
        <v>9.14</v>
      </c>
      <c r="O182" s="147">
        <f>F4Ax!O182+F4Bx!O182</f>
        <v>9.49</v>
      </c>
      <c r="P182" s="147">
        <f>F4Ax!P182+F4Bx!P182</f>
        <v>10.1</v>
      </c>
      <c r="Q182" s="316">
        <f t="shared" si="9"/>
        <v>127.59</v>
      </c>
    </row>
    <row r="183" ht="15" spans="3:17">
      <c r="C183" s="55" t="s">
        <v>207</v>
      </c>
      <c r="D183" s="55" t="s">
        <v>186</v>
      </c>
      <c r="E183" s="147">
        <f>F4Ax!E183+F4Bx!E183</f>
        <v>4.92</v>
      </c>
      <c r="F183" s="147">
        <f>F4Ax!F183+F4Bx!F183</f>
        <v>5.26</v>
      </c>
      <c r="G183" s="147">
        <f>F4Ax!G183+F4Bx!G183</f>
        <v>5.93</v>
      </c>
      <c r="H183" s="147">
        <f>F4Ax!H183+F4Bx!H183</f>
        <v>5.85</v>
      </c>
      <c r="I183" s="147">
        <f>F4Ax!I183+F4Bx!I183</f>
        <v>6.77</v>
      </c>
      <c r="J183" s="147">
        <f>F4Ax!J183+F4Bx!J183</f>
        <v>7.14</v>
      </c>
      <c r="K183" s="147">
        <f>F4Ax!K183+F4Bx!K183</f>
        <v>7.73</v>
      </c>
      <c r="L183" s="147">
        <f>F4Ax!L183+F4Bx!L183</f>
        <v>8.32</v>
      </c>
      <c r="M183" s="147">
        <f>F4Ax!M183+F4Bx!M183</f>
        <v>8.04</v>
      </c>
      <c r="N183" s="147">
        <f>F4Ax!N183+F4Bx!N183</f>
        <v>8.59</v>
      </c>
      <c r="O183" s="147">
        <f>F4Ax!O183+F4Bx!O183</f>
        <v>8.93</v>
      </c>
      <c r="P183" s="147">
        <f>F4Ax!P183+F4Bx!P183</f>
        <v>7.92</v>
      </c>
      <c r="Q183" s="316">
        <f t="shared" si="9"/>
        <v>85.4</v>
      </c>
    </row>
    <row r="184" ht="15" spans="3:17">
      <c r="C184" s="55" t="s">
        <v>208</v>
      </c>
      <c r="D184" s="55" t="s">
        <v>209</v>
      </c>
      <c r="E184" s="147">
        <f>F4Ax!E184+F4Bx!E184</f>
        <v>0</v>
      </c>
      <c r="F184" s="147">
        <f>F4Ax!F184+F4Bx!F184</f>
        <v>0</v>
      </c>
      <c r="G184" s="147">
        <f>F4Ax!G184+F4Bx!G184</f>
        <v>0</v>
      </c>
      <c r="H184" s="147">
        <f>F4Ax!H184+F4Bx!H184</f>
        <v>0</v>
      </c>
      <c r="I184" s="147">
        <f>F4Ax!I184+F4Bx!I184</f>
        <v>0</v>
      </c>
      <c r="J184" s="147">
        <f>F4Ax!J184+F4Bx!J184</f>
        <v>0</v>
      </c>
      <c r="K184" s="147">
        <f>F4Ax!K184+F4Bx!K184</f>
        <v>0</v>
      </c>
      <c r="L184" s="147">
        <f>F4Ax!L184+F4Bx!L184</f>
        <v>0</v>
      </c>
      <c r="M184" s="147">
        <f>F4Ax!M184+F4Bx!M184</f>
        <v>0</v>
      </c>
      <c r="N184" s="147">
        <f>F4Ax!N184+F4Bx!N184</f>
        <v>0</v>
      </c>
      <c r="O184" s="147">
        <f>F4Ax!O184+F4Bx!O184</f>
        <v>0</v>
      </c>
      <c r="P184" s="147">
        <f>F4Ax!P184+F4Bx!P184</f>
        <v>0</v>
      </c>
      <c r="Q184" s="316">
        <f t="shared" si="9"/>
        <v>0</v>
      </c>
    </row>
    <row r="185" ht="15" spans="3:17">
      <c r="C185" s="55" t="s">
        <v>210</v>
      </c>
      <c r="D185" s="55" t="s">
        <v>188</v>
      </c>
      <c r="E185" s="147">
        <f>F4Ax!E185+F4Bx!E185</f>
        <v>0.03</v>
      </c>
      <c r="F185" s="147">
        <f>F4Ax!F185+F4Bx!F185</f>
        <v>0</v>
      </c>
      <c r="G185" s="147">
        <f>F4Ax!G185+F4Bx!G185</f>
        <v>0</v>
      </c>
      <c r="H185" s="147">
        <f>F4Ax!H185+F4Bx!H185</f>
        <v>0</v>
      </c>
      <c r="I185" s="147">
        <f>F4Ax!I185+F4Bx!I185</f>
        <v>0</v>
      </c>
      <c r="J185" s="147">
        <f>F4Ax!J185+F4Bx!J185</f>
        <v>0</v>
      </c>
      <c r="K185" s="147">
        <f>F4Ax!K185+F4Bx!K185</f>
        <v>0.11</v>
      </c>
      <c r="L185" s="147">
        <f>F4Ax!L185+F4Bx!L185</f>
        <v>0.17</v>
      </c>
      <c r="M185" s="147">
        <f>F4Ax!M185+F4Bx!M185</f>
        <v>0.3</v>
      </c>
      <c r="N185" s="147">
        <f>F4Ax!N185+F4Bx!N185</f>
        <v>0.32</v>
      </c>
      <c r="O185" s="147">
        <f>F4Ax!O185+F4Bx!O185</f>
        <v>0.33</v>
      </c>
      <c r="P185" s="147">
        <f>F4Ax!P185+F4Bx!P185</f>
        <v>0.34</v>
      </c>
      <c r="Q185" s="316">
        <f t="shared" si="9"/>
        <v>1.6</v>
      </c>
    </row>
    <row r="186" ht="15" spans="3:17">
      <c r="C186" s="55"/>
      <c r="D186" s="55"/>
      <c r="E186" s="147">
        <f>F4Ax!E186+F4Bx!E186</f>
        <v>0</v>
      </c>
      <c r="F186" s="147">
        <f>F4Ax!F186+F4Bx!F186</f>
        <v>0</v>
      </c>
      <c r="G186" s="147">
        <f>F4Ax!G186+F4Bx!G186</f>
        <v>0</v>
      </c>
      <c r="H186" s="147">
        <f>F4Ax!H186+F4Bx!H186</f>
        <v>0</v>
      </c>
      <c r="I186" s="147">
        <f>F4Ax!I186+F4Bx!I186</f>
        <v>0</v>
      </c>
      <c r="J186" s="147">
        <f>F4Ax!J186+F4Bx!J186</f>
        <v>0</v>
      </c>
      <c r="K186" s="147">
        <f>F4Ax!K186+F4Bx!K186</f>
        <v>0</v>
      </c>
      <c r="L186" s="147">
        <f>F4Ax!L186+F4Bx!L186</f>
        <v>0</v>
      </c>
      <c r="M186" s="147">
        <f>F4Ax!M186+F4Bx!M186</f>
        <v>0</v>
      </c>
      <c r="N186" s="147">
        <f>F4Ax!N186+F4Bx!N186</f>
        <v>0</v>
      </c>
      <c r="O186" s="147">
        <f>F4Ax!O186+F4Bx!O186</f>
        <v>0</v>
      </c>
      <c r="P186" s="147">
        <f>F4Ax!P186+F4Bx!P186</f>
        <v>0</v>
      </c>
      <c r="Q186" s="316">
        <f t="shared" si="9"/>
        <v>0</v>
      </c>
    </row>
    <row r="187" ht="15" spans="3:17">
      <c r="C187" s="55"/>
      <c r="D187" s="55"/>
      <c r="E187" s="147">
        <f>F4Ax!E187+F4Bx!E187</f>
        <v>0</v>
      </c>
      <c r="F187" s="147">
        <f>F4Ax!F187+F4Bx!F187</f>
        <v>0</v>
      </c>
      <c r="G187" s="147">
        <f>F4Ax!G187+F4Bx!G187</f>
        <v>0</v>
      </c>
      <c r="H187" s="147">
        <f>F4Ax!H187+F4Bx!H187</f>
        <v>0</v>
      </c>
      <c r="I187" s="147">
        <f>F4Ax!I187+F4Bx!I187</f>
        <v>0</v>
      </c>
      <c r="J187" s="147">
        <f>F4Ax!J187+F4Bx!J187</f>
        <v>0</v>
      </c>
      <c r="K187" s="147">
        <f>F4Ax!K187+F4Bx!K187</f>
        <v>0</v>
      </c>
      <c r="L187" s="147">
        <f>F4Ax!L187+F4Bx!L187</f>
        <v>0</v>
      </c>
      <c r="M187" s="147">
        <f>F4Ax!M187+F4Bx!M187</f>
        <v>0</v>
      </c>
      <c r="N187" s="147">
        <f>F4Ax!N187+F4Bx!N187</f>
        <v>0</v>
      </c>
      <c r="O187" s="147">
        <f>F4Ax!O187+F4Bx!O187</f>
        <v>0</v>
      </c>
      <c r="P187" s="147">
        <f>F4Ax!P187+F4Bx!P187</f>
        <v>0</v>
      </c>
      <c r="Q187" s="316">
        <f t="shared" si="9"/>
        <v>0</v>
      </c>
    </row>
    <row r="188" ht="15" spans="3:17">
      <c r="C188" s="55"/>
      <c r="D188" s="55"/>
      <c r="E188" s="147">
        <f>F4Ax!E188+F4Bx!E188</f>
        <v>0</v>
      </c>
      <c r="F188" s="147">
        <f>F4Ax!F188+F4Bx!F188</f>
        <v>0</v>
      </c>
      <c r="G188" s="147">
        <f>F4Ax!G188+F4Bx!G188</f>
        <v>0</v>
      </c>
      <c r="H188" s="147">
        <f>F4Ax!H188+F4Bx!H188</f>
        <v>0</v>
      </c>
      <c r="I188" s="147">
        <f>F4Ax!I188+F4Bx!I188</f>
        <v>0</v>
      </c>
      <c r="J188" s="147">
        <f>F4Ax!J188+F4Bx!J188</f>
        <v>0</v>
      </c>
      <c r="K188" s="147">
        <f>F4Ax!K188+F4Bx!K188</f>
        <v>0</v>
      </c>
      <c r="L188" s="147">
        <f>F4Ax!L188+F4Bx!L188</f>
        <v>0</v>
      </c>
      <c r="M188" s="147">
        <f>F4Ax!M188+F4Bx!M188</f>
        <v>0</v>
      </c>
      <c r="N188" s="147">
        <f>F4Ax!N188+F4Bx!N188</f>
        <v>0</v>
      </c>
      <c r="O188" s="147">
        <f>F4Ax!O188+F4Bx!O188</f>
        <v>0</v>
      </c>
      <c r="P188" s="147">
        <f>F4Ax!P188+F4Bx!P188</f>
        <v>0</v>
      </c>
      <c r="Q188" s="316">
        <f t="shared" si="9"/>
        <v>0</v>
      </c>
    </row>
    <row r="189" ht="15" spans="3:17">
      <c r="C189" s="55" t="s">
        <v>258</v>
      </c>
      <c r="D189" s="55" t="s">
        <v>258</v>
      </c>
      <c r="E189" s="147">
        <f>F4Ax!E189+F4Bx!E189</f>
        <v>0</v>
      </c>
      <c r="F189" s="147">
        <f>F4Ax!F189+F4Bx!F189</f>
        <v>0</v>
      </c>
      <c r="G189" s="147">
        <f>F4Ax!G189+F4Bx!G189</f>
        <v>0</v>
      </c>
      <c r="H189" s="147">
        <f>F4Ax!H189+F4Bx!H189</f>
        <v>0</v>
      </c>
      <c r="I189" s="147">
        <f>F4Ax!I189+F4Bx!I189</f>
        <v>0</v>
      </c>
      <c r="J189" s="147">
        <f>F4Ax!J189+F4Bx!J189</f>
        <v>0</v>
      </c>
      <c r="K189" s="147">
        <f>F4Ax!K189+F4Bx!K189</f>
        <v>0</v>
      </c>
      <c r="L189" s="147">
        <f>F4Ax!L189+F4Bx!L189</f>
        <v>0</v>
      </c>
      <c r="M189" s="147">
        <f>F4Ax!M189+F4Bx!M189</f>
        <v>0</v>
      </c>
      <c r="N189" s="147">
        <f>F4Ax!N189+F4Bx!N189</f>
        <v>0</v>
      </c>
      <c r="O189" s="147">
        <f>F4Ax!O189+F4Bx!O189</f>
        <v>0</v>
      </c>
      <c r="P189" s="147">
        <f>F4Ax!P189+F4Bx!P189</f>
        <v>0</v>
      </c>
      <c r="Q189" s="316">
        <f t="shared" si="9"/>
        <v>0</v>
      </c>
    </row>
    <row r="190" ht="15" spans="3:17">
      <c r="C190" s="537" t="s">
        <v>211</v>
      </c>
      <c r="D190" s="540"/>
      <c r="E190" s="316">
        <f t="shared" ref="E190:P190" si="11">SUM(E175:E189)</f>
        <v>292.06</v>
      </c>
      <c r="F190" s="316">
        <f t="shared" si="11"/>
        <v>341.09</v>
      </c>
      <c r="G190" s="316">
        <f t="shared" si="11"/>
        <v>421.07</v>
      </c>
      <c r="H190" s="316">
        <f t="shared" si="11"/>
        <v>406.96</v>
      </c>
      <c r="I190" s="316">
        <f t="shared" si="11"/>
        <v>411.74</v>
      </c>
      <c r="J190" s="316">
        <f t="shared" si="11"/>
        <v>433.34</v>
      </c>
      <c r="K190" s="316">
        <f t="shared" si="11"/>
        <v>427.72</v>
      </c>
      <c r="L190" s="316">
        <f t="shared" si="11"/>
        <v>446.05</v>
      </c>
      <c r="M190" s="316">
        <f t="shared" si="11"/>
        <v>447.71</v>
      </c>
      <c r="N190" s="316">
        <f t="shared" si="11"/>
        <v>461.55058111</v>
      </c>
      <c r="O190" s="316">
        <f t="shared" si="11"/>
        <v>469.850913</v>
      </c>
      <c r="P190" s="316">
        <f t="shared" si="11"/>
        <v>454.4683841</v>
      </c>
      <c r="Q190" s="316">
        <f t="shared" si="9"/>
        <v>5013.60987821</v>
      </c>
    </row>
    <row r="191" ht="15" spans="3:17">
      <c r="C191" s="44" t="s">
        <v>212</v>
      </c>
      <c r="D191" s="45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316">
        <f t="shared" ref="Q191:Q222" si="12">SUM(E191:P191)</f>
        <v>0</v>
      </c>
    </row>
    <row r="192" ht="15" spans="3:17">
      <c r="C192" s="55" t="s">
        <v>191</v>
      </c>
      <c r="D192" s="55" t="s">
        <v>192</v>
      </c>
      <c r="E192" s="147">
        <f>F4Ax!E192+F4Bx!E192</f>
        <v>174.4</v>
      </c>
      <c r="F192" s="147">
        <f>F4Ax!F192+F4Bx!F192</f>
        <v>221.27</v>
      </c>
      <c r="G192" s="147">
        <f>F4Ax!G192+F4Bx!G192</f>
        <v>284.78</v>
      </c>
      <c r="H192" s="147">
        <f>F4Ax!H192+F4Bx!H192</f>
        <v>280.18</v>
      </c>
      <c r="I192" s="147">
        <f>F4Ax!I192+F4Bx!I192</f>
        <v>287.25</v>
      </c>
      <c r="J192" s="147">
        <f>F4Ax!J192+F4Bx!J192</f>
        <v>307.8</v>
      </c>
      <c r="K192" s="147">
        <f>F4Ax!K192+F4Bx!K192</f>
        <v>311.07</v>
      </c>
      <c r="L192" s="147">
        <f>F4Ax!L192+F4Bx!L192</f>
        <v>319.32</v>
      </c>
      <c r="M192" s="147">
        <f>F4Ax!M192+F4Bx!M192</f>
        <v>312.07</v>
      </c>
      <c r="N192" s="147">
        <f>F4Ax!N192+F4Bx!N192</f>
        <v>339.89907744</v>
      </c>
      <c r="O192" s="147">
        <f>F4Ax!O192+F4Bx!O192</f>
        <v>367.04454</v>
      </c>
      <c r="P192" s="147">
        <f>F4Ax!P192+F4Bx!P192</f>
        <v>370.775284</v>
      </c>
      <c r="Q192" s="316">
        <f t="shared" si="12"/>
        <v>3575.85890144</v>
      </c>
    </row>
    <row r="193" ht="15" spans="3:17">
      <c r="C193" s="55" t="s">
        <v>193</v>
      </c>
      <c r="D193" s="55" t="s">
        <v>194</v>
      </c>
      <c r="E193" s="147">
        <f>F4Ax!E193+F4Bx!E193</f>
        <v>0.26</v>
      </c>
      <c r="F193" s="147">
        <f>F4Ax!F193+F4Bx!F193</f>
        <v>1.42</v>
      </c>
      <c r="G193" s="147">
        <f>F4Ax!G193+F4Bx!G193</f>
        <v>2.36</v>
      </c>
      <c r="H193" s="147">
        <f>F4Ax!H193+F4Bx!H193</f>
        <v>2.55</v>
      </c>
      <c r="I193" s="147">
        <f>F4Ax!I193+F4Bx!I193</f>
        <v>2.36</v>
      </c>
      <c r="J193" s="147">
        <f>F4Ax!J193+F4Bx!J193</f>
        <v>1.72</v>
      </c>
      <c r="K193" s="147">
        <f>F4Ax!K193+F4Bx!K193</f>
        <v>2.3</v>
      </c>
      <c r="L193" s="147">
        <f>F4Ax!L193+F4Bx!L193</f>
        <v>2.58</v>
      </c>
      <c r="M193" s="147">
        <f>F4Ax!M193+F4Bx!M193</f>
        <v>2.38</v>
      </c>
      <c r="N193" s="147">
        <f>F4Ax!N193+F4Bx!N193</f>
        <v>2.6814</v>
      </c>
      <c r="O193" s="147">
        <f>F4Ax!O193+F4Bx!O193</f>
        <v>2.5048</v>
      </c>
      <c r="P193" s="147">
        <f>F4Ax!P193+F4Bx!P193</f>
        <v>2.37</v>
      </c>
      <c r="Q193" s="316">
        <f t="shared" si="12"/>
        <v>25.4862</v>
      </c>
    </row>
    <row r="194" ht="15" spans="3:17">
      <c r="C194" s="55" t="s">
        <v>239</v>
      </c>
      <c r="D194" s="55" t="s">
        <v>196</v>
      </c>
      <c r="E194" s="147">
        <f>F4Ax!E194+F4Bx!E194</f>
        <v>45.01</v>
      </c>
      <c r="F194" s="147">
        <f>F4Ax!F194+F4Bx!F194</f>
        <v>45.26</v>
      </c>
      <c r="G194" s="147">
        <f>F4Ax!G194+F4Bx!G194</f>
        <v>54.52</v>
      </c>
      <c r="H194" s="147">
        <f>F4Ax!H194+F4Bx!H194</f>
        <v>51.01</v>
      </c>
      <c r="I194" s="147">
        <f>F4Ax!I194+F4Bx!I194</f>
        <v>50.42</v>
      </c>
      <c r="J194" s="147">
        <f>F4Ax!J194+F4Bx!J194</f>
        <v>53.13</v>
      </c>
      <c r="K194" s="147">
        <f>F4Ax!K194+F4Bx!K194</f>
        <v>53.19</v>
      </c>
      <c r="L194" s="147">
        <f>F4Ax!L194+F4Bx!L194</f>
        <v>53.73</v>
      </c>
      <c r="M194" s="147">
        <f>F4Ax!M194+F4Bx!M194</f>
        <v>51.79</v>
      </c>
      <c r="N194" s="147">
        <f>F4Ax!N194+F4Bx!N194</f>
        <v>54.133897</v>
      </c>
      <c r="O194" s="147">
        <f>F4Ax!O194+F4Bx!O194</f>
        <v>56.294178</v>
      </c>
      <c r="P194" s="147">
        <f>F4Ax!P194+F4Bx!P194</f>
        <v>57.692249</v>
      </c>
      <c r="Q194" s="316">
        <f t="shared" si="12"/>
        <v>626.180324</v>
      </c>
    </row>
    <row r="195" ht="15" spans="3:17">
      <c r="C195" s="55" t="s">
        <v>197</v>
      </c>
      <c r="D195" s="55" t="s">
        <v>198</v>
      </c>
      <c r="E195" s="147">
        <f>F4Ax!E195+F4Bx!E195</f>
        <v>0</v>
      </c>
      <c r="F195" s="147">
        <f>F4Ax!F195+F4Bx!F195</f>
        <v>0</v>
      </c>
      <c r="G195" s="147">
        <f>F4Ax!G195+F4Bx!G195</f>
        <v>0</v>
      </c>
      <c r="H195" s="147">
        <f>F4Ax!H195+F4Bx!H195</f>
        <v>0</v>
      </c>
      <c r="I195" s="147">
        <f>F4Ax!I195+F4Bx!I195</f>
        <v>0</v>
      </c>
      <c r="J195" s="147">
        <f>F4Ax!J195+F4Bx!J195</f>
        <v>0</v>
      </c>
      <c r="K195" s="147">
        <f>F4Ax!K195+F4Bx!K195</f>
        <v>0</v>
      </c>
      <c r="L195" s="147">
        <f>F4Ax!L195+F4Bx!L195</f>
        <v>0</v>
      </c>
      <c r="M195" s="147">
        <f>F4Ax!M195+F4Bx!M195</f>
        <v>0</v>
      </c>
      <c r="N195" s="147">
        <f>F4Ax!N195+F4Bx!N195</f>
        <v>0</v>
      </c>
      <c r="O195" s="147">
        <f>F4Ax!O195+F4Bx!O195</f>
        <v>0</v>
      </c>
      <c r="P195" s="147">
        <f>F4Ax!P195+F4Bx!P195</f>
        <v>0</v>
      </c>
      <c r="Q195" s="316">
        <f t="shared" si="12"/>
        <v>0</v>
      </c>
    </row>
    <row r="196" ht="15" spans="3:17">
      <c r="C196" s="55" t="s">
        <v>199</v>
      </c>
      <c r="D196" s="55" t="s">
        <v>200</v>
      </c>
      <c r="E196" s="147">
        <f>F4Ax!E196+F4Bx!E196</f>
        <v>0</v>
      </c>
      <c r="F196" s="147">
        <f>F4Ax!F196+F4Bx!F196</f>
        <v>0</v>
      </c>
      <c r="G196" s="147">
        <f>F4Ax!G196+F4Bx!G196</f>
        <v>0</v>
      </c>
      <c r="H196" s="147">
        <f>F4Ax!H196+F4Bx!H196</f>
        <v>0</v>
      </c>
      <c r="I196" s="147">
        <f>F4Ax!I196+F4Bx!I196</f>
        <v>0</v>
      </c>
      <c r="J196" s="147">
        <f>F4Ax!J196+F4Bx!J196</f>
        <v>0</v>
      </c>
      <c r="K196" s="147">
        <f>F4Ax!K196+F4Bx!K196</f>
        <v>0</v>
      </c>
      <c r="L196" s="147">
        <f>F4Ax!L196+F4Bx!L196</f>
        <v>0</v>
      </c>
      <c r="M196" s="147">
        <f>F4Ax!M196+F4Bx!M196</f>
        <v>0</v>
      </c>
      <c r="N196" s="147">
        <f>F4Ax!N196+F4Bx!N196</f>
        <v>0</v>
      </c>
      <c r="O196" s="147">
        <f>F4Ax!O196+F4Bx!O196</f>
        <v>0</v>
      </c>
      <c r="P196" s="147">
        <f>F4Ax!P196+F4Bx!P196</f>
        <v>0</v>
      </c>
      <c r="Q196" s="316">
        <f t="shared" si="12"/>
        <v>0</v>
      </c>
    </row>
    <row r="197" ht="15" spans="3:17">
      <c r="C197" s="55" t="s">
        <v>201</v>
      </c>
      <c r="D197" s="55" t="s">
        <v>202</v>
      </c>
      <c r="E197" s="147">
        <f>F4Ax!E197+F4Bx!E197</f>
        <v>1.96</v>
      </c>
      <c r="F197" s="147">
        <f>F4Ax!F197+F4Bx!F197</f>
        <v>0.23</v>
      </c>
      <c r="G197" s="147">
        <f>F4Ax!G197+F4Bx!G197</f>
        <v>0.07</v>
      </c>
      <c r="H197" s="147">
        <f>F4Ax!H197+F4Bx!H197</f>
        <v>0.08</v>
      </c>
      <c r="I197" s="147">
        <f>F4Ax!I197+F4Bx!I197</f>
        <v>0.41</v>
      </c>
      <c r="J197" s="147">
        <f>F4Ax!J197+F4Bx!J197</f>
        <v>0.84</v>
      </c>
      <c r="K197" s="147">
        <f>F4Ax!K197+F4Bx!K197</f>
        <v>0.69</v>
      </c>
      <c r="L197" s="147">
        <f>F4Ax!L197+F4Bx!L197</f>
        <v>1.36</v>
      </c>
      <c r="M197" s="147">
        <f>F4Ax!M197+F4Bx!M197</f>
        <v>0.82</v>
      </c>
      <c r="N197" s="147">
        <f>F4Ax!N197+F4Bx!N197</f>
        <v>1.39</v>
      </c>
      <c r="O197" s="147">
        <f>F4Ax!O197+F4Bx!O197</f>
        <v>2.93</v>
      </c>
      <c r="P197" s="147">
        <f>F4Ax!P197+F4Bx!P197</f>
        <v>3.73</v>
      </c>
      <c r="Q197" s="316">
        <f t="shared" si="12"/>
        <v>14.51</v>
      </c>
    </row>
    <row r="198" ht="15" spans="3:17">
      <c r="C198" s="55" t="s">
        <v>203</v>
      </c>
      <c r="D198" s="55" t="s">
        <v>204</v>
      </c>
      <c r="E198" s="147">
        <f>F4Ax!E198+F4Bx!E198</f>
        <v>16.08</v>
      </c>
      <c r="F198" s="147">
        <f>F4Ax!F198+F4Bx!F198</f>
        <v>15.72</v>
      </c>
      <c r="G198" s="147">
        <f>F4Ax!G198+F4Bx!G198</f>
        <v>15.83</v>
      </c>
      <c r="H198" s="147">
        <f>F4Ax!H198+F4Bx!H198</f>
        <v>15.79</v>
      </c>
      <c r="I198" s="147">
        <f>F4Ax!I198+F4Bx!I198</f>
        <v>16.24</v>
      </c>
      <c r="J198" s="147">
        <f>F4Ax!J198+F4Bx!J198</f>
        <v>17.09</v>
      </c>
      <c r="K198" s="147">
        <f>F4Ax!K198+F4Bx!K198</f>
        <v>16.09</v>
      </c>
      <c r="L198" s="147">
        <f>F4Ax!L198+F4Bx!L198</f>
        <v>9.85</v>
      </c>
      <c r="M198" s="147">
        <f>F4Ax!M198+F4Bx!M198</f>
        <v>15.23</v>
      </c>
      <c r="N198" s="147">
        <f>F4Ax!N198+F4Bx!N198</f>
        <v>18.59</v>
      </c>
      <c r="O198" s="147">
        <f>F4Ax!O198+F4Bx!O198</f>
        <v>18.31</v>
      </c>
      <c r="P198" s="147">
        <f>F4Ax!P198+F4Bx!P198</f>
        <v>16.58</v>
      </c>
      <c r="Q198" s="316">
        <f t="shared" si="12"/>
        <v>191.4</v>
      </c>
    </row>
    <row r="199" ht="15" spans="3:17">
      <c r="C199" s="55" t="s">
        <v>205</v>
      </c>
      <c r="D199" s="55" t="s">
        <v>206</v>
      </c>
      <c r="E199" s="147">
        <f>F4Ax!E199+F4Bx!E199</f>
        <v>7.42</v>
      </c>
      <c r="F199" s="147">
        <f>F4Ax!F199+F4Bx!F199</f>
        <v>8.82</v>
      </c>
      <c r="G199" s="147">
        <f>F4Ax!G199+F4Bx!G199</f>
        <v>9.12</v>
      </c>
      <c r="H199" s="147">
        <f>F4Ax!H199+F4Bx!H199</f>
        <v>6.89</v>
      </c>
      <c r="I199" s="147">
        <f>F4Ax!I199+F4Bx!I199</f>
        <v>6.47</v>
      </c>
      <c r="J199" s="147">
        <f>F4Ax!J199+F4Bx!J199</f>
        <v>6.75</v>
      </c>
      <c r="K199" s="147">
        <f>F4Ax!K199+F4Bx!K199</f>
        <v>6.51</v>
      </c>
      <c r="L199" s="147">
        <f>F4Ax!L199+F4Bx!L199</f>
        <v>6.49</v>
      </c>
      <c r="M199" s="147">
        <f>F4Ax!M199+F4Bx!M199</f>
        <v>6.26</v>
      </c>
      <c r="N199" s="147">
        <f>F4Ax!N199+F4Bx!N199</f>
        <v>6.47</v>
      </c>
      <c r="O199" s="147">
        <f>F4Ax!O199+F4Bx!O199</f>
        <v>6.63</v>
      </c>
      <c r="P199" s="147">
        <f>F4Ax!P199+F4Bx!P199</f>
        <v>7.33</v>
      </c>
      <c r="Q199" s="316">
        <f t="shared" si="12"/>
        <v>85.16</v>
      </c>
    </row>
    <row r="200" ht="15" spans="3:17">
      <c r="C200" s="55" t="s">
        <v>231</v>
      </c>
      <c r="D200" s="55" t="s">
        <v>186</v>
      </c>
      <c r="E200" s="147">
        <f>F4Ax!E200+F4Bx!E200</f>
        <v>2.09</v>
      </c>
      <c r="F200" s="147">
        <f>F4Ax!F200+F4Bx!F200</f>
        <v>2.1</v>
      </c>
      <c r="G200" s="147">
        <f>F4Ax!G200+F4Bx!G200</f>
        <v>1.6</v>
      </c>
      <c r="H200" s="147">
        <f>F4Ax!H200+F4Bx!H200</f>
        <v>1.56</v>
      </c>
      <c r="I200" s="147">
        <f>F4Ax!I200+F4Bx!I200</f>
        <v>1.77</v>
      </c>
      <c r="J200" s="147">
        <f>F4Ax!J200+F4Bx!J200</f>
        <v>1.95</v>
      </c>
      <c r="K200" s="147">
        <f>F4Ax!K200+F4Bx!K200</f>
        <v>1.79</v>
      </c>
      <c r="L200" s="147">
        <f>F4Ax!L200+F4Bx!L200</f>
        <v>1.09</v>
      </c>
      <c r="M200" s="147">
        <f>F4Ax!M200+F4Bx!M200</f>
        <v>1.23</v>
      </c>
      <c r="N200" s="147">
        <f>F4Ax!N200+F4Bx!N200</f>
        <v>1.15</v>
      </c>
      <c r="O200" s="147">
        <f>F4Ax!O200+F4Bx!O200</f>
        <v>0.98</v>
      </c>
      <c r="P200" s="147">
        <f>F4Ax!P200+F4Bx!P200</f>
        <v>1.14</v>
      </c>
      <c r="Q200" s="316">
        <f t="shared" si="12"/>
        <v>18.45</v>
      </c>
    </row>
    <row r="201" ht="15" spans="3:17">
      <c r="C201" s="55" t="s">
        <v>208</v>
      </c>
      <c r="D201" s="55" t="s">
        <v>209</v>
      </c>
      <c r="E201" s="147">
        <f>F4Ax!E201+F4Bx!E201</f>
        <v>0</v>
      </c>
      <c r="F201" s="147">
        <f>F4Ax!F201+F4Bx!F201</f>
        <v>0</v>
      </c>
      <c r="G201" s="147">
        <f>F4Ax!G201+F4Bx!G201</f>
        <v>0</v>
      </c>
      <c r="H201" s="147">
        <f>F4Ax!H201+F4Bx!H201</f>
        <v>0</v>
      </c>
      <c r="I201" s="147">
        <f>F4Ax!I201+F4Bx!I201</f>
        <v>0</v>
      </c>
      <c r="J201" s="147">
        <f>F4Ax!J201+F4Bx!J201</f>
        <v>0</v>
      </c>
      <c r="K201" s="147">
        <f>F4Ax!K201+F4Bx!K201</f>
        <v>0</v>
      </c>
      <c r="L201" s="147">
        <f>F4Ax!L201+F4Bx!L201</f>
        <v>0</v>
      </c>
      <c r="M201" s="147">
        <f>F4Ax!M201+F4Bx!M201</f>
        <v>0</v>
      </c>
      <c r="N201" s="147">
        <f>F4Ax!N201+F4Bx!N201</f>
        <v>0</v>
      </c>
      <c r="O201" s="147">
        <f>F4Ax!O201+F4Bx!O201</f>
        <v>0</v>
      </c>
      <c r="P201" s="147">
        <f>F4Ax!P201+F4Bx!P201</f>
        <v>0</v>
      </c>
      <c r="Q201" s="316">
        <f t="shared" si="12"/>
        <v>0</v>
      </c>
    </row>
    <row r="202" ht="15" spans="3:17">
      <c r="C202" s="55" t="s">
        <v>210</v>
      </c>
      <c r="D202" s="55" t="s">
        <v>188</v>
      </c>
      <c r="E202" s="147">
        <f>F4Ax!E202+F4Bx!E202</f>
        <v>0</v>
      </c>
      <c r="F202" s="147">
        <f>F4Ax!F202+F4Bx!F202</f>
        <v>0</v>
      </c>
      <c r="G202" s="147">
        <f>F4Ax!G202+F4Bx!G202</f>
        <v>0</v>
      </c>
      <c r="H202" s="147">
        <f>F4Ax!H202+F4Bx!H202</f>
        <v>0</v>
      </c>
      <c r="I202" s="147">
        <f>F4Ax!I202+F4Bx!I202</f>
        <v>0</v>
      </c>
      <c r="J202" s="147">
        <f>F4Ax!J202+F4Bx!J202</f>
        <v>0</v>
      </c>
      <c r="K202" s="147">
        <f>F4Ax!K202+F4Bx!K202</f>
        <v>0</v>
      </c>
      <c r="L202" s="147">
        <f>F4Ax!L202+F4Bx!L202</f>
        <v>0</v>
      </c>
      <c r="M202" s="147">
        <f>F4Ax!M202+F4Bx!M202</f>
        <v>0</v>
      </c>
      <c r="N202" s="147">
        <f>F4Ax!N202+F4Bx!N202</f>
        <v>0</v>
      </c>
      <c r="O202" s="147">
        <f>F4Ax!O202+F4Bx!O202</f>
        <v>0</v>
      </c>
      <c r="P202" s="147">
        <f>F4Ax!P202+F4Bx!P202</f>
        <v>0</v>
      </c>
      <c r="Q202" s="316">
        <f t="shared" si="12"/>
        <v>0</v>
      </c>
    </row>
    <row r="203" ht="15" spans="3:17">
      <c r="C203" s="55"/>
      <c r="D203" s="55"/>
      <c r="E203" s="147">
        <f>F4Ax!E203+F4Bx!E203</f>
        <v>0</v>
      </c>
      <c r="F203" s="147">
        <f>F4Ax!F203+F4Bx!F203</f>
        <v>0</v>
      </c>
      <c r="G203" s="147">
        <f>F4Ax!G203+F4Bx!G203</f>
        <v>0</v>
      </c>
      <c r="H203" s="147">
        <f>F4Ax!H203+F4Bx!H203</f>
        <v>0</v>
      </c>
      <c r="I203" s="147">
        <f>F4Ax!I203+F4Bx!I203</f>
        <v>0</v>
      </c>
      <c r="J203" s="147">
        <f>F4Ax!J203+F4Bx!J203</f>
        <v>0</v>
      </c>
      <c r="K203" s="147">
        <f>F4Ax!K203+F4Bx!K203</f>
        <v>0</v>
      </c>
      <c r="L203" s="147">
        <f>F4Ax!L203+F4Bx!L203</f>
        <v>0</v>
      </c>
      <c r="M203" s="147">
        <f>F4Ax!M203+F4Bx!M203</f>
        <v>0</v>
      </c>
      <c r="N203" s="147">
        <f>F4Ax!N203+F4Bx!N203</f>
        <v>0</v>
      </c>
      <c r="O203" s="147">
        <f>F4Ax!O203+F4Bx!O203</f>
        <v>0</v>
      </c>
      <c r="P203" s="147">
        <f>F4Ax!P203+F4Bx!P203</f>
        <v>0</v>
      </c>
      <c r="Q203" s="316">
        <f t="shared" si="12"/>
        <v>0</v>
      </c>
    </row>
    <row r="204" ht="15" spans="3:17">
      <c r="C204" s="55"/>
      <c r="D204" s="55"/>
      <c r="E204" s="147">
        <f>F4Ax!E204+F4Bx!E204</f>
        <v>0</v>
      </c>
      <c r="F204" s="147">
        <f>F4Ax!F204+F4Bx!F204</f>
        <v>0</v>
      </c>
      <c r="G204" s="147">
        <f>F4Ax!G204+F4Bx!G204</f>
        <v>0</v>
      </c>
      <c r="H204" s="147">
        <f>F4Ax!H204+F4Bx!H204</f>
        <v>0</v>
      </c>
      <c r="I204" s="147">
        <f>F4Ax!I204+F4Bx!I204</f>
        <v>0</v>
      </c>
      <c r="J204" s="147">
        <f>F4Ax!J204+F4Bx!J204</f>
        <v>0</v>
      </c>
      <c r="K204" s="147">
        <f>F4Ax!K204+F4Bx!K204</f>
        <v>0</v>
      </c>
      <c r="L204" s="147">
        <f>F4Ax!L204+F4Bx!L204</f>
        <v>0</v>
      </c>
      <c r="M204" s="147">
        <f>F4Ax!M204+F4Bx!M204</f>
        <v>0</v>
      </c>
      <c r="N204" s="147">
        <f>F4Ax!N204+F4Bx!N204</f>
        <v>0</v>
      </c>
      <c r="O204" s="147">
        <f>F4Ax!O204+F4Bx!O204</f>
        <v>0</v>
      </c>
      <c r="P204" s="147">
        <f>F4Ax!P204+F4Bx!P204</f>
        <v>0</v>
      </c>
      <c r="Q204" s="316">
        <f t="shared" si="12"/>
        <v>0</v>
      </c>
    </row>
    <row r="205" ht="15" spans="3:17">
      <c r="C205" s="55"/>
      <c r="D205" s="55"/>
      <c r="E205" s="147">
        <f>F4Ax!E205+F4Bx!E205</f>
        <v>0</v>
      </c>
      <c r="F205" s="147">
        <f>F4Ax!F205+F4Bx!F205</f>
        <v>0</v>
      </c>
      <c r="G205" s="147">
        <f>F4Ax!G205+F4Bx!G205</f>
        <v>0</v>
      </c>
      <c r="H205" s="147">
        <f>F4Ax!H205+F4Bx!H205</f>
        <v>0</v>
      </c>
      <c r="I205" s="147">
        <f>F4Ax!I205+F4Bx!I205</f>
        <v>0</v>
      </c>
      <c r="J205" s="147">
        <f>F4Ax!J205+F4Bx!J205</f>
        <v>0</v>
      </c>
      <c r="K205" s="147">
        <f>F4Ax!K205+F4Bx!K205</f>
        <v>0</v>
      </c>
      <c r="L205" s="147">
        <f>F4Ax!L205+F4Bx!L205</f>
        <v>0</v>
      </c>
      <c r="M205" s="147">
        <f>F4Ax!M205+F4Bx!M205</f>
        <v>0</v>
      </c>
      <c r="N205" s="147">
        <f>F4Ax!N205+F4Bx!N205</f>
        <v>0</v>
      </c>
      <c r="O205" s="147">
        <f>F4Ax!O205+F4Bx!O205</f>
        <v>0</v>
      </c>
      <c r="P205" s="147">
        <f>F4Ax!P205+F4Bx!P205</f>
        <v>0</v>
      </c>
      <c r="Q205" s="316">
        <f t="shared" si="12"/>
        <v>0</v>
      </c>
    </row>
    <row r="206" ht="15" spans="3:17">
      <c r="C206" s="55" t="s">
        <v>258</v>
      </c>
      <c r="D206" s="55" t="s">
        <v>258</v>
      </c>
      <c r="E206" s="147">
        <f>F4Ax!E206+F4Bx!E206</f>
        <v>0</v>
      </c>
      <c r="F206" s="147">
        <f>F4Ax!F206+F4Bx!F206</f>
        <v>0</v>
      </c>
      <c r="G206" s="147">
        <f>F4Ax!G206+F4Bx!G206</f>
        <v>0</v>
      </c>
      <c r="H206" s="147">
        <f>F4Ax!H206+F4Bx!H206</f>
        <v>0</v>
      </c>
      <c r="I206" s="147">
        <f>F4Ax!I206+F4Bx!I206</f>
        <v>0</v>
      </c>
      <c r="J206" s="147">
        <f>F4Ax!J206+F4Bx!J206</f>
        <v>0</v>
      </c>
      <c r="K206" s="147">
        <f>F4Ax!K206+F4Bx!K206</f>
        <v>0</v>
      </c>
      <c r="L206" s="147">
        <f>F4Ax!L206+F4Bx!L206</f>
        <v>0</v>
      </c>
      <c r="M206" s="147">
        <f>F4Ax!M206+F4Bx!M206</f>
        <v>0</v>
      </c>
      <c r="N206" s="147">
        <f>F4Ax!N206+F4Bx!N206</f>
        <v>0</v>
      </c>
      <c r="O206" s="147">
        <f>F4Ax!O206+F4Bx!O206</f>
        <v>0</v>
      </c>
      <c r="P206" s="147">
        <f>F4Ax!P206+F4Bx!P206</f>
        <v>0</v>
      </c>
      <c r="Q206" s="316">
        <f t="shared" si="12"/>
        <v>0</v>
      </c>
    </row>
    <row r="207" ht="15" spans="3:17">
      <c r="C207" s="537" t="s">
        <v>211</v>
      </c>
      <c r="D207" s="540"/>
      <c r="E207" s="316">
        <f t="shared" ref="E207:P207" si="13">SUM(E192:E206)</f>
        <v>247.22</v>
      </c>
      <c r="F207" s="316">
        <f t="shared" si="13"/>
        <v>294.82</v>
      </c>
      <c r="G207" s="316">
        <f t="shared" si="13"/>
        <v>368.28</v>
      </c>
      <c r="H207" s="316">
        <f t="shared" si="13"/>
        <v>358.06</v>
      </c>
      <c r="I207" s="316">
        <f t="shared" si="13"/>
        <v>364.92</v>
      </c>
      <c r="J207" s="316">
        <f t="shared" si="13"/>
        <v>389.28</v>
      </c>
      <c r="K207" s="316">
        <f t="shared" si="13"/>
        <v>391.64</v>
      </c>
      <c r="L207" s="316">
        <f t="shared" si="13"/>
        <v>394.42</v>
      </c>
      <c r="M207" s="316">
        <f t="shared" si="13"/>
        <v>389.78</v>
      </c>
      <c r="N207" s="316">
        <f t="shared" si="13"/>
        <v>424.31437444</v>
      </c>
      <c r="O207" s="316">
        <f t="shared" si="13"/>
        <v>454.693518</v>
      </c>
      <c r="P207" s="316">
        <f t="shared" si="13"/>
        <v>459.617533</v>
      </c>
      <c r="Q207" s="316">
        <f t="shared" si="12"/>
        <v>4537.04542544</v>
      </c>
    </row>
    <row r="208" ht="15" spans="3:17">
      <c r="C208" s="44" t="s">
        <v>219</v>
      </c>
      <c r="D208" s="45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316">
        <f t="shared" si="12"/>
        <v>0</v>
      </c>
    </row>
    <row r="209" ht="15" spans="3:17">
      <c r="C209" s="55" t="s">
        <v>191</v>
      </c>
      <c r="D209" s="55" t="s">
        <v>192</v>
      </c>
      <c r="E209" s="147">
        <f>F4Ax!E209+F4Bx!E209</f>
        <v>130.49</v>
      </c>
      <c r="F209" s="147">
        <f>F4Ax!F209+F4Bx!F209</f>
        <v>165.04</v>
      </c>
      <c r="G209" s="147">
        <f>F4Ax!G209+F4Bx!G209</f>
        <v>166.32</v>
      </c>
      <c r="H209" s="147">
        <f>F4Ax!H209+F4Bx!H209</f>
        <v>166.16</v>
      </c>
      <c r="I209" s="147">
        <f>F4Ax!I209+F4Bx!I209</f>
        <v>165.1</v>
      </c>
      <c r="J209" s="147">
        <f>F4Ax!J209+F4Bx!J209</f>
        <v>177.75</v>
      </c>
      <c r="K209" s="147">
        <f>F4Ax!K209+F4Bx!K209</f>
        <v>196.87</v>
      </c>
      <c r="L209" s="147">
        <f>F4Ax!L209+F4Bx!L209</f>
        <v>187.39</v>
      </c>
      <c r="M209" s="147">
        <f>F4Ax!M209+F4Bx!M209</f>
        <v>200.39</v>
      </c>
      <c r="N209" s="147">
        <f>F4Ax!N209+F4Bx!N209</f>
        <v>213.25353935</v>
      </c>
      <c r="O209" s="147">
        <f>F4Ax!O209+F4Bx!O209</f>
        <v>223.17034719</v>
      </c>
      <c r="P209" s="147">
        <f>F4Ax!P209+F4Bx!P209</f>
        <v>245.787624</v>
      </c>
      <c r="Q209" s="316">
        <f t="shared" si="12"/>
        <v>2237.72151054</v>
      </c>
    </row>
    <row r="210" ht="15" spans="3:17">
      <c r="C210" s="55" t="s">
        <v>193</v>
      </c>
      <c r="D210" s="55" t="s">
        <v>194</v>
      </c>
      <c r="E210" s="147">
        <f>F4Ax!E210+F4Bx!E210</f>
        <v>1.38</v>
      </c>
      <c r="F210" s="147">
        <f>F4Ax!F210+F4Bx!F210</f>
        <v>5.99</v>
      </c>
      <c r="G210" s="147">
        <f>F4Ax!G210+F4Bx!G210</f>
        <v>9.52</v>
      </c>
      <c r="H210" s="147">
        <f>F4Ax!H210+F4Bx!H210</f>
        <v>4.83</v>
      </c>
      <c r="I210" s="147">
        <f>F4Ax!I210+F4Bx!I210</f>
        <v>2.41</v>
      </c>
      <c r="J210" s="147">
        <f>F4Ax!J210+F4Bx!J210</f>
        <v>3.92</v>
      </c>
      <c r="K210" s="147">
        <f>F4Ax!K210+F4Bx!K210</f>
        <v>11.11</v>
      </c>
      <c r="L210" s="147">
        <f>F4Ax!L210+F4Bx!L210</f>
        <v>13.99</v>
      </c>
      <c r="M210" s="147">
        <f>F4Ax!M210+F4Bx!M210</f>
        <v>14.54</v>
      </c>
      <c r="N210" s="147">
        <f>F4Ax!N210+F4Bx!N210</f>
        <v>14.26</v>
      </c>
      <c r="O210" s="147">
        <f>F4Ax!O210+F4Bx!O210</f>
        <v>11.71</v>
      </c>
      <c r="P210" s="147">
        <f>F4Ax!P210+F4Bx!P210</f>
        <v>10.87</v>
      </c>
      <c r="Q210" s="316">
        <f t="shared" si="12"/>
        <v>104.53</v>
      </c>
    </row>
    <row r="211" ht="15" spans="3:17">
      <c r="C211" s="55" t="s">
        <v>239</v>
      </c>
      <c r="D211" s="55" t="s">
        <v>196</v>
      </c>
      <c r="E211" s="147">
        <f>F4Ax!E211+F4Bx!E211</f>
        <v>1.88</v>
      </c>
      <c r="F211" s="147">
        <f>F4Ax!F211+F4Bx!F211</f>
        <v>2.51</v>
      </c>
      <c r="G211" s="147">
        <f>F4Ax!G211+F4Bx!G211</f>
        <v>3.66</v>
      </c>
      <c r="H211" s="147">
        <f>F4Ax!H211+F4Bx!H211</f>
        <v>3.29</v>
      </c>
      <c r="I211" s="147">
        <f>F4Ax!I211+F4Bx!I211</f>
        <v>3.34</v>
      </c>
      <c r="J211" s="147">
        <f>F4Ax!J211+F4Bx!J211</f>
        <v>3.46</v>
      </c>
      <c r="K211" s="147">
        <f>F4Ax!K211+F4Bx!K211</f>
        <v>3.39</v>
      </c>
      <c r="L211" s="147">
        <f>F4Ax!L211+F4Bx!L211</f>
        <v>3.19</v>
      </c>
      <c r="M211" s="147">
        <f>F4Ax!M211+F4Bx!M211</f>
        <v>2.97</v>
      </c>
      <c r="N211" s="147">
        <f>F4Ax!N211+F4Bx!N211</f>
        <v>2.95766</v>
      </c>
      <c r="O211" s="147">
        <f>F4Ax!O211+F4Bx!O211</f>
        <v>3.088329</v>
      </c>
      <c r="P211" s="147">
        <f>F4Ax!P211+F4Bx!P211</f>
        <v>3.284371</v>
      </c>
      <c r="Q211" s="316">
        <f t="shared" si="12"/>
        <v>37.02036</v>
      </c>
    </row>
    <row r="212" ht="15" spans="3:17">
      <c r="C212" s="55" t="s">
        <v>197</v>
      </c>
      <c r="D212" s="55" t="s">
        <v>198</v>
      </c>
      <c r="E212" s="147">
        <f>F4Ax!E212+F4Bx!E212</f>
        <v>0</v>
      </c>
      <c r="F212" s="147">
        <f>F4Ax!F212+F4Bx!F212</f>
        <v>0</v>
      </c>
      <c r="G212" s="147">
        <f>F4Ax!G212+F4Bx!G212</f>
        <v>0</v>
      </c>
      <c r="H212" s="147">
        <f>F4Ax!H212+F4Bx!H212</f>
        <v>0</v>
      </c>
      <c r="I212" s="147">
        <f>F4Ax!I212+F4Bx!I212</f>
        <v>0</v>
      </c>
      <c r="J212" s="147">
        <f>F4Ax!J212+F4Bx!J212</f>
        <v>0</v>
      </c>
      <c r="K212" s="147">
        <f>F4Ax!K212+F4Bx!K212</f>
        <v>0</v>
      </c>
      <c r="L212" s="147">
        <f>F4Ax!L212+F4Bx!L212</f>
        <v>0</v>
      </c>
      <c r="M212" s="147">
        <f>F4Ax!M212+F4Bx!M212</f>
        <v>0</v>
      </c>
      <c r="N212" s="147">
        <f>F4Ax!N212+F4Bx!N212</f>
        <v>0</v>
      </c>
      <c r="O212" s="147">
        <f>F4Ax!O212+F4Bx!O212</f>
        <v>0</v>
      </c>
      <c r="P212" s="147">
        <f>F4Ax!P212+F4Bx!P212</f>
        <v>0</v>
      </c>
      <c r="Q212" s="316">
        <f t="shared" si="12"/>
        <v>0</v>
      </c>
    </row>
    <row r="213" ht="15" spans="3:17">
      <c r="C213" s="55" t="s">
        <v>199</v>
      </c>
      <c r="D213" s="55" t="s">
        <v>200</v>
      </c>
      <c r="E213" s="147">
        <f>F4Ax!E213+F4Bx!E213</f>
        <v>3.49</v>
      </c>
      <c r="F213" s="147">
        <f>F4Ax!F213+F4Bx!F213</f>
        <v>4.01</v>
      </c>
      <c r="G213" s="147">
        <f>F4Ax!G213+F4Bx!G213</f>
        <v>6.41</v>
      </c>
      <c r="H213" s="147">
        <f>F4Ax!H213+F4Bx!H213</f>
        <v>5.7</v>
      </c>
      <c r="I213" s="147">
        <f>F4Ax!I213+F4Bx!I213</f>
        <v>4.09</v>
      </c>
      <c r="J213" s="147">
        <f>F4Ax!J213+F4Bx!J213</f>
        <v>4.11</v>
      </c>
      <c r="K213" s="147">
        <f>F4Ax!K213+F4Bx!K213</f>
        <v>4.05</v>
      </c>
      <c r="L213" s="147">
        <f>F4Ax!L213+F4Bx!L213</f>
        <v>3.99</v>
      </c>
      <c r="M213" s="147">
        <f>F4Ax!M213+F4Bx!M213</f>
        <v>3.47</v>
      </c>
      <c r="N213" s="147">
        <f>F4Ax!N213+F4Bx!N213</f>
        <v>3.525</v>
      </c>
      <c r="O213" s="147">
        <f>F4Ax!O213+F4Bx!O213</f>
        <v>3.846</v>
      </c>
      <c r="P213" s="147">
        <f>F4Ax!P213+F4Bx!P213</f>
        <v>3.675</v>
      </c>
      <c r="Q213" s="316">
        <f t="shared" si="12"/>
        <v>50.366</v>
      </c>
    </row>
    <row r="214" ht="15" spans="3:17">
      <c r="C214" s="55" t="s">
        <v>201</v>
      </c>
      <c r="D214" s="55" t="s">
        <v>240</v>
      </c>
      <c r="E214" s="147">
        <f>F4Ax!E214+F4Bx!E214</f>
        <v>185.9</v>
      </c>
      <c r="F214" s="147">
        <f>F4Ax!F214+F4Bx!F214</f>
        <v>56.15</v>
      </c>
      <c r="G214" s="147">
        <f>F4Ax!G214+F4Bx!G214</f>
        <v>122.98</v>
      </c>
      <c r="H214" s="147">
        <f>F4Ax!H214+F4Bx!H214</f>
        <v>86.59</v>
      </c>
      <c r="I214" s="147">
        <f>F4Ax!I214+F4Bx!I214</f>
        <v>144.21</v>
      </c>
      <c r="J214" s="147">
        <f>F4Ax!J214+F4Bx!J214</f>
        <v>189.87</v>
      </c>
      <c r="K214" s="147">
        <f>F4Ax!K214+F4Bx!K214</f>
        <v>54</v>
      </c>
      <c r="L214" s="147">
        <f>F4Ax!L214+F4Bx!L214</f>
        <v>47.46</v>
      </c>
      <c r="M214" s="147">
        <f>F4Ax!M214+F4Bx!M214</f>
        <v>95.07</v>
      </c>
      <c r="N214" s="147">
        <f>F4Ax!N214+F4Bx!N214</f>
        <v>163.05</v>
      </c>
      <c r="O214" s="147">
        <f>F4Ax!O214+F4Bx!O214</f>
        <v>211.66</v>
      </c>
      <c r="P214" s="147">
        <f>F4Ax!P214+F4Bx!P214</f>
        <v>203.84</v>
      </c>
      <c r="Q214" s="316">
        <f t="shared" si="12"/>
        <v>1560.78</v>
      </c>
    </row>
    <row r="215" ht="15" spans="3:17">
      <c r="C215" s="55" t="s">
        <v>203</v>
      </c>
      <c r="D215" s="55" t="s">
        <v>220</v>
      </c>
      <c r="E215" s="147">
        <f>F4Ax!E215+F4Bx!E215</f>
        <v>20.34</v>
      </c>
      <c r="F215" s="147">
        <f>F4Ax!F215+F4Bx!F215</f>
        <v>19.3</v>
      </c>
      <c r="G215" s="147">
        <f>F4Ax!G215+F4Bx!G215</f>
        <v>20.1</v>
      </c>
      <c r="H215" s="147">
        <f>F4Ax!H215+F4Bx!H215</f>
        <v>18.29</v>
      </c>
      <c r="I215" s="147">
        <f>F4Ax!I215+F4Bx!I215</f>
        <v>20.23</v>
      </c>
      <c r="J215" s="147">
        <f>F4Ax!J215+F4Bx!J215</f>
        <v>19.57</v>
      </c>
      <c r="K215" s="147">
        <f>F4Ax!K215+F4Bx!K215</f>
        <v>18.35</v>
      </c>
      <c r="L215" s="147">
        <f>F4Ax!L215+F4Bx!L215</f>
        <v>0.74</v>
      </c>
      <c r="M215" s="147">
        <f>F4Ax!M215+F4Bx!M215</f>
        <v>14.76</v>
      </c>
      <c r="N215" s="147">
        <f>F4Ax!N215+F4Bx!N215</f>
        <v>18.29</v>
      </c>
      <c r="O215" s="147">
        <f>F4Ax!O215+F4Bx!O215</f>
        <v>20.54</v>
      </c>
      <c r="P215" s="147">
        <f>F4Ax!P215+F4Bx!P215</f>
        <v>17.5</v>
      </c>
      <c r="Q215" s="316">
        <f t="shared" si="12"/>
        <v>208.01</v>
      </c>
    </row>
    <row r="216" ht="15" spans="3:17">
      <c r="C216" s="55" t="s">
        <v>241</v>
      </c>
      <c r="D216" s="55" t="s">
        <v>229</v>
      </c>
      <c r="E216" s="147">
        <f>F4Ax!E216+F4Bx!E216</f>
        <v>13.32</v>
      </c>
      <c r="F216" s="147">
        <f>F4Ax!F216+F4Bx!F216</f>
        <v>12.71</v>
      </c>
      <c r="G216" s="147">
        <f>F4Ax!G216+F4Bx!G216</f>
        <v>15.97</v>
      </c>
      <c r="H216" s="147">
        <f>F4Ax!H216+F4Bx!H216</f>
        <v>13.3</v>
      </c>
      <c r="I216" s="147">
        <f>F4Ax!I216+F4Bx!I216</f>
        <v>13.76</v>
      </c>
      <c r="J216" s="147">
        <f>F4Ax!J216+F4Bx!J216</f>
        <v>14.21</v>
      </c>
      <c r="K216" s="147">
        <f>F4Ax!K216+F4Bx!K216</f>
        <v>13.86</v>
      </c>
      <c r="L216" s="147">
        <f>F4Ax!L216+F4Bx!L216</f>
        <v>15.4</v>
      </c>
      <c r="M216" s="147">
        <f>F4Ax!M216+F4Bx!M216</f>
        <v>16.67</v>
      </c>
      <c r="N216" s="147">
        <f>F4Ax!N216+F4Bx!N216</f>
        <v>19.74</v>
      </c>
      <c r="O216" s="147">
        <f>F4Ax!O216+F4Bx!O216</f>
        <v>22.96</v>
      </c>
      <c r="P216" s="147">
        <f>F4Ax!P216+F4Bx!P216</f>
        <v>20.41</v>
      </c>
      <c r="Q216" s="316">
        <f t="shared" si="12"/>
        <v>192.31</v>
      </c>
    </row>
    <row r="217" ht="15" spans="3:17">
      <c r="C217" s="55" t="s">
        <v>259</v>
      </c>
      <c r="D217" s="55" t="s">
        <v>243</v>
      </c>
      <c r="E217" s="147">
        <f>F4Ax!E217+F4Bx!E217</f>
        <v>1.76</v>
      </c>
      <c r="F217" s="147">
        <f>F4Ax!F217+F4Bx!F217</f>
        <v>1.69</v>
      </c>
      <c r="G217" s="147">
        <f>F4Ax!G217+F4Bx!G217</f>
        <v>2</v>
      </c>
      <c r="H217" s="147">
        <f>F4Ax!H217+F4Bx!H217</f>
        <v>1.77</v>
      </c>
      <c r="I217" s="147">
        <f>F4Ax!I217+F4Bx!I217</f>
        <v>1.74</v>
      </c>
      <c r="J217" s="147">
        <f>F4Ax!J217+F4Bx!J217</f>
        <v>3.57</v>
      </c>
      <c r="K217" s="147">
        <f>F4Ax!K217+F4Bx!K217</f>
        <v>5.66</v>
      </c>
      <c r="L217" s="147">
        <f>F4Ax!L217+F4Bx!L217</f>
        <v>5.88</v>
      </c>
      <c r="M217" s="147">
        <f>F4Ax!M217+F4Bx!M217</f>
        <v>5.78</v>
      </c>
      <c r="N217" s="147">
        <f>F4Ax!N217+F4Bx!N217</f>
        <v>5.82</v>
      </c>
      <c r="O217" s="147">
        <f>F4Ax!O217+F4Bx!O217</f>
        <v>5.89</v>
      </c>
      <c r="P217" s="147">
        <f>F4Ax!P217+F4Bx!P217</f>
        <v>5.5</v>
      </c>
      <c r="Q217" s="316">
        <f t="shared" si="12"/>
        <v>47.06</v>
      </c>
    </row>
    <row r="218" ht="15" spans="3:17">
      <c r="C218" s="55" t="s">
        <v>205</v>
      </c>
      <c r="D218" s="55" t="s">
        <v>206</v>
      </c>
      <c r="E218" s="147">
        <f>F4Ax!E218+F4Bx!E218</f>
        <v>0</v>
      </c>
      <c r="F218" s="147">
        <f>F4Ax!F218+F4Bx!F218</f>
        <v>0</v>
      </c>
      <c r="G218" s="147">
        <f>F4Ax!G218+F4Bx!G218</f>
        <v>0</v>
      </c>
      <c r="H218" s="147">
        <f>F4Ax!H218+F4Bx!H218</f>
        <v>0</v>
      </c>
      <c r="I218" s="147">
        <f>F4Ax!I218+F4Bx!I218</f>
        <v>0</v>
      </c>
      <c r="J218" s="147">
        <f>F4Ax!J218+F4Bx!J218</f>
        <v>0</v>
      </c>
      <c r="K218" s="147">
        <f>F4Ax!K218+F4Bx!K218</f>
        <v>0</v>
      </c>
      <c r="L218" s="147">
        <f>F4Ax!L218+F4Bx!L218</f>
        <v>0</v>
      </c>
      <c r="M218" s="147">
        <f>F4Ax!M218+F4Bx!M218</f>
        <v>0</v>
      </c>
      <c r="N218" s="147">
        <f>F4Ax!N218+F4Bx!N218</f>
        <v>0</v>
      </c>
      <c r="O218" s="147">
        <f>F4Ax!O218+F4Bx!O218</f>
        <v>0</v>
      </c>
      <c r="P218" s="147">
        <f>F4Ax!P218+F4Bx!P218</f>
        <v>0</v>
      </c>
      <c r="Q218" s="316">
        <f t="shared" si="12"/>
        <v>0</v>
      </c>
    </row>
    <row r="219" ht="15" spans="3:17">
      <c r="C219" s="55" t="s">
        <v>207</v>
      </c>
      <c r="D219" s="55" t="s">
        <v>186</v>
      </c>
      <c r="E219" s="147">
        <f>F4Ax!E219+F4Bx!E219</f>
        <v>0</v>
      </c>
      <c r="F219" s="147">
        <f>F4Ax!F219+F4Bx!F219</f>
        <v>0</v>
      </c>
      <c r="G219" s="147">
        <f>F4Ax!G219+F4Bx!G219</f>
        <v>0</v>
      </c>
      <c r="H219" s="147">
        <f>F4Ax!H219+F4Bx!H219</f>
        <v>0</v>
      </c>
      <c r="I219" s="147">
        <f>F4Ax!I219+F4Bx!I219</f>
        <v>0</v>
      </c>
      <c r="J219" s="147">
        <f>F4Ax!J219+F4Bx!J219</f>
        <v>0</v>
      </c>
      <c r="K219" s="147">
        <f>F4Ax!K219+F4Bx!K219</f>
        <v>0</v>
      </c>
      <c r="L219" s="147">
        <f>F4Ax!L219+F4Bx!L219</f>
        <v>0</v>
      </c>
      <c r="M219" s="147">
        <f>F4Ax!M219+F4Bx!M219</f>
        <v>0</v>
      </c>
      <c r="N219" s="147">
        <f>F4Ax!N219+F4Bx!N219</f>
        <v>0</v>
      </c>
      <c r="O219" s="147">
        <f>F4Ax!O219+F4Bx!O219</f>
        <v>0</v>
      </c>
      <c r="P219" s="147">
        <f>F4Ax!P219+F4Bx!P219</f>
        <v>0</v>
      </c>
      <c r="Q219" s="316">
        <f t="shared" si="12"/>
        <v>0</v>
      </c>
    </row>
    <row r="220" ht="15" spans="3:17">
      <c r="C220" s="55" t="s">
        <v>208</v>
      </c>
      <c r="D220" s="55" t="s">
        <v>209</v>
      </c>
      <c r="E220" s="147">
        <f>F4Ax!E220+F4Bx!E220</f>
        <v>0</v>
      </c>
      <c r="F220" s="147">
        <f>F4Ax!F220+F4Bx!F220</f>
        <v>0</v>
      </c>
      <c r="G220" s="147">
        <f>F4Ax!G220+F4Bx!G220</f>
        <v>0</v>
      </c>
      <c r="H220" s="147">
        <f>F4Ax!H220+F4Bx!H220</f>
        <v>0</v>
      </c>
      <c r="I220" s="147">
        <f>F4Ax!I220+F4Bx!I220</f>
        <v>0</v>
      </c>
      <c r="J220" s="147">
        <f>F4Ax!J220+F4Bx!J220</f>
        <v>0</v>
      </c>
      <c r="K220" s="147">
        <f>F4Ax!K220+F4Bx!K220</f>
        <v>0</v>
      </c>
      <c r="L220" s="147">
        <f>F4Ax!L220+F4Bx!L220</f>
        <v>0</v>
      </c>
      <c r="M220" s="147">
        <f>F4Ax!M220+F4Bx!M220</f>
        <v>0</v>
      </c>
      <c r="N220" s="147">
        <f>F4Ax!N220+F4Bx!N220</f>
        <v>0</v>
      </c>
      <c r="O220" s="147">
        <f>F4Ax!O220+F4Bx!O220</f>
        <v>0</v>
      </c>
      <c r="P220" s="147">
        <f>F4Ax!P220+F4Bx!P220</f>
        <v>0</v>
      </c>
      <c r="Q220" s="316">
        <f t="shared" si="12"/>
        <v>0</v>
      </c>
    </row>
    <row r="221" ht="15" spans="3:17">
      <c r="C221" s="55" t="s">
        <v>210</v>
      </c>
      <c r="D221" s="55" t="s">
        <v>188</v>
      </c>
      <c r="E221" s="147">
        <f>F4Ax!E221+F4Bx!E221</f>
        <v>0</v>
      </c>
      <c r="F221" s="147">
        <f>F4Ax!F221+F4Bx!F221</f>
        <v>0</v>
      </c>
      <c r="G221" s="147">
        <f>F4Ax!G221+F4Bx!G221</f>
        <v>0</v>
      </c>
      <c r="H221" s="147">
        <f>F4Ax!H221+F4Bx!H221</f>
        <v>0</v>
      </c>
      <c r="I221" s="147">
        <f>F4Ax!I221+F4Bx!I221</f>
        <v>0</v>
      </c>
      <c r="J221" s="147">
        <f>F4Ax!J221+F4Bx!J221</f>
        <v>0</v>
      </c>
      <c r="K221" s="147">
        <f>F4Ax!K221+F4Bx!K221</f>
        <v>0</v>
      </c>
      <c r="L221" s="147">
        <f>F4Ax!L221+F4Bx!L221</f>
        <v>0</v>
      </c>
      <c r="M221" s="147">
        <f>F4Ax!M221+F4Bx!M221</f>
        <v>0</v>
      </c>
      <c r="N221" s="147">
        <f>F4Ax!N221+F4Bx!N221</f>
        <v>0</v>
      </c>
      <c r="O221" s="147">
        <f>F4Ax!O221+F4Bx!O221</f>
        <v>0</v>
      </c>
      <c r="P221" s="147">
        <f>F4Ax!P221+F4Bx!P221</f>
        <v>0</v>
      </c>
      <c r="Q221" s="316">
        <f t="shared" si="12"/>
        <v>0</v>
      </c>
    </row>
    <row r="222" ht="15" spans="3:17">
      <c r="C222" s="55"/>
      <c r="D222" s="55"/>
      <c r="E222" s="147">
        <f>F4Ax!E222+F4Bx!E222</f>
        <v>0</v>
      </c>
      <c r="F222" s="147">
        <f>F4Ax!F222+F4Bx!F222</f>
        <v>0</v>
      </c>
      <c r="G222" s="147">
        <f>F4Ax!G222+F4Bx!G222</f>
        <v>0</v>
      </c>
      <c r="H222" s="147">
        <f>F4Ax!H222+F4Bx!H222</f>
        <v>0</v>
      </c>
      <c r="I222" s="147">
        <f>F4Ax!I222+F4Bx!I222</f>
        <v>0</v>
      </c>
      <c r="J222" s="147">
        <f>F4Ax!J222+F4Bx!J222</f>
        <v>0</v>
      </c>
      <c r="K222" s="147">
        <f>F4Ax!K222+F4Bx!K222</f>
        <v>0</v>
      </c>
      <c r="L222" s="147">
        <f>F4Ax!L222+F4Bx!L222</f>
        <v>0</v>
      </c>
      <c r="M222" s="147">
        <f>F4Ax!M222+F4Bx!M222</f>
        <v>0</v>
      </c>
      <c r="N222" s="147">
        <f>F4Ax!N222+F4Bx!N222</f>
        <v>0</v>
      </c>
      <c r="O222" s="147">
        <f>F4Ax!O222+F4Bx!O222</f>
        <v>0</v>
      </c>
      <c r="P222" s="147">
        <f>F4Ax!P222+F4Bx!P222</f>
        <v>0</v>
      </c>
      <c r="Q222" s="316">
        <f t="shared" si="12"/>
        <v>0</v>
      </c>
    </row>
    <row r="223" ht="15" spans="3:17">
      <c r="C223" s="55"/>
      <c r="D223" s="55"/>
      <c r="E223" s="147">
        <f>F4Ax!E223+F4Bx!E223</f>
        <v>0</v>
      </c>
      <c r="F223" s="147">
        <f>F4Ax!F223+F4Bx!F223</f>
        <v>0</v>
      </c>
      <c r="G223" s="147">
        <f>F4Ax!G223+F4Bx!G223</f>
        <v>0</v>
      </c>
      <c r="H223" s="147">
        <f>F4Ax!H223+F4Bx!H223</f>
        <v>0</v>
      </c>
      <c r="I223" s="147">
        <f>F4Ax!I223+F4Bx!I223</f>
        <v>0</v>
      </c>
      <c r="J223" s="147">
        <f>F4Ax!J223+F4Bx!J223</f>
        <v>0</v>
      </c>
      <c r="K223" s="147">
        <f>F4Ax!K223+F4Bx!K223</f>
        <v>0</v>
      </c>
      <c r="L223" s="147">
        <f>F4Ax!L223+F4Bx!L223</f>
        <v>0</v>
      </c>
      <c r="M223" s="147">
        <f>F4Ax!M223+F4Bx!M223</f>
        <v>0</v>
      </c>
      <c r="N223" s="147">
        <f>F4Ax!N223+F4Bx!N223</f>
        <v>0</v>
      </c>
      <c r="O223" s="147">
        <f>F4Ax!O223+F4Bx!O223</f>
        <v>0</v>
      </c>
      <c r="P223" s="147">
        <f>F4Ax!P223+F4Bx!P223</f>
        <v>0</v>
      </c>
      <c r="Q223" s="316">
        <f t="shared" ref="Q223:Q227" si="14">SUM(E223:P223)</f>
        <v>0</v>
      </c>
    </row>
    <row r="224" ht="15" spans="3:17">
      <c r="C224" s="55" t="s">
        <v>258</v>
      </c>
      <c r="D224" s="55" t="s">
        <v>258</v>
      </c>
      <c r="E224" s="147">
        <f>F4Ax!E224+F4Bx!E224</f>
        <v>0</v>
      </c>
      <c r="F224" s="147">
        <f>F4Ax!F224+F4Bx!F224</f>
        <v>0</v>
      </c>
      <c r="G224" s="147">
        <f>F4Ax!G224+F4Bx!G224</f>
        <v>0</v>
      </c>
      <c r="H224" s="147">
        <f>F4Ax!H224+F4Bx!H224</f>
        <v>0</v>
      </c>
      <c r="I224" s="147">
        <f>F4Ax!I224+F4Bx!I224</f>
        <v>0</v>
      </c>
      <c r="J224" s="147">
        <f>F4Ax!J224+F4Bx!J224</f>
        <v>0</v>
      </c>
      <c r="K224" s="147">
        <f>F4Ax!K224+F4Bx!K224</f>
        <v>0</v>
      </c>
      <c r="L224" s="147">
        <f>F4Ax!L224+F4Bx!L224</f>
        <v>0</v>
      </c>
      <c r="M224" s="147">
        <f>F4Ax!M224+F4Bx!M224</f>
        <v>0</v>
      </c>
      <c r="N224" s="147">
        <f>F4Ax!N224+F4Bx!N224</f>
        <v>0</v>
      </c>
      <c r="O224" s="147">
        <f>F4Ax!O224+F4Bx!O224</f>
        <v>0</v>
      </c>
      <c r="P224" s="147">
        <f>F4Ax!P224+F4Bx!P224</f>
        <v>0</v>
      </c>
      <c r="Q224" s="316">
        <f t="shared" si="14"/>
        <v>0</v>
      </c>
    </row>
    <row r="225" ht="15" spans="3:17">
      <c r="C225" s="537" t="s">
        <v>211</v>
      </c>
      <c r="D225" s="540"/>
      <c r="E225" s="316">
        <f t="shared" ref="E225:P225" si="15">SUM(E209:E224)</f>
        <v>358.56</v>
      </c>
      <c r="F225" s="316">
        <f t="shared" si="15"/>
        <v>267.4</v>
      </c>
      <c r="G225" s="316">
        <f t="shared" si="15"/>
        <v>346.96</v>
      </c>
      <c r="H225" s="316">
        <f t="shared" si="15"/>
        <v>299.93</v>
      </c>
      <c r="I225" s="316">
        <f t="shared" si="15"/>
        <v>354.88</v>
      </c>
      <c r="J225" s="316">
        <f t="shared" si="15"/>
        <v>416.46</v>
      </c>
      <c r="K225" s="316">
        <f t="shared" si="15"/>
        <v>307.29</v>
      </c>
      <c r="L225" s="316">
        <f t="shared" si="15"/>
        <v>278.04</v>
      </c>
      <c r="M225" s="316">
        <f t="shared" si="15"/>
        <v>353.65</v>
      </c>
      <c r="N225" s="316">
        <f t="shared" si="15"/>
        <v>440.89619935</v>
      </c>
      <c r="O225" s="316">
        <f t="shared" si="15"/>
        <v>502.86467619</v>
      </c>
      <c r="P225" s="316">
        <f t="shared" si="15"/>
        <v>510.866995</v>
      </c>
      <c r="Q225" s="316">
        <f t="shared" si="14"/>
        <v>4437.79787054</v>
      </c>
    </row>
    <row r="226" ht="15" spans="3:17">
      <c r="C226" s="537" t="s">
        <v>223</v>
      </c>
      <c r="D226" s="540"/>
      <c r="E226" s="316">
        <f t="shared" ref="E226:P226" si="16">E225+E207+E190</f>
        <v>897.84</v>
      </c>
      <c r="F226" s="316">
        <f t="shared" si="16"/>
        <v>903.31</v>
      </c>
      <c r="G226" s="316">
        <f t="shared" si="16"/>
        <v>1136.31</v>
      </c>
      <c r="H226" s="316">
        <f t="shared" si="16"/>
        <v>1064.95</v>
      </c>
      <c r="I226" s="316">
        <f t="shared" si="16"/>
        <v>1131.54</v>
      </c>
      <c r="J226" s="316">
        <f t="shared" si="16"/>
        <v>1239.08</v>
      </c>
      <c r="K226" s="316">
        <f t="shared" si="16"/>
        <v>1126.65</v>
      </c>
      <c r="L226" s="316">
        <f t="shared" si="16"/>
        <v>1118.51</v>
      </c>
      <c r="M226" s="316">
        <f t="shared" si="16"/>
        <v>1191.14</v>
      </c>
      <c r="N226" s="316">
        <f t="shared" si="16"/>
        <v>1326.7611549</v>
      </c>
      <c r="O226" s="316">
        <f t="shared" si="16"/>
        <v>1427.40910719</v>
      </c>
      <c r="P226" s="316">
        <f t="shared" si="16"/>
        <v>1424.9529121</v>
      </c>
      <c r="Q226" s="316">
        <f t="shared" si="14"/>
        <v>13988.45317419</v>
      </c>
    </row>
    <row r="227" ht="15" spans="3:17">
      <c r="C227" s="537" t="s">
        <v>224</v>
      </c>
      <c r="D227" s="540"/>
      <c r="E227" s="316">
        <f t="shared" ref="E227:P227" si="17">E226+E173</f>
        <v>2779.57801634123</v>
      </c>
      <c r="F227" s="316">
        <f t="shared" si="17"/>
        <v>2924.80022445918</v>
      </c>
      <c r="G227" s="316">
        <f t="shared" si="17"/>
        <v>2745.26663387274</v>
      </c>
      <c r="H227" s="316">
        <f t="shared" si="17"/>
        <v>3142.12534910347</v>
      </c>
      <c r="I227" s="316">
        <f t="shared" si="17"/>
        <v>3044.33078554768</v>
      </c>
      <c r="J227" s="316">
        <f t="shared" si="17"/>
        <v>3003.4014131</v>
      </c>
      <c r="K227" s="316">
        <f t="shared" si="17"/>
        <v>2750.83015589</v>
      </c>
      <c r="L227" s="316">
        <f t="shared" si="17"/>
        <v>2535.64702527421</v>
      </c>
      <c r="M227" s="316">
        <f t="shared" si="17"/>
        <v>3175.88338973</v>
      </c>
      <c r="N227" s="316">
        <f t="shared" si="17"/>
        <v>3739.5643616607</v>
      </c>
      <c r="O227" s="316">
        <f t="shared" si="17"/>
        <v>3737.60184774039</v>
      </c>
      <c r="P227" s="316">
        <f t="shared" si="17"/>
        <v>4695.64558820606</v>
      </c>
      <c r="Q227" s="316">
        <f t="shared" si="14"/>
        <v>38274.6747909257</v>
      </c>
    </row>
    <row r="228" ht="15" spans="3:17">
      <c r="C228" s="3"/>
      <c r="D228" s="3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</row>
    <row r="229" ht="15" spans="3:17">
      <c r="C229" s="14"/>
      <c r="Q229" s="3" t="s">
        <v>236</v>
      </c>
    </row>
    <row r="230" ht="15" spans="3:17">
      <c r="C230" s="6" t="s">
        <v>159</v>
      </c>
      <c r="D230" s="6"/>
      <c r="E230" s="135" t="s">
        <v>261</v>
      </c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</row>
    <row r="231" ht="15" spans="3:17">
      <c r="C231" s="6"/>
      <c r="D231" s="6"/>
      <c r="E231" s="135" t="s">
        <v>246</v>
      </c>
      <c r="F231" s="135" t="s">
        <v>247</v>
      </c>
      <c r="G231" s="135" t="s">
        <v>248</v>
      </c>
      <c r="H231" s="135" t="s">
        <v>249</v>
      </c>
      <c r="I231" s="135" t="s">
        <v>250</v>
      </c>
      <c r="J231" s="135" t="s">
        <v>251</v>
      </c>
      <c r="K231" s="135" t="s">
        <v>252</v>
      </c>
      <c r="L231" s="135" t="s">
        <v>253</v>
      </c>
      <c r="M231" s="135" t="s">
        <v>254</v>
      </c>
      <c r="N231" s="135" t="s">
        <v>255</v>
      </c>
      <c r="O231" s="135" t="s">
        <v>256</v>
      </c>
      <c r="P231" s="135" t="s">
        <v>257</v>
      </c>
      <c r="Q231" s="135" t="s">
        <v>97</v>
      </c>
    </row>
    <row r="232" ht="15" spans="3:17">
      <c r="C232" s="44" t="s">
        <v>170</v>
      </c>
      <c r="D232" s="45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316">
        <f t="shared" ref="Q232:Q263" si="18">SUM(E232:P232)</f>
        <v>0</v>
      </c>
    </row>
    <row r="233" ht="15" spans="3:17">
      <c r="C233" s="47" t="s">
        <v>171</v>
      </c>
      <c r="D233" s="47" t="s">
        <v>172</v>
      </c>
      <c r="E233" s="147">
        <f>F4Ax!E233+F4Bx!E233</f>
        <v>958.6312096</v>
      </c>
      <c r="F233" s="147">
        <f>F4Ax!F233+F4Bx!F233</f>
        <v>947.77734622</v>
      </c>
      <c r="G233" s="147">
        <f>F4Ax!G233+F4Bx!G233</f>
        <v>817.066939</v>
      </c>
      <c r="H233" s="147">
        <f>F4Ax!H233+F4Bx!H233</f>
        <v>781.51773</v>
      </c>
      <c r="I233" s="147">
        <f>F4Ax!I233+F4Bx!I233</f>
        <v>783.46889321</v>
      </c>
      <c r="J233" s="147">
        <f>F4Ax!J233+F4Bx!J233</f>
        <v>744.23774119</v>
      </c>
      <c r="K233" s="147">
        <f>F4Ax!K233+F4Bx!K233</f>
        <v>770.82084596</v>
      </c>
      <c r="L233" s="147">
        <f>F4Ax!L233+F4Bx!L233</f>
        <v>678.15063825</v>
      </c>
      <c r="M233" s="147">
        <f>F4Ax!M233+F4Bx!M233</f>
        <v>642.3749949</v>
      </c>
      <c r="N233" s="147">
        <f>F4Ax!N233+F4Bx!N233</f>
        <v>634.498739</v>
      </c>
      <c r="O233" s="147">
        <f>F4Ax!O233+F4Bx!O233</f>
        <v>652.04275759</v>
      </c>
      <c r="P233" s="147">
        <f>F4Ax!P233+F4Bx!P233</f>
        <v>924.62434831</v>
      </c>
      <c r="Q233" s="316">
        <f t="shared" si="18"/>
        <v>9335.21218323</v>
      </c>
    </row>
    <row r="234" ht="15" spans="3:17">
      <c r="C234" s="55" t="s">
        <v>173</v>
      </c>
      <c r="D234" s="55" t="s">
        <v>174</v>
      </c>
      <c r="E234" s="147">
        <f>F4Ax!E234+F4Bx!E234</f>
        <v>216.622602</v>
      </c>
      <c r="F234" s="147">
        <f>F4Ax!F234+F4Bx!F234</f>
        <v>164.782805</v>
      </c>
      <c r="G234" s="147">
        <f>F4Ax!G234+F4Bx!G234</f>
        <v>187.96645104</v>
      </c>
      <c r="H234" s="147">
        <f>F4Ax!H234+F4Bx!H234</f>
        <v>203.2554</v>
      </c>
      <c r="I234" s="147">
        <f>F4Ax!I234+F4Bx!I234</f>
        <v>208.33792147</v>
      </c>
      <c r="J234" s="147">
        <f>F4Ax!J234+F4Bx!J234</f>
        <v>202.38050946</v>
      </c>
      <c r="K234" s="147">
        <f>F4Ax!K234+F4Bx!K234</f>
        <v>219.36207261</v>
      </c>
      <c r="L234" s="147">
        <f>F4Ax!L234+F4Bx!L234</f>
        <v>206.03346725</v>
      </c>
      <c r="M234" s="147">
        <f>F4Ax!M234+F4Bx!M234</f>
        <v>200.8110605</v>
      </c>
      <c r="N234" s="147">
        <f>F4Ax!N234+F4Bx!N234</f>
        <v>188.034485</v>
      </c>
      <c r="O234" s="147">
        <f>F4Ax!O234+F4Bx!O234</f>
        <v>203.62566825</v>
      </c>
      <c r="P234" s="147">
        <f>F4Ax!P234+F4Bx!P234</f>
        <v>267.1268865</v>
      </c>
      <c r="Q234" s="316">
        <f t="shared" si="18"/>
        <v>2468.33932908</v>
      </c>
    </row>
    <row r="235" ht="15" spans="3:17">
      <c r="C235" s="55" t="s">
        <v>175</v>
      </c>
      <c r="D235" s="55" t="s">
        <v>176</v>
      </c>
      <c r="E235" s="147">
        <f>F4Ax!E235+F4Bx!E235</f>
        <v>72.129595</v>
      </c>
      <c r="F235" s="147">
        <f>F4Ax!F235+F4Bx!F235</f>
        <v>62.519583</v>
      </c>
      <c r="G235" s="147">
        <f>F4Ax!G235+F4Bx!G235</f>
        <v>70.313388</v>
      </c>
      <c r="H235" s="147">
        <f>F4Ax!H235+F4Bx!H235</f>
        <v>75.565589</v>
      </c>
      <c r="I235" s="147">
        <f>F4Ax!I235+F4Bx!I235</f>
        <v>74.327884</v>
      </c>
      <c r="J235" s="147">
        <f>F4Ax!J235+F4Bx!J235</f>
        <v>69.495636</v>
      </c>
      <c r="K235" s="147">
        <f>F4Ax!K235+F4Bx!K235</f>
        <v>71.286587</v>
      </c>
      <c r="L235" s="147">
        <f>F4Ax!L235+F4Bx!L235</f>
        <v>75.917098</v>
      </c>
      <c r="M235" s="147">
        <f>F4Ax!M235+F4Bx!M235</f>
        <v>85.897062</v>
      </c>
      <c r="N235" s="147">
        <f>F4Ax!N235+F4Bx!N235</f>
        <v>79.088023</v>
      </c>
      <c r="O235" s="147">
        <f>F4Ax!O235+F4Bx!O235</f>
        <v>76.008109</v>
      </c>
      <c r="P235" s="147">
        <f>F4Ax!P235+F4Bx!P235</f>
        <v>79.632552</v>
      </c>
      <c r="Q235" s="316">
        <f t="shared" si="18"/>
        <v>892.181106</v>
      </c>
    </row>
    <row r="236" ht="15" spans="3:17">
      <c r="C236" s="55" t="s">
        <v>177</v>
      </c>
      <c r="D236" s="55" t="s">
        <v>178</v>
      </c>
      <c r="E236" s="147">
        <f>F4Ax!E236+F4Bx!E236</f>
        <v>0.811382</v>
      </c>
      <c r="F236" s="147">
        <f>F4Ax!F236+F4Bx!F236</f>
        <v>0.687753</v>
      </c>
      <c r="G236" s="147">
        <f>F4Ax!G236+F4Bx!G236</f>
        <v>0.782228</v>
      </c>
      <c r="H236" s="147">
        <f>F4Ax!H236+F4Bx!H236</f>
        <v>0.806994</v>
      </c>
      <c r="I236" s="147">
        <f>F4Ax!I236+F4Bx!I236</f>
        <v>0.767551</v>
      </c>
      <c r="J236" s="147">
        <f>F4Ax!J236+F4Bx!J236</f>
        <v>0.730633</v>
      </c>
      <c r="K236" s="147">
        <f>F4Ax!K236+F4Bx!K236</f>
        <v>0.782965</v>
      </c>
      <c r="L236" s="147">
        <f>F4Ax!L236+F4Bx!L236</f>
        <v>0.753787</v>
      </c>
      <c r="M236" s="147">
        <f>F4Ax!M236+F4Bx!M236</f>
        <v>0.764057</v>
      </c>
      <c r="N236" s="147">
        <f>F4Ax!N236+F4Bx!N236</f>
        <v>0.648226</v>
      </c>
      <c r="O236" s="147">
        <f>F4Ax!O236+F4Bx!O236</f>
        <v>0.627256</v>
      </c>
      <c r="P236" s="147">
        <f>F4Ax!P236+F4Bx!P236</f>
        <v>0.818623</v>
      </c>
      <c r="Q236" s="316">
        <f t="shared" si="18"/>
        <v>8.981455</v>
      </c>
    </row>
    <row r="237" ht="15" spans="3:17">
      <c r="C237" s="55" t="s">
        <v>179</v>
      </c>
      <c r="D237" s="55" t="s">
        <v>180</v>
      </c>
      <c r="E237" s="147">
        <f>F4Ax!E237+F4Bx!E237</f>
        <v>1072.59193717063</v>
      </c>
      <c r="F237" s="147">
        <f>F4Ax!F237+F4Bx!F237</f>
        <v>556.239089937373</v>
      </c>
      <c r="G237" s="147">
        <f>F4Ax!G237+F4Bx!G237</f>
        <v>545.389182946933</v>
      </c>
      <c r="H237" s="147">
        <f>F4Ax!H237+F4Bx!H237</f>
        <v>935.437165580384</v>
      </c>
      <c r="I237" s="147">
        <f>F4Ax!I237+F4Bx!I237</f>
        <v>1428.66565815359</v>
      </c>
      <c r="J237" s="147">
        <f>F4Ax!J237+F4Bx!J237</f>
        <v>871.507398885458</v>
      </c>
      <c r="K237" s="147">
        <f>F4Ax!K237+F4Bx!K237</f>
        <v>1004.44518767881</v>
      </c>
      <c r="L237" s="147">
        <f>F4Ax!L237+F4Bx!L237</f>
        <v>394.882793219235</v>
      </c>
      <c r="M237" s="147">
        <f>F4Ax!M237+F4Bx!M237</f>
        <v>882.23348368295</v>
      </c>
      <c r="N237" s="147">
        <f>F4Ax!N237+F4Bx!N237</f>
        <v>1166.43524578621</v>
      </c>
      <c r="O237" s="147">
        <f>F4Ax!O237+F4Bx!O237</f>
        <v>1197.76734866097</v>
      </c>
      <c r="P237" s="147">
        <f>F4Ax!P237+F4Bx!P237</f>
        <v>1668.76314684963</v>
      </c>
      <c r="Q237" s="316">
        <f t="shared" si="18"/>
        <v>11724.3576385522</v>
      </c>
    </row>
    <row r="238" ht="15" spans="3:17">
      <c r="C238" s="55" t="s">
        <v>181</v>
      </c>
      <c r="D238" s="55" t="s">
        <v>182</v>
      </c>
      <c r="E238" s="147">
        <f>F4Ax!E238+F4Bx!E238</f>
        <v>39.974317</v>
      </c>
      <c r="F238" s="147">
        <f>F4Ax!F238+F4Bx!F238</f>
        <v>37.89918</v>
      </c>
      <c r="G238" s="147">
        <f>F4Ax!G238+F4Bx!G238</f>
        <v>36.7185941</v>
      </c>
      <c r="H238" s="147">
        <f>F4Ax!H238+F4Bx!H238</f>
        <v>37.23527875</v>
      </c>
      <c r="I238" s="147">
        <f>F4Ax!I238+F4Bx!I238</f>
        <v>37.20049</v>
      </c>
      <c r="J238" s="147">
        <f>F4Ax!J238+F4Bx!J238</f>
        <v>36.156446</v>
      </c>
      <c r="K238" s="147">
        <f>F4Ax!K238+F4Bx!K238</f>
        <v>39.504069</v>
      </c>
      <c r="L238" s="147">
        <f>F4Ax!L238+F4Bx!L238</f>
        <v>37.812615</v>
      </c>
      <c r="M238" s="147">
        <f>F4Ax!M238+F4Bx!M238</f>
        <v>39.7390975</v>
      </c>
      <c r="N238" s="147">
        <f>F4Ax!N238+F4Bx!N238</f>
        <v>38.91495325</v>
      </c>
      <c r="O238" s="147">
        <f>F4Ax!O238+F4Bx!O238</f>
        <v>38.393703</v>
      </c>
      <c r="P238" s="147">
        <f>F4Ax!P238+F4Bx!P238</f>
        <v>42.636841</v>
      </c>
      <c r="Q238" s="316">
        <f t="shared" si="18"/>
        <v>462.1855846</v>
      </c>
    </row>
    <row r="239" ht="15" spans="3:17">
      <c r="C239" s="55" t="s">
        <v>183</v>
      </c>
      <c r="D239" s="55" t="s">
        <v>184</v>
      </c>
      <c r="E239" s="147">
        <f>F4Ax!E239+F4Bx!E239</f>
        <v>4.9724112</v>
      </c>
      <c r="F239" s="147">
        <f>F4Ax!F239+F4Bx!F239</f>
        <v>3.9698763</v>
      </c>
      <c r="G239" s="147">
        <f>F4Ax!G239+F4Bx!G239</f>
        <v>3.8782</v>
      </c>
      <c r="H239" s="147">
        <f>F4Ax!H239+F4Bx!H239</f>
        <v>4.268814</v>
      </c>
      <c r="I239" s="147">
        <f>F4Ax!I239+F4Bx!I239</f>
        <v>4.424712</v>
      </c>
      <c r="J239" s="147">
        <f>F4Ax!J239+F4Bx!J239</f>
        <v>4.478792</v>
      </c>
      <c r="K239" s="147">
        <f>F4Ax!K239+F4Bx!K239</f>
        <v>5.1390957</v>
      </c>
      <c r="L239" s="147">
        <f>F4Ax!L239+F4Bx!L239</f>
        <v>6.1701034</v>
      </c>
      <c r="M239" s="147">
        <f>F4Ax!M239+F4Bx!M239</f>
        <v>5.851374</v>
      </c>
      <c r="N239" s="147">
        <f>F4Ax!N239+F4Bx!N239</f>
        <v>4.0501452</v>
      </c>
      <c r="O239" s="147">
        <f>F4Ax!O239+F4Bx!O239</f>
        <v>5.9031316</v>
      </c>
      <c r="P239" s="147">
        <f>F4Ax!P239+F4Bx!P239</f>
        <v>8.2073661</v>
      </c>
      <c r="Q239" s="316">
        <f t="shared" si="18"/>
        <v>61.3140215</v>
      </c>
    </row>
    <row r="240" ht="15" spans="3:17">
      <c r="C240" s="55" t="s">
        <v>185</v>
      </c>
      <c r="D240" s="55" t="s">
        <v>186</v>
      </c>
      <c r="E240" s="147">
        <f>F4Ax!E240+F4Bx!E240</f>
        <v>6.329285</v>
      </c>
      <c r="F240" s="147">
        <f>F4Ax!F240+F4Bx!F240</f>
        <v>5.696465</v>
      </c>
      <c r="G240" s="147">
        <f>F4Ax!G240+F4Bx!G240</f>
        <v>5.892033</v>
      </c>
      <c r="H240" s="147">
        <f>F4Ax!H240+F4Bx!H240</f>
        <v>6.324905</v>
      </c>
      <c r="I240" s="147">
        <f>F4Ax!I240+F4Bx!I240</f>
        <v>6.69901</v>
      </c>
      <c r="J240" s="147">
        <f>F4Ax!J240+F4Bx!J240</f>
        <v>6.614965</v>
      </c>
      <c r="K240" s="147">
        <f>F4Ax!K240+F4Bx!K240</f>
        <v>7.313747</v>
      </c>
      <c r="L240" s="147">
        <f>F4Ax!L240+F4Bx!L240</f>
        <v>6.741851</v>
      </c>
      <c r="M240" s="147">
        <f>F4Ax!M240+F4Bx!M240</f>
        <v>7.121061</v>
      </c>
      <c r="N240" s="147">
        <f>F4Ax!N240+F4Bx!N240</f>
        <v>7.045018</v>
      </c>
      <c r="O240" s="147">
        <f>F4Ax!O240+F4Bx!O240</f>
        <v>7.455261</v>
      </c>
      <c r="P240" s="147">
        <f>F4Ax!P240+F4Bx!P240</f>
        <v>9.054385</v>
      </c>
      <c r="Q240" s="316">
        <f t="shared" si="18"/>
        <v>82.287986</v>
      </c>
    </row>
    <row r="241" ht="15" spans="3:17">
      <c r="C241" s="55" t="s">
        <v>187</v>
      </c>
      <c r="D241" s="55" t="s">
        <v>188</v>
      </c>
      <c r="E241" s="147">
        <f>F4Ax!E241+F4Bx!E241</f>
        <v>0.002711</v>
      </c>
      <c r="F241" s="147">
        <f>F4Ax!F241+F4Bx!F241</f>
        <v>0.001399</v>
      </c>
      <c r="G241" s="147">
        <f>F4Ax!G241+F4Bx!G241</f>
        <v>0.002161</v>
      </c>
      <c r="H241" s="147">
        <f>F4Ax!H241+F4Bx!H241</f>
        <v>0.004707</v>
      </c>
      <c r="I241" s="147">
        <f>F4Ax!I241+F4Bx!I241</f>
        <v>0.0063</v>
      </c>
      <c r="J241" s="147">
        <f>F4Ax!J241+F4Bx!J241</f>
        <v>0.009721</v>
      </c>
      <c r="K241" s="147">
        <f>F4Ax!K241+F4Bx!K241</f>
        <v>0.012039</v>
      </c>
      <c r="L241" s="147">
        <f>F4Ax!L241+F4Bx!L241</f>
        <v>0.012754</v>
      </c>
      <c r="M241" s="147">
        <f>F4Ax!M241+F4Bx!M241</f>
        <v>0.01836</v>
      </c>
      <c r="N241" s="147">
        <f>F4Ax!N241+F4Bx!N241</f>
        <v>0.017074</v>
      </c>
      <c r="O241" s="147">
        <f>F4Ax!O241+F4Bx!O241</f>
        <v>0.020971</v>
      </c>
      <c r="P241" s="147">
        <f>F4Ax!P241+F4Bx!P241</f>
        <v>0.02218</v>
      </c>
      <c r="Q241" s="316">
        <f t="shared" si="18"/>
        <v>0.130377</v>
      </c>
    </row>
    <row r="242" ht="15" spans="3:17">
      <c r="C242" s="55"/>
      <c r="D242" s="55"/>
      <c r="E242" s="147">
        <f>F4Ax!E242+F4Bx!E242</f>
        <v>0</v>
      </c>
      <c r="F242" s="147">
        <f>F4Ax!F242+F4Bx!F242</f>
        <v>0</v>
      </c>
      <c r="G242" s="147">
        <f>F4Ax!G242+F4Bx!G242</f>
        <v>0</v>
      </c>
      <c r="H242" s="147">
        <f>F4Ax!H242+F4Bx!H242</f>
        <v>0</v>
      </c>
      <c r="I242" s="147">
        <f>F4Ax!I242+F4Bx!I242</f>
        <v>0</v>
      </c>
      <c r="J242" s="147">
        <f>F4Ax!J242+F4Bx!J242</f>
        <v>0</v>
      </c>
      <c r="K242" s="147">
        <f>F4Ax!K242+F4Bx!K242</f>
        <v>0</v>
      </c>
      <c r="L242" s="147">
        <f>F4Ax!L242+F4Bx!L242</f>
        <v>0</v>
      </c>
      <c r="M242" s="147">
        <f>F4Ax!M242+F4Bx!M242</f>
        <v>0</v>
      </c>
      <c r="N242" s="147">
        <f>F4Ax!N242+F4Bx!N242</f>
        <v>0</v>
      </c>
      <c r="O242" s="147">
        <f>F4Ax!O242+F4Bx!O242</f>
        <v>0</v>
      </c>
      <c r="P242" s="147">
        <f>F4Ax!P242+F4Bx!P242</f>
        <v>0</v>
      </c>
      <c r="Q242" s="316">
        <f t="shared" si="18"/>
        <v>0</v>
      </c>
    </row>
    <row r="243" ht="15" spans="3:17">
      <c r="C243" s="55"/>
      <c r="D243" s="55"/>
      <c r="E243" s="147">
        <f>F4Ax!E243+F4Bx!E243</f>
        <v>0</v>
      </c>
      <c r="F243" s="147">
        <f>F4Ax!F243+F4Bx!F243</f>
        <v>0</v>
      </c>
      <c r="G243" s="147">
        <f>F4Ax!G243+F4Bx!G243</f>
        <v>0</v>
      </c>
      <c r="H243" s="147">
        <f>F4Ax!H243+F4Bx!H243</f>
        <v>0</v>
      </c>
      <c r="I243" s="147">
        <f>F4Ax!I243+F4Bx!I243</f>
        <v>0</v>
      </c>
      <c r="J243" s="147">
        <f>F4Ax!J243+F4Bx!J243</f>
        <v>0</v>
      </c>
      <c r="K243" s="147">
        <f>F4Ax!K243+F4Bx!K243</f>
        <v>0</v>
      </c>
      <c r="L243" s="147">
        <f>F4Ax!L243+F4Bx!L243</f>
        <v>0</v>
      </c>
      <c r="M243" s="147">
        <f>F4Ax!M243+F4Bx!M243</f>
        <v>0</v>
      </c>
      <c r="N243" s="147">
        <f>F4Ax!N243+F4Bx!N243</f>
        <v>0</v>
      </c>
      <c r="O243" s="147">
        <f>F4Ax!O243+F4Bx!O243</f>
        <v>0</v>
      </c>
      <c r="P243" s="147">
        <f>F4Ax!P243+F4Bx!P243</f>
        <v>0</v>
      </c>
      <c r="Q243" s="316">
        <f t="shared" si="18"/>
        <v>0</v>
      </c>
    </row>
    <row r="244" ht="15" spans="3:17">
      <c r="C244" s="55"/>
      <c r="D244" s="55"/>
      <c r="E244" s="147">
        <f>F4Ax!E244+F4Bx!E244</f>
        <v>0</v>
      </c>
      <c r="F244" s="147">
        <f>F4Ax!F244+F4Bx!F244</f>
        <v>0</v>
      </c>
      <c r="G244" s="147">
        <f>F4Ax!G244+F4Bx!G244</f>
        <v>0</v>
      </c>
      <c r="H244" s="147">
        <f>F4Ax!H244+F4Bx!H244</f>
        <v>0</v>
      </c>
      <c r="I244" s="147">
        <f>F4Ax!I244+F4Bx!I244</f>
        <v>0</v>
      </c>
      <c r="J244" s="147">
        <f>F4Ax!J244+F4Bx!J244</f>
        <v>0</v>
      </c>
      <c r="K244" s="147">
        <f>F4Ax!K244+F4Bx!K244</f>
        <v>0</v>
      </c>
      <c r="L244" s="147">
        <f>F4Ax!L244+F4Bx!L244</f>
        <v>0</v>
      </c>
      <c r="M244" s="147">
        <f>F4Ax!M244+F4Bx!M244</f>
        <v>0</v>
      </c>
      <c r="N244" s="147">
        <f>F4Ax!N244+F4Bx!N244</f>
        <v>0</v>
      </c>
      <c r="O244" s="147">
        <f>F4Ax!O244+F4Bx!O244</f>
        <v>0</v>
      </c>
      <c r="P244" s="147">
        <f>F4Ax!P244+F4Bx!P244</f>
        <v>0</v>
      </c>
      <c r="Q244" s="316">
        <f t="shared" si="18"/>
        <v>0</v>
      </c>
    </row>
    <row r="245" ht="15" spans="3:17">
      <c r="C245" s="55" t="s">
        <v>258</v>
      </c>
      <c r="D245" s="55" t="s">
        <v>258</v>
      </c>
      <c r="E245" s="147">
        <f>F4Ax!E245+F4Bx!E245</f>
        <v>0</v>
      </c>
      <c r="F245" s="147">
        <f>F4Ax!F245+F4Bx!F245</f>
        <v>0</v>
      </c>
      <c r="G245" s="147">
        <f>F4Ax!G245+F4Bx!G245</f>
        <v>0</v>
      </c>
      <c r="H245" s="147">
        <f>F4Ax!H245+F4Bx!H245</f>
        <v>0</v>
      </c>
      <c r="I245" s="147">
        <f>F4Ax!I245+F4Bx!I245</f>
        <v>0</v>
      </c>
      <c r="J245" s="147">
        <f>F4Ax!J245+F4Bx!J245</f>
        <v>0</v>
      </c>
      <c r="K245" s="147">
        <f>F4Ax!K245+F4Bx!K245</f>
        <v>0</v>
      </c>
      <c r="L245" s="147">
        <f>F4Ax!L245+F4Bx!L245</f>
        <v>0</v>
      </c>
      <c r="M245" s="147">
        <f>F4Ax!M245+F4Bx!M245</f>
        <v>0</v>
      </c>
      <c r="N245" s="147">
        <f>F4Ax!N245+F4Bx!N245</f>
        <v>0</v>
      </c>
      <c r="O245" s="147">
        <f>F4Ax!O245+F4Bx!O245</f>
        <v>0</v>
      </c>
      <c r="P245" s="147">
        <f>F4Ax!P245+F4Bx!P245</f>
        <v>0</v>
      </c>
      <c r="Q245" s="316">
        <f t="shared" si="18"/>
        <v>0</v>
      </c>
    </row>
    <row r="246" ht="15" spans="3:17">
      <c r="C246" s="537" t="s">
        <v>189</v>
      </c>
      <c r="D246" s="540"/>
      <c r="E246" s="316">
        <f t="shared" ref="E246:P246" si="19">SUM(E233:E245)</f>
        <v>2372.06544997063</v>
      </c>
      <c r="F246" s="316">
        <f t="shared" si="19"/>
        <v>1779.57349745737</v>
      </c>
      <c r="G246" s="316">
        <f t="shared" si="19"/>
        <v>1668.00917708693</v>
      </c>
      <c r="H246" s="316">
        <f t="shared" si="19"/>
        <v>2044.41658333038</v>
      </c>
      <c r="I246" s="316">
        <f t="shared" si="19"/>
        <v>2543.89841983359</v>
      </c>
      <c r="J246" s="316">
        <f t="shared" si="19"/>
        <v>1935.61184253546</v>
      </c>
      <c r="K246" s="316">
        <f t="shared" si="19"/>
        <v>2118.66660894881</v>
      </c>
      <c r="L246" s="316">
        <f t="shared" si="19"/>
        <v>1406.47510711924</v>
      </c>
      <c r="M246" s="316">
        <f t="shared" si="19"/>
        <v>1864.81055058295</v>
      </c>
      <c r="N246" s="316">
        <f t="shared" si="19"/>
        <v>2118.73190923621</v>
      </c>
      <c r="O246" s="316">
        <f t="shared" si="19"/>
        <v>2181.84420610097</v>
      </c>
      <c r="P246" s="316">
        <f t="shared" si="19"/>
        <v>3000.88632875963</v>
      </c>
      <c r="Q246" s="316">
        <f t="shared" si="18"/>
        <v>25034.9896809622</v>
      </c>
    </row>
    <row r="247" ht="15" spans="3:17">
      <c r="C247" s="44" t="s">
        <v>190</v>
      </c>
      <c r="D247" s="45"/>
      <c r="E247" s="147"/>
      <c r="F247" s="147"/>
      <c r="G247" s="147"/>
      <c r="H247" s="147"/>
      <c r="I247" s="147"/>
      <c r="J247" s="147"/>
      <c r="K247" s="147"/>
      <c r="L247" s="147"/>
      <c r="M247" s="147"/>
      <c r="N247" s="147"/>
      <c r="O247" s="147"/>
      <c r="P247" s="147"/>
      <c r="Q247" s="316">
        <f t="shared" si="18"/>
        <v>0</v>
      </c>
    </row>
    <row r="248" ht="15" spans="3:17">
      <c r="C248" s="55" t="s">
        <v>191</v>
      </c>
      <c r="D248" s="55" t="s">
        <v>192</v>
      </c>
      <c r="E248" s="147">
        <f>F4Ax!E248+F4Bx!E248</f>
        <v>332.544070280001</v>
      </c>
      <c r="F248" s="147">
        <f>F4Ax!F248+F4Bx!F248</f>
        <v>296.7444354</v>
      </c>
      <c r="G248" s="147">
        <f>F4Ax!G248+F4Bx!G248</f>
        <v>301.99576105</v>
      </c>
      <c r="H248" s="147">
        <f>F4Ax!H248+F4Bx!H248</f>
        <v>321.228852779999</v>
      </c>
      <c r="I248" s="147">
        <f>F4Ax!I248+F4Bx!I248</f>
        <v>326.266262549999</v>
      </c>
      <c r="J248" s="147">
        <f>F4Ax!J248+F4Bx!J248</f>
        <v>320.032160720001</v>
      </c>
      <c r="K248" s="147">
        <f>F4Ax!K248+F4Bx!K248</f>
        <v>309.161398929999</v>
      </c>
      <c r="L248" s="147">
        <f>F4Ax!L248+F4Bx!L248</f>
        <v>330.646328459999</v>
      </c>
      <c r="M248" s="147">
        <f>F4Ax!M248+F4Bx!M248</f>
        <v>334.94531104</v>
      </c>
      <c r="N248" s="147">
        <f>F4Ax!N248+F4Bx!N248</f>
        <v>337.16304669</v>
      </c>
      <c r="O248" s="147">
        <f>F4Ax!O248+F4Bx!O248</f>
        <v>334.920558119999</v>
      </c>
      <c r="P248" s="147">
        <f>F4Ax!P248+F4Bx!P248</f>
        <v>315.07038202</v>
      </c>
      <c r="Q248" s="316">
        <f t="shared" si="18"/>
        <v>3860.71856804</v>
      </c>
    </row>
    <row r="249" ht="15" spans="3:17">
      <c r="C249" s="55" t="s">
        <v>193</v>
      </c>
      <c r="D249" s="55" t="s">
        <v>194</v>
      </c>
      <c r="E249" s="147">
        <f>F4Ax!E249+F4Bx!E249</f>
        <v>0</v>
      </c>
      <c r="F249" s="147">
        <f>F4Ax!F249+F4Bx!F249</f>
        <v>0</v>
      </c>
      <c r="G249" s="147">
        <f>F4Ax!G249+F4Bx!G249</f>
        <v>0</v>
      </c>
      <c r="H249" s="147">
        <f>F4Ax!H249+F4Bx!H249</f>
        <v>0</v>
      </c>
      <c r="I249" s="147">
        <f>F4Ax!I249+F4Bx!I249</f>
        <v>0</v>
      </c>
      <c r="J249" s="147">
        <f>F4Ax!J249+F4Bx!J249</f>
        <v>0</v>
      </c>
      <c r="K249" s="147">
        <f>F4Ax!K249+F4Bx!K249</f>
        <v>0</v>
      </c>
      <c r="L249" s="147">
        <f>F4Ax!L249+F4Bx!L249</f>
        <v>0</v>
      </c>
      <c r="M249" s="147">
        <f>F4Ax!M249+F4Bx!M249</f>
        <v>0</v>
      </c>
      <c r="N249" s="147">
        <f>F4Ax!N249+F4Bx!N249</f>
        <v>0</v>
      </c>
      <c r="O249" s="147">
        <f>F4Ax!O249+F4Bx!O249</f>
        <v>0</v>
      </c>
      <c r="P249" s="147">
        <f>F4Ax!P249+F4Bx!P249</f>
        <v>0</v>
      </c>
      <c r="Q249" s="316">
        <f t="shared" si="18"/>
        <v>0</v>
      </c>
    </row>
    <row r="250" ht="15" spans="3:17">
      <c r="C250" s="55" t="s">
        <v>239</v>
      </c>
      <c r="D250" s="55" t="s">
        <v>196</v>
      </c>
      <c r="E250" s="147">
        <f>F4Ax!E250+F4Bx!E250</f>
        <v>135.33931926</v>
      </c>
      <c r="F250" s="147">
        <f>F4Ax!F250+F4Bx!F250</f>
        <v>116.92400986</v>
      </c>
      <c r="G250" s="147">
        <f>F4Ax!G250+F4Bx!G250</f>
        <v>105.71268346</v>
      </c>
      <c r="H250" s="147">
        <f>F4Ax!H250+F4Bx!H250</f>
        <v>118.80580985</v>
      </c>
      <c r="I250" s="147">
        <f>F4Ax!I250+F4Bx!I250</f>
        <v>124.65938299</v>
      </c>
      <c r="J250" s="147">
        <f>F4Ax!J250+F4Bx!J250</f>
        <v>122.62340804</v>
      </c>
      <c r="K250" s="147">
        <f>F4Ax!K250+F4Bx!K250</f>
        <v>131.27630043</v>
      </c>
      <c r="L250" s="147">
        <f>F4Ax!L250+F4Bx!L250</f>
        <v>125.499898209999</v>
      </c>
      <c r="M250" s="147">
        <f>F4Ax!M250+F4Bx!M250</f>
        <v>122.17824065</v>
      </c>
      <c r="N250" s="147">
        <f>F4Ax!N250+F4Bx!N250</f>
        <v>113.94841667</v>
      </c>
      <c r="O250" s="147">
        <f>F4Ax!O250+F4Bx!O250</f>
        <v>109.91896391</v>
      </c>
      <c r="P250" s="147">
        <f>F4Ax!P250+F4Bx!P250</f>
        <v>124.73975294</v>
      </c>
      <c r="Q250" s="316">
        <f t="shared" si="18"/>
        <v>1451.62618627</v>
      </c>
    </row>
    <row r="251" ht="15" spans="3:17">
      <c r="C251" s="55" t="s">
        <v>197</v>
      </c>
      <c r="D251" s="55" t="s">
        <v>198</v>
      </c>
      <c r="E251" s="147">
        <f>F4Ax!E251+F4Bx!E251</f>
        <v>0</v>
      </c>
      <c r="F251" s="147">
        <f>F4Ax!F251+F4Bx!F251</f>
        <v>0</v>
      </c>
      <c r="G251" s="147">
        <f>F4Ax!G251+F4Bx!G251</f>
        <v>0</v>
      </c>
      <c r="H251" s="147">
        <f>F4Ax!H251+F4Bx!H251</f>
        <v>0</v>
      </c>
      <c r="I251" s="147">
        <f>F4Ax!I251+F4Bx!I251</f>
        <v>0</v>
      </c>
      <c r="J251" s="147">
        <f>F4Ax!J251+F4Bx!J251</f>
        <v>0</v>
      </c>
      <c r="K251" s="147">
        <f>F4Ax!K251+F4Bx!K251</f>
        <v>0</v>
      </c>
      <c r="L251" s="147">
        <f>F4Ax!L251+F4Bx!L251</f>
        <v>0</v>
      </c>
      <c r="M251" s="147">
        <f>F4Ax!M251+F4Bx!M251</f>
        <v>0</v>
      </c>
      <c r="N251" s="147">
        <f>F4Ax!N251+F4Bx!N251</f>
        <v>0</v>
      </c>
      <c r="O251" s="147">
        <f>F4Ax!O251+F4Bx!O251</f>
        <v>0</v>
      </c>
      <c r="P251" s="147">
        <f>F4Ax!P251+F4Bx!P251</f>
        <v>0</v>
      </c>
      <c r="Q251" s="316">
        <f t="shared" si="18"/>
        <v>0</v>
      </c>
    </row>
    <row r="252" ht="15" spans="3:17">
      <c r="C252" s="55" t="s">
        <v>199</v>
      </c>
      <c r="D252" s="55" t="s">
        <v>200</v>
      </c>
      <c r="E252" s="147">
        <f>F4Ax!E252+F4Bx!E252</f>
        <v>0.292469</v>
      </c>
      <c r="F252" s="147">
        <f>F4Ax!F252+F4Bx!F252</f>
        <v>0.270392</v>
      </c>
      <c r="G252" s="147">
        <f>F4Ax!G252+F4Bx!G252</f>
        <v>0.234387</v>
      </c>
      <c r="H252" s="147">
        <f>F4Ax!H252+F4Bx!H252</f>
        <v>0.262396</v>
      </c>
      <c r="I252" s="147">
        <f>F4Ax!I252+F4Bx!I252</f>
        <v>0.285778</v>
      </c>
      <c r="J252" s="147">
        <f>F4Ax!J252+F4Bx!J252</f>
        <v>0.295408</v>
      </c>
      <c r="K252" s="147">
        <f>F4Ax!K252+F4Bx!K252</f>
        <v>0.300113</v>
      </c>
      <c r="L252" s="147">
        <f>F4Ax!L252+F4Bx!L252</f>
        <v>0.305227</v>
      </c>
      <c r="M252" s="147">
        <f>F4Ax!M252+F4Bx!M252</f>
        <v>0.305084</v>
      </c>
      <c r="N252" s="147">
        <f>F4Ax!N252+F4Bx!N252</f>
        <v>0.2911648</v>
      </c>
      <c r="O252" s="147">
        <f>F4Ax!O252+F4Bx!O252</f>
        <v>0.269018</v>
      </c>
      <c r="P252" s="147">
        <f>F4Ax!P252+F4Bx!P252</f>
        <v>0.276124</v>
      </c>
      <c r="Q252" s="316">
        <f t="shared" si="18"/>
        <v>3.3875608</v>
      </c>
    </row>
    <row r="253" ht="15" spans="3:17">
      <c r="C253" s="55" t="s">
        <v>201</v>
      </c>
      <c r="D253" s="55" t="s">
        <v>202</v>
      </c>
      <c r="E253" s="147">
        <f>F4Ax!E253+F4Bx!E253</f>
        <v>5.098911</v>
      </c>
      <c r="F253" s="147">
        <f>F4Ax!F253+F4Bx!F253</f>
        <v>1.125737</v>
      </c>
      <c r="G253" s="147">
        <f>F4Ax!G253+F4Bx!G253</f>
        <v>0.655789</v>
      </c>
      <c r="H253" s="147">
        <f>F4Ax!H253+F4Bx!H253</f>
        <v>0.850232</v>
      </c>
      <c r="I253" s="147">
        <f>F4Ax!I253+F4Bx!I253</f>
        <v>2.978438</v>
      </c>
      <c r="J253" s="147">
        <f>F4Ax!J253+F4Bx!J253</f>
        <v>4.169779</v>
      </c>
      <c r="K253" s="147">
        <f>F4Ax!K253+F4Bx!K253</f>
        <v>5.090822</v>
      </c>
      <c r="L253" s="147">
        <f>F4Ax!L253+F4Bx!L253</f>
        <v>3.925507</v>
      </c>
      <c r="M253" s="147">
        <f>F4Ax!M253+F4Bx!M253</f>
        <v>1.892511</v>
      </c>
      <c r="N253" s="147">
        <f>F4Ax!N253+F4Bx!N253</f>
        <v>4.936936</v>
      </c>
      <c r="O253" s="147">
        <f>F4Ax!O253+F4Bx!O253</f>
        <v>5.117686</v>
      </c>
      <c r="P253" s="147">
        <f>F4Ax!P253+F4Bx!P253</f>
        <v>5.834378</v>
      </c>
      <c r="Q253" s="316">
        <f t="shared" si="18"/>
        <v>41.676726</v>
      </c>
    </row>
    <row r="254" ht="15" spans="3:17">
      <c r="C254" s="55" t="s">
        <v>203</v>
      </c>
      <c r="D254" s="55" t="s">
        <v>204</v>
      </c>
      <c r="E254" s="147">
        <f>F4Ax!E254+F4Bx!E254</f>
        <v>11.473512</v>
      </c>
      <c r="F254" s="147">
        <f>F4Ax!F254+F4Bx!F254</f>
        <v>10.681545</v>
      </c>
      <c r="G254" s="147">
        <f>F4Ax!G254+F4Bx!G254</f>
        <v>10.455111</v>
      </c>
      <c r="H254" s="147">
        <f>F4Ax!H254+F4Bx!H254</f>
        <v>10.456347</v>
      </c>
      <c r="I254" s="147">
        <f>F4Ax!I254+F4Bx!I254</f>
        <v>10.8146315</v>
      </c>
      <c r="J254" s="147">
        <f>F4Ax!J254+F4Bx!J254</f>
        <v>10.613011</v>
      </c>
      <c r="K254" s="147">
        <f>F4Ax!K254+F4Bx!K254</f>
        <v>10.948582</v>
      </c>
      <c r="L254" s="147">
        <f>F4Ax!L254+F4Bx!L254</f>
        <v>11.269684</v>
      </c>
      <c r="M254" s="147">
        <f>F4Ax!M254+F4Bx!M254</f>
        <v>10.916776</v>
      </c>
      <c r="N254" s="147">
        <f>F4Ax!N254+F4Bx!N254</f>
        <v>11.1741985</v>
      </c>
      <c r="O254" s="147">
        <f>F4Ax!O254+F4Bx!O254</f>
        <v>10.960835</v>
      </c>
      <c r="P254" s="147">
        <f>F4Ax!P254+F4Bx!P254</f>
        <v>10.458047</v>
      </c>
      <c r="Q254" s="316">
        <f t="shared" si="18"/>
        <v>130.22228</v>
      </c>
    </row>
    <row r="255" ht="15" spans="3:17">
      <c r="C255" s="55" t="s">
        <v>205</v>
      </c>
      <c r="D255" s="55" t="s">
        <v>206</v>
      </c>
      <c r="E255" s="147">
        <f>F4Ax!E255+F4Bx!E255</f>
        <v>14.581323</v>
      </c>
      <c r="F255" s="147">
        <f>F4Ax!F255+F4Bx!F255</f>
        <v>14.678289</v>
      </c>
      <c r="G255" s="147">
        <f>F4Ax!G255+F4Bx!G255</f>
        <v>14.124176</v>
      </c>
      <c r="H255" s="147">
        <f>F4Ax!H255+F4Bx!H255</f>
        <v>12.035335</v>
      </c>
      <c r="I255" s="147">
        <f>F4Ax!I255+F4Bx!I255</f>
        <v>12.083102</v>
      </c>
      <c r="J255" s="147">
        <f>F4Ax!J255+F4Bx!J255</f>
        <v>11.7113118</v>
      </c>
      <c r="K255" s="147">
        <f>F4Ax!K255+F4Bx!K255</f>
        <v>11.8348675</v>
      </c>
      <c r="L255" s="147">
        <f>F4Ax!L255+F4Bx!L255</f>
        <v>11.489955</v>
      </c>
      <c r="M255" s="147">
        <f>F4Ax!M255+F4Bx!M255</f>
        <v>10.88195575</v>
      </c>
      <c r="N255" s="147">
        <f>F4Ax!N255+F4Bx!N255</f>
        <v>11.005298</v>
      </c>
      <c r="O255" s="147">
        <f>F4Ax!O255+F4Bx!O255</f>
        <v>10.857859</v>
      </c>
      <c r="P255" s="147">
        <f>F4Ax!P255+F4Bx!P255</f>
        <v>11.39923</v>
      </c>
      <c r="Q255" s="316">
        <f t="shared" si="18"/>
        <v>146.68270205</v>
      </c>
    </row>
    <row r="256" ht="15" spans="3:17">
      <c r="C256" s="55" t="s">
        <v>207</v>
      </c>
      <c r="D256" s="55" t="s">
        <v>186</v>
      </c>
      <c r="E256" s="147">
        <f>F4Ax!E256+F4Bx!E256</f>
        <v>8.710615</v>
      </c>
      <c r="F256" s="147">
        <f>F4Ax!F256+F4Bx!F256</f>
        <v>7.95727</v>
      </c>
      <c r="G256" s="147">
        <f>F4Ax!G256+F4Bx!G256</f>
        <v>8.22206250000001</v>
      </c>
      <c r="H256" s="147">
        <f>F4Ax!H256+F4Bx!H256</f>
        <v>8.76820200000001</v>
      </c>
      <c r="I256" s="147">
        <f>F4Ax!I256+F4Bx!I256</f>
        <v>9.743914</v>
      </c>
      <c r="J256" s="147">
        <f>F4Ax!J256+F4Bx!J256</f>
        <v>9.652652</v>
      </c>
      <c r="K256" s="147">
        <f>F4Ax!K256+F4Bx!K256</f>
        <v>10.108731</v>
      </c>
      <c r="L256" s="147">
        <f>F4Ax!L256+F4Bx!L256</f>
        <v>9.71765939</v>
      </c>
      <c r="M256" s="147">
        <f>F4Ax!M256+F4Bx!M256</f>
        <v>9.73335603999999</v>
      </c>
      <c r="N256" s="147">
        <f>F4Ax!N256+F4Bx!N256</f>
        <v>10.3633035</v>
      </c>
      <c r="O256" s="147">
        <f>F4Ax!O256+F4Bx!O256</f>
        <v>9.914018</v>
      </c>
      <c r="P256" s="147">
        <f>F4Ax!P256+F4Bx!P256</f>
        <v>9.59293350000001</v>
      </c>
      <c r="Q256" s="316">
        <f t="shared" si="18"/>
        <v>112.48471693</v>
      </c>
    </row>
    <row r="257" ht="15" spans="3:17">
      <c r="C257" s="55" t="s">
        <v>208</v>
      </c>
      <c r="D257" s="55" t="s">
        <v>209</v>
      </c>
      <c r="E257" s="147">
        <f>F4Ax!E257+F4Bx!E257</f>
        <v>0</v>
      </c>
      <c r="F257" s="147">
        <f>F4Ax!F257+F4Bx!F257</f>
        <v>0</v>
      </c>
      <c r="G257" s="147">
        <f>F4Ax!G257+F4Bx!G257</f>
        <v>0</v>
      </c>
      <c r="H257" s="147">
        <f>F4Ax!H257+F4Bx!H257</f>
        <v>0</v>
      </c>
      <c r="I257" s="147">
        <f>F4Ax!I257+F4Bx!I257</f>
        <v>0</v>
      </c>
      <c r="J257" s="147">
        <f>F4Ax!J257+F4Bx!J257</f>
        <v>0</v>
      </c>
      <c r="K257" s="147">
        <f>F4Ax!K257+F4Bx!K257</f>
        <v>0</v>
      </c>
      <c r="L257" s="147">
        <f>F4Ax!L257+F4Bx!L257</f>
        <v>0</v>
      </c>
      <c r="M257" s="147">
        <f>F4Ax!M257+F4Bx!M257</f>
        <v>0</v>
      </c>
      <c r="N257" s="147">
        <f>F4Ax!N257+F4Bx!N257</f>
        <v>0</v>
      </c>
      <c r="O257" s="147">
        <f>F4Ax!O257+F4Bx!O257</f>
        <v>0</v>
      </c>
      <c r="P257" s="147">
        <f>F4Ax!P257+F4Bx!P257</f>
        <v>0</v>
      </c>
      <c r="Q257" s="316">
        <f t="shared" si="18"/>
        <v>0</v>
      </c>
    </row>
    <row r="258" ht="15" spans="3:17">
      <c r="C258" s="55" t="s">
        <v>210</v>
      </c>
      <c r="D258" s="55" t="s">
        <v>188</v>
      </c>
      <c r="E258" s="147">
        <f>F4Ax!E258+F4Bx!E258</f>
        <v>0.368187</v>
      </c>
      <c r="F258" s="147">
        <f>F4Ax!F258+F4Bx!F258</f>
        <v>0.131025</v>
      </c>
      <c r="G258" s="147">
        <f>F4Ax!G258+F4Bx!G258</f>
        <v>0.026748</v>
      </c>
      <c r="H258" s="147">
        <f>F4Ax!H258+F4Bx!H258</f>
        <v>0.186214</v>
      </c>
      <c r="I258" s="147">
        <f>F4Ax!I258+F4Bx!I258</f>
        <v>0.254198</v>
      </c>
      <c r="J258" s="147">
        <f>F4Ax!J258+F4Bx!J258</f>
        <v>0.288007</v>
      </c>
      <c r="K258" s="147">
        <f>F4Ax!K258+F4Bx!K258</f>
        <v>0.35733</v>
      </c>
      <c r="L258" s="147">
        <f>F4Ax!L258+F4Bx!L258</f>
        <v>0.383213</v>
      </c>
      <c r="M258" s="147">
        <f>F4Ax!M258+F4Bx!M258</f>
        <v>0.385307</v>
      </c>
      <c r="N258" s="147">
        <f>F4Ax!N258+F4Bx!N258</f>
        <v>0.361173</v>
      </c>
      <c r="O258" s="147">
        <f>F4Ax!O258+F4Bx!O258</f>
        <v>0.336359</v>
      </c>
      <c r="P258" s="147">
        <f>F4Ax!P258+F4Bx!P258</f>
        <v>0.35051</v>
      </c>
      <c r="Q258" s="316">
        <f t="shared" si="18"/>
        <v>3.428271</v>
      </c>
    </row>
    <row r="259" ht="15" spans="3:17">
      <c r="C259" s="55"/>
      <c r="D259" s="55"/>
      <c r="E259" s="147">
        <f>F4Ax!E259+F4Bx!E259</f>
        <v>0</v>
      </c>
      <c r="F259" s="147">
        <f>F4Ax!F259+F4Bx!F259</f>
        <v>0</v>
      </c>
      <c r="G259" s="147">
        <f>F4Ax!G259+F4Bx!G259</f>
        <v>0</v>
      </c>
      <c r="H259" s="147">
        <f>F4Ax!H259+F4Bx!H259</f>
        <v>0</v>
      </c>
      <c r="I259" s="147">
        <f>F4Ax!I259+F4Bx!I259</f>
        <v>0</v>
      </c>
      <c r="J259" s="147">
        <f>F4Ax!J259+F4Bx!J259</f>
        <v>0</v>
      </c>
      <c r="K259" s="147">
        <f>F4Ax!K259+F4Bx!K259</f>
        <v>0</v>
      </c>
      <c r="L259" s="147">
        <f>F4Ax!L259+F4Bx!L259</f>
        <v>0</v>
      </c>
      <c r="M259" s="147">
        <f>F4Ax!M259+F4Bx!M259</f>
        <v>0</v>
      </c>
      <c r="N259" s="147">
        <f>F4Ax!N259+F4Bx!N259</f>
        <v>0</v>
      </c>
      <c r="O259" s="147">
        <f>F4Ax!O259+F4Bx!O259</f>
        <v>0</v>
      </c>
      <c r="P259" s="147">
        <f>F4Ax!P259+F4Bx!P259</f>
        <v>0</v>
      </c>
      <c r="Q259" s="316">
        <f t="shared" si="18"/>
        <v>0</v>
      </c>
    </row>
    <row r="260" ht="15" spans="3:17">
      <c r="C260" s="55"/>
      <c r="D260" s="55"/>
      <c r="E260" s="147">
        <f>F4Ax!E260+F4Bx!E260</f>
        <v>0</v>
      </c>
      <c r="F260" s="147">
        <f>F4Ax!F260+F4Bx!F260</f>
        <v>0</v>
      </c>
      <c r="G260" s="147">
        <f>F4Ax!G260+F4Bx!G260</f>
        <v>0</v>
      </c>
      <c r="H260" s="147">
        <f>F4Ax!H260+F4Bx!H260</f>
        <v>0</v>
      </c>
      <c r="I260" s="147">
        <f>F4Ax!I260+F4Bx!I260</f>
        <v>0</v>
      </c>
      <c r="J260" s="147">
        <f>F4Ax!J260+F4Bx!J260</f>
        <v>0</v>
      </c>
      <c r="K260" s="147">
        <f>F4Ax!K260+F4Bx!K260</f>
        <v>0</v>
      </c>
      <c r="L260" s="147">
        <f>F4Ax!L260+F4Bx!L260</f>
        <v>0</v>
      </c>
      <c r="M260" s="147">
        <f>F4Ax!M260+F4Bx!M260</f>
        <v>0</v>
      </c>
      <c r="N260" s="147">
        <f>F4Ax!N260+F4Bx!N260</f>
        <v>0</v>
      </c>
      <c r="O260" s="147">
        <f>F4Ax!O260+F4Bx!O260</f>
        <v>0</v>
      </c>
      <c r="P260" s="147">
        <f>F4Ax!P260+F4Bx!P260</f>
        <v>0</v>
      </c>
      <c r="Q260" s="316">
        <f t="shared" si="18"/>
        <v>0</v>
      </c>
    </row>
    <row r="261" ht="15" spans="3:17">
      <c r="C261" s="55"/>
      <c r="D261" s="55"/>
      <c r="E261" s="147">
        <f>F4Ax!E261+F4Bx!E261</f>
        <v>0</v>
      </c>
      <c r="F261" s="147">
        <f>F4Ax!F261+F4Bx!F261</f>
        <v>0</v>
      </c>
      <c r="G261" s="147">
        <f>F4Ax!G261+F4Bx!G261</f>
        <v>0</v>
      </c>
      <c r="H261" s="147">
        <f>F4Ax!H261+F4Bx!H261</f>
        <v>0</v>
      </c>
      <c r="I261" s="147">
        <f>F4Ax!I261+F4Bx!I261</f>
        <v>0</v>
      </c>
      <c r="J261" s="147">
        <f>F4Ax!J261+F4Bx!J261</f>
        <v>0</v>
      </c>
      <c r="K261" s="147">
        <f>F4Ax!K261+F4Bx!K261</f>
        <v>0</v>
      </c>
      <c r="L261" s="147">
        <f>F4Ax!L261+F4Bx!L261</f>
        <v>0</v>
      </c>
      <c r="M261" s="147">
        <f>F4Ax!M261+F4Bx!M261</f>
        <v>0</v>
      </c>
      <c r="N261" s="147">
        <f>F4Ax!N261+F4Bx!N261</f>
        <v>0</v>
      </c>
      <c r="O261" s="147">
        <f>F4Ax!O261+F4Bx!O261</f>
        <v>0</v>
      </c>
      <c r="P261" s="147">
        <f>F4Ax!P261+F4Bx!P261</f>
        <v>0</v>
      </c>
      <c r="Q261" s="316">
        <f t="shared" si="18"/>
        <v>0</v>
      </c>
    </row>
    <row r="262" ht="15" spans="3:17">
      <c r="C262" s="55" t="s">
        <v>258</v>
      </c>
      <c r="D262" s="55" t="s">
        <v>258</v>
      </c>
      <c r="E262" s="147">
        <f>F4Ax!E262+F4Bx!E262</f>
        <v>0</v>
      </c>
      <c r="F262" s="147">
        <f>F4Ax!F262+F4Bx!F262</f>
        <v>0</v>
      </c>
      <c r="G262" s="147">
        <f>F4Ax!G262+F4Bx!G262</f>
        <v>0</v>
      </c>
      <c r="H262" s="147">
        <f>F4Ax!H262+F4Bx!H262</f>
        <v>0</v>
      </c>
      <c r="I262" s="147">
        <f>F4Ax!I262+F4Bx!I262</f>
        <v>0</v>
      </c>
      <c r="J262" s="147">
        <f>F4Ax!J262+F4Bx!J262</f>
        <v>0</v>
      </c>
      <c r="K262" s="147">
        <f>F4Ax!K262+F4Bx!K262</f>
        <v>0</v>
      </c>
      <c r="L262" s="147">
        <f>F4Ax!L262+F4Bx!L262</f>
        <v>0</v>
      </c>
      <c r="M262" s="147">
        <f>F4Ax!M262+F4Bx!M262</f>
        <v>0</v>
      </c>
      <c r="N262" s="147">
        <f>F4Ax!N262+F4Bx!N262</f>
        <v>0</v>
      </c>
      <c r="O262" s="147">
        <f>F4Ax!O262+F4Bx!O262</f>
        <v>0</v>
      </c>
      <c r="P262" s="147">
        <f>F4Ax!P262+F4Bx!P262</f>
        <v>0</v>
      </c>
      <c r="Q262" s="316">
        <f t="shared" si="18"/>
        <v>0</v>
      </c>
    </row>
    <row r="263" ht="15" spans="3:17">
      <c r="C263" s="537" t="s">
        <v>211</v>
      </c>
      <c r="D263" s="540"/>
      <c r="E263" s="316">
        <f t="shared" ref="E263:P263" si="20">SUM(E248:E262)</f>
        <v>508.408406540001</v>
      </c>
      <c r="F263" s="316">
        <f t="shared" si="20"/>
        <v>448.51270326</v>
      </c>
      <c r="G263" s="316">
        <f t="shared" si="20"/>
        <v>441.42671801</v>
      </c>
      <c r="H263" s="316">
        <f t="shared" si="20"/>
        <v>472.593388629999</v>
      </c>
      <c r="I263" s="316">
        <f t="shared" si="20"/>
        <v>487.085707039999</v>
      </c>
      <c r="J263" s="316">
        <f t="shared" si="20"/>
        <v>479.385737560001</v>
      </c>
      <c r="K263" s="316">
        <f t="shared" si="20"/>
        <v>479.078144859999</v>
      </c>
      <c r="L263" s="316">
        <f t="shared" si="20"/>
        <v>493.237472059998</v>
      </c>
      <c r="M263" s="316">
        <f t="shared" si="20"/>
        <v>491.23854148</v>
      </c>
      <c r="N263" s="316">
        <f t="shared" si="20"/>
        <v>489.24353716</v>
      </c>
      <c r="O263" s="316">
        <f t="shared" si="20"/>
        <v>482.295297029999</v>
      </c>
      <c r="P263" s="316">
        <f t="shared" si="20"/>
        <v>477.72135746</v>
      </c>
      <c r="Q263" s="316">
        <f t="shared" si="18"/>
        <v>5750.22701109</v>
      </c>
    </row>
    <row r="264" ht="15" spans="3:17">
      <c r="C264" s="44" t="s">
        <v>212</v>
      </c>
      <c r="D264" s="45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316">
        <f t="shared" ref="Q264:Q295" si="21">SUM(E264:P264)</f>
        <v>0</v>
      </c>
    </row>
    <row r="265" ht="15" spans="3:17">
      <c r="C265" s="55" t="s">
        <v>191</v>
      </c>
      <c r="D265" s="55" t="s">
        <v>192</v>
      </c>
      <c r="E265" s="147">
        <f>F4Ax!E265+F4Bx!E265</f>
        <v>405.53433667</v>
      </c>
      <c r="F265" s="147">
        <f>F4Ax!F265+F4Bx!F265</f>
        <v>340.25796541</v>
      </c>
      <c r="G265" s="147">
        <f>F4Ax!G265+F4Bx!G265</f>
        <v>340.75413179</v>
      </c>
      <c r="H265" s="147">
        <f>F4Ax!H265+F4Bx!H265</f>
        <v>358.81999154</v>
      </c>
      <c r="I265" s="147">
        <f>F4Ax!I265+F4Bx!I265</f>
        <v>375.50052967</v>
      </c>
      <c r="J265" s="147">
        <f>F4Ax!J265+F4Bx!J265</f>
        <v>417.45251747</v>
      </c>
      <c r="K265" s="147">
        <f>F4Ax!K265+F4Bx!K265</f>
        <v>419.33088867</v>
      </c>
      <c r="L265" s="147">
        <f>F4Ax!L265+F4Bx!L265</f>
        <v>374.86296477</v>
      </c>
      <c r="M265" s="147">
        <f>F4Ax!M265+F4Bx!M265</f>
        <v>381.64778267</v>
      </c>
      <c r="N265" s="147">
        <f>F4Ax!N265+F4Bx!N265</f>
        <v>384.62622567</v>
      </c>
      <c r="O265" s="147">
        <f>F4Ax!O265+F4Bx!O265</f>
        <v>400.06796117</v>
      </c>
      <c r="P265" s="147">
        <f>F4Ax!P265+F4Bx!P265</f>
        <v>391.53892767</v>
      </c>
      <c r="Q265" s="316">
        <f t="shared" si="21"/>
        <v>4590.39422317</v>
      </c>
    </row>
    <row r="266" ht="15" spans="3:17">
      <c r="C266" s="55" t="s">
        <v>193</v>
      </c>
      <c r="D266" s="55" t="s">
        <v>194</v>
      </c>
      <c r="E266" s="147">
        <f>F4Ax!E266+F4Bx!E266</f>
        <v>2.7233</v>
      </c>
      <c r="F266" s="147">
        <f>F4Ax!F266+F4Bx!F266</f>
        <v>2.0101</v>
      </c>
      <c r="G266" s="147">
        <f>F4Ax!G266+F4Bx!G266</f>
        <v>2.51</v>
      </c>
      <c r="H266" s="147">
        <f>F4Ax!H266+F4Bx!H266</f>
        <v>2.4058</v>
      </c>
      <c r="I266" s="147">
        <f>F4Ax!I266+F4Bx!I266</f>
        <v>2.3152</v>
      </c>
      <c r="J266" s="147">
        <f>F4Ax!J266+F4Bx!J266</f>
        <v>2.4022</v>
      </c>
      <c r="K266" s="147">
        <f>F4Ax!K266+F4Bx!K266</f>
        <v>2.213</v>
      </c>
      <c r="L266" s="147">
        <f>F4Ax!L266+F4Bx!L266</f>
        <v>2.3597</v>
      </c>
      <c r="M266" s="147">
        <f>F4Ax!M266+F4Bx!M266</f>
        <v>3.812</v>
      </c>
      <c r="N266" s="147">
        <f>F4Ax!N266+F4Bx!N266</f>
        <v>5.0228</v>
      </c>
      <c r="O266" s="147">
        <f>F4Ax!O266+F4Bx!O266</f>
        <v>4.4858</v>
      </c>
      <c r="P266" s="147">
        <f>F4Ax!P266+F4Bx!P266</f>
        <v>4.823</v>
      </c>
      <c r="Q266" s="316">
        <f t="shared" si="21"/>
        <v>37.0829</v>
      </c>
    </row>
    <row r="267" ht="15" spans="3:17">
      <c r="C267" s="55" t="s">
        <v>239</v>
      </c>
      <c r="D267" s="55" t="s">
        <v>196</v>
      </c>
      <c r="E267" s="147">
        <f>F4Ax!E267+F4Bx!E267</f>
        <v>67.697895</v>
      </c>
      <c r="F267" s="147">
        <f>F4Ax!F267+F4Bx!F267</f>
        <v>60.464027</v>
      </c>
      <c r="G267" s="147">
        <f>F4Ax!G267+F4Bx!G267</f>
        <v>58.28261515</v>
      </c>
      <c r="H267" s="147">
        <f>F4Ax!H267+F4Bx!H267</f>
        <v>62.643967</v>
      </c>
      <c r="I267" s="147">
        <f>F4Ax!I267+F4Bx!I267</f>
        <v>63.271288</v>
      </c>
      <c r="J267" s="147">
        <f>F4Ax!J267+F4Bx!J267</f>
        <v>66.10577</v>
      </c>
      <c r="K267" s="147">
        <f>F4Ax!K267+F4Bx!K267</f>
        <v>69.941145</v>
      </c>
      <c r="L267" s="147">
        <f>F4Ax!L267+F4Bx!L267</f>
        <v>68.049809</v>
      </c>
      <c r="M267" s="147">
        <f>F4Ax!M267+F4Bx!M267</f>
        <v>66.49284</v>
      </c>
      <c r="N267" s="147">
        <f>F4Ax!N267+F4Bx!N267</f>
        <v>64.091723</v>
      </c>
      <c r="O267" s="147">
        <f>F4Ax!O267+F4Bx!O267</f>
        <v>62.346976</v>
      </c>
      <c r="P267" s="147">
        <f>F4Ax!P267+F4Bx!P267</f>
        <v>63.312877</v>
      </c>
      <c r="Q267" s="316">
        <f t="shared" si="21"/>
        <v>772.70093215</v>
      </c>
    </row>
    <row r="268" ht="15" spans="3:17">
      <c r="C268" s="55" t="s">
        <v>197</v>
      </c>
      <c r="D268" s="55" t="s">
        <v>198</v>
      </c>
      <c r="E268" s="147">
        <f>F4Ax!E268+F4Bx!E268</f>
        <v>0</v>
      </c>
      <c r="F268" s="147">
        <f>F4Ax!F268+F4Bx!F268</f>
        <v>0</v>
      </c>
      <c r="G268" s="147">
        <f>F4Ax!G268+F4Bx!G268</f>
        <v>0</v>
      </c>
      <c r="H268" s="147">
        <f>F4Ax!H268+F4Bx!H268</f>
        <v>0</v>
      </c>
      <c r="I268" s="147">
        <f>F4Ax!I268+F4Bx!I268</f>
        <v>0</v>
      </c>
      <c r="J268" s="147">
        <f>F4Ax!J268+F4Bx!J268</f>
        <v>0</v>
      </c>
      <c r="K268" s="147">
        <f>F4Ax!K268+F4Bx!K268</f>
        <v>0</v>
      </c>
      <c r="L268" s="147">
        <f>F4Ax!L268+F4Bx!L268</f>
        <v>0</v>
      </c>
      <c r="M268" s="147">
        <f>F4Ax!M268+F4Bx!M268</f>
        <v>0</v>
      </c>
      <c r="N268" s="147">
        <f>F4Ax!N268+F4Bx!N268</f>
        <v>0</v>
      </c>
      <c r="O268" s="147">
        <f>F4Ax!O268+F4Bx!O268</f>
        <v>0</v>
      </c>
      <c r="P268" s="147">
        <f>F4Ax!P268+F4Bx!P268</f>
        <v>0</v>
      </c>
      <c r="Q268" s="316">
        <f t="shared" si="21"/>
        <v>0</v>
      </c>
    </row>
    <row r="269" ht="15" spans="3:17">
      <c r="C269" s="55" t="s">
        <v>199</v>
      </c>
      <c r="D269" s="55" t="s">
        <v>200</v>
      </c>
      <c r="E269" s="147">
        <f>F4Ax!E269+F4Bx!E269</f>
        <v>0</v>
      </c>
      <c r="F269" s="147">
        <f>F4Ax!F269+F4Bx!F269</f>
        <v>0</v>
      </c>
      <c r="G269" s="147">
        <f>F4Ax!G269+F4Bx!G269</f>
        <v>0</v>
      </c>
      <c r="H269" s="147">
        <f>F4Ax!H269+F4Bx!H269</f>
        <v>0</v>
      </c>
      <c r="I269" s="147">
        <f>F4Ax!I269+F4Bx!I269</f>
        <v>0</v>
      </c>
      <c r="J269" s="147">
        <f>F4Ax!J269+F4Bx!J269</f>
        <v>0</v>
      </c>
      <c r="K269" s="147">
        <f>F4Ax!K269+F4Bx!K269</f>
        <v>0</v>
      </c>
      <c r="L269" s="147">
        <f>F4Ax!L269+F4Bx!L269</f>
        <v>0</v>
      </c>
      <c r="M269" s="147">
        <f>F4Ax!M269+F4Bx!M269</f>
        <v>0</v>
      </c>
      <c r="N269" s="147">
        <f>F4Ax!N269+F4Bx!N269</f>
        <v>0</v>
      </c>
      <c r="O269" s="147">
        <f>F4Ax!O269+F4Bx!O269</f>
        <v>0</v>
      </c>
      <c r="P269" s="147">
        <f>F4Ax!P269+F4Bx!P269</f>
        <v>0</v>
      </c>
      <c r="Q269" s="316">
        <f t="shared" si="21"/>
        <v>0</v>
      </c>
    </row>
    <row r="270" ht="15" spans="3:17">
      <c r="C270" s="55" t="s">
        <v>201</v>
      </c>
      <c r="D270" s="55" t="s">
        <v>202</v>
      </c>
      <c r="E270" s="147">
        <f>F4Ax!E270+F4Bx!E270</f>
        <v>2.00429</v>
      </c>
      <c r="F270" s="147">
        <f>F4Ax!F270+F4Bx!F270</f>
        <v>0.41722</v>
      </c>
      <c r="G270" s="147">
        <f>F4Ax!G270+F4Bx!G270</f>
        <v>0.06461</v>
      </c>
      <c r="H270" s="147">
        <f>F4Ax!H270+F4Bx!H270</f>
        <v>0.22211</v>
      </c>
      <c r="I270" s="147">
        <f>F4Ax!I270+F4Bx!I270</f>
        <v>0.96775</v>
      </c>
      <c r="J270" s="147">
        <f>F4Ax!J270+F4Bx!J270</f>
        <v>1.50842</v>
      </c>
      <c r="K270" s="147">
        <f>F4Ax!K270+F4Bx!K270</f>
        <v>1.69882</v>
      </c>
      <c r="L270" s="147">
        <f>F4Ax!L270+F4Bx!L270</f>
        <v>1.70025</v>
      </c>
      <c r="M270" s="147">
        <f>F4Ax!M270+F4Bx!M270</f>
        <v>1.41856</v>
      </c>
      <c r="N270" s="147">
        <f>F4Ax!N270+F4Bx!N270</f>
        <v>1.8518</v>
      </c>
      <c r="O270" s="147">
        <f>F4Ax!O270+F4Bx!O270</f>
        <v>1.69385</v>
      </c>
      <c r="P270" s="147">
        <f>F4Ax!P270+F4Bx!P270</f>
        <v>1.84071</v>
      </c>
      <c r="Q270" s="316">
        <f t="shared" si="21"/>
        <v>15.38839</v>
      </c>
    </row>
    <row r="271" ht="15" spans="3:17">
      <c r="C271" s="55" t="s">
        <v>203</v>
      </c>
      <c r="D271" s="55" t="s">
        <v>204</v>
      </c>
      <c r="E271" s="147">
        <f>F4Ax!E271+F4Bx!E271</f>
        <v>19.86252</v>
      </c>
      <c r="F271" s="147">
        <f>F4Ax!F271+F4Bx!F271</f>
        <v>18.37851</v>
      </c>
      <c r="G271" s="147">
        <f>F4Ax!G271+F4Bx!G271</f>
        <v>17.73945</v>
      </c>
      <c r="H271" s="147">
        <f>F4Ax!H271+F4Bx!H271</f>
        <v>18.48545</v>
      </c>
      <c r="I271" s="147">
        <f>F4Ax!I271+F4Bx!I271</f>
        <v>18.04961</v>
      </c>
      <c r="J271" s="147">
        <f>F4Ax!J271+F4Bx!J271</f>
        <v>19.54697</v>
      </c>
      <c r="K271" s="147">
        <f>F4Ax!K271+F4Bx!K271</f>
        <v>19.29402</v>
      </c>
      <c r="L271" s="147">
        <f>F4Ax!L271+F4Bx!L271</f>
        <v>20.541525</v>
      </c>
      <c r="M271" s="147">
        <f>F4Ax!M271+F4Bx!M271</f>
        <v>19.324575</v>
      </c>
      <c r="N271" s="147">
        <f>F4Ax!N271+F4Bx!N271</f>
        <v>19.159135</v>
      </c>
      <c r="O271" s="147">
        <f>F4Ax!O271+F4Bx!O271</f>
        <v>19.925975</v>
      </c>
      <c r="P271" s="147">
        <f>F4Ax!P271+F4Bx!P271</f>
        <v>19.37655</v>
      </c>
      <c r="Q271" s="316">
        <f t="shared" si="21"/>
        <v>229.68429</v>
      </c>
    </row>
    <row r="272" ht="15" spans="3:17">
      <c r="C272" s="55" t="s">
        <v>205</v>
      </c>
      <c r="D272" s="55" t="s">
        <v>206</v>
      </c>
      <c r="E272" s="147">
        <f>F4Ax!E272+F4Bx!E272</f>
        <v>9.878352</v>
      </c>
      <c r="F272" s="147">
        <f>F4Ax!F272+F4Bx!F272</f>
        <v>9.848847</v>
      </c>
      <c r="G272" s="147">
        <f>F4Ax!G272+F4Bx!G272</f>
        <v>9.124203</v>
      </c>
      <c r="H272" s="147">
        <f>F4Ax!H272+F4Bx!H272</f>
        <v>8.125513</v>
      </c>
      <c r="I272" s="147">
        <f>F4Ax!I272+F4Bx!I272</f>
        <v>8.1839</v>
      </c>
      <c r="J272" s="147">
        <f>F4Ax!J272+F4Bx!J272</f>
        <v>8.074923</v>
      </c>
      <c r="K272" s="147">
        <f>F4Ax!K272+F4Bx!K272</f>
        <v>7.995032</v>
      </c>
      <c r="L272" s="147">
        <f>F4Ax!L272+F4Bx!L272</f>
        <v>7.964878</v>
      </c>
      <c r="M272" s="147">
        <f>F4Ax!M272+F4Bx!M272</f>
        <v>7.558957</v>
      </c>
      <c r="N272" s="147">
        <f>F4Ax!N272+F4Bx!N272</f>
        <v>7.39315</v>
      </c>
      <c r="O272" s="147">
        <f>F4Ax!O272+F4Bx!O272</f>
        <v>7.478686</v>
      </c>
      <c r="P272" s="147">
        <f>F4Ax!P272+F4Bx!P272</f>
        <v>7.958275</v>
      </c>
      <c r="Q272" s="316">
        <f t="shared" si="21"/>
        <v>99.584716</v>
      </c>
    </row>
    <row r="273" ht="15" spans="3:17">
      <c r="C273" s="55" t="s">
        <v>231</v>
      </c>
      <c r="D273" s="55" t="s">
        <v>186</v>
      </c>
      <c r="E273" s="147">
        <f>F4Ax!E273+F4Bx!E273</f>
        <v>2.072329</v>
      </c>
      <c r="F273" s="147">
        <f>F4Ax!F273+F4Bx!F273</f>
        <v>2.074251</v>
      </c>
      <c r="G273" s="147">
        <f>F4Ax!G273+F4Bx!G273</f>
        <v>2.907319</v>
      </c>
      <c r="H273" s="147">
        <f>F4Ax!H273+F4Bx!H273</f>
        <v>3.338448</v>
      </c>
      <c r="I273" s="147">
        <f>F4Ax!I273+F4Bx!I273</f>
        <v>3.765689</v>
      </c>
      <c r="J273" s="147">
        <f>F4Ax!J273+F4Bx!J273</f>
        <v>4.298725</v>
      </c>
      <c r="K273" s="147">
        <f>F4Ax!K273+F4Bx!K273</f>
        <v>4.023692</v>
      </c>
      <c r="L273" s="147">
        <f>F4Ax!L273+F4Bx!L273</f>
        <v>3.825091</v>
      </c>
      <c r="M273" s="147">
        <f>F4Ax!M273+F4Bx!M273</f>
        <v>4.259647</v>
      </c>
      <c r="N273" s="147">
        <f>F4Ax!N273+F4Bx!N273</f>
        <v>3.945143</v>
      </c>
      <c r="O273" s="147">
        <f>F4Ax!O273+F4Bx!O273</f>
        <v>3.627512</v>
      </c>
      <c r="P273" s="147">
        <f>F4Ax!P273+F4Bx!P273</f>
        <v>3.104159</v>
      </c>
      <c r="Q273" s="316">
        <f t="shared" si="21"/>
        <v>41.242005</v>
      </c>
    </row>
    <row r="274" ht="15" spans="3:17">
      <c r="C274" s="55" t="s">
        <v>208</v>
      </c>
      <c r="D274" s="55" t="s">
        <v>209</v>
      </c>
      <c r="E274" s="147">
        <f>F4Ax!E274+F4Bx!E274</f>
        <v>0</v>
      </c>
      <c r="F274" s="147">
        <f>F4Ax!F274+F4Bx!F274</f>
        <v>0</v>
      </c>
      <c r="G274" s="147">
        <f>F4Ax!G274+F4Bx!G274</f>
        <v>0</v>
      </c>
      <c r="H274" s="147">
        <f>F4Ax!H274+F4Bx!H274</f>
        <v>0</v>
      </c>
      <c r="I274" s="147">
        <f>F4Ax!I274+F4Bx!I274</f>
        <v>0</v>
      </c>
      <c r="J274" s="147">
        <f>F4Ax!J274+F4Bx!J274</f>
        <v>0</v>
      </c>
      <c r="K274" s="147">
        <f>F4Ax!K274+F4Bx!K274</f>
        <v>0</v>
      </c>
      <c r="L274" s="147">
        <f>F4Ax!L274+F4Bx!L274</f>
        <v>0</v>
      </c>
      <c r="M274" s="147">
        <f>F4Ax!M274+F4Bx!M274</f>
        <v>0</v>
      </c>
      <c r="N274" s="147">
        <f>F4Ax!N274+F4Bx!N274</f>
        <v>0</v>
      </c>
      <c r="O274" s="147">
        <f>F4Ax!O274+F4Bx!O274</f>
        <v>0</v>
      </c>
      <c r="P274" s="147">
        <f>F4Ax!P274+F4Bx!P274</f>
        <v>0</v>
      </c>
      <c r="Q274" s="316">
        <f t="shared" si="21"/>
        <v>0</v>
      </c>
    </row>
    <row r="275" ht="15" spans="3:17">
      <c r="C275" s="55" t="s">
        <v>210</v>
      </c>
      <c r="D275" s="55" t="s">
        <v>188</v>
      </c>
      <c r="E275" s="147">
        <f>F4Ax!E275+F4Bx!E275</f>
        <v>0</v>
      </c>
      <c r="F275" s="147">
        <f>F4Ax!F275+F4Bx!F275</f>
        <v>0</v>
      </c>
      <c r="G275" s="147">
        <f>F4Ax!G275+F4Bx!G275</f>
        <v>0</v>
      </c>
      <c r="H275" s="147">
        <f>F4Ax!H275+F4Bx!H275</f>
        <v>0</v>
      </c>
      <c r="I275" s="147">
        <f>F4Ax!I275+F4Bx!I275</f>
        <v>0</v>
      </c>
      <c r="J275" s="147">
        <f>F4Ax!J275+F4Bx!J275</f>
        <v>0</v>
      </c>
      <c r="K275" s="147">
        <f>F4Ax!K275+F4Bx!K275</f>
        <v>0</v>
      </c>
      <c r="L275" s="147">
        <f>F4Ax!L275+F4Bx!L275</f>
        <v>0</v>
      </c>
      <c r="M275" s="147">
        <f>F4Ax!M275+F4Bx!M275</f>
        <v>0</v>
      </c>
      <c r="N275" s="147">
        <f>F4Ax!N275+F4Bx!N275</f>
        <v>0</v>
      </c>
      <c r="O275" s="147">
        <f>F4Ax!O275+F4Bx!O275</f>
        <v>0</v>
      </c>
      <c r="P275" s="147">
        <f>F4Ax!P275+F4Bx!P275</f>
        <v>0</v>
      </c>
      <c r="Q275" s="316">
        <f t="shared" si="21"/>
        <v>0</v>
      </c>
    </row>
    <row r="276" ht="15" spans="3:17">
      <c r="C276" s="55"/>
      <c r="D276" s="55"/>
      <c r="E276" s="147">
        <f>F4Ax!E276+F4Bx!E276</f>
        <v>0</v>
      </c>
      <c r="F276" s="147">
        <f>F4Ax!F276+F4Bx!F276</f>
        <v>0</v>
      </c>
      <c r="G276" s="147">
        <f>F4Ax!G276+F4Bx!G276</f>
        <v>0</v>
      </c>
      <c r="H276" s="147">
        <f>F4Ax!H276+F4Bx!H276</f>
        <v>0</v>
      </c>
      <c r="I276" s="147">
        <f>F4Ax!I276+F4Bx!I276</f>
        <v>0</v>
      </c>
      <c r="J276" s="147">
        <f>F4Ax!J276+F4Bx!J276</f>
        <v>0</v>
      </c>
      <c r="K276" s="147">
        <f>F4Ax!K276+F4Bx!K276</f>
        <v>0</v>
      </c>
      <c r="L276" s="147">
        <f>F4Ax!L276+F4Bx!L276</f>
        <v>0</v>
      </c>
      <c r="M276" s="147">
        <f>F4Ax!M276+F4Bx!M276</f>
        <v>0</v>
      </c>
      <c r="N276" s="147">
        <f>F4Ax!N276+F4Bx!N276</f>
        <v>0</v>
      </c>
      <c r="O276" s="147">
        <f>F4Ax!O276+F4Bx!O276</f>
        <v>0</v>
      </c>
      <c r="P276" s="147">
        <f>F4Ax!P276+F4Bx!P276</f>
        <v>0</v>
      </c>
      <c r="Q276" s="316">
        <f t="shared" si="21"/>
        <v>0</v>
      </c>
    </row>
    <row r="277" ht="15" spans="3:17">
      <c r="C277" s="55"/>
      <c r="D277" s="55"/>
      <c r="E277" s="147">
        <f>F4Ax!E277+F4Bx!E277</f>
        <v>0</v>
      </c>
      <c r="F277" s="147">
        <f>F4Ax!F277+F4Bx!F277</f>
        <v>0</v>
      </c>
      <c r="G277" s="147">
        <f>F4Ax!G277+F4Bx!G277</f>
        <v>0</v>
      </c>
      <c r="H277" s="147">
        <f>F4Ax!H277+F4Bx!H277</f>
        <v>0</v>
      </c>
      <c r="I277" s="147">
        <f>F4Ax!I277+F4Bx!I277</f>
        <v>0</v>
      </c>
      <c r="J277" s="147">
        <f>F4Ax!J277+F4Bx!J277</f>
        <v>0</v>
      </c>
      <c r="K277" s="147">
        <f>F4Ax!K277+F4Bx!K277</f>
        <v>0</v>
      </c>
      <c r="L277" s="147">
        <f>F4Ax!L277+F4Bx!L277</f>
        <v>0</v>
      </c>
      <c r="M277" s="147">
        <f>F4Ax!M277+F4Bx!M277</f>
        <v>0</v>
      </c>
      <c r="N277" s="147">
        <f>F4Ax!N277+F4Bx!N277</f>
        <v>0</v>
      </c>
      <c r="O277" s="147">
        <f>F4Ax!O277+F4Bx!O277</f>
        <v>0</v>
      </c>
      <c r="P277" s="147">
        <f>F4Ax!P277+F4Bx!P277</f>
        <v>0</v>
      </c>
      <c r="Q277" s="316">
        <f t="shared" si="21"/>
        <v>0</v>
      </c>
    </row>
    <row r="278" ht="15" spans="3:17">
      <c r="C278" s="55"/>
      <c r="D278" s="55"/>
      <c r="E278" s="147">
        <f>F4Ax!E278+F4Bx!E278</f>
        <v>0</v>
      </c>
      <c r="F278" s="147">
        <f>F4Ax!F278+F4Bx!F278</f>
        <v>0</v>
      </c>
      <c r="G278" s="147">
        <f>F4Ax!G278+F4Bx!G278</f>
        <v>0</v>
      </c>
      <c r="H278" s="147">
        <f>F4Ax!H278+F4Bx!H278</f>
        <v>0</v>
      </c>
      <c r="I278" s="147">
        <f>F4Ax!I278+F4Bx!I278</f>
        <v>0</v>
      </c>
      <c r="J278" s="147">
        <f>F4Ax!J278+F4Bx!J278</f>
        <v>0</v>
      </c>
      <c r="K278" s="147">
        <f>F4Ax!K278+F4Bx!K278</f>
        <v>0</v>
      </c>
      <c r="L278" s="147">
        <f>F4Ax!L278+F4Bx!L278</f>
        <v>0</v>
      </c>
      <c r="M278" s="147">
        <f>F4Ax!M278+F4Bx!M278</f>
        <v>0</v>
      </c>
      <c r="N278" s="147">
        <f>F4Ax!N278+F4Bx!N278</f>
        <v>0</v>
      </c>
      <c r="O278" s="147">
        <f>F4Ax!O278+F4Bx!O278</f>
        <v>0</v>
      </c>
      <c r="P278" s="147">
        <f>F4Ax!P278+F4Bx!P278</f>
        <v>0</v>
      </c>
      <c r="Q278" s="316">
        <f t="shared" si="21"/>
        <v>0</v>
      </c>
    </row>
    <row r="279" ht="15" spans="3:17">
      <c r="C279" s="55" t="s">
        <v>258</v>
      </c>
      <c r="D279" s="55" t="s">
        <v>258</v>
      </c>
      <c r="E279" s="147">
        <f>F4Ax!E279+F4Bx!E279</f>
        <v>0</v>
      </c>
      <c r="F279" s="147">
        <f>F4Ax!F279+F4Bx!F279</f>
        <v>0</v>
      </c>
      <c r="G279" s="147">
        <f>F4Ax!G279+F4Bx!G279</f>
        <v>0</v>
      </c>
      <c r="H279" s="147">
        <f>F4Ax!H279+F4Bx!H279</f>
        <v>0</v>
      </c>
      <c r="I279" s="147">
        <f>F4Ax!I279+F4Bx!I279</f>
        <v>0</v>
      </c>
      <c r="J279" s="147">
        <f>F4Ax!J279+F4Bx!J279</f>
        <v>0</v>
      </c>
      <c r="K279" s="147">
        <f>F4Ax!K279+F4Bx!K279</f>
        <v>0</v>
      </c>
      <c r="L279" s="147">
        <f>F4Ax!L279+F4Bx!L279</f>
        <v>0</v>
      </c>
      <c r="M279" s="147">
        <f>F4Ax!M279+F4Bx!M279</f>
        <v>0</v>
      </c>
      <c r="N279" s="147">
        <f>F4Ax!N279+F4Bx!N279</f>
        <v>0</v>
      </c>
      <c r="O279" s="147">
        <f>F4Ax!O279+F4Bx!O279</f>
        <v>0</v>
      </c>
      <c r="P279" s="147">
        <f>F4Ax!P279+F4Bx!P279</f>
        <v>0</v>
      </c>
      <c r="Q279" s="316">
        <f t="shared" si="21"/>
        <v>0</v>
      </c>
    </row>
    <row r="280" ht="15" spans="3:17">
      <c r="C280" s="537" t="s">
        <v>211</v>
      </c>
      <c r="D280" s="540"/>
      <c r="E280" s="316">
        <f t="shared" ref="E280:P280" si="22">SUM(E265:E279)</f>
        <v>509.77302267</v>
      </c>
      <c r="F280" s="316">
        <f t="shared" si="22"/>
        <v>433.45092041</v>
      </c>
      <c r="G280" s="316">
        <f t="shared" si="22"/>
        <v>431.38232894</v>
      </c>
      <c r="H280" s="316">
        <f t="shared" si="22"/>
        <v>454.04127954</v>
      </c>
      <c r="I280" s="316">
        <f t="shared" si="22"/>
        <v>472.05396667</v>
      </c>
      <c r="J280" s="316">
        <f t="shared" si="22"/>
        <v>519.38952547</v>
      </c>
      <c r="K280" s="316">
        <f t="shared" si="22"/>
        <v>524.49659767</v>
      </c>
      <c r="L280" s="316">
        <f t="shared" si="22"/>
        <v>479.30421777</v>
      </c>
      <c r="M280" s="316">
        <f t="shared" si="22"/>
        <v>484.51436167</v>
      </c>
      <c r="N280" s="316">
        <f t="shared" si="22"/>
        <v>486.08997667</v>
      </c>
      <c r="O280" s="316">
        <f t="shared" si="22"/>
        <v>499.62676017</v>
      </c>
      <c r="P280" s="316">
        <f t="shared" si="22"/>
        <v>491.95449867</v>
      </c>
      <c r="Q280" s="316">
        <f t="shared" si="21"/>
        <v>5786.07745632</v>
      </c>
    </row>
    <row r="281" ht="15" spans="3:17">
      <c r="C281" s="44" t="s">
        <v>219</v>
      </c>
      <c r="D281" s="45"/>
      <c r="E281" s="147"/>
      <c r="F281" s="147"/>
      <c r="G281" s="147"/>
      <c r="H281" s="147"/>
      <c r="I281" s="147"/>
      <c r="J281" s="147"/>
      <c r="K281" s="147"/>
      <c r="L281" s="147"/>
      <c r="M281" s="147"/>
      <c r="N281" s="147"/>
      <c r="O281" s="147"/>
      <c r="P281" s="147"/>
      <c r="Q281" s="316">
        <f t="shared" si="21"/>
        <v>0</v>
      </c>
    </row>
    <row r="282" ht="15" spans="3:17">
      <c r="C282" s="55" t="s">
        <v>191</v>
      </c>
      <c r="D282" s="55" t="s">
        <v>192</v>
      </c>
      <c r="E282" s="147">
        <f>F4Ax!E282+F4Bx!E282</f>
        <v>246.88802</v>
      </c>
      <c r="F282" s="147">
        <f>F4Ax!F282+F4Bx!F282</f>
        <v>219.117628</v>
      </c>
      <c r="G282" s="147">
        <f>F4Ax!G282+F4Bx!G282</f>
        <v>214.363429</v>
      </c>
      <c r="H282" s="147">
        <f>F4Ax!H282+F4Bx!H282</f>
        <v>234.271289</v>
      </c>
      <c r="I282" s="147">
        <f>F4Ax!I282+F4Bx!I282</f>
        <v>235.319246</v>
      </c>
      <c r="J282" s="147">
        <f>F4Ax!J282+F4Bx!J282</f>
        <v>266.180269</v>
      </c>
      <c r="K282" s="147">
        <f>F4Ax!K282+F4Bx!K282</f>
        <v>277.71949</v>
      </c>
      <c r="L282" s="147">
        <f>F4Ax!L282+F4Bx!L282</f>
        <v>269.053504</v>
      </c>
      <c r="M282" s="147">
        <f>F4Ax!M282+F4Bx!M282</f>
        <v>279.214718</v>
      </c>
      <c r="N282" s="147">
        <f>F4Ax!N282+F4Bx!N282</f>
        <v>285.376775</v>
      </c>
      <c r="O282" s="147">
        <f>F4Ax!O282+F4Bx!O282</f>
        <v>311.642486</v>
      </c>
      <c r="P282" s="147">
        <f>F4Ax!P282+F4Bx!P282</f>
        <v>321.546853</v>
      </c>
      <c r="Q282" s="316">
        <f t="shared" si="21"/>
        <v>3160.693707</v>
      </c>
    </row>
    <row r="283" ht="15" spans="3:17">
      <c r="C283" s="55" t="s">
        <v>193</v>
      </c>
      <c r="D283" s="55" t="s">
        <v>194</v>
      </c>
      <c r="E283" s="147">
        <f>F4Ax!E283+F4Bx!E283</f>
        <v>12.909</v>
      </c>
      <c r="F283" s="147">
        <f>F4Ax!F283+F4Bx!F283</f>
        <v>8.193</v>
      </c>
      <c r="G283" s="147">
        <f>F4Ax!G283+F4Bx!G283</f>
        <v>14.817</v>
      </c>
      <c r="H283" s="147">
        <f>F4Ax!H283+F4Bx!H283</f>
        <v>15.5985</v>
      </c>
      <c r="I283" s="147">
        <f>F4Ax!I283+F4Bx!I283</f>
        <v>12.1635</v>
      </c>
      <c r="J283" s="147">
        <f>F4Ax!J283+F4Bx!J283</f>
        <v>14.256</v>
      </c>
      <c r="K283" s="147">
        <f>F4Ax!K283+F4Bx!K283</f>
        <v>15.2805</v>
      </c>
      <c r="L283" s="147">
        <f>F4Ax!L283+F4Bx!L283</f>
        <v>18.7237</v>
      </c>
      <c r="M283" s="147">
        <f>F4Ax!M283+F4Bx!M283</f>
        <v>17.944</v>
      </c>
      <c r="N283" s="147">
        <f>F4Ax!N283+F4Bx!N283</f>
        <v>25.1596</v>
      </c>
      <c r="O283" s="147">
        <f>F4Ax!O283+F4Bx!O283</f>
        <v>29.5004</v>
      </c>
      <c r="P283" s="147">
        <f>F4Ax!P283+F4Bx!P283</f>
        <v>26.6861</v>
      </c>
      <c r="Q283" s="316">
        <f t="shared" si="21"/>
        <v>211.2313</v>
      </c>
    </row>
    <row r="284" ht="15" spans="3:17">
      <c r="C284" s="55" t="s">
        <v>239</v>
      </c>
      <c r="D284" s="55" t="s">
        <v>196</v>
      </c>
      <c r="E284" s="147">
        <f>F4Ax!E284+F4Bx!E284</f>
        <v>3.909173</v>
      </c>
      <c r="F284" s="147">
        <f>F4Ax!F284+F4Bx!F284</f>
        <v>3.285101</v>
      </c>
      <c r="G284" s="147">
        <f>F4Ax!G284+F4Bx!G284</f>
        <v>3.560676</v>
      </c>
      <c r="H284" s="147">
        <f>F4Ax!H284+F4Bx!H284</f>
        <v>3.938138</v>
      </c>
      <c r="I284" s="147">
        <f>F4Ax!I284+F4Bx!I284</f>
        <v>3.593856</v>
      </c>
      <c r="J284" s="147">
        <f>F4Ax!J284+F4Bx!J284</f>
        <v>3.650065</v>
      </c>
      <c r="K284" s="147">
        <f>F4Ax!K284+F4Bx!K284</f>
        <v>3.6716</v>
      </c>
      <c r="L284" s="147">
        <f>F4Ax!L284+F4Bx!L284</f>
        <v>3.307266</v>
      </c>
      <c r="M284" s="147">
        <f>F4Ax!M284+F4Bx!M284</f>
        <v>3.122177</v>
      </c>
      <c r="N284" s="147">
        <f>F4Ax!N284+F4Bx!N284</f>
        <v>2.854174</v>
      </c>
      <c r="O284" s="147">
        <f>F4Ax!O284+F4Bx!O284</f>
        <v>2.76787</v>
      </c>
      <c r="P284" s="147">
        <f>F4Ax!P284+F4Bx!P284</f>
        <v>3.148361</v>
      </c>
      <c r="Q284" s="316">
        <f t="shared" si="21"/>
        <v>40.808457</v>
      </c>
    </row>
    <row r="285" ht="15" spans="3:17">
      <c r="C285" s="55" t="s">
        <v>197</v>
      </c>
      <c r="D285" s="55" t="s">
        <v>198</v>
      </c>
      <c r="E285" s="147">
        <f>F4Ax!E285+F4Bx!E285</f>
        <v>0</v>
      </c>
      <c r="F285" s="147">
        <f>F4Ax!F285+F4Bx!F285</f>
        <v>0</v>
      </c>
      <c r="G285" s="147">
        <f>F4Ax!G285+F4Bx!G285</f>
        <v>0</v>
      </c>
      <c r="H285" s="147">
        <f>F4Ax!H285+F4Bx!H285</f>
        <v>0</v>
      </c>
      <c r="I285" s="147">
        <f>F4Ax!I285+F4Bx!I285</f>
        <v>0</v>
      </c>
      <c r="J285" s="147">
        <f>F4Ax!J285+F4Bx!J285</f>
        <v>0</v>
      </c>
      <c r="K285" s="147">
        <f>F4Ax!K285+F4Bx!K285</f>
        <v>0</v>
      </c>
      <c r="L285" s="147">
        <f>F4Ax!L285+F4Bx!L285</f>
        <v>0</v>
      </c>
      <c r="M285" s="147">
        <f>F4Ax!M285+F4Bx!M285</f>
        <v>0</v>
      </c>
      <c r="N285" s="147">
        <f>F4Ax!N285+F4Bx!N285</f>
        <v>0</v>
      </c>
      <c r="O285" s="147">
        <f>F4Ax!O285+F4Bx!O285</f>
        <v>0</v>
      </c>
      <c r="P285" s="147">
        <f>F4Ax!P285+F4Bx!P285</f>
        <v>0</v>
      </c>
      <c r="Q285" s="316">
        <f t="shared" si="21"/>
        <v>0</v>
      </c>
    </row>
    <row r="286" ht="15" spans="3:17">
      <c r="C286" s="55" t="s">
        <v>199</v>
      </c>
      <c r="D286" s="55" t="s">
        <v>200</v>
      </c>
      <c r="E286" s="147">
        <f>F4Ax!E286+F4Bx!E286</f>
        <v>4.783</v>
      </c>
      <c r="F286" s="147">
        <f>F4Ax!F286+F4Bx!F286</f>
        <v>4.198</v>
      </c>
      <c r="G286" s="147">
        <f>F4Ax!G286+F4Bx!G286</f>
        <v>4.096</v>
      </c>
      <c r="H286" s="147">
        <f>F4Ax!H286+F4Bx!H286</f>
        <v>4.265</v>
      </c>
      <c r="I286" s="147">
        <f>F4Ax!I286+F4Bx!I286</f>
        <v>3.896</v>
      </c>
      <c r="J286" s="147">
        <f>F4Ax!J286+F4Bx!J286</f>
        <v>4.037</v>
      </c>
      <c r="K286" s="147">
        <f>F4Ax!K286+F4Bx!K286</f>
        <v>4.089</v>
      </c>
      <c r="L286" s="147">
        <f>F4Ax!L286+F4Bx!L286</f>
        <v>4.066</v>
      </c>
      <c r="M286" s="147">
        <f>F4Ax!M286+F4Bx!M286</f>
        <v>3.77</v>
      </c>
      <c r="N286" s="147">
        <f>F4Ax!N286+F4Bx!N286</f>
        <v>3.490574</v>
      </c>
      <c r="O286" s="147">
        <f>F4Ax!O286+F4Bx!O286</f>
        <v>3.33</v>
      </c>
      <c r="P286" s="147">
        <f>F4Ax!P286+F4Bx!P286</f>
        <v>3.38709</v>
      </c>
      <c r="Q286" s="316">
        <f t="shared" si="21"/>
        <v>47.407664</v>
      </c>
    </row>
    <row r="287" ht="15" spans="3:17">
      <c r="C287" s="55" t="s">
        <v>201</v>
      </c>
      <c r="D287" s="55" t="s">
        <v>240</v>
      </c>
      <c r="E287" s="147">
        <f>F4Ax!E287+F4Bx!E287</f>
        <v>265.57071494</v>
      </c>
      <c r="F287" s="147">
        <f>F4Ax!F287+F4Bx!F287</f>
        <v>46.37728272</v>
      </c>
      <c r="G287" s="147">
        <f>F4Ax!G287+F4Bx!G287</f>
        <v>44.59254952</v>
      </c>
      <c r="H287" s="147">
        <f>F4Ax!H287+F4Bx!H287</f>
        <v>132.90736653</v>
      </c>
      <c r="I287" s="147">
        <f>F4Ax!I287+F4Bx!I287</f>
        <v>115.38506575</v>
      </c>
      <c r="J287" s="147">
        <f>F4Ax!J287+F4Bx!J287</f>
        <v>227.75544887</v>
      </c>
      <c r="K287" s="147">
        <f>F4Ax!K287+F4Bx!K287</f>
        <v>246.0922826</v>
      </c>
      <c r="L287" s="147">
        <f>F4Ax!L287+F4Bx!L287</f>
        <v>173.78894969</v>
      </c>
      <c r="M287" s="147">
        <f>F4Ax!M287+F4Bx!M287</f>
        <v>118.1355829</v>
      </c>
      <c r="N287" s="147">
        <f>F4Ax!N287+F4Bx!N287</f>
        <v>175.08176514</v>
      </c>
      <c r="O287" s="147">
        <f>F4Ax!O287+F4Bx!O287</f>
        <v>164.23623184</v>
      </c>
      <c r="P287" s="147">
        <f>F4Ax!P287+F4Bx!P287</f>
        <v>167.81001683</v>
      </c>
      <c r="Q287" s="316">
        <f t="shared" si="21"/>
        <v>1877.73325733</v>
      </c>
    </row>
    <row r="288" ht="15" spans="3:17">
      <c r="C288" s="55" t="s">
        <v>203</v>
      </c>
      <c r="D288" s="55" t="s">
        <v>220</v>
      </c>
      <c r="E288" s="147">
        <f>F4Ax!E288+F4Bx!E288</f>
        <v>21.048</v>
      </c>
      <c r="F288" s="147">
        <f>F4Ax!F288+F4Bx!F288</f>
        <v>20.058</v>
      </c>
      <c r="G288" s="147">
        <f>F4Ax!G288+F4Bx!G288</f>
        <v>14.568</v>
      </c>
      <c r="H288" s="147">
        <f>F4Ax!H288+F4Bx!H288</f>
        <v>19.296</v>
      </c>
      <c r="I288" s="147">
        <f>F4Ax!I288+F4Bx!I288</f>
        <v>20.226</v>
      </c>
      <c r="J288" s="147">
        <f>F4Ax!J288+F4Bx!J288</f>
        <v>19.962</v>
      </c>
      <c r="K288" s="147">
        <f>F4Ax!K288+F4Bx!K288</f>
        <v>21.72</v>
      </c>
      <c r="L288" s="147">
        <f>F4Ax!L288+F4Bx!L288</f>
        <v>19.58</v>
      </c>
      <c r="M288" s="147">
        <f>F4Ax!M288+F4Bx!M288</f>
        <v>20.538</v>
      </c>
      <c r="N288" s="147">
        <f>F4Ax!N288+F4Bx!N288</f>
        <v>19.658</v>
      </c>
      <c r="O288" s="147">
        <f>F4Ax!O288+F4Bx!O288</f>
        <v>21.082</v>
      </c>
      <c r="P288" s="147">
        <f>F4Ax!P288+F4Bx!P288</f>
        <v>21.012</v>
      </c>
      <c r="Q288" s="316">
        <f t="shared" si="21"/>
        <v>238.748</v>
      </c>
    </row>
    <row r="289" ht="15" spans="3:17">
      <c r="C289" s="55" t="s">
        <v>241</v>
      </c>
      <c r="D289" s="55" t="s">
        <v>229</v>
      </c>
      <c r="E289" s="147">
        <f>F4Ax!E289+F4Bx!E289</f>
        <v>23.554072</v>
      </c>
      <c r="F289" s="147">
        <f>F4Ax!F289+F4Bx!F289</f>
        <v>21.396363</v>
      </c>
      <c r="G289" s="147">
        <f>F4Ax!G289+F4Bx!G289</f>
        <v>21.488154</v>
      </c>
      <c r="H289" s="147">
        <f>F4Ax!H289+F4Bx!H289</f>
        <v>21.570796</v>
      </c>
      <c r="I289" s="147">
        <f>F4Ax!I289+F4Bx!I289</f>
        <v>24.503117</v>
      </c>
      <c r="J289" s="147">
        <f>F4Ax!J289+F4Bx!J289</f>
        <v>25.06973</v>
      </c>
      <c r="K289" s="147">
        <f>F4Ax!K289+F4Bx!K289</f>
        <v>25.336347</v>
      </c>
      <c r="L289" s="147">
        <f>F4Ax!L289+F4Bx!L289</f>
        <v>26.244343</v>
      </c>
      <c r="M289" s="147">
        <f>F4Ax!M289+F4Bx!M289</f>
        <v>26.003648</v>
      </c>
      <c r="N289" s="147">
        <f>F4Ax!N289+F4Bx!N289</f>
        <v>28.885992</v>
      </c>
      <c r="O289" s="147">
        <f>F4Ax!O289+F4Bx!O289</f>
        <v>27.529892</v>
      </c>
      <c r="P289" s="147">
        <f>F4Ax!P289+F4Bx!P289</f>
        <v>27.027574</v>
      </c>
      <c r="Q289" s="316">
        <f t="shared" si="21"/>
        <v>298.610028</v>
      </c>
    </row>
    <row r="290" ht="15" spans="3:17">
      <c r="C290" s="55" t="s">
        <v>259</v>
      </c>
      <c r="D290" s="55" t="s">
        <v>243</v>
      </c>
      <c r="E290" s="147">
        <f>F4Ax!E290+F4Bx!E290</f>
        <v>6.285889</v>
      </c>
      <c r="F290" s="147">
        <f>F4Ax!F290+F4Bx!F290</f>
        <v>3.958795</v>
      </c>
      <c r="G290" s="147">
        <f>F4Ax!G290+F4Bx!G290</f>
        <v>3.15885</v>
      </c>
      <c r="H290" s="147">
        <f>F4Ax!H290+F4Bx!H290</f>
        <v>5.271632</v>
      </c>
      <c r="I290" s="147">
        <f>F4Ax!I290+F4Bx!I290</f>
        <v>5.673988</v>
      </c>
      <c r="J290" s="147">
        <f>F4Ax!J290+F4Bx!J290</f>
        <v>5.871838</v>
      </c>
      <c r="K290" s="147">
        <f>F4Ax!K290+F4Bx!K290</f>
        <v>6.053575</v>
      </c>
      <c r="L290" s="147">
        <f>F4Ax!L290+F4Bx!L290</f>
        <v>6.110538</v>
      </c>
      <c r="M290" s="147">
        <f>F4Ax!M290+F4Bx!M290</f>
        <v>6.256292</v>
      </c>
      <c r="N290" s="147">
        <f>F4Ax!N290+F4Bx!N290</f>
        <v>5.786496</v>
      </c>
      <c r="O290" s="147">
        <f>F4Ax!O290+F4Bx!O290</f>
        <v>5.533106</v>
      </c>
      <c r="P290" s="147">
        <f>F4Ax!P290+F4Bx!P290</f>
        <v>5.622332</v>
      </c>
      <c r="Q290" s="316">
        <f t="shared" si="21"/>
        <v>65.583331</v>
      </c>
    </row>
    <row r="291" ht="15" spans="3:17">
      <c r="C291" s="55" t="s">
        <v>205</v>
      </c>
      <c r="D291" s="55" t="s">
        <v>206</v>
      </c>
      <c r="E291" s="147">
        <f>F4Ax!E291+F4Bx!E291</f>
        <v>0</v>
      </c>
      <c r="F291" s="147">
        <f>F4Ax!F291+F4Bx!F291</f>
        <v>0</v>
      </c>
      <c r="G291" s="147">
        <f>F4Ax!G291+F4Bx!G291</f>
        <v>0</v>
      </c>
      <c r="H291" s="147">
        <f>F4Ax!H291+F4Bx!H291</f>
        <v>0</v>
      </c>
      <c r="I291" s="147">
        <f>F4Ax!I291+F4Bx!I291</f>
        <v>0</v>
      </c>
      <c r="J291" s="147">
        <f>F4Ax!J291+F4Bx!J291</f>
        <v>0</v>
      </c>
      <c r="K291" s="147">
        <f>F4Ax!K291+F4Bx!K291</f>
        <v>0</v>
      </c>
      <c r="L291" s="147">
        <f>F4Ax!L291+F4Bx!L291</f>
        <v>0</v>
      </c>
      <c r="M291" s="147">
        <f>F4Ax!M291+F4Bx!M291</f>
        <v>0</v>
      </c>
      <c r="N291" s="147">
        <f>F4Ax!N291+F4Bx!N291</f>
        <v>0</v>
      </c>
      <c r="O291" s="147">
        <f>F4Ax!O291+F4Bx!O291</f>
        <v>0</v>
      </c>
      <c r="P291" s="147">
        <f>F4Ax!P291+F4Bx!P291</f>
        <v>0</v>
      </c>
      <c r="Q291" s="316">
        <f t="shared" si="21"/>
        <v>0</v>
      </c>
    </row>
    <row r="292" ht="15" spans="3:17">
      <c r="C292" s="55" t="s">
        <v>207</v>
      </c>
      <c r="D292" s="55" t="s">
        <v>186</v>
      </c>
      <c r="E292" s="147">
        <f>F4Ax!E292+F4Bx!E292</f>
        <v>0</v>
      </c>
      <c r="F292" s="147">
        <f>F4Ax!F292+F4Bx!F292</f>
        <v>0</v>
      </c>
      <c r="G292" s="147">
        <f>F4Ax!G292+F4Bx!G292</f>
        <v>0</v>
      </c>
      <c r="H292" s="147">
        <f>F4Ax!H292+F4Bx!H292</f>
        <v>0</v>
      </c>
      <c r="I292" s="147">
        <f>F4Ax!I292+F4Bx!I292</f>
        <v>0</v>
      </c>
      <c r="J292" s="147">
        <f>F4Ax!J292+F4Bx!J292</f>
        <v>0</v>
      </c>
      <c r="K292" s="147">
        <f>F4Ax!K292+F4Bx!K292</f>
        <v>0</v>
      </c>
      <c r="L292" s="147">
        <f>F4Ax!L292+F4Bx!L292</f>
        <v>0</v>
      </c>
      <c r="M292" s="147">
        <f>F4Ax!M292+F4Bx!M292</f>
        <v>0</v>
      </c>
      <c r="N292" s="147">
        <f>F4Ax!N292+F4Bx!N292</f>
        <v>0</v>
      </c>
      <c r="O292" s="147">
        <f>F4Ax!O292+F4Bx!O292</f>
        <v>0</v>
      </c>
      <c r="P292" s="147">
        <f>F4Ax!P292+F4Bx!P292</f>
        <v>0</v>
      </c>
      <c r="Q292" s="316">
        <f t="shared" si="21"/>
        <v>0</v>
      </c>
    </row>
    <row r="293" ht="15" spans="3:17">
      <c r="C293" s="55" t="s">
        <v>208</v>
      </c>
      <c r="D293" s="55" t="s">
        <v>209</v>
      </c>
      <c r="E293" s="147">
        <f>F4Ax!E293+F4Bx!E293</f>
        <v>0</v>
      </c>
      <c r="F293" s="147">
        <f>F4Ax!F293+F4Bx!F293</f>
        <v>0</v>
      </c>
      <c r="G293" s="147">
        <f>F4Ax!G293+F4Bx!G293</f>
        <v>0</v>
      </c>
      <c r="H293" s="147">
        <f>F4Ax!H293+F4Bx!H293</f>
        <v>0</v>
      </c>
      <c r="I293" s="147">
        <f>F4Ax!I293+F4Bx!I293</f>
        <v>0</v>
      </c>
      <c r="J293" s="147">
        <f>F4Ax!J293+F4Bx!J293</f>
        <v>0</v>
      </c>
      <c r="K293" s="147">
        <f>F4Ax!K293+F4Bx!K293</f>
        <v>0</v>
      </c>
      <c r="L293" s="147">
        <f>F4Ax!L293+F4Bx!L293</f>
        <v>0</v>
      </c>
      <c r="M293" s="147">
        <f>F4Ax!M293+F4Bx!M293</f>
        <v>0</v>
      </c>
      <c r="N293" s="147">
        <f>F4Ax!N293+F4Bx!N293</f>
        <v>0</v>
      </c>
      <c r="O293" s="147">
        <f>F4Ax!O293+F4Bx!O293</f>
        <v>0</v>
      </c>
      <c r="P293" s="147">
        <f>F4Ax!P293+F4Bx!P293</f>
        <v>0</v>
      </c>
      <c r="Q293" s="316">
        <f t="shared" si="21"/>
        <v>0</v>
      </c>
    </row>
    <row r="294" ht="15" spans="3:17">
      <c r="C294" s="55" t="s">
        <v>210</v>
      </c>
      <c r="D294" s="55" t="s">
        <v>188</v>
      </c>
      <c r="E294" s="147">
        <f>F4Ax!E294+F4Bx!E294</f>
        <v>0</v>
      </c>
      <c r="F294" s="147">
        <f>F4Ax!F294+F4Bx!F294</f>
        <v>0</v>
      </c>
      <c r="G294" s="147">
        <f>F4Ax!G294+F4Bx!G294</f>
        <v>0</v>
      </c>
      <c r="H294" s="147">
        <f>F4Ax!H294+F4Bx!H294</f>
        <v>0</v>
      </c>
      <c r="I294" s="147">
        <f>F4Ax!I294+F4Bx!I294</f>
        <v>0</v>
      </c>
      <c r="J294" s="147">
        <f>F4Ax!J294+F4Bx!J294</f>
        <v>0</v>
      </c>
      <c r="K294" s="147">
        <f>F4Ax!K294+F4Bx!K294</f>
        <v>0</v>
      </c>
      <c r="L294" s="147">
        <f>F4Ax!L294+F4Bx!L294</f>
        <v>0</v>
      </c>
      <c r="M294" s="147">
        <f>F4Ax!M294+F4Bx!M294</f>
        <v>0</v>
      </c>
      <c r="N294" s="147">
        <f>F4Ax!N294+F4Bx!N294</f>
        <v>0</v>
      </c>
      <c r="O294" s="147">
        <f>F4Ax!O294+F4Bx!O294</f>
        <v>0</v>
      </c>
      <c r="P294" s="147">
        <f>F4Ax!P294+F4Bx!P294</f>
        <v>0</v>
      </c>
      <c r="Q294" s="316">
        <f t="shared" si="21"/>
        <v>0</v>
      </c>
    </row>
    <row r="295" ht="15" spans="3:17">
      <c r="C295" s="55"/>
      <c r="D295" s="55"/>
      <c r="E295" s="147">
        <f>F4Ax!E295+F4Bx!E295</f>
        <v>0</v>
      </c>
      <c r="F295" s="147">
        <f>F4Ax!F295+F4Bx!F295</f>
        <v>0</v>
      </c>
      <c r="G295" s="147">
        <f>F4Ax!G295+F4Bx!G295</f>
        <v>0</v>
      </c>
      <c r="H295" s="147">
        <f>F4Ax!H295+F4Bx!H295</f>
        <v>0</v>
      </c>
      <c r="I295" s="147">
        <f>F4Ax!I295+F4Bx!I295</f>
        <v>0</v>
      </c>
      <c r="J295" s="147">
        <f>F4Ax!J295+F4Bx!J295</f>
        <v>0</v>
      </c>
      <c r="K295" s="147">
        <f>F4Ax!K295+F4Bx!K295</f>
        <v>0</v>
      </c>
      <c r="L295" s="147">
        <f>F4Ax!L295+F4Bx!L295</f>
        <v>0</v>
      </c>
      <c r="M295" s="147">
        <f>F4Ax!M295+F4Bx!M295</f>
        <v>0</v>
      </c>
      <c r="N295" s="147">
        <f>F4Ax!N295+F4Bx!N295</f>
        <v>0</v>
      </c>
      <c r="O295" s="147">
        <f>F4Ax!O295+F4Bx!O295</f>
        <v>0</v>
      </c>
      <c r="P295" s="147">
        <f>F4Ax!P295+F4Bx!P295</f>
        <v>0</v>
      </c>
      <c r="Q295" s="316">
        <f t="shared" si="21"/>
        <v>0</v>
      </c>
    </row>
    <row r="296" ht="15" spans="3:17">
      <c r="C296" s="55"/>
      <c r="D296" s="55"/>
      <c r="E296" s="147">
        <f>F4Ax!E296+F4Bx!E296</f>
        <v>0</v>
      </c>
      <c r="F296" s="147">
        <f>F4Ax!F296+F4Bx!F296</f>
        <v>0</v>
      </c>
      <c r="G296" s="147">
        <f>F4Ax!G296+F4Bx!G296</f>
        <v>0</v>
      </c>
      <c r="H296" s="147">
        <f>F4Ax!H296+F4Bx!H296</f>
        <v>0</v>
      </c>
      <c r="I296" s="147">
        <f>F4Ax!I296+F4Bx!I296</f>
        <v>0</v>
      </c>
      <c r="J296" s="147">
        <f>F4Ax!J296+F4Bx!J296</f>
        <v>0</v>
      </c>
      <c r="K296" s="147">
        <f>F4Ax!K296+F4Bx!K296</f>
        <v>0</v>
      </c>
      <c r="L296" s="147">
        <f>F4Ax!L296+F4Bx!L296</f>
        <v>0</v>
      </c>
      <c r="M296" s="147">
        <f>F4Ax!M296+F4Bx!M296</f>
        <v>0</v>
      </c>
      <c r="N296" s="147">
        <f>F4Ax!N296+F4Bx!N296</f>
        <v>0</v>
      </c>
      <c r="O296" s="147">
        <f>F4Ax!O296+F4Bx!O296</f>
        <v>0</v>
      </c>
      <c r="P296" s="147">
        <f>F4Ax!P296+F4Bx!P296</f>
        <v>0</v>
      </c>
      <c r="Q296" s="316">
        <f t="shared" ref="Q296:Q301" si="23">SUM(E296:P296)</f>
        <v>0</v>
      </c>
    </row>
    <row r="297" ht="15" spans="3:17">
      <c r="C297" s="55"/>
      <c r="D297" s="55"/>
      <c r="E297" s="147">
        <f>F4Ax!E297+F4Bx!E297</f>
        <v>0</v>
      </c>
      <c r="F297" s="147">
        <f>F4Ax!F297+F4Bx!F297</f>
        <v>0</v>
      </c>
      <c r="G297" s="147">
        <f>F4Ax!G297+F4Bx!G297</f>
        <v>0</v>
      </c>
      <c r="H297" s="147">
        <f>F4Ax!H297+F4Bx!H297</f>
        <v>0</v>
      </c>
      <c r="I297" s="147">
        <f>F4Ax!I297+F4Bx!I297</f>
        <v>0</v>
      </c>
      <c r="J297" s="147">
        <f>F4Ax!J297+F4Bx!J297</f>
        <v>0</v>
      </c>
      <c r="K297" s="147">
        <f>F4Ax!K297+F4Bx!K297</f>
        <v>0</v>
      </c>
      <c r="L297" s="147">
        <f>F4Ax!L297+F4Bx!L297</f>
        <v>0</v>
      </c>
      <c r="M297" s="147">
        <f>F4Ax!M297+F4Bx!M297</f>
        <v>0</v>
      </c>
      <c r="N297" s="147">
        <f>F4Ax!N297+F4Bx!N297</f>
        <v>0</v>
      </c>
      <c r="O297" s="147">
        <f>F4Ax!O297+F4Bx!O297</f>
        <v>0</v>
      </c>
      <c r="P297" s="147">
        <f>F4Ax!P297+F4Bx!P297</f>
        <v>0</v>
      </c>
      <c r="Q297" s="316">
        <f t="shared" si="23"/>
        <v>0</v>
      </c>
    </row>
    <row r="298" ht="15" spans="3:17">
      <c r="C298" s="55" t="s">
        <v>258</v>
      </c>
      <c r="D298" s="55" t="s">
        <v>258</v>
      </c>
      <c r="E298" s="147">
        <f>F4Ax!E298+F4Bx!E298</f>
        <v>0</v>
      </c>
      <c r="F298" s="147">
        <f>F4Ax!F298+F4Bx!F298</f>
        <v>0</v>
      </c>
      <c r="G298" s="147">
        <f>F4Ax!G298+F4Bx!G298</f>
        <v>0</v>
      </c>
      <c r="H298" s="147">
        <f>F4Ax!H298+F4Bx!H298</f>
        <v>0</v>
      </c>
      <c r="I298" s="147">
        <f>F4Ax!I298+F4Bx!I298</f>
        <v>0</v>
      </c>
      <c r="J298" s="147">
        <f>F4Ax!J298+F4Bx!J298</f>
        <v>0</v>
      </c>
      <c r="K298" s="147">
        <f>F4Ax!K298+F4Bx!K298</f>
        <v>0</v>
      </c>
      <c r="L298" s="147">
        <f>F4Ax!L298+F4Bx!L298</f>
        <v>0</v>
      </c>
      <c r="M298" s="147">
        <f>F4Ax!M298+F4Bx!M298</f>
        <v>0</v>
      </c>
      <c r="N298" s="147">
        <f>F4Ax!N298+F4Bx!N298</f>
        <v>0</v>
      </c>
      <c r="O298" s="147">
        <f>F4Ax!O298+F4Bx!O298</f>
        <v>0</v>
      </c>
      <c r="P298" s="147">
        <f>F4Ax!P298+F4Bx!P298</f>
        <v>0</v>
      </c>
      <c r="Q298" s="316">
        <f t="shared" si="23"/>
        <v>0</v>
      </c>
    </row>
    <row r="299" ht="15" spans="3:17">
      <c r="C299" s="537" t="s">
        <v>211</v>
      </c>
      <c r="D299" s="540"/>
      <c r="E299" s="316">
        <f t="shared" ref="E299:P299" si="24">SUM(E282:E298)</f>
        <v>584.94786894</v>
      </c>
      <c r="F299" s="316">
        <f t="shared" si="24"/>
        <v>326.58416972</v>
      </c>
      <c r="G299" s="316">
        <f t="shared" si="24"/>
        <v>320.64465852</v>
      </c>
      <c r="H299" s="316">
        <f t="shared" si="24"/>
        <v>437.11872153</v>
      </c>
      <c r="I299" s="316">
        <f t="shared" si="24"/>
        <v>420.76077275</v>
      </c>
      <c r="J299" s="316">
        <f t="shared" si="24"/>
        <v>566.78235087</v>
      </c>
      <c r="K299" s="316">
        <f t="shared" si="24"/>
        <v>599.9627946</v>
      </c>
      <c r="L299" s="316">
        <f t="shared" si="24"/>
        <v>520.87430069</v>
      </c>
      <c r="M299" s="316">
        <f t="shared" si="24"/>
        <v>474.9844179</v>
      </c>
      <c r="N299" s="316">
        <f t="shared" si="24"/>
        <v>546.29337614</v>
      </c>
      <c r="O299" s="316">
        <f t="shared" si="24"/>
        <v>565.62198584</v>
      </c>
      <c r="P299" s="316">
        <f t="shared" si="24"/>
        <v>576.24032683</v>
      </c>
      <c r="Q299" s="316">
        <f t="shared" si="23"/>
        <v>5940.81574433</v>
      </c>
    </row>
    <row r="300" ht="15" spans="3:17">
      <c r="C300" s="537" t="s">
        <v>223</v>
      </c>
      <c r="D300" s="540"/>
      <c r="E300" s="316">
        <f t="shared" ref="E300:P300" si="25">E299+E280+E263</f>
        <v>1603.12929815</v>
      </c>
      <c r="F300" s="316">
        <f t="shared" si="25"/>
        <v>1208.54779339</v>
      </c>
      <c r="G300" s="316">
        <f t="shared" si="25"/>
        <v>1193.45370547</v>
      </c>
      <c r="H300" s="316">
        <f t="shared" si="25"/>
        <v>1363.7533897</v>
      </c>
      <c r="I300" s="316">
        <f t="shared" si="25"/>
        <v>1379.90044646</v>
      </c>
      <c r="J300" s="316">
        <f t="shared" si="25"/>
        <v>1565.5576139</v>
      </c>
      <c r="K300" s="316">
        <f t="shared" si="25"/>
        <v>1603.53753713</v>
      </c>
      <c r="L300" s="316">
        <f t="shared" si="25"/>
        <v>1493.41599052</v>
      </c>
      <c r="M300" s="316">
        <f t="shared" si="25"/>
        <v>1450.73732105</v>
      </c>
      <c r="N300" s="316">
        <f t="shared" si="25"/>
        <v>1521.62688997</v>
      </c>
      <c r="O300" s="316">
        <f t="shared" si="25"/>
        <v>1547.54404304</v>
      </c>
      <c r="P300" s="316">
        <f t="shared" si="25"/>
        <v>1545.91618296</v>
      </c>
      <c r="Q300" s="316">
        <f t="shared" si="23"/>
        <v>17477.12021174</v>
      </c>
    </row>
    <row r="301" ht="15" spans="3:17">
      <c r="C301" s="537" t="s">
        <v>224</v>
      </c>
      <c r="D301" s="540"/>
      <c r="E301" s="316">
        <f t="shared" ref="E301:P301" si="26">E300+E246</f>
        <v>3975.19474812063</v>
      </c>
      <c r="F301" s="316">
        <f t="shared" si="26"/>
        <v>2988.12129084737</v>
      </c>
      <c r="G301" s="316">
        <f t="shared" si="26"/>
        <v>2861.46288255693</v>
      </c>
      <c r="H301" s="316">
        <f t="shared" si="26"/>
        <v>3408.16997303038</v>
      </c>
      <c r="I301" s="316">
        <f t="shared" si="26"/>
        <v>3923.79886629359</v>
      </c>
      <c r="J301" s="316">
        <f t="shared" si="26"/>
        <v>3501.16945643546</v>
      </c>
      <c r="K301" s="316">
        <f t="shared" si="26"/>
        <v>3722.20414607881</v>
      </c>
      <c r="L301" s="316">
        <f t="shared" si="26"/>
        <v>2899.89109763923</v>
      </c>
      <c r="M301" s="316">
        <f t="shared" si="26"/>
        <v>3315.54787163295</v>
      </c>
      <c r="N301" s="316">
        <f t="shared" si="26"/>
        <v>3640.35879920621</v>
      </c>
      <c r="O301" s="316">
        <f t="shared" si="26"/>
        <v>3729.38824914097</v>
      </c>
      <c r="P301" s="316">
        <f t="shared" si="26"/>
        <v>4546.80251171963</v>
      </c>
      <c r="Q301" s="316">
        <f t="shared" si="23"/>
        <v>42512.1098927022</v>
      </c>
    </row>
    <row r="302" ht="15" spans="3:17">
      <c r="C302" s="14"/>
      <c r="Q302" s="3" t="s">
        <v>236</v>
      </c>
    </row>
    <row r="303" ht="15" spans="3:17">
      <c r="C303" s="6" t="s">
        <v>159</v>
      </c>
      <c r="D303" s="6"/>
      <c r="E303" s="135" t="s">
        <v>262</v>
      </c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</row>
    <row r="304" ht="15" spans="3:17">
      <c r="C304" s="6"/>
      <c r="D304" s="6"/>
      <c r="E304" s="135" t="s">
        <v>246</v>
      </c>
      <c r="F304" s="135" t="s">
        <v>247</v>
      </c>
      <c r="G304" s="135" t="s">
        <v>248</v>
      </c>
      <c r="H304" s="135" t="s">
        <v>249</v>
      </c>
      <c r="I304" s="135" t="s">
        <v>250</v>
      </c>
      <c r="J304" s="135" t="s">
        <v>251</v>
      </c>
      <c r="K304" s="135" t="s">
        <v>252</v>
      </c>
      <c r="L304" s="135" t="s">
        <v>253</v>
      </c>
      <c r="M304" s="135" t="s">
        <v>254</v>
      </c>
      <c r="N304" s="135" t="s">
        <v>255</v>
      </c>
      <c r="O304" s="135" t="s">
        <v>256</v>
      </c>
      <c r="P304" s="135" t="s">
        <v>257</v>
      </c>
      <c r="Q304" s="135" t="s">
        <v>97</v>
      </c>
    </row>
    <row r="305" ht="15" spans="3:17">
      <c r="C305" s="44" t="s">
        <v>170</v>
      </c>
      <c r="D305" s="45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316">
        <f t="shared" ref="Q305:Q336" si="27">SUM(E305:P305)</f>
        <v>0</v>
      </c>
    </row>
    <row r="306" ht="15" spans="3:17">
      <c r="C306" s="47" t="s">
        <v>171</v>
      </c>
      <c r="D306" s="47" t="s">
        <v>172</v>
      </c>
      <c r="E306" s="147">
        <f>F4Ax!E306+F4Bx!E306</f>
        <v>1054.49917709</v>
      </c>
      <c r="F306" s="147">
        <f>F4Ax!F306+F4Bx!F306</f>
        <v>1071.68560656</v>
      </c>
      <c r="G306" s="147">
        <f>F4Ax!G306+F4Bx!G306</f>
        <v>919.87931851</v>
      </c>
      <c r="H306" s="147">
        <f>F4Ax!H306+F4Bx!H306</f>
        <v>782.42434202</v>
      </c>
      <c r="I306" s="147">
        <f>F4Ax!I306+F4Bx!I306</f>
        <v>835.5457414</v>
      </c>
      <c r="J306" s="147">
        <f>F4Ax!J306+F4Bx!J306</f>
        <v>808.12435736</v>
      </c>
      <c r="K306" s="147">
        <f>F4Ax!K306+F4Bx!K306</f>
        <v>747.661322</v>
      </c>
      <c r="L306" s="147">
        <f>F4Ax!L306+F4Bx!L306</f>
        <v>713.3555715</v>
      </c>
      <c r="M306" s="147">
        <f>F4Ax!M306+F4Bx!M306</f>
        <v>720.93670168</v>
      </c>
      <c r="N306" s="147">
        <f>F4Ax!N306+F4Bx!N306</f>
        <v>682.8638952</v>
      </c>
      <c r="O306" s="147">
        <f>F4Ax!O306+F4Bx!O306</f>
        <v>721.0716355</v>
      </c>
      <c r="P306" s="147">
        <f>F4Ax!P306+F4Bx!P306</f>
        <v>894.06128425</v>
      </c>
      <c r="Q306" s="316">
        <f t="shared" si="27"/>
        <v>9952.10895307</v>
      </c>
    </row>
    <row r="307" ht="15" spans="3:17">
      <c r="C307" s="55" t="s">
        <v>173</v>
      </c>
      <c r="D307" s="55" t="s">
        <v>174</v>
      </c>
      <c r="E307" s="147">
        <f>F4Ax!E307+F4Bx!E307</f>
        <v>287.3821605</v>
      </c>
      <c r="F307" s="147">
        <f>F4Ax!F307+F4Bx!F307</f>
        <v>294.66361475</v>
      </c>
      <c r="G307" s="147">
        <f>F4Ax!G307+F4Bx!G307</f>
        <v>268.698341</v>
      </c>
      <c r="H307" s="147">
        <f>F4Ax!H307+F4Bx!H307</f>
        <v>231.91902975</v>
      </c>
      <c r="I307" s="147">
        <f>F4Ax!I307+F4Bx!I307</f>
        <v>252.08797125</v>
      </c>
      <c r="J307" s="147">
        <f>F4Ax!J307+F4Bx!J307</f>
        <v>251.81102075</v>
      </c>
      <c r="K307" s="147">
        <f>F4Ax!K307+F4Bx!K307</f>
        <v>239.37629918</v>
      </c>
      <c r="L307" s="147">
        <f>F4Ax!L307+F4Bx!L307</f>
        <v>240.630599</v>
      </c>
      <c r="M307" s="147">
        <f>F4Ax!M307+F4Bx!M307</f>
        <v>244.72922025</v>
      </c>
      <c r="N307" s="147">
        <f>F4Ax!N307+F4Bx!N307</f>
        <v>231.475063</v>
      </c>
      <c r="O307" s="147">
        <f>F4Ax!O307+F4Bx!O307</f>
        <v>247.637579</v>
      </c>
      <c r="P307" s="147">
        <f>F4Ax!P307+F4Bx!P307</f>
        <v>286.55679</v>
      </c>
      <c r="Q307" s="316">
        <f t="shared" si="27"/>
        <v>3076.96768843</v>
      </c>
    </row>
    <row r="308" ht="15" spans="3:17">
      <c r="C308" s="55" t="s">
        <v>175</v>
      </c>
      <c r="D308" s="55" t="s">
        <v>176</v>
      </c>
      <c r="E308" s="147">
        <f>F4Ax!E308+F4Bx!E308</f>
        <v>80.540946</v>
      </c>
      <c r="F308" s="147">
        <f>F4Ax!F308+F4Bx!F308</f>
        <v>80.615591</v>
      </c>
      <c r="G308" s="147">
        <f>F4Ax!G308+F4Bx!G308</f>
        <v>77.60986</v>
      </c>
      <c r="H308" s="147">
        <f>F4Ax!H308+F4Bx!H308</f>
        <v>71.092956</v>
      </c>
      <c r="I308" s="147">
        <f>F4Ax!I308+F4Bx!I308</f>
        <v>73.4384755</v>
      </c>
      <c r="J308" s="147">
        <f>F4Ax!J308+F4Bx!J308</f>
        <v>73.916187</v>
      </c>
      <c r="K308" s="147">
        <f>F4Ax!K308+F4Bx!K308</f>
        <v>69.627046</v>
      </c>
      <c r="L308" s="147">
        <f>F4Ax!L308+F4Bx!L308</f>
        <v>83.492833</v>
      </c>
      <c r="M308" s="147">
        <f>F4Ax!M308+F4Bx!M308</f>
        <v>84.7954</v>
      </c>
      <c r="N308" s="147">
        <f>F4Ax!N308+F4Bx!N308</f>
        <v>78.695625</v>
      </c>
      <c r="O308" s="147">
        <f>F4Ax!O308+F4Bx!O308</f>
        <v>78.388408</v>
      </c>
      <c r="P308" s="147">
        <f>F4Ax!P308+F4Bx!P308</f>
        <v>80.8559589999999</v>
      </c>
      <c r="Q308" s="316">
        <f t="shared" si="27"/>
        <v>933.0692865</v>
      </c>
    </row>
    <row r="309" ht="15" spans="3:17">
      <c r="C309" s="55" t="s">
        <v>177</v>
      </c>
      <c r="D309" s="55" t="s">
        <v>178</v>
      </c>
      <c r="E309" s="147">
        <f>F4Ax!E309+F4Bx!E309</f>
        <v>0.879329</v>
      </c>
      <c r="F309" s="147">
        <f>F4Ax!F309+F4Bx!F309</f>
        <v>0.879206</v>
      </c>
      <c r="G309" s="147">
        <f>F4Ax!G309+F4Bx!G309</f>
        <v>0.813468</v>
      </c>
      <c r="H309" s="147">
        <f>F4Ax!H309+F4Bx!H309</f>
        <v>0.740623</v>
      </c>
      <c r="I309" s="147">
        <f>F4Ax!I309+F4Bx!I309</f>
        <v>0.756743</v>
      </c>
      <c r="J309" s="147">
        <f>F4Ax!J309+F4Bx!J309</f>
        <v>0.790529</v>
      </c>
      <c r="K309" s="147">
        <f>F4Ax!K309+F4Bx!K309</f>
        <v>0.736981</v>
      </c>
      <c r="L309" s="147">
        <f>F4Ax!L309+F4Bx!L309</f>
        <v>0.80415</v>
      </c>
      <c r="M309" s="147">
        <f>F4Ax!M309+F4Bx!M309</f>
        <v>0.844049</v>
      </c>
      <c r="N309" s="147">
        <f>F4Ax!N309+F4Bx!N309</f>
        <v>0.746537</v>
      </c>
      <c r="O309" s="147">
        <f>F4Ax!O309+F4Bx!O309</f>
        <v>0.71819</v>
      </c>
      <c r="P309" s="147">
        <f>F4Ax!P309+F4Bx!P309</f>
        <v>0.816185</v>
      </c>
      <c r="Q309" s="316">
        <f t="shared" si="27"/>
        <v>9.52599</v>
      </c>
    </row>
    <row r="310" ht="15" spans="3:17">
      <c r="C310" s="55" t="s">
        <v>179</v>
      </c>
      <c r="D310" s="55" t="s">
        <v>180</v>
      </c>
      <c r="E310" s="147">
        <f>F4Ax!E310+F4Bx!E310</f>
        <v>1254.20211058848</v>
      </c>
      <c r="F310" s="147">
        <f>F4Ax!F310+F4Bx!F310</f>
        <v>593.193606162004</v>
      </c>
      <c r="G310" s="147">
        <f>F4Ax!G310+F4Bx!G310</f>
        <v>543.474133148526</v>
      </c>
      <c r="H310" s="147">
        <f>F4Ax!H310+F4Bx!H310</f>
        <v>780.52</v>
      </c>
      <c r="I310" s="147">
        <f>F4Ax!I310+F4Bx!I310</f>
        <v>961.56</v>
      </c>
      <c r="J310" s="147">
        <f>F4Ax!J310+F4Bx!J310</f>
        <v>1043.74</v>
      </c>
      <c r="K310" s="147">
        <f>F4Ax!K310+F4Bx!K310</f>
        <v>701.02753478761</v>
      </c>
      <c r="L310" s="147">
        <f>F4Ax!L310+F4Bx!L310</f>
        <v>593.875110158625</v>
      </c>
      <c r="M310" s="147">
        <f>F4Ax!M310+F4Bx!M310</f>
        <v>1041.53916312042</v>
      </c>
      <c r="N310" s="147">
        <f>F4Ax!N310+F4Bx!N310</f>
        <v>1398.71766225091</v>
      </c>
      <c r="O310" s="147">
        <f>F4Ax!O310+F4Bx!O310</f>
        <v>1488.39335589008</v>
      </c>
      <c r="P310" s="147">
        <f>F4Ax!P310+F4Bx!P310</f>
        <v>1726.981694</v>
      </c>
      <c r="Q310" s="316">
        <f t="shared" si="27"/>
        <v>12127.2243701067</v>
      </c>
    </row>
    <row r="311" ht="15" spans="3:17">
      <c r="C311" s="55" t="s">
        <v>181</v>
      </c>
      <c r="D311" s="55" t="s">
        <v>182</v>
      </c>
      <c r="E311" s="147">
        <f>F4Ax!E311+F4Bx!E311</f>
        <v>40.484487</v>
      </c>
      <c r="F311" s="147">
        <f>F4Ax!F311+F4Bx!F311</f>
        <v>39.110261</v>
      </c>
      <c r="G311" s="147">
        <f>F4Ax!G311+F4Bx!G311</f>
        <v>36.011614</v>
      </c>
      <c r="H311" s="147">
        <f>F4Ax!H311+F4Bx!H311</f>
        <v>33.568339</v>
      </c>
      <c r="I311" s="147">
        <f>F4Ax!I311+F4Bx!I311</f>
        <v>36.34499075</v>
      </c>
      <c r="J311" s="147">
        <f>F4Ax!J311+F4Bx!J311</f>
        <v>37.490599</v>
      </c>
      <c r="K311" s="147">
        <f>F4Ax!K311+F4Bx!K311</f>
        <v>39.630035</v>
      </c>
      <c r="L311" s="147">
        <f>F4Ax!L311+F4Bx!L311</f>
        <v>39.282273</v>
      </c>
      <c r="M311" s="147">
        <f>F4Ax!M311+F4Bx!M311</f>
        <v>41.373676</v>
      </c>
      <c r="N311" s="147">
        <f>F4Ax!N311+F4Bx!N311</f>
        <v>41.1030005</v>
      </c>
      <c r="O311" s="147">
        <f>F4Ax!O311+F4Bx!O311</f>
        <v>39.504416</v>
      </c>
      <c r="P311" s="147">
        <f>F4Ax!P311+F4Bx!P311</f>
        <v>42.763264</v>
      </c>
      <c r="Q311" s="316">
        <f t="shared" si="27"/>
        <v>466.66695525</v>
      </c>
    </row>
    <row r="312" ht="15" spans="3:17">
      <c r="C312" s="55" t="s">
        <v>183</v>
      </c>
      <c r="D312" s="55" t="s">
        <v>184</v>
      </c>
      <c r="E312" s="147">
        <f>F4Ax!E312+F4Bx!E312</f>
        <v>9.374641</v>
      </c>
      <c r="F312" s="147">
        <f>F4Ax!F312+F4Bx!F312</f>
        <v>7.187622</v>
      </c>
      <c r="G312" s="147">
        <f>F4Ax!G312+F4Bx!G312</f>
        <v>6.765159</v>
      </c>
      <c r="H312" s="147">
        <f>F4Ax!H312+F4Bx!H312</f>
        <v>6.72374275</v>
      </c>
      <c r="I312" s="147">
        <f>F4Ax!I312+F4Bx!I312</f>
        <v>7.564866</v>
      </c>
      <c r="J312" s="147">
        <f>F4Ax!J312+F4Bx!J312</f>
        <v>6.704741</v>
      </c>
      <c r="K312" s="147">
        <f>F4Ax!K312+F4Bx!K312</f>
        <v>7.054721</v>
      </c>
      <c r="L312" s="147">
        <f>F4Ax!L312+F4Bx!L312</f>
        <v>7.1476982</v>
      </c>
      <c r="M312" s="147">
        <f>F4Ax!M312+F4Bx!M312</f>
        <v>7.117874</v>
      </c>
      <c r="N312" s="147">
        <f>F4Ax!N312+F4Bx!N312</f>
        <v>6.315293</v>
      </c>
      <c r="O312" s="147">
        <f>F4Ax!O312+F4Bx!O312</f>
        <v>7.218932</v>
      </c>
      <c r="P312" s="147">
        <f>F4Ax!P312+F4Bx!P312</f>
        <v>8.8987295</v>
      </c>
      <c r="Q312" s="316">
        <f t="shared" si="27"/>
        <v>88.07401945</v>
      </c>
    </row>
    <row r="313" ht="15" spans="3:17">
      <c r="C313" s="55" t="s">
        <v>185</v>
      </c>
      <c r="D313" s="55" t="s">
        <v>186</v>
      </c>
      <c r="E313" s="147">
        <f>F4Ax!E313+F4Bx!E313</f>
        <v>9.1814284</v>
      </c>
      <c r="F313" s="147">
        <f>F4Ax!F313+F4Bx!F313</f>
        <v>8.863599</v>
      </c>
      <c r="G313" s="147">
        <f>F4Ax!G313+F4Bx!G313</f>
        <v>8.21191</v>
      </c>
      <c r="H313" s="147">
        <f>F4Ax!H313+F4Bx!H313</f>
        <v>7.270117</v>
      </c>
      <c r="I313" s="147">
        <f>F4Ax!I313+F4Bx!I313</f>
        <v>7.527117</v>
      </c>
      <c r="J313" s="147">
        <f>F4Ax!J313+F4Bx!J313</f>
        <v>7.597726</v>
      </c>
      <c r="K313" s="147">
        <f>F4Ax!K313+F4Bx!K313</f>
        <v>7.181891</v>
      </c>
      <c r="L313" s="147">
        <f>F4Ax!L313+F4Bx!L313</f>
        <v>7.709997</v>
      </c>
      <c r="M313" s="147">
        <f>F4Ax!M313+F4Bx!M313</f>
        <v>8.04304</v>
      </c>
      <c r="N313" s="147">
        <f>F4Ax!N313+F4Bx!N313</f>
        <v>7.992419</v>
      </c>
      <c r="O313" s="147">
        <f>F4Ax!O313+F4Bx!O313</f>
        <v>8.073885</v>
      </c>
      <c r="P313" s="147">
        <f>F4Ax!P313+F4Bx!P313</f>
        <v>8.685037</v>
      </c>
      <c r="Q313" s="316">
        <f t="shared" si="27"/>
        <v>96.3381664</v>
      </c>
    </row>
    <row r="314" ht="15" spans="3:17">
      <c r="C314" s="55" t="s">
        <v>187</v>
      </c>
      <c r="D314" s="55" t="s">
        <v>188</v>
      </c>
      <c r="E314" s="147">
        <f>F4Ax!E314+F4Bx!E314</f>
        <v>0.025866</v>
      </c>
      <c r="F314" s="147">
        <f>F4Ax!F314+F4Bx!F314</f>
        <v>0.027789</v>
      </c>
      <c r="G314" s="147">
        <f>F4Ax!G314+F4Bx!G314</f>
        <v>0.030726</v>
      </c>
      <c r="H314" s="147">
        <f>F4Ax!H314+F4Bx!H314</f>
        <v>0.030687</v>
      </c>
      <c r="I314" s="147">
        <f>F4Ax!I314+F4Bx!I314</f>
        <v>0.033495</v>
      </c>
      <c r="J314" s="147">
        <f>F4Ax!J314+F4Bx!J314</f>
        <v>0.043436</v>
      </c>
      <c r="K314" s="147">
        <f>F4Ax!K314+F4Bx!K314</f>
        <v>0.043189</v>
      </c>
      <c r="L314" s="147">
        <f>F4Ax!L314+F4Bx!L314</f>
        <v>0.053362</v>
      </c>
      <c r="M314" s="147">
        <f>F4Ax!M314+F4Bx!M314</f>
        <v>0.056037</v>
      </c>
      <c r="N314" s="147">
        <f>F4Ax!N314+F4Bx!N314</f>
        <v>0.05953</v>
      </c>
      <c r="O314" s="147">
        <f>F4Ax!O314+F4Bx!O314</f>
        <v>0.059889</v>
      </c>
      <c r="P314" s="147">
        <f>F4Ax!P314+F4Bx!P314</f>
        <v>0.068201</v>
      </c>
      <c r="Q314" s="316">
        <f t="shared" si="27"/>
        <v>0.532207</v>
      </c>
    </row>
    <row r="315" ht="15" spans="3:17">
      <c r="C315" s="55"/>
      <c r="D315" s="55"/>
      <c r="E315" s="147">
        <f>F4Ax!E315+F4Bx!E315</f>
        <v>0</v>
      </c>
      <c r="F315" s="147">
        <f>F4Ax!F315+F4Bx!F315</f>
        <v>0</v>
      </c>
      <c r="G315" s="147">
        <f>F4Ax!G315+F4Bx!G315</f>
        <v>0</v>
      </c>
      <c r="H315" s="147">
        <f>F4Ax!H315+F4Bx!H315</f>
        <v>0</v>
      </c>
      <c r="I315" s="147">
        <f>F4Ax!I315+F4Bx!I315</f>
        <v>0</v>
      </c>
      <c r="J315" s="147">
        <f>F4Ax!J315+F4Bx!J315</f>
        <v>0</v>
      </c>
      <c r="K315" s="147">
        <f>F4Ax!K315+F4Bx!K315</f>
        <v>0</v>
      </c>
      <c r="L315" s="147">
        <f>F4Ax!L315+F4Bx!L315</f>
        <v>0</v>
      </c>
      <c r="M315" s="147">
        <f>F4Ax!M315+F4Bx!M315</f>
        <v>0</v>
      </c>
      <c r="N315" s="147">
        <f>F4Ax!N315+F4Bx!N315</f>
        <v>0</v>
      </c>
      <c r="O315" s="147">
        <f>F4Ax!O315+F4Bx!O315</f>
        <v>0</v>
      </c>
      <c r="P315" s="147">
        <f>F4Ax!P315+F4Bx!P315</f>
        <v>0</v>
      </c>
      <c r="Q315" s="316">
        <f t="shared" si="27"/>
        <v>0</v>
      </c>
    </row>
    <row r="316" ht="15" spans="3:17">
      <c r="C316" s="55"/>
      <c r="D316" s="55"/>
      <c r="E316" s="147">
        <f>F4Ax!E316+F4Bx!E316</f>
        <v>0</v>
      </c>
      <c r="F316" s="147">
        <f>F4Ax!F316+F4Bx!F316</f>
        <v>0</v>
      </c>
      <c r="G316" s="147">
        <f>F4Ax!G316+F4Bx!G316</f>
        <v>0</v>
      </c>
      <c r="H316" s="147">
        <f>F4Ax!H316+F4Bx!H316</f>
        <v>0</v>
      </c>
      <c r="I316" s="147">
        <f>F4Ax!I316+F4Bx!I316</f>
        <v>0</v>
      </c>
      <c r="J316" s="147">
        <f>F4Ax!J316+F4Bx!J316</f>
        <v>0</v>
      </c>
      <c r="K316" s="147">
        <f>F4Ax!K316+F4Bx!K316</f>
        <v>0</v>
      </c>
      <c r="L316" s="147">
        <f>F4Ax!L316+F4Bx!L316</f>
        <v>0</v>
      </c>
      <c r="M316" s="147">
        <f>F4Ax!M316+F4Bx!M316</f>
        <v>0</v>
      </c>
      <c r="N316" s="147">
        <f>F4Ax!N316+F4Bx!N316</f>
        <v>0</v>
      </c>
      <c r="O316" s="147">
        <f>F4Ax!O316+F4Bx!O316</f>
        <v>0</v>
      </c>
      <c r="P316" s="147">
        <f>F4Ax!P316+F4Bx!P316</f>
        <v>0</v>
      </c>
      <c r="Q316" s="316">
        <f t="shared" si="27"/>
        <v>0</v>
      </c>
    </row>
    <row r="317" ht="15" spans="3:17">
      <c r="C317" s="55"/>
      <c r="D317" s="55"/>
      <c r="E317" s="147">
        <f>F4Ax!E317+F4Bx!E317</f>
        <v>0</v>
      </c>
      <c r="F317" s="147">
        <f>F4Ax!F317+F4Bx!F317</f>
        <v>0</v>
      </c>
      <c r="G317" s="147">
        <f>F4Ax!G317+F4Bx!G317</f>
        <v>0</v>
      </c>
      <c r="H317" s="147">
        <f>F4Ax!H317+F4Bx!H317</f>
        <v>0</v>
      </c>
      <c r="I317" s="147">
        <f>F4Ax!I317+F4Bx!I317</f>
        <v>0</v>
      </c>
      <c r="J317" s="147">
        <f>F4Ax!J317+F4Bx!J317</f>
        <v>0</v>
      </c>
      <c r="K317" s="147">
        <f>F4Ax!K317+F4Bx!K317</f>
        <v>0</v>
      </c>
      <c r="L317" s="147">
        <f>F4Ax!L317+F4Bx!L317</f>
        <v>0</v>
      </c>
      <c r="M317" s="147">
        <f>F4Ax!M317+F4Bx!M317</f>
        <v>0</v>
      </c>
      <c r="N317" s="147">
        <f>F4Ax!N317+F4Bx!N317</f>
        <v>0</v>
      </c>
      <c r="O317" s="147">
        <f>F4Ax!O317+F4Bx!O317</f>
        <v>0</v>
      </c>
      <c r="P317" s="147">
        <f>F4Ax!P317+F4Bx!P317</f>
        <v>0</v>
      </c>
      <c r="Q317" s="316">
        <f t="shared" si="27"/>
        <v>0</v>
      </c>
    </row>
    <row r="318" ht="15" spans="3:17">
      <c r="C318" s="55" t="s">
        <v>258</v>
      </c>
      <c r="D318" s="55" t="s">
        <v>258</v>
      </c>
      <c r="E318" s="147">
        <f>F4Ax!E318+F4Bx!E318</f>
        <v>0</v>
      </c>
      <c r="F318" s="147">
        <f>F4Ax!F318+F4Bx!F318</f>
        <v>0</v>
      </c>
      <c r="G318" s="147">
        <f>F4Ax!G318+F4Bx!G318</f>
        <v>0</v>
      </c>
      <c r="H318" s="147">
        <f>F4Ax!H318+F4Bx!H318</f>
        <v>0</v>
      </c>
      <c r="I318" s="147">
        <f>F4Ax!I318+F4Bx!I318</f>
        <v>0</v>
      </c>
      <c r="J318" s="147">
        <f>F4Ax!J318+F4Bx!J318</f>
        <v>0</v>
      </c>
      <c r="K318" s="147">
        <f>F4Ax!K318+F4Bx!K318</f>
        <v>0</v>
      </c>
      <c r="L318" s="147">
        <f>F4Ax!L318+F4Bx!L318</f>
        <v>0</v>
      </c>
      <c r="M318" s="147">
        <f>F4Ax!M318+F4Bx!M318</f>
        <v>0</v>
      </c>
      <c r="N318" s="147">
        <f>F4Ax!N318+F4Bx!N318</f>
        <v>0</v>
      </c>
      <c r="O318" s="147">
        <f>F4Ax!O318+F4Bx!O318</f>
        <v>0</v>
      </c>
      <c r="P318" s="147">
        <f>F4Ax!P318+F4Bx!P318</f>
        <v>0</v>
      </c>
      <c r="Q318" s="316">
        <f t="shared" si="27"/>
        <v>0</v>
      </c>
    </row>
    <row r="319" ht="15" spans="3:17">
      <c r="C319" s="537" t="s">
        <v>189</v>
      </c>
      <c r="D319" s="540"/>
      <c r="E319" s="316">
        <f t="shared" ref="E319:P319" si="28">SUM(E306:E318)</f>
        <v>2736.57014557848</v>
      </c>
      <c r="F319" s="316">
        <f t="shared" si="28"/>
        <v>2096.226895472</v>
      </c>
      <c r="G319" s="316">
        <f t="shared" si="28"/>
        <v>1861.49452965853</v>
      </c>
      <c r="H319" s="316">
        <f t="shared" si="28"/>
        <v>1914.28983652</v>
      </c>
      <c r="I319" s="316">
        <f t="shared" si="28"/>
        <v>2174.8593999</v>
      </c>
      <c r="J319" s="316">
        <f t="shared" si="28"/>
        <v>2230.21859611</v>
      </c>
      <c r="K319" s="316">
        <f t="shared" si="28"/>
        <v>1812.33901896761</v>
      </c>
      <c r="L319" s="316">
        <f t="shared" si="28"/>
        <v>1686.35159385862</v>
      </c>
      <c r="M319" s="316">
        <f t="shared" si="28"/>
        <v>2149.43516105042</v>
      </c>
      <c r="N319" s="316">
        <f t="shared" si="28"/>
        <v>2447.96902495091</v>
      </c>
      <c r="O319" s="316">
        <f t="shared" si="28"/>
        <v>2591.06629039008</v>
      </c>
      <c r="P319" s="316">
        <f t="shared" si="28"/>
        <v>3049.68714375</v>
      </c>
      <c r="Q319" s="316">
        <f t="shared" si="27"/>
        <v>26750.5076362067</v>
      </c>
    </row>
    <row r="320" ht="15" spans="3:17">
      <c r="C320" s="44" t="s">
        <v>190</v>
      </c>
      <c r="D320" s="45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316">
        <f t="shared" si="27"/>
        <v>0</v>
      </c>
    </row>
    <row r="321" ht="15" spans="3:17">
      <c r="C321" s="55" t="s">
        <v>191</v>
      </c>
      <c r="D321" s="55" t="s">
        <v>192</v>
      </c>
      <c r="E321" s="147">
        <f>F4Ax!E321+F4Bx!E321</f>
        <v>357.57</v>
      </c>
      <c r="F321" s="147">
        <f>F4Ax!F321+F4Bx!F321</f>
        <v>327.5</v>
      </c>
      <c r="G321" s="147">
        <f>F4Ax!G321+F4Bx!G321</f>
        <v>348.82</v>
      </c>
      <c r="H321" s="147">
        <f>F4Ax!H321+F4Bx!H321</f>
        <v>312.31955297</v>
      </c>
      <c r="I321" s="147">
        <f>F4Ax!I321+F4Bx!I321</f>
        <v>327.19917946</v>
      </c>
      <c r="J321" s="147">
        <f>F4Ax!J321+F4Bx!J321</f>
        <v>333.60409199</v>
      </c>
      <c r="K321" s="147">
        <f>F4Ax!K321+F4Bx!K321</f>
        <v>317.66043277</v>
      </c>
      <c r="L321" s="147">
        <f>F4Ax!L321+F4Bx!L321</f>
        <v>339.20359666</v>
      </c>
      <c r="M321" s="147">
        <f>F4Ax!M321+F4Bx!M321</f>
        <v>342.10168914</v>
      </c>
      <c r="N321" s="147">
        <f>F4Ax!N321+F4Bx!N321</f>
        <v>353.62049077</v>
      </c>
      <c r="O321" s="147">
        <f>F4Ax!O321+F4Bx!O321</f>
        <v>353.18132207</v>
      </c>
      <c r="P321" s="147">
        <f>F4Ax!P321+F4Bx!P321</f>
        <v>484.70135107</v>
      </c>
      <c r="Q321" s="316">
        <f t="shared" si="27"/>
        <v>4197.4817069</v>
      </c>
    </row>
    <row r="322" ht="15" spans="3:17">
      <c r="C322" s="55" t="s">
        <v>193</v>
      </c>
      <c r="D322" s="55" t="s">
        <v>194</v>
      </c>
      <c r="E322" s="147">
        <f>F4Ax!E322+F4Bx!E322</f>
        <v>0</v>
      </c>
      <c r="F322" s="147">
        <f>F4Ax!F322+F4Bx!F322</f>
        <v>0</v>
      </c>
      <c r="G322" s="147">
        <f>F4Ax!G322+F4Bx!G322</f>
        <v>0</v>
      </c>
      <c r="H322" s="147">
        <f>F4Ax!H322+F4Bx!H322</f>
        <v>0</v>
      </c>
      <c r="I322" s="147">
        <f>F4Ax!I322+F4Bx!I322</f>
        <v>0.4101</v>
      </c>
      <c r="J322" s="147">
        <f>F4Ax!J322+F4Bx!J322</f>
        <v>0.0015</v>
      </c>
      <c r="K322" s="147">
        <f>F4Ax!K322+F4Bx!K322</f>
        <v>0</v>
      </c>
      <c r="L322" s="147">
        <f>F4Ax!L322+F4Bx!L322</f>
        <v>0</v>
      </c>
      <c r="M322" s="147">
        <f>F4Ax!M322+F4Bx!M322</f>
        <v>0</v>
      </c>
      <c r="N322" s="147">
        <f>F4Ax!N322+F4Bx!N322</f>
        <v>0</v>
      </c>
      <c r="O322" s="147">
        <f>F4Ax!O322+F4Bx!O322</f>
        <v>0</v>
      </c>
      <c r="P322" s="147">
        <f>F4Ax!P322+F4Bx!P322</f>
        <v>0.001803</v>
      </c>
      <c r="Q322" s="316">
        <f t="shared" si="27"/>
        <v>0.413403</v>
      </c>
    </row>
    <row r="323" ht="15" spans="3:17">
      <c r="C323" s="55" t="s">
        <v>239</v>
      </c>
      <c r="D323" s="55" t="s">
        <v>196</v>
      </c>
      <c r="E323" s="147">
        <f>F4Ax!E323+F4Bx!E323</f>
        <v>171.84</v>
      </c>
      <c r="F323" s="147">
        <f>F4Ax!F323+F4Bx!F323</f>
        <v>174.25</v>
      </c>
      <c r="G323" s="147">
        <f>F4Ax!G323+F4Bx!G323</f>
        <v>179.79</v>
      </c>
      <c r="H323" s="147">
        <f>F4Ax!H323+F4Bx!H323</f>
        <v>144.86727249</v>
      </c>
      <c r="I323" s="147">
        <f>F4Ax!I323+F4Bx!I323</f>
        <v>147.16457658</v>
      </c>
      <c r="J323" s="147">
        <f>F4Ax!J323+F4Bx!J323</f>
        <v>156.13046103</v>
      </c>
      <c r="K323" s="147">
        <f>F4Ax!K323+F4Bx!K323</f>
        <v>146.79458573</v>
      </c>
      <c r="L323" s="147">
        <f>F4Ax!L323+F4Bx!L323</f>
        <v>138.89520262</v>
      </c>
      <c r="M323" s="147">
        <f>F4Ax!M323+F4Bx!M323</f>
        <v>135.99557205</v>
      </c>
      <c r="N323" s="147">
        <f>F4Ax!N323+F4Bx!N323</f>
        <v>138.72055816</v>
      </c>
      <c r="O323" s="147">
        <f>F4Ax!O323+F4Bx!O323</f>
        <v>140.38698099</v>
      </c>
      <c r="P323" s="147">
        <f>F4Ax!P323+F4Bx!P323</f>
        <v>215.39694602</v>
      </c>
      <c r="Q323" s="316">
        <f t="shared" si="27"/>
        <v>1890.23215567</v>
      </c>
    </row>
    <row r="324" ht="15" spans="3:17">
      <c r="C324" s="55" t="s">
        <v>197</v>
      </c>
      <c r="D324" s="55" t="s">
        <v>198</v>
      </c>
      <c r="E324" s="147">
        <f>F4Ax!E324+F4Bx!E324</f>
        <v>0.032178</v>
      </c>
      <c r="F324" s="147">
        <f>F4Ax!F324+F4Bx!F324</f>
        <v>0.074464</v>
      </c>
      <c r="G324" s="147">
        <f>F4Ax!G324+F4Bx!G324</f>
        <v>0.00743</v>
      </c>
      <c r="H324" s="147">
        <f>F4Ax!H324+F4Bx!H324</f>
        <v>0</v>
      </c>
      <c r="I324" s="147">
        <f>F4Ax!I324+F4Bx!I324</f>
        <v>0</v>
      </c>
      <c r="J324" s="147">
        <f>F4Ax!J324+F4Bx!J324</f>
        <v>0</v>
      </c>
      <c r="K324" s="147">
        <f>F4Ax!K324+F4Bx!K324</f>
        <v>0</v>
      </c>
      <c r="L324" s="147">
        <f>F4Ax!L324+F4Bx!L324</f>
        <v>0</v>
      </c>
      <c r="M324" s="147">
        <f>F4Ax!M324+F4Bx!M324</f>
        <v>0.032196</v>
      </c>
      <c r="N324" s="147">
        <f>F4Ax!N324+F4Bx!N324</f>
        <v>0.028971</v>
      </c>
      <c r="O324" s="147">
        <f>F4Ax!O324+F4Bx!O324</f>
        <v>0.033588</v>
      </c>
      <c r="P324" s="147">
        <f>F4Ax!P324+F4Bx!P324</f>
        <v>0.034469</v>
      </c>
      <c r="Q324" s="316">
        <f t="shared" si="27"/>
        <v>0.243296</v>
      </c>
    </row>
    <row r="325" ht="15" spans="3:17">
      <c r="C325" s="55" t="s">
        <v>199</v>
      </c>
      <c r="D325" s="55" t="s">
        <v>200</v>
      </c>
      <c r="E325" s="147">
        <f>F4Ax!E325+F4Bx!E325</f>
        <v>0.37</v>
      </c>
      <c r="F325" s="147">
        <f>F4Ax!F325+F4Bx!F325</f>
        <v>0.36</v>
      </c>
      <c r="G325" s="147">
        <f>F4Ax!G325+F4Bx!G325</f>
        <v>0.38</v>
      </c>
      <c r="H325" s="147">
        <f>F4Ax!H325+F4Bx!H325</f>
        <v>0.322311</v>
      </c>
      <c r="I325" s="147">
        <f>F4Ax!I325+F4Bx!I325</f>
        <v>0.347776</v>
      </c>
      <c r="J325" s="147">
        <f>F4Ax!J325+F4Bx!J325</f>
        <v>0.361763</v>
      </c>
      <c r="K325" s="147">
        <f>F4Ax!K325+F4Bx!K325</f>
        <v>0.353814</v>
      </c>
      <c r="L325" s="147">
        <f>F4Ax!L325+F4Bx!L325</f>
        <v>0.346308</v>
      </c>
      <c r="M325" s="147">
        <f>F4Ax!M325+F4Bx!M325</f>
        <v>0.334942</v>
      </c>
      <c r="N325" s="147">
        <f>F4Ax!N325+F4Bx!N325</f>
        <v>0.343065</v>
      </c>
      <c r="O325" s="147">
        <f>F4Ax!O325+F4Bx!O325</f>
        <v>0.335306</v>
      </c>
      <c r="P325" s="147">
        <f>F4Ax!P325+F4Bx!P325</f>
        <v>0.492824</v>
      </c>
      <c r="Q325" s="316">
        <f t="shared" si="27"/>
        <v>4.348109</v>
      </c>
    </row>
    <row r="326" ht="15" spans="3:17">
      <c r="C326" s="55" t="s">
        <v>201</v>
      </c>
      <c r="D326" s="55" t="s">
        <v>202</v>
      </c>
      <c r="E326" s="147">
        <f>F4Ax!E326+F4Bx!E326</f>
        <v>4.08</v>
      </c>
      <c r="F326" s="147">
        <f>F4Ax!F326+F4Bx!F326</f>
        <v>0.78</v>
      </c>
      <c r="G326" s="147">
        <f>F4Ax!G326+F4Bx!G326</f>
        <v>0.69</v>
      </c>
      <c r="H326" s="147">
        <f>F4Ax!H326+F4Bx!H326</f>
        <v>1.062505</v>
      </c>
      <c r="I326" s="147">
        <f>F4Ax!I326+F4Bx!I326</f>
        <v>2.095463</v>
      </c>
      <c r="J326" s="147">
        <f>F4Ax!J326+F4Bx!J326</f>
        <v>4.22927425</v>
      </c>
      <c r="K326" s="147">
        <f>F4Ax!K326+F4Bx!K326</f>
        <v>3.46676966</v>
      </c>
      <c r="L326" s="147">
        <f>F4Ax!L326+F4Bx!L326</f>
        <v>4.40827641</v>
      </c>
      <c r="M326" s="147">
        <f>F4Ax!M326+F4Bx!M326</f>
        <v>6.371162</v>
      </c>
      <c r="N326" s="147">
        <f>F4Ax!N326+F4Bx!N326</f>
        <v>5.678977</v>
      </c>
      <c r="O326" s="147">
        <f>F4Ax!O326+F4Bx!O326</f>
        <v>5.911532</v>
      </c>
      <c r="P326" s="147">
        <f>F4Ax!P326+F4Bx!P326</f>
        <v>8.304356</v>
      </c>
      <c r="Q326" s="316">
        <f t="shared" si="27"/>
        <v>47.07831532</v>
      </c>
    </row>
    <row r="327" ht="15" spans="3:17">
      <c r="C327" s="55" t="s">
        <v>203</v>
      </c>
      <c r="D327" s="55" t="s">
        <v>204</v>
      </c>
      <c r="E327" s="147">
        <f>F4Ax!E327+F4Bx!E327</f>
        <v>11.07</v>
      </c>
      <c r="F327" s="147">
        <f>F4Ax!F327+F4Bx!F327</f>
        <v>11.09</v>
      </c>
      <c r="G327" s="147">
        <f>F4Ax!G327+F4Bx!G327</f>
        <v>11.15</v>
      </c>
      <c r="H327" s="147">
        <f>F4Ax!H327+F4Bx!H327</f>
        <v>10.38198541</v>
      </c>
      <c r="I327" s="147">
        <f>F4Ax!I327+F4Bx!I327</f>
        <v>10.94462091</v>
      </c>
      <c r="J327" s="147">
        <f>F4Ax!J327+F4Bx!J327</f>
        <v>11.4960205</v>
      </c>
      <c r="K327" s="147">
        <f>F4Ax!K327+F4Bx!K327</f>
        <v>10.825784</v>
      </c>
      <c r="L327" s="147">
        <f>F4Ax!L327+F4Bx!L327</f>
        <v>11.524172</v>
      </c>
      <c r="M327" s="147">
        <f>F4Ax!M327+F4Bx!M327</f>
        <v>11.066141</v>
      </c>
      <c r="N327" s="147">
        <f>F4Ax!N327+F4Bx!N327</f>
        <v>11.445718</v>
      </c>
      <c r="O327" s="147">
        <f>F4Ax!O327+F4Bx!O327</f>
        <v>11.37224</v>
      </c>
      <c r="P327" s="147">
        <f>F4Ax!P327+F4Bx!P327</f>
        <v>15.289218</v>
      </c>
      <c r="Q327" s="316">
        <f t="shared" si="27"/>
        <v>137.65589982</v>
      </c>
    </row>
    <row r="328" ht="15" spans="3:17">
      <c r="C328" s="55" t="s">
        <v>205</v>
      </c>
      <c r="D328" s="55" t="s">
        <v>206</v>
      </c>
      <c r="E328" s="147">
        <f>F4Ax!E328+F4Bx!E328</f>
        <v>18.59</v>
      </c>
      <c r="F328" s="147">
        <f>F4Ax!F328+F4Bx!F328</f>
        <v>19.69</v>
      </c>
      <c r="G328" s="147">
        <f>F4Ax!G328+F4Bx!G328</f>
        <v>18.81</v>
      </c>
      <c r="H328" s="147">
        <f>F4Ax!H328+F4Bx!H328</f>
        <v>13.691047</v>
      </c>
      <c r="I328" s="147">
        <f>F4Ax!I328+F4Bx!I328</f>
        <v>13.597374</v>
      </c>
      <c r="J328" s="147">
        <f>F4Ax!J328+F4Bx!J328</f>
        <v>14.135622</v>
      </c>
      <c r="K328" s="147">
        <f>F4Ax!K328+F4Bx!K328</f>
        <v>13.1151365</v>
      </c>
      <c r="L328" s="147">
        <f>F4Ax!L328+F4Bx!L328</f>
        <v>12.810408</v>
      </c>
      <c r="M328" s="147">
        <f>F4Ax!M328+F4Bx!M328</f>
        <v>12.637645</v>
      </c>
      <c r="N328" s="147">
        <f>F4Ax!N328+F4Bx!N328</f>
        <v>12.884047</v>
      </c>
      <c r="O328" s="147">
        <f>F4Ax!O328+F4Bx!O328</f>
        <v>13.51772</v>
      </c>
      <c r="P328" s="147">
        <f>F4Ax!P328+F4Bx!P328</f>
        <v>20.510695</v>
      </c>
      <c r="Q328" s="316">
        <f t="shared" si="27"/>
        <v>183.9896945</v>
      </c>
    </row>
    <row r="329" ht="15" spans="3:17">
      <c r="C329" s="55" t="s">
        <v>207</v>
      </c>
      <c r="D329" s="55" t="s">
        <v>186</v>
      </c>
      <c r="E329" s="147">
        <f>F4Ax!E329+F4Bx!E329</f>
        <v>11.76</v>
      </c>
      <c r="F329" s="147">
        <f>F4Ax!F329+F4Bx!F329</f>
        <v>11.23</v>
      </c>
      <c r="G329" s="147">
        <f>F4Ax!G329+F4Bx!G329</f>
        <v>11.95</v>
      </c>
      <c r="H329" s="147">
        <f>F4Ax!H329+F4Bx!H329</f>
        <v>10.432735</v>
      </c>
      <c r="I329" s="147">
        <f>F4Ax!I329+F4Bx!I329</f>
        <v>11.5848855</v>
      </c>
      <c r="J329" s="147">
        <f>F4Ax!J329+F4Bx!J329</f>
        <v>12.576347</v>
      </c>
      <c r="K329" s="147">
        <f>F4Ax!K329+F4Bx!K329</f>
        <v>12.446289</v>
      </c>
      <c r="L329" s="147">
        <f>F4Ax!L329+F4Bx!L329</f>
        <v>14.1603415</v>
      </c>
      <c r="M329" s="147">
        <f>F4Ax!M329+F4Bx!M329</f>
        <v>13.573868</v>
      </c>
      <c r="N329" s="147">
        <f>F4Ax!N329+F4Bx!N329</f>
        <v>13.565659</v>
      </c>
      <c r="O329" s="147">
        <f>F4Ax!O329+F4Bx!O329</f>
        <v>13.264512</v>
      </c>
      <c r="P329" s="147">
        <f>F4Ax!P329+F4Bx!P329</f>
        <v>17.394279</v>
      </c>
      <c r="Q329" s="316">
        <f t="shared" si="27"/>
        <v>153.938916</v>
      </c>
    </row>
    <row r="330" ht="15" spans="3:17">
      <c r="C330" s="55" t="s">
        <v>208</v>
      </c>
      <c r="D330" s="55" t="s">
        <v>209</v>
      </c>
      <c r="E330" s="147">
        <f>F4Ax!E330+F4Bx!E330</f>
        <v>0</v>
      </c>
      <c r="F330" s="147">
        <f>F4Ax!F330+F4Bx!F330</f>
        <v>0</v>
      </c>
      <c r="G330" s="147">
        <f>F4Ax!G330+F4Bx!G330</f>
        <v>0</v>
      </c>
      <c r="H330" s="147">
        <f>F4Ax!H330+F4Bx!H330</f>
        <v>0</v>
      </c>
      <c r="I330" s="147">
        <f>F4Ax!I330+F4Bx!I330</f>
        <v>0</v>
      </c>
      <c r="J330" s="147">
        <f>F4Ax!J330+F4Bx!J330</f>
        <v>0</v>
      </c>
      <c r="K330" s="147">
        <f>F4Ax!K330+F4Bx!K330</f>
        <v>0</v>
      </c>
      <c r="L330" s="147">
        <f>F4Ax!L330+F4Bx!L330</f>
        <v>0</v>
      </c>
      <c r="M330" s="147">
        <f>F4Ax!M330+F4Bx!M330</f>
        <v>0</v>
      </c>
      <c r="N330" s="147">
        <f>F4Ax!N330+F4Bx!N330</f>
        <v>0</v>
      </c>
      <c r="O330" s="147">
        <f>F4Ax!O330+F4Bx!O330</f>
        <v>0</v>
      </c>
      <c r="P330" s="147">
        <f>F4Ax!P330+F4Bx!P330</f>
        <v>0</v>
      </c>
      <c r="Q330" s="316">
        <f t="shared" si="27"/>
        <v>0</v>
      </c>
    </row>
    <row r="331" ht="15" spans="3:17">
      <c r="C331" s="55" t="s">
        <v>210</v>
      </c>
      <c r="D331" s="55" t="s">
        <v>188</v>
      </c>
      <c r="E331" s="147">
        <f>F4Ax!E331+F4Bx!E331</f>
        <v>0.45</v>
      </c>
      <c r="F331" s="147">
        <f>F4Ax!F331+F4Bx!F331</f>
        <v>0.44</v>
      </c>
      <c r="G331" s="147">
        <f>F4Ax!G331+F4Bx!G331</f>
        <v>0.47</v>
      </c>
      <c r="H331" s="147">
        <f>F4Ax!H331+F4Bx!H331</f>
        <v>0.416371</v>
      </c>
      <c r="I331" s="147">
        <f>F4Ax!I331+F4Bx!I331</f>
        <v>0.40566</v>
      </c>
      <c r="J331" s="147">
        <f>F4Ax!J331+F4Bx!J331</f>
        <v>0.43609</v>
      </c>
      <c r="K331" s="147">
        <f>F4Ax!K331+F4Bx!K331</f>
        <v>0.426135</v>
      </c>
      <c r="L331" s="147">
        <f>F4Ax!L331+F4Bx!L331</f>
        <v>0.436821</v>
      </c>
      <c r="M331" s="147">
        <f>F4Ax!M331+F4Bx!M331</f>
        <v>0.432815</v>
      </c>
      <c r="N331" s="147">
        <f>F4Ax!N331+F4Bx!N331</f>
        <v>0.441702</v>
      </c>
      <c r="O331" s="147">
        <f>F4Ax!O331+F4Bx!O331</f>
        <v>0.478036</v>
      </c>
      <c r="P331" s="147">
        <f>F4Ax!P331+F4Bx!P331</f>
        <v>0.706229</v>
      </c>
      <c r="Q331" s="316">
        <f t="shared" si="27"/>
        <v>5.539859</v>
      </c>
    </row>
    <row r="332" ht="15" spans="3:17">
      <c r="C332" s="55"/>
      <c r="D332" s="55"/>
      <c r="E332" s="147">
        <f>F4Ax!E332+F4Bx!E332</f>
        <v>0</v>
      </c>
      <c r="F332" s="147">
        <f>F4Ax!F332+F4Bx!F332</f>
        <v>0</v>
      </c>
      <c r="G332" s="147">
        <f>F4Ax!G332+F4Bx!G332</f>
        <v>0</v>
      </c>
      <c r="H332" s="147">
        <f>F4Ax!H332+F4Bx!H332</f>
        <v>0</v>
      </c>
      <c r="I332" s="147">
        <f>F4Ax!I332+F4Bx!I332</f>
        <v>0</v>
      </c>
      <c r="J332" s="147">
        <f>F4Ax!J332+F4Bx!J332</f>
        <v>0</v>
      </c>
      <c r="K332" s="147">
        <f>F4Ax!K332+F4Bx!K332</f>
        <v>0</v>
      </c>
      <c r="L332" s="147">
        <f>F4Ax!L332+F4Bx!L332</f>
        <v>0</v>
      </c>
      <c r="M332" s="147">
        <f>F4Ax!M332+F4Bx!M332</f>
        <v>0</v>
      </c>
      <c r="N332" s="147">
        <f>F4Ax!N332+F4Bx!N332</f>
        <v>0</v>
      </c>
      <c r="O332" s="147">
        <f>F4Ax!O332+F4Bx!O332</f>
        <v>0</v>
      </c>
      <c r="P332" s="147">
        <f>F4Ax!P332+F4Bx!P332</f>
        <v>0</v>
      </c>
      <c r="Q332" s="316">
        <f t="shared" si="27"/>
        <v>0</v>
      </c>
    </row>
    <row r="333" ht="15" spans="3:17">
      <c r="C333" s="55"/>
      <c r="D333" s="55"/>
      <c r="E333" s="147">
        <f>F4Ax!E333+F4Bx!E333</f>
        <v>0</v>
      </c>
      <c r="F333" s="147">
        <f>F4Ax!F333+F4Bx!F333</f>
        <v>0</v>
      </c>
      <c r="G333" s="147">
        <f>F4Ax!G333+F4Bx!G333</f>
        <v>0</v>
      </c>
      <c r="H333" s="147">
        <f>F4Ax!H333+F4Bx!H333</f>
        <v>0</v>
      </c>
      <c r="I333" s="147">
        <f>F4Ax!I333+F4Bx!I333</f>
        <v>0</v>
      </c>
      <c r="J333" s="147">
        <f>F4Ax!J333+F4Bx!J333</f>
        <v>0</v>
      </c>
      <c r="K333" s="147">
        <f>F4Ax!K333+F4Bx!K333</f>
        <v>0</v>
      </c>
      <c r="L333" s="147">
        <f>F4Ax!L333+F4Bx!L333</f>
        <v>0</v>
      </c>
      <c r="M333" s="147">
        <f>F4Ax!M333+F4Bx!M333</f>
        <v>0</v>
      </c>
      <c r="N333" s="147">
        <f>F4Ax!N333+F4Bx!N333</f>
        <v>0</v>
      </c>
      <c r="O333" s="147">
        <f>F4Ax!O333+F4Bx!O333</f>
        <v>0</v>
      </c>
      <c r="P333" s="147">
        <f>F4Ax!P333+F4Bx!P333</f>
        <v>0</v>
      </c>
      <c r="Q333" s="316">
        <f t="shared" si="27"/>
        <v>0</v>
      </c>
    </row>
    <row r="334" ht="15" spans="3:17">
      <c r="C334" s="55"/>
      <c r="D334" s="55"/>
      <c r="E334" s="147">
        <f>F4Ax!E334+F4Bx!E334</f>
        <v>0</v>
      </c>
      <c r="F334" s="147">
        <f>F4Ax!F334+F4Bx!F334</f>
        <v>0</v>
      </c>
      <c r="G334" s="147">
        <f>F4Ax!G334+F4Bx!G334</f>
        <v>0</v>
      </c>
      <c r="H334" s="147">
        <f>F4Ax!H334+F4Bx!H334</f>
        <v>0</v>
      </c>
      <c r="I334" s="147">
        <f>F4Ax!I334+F4Bx!I334</f>
        <v>0</v>
      </c>
      <c r="J334" s="147">
        <f>F4Ax!J334+F4Bx!J334</f>
        <v>0</v>
      </c>
      <c r="K334" s="147">
        <f>F4Ax!K334+F4Bx!K334</f>
        <v>0</v>
      </c>
      <c r="L334" s="147">
        <f>F4Ax!L334+F4Bx!L334</f>
        <v>0</v>
      </c>
      <c r="M334" s="147">
        <f>F4Ax!M334+F4Bx!M334</f>
        <v>0</v>
      </c>
      <c r="N334" s="147">
        <f>F4Ax!N334+F4Bx!N334</f>
        <v>0</v>
      </c>
      <c r="O334" s="147">
        <f>F4Ax!O334+F4Bx!O334</f>
        <v>0</v>
      </c>
      <c r="P334" s="147">
        <f>F4Ax!P334+F4Bx!P334</f>
        <v>0</v>
      </c>
      <c r="Q334" s="316">
        <f t="shared" si="27"/>
        <v>0</v>
      </c>
    </row>
    <row r="335" ht="15" spans="3:17">
      <c r="C335" s="55" t="s">
        <v>258</v>
      </c>
      <c r="D335" s="55" t="s">
        <v>258</v>
      </c>
      <c r="E335" s="147">
        <f>F4Ax!E335+F4Bx!E335</f>
        <v>0</v>
      </c>
      <c r="F335" s="147">
        <f>F4Ax!F335+F4Bx!F335</f>
        <v>0</v>
      </c>
      <c r="G335" s="147">
        <f>F4Ax!G335+F4Bx!G335</f>
        <v>0</v>
      </c>
      <c r="H335" s="147">
        <f>F4Ax!H335+F4Bx!H335</f>
        <v>0</v>
      </c>
      <c r="I335" s="147">
        <f>F4Ax!I335+F4Bx!I335</f>
        <v>0</v>
      </c>
      <c r="J335" s="147">
        <f>F4Ax!J335+F4Bx!J335</f>
        <v>0</v>
      </c>
      <c r="K335" s="147">
        <f>F4Ax!K335+F4Bx!K335</f>
        <v>0</v>
      </c>
      <c r="L335" s="147">
        <f>F4Ax!L335+F4Bx!L335</f>
        <v>0</v>
      </c>
      <c r="M335" s="147">
        <f>F4Ax!M335+F4Bx!M335</f>
        <v>0</v>
      </c>
      <c r="N335" s="147">
        <f>F4Ax!N335+F4Bx!N335</f>
        <v>0</v>
      </c>
      <c r="O335" s="147">
        <f>F4Ax!O335+F4Bx!O335</f>
        <v>0</v>
      </c>
      <c r="P335" s="147">
        <f>F4Ax!P335+F4Bx!P335</f>
        <v>0</v>
      </c>
      <c r="Q335" s="316">
        <f t="shared" si="27"/>
        <v>0</v>
      </c>
    </row>
    <row r="336" ht="15" spans="3:17">
      <c r="C336" s="537" t="s">
        <v>211</v>
      </c>
      <c r="D336" s="540"/>
      <c r="E336" s="316">
        <f t="shared" ref="E336:P336" si="29">SUM(E321:E335)</f>
        <v>575.762178</v>
      </c>
      <c r="F336" s="316">
        <f t="shared" si="29"/>
        <v>545.414464</v>
      </c>
      <c r="G336" s="316">
        <f t="shared" si="29"/>
        <v>572.06743</v>
      </c>
      <c r="H336" s="316">
        <f t="shared" si="29"/>
        <v>493.49377987</v>
      </c>
      <c r="I336" s="316">
        <f t="shared" si="29"/>
        <v>513.74963545</v>
      </c>
      <c r="J336" s="316">
        <f t="shared" si="29"/>
        <v>532.97116977</v>
      </c>
      <c r="K336" s="316">
        <f t="shared" si="29"/>
        <v>505.08894666</v>
      </c>
      <c r="L336" s="316">
        <f t="shared" si="29"/>
        <v>521.78512619</v>
      </c>
      <c r="M336" s="316">
        <f t="shared" si="29"/>
        <v>522.54603019</v>
      </c>
      <c r="N336" s="316">
        <f t="shared" si="29"/>
        <v>536.72918793</v>
      </c>
      <c r="O336" s="316">
        <f t="shared" si="29"/>
        <v>538.48123706</v>
      </c>
      <c r="P336" s="316">
        <f t="shared" si="29"/>
        <v>762.83217009</v>
      </c>
      <c r="Q336" s="316">
        <f t="shared" si="27"/>
        <v>6620.92135521</v>
      </c>
    </row>
    <row r="337" ht="15" spans="3:17">
      <c r="C337" s="44" t="s">
        <v>212</v>
      </c>
      <c r="D337" s="45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316">
        <f t="shared" ref="Q337:Q368" si="30">SUM(E337:P337)</f>
        <v>0</v>
      </c>
    </row>
    <row r="338" ht="15" spans="3:17">
      <c r="C338" s="55" t="s">
        <v>191</v>
      </c>
      <c r="D338" s="55" t="s">
        <v>192</v>
      </c>
      <c r="E338" s="147">
        <f>F4Ax!E338+F4Bx!E338</f>
        <v>462.3</v>
      </c>
      <c r="F338" s="147">
        <f>F4Ax!F338+F4Bx!F338</f>
        <v>443.32</v>
      </c>
      <c r="G338" s="147">
        <f>F4Ax!G338+F4Bx!G338</f>
        <v>456.09</v>
      </c>
      <c r="H338" s="147">
        <f>F4Ax!H338+F4Bx!H338</f>
        <v>435.480396</v>
      </c>
      <c r="I338" s="147">
        <f>F4Ax!I338+F4Bx!I338</f>
        <v>436.032314</v>
      </c>
      <c r="J338" s="147">
        <f>F4Ax!J338+F4Bx!J338</f>
        <v>443.44037523</v>
      </c>
      <c r="K338" s="147">
        <f>F4Ax!K338+F4Bx!K338</f>
        <v>422.064112</v>
      </c>
      <c r="L338" s="147">
        <f>F4Ax!L338+F4Bx!L338</f>
        <v>438.8500435</v>
      </c>
      <c r="M338" s="147">
        <f>F4Ax!M338+F4Bx!M338</f>
        <v>440.6811815</v>
      </c>
      <c r="N338" s="147">
        <f>F4Ax!N338+F4Bx!N338</f>
        <v>443.1017745</v>
      </c>
      <c r="O338" s="147">
        <f>F4Ax!O338+F4Bx!O338</f>
        <v>447.9502955</v>
      </c>
      <c r="P338" s="147">
        <f>F4Ax!P338+F4Bx!P338</f>
        <v>629.4306135</v>
      </c>
      <c r="Q338" s="316">
        <f t="shared" si="30"/>
        <v>5498.74110573</v>
      </c>
    </row>
    <row r="339" ht="15" spans="3:17">
      <c r="C339" s="55" t="s">
        <v>193</v>
      </c>
      <c r="D339" s="55" t="s">
        <v>194</v>
      </c>
      <c r="E339" s="147">
        <f>F4Ax!E339+F4Bx!E339</f>
        <v>6.85</v>
      </c>
      <c r="F339" s="147">
        <f>F4Ax!F339+F4Bx!F339</f>
        <v>6.48</v>
      </c>
      <c r="G339" s="147">
        <f>F4Ax!G339+F4Bx!G339</f>
        <v>6.48</v>
      </c>
      <c r="H339" s="147">
        <f>F4Ax!H339+F4Bx!H339</f>
        <v>4.8932</v>
      </c>
      <c r="I339" s="147">
        <f>F4Ax!I339+F4Bx!I339</f>
        <v>2.7269</v>
      </c>
      <c r="J339" s="147">
        <f>F4Ax!J339+F4Bx!J339</f>
        <v>2.4399</v>
      </c>
      <c r="K339" s="147">
        <f>F4Ax!K339+F4Bx!K339</f>
        <v>1.3661</v>
      </c>
      <c r="L339" s="147">
        <f>F4Ax!L339+F4Bx!L339</f>
        <v>1.5926</v>
      </c>
      <c r="M339" s="147">
        <f>F4Ax!M339+F4Bx!M339</f>
        <v>3.4797</v>
      </c>
      <c r="N339" s="147">
        <f>F4Ax!N339+F4Bx!N339</f>
        <v>4.5297</v>
      </c>
      <c r="O339" s="147">
        <f>F4Ax!O339+F4Bx!O339</f>
        <v>2.4428</v>
      </c>
      <c r="P339" s="147">
        <f>F4Ax!P339+F4Bx!P339</f>
        <v>0.0011</v>
      </c>
      <c r="Q339" s="316">
        <f t="shared" si="30"/>
        <v>43.282</v>
      </c>
    </row>
    <row r="340" ht="15" spans="3:17">
      <c r="C340" s="55" t="s">
        <v>239</v>
      </c>
      <c r="D340" s="55" t="s">
        <v>196</v>
      </c>
      <c r="E340" s="147">
        <f>F4Ax!E340+F4Bx!E340</f>
        <v>88.62</v>
      </c>
      <c r="F340" s="147">
        <f>F4Ax!F340+F4Bx!F340</f>
        <v>95.12</v>
      </c>
      <c r="G340" s="147">
        <f>F4Ax!G340+F4Bx!G340</f>
        <v>102.2</v>
      </c>
      <c r="H340" s="147">
        <f>F4Ax!H340+F4Bx!H340</f>
        <v>91.70565</v>
      </c>
      <c r="I340" s="147">
        <f>F4Ax!I340+F4Bx!I340</f>
        <v>95.851009</v>
      </c>
      <c r="J340" s="147">
        <f>F4Ax!J340+F4Bx!J340</f>
        <v>100.436035</v>
      </c>
      <c r="K340" s="147">
        <f>F4Ax!K340+F4Bx!K340</f>
        <v>97.008417</v>
      </c>
      <c r="L340" s="147">
        <f>F4Ax!L340+F4Bx!L340</f>
        <v>95.453312</v>
      </c>
      <c r="M340" s="147">
        <f>F4Ax!M340+F4Bx!M340</f>
        <v>92.87741</v>
      </c>
      <c r="N340" s="147">
        <f>F4Ax!N340+F4Bx!N340</f>
        <v>95.297907</v>
      </c>
      <c r="O340" s="147">
        <f>F4Ax!O340+F4Bx!O340</f>
        <v>97.874269</v>
      </c>
      <c r="P340" s="147">
        <f>F4Ax!P340+F4Bx!P340</f>
        <v>145.338513</v>
      </c>
      <c r="Q340" s="316">
        <f t="shared" si="30"/>
        <v>1197.782522</v>
      </c>
    </row>
    <row r="341" ht="15" spans="3:17">
      <c r="C341" s="55" t="s">
        <v>197</v>
      </c>
      <c r="D341" s="55" t="s">
        <v>198</v>
      </c>
      <c r="E341" s="147">
        <f>F4Ax!E341+F4Bx!E341</f>
        <v>0</v>
      </c>
      <c r="F341" s="147">
        <f>F4Ax!F341+F4Bx!F341</f>
        <v>0</v>
      </c>
      <c r="G341" s="147">
        <f>F4Ax!G341+F4Bx!G341</f>
        <v>0</v>
      </c>
      <c r="H341" s="147">
        <f>F4Ax!H341+F4Bx!H341</f>
        <v>0</v>
      </c>
      <c r="I341" s="147">
        <f>F4Ax!I341+F4Bx!I341</f>
        <v>0</v>
      </c>
      <c r="J341" s="147">
        <f>F4Ax!J341+F4Bx!J341</f>
        <v>0.2272</v>
      </c>
      <c r="K341" s="147">
        <f>F4Ax!K341+F4Bx!K341</f>
        <v>0.2887</v>
      </c>
      <c r="L341" s="147">
        <f>F4Ax!L341+F4Bx!L341</f>
        <v>0.2863</v>
      </c>
      <c r="M341" s="147">
        <f>F4Ax!M341+F4Bx!M341</f>
        <v>0.2918</v>
      </c>
      <c r="N341" s="147">
        <f>F4Ax!N341+F4Bx!N341</f>
        <v>0.251</v>
      </c>
      <c r="O341" s="147">
        <f>F4Ax!O341+F4Bx!O341</f>
        <v>0.2549</v>
      </c>
      <c r="P341" s="147">
        <f>F4Ax!P341+F4Bx!P341</f>
        <v>0.2434</v>
      </c>
      <c r="Q341" s="316">
        <f t="shared" si="30"/>
        <v>1.8433</v>
      </c>
    </row>
    <row r="342" ht="15" spans="3:17">
      <c r="C342" s="55" t="s">
        <v>199</v>
      </c>
      <c r="D342" s="55" t="s">
        <v>200</v>
      </c>
      <c r="E342" s="147">
        <f>F4Ax!E342+F4Bx!E342</f>
        <v>0</v>
      </c>
      <c r="F342" s="147">
        <f>F4Ax!F342+F4Bx!F342</f>
        <v>0</v>
      </c>
      <c r="G342" s="147">
        <f>F4Ax!G342+F4Bx!G342</f>
        <v>0</v>
      </c>
      <c r="H342" s="147">
        <f>F4Ax!H342+F4Bx!H342</f>
        <v>0</v>
      </c>
      <c r="I342" s="147">
        <f>F4Ax!I342+F4Bx!I342</f>
        <v>0</v>
      </c>
      <c r="J342" s="147">
        <f>F4Ax!J342+F4Bx!J342</f>
        <v>0</v>
      </c>
      <c r="K342" s="147">
        <f>F4Ax!K342+F4Bx!K342</f>
        <v>0</v>
      </c>
      <c r="L342" s="147">
        <f>F4Ax!L342+F4Bx!L342</f>
        <v>0</v>
      </c>
      <c r="M342" s="147">
        <f>F4Ax!M342+F4Bx!M342</f>
        <v>0</v>
      </c>
      <c r="N342" s="147">
        <f>F4Ax!N342+F4Bx!N342</f>
        <v>0</v>
      </c>
      <c r="O342" s="147">
        <f>F4Ax!O342+F4Bx!O342</f>
        <v>0</v>
      </c>
      <c r="P342" s="147">
        <f>F4Ax!P342+F4Bx!P342</f>
        <v>0</v>
      </c>
      <c r="Q342" s="316">
        <f t="shared" si="30"/>
        <v>0</v>
      </c>
    </row>
    <row r="343" ht="15" spans="3:17">
      <c r="C343" s="55" t="s">
        <v>201</v>
      </c>
      <c r="D343" s="55" t="s">
        <v>202</v>
      </c>
      <c r="E343" s="147">
        <f>F4Ax!E343+F4Bx!E343</f>
        <v>0.84</v>
      </c>
      <c r="F343" s="147">
        <f>F4Ax!F343+F4Bx!F343</f>
        <v>0.39</v>
      </c>
      <c r="G343" s="147">
        <f>F4Ax!G343+F4Bx!G343</f>
        <v>0.07</v>
      </c>
      <c r="H343" s="147">
        <f>F4Ax!H343+F4Bx!H343</f>
        <v>0.53411</v>
      </c>
      <c r="I343" s="147">
        <f>F4Ax!I343+F4Bx!I343</f>
        <v>1.15526</v>
      </c>
      <c r="J343" s="147">
        <f>F4Ax!J343+F4Bx!J343</f>
        <v>1.76723</v>
      </c>
      <c r="K343" s="147">
        <f>F4Ax!K343+F4Bx!K343</f>
        <v>1.29062</v>
      </c>
      <c r="L343" s="147">
        <f>F4Ax!L343+F4Bx!L343</f>
        <v>1.64535</v>
      </c>
      <c r="M343" s="147">
        <f>F4Ax!M343+F4Bx!M343</f>
        <v>1.27887</v>
      </c>
      <c r="N343" s="147">
        <f>F4Ax!N343+F4Bx!N343</f>
        <v>2.62074</v>
      </c>
      <c r="O343" s="147">
        <f>F4Ax!O343+F4Bx!O343</f>
        <v>2.2689</v>
      </c>
      <c r="P343" s="147">
        <f>F4Ax!P343+F4Bx!P343</f>
        <v>3.1821</v>
      </c>
      <c r="Q343" s="316">
        <f t="shared" si="30"/>
        <v>17.04318</v>
      </c>
    </row>
    <row r="344" ht="15" spans="3:17">
      <c r="C344" s="55" t="s">
        <v>203</v>
      </c>
      <c r="D344" s="55" t="s">
        <v>204</v>
      </c>
      <c r="E344" s="147">
        <f>F4Ax!E344+F4Bx!E344</f>
        <v>19.47</v>
      </c>
      <c r="F344" s="147">
        <f>F4Ax!F344+F4Bx!F344</f>
        <v>20.99</v>
      </c>
      <c r="G344" s="147">
        <f>F4Ax!G344+F4Bx!G344</f>
        <v>21.1</v>
      </c>
      <c r="H344" s="147">
        <f>F4Ax!H344+F4Bx!H344</f>
        <v>20.4317</v>
      </c>
      <c r="I344" s="147">
        <f>F4Ax!I344+F4Bx!I344</f>
        <v>20.10299</v>
      </c>
      <c r="J344" s="147">
        <f>F4Ax!J344+F4Bx!J344</f>
        <v>20.61542</v>
      </c>
      <c r="K344" s="147">
        <f>F4Ax!K344+F4Bx!K344</f>
        <v>19.67954</v>
      </c>
      <c r="L344" s="147">
        <f>F4Ax!L344+F4Bx!L344</f>
        <v>20.0456</v>
      </c>
      <c r="M344" s="147">
        <f>F4Ax!M344+F4Bx!M344</f>
        <v>19.76087</v>
      </c>
      <c r="N344" s="147">
        <f>F4Ax!N344+F4Bx!N344</f>
        <v>18.31444</v>
      </c>
      <c r="O344" s="147">
        <f>F4Ax!O344+F4Bx!O344</f>
        <v>20.85805</v>
      </c>
      <c r="P344" s="147">
        <f>F4Ax!P344+F4Bx!P344</f>
        <v>26.558435</v>
      </c>
      <c r="Q344" s="316">
        <f t="shared" si="30"/>
        <v>247.927045</v>
      </c>
    </row>
    <row r="345" ht="15" spans="3:17">
      <c r="C345" s="55" t="s">
        <v>213</v>
      </c>
      <c r="D345" s="55" t="s">
        <v>229</v>
      </c>
      <c r="E345" s="147">
        <f>F4Ax!E345+F4Bx!E345</f>
        <v>0</v>
      </c>
      <c r="F345" s="147">
        <f>F4Ax!F345+F4Bx!F345</f>
        <v>0</v>
      </c>
      <c r="G345" s="147">
        <f>F4Ax!G345+F4Bx!G345</f>
        <v>0</v>
      </c>
      <c r="H345" s="147">
        <f>F4Ax!H345+F4Bx!H345</f>
        <v>0</v>
      </c>
      <c r="I345" s="147">
        <f>F4Ax!I345+F4Bx!I345</f>
        <v>0</v>
      </c>
      <c r="J345" s="147">
        <f>F4Ax!J345+F4Bx!J345</f>
        <v>0</v>
      </c>
      <c r="K345" s="147">
        <f>F4Ax!K345+F4Bx!K345</f>
        <v>0</v>
      </c>
      <c r="L345" s="147">
        <f>F4Ax!L345+F4Bx!L345</f>
        <v>0.2742</v>
      </c>
      <c r="M345" s="147">
        <f>F4Ax!M345+F4Bx!M345</f>
        <v>0.30885</v>
      </c>
      <c r="N345" s="147">
        <f>F4Ax!N345+F4Bx!N345</f>
        <v>0.4818</v>
      </c>
      <c r="O345" s="147">
        <f>F4Ax!O345+F4Bx!O345</f>
        <v>0.45825</v>
      </c>
      <c r="P345" s="147">
        <f>F4Ax!P345+F4Bx!P345</f>
        <v>1.4277</v>
      </c>
      <c r="Q345" s="316">
        <f t="shared" si="30"/>
        <v>2.9508</v>
      </c>
    </row>
    <row r="346" ht="15" spans="3:17">
      <c r="C346" s="55" t="s">
        <v>205</v>
      </c>
      <c r="D346" s="55" t="s">
        <v>206</v>
      </c>
      <c r="E346" s="147">
        <f>F4Ax!E346+F4Bx!E345</f>
        <v>12.56</v>
      </c>
      <c r="F346" s="147">
        <f>F4Ax!F346+F4Bx!F345</f>
        <v>13.27</v>
      </c>
      <c r="G346" s="147">
        <f>F4Ax!G346+F4Bx!G345</f>
        <v>12.7</v>
      </c>
      <c r="H346" s="147">
        <f>F4Ax!H346+F4Bx!H345</f>
        <v>9.095474</v>
      </c>
      <c r="I346" s="147">
        <f>F4Ax!I346+F4Bx!I345</f>
        <v>9.241715</v>
      </c>
      <c r="J346" s="147">
        <f>F4Ax!J346+F4Bx!J345</f>
        <v>9.654017</v>
      </c>
      <c r="K346" s="147">
        <f>F4Ax!K346+F4Bx!K345</f>
        <v>8.91257</v>
      </c>
      <c r="L346" s="147">
        <f>F4Ax!L346+F4Bx!L345</f>
        <v>8.87118</v>
      </c>
      <c r="M346" s="147">
        <f>F4Ax!M346+F4Bx!M345</f>
        <v>8.849315</v>
      </c>
      <c r="N346" s="147">
        <f>F4Ax!N346+F4Bx!N345</f>
        <v>8.862205</v>
      </c>
      <c r="O346" s="147">
        <f>F4Ax!O346+F4Bx!O345</f>
        <v>9.168395</v>
      </c>
      <c r="P346" s="147">
        <f>F4Ax!P346+F4Bx!P345</f>
        <v>12.887882</v>
      </c>
      <c r="Q346" s="316">
        <f t="shared" si="30"/>
        <v>124.072753</v>
      </c>
    </row>
    <row r="347" ht="15" spans="3:17">
      <c r="C347" s="55" t="s">
        <v>231</v>
      </c>
      <c r="D347" s="55" t="s">
        <v>186</v>
      </c>
      <c r="E347" s="147">
        <f>F4Ax!E347+F4Bx!E346</f>
        <v>3.15</v>
      </c>
      <c r="F347" s="147">
        <f>F4Ax!F347+F4Bx!F346</f>
        <v>2.06</v>
      </c>
      <c r="G347" s="147">
        <f>F4Ax!G347+F4Bx!G346</f>
        <v>2.31</v>
      </c>
      <c r="H347" s="147">
        <f>F4Ax!H347+F4Bx!H346</f>
        <v>2.8021</v>
      </c>
      <c r="I347" s="147">
        <f>F4Ax!I347+F4Bx!I346</f>
        <v>3.0558</v>
      </c>
      <c r="J347" s="147">
        <f>F4Ax!J347+F4Bx!J346</f>
        <v>3.727714</v>
      </c>
      <c r="K347" s="147">
        <f>F4Ax!K347+F4Bx!K346</f>
        <v>3.933598</v>
      </c>
      <c r="L347" s="147">
        <f>F4Ax!L347+F4Bx!L346</f>
        <v>3.694535</v>
      </c>
      <c r="M347" s="147">
        <f>F4Ax!M347+F4Bx!M346</f>
        <v>3.718147</v>
      </c>
      <c r="N347" s="147">
        <f>F4Ax!N347+F4Bx!N346</f>
        <v>3.890713</v>
      </c>
      <c r="O347" s="147">
        <f>F4Ax!O347+F4Bx!O346</f>
        <v>3.335858</v>
      </c>
      <c r="P347" s="147">
        <f>F4Ax!P347+F4Bx!P346</f>
        <v>4.635101</v>
      </c>
      <c r="Q347" s="316">
        <f t="shared" si="30"/>
        <v>40.313566</v>
      </c>
    </row>
    <row r="348" ht="15" spans="3:17">
      <c r="C348" s="55" t="s">
        <v>208</v>
      </c>
      <c r="D348" s="55" t="s">
        <v>209</v>
      </c>
      <c r="E348" s="147">
        <f>F4Ax!E348+F4Bx!E347</f>
        <v>0</v>
      </c>
      <c r="F348" s="147">
        <f>F4Ax!F348+F4Bx!F347</f>
        <v>0</v>
      </c>
      <c r="G348" s="147">
        <f>F4Ax!G348+F4Bx!G347</f>
        <v>0</v>
      </c>
      <c r="H348" s="147">
        <f>F4Ax!H348+F4Bx!H347</f>
        <v>0</v>
      </c>
      <c r="I348" s="147">
        <f>F4Ax!I348+F4Bx!I347</f>
        <v>0</v>
      </c>
      <c r="J348" s="147">
        <f>F4Ax!J348+F4Bx!J347</f>
        <v>0</v>
      </c>
      <c r="K348" s="147">
        <f>F4Ax!K348+F4Bx!K347</f>
        <v>0</v>
      </c>
      <c r="L348" s="147">
        <f>F4Ax!L348+F4Bx!L347</f>
        <v>0</v>
      </c>
      <c r="M348" s="147">
        <f>F4Ax!M348+F4Bx!M347</f>
        <v>0</v>
      </c>
      <c r="N348" s="147">
        <f>F4Ax!N348+F4Bx!N347</f>
        <v>0</v>
      </c>
      <c r="O348" s="147">
        <f>F4Ax!O348+F4Bx!O347</f>
        <v>0</v>
      </c>
      <c r="P348" s="147">
        <f>F4Ax!P348+F4Bx!P347</f>
        <v>0</v>
      </c>
      <c r="Q348" s="316">
        <f t="shared" si="30"/>
        <v>0</v>
      </c>
    </row>
    <row r="349" ht="15" spans="3:17">
      <c r="C349" s="55" t="s">
        <v>210</v>
      </c>
      <c r="D349" s="55" t="s">
        <v>188</v>
      </c>
      <c r="E349" s="147">
        <f>F4Ax!E349+F4Bx!E348</f>
        <v>0</v>
      </c>
      <c r="F349" s="147">
        <f>F4Ax!F349+F4Bx!F348</f>
        <v>0</v>
      </c>
      <c r="G349" s="147">
        <f>F4Ax!G349+F4Bx!G348</f>
        <v>0</v>
      </c>
      <c r="H349" s="147">
        <f>F4Ax!H349+F4Bx!H348</f>
        <v>0</v>
      </c>
      <c r="I349" s="147">
        <f>F4Ax!I349+F4Bx!I348</f>
        <v>0</v>
      </c>
      <c r="J349" s="147">
        <f>F4Ax!J349+F4Bx!J348</f>
        <v>0</v>
      </c>
      <c r="K349" s="147">
        <f>F4Ax!K349+F4Bx!K348</f>
        <v>0</v>
      </c>
      <c r="L349" s="147">
        <f>F4Ax!L349+F4Bx!L348</f>
        <v>0</v>
      </c>
      <c r="M349" s="147">
        <f>F4Ax!M349+F4Bx!M348</f>
        <v>0</v>
      </c>
      <c r="N349" s="147">
        <f>F4Ax!N349+F4Bx!N348</f>
        <v>0</v>
      </c>
      <c r="O349" s="147">
        <f>F4Ax!O349+F4Bx!O348</f>
        <v>0</v>
      </c>
      <c r="P349" s="147">
        <f>F4Ax!P349+F4Bx!P348</f>
        <v>0</v>
      </c>
      <c r="Q349" s="316">
        <f t="shared" si="30"/>
        <v>0</v>
      </c>
    </row>
    <row r="350" ht="15" spans="3:17">
      <c r="C350" s="55"/>
      <c r="D350" s="55"/>
      <c r="E350" s="147">
        <f>F4Ax!E350+F4Bx!E349</f>
        <v>0</v>
      </c>
      <c r="F350" s="147">
        <f>F4Ax!F350+F4Bx!F349</f>
        <v>0</v>
      </c>
      <c r="G350" s="147">
        <f>F4Ax!G350+F4Bx!G349</f>
        <v>0</v>
      </c>
      <c r="H350" s="147">
        <f>F4Ax!H350+F4Bx!H349</f>
        <v>0</v>
      </c>
      <c r="I350" s="147">
        <f>F4Ax!I350+F4Bx!I349</f>
        <v>0</v>
      </c>
      <c r="J350" s="147">
        <f>F4Ax!J350+F4Bx!J349</f>
        <v>0</v>
      </c>
      <c r="K350" s="147">
        <f>F4Ax!K350+F4Bx!K349</f>
        <v>0</v>
      </c>
      <c r="L350" s="147">
        <f>F4Ax!L350+F4Bx!L349</f>
        <v>0</v>
      </c>
      <c r="M350" s="147">
        <f>F4Ax!M350+F4Bx!M349</f>
        <v>0</v>
      </c>
      <c r="N350" s="147">
        <f>F4Ax!N350+F4Bx!N349</f>
        <v>0</v>
      </c>
      <c r="O350" s="147">
        <f>F4Ax!O350+F4Bx!O349</f>
        <v>0</v>
      </c>
      <c r="P350" s="147">
        <f>F4Ax!P350+F4Bx!P349</f>
        <v>0</v>
      </c>
      <c r="Q350" s="316">
        <f t="shared" si="30"/>
        <v>0</v>
      </c>
    </row>
    <row r="351" ht="15" spans="3:17">
      <c r="C351" s="55"/>
      <c r="D351" s="55"/>
      <c r="E351" s="147">
        <f>F4Ax!E351+F4Bx!E350</f>
        <v>0</v>
      </c>
      <c r="F351" s="147">
        <f>F4Ax!F351+F4Bx!F350</f>
        <v>0</v>
      </c>
      <c r="G351" s="147">
        <f>F4Ax!G351+F4Bx!G350</f>
        <v>0</v>
      </c>
      <c r="H351" s="147">
        <f>F4Ax!H351+F4Bx!H350</f>
        <v>0</v>
      </c>
      <c r="I351" s="147">
        <f>F4Ax!I351+F4Bx!I350</f>
        <v>0</v>
      </c>
      <c r="J351" s="147">
        <f>F4Ax!J351+F4Bx!J350</f>
        <v>0</v>
      </c>
      <c r="K351" s="147">
        <f>F4Ax!K351+F4Bx!K350</f>
        <v>0</v>
      </c>
      <c r="L351" s="147">
        <f>F4Ax!L351+F4Bx!L350</f>
        <v>0</v>
      </c>
      <c r="M351" s="147">
        <f>F4Ax!M351+F4Bx!M350</f>
        <v>0</v>
      </c>
      <c r="N351" s="147">
        <f>F4Ax!N351+F4Bx!N350</f>
        <v>0</v>
      </c>
      <c r="O351" s="147">
        <f>F4Ax!O351+F4Bx!O350</f>
        <v>0</v>
      </c>
      <c r="P351" s="147">
        <f>F4Ax!P351+F4Bx!P350</f>
        <v>0</v>
      </c>
      <c r="Q351" s="316">
        <f t="shared" si="30"/>
        <v>0</v>
      </c>
    </row>
    <row r="352" ht="15" spans="3:17">
      <c r="C352" s="55"/>
      <c r="D352" s="55"/>
      <c r="E352" s="147">
        <f>F4Ax!E352+F4Bx!E351</f>
        <v>0</v>
      </c>
      <c r="F352" s="147">
        <f>F4Ax!F352+F4Bx!F351</f>
        <v>0</v>
      </c>
      <c r="G352" s="147">
        <f>F4Ax!G352+F4Bx!G351</f>
        <v>0</v>
      </c>
      <c r="H352" s="147">
        <f>F4Ax!H352+F4Bx!H351</f>
        <v>0</v>
      </c>
      <c r="I352" s="147">
        <f>F4Ax!I352+F4Bx!I351</f>
        <v>0</v>
      </c>
      <c r="J352" s="147">
        <f>F4Ax!J352+F4Bx!J351</f>
        <v>0</v>
      </c>
      <c r="K352" s="147">
        <f>F4Ax!K352+F4Bx!K351</f>
        <v>0</v>
      </c>
      <c r="L352" s="147">
        <f>F4Ax!L352+F4Bx!L351</f>
        <v>0</v>
      </c>
      <c r="M352" s="147">
        <f>F4Ax!M352+F4Bx!M351</f>
        <v>0</v>
      </c>
      <c r="N352" s="147">
        <f>F4Ax!N352+F4Bx!N351</f>
        <v>0</v>
      </c>
      <c r="O352" s="147">
        <f>F4Ax!O352+F4Bx!O351</f>
        <v>0</v>
      </c>
      <c r="P352" s="147">
        <f>F4Ax!P352+F4Bx!P351</f>
        <v>0</v>
      </c>
      <c r="Q352" s="316">
        <f t="shared" si="30"/>
        <v>0</v>
      </c>
    </row>
    <row r="353" ht="15" spans="3:17">
      <c r="C353" s="55" t="s">
        <v>258</v>
      </c>
      <c r="D353" s="55" t="s">
        <v>258</v>
      </c>
      <c r="E353" s="147">
        <f>F4Ax!E353+F4Bx!E352</f>
        <v>0</v>
      </c>
      <c r="F353" s="147">
        <f>F4Ax!F353+F4Bx!F352</f>
        <v>0</v>
      </c>
      <c r="G353" s="147">
        <f>F4Ax!G353+F4Bx!G352</f>
        <v>0</v>
      </c>
      <c r="H353" s="147">
        <f>F4Ax!H353+F4Bx!H352</f>
        <v>0</v>
      </c>
      <c r="I353" s="147">
        <f>F4Ax!I353+F4Bx!I352</f>
        <v>0</v>
      </c>
      <c r="J353" s="147">
        <f>F4Ax!J353+F4Bx!J352</f>
        <v>0</v>
      </c>
      <c r="K353" s="147">
        <f>F4Ax!K353+F4Bx!K352</f>
        <v>0</v>
      </c>
      <c r="L353" s="147">
        <f>F4Ax!L353+F4Bx!L352</f>
        <v>0</v>
      </c>
      <c r="M353" s="147">
        <f>F4Ax!M353+F4Bx!M352</f>
        <v>0</v>
      </c>
      <c r="N353" s="147">
        <f>F4Ax!N353+F4Bx!N352</f>
        <v>0</v>
      </c>
      <c r="O353" s="147">
        <f>F4Ax!O353+F4Bx!O352</f>
        <v>0</v>
      </c>
      <c r="P353" s="147">
        <f>F4Ax!P353+F4Bx!P352</f>
        <v>0</v>
      </c>
      <c r="Q353" s="316">
        <f t="shared" si="30"/>
        <v>0</v>
      </c>
    </row>
    <row r="354" ht="15" spans="3:17">
      <c r="C354" s="537" t="s">
        <v>211</v>
      </c>
      <c r="D354" s="540"/>
      <c r="E354" s="316">
        <f t="shared" ref="E354:P354" si="31">SUM(E338:E353)</f>
        <v>593.79</v>
      </c>
      <c r="F354" s="316">
        <f t="shared" si="31"/>
        <v>581.63</v>
      </c>
      <c r="G354" s="316">
        <f t="shared" si="31"/>
        <v>600.95</v>
      </c>
      <c r="H354" s="316">
        <f t="shared" si="31"/>
        <v>564.94263</v>
      </c>
      <c r="I354" s="316">
        <f t="shared" si="31"/>
        <v>568.165988</v>
      </c>
      <c r="J354" s="316">
        <f t="shared" si="31"/>
        <v>582.30789123</v>
      </c>
      <c r="K354" s="316">
        <f t="shared" si="31"/>
        <v>554.543657</v>
      </c>
      <c r="L354" s="316">
        <f t="shared" si="31"/>
        <v>570.7131205</v>
      </c>
      <c r="M354" s="316">
        <f t="shared" si="31"/>
        <v>571.2461435</v>
      </c>
      <c r="N354" s="316">
        <f t="shared" si="31"/>
        <v>577.3502795</v>
      </c>
      <c r="O354" s="316">
        <f t="shared" si="31"/>
        <v>584.6117175</v>
      </c>
      <c r="P354" s="316">
        <f t="shared" si="31"/>
        <v>823.7048445</v>
      </c>
      <c r="Q354" s="316">
        <f t="shared" si="30"/>
        <v>7173.95627173</v>
      </c>
    </row>
    <row r="355" ht="15" spans="3:17">
      <c r="C355" s="44" t="s">
        <v>219</v>
      </c>
      <c r="D355" s="45"/>
      <c r="E355" s="147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316">
        <f t="shared" si="30"/>
        <v>0</v>
      </c>
    </row>
    <row r="356" ht="15" spans="3:17">
      <c r="C356" s="55" t="s">
        <v>191</v>
      </c>
      <c r="D356" s="55" t="s">
        <v>192</v>
      </c>
      <c r="E356" s="147">
        <f>F4Ax!E356+F4Bx!E355</f>
        <v>355.61</v>
      </c>
      <c r="F356" s="147">
        <f>F4Ax!F356+F4Bx!F355</f>
        <v>344.54</v>
      </c>
      <c r="G356" s="147">
        <f>F4Ax!G356+F4Bx!G355</f>
        <v>351.58</v>
      </c>
      <c r="H356" s="147">
        <f>F4Ax!H356+F4Bx!H355</f>
        <v>334.120885</v>
      </c>
      <c r="I356" s="147">
        <f>F4Ax!I356+F4Bx!I355</f>
        <v>318.724166</v>
      </c>
      <c r="J356" s="147">
        <f>F4Ax!J356+F4Bx!J355</f>
        <v>332.409625</v>
      </c>
      <c r="K356" s="147">
        <f>F4Ax!K356+F4Bx!K355</f>
        <v>321.745552</v>
      </c>
      <c r="L356" s="147">
        <f>F4Ax!L356+F4Bx!L355</f>
        <v>344.509495</v>
      </c>
      <c r="M356" s="147">
        <f>F4Ax!M356+F4Bx!M355</f>
        <v>371.668269</v>
      </c>
      <c r="N356" s="147">
        <f>F4Ax!N356+F4Bx!N355</f>
        <v>377.86533</v>
      </c>
      <c r="O356" s="147">
        <f>F4Ax!O356+F4Bx!O355</f>
        <v>369.931735</v>
      </c>
      <c r="P356" s="147">
        <f>F4Ax!P356+F4Bx!P355</f>
        <v>488.370188</v>
      </c>
      <c r="Q356" s="316">
        <f t="shared" si="30"/>
        <v>4311.075245</v>
      </c>
    </row>
    <row r="357" ht="15" spans="3:17">
      <c r="C357" s="55" t="s">
        <v>193</v>
      </c>
      <c r="D357" s="55" t="s">
        <v>194</v>
      </c>
      <c r="E357" s="147">
        <f>F4Ax!E357+F4Bx!E356</f>
        <v>23.48</v>
      </c>
      <c r="F357" s="147">
        <f>F4Ax!F357+F4Bx!F356</f>
        <v>21.87</v>
      </c>
      <c r="G357" s="147">
        <f>F4Ax!G357+F4Bx!G356</f>
        <v>4.11</v>
      </c>
      <c r="H357" s="147">
        <f>F4Ax!H357+F4Bx!H356</f>
        <v>9.1813</v>
      </c>
      <c r="I357" s="147">
        <f>F4Ax!I357+F4Bx!I356</f>
        <v>13.3907</v>
      </c>
      <c r="J357" s="147">
        <f>F4Ax!J357+F4Bx!J356</f>
        <v>21.5588</v>
      </c>
      <c r="K357" s="147">
        <f>F4Ax!K357+F4Bx!K356</f>
        <v>16.9256</v>
      </c>
      <c r="L357" s="147">
        <f>F4Ax!L357+F4Bx!L356</f>
        <v>11.7192</v>
      </c>
      <c r="M357" s="147">
        <f>F4Ax!M357+F4Bx!M356</f>
        <v>15.059</v>
      </c>
      <c r="N357" s="147">
        <f>F4Ax!N357+F4Bx!N356</f>
        <v>21.8133</v>
      </c>
      <c r="O357" s="147">
        <f>F4Ax!O357+F4Bx!O356</f>
        <v>22.0713</v>
      </c>
      <c r="P357" s="147">
        <f>F4Ax!P357+F4Bx!P356</f>
        <v>28.2966</v>
      </c>
      <c r="Q357" s="316">
        <f t="shared" si="30"/>
        <v>209.4758</v>
      </c>
    </row>
    <row r="358" ht="15" spans="3:17">
      <c r="C358" s="55" t="s">
        <v>239</v>
      </c>
      <c r="D358" s="55" t="s">
        <v>196</v>
      </c>
      <c r="E358" s="147">
        <f>F4Ax!E358+F4Bx!E357</f>
        <v>4.44</v>
      </c>
      <c r="F358" s="147">
        <f>F4Ax!F358+F4Bx!F357</f>
        <v>4.5</v>
      </c>
      <c r="G358" s="147">
        <f>F4Ax!G358+F4Bx!G357</f>
        <v>4.76</v>
      </c>
      <c r="H358" s="147">
        <f>F4Ax!H358+F4Bx!H357</f>
        <v>3.749087</v>
      </c>
      <c r="I358" s="147">
        <f>F4Ax!I358+F4Bx!I357</f>
        <v>3.763473</v>
      </c>
      <c r="J358" s="147">
        <f>F4Ax!J358+F4Bx!J357</f>
        <v>3.895418</v>
      </c>
      <c r="K358" s="147">
        <f>F4Ax!K358+F4Bx!K357</f>
        <v>3.525431</v>
      </c>
      <c r="L358" s="147">
        <f>F4Ax!L358+F4Bx!L357</f>
        <v>3.251987</v>
      </c>
      <c r="M358" s="147">
        <f>F4Ax!M358+F4Bx!M357</f>
        <v>3.171337</v>
      </c>
      <c r="N358" s="147">
        <f>F4Ax!N358+F4Bx!N357</f>
        <v>3.256324</v>
      </c>
      <c r="O358" s="147">
        <f>F4Ax!O358+F4Bx!O357</f>
        <v>3.282163</v>
      </c>
      <c r="P358" s="147">
        <f>F4Ax!P358+F4Bx!P357</f>
        <v>4.647133</v>
      </c>
      <c r="Q358" s="316">
        <f t="shared" si="30"/>
        <v>46.242353</v>
      </c>
    </row>
    <row r="359" ht="15" spans="3:17">
      <c r="C359" s="55" t="s">
        <v>197</v>
      </c>
      <c r="D359" s="55" t="s">
        <v>198</v>
      </c>
      <c r="E359" s="147">
        <f>F4Ax!E359+F4Bx!E358</f>
        <v>0</v>
      </c>
      <c r="F359" s="147">
        <f>F4Ax!F359+F4Bx!F358</f>
        <v>0</v>
      </c>
      <c r="G359" s="147">
        <f>F4Ax!G359+F4Bx!G358</f>
        <v>0</v>
      </c>
      <c r="H359" s="147">
        <f>F4Ax!H359+F4Bx!H358</f>
        <v>0</v>
      </c>
      <c r="I359" s="147">
        <f>F4Ax!I359+F4Bx!I358</f>
        <v>0</v>
      </c>
      <c r="J359" s="147">
        <f>F4Ax!J359+F4Bx!J358</f>
        <v>0</v>
      </c>
      <c r="K359" s="147">
        <f>F4Ax!K359+F4Bx!K358</f>
        <v>0</v>
      </c>
      <c r="L359" s="147">
        <f>F4Ax!L359+F4Bx!L358</f>
        <v>0</v>
      </c>
      <c r="M359" s="147">
        <f>F4Ax!M359+F4Bx!M358</f>
        <v>0</v>
      </c>
      <c r="N359" s="147">
        <f>F4Ax!N359+F4Bx!N358</f>
        <v>0</v>
      </c>
      <c r="O359" s="147">
        <f>F4Ax!O359+F4Bx!O358</f>
        <v>0</v>
      </c>
      <c r="P359" s="147">
        <f>F4Ax!P359+F4Bx!P358</f>
        <v>0</v>
      </c>
      <c r="Q359" s="316">
        <f t="shared" si="30"/>
        <v>0</v>
      </c>
    </row>
    <row r="360" ht="15" spans="3:17">
      <c r="C360" s="55" t="s">
        <v>199</v>
      </c>
      <c r="D360" s="55" t="s">
        <v>200</v>
      </c>
      <c r="E360" s="147">
        <f>F4Ax!E360+F4Bx!E359</f>
        <v>3.57</v>
      </c>
      <c r="F360" s="147">
        <f>F4Ax!F360+F4Bx!F359</f>
        <v>5.83</v>
      </c>
      <c r="G360" s="147">
        <f>F4Ax!G360+F4Bx!G359</f>
        <v>5.74</v>
      </c>
      <c r="H360" s="147">
        <f>F4Ax!H360+F4Bx!H359</f>
        <v>5.25716</v>
      </c>
      <c r="I360" s="147">
        <f>F4Ax!I360+F4Bx!I359</f>
        <v>5.4137</v>
      </c>
      <c r="J360" s="147">
        <f>F4Ax!J360+F4Bx!J359</f>
        <v>5.14825</v>
      </c>
      <c r="K360" s="147">
        <f>F4Ax!K360+F4Bx!K359</f>
        <v>5.00233</v>
      </c>
      <c r="L360" s="147">
        <f>F4Ax!L360+F4Bx!L359</f>
        <v>4.48875</v>
      </c>
      <c r="M360" s="147">
        <f>F4Ax!M360+F4Bx!M359</f>
        <v>4.48381</v>
      </c>
      <c r="N360" s="147">
        <f>F4Ax!N360+F4Bx!N359</f>
        <v>4.56061</v>
      </c>
      <c r="O360" s="147">
        <f>F4Ax!O360+F4Bx!O359</f>
        <v>4.524071</v>
      </c>
      <c r="P360" s="147">
        <f>F4Ax!P360+F4Bx!P359</f>
        <v>6.913269</v>
      </c>
      <c r="Q360" s="316">
        <f t="shared" si="30"/>
        <v>60.93195</v>
      </c>
    </row>
    <row r="361" ht="15" spans="3:17">
      <c r="C361" s="55" t="s">
        <v>201</v>
      </c>
      <c r="D361" s="55" t="s">
        <v>240</v>
      </c>
      <c r="E361" s="147">
        <f>F4Ax!E361+F4Bx!E360</f>
        <v>58.74</v>
      </c>
      <c r="F361" s="147">
        <f>F4Ax!F361+F4Bx!F360</f>
        <v>42.43</v>
      </c>
      <c r="G361" s="147">
        <f>F4Ax!G361+F4Bx!G360</f>
        <v>27.15</v>
      </c>
      <c r="H361" s="147">
        <f>F4Ax!H361+F4Bx!H360</f>
        <v>32.4930164</v>
      </c>
      <c r="I361" s="147">
        <f>F4Ax!I361+F4Bx!I360</f>
        <v>257.61023215</v>
      </c>
      <c r="J361" s="147">
        <f>F4Ax!J361+F4Bx!J360</f>
        <v>145.6663161</v>
      </c>
      <c r="K361" s="147">
        <f>F4Ax!K361+F4Bx!K360</f>
        <v>165.33804903</v>
      </c>
      <c r="L361" s="147">
        <f>F4Ax!L361+F4Bx!L360</f>
        <v>143.7146327</v>
      </c>
      <c r="M361" s="147">
        <f>F4Ax!M361+F4Bx!M360</f>
        <v>135.38569923</v>
      </c>
      <c r="N361" s="147">
        <f>F4Ax!N361+F4Bx!N360</f>
        <v>199.60889899</v>
      </c>
      <c r="O361" s="147">
        <f>F4Ax!O361+F4Bx!O360</f>
        <v>202.17613159</v>
      </c>
      <c r="P361" s="147">
        <f>F4Ax!P361+F4Bx!P360</f>
        <v>232.03714568</v>
      </c>
      <c r="Q361" s="316">
        <f t="shared" si="30"/>
        <v>1642.35012187</v>
      </c>
    </row>
    <row r="362" ht="15" spans="3:17">
      <c r="C362" s="55" t="s">
        <v>203</v>
      </c>
      <c r="D362" s="55" t="s">
        <v>220</v>
      </c>
      <c r="E362" s="147">
        <f>F4Ax!E362+F4Bx!E361</f>
        <v>20.48</v>
      </c>
      <c r="F362" s="147">
        <f>F4Ax!F362+F4Bx!F361</f>
        <v>19.62</v>
      </c>
      <c r="G362" s="147">
        <f>F4Ax!G362+F4Bx!G361</f>
        <v>22.14</v>
      </c>
      <c r="H362" s="147">
        <f>F4Ax!H362+F4Bx!H361</f>
        <v>20.938</v>
      </c>
      <c r="I362" s="147">
        <f>F4Ax!I362+F4Bx!I361</f>
        <v>21.114</v>
      </c>
      <c r="J362" s="147">
        <f>F4Ax!J362+F4Bx!J361</f>
        <v>22.678</v>
      </c>
      <c r="K362" s="147">
        <f>F4Ax!K362+F4Bx!K361</f>
        <v>20.778</v>
      </c>
      <c r="L362" s="147">
        <f>F4Ax!L362+F4Bx!L361</f>
        <v>22.356</v>
      </c>
      <c r="M362" s="147">
        <f>F4Ax!M362+F4Bx!M361</f>
        <v>20.248</v>
      </c>
      <c r="N362" s="147">
        <f>F4Ax!N362+F4Bx!N361</f>
        <v>18.81</v>
      </c>
      <c r="O362" s="147">
        <f>F4Ax!O362+F4Bx!O361</f>
        <v>20.632</v>
      </c>
      <c r="P362" s="147">
        <f>F4Ax!P362+F4Bx!P361</f>
        <v>30.5945</v>
      </c>
      <c r="Q362" s="316">
        <f t="shared" si="30"/>
        <v>260.3885</v>
      </c>
    </row>
    <row r="363" ht="15" spans="3:17">
      <c r="C363" s="55" t="s">
        <v>241</v>
      </c>
      <c r="D363" s="55" t="s">
        <v>229</v>
      </c>
      <c r="E363" s="147">
        <f>F4Ax!E363+F4Bx!E362</f>
        <v>29.55</v>
      </c>
      <c r="F363" s="147">
        <f>F4Ax!F363+F4Bx!F362</f>
        <v>30.79</v>
      </c>
      <c r="G363" s="147">
        <f>F4Ax!G363+F4Bx!G362</f>
        <v>31.11</v>
      </c>
      <c r="H363" s="147">
        <f>F4Ax!H363+F4Bx!H362</f>
        <v>27.46177</v>
      </c>
      <c r="I363" s="147">
        <f>F4Ax!I363+F4Bx!I362</f>
        <v>28.1507</v>
      </c>
      <c r="J363" s="147">
        <f>F4Ax!J363+F4Bx!J362</f>
        <v>32.712257</v>
      </c>
      <c r="K363" s="147">
        <f>F4Ax!K363+F4Bx!K362</f>
        <v>29.063232</v>
      </c>
      <c r="L363" s="147">
        <f>F4Ax!L363+F4Bx!L362</f>
        <v>30.706796</v>
      </c>
      <c r="M363" s="147">
        <f>F4Ax!M363+F4Bx!M362</f>
        <v>31.742884</v>
      </c>
      <c r="N363" s="147">
        <f>F4Ax!N363+F4Bx!N362</f>
        <v>33.435977</v>
      </c>
      <c r="O363" s="147">
        <f>F4Ax!O363+F4Bx!O362</f>
        <v>33.870729</v>
      </c>
      <c r="P363" s="147">
        <f>F4Ax!P363+F4Bx!P362</f>
        <v>47.679836</v>
      </c>
      <c r="Q363" s="316">
        <f t="shared" si="30"/>
        <v>386.274181</v>
      </c>
    </row>
    <row r="364" ht="15" spans="3:17">
      <c r="C364" s="55" t="s">
        <v>259</v>
      </c>
      <c r="D364" s="55" t="s">
        <v>243</v>
      </c>
      <c r="E364" s="147">
        <f>F4Ax!E364+F4Bx!E363</f>
        <v>7.07</v>
      </c>
      <c r="F364" s="147">
        <f>F4Ax!F364+F4Bx!F363</f>
        <v>6.94</v>
      </c>
      <c r="G364" s="147">
        <f>F4Ax!G364+F4Bx!G363</f>
        <v>7.36</v>
      </c>
      <c r="H364" s="147">
        <f>F4Ax!H364+F4Bx!H363</f>
        <v>6.929584</v>
      </c>
      <c r="I364" s="147">
        <f>F4Ax!I364+F4Bx!I363</f>
        <v>7.084346</v>
      </c>
      <c r="J364" s="147">
        <f>F4Ax!J364+F4Bx!J363</f>
        <v>7.562948</v>
      </c>
      <c r="K364" s="147">
        <f>F4Ax!K364+F4Bx!K363</f>
        <v>7.142887</v>
      </c>
      <c r="L364" s="147">
        <f>F4Ax!L364+F4Bx!L363</f>
        <v>7.093945</v>
      </c>
      <c r="M364" s="147">
        <f>F4Ax!M364+F4Bx!M363</f>
        <v>7.170892</v>
      </c>
      <c r="N364" s="147">
        <f>F4Ax!N364+F4Bx!N363</f>
        <v>7.373449</v>
      </c>
      <c r="O364" s="147">
        <f>F4Ax!O364+F4Bx!O363</f>
        <v>7.508761</v>
      </c>
      <c r="P364" s="147">
        <f>F4Ax!P364+F4Bx!P363</f>
        <v>9.340473</v>
      </c>
      <c r="Q364" s="316">
        <f t="shared" si="30"/>
        <v>88.577285</v>
      </c>
    </row>
    <row r="365" ht="15" spans="3:17">
      <c r="C365" s="55" t="s">
        <v>205</v>
      </c>
      <c r="D365" s="55" t="s">
        <v>206</v>
      </c>
      <c r="E365" s="147">
        <f>F4Ax!E365+F4Bx!E364</f>
        <v>0</v>
      </c>
      <c r="F365" s="147">
        <f>F4Ax!F365+F4Bx!F364</f>
        <v>0</v>
      </c>
      <c r="G365" s="147">
        <f>F4Ax!G365+F4Bx!G364</f>
        <v>0</v>
      </c>
      <c r="H365" s="147">
        <f>F4Ax!H365+F4Bx!H364</f>
        <v>0</v>
      </c>
      <c r="I365" s="147">
        <f>F4Ax!I365+F4Bx!I364</f>
        <v>0</v>
      </c>
      <c r="J365" s="147">
        <f>F4Ax!J365+F4Bx!J364</f>
        <v>0</v>
      </c>
      <c r="K365" s="147">
        <f>F4Ax!K365+F4Bx!K364</f>
        <v>0</v>
      </c>
      <c r="L365" s="147">
        <f>F4Ax!L365+F4Bx!L364</f>
        <v>0</v>
      </c>
      <c r="M365" s="147">
        <f>F4Ax!M365+F4Bx!M364</f>
        <v>0</v>
      </c>
      <c r="N365" s="147">
        <f>F4Ax!N365+F4Bx!N364</f>
        <v>0</v>
      </c>
      <c r="O365" s="147">
        <f>F4Ax!O365+F4Bx!O364</f>
        <v>0</v>
      </c>
      <c r="P365" s="147">
        <f>F4Ax!P365+F4Bx!P364</f>
        <v>0</v>
      </c>
      <c r="Q365" s="316">
        <f t="shared" si="30"/>
        <v>0</v>
      </c>
    </row>
    <row r="366" ht="15" spans="3:17">
      <c r="C366" s="55" t="s">
        <v>207</v>
      </c>
      <c r="D366" s="55" t="s">
        <v>186</v>
      </c>
      <c r="E366" s="147">
        <f>F4Ax!E366+F4Bx!E365</f>
        <v>0</v>
      </c>
      <c r="F366" s="147">
        <f>F4Ax!F366+F4Bx!F365</f>
        <v>0</v>
      </c>
      <c r="G366" s="147">
        <f>F4Ax!G366+F4Bx!G365</f>
        <v>0</v>
      </c>
      <c r="H366" s="147">
        <f>F4Ax!H366+F4Bx!H365</f>
        <v>0</v>
      </c>
      <c r="I366" s="147">
        <f>F4Ax!I366+F4Bx!I365</f>
        <v>0</v>
      </c>
      <c r="J366" s="147">
        <f>F4Ax!J366+F4Bx!J365</f>
        <v>0</v>
      </c>
      <c r="K366" s="147">
        <f>F4Ax!K366+F4Bx!K365</f>
        <v>0</v>
      </c>
      <c r="L366" s="147">
        <f>F4Ax!L366+F4Bx!L365</f>
        <v>0</v>
      </c>
      <c r="M366" s="147">
        <f>F4Ax!M366+F4Bx!M365</f>
        <v>0</v>
      </c>
      <c r="N366" s="147">
        <f>F4Ax!N366+F4Bx!N365</f>
        <v>0</v>
      </c>
      <c r="O366" s="147">
        <f>F4Ax!O366+F4Bx!O365</f>
        <v>0</v>
      </c>
      <c r="P366" s="147">
        <f>F4Ax!P366+F4Bx!P365</f>
        <v>0</v>
      </c>
      <c r="Q366" s="316">
        <f t="shared" si="30"/>
        <v>0</v>
      </c>
    </row>
    <row r="367" ht="15" spans="3:17">
      <c r="C367" s="55" t="s">
        <v>208</v>
      </c>
      <c r="D367" s="55" t="s">
        <v>209</v>
      </c>
      <c r="E367" s="147">
        <f>F4Ax!E367+F4Bx!E366</f>
        <v>0</v>
      </c>
      <c r="F367" s="147">
        <f>F4Ax!F367+F4Bx!F366</f>
        <v>0</v>
      </c>
      <c r="G367" s="147">
        <f>F4Ax!G367+F4Bx!G366</f>
        <v>0</v>
      </c>
      <c r="H367" s="147">
        <f>F4Ax!H367+F4Bx!H366</f>
        <v>0</v>
      </c>
      <c r="I367" s="147">
        <f>F4Ax!I367+F4Bx!I366</f>
        <v>0</v>
      </c>
      <c r="J367" s="147">
        <f>F4Ax!J367+F4Bx!J366</f>
        <v>0</v>
      </c>
      <c r="K367" s="147">
        <f>F4Ax!K367+F4Bx!K366</f>
        <v>0</v>
      </c>
      <c r="L367" s="147">
        <f>F4Ax!L367+F4Bx!L366</f>
        <v>0</v>
      </c>
      <c r="M367" s="147">
        <f>F4Ax!M367+F4Bx!M366</f>
        <v>0</v>
      </c>
      <c r="N367" s="147">
        <f>F4Ax!N367+F4Bx!N366</f>
        <v>0</v>
      </c>
      <c r="O367" s="147">
        <f>F4Ax!O367+F4Bx!O366</f>
        <v>0</v>
      </c>
      <c r="P367" s="147">
        <f>F4Ax!P367+F4Bx!P366</f>
        <v>0</v>
      </c>
      <c r="Q367" s="316">
        <f t="shared" si="30"/>
        <v>0</v>
      </c>
    </row>
    <row r="368" ht="15" spans="3:17">
      <c r="C368" s="55" t="s">
        <v>210</v>
      </c>
      <c r="D368" s="55" t="s">
        <v>188</v>
      </c>
      <c r="E368" s="147">
        <f>F4Ax!E368+F4Bx!E367</f>
        <v>0</v>
      </c>
      <c r="F368" s="147">
        <f>F4Ax!F368+F4Bx!F367</f>
        <v>0</v>
      </c>
      <c r="G368" s="147">
        <f>F4Ax!G368+F4Bx!G367</f>
        <v>0</v>
      </c>
      <c r="H368" s="147">
        <f>F4Ax!H368+F4Bx!H367</f>
        <v>0</v>
      </c>
      <c r="I368" s="147">
        <f>F4Ax!I368+F4Bx!I367</f>
        <v>0</v>
      </c>
      <c r="J368" s="147">
        <f>F4Ax!J368+F4Bx!J367</f>
        <v>0</v>
      </c>
      <c r="K368" s="147">
        <f>F4Ax!K368+F4Bx!K367</f>
        <v>0</v>
      </c>
      <c r="L368" s="147">
        <f>F4Ax!L368+F4Bx!L367</f>
        <v>0</v>
      </c>
      <c r="M368" s="147">
        <f>F4Ax!M368+F4Bx!M367</f>
        <v>0</v>
      </c>
      <c r="N368" s="147">
        <f>F4Ax!N368+F4Bx!N367</f>
        <v>0</v>
      </c>
      <c r="O368" s="147">
        <f>F4Ax!O368+F4Bx!O367</f>
        <v>0</v>
      </c>
      <c r="P368" s="147">
        <f>F4Ax!P368+F4Bx!P367</f>
        <v>0</v>
      </c>
      <c r="Q368" s="316">
        <f t="shared" si="30"/>
        <v>0</v>
      </c>
    </row>
    <row r="369" ht="15" spans="3:17">
      <c r="C369" s="55"/>
      <c r="D369" s="55"/>
      <c r="E369" s="147">
        <f>F4Ax!E369+F4Bx!E368</f>
        <v>0</v>
      </c>
      <c r="F369" s="147">
        <f>F4Ax!F369+F4Bx!F368</f>
        <v>0</v>
      </c>
      <c r="G369" s="147">
        <f>F4Ax!G369+F4Bx!G368</f>
        <v>0</v>
      </c>
      <c r="H369" s="147">
        <f>F4Ax!H369+F4Bx!H368</f>
        <v>0</v>
      </c>
      <c r="I369" s="147">
        <f>F4Ax!I369+F4Bx!I368</f>
        <v>0</v>
      </c>
      <c r="J369" s="147">
        <f>F4Ax!J369+F4Bx!J368</f>
        <v>0</v>
      </c>
      <c r="K369" s="147">
        <f>F4Ax!K369+F4Bx!K368</f>
        <v>0</v>
      </c>
      <c r="L369" s="147">
        <f>F4Ax!L369+F4Bx!L368</f>
        <v>0</v>
      </c>
      <c r="M369" s="147">
        <f>F4Ax!M369+F4Bx!M368</f>
        <v>0</v>
      </c>
      <c r="N369" s="147">
        <f>F4Ax!N369+F4Bx!N368</f>
        <v>0</v>
      </c>
      <c r="O369" s="147">
        <f>F4Ax!O369+F4Bx!O368</f>
        <v>0</v>
      </c>
      <c r="P369" s="147">
        <f>F4Ax!P369+F4Bx!P368</f>
        <v>0</v>
      </c>
      <c r="Q369" s="316">
        <f t="shared" ref="Q369:Q375" si="32">SUM(E369:P369)</f>
        <v>0</v>
      </c>
    </row>
    <row r="370" ht="15" spans="3:17">
      <c r="C370" s="55"/>
      <c r="D370" s="55"/>
      <c r="E370" s="147">
        <f>F4Ax!E370+F4Bx!E369</f>
        <v>0</v>
      </c>
      <c r="F370" s="147">
        <f>F4Ax!F370+F4Bx!F369</f>
        <v>0</v>
      </c>
      <c r="G370" s="147">
        <f>F4Ax!G370+F4Bx!G369</f>
        <v>0</v>
      </c>
      <c r="H370" s="147">
        <f>F4Ax!H370+F4Bx!H369</f>
        <v>0</v>
      </c>
      <c r="I370" s="147">
        <f>F4Ax!I370+F4Bx!I369</f>
        <v>0</v>
      </c>
      <c r="J370" s="147">
        <f>F4Ax!J370+F4Bx!J369</f>
        <v>0</v>
      </c>
      <c r="K370" s="147">
        <f>F4Ax!K370+F4Bx!K369</f>
        <v>0</v>
      </c>
      <c r="L370" s="147">
        <f>F4Ax!L370+F4Bx!L369</f>
        <v>0</v>
      </c>
      <c r="M370" s="147">
        <f>F4Ax!M370+F4Bx!M369</f>
        <v>0</v>
      </c>
      <c r="N370" s="147">
        <f>F4Ax!N370+F4Bx!N369</f>
        <v>0</v>
      </c>
      <c r="O370" s="147">
        <f>F4Ax!O370+F4Bx!O369</f>
        <v>0</v>
      </c>
      <c r="P370" s="147">
        <f>F4Ax!P370+F4Bx!P369</f>
        <v>0</v>
      </c>
      <c r="Q370" s="316">
        <f t="shared" si="32"/>
        <v>0</v>
      </c>
    </row>
    <row r="371" ht="15" spans="3:17">
      <c r="C371" s="55"/>
      <c r="D371" s="55"/>
      <c r="E371" s="147">
        <f>F4Ax!E371+F4Bx!E370</f>
        <v>0</v>
      </c>
      <c r="F371" s="147">
        <f>F4Ax!F371+F4Bx!F370</f>
        <v>0</v>
      </c>
      <c r="G371" s="147">
        <f>F4Ax!G371+F4Bx!G370</f>
        <v>0</v>
      </c>
      <c r="H371" s="147">
        <f>F4Ax!H371+F4Bx!H370</f>
        <v>0</v>
      </c>
      <c r="I371" s="147">
        <f>F4Ax!I371+F4Bx!I370</f>
        <v>0</v>
      </c>
      <c r="J371" s="147">
        <f>F4Ax!J371+F4Bx!J370</f>
        <v>0</v>
      </c>
      <c r="K371" s="147">
        <f>F4Ax!K371+F4Bx!K370</f>
        <v>0</v>
      </c>
      <c r="L371" s="147">
        <f>F4Ax!L371+F4Bx!L370</f>
        <v>0</v>
      </c>
      <c r="M371" s="147">
        <f>F4Ax!M371+F4Bx!M370</f>
        <v>0</v>
      </c>
      <c r="N371" s="147">
        <f>F4Ax!N371+F4Bx!N370</f>
        <v>0</v>
      </c>
      <c r="O371" s="147">
        <f>F4Ax!O371+F4Bx!O370</f>
        <v>0</v>
      </c>
      <c r="P371" s="147">
        <f>F4Ax!P371+F4Bx!P370</f>
        <v>0</v>
      </c>
      <c r="Q371" s="316">
        <f t="shared" si="32"/>
        <v>0</v>
      </c>
    </row>
    <row r="372" ht="15" spans="3:17">
      <c r="C372" s="55" t="s">
        <v>258</v>
      </c>
      <c r="D372" s="55" t="s">
        <v>258</v>
      </c>
      <c r="E372" s="147">
        <f>F4Ax!E372+F4Bx!E371</f>
        <v>0</v>
      </c>
      <c r="F372" s="147">
        <f>F4Ax!F372+F4Bx!F371</f>
        <v>0</v>
      </c>
      <c r="G372" s="147">
        <f>F4Ax!G372+F4Bx!G371</f>
        <v>0</v>
      </c>
      <c r="H372" s="147">
        <f>F4Ax!H372+F4Bx!H371</f>
        <v>0</v>
      </c>
      <c r="I372" s="147">
        <f>F4Ax!I372+F4Bx!I371</f>
        <v>0</v>
      </c>
      <c r="J372" s="147">
        <f>F4Ax!J372+F4Bx!J371</f>
        <v>0</v>
      </c>
      <c r="K372" s="147">
        <f>F4Ax!K372+F4Bx!K371</f>
        <v>0</v>
      </c>
      <c r="L372" s="147">
        <f>F4Ax!L372+F4Bx!L371</f>
        <v>0</v>
      </c>
      <c r="M372" s="147">
        <f>F4Ax!M372+F4Bx!M371</f>
        <v>0</v>
      </c>
      <c r="N372" s="147">
        <f>F4Ax!N372+F4Bx!N371</f>
        <v>0</v>
      </c>
      <c r="O372" s="147">
        <f>F4Ax!O372+F4Bx!O371</f>
        <v>0</v>
      </c>
      <c r="P372" s="147">
        <f>F4Ax!P372+F4Bx!P371</f>
        <v>0</v>
      </c>
      <c r="Q372" s="316">
        <f t="shared" si="32"/>
        <v>0</v>
      </c>
    </row>
    <row r="373" ht="15" spans="3:17">
      <c r="C373" s="537" t="s">
        <v>211</v>
      </c>
      <c r="D373" s="540"/>
      <c r="E373" s="316">
        <f t="shared" ref="E373:P373" si="33">SUM(E356:E372)</f>
        <v>502.94</v>
      </c>
      <c r="F373" s="316">
        <f t="shared" si="33"/>
        <v>476.52</v>
      </c>
      <c r="G373" s="316">
        <f t="shared" si="33"/>
        <v>453.95</v>
      </c>
      <c r="H373" s="316">
        <f t="shared" si="33"/>
        <v>440.1308024</v>
      </c>
      <c r="I373" s="316">
        <f t="shared" si="33"/>
        <v>655.25131715</v>
      </c>
      <c r="J373" s="316">
        <f t="shared" si="33"/>
        <v>571.6316141</v>
      </c>
      <c r="K373" s="316">
        <f t="shared" si="33"/>
        <v>569.52108103</v>
      </c>
      <c r="L373" s="316">
        <f t="shared" si="33"/>
        <v>567.8408057</v>
      </c>
      <c r="M373" s="316">
        <f t="shared" si="33"/>
        <v>588.92989123</v>
      </c>
      <c r="N373" s="316">
        <f t="shared" si="33"/>
        <v>666.72388899</v>
      </c>
      <c r="O373" s="316">
        <f t="shared" si="33"/>
        <v>663.99689059</v>
      </c>
      <c r="P373" s="316">
        <f t="shared" si="33"/>
        <v>847.87914468</v>
      </c>
      <c r="Q373" s="316">
        <f t="shared" si="32"/>
        <v>7005.31543587</v>
      </c>
    </row>
    <row r="374" ht="15" spans="3:17">
      <c r="C374" s="537" t="s">
        <v>223</v>
      </c>
      <c r="D374" s="540"/>
      <c r="E374" s="316">
        <f t="shared" ref="E374:P374" si="34">E373+E354+E336</f>
        <v>1672.492178</v>
      </c>
      <c r="F374" s="316">
        <f t="shared" si="34"/>
        <v>1603.564464</v>
      </c>
      <c r="G374" s="316">
        <f t="shared" si="34"/>
        <v>1626.96743</v>
      </c>
      <c r="H374" s="316">
        <f t="shared" si="34"/>
        <v>1498.56721227</v>
      </c>
      <c r="I374" s="316">
        <f t="shared" si="34"/>
        <v>1737.1669406</v>
      </c>
      <c r="J374" s="316">
        <f t="shared" si="34"/>
        <v>1686.9106751</v>
      </c>
      <c r="K374" s="316">
        <f t="shared" si="34"/>
        <v>1629.15368469</v>
      </c>
      <c r="L374" s="316">
        <f t="shared" si="34"/>
        <v>1660.33905239</v>
      </c>
      <c r="M374" s="316">
        <f t="shared" si="34"/>
        <v>1682.72206492</v>
      </c>
      <c r="N374" s="316">
        <f t="shared" si="34"/>
        <v>1780.80335642</v>
      </c>
      <c r="O374" s="316">
        <f t="shared" si="34"/>
        <v>1787.08984515</v>
      </c>
      <c r="P374" s="316">
        <f t="shared" si="34"/>
        <v>2434.41615927</v>
      </c>
      <c r="Q374" s="316">
        <f t="shared" si="32"/>
        <v>20800.19306281</v>
      </c>
    </row>
    <row r="375" ht="15" spans="3:17">
      <c r="C375" s="537" t="s">
        <v>224</v>
      </c>
      <c r="D375" s="540"/>
      <c r="E375" s="316">
        <f t="shared" ref="E375:P375" si="35">E374+E319</f>
        <v>4409.06232357848</v>
      </c>
      <c r="F375" s="316">
        <f t="shared" si="35"/>
        <v>3699.791359472</v>
      </c>
      <c r="G375" s="316">
        <f t="shared" si="35"/>
        <v>3488.46195965853</v>
      </c>
      <c r="H375" s="316">
        <f t="shared" si="35"/>
        <v>3412.85704879</v>
      </c>
      <c r="I375" s="316">
        <f t="shared" si="35"/>
        <v>3912.0263405</v>
      </c>
      <c r="J375" s="316">
        <f t="shared" si="35"/>
        <v>3917.12927121</v>
      </c>
      <c r="K375" s="316">
        <f t="shared" si="35"/>
        <v>3441.49270365761</v>
      </c>
      <c r="L375" s="316">
        <f t="shared" si="35"/>
        <v>3346.69064624862</v>
      </c>
      <c r="M375" s="316">
        <f t="shared" si="35"/>
        <v>3832.15722597042</v>
      </c>
      <c r="N375" s="316">
        <f t="shared" si="35"/>
        <v>4228.77238137091</v>
      </c>
      <c r="O375" s="316">
        <f t="shared" si="35"/>
        <v>4378.15613554008</v>
      </c>
      <c r="P375" s="316">
        <f t="shared" si="35"/>
        <v>5484.10330302</v>
      </c>
      <c r="Q375" s="316">
        <f t="shared" si="32"/>
        <v>47550.7006990167</v>
      </c>
    </row>
    <row r="376" ht="15" spans="3:17">
      <c r="C376" s="3"/>
      <c r="D376" s="3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</row>
    <row r="377" ht="15" spans="3:17">
      <c r="C377" s="14"/>
      <c r="Q377" s="3" t="s">
        <v>236</v>
      </c>
    </row>
    <row r="378" ht="15" spans="3:17">
      <c r="C378" s="658" t="s">
        <v>159</v>
      </c>
      <c r="D378" s="873"/>
      <c r="E378" s="135" t="s">
        <v>164</v>
      </c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</row>
    <row r="379" ht="15" spans="3:17">
      <c r="C379" s="660"/>
      <c r="D379" s="874"/>
      <c r="E379" s="135" t="s">
        <v>246</v>
      </c>
      <c r="F379" s="135" t="s">
        <v>247</v>
      </c>
      <c r="G379" s="135" t="s">
        <v>248</v>
      </c>
      <c r="H379" s="135" t="s">
        <v>249</v>
      </c>
      <c r="I379" s="135" t="s">
        <v>250</v>
      </c>
      <c r="J379" s="135" t="s">
        <v>251</v>
      </c>
      <c r="K379" s="135" t="s">
        <v>252</v>
      </c>
      <c r="L379" s="135" t="s">
        <v>253</v>
      </c>
      <c r="M379" s="135" t="s">
        <v>254</v>
      </c>
      <c r="N379" s="135" t="s">
        <v>255</v>
      </c>
      <c r="O379" s="135" t="s">
        <v>256</v>
      </c>
      <c r="P379" s="135" t="s">
        <v>257</v>
      </c>
      <c r="Q379" s="135" t="s">
        <v>97</v>
      </c>
    </row>
    <row r="380" ht="15" spans="3:17">
      <c r="C380" s="662"/>
      <c r="D380" s="875"/>
      <c r="E380" s="135" t="s">
        <v>130</v>
      </c>
      <c r="F380" s="135" t="s">
        <v>130</v>
      </c>
      <c r="G380" s="135" t="s">
        <v>130</v>
      </c>
      <c r="H380" s="135" t="s">
        <v>130</v>
      </c>
      <c r="I380" s="135" t="s">
        <v>130</v>
      </c>
      <c r="J380" s="135" t="s">
        <v>130</v>
      </c>
      <c r="K380" s="135" t="s">
        <v>131</v>
      </c>
      <c r="L380" s="135" t="s">
        <v>131</v>
      </c>
      <c r="M380" s="135" t="s">
        <v>131</v>
      </c>
      <c r="N380" s="135" t="s">
        <v>131</v>
      </c>
      <c r="O380" s="135" t="s">
        <v>131</v>
      </c>
      <c r="P380" s="135" t="s">
        <v>131</v>
      </c>
      <c r="Q380" s="135" t="s">
        <v>131</v>
      </c>
    </row>
    <row r="381" ht="15" spans="3:17">
      <c r="C381" s="44" t="s">
        <v>170</v>
      </c>
      <c r="D381" s="45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316">
        <f t="shared" ref="Q381:Q412" si="36">SUM(E381:P381)</f>
        <v>0</v>
      </c>
    </row>
    <row r="382" ht="15" spans="3:17">
      <c r="C382" s="47" t="s">
        <v>171</v>
      </c>
      <c r="D382" s="47" t="s">
        <v>172</v>
      </c>
      <c r="E382" s="147">
        <f>F4Ax!E382+F4Bx!E381</f>
        <v>979.833323</v>
      </c>
      <c r="F382" s="147">
        <f>F4Ax!F382+F4Bx!F381</f>
        <v>1179.125271</v>
      </c>
      <c r="G382" s="147">
        <f>F4Ax!G382+F4Bx!G381</f>
        <v>1050.9543275</v>
      </c>
      <c r="H382" s="147">
        <f>F4Ax!H382+F4Bx!H381</f>
        <v>823.852195</v>
      </c>
      <c r="I382" s="147">
        <f>F4Ax!I382+F4Bx!I381</f>
        <v>942.718718</v>
      </c>
      <c r="J382" s="147">
        <f>F4Ax!J382+F4Bx!J381</f>
        <v>873.6558675</v>
      </c>
      <c r="K382" s="147">
        <f>F4Ax!K382+F4Bx!K381</f>
        <v>789.934703276466</v>
      </c>
      <c r="L382" s="147">
        <f>F4Ax!L382+F4Bx!L381</f>
        <v>753.689277647917</v>
      </c>
      <c r="M382" s="147">
        <f>F4Ax!M382+F4Bx!M381</f>
        <v>761.699051114891</v>
      </c>
      <c r="N382" s="147">
        <f>F4Ax!N382+F4Bx!N381</f>
        <v>721.473577087118</v>
      </c>
      <c r="O382" s="147">
        <f>F4Ax!O382+F4Bx!O381</f>
        <v>761.841614203187</v>
      </c>
      <c r="P382" s="147">
        <f>F4Ax!P382+F4Bx!P381</f>
        <v>944.612238862077</v>
      </c>
      <c r="Q382" s="316">
        <f t="shared" si="36"/>
        <v>10583.3901641917</v>
      </c>
    </row>
    <row r="383" ht="15" spans="3:17">
      <c r="C383" s="55" t="s">
        <v>173</v>
      </c>
      <c r="D383" s="55" t="s">
        <v>174</v>
      </c>
      <c r="E383" s="147">
        <f>F4Ax!E383+F4Bx!E382</f>
        <v>299.95327925</v>
      </c>
      <c r="F383" s="147">
        <f>F4Ax!F383+F4Bx!F382</f>
        <v>344.29363547</v>
      </c>
      <c r="G383" s="147">
        <f>F4Ax!G383+F4Bx!G382</f>
        <v>316.5308635</v>
      </c>
      <c r="H383" s="147">
        <f>F4Ax!H383+F4Bx!H382</f>
        <v>269.099578</v>
      </c>
      <c r="I383" s="147">
        <f>F4Ax!I383+F4Bx!I382</f>
        <v>304.82621735</v>
      </c>
      <c r="J383" s="147">
        <f>F4Ax!J383+F4Bx!J382</f>
        <v>282.151531</v>
      </c>
      <c r="K383" s="147">
        <f>F4Ax!K383+F4Bx!K382</f>
        <v>253.784563417527</v>
      </c>
      <c r="L383" s="147">
        <f>F4Ax!L383+F4Bx!L382</f>
        <v>255.114360616764</v>
      </c>
      <c r="M383" s="147">
        <f>F4Ax!M383+F4Bx!M382</f>
        <v>259.459681386232</v>
      </c>
      <c r="N383" s="147">
        <f>F4Ax!N383+F4Bx!N382</f>
        <v>245.407745072231</v>
      </c>
      <c r="O383" s="147">
        <f>F4Ax!O383+F4Bx!O382</f>
        <v>262.543096737537</v>
      </c>
      <c r="P383" s="147">
        <f>F4Ax!P383+F4Bx!P382</f>
        <v>303.804888343574</v>
      </c>
      <c r="Q383" s="316">
        <f t="shared" si="36"/>
        <v>3396.96944014387</v>
      </c>
    </row>
    <row r="384" ht="15" spans="3:17">
      <c r="C384" s="55" t="s">
        <v>175</v>
      </c>
      <c r="D384" s="55" t="s">
        <v>176</v>
      </c>
      <c r="E384" s="147">
        <f>F4Ax!E384+F4Bx!E383</f>
        <v>79.7589609999999</v>
      </c>
      <c r="F384" s="147">
        <f>F4Ax!F384+F4Bx!F383</f>
        <v>86.3580349999999</v>
      </c>
      <c r="G384" s="147">
        <f>F4Ax!G384+F4Bx!G383</f>
        <v>81.628037</v>
      </c>
      <c r="H384" s="147">
        <f>F4Ax!H384+F4Bx!H383</f>
        <v>76.706924</v>
      </c>
      <c r="I384" s="147">
        <f>F4Ax!I384+F4Bx!I383</f>
        <v>82.06121</v>
      </c>
      <c r="J384" s="147">
        <f>F4Ax!J384+F4Bx!J383</f>
        <v>76.1152520000001</v>
      </c>
      <c r="K384" s="147">
        <f>F4Ax!K384+F4Bx!K383</f>
        <v>71.91490294798</v>
      </c>
      <c r="L384" s="147">
        <f>F4Ax!L384+F4Bx!L383</f>
        <v>86.2363022272538</v>
      </c>
      <c r="M384" s="147">
        <f>F4Ax!M384+F4Bx!M383</f>
        <v>87.5816699366385</v>
      </c>
      <c r="N384" s="147">
        <f>F4Ax!N384+F4Bx!N383</f>
        <v>81.2814640205421</v>
      </c>
      <c r="O384" s="147">
        <f>F4Ax!O384+F4Bx!O383</f>
        <v>80.9641522572516</v>
      </c>
      <c r="P384" s="147">
        <f>F4Ax!P384+F4Bx!P383</f>
        <v>83.5127838721011</v>
      </c>
      <c r="Q384" s="316">
        <f t="shared" si="36"/>
        <v>974.119694261767</v>
      </c>
    </row>
    <row r="385" ht="15" spans="3:17">
      <c r="C385" s="55" t="s">
        <v>177</v>
      </c>
      <c r="D385" s="55" t="s">
        <v>178</v>
      </c>
      <c r="E385" s="147">
        <f>F4Ax!E385+F4Bx!E384</f>
        <v>0.848615</v>
      </c>
      <c r="F385" s="147">
        <f>F4Ax!F385+F4Bx!F384</f>
        <v>0.886062</v>
      </c>
      <c r="G385" s="147">
        <f>F4Ax!G385+F4Bx!G384</f>
        <v>0.782066</v>
      </c>
      <c r="H385" s="147">
        <f>F4Ax!H385+F4Bx!H384</f>
        <v>0.757177</v>
      </c>
      <c r="I385" s="147">
        <f>F4Ax!I385+F4Bx!I384</f>
        <v>0.804778</v>
      </c>
      <c r="J385" s="147">
        <f>F4Ax!J385+F4Bx!J384</f>
        <v>0.754882</v>
      </c>
      <c r="K385" s="147">
        <f>F4Ax!K385+F4Bx!K384</f>
        <v>0.744512991342507</v>
      </c>
      <c r="L385" s="147">
        <f>F4Ax!L385+F4Bx!L384</f>
        <v>0.812368462671462</v>
      </c>
      <c r="M385" s="147">
        <f>F4Ax!M385+F4Bx!M384</f>
        <v>0.85267523291598</v>
      </c>
      <c r="N385" s="147">
        <f>F4Ax!N385+F4Bx!N384</f>
        <v>0.754166654252771</v>
      </c>
      <c r="O385" s="147">
        <f>F4Ax!O385+F4Bx!O384</f>
        <v>0.725529946161808</v>
      </c>
      <c r="P385" s="147">
        <f>F4Ax!P385+F4Bx!P384</f>
        <v>0.824526461114851</v>
      </c>
      <c r="Q385" s="316">
        <f t="shared" si="36"/>
        <v>9.54735974845938</v>
      </c>
    </row>
    <row r="386" ht="15" spans="3:17">
      <c r="C386" s="55" t="s">
        <v>179</v>
      </c>
      <c r="D386" s="55" t="s">
        <v>180</v>
      </c>
      <c r="E386" s="147">
        <f>F4Ax!E386+F4Bx!E385</f>
        <v>1266.95010928518</v>
      </c>
      <c r="F386" s="147">
        <f>F4Ax!F386+F4Bx!F385</f>
        <v>492.193237403279</v>
      </c>
      <c r="G386" s="147">
        <f>F4Ax!G386+F4Bx!G385</f>
        <v>634.453835266266</v>
      </c>
      <c r="H386" s="147">
        <f>F4Ax!H386+F4Bx!H385</f>
        <v>979.893971825415</v>
      </c>
      <c r="I386" s="147">
        <f>F4Ax!I386+F4Bx!I385</f>
        <v>1640.44173852728</v>
      </c>
      <c r="J386" s="147">
        <f>F4Ax!J386+F4Bx!J385</f>
        <v>1237.839202</v>
      </c>
      <c r="K386" s="147">
        <f>F4Ax!K386+F4Bx!K385</f>
        <v>725.1159053727</v>
      </c>
      <c r="L386" s="147">
        <f>F4Ax!L386+F4Bx!L385</f>
        <v>614.281560725643</v>
      </c>
      <c r="M386" s="147">
        <f>F4Ax!M386+F4Bx!M385</f>
        <v>1077.32803031197</v>
      </c>
      <c r="N386" s="147">
        <f>F4Ax!N386+F4Bx!N385</f>
        <v>1446.77972503767</v>
      </c>
      <c r="O386" s="147">
        <f>F4Ax!O386+F4Bx!O385</f>
        <v>1539.53681168019</v>
      </c>
      <c r="P386" s="147">
        <f>F4Ax!P386+F4Bx!P385</f>
        <v>1786.32340737698</v>
      </c>
      <c r="Q386" s="316">
        <f t="shared" si="36"/>
        <v>13441.1375348126</v>
      </c>
    </row>
    <row r="387" ht="15" spans="3:17">
      <c r="C387" s="55" t="s">
        <v>181</v>
      </c>
      <c r="D387" s="55" t="s">
        <v>182</v>
      </c>
      <c r="E387" s="147">
        <f>F4Ax!E387+F4Bx!E386</f>
        <v>40.720597</v>
      </c>
      <c r="F387" s="147">
        <f>F4Ax!F387+F4Bx!F386</f>
        <v>42.393444</v>
      </c>
      <c r="G387" s="147">
        <f>F4Ax!G387+F4Bx!G386</f>
        <v>39.64402</v>
      </c>
      <c r="H387" s="147">
        <f>F4Ax!H387+F4Bx!H386</f>
        <v>39.430268</v>
      </c>
      <c r="I387" s="147">
        <f>F4Ax!I387+F4Bx!I386</f>
        <v>41.998558</v>
      </c>
      <c r="J387" s="147">
        <f>F4Ax!J387+F4Bx!J386</f>
        <v>40.215241</v>
      </c>
      <c r="K387" s="147">
        <f>F4Ax!K387+F4Bx!K386</f>
        <v>41.61153675</v>
      </c>
      <c r="L387" s="147">
        <f>F4Ax!L387+F4Bx!L386</f>
        <v>41.24638665</v>
      </c>
      <c r="M387" s="147">
        <f>F4Ax!M387+F4Bx!M386</f>
        <v>43.4423598</v>
      </c>
      <c r="N387" s="147">
        <f>F4Ax!N387+F4Bx!N386</f>
        <v>43.158150525</v>
      </c>
      <c r="O387" s="147">
        <f>F4Ax!O387+F4Bx!O386</f>
        <v>41.4796368</v>
      </c>
      <c r="P387" s="147">
        <f>F4Ax!P387+F4Bx!P386</f>
        <v>44.9014272</v>
      </c>
      <c r="Q387" s="316">
        <f t="shared" si="36"/>
        <v>500.241625725</v>
      </c>
    </row>
    <row r="388" ht="15" spans="3:17">
      <c r="C388" s="55" t="s">
        <v>183</v>
      </c>
      <c r="D388" s="55" t="s">
        <v>184</v>
      </c>
      <c r="E388" s="147">
        <f>F4Ax!E388+F4Bx!E387</f>
        <v>7.871618</v>
      </c>
      <c r="F388" s="147">
        <f>F4Ax!F388+F4Bx!F387</f>
        <v>6.438644</v>
      </c>
      <c r="G388" s="147">
        <f>F4Ax!G388+F4Bx!G387</f>
        <v>7.633369</v>
      </c>
      <c r="H388" s="147">
        <f>F4Ax!H388+F4Bx!H387</f>
        <v>7.744419</v>
      </c>
      <c r="I388" s="147">
        <f>F4Ax!I388+F4Bx!I387</f>
        <v>8.981126</v>
      </c>
      <c r="J388" s="147">
        <f>F4Ax!J388+F4Bx!J387</f>
        <v>8.335953</v>
      </c>
      <c r="K388" s="147">
        <f>F4Ax!K388+F4Bx!K387</f>
        <v>7.37461911968932</v>
      </c>
      <c r="L388" s="147">
        <f>F4Ax!L388+F4Bx!L387</f>
        <v>7.47181239449284</v>
      </c>
      <c r="M388" s="147">
        <f>F4Ax!M388+F4Bx!M387</f>
        <v>7.44063580855139</v>
      </c>
      <c r="N388" s="147">
        <f>F4Ax!N388+F4Bx!N387</f>
        <v>6.60166156879062</v>
      </c>
      <c r="O388" s="147">
        <f>F4Ax!O388+F4Bx!O387</f>
        <v>7.54627630928807</v>
      </c>
      <c r="P388" s="147">
        <f>F4Ax!P388+F4Bx!P387</f>
        <v>9.30224465455733</v>
      </c>
      <c r="Q388" s="316">
        <f t="shared" si="36"/>
        <v>92.7423788553696</v>
      </c>
    </row>
    <row r="389" ht="15" spans="3:17">
      <c r="C389" s="55" t="s">
        <v>185</v>
      </c>
      <c r="D389" s="55" t="s">
        <v>186</v>
      </c>
      <c r="E389" s="147">
        <f>F4Ax!E389+F4Bx!E388</f>
        <v>8.949712</v>
      </c>
      <c r="F389" s="147">
        <f>F4Ax!F389+F4Bx!F388</f>
        <v>10.139776</v>
      </c>
      <c r="G389" s="147">
        <f>F4Ax!G389+F4Bx!G388</f>
        <v>9.548661</v>
      </c>
      <c r="H389" s="147">
        <f>F4Ax!H389+F4Bx!H388</f>
        <v>8.274876</v>
      </c>
      <c r="I389" s="147">
        <f>F4Ax!I389+F4Bx!I388</f>
        <v>9.496726</v>
      </c>
      <c r="J389" s="147">
        <f>F4Ax!J389+F4Bx!J388</f>
        <v>8.88412</v>
      </c>
      <c r="K389" s="147">
        <f>F4Ax!K389+F4Bx!K388</f>
        <v>7.54098555</v>
      </c>
      <c r="L389" s="147">
        <f>F4Ax!L389+F4Bx!L388</f>
        <v>8.09549685</v>
      </c>
      <c r="M389" s="147">
        <f>F4Ax!M389+F4Bx!M388</f>
        <v>8.445192</v>
      </c>
      <c r="N389" s="147">
        <f>F4Ax!N389+F4Bx!N388</f>
        <v>8.39203995</v>
      </c>
      <c r="O389" s="147">
        <f>F4Ax!O389+F4Bx!O388</f>
        <v>8.47757925</v>
      </c>
      <c r="P389" s="147">
        <f>F4Ax!P389+F4Bx!P388</f>
        <v>9.11928885</v>
      </c>
      <c r="Q389" s="316">
        <f t="shared" si="36"/>
        <v>105.36445345</v>
      </c>
    </row>
    <row r="390" ht="15" spans="3:17">
      <c r="C390" s="55" t="s">
        <v>187</v>
      </c>
      <c r="D390" s="55" t="s">
        <v>188</v>
      </c>
      <c r="E390" s="147">
        <f>F4Ax!E390+F4Bx!E389</f>
        <v>0.075772</v>
      </c>
      <c r="F390" s="147">
        <f>F4Ax!F390+F4Bx!F389</f>
        <v>0.091755</v>
      </c>
      <c r="G390" s="147">
        <f>F4Ax!G390+F4Bx!G389</f>
        <v>0.094195</v>
      </c>
      <c r="H390" s="147">
        <f>F4Ax!H390+F4Bx!H389</f>
        <v>0.127181</v>
      </c>
      <c r="I390" s="147">
        <f>F4Ax!I390+F4Bx!I389</f>
        <v>0.152761</v>
      </c>
      <c r="J390" s="147">
        <f>F4Ax!J390+F4Bx!J389</f>
        <v>0.148528</v>
      </c>
      <c r="K390" s="147">
        <f>F4Ax!K390+F4Bx!K389</f>
        <v>0.07097024</v>
      </c>
      <c r="L390" s="147">
        <f>F4Ax!L390+F4Bx!L389</f>
        <v>0.08175362</v>
      </c>
      <c r="M390" s="147">
        <f>F4Ax!M390+F4Bx!M389</f>
        <v>0.08458912</v>
      </c>
      <c r="N390" s="147">
        <f>F4Ax!N390+F4Bx!N389</f>
        <v>0.0882917</v>
      </c>
      <c r="O390" s="147">
        <f>F4Ax!O390+F4Bx!O389</f>
        <v>0.08867224</v>
      </c>
      <c r="P390" s="147">
        <f>F4Ax!P390+F4Bx!P389</f>
        <v>0.09748296</v>
      </c>
      <c r="Q390" s="316">
        <f t="shared" si="36"/>
        <v>1.20195188</v>
      </c>
    </row>
    <row r="391" ht="15" spans="3:17">
      <c r="C391" s="55"/>
      <c r="D391" s="55"/>
      <c r="E391" s="147">
        <f>F4Ax!E391+F4Bx!E390</f>
        <v>0</v>
      </c>
      <c r="F391" s="147">
        <f>F4Ax!F391+F4Bx!F390</f>
        <v>0</v>
      </c>
      <c r="G391" s="147">
        <f>F4Ax!G391+F4Bx!G390</f>
        <v>0</v>
      </c>
      <c r="H391" s="147">
        <f>F4Ax!H391+F4Bx!H390</f>
        <v>0</v>
      </c>
      <c r="I391" s="147">
        <f>F4Ax!I391+F4Bx!I390</f>
        <v>0</v>
      </c>
      <c r="J391" s="147">
        <f>F4Ax!J391+F4Bx!J390</f>
        <v>0</v>
      </c>
      <c r="K391" s="147">
        <f>F4Ax!K391+F4Bx!K390</f>
        <v>0</v>
      </c>
      <c r="L391" s="147">
        <f>F4Ax!L391+F4Bx!L390</f>
        <v>0</v>
      </c>
      <c r="M391" s="147">
        <f>F4Ax!M391+F4Bx!M390</f>
        <v>0</v>
      </c>
      <c r="N391" s="147">
        <f>F4Ax!N391+F4Bx!N390</f>
        <v>0</v>
      </c>
      <c r="O391" s="147">
        <f>F4Ax!O391+F4Bx!O390</f>
        <v>0</v>
      </c>
      <c r="P391" s="147">
        <f>F4Ax!P391+F4Bx!P390</f>
        <v>0</v>
      </c>
      <c r="Q391" s="316">
        <f t="shared" si="36"/>
        <v>0</v>
      </c>
    </row>
    <row r="392" ht="15" spans="3:17">
      <c r="C392" s="55"/>
      <c r="D392" s="55"/>
      <c r="E392" s="147">
        <f>F4Ax!E392+F4Bx!E391</f>
        <v>0</v>
      </c>
      <c r="F392" s="147">
        <f>F4Ax!F392+F4Bx!F391</f>
        <v>0</v>
      </c>
      <c r="G392" s="147">
        <f>F4Ax!G392+F4Bx!G391</f>
        <v>0</v>
      </c>
      <c r="H392" s="147">
        <f>F4Ax!H392+F4Bx!H391</f>
        <v>0</v>
      </c>
      <c r="I392" s="147">
        <f>F4Ax!I392+F4Bx!I391</f>
        <v>0</v>
      </c>
      <c r="J392" s="147">
        <f>F4Ax!J392+F4Bx!J391</f>
        <v>0</v>
      </c>
      <c r="K392" s="147">
        <f>F4Ax!K392+F4Bx!K391</f>
        <v>0</v>
      </c>
      <c r="L392" s="147">
        <f>F4Ax!L392+F4Bx!L391</f>
        <v>0</v>
      </c>
      <c r="M392" s="147">
        <f>F4Ax!M392+F4Bx!M391</f>
        <v>0</v>
      </c>
      <c r="N392" s="147">
        <f>F4Ax!N392+F4Bx!N391</f>
        <v>0</v>
      </c>
      <c r="O392" s="147">
        <f>F4Ax!O392+F4Bx!O391</f>
        <v>0</v>
      </c>
      <c r="P392" s="147">
        <f>F4Ax!P392+F4Bx!P391</f>
        <v>0</v>
      </c>
      <c r="Q392" s="316">
        <f t="shared" si="36"/>
        <v>0</v>
      </c>
    </row>
    <row r="393" ht="15" spans="3:17">
      <c r="C393" s="55"/>
      <c r="D393" s="55"/>
      <c r="E393" s="147">
        <f>F4Ax!E393+F4Bx!E392</f>
        <v>0</v>
      </c>
      <c r="F393" s="147">
        <f>F4Ax!F393+F4Bx!F392</f>
        <v>0</v>
      </c>
      <c r="G393" s="147">
        <f>F4Ax!G393+F4Bx!G392</f>
        <v>0</v>
      </c>
      <c r="H393" s="147">
        <f>F4Ax!H393+F4Bx!H392</f>
        <v>0</v>
      </c>
      <c r="I393" s="147">
        <f>F4Ax!I393+F4Bx!I392</f>
        <v>0</v>
      </c>
      <c r="J393" s="147">
        <f>F4Ax!J393+F4Bx!J392</f>
        <v>0</v>
      </c>
      <c r="K393" s="147">
        <f>F4Ax!K393+F4Bx!K392</f>
        <v>0</v>
      </c>
      <c r="L393" s="147">
        <f>F4Ax!L393+F4Bx!L392</f>
        <v>0</v>
      </c>
      <c r="M393" s="147">
        <f>F4Ax!M393+F4Bx!M392</f>
        <v>0</v>
      </c>
      <c r="N393" s="147">
        <f>F4Ax!N393+F4Bx!N392</f>
        <v>0</v>
      </c>
      <c r="O393" s="147">
        <f>F4Ax!O393+F4Bx!O392</f>
        <v>0</v>
      </c>
      <c r="P393" s="147">
        <f>F4Ax!P393+F4Bx!P392</f>
        <v>0</v>
      </c>
      <c r="Q393" s="316">
        <f t="shared" si="36"/>
        <v>0</v>
      </c>
    </row>
    <row r="394" ht="15" spans="3:17">
      <c r="C394" s="55" t="s">
        <v>258</v>
      </c>
      <c r="D394" s="55" t="s">
        <v>258</v>
      </c>
      <c r="E394" s="147">
        <f>F4Ax!E394+F4Bx!E393</f>
        <v>0</v>
      </c>
      <c r="F394" s="147">
        <f>F4Ax!F394+F4Bx!F393</f>
        <v>0</v>
      </c>
      <c r="G394" s="147">
        <f>F4Ax!G394+F4Bx!G393</f>
        <v>0</v>
      </c>
      <c r="H394" s="147">
        <f>F4Ax!H394+F4Bx!H393</f>
        <v>0</v>
      </c>
      <c r="I394" s="147">
        <f>F4Ax!I394+F4Bx!I393</f>
        <v>0</v>
      </c>
      <c r="J394" s="147">
        <f>F4Ax!J394+F4Bx!J393</f>
        <v>0</v>
      </c>
      <c r="K394" s="147">
        <f>F4Ax!K394+F4Bx!K393</f>
        <v>0</v>
      </c>
      <c r="L394" s="147">
        <f>F4Ax!L394+F4Bx!L393</f>
        <v>0</v>
      </c>
      <c r="M394" s="147">
        <f>F4Ax!M394+F4Bx!M393</f>
        <v>0</v>
      </c>
      <c r="N394" s="147">
        <f>F4Ax!N394+F4Bx!N393</f>
        <v>0</v>
      </c>
      <c r="O394" s="147">
        <f>F4Ax!O394+F4Bx!O393</f>
        <v>0</v>
      </c>
      <c r="P394" s="147">
        <f>F4Ax!P394+F4Bx!P393</f>
        <v>0</v>
      </c>
      <c r="Q394" s="316">
        <f t="shared" si="36"/>
        <v>0</v>
      </c>
    </row>
    <row r="395" ht="15" spans="3:17">
      <c r="C395" s="537" t="s">
        <v>189</v>
      </c>
      <c r="D395" s="540"/>
      <c r="E395" s="316">
        <f t="shared" ref="E395:P395" si="37">SUM(E382:E394)</f>
        <v>2684.96198653518</v>
      </c>
      <c r="F395" s="316">
        <f t="shared" si="37"/>
        <v>2161.91985987328</v>
      </c>
      <c r="G395" s="316">
        <f t="shared" si="37"/>
        <v>2141.26937426627</v>
      </c>
      <c r="H395" s="316">
        <f t="shared" si="37"/>
        <v>2205.88658982541</v>
      </c>
      <c r="I395" s="316">
        <f t="shared" si="37"/>
        <v>3031.48183287728</v>
      </c>
      <c r="J395" s="316">
        <f t="shared" si="37"/>
        <v>2528.1005765</v>
      </c>
      <c r="K395" s="316">
        <f t="shared" si="37"/>
        <v>1898.0926996657</v>
      </c>
      <c r="L395" s="316">
        <f t="shared" si="37"/>
        <v>1767.02931919474</v>
      </c>
      <c r="M395" s="316">
        <f t="shared" si="37"/>
        <v>2246.3338847112</v>
      </c>
      <c r="N395" s="316">
        <f t="shared" si="37"/>
        <v>2553.93682161561</v>
      </c>
      <c r="O395" s="316">
        <f t="shared" si="37"/>
        <v>2703.20336942362</v>
      </c>
      <c r="P395" s="316">
        <f t="shared" si="37"/>
        <v>3182.49828858041</v>
      </c>
      <c r="Q395" s="316">
        <f t="shared" si="36"/>
        <v>29104.7146030687</v>
      </c>
    </row>
    <row r="396" ht="15" spans="3:17">
      <c r="C396" s="44" t="s">
        <v>190</v>
      </c>
      <c r="D396" s="45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316">
        <f t="shared" si="36"/>
        <v>0</v>
      </c>
    </row>
    <row r="397" ht="15" spans="3:17">
      <c r="C397" s="55" t="s">
        <v>191</v>
      </c>
      <c r="D397" s="55" t="s">
        <v>192</v>
      </c>
      <c r="E397" s="147">
        <f>F4Ax!E397+F4Bx!E396</f>
        <v>357.79890948</v>
      </c>
      <c r="F397" s="147">
        <f>F4Ax!F397+F4Bx!F396</f>
        <v>328.15855754</v>
      </c>
      <c r="G397" s="147">
        <f>F4Ax!G397+F4Bx!G396</f>
        <v>349.37869325</v>
      </c>
      <c r="H397" s="147">
        <f>F4Ax!H397+F4Bx!H396</f>
        <v>312.61987757</v>
      </c>
      <c r="I397" s="147">
        <f>F4Ax!I397+F4Bx!I396</f>
        <v>327.34099446</v>
      </c>
      <c r="J397" s="147">
        <f>F4Ax!J397+F4Bx!J396</f>
        <v>333.82003499</v>
      </c>
      <c r="K397" s="147">
        <f>F4Ax!K397+F4Bx!K396</f>
        <v>333.118946261743</v>
      </c>
      <c r="L397" s="147">
        <f>F4Ax!L397+F4Bx!L396</f>
        <v>355.706881043454</v>
      </c>
      <c r="M397" s="147">
        <f>F4Ax!M397+F4Bx!M396</f>
        <v>358.747961046979</v>
      </c>
      <c r="N397" s="147">
        <f>F4Ax!N397+F4Bx!N396</f>
        <v>370.825016901845</v>
      </c>
      <c r="O397" s="147">
        <f>F4Ax!O397+F4Bx!O396</f>
        <v>370.366777739465</v>
      </c>
      <c r="P397" s="147">
        <f>F4Ax!P397+F4Bx!P396</f>
        <v>508.26995089411</v>
      </c>
      <c r="Q397" s="316">
        <f t="shared" si="36"/>
        <v>4306.1526011776</v>
      </c>
    </row>
    <row r="398" ht="15" spans="3:17">
      <c r="C398" s="55" t="s">
        <v>193</v>
      </c>
      <c r="D398" s="55" t="s">
        <v>194</v>
      </c>
      <c r="E398" s="147">
        <f>F4Ax!E398+F4Bx!E397</f>
        <v>0.02</v>
      </c>
      <c r="F398" s="147">
        <f>F4Ax!F398+F4Bx!F397</f>
        <v>0.01</v>
      </c>
      <c r="G398" s="147">
        <f>F4Ax!G398+F4Bx!G397</f>
        <v>0</v>
      </c>
      <c r="H398" s="147">
        <f>F4Ax!H398+F4Bx!H397</f>
        <v>0</v>
      </c>
      <c r="I398" s="147">
        <f>F4Ax!I398+F4Bx!I397</f>
        <v>0.01</v>
      </c>
      <c r="J398" s="147">
        <f>F4Ax!J398+F4Bx!J397</f>
        <v>0.03</v>
      </c>
      <c r="K398" s="147">
        <f>F4Ax!K398+F4Bx!K397</f>
        <v>0.02</v>
      </c>
      <c r="L398" s="147">
        <f>F4Ax!L398+F4Bx!L397</f>
        <v>0.01</v>
      </c>
      <c r="M398" s="147">
        <f>F4Ax!M398+F4Bx!M397</f>
        <v>0</v>
      </c>
      <c r="N398" s="147">
        <f>F4Ax!N398+F4Bx!N397</f>
        <v>0</v>
      </c>
      <c r="O398" s="147">
        <f>F4Ax!O398+F4Bx!O397</f>
        <v>0.01</v>
      </c>
      <c r="P398" s="147">
        <f>F4Ax!P398+F4Bx!P397</f>
        <v>0.03</v>
      </c>
      <c r="Q398" s="316">
        <f t="shared" si="36"/>
        <v>0.14</v>
      </c>
    </row>
    <row r="399" ht="15" spans="3:17">
      <c r="C399" s="55" t="s">
        <v>239</v>
      </c>
      <c r="D399" s="55" t="s">
        <v>196</v>
      </c>
      <c r="E399" s="147">
        <f>F4Ax!E399+F4Bx!E398</f>
        <v>178.14854454</v>
      </c>
      <c r="F399" s="147">
        <f>F4Ax!F399+F4Bx!F398</f>
        <v>196.79013864</v>
      </c>
      <c r="G399" s="147">
        <f>F4Ax!G399+F4Bx!G398</f>
        <v>197.6070147</v>
      </c>
      <c r="H399" s="147">
        <f>F4Ax!H399+F4Bx!H398</f>
        <v>168.573436515</v>
      </c>
      <c r="I399" s="147">
        <f>F4Ax!I399+F4Bx!I398</f>
        <v>181.96917251</v>
      </c>
      <c r="J399" s="147">
        <f>F4Ax!J399+F4Bx!J398</f>
        <v>169.63353952</v>
      </c>
      <c r="K399" s="147">
        <f>F4Ax!K399+F4Bx!K398</f>
        <v>161.474044303</v>
      </c>
      <c r="L399" s="147">
        <f>F4Ax!L399+F4Bx!L398</f>
        <v>152.784722882</v>
      </c>
      <c r="M399" s="147">
        <f>F4Ax!M399+F4Bx!M398</f>
        <v>149.595129255</v>
      </c>
      <c r="N399" s="147">
        <f>F4Ax!N399+F4Bx!N398</f>
        <v>152.592613976</v>
      </c>
      <c r="O399" s="147">
        <f>F4Ax!O399+F4Bx!O398</f>
        <v>154.425679089</v>
      </c>
      <c r="P399" s="147">
        <f>F4Ax!P399+F4Bx!P398</f>
        <v>236.936640622</v>
      </c>
      <c r="Q399" s="316">
        <f t="shared" si="36"/>
        <v>2100.530676552</v>
      </c>
    </row>
    <row r="400" ht="15" spans="3:17">
      <c r="C400" s="55" t="s">
        <v>197</v>
      </c>
      <c r="D400" s="55" t="s">
        <v>198</v>
      </c>
      <c r="E400" s="147">
        <f>F4Ax!E400+F4Bx!E399</f>
        <v>0</v>
      </c>
      <c r="F400" s="147">
        <f>F4Ax!F400+F4Bx!F399</f>
        <v>0.047229</v>
      </c>
      <c r="G400" s="147">
        <f>F4Ax!G400+F4Bx!G399</f>
        <v>0.036666</v>
      </c>
      <c r="H400" s="147">
        <f>F4Ax!H400+F4Bx!H399</f>
        <v>0.027436</v>
      </c>
      <c r="I400" s="147">
        <f>F4Ax!I400+F4Bx!I399</f>
        <v>0.024931</v>
      </c>
      <c r="J400" s="147">
        <f>F4Ax!J400+F4Bx!J399</f>
        <v>0.029947</v>
      </c>
      <c r="K400" s="147">
        <f>F4Ax!K400+F4Bx!K399</f>
        <v>0</v>
      </c>
      <c r="L400" s="147">
        <f>F4Ax!L400+F4Bx!L399</f>
        <v>0</v>
      </c>
      <c r="M400" s="147">
        <f>F4Ax!M400+F4Bx!M399</f>
        <v>0.03283992</v>
      </c>
      <c r="N400" s="147">
        <f>F4Ax!N400+F4Bx!N399</f>
        <v>0.02955042</v>
      </c>
      <c r="O400" s="147">
        <f>F4Ax!O400+F4Bx!O399</f>
        <v>0.03425976</v>
      </c>
      <c r="P400" s="147">
        <f>F4Ax!P400+F4Bx!P399</f>
        <v>0.03515838</v>
      </c>
      <c r="Q400" s="316">
        <f t="shared" si="36"/>
        <v>0.29801748</v>
      </c>
    </row>
    <row r="401" ht="15" spans="3:17">
      <c r="C401" s="55" t="s">
        <v>199</v>
      </c>
      <c r="D401" s="55" t="s">
        <v>200</v>
      </c>
      <c r="E401" s="147">
        <f>F4Ax!E401+F4Bx!E400</f>
        <v>0.381373</v>
      </c>
      <c r="F401" s="147">
        <f>F4Ax!F401+F4Bx!F400</f>
        <v>0.438194</v>
      </c>
      <c r="G401" s="147">
        <f>F4Ax!G401+F4Bx!G400</f>
        <v>0.444743</v>
      </c>
      <c r="H401" s="147">
        <f>F4Ax!H401+F4Bx!H400</f>
        <v>0.400546</v>
      </c>
      <c r="I401" s="147">
        <f>F4Ax!I401+F4Bx!I400</f>
        <v>0.396768</v>
      </c>
      <c r="J401" s="147">
        <f>F4Ax!J401+F4Bx!J400</f>
        <v>0.395706</v>
      </c>
      <c r="K401" s="147">
        <f>F4Ax!K401+F4Bx!K400</f>
        <v>0.37504284</v>
      </c>
      <c r="L401" s="147">
        <f>F4Ax!L401+F4Bx!L400</f>
        <v>0.36708648</v>
      </c>
      <c r="M401" s="147">
        <f>F4Ax!M401+F4Bx!M400</f>
        <v>0.35503852</v>
      </c>
      <c r="N401" s="147">
        <f>F4Ax!N401+F4Bx!N400</f>
        <v>0.3636489</v>
      </c>
      <c r="O401" s="147">
        <f>F4Ax!O401+F4Bx!O400</f>
        <v>0.35542436</v>
      </c>
      <c r="P401" s="147">
        <f>F4Ax!P401+F4Bx!P400</f>
        <v>0.52239344</v>
      </c>
      <c r="Q401" s="316">
        <f t="shared" si="36"/>
        <v>4.79596454</v>
      </c>
    </row>
    <row r="402" ht="15" spans="3:17">
      <c r="C402" s="55" t="s">
        <v>201</v>
      </c>
      <c r="D402" s="55" t="s">
        <v>202</v>
      </c>
      <c r="E402" s="147">
        <f>F4Ax!E402+F4Bx!E401</f>
        <v>2.107807</v>
      </c>
      <c r="F402" s="147">
        <f>F4Ax!F402+F4Bx!F401</f>
        <v>0.385051</v>
      </c>
      <c r="G402" s="147">
        <f>F4Ax!G402+F4Bx!G401</f>
        <v>0.628657</v>
      </c>
      <c r="H402" s="147">
        <f>F4Ax!H402+F4Bx!H401</f>
        <v>1.04366312</v>
      </c>
      <c r="I402" s="147">
        <f>F4Ax!I402+F4Bx!I401</f>
        <v>1.80848832</v>
      </c>
      <c r="J402" s="147">
        <f>F4Ax!J402+F4Bx!J401</f>
        <v>1.690687</v>
      </c>
      <c r="K402" s="147">
        <f>F4Ax!K402+F4Bx!K401</f>
        <v>3.5361050532</v>
      </c>
      <c r="L402" s="147">
        <f>F4Ax!L402+F4Bx!L401</f>
        <v>4.4964419382</v>
      </c>
      <c r="M402" s="147">
        <f>F4Ax!M402+F4Bx!M401</f>
        <v>6.49858524</v>
      </c>
      <c r="N402" s="147">
        <f>F4Ax!N402+F4Bx!N401</f>
        <v>5.79255654</v>
      </c>
      <c r="O402" s="147">
        <f>F4Ax!O402+F4Bx!O401</f>
        <v>6.02976264</v>
      </c>
      <c r="P402" s="147">
        <f>F4Ax!P402+F4Bx!P401</f>
        <v>8.47044312</v>
      </c>
      <c r="Q402" s="316">
        <f t="shared" si="36"/>
        <v>42.4882479714</v>
      </c>
    </row>
    <row r="403" ht="15" spans="3:17">
      <c r="C403" s="55" t="s">
        <v>203</v>
      </c>
      <c r="D403" s="55" t="s">
        <v>204</v>
      </c>
      <c r="E403" s="147">
        <f>F4Ax!E403+F4Bx!E402</f>
        <v>11.145113</v>
      </c>
      <c r="F403" s="147">
        <f>F4Ax!F403+F4Bx!F402</f>
        <v>10.677982</v>
      </c>
      <c r="G403" s="147">
        <f>F4Ax!G403+F4Bx!G402</f>
        <v>10.63566033</v>
      </c>
      <c r="H403" s="147">
        <f>F4Ax!H403+F4Bx!H402</f>
        <v>10.51083</v>
      </c>
      <c r="I403" s="147">
        <f>F4Ax!I403+F4Bx!I402</f>
        <v>10.583741</v>
      </c>
      <c r="J403" s="147">
        <f>F4Ax!J403+F4Bx!J402</f>
        <v>10.129611</v>
      </c>
      <c r="K403" s="147">
        <f>F4Ax!K403+F4Bx!K402</f>
        <v>11.47533104</v>
      </c>
      <c r="L403" s="147">
        <f>F4Ax!L403+F4Bx!L402</f>
        <v>12.21562232</v>
      </c>
      <c r="M403" s="147">
        <f>F4Ax!M403+F4Bx!M402</f>
        <v>11.73010946</v>
      </c>
      <c r="N403" s="147">
        <f>F4Ax!N403+F4Bx!N402</f>
        <v>12.13246108</v>
      </c>
      <c r="O403" s="147">
        <f>F4Ax!O403+F4Bx!O402</f>
        <v>12.0545744</v>
      </c>
      <c r="P403" s="147">
        <f>F4Ax!P403+F4Bx!P402</f>
        <v>16.20657108</v>
      </c>
      <c r="Q403" s="316">
        <f t="shared" si="36"/>
        <v>139.49760671</v>
      </c>
    </row>
    <row r="404" ht="15" spans="3:17">
      <c r="C404" s="55" t="s">
        <v>205</v>
      </c>
      <c r="D404" s="55" t="s">
        <v>206</v>
      </c>
      <c r="E404" s="147">
        <f>F4Ax!E404+F4Bx!E403</f>
        <v>19.40127</v>
      </c>
      <c r="F404" s="147">
        <f>F4Ax!F404+F4Bx!F403</f>
        <v>22.259069</v>
      </c>
      <c r="G404" s="147">
        <f>F4Ax!G404+F4Bx!G403</f>
        <v>22.27492</v>
      </c>
      <c r="H404" s="147">
        <f>F4Ax!H404+F4Bx!H403</f>
        <v>17.129661</v>
      </c>
      <c r="I404" s="147">
        <f>F4Ax!I404+F4Bx!I403</f>
        <v>17.85232084</v>
      </c>
      <c r="J404" s="147">
        <f>F4Ax!J404+F4Bx!J403</f>
        <v>16.918639</v>
      </c>
      <c r="K404" s="147">
        <f>F4Ax!K404+F4Bx!K403</f>
        <v>13.90204469</v>
      </c>
      <c r="L404" s="147">
        <f>F4Ax!L404+F4Bx!L403</f>
        <v>13.57903248</v>
      </c>
      <c r="M404" s="147">
        <f>F4Ax!M404+F4Bx!M403</f>
        <v>13.3959037</v>
      </c>
      <c r="N404" s="147">
        <f>F4Ax!N404+F4Bx!N403</f>
        <v>13.65708982</v>
      </c>
      <c r="O404" s="147">
        <f>F4Ax!O404+F4Bx!O403</f>
        <v>14.3287832</v>
      </c>
      <c r="P404" s="147">
        <f>F4Ax!P404+F4Bx!P403</f>
        <v>21.7413367</v>
      </c>
      <c r="Q404" s="316">
        <f t="shared" si="36"/>
        <v>206.44007043</v>
      </c>
    </row>
    <row r="405" ht="15" spans="3:17">
      <c r="C405" s="55" t="s">
        <v>207</v>
      </c>
      <c r="D405" s="55" t="s">
        <v>186</v>
      </c>
      <c r="E405" s="147">
        <f>F4Ax!E405+F4Bx!E404</f>
        <v>13.721471</v>
      </c>
      <c r="F405" s="147">
        <f>F4Ax!F405+F4Bx!F404</f>
        <v>14.987717</v>
      </c>
      <c r="G405" s="147">
        <f>F4Ax!G405+F4Bx!G404</f>
        <v>14.88942761</v>
      </c>
      <c r="H405" s="147">
        <f>F4Ax!H405+F4Bx!H404</f>
        <v>14.0200989</v>
      </c>
      <c r="I405" s="147">
        <f>F4Ax!I405+F4Bx!I404</f>
        <v>15.85269281</v>
      </c>
      <c r="J405" s="147">
        <f>F4Ax!J405+F4Bx!J404</f>
        <v>15.430845</v>
      </c>
      <c r="K405" s="147">
        <f>F4Ax!K405+F4Bx!K404</f>
        <v>13.19306634</v>
      </c>
      <c r="L405" s="147">
        <f>F4Ax!L405+F4Bx!L404</f>
        <v>15.00996199</v>
      </c>
      <c r="M405" s="147">
        <f>F4Ax!M405+F4Bx!M404</f>
        <v>14.38830008</v>
      </c>
      <c r="N405" s="147">
        <f>F4Ax!N405+F4Bx!N404</f>
        <v>14.37959854</v>
      </c>
      <c r="O405" s="147">
        <f>F4Ax!O405+F4Bx!O404</f>
        <v>14.06038272</v>
      </c>
      <c r="P405" s="147">
        <f>F4Ax!P405+F4Bx!P404</f>
        <v>18.43793574</v>
      </c>
      <c r="Q405" s="316">
        <f t="shared" si="36"/>
        <v>178.37149773</v>
      </c>
    </row>
    <row r="406" ht="15" spans="3:17">
      <c r="C406" s="55" t="s">
        <v>208</v>
      </c>
      <c r="D406" s="55" t="s">
        <v>209</v>
      </c>
      <c r="E406" s="147">
        <f>F4Ax!E406+F4Bx!E405</f>
        <v>0</v>
      </c>
      <c r="F406" s="147">
        <f>F4Ax!F406+F4Bx!F405</f>
        <v>0</v>
      </c>
      <c r="G406" s="147">
        <f>F4Ax!G406+F4Bx!G405</f>
        <v>0</v>
      </c>
      <c r="H406" s="147">
        <f>F4Ax!H406+F4Bx!H405</f>
        <v>0</v>
      </c>
      <c r="I406" s="147">
        <f>F4Ax!I406+F4Bx!I405</f>
        <v>0</v>
      </c>
      <c r="J406" s="147">
        <f>F4Ax!J406+F4Bx!J405</f>
        <v>0</v>
      </c>
      <c r="K406" s="147">
        <f>F4Ax!K406+F4Bx!K405</f>
        <v>0</v>
      </c>
      <c r="L406" s="147">
        <f>F4Ax!L406+F4Bx!L405</f>
        <v>0</v>
      </c>
      <c r="M406" s="147">
        <f>F4Ax!M406+F4Bx!M405</f>
        <v>0</v>
      </c>
      <c r="N406" s="147">
        <f>F4Ax!N406+F4Bx!N405</f>
        <v>0</v>
      </c>
      <c r="O406" s="147">
        <f>F4Ax!O406+F4Bx!O405</f>
        <v>0</v>
      </c>
      <c r="P406" s="147">
        <f>F4Ax!P406+F4Bx!P405</f>
        <v>0</v>
      </c>
      <c r="Q406" s="316">
        <f t="shared" si="36"/>
        <v>0</v>
      </c>
    </row>
    <row r="407" ht="15" spans="3:17">
      <c r="C407" s="55" t="s">
        <v>210</v>
      </c>
      <c r="D407" s="55" t="s">
        <v>188</v>
      </c>
      <c r="E407" s="147">
        <f>F4Ax!E407+F4Bx!E406</f>
        <v>0.6</v>
      </c>
      <c r="F407" s="147">
        <f>F4Ax!F407+F4Bx!F406</f>
        <v>0.74</v>
      </c>
      <c r="G407" s="147">
        <f>F4Ax!G407+F4Bx!G406</f>
        <v>0.8</v>
      </c>
      <c r="H407" s="147">
        <f>F4Ax!H407+F4Bx!H406</f>
        <v>0.76</v>
      </c>
      <c r="I407" s="147">
        <f>F4Ax!I407+F4Bx!I406</f>
        <v>0.8</v>
      </c>
      <c r="J407" s="147">
        <f>F4Ax!J407+F4Bx!J406</f>
        <v>0.93</v>
      </c>
      <c r="K407" s="147">
        <f>F4Ax!K407+F4Bx!K406</f>
        <v>0.870070783333333</v>
      </c>
      <c r="L407" s="147">
        <f>F4Ax!L407+F4Bx!L406</f>
        <v>0.881397943333333</v>
      </c>
      <c r="M407" s="147">
        <f>F4Ax!M407+F4Bx!M406</f>
        <v>0.877151583333333</v>
      </c>
      <c r="N407" s="147">
        <f>F4Ax!N407+F4Bx!N406</f>
        <v>0.886571803333333</v>
      </c>
      <c r="O407" s="147">
        <f>F4Ax!O407+F4Bx!O406</f>
        <v>0.925085843333334</v>
      </c>
      <c r="P407" s="147">
        <f>F4Ax!P407+F4Bx!P406</f>
        <v>1.16697042333333</v>
      </c>
      <c r="Q407" s="316">
        <f t="shared" si="36"/>
        <v>10.23724838</v>
      </c>
    </row>
    <row r="408" ht="15" spans="3:17">
      <c r="C408" s="55"/>
      <c r="D408" s="55"/>
      <c r="E408" s="147">
        <f>F4Ax!E408+F4Bx!E407</f>
        <v>0</v>
      </c>
      <c r="F408" s="147">
        <f>F4Ax!F408+F4Bx!F407</f>
        <v>0</v>
      </c>
      <c r="G408" s="147">
        <f>F4Ax!G408+F4Bx!G407</f>
        <v>0</v>
      </c>
      <c r="H408" s="147">
        <f>F4Ax!H408+F4Bx!H407</f>
        <v>0</v>
      </c>
      <c r="I408" s="147">
        <f>F4Ax!I408+F4Bx!I407</f>
        <v>0</v>
      </c>
      <c r="J408" s="147">
        <f>F4Ax!J408+F4Bx!J407</f>
        <v>0</v>
      </c>
      <c r="K408" s="147">
        <f>F4Ax!K408+F4Bx!K407</f>
        <v>0</v>
      </c>
      <c r="L408" s="147">
        <f>F4Ax!L408+F4Bx!L407</f>
        <v>0</v>
      </c>
      <c r="M408" s="147">
        <f>F4Ax!M408+F4Bx!M407</f>
        <v>0</v>
      </c>
      <c r="N408" s="147">
        <f>F4Ax!N408+F4Bx!N407</f>
        <v>0</v>
      </c>
      <c r="O408" s="147">
        <f>F4Ax!O408+F4Bx!O407</f>
        <v>0</v>
      </c>
      <c r="P408" s="147">
        <f>F4Ax!P408+F4Bx!P407</f>
        <v>0</v>
      </c>
      <c r="Q408" s="316">
        <f t="shared" si="36"/>
        <v>0</v>
      </c>
    </row>
    <row r="409" ht="15" spans="3:17">
      <c r="C409" s="55"/>
      <c r="D409" s="55"/>
      <c r="E409" s="147">
        <f>F4Ax!E409+F4Bx!E408</f>
        <v>0</v>
      </c>
      <c r="F409" s="147">
        <f>F4Ax!F409+F4Bx!F408</f>
        <v>0</v>
      </c>
      <c r="G409" s="147">
        <f>F4Ax!G409+F4Bx!G408</f>
        <v>0</v>
      </c>
      <c r="H409" s="147">
        <f>F4Ax!H409+F4Bx!H408</f>
        <v>0</v>
      </c>
      <c r="I409" s="147">
        <f>F4Ax!I409+F4Bx!I408</f>
        <v>0</v>
      </c>
      <c r="J409" s="147">
        <f>F4Ax!J409+F4Bx!J408</f>
        <v>0</v>
      </c>
      <c r="K409" s="147">
        <f>F4Ax!K409+F4Bx!K408</f>
        <v>0</v>
      </c>
      <c r="L409" s="147">
        <f>F4Ax!L409+F4Bx!L408</f>
        <v>0</v>
      </c>
      <c r="M409" s="147">
        <f>F4Ax!M409+F4Bx!M408</f>
        <v>0</v>
      </c>
      <c r="N409" s="147">
        <f>F4Ax!N409+F4Bx!N408</f>
        <v>0</v>
      </c>
      <c r="O409" s="147">
        <f>F4Ax!O409+F4Bx!O408</f>
        <v>0</v>
      </c>
      <c r="P409" s="147">
        <f>F4Ax!P409+F4Bx!P408</f>
        <v>0</v>
      </c>
      <c r="Q409" s="316">
        <f t="shared" si="36"/>
        <v>0</v>
      </c>
    </row>
    <row r="410" ht="15" spans="3:17">
      <c r="C410" s="55"/>
      <c r="D410" s="55"/>
      <c r="E410" s="147">
        <f>F4Ax!E410+F4Bx!E409</f>
        <v>0</v>
      </c>
      <c r="F410" s="147">
        <f>F4Ax!F410+F4Bx!F409</f>
        <v>0</v>
      </c>
      <c r="G410" s="147">
        <f>F4Ax!G410+F4Bx!G409</f>
        <v>0</v>
      </c>
      <c r="H410" s="147">
        <f>F4Ax!H410+F4Bx!H409</f>
        <v>0</v>
      </c>
      <c r="I410" s="147">
        <f>F4Ax!I410+F4Bx!I409</f>
        <v>0</v>
      </c>
      <c r="J410" s="147">
        <f>F4Ax!J410+F4Bx!J409</f>
        <v>0</v>
      </c>
      <c r="K410" s="147">
        <f>F4Ax!K410+F4Bx!K409</f>
        <v>0</v>
      </c>
      <c r="L410" s="147">
        <f>F4Ax!L410+F4Bx!L409</f>
        <v>0</v>
      </c>
      <c r="M410" s="147">
        <f>F4Ax!M410+F4Bx!M409</f>
        <v>0</v>
      </c>
      <c r="N410" s="147">
        <f>F4Ax!N410+F4Bx!N409</f>
        <v>0</v>
      </c>
      <c r="O410" s="147">
        <f>F4Ax!O410+F4Bx!O409</f>
        <v>0</v>
      </c>
      <c r="P410" s="147">
        <f>F4Ax!P410+F4Bx!P409</f>
        <v>0</v>
      </c>
      <c r="Q410" s="316">
        <f t="shared" si="36"/>
        <v>0</v>
      </c>
    </row>
    <row r="411" ht="15" spans="3:17">
      <c r="C411" s="55" t="s">
        <v>258</v>
      </c>
      <c r="D411" s="55" t="s">
        <v>258</v>
      </c>
      <c r="E411" s="147">
        <f>F4Ax!E411+F4Bx!E410</f>
        <v>0</v>
      </c>
      <c r="F411" s="147">
        <f>F4Ax!F411+F4Bx!F410</f>
        <v>0</v>
      </c>
      <c r="G411" s="147">
        <f>F4Ax!G411+F4Bx!G410</f>
        <v>0</v>
      </c>
      <c r="H411" s="147">
        <f>F4Ax!H411+F4Bx!H410</f>
        <v>0</v>
      </c>
      <c r="I411" s="147">
        <f>F4Ax!I411+F4Bx!I410</f>
        <v>0</v>
      </c>
      <c r="J411" s="147">
        <f>F4Ax!J411+F4Bx!J410</f>
        <v>0</v>
      </c>
      <c r="K411" s="147">
        <f>F4Ax!K411+F4Bx!K410</f>
        <v>0</v>
      </c>
      <c r="L411" s="147">
        <f>F4Ax!L411+F4Bx!L410</f>
        <v>0</v>
      </c>
      <c r="M411" s="147">
        <f>F4Ax!M411+F4Bx!M410</f>
        <v>0</v>
      </c>
      <c r="N411" s="147">
        <f>F4Ax!N411+F4Bx!N410</f>
        <v>0</v>
      </c>
      <c r="O411" s="147">
        <f>F4Ax!O411+F4Bx!O410</f>
        <v>0</v>
      </c>
      <c r="P411" s="147">
        <f>F4Ax!P411+F4Bx!P410</f>
        <v>0</v>
      </c>
      <c r="Q411" s="316">
        <f t="shared" si="36"/>
        <v>0</v>
      </c>
    </row>
    <row r="412" ht="15" spans="3:17">
      <c r="C412" s="537" t="s">
        <v>211</v>
      </c>
      <c r="D412" s="540"/>
      <c r="E412" s="316">
        <f t="shared" ref="E412:P412" si="38">SUM(E397:E411)</f>
        <v>583.32448802</v>
      </c>
      <c r="F412" s="316">
        <f t="shared" si="38"/>
        <v>574.49393818</v>
      </c>
      <c r="G412" s="316">
        <f t="shared" si="38"/>
        <v>596.69578189</v>
      </c>
      <c r="H412" s="316">
        <f t="shared" si="38"/>
        <v>525.085549105</v>
      </c>
      <c r="I412" s="316">
        <f t="shared" si="38"/>
        <v>556.63910894</v>
      </c>
      <c r="J412" s="316">
        <f t="shared" si="38"/>
        <v>549.00900951</v>
      </c>
      <c r="K412" s="316">
        <f t="shared" si="38"/>
        <v>537.964651311276</v>
      </c>
      <c r="L412" s="316">
        <f t="shared" si="38"/>
        <v>555.051147076987</v>
      </c>
      <c r="M412" s="316">
        <f t="shared" si="38"/>
        <v>555.621018805312</v>
      </c>
      <c r="N412" s="316">
        <f t="shared" si="38"/>
        <v>570.659107981178</v>
      </c>
      <c r="O412" s="316">
        <f t="shared" si="38"/>
        <v>572.590729751798</v>
      </c>
      <c r="P412" s="316">
        <f t="shared" si="38"/>
        <v>811.817400399443</v>
      </c>
      <c r="Q412" s="316">
        <f t="shared" si="36"/>
        <v>6988.951930971</v>
      </c>
    </row>
    <row r="413" ht="15" spans="3:17">
      <c r="C413" s="44" t="s">
        <v>212</v>
      </c>
      <c r="D413" s="45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316">
        <f t="shared" ref="Q413:Q444" si="39">SUM(E413:P413)</f>
        <v>0</v>
      </c>
    </row>
    <row r="414" ht="15" spans="3:17">
      <c r="C414" s="55" t="s">
        <v>191</v>
      </c>
      <c r="D414" s="55" t="s">
        <v>192</v>
      </c>
      <c r="E414" s="147">
        <f>F4Ax!E414+F4Bx!E413</f>
        <v>446.8735394</v>
      </c>
      <c r="F414" s="147">
        <f>F4Ax!F414+F4Bx!F413</f>
        <v>478.19689172</v>
      </c>
      <c r="G414" s="147">
        <f>F4Ax!G414+F4Bx!G413</f>
        <v>465.79658126</v>
      </c>
      <c r="H414" s="147">
        <f>F4Ax!H414+F4Bx!H413</f>
        <v>468.67898969</v>
      </c>
      <c r="I414" s="147">
        <f>F4Ax!I414+F4Bx!I413</f>
        <v>480.15873</v>
      </c>
      <c r="J414" s="147">
        <f>F4Ax!J414+F4Bx!J413</f>
        <v>474.035000388</v>
      </c>
      <c r="K414" s="147">
        <f>F4Ax!K414+F4Bx!K413</f>
        <v>463.369662211213</v>
      </c>
      <c r="L414" s="147">
        <f>F4Ax!L414+F4Bx!L413</f>
        <v>481.627199894214</v>
      </c>
      <c r="M414" s="147">
        <f>F4Ax!M414+F4Bx!M413</f>
        <v>483.612075018539</v>
      </c>
      <c r="N414" s="147">
        <f>F4Ax!N414+F4Bx!N413</f>
        <v>486.253746414662</v>
      </c>
      <c r="O414" s="147">
        <f>F4Ax!O414+F4Bx!O413</f>
        <v>491.521394378129</v>
      </c>
      <c r="P414" s="147">
        <f>F4Ax!P414+F4Bx!P413</f>
        <v>688.977799601793</v>
      </c>
      <c r="Q414" s="316">
        <f t="shared" si="39"/>
        <v>5909.10160997655</v>
      </c>
    </row>
    <row r="415" ht="15" spans="3:17">
      <c r="C415" s="55" t="s">
        <v>193</v>
      </c>
      <c r="D415" s="55" t="s">
        <v>194</v>
      </c>
      <c r="E415" s="147">
        <f>F4Ax!E415+F4Bx!E414</f>
        <v>0</v>
      </c>
      <c r="F415" s="147">
        <f>F4Ax!F415+F4Bx!F414</f>
        <v>0</v>
      </c>
      <c r="G415" s="147">
        <f>F4Ax!G415+F4Bx!G414</f>
        <v>0</v>
      </c>
      <c r="H415" s="147">
        <f>F4Ax!H415+F4Bx!H414</f>
        <v>0</v>
      </c>
      <c r="I415" s="147">
        <f>F4Ax!I415+F4Bx!I414</f>
        <v>0</v>
      </c>
      <c r="J415" s="147">
        <f>F4Ax!J415+F4Bx!J414</f>
        <v>0</v>
      </c>
      <c r="K415" s="147">
        <f>F4Ax!K415+F4Bx!K414</f>
        <v>0</v>
      </c>
      <c r="L415" s="147">
        <f>F4Ax!L415+F4Bx!L414</f>
        <v>0</v>
      </c>
      <c r="M415" s="147">
        <f>F4Ax!M415+F4Bx!M414</f>
        <v>0</v>
      </c>
      <c r="N415" s="147">
        <f>F4Ax!N415+F4Bx!N414</f>
        <v>0</v>
      </c>
      <c r="O415" s="147">
        <f>F4Ax!O415+F4Bx!O414</f>
        <v>0</v>
      </c>
      <c r="P415" s="147">
        <f>F4Ax!P415+F4Bx!P414</f>
        <v>0</v>
      </c>
      <c r="Q415" s="316">
        <f t="shared" si="39"/>
        <v>0</v>
      </c>
    </row>
    <row r="416" ht="15" spans="3:17">
      <c r="C416" s="55" t="s">
        <v>239</v>
      </c>
      <c r="D416" s="55" t="s">
        <v>196</v>
      </c>
      <c r="E416" s="147">
        <f>F4Ax!E416+F4Bx!E415</f>
        <v>118.556838</v>
      </c>
      <c r="F416" s="147">
        <f>F4Ax!F416+F4Bx!F415</f>
        <v>127.87955064</v>
      </c>
      <c r="G416" s="147">
        <f>F4Ax!G416+F4Bx!G415</f>
        <v>127.2081355</v>
      </c>
      <c r="H416" s="147">
        <f>F4Ax!H416+F4Bx!H415</f>
        <v>118.45971402</v>
      </c>
      <c r="I416" s="147">
        <f>F4Ax!I416+F4Bx!I415</f>
        <v>120.0907365</v>
      </c>
      <c r="J416" s="147">
        <f>F4Ax!J416+F4Bx!J415</f>
        <v>113.460328095</v>
      </c>
      <c r="K416" s="147">
        <f>F4Ax!K416+F4Bx!K415</f>
        <v>109.288951415196</v>
      </c>
      <c r="L416" s="147">
        <f>F4Ax!L416+F4Bx!L415</f>
        <v>107.536981843417</v>
      </c>
      <c r="M416" s="147">
        <f>F4Ax!M416+F4Bx!M415</f>
        <v>104.634990065442</v>
      </c>
      <c r="N416" s="147">
        <f>F4Ax!N416+F4Bx!N415</f>
        <v>107.361903741743</v>
      </c>
      <c r="O416" s="147">
        <f>F4Ax!O416+F4Bx!O415</f>
        <v>110.264413752251</v>
      </c>
      <c r="P416" s="147">
        <f>F4Ax!P416+F4Bx!P415</f>
        <v>163.737273292625</v>
      </c>
      <c r="Q416" s="316">
        <f t="shared" si="39"/>
        <v>1428.47981686567</v>
      </c>
    </row>
    <row r="417" ht="15" spans="3:17">
      <c r="C417" s="55" t="s">
        <v>197</v>
      </c>
      <c r="D417" s="55" t="s">
        <v>198</v>
      </c>
      <c r="E417" s="147">
        <f>F4Ax!E417+F4Bx!E416</f>
        <v>0</v>
      </c>
      <c r="F417" s="147">
        <f>F4Ax!F417+F4Bx!F416</f>
        <v>0.4269</v>
      </c>
      <c r="G417" s="147">
        <f>F4Ax!G417+F4Bx!G416</f>
        <v>0.41395</v>
      </c>
      <c r="H417" s="147">
        <f>F4Ax!H417+F4Bx!H416</f>
        <v>0.34735</v>
      </c>
      <c r="I417" s="147">
        <f>F4Ax!I417+F4Bx!I416</f>
        <v>0.36855</v>
      </c>
      <c r="J417" s="147">
        <f>F4Ax!J417+F4Bx!J416</f>
        <v>0.33543</v>
      </c>
      <c r="K417" s="147">
        <f>F4Ax!K417+F4Bx!K416</f>
        <v>0.294474</v>
      </c>
      <c r="L417" s="147">
        <f>F4Ax!L417+F4Bx!L416</f>
        <v>0.292026</v>
      </c>
      <c r="M417" s="147">
        <f>F4Ax!M417+F4Bx!M416</f>
        <v>0.297636</v>
      </c>
      <c r="N417" s="147">
        <f>F4Ax!N417+F4Bx!N416</f>
        <v>0.25602</v>
      </c>
      <c r="O417" s="147">
        <f>F4Ax!O417+F4Bx!O416</f>
        <v>0.259998</v>
      </c>
      <c r="P417" s="147">
        <f>F4Ax!P417+F4Bx!P416</f>
        <v>0.248268</v>
      </c>
      <c r="Q417" s="316">
        <f t="shared" si="39"/>
        <v>3.540602</v>
      </c>
    </row>
    <row r="418" ht="15" spans="3:17">
      <c r="C418" s="55" t="s">
        <v>199</v>
      </c>
      <c r="D418" s="55" t="s">
        <v>200</v>
      </c>
      <c r="E418" s="147">
        <f>F4Ax!E418+F4Bx!E417</f>
        <v>0</v>
      </c>
      <c r="F418" s="147">
        <f>F4Ax!F418+F4Bx!F417</f>
        <v>0</v>
      </c>
      <c r="G418" s="147">
        <f>F4Ax!G418+F4Bx!G417</f>
        <v>0</v>
      </c>
      <c r="H418" s="147">
        <f>F4Ax!H418+F4Bx!H417</f>
        <v>0</v>
      </c>
      <c r="I418" s="147">
        <f>F4Ax!I418+F4Bx!I417</f>
        <v>0</v>
      </c>
      <c r="J418" s="147">
        <f>F4Ax!J418+F4Bx!J417</f>
        <v>0</v>
      </c>
      <c r="K418" s="147">
        <f>F4Ax!K418+F4Bx!K417</f>
        <v>0</v>
      </c>
      <c r="L418" s="147">
        <f>F4Ax!L418+F4Bx!L417</f>
        <v>0</v>
      </c>
      <c r="M418" s="147">
        <f>F4Ax!M418+F4Bx!M417</f>
        <v>0</v>
      </c>
      <c r="N418" s="147">
        <f>F4Ax!N418+F4Bx!N417</f>
        <v>0</v>
      </c>
      <c r="O418" s="147">
        <f>F4Ax!O418+F4Bx!O417</f>
        <v>0</v>
      </c>
      <c r="P418" s="147">
        <f>F4Ax!P418+F4Bx!P417</f>
        <v>0</v>
      </c>
      <c r="Q418" s="316">
        <f t="shared" si="39"/>
        <v>0</v>
      </c>
    </row>
    <row r="419" ht="15" spans="3:17">
      <c r="C419" s="55" t="s">
        <v>201</v>
      </c>
      <c r="D419" s="55" t="s">
        <v>202</v>
      </c>
      <c r="E419" s="147">
        <f>F4Ax!E419+F4Bx!E418</f>
        <v>1.30048</v>
      </c>
      <c r="F419" s="147">
        <f>F4Ax!F419+F4Bx!F418</f>
        <v>2.080615</v>
      </c>
      <c r="G419" s="147">
        <f>F4Ax!G419+F4Bx!G418</f>
        <v>1.95454</v>
      </c>
      <c r="H419" s="147">
        <f>F4Ax!H419+F4Bx!H418</f>
        <v>2.213195</v>
      </c>
      <c r="I419" s="147">
        <f>F4Ax!I419+F4Bx!I418</f>
        <v>3.7451</v>
      </c>
      <c r="J419" s="147">
        <f>F4Ax!J419+F4Bx!J418</f>
        <v>3.529655</v>
      </c>
      <c r="K419" s="147">
        <f>F4Ax!K419+F4Bx!K418</f>
        <v>1.3680572</v>
      </c>
      <c r="L419" s="147">
        <f>F4Ax!L419+F4Bx!L418</f>
        <v>1.744071</v>
      </c>
      <c r="M419" s="147">
        <f>F4Ax!M419+F4Bx!M418</f>
        <v>1.3556022</v>
      </c>
      <c r="N419" s="147">
        <f>F4Ax!N419+F4Bx!N418</f>
        <v>2.7779844</v>
      </c>
      <c r="O419" s="147">
        <f>F4Ax!O419+F4Bx!O418</f>
        <v>2.405034</v>
      </c>
      <c r="P419" s="147">
        <f>F4Ax!P419+F4Bx!P418</f>
        <v>3.373026</v>
      </c>
      <c r="Q419" s="316">
        <f t="shared" si="39"/>
        <v>27.8473598</v>
      </c>
    </row>
    <row r="420" ht="15" spans="3:17">
      <c r="C420" s="55" t="s">
        <v>203</v>
      </c>
      <c r="D420" s="55" t="s">
        <v>204</v>
      </c>
      <c r="E420" s="147">
        <f>F4Ax!E420+F4Bx!E419</f>
        <v>20.413735</v>
      </c>
      <c r="F420" s="147">
        <f>F4Ax!F420+F4Bx!F419</f>
        <v>21.165235</v>
      </c>
      <c r="G420" s="147">
        <f>F4Ax!G420+F4Bx!G419</f>
        <v>20.078425</v>
      </c>
      <c r="H420" s="147">
        <f>F4Ax!H420+F4Bx!H419</f>
        <v>20.20959</v>
      </c>
      <c r="I420" s="147">
        <f>F4Ax!I420+F4Bx!I419</f>
        <v>21.91816</v>
      </c>
      <c r="J420" s="147">
        <f>F4Ax!J420+F4Bx!J419</f>
        <v>20.591245</v>
      </c>
      <c r="K420" s="147">
        <f>F4Ax!K420+F4Bx!K419</f>
        <v>20.8603124</v>
      </c>
      <c r="L420" s="147">
        <f>F4Ax!L420+F4Bx!L419</f>
        <v>21.248336</v>
      </c>
      <c r="M420" s="147">
        <f>F4Ax!M420+F4Bx!M419</f>
        <v>20.9465222</v>
      </c>
      <c r="N420" s="147">
        <f>F4Ax!N420+F4Bx!N419</f>
        <v>19.4133064</v>
      </c>
      <c r="O420" s="147">
        <f>F4Ax!O420+F4Bx!O419</f>
        <v>22.109533</v>
      </c>
      <c r="P420" s="147">
        <f>F4Ax!P420+F4Bx!P419</f>
        <v>28.1519411</v>
      </c>
      <c r="Q420" s="316">
        <f t="shared" si="39"/>
        <v>257.1063411</v>
      </c>
    </row>
    <row r="421" ht="15" spans="3:17">
      <c r="C421" s="55" t="s">
        <v>205</v>
      </c>
      <c r="D421" s="55" t="s">
        <v>206</v>
      </c>
      <c r="E421" s="147">
        <f>F4Ax!E422+F4Bx!E420</f>
        <v>12.783713</v>
      </c>
      <c r="F421" s="147">
        <f>F4Ax!F422+F4Bx!F420</f>
        <v>14.111778</v>
      </c>
      <c r="G421" s="147">
        <f>F4Ax!G422+F4Bx!G420</f>
        <v>14.555582</v>
      </c>
      <c r="H421" s="147">
        <f>F4Ax!H422+F4Bx!H420</f>
        <v>10.694777</v>
      </c>
      <c r="I421" s="147">
        <f>F4Ax!I422+F4Bx!I420</f>
        <v>11.019239</v>
      </c>
      <c r="J421" s="147">
        <f>F4Ax!J422+F4Bx!J420</f>
        <v>10.064751</v>
      </c>
      <c r="K421" s="147">
        <f>F4Ax!K422+F4Bx!K420</f>
        <v>9.4473242</v>
      </c>
      <c r="L421" s="147">
        <f>F4Ax!L422+F4Bx!L420</f>
        <v>9.4034508</v>
      </c>
      <c r="M421" s="147">
        <f>F4Ax!M422+F4Bx!M420</f>
        <v>9.3802739</v>
      </c>
      <c r="N421" s="147">
        <f>F4Ax!N422+F4Bx!N420</f>
        <v>9.3939373</v>
      </c>
      <c r="O421" s="147">
        <f>F4Ax!O422+F4Bx!O420</f>
        <v>9.7184987</v>
      </c>
      <c r="P421" s="147">
        <f>F4Ax!P422+F4Bx!P420</f>
        <v>13.66115492</v>
      </c>
      <c r="Q421" s="316">
        <f t="shared" si="39"/>
        <v>134.23447982</v>
      </c>
    </row>
    <row r="422" ht="15" spans="3:17">
      <c r="C422" s="55" t="s">
        <v>231</v>
      </c>
      <c r="D422" s="55" t="s">
        <v>186</v>
      </c>
      <c r="E422" s="147">
        <f>F4Ax!E423+F4Bx!E421</f>
        <v>3.632685</v>
      </c>
      <c r="F422" s="147">
        <f>F4Ax!F423+F4Bx!F421</f>
        <v>3.6248</v>
      </c>
      <c r="G422" s="147">
        <f>F4Ax!G423+F4Bx!G421</f>
        <v>3.567235</v>
      </c>
      <c r="H422" s="147">
        <f>F4Ax!H423+F4Bx!H421</f>
        <v>3.836725</v>
      </c>
      <c r="I422" s="147">
        <f>F4Ax!I423+F4Bx!I421</f>
        <v>4.10413</v>
      </c>
      <c r="J422" s="147">
        <f>F4Ax!J423+F4Bx!J421</f>
        <v>4.09011</v>
      </c>
      <c r="K422" s="147">
        <f>F4Ax!K423+F4Bx!K421</f>
        <v>4.1302779</v>
      </c>
      <c r="L422" s="147">
        <f>F4Ax!L423+F4Bx!L421</f>
        <v>3.87926175</v>
      </c>
      <c r="M422" s="147">
        <f>F4Ax!M423+F4Bx!M421</f>
        <v>3.90405435</v>
      </c>
      <c r="N422" s="147">
        <f>F4Ax!N423+F4Bx!N421</f>
        <v>4.08524865</v>
      </c>
      <c r="O422" s="147">
        <f>F4Ax!O423+F4Bx!O421</f>
        <v>3.5026509</v>
      </c>
      <c r="P422" s="147">
        <f>F4Ax!P423+F4Bx!P421</f>
        <v>4.86685605</v>
      </c>
      <c r="Q422" s="316">
        <f t="shared" si="39"/>
        <v>47.2240346</v>
      </c>
    </row>
    <row r="423" ht="15" spans="3:17">
      <c r="C423" s="55" t="s">
        <v>208</v>
      </c>
      <c r="D423" s="55" t="s">
        <v>209</v>
      </c>
      <c r="E423" s="147">
        <f>F4Ax!E421+F4Bx!E422</f>
        <v>0.88884</v>
      </c>
      <c r="F423" s="147">
        <f>F4Ax!F421+F4Bx!F422</f>
        <v>1.564635</v>
      </c>
      <c r="G423" s="147">
        <f>F4Ax!G421+F4Bx!G422</f>
        <v>1.47231</v>
      </c>
      <c r="H423" s="147">
        <f>F4Ax!H421+F4Bx!H422</f>
        <v>1.735515</v>
      </c>
      <c r="I423" s="147">
        <f>F4Ax!I421+F4Bx!I422</f>
        <v>1.8249</v>
      </c>
      <c r="J423" s="147">
        <f>F4Ax!J421+F4Bx!J422</f>
        <v>1.6791</v>
      </c>
      <c r="K423" s="147">
        <f>F4Ax!K421+F4Bx!K422</f>
        <v>0</v>
      </c>
      <c r="L423" s="147">
        <f>F4Ax!L421+F4Bx!L422</f>
        <v>0.290652</v>
      </c>
      <c r="M423" s="147">
        <f>F4Ax!M421+F4Bx!M422</f>
        <v>0.327381</v>
      </c>
      <c r="N423" s="147">
        <f>F4Ax!N421+F4Bx!N422</f>
        <v>0.510708</v>
      </c>
      <c r="O423" s="147">
        <f>F4Ax!O421+F4Bx!O422</f>
        <v>0.485745</v>
      </c>
      <c r="P423" s="147">
        <f>F4Ax!P421+F4Bx!P422</f>
        <v>1.513362</v>
      </c>
      <c r="Q423" s="316">
        <f t="shared" si="39"/>
        <v>12.293148</v>
      </c>
    </row>
    <row r="424" ht="15" spans="3:17">
      <c r="C424" s="55" t="s">
        <v>210</v>
      </c>
      <c r="D424" s="55" t="s">
        <v>188</v>
      </c>
      <c r="E424" s="147">
        <f>F4Ax!E424+F4Bx!E423</f>
        <v>0</v>
      </c>
      <c r="F424" s="147">
        <f>F4Ax!F424+F4Bx!F423</f>
        <v>0</v>
      </c>
      <c r="G424" s="147">
        <f>F4Ax!G424+F4Bx!G423</f>
        <v>0</v>
      </c>
      <c r="H424" s="147">
        <f>F4Ax!H424+F4Bx!H423</f>
        <v>0</v>
      </c>
      <c r="I424" s="147">
        <f>F4Ax!I424+F4Bx!I423</f>
        <v>0</v>
      </c>
      <c r="J424" s="147">
        <f>F4Ax!J424+F4Bx!J423</f>
        <v>0</v>
      </c>
      <c r="K424" s="147">
        <f>F4Ax!K424+F4Bx!K423</f>
        <v>0</v>
      </c>
      <c r="L424" s="147">
        <f>F4Ax!L424+F4Bx!L423</f>
        <v>0</v>
      </c>
      <c r="M424" s="147">
        <f>F4Ax!M424+F4Bx!M423</f>
        <v>0</v>
      </c>
      <c r="N424" s="147">
        <f>F4Ax!N424+F4Bx!N423</f>
        <v>0</v>
      </c>
      <c r="O424" s="147">
        <f>F4Ax!O424+F4Bx!O423</f>
        <v>0</v>
      </c>
      <c r="P424" s="147">
        <f>F4Ax!P424+F4Bx!P423</f>
        <v>0</v>
      </c>
      <c r="Q424" s="316">
        <f t="shared" si="39"/>
        <v>0</v>
      </c>
    </row>
    <row r="425" ht="15" spans="3:17">
      <c r="C425" s="55"/>
      <c r="D425" s="55"/>
      <c r="E425" s="147">
        <f>F4Ax!E425+F4Bx!E424</f>
        <v>0</v>
      </c>
      <c r="F425" s="147">
        <f>F4Ax!F425+F4Bx!F424</f>
        <v>0</v>
      </c>
      <c r="G425" s="147">
        <f>F4Ax!G425+F4Bx!G424</f>
        <v>0</v>
      </c>
      <c r="H425" s="147">
        <f>F4Ax!H425+F4Bx!H424</f>
        <v>0</v>
      </c>
      <c r="I425" s="147">
        <f>F4Ax!I425+F4Bx!I424</f>
        <v>0</v>
      </c>
      <c r="J425" s="147">
        <f>F4Ax!J425+F4Bx!J424</f>
        <v>0</v>
      </c>
      <c r="K425" s="147">
        <f>F4Ax!K425+F4Bx!K424</f>
        <v>0</v>
      </c>
      <c r="L425" s="147">
        <f>F4Ax!L425+F4Bx!L424</f>
        <v>0</v>
      </c>
      <c r="M425" s="147">
        <f>F4Ax!M425+F4Bx!M424</f>
        <v>0</v>
      </c>
      <c r="N425" s="147">
        <f>F4Ax!N425+F4Bx!N424</f>
        <v>0</v>
      </c>
      <c r="O425" s="147">
        <f>F4Ax!O425+F4Bx!O424</f>
        <v>0</v>
      </c>
      <c r="P425" s="147">
        <f>F4Ax!P425+F4Bx!P424</f>
        <v>0</v>
      </c>
      <c r="Q425" s="316">
        <f t="shared" si="39"/>
        <v>0</v>
      </c>
    </row>
    <row r="426" ht="15" spans="3:17">
      <c r="C426" s="55"/>
      <c r="D426" s="55"/>
      <c r="E426" s="147">
        <f>F4Ax!E426+F4Bx!E425</f>
        <v>0</v>
      </c>
      <c r="F426" s="147">
        <f>F4Ax!F426+F4Bx!F425</f>
        <v>0</v>
      </c>
      <c r="G426" s="147">
        <f>F4Ax!G426+F4Bx!G425</f>
        <v>0</v>
      </c>
      <c r="H426" s="147">
        <f>F4Ax!H426+F4Bx!H425</f>
        <v>0</v>
      </c>
      <c r="I426" s="147">
        <f>F4Ax!I426+F4Bx!I425</f>
        <v>0</v>
      </c>
      <c r="J426" s="147">
        <f>F4Ax!J426+F4Bx!J425</f>
        <v>0</v>
      </c>
      <c r="K426" s="147">
        <f>F4Ax!K426+F4Bx!K425</f>
        <v>0</v>
      </c>
      <c r="L426" s="147">
        <f>F4Ax!L426+F4Bx!L425</f>
        <v>0</v>
      </c>
      <c r="M426" s="147">
        <f>F4Ax!M426+F4Bx!M425</f>
        <v>0</v>
      </c>
      <c r="N426" s="147">
        <f>F4Ax!N426+F4Bx!N425</f>
        <v>0</v>
      </c>
      <c r="O426" s="147">
        <f>F4Ax!O426+F4Bx!O425</f>
        <v>0</v>
      </c>
      <c r="P426" s="147">
        <f>F4Ax!P426+F4Bx!P425</f>
        <v>0</v>
      </c>
      <c r="Q426" s="316">
        <f t="shared" si="39"/>
        <v>0</v>
      </c>
    </row>
    <row r="427" ht="15" spans="3:17">
      <c r="C427" s="55"/>
      <c r="D427" s="55"/>
      <c r="E427" s="147">
        <f>F4Ax!E427+F4Bx!E426</f>
        <v>0</v>
      </c>
      <c r="F427" s="147">
        <f>F4Ax!F427+F4Bx!F426</f>
        <v>0</v>
      </c>
      <c r="G427" s="147">
        <f>F4Ax!G427+F4Bx!G426</f>
        <v>0</v>
      </c>
      <c r="H427" s="147">
        <f>F4Ax!H427+F4Bx!H426</f>
        <v>0</v>
      </c>
      <c r="I427" s="147">
        <f>F4Ax!I427+F4Bx!I426</f>
        <v>0</v>
      </c>
      <c r="J427" s="147">
        <f>F4Ax!J427+F4Bx!J426</f>
        <v>0</v>
      </c>
      <c r="K427" s="147">
        <f>F4Ax!K427+F4Bx!K426</f>
        <v>0</v>
      </c>
      <c r="L427" s="147">
        <f>F4Ax!L427+F4Bx!L426</f>
        <v>0</v>
      </c>
      <c r="M427" s="147">
        <f>F4Ax!M427+F4Bx!M426</f>
        <v>0</v>
      </c>
      <c r="N427" s="147">
        <f>F4Ax!N427+F4Bx!N426</f>
        <v>0</v>
      </c>
      <c r="O427" s="147">
        <f>F4Ax!O427+F4Bx!O426</f>
        <v>0</v>
      </c>
      <c r="P427" s="147">
        <f>F4Ax!P427+F4Bx!P426</f>
        <v>0</v>
      </c>
      <c r="Q427" s="316">
        <f t="shared" si="39"/>
        <v>0</v>
      </c>
    </row>
    <row r="428" ht="15" spans="3:17">
      <c r="C428" s="55" t="s">
        <v>258</v>
      </c>
      <c r="D428" s="55" t="s">
        <v>258</v>
      </c>
      <c r="E428" s="147">
        <f>F4Ax!E428+F4Bx!E427</f>
        <v>0</v>
      </c>
      <c r="F428" s="147">
        <f>F4Ax!F428+F4Bx!F427</f>
        <v>0</v>
      </c>
      <c r="G428" s="147">
        <f>F4Ax!G428+F4Bx!G427</f>
        <v>0</v>
      </c>
      <c r="H428" s="147">
        <f>F4Ax!H428+F4Bx!H427</f>
        <v>0</v>
      </c>
      <c r="I428" s="147">
        <f>F4Ax!I428+F4Bx!I427</f>
        <v>0</v>
      </c>
      <c r="J428" s="147">
        <f>F4Ax!J428+F4Bx!J427</f>
        <v>0</v>
      </c>
      <c r="K428" s="147">
        <f>F4Ax!K428+F4Bx!K427</f>
        <v>0</v>
      </c>
      <c r="L428" s="147">
        <f>F4Ax!L428+F4Bx!L427</f>
        <v>0</v>
      </c>
      <c r="M428" s="147">
        <f>F4Ax!M428+F4Bx!M427</f>
        <v>0</v>
      </c>
      <c r="N428" s="147">
        <f>F4Ax!N428+F4Bx!N427</f>
        <v>0</v>
      </c>
      <c r="O428" s="147">
        <f>F4Ax!O428+F4Bx!O427</f>
        <v>0</v>
      </c>
      <c r="P428" s="147">
        <f>F4Ax!P428+F4Bx!P427</f>
        <v>0</v>
      </c>
      <c r="Q428" s="316">
        <f t="shared" si="39"/>
        <v>0</v>
      </c>
    </row>
    <row r="429" ht="15" spans="3:17">
      <c r="C429" s="537" t="s">
        <v>211</v>
      </c>
      <c r="D429" s="540"/>
      <c r="E429" s="316">
        <f t="shared" ref="E429:P429" si="40">SUM(E414:E428)</f>
        <v>604.4498304</v>
      </c>
      <c r="F429" s="316">
        <f t="shared" si="40"/>
        <v>649.05040536</v>
      </c>
      <c r="G429" s="316">
        <f t="shared" si="40"/>
        <v>635.04675876</v>
      </c>
      <c r="H429" s="316">
        <f t="shared" si="40"/>
        <v>626.17585571</v>
      </c>
      <c r="I429" s="316">
        <f t="shared" si="40"/>
        <v>643.2295455</v>
      </c>
      <c r="J429" s="316">
        <f t="shared" si="40"/>
        <v>627.785619483</v>
      </c>
      <c r="K429" s="316">
        <f t="shared" si="40"/>
        <v>608.759059326409</v>
      </c>
      <c r="L429" s="316">
        <f t="shared" si="40"/>
        <v>626.021979287631</v>
      </c>
      <c r="M429" s="316">
        <f t="shared" si="40"/>
        <v>624.458534733981</v>
      </c>
      <c r="N429" s="316">
        <f t="shared" si="40"/>
        <v>630.052854906405</v>
      </c>
      <c r="O429" s="316">
        <f t="shared" si="40"/>
        <v>640.26726773038</v>
      </c>
      <c r="P429" s="316">
        <f t="shared" si="40"/>
        <v>904.529680964418</v>
      </c>
      <c r="Q429" s="316">
        <f t="shared" si="39"/>
        <v>7819.82739216222</v>
      </c>
    </row>
    <row r="430" ht="15" spans="3:17">
      <c r="C430" s="44" t="s">
        <v>219</v>
      </c>
      <c r="D430" s="45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316">
        <f t="shared" si="39"/>
        <v>0</v>
      </c>
    </row>
    <row r="431" ht="15" spans="3:17">
      <c r="C431" s="55" t="s">
        <v>191</v>
      </c>
      <c r="D431" s="55" t="s">
        <v>192</v>
      </c>
      <c r="E431" s="147">
        <f>F4Ax!E431+F4Bx!E430</f>
        <v>353.248623</v>
      </c>
      <c r="F431" s="147">
        <f>F4Ax!F431+F4Bx!F430</f>
        <v>342.816285</v>
      </c>
      <c r="G431" s="147">
        <f>F4Ax!G431+F4Bx!G430</f>
        <v>354.392897</v>
      </c>
      <c r="H431" s="147">
        <f>F4Ax!H431+F4Bx!H430</f>
        <v>343.430364</v>
      </c>
      <c r="I431" s="147">
        <f>F4Ax!I431+F4Bx!I430</f>
        <v>370.206155</v>
      </c>
      <c r="J431" s="147">
        <f>F4Ax!J431+F4Bx!J430</f>
        <v>368.659577</v>
      </c>
      <c r="K431" s="147">
        <f>F4Ax!K431+F4Bx!K430</f>
        <v>377.589284862308</v>
      </c>
      <c r="L431" s="147">
        <f>F4Ax!L431+F4Bx!L430</f>
        <v>401.704933312308</v>
      </c>
      <c r="M431" s="147">
        <f>F4Ax!M431+F4Bx!M430</f>
        <v>430.481533752308</v>
      </c>
      <c r="N431" s="147">
        <f>F4Ax!N431+F4Bx!N430</f>
        <v>437.017671612308</v>
      </c>
      <c r="O431" s="147">
        <f>F4Ax!O431+F4Bx!O430</f>
        <v>428.647659312308</v>
      </c>
      <c r="P431" s="147">
        <f>F4Ax!P431+F4Bx!P430</f>
        <v>554.257254692308</v>
      </c>
      <c r="Q431" s="316">
        <f t="shared" si="39"/>
        <v>4762.45223854385</v>
      </c>
    </row>
    <row r="432" ht="15" spans="3:17">
      <c r="C432" s="55" t="s">
        <v>193</v>
      </c>
      <c r="D432" s="55" t="s">
        <v>194</v>
      </c>
      <c r="E432" s="147">
        <f>F4Ax!E432+F4Bx!E431</f>
        <v>14.86</v>
      </c>
      <c r="F432" s="147">
        <f>F4Ax!F432+F4Bx!F431</f>
        <v>16.88</v>
      </c>
      <c r="G432" s="147">
        <f>F4Ax!G432+F4Bx!G431</f>
        <v>8.17</v>
      </c>
      <c r="H432" s="147">
        <f>F4Ax!H432+F4Bx!H431</f>
        <v>9.31</v>
      </c>
      <c r="I432" s="147">
        <f>F4Ax!I432+F4Bx!I431</f>
        <v>14.86</v>
      </c>
      <c r="J432" s="147">
        <f>F4Ax!J432+F4Bx!J431</f>
        <v>12.83</v>
      </c>
      <c r="K432" s="147">
        <f>F4Ax!K432+F4Bx!K431</f>
        <v>15.23304</v>
      </c>
      <c r="L432" s="147">
        <f>F4Ax!L432+F4Bx!L431</f>
        <v>10.54728</v>
      </c>
      <c r="M432" s="147">
        <f>F4Ax!M432+F4Bx!M431</f>
        <v>13.5531</v>
      </c>
      <c r="N432" s="147">
        <f>F4Ax!N432+F4Bx!N431</f>
        <v>19.63197</v>
      </c>
      <c r="O432" s="147">
        <f>F4Ax!O432+F4Bx!O431</f>
        <v>19.86417</v>
      </c>
      <c r="P432" s="147">
        <f>F4Ax!P432+F4Bx!P431</f>
        <v>25.46694</v>
      </c>
      <c r="Q432" s="316">
        <f t="shared" si="39"/>
        <v>181.2065</v>
      </c>
    </row>
    <row r="433" ht="15" spans="3:17">
      <c r="C433" s="55" t="s">
        <v>239</v>
      </c>
      <c r="D433" s="55" t="s">
        <v>196</v>
      </c>
      <c r="E433" s="147">
        <f>F4Ax!E433+F4Bx!E432</f>
        <v>4.175645</v>
      </c>
      <c r="F433" s="147">
        <f>F4Ax!F433+F4Bx!F432</f>
        <v>4.948725</v>
      </c>
      <c r="G433" s="147">
        <f>F4Ax!G433+F4Bx!G432</f>
        <v>5.0636</v>
      </c>
      <c r="H433" s="147">
        <f>F4Ax!H433+F4Bx!H432</f>
        <v>4.392</v>
      </c>
      <c r="I433" s="147">
        <f>F4Ax!I433+F4Bx!I432</f>
        <v>6.144615</v>
      </c>
      <c r="J433" s="147">
        <f>F4Ax!J433+F4Bx!J432</f>
        <v>6.96166</v>
      </c>
      <c r="K433" s="147">
        <f>F4Ax!K433+F4Bx!K432</f>
        <v>3.73695686</v>
      </c>
      <c r="L433" s="147">
        <f>F4Ax!L433+F4Bx!L432</f>
        <v>3.44710622</v>
      </c>
      <c r="M433" s="147">
        <f>F4Ax!M433+F4Bx!M432</f>
        <v>3.36161722</v>
      </c>
      <c r="N433" s="147">
        <f>F4Ax!N433+F4Bx!N432</f>
        <v>3.45170344</v>
      </c>
      <c r="O433" s="147">
        <f>F4Ax!O433+F4Bx!O432</f>
        <v>3.47909278</v>
      </c>
      <c r="P433" s="147">
        <f>F4Ax!P433+F4Bx!P432</f>
        <v>4.92596098</v>
      </c>
      <c r="Q433" s="316">
        <f t="shared" si="39"/>
        <v>54.0886825</v>
      </c>
    </row>
    <row r="434" ht="15" spans="3:17">
      <c r="C434" s="55" t="s">
        <v>197</v>
      </c>
      <c r="D434" s="55" t="s">
        <v>198</v>
      </c>
      <c r="E434" s="147">
        <f>F4Ax!E434+F4Bx!E433</f>
        <v>0</v>
      </c>
      <c r="F434" s="147">
        <f>F4Ax!F434+F4Bx!F433</f>
        <v>0</v>
      </c>
      <c r="G434" s="147">
        <f>F4Ax!G434+F4Bx!G433</f>
        <v>0</v>
      </c>
      <c r="H434" s="147">
        <f>F4Ax!H434+F4Bx!H433</f>
        <v>0</v>
      </c>
      <c r="I434" s="147">
        <f>F4Ax!I434+F4Bx!I433</f>
        <v>0</v>
      </c>
      <c r="J434" s="147">
        <f>F4Ax!J434+F4Bx!J433</f>
        <v>0</v>
      </c>
      <c r="K434" s="147">
        <f>F4Ax!K434+F4Bx!K433</f>
        <v>0</v>
      </c>
      <c r="L434" s="147">
        <f>F4Ax!L434+F4Bx!L433</f>
        <v>0</v>
      </c>
      <c r="M434" s="147">
        <f>F4Ax!M434+F4Bx!M433</f>
        <v>0</v>
      </c>
      <c r="N434" s="147">
        <f>F4Ax!N434+F4Bx!N433</f>
        <v>0</v>
      </c>
      <c r="O434" s="147">
        <f>F4Ax!O434+F4Bx!O433</f>
        <v>0</v>
      </c>
      <c r="P434" s="147">
        <f>F4Ax!P434+F4Bx!P433</f>
        <v>0</v>
      </c>
      <c r="Q434" s="316">
        <f t="shared" si="39"/>
        <v>0</v>
      </c>
    </row>
    <row r="435" ht="15" spans="3:17">
      <c r="C435" s="55" t="s">
        <v>199</v>
      </c>
      <c r="D435" s="55" t="s">
        <v>200</v>
      </c>
      <c r="E435" s="147">
        <f>F4Ax!E435+F4Bx!E434</f>
        <v>6.46275</v>
      </c>
      <c r="F435" s="147">
        <f>F4Ax!F435+F4Bx!F434</f>
        <v>7.64446</v>
      </c>
      <c r="G435" s="147">
        <f>F4Ax!G435+F4Bx!G434</f>
        <v>7.34827</v>
      </c>
      <c r="H435" s="147">
        <f>F4Ax!H435+F4Bx!H434</f>
        <v>7.04593</v>
      </c>
      <c r="I435" s="147">
        <f>F4Ax!I435+F4Bx!I434</f>
        <v>7.2425</v>
      </c>
      <c r="J435" s="147">
        <f>F4Ax!J435+F4Bx!J434</f>
        <v>7.24163</v>
      </c>
      <c r="K435" s="147">
        <f>F4Ax!K435+F4Bx!K434</f>
        <v>5.3024698</v>
      </c>
      <c r="L435" s="147">
        <f>F4Ax!L435+F4Bx!L434</f>
        <v>4.758075</v>
      </c>
      <c r="M435" s="147">
        <f>F4Ax!M435+F4Bx!M434</f>
        <v>4.7528386</v>
      </c>
      <c r="N435" s="147">
        <f>F4Ax!N435+F4Bx!N434</f>
        <v>4.8342466</v>
      </c>
      <c r="O435" s="147">
        <f>F4Ax!O435+F4Bx!O434</f>
        <v>4.79551526</v>
      </c>
      <c r="P435" s="147">
        <f>F4Ax!P435+F4Bx!P434</f>
        <v>7.32806514</v>
      </c>
      <c r="Q435" s="316">
        <f t="shared" si="39"/>
        <v>74.7567504</v>
      </c>
    </row>
    <row r="436" ht="15" spans="3:17">
      <c r="C436" s="55" t="s">
        <v>201</v>
      </c>
      <c r="D436" s="55" t="s">
        <v>240</v>
      </c>
      <c r="E436" s="147">
        <f>F4Ax!E436+F4Bx!E435</f>
        <v>51.47840647</v>
      </c>
      <c r="F436" s="147">
        <f>F4Ax!F436+F4Bx!F435</f>
        <v>29.94577976</v>
      </c>
      <c r="G436" s="147">
        <f>F4Ax!G436+F4Bx!G435</f>
        <v>50.68736743</v>
      </c>
      <c r="H436" s="147">
        <f>F4Ax!H436+F4Bx!H435</f>
        <v>71.81653812</v>
      </c>
      <c r="I436" s="147">
        <f>F4Ax!I436+F4Bx!I435</f>
        <v>182.16534286</v>
      </c>
      <c r="J436" s="147">
        <f>F4Ax!J436+F4Bx!J435</f>
        <v>241.63227312</v>
      </c>
      <c r="K436" s="147">
        <f>F4Ax!K436+F4Bx!K435</f>
        <v>169.603510265268</v>
      </c>
      <c r="L436" s="147">
        <f>F4Ax!L436+F4Bx!L435</f>
        <v>147.422243853748</v>
      </c>
      <c r="M436" s="147">
        <f>F4Ax!M436+F4Bx!M435</f>
        <v>138.878437019414</v>
      </c>
      <c r="N436" s="147">
        <f>F4Ax!N436+F4Bx!N435</f>
        <v>204.758494173029</v>
      </c>
      <c r="O436" s="147">
        <f>F4Ax!O436+F4Bx!O435</f>
        <v>207.391957330372</v>
      </c>
      <c r="P436" s="147">
        <f>F4Ax!P436+F4Bx!P435</f>
        <v>238.023338548773</v>
      </c>
      <c r="Q436" s="316">
        <f t="shared" si="39"/>
        <v>1733.8036889506</v>
      </c>
    </row>
    <row r="437" ht="15" spans="3:17">
      <c r="C437" s="55" t="s">
        <v>203</v>
      </c>
      <c r="D437" s="55" t="s">
        <v>220</v>
      </c>
      <c r="E437" s="147">
        <f>F4Ax!E437+F4Bx!E436</f>
        <v>21.2335</v>
      </c>
      <c r="F437" s="147">
        <f>F4Ax!F437+F4Bx!F436</f>
        <v>23.23506</v>
      </c>
      <c r="G437" s="147">
        <f>F4Ax!G437+F4Bx!G436</f>
        <v>21.48016</v>
      </c>
      <c r="H437" s="147">
        <f>F4Ax!H437+F4Bx!H436</f>
        <v>20.95078</v>
      </c>
      <c r="I437" s="147">
        <f>F4Ax!I437+F4Bx!I436</f>
        <v>23.5218</v>
      </c>
      <c r="J437" s="147">
        <f>F4Ax!J437+F4Bx!J436</f>
        <v>22.61348</v>
      </c>
      <c r="K437" s="147">
        <f>F4Ax!K437+F4Bx!K436</f>
        <v>22.02468</v>
      </c>
      <c r="L437" s="147">
        <f>F4Ax!L437+F4Bx!L436</f>
        <v>23.69736</v>
      </c>
      <c r="M437" s="147">
        <f>F4Ax!M437+F4Bx!M436</f>
        <v>21.46288</v>
      </c>
      <c r="N437" s="147">
        <f>F4Ax!N437+F4Bx!N436</f>
        <v>19.9386</v>
      </c>
      <c r="O437" s="147">
        <f>F4Ax!O437+F4Bx!O436</f>
        <v>21.86992</v>
      </c>
      <c r="P437" s="147">
        <f>F4Ax!P437+F4Bx!P436</f>
        <v>32.43017</v>
      </c>
      <c r="Q437" s="316">
        <f t="shared" si="39"/>
        <v>274.45839</v>
      </c>
    </row>
    <row r="438" ht="15" spans="3:17">
      <c r="C438" s="55" t="s">
        <v>241</v>
      </c>
      <c r="D438" s="55" t="s">
        <v>229</v>
      </c>
      <c r="E438" s="147">
        <f>F4Ax!E438+F4Bx!E437</f>
        <v>35.659178</v>
      </c>
      <c r="F438" s="147">
        <f>F4Ax!F438+F4Bx!F437</f>
        <v>38.505745</v>
      </c>
      <c r="G438" s="147">
        <f>F4Ax!G438+F4Bx!G437</f>
        <v>36.94497</v>
      </c>
      <c r="H438" s="147">
        <f>F4Ax!H438+F4Bx!H437</f>
        <v>38.45358</v>
      </c>
      <c r="I438" s="147">
        <f>F4Ax!I438+F4Bx!I437</f>
        <v>40.649315</v>
      </c>
      <c r="J438" s="147">
        <f>F4Ax!J438+F4Bx!J437</f>
        <v>40.313665</v>
      </c>
      <c r="K438" s="147">
        <f>F4Ax!K438+F4Bx!K437</f>
        <v>30.80702592</v>
      </c>
      <c r="L438" s="147">
        <f>F4Ax!L438+F4Bx!L437</f>
        <v>32.54920376</v>
      </c>
      <c r="M438" s="147">
        <f>F4Ax!M438+F4Bx!M437</f>
        <v>33.64745704</v>
      </c>
      <c r="N438" s="147">
        <f>F4Ax!N438+F4Bx!N437</f>
        <v>35.44213562</v>
      </c>
      <c r="O438" s="147">
        <f>F4Ax!O438+F4Bx!O437</f>
        <v>35.90297274</v>
      </c>
      <c r="P438" s="147">
        <f>F4Ax!P438+F4Bx!P437</f>
        <v>50.54062616</v>
      </c>
      <c r="Q438" s="316">
        <f t="shared" si="39"/>
        <v>449.41587424</v>
      </c>
    </row>
    <row r="439" ht="15" spans="3:17">
      <c r="C439" s="55" t="s">
        <v>259</v>
      </c>
      <c r="D439" s="55" t="s">
        <v>243</v>
      </c>
      <c r="E439" s="147">
        <f>F4Ax!E439+F4Bx!E438</f>
        <v>7.640682</v>
      </c>
      <c r="F439" s="147">
        <f>F4Ax!F439+F4Bx!F438</f>
        <v>8.254045</v>
      </c>
      <c r="G439" s="147">
        <f>F4Ax!G439+F4Bx!G438</f>
        <v>8.191949</v>
      </c>
      <c r="H439" s="147">
        <f>F4Ax!H439+F4Bx!H438</f>
        <v>8.098411</v>
      </c>
      <c r="I439" s="147">
        <f>F4Ax!I439+F4Bx!I438</f>
        <v>7.530217</v>
      </c>
      <c r="J439" s="147">
        <f>F4Ax!J439+F4Bx!J438</f>
        <v>7.587986</v>
      </c>
      <c r="K439" s="147">
        <f>F4Ax!K439+F4Bx!K438</f>
        <v>7.57146022</v>
      </c>
      <c r="L439" s="147">
        <f>F4Ax!L439+F4Bx!L438</f>
        <v>7.5195817</v>
      </c>
      <c r="M439" s="147">
        <f>F4Ax!M439+F4Bx!M438</f>
        <v>7.60114552</v>
      </c>
      <c r="N439" s="147">
        <f>F4Ax!N439+F4Bx!N438</f>
        <v>7.81585594</v>
      </c>
      <c r="O439" s="147">
        <f>F4Ax!O439+F4Bx!O438</f>
        <v>7.95928666</v>
      </c>
      <c r="P439" s="147">
        <f>F4Ax!P439+F4Bx!P438</f>
        <v>9.90090138</v>
      </c>
      <c r="Q439" s="316">
        <f t="shared" si="39"/>
        <v>95.67152142</v>
      </c>
    </row>
    <row r="440" ht="15" spans="3:17">
      <c r="C440" s="55" t="s">
        <v>205</v>
      </c>
      <c r="D440" s="55" t="s">
        <v>206</v>
      </c>
      <c r="E440" s="147">
        <f>F4Ax!E440+F4Bx!E439</f>
        <v>0</v>
      </c>
      <c r="F440" s="147">
        <f>F4Ax!F440+F4Bx!F439</f>
        <v>0</v>
      </c>
      <c r="G440" s="147">
        <f>F4Ax!G440+F4Bx!G439</f>
        <v>0</v>
      </c>
      <c r="H440" s="147">
        <f>F4Ax!H440+F4Bx!H439</f>
        <v>0</v>
      </c>
      <c r="I440" s="147">
        <f>F4Ax!I440+F4Bx!I439</f>
        <v>0</v>
      </c>
      <c r="J440" s="147">
        <f>F4Ax!J440+F4Bx!J439</f>
        <v>0</v>
      </c>
      <c r="K440" s="147">
        <f>F4Ax!K440+F4Bx!K439</f>
        <v>0</v>
      </c>
      <c r="L440" s="147">
        <f>F4Ax!L440+F4Bx!L439</f>
        <v>0</v>
      </c>
      <c r="M440" s="147">
        <f>F4Ax!M440+F4Bx!M439</f>
        <v>0</v>
      </c>
      <c r="N440" s="147">
        <f>F4Ax!N440+F4Bx!N439</f>
        <v>0</v>
      </c>
      <c r="O440" s="147">
        <f>F4Ax!O440+F4Bx!O439</f>
        <v>0</v>
      </c>
      <c r="P440" s="147">
        <f>F4Ax!P440+F4Bx!P439</f>
        <v>0</v>
      </c>
      <c r="Q440" s="316">
        <f t="shared" si="39"/>
        <v>0</v>
      </c>
    </row>
    <row r="441" ht="15" spans="3:17">
      <c r="C441" s="55" t="s">
        <v>207</v>
      </c>
      <c r="D441" s="55" t="s">
        <v>186</v>
      </c>
      <c r="E441" s="147">
        <f>F4Ax!E441+F4Bx!E440</f>
        <v>0</v>
      </c>
      <c r="F441" s="147">
        <f>F4Ax!F441+F4Bx!F440</f>
        <v>0</v>
      </c>
      <c r="G441" s="147">
        <f>F4Ax!G441+F4Bx!G440</f>
        <v>0</v>
      </c>
      <c r="H441" s="147">
        <f>F4Ax!H441+F4Bx!H440</f>
        <v>0</v>
      </c>
      <c r="I441" s="147">
        <f>F4Ax!I441+F4Bx!I440</f>
        <v>0</v>
      </c>
      <c r="J441" s="147">
        <f>F4Ax!J441+F4Bx!J440</f>
        <v>0</v>
      </c>
      <c r="K441" s="147">
        <f>F4Ax!K441+F4Bx!K440</f>
        <v>0</v>
      </c>
      <c r="L441" s="147">
        <f>F4Ax!L441+F4Bx!L440</f>
        <v>0</v>
      </c>
      <c r="M441" s="147">
        <f>F4Ax!M441+F4Bx!M440</f>
        <v>0</v>
      </c>
      <c r="N441" s="147">
        <f>F4Ax!N441+F4Bx!N440</f>
        <v>0</v>
      </c>
      <c r="O441" s="147">
        <f>F4Ax!O441+F4Bx!O440</f>
        <v>0</v>
      </c>
      <c r="P441" s="147">
        <f>F4Ax!P441+F4Bx!P440</f>
        <v>0</v>
      </c>
      <c r="Q441" s="316">
        <f t="shared" si="39"/>
        <v>0</v>
      </c>
    </row>
    <row r="442" ht="15" spans="3:17">
      <c r="C442" s="55" t="s">
        <v>208</v>
      </c>
      <c r="D442" s="55" t="s">
        <v>209</v>
      </c>
      <c r="E442" s="147">
        <f>F4Ax!E442+F4Bx!E441</f>
        <v>0</v>
      </c>
      <c r="F442" s="147">
        <f>F4Ax!F442+F4Bx!F441</f>
        <v>0</v>
      </c>
      <c r="G442" s="147">
        <f>F4Ax!G442+F4Bx!G441</f>
        <v>0</v>
      </c>
      <c r="H442" s="147">
        <f>F4Ax!H442+F4Bx!H441</f>
        <v>0</v>
      </c>
      <c r="I442" s="147">
        <f>F4Ax!I442+F4Bx!I441</f>
        <v>0</v>
      </c>
      <c r="J442" s="147">
        <f>F4Ax!J442+F4Bx!J441</f>
        <v>0</v>
      </c>
      <c r="K442" s="147">
        <f>F4Ax!K442+F4Bx!K441</f>
        <v>0</v>
      </c>
      <c r="L442" s="147">
        <f>F4Ax!L442+F4Bx!L441</f>
        <v>0</v>
      </c>
      <c r="M442" s="147">
        <f>F4Ax!M442+F4Bx!M441</f>
        <v>0</v>
      </c>
      <c r="N442" s="147">
        <f>F4Ax!N442+F4Bx!N441</f>
        <v>0</v>
      </c>
      <c r="O442" s="147">
        <f>F4Ax!O442+F4Bx!O441</f>
        <v>0</v>
      </c>
      <c r="P442" s="147">
        <f>F4Ax!P442+F4Bx!P441</f>
        <v>0</v>
      </c>
      <c r="Q442" s="316">
        <f t="shared" si="39"/>
        <v>0</v>
      </c>
    </row>
    <row r="443" ht="15" spans="3:17">
      <c r="C443" s="55" t="s">
        <v>210</v>
      </c>
      <c r="D443" s="55" t="s">
        <v>188</v>
      </c>
      <c r="E443" s="147">
        <f>F4Ax!E443+F4Bx!E442</f>
        <v>0</v>
      </c>
      <c r="F443" s="147">
        <f>F4Ax!F443+F4Bx!F442</f>
        <v>0</v>
      </c>
      <c r="G443" s="147">
        <f>F4Ax!G443+F4Bx!G442</f>
        <v>0</v>
      </c>
      <c r="H443" s="147">
        <f>F4Ax!H443+F4Bx!H442</f>
        <v>0</v>
      </c>
      <c r="I443" s="147">
        <f>F4Ax!I443+F4Bx!I442</f>
        <v>0</v>
      </c>
      <c r="J443" s="147">
        <f>F4Ax!J443+F4Bx!J442</f>
        <v>0</v>
      </c>
      <c r="K443" s="147">
        <f>F4Ax!K443+F4Bx!K442</f>
        <v>0</v>
      </c>
      <c r="L443" s="147">
        <f>F4Ax!L443+F4Bx!L442</f>
        <v>0</v>
      </c>
      <c r="M443" s="147">
        <f>F4Ax!M443+F4Bx!M442</f>
        <v>0</v>
      </c>
      <c r="N443" s="147">
        <f>F4Ax!N443+F4Bx!N442</f>
        <v>0</v>
      </c>
      <c r="O443" s="147">
        <f>F4Ax!O443+F4Bx!O442</f>
        <v>0</v>
      </c>
      <c r="P443" s="147">
        <f>F4Ax!P443+F4Bx!P442</f>
        <v>0</v>
      </c>
      <c r="Q443" s="316">
        <f t="shared" si="39"/>
        <v>0</v>
      </c>
    </row>
    <row r="444" ht="15" spans="3:17">
      <c r="C444" s="55"/>
      <c r="D444" s="55"/>
      <c r="E444" s="147">
        <f>F4Ax!E444+F4Bx!E443</f>
        <v>0</v>
      </c>
      <c r="F444" s="147">
        <f>F4Ax!F444+F4Bx!F443</f>
        <v>0</v>
      </c>
      <c r="G444" s="147">
        <f>F4Ax!G444+F4Bx!G443</f>
        <v>0</v>
      </c>
      <c r="H444" s="147">
        <f>F4Ax!H444+F4Bx!H443</f>
        <v>0</v>
      </c>
      <c r="I444" s="147">
        <f>F4Ax!I444+F4Bx!I443</f>
        <v>0</v>
      </c>
      <c r="J444" s="147">
        <f>F4Ax!J444+F4Bx!J443</f>
        <v>0</v>
      </c>
      <c r="K444" s="147">
        <f>F4Ax!K444+F4Bx!K443</f>
        <v>0</v>
      </c>
      <c r="L444" s="147">
        <f>F4Ax!L444+F4Bx!L443</f>
        <v>0</v>
      </c>
      <c r="M444" s="147">
        <f>F4Ax!M444+F4Bx!M443</f>
        <v>0</v>
      </c>
      <c r="N444" s="147">
        <f>F4Ax!N444+F4Bx!N443</f>
        <v>0</v>
      </c>
      <c r="O444" s="147">
        <f>F4Ax!O444+F4Bx!O443</f>
        <v>0</v>
      </c>
      <c r="P444" s="147">
        <f>F4Ax!P444+F4Bx!P443</f>
        <v>0</v>
      </c>
      <c r="Q444" s="316">
        <f t="shared" si="39"/>
        <v>0</v>
      </c>
    </row>
    <row r="445" ht="15" spans="3:17">
      <c r="C445" s="55"/>
      <c r="D445" s="55"/>
      <c r="E445" s="147">
        <f>F4Ax!E445+F4Bx!E444</f>
        <v>0</v>
      </c>
      <c r="F445" s="147">
        <f>F4Ax!F445+F4Bx!F444</f>
        <v>0</v>
      </c>
      <c r="G445" s="147">
        <f>F4Ax!G445+F4Bx!G444</f>
        <v>0</v>
      </c>
      <c r="H445" s="147">
        <f>F4Ax!H445+F4Bx!H444</f>
        <v>0</v>
      </c>
      <c r="I445" s="147">
        <f>F4Ax!I445+F4Bx!I444</f>
        <v>0</v>
      </c>
      <c r="J445" s="147">
        <f>F4Ax!J445+F4Bx!J444</f>
        <v>0</v>
      </c>
      <c r="K445" s="147">
        <f>F4Ax!K445+F4Bx!K444</f>
        <v>0</v>
      </c>
      <c r="L445" s="147">
        <f>F4Ax!L445+F4Bx!L444</f>
        <v>0</v>
      </c>
      <c r="M445" s="147">
        <f>F4Ax!M445+F4Bx!M444</f>
        <v>0</v>
      </c>
      <c r="N445" s="147">
        <f>F4Ax!N445+F4Bx!N444</f>
        <v>0</v>
      </c>
      <c r="O445" s="147">
        <f>F4Ax!O445+F4Bx!O444</f>
        <v>0</v>
      </c>
      <c r="P445" s="147">
        <f>F4Ax!P445+F4Bx!P444</f>
        <v>0</v>
      </c>
      <c r="Q445" s="316">
        <f t="shared" ref="Q445:Q450" si="41">SUM(E445:P445)</f>
        <v>0</v>
      </c>
    </row>
    <row r="446" ht="15" spans="3:17">
      <c r="C446" s="55"/>
      <c r="D446" s="55"/>
      <c r="E446" s="147">
        <f>F4Ax!E446+F4Bx!E445</f>
        <v>0</v>
      </c>
      <c r="F446" s="147">
        <f>F4Ax!F446+F4Bx!F445</f>
        <v>0</v>
      </c>
      <c r="G446" s="147">
        <f>F4Ax!G446+F4Bx!G445</f>
        <v>0</v>
      </c>
      <c r="H446" s="147">
        <f>F4Ax!H446+F4Bx!H445</f>
        <v>0</v>
      </c>
      <c r="I446" s="147">
        <f>F4Ax!I446+F4Bx!I445</f>
        <v>0</v>
      </c>
      <c r="J446" s="147">
        <f>F4Ax!J446+F4Bx!J445</f>
        <v>0</v>
      </c>
      <c r="K446" s="147">
        <f>F4Ax!K446+F4Bx!K445</f>
        <v>0</v>
      </c>
      <c r="L446" s="147">
        <f>F4Ax!L446+F4Bx!L445</f>
        <v>0</v>
      </c>
      <c r="M446" s="147">
        <f>F4Ax!M446+F4Bx!M445</f>
        <v>0</v>
      </c>
      <c r="N446" s="147">
        <f>F4Ax!N446+F4Bx!N445</f>
        <v>0</v>
      </c>
      <c r="O446" s="147">
        <f>F4Ax!O446+F4Bx!O445</f>
        <v>0</v>
      </c>
      <c r="P446" s="147">
        <f>F4Ax!P446+F4Bx!P445</f>
        <v>0</v>
      </c>
      <c r="Q446" s="316">
        <f t="shared" si="41"/>
        <v>0</v>
      </c>
    </row>
    <row r="447" ht="15" spans="3:17">
      <c r="C447" s="55" t="s">
        <v>258</v>
      </c>
      <c r="D447" s="55" t="s">
        <v>258</v>
      </c>
      <c r="E447" s="147">
        <f>F4Ax!E447+F4Bx!E446</f>
        <v>0</v>
      </c>
      <c r="F447" s="147">
        <f>F4Ax!F447+F4Bx!F446</f>
        <v>0</v>
      </c>
      <c r="G447" s="147">
        <f>F4Ax!G447+F4Bx!G446</f>
        <v>0</v>
      </c>
      <c r="H447" s="147">
        <f>F4Ax!H447+F4Bx!H446</f>
        <v>0</v>
      </c>
      <c r="I447" s="147">
        <f>F4Ax!I447+F4Bx!I446</f>
        <v>0</v>
      </c>
      <c r="J447" s="147">
        <f>F4Ax!J447+F4Bx!J446</f>
        <v>0</v>
      </c>
      <c r="K447" s="147">
        <f>F4Ax!K447+F4Bx!K446</f>
        <v>0</v>
      </c>
      <c r="L447" s="147">
        <f>F4Ax!L447+F4Bx!L446</f>
        <v>0</v>
      </c>
      <c r="M447" s="147">
        <f>F4Ax!M447+F4Bx!M446</f>
        <v>0</v>
      </c>
      <c r="N447" s="147">
        <f>F4Ax!N447+F4Bx!N446</f>
        <v>0</v>
      </c>
      <c r="O447" s="147">
        <f>F4Ax!O447+F4Bx!O446</f>
        <v>0</v>
      </c>
      <c r="P447" s="147">
        <f>F4Ax!P447+F4Bx!P446</f>
        <v>0</v>
      </c>
      <c r="Q447" s="316">
        <f t="shared" si="41"/>
        <v>0</v>
      </c>
    </row>
    <row r="448" ht="15" spans="3:17">
      <c r="C448" s="537" t="s">
        <v>211</v>
      </c>
      <c r="D448" s="540"/>
      <c r="E448" s="316">
        <f t="shared" ref="E448:P448" si="42">SUM(E431:E447)</f>
        <v>494.75878447</v>
      </c>
      <c r="F448" s="316">
        <f t="shared" si="42"/>
        <v>472.23009976</v>
      </c>
      <c r="G448" s="316">
        <f t="shared" si="42"/>
        <v>492.27921343</v>
      </c>
      <c r="H448" s="316">
        <f t="shared" si="42"/>
        <v>503.49760312</v>
      </c>
      <c r="I448" s="316">
        <f t="shared" si="42"/>
        <v>652.31994486</v>
      </c>
      <c r="J448" s="316">
        <f t="shared" si="42"/>
        <v>707.84027112</v>
      </c>
      <c r="K448" s="316">
        <f t="shared" si="42"/>
        <v>631.868427927576</v>
      </c>
      <c r="L448" s="316">
        <f t="shared" si="42"/>
        <v>631.645783846056</v>
      </c>
      <c r="M448" s="316">
        <f t="shared" si="42"/>
        <v>653.739009151722</v>
      </c>
      <c r="N448" s="316">
        <f t="shared" si="42"/>
        <v>732.890677385337</v>
      </c>
      <c r="O448" s="316">
        <f t="shared" si="42"/>
        <v>729.91057408268</v>
      </c>
      <c r="P448" s="316">
        <f t="shared" si="42"/>
        <v>922.873256901081</v>
      </c>
      <c r="Q448" s="316">
        <f t="shared" si="41"/>
        <v>7625.85364605445</v>
      </c>
    </row>
    <row r="449" ht="15" spans="3:17">
      <c r="C449" s="537" t="s">
        <v>223</v>
      </c>
      <c r="D449" s="540"/>
      <c r="E449" s="316">
        <f t="shared" ref="E449:P449" si="43">E448+E429+E412</f>
        <v>1682.53310289</v>
      </c>
      <c r="F449" s="316">
        <f t="shared" si="43"/>
        <v>1695.7744433</v>
      </c>
      <c r="G449" s="316">
        <f t="shared" si="43"/>
        <v>1724.02175408</v>
      </c>
      <c r="H449" s="316">
        <f t="shared" si="43"/>
        <v>1654.759007935</v>
      </c>
      <c r="I449" s="316">
        <f t="shared" si="43"/>
        <v>1852.1885993</v>
      </c>
      <c r="J449" s="316">
        <f t="shared" si="43"/>
        <v>1884.634900113</v>
      </c>
      <c r="K449" s="316">
        <f t="shared" si="43"/>
        <v>1778.59213856526</v>
      </c>
      <c r="L449" s="316">
        <f t="shared" si="43"/>
        <v>1812.71891021067</v>
      </c>
      <c r="M449" s="316">
        <f t="shared" si="43"/>
        <v>1833.81856269102</v>
      </c>
      <c r="N449" s="316">
        <f t="shared" si="43"/>
        <v>1933.60264027292</v>
      </c>
      <c r="O449" s="316">
        <f t="shared" si="43"/>
        <v>1942.76857156486</v>
      </c>
      <c r="P449" s="316">
        <f t="shared" si="43"/>
        <v>2639.22033826494</v>
      </c>
      <c r="Q449" s="316">
        <f t="shared" si="41"/>
        <v>22434.6329691877</v>
      </c>
    </row>
    <row r="450" ht="15" spans="3:17">
      <c r="C450" s="537" t="s">
        <v>224</v>
      </c>
      <c r="D450" s="540"/>
      <c r="E450" s="316">
        <f t="shared" ref="E450:P450" si="44">E449+E395</f>
        <v>4367.49508942518</v>
      </c>
      <c r="F450" s="316">
        <f t="shared" si="44"/>
        <v>3857.69430317328</v>
      </c>
      <c r="G450" s="316">
        <f t="shared" si="44"/>
        <v>3865.29112834627</v>
      </c>
      <c r="H450" s="316">
        <f t="shared" si="44"/>
        <v>3860.64559776042</v>
      </c>
      <c r="I450" s="316">
        <f t="shared" si="44"/>
        <v>4883.67043217728</v>
      </c>
      <c r="J450" s="316">
        <f t="shared" si="44"/>
        <v>4412.735476613</v>
      </c>
      <c r="K450" s="316">
        <f t="shared" si="44"/>
        <v>3676.68483823097</v>
      </c>
      <c r="L450" s="316">
        <f t="shared" si="44"/>
        <v>3579.74822940542</v>
      </c>
      <c r="M450" s="316">
        <f t="shared" si="44"/>
        <v>4080.15244740221</v>
      </c>
      <c r="N450" s="316">
        <f t="shared" si="44"/>
        <v>4487.53946188853</v>
      </c>
      <c r="O450" s="316">
        <f t="shared" si="44"/>
        <v>4645.97194098847</v>
      </c>
      <c r="P450" s="316">
        <f t="shared" si="44"/>
        <v>5821.71862684535</v>
      </c>
      <c r="Q450" s="316">
        <f t="shared" si="41"/>
        <v>51539.3475722564</v>
      </c>
    </row>
    <row r="452" ht="15" spans="3:17">
      <c r="C452" s="14"/>
      <c r="Q452" s="3" t="s">
        <v>236</v>
      </c>
    </row>
    <row r="453" ht="15" spans="3:17">
      <c r="C453" s="6" t="s">
        <v>159</v>
      </c>
      <c r="D453" s="6"/>
      <c r="E453" s="135" t="s">
        <v>263</v>
      </c>
      <c r="F453" s="135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</row>
    <row r="454" ht="15" spans="3:17">
      <c r="C454" s="6"/>
      <c r="D454" s="6"/>
      <c r="E454" s="135" t="s">
        <v>246</v>
      </c>
      <c r="F454" s="135" t="s">
        <v>247</v>
      </c>
      <c r="G454" s="135" t="s">
        <v>248</v>
      </c>
      <c r="H454" s="135" t="s">
        <v>249</v>
      </c>
      <c r="I454" s="135" t="s">
        <v>250</v>
      </c>
      <c r="J454" s="135" t="s">
        <v>251</v>
      </c>
      <c r="K454" s="135" t="s">
        <v>252</v>
      </c>
      <c r="L454" s="135" t="s">
        <v>253</v>
      </c>
      <c r="M454" s="135" t="s">
        <v>254</v>
      </c>
      <c r="N454" s="135" t="s">
        <v>255</v>
      </c>
      <c r="O454" s="135" t="s">
        <v>256</v>
      </c>
      <c r="P454" s="135" t="s">
        <v>257</v>
      </c>
      <c r="Q454" s="135" t="s">
        <v>97</v>
      </c>
    </row>
    <row r="455" ht="15" spans="3:17">
      <c r="C455" s="44" t="s">
        <v>170</v>
      </c>
      <c r="D455" s="45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316">
        <f t="shared" ref="Q455:Q486" si="45">SUM(E455:P455)</f>
        <v>0</v>
      </c>
    </row>
    <row r="456" ht="15" spans="3:17">
      <c r="C456" s="47" t="s">
        <v>171</v>
      </c>
      <c r="D456" s="47" t="s">
        <v>172</v>
      </c>
      <c r="E456" s="147">
        <f>F4Ax!E456+F4Bx!E455</f>
        <v>1163.81</v>
      </c>
      <c r="F456" s="147">
        <f>F4Ax!F456+F4Bx!F455</f>
        <v>1167.31</v>
      </c>
      <c r="G456" s="147">
        <f>F4Ax!G456+F4Bx!G455</f>
        <v>1004.03</v>
      </c>
      <c r="H456" s="147">
        <f>F4Ax!H456+F4Bx!H455</f>
        <v>904.57</v>
      </c>
      <c r="I456" s="147">
        <f>F4Ax!I456+F4Bx!I455</f>
        <v>936.12</v>
      </c>
      <c r="J456" s="147">
        <f>F4Ax!J456+F4Bx!J455</f>
        <v>874.14</v>
      </c>
      <c r="K456" s="147">
        <f>F4Ax!K456+F4Bx!K455</f>
        <v>905.14</v>
      </c>
      <c r="L456" s="147">
        <f>F4Ax!L456+F4Bx!L455</f>
        <v>790.06</v>
      </c>
      <c r="M456" s="147">
        <f>F4Ax!M456+F4Bx!M455</f>
        <v>755.06</v>
      </c>
      <c r="N456" s="147">
        <f>F4Ax!N456+F4Bx!N455</f>
        <v>761.42</v>
      </c>
      <c r="O456" s="147">
        <f>F4Ax!O456+F4Bx!O455</f>
        <v>771.96</v>
      </c>
      <c r="P456" s="147">
        <f>F4Ax!P456+F4Bx!P455</f>
        <v>1075.7</v>
      </c>
      <c r="Q456" s="316">
        <f t="shared" si="45"/>
        <v>11109.32</v>
      </c>
    </row>
    <row r="457" ht="15" spans="3:17">
      <c r="C457" s="55" t="s">
        <v>173</v>
      </c>
      <c r="D457" s="55" t="s">
        <v>174</v>
      </c>
      <c r="E457" s="147">
        <f>F4Ax!E457+F4Bx!E456</f>
        <v>309.37</v>
      </c>
      <c r="F457" s="147">
        <f>F4Ax!F457+F4Bx!F456</f>
        <v>276.9</v>
      </c>
      <c r="G457" s="147">
        <f>F4Ax!G457+F4Bx!G456</f>
        <v>279.01</v>
      </c>
      <c r="H457" s="147">
        <f>F4Ax!H457+F4Bx!H456</f>
        <v>269.66</v>
      </c>
      <c r="I457" s="147">
        <f>F4Ax!I457+F4Bx!I456</f>
        <v>284.25</v>
      </c>
      <c r="J457" s="147">
        <f>F4Ax!J457+F4Bx!J456</f>
        <v>284.23</v>
      </c>
      <c r="K457" s="147">
        <f>F4Ax!K457+F4Bx!K456</f>
        <v>303.63</v>
      </c>
      <c r="L457" s="147">
        <f>F4Ax!L457+F4Bx!L456</f>
        <v>293.03</v>
      </c>
      <c r="M457" s="147">
        <f>F4Ax!M457+F4Bx!M456</f>
        <v>280.08</v>
      </c>
      <c r="N457" s="147">
        <f>F4Ax!N457+F4Bx!N456</f>
        <v>273.72</v>
      </c>
      <c r="O457" s="147">
        <f>F4Ax!O457+F4Bx!O456</f>
        <v>290.42</v>
      </c>
      <c r="P457" s="147">
        <f>F4Ax!P457+F4Bx!P456</f>
        <v>266.48</v>
      </c>
      <c r="Q457" s="316">
        <f t="shared" si="45"/>
        <v>3410.78</v>
      </c>
    </row>
    <row r="458" ht="15" spans="3:17">
      <c r="C458" s="55" t="s">
        <v>175</v>
      </c>
      <c r="D458" s="55" t="s">
        <v>176</v>
      </c>
      <c r="E458" s="147">
        <f>F4Ax!E458+F4Bx!E457</f>
        <v>85.07</v>
      </c>
      <c r="F458" s="147">
        <f>F4Ax!F458+F4Bx!F457</f>
        <v>79.49</v>
      </c>
      <c r="G458" s="147">
        <f>F4Ax!G458+F4Bx!G457</f>
        <v>82.44</v>
      </c>
      <c r="H458" s="147">
        <f>F4Ax!H458+F4Bx!H457</f>
        <v>82.04</v>
      </c>
      <c r="I458" s="147">
        <f>F4Ax!I458+F4Bx!I457</f>
        <v>82.57</v>
      </c>
      <c r="J458" s="147">
        <f>F4Ax!J458+F4Bx!J457</f>
        <v>75.84</v>
      </c>
      <c r="K458" s="147">
        <f>F4Ax!K458+F4Bx!K457</f>
        <v>81.68</v>
      </c>
      <c r="L458" s="147">
        <f>F4Ax!L458+F4Bx!L457</f>
        <v>88.75</v>
      </c>
      <c r="M458" s="147">
        <f>F4Ax!M458+F4Bx!M457</f>
        <v>99.94</v>
      </c>
      <c r="N458" s="147">
        <f>F4Ax!N458+F4Bx!N457</f>
        <v>91.3</v>
      </c>
      <c r="O458" s="147">
        <f>F4Ax!O458+F4Bx!O457</f>
        <v>88.45</v>
      </c>
      <c r="P458" s="147">
        <f>F4Ax!P458+F4Bx!P457</f>
        <v>91.13</v>
      </c>
      <c r="Q458" s="316">
        <f t="shared" si="45"/>
        <v>1028.7</v>
      </c>
    </row>
    <row r="459" ht="15" spans="3:17">
      <c r="C459" s="55" t="s">
        <v>177</v>
      </c>
      <c r="D459" s="55" t="s">
        <v>178</v>
      </c>
      <c r="E459" s="147">
        <f>F4Ax!E459+F4Bx!E458</f>
        <v>0.93</v>
      </c>
      <c r="F459" s="147">
        <f>F4Ax!F459+F4Bx!F458</f>
        <v>0.87</v>
      </c>
      <c r="G459" s="147">
        <f>F4Ax!G459+F4Bx!G458</f>
        <v>0.88</v>
      </c>
      <c r="H459" s="147">
        <f>F4Ax!H459+F4Bx!H458</f>
        <v>0.85</v>
      </c>
      <c r="I459" s="147">
        <f>F4Ax!I459+F4Bx!I458</f>
        <v>0.84</v>
      </c>
      <c r="J459" s="147">
        <f>F4Ax!J459+F4Bx!J458</f>
        <v>0.83</v>
      </c>
      <c r="K459" s="147">
        <f>F4Ax!K459+F4Bx!K458</f>
        <v>0.91</v>
      </c>
      <c r="L459" s="147">
        <f>F4Ax!L459+F4Bx!L458</f>
        <v>0.87</v>
      </c>
      <c r="M459" s="147">
        <f>F4Ax!M459+F4Bx!M458</f>
        <v>0.93</v>
      </c>
      <c r="N459" s="147">
        <f>F4Ax!N459+F4Bx!N458</f>
        <v>0.81</v>
      </c>
      <c r="O459" s="147">
        <f>F4Ax!O459+F4Bx!O458</f>
        <v>0.8</v>
      </c>
      <c r="P459" s="147">
        <f>F4Ax!P459+F4Bx!P458</f>
        <v>0.96</v>
      </c>
      <c r="Q459" s="316">
        <f t="shared" si="45"/>
        <v>10.48</v>
      </c>
    </row>
    <row r="460" ht="15" spans="3:17">
      <c r="C460" s="55" t="s">
        <v>179</v>
      </c>
      <c r="D460" s="55" t="s">
        <v>180</v>
      </c>
      <c r="E460" s="147">
        <f>F4Ax!E460+F4Bx!E459</f>
        <v>1254.20211058848</v>
      </c>
      <c r="F460" s="147">
        <f>F4Ax!F460+F4Bx!F459</f>
        <v>593.193606162004</v>
      </c>
      <c r="G460" s="147">
        <f>F4Ax!G460+F4Bx!G459</f>
        <v>543.474133148526</v>
      </c>
      <c r="H460" s="147">
        <f>F4Ax!H460+F4Bx!H459</f>
        <v>780.52</v>
      </c>
      <c r="I460" s="147">
        <f>F4Ax!I460+F4Bx!I459</f>
        <v>961.56</v>
      </c>
      <c r="J460" s="147">
        <f>F4Ax!J460+F4Bx!J459</f>
        <v>1043.74</v>
      </c>
      <c r="K460" s="147">
        <f>F4Ax!K460+F4Bx!K459</f>
        <v>701.02753478761</v>
      </c>
      <c r="L460" s="147">
        <f>F4Ax!L460+F4Bx!L459</f>
        <v>593.875110158625</v>
      </c>
      <c r="M460" s="147">
        <f>F4Ax!M460+F4Bx!M459</f>
        <v>1041.53916312042</v>
      </c>
      <c r="N460" s="147">
        <f>F4Ax!N460+F4Bx!N459</f>
        <v>1398.71766225091</v>
      </c>
      <c r="O460" s="147">
        <f>F4Ax!O460+F4Bx!O459</f>
        <v>1488.39335589008</v>
      </c>
      <c r="P460" s="147">
        <f>F4Ax!P460+F4Bx!P459</f>
        <v>1726.981694</v>
      </c>
      <c r="Q460" s="316">
        <f t="shared" si="45"/>
        <v>12127.2243701067</v>
      </c>
    </row>
    <row r="461" ht="15" spans="3:17">
      <c r="C461" s="55" t="s">
        <v>181</v>
      </c>
      <c r="D461" s="55" t="s">
        <v>182</v>
      </c>
      <c r="E461" s="147">
        <f>F4Ax!E461+F4Bx!E460</f>
        <v>41.83</v>
      </c>
      <c r="F461" s="147">
        <f>F4Ax!F461+F4Bx!F460</f>
        <v>40.02</v>
      </c>
      <c r="G461" s="147">
        <f>F4Ax!G461+F4Bx!G460</f>
        <v>37.83</v>
      </c>
      <c r="H461" s="147">
        <f>F4Ax!H461+F4Bx!H460</f>
        <v>36.89</v>
      </c>
      <c r="I461" s="147">
        <f>F4Ax!I461+F4Bx!I460</f>
        <v>38.26</v>
      </c>
      <c r="J461" s="147">
        <f>F4Ax!J461+F4Bx!J460</f>
        <v>37.43</v>
      </c>
      <c r="K461" s="147">
        <f>F4Ax!K461+F4Bx!K460</f>
        <v>42.1</v>
      </c>
      <c r="L461" s="147">
        <f>F4Ax!L461+F4Bx!L460</f>
        <v>41.4</v>
      </c>
      <c r="M461" s="147">
        <f>F4Ax!M461+F4Bx!M460</f>
        <v>42.8</v>
      </c>
      <c r="N461" s="147">
        <f>F4Ax!N461+F4Bx!N460</f>
        <v>41.81</v>
      </c>
      <c r="O461" s="147">
        <f>F4Ax!O461+F4Bx!O460</f>
        <v>40.24</v>
      </c>
      <c r="P461" s="147">
        <f>F4Ax!P461+F4Bx!P460</f>
        <v>44.9</v>
      </c>
      <c r="Q461" s="316">
        <f t="shared" si="45"/>
        <v>485.51</v>
      </c>
    </row>
    <row r="462" ht="15" spans="3:17">
      <c r="C462" s="55" t="s">
        <v>183</v>
      </c>
      <c r="D462" s="55" t="s">
        <v>184</v>
      </c>
      <c r="E462" s="147">
        <f>F4Ax!E462+F4Bx!E461</f>
        <v>9.37</v>
      </c>
      <c r="F462" s="147">
        <f>F4Ax!F462+F4Bx!F461</f>
        <v>7.32</v>
      </c>
      <c r="G462" s="147">
        <f>F4Ax!G462+F4Bx!G461</f>
        <v>7</v>
      </c>
      <c r="H462" s="147">
        <f>F4Ax!H462+F4Bx!H461</f>
        <v>7.3</v>
      </c>
      <c r="I462" s="147">
        <f>F4Ax!I462+F4Bx!I461</f>
        <v>7.9</v>
      </c>
      <c r="J462" s="147">
        <f>F4Ax!J462+F4Bx!J461</f>
        <v>7.26</v>
      </c>
      <c r="K462" s="147">
        <f>F4Ax!K462+F4Bx!K461</f>
        <v>7.23</v>
      </c>
      <c r="L462" s="147">
        <f>F4Ax!L462+F4Bx!L461</f>
        <v>7.76</v>
      </c>
      <c r="M462" s="147">
        <f>F4Ax!M462+F4Bx!M461</f>
        <v>7.74</v>
      </c>
      <c r="N462" s="147">
        <f>F4Ax!N462+F4Bx!N461</f>
        <v>6.4</v>
      </c>
      <c r="O462" s="147">
        <f>F4Ax!O462+F4Bx!O461</f>
        <v>9.07</v>
      </c>
      <c r="P462" s="147">
        <f>F4Ax!P462+F4Bx!P461</f>
        <v>11.88</v>
      </c>
      <c r="Q462" s="316">
        <f t="shared" si="45"/>
        <v>96.23</v>
      </c>
    </row>
    <row r="463" ht="15" spans="3:17">
      <c r="C463" s="55" t="s">
        <v>185</v>
      </c>
      <c r="D463" s="55" t="s">
        <v>186</v>
      </c>
      <c r="E463" s="147">
        <f>F4Ax!E463+F4Bx!E462</f>
        <v>9.98</v>
      </c>
      <c r="F463" s="147">
        <f>F4Ax!F463+F4Bx!F462</f>
        <v>9.37</v>
      </c>
      <c r="G463" s="147">
        <f>F4Ax!G463+F4Bx!G462</f>
        <v>9.07</v>
      </c>
      <c r="H463" s="147">
        <f>F4Ax!H463+F4Bx!H462</f>
        <v>8.73</v>
      </c>
      <c r="I463" s="147">
        <f>F4Ax!I463+F4Bx!I462</f>
        <v>9.14</v>
      </c>
      <c r="J463" s="147">
        <f>F4Ax!J463+F4Bx!J462</f>
        <v>9.16</v>
      </c>
      <c r="K463" s="147">
        <f>F4Ax!K463+F4Bx!K462</f>
        <v>7.78</v>
      </c>
      <c r="L463" s="147">
        <f>F4Ax!L463+F4Bx!L462</f>
        <v>7.33</v>
      </c>
      <c r="M463" s="147">
        <f>F4Ax!M463+F4Bx!M462</f>
        <v>8.15</v>
      </c>
      <c r="N463" s="147">
        <f>F4Ax!N463+F4Bx!N462</f>
        <v>8.23</v>
      </c>
      <c r="O463" s="147">
        <f>F4Ax!O463+F4Bx!O462</f>
        <v>8.7</v>
      </c>
      <c r="P463" s="147">
        <f>F4Ax!P463+F4Bx!P462</f>
        <v>10.58</v>
      </c>
      <c r="Q463" s="316">
        <f t="shared" si="45"/>
        <v>106.22</v>
      </c>
    </row>
    <row r="464" ht="15" spans="3:17">
      <c r="C464" s="55" t="s">
        <v>187</v>
      </c>
      <c r="D464" s="55" t="s">
        <v>188</v>
      </c>
      <c r="E464" s="147">
        <f>F4Ax!E464+F4Bx!E463</f>
        <v>0.13</v>
      </c>
      <c r="F464" s="147">
        <f>F4Ax!F464+F4Bx!F463</f>
        <v>0.13</v>
      </c>
      <c r="G464" s="147">
        <f>F4Ax!G464+F4Bx!G463</f>
        <v>0.13</v>
      </c>
      <c r="H464" s="147">
        <f>F4Ax!H464+F4Bx!H463</f>
        <v>0.14</v>
      </c>
      <c r="I464" s="147">
        <f>F4Ax!I464+F4Bx!I463</f>
        <v>0.16</v>
      </c>
      <c r="J464" s="147">
        <f>F4Ax!J464+F4Bx!J463</f>
        <v>0.17</v>
      </c>
      <c r="K464" s="147">
        <f>F4Ax!K464+F4Bx!K463</f>
        <v>0.14</v>
      </c>
      <c r="L464" s="147">
        <f>F4Ax!L464+F4Bx!L463</f>
        <v>0.19</v>
      </c>
      <c r="M464" s="147">
        <f>F4Ax!M464+F4Bx!M463</f>
        <v>0.19</v>
      </c>
      <c r="N464" s="147">
        <f>F4Ax!N464+F4Bx!N463</f>
        <v>0.23</v>
      </c>
      <c r="O464" s="147">
        <f>F4Ax!O464+F4Bx!O463</f>
        <v>0.28</v>
      </c>
      <c r="P464" s="147">
        <f>F4Ax!P464+F4Bx!P463</f>
        <v>0.31</v>
      </c>
      <c r="Q464" s="316">
        <f t="shared" si="45"/>
        <v>2.2</v>
      </c>
    </row>
    <row r="465" ht="15" spans="3:17">
      <c r="C465" s="55"/>
      <c r="D465" s="55"/>
      <c r="E465" s="147">
        <f>F4Ax!E465+F4Bx!E464</f>
        <v>0</v>
      </c>
      <c r="F465" s="147">
        <f>F4Ax!F465+F4Bx!F464</f>
        <v>0</v>
      </c>
      <c r="G465" s="147">
        <f>F4Ax!G465+F4Bx!G464</f>
        <v>0</v>
      </c>
      <c r="H465" s="147">
        <f>F4Ax!H465+F4Bx!H464</f>
        <v>0</v>
      </c>
      <c r="I465" s="147">
        <f>F4Ax!I465+F4Bx!I464</f>
        <v>0</v>
      </c>
      <c r="J465" s="147">
        <f>F4Ax!J465+F4Bx!J464</f>
        <v>0</v>
      </c>
      <c r="K465" s="147">
        <f>F4Ax!K465+F4Bx!K464</f>
        <v>0</v>
      </c>
      <c r="L465" s="147">
        <f>F4Ax!L465+F4Bx!L464</f>
        <v>0</v>
      </c>
      <c r="M465" s="147">
        <f>F4Ax!M465+F4Bx!M464</f>
        <v>0</v>
      </c>
      <c r="N465" s="147">
        <f>F4Ax!N465+F4Bx!N464</f>
        <v>0</v>
      </c>
      <c r="O465" s="147">
        <f>F4Ax!O465+F4Bx!O464</f>
        <v>0</v>
      </c>
      <c r="P465" s="147">
        <f>F4Ax!P465+F4Bx!P464</f>
        <v>0</v>
      </c>
      <c r="Q465" s="316">
        <f t="shared" si="45"/>
        <v>0</v>
      </c>
    </row>
    <row r="466" ht="15" spans="3:17">
      <c r="C466" s="55"/>
      <c r="D466" s="55"/>
      <c r="E466" s="147">
        <f>F4Ax!E466+F4Bx!E465</f>
        <v>0</v>
      </c>
      <c r="F466" s="147">
        <f>F4Ax!F466+F4Bx!F465</f>
        <v>0</v>
      </c>
      <c r="G466" s="147">
        <f>F4Ax!G466+F4Bx!G465</f>
        <v>0</v>
      </c>
      <c r="H466" s="147">
        <f>F4Ax!H466+F4Bx!H465</f>
        <v>0</v>
      </c>
      <c r="I466" s="147">
        <f>F4Ax!I466+F4Bx!I465</f>
        <v>0</v>
      </c>
      <c r="J466" s="147">
        <f>F4Ax!J466+F4Bx!J465</f>
        <v>0</v>
      </c>
      <c r="K466" s="147">
        <f>F4Ax!K466+F4Bx!K465</f>
        <v>0</v>
      </c>
      <c r="L466" s="147">
        <f>F4Ax!L466+F4Bx!L465</f>
        <v>0</v>
      </c>
      <c r="M466" s="147">
        <f>F4Ax!M466+F4Bx!M465</f>
        <v>0</v>
      </c>
      <c r="N466" s="147">
        <f>F4Ax!N466+F4Bx!N465</f>
        <v>0</v>
      </c>
      <c r="O466" s="147">
        <f>F4Ax!O466+F4Bx!O465</f>
        <v>0</v>
      </c>
      <c r="P466" s="147">
        <f>F4Ax!P466+F4Bx!P465</f>
        <v>0</v>
      </c>
      <c r="Q466" s="316">
        <f t="shared" si="45"/>
        <v>0</v>
      </c>
    </row>
    <row r="467" ht="15" spans="3:17">
      <c r="C467" s="55"/>
      <c r="D467" s="55"/>
      <c r="E467" s="147">
        <f>F4Ax!E467+F4Bx!E466</f>
        <v>0</v>
      </c>
      <c r="F467" s="147">
        <f>F4Ax!F467+F4Bx!F466</f>
        <v>0</v>
      </c>
      <c r="G467" s="147">
        <f>F4Ax!G467+F4Bx!G466</f>
        <v>0</v>
      </c>
      <c r="H467" s="147">
        <f>F4Ax!H467+F4Bx!H466</f>
        <v>0</v>
      </c>
      <c r="I467" s="147">
        <f>F4Ax!I467+F4Bx!I466</f>
        <v>0</v>
      </c>
      <c r="J467" s="147">
        <f>F4Ax!J467+F4Bx!J466</f>
        <v>0</v>
      </c>
      <c r="K467" s="147">
        <f>F4Ax!K467+F4Bx!K466</f>
        <v>0</v>
      </c>
      <c r="L467" s="147">
        <f>F4Ax!L467+F4Bx!L466</f>
        <v>0</v>
      </c>
      <c r="M467" s="147">
        <f>F4Ax!M467+F4Bx!M466</f>
        <v>0</v>
      </c>
      <c r="N467" s="147">
        <f>F4Ax!N467+F4Bx!N466</f>
        <v>0</v>
      </c>
      <c r="O467" s="147">
        <f>F4Ax!O467+F4Bx!O466</f>
        <v>0</v>
      </c>
      <c r="P467" s="147">
        <f>F4Ax!P467+F4Bx!P466</f>
        <v>0</v>
      </c>
      <c r="Q467" s="316">
        <f t="shared" si="45"/>
        <v>0</v>
      </c>
    </row>
    <row r="468" ht="15" spans="3:17">
      <c r="C468" s="55" t="s">
        <v>258</v>
      </c>
      <c r="D468" s="55" t="s">
        <v>258</v>
      </c>
      <c r="E468" s="147">
        <f>F4Ax!E468+F4Bx!E467</f>
        <v>0</v>
      </c>
      <c r="F468" s="147">
        <f>F4Ax!F468+F4Bx!F467</f>
        <v>0</v>
      </c>
      <c r="G468" s="147">
        <f>F4Ax!G468+F4Bx!G467</f>
        <v>0</v>
      </c>
      <c r="H468" s="147">
        <f>F4Ax!H468+F4Bx!H467</f>
        <v>0</v>
      </c>
      <c r="I468" s="147">
        <f>F4Ax!I468+F4Bx!I467</f>
        <v>0</v>
      </c>
      <c r="J468" s="147">
        <f>F4Ax!J468+F4Bx!J467</f>
        <v>0</v>
      </c>
      <c r="K468" s="147">
        <f>F4Ax!K468+F4Bx!K467</f>
        <v>0</v>
      </c>
      <c r="L468" s="147">
        <f>F4Ax!L468+F4Bx!L467</f>
        <v>0</v>
      </c>
      <c r="M468" s="147">
        <f>F4Ax!M468+F4Bx!M467</f>
        <v>0</v>
      </c>
      <c r="N468" s="147">
        <f>F4Ax!N468+F4Bx!N467</f>
        <v>0</v>
      </c>
      <c r="O468" s="147">
        <f>F4Ax!O468+F4Bx!O467</f>
        <v>0</v>
      </c>
      <c r="P468" s="147">
        <f>F4Ax!P468+F4Bx!P467</f>
        <v>0</v>
      </c>
      <c r="Q468" s="316">
        <f t="shared" si="45"/>
        <v>0</v>
      </c>
    </row>
    <row r="469" ht="15" spans="3:17">
      <c r="C469" s="537" t="s">
        <v>189</v>
      </c>
      <c r="D469" s="540"/>
      <c r="E469" s="316">
        <f t="shared" ref="E469:P469" si="46">SUM(E456:E468)</f>
        <v>2874.69211058848</v>
      </c>
      <c r="F469" s="316">
        <f t="shared" si="46"/>
        <v>2174.603606162</v>
      </c>
      <c r="G469" s="316">
        <f t="shared" si="46"/>
        <v>1963.86413314853</v>
      </c>
      <c r="H469" s="316">
        <f t="shared" si="46"/>
        <v>2090.7</v>
      </c>
      <c r="I469" s="316">
        <f t="shared" si="46"/>
        <v>2320.8</v>
      </c>
      <c r="J469" s="316">
        <f t="shared" si="46"/>
        <v>2332.8</v>
      </c>
      <c r="K469" s="316">
        <f t="shared" si="46"/>
        <v>2049.63753478761</v>
      </c>
      <c r="L469" s="316">
        <f t="shared" si="46"/>
        <v>1823.26511015862</v>
      </c>
      <c r="M469" s="316">
        <f t="shared" si="46"/>
        <v>2236.42916312042</v>
      </c>
      <c r="N469" s="316">
        <f t="shared" si="46"/>
        <v>2582.63766225091</v>
      </c>
      <c r="O469" s="316">
        <f t="shared" si="46"/>
        <v>2698.31335589008</v>
      </c>
      <c r="P469" s="316">
        <f t="shared" si="46"/>
        <v>3228.921694</v>
      </c>
      <c r="Q469" s="316">
        <f t="shared" si="45"/>
        <v>28376.6643701067</v>
      </c>
    </row>
    <row r="470" ht="15" spans="3:17">
      <c r="C470" s="44" t="s">
        <v>190</v>
      </c>
      <c r="D470" s="45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316">
        <f t="shared" si="45"/>
        <v>0</v>
      </c>
    </row>
    <row r="471" ht="15" spans="3:17">
      <c r="C471" s="55" t="s">
        <v>191</v>
      </c>
      <c r="D471" s="55" t="s">
        <v>192</v>
      </c>
      <c r="E471" s="147">
        <f>F4Ax!E471+F4Bx!E470</f>
        <v>373.6</v>
      </c>
      <c r="F471" s="147">
        <f>F4Ax!F471+F4Bx!F470</f>
        <v>338.39</v>
      </c>
      <c r="G471" s="147">
        <f>F4Ax!G471+F4Bx!G470</f>
        <v>352.73</v>
      </c>
      <c r="H471" s="147">
        <f>F4Ax!H471+F4Bx!H470</f>
        <v>343.59</v>
      </c>
      <c r="I471" s="147">
        <f>F4Ax!I471+F4Bx!I470</f>
        <v>354.56</v>
      </c>
      <c r="J471" s="147">
        <f>F4Ax!J471+F4Bx!J470</f>
        <v>354.31</v>
      </c>
      <c r="K471" s="147">
        <f>F4Ax!K471+F4Bx!K470</f>
        <v>361.34</v>
      </c>
      <c r="L471" s="147">
        <f>F4Ax!L471+F4Bx!L470</f>
        <v>395.43</v>
      </c>
      <c r="M471" s="147">
        <f>F4Ax!M471+F4Bx!M470</f>
        <v>404.25</v>
      </c>
      <c r="N471" s="147">
        <f>F4Ax!N471+F4Bx!N470</f>
        <v>408.44</v>
      </c>
      <c r="O471" s="147">
        <f>F4Ax!O471+F4Bx!O470</f>
        <v>415.03</v>
      </c>
      <c r="P471" s="147">
        <f>F4Ax!P471+F4Bx!P470</f>
        <v>389.75</v>
      </c>
      <c r="Q471" s="316">
        <f t="shared" si="45"/>
        <v>4491.42</v>
      </c>
    </row>
    <row r="472" ht="15" spans="3:17">
      <c r="C472" s="55" t="s">
        <v>193</v>
      </c>
      <c r="D472" s="55" t="s">
        <v>194</v>
      </c>
      <c r="E472" s="147">
        <f>F4Ax!E472+F4Bx!E471</f>
        <v>0.02</v>
      </c>
      <c r="F472" s="147">
        <f>F4Ax!F472+F4Bx!F471</f>
        <v>0.01</v>
      </c>
      <c r="G472" s="147">
        <f>F4Ax!G472+F4Bx!G471</f>
        <v>0</v>
      </c>
      <c r="H472" s="147">
        <f>F4Ax!H472+F4Bx!H471</f>
        <v>0</v>
      </c>
      <c r="I472" s="147">
        <f>F4Ax!I472+F4Bx!I471</f>
        <v>0.01</v>
      </c>
      <c r="J472" s="147">
        <f>F4Ax!J472+F4Bx!J471</f>
        <v>0.03</v>
      </c>
      <c r="K472" s="147">
        <f>F4Ax!K472+F4Bx!K471</f>
        <v>0.02</v>
      </c>
      <c r="L472" s="147">
        <f>F4Ax!L472+F4Bx!L471</f>
        <v>0.01</v>
      </c>
      <c r="M472" s="147">
        <f>F4Ax!M472+F4Bx!M471</f>
        <v>0</v>
      </c>
      <c r="N472" s="147">
        <f>F4Ax!N472+F4Bx!N471</f>
        <v>0</v>
      </c>
      <c r="O472" s="147">
        <f>F4Ax!O472+F4Bx!O471</f>
        <v>0.01</v>
      </c>
      <c r="P472" s="147">
        <f>F4Ax!P472+F4Bx!P471</f>
        <v>0.03</v>
      </c>
      <c r="Q472" s="316">
        <f t="shared" si="45"/>
        <v>0.14</v>
      </c>
    </row>
    <row r="473" ht="15" spans="3:17">
      <c r="C473" s="55" t="s">
        <v>239</v>
      </c>
      <c r="D473" s="55" t="s">
        <v>196</v>
      </c>
      <c r="E473" s="147">
        <f>F4Ax!E473+F4Bx!E472</f>
        <v>197.968530831982</v>
      </c>
      <c r="F473" s="147">
        <f>F4Ax!F473+F4Bx!F472</f>
        <v>218.684102805204</v>
      </c>
      <c r="G473" s="147">
        <f>F4Ax!G473+F4Bx!G472</f>
        <v>219.591860732094</v>
      </c>
      <c r="H473" s="147">
        <f>F4Ax!H473+F4Bx!H472</f>
        <v>187.328140402965</v>
      </c>
      <c r="I473" s="147">
        <f>F4Ax!I473+F4Bx!I472</f>
        <v>202.214224267365</v>
      </c>
      <c r="J473" s="147">
        <f>F4Ax!J473+F4Bx!J472</f>
        <v>188.50618558415</v>
      </c>
      <c r="K473" s="147">
        <f>F4Ax!K473+F4Bx!K472</f>
        <v>179.438902522079</v>
      </c>
      <c r="L473" s="147">
        <f>F4Ax!L473+F4Bx!L472</f>
        <v>169.782847233589</v>
      </c>
      <c r="M473" s="147">
        <f>F4Ax!M473+F4Bx!M472</f>
        <v>166.23839411488</v>
      </c>
      <c r="N473" s="147">
        <f>F4Ax!N473+F4Bx!N472</f>
        <v>169.5693651758</v>
      </c>
      <c r="O473" s="147">
        <f>F4Ax!O473+F4Bx!O472</f>
        <v>171.606368667897</v>
      </c>
      <c r="P473" s="147">
        <f>F4Ax!P473+F4Bx!P472</f>
        <v>263.297119633053</v>
      </c>
      <c r="Q473" s="316">
        <f t="shared" si="45"/>
        <v>2334.22604197106</v>
      </c>
    </row>
    <row r="474" ht="15" spans="3:17">
      <c r="C474" s="55" t="s">
        <v>197</v>
      </c>
      <c r="D474" s="55" t="s">
        <v>198</v>
      </c>
      <c r="E474" s="147">
        <f>F4Ax!E474+F4Bx!E473</f>
        <v>0.0229412896748741</v>
      </c>
      <c r="F474" s="147">
        <f>F4Ax!F474+F4Bx!F473</f>
        <v>0.0215886982102555</v>
      </c>
      <c r="G474" s="147">
        <f>F4Ax!G474+F4Bx!G473</f>
        <v>0.0210520372771004</v>
      </c>
      <c r="H474" s="147">
        <f>F4Ax!H474+F4Bx!H473</f>
        <v>0.0197792371262841</v>
      </c>
      <c r="I474" s="147">
        <f>F4Ax!I474+F4Bx!I473</f>
        <v>0.0203995502432643</v>
      </c>
      <c r="J474" s="147">
        <f>F4Ax!J474+F4Bx!J473</f>
        <v>0.0208667155160108</v>
      </c>
      <c r="K474" s="147">
        <f>F4Ax!K474+F4Bx!K473</f>
        <v>0.0239309593573592</v>
      </c>
      <c r="L474" s="147">
        <f>F4Ax!L474+F4Bx!L473</f>
        <v>0.0242578463526143</v>
      </c>
      <c r="M474" s="147">
        <f>F4Ax!M474+F4Bx!M473</f>
        <v>0.0226066809395736</v>
      </c>
      <c r="N474" s="147">
        <f>F4Ax!N474+F4Bx!N473</f>
        <v>0.0213724894889843</v>
      </c>
      <c r="O474" s="147">
        <f>F4Ax!O474+F4Bx!O473</f>
        <v>0.0221086287066455</v>
      </c>
      <c r="P474" s="147">
        <f>F4Ax!P474+F4Bx!P473</f>
        <v>0.0232746114535004</v>
      </c>
      <c r="Q474" s="316">
        <f t="shared" si="45"/>
        <v>0.264178744346466</v>
      </c>
    </row>
    <row r="475" ht="15" spans="3:17">
      <c r="C475" s="55" t="s">
        <v>199</v>
      </c>
      <c r="D475" s="55" t="s">
        <v>200</v>
      </c>
      <c r="E475" s="147">
        <f>F4Ax!E475+F4Bx!E474</f>
        <v>0.53</v>
      </c>
      <c r="F475" s="147">
        <f>F4Ax!F475+F4Bx!F474</f>
        <v>0.14</v>
      </c>
      <c r="G475" s="147">
        <f>F4Ax!G475+F4Bx!G474</f>
        <v>0.09</v>
      </c>
      <c r="H475" s="147">
        <f>F4Ax!H475+F4Bx!H474</f>
        <v>0.11</v>
      </c>
      <c r="I475" s="147">
        <f>F4Ax!I475+F4Bx!I474</f>
        <v>0.32</v>
      </c>
      <c r="J475" s="147">
        <f>F4Ax!J475+F4Bx!J474</f>
        <v>0.44</v>
      </c>
      <c r="K475" s="147">
        <f>F4Ax!K475+F4Bx!K474</f>
        <v>0.41</v>
      </c>
      <c r="L475" s="147">
        <f>F4Ax!L475+F4Bx!L474</f>
        <v>0.54</v>
      </c>
      <c r="M475" s="147">
        <f>F4Ax!M475+F4Bx!M474</f>
        <v>0.31</v>
      </c>
      <c r="N475" s="147">
        <f>F4Ax!N475+F4Bx!N474</f>
        <v>0.72</v>
      </c>
      <c r="O475" s="147">
        <f>F4Ax!O475+F4Bx!O474</f>
        <v>0.82</v>
      </c>
      <c r="P475" s="147">
        <f>F4Ax!P475+F4Bx!P474</f>
        <v>0.84</v>
      </c>
      <c r="Q475" s="316">
        <f t="shared" si="45"/>
        <v>5.27</v>
      </c>
    </row>
    <row r="476" ht="15" spans="3:17">
      <c r="C476" s="55" t="s">
        <v>201</v>
      </c>
      <c r="D476" s="55" t="s">
        <v>202</v>
      </c>
      <c r="E476" s="147">
        <f>F4Ax!E476+F4Bx!E475</f>
        <v>8.16763135</v>
      </c>
      <c r="F476" s="147">
        <f>F4Ax!F476+F4Bx!F475</f>
        <v>3.9381189</v>
      </c>
      <c r="G476" s="147">
        <f>F4Ax!G476+F4Bx!G475</f>
        <v>3.5725566535</v>
      </c>
      <c r="H476" s="147">
        <f>F4Ax!H476+F4Bx!H475</f>
        <v>4.1136285</v>
      </c>
      <c r="I476" s="147">
        <f>F4Ax!I476+F4Bx!I475</f>
        <v>5.66707195</v>
      </c>
      <c r="J476" s="147">
        <f>F4Ax!J476+F4Bx!J475</f>
        <v>8.25390845</v>
      </c>
      <c r="K476" s="147">
        <f>F4Ax!K476+F4Bx!K475</f>
        <v>7.370902408</v>
      </c>
      <c r="L476" s="147">
        <f>F4Ax!L476+F4Bx!L475</f>
        <v>4.66359656399999</v>
      </c>
      <c r="M476" s="147">
        <f>F4Ax!M476+F4Bx!M475</f>
        <v>5.893385067</v>
      </c>
      <c r="N476" s="147">
        <f>F4Ax!N476+F4Bx!N475</f>
        <v>9.550915866</v>
      </c>
      <c r="O476" s="147">
        <f>F4Ax!O476+F4Bx!O475</f>
        <v>10.23269688</v>
      </c>
      <c r="P476" s="147">
        <f>F4Ax!P476+F4Bx!P475</f>
        <v>5.623100366</v>
      </c>
      <c r="Q476" s="316">
        <f t="shared" si="45"/>
        <v>77.0475129545</v>
      </c>
    </row>
    <row r="477" ht="15" spans="3:17">
      <c r="C477" s="55" t="s">
        <v>203</v>
      </c>
      <c r="D477" s="55" t="s">
        <v>204</v>
      </c>
      <c r="E477" s="147">
        <f>F4Ax!E477+F4Bx!E476</f>
        <v>11.70236865</v>
      </c>
      <c r="F477" s="147">
        <f>F4Ax!F477+F4Bx!F476</f>
        <v>11.2118811</v>
      </c>
      <c r="G477" s="147">
        <f>F4Ax!G477+F4Bx!G476</f>
        <v>11.1674433465</v>
      </c>
      <c r="H477" s="147">
        <f>F4Ax!H477+F4Bx!H476</f>
        <v>11.0363715</v>
      </c>
      <c r="I477" s="147">
        <f>F4Ax!I477+F4Bx!I476</f>
        <v>11.11292805</v>
      </c>
      <c r="J477" s="147">
        <f>F4Ax!J477+F4Bx!J476</f>
        <v>10.63609155</v>
      </c>
      <c r="K477" s="147">
        <f>F4Ax!K477+F4Bx!K476</f>
        <v>12.049097592</v>
      </c>
      <c r="L477" s="147">
        <f>F4Ax!L477+F4Bx!L476</f>
        <v>12.826403436</v>
      </c>
      <c r="M477" s="147">
        <f>F4Ax!M477+F4Bx!M476</f>
        <v>12.316614933</v>
      </c>
      <c r="N477" s="147">
        <f>F4Ax!N477+F4Bx!N476</f>
        <v>12.739084134</v>
      </c>
      <c r="O477" s="147">
        <f>F4Ax!O477+F4Bx!O476</f>
        <v>12.65730312</v>
      </c>
      <c r="P477" s="147">
        <f>F4Ax!P477+F4Bx!P476</f>
        <v>17.016899634</v>
      </c>
      <c r="Q477" s="316">
        <f t="shared" si="45"/>
        <v>146.4724870455</v>
      </c>
    </row>
    <row r="478" ht="15" spans="3:17">
      <c r="C478" s="55" t="s">
        <v>205</v>
      </c>
      <c r="D478" s="55" t="s">
        <v>206</v>
      </c>
      <c r="E478" s="147">
        <f>F4Ax!E478+F4Bx!E477</f>
        <v>21.31</v>
      </c>
      <c r="F478" s="147">
        <f>F4Ax!F478+F4Bx!F477</f>
        <v>21.63</v>
      </c>
      <c r="G478" s="147">
        <f>F4Ax!G478+F4Bx!G477</f>
        <v>21.15</v>
      </c>
      <c r="H478" s="147">
        <f>F4Ax!H478+F4Bx!H477</f>
        <v>17.51</v>
      </c>
      <c r="I478" s="147">
        <f>F4Ax!I478+F4Bx!I477</f>
        <v>18.13</v>
      </c>
      <c r="J478" s="147">
        <f>F4Ax!J478+F4Bx!J477</f>
        <v>18.51</v>
      </c>
      <c r="K478" s="147">
        <f>F4Ax!K478+F4Bx!K477</f>
        <v>17.45</v>
      </c>
      <c r="L478" s="147">
        <f>F4Ax!L478+F4Bx!L477</f>
        <v>17.68</v>
      </c>
      <c r="M478" s="147">
        <f>F4Ax!M478+F4Bx!M477</f>
        <v>16.88</v>
      </c>
      <c r="N478" s="147">
        <f>F4Ax!N478+F4Bx!N477</f>
        <v>17.49</v>
      </c>
      <c r="O478" s="147">
        <f>F4Ax!O478+F4Bx!O477</f>
        <v>17.66</v>
      </c>
      <c r="P478" s="147">
        <f>F4Ax!P478+F4Bx!P477</f>
        <v>17.24</v>
      </c>
      <c r="Q478" s="316">
        <f t="shared" si="45"/>
        <v>222.64</v>
      </c>
    </row>
    <row r="479" ht="15" spans="3:17">
      <c r="C479" s="55" t="s">
        <v>207</v>
      </c>
      <c r="D479" s="55" t="s">
        <v>186</v>
      </c>
      <c r="E479" s="147">
        <f>F4Ax!E479+F4Bx!E478</f>
        <v>13.65</v>
      </c>
      <c r="F479" s="147">
        <f>F4Ax!F479+F4Bx!F478</f>
        <v>13.09</v>
      </c>
      <c r="G479" s="147">
        <f>F4Ax!G479+F4Bx!G478</f>
        <v>13.9</v>
      </c>
      <c r="H479" s="147">
        <f>F4Ax!H479+F4Bx!H478</f>
        <v>12.12</v>
      </c>
      <c r="I479" s="147">
        <f>F4Ax!I479+F4Bx!I478</f>
        <v>13.46</v>
      </c>
      <c r="J479" s="147">
        <f>F4Ax!J479+F4Bx!J478</f>
        <v>14.61</v>
      </c>
      <c r="K479" s="147">
        <f>F4Ax!K479+F4Bx!K478</f>
        <v>15.12</v>
      </c>
      <c r="L479" s="147">
        <f>F4Ax!L479+F4Bx!L478</f>
        <v>14.53</v>
      </c>
      <c r="M479" s="147">
        <f>F4Ax!M479+F4Bx!M478</f>
        <v>14.56</v>
      </c>
      <c r="N479" s="147">
        <f>F4Ax!N479+F4Bx!N478</f>
        <v>15.5</v>
      </c>
      <c r="O479" s="147">
        <f>F4Ax!O479+F4Bx!O478</f>
        <v>14.83</v>
      </c>
      <c r="P479" s="147">
        <f>F4Ax!P479+F4Bx!P478</f>
        <v>14.35</v>
      </c>
      <c r="Q479" s="316">
        <f t="shared" si="45"/>
        <v>169.72</v>
      </c>
    </row>
    <row r="480" ht="15" spans="3:17">
      <c r="C480" s="55" t="s">
        <v>208</v>
      </c>
      <c r="D480" s="55" t="s">
        <v>209</v>
      </c>
      <c r="E480" s="147">
        <f>F4Ax!E480+F4Bx!E479</f>
        <v>0</v>
      </c>
      <c r="F480" s="147">
        <f>F4Ax!F480+F4Bx!F479</f>
        <v>0</v>
      </c>
      <c r="G480" s="147">
        <f>F4Ax!G480+F4Bx!G479</f>
        <v>0</v>
      </c>
      <c r="H480" s="147">
        <f>F4Ax!H480+F4Bx!H479</f>
        <v>0</v>
      </c>
      <c r="I480" s="147">
        <f>F4Ax!I480+F4Bx!I479</f>
        <v>0</v>
      </c>
      <c r="J480" s="147">
        <f>F4Ax!J480+F4Bx!J479</f>
        <v>0</v>
      </c>
      <c r="K480" s="147">
        <f>F4Ax!K480+F4Bx!K479</f>
        <v>0</v>
      </c>
      <c r="L480" s="147">
        <f>F4Ax!L480+F4Bx!L479</f>
        <v>0</v>
      </c>
      <c r="M480" s="147">
        <f>F4Ax!M480+F4Bx!M479</f>
        <v>0</v>
      </c>
      <c r="N480" s="147">
        <f>F4Ax!N480+F4Bx!N479</f>
        <v>0</v>
      </c>
      <c r="O480" s="147">
        <f>F4Ax!O480+F4Bx!O479</f>
        <v>0</v>
      </c>
      <c r="P480" s="147">
        <f>F4Ax!P480+F4Bx!P479</f>
        <v>0</v>
      </c>
      <c r="Q480" s="316">
        <f t="shared" si="45"/>
        <v>0</v>
      </c>
    </row>
    <row r="481" ht="15" spans="3:17">
      <c r="C481" s="55" t="s">
        <v>210</v>
      </c>
      <c r="D481" s="55" t="s">
        <v>188</v>
      </c>
      <c r="E481" s="147">
        <f>F4Ax!E481+F4Bx!E480</f>
        <v>0.51</v>
      </c>
      <c r="F481" s="147">
        <f>F4Ax!F481+F4Bx!F480</f>
        <v>0.5</v>
      </c>
      <c r="G481" s="147">
        <f>F4Ax!G481+F4Bx!G480</f>
        <v>0.53</v>
      </c>
      <c r="H481" s="147">
        <f>F4Ax!H481+F4Bx!H480</f>
        <v>0.47</v>
      </c>
      <c r="I481" s="147">
        <f>F4Ax!I481+F4Bx!I480</f>
        <v>0.46</v>
      </c>
      <c r="J481" s="147">
        <f>F4Ax!J481+F4Bx!J480</f>
        <v>0.49</v>
      </c>
      <c r="K481" s="147">
        <f>F4Ax!K481+F4Bx!K480</f>
        <v>1.5</v>
      </c>
      <c r="L481" s="147">
        <f>F4Ax!L481+F4Bx!L480</f>
        <v>0.47</v>
      </c>
      <c r="M481" s="147">
        <f>F4Ax!M481+F4Bx!M480</f>
        <v>0.48</v>
      </c>
      <c r="N481" s="147">
        <f>F4Ax!N481+F4Bx!N480</f>
        <v>0.45</v>
      </c>
      <c r="O481" s="147">
        <f>F4Ax!O481+F4Bx!O480</f>
        <v>0.42</v>
      </c>
      <c r="P481" s="147">
        <f>F4Ax!P481+F4Bx!P480</f>
        <v>0.43</v>
      </c>
      <c r="Q481" s="316">
        <f t="shared" si="45"/>
        <v>6.71</v>
      </c>
    </row>
    <row r="482" ht="15" spans="3:17">
      <c r="C482" s="55"/>
      <c r="D482" s="55"/>
      <c r="E482" s="147">
        <f>F4Ax!E482+F4Bx!E481</f>
        <v>0</v>
      </c>
      <c r="F482" s="147">
        <f>F4Ax!F482+F4Bx!F481</f>
        <v>0</v>
      </c>
      <c r="G482" s="147">
        <f>F4Ax!G482+F4Bx!G481</f>
        <v>0</v>
      </c>
      <c r="H482" s="147">
        <f>F4Ax!H482+F4Bx!H481</f>
        <v>0</v>
      </c>
      <c r="I482" s="147">
        <f>F4Ax!I482+F4Bx!I481</f>
        <v>0</v>
      </c>
      <c r="J482" s="147">
        <f>F4Ax!J482+F4Bx!J481</f>
        <v>0</v>
      </c>
      <c r="K482" s="147">
        <f>F4Ax!K482+F4Bx!K481</f>
        <v>0</v>
      </c>
      <c r="L482" s="147">
        <f>F4Ax!L482+F4Bx!L481</f>
        <v>0</v>
      </c>
      <c r="M482" s="147">
        <f>F4Ax!M482+F4Bx!M481</f>
        <v>0</v>
      </c>
      <c r="N482" s="147">
        <f>F4Ax!N482+F4Bx!N481</f>
        <v>0</v>
      </c>
      <c r="O482" s="147">
        <f>F4Ax!O482+F4Bx!O481</f>
        <v>0</v>
      </c>
      <c r="P482" s="147">
        <f>F4Ax!P482+F4Bx!P481</f>
        <v>0</v>
      </c>
      <c r="Q482" s="316">
        <f t="shared" si="45"/>
        <v>0</v>
      </c>
    </row>
    <row r="483" ht="15" spans="3:17">
      <c r="C483" s="55"/>
      <c r="D483" s="55"/>
      <c r="E483" s="147">
        <f>F4Ax!E483+F4Bx!E482</f>
        <v>0</v>
      </c>
      <c r="F483" s="147">
        <f>F4Ax!F483+F4Bx!F482</f>
        <v>0</v>
      </c>
      <c r="G483" s="147">
        <f>F4Ax!G483+F4Bx!G482</f>
        <v>0</v>
      </c>
      <c r="H483" s="147">
        <f>F4Ax!H483+F4Bx!H482</f>
        <v>0</v>
      </c>
      <c r="I483" s="147">
        <f>F4Ax!I483+F4Bx!I482</f>
        <v>0</v>
      </c>
      <c r="J483" s="147">
        <f>F4Ax!J483+F4Bx!J482</f>
        <v>0</v>
      </c>
      <c r="K483" s="147">
        <f>F4Ax!K483+F4Bx!K482</f>
        <v>0</v>
      </c>
      <c r="L483" s="147">
        <f>F4Ax!L483+F4Bx!L482</f>
        <v>0</v>
      </c>
      <c r="M483" s="147">
        <f>F4Ax!M483+F4Bx!M482</f>
        <v>0</v>
      </c>
      <c r="N483" s="147">
        <f>F4Ax!N483+F4Bx!N482</f>
        <v>0</v>
      </c>
      <c r="O483" s="147">
        <f>F4Ax!O483+F4Bx!O482</f>
        <v>0</v>
      </c>
      <c r="P483" s="147">
        <f>F4Ax!P483+F4Bx!P482</f>
        <v>0</v>
      </c>
      <c r="Q483" s="316">
        <f t="shared" si="45"/>
        <v>0</v>
      </c>
    </row>
    <row r="484" ht="15" spans="3:17">
      <c r="C484" s="55"/>
      <c r="D484" s="55"/>
      <c r="E484" s="147">
        <f>F4Ax!E484+F4Bx!E483</f>
        <v>0</v>
      </c>
      <c r="F484" s="147">
        <f>F4Ax!F484+F4Bx!F483</f>
        <v>0</v>
      </c>
      <c r="G484" s="147">
        <f>F4Ax!G484+F4Bx!G483</f>
        <v>0</v>
      </c>
      <c r="H484" s="147">
        <f>F4Ax!H484+F4Bx!H483</f>
        <v>0</v>
      </c>
      <c r="I484" s="147">
        <f>F4Ax!I484+F4Bx!I483</f>
        <v>0</v>
      </c>
      <c r="J484" s="147">
        <f>F4Ax!J484+F4Bx!J483</f>
        <v>0</v>
      </c>
      <c r="K484" s="147">
        <f>F4Ax!K484+F4Bx!K483</f>
        <v>0</v>
      </c>
      <c r="L484" s="147">
        <f>F4Ax!L484+F4Bx!L483</f>
        <v>0</v>
      </c>
      <c r="M484" s="147">
        <f>F4Ax!M484+F4Bx!M483</f>
        <v>0</v>
      </c>
      <c r="N484" s="147">
        <f>F4Ax!N484+F4Bx!N483</f>
        <v>0</v>
      </c>
      <c r="O484" s="147">
        <f>F4Ax!O484+F4Bx!O483</f>
        <v>0</v>
      </c>
      <c r="P484" s="147">
        <f>F4Ax!P484+F4Bx!P483</f>
        <v>0</v>
      </c>
      <c r="Q484" s="316">
        <f t="shared" si="45"/>
        <v>0</v>
      </c>
    </row>
    <row r="485" ht="15" spans="3:17">
      <c r="C485" s="55" t="s">
        <v>258</v>
      </c>
      <c r="D485" s="55" t="s">
        <v>258</v>
      </c>
      <c r="E485" s="147">
        <f>F4Ax!E485+F4Bx!E484</f>
        <v>0</v>
      </c>
      <c r="F485" s="147">
        <f>F4Ax!F485+F4Bx!F484</f>
        <v>0</v>
      </c>
      <c r="G485" s="147">
        <f>F4Ax!G485+F4Bx!G484</f>
        <v>0</v>
      </c>
      <c r="H485" s="147">
        <f>F4Ax!H485+F4Bx!H484</f>
        <v>0</v>
      </c>
      <c r="I485" s="147">
        <f>F4Ax!I485+F4Bx!I484</f>
        <v>0</v>
      </c>
      <c r="J485" s="147">
        <f>F4Ax!J485+F4Bx!J484</f>
        <v>0</v>
      </c>
      <c r="K485" s="147">
        <f>F4Ax!K485+F4Bx!K484</f>
        <v>0</v>
      </c>
      <c r="L485" s="147">
        <f>F4Ax!L485+F4Bx!L484</f>
        <v>0</v>
      </c>
      <c r="M485" s="147">
        <f>F4Ax!M485+F4Bx!M484</f>
        <v>0</v>
      </c>
      <c r="N485" s="147">
        <f>F4Ax!N485+F4Bx!N484</f>
        <v>0</v>
      </c>
      <c r="O485" s="147">
        <f>F4Ax!O485+F4Bx!O484</f>
        <v>0</v>
      </c>
      <c r="P485" s="147">
        <f>F4Ax!P485+F4Bx!P484</f>
        <v>0</v>
      </c>
      <c r="Q485" s="316">
        <f t="shared" si="45"/>
        <v>0</v>
      </c>
    </row>
    <row r="486" ht="15" spans="3:17">
      <c r="C486" s="537" t="s">
        <v>211</v>
      </c>
      <c r="D486" s="540"/>
      <c r="E486" s="316">
        <f t="shared" ref="E486:P486" si="47">SUM(E471:E485)</f>
        <v>627.481472121657</v>
      </c>
      <c r="F486" s="316">
        <f t="shared" si="47"/>
        <v>607.615691503414</v>
      </c>
      <c r="G486" s="316">
        <f t="shared" si="47"/>
        <v>622.752912769371</v>
      </c>
      <c r="H486" s="316">
        <f t="shared" si="47"/>
        <v>576.297919640091</v>
      </c>
      <c r="I486" s="316">
        <f t="shared" si="47"/>
        <v>605.954623817609</v>
      </c>
      <c r="J486" s="316">
        <f t="shared" si="47"/>
        <v>595.807052299666</v>
      </c>
      <c r="K486" s="316">
        <f t="shared" si="47"/>
        <v>594.722833481436</v>
      </c>
      <c r="L486" s="316">
        <f t="shared" si="47"/>
        <v>615.957105079941</v>
      </c>
      <c r="M486" s="316">
        <f t="shared" si="47"/>
        <v>620.95100079582</v>
      </c>
      <c r="N486" s="316">
        <f t="shared" si="47"/>
        <v>634.480737665289</v>
      </c>
      <c r="O486" s="316">
        <f t="shared" si="47"/>
        <v>643.288477296604</v>
      </c>
      <c r="P486" s="316">
        <f t="shared" si="47"/>
        <v>708.600394244506</v>
      </c>
      <c r="Q486" s="316">
        <f t="shared" si="45"/>
        <v>7453.9102207154</v>
      </c>
    </row>
    <row r="487" ht="15" spans="3:17">
      <c r="C487" s="44" t="s">
        <v>212</v>
      </c>
      <c r="D487" s="45"/>
      <c r="E487" s="147"/>
      <c r="F487" s="147"/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316">
        <f t="shared" ref="Q487:Q518" si="48">SUM(E487:P487)</f>
        <v>0</v>
      </c>
    </row>
    <row r="488" ht="15" spans="3:17">
      <c r="C488" s="55" t="s">
        <v>191</v>
      </c>
      <c r="D488" s="55" t="s">
        <v>192</v>
      </c>
      <c r="E488" s="147">
        <f>F4Ax!E488+F4Bx!E487</f>
        <v>471.139963686684</v>
      </c>
      <c r="F488" s="147">
        <f>F4Ax!F488+F4Bx!F487</f>
        <v>451.049963686684</v>
      </c>
      <c r="G488" s="147">
        <f>F4Ax!G488+F4Bx!G487</f>
        <v>464.319963686683</v>
      </c>
      <c r="H488" s="147">
        <f>F4Ax!H488+F4Bx!H487</f>
        <v>444.329963686683</v>
      </c>
      <c r="I488" s="147">
        <f>F4Ax!I488+F4Bx!I487</f>
        <v>444.819963686684</v>
      </c>
      <c r="J488" s="147">
        <f>F4Ax!J488+F4Bx!J487</f>
        <v>462.079963686683</v>
      </c>
      <c r="K488" s="147">
        <f>F4Ax!K488+F4Bx!K487</f>
        <v>587.269963686683</v>
      </c>
      <c r="L488" s="147">
        <f>F4Ax!L488+F4Bx!L487</f>
        <v>537.399963686684</v>
      </c>
      <c r="M488" s="147">
        <f>F4Ax!M488+F4Bx!M487</f>
        <v>543.759963686683</v>
      </c>
      <c r="N488" s="147">
        <f>F4Ax!N488+F4Bx!N487</f>
        <v>547.099963686684</v>
      </c>
      <c r="O488" s="147">
        <f>F4Ax!O488+F4Bx!O487</f>
        <v>564.129963686683</v>
      </c>
      <c r="P488" s="147">
        <f>F4Ax!P488+F4Bx!P487</f>
        <v>554.739963686683</v>
      </c>
      <c r="Q488" s="316">
        <f t="shared" si="48"/>
        <v>6072.1395642402</v>
      </c>
    </row>
    <row r="489" ht="15" spans="3:17">
      <c r="C489" s="55" t="s">
        <v>193</v>
      </c>
      <c r="D489" s="55" t="s">
        <v>194</v>
      </c>
      <c r="E489" s="147">
        <f>F4Ax!E489+F4Bx!E488</f>
        <v>0</v>
      </c>
      <c r="F489" s="147">
        <f>F4Ax!F489+F4Bx!F488</f>
        <v>0</v>
      </c>
      <c r="G489" s="147">
        <f>F4Ax!G489+F4Bx!G488</f>
        <v>0</v>
      </c>
      <c r="H489" s="147">
        <f>F4Ax!H489+F4Bx!H488</f>
        <v>0</v>
      </c>
      <c r="I489" s="147">
        <f>F4Ax!I489+F4Bx!I488</f>
        <v>0</v>
      </c>
      <c r="J489" s="147">
        <f>F4Ax!J489+F4Bx!J488</f>
        <v>0</v>
      </c>
      <c r="K489" s="147">
        <f>F4Ax!K489+F4Bx!K488</f>
        <v>0</v>
      </c>
      <c r="L489" s="147">
        <f>F4Ax!L489+F4Bx!L488</f>
        <v>0</v>
      </c>
      <c r="M489" s="147">
        <f>F4Ax!M489+F4Bx!M488</f>
        <v>0</v>
      </c>
      <c r="N489" s="147">
        <f>F4Ax!N489+F4Bx!N488</f>
        <v>0</v>
      </c>
      <c r="O489" s="147">
        <f>F4Ax!O489+F4Bx!O488</f>
        <v>0</v>
      </c>
      <c r="P489" s="147">
        <f>F4Ax!P489+F4Bx!P488</f>
        <v>0</v>
      </c>
      <c r="Q489" s="316">
        <f t="shared" si="48"/>
        <v>0</v>
      </c>
    </row>
    <row r="490" ht="15" spans="3:17">
      <c r="C490" s="55" t="s">
        <v>239</v>
      </c>
      <c r="D490" s="55" t="s">
        <v>196</v>
      </c>
      <c r="E490" s="147">
        <f>F4Ax!E490+F4Bx!E489</f>
        <v>134.282740817244</v>
      </c>
      <c r="F490" s="147">
        <f>F4Ax!F490+F4Bx!F489</f>
        <v>144.842059252767</v>
      </c>
      <c r="G490" s="147">
        <f>F4Ax!G490+F4Bx!G489</f>
        <v>144.081584642054</v>
      </c>
      <c r="H490" s="147">
        <f>F4Ax!H490+F4Bx!H489</f>
        <v>134.172733883409</v>
      </c>
      <c r="I490" s="147">
        <f>F4Ax!I490+F4Bx!I489</f>
        <v>136.020102391575</v>
      </c>
      <c r="J490" s="147">
        <f>F4Ax!J490+F4Bx!J489</f>
        <v>128.510207320309</v>
      </c>
      <c r="K490" s="147">
        <f>F4Ax!K490+F4Bx!K489</f>
        <v>123.785520807118</v>
      </c>
      <c r="L490" s="147">
        <f>F4Ax!L490+F4Bx!L489</f>
        <v>121.801162250533</v>
      </c>
      <c r="M490" s="147">
        <f>F4Ax!M490+F4Bx!M489</f>
        <v>118.514237461129</v>
      </c>
      <c r="N490" s="147">
        <f>F4Ax!N490+F4Bx!N489</f>
        <v>121.602861015898</v>
      </c>
      <c r="O490" s="147">
        <f>F4Ax!O490+F4Bx!O489</f>
        <v>124.890372778488</v>
      </c>
      <c r="P490" s="147">
        <f>F4Ax!P490+F4Bx!P489</f>
        <v>185.456108669798</v>
      </c>
      <c r="Q490" s="316">
        <f t="shared" si="48"/>
        <v>1617.95969129032</v>
      </c>
    </row>
    <row r="491" ht="15" spans="3:17">
      <c r="C491" s="55" t="s">
        <v>197</v>
      </c>
      <c r="D491" s="55" t="s">
        <v>198</v>
      </c>
      <c r="E491" s="147">
        <f>F4Ax!E491+F4Bx!E490</f>
        <v>0.188444019671994</v>
      </c>
      <c r="F491" s="147">
        <f>F4Ax!F491+F4Bx!F490</f>
        <v>0.201919672415988</v>
      </c>
      <c r="G491" s="147">
        <f>F4Ax!G491+F4Bx!G490</f>
        <v>0.216670671998923</v>
      </c>
      <c r="H491" s="147">
        <f>F4Ax!H491+F4Bx!H490</f>
        <v>0.1948207538667</v>
      </c>
      <c r="I491" s="147">
        <f>F4Ax!I491+F4Bx!I490</f>
        <v>0.203425503623412</v>
      </c>
      <c r="J491" s="147">
        <f>F4Ax!J491+F4Bx!J490</f>
        <v>0.217193103234152</v>
      </c>
      <c r="K491" s="147">
        <f>F4Ax!K491+F4Bx!K490</f>
        <v>0.175921035651065</v>
      </c>
      <c r="L491" s="147">
        <f>F4Ax!L491+F4Bx!L490</f>
        <v>0.171403542028791</v>
      </c>
      <c r="M491" s="147">
        <f>F4Ax!M491+F4Bx!M490</f>
        <v>0.167700426508492</v>
      </c>
      <c r="N491" s="147">
        <f>F4Ax!N491+F4Bx!N490</f>
        <v>0.161969048545539</v>
      </c>
      <c r="O491" s="147">
        <f>F4Ax!O491+F4Bx!O490</f>
        <v>0.157804964288273</v>
      </c>
      <c r="P491" s="147">
        <f>F4Ax!P491+F4Bx!P490</f>
        <v>0.160109807973106</v>
      </c>
      <c r="Q491" s="316">
        <f t="shared" si="48"/>
        <v>2.21738254980644</v>
      </c>
    </row>
    <row r="492" ht="15" spans="3:17">
      <c r="C492" s="55" t="s">
        <v>199</v>
      </c>
      <c r="D492" s="55" t="s">
        <v>200</v>
      </c>
      <c r="E492" s="147">
        <f>F4Ax!E492+F4Bx!E491</f>
        <v>0</v>
      </c>
      <c r="F492" s="147">
        <f>F4Ax!F492+F4Bx!F491</f>
        <v>0</v>
      </c>
      <c r="G492" s="147">
        <f>F4Ax!G492+F4Bx!G491</f>
        <v>0</v>
      </c>
      <c r="H492" s="147">
        <f>F4Ax!H492+F4Bx!H491</f>
        <v>0</v>
      </c>
      <c r="I492" s="147">
        <f>F4Ax!I492+F4Bx!I491</f>
        <v>0</v>
      </c>
      <c r="J492" s="147">
        <f>F4Ax!J492+F4Bx!J491</f>
        <v>0</v>
      </c>
      <c r="K492" s="147">
        <f>F4Ax!K492+F4Bx!K491</f>
        <v>0</v>
      </c>
      <c r="L492" s="147">
        <f>F4Ax!L492+F4Bx!L491</f>
        <v>0</v>
      </c>
      <c r="M492" s="147">
        <f>F4Ax!M492+F4Bx!M491</f>
        <v>0</v>
      </c>
      <c r="N492" s="147">
        <f>F4Ax!N492+F4Bx!N491</f>
        <v>0</v>
      </c>
      <c r="O492" s="147">
        <f>F4Ax!O492+F4Bx!O491</f>
        <v>0</v>
      </c>
      <c r="P492" s="147">
        <f>F4Ax!P492+F4Bx!P491</f>
        <v>0</v>
      </c>
      <c r="Q492" s="316">
        <f t="shared" si="48"/>
        <v>0</v>
      </c>
    </row>
    <row r="493" ht="15" spans="3:17">
      <c r="C493" s="55" t="s">
        <v>201</v>
      </c>
      <c r="D493" s="55" t="s">
        <v>202</v>
      </c>
      <c r="E493" s="147">
        <f>F4Ax!E493+F4Bx!E492</f>
        <v>6.79046315485667</v>
      </c>
      <c r="F493" s="147">
        <f>F4Ax!F493+F4Bx!F492</f>
        <v>3.40113948189211</v>
      </c>
      <c r="G493" s="147">
        <f>F4Ax!G493+F4Bx!G492</f>
        <v>3.23818773340856</v>
      </c>
      <c r="H493" s="147">
        <f>F4Ax!H493+F4Bx!H492</f>
        <v>4.7221664565431</v>
      </c>
      <c r="I493" s="147">
        <f>F4Ax!I493+F4Bx!I492</f>
        <v>3.17033804946783</v>
      </c>
      <c r="J493" s="147">
        <f>F4Ax!J493+F4Bx!J492</f>
        <v>7.3763809922646</v>
      </c>
      <c r="K493" s="147">
        <f>F4Ax!K493+F4Bx!K492</f>
        <v>6.01735159180814</v>
      </c>
      <c r="L493" s="147">
        <f>F4Ax!L493+F4Bx!L492</f>
        <v>-4.22503826467746</v>
      </c>
      <c r="M493" s="147">
        <f>F4Ax!M493+F4Bx!M492</f>
        <v>4.19794994446079</v>
      </c>
      <c r="N493" s="147">
        <f>F4Ax!N493+F4Bx!N492</f>
        <v>11.6679318056761</v>
      </c>
      <c r="O493" s="147">
        <f>F4Ax!O493+F4Bx!O492</f>
        <v>8.22187962063716</v>
      </c>
      <c r="P493" s="147">
        <f>F4Ax!P493+F4Bx!P492</f>
        <v>-0.584243698115751</v>
      </c>
      <c r="Q493" s="316">
        <f t="shared" si="48"/>
        <v>53.9945068682218</v>
      </c>
    </row>
    <row r="494" ht="15" spans="3:17">
      <c r="C494" s="55" t="s">
        <v>203</v>
      </c>
      <c r="D494" s="55" t="s">
        <v>204</v>
      </c>
      <c r="E494" s="147">
        <f>F4Ax!E494+F4Bx!E493</f>
        <v>21.1695368451433</v>
      </c>
      <c r="F494" s="147">
        <f>F4Ax!F494+F4Bx!F493</f>
        <v>21.9488605181079</v>
      </c>
      <c r="G494" s="147">
        <f>F4Ax!G494+F4Bx!G493</f>
        <v>20.8218122665914</v>
      </c>
      <c r="H494" s="147">
        <f>F4Ax!H494+F4Bx!H493</f>
        <v>20.9578335434569</v>
      </c>
      <c r="I494" s="147">
        <f>F4Ax!I494+F4Bx!I493</f>
        <v>22.7296619505322</v>
      </c>
      <c r="J494" s="147">
        <f>F4Ax!J494+F4Bx!J493</f>
        <v>21.3536190077354</v>
      </c>
      <c r="K494" s="147">
        <f>F4Ax!K494+F4Bx!K493</f>
        <v>21.6326484081919</v>
      </c>
      <c r="L494" s="147">
        <f>F4Ax!L494+F4Bx!L493</f>
        <v>22.0350382646775</v>
      </c>
      <c r="M494" s="147">
        <f>F4Ax!M494+F4Bx!M493</f>
        <v>21.7220500555392</v>
      </c>
      <c r="N494" s="147">
        <f>F4Ax!N494+F4Bx!N493</f>
        <v>20.1320681943239</v>
      </c>
      <c r="O494" s="147">
        <f>F4Ax!O494+F4Bx!O493</f>
        <v>22.9281203793628</v>
      </c>
      <c r="P494" s="147">
        <f>F4Ax!P494+F4Bx!P493</f>
        <v>29.1942436981157</v>
      </c>
      <c r="Q494" s="316">
        <f t="shared" si="48"/>
        <v>266.625493131778</v>
      </c>
    </row>
    <row r="495" ht="15" spans="3:17">
      <c r="C495" s="55" t="s">
        <v>205</v>
      </c>
      <c r="D495" s="55" t="s">
        <v>206</v>
      </c>
      <c r="E495" s="147">
        <f>F4Ax!E495+F4Bx!E494</f>
        <v>15.1</v>
      </c>
      <c r="F495" s="147">
        <f>F4Ax!F495+F4Bx!F494</f>
        <v>15.71</v>
      </c>
      <c r="G495" s="147">
        <f>F4Ax!G495+F4Bx!G494</f>
        <v>15.85</v>
      </c>
      <c r="H495" s="147">
        <f>F4Ax!H495+F4Bx!H494</f>
        <v>12.47</v>
      </c>
      <c r="I495" s="147">
        <f>F4Ax!I495+F4Bx!I494</f>
        <v>13</v>
      </c>
      <c r="J495" s="147">
        <f>F4Ax!J495+F4Bx!J494</f>
        <v>13.9</v>
      </c>
      <c r="K495" s="147">
        <f>F4Ax!K495+F4Bx!K494</f>
        <v>11.52</v>
      </c>
      <c r="L495" s="147">
        <f>F4Ax!L495+F4Bx!L494</f>
        <v>10.85</v>
      </c>
      <c r="M495" s="147">
        <f>F4Ax!M495+F4Bx!M494</f>
        <v>10.48</v>
      </c>
      <c r="N495" s="147">
        <f>F4Ax!N495+F4Bx!N494</f>
        <v>10.2</v>
      </c>
      <c r="O495" s="147">
        <f>F4Ax!O495+F4Bx!O494</f>
        <v>10.15</v>
      </c>
      <c r="P495" s="147">
        <f>F4Ax!P495+F4Bx!P494</f>
        <v>10.89</v>
      </c>
      <c r="Q495" s="316">
        <f t="shared" si="48"/>
        <v>150.12</v>
      </c>
    </row>
    <row r="496" ht="15" spans="3:17">
      <c r="C496" s="55" t="s">
        <v>231</v>
      </c>
      <c r="D496" s="55" t="s">
        <v>186</v>
      </c>
      <c r="E496" s="147">
        <f>F4Ax!E496+F4Bx!E495</f>
        <v>3.41</v>
      </c>
      <c r="F496" s="147">
        <f>F4Ax!F496+F4Bx!F495</f>
        <v>2.23</v>
      </c>
      <c r="G496" s="147">
        <f>F4Ax!G496+F4Bx!G495</f>
        <v>2.51</v>
      </c>
      <c r="H496" s="147">
        <f>F4Ax!H496+F4Bx!H495</f>
        <v>3.04</v>
      </c>
      <c r="I496" s="147">
        <f>F4Ax!I496+F4Bx!I495</f>
        <v>3.31</v>
      </c>
      <c r="J496" s="147">
        <f>F4Ax!J496+F4Bx!J495</f>
        <v>4.04</v>
      </c>
      <c r="K496" s="147">
        <f>F4Ax!K496+F4Bx!K495</f>
        <v>4.58</v>
      </c>
      <c r="L496" s="147">
        <f>F4Ax!L496+F4Bx!L495</f>
        <v>4.35</v>
      </c>
      <c r="M496" s="147">
        <f>F4Ax!M496+F4Bx!M495</f>
        <v>4.84</v>
      </c>
      <c r="N496" s="147">
        <f>F4Ax!N496+F4Bx!N495</f>
        <v>4.49</v>
      </c>
      <c r="O496" s="147">
        <f>F4Ax!O496+F4Bx!O495</f>
        <v>4.13</v>
      </c>
      <c r="P496" s="147">
        <f>F4Ax!P496+F4Bx!P495</f>
        <v>3.53</v>
      </c>
      <c r="Q496" s="316">
        <f t="shared" si="48"/>
        <v>44.46</v>
      </c>
    </row>
    <row r="497" ht="15" spans="3:17">
      <c r="C497" s="55" t="s">
        <v>208</v>
      </c>
      <c r="D497" s="55" t="s">
        <v>209</v>
      </c>
      <c r="E497" s="147">
        <f>F4Ax!E497+F4Bx!E496</f>
        <v>0</v>
      </c>
      <c r="F497" s="147">
        <f>F4Ax!F497+F4Bx!F496</f>
        <v>0</v>
      </c>
      <c r="G497" s="147">
        <f>F4Ax!G497+F4Bx!G496</f>
        <v>0</v>
      </c>
      <c r="H497" s="147">
        <f>F4Ax!H497+F4Bx!H496</f>
        <v>0</v>
      </c>
      <c r="I497" s="147">
        <f>F4Ax!I497+F4Bx!I496</f>
        <v>0</v>
      </c>
      <c r="J497" s="147">
        <f>F4Ax!J497+F4Bx!J496</f>
        <v>0</v>
      </c>
      <c r="K497" s="147">
        <f>F4Ax!K497+F4Bx!K496</f>
        <v>0</v>
      </c>
      <c r="L497" s="147">
        <f>F4Ax!L497+F4Bx!L496</f>
        <v>0</v>
      </c>
      <c r="M497" s="147">
        <f>F4Ax!M497+F4Bx!M496</f>
        <v>0</v>
      </c>
      <c r="N497" s="147">
        <f>F4Ax!N497+F4Bx!N496</f>
        <v>0</v>
      </c>
      <c r="O497" s="147">
        <f>F4Ax!O497+F4Bx!O496</f>
        <v>0</v>
      </c>
      <c r="P497" s="147">
        <f>F4Ax!P497+F4Bx!P496</f>
        <v>0</v>
      </c>
      <c r="Q497" s="316">
        <f t="shared" si="48"/>
        <v>0</v>
      </c>
    </row>
    <row r="498" ht="15" spans="3:17">
      <c r="C498" s="55" t="s">
        <v>210</v>
      </c>
      <c r="D498" s="55" t="s">
        <v>188</v>
      </c>
      <c r="E498" s="147">
        <f>F4Ax!E498+F4Bx!E497</f>
        <v>0</v>
      </c>
      <c r="F498" s="147">
        <f>F4Ax!F498+F4Bx!F497</f>
        <v>0</v>
      </c>
      <c r="G498" s="147">
        <f>F4Ax!G498+F4Bx!G497</f>
        <v>0</v>
      </c>
      <c r="H498" s="147">
        <f>F4Ax!H498+F4Bx!H497</f>
        <v>0</v>
      </c>
      <c r="I498" s="147">
        <f>F4Ax!I498+F4Bx!I497</f>
        <v>0</v>
      </c>
      <c r="J498" s="147">
        <f>F4Ax!J498+F4Bx!J497</f>
        <v>0</v>
      </c>
      <c r="K498" s="147">
        <f>F4Ax!K498+F4Bx!K497</f>
        <v>0</v>
      </c>
      <c r="L498" s="147">
        <f>F4Ax!L498+F4Bx!L497</f>
        <v>0</v>
      </c>
      <c r="M498" s="147">
        <f>F4Ax!M498+F4Bx!M497</f>
        <v>0</v>
      </c>
      <c r="N498" s="147">
        <f>F4Ax!N498+F4Bx!N497</f>
        <v>0</v>
      </c>
      <c r="O498" s="147">
        <f>F4Ax!O498+F4Bx!O497</f>
        <v>0</v>
      </c>
      <c r="P498" s="147">
        <f>F4Ax!P498+F4Bx!P497</f>
        <v>0</v>
      </c>
      <c r="Q498" s="316">
        <f t="shared" si="48"/>
        <v>0</v>
      </c>
    </row>
    <row r="499" ht="15" spans="3:17">
      <c r="C499" s="55"/>
      <c r="D499" s="55"/>
      <c r="E499" s="147">
        <f>F4Ax!E499+F4Bx!E498</f>
        <v>0</v>
      </c>
      <c r="F499" s="147">
        <f>F4Ax!F499+F4Bx!F498</f>
        <v>0</v>
      </c>
      <c r="G499" s="147">
        <f>F4Ax!G499+F4Bx!G498</f>
        <v>0</v>
      </c>
      <c r="H499" s="147">
        <f>F4Ax!H499+F4Bx!H498</f>
        <v>0</v>
      </c>
      <c r="I499" s="147">
        <f>F4Ax!I499+F4Bx!I498</f>
        <v>0</v>
      </c>
      <c r="J499" s="147">
        <f>F4Ax!J499+F4Bx!J498</f>
        <v>0</v>
      </c>
      <c r="K499" s="147">
        <f>F4Ax!K499+F4Bx!K498</f>
        <v>0</v>
      </c>
      <c r="L499" s="147">
        <f>F4Ax!L499+F4Bx!L498</f>
        <v>0</v>
      </c>
      <c r="M499" s="147">
        <f>F4Ax!M499+F4Bx!M498</f>
        <v>0</v>
      </c>
      <c r="N499" s="147">
        <f>F4Ax!N499+F4Bx!N498</f>
        <v>0</v>
      </c>
      <c r="O499" s="147">
        <f>F4Ax!O499+F4Bx!O498</f>
        <v>0</v>
      </c>
      <c r="P499" s="147">
        <f>F4Ax!P499+F4Bx!P498</f>
        <v>0</v>
      </c>
      <c r="Q499" s="316">
        <f t="shared" si="48"/>
        <v>0</v>
      </c>
    </row>
    <row r="500" ht="15" spans="3:17">
      <c r="C500" s="55"/>
      <c r="D500" s="55"/>
      <c r="E500" s="147">
        <f>F4Ax!E500+F4Bx!E499</f>
        <v>0</v>
      </c>
      <c r="F500" s="147">
        <f>F4Ax!F500+F4Bx!F499</f>
        <v>0</v>
      </c>
      <c r="G500" s="147">
        <f>F4Ax!G500+F4Bx!G499</f>
        <v>0</v>
      </c>
      <c r="H500" s="147">
        <f>F4Ax!H500+F4Bx!H499</f>
        <v>0</v>
      </c>
      <c r="I500" s="147">
        <f>F4Ax!I500+F4Bx!I499</f>
        <v>0</v>
      </c>
      <c r="J500" s="147">
        <f>F4Ax!J500+F4Bx!J499</f>
        <v>0</v>
      </c>
      <c r="K500" s="147">
        <f>F4Ax!K500+F4Bx!K499</f>
        <v>0</v>
      </c>
      <c r="L500" s="147">
        <f>F4Ax!L500+F4Bx!L499</f>
        <v>0</v>
      </c>
      <c r="M500" s="147">
        <f>F4Ax!M500+F4Bx!M499</f>
        <v>0</v>
      </c>
      <c r="N500" s="147">
        <f>F4Ax!N500+F4Bx!N499</f>
        <v>0</v>
      </c>
      <c r="O500" s="147">
        <f>F4Ax!O500+F4Bx!O499</f>
        <v>0</v>
      </c>
      <c r="P500" s="147">
        <f>F4Ax!P500+F4Bx!P499</f>
        <v>0</v>
      </c>
      <c r="Q500" s="316">
        <f t="shared" si="48"/>
        <v>0</v>
      </c>
    </row>
    <row r="501" ht="15" spans="3:17">
      <c r="C501" s="55"/>
      <c r="D501" s="55"/>
      <c r="E501" s="147">
        <f>F4Ax!E501+F4Bx!E500</f>
        <v>0</v>
      </c>
      <c r="F501" s="147">
        <f>F4Ax!F501+F4Bx!F500</f>
        <v>0</v>
      </c>
      <c r="G501" s="147">
        <f>F4Ax!G501+F4Bx!G500</f>
        <v>0</v>
      </c>
      <c r="H501" s="147">
        <f>F4Ax!H501+F4Bx!H500</f>
        <v>0</v>
      </c>
      <c r="I501" s="147">
        <f>F4Ax!I501+F4Bx!I500</f>
        <v>0</v>
      </c>
      <c r="J501" s="147">
        <f>F4Ax!J501+F4Bx!J500</f>
        <v>0</v>
      </c>
      <c r="K501" s="147">
        <f>F4Ax!K501+F4Bx!K500</f>
        <v>0</v>
      </c>
      <c r="L501" s="147">
        <f>F4Ax!L501+F4Bx!L500</f>
        <v>0</v>
      </c>
      <c r="M501" s="147">
        <f>F4Ax!M501+F4Bx!M500</f>
        <v>0</v>
      </c>
      <c r="N501" s="147">
        <f>F4Ax!N501+F4Bx!N500</f>
        <v>0</v>
      </c>
      <c r="O501" s="147">
        <f>F4Ax!O501+F4Bx!O500</f>
        <v>0</v>
      </c>
      <c r="P501" s="147">
        <f>F4Ax!P501+F4Bx!P500</f>
        <v>0</v>
      </c>
      <c r="Q501" s="316">
        <f t="shared" si="48"/>
        <v>0</v>
      </c>
    </row>
    <row r="502" ht="15" spans="3:17">
      <c r="C502" s="55" t="s">
        <v>258</v>
      </c>
      <c r="D502" s="55" t="s">
        <v>258</v>
      </c>
      <c r="E502" s="147">
        <f>F4Ax!E502+F4Bx!E501</f>
        <v>0</v>
      </c>
      <c r="F502" s="147">
        <f>F4Ax!F502+F4Bx!F501</f>
        <v>0</v>
      </c>
      <c r="G502" s="147">
        <f>F4Ax!G502+F4Bx!G501</f>
        <v>0</v>
      </c>
      <c r="H502" s="147">
        <f>F4Ax!H502+F4Bx!H501</f>
        <v>0</v>
      </c>
      <c r="I502" s="147">
        <f>F4Ax!I502+F4Bx!I501</f>
        <v>0</v>
      </c>
      <c r="J502" s="147">
        <f>F4Ax!J502+F4Bx!J501</f>
        <v>0</v>
      </c>
      <c r="K502" s="147">
        <f>F4Ax!K502+F4Bx!K501</f>
        <v>0</v>
      </c>
      <c r="L502" s="147">
        <f>F4Ax!L502+F4Bx!L501</f>
        <v>0</v>
      </c>
      <c r="M502" s="147">
        <f>F4Ax!M502+F4Bx!M501</f>
        <v>0</v>
      </c>
      <c r="N502" s="147">
        <f>F4Ax!N502+F4Bx!N501</f>
        <v>0</v>
      </c>
      <c r="O502" s="147">
        <f>F4Ax!O502+F4Bx!O501</f>
        <v>0</v>
      </c>
      <c r="P502" s="147">
        <f>F4Ax!P502+F4Bx!P501</f>
        <v>0</v>
      </c>
      <c r="Q502" s="316">
        <f t="shared" si="48"/>
        <v>0</v>
      </c>
    </row>
    <row r="503" ht="15" spans="3:17">
      <c r="C503" s="537" t="s">
        <v>211</v>
      </c>
      <c r="D503" s="540"/>
      <c r="E503" s="316">
        <f t="shared" ref="E503:P503" si="49">SUM(E488:E502)</f>
        <v>652.0811485236</v>
      </c>
      <c r="F503" s="316">
        <f t="shared" si="49"/>
        <v>639.383942611867</v>
      </c>
      <c r="G503" s="316">
        <f t="shared" si="49"/>
        <v>651.038219000736</v>
      </c>
      <c r="H503" s="316">
        <f t="shared" si="49"/>
        <v>619.887518323959</v>
      </c>
      <c r="I503" s="316">
        <f t="shared" si="49"/>
        <v>623.253491581882</v>
      </c>
      <c r="J503" s="316">
        <f t="shared" si="49"/>
        <v>637.477364110226</v>
      </c>
      <c r="K503" s="316">
        <f t="shared" si="49"/>
        <v>754.981405529452</v>
      </c>
      <c r="L503" s="316">
        <f t="shared" si="49"/>
        <v>692.382529479246</v>
      </c>
      <c r="M503" s="316">
        <f t="shared" si="49"/>
        <v>703.681901574321</v>
      </c>
      <c r="N503" s="316">
        <f t="shared" si="49"/>
        <v>715.354793751128</v>
      </c>
      <c r="O503" s="316">
        <f t="shared" si="49"/>
        <v>734.608141429459</v>
      </c>
      <c r="P503" s="316">
        <f t="shared" si="49"/>
        <v>783.386182164454</v>
      </c>
      <c r="Q503" s="316">
        <f t="shared" si="48"/>
        <v>8207.51663808033</v>
      </c>
    </row>
    <row r="504" ht="15" spans="3:17">
      <c r="C504" s="44" t="s">
        <v>219</v>
      </c>
      <c r="D504" s="45"/>
      <c r="E504" s="147"/>
      <c r="F504" s="147"/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316">
        <f t="shared" si="48"/>
        <v>0</v>
      </c>
    </row>
    <row r="505" ht="15" spans="3:17">
      <c r="C505" s="55" t="s">
        <v>191</v>
      </c>
      <c r="D505" s="55" t="s">
        <v>192</v>
      </c>
      <c r="E505" s="147">
        <f>F4Ax!E505+F4Bx!E504</f>
        <v>520.51195123821</v>
      </c>
      <c r="F505" s="147">
        <f>F4Ax!F505+F4Bx!F504</f>
        <v>499.25195123821</v>
      </c>
      <c r="G505" s="147">
        <f>F4Ax!G505+F4Bx!G504</f>
        <v>509.90195123821</v>
      </c>
      <c r="H505" s="147">
        <f>F4Ax!H505+F4Bx!H504</f>
        <v>495.29195123821</v>
      </c>
      <c r="I505" s="147">
        <f>F4Ax!I505+F4Bx!I504</f>
        <v>472.47195123821</v>
      </c>
      <c r="J505" s="147">
        <f>F4Ax!J505+F4Bx!J504</f>
        <v>497.88195123821</v>
      </c>
      <c r="K505" s="147">
        <f>F4Ax!K505+F4Bx!K504</f>
        <v>505.60891123821</v>
      </c>
      <c r="L505" s="147">
        <f>F4Ax!L505+F4Bx!L504</f>
        <v>499.47467123821</v>
      </c>
      <c r="M505" s="147">
        <f>F4Ax!M505+F4Bx!M504</f>
        <v>501.59885123821</v>
      </c>
      <c r="N505" s="147">
        <f>F4Ax!N505+F4Bx!N504</f>
        <v>514.13998123821</v>
      </c>
      <c r="O505" s="147">
        <f>F4Ax!O505+F4Bx!O504</f>
        <v>559.29778123821</v>
      </c>
      <c r="P505" s="147">
        <f>F4Ax!P505+F4Bx!P504</f>
        <v>565.44501123821</v>
      </c>
      <c r="Q505" s="316">
        <f t="shared" si="48"/>
        <v>6140.87691485852</v>
      </c>
    </row>
    <row r="506" ht="15" spans="3:17">
      <c r="C506" s="55" t="s">
        <v>193</v>
      </c>
      <c r="D506" s="55" t="s">
        <v>194</v>
      </c>
      <c r="E506" s="147">
        <f>F4Ax!E506+F4Bx!E505</f>
        <v>14.86</v>
      </c>
      <c r="F506" s="147">
        <f>F4Ax!F506+F4Bx!F505</f>
        <v>16.88</v>
      </c>
      <c r="G506" s="147">
        <f>F4Ax!G506+F4Bx!G505</f>
        <v>8.17</v>
      </c>
      <c r="H506" s="147">
        <f>F4Ax!H506+F4Bx!H505</f>
        <v>9.31</v>
      </c>
      <c r="I506" s="147">
        <f>F4Ax!I506+F4Bx!I505</f>
        <v>14.86</v>
      </c>
      <c r="J506" s="147">
        <f>F4Ax!J506+F4Bx!J505</f>
        <v>12.83</v>
      </c>
      <c r="K506" s="147">
        <f>F4Ax!K506+F4Bx!K505</f>
        <v>15.23304</v>
      </c>
      <c r="L506" s="147">
        <f>F4Ax!L506+F4Bx!L505</f>
        <v>10.54728</v>
      </c>
      <c r="M506" s="147">
        <f>F4Ax!M506+F4Bx!M505</f>
        <v>13.5531</v>
      </c>
      <c r="N506" s="147">
        <f>F4Ax!N506+F4Bx!N505</f>
        <v>19.63197</v>
      </c>
      <c r="O506" s="147">
        <f>F4Ax!O506+F4Bx!O505</f>
        <v>19.86417</v>
      </c>
      <c r="P506" s="147">
        <f>F4Ax!P506+F4Bx!P505</f>
        <v>25.46694</v>
      </c>
      <c r="Q506" s="316">
        <f t="shared" si="48"/>
        <v>181.2065</v>
      </c>
    </row>
    <row r="507" ht="15" spans="3:17">
      <c r="C507" s="55" t="s">
        <v>239</v>
      </c>
      <c r="D507" s="55" t="s">
        <v>196</v>
      </c>
      <c r="E507" s="147">
        <f>F4Ax!E507+F4Bx!E506</f>
        <v>4.73818657255976</v>
      </c>
      <c r="F507" s="147">
        <f>F4Ax!F507+F4Bx!F506</f>
        <v>5.61541566543391</v>
      </c>
      <c r="G507" s="147">
        <f>F4Ax!G507+F4Bx!G506</f>
        <v>5.74576658906914</v>
      </c>
      <c r="H507" s="147">
        <f>F4Ax!H507+F4Bx!H506</f>
        <v>4.98368884967052</v>
      </c>
      <c r="I507" s="147">
        <f>F4Ax!I507+F4Bx!I506</f>
        <v>6.97241558766353</v>
      </c>
      <c r="J507" s="147">
        <f>F4Ax!J507+F4Bx!J506</f>
        <v>7.89953263142014</v>
      </c>
      <c r="K507" s="147">
        <f>F4Ax!K507+F4Bx!K506</f>
        <v>4.24039850520987</v>
      </c>
      <c r="L507" s="147">
        <f>F4Ax!L507+F4Bx!L506</f>
        <v>3.91149927874406</v>
      </c>
      <c r="M507" s="147">
        <f>F4Ax!M507+F4Bx!M506</f>
        <v>3.81449322772641</v>
      </c>
      <c r="N507" s="147">
        <f>F4Ax!N507+F4Bx!N506</f>
        <v>3.91671583476716</v>
      </c>
      <c r="O507" s="147">
        <f>F4Ax!O507+F4Bx!O506</f>
        <v>3.94779505798161</v>
      </c>
      <c r="P507" s="147">
        <f>F4Ax!P507+F4Bx!P506</f>
        <v>5.58958488386568</v>
      </c>
      <c r="Q507" s="316">
        <f t="shared" si="48"/>
        <v>61.3754926841118</v>
      </c>
    </row>
    <row r="508" ht="15" spans="3:17">
      <c r="C508" s="55" t="s">
        <v>197</v>
      </c>
      <c r="D508" s="55" t="s">
        <v>198</v>
      </c>
      <c r="E508" s="147">
        <f>F4Ax!E508+F4Bx!E507</f>
        <v>0</v>
      </c>
      <c r="F508" s="147">
        <f>F4Ax!F508+F4Bx!F507</f>
        <v>0</v>
      </c>
      <c r="G508" s="147">
        <f>F4Ax!G508+F4Bx!G507</f>
        <v>0</v>
      </c>
      <c r="H508" s="147">
        <f>F4Ax!H508+F4Bx!H507</f>
        <v>0</v>
      </c>
      <c r="I508" s="147">
        <f>F4Ax!I508+F4Bx!I507</f>
        <v>0</v>
      </c>
      <c r="J508" s="147">
        <f>F4Ax!J508+F4Bx!J507</f>
        <v>0</v>
      </c>
      <c r="K508" s="147">
        <f>F4Ax!K508+F4Bx!K507</f>
        <v>0</v>
      </c>
      <c r="L508" s="147">
        <f>F4Ax!L508+F4Bx!L507</f>
        <v>0</v>
      </c>
      <c r="M508" s="147">
        <f>F4Ax!M508+F4Bx!M507</f>
        <v>0</v>
      </c>
      <c r="N508" s="147">
        <f>F4Ax!N508+F4Bx!N507</f>
        <v>0</v>
      </c>
      <c r="O508" s="147">
        <f>F4Ax!O508+F4Bx!O507</f>
        <v>0</v>
      </c>
      <c r="P508" s="147">
        <f>F4Ax!P508+F4Bx!P507</f>
        <v>0</v>
      </c>
      <c r="Q508" s="316">
        <f t="shared" si="48"/>
        <v>0</v>
      </c>
    </row>
    <row r="509" ht="15" spans="3:17">
      <c r="C509" s="55" t="s">
        <v>199</v>
      </c>
      <c r="D509" s="55" t="s">
        <v>200</v>
      </c>
      <c r="E509" s="147">
        <f>F4Ax!E509+F4Bx!E508</f>
        <v>2.15</v>
      </c>
      <c r="F509" s="147">
        <f>F4Ax!F509+F4Bx!F508</f>
        <v>3.54</v>
      </c>
      <c r="G509" s="147">
        <f>F4Ax!G509+F4Bx!G508</f>
        <v>2.94</v>
      </c>
      <c r="H509" s="147">
        <f>F4Ax!H509+F4Bx!H508</f>
        <v>4.45</v>
      </c>
      <c r="I509" s="147">
        <f>F4Ax!I509+F4Bx!I508</f>
        <v>7.13</v>
      </c>
      <c r="J509" s="147">
        <f>F4Ax!J509+F4Bx!J508</f>
        <v>10.14</v>
      </c>
      <c r="K509" s="147">
        <f>F4Ax!K509+F4Bx!K508</f>
        <v>9.08</v>
      </c>
      <c r="L509" s="147">
        <f>F4Ax!L509+F4Bx!L508</f>
        <v>9.48</v>
      </c>
      <c r="M509" s="147">
        <f>F4Ax!M509+F4Bx!M508</f>
        <v>11.37</v>
      </c>
      <c r="N509" s="147">
        <f>F4Ax!N509+F4Bx!N508</f>
        <v>8.04</v>
      </c>
      <c r="O509" s="147">
        <f>F4Ax!O509+F4Bx!O508</f>
        <v>2.79</v>
      </c>
      <c r="P509" s="147">
        <f>F4Ax!P509+F4Bx!P508</f>
        <v>2.62</v>
      </c>
      <c r="Q509" s="316">
        <f t="shared" si="48"/>
        <v>73.73</v>
      </c>
    </row>
    <row r="510" ht="15" spans="3:17">
      <c r="C510" s="55" t="s">
        <v>201</v>
      </c>
      <c r="D510" s="55" t="s">
        <v>240</v>
      </c>
      <c r="E510" s="147">
        <f>F4Ax!E510+F4Bx!E509</f>
        <v>166.864288090117</v>
      </c>
      <c r="F510" s="147">
        <f>F4Ax!F510+F4Bx!F509</f>
        <v>166.355029193091</v>
      </c>
      <c r="G510" s="147">
        <f>F4Ax!G510+F4Bx!G509</f>
        <v>163.506631972434</v>
      </c>
      <c r="H510" s="147">
        <f>F4Ax!H510+F4Bx!H509</f>
        <v>165.957979883545</v>
      </c>
      <c r="I510" s="147">
        <f>F4Ax!I510+F4Bx!I509</f>
        <v>166.441344260383</v>
      </c>
      <c r="J510" s="147">
        <f>F4Ax!J510+F4Bx!J509</f>
        <v>166.303240152715</v>
      </c>
      <c r="K510" s="147">
        <f>F4Ax!K510+F4Bx!K509</f>
        <v>167.364915480415</v>
      </c>
      <c r="L510" s="147">
        <f>F4Ax!L510+F4Bx!L509</f>
        <v>156.411533440979</v>
      </c>
      <c r="M510" s="147">
        <f>F4Ax!M510+F4Bx!M509</f>
        <v>165.137986744265</v>
      </c>
      <c r="N510" s="147">
        <f>F4Ax!N510+F4Bx!N509</f>
        <v>167.330389453498</v>
      </c>
      <c r="O510" s="147">
        <f>F4Ax!O510+F4Bx!O509</f>
        <v>168.728693543638</v>
      </c>
      <c r="P510" s="147">
        <f>F4Ax!P510+F4Bx!P509</f>
        <v>166.838393569929</v>
      </c>
      <c r="Q510" s="316">
        <f t="shared" si="48"/>
        <v>1987.24042578501</v>
      </c>
    </row>
    <row r="511" ht="15" spans="3:17">
      <c r="C511" s="55" t="s">
        <v>203</v>
      </c>
      <c r="D511" s="55" t="s">
        <v>220</v>
      </c>
      <c r="E511" s="147">
        <f>F4Ax!E511+F4Bx!E510</f>
        <v>26.4557119098827</v>
      </c>
      <c r="F511" s="147">
        <f>F4Ax!F511+F4Bx!F510</f>
        <v>26.3749708069092</v>
      </c>
      <c r="G511" s="147">
        <f>F4Ax!G511+F4Bx!G510</f>
        <v>25.9233680275661</v>
      </c>
      <c r="H511" s="147">
        <f>F4Ax!H511+F4Bx!H510</f>
        <v>26.3120201164554</v>
      </c>
      <c r="I511" s="147">
        <f>F4Ax!I511+F4Bx!I510</f>
        <v>26.3886557396166</v>
      </c>
      <c r="J511" s="147">
        <f>F4Ax!J511+F4Bx!J510</f>
        <v>26.3667598472848</v>
      </c>
      <c r="K511" s="147">
        <f>F4Ax!K511+F4Bx!K510</f>
        <v>26.5350845195854</v>
      </c>
      <c r="L511" s="147">
        <f>F4Ax!L511+F4Bx!L510</f>
        <v>24.7984665590205</v>
      </c>
      <c r="M511" s="147">
        <f>F4Ax!M511+F4Bx!M510</f>
        <v>26.1820132557354</v>
      </c>
      <c r="N511" s="147">
        <f>F4Ax!N511+F4Bx!N510</f>
        <v>26.5296105465025</v>
      </c>
      <c r="O511" s="147">
        <f>F4Ax!O511+F4Bx!O510</f>
        <v>26.7513064563619</v>
      </c>
      <c r="P511" s="147">
        <f>F4Ax!P511+F4Bx!P510</f>
        <v>26.4516064300705</v>
      </c>
      <c r="Q511" s="316">
        <f t="shared" si="48"/>
        <v>315.069574214991</v>
      </c>
    </row>
    <row r="512" ht="15" spans="3:17">
      <c r="C512" s="55" t="s">
        <v>241</v>
      </c>
      <c r="D512" s="55" t="s">
        <v>229</v>
      </c>
      <c r="E512" s="147">
        <f>F4Ax!E512+F4Bx!E511</f>
        <v>39.8434262923387</v>
      </c>
      <c r="F512" s="147">
        <f>F4Ax!F512+F4Bx!F511</f>
        <v>37.3135558193054</v>
      </c>
      <c r="G512" s="147">
        <f>F4Ax!G512+F4Bx!G511</f>
        <v>36.443150222474</v>
      </c>
      <c r="H512" s="147">
        <f>F4Ax!H512+F4Bx!H511</f>
        <v>38.7371163748708</v>
      </c>
      <c r="I512" s="147">
        <f>F4Ax!I512+F4Bx!I511</f>
        <v>39.1763864891595</v>
      </c>
      <c r="J512" s="147">
        <f>F4Ax!J512+F4Bx!J511</f>
        <v>39.3960215463039</v>
      </c>
      <c r="K512" s="147">
        <f>F4Ax!K512+F4Bx!K511</f>
        <v>39.7864838701161</v>
      </c>
      <c r="L512" s="147">
        <f>F4Ax!L512+F4Bx!L511</f>
        <v>40.046792085991</v>
      </c>
      <c r="M512" s="147">
        <f>F4Ax!M512+F4Bx!M511</f>
        <v>39.9247726097996</v>
      </c>
      <c r="N512" s="147">
        <f>F4Ax!N512+F4Bx!N511</f>
        <v>39.9735804002762</v>
      </c>
      <c r="O512" s="147">
        <f>F4Ax!O512+F4Bx!O511</f>
        <v>40.0630613494831</v>
      </c>
      <c r="P512" s="147">
        <f>F4Ax!P512+F4Bx!P511</f>
        <v>39.59125270821</v>
      </c>
      <c r="Q512" s="316">
        <f t="shared" si="48"/>
        <v>470.295599768328</v>
      </c>
    </row>
    <row r="513" ht="15" spans="3:17">
      <c r="C513" s="55" t="s">
        <v>259</v>
      </c>
      <c r="D513" s="55" t="s">
        <v>243</v>
      </c>
      <c r="E513" s="147">
        <f>F4Ax!E513+F4Bx!E512</f>
        <v>9.13657370766125</v>
      </c>
      <c r="F513" s="147">
        <f>F4Ax!F513+F4Bx!F512</f>
        <v>8.5564441806946</v>
      </c>
      <c r="G513" s="147">
        <f>F4Ax!G513+F4Bx!G512</f>
        <v>8.35684977752601</v>
      </c>
      <c r="H513" s="147">
        <f>F4Ax!H513+F4Bx!H512</f>
        <v>8.88288362512921</v>
      </c>
      <c r="I513" s="147">
        <f>F4Ax!I513+F4Bx!I512</f>
        <v>8.98361351084046</v>
      </c>
      <c r="J513" s="147">
        <f>F4Ax!J513+F4Bx!J512</f>
        <v>9.03397845369609</v>
      </c>
      <c r="K513" s="147">
        <f>F4Ax!K513+F4Bx!K512</f>
        <v>9.12351612988386</v>
      </c>
      <c r="L513" s="147">
        <f>F4Ax!L513+F4Bx!L512</f>
        <v>9.18320791400905</v>
      </c>
      <c r="M513" s="147">
        <f>F4Ax!M513+F4Bx!M512</f>
        <v>9.15522739020037</v>
      </c>
      <c r="N513" s="147">
        <f>F4Ax!N513+F4Bx!N512</f>
        <v>9.16641959972384</v>
      </c>
      <c r="O513" s="147">
        <f>F4Ax!O513+F4Bx!O512</f>
        <v>9.18693865051688</v>
      </c>
      <c r="P513" s="147">
        <f>F4Ax!P513+F4Bx!P512</f>
        <v>9.07874729178998</v>
      </c>
      <c r="Q513" s="316">
        <f t="shared" si="48"/>
        <v>107.844400231672</v>
      </c>
    </row>
    <row r="514" ht="15" spans="3:17">
      <c r="C514" s="55" t="s">
        <v>205</v>
      </c>
      <c r="D514" s="55" t="s">
        <v>206</v>
      </c>
      <c r="E514" s="147">
        <f>F4Ax!E514+F4Bx!E513</f>
        <v>0</v>
      </c>
      <c r="F514" s="147">
        <f>F4Ax!F514+F4Bx!F513</f>
        <v>0</v>
      </c>
      <c r="G514" s="147">
        <f>F4Ax!G514+F4Bx!G513</f>
        <v>0</v>
      </c>
      <c r="H514" s="147">
        <f>F4Ax!H514+F4Bx!H513</f>
        <v>0</v>
      </c>
      <c r="I514" s="147">
        <f>F4Ax!I514+F4Bx!I513</f>
        <v>0</v>
      </c>
      <c r="J514" s="147">
        <f>F4Ax!J514+F4Bx!J513</f>
        <v>0</v>
      </c>
      <c r="K514" s="147">
        <f>F4Ax!K514+F4Bx!K513</f>
        <v>0</v>
      </c>
      <c r="L514" s="147">
        <f>F4Ax!L514+F4Bx!L513</f>
        <v>0</v>
      </c>
      <c r="M514" s="147">
        <f>F4Ax!M514+F4Bx!M513</f>
        <v>0</v>
      </c>
      <c r="N514" s="147">
        <f>F4Ax!N514+F4Bx!N513</f>
        <v>0</v>
      </c>
      <c r="O514" s="147">
        <f>F4Ax!O514+F4Bx!O513</f>
        <v>0</v>
      </c>
      <c r="P514" s="147">
        <f>F4Ax!P514+F4Bx!P513</f>
        <v>0</v>
      </c>
      <c r="Q514" s="316">
        <f t="shared" si="48"/>
        <v>0</v>
      </c>
    </row>
    <row r="515" ht="15" spans="3:17">
      <c r="C515" s="55" t="s">
        <v>207</v>
      </c>
      <c r="D515" s="55" t="s">
        <v>186</v>
      </c>
      <c r="E515" s="147">
        <f>F4Ax!E515+F4Bx!E514</f>
        <v>0</v>
      </c>
      <c r="F515" s="147">
        <f>F4Ax!F515+F4Bx!F514</f>
        <v>0</v>
      </c>
      <c r="G515" s="147">
        <f>F4Ax!G515+F4Bx!G514</f>
        <v>0</v>
      </c>
      <c r="H515" s="147">
        <f>F4Ax!H515+F4Bx!H514</f>
        <v>0</v>
      </c>
      <c r="I515" s="147">
        <f>F4Ax!I515+F4Bx!I514</f>
        <v>0</v>
      </c>
      <c r="J515" s="147">
        <f>F4Ax!J515+F4Bx!J514</f>
        <v>0</v>
      </c>
      <c r="K515" s="147">
        <f>F4Ax!K515+F4Bx!K514</f>
        <v>0</v>
      </c>
      <c r="L515" s="147">
        <f>F4Ax!L515+F4Bx!L514</f>
        <v>0</v>
      </c>
      <c r="M515" s="147">
        <f>F4Ax!M515+F4Bx!M514</f>
        <v>0</v>
      </c>
      <c r="N515" s="147">
        <f>F4Ax!N515+F4Bx!N514</f>
        <v>0</v>
      </c>
      <c r="O515" s="147">
        <f>F4Ax!O515+F4Bx!O514</f>
        <v>0</v>
      </c>
      <c r="P515" s="147">
        <f>F4Ax!P515+F4Bx!P514</f>
        <v>0</v>
      </c>
      <c r="Q515" s="316">
        <f t="shared" si="48"/>
        <v>0</v>
      </c>
    </row>
    <row r="516" ht="15" spans="3:17">
      <c r="C516" s="55" t="s">
        <v>208</v>
      </c>
      <c r="D516" s="55" t="s">
        <v>209</v>
      </c>
      <c r="E516" s="147">
        <f>F4Ax!E516+F4Bx!E515</f>
        <v>0</v>
      </c>
      <c r="F516" s="147">
        <f>F4Ax!F516+F4Bx!F515</f>
        <v>0</v>
      </c>
      <c r="G516" s="147">
        <f>F4Ax!G516+F4Bx!G515</f>
        <v>0</v>
      </c>
      <c r="H516" s="147">
        <f>F4Ax!H516+F4Bx!H515</f>
        <v>0</v>
      </c>
      <c r="I516" s="147">
        <f>F4Ax!I516+F4Bx!I515</f>
        <v>0</v>
      </c>
      <c r="J516" s="147">
        <f>F4Ax!J516+F4Bx!J515</f>
        <v>0</v>
      </c>
      <c r="K516" s="147">
        <f>F4Ax!K516+F4Bx!K515</f>
        <v>0</v>
      </c>
      <c r="L516" s="147">
        <f>F4Ax!L516+F4Bx!L515</f>
        <v>0</v>
      </c>
      <c r="M516" s="147">
        <f>F4Ax!M516+F4Bx!M515</f>
        <v>0</v>
      </c>
      <c r="N516" s="147">
        <f>F4Ax!N516+F4Bx!N515</f>
        <v>0</v>
      </c>
      <c r="O516" s="147">
        <f>F4Ax!O516+F4Bx!O515</f>
        <v>0</v>
      </c>
      <c r="P516" s="147">
        <f>F4Ax!P516+F4Bx!P515</f>
        <v>0</v>
      </c>
      <c r="Q516" s="316">
        <f t="shared" si="48"/>
        <v>0</v>
      </c>
    </row>
    <row r="517" ht="15" spans="3:17">
      <c r="C517" s="55" t="s">
        <v>210</v>
      </c>
      <c r="D517" s="55" t="s">
        <v>188</v>
      </c>
      <c r="E517" s="147">
        <f>F4Ax!E517+F4Bx!E516</f>
        <v>0</v>
      </c>
      <c r="F517" s="147">
        <f>F4Ax!F517+F4Bx!F516</f>
        <v>0</v>
      </c>
      <c r="G517" s="147">
        <f>F4Ax!G517+F4Bx!G516</f>
        <v>0</v>
      </c>
      <c r="H517" s="147">
        <f>F4Ax!H517+F4Bx!H516</f>
        <v>0</v>
      </c>
      <c r="I517" s="147">
        <f>F4Ax!I517+F4Bx!I516</f>
        <v>0</v>
      </c>
      <c r="J517" s="147">
        <f>F4Ax!J517+F4Bx!J516</f>
        <v>0</v>
      </c>
      <c r="K517" s="147">
        <f>F4Ax!K517+F4Bx!K516</f>
        <v>0</v>
      </c>
      <c r="L517" s="147">
        <f>F4Ax!L517+F4Bx!L516</f>
        <v>0</v>
      </c>
      <c r="M517" s="147">
        <f>F4Ax!M517+F4Bx!M516</f>
        <v>0</v>
      </c>
      <c r="N517" s="147">
        <f>F4Ax!N517+F4Bx!N516</f>
        <v>0</v>
      </c>
      <c r="O517" s="147">
        <f>F4Ax!O517+F4Bx!O516</f>
        <v>0</v>
      </c>
      <c r="P517" s="147">
        <f>F4Ax!P517+F4Bx!P516</f>
        <v>0</v>
      </c>
      <c r="Q517" s="316">
        <f t="shared" si="48"/>
        <v>0</v>
      </c>
    </row>
    <row r="518" ht="15" spans="3:17">
      <c r="C518" s="55"/>
      <c r="D518" s="55"/>
      <c r="E518" s="147">
        <f>F4Ax!E518+F4Bx!E517</f>
        <v>0</v>
      </c>
      <c r="F518" s="147">
        <f>F4Ax!F518+F4Bx!F517</f>
        <v>0</v>
      </c>
      <c r="G518" s="147">
        <f>F4Ax!G518+F4Bx!G517</f>
        <v>0</v>
      </c>
      <c r="H518" s="147">
        <f>F4Ax!H518+F4Bx!H517</f>
        <v>0</v>
      </c>
      <c r="I518" s="147">
        <f>F4Ax!I518+F4Bx!I517</f>
        <v>0</v>
      </c>
      <c r="J518" s="147">
        <f>F4Ax!J518+F4Bx!J517</f>
        <v>0</v>
      </c>
      <c r="K518" s="147">
        <f>F4Ax!K518+F4Bx!K517</f>
        <v>0</v>
      </c>
      <c r="L518" s="147">
        <f>F4Ax!L518+F4Bx!L517</f>
        <v>0</v>
      </c>
      <c r="M518" s="147">
        <f>F4Ax!M518+F4Bx!M517</f>
        <v>0</v>
      </c>
      <c r="N518" s="147">
        <f>F4Ax!N518+F4Bx!N517</f>
        <v>0</v>
      </c>
      <c r="O518" s="147">
        <f>F4Ax!O518+F4Bx!O517</f>
        <v>0</v>
      </c>
      <c r="P518" s="147">
        <f>F4Ax!P518+F4Bx!P517</f>
        <v>0</v>
      </c>
      <c r="Q518" s="316">
        <f t="shared" si="48"/>
        <v>0</v>
      </c>
    </row>
    <row r="519" ht="15" spans="3:17">
      <c r="C519" s="55"/>
      <c r="D519" s="55"/>
      <c r="E519" s="147">
        <f>F4Ax!E519+F4Bx!E518</f>
        <v>0</v>
      </c>
      <c r="F519" s="147">
        <f>F4Ax!F519+F4Bx!F518</f>
        <v>0</v>
      </c>
      <c r="G519" s="147">
        <f>F4Ax!G519+F4Bx!G518</f>
        <v>0</v>
      </c>
      <c r="H519" s="147">
        <f>F4Ax!H519+F4Bx!H518</f>
        <v>0</v>
      </c>
      <c r="I519" s="147">
        <f>F4Ax!I519+F4Bx!I518</f>
        <v>0</v>
      </c>
      <c r="J519" s="147">
        <f>F4Ax!J519+F4Bx!J518</f>
        <v>0</v>
      </c>
      <c r="K519" s="147">
        <f>F4Ax!K519+F4Bx!K518</f>
        <v>0</v>
      </c>
      <c r="L519" s="147">
        <f>F4Ax!L519+F4Bx!L518</f>
        <v>0</v>
      </c>
      <c r="M519" s="147">
        <f>F4Ax!M519+F4Bx!M518</f>
        <v>0</v>
      </c>
      <c r="N519" s="147">
        <f>F4Ax!N519+F4Bx!N518</f>
        <v>0</v>
      </c>
      <c r="O519" s="147">
        <f>F4Ax!O519+F4Bx!O518</f>
        <v>0</v>
      </c>
      <c r="P519" s="147">
        <f>F4Ax!P519+F4Bx!P518</f>
        <v>0</v>
      </c>
      <c r="Q519" s="316">
        <f t="shared" ref="Q519:Q524" si="50">SUM(E519:P519)</f>
        <v>0</v>
      </c>
    </row>
    <row r="520" ht="15" spans="3:17">
      <c r="C520" s="55"/>
      <c r="D520" s="55"/>
      <c r="E520" s="147">
        <f>F4Ax!E520+F4Bx!E519</f>
        <v>0</v>
      </c>
      <c r="F520" s="147">
        <f>F4Ax!F520+F4Bx!F519</f>
        <v>0</v>
      </c>
      <c r="G520" s="147">
        <f>F4Ax!G520+F4Bx!G519</f>
        <v>0</v>
      </c>
      <c r="H520" s="147">
        <f>F4Ax!H520+F4Bx!H519</f>
        <v>0</v>
      </c>
      <c r="I520" s="147">
        <f>F4Ax!I520+F4Bx!I519</f>
        <v>0</v>
      </c>
      <c r="J520" s="147">
        <f>F4Ax!J520+F4Bx!J519</f>
        <v>0</v>
      </c>
      <c r="K520" s="147">
        <f>F4Ax!K520+F4Bx!K519</f>
        <v>0</v>
      </c>
      <c r="L520" s="147">
        <f>F4Ax!L520+F4Bx!L519</f>
        <v>0</v>
      </c>
      <c r="M520" s="147">
        <f>F4Ax!M520+F4Bx!M519</f>
        <v>0</v>
      </c>
      <c r="N520" s="147">
        <f>F4Ax!N520+F4Bx!N519</f>
        <v>0</v>
      </c>
      <c r="O520" s="147">
        <f>F4Ax!O520+F4Bx!O519</f>
        <v>0</v>
      </c>
      <c r="P520" s="147">
        <f>F4Ax!P520+F4Bx!P519</f>
        <v>0</v>
      </c>
      <c r="Q520" s="316">
        <f t="shared" si="50"/>
        <v>0</v>
      </c>
    </row>
    <row r="521" ht="15" spans="3:17">
      <c r="C521" s="55" t="s">
        <v>258</v>
      </c>
      <c r="D521" s="55" t="s">
        <v>258</v>
      </c>
      <c r="E521" s="147">
        <f>F4Ax!E521+F4Bx!E520</f>
        <v>0</v>
      </c>
      <c r="F521" s="147">
        <f>F4Ax!F521+F4Bx!F520</f>
        <v>0</v>
      </c>
      <c r="G521" s="147">
        <f>F4Ax!G521+F4Bx!G520</f>
        <v>0</v>
      </c>
      <c r="H521" s="147">
        <f>F4Ax!H521+F4Bx!H520</f>
        <v>0</v>
      </c>
      <c r="I521" s="147">
        <f>F4Ax!I521+F4Bx!I520</f>
        <v>0</v>
      </c>
      <c r="J521" s="147">
        <f>F4Ax!J521+F4Bx!J520</f>
        <v>0</v>
      </c>
      <c r="K521" s="147">
        <f>F4Ax!K521+F4Bx!K520</f>
        <v>0</v>
      </c>
      <c r="L521" s="147">
        <f>F4Ax!L521+F4Bx!L520</f>
        <v>0</v>
      </c>
      <c r="M521" s="147">
        <f>F4Ax!M521+F4Bx!M520</f>
        <v>0</v>
      </c>
      <c r="N521" s="147">
        <f>F4Ax!N521+F4Bx!N520</f>
        <v>0</v>
      </c>
      <c r="O521" s="147">
        <f>F4Ax!O521+F4Bx!O520</f>
        <v>0</v>
      </c>
      <c r="P521" s="147">
        <f>F4Ax!P521+F4Bx!P520</f>
        <v>0</v>
      </c>
      <c r="Q521" s="316">
        <f t="shared" si="50"/>
        <v>0</v>
      </c>
    </row>
    <row r="522" ht="15" spans="3:17">
      <c r="C522" s="537" t="s">
        <v>211</v>
      </c>
      <c r="D522" s="540"/>
      <c r="E522" s="316">
        <f t="shared" ref="E522:P522" si="51">SUM(E505:E521)</f>
        <v>784.560137810769</v>
      </c>
      <c r="F522" s="316">
        <f t="shared" si="51"/>
        <v>763.887366903644</v>
      </c>
      <c r="G522" s="316">
        <f t="shared" si="51"/>
        <v>760.987717827279</v>
      </c>
      <c r="H522" s="316">
        <f t="shared" si="51"/>
        <v>753.925640087881</v>
      </c>
      <c r="I522" s="316">
        <f t="shared" si="51"/>
        <v>742.424366825873</v>
      </c>
      <c r="J522" s="316">
        <f t="shared" si="51"/>
        <v>769.85148386963</v>
      </c>
      <c r="K522" s="316">
        <f t="shared" si="51"/>
        <v>776.97234974342</v>
      </c>
      <c r="L522" s="316">
        <f t="shared" si="51"/>
        <v>753.853450516954</v>
      </c>
      <c r="M522" s="316">
        <f t="shared" si="51"/>
        <v>770.736444465937</v>
      </c>
      <c r="N522" s="316">
        <f t="shared" si="51"/>
        <v>788.728667072978</v>
      </c>
      <c r="O522" s="316">
        <f t="shared" si="51"/>
        <v>830.629746296191</v>
      </c>
      <c r="P522" s="316">
        <f t="shared" si="51"/>
        <v>841.081536122075</v>
      </c>
      <c r="Q522" s="316">
        <f t="shared" si="50"/>
        <v>9337.63890754263</v>
      </c>
    </row>
    <row r="523" ht="15" spans="3:17">
      <c r="C523" s="537" t="s">
        <v>223</v>
      </c>
      <c r="D523" s="540"/>
      <c r="E523" s="316">
        <f t="shared" ref="E523:P523" si="52">E522+E503+E486</f>
        <v>2064.12275845603</v>
      </c>
      <c r="F523" s="316">
        <f t="shared" si="52"/>
        <v>2010.88700101893</v>
      </c>
      <c r="G523" s="316">
        <f t="shared" si="52"/>
        <v>2034.77884959739</v>
      </c>
      <c r="H523" s="316">
        <f t="shared" si="52"/>
        <v>1950.11107805193</v>
      </c>
      <c r="I523" s="316">
        <f t="shared" si="52"/>
        <v>1971.63248222536</v>
      </c>
      <c r="J523" s="316">
        <f t="shared" si="52"/>
        <v>2003.13590027952</v>
      </c>
      <c r="K523" s="316">
        <f t="shared" si="52"/>
        <v>2126.67658875431</v>
      </c>
      <c r="L523" s="316">
        <f t="shared" si="52"/>
        <v>2062.19308507614</v>
      </c>
      <c r="M523" s="316">
        <f t="shared" si="52"/>
        <v>2095.36934683608</v>
      </c>
      <c r="N523" s="316">
        <f t="shared" si="52"/>
        <v>2138.56419848939</v>
      </c>
      <c r="O523" s="316">
        <f t="shared" si="52"/>
        <v>2208.52636502225</v>
      </c>
      <c r="P523" s="316">
        <f t="shared" si="52"/>
        <v>2333.06811253104</v>
      </c>
      <c r="Q523" s="316">
        <f t="shared" si="50"/>
        <v>24999.0657663384</v>
      </c>
    </row>
    <row r="524" ht="15" spans="3:17">
      <c r="C524" s="537" t="s">
        <v>224</v>
      </c>
      <c r="D524" s="540"/>
      <c r="E524" s="316">
        <f t="shared" ref="E524:P524" si="53">E523+E469</f>
        <v>4938.81486904451</v>
      </c>
      <c r="F524" s="316">
        <f t="shared" si="53"/>
        <v>4185.49060718093</v>
      </c>
      <c r="G524" s="316">
        <f t="shared" si="53"/>
        <v>3998.64298274591</v>
      </c>
      <c r="H524" s="316">
        <f t="shared" si="53"/>
        <v>4040.81107805193</v>
      </c>
      <c r="I524" s="316">
        <f t="shared" si="53"/>
        <v>4292.43248222536</v>
      </c>
      <c r="J524" s="316">
        <f t="shared" si="53"/>
        <v>4335.93590027952</v>
      </c>
      <c r="K524" s="316">
        <f t="shared" si="53"/>
        <v>4176.31412354192</v>
      </c>
      <c r="L524" s="316">
        <f t="shared" si="53"/>
        <v>3885.45819523477</v>
      </c>
      <c r="M524" s="316">
        <f t="shared" si="53"/>
        <v>4331.7985099565</v>
      </c>
      <c r="N524" s="316">
        <f t="shared" si="53"/>
        <v>4721.2018607403</v>
      </c>
      <c r="O524" s="316">
        <f t="shared" si="53"/>
        <v>4906.83972091233</v>
      </c>
      <c r="P524" s="316">
        <f t="shared" si="53"/>
        <v>5561.98980653104</v>
      </c>
      <c r="Q524" s="316">
        <f t="shared" si="50"/>
        <v>53375.730136445</v>
      </c>
    </row>
    <row r="526" ht="15" spans="3:17">
      <c r="C526" s="14"/>
      <c r="Q526" s="3" t="s">
        <v>236</v>
      </c>
    </row>
    <row r="527" ht="15" spans="3:17">
      <c r="C527" s="6" t="s">
        <v>159</v>
      </c>
      <c r="D527" s="6"/>
      <c r="E527" s="135" t="s">
        <v>264</v>
      </c>
      <c r="F527" s="135"/>
      <c r="G527" s="135"/>
      <c r="H527" s="135"/>
      <c r="I527" s="135"/>
      <c r="J527" s="135"/>
      <c r="K527" s="135"/>
      <c r="L527" s="135"/>
      <c r="M527" s="135"/>
      <c r="N527" s="135"/>
      <c r="O527" s="135"/>
      <c r="P527" s="135"/>
      <c r="Q527" s="135"/>
    </row>
    <row r="528" ht="15" spans="3:17">
      <c r="C528" s="6"/>
      <c r="D528" s="6"/>
      <c r="E528" s="135" t="s">
        <v>246</v>
      </c>
      <c r="F528" s="135" t="s">
        <v>247</v>
      </c>
      <c r="G528" s="135" t="s">
        <v>248</v>
      </c>
      <c r="H528" s="135" t="s">
        <v>249</v>
      </c>
      <c r="I528" s="135" t="s">
        <v>250</v>
      </c>
      <c r="J528" s="135" t="s">
        <v>251</v>
      </c>
      <c r="K528" s="135" t="s">
        <v>252</v>
      </c>
      <c r="L528" s="135" t="s">
        <v>253</v>
      </c>
      <c r="M528" s="135" t="s">
        <v>254</v>
      </c>
      <c r="N528" s="135" t="s">
        <v>255</v>
      </c>
      <c r="O528" s="135" t="s">
        <v>256</v>
      </c>
      <c r="P528" s="135" t="s">
        <v>257</v>
      </c>
      <c r="Q528" s="135" t="s">
        <v>97</v>
      </c>
    </row>
    <row r="529" ht="15" spans="3:17">
      <c r="C529" s="44" t="s">
        <v>170</v>
      </c>
      <c r="D529" s="45"/>
      <c r="E529" s="147"/>
      <c r="F529" s="147"/>
      <c r="G529" s="147"/>
      <c r="H529" s="147"/>
      <c r="I529" s="147"/>
      <c r="J529" s="147"/>
      <c r="K529" s="147"/>
      <c r="L529" s="147"/>
      <c r="M529" s="147"/>
      <c r="N529" s="147"/>
      <c r="O529" s="147"/>
      <c r="P529" s="147"/>
      <c r="Q529" s="316">
        <f t="shared" ref="Q529:Q560" si="54">SUM(E529:P529)</f>
        <v>0</v>
      </c>
    </row>
    <row r="530" ht="15" spans="3:17">
      <c r="C530" s="47" t="s">
        <v>171</v>
      </c>
      <c r="D530" s="47" t="s">
        <v>172</v>
      </c>
      <c r="E530" s="147">
        <f>F4Ax!E530+F4Bx!E529</f>
        <v>0</v>
      </c>
      <c r="F530" s="147">
        <f>F4Ax!F530+F4Bx!F529</f>
        <v>0</v>
      </c>
      <c r="G530" s="147">
        <f>F4Ax!G530+F4Bx!G529</f>
        <v>0</v>
      </c>
      <c r="H530" s="147">
        <f>F4Ax!H530+F4Bx!H529</f>
        <v>0</v>
      </c>
      <c r="I530" s="147">
        <f>F4Ax!I530+F4Bx!I529</f>
        <v>0</v>
      </c>
      <c r="J530" s="147">
        <f>F4Ax!J530+F4Bx!J529</f>
        <v>0</v>
      </c>
      <c r="K530" s="147">
        <f>F4Ax!K530+F4Bx!K529</f>
        <v>0</v>
      </c>
      <c r="L530" s="147">
        <f>F4Ax!L530+F4Bx!L529</f>
        <v>0</v>
      </c>
      <c r="M530" s="147">
        <f>F4Ax!M530+F4Bx!M529</f>
        <v>0</v>
      </c>
      <c r="N530" s="147">
        <f>F4Ax!N530+F4Bx!N529</f>
        <v>0</v>
      </c>
      <c r="O530" s="147">
        <f>F4Ax!O530+F4Bx!O529</f>
        <v>0</v>
      </c>
      <c r="P530" s="147">
        <f>F4Ax!P530+F4Bx!P529</f>
        <v>0</v>
      </c>
      <c r="Q530" s="316">
        <f t="shared" si="54"/>
        <v>0</v>
      </c>
    </row>
    <row r="531" ht="15" spans="3:17">
      <c r="C531" s="55" t="s">
        <v>173</v>
      </c>
      <c r="D531" s="55" t="s">
        <v>174</v>
      </c>
      <c r="E531" s="147">
        <f>F4Ax!E531+F4Bx!E530</f>
        <v>0</v>
      </c>
      <c r="F531" s="147">
        <f>F4Ax!F531+F4Bx!F530</f>
        <v>0</v>
      </c>
      <c r="G531" s="147">
        <f>F4Ax!G531+F4Bx!G530</f>
        <v>0</v>
      </c>
      <c r="H531" s="147">
        <f>F4Ax!H531+F4Bx!H530</f>
        <v>0</v>
      </c>
      <c r="I531" s="147">
        <f>F4Ax!I531+F4Bx!I530</f>
        <v>0</v>
      </c>
      <c r="J531" s="147">
        <f>F4Ax!J531+F4Bx!J530</f>
        <v>0</v>
      </c>
      <c r="K531" s="147">
        <f>F4Ax!K531+F4Bx!K530</f>
        <v>0</v>
      </c>
      <c r="L531" s="147">
        <f>F4Ax!L531+F4Bx!L530</f>
        <v>0</v>
      </c>
      <c r="M531" s="147">
        <f>F4Ax!M531+F4Bx!M530</f>
        <v>0</v>
      </c>
      <c r="N531" s="147">
        <f>F4Ax!N531+F4Bx!N530</f>
        <v>0</v>
      </c>
      <c r="O531" s="147">
        <f>F4Ax!O531+F4Bx!O530</f>
        <v>0</v>
      </c>
      <c r="P531" s="147">
        <f>F4Ax!P531+F4Bx!P530</f>
        <v>0</v>
      </c>
      <c r="Q531" s="316">
        <f t="shared" si="54"/>
        <v>0</v>
      </c>
    </row>
    <row r="532" ht="15" spans="3:17">
      <c r="C532" s="55" t="s">
        <v>175</v>
      </c>
      <c r="D532" s="55" t="s">
        <v>176</v>
      </c>
      <c r="E532" s="147">
        <f>F4Ax!E532+F4Bx!E531</f>
        <v>0</v>
      </c>
      <c r="F532" s="147">
        <f>F4Ax!F532+F4Bx!F531</f>
        <v>0</v>
      </c>
      <c r="G532" s="147">
        <f>F4Ax!G532+F4Bx!G531</f>
        <v>0</v>
      </c>
      <c r="H532" s="147">
        <f>F4Ax!H532+F4Bx!H531</f>
        <v>0</v>
      </c>
      <c r="I532" s="147">
        <f>F4Ax!I532+F4Bx!I531</f>
        <v>0</v>
      </c>
      <c r="J532" s="147">
        <f>F4Ax!J532+F4Bx!J531</f>
        <v>0</v>
      </c>
      <c r="K532" s="147">
        <f>F4Ax!K532+F4Bx!K531</f>
        <v>0</v>
      </c>
      <c r="L532" s="147">
        <f>F4Ax!L532+F4Bx!L531</f>
        <v>0</v>
      </c>
      <c r="M532" s="147">
        <f>F4Ax!M532+F4Bx!M531</f>
        <v>0</v>
      </c>
      <c r="N532" s="147">
        <f>F4Ax!N532+F4Bx!N531</f>
        <v>0</v>
      </c>
      <c r="O532" s="147">
        <f>F4Ax!O532+F4Bx!O531</f>
        <v>0</v>
      </c>
      <c r="P532" s="147">
        <f>F4Ax!P532+F4Bx!P531</f>
        <v>0</v>
      </c>
      <c r="Q532" s="316">
        <f t="shared" si="54"/>
        <v>0</v>
      </c>
    </row>
    <row r="533" ht="15" spans="3:17">
      <c r="C533" s="55" t="s">
        <v>177</v>
      </c>
      <c r="D533" s="55" t="s">
        <v>178</v>
      </c>
      <c r="E533" s="147">
        <f>F4Ax!E533+F4Bx!E532</f>
        <v>0</v>
      </c>
      <c r="F533" s="147">
        <f>F4Ax!F533+F4Bx!F532</f>
        <v>0</v>
      </c>
      <c r="G533" s="147">
        <f>F4Ax!G533+F4Bx!G532</f>
        <v>0</v>
      </c>
      <c r="H533" s="147">
        <f>F4Ax!H533+F4Bx!H532</f>
        <v>0</v>
      </c>
      <c r="I533" s="147">
        <f>F4Ax!I533+F4Bx!I532</f>
        <v>0</v>
      </c>
      <c r="J533" s="147">
        <f>F4Ax!J533+F4Bx!J532</f>
        <v>0</v>
      </c>
      <c r="K533" s="147">
        <f>F4Ax!K533+F4Bx!K532</f>
        <v>0</v>
      </c>
      <c r="L533" s="147">
        <f>F4Ax!L533+F4Bx!L532</f>
        <v>0</v>
      </c>
      <c r="M533" s="147">
        <f>F4Ax!M533+F4Bx!M532</f>
        <v>0</v>
      </c>
      <c r="N533" s="147">
        <f>F4Ax!N533+F4Bx!N532</f>
        <v>0</v>
      </c>
      <c r="O533" s="147">
        <f>F4Ax!O533+F4Bx!O532</f>
        <v>0</v>
      </c>
      <c r="P533" s="147">
        <f>F4Ax!P533+F4Bx!P532</f>
        <v>0</v>
      </c>
      <c r="Q533" s="316">
        <f t="shared" si="54"/>
        <v>0</v>
      </c>
    </row>
    <row r="534" ht="15" spans="3:17">
      <c r="C534" s="55" t="s">
        <v>179</v>
      </c>
      <c r="D534" s="55" t="s">
        <v>180</v>
      </c>
      <c r="E534" s="147">
        <f>F4Ax!E534+F4Bx!E533</f>
        <v>0</v>
      </c>
      <c r="F534" s="147">
        <f>F4Ax!F534+F4Bx!F533</f>
        <v>0</v>
      </c>
      <c r="G534" s="147">
        <f>F4Ax!G534+F4Bx!G533</f>
        <v>0</v>
      </c>
      <c r="H534" s="147">
        <f>F4Ax!H534+F4Bx!H533</f>
        <v>0</v>
      </c>
      <c r="I534" s="147">
        <f>F4Ax!I534+F4Bx!I533</f>
        <v>0</v>
      </c>
      <c r="J534" s="147">
        <f>F4Ax!J534+F4Bx!J533</f>
        <v>0</v>
      </c>
      <c r="K534" s="147">
        <f>F4Ax!K534+F4Bx!K533</f>
        <v>0</v>
      </c>
      <c r="L534" s="147">
        <f>F4Ax!L534+F4Bx!L533</f>
        <v>0</v>
      </c>
      <c r="M534" s="147">
        <f>F4Ax!M534+F4Bx!M533</f>
        <v>0</v>
      </c>
      <c r="N534" s="147">
        <f>F4Ax!N534+F4Bx!N533</f>
        <v>0</v>
      </c>
      <c r="O534" s="147">
        <f>F4Ax!O534+F4Bx!O533</f>
        <v>0</v>
      </c>
      <c r="P534" s="147">
        <f>F4Ax!P534+F4Bx!P533</f>
        <v>0</v>
      </c>
      <c r="Q534" s="316">
        <f t="shared" si="54"/>
        <v>0</v>
      </c>
    </row>
    <row r="535" ht="15" spans="3:17">
      <c r="C535" s="55" t="s">
        <v>181</v>
      </c>
      <c r="D535" s="55" t="s">
        <v>182</v>
      </c>
      <c r="E535" s="147">
        <f>F4Ax!E535+F4Bx!E534</f>
        <v>0</v>
      </c>
      <c r="F535" s="147">
        <f>F4Ax!F535+F4Bx!F534</f>
        <v>0</v>
      </c>
      <c r="G535" s="147">
        <f>F4Ax!G535+F4Bx!G534</f>
        <v>0</v>
      </c>
      <c r="H535" s="147">
        <f>F4Ax!H535+F4Bx!H534</f>
        <v>0</v>
      </c>
      <c r="I535" s="147">
        <f>F4Ax!I535+F4Bx!I534</f>
        <v>0</v>
      </c>
      <c r="J535" s="147">
        <f>F4Ax!J535+F4Bx!J534</f>
        <v>0</v>
      </c>
      <c r="K535" s="147">
        <f>F4Ax!K535+F4Bx!K534</f>
        <v>0</v>
      </c>
      <c r="L535" s="147">
        <f>F4Ax!L535+F4Bx!L534</f>
        <v>0</v>
      </c>
      <c r="M535" s="147">
        <f>F4Ax!M535+F4Bx!M534</f>
        <v>0</v>
      </c>
      <c r="N535" s="147">
        <f>F4Ax!N535+F4Bx!N534</f>
        <v>0</v>
      </c>
      <c r="O535" s="147">
        <f>F4Ax!O535+F4Bx!O534</f>
        <v>0</v>
      </c>
      <c r="P535" s="147">
        <f>F4Ax!P535+F4Bx!P534</f>
        <v>0</v>
      </c>
      <c r="Q535" s="316">
        <f t="shared" si="54"/>
        <v>0</v>
      </c>
    </row>
    <row r="536" ht="15" spans="3:17">
      <c r="C536" s="55" t="s">
        <v>183</v>
      </c>
      <c r="D536" s="55" t="s">
        <v>184</v>
      </c>
      <c r="E536" s="147">
        <f>F4Ax!E536+F4Bx!E535</f>
        <v>0</v>
      </c>
      <c r="F536" s="147">
        <f>F4Ax!F536+F4Bx!F535</f>
        <v>0</v>
      </c>
      <c r="G536" s="147">
        <f>F4Ax!G536+F4Bx!G535</f>
        <v>0</v>
      </c>
      <c r="H536" s="147">
        <f>F4Ax!H536+F4Bx!H535</f>
        <v>0</v>
      </c>
      <c r="I536" s="147">
        <f>F4Ax!I536+F4Bx!I535</f>
        <v>0</v>
      </c>
      <c r="J536" s="147">
        <f>F4Ax!J536+F4Bx!J535</f>
        <v>0</v>
      </c>
      <c r="K536" s="147">
        <f>F4Ax!K536+F4Bx!K535</f>
        <v>0</v>
      </c>
      <c r="L536" s="147">
        <f>F4Ax!L536+F4Bx!L535</f>
        <v>0</v>
      </c>
      <c r="M536" s="147">
        <f>F4Ax!M536+F4Bx!M535</f>
        <v>0</v>
      </c>
      <c r="N536" s="147">
        <f>F4Ax!N536+F4Bx!N535</f>
        <v>0</v>
      </c>
      <c r="O536" s="147">
        <f>F4Ax!O536+F4Bx!O535</f>
        <v>0</v>
      </c>
      <c r="P536" s="147">
        <f>F4Ax!P536+F4Bx!P535</f>
        <v>0</v>
      </c>
      <c r="Q536" s="316">
        <f t="shared" si="54"/>
        <v>0</v>
      </c>
    </row>
    <row r="537" ht="15" spans="3:17">
      <c r="C537" s="55" t="s">
        <v>185</v>
      </c>
      <c r="D537" s="55" t="s">
        <v>186</v>
      </c>
      <c r="E537" s="147">
        <f>F4Ax!E537+F4Bx!E536</f>
        <v>0</v>
      </c>
      <c r="F537" s="147">
        <f>F4Ax!F537+F4Bx!F536</f>
        <v>0</v>
      </c>
      <c r="G537" s="147">
        <f>F4Ax!G537+F4Bx!G536</f>
        <v>0</v>
      </c>
      <c r="H537" s="147">
        <f>F4Ax!H537+F4Bx!H536</f>
        <v>0</v>
      </c>
      <c r="I537" s="147">
        <f>F4Ax!I537+F4Bx!I536</f>
        <v>0</v>
      </c>
      <c r="J537" s="147">
        <f>F4Ax!J537+F4Bx!J536</f>
        <v>0</v>
      </c>
      <c r="K537" s="147">
        <f>F4Ax!K537+F4Bx!K536</f>
        <v>0</v>
      </c>
      <c r="L537" s="147">
        <f>F4Ax!L537+F4Bx!L536</f>
        <v>0</v>
      </c>
      <c r="M537" s="147">
        <f>F4Ax!M537+F4Bx!M536</f>
        <v>0</v>
      </c>
      <c r="N537" s="147">
        <f>F4Ax!N537+F4Bx!N536</f>
        <v>0</v>
      </c>
      <c r="O537" s="147">
        <f>F4Ax!O537+F4Bx!O536</f>
        <v>0</v>
      </c>
      <c r="P537" s="147">
        <f>F4Ax!P537+F4Bx!P536</f>
        <v>0</v>
      </c>
      <c r="Q537" s="316">
        <f t="shared" si="54"/>
        <v>0</v>
      </c>
    </row>
    <row r="538" ht="15" spans="3:17">
      <c r="C538" s="55" t="s">
        <v>187</v>
      </c>
      <c r="D538" s="55" t="s">
        <v>188</v>
      </c>
      <c r="E538" s="147">
        <f>F4Ax!E538+F4Bx!E537</f>
        <v>0</v>
      </c>
      <c r="F538" s="147">
        <f>F4Ax!F538+F4Bx!F537</f>
        <v>0</v>
      </c>
      <c r="G538" s="147">
        <f>F4Ax!G538+F4Bx!G537</f>
        <v>0</v>
      </c>
      <c r="H538" s="147">
        <f>F4Ax!H538+F4Bx!H537</f>
        <v>0</v>
      </c>
      <c r="I538" s="147">
        <f>F4Ax!I538+F4Bx!I537</f>
        <v>0</v>
      </c>
      <c r="J538" s="147">
        <f>F4Ax!J538+F4Bx!J537</f>
        <v>0</v>
      </c>
      <c r="K538" s="147">
        <f>F4Ax!K538+F4Bx!K537</f>
        <v>0</v>
      </c>
      <c r="L538" s="147">
        <f>F4Ax!L538+F4Bx!L537</f>
        <v>0</v>
      </c>
      <c r="M538" s="147">
        <f>F4Ax!M538+F4Bx!M537</f>
        <v>0</v>
      </c>
      <c r="N538" s="147">
        <f>F4Ax!N538+F4Bx!N537</f>
        <v>0</v>
      </c>
      <c r="O538" s="147">
        <f>F4Ax!O538+F4Bx!O537</f>
        <v>0</v>
      </c>
      <c r="P538" s="147">
        <f>F4Ax!P538+F4Bx!P537</f>
        <v>0</v>
      </c>
      <c r="Q538" s="316">
        <f t="shared" si="54"/>
        <v>0</v>
      </c>
    </row>
    <row r="539" ht="15" spans="3:17">
      <c r="C539" s="55"/>
      <c r="D539" s="55"/>
      <c r="E539" s="147">
        <f>F4Ax!E539+F4Bx!E538</f>
        <v>0</v>
      </c>
      <c r="F539" s="147">
        <f>F4Ax!F539+F4Bx!F538</f>
        <v>0</v>
      </c>
      <c r="G539" s="147">
        <f>F4Ax!G539+F4Bx!G538</f>
        <v>0</v>
      </c>
      <c r="H539" s="147">
        <f>F4Ax!H539+F4Bx!H538</f>
        <v>0</v>
      </c>
      <c r="I539" s="147">
        <f>F4Ax!I539+F4Bx!I538</f>
        <v>0</v>
      </c>
      <c r="J539" s="147">
        <f>F4Ax!J539+F4Bx!J538</f>
        <v>0</v>
      </c>
      <c r="K539" s="147">
        <f>F4Ax!K539+F4Bx!K538</f>
        <v>0</v>
      </c>
      <c r="L539" s="147">
        <f>F4Ax!L539+F4Bx!L538</f>
        <v>0</v>
      </c>
      <c r="M539" s="147">
        <f>F4Ax!M539+F4Bx!M538</f>
        <v>0</v>
      </c>
      <c r="N539" s="147">
        <f>F4Ax!N539+F4Bx!N538</f>
        <v>0</v>
      </c>
      <c r="O539" s="147">
        <f>F4Ax!O539+F4Bx!O538</f>
        <v>0</v>
      </c>
      <c r="P539" s="147">
        <f>F4Ax!P539+F4Bx!P538</f>
        <v>0</v>
      </c>
      <c r="Q539" s="316">
        <f t="shared" si="54"/>
        <v>0</v>
      </c>
    </row>
    <row r="540" ht="15" spans="3:17">
      <c r="C540" s="55"/>
      <c r="D540" s="55"/>
      <c r="E540" s="147">
        <f>F4Ax!E540+F4Bx!E539</f>
        <v>0</v>
      </c>
      <c r="F540" s="147">
        <f>F4Ax!F540+F4Bx!F539</f>
        <v>0</v>
      </c>
      <c r="G540" s="147">
        <f>F4Ax!G540+F4Bx!G539</f>
        <v>0</v>
      </c>
      <c r="H540" s="147">
        <f>F4Ax!H540+F4Bx!H539</f>
        <v>0</v>
      </c>
      <c r="I540" s="147">
        <f>F4Ax!I540+F4Bx!I539</f>
        <v>0</v>
      </c>
      <c r="J540" s="147">
        <f>F4Ax!J540+F4Bx!J539</f>
        <v>0</v>
      </c>
      <c r="K540" s="147">
        <f>F4Ax!K540+F4Bx!K539</f>
        <v>0</v>
      </c>
      <c r="L540" s="147">
        <f>F4Ax!L540+F4Bx!L539</f>
        <v>0</v>
      </c>
      <c r="M540" s="147">
        <f>F4Ax!M540+F4Bx!M539</f>
        <v>0</v>
      </c>
      <c r="N540" s="147">
        <f>F4Ax!N540+F4Bx!N539</f>
        <v>0</v>
      </c>
      <c r="O540" s="147">
        <f>F4Ax!O540+F4Bx!O539</f>
        <v>0</v>
      </c>
      <c r="P540" s="147">
        <f>F4Ax!P540+F4Bx!P539</f>
        <v>0</v>
      </c>
      <c r="Q540" s="316">
        <f t="shared" si="54"/>
        <v>0</v>
      </c>
    </row>
    <row r="541" ht="15" spans="3:17">
      <c r="C541" s="55"/>
      <c r="D541" s="55"/>
      <c r="E541" s="147">
        <f>F4Ax!E541+F4Bx!E540</f>
        <v>0</v>
      </c>
      <c r="F541" s="147">
        <f>F4Ax!F541+F4Bx!F540</f>
        <v>0</v>
      </c>
      <c r="G541" s="147">
        <f>F4Ax!G541+F4Bx!G540</f>
        <v>0</v>
      </c>
      <c r="H541" s="147">
        <f>F4Ax!H541+F4Bx!H540</f>
        <v>0</v>
      </c>
      <c r="I541" s="147">
        <f>F4Ax!I541+F4Bx!I540</f>
        <v>0</v>
      </c>
      <c r="J541" s="147">
        <f>F4Ax!J541+F4Bx!J540</f>
        <v>0</v>
      </c>
      <c r="K541" s="147">
        <f>F4Ax!K541+F4Bx!K540</f>
        <v>0</v>
      </c>
      <c r="L541" s="147">
        <f>F4Ax!L541+F4Bx!L540</f>
        <v>0</v>
      </c>
      <c r="M541" s="147">
        <f>F4Ax!M541+F4Bx!M540</f>
        <v>0</v>
      </c>
      <c r="N541" s="147">
        <f>F4Ax!N541+F4Bx!N540</f>
        <v>0</v>
      </c>
      <c r="O541" s="147">
        <f>F4Ax!O541+F4Bx!O540</f>
        <v>0</v>
      </c>
      <c r="P541" s="147">
        <f>F4Ax!P541+F4Bx!P540</f>
        <v>0</v>
      </c>
      <c r="Q541" s="316">
        <f t="shared" si="54"/>
        <v>0</v>
      </c>
    </row>
    <row r="542" ht="15" spans="3:17">
      <c r="C542" s="55" t="s">
        <v>258</v>
      </c>
      <c r="D542" s="55" t="s">
        <v>258</v>
      </c>
      <c r="E542" s="147">
        <f>F4Ax!E542+F4Bx!E541</f>
        <v>0</v>
      </c>
      <c r="F542" s="147">
        <f>F4Ax!F542+F4Bx!F541</f>
        <v>0</v>
      </c>
      <c r="G542" s="147">
        <f>F4Ax!G542+F4Bx!G541</f>
        <v>0</v>
      </c>
      <c r="H542" s="147">
        <f>F4Ax!H542+F4Bx!H541</f>
        <v>0</v>
      </c>
      <c r="I542" s="147">
        <f>F4Ax!I542+F4Bx!I541</f>
        <v>0</v>
      </c>
      <c r="J542" s="147">
        <f>F4Ax!J542+F4Bx!J541</f>
        <v>0</v>
      </c>
      <c r="K542" s="147">
        <f>F4Ax!K542+F4Bx!K541</f>
        <v>0</v>
      </c>
      <c r="L542" s="147">
        <f>F4Ax!L542+F4Bx!L541</f>
        <v>0</v>
      </c>
      <c r="M542" s="147">
        <f>F4Ax!M542+F4Bx!M541</f>
        <v>0</v>
      </c>
      <c r="N542" s="147">
        <f>F4Ax!N542+F4Bx!N541</f>
        <v>0</v>
      </c>
      <c r="O542" s="147">
        <f>F4Ax!O542+F4Bx!O541</f>
        <v>0</v>
      </c>
      <c r="P542" s="147">
        <f>F4Ax!P542+F4Bx!P541</f>
        <v>0</v>
      </c>
      <c r="Q542" s="316">
        <f t="shared" si="54"/>
        <v>0</v>
      </c>
    </row>
    <row r="543" ht="15" spans="3:17">
      <c r="C543" s="537" t="s">
        <v>189</v>
      </c>
      <c r="D543" s="540"/>
      <c r="E543" s="316">
        <f t="shared" ref="E543:P543" si="55">SUM(E530:E542)</f>
        <v>0</v>
      </c>
      <c r="F543" s="316">
        <f t="shared" si="55"/>
        <v>0</v>
      </c>
      <c r="G543" s="316">
        <f t="shared" si="55"/>
        <v>0</v>
      </c>
      <c r="H543" s="316">
        <f t="shared" si="55"/>
        <v>0</v>
      </c>
      <c r="I543" s="316">
        <f t="shared" si="55"/>
        <v>0</v>
      </c>
      <c r="J543" s="316">
        <f t="shared" si="55"/>
        <v>0</v>
      </c>
      <c r="K543" s="316">
        <f t="shared" si="55"/>
        <v>0</v>
      </c>
      <c r="L543" s="316">
        <f t="shared" si="55"/>
        <v>0</v>
      </c>
      <c r="M543" s="316">
        <f t="shared" si="55"/>
        <v>0</v>
      </c>
      <c r="N543" s="316">
        <f t="shared" si="55"/>
        <v>0</v>
      </c>
      <c r="O543" s="316">
        <f t="shared" si="55"/>
        <v>0</v>
      </c>
      <c r="P543" s="316">
        <f t="shared" si="55"/>
        <v>0</v>
      </c>
      <c r="Q543" s="316">
        <f t="shared" si="54"/>
        <v>0</v>
      </c>
    </row>
    <row r="544" ht="15" spans="3:17">
      <c r="C544" s="44" t="s">
        <v>190</v>
      </c>
      <c r="D544" s="45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316">
        <f t="shared" si="54"/>
        <v>0</v>
      </c>
    </row>
    <row r="545" ht="15" spans="3:17">
      <c r="C545" s="55" t="s">
        <v>191</v>
      </c>
      <c r="D545" s="55" t="s">
        <v>192</v>
      </c>
      <c r="E545" s="147">
        <f>F4Ax!E545+F4Bx!E544</f>
        <v>0</v>
      </c>
      <c r="F545" s="147">
        <f>F4Ax!F545+F4Bx!F544</f>
        <v>0</v>
      </c>
      <c r="G545" s="147">
        <f>F4Ax!G545+F4Bx!G544</f>
        <v>0</v>
      </c>
      <c r="H545" s="147">
        <f>F4Ax!H545+F4Bx!H544</f>
        <v>0</v>
      </c>
      <c r="I545" s="147">
        <f>F4Ax!I545+F4Bx!I544</f>
        <v>0</v>
      </c>
      <c r="J545" s="147">
        <f>F4Ax!J545+F4Bx!J544</f>
        <v>0</v>
      </c>
      <c r="K545" s="147">
        <f>F4Ax!K545+F4Bx!K544</f>
        <v>0</v>
      </c>
      <c r="L545" s="147">
        <f>F4Ax!L545+F4Bx!L544</f>
        <v>0</v>
      </c>
      <c r="M545" s="147">
        <f>F4Ax!M545+F4Bx!M544</f>
        <v>0</v>
      </c>
      <c r="N545" s="147">
        <f>F4Ax!N545+F4Bx!N544</f>
        <v>0</v>
      </c>
      <c r="O545" s="147">
        <f>F4Ax!O545+F4Bx!O544</f>
        <v>0</v>
      </c>
      <c r="P545" s="147">
        <f>F4Ax!P545+F4Bx!P544</f>
        <v>0</v>
      </c>
      <c r="Q545" s="316">
        <f t="shared" si="54"/>
        <v>0</v>
      </c>
    </row>
    <row r="546" ht="15" spans="3:17">
      <c r="C546" s="55" t="s">
        <v>193</v>
      </c>
      <c r="D546" s="55" t="s">
        <v>194</v>
      </c>
      <c r="E546" s="147">
        <f>F4Ax!E546+F4Bx!E545</f>
        <v>0</v>
      </c>
      <c r="F546" s="147">
        <f>F4Ax!F546+F4Bx!F545</f>
        <v>0</v>
      </c>
      <c r="G546" s="147">
        <f>F4Ax!G546+F4Bx!G545</f>
        <v>0</v>
      </c>
      <c r="H546" s="147">
        <f>F4Ax!H546+F4Bx!H545</f>
        <v>0</v>
      </c>
      <c r="I546" s="147">
        <f>F4Ax!I546+F4Bx!I545</f>
        <v>0</v>
      </c>
      <c r="J546" s="147">
        <f>F4Ax!J546+F4Bx!J545</f>
        <v>0</v>
      </c>
      <c r="K546" s="147">
        <f>F4Ax!K546+F4Bx!K545</f>
        <v>0</v>
      </c>
      <c r="L546" s="147">
        <f>F4Ax!L546+F4Bx!L545</f>
        <v>0</v>
      </c>
      <c r="M546" s="147">
        <f>F4Ax!M546+F4Bx!M545</f>
        <v>0</v>
      </c>
      <c r="N546" s="147">
        <f>F4Ax!N546+F4Bx!N545</f>
        <v>0</v>
      </c>
      <c r="O546" s="147">
        <f>F4Ax!O546+F4Bx!O545</f>
        <v>0</v>
      </c>
      <c r="P546" s="147">
        <f>F4Ax!P546+F4Bx!P545</f>
        <v>0</v>
      </c>
      <c r="Q546" s="316">
        <f t="shared" si="54"/>
        <v>0</v>
      </c>
    </row>
    <row r="547" ht="15" spans="3:17">
      <c r="C547" s="55" t="s">
        <v>239</v>
      </c>
      <c r="D547" s="55" t="s">
        <v>196</v>
      </c>
      <c r="E547" s="147">
        <f>F4Ax!E547+F4Bx!E546</f>
        <v>0</v>
      </c>
      <c r="F547" s="147">
        <f>F4Ax!F547+F4Bx!F546</f>
        <v>0</v>
      </c>
      <c r="G547" s="147">
        <f>F4Ax!G547+F4Bx!G546</f>
        <v>0</v>
      </c>
      <c r="H547" s="147">
        <f>F4Ax!H547+F4Bx!H546</f>
        <v>0</v>
      </c>
      <c r="I547" s="147">
        <f>F4Ax!I547+F4Bx!I546</f>
        <v>0</v>
      </c>
      <c r="J547" s="147">
        <f>F4Ax!J547+F4Bx!J546</f>
        <v>0</v>
      </c>
      <c r="K547" s="147">
        <f>F4Ax!K547+F4Bx!K546</f>
        <v>0</v>
      </c>
      <c r="L547" s="147">
        <f>F4Ax!L547+F4Bx!L546</f>
        <v>0</v>
      </c>
      <c r="M547" s="147">
        <f>F4Ax!M547+F4Bx!M546</f>
        <v>0</v>
      </c>
      <c r="N547" s="147">
        <f>F4Ax!N547+F4Bx!N546</f>
        <v>0</v>
      </c>
      <c r="O547" s="147">
        <f>F4Ax!O547+F4Bx!O546</f>
        <v>0</v>
      </c>
      <c r="P547" s="147">
        <f>F4Ax!P547+F4Bx!P546</f>
        <v>0</v>
      </c>
      <c r="Q547" s="316">
        <f t="shared" si="54"/>
        <v>0</v>
      </c>
    </row>
    <row r="548" ht="15" spans="3:17">
      <c r="C548" s="55" t="s">
        <v>197</v>
      </c>
      <c r="D548" s="55" t="s">
        <v>198</v>
      </c>
      <c r="E548" s="147">
        <f>F4Ax!E548+F4Bx!E547</f>
        <v>0</v>
      </c>
      <c r="F548" s="147">
        <f>F4Ax!F548+F4Bx!F547</f>
        <v>0</v>
      </c>
      <c r="G548" s="147">
        <f>F4Ax!G548+F4Bx!G547</f>
        <v>0</v>
      </c>
      <c r="H548" s="147">
        <f>F4Ax!H548+F4Bx!H547</f>
        <v>0</v>
      </c>
      <c r="I548" s="147">
        <f>F4Ax!I548+F4Bx!I547</f>
        <v>0</v>
      </c>
      <c r="J548" s="147">
        <f>F4Ax!J548+F4Bx!J547</f>
        <v>0</v>
      </c>
      <c r="K548" s="147">
        <f>F4Ax!K548+F4Bx!K547</f>
        <v>0</v>
      </c>
      <c r="L548" s="147">
        <f>F4Ax!L548+F4Bx!L547</f>
        <v>0</v>
      </c>
      <c r="M548" s="147">
        <f>F4Ax!M548+F4Bx!M547</f>
        <v>0</v>
      </c>
      <c r="N548" s="147">
        <f>F4Ax!N548+F4Bx!N547</f>
        <v>0</v>
      </c>
      <c r="O548" s="147">
        <f>F4Ax!O548+F4Bx!O547</f>
        <v>0</v>
      </c>
      <c r="P548" s="147">
        <f>F4Ax!P548+F4Bx!P547</f>
        <v>0</v>
      </c>
      <c r="Q548" s="316">
        <f t="shared" si="54"/>
        <v>0</v>
      </c>
    </row>
    <row r="549" ht="15" spans="3:17">
      <c r="C549" s="55" t="s">
        <v>199</v>
      </c>
      <c r="D549" s="55" t="s">
        <v>200</v>
      </c>
      <c r="E549" s="147">
        <f>F4Ax!E549+F4Bx!E548</f>
        <v>0</v>
      </c>
      <c r="F549" s="147">
        <f>F4Ax!F549+F4Bx!F548</f>
        <v>0</v>
      </c>
      <c r="G549" s="147">
        <f>F4Ax!G549+F4Bx!G548</f>
        <v>0</v>
      </c>
      <c r="H549" s="147">
        <f>F4Ax!H549+F4Bx!H548</f>
        <v>0</v>
      </c>
      <c r="I549" s="147">
        <f>F4Ax!I549+F4Bx!I548</f>
        <v>0</v>
      </c>
      <c r="J549" s="147">
        <f>F4Ax!J549+F4Bx!J548</f>
        <v>0</v>
      </c>
      <c r="K549" s="147">
        <f>F4Ax!K549+F4Bx!K548</f>
        <v>0</v>
      </c>
      <c r="L549" s="147">
        <f>F4Ax!L549+F4Bx!L548</f>
        <v>0</v>
      </c>
      <c r="M549" s="147">
        <f>F4Ax!M549+F4Bx!M548</f>
        <v>0</v>
      </c>
      <c r="N549" s="147">
        <f>F4Ax!N549+F4Bx!N548</f>
        <v>0</v>
      </c>
      <c r="O549" s="147">
        <f>F4Ax!O549+F4Bx!O548</f>
        <v>0</v>
      </c>
      <c r="P549" s="147">
        <f>F4Ax!P549+F4Bx!P548</f>
        <v>0</v>
      </c>
      <c r="Q549" s="316">
        <f t="shared" si="54"/>
        <v>0</v>
      </c>
    </row>
    <row r="550" ht="15" spans="3:17">
      <c r="C550" s="55" t="s">
        <v>201</v>
      </c>
      <c r="D550" s="55" t="s">
        <v>202</v>
      </c>
      <c r="E550" s="147">
        <f>F4Ax!E550+F4Bx!E549</f>
        <v>0</v>
      </c>
      <c r="F550" s="147">
        <f>F4Ax!F550+F4Bx!F549</f>
        <v>0</v>
      </c>
      <c r="G550" s="147">
        <f>F4Ax!G550+F4Bx!G549</f>
        <v>0</v>
      </c>
      <c r="H550" s="147">
        <f>F4Ax!H550+F4Bx!H549</f>
        <v>0</v>
      </c>
      <c r="I550" s="147">
        <f>F4Ax!I550+F4Bx!I549</f>
        <v>0</v>
      </c>
      <c r="J550" s="147">
        <f>F4Ax!J550+F4Bx!J549</f>
        <v>0</v>
      </c>
      <c r="K550" s="147">
        <f>F4Ax!K550+F4Bx!K549</f>
        <v>0</v>
      </c>
      <c r="L550" s="147">
        <f>F4Ax!L550+F4Bx!L549</f>
        <v>0</v>
      </c>
      <c r="M550" s="147">
        <f>F4Ax!M550+F4Bx!M549</f>
        <v>0</v>
      </c>
      <c r="N550" s="147">
        <f>F4Ax!N550+F4Bx!N549</f>
        <v>0</v>
      </c>
      <c r="O550" s="147">
        <f>F4Ax!O550+F4Bx!O549</f>
        <v>0</v>
      </c>
      <c r="P550" s="147">
        <f>F4Ax!P550+F4Bx!P549</f>
        <v>0</v>
      </c>
      <c r="Q550" s="316">
        <f t="shared" si="54"/>
        <v>0</v>
      </c>
    </row>
    <row r="551" ht="15" spans="3:17">
      <c r="C551" s="55" t="s">
        <v>203</v>
      </c>
      <c r="D551" s="55" t="s">
        <v>204</v>
      </c>
      <c r="E551" s="147">
        <f>F4Ax!E551+F4Bx!E550</f>
        <v>0</v>
      </c>
      <c r="F551" s="147">
        <f>F4Ax!F551+F4Bx!F550</f>
        <v>0</v>
      </c>
      <c r="G551" s="147">
        <f>F4Ax!G551+F4Bx!G550</f>
        <v>0</v>
      </c>
      <c r="H551" s="147">
        <f>F4Ax!H551+F4Bx!H550</f>
        <v>0</v>
      </c>
      <c r="I551" s="147">
        <f>F4Ax!I551+F4Bx!I550</f>
        <v>0</v>
      </c>
      <c r="J551" s="147">
        <f>F4Ax!J551+F4Bx!J550</f>
        <v>0</v>
      </c>
      <c r="K551" s="147">
        <f>F4Ax!K551+F4Bx!K550</f>
        <v>0</v>
      </c>
      <c r="L551" s="147">
        <f>F4Ax!L551+F4Bx!L550</f>
        <v>0</v>
      </c>
      <c r="M551" s="147">
        <f>F4Ax!M551+F4Bx!M550</f>
        <v>0</v>
      </c>
      <c r="N551" s="147">
        <f>F4Ax!N551+F4Bx!N550</f>
        <v>0</v>
      </c>
      <c r="O551" s="147">
        <f>F4Ax!O551+F4Bx!O550</f>
        <v>0</v>
      </c>
      <c r="P551" s="147">
        <f>F4Ax!P551+F4Bx!P550</f>
        <v>0</v>
      </c>
      <c r="Q551" s="316">
        <f t="shared" si="54"/>
        <v>0</v>
      </c>
    </row>
    <row r="552" ht="15" spans="3:17">
      <c r="C552" s="55" t="s">
        <v>205</v>
      </c>
      <c r="D552" s="55" t="s">
        <v>206</v>
      </c>
      <c r="E552" s="147">
        <f>F4Ax!E552+F4Bx!E551</f>
        <v>0</v>
      </c>
      <c r="F552" s="147">
        <f>F4Ax!F552+F4Bx!F551</f>
        <v>0</v>
      </c>
      <c r="G552" s="147">
        <f>F4Ax!G552+F4Bx!G551</f>
        <v>0</v>
      </c>
      <c r="H552" s="147">
        <f>F4Ax!H552+F4Bx!H551</f>
        <v>0</v>
      </c>
      <c r="I552" s="147">
        <f>F4Ax!I552+F4Bx!I551</f>
        <v>0</v>
      </c>
      <c r="J552" s="147">
        <f>F4Ax!J552+F4Bx!J551</f>
        <v>0</v>
      </c>
      <c r="K552" s="147">
        <f>F4Ax!K552+F4Bx!K551</f>
        <v>0</v>
      </c>
      <c r="L552" s="147">
        <f>F4Ax!L552+F4Bx!L551</f>
        <v>0</v>
      </c>
      <c r="M552" s="147">
        <f>F4Ax!M552+F4Bx!M551</f>
        <v>0</v>
      </c>
      <c r="N552" s="147">
        <f>F4Ax!N552+F4Bx!N551</f>
        <v>0</v>
      </c>
      <c r="O552" s="147">
        <f>F4Ax!O552+F4Bx!O551</f>
        <v>0</v>
      </c>
      <c r="P552" s="147">
        <f>F4Ax!P552+F4Bx!P551</f>
        <v>0</v>
      </c>
      <c r="Q552" s="316">
        <f t="shared" si="54"/>
        <v>0</v>
      </c>
    </row>
    <row r="553" ht="15" spans="3:17">
      <c r="C553" s="55" t="s">
        <v>207</v>
      </c>
      <c r="D553" s="55" t="s">
        <v>186</v>
      </c>
      <c r="E553" s="147">
        <f>F4Ax!E553+F4Bx!E552</f>
        <v>0</v>
      </c>
      <c r="F553" s="147">
        <f>F4Ax!F553+F4Bx!F552</f>
        <v>0</v>
      </c>
      <c r="G553" s="147">
        <f>F4Ax!G553+F4Bx!G552</f>
        <v>0</v>
      </c>
      <c r="H553" s="147">
        <f>F4Ax!H553+F4Bx!H552</f>
        <v>0</v>
      </c>
      <c r="I553" s="147">
        <f>F4Ax!I553+F4Bx!I552</f>
        <v>0</v>
      </c>
      <c r="J553" s="147">
        <f>F4Ax!J553+F4Bx!J552</f>
        <v>0</v>
      </c>
      <c r="K553" s="147">
        <f>F4Ax!K553+F4Bx!K552</f>
        <v>0</v>
      </c>
      <c r="L553" s="147">
        <f>F4Ax!L553+F4Bx!L552</f>
        <v>0</v>
      </c>
      <c r="M553" s="147">
        <f>F4Ax!M553+F4Bx!M552</f>
        <v>0</v>
      </c>
      <c r="N553" s="147">
        <f>F4Ax!N553+F4Bx!N552</f>
        <v>0</v>
      </c>
      <c r="O553" s="147">
        <f>F4Ax!O553+F4Bx!O552</f>
        <v>0</v>
      </c>
      <c r="P553" s="147">
        <f>F4Ax!P553+F4Bx!P552</f>
        <v>0</v>
      </c>
      <c r="Q553" s="316">
        <f t="shared" si="54"/>
        <v>0</v>
      </c>
    </row>
    <row r="554" ht="15" spans="3:17">
      <c r="C554" s="55" t="s">
        <v>208</v>
      </c>
      <c r="D554" s="55" t="s">
        <v>209</v>
      </c>
      <c r="E554" s="147">
        <f>F4Ax!E554+F4Bx!E553</f>
        <v>0</v>
      </c>
      <c r="F554" s="147">
        <f>F4Ax!F554+F4Bx!F553</f>
        <v>0</v>
      </c>
      <c r="G554" s="147">
        <f>F4Ax!G554+F4Bx!G553</f>
        <v>0</v>
      </c>
      <c r="H554" s="147">
        <f>F4Ax!H554+F4Bx!H553</f>
        <v>0</v>
      </c>
      <c r="I554" s="147">
        <f>F4Ax!I554+F4Bx!I553</f>
        <v>0</v>
      </c>
      <c r="J554" s="147">
        <f>F4Ax!J554+F4Bx!J553</f>
        <v>0</v>
      </c>
      <c r="K554" s="147">
        <f>F4Ax!K554+F4Bx!K553</f>
        <v>0</v>
      </c>
      <c r="L554" s="147">
        <f>F4Ax!L554+F4Bx!L553</f>
        <v>0</v>
      </c>
      <c r="M554" s="147">
        <f>F4Ax!M554+F4Bx!M553</f>
        <v>0</v>
      </c>
      <c r="N554" s="147">
        <f>F4Ax!N554+F4Bx!N553</f>
        <v>0</v>
      </c>
      <c r="O554" s="147">
        <f>F4Ax!O554+F4Bx!O553</f>
        <v>0</v>
      </c>
      <c r="P554" s="147">
        <f>F4Ax!P554+F4Bx!P553</f>
        <v>0</v>
      </c>
      <c r="Q554" s="316">
        <f t="shared" si="54"/>
        <v>0</v>
      </c>
    </row>
    <row r="555" ht="15" spans="3:17">
      <c r="C555" s="55" t="s">
        <v>210</v>
      </c>
      <c r="D555" s="55" t="s">
        <v>188</v>
      </c>
      <c r="E555" s="147">
        <f>F4Ax!E555+F4Bx!E554</f>
        <v>0</v>
      </c>
      <c r="F555" s="147">
        <f>F4Ax!F555+F4Bx!F554</f>
        <v>0</v>
      </c>
      <c r="G555" s="147">
        <f>F4Ax!G555+F4Bx!G554</f>
        <v>0</v>
      </c>
      <c r="H555" s="147">
        <f>F4Ax!H555+F4Bx!H554</f>
        <v>0</v>
      </c>
      <c r="I555" s="147">
        <f>F4Ax!I555+F4Bx!I554</f>
        <v>0</v>
      </c>
      <c r="J555" s="147">
        <f>F4Ax!J555+F4Bx!J554</f>
        <v>0</v>
      </c>
      <c r="K555" s="147">
        <f>F4Ax!K555+F4Bx!K554</f>
        <v>0</v>
      </c>
      <c r="L555" s="147">
        <f>F4Ax!L555+F4Bx!L554</f>
        <v>0</v>
      </c>
      <c r="M555" s="147">
        <f>F4Ax!M555+F4Bx!M554</f>
        <v>0</v>
      </c>
      <c r="N555" s="147">
        <f>F4Ax!N555+F4Bx!N554</f>
        <v>0</v>
      </c>
      <c r="O555" s="147">
        <f>F4Ax!O555+F4Bx!O554</f>
        <v>0</v>
      </c>
      <c r="P555" s="147">
        <f>F4Ax!P555+F4Bx!P554</f>
        <v>0</v>
      </c>
      <c r="Q555" s="316">
        <f t="shared" si="54"/>
        <v>0</v>
      </c>
    </row>
    <row r="556" ht="15" spans="3:17">
      <c r="C556" s="55"/>
      <c r="D556" s="55"/>
      <c r="E556" s="147">
        <f>F4Ax!E556+F4Bx!E555</f>
        <v>0</v>
      </c>
      <c r="F556" s="147">
        <f>F4Ax!F556+F4Bx!F555</f>
        <v>0</v>
      </c>
      <c r="G556" s="147">
        <f>F4Ax!G556+F4Bx!G555</f>
        <v>0</v>
      </c>
      <c r="H556" s="147">
        <f>F4Ax!H556+F4Bx!H555</f>
        <v>0</v>
      </c>
      <c r="I556" s="147">
        <f>F4Ax!I556+F4Bx!I555</f>
        <v>0</v>
      </c>
      <c r="J556" s="147">
        <f>F4Ax!J556+F4Bx!J555</f>
        <v>0</v>
      </c>
      <c r="K556" s="147">
        <f>F4Ax!K556+F4Bx!K555</f>
        <v>0</v>
      </c>
      <c r="L556" s="147">
        <f>F4Ax!L556+F4Bx!L555</f>
        <v>0</v>
      </c>
      <c r="M556" s="147">
        <f>F4Ax!M556+F4Bx!M555</f>
        <v>0</v>
      </c>
      <c r="N556" s="147">
        <f>F4Ax!N556+F4Bx!N555</f>
        <v>0</v>
      </c>
      <c r="O556" s="147">
        <f>F4Ax!O556+F4Bx!O555</f>
        <v>0</v>
      </c>
      <c r="P556" s="147">
        <f>F4Ax!P556+F4Bx!P555</f>
        <v>0</v>
      </c>
      <c r="Q556" s="316">
        <f t="shared" si="54"/>
        <v>0</v>
      </c>
    </row>
    <row r="557" ht="15" spans="3:17">
      <c r="C557" s="55"/>
      <c r="D557" s="55"/>
      <c r="E557" s="147">
        <f>F4Ax!E557+F4Bx!E556</f>
        <v>0</v>
      </c>
      <c r="F557" s="147">
        <f>F4Ax!F557+F4Bx!F556</f>
        <v>0</v>
      </c>
      <c r="G557" s="147">
        <f>F4Ax!G557+F4Bx!G556</f>
        <v>0</v>
      </c>
      <c r="H557" s="147">
        <f>F4Ax!H557+F4Bx!H556</f>
        <v>0</v>
      </c>
      <c r="I557" s="147">
        <f>F4Ax!I557+F4Bx!I556</f>
        <v>0</v>
      </c>
      <c r="J557" s="147">
        <f>F4Ax!J557+F4Bx!J556</f>
        <v>0</v>
      </c>
      <c r="K557" s="147">
        <f>F4Ax!K557+F4Bx!K556</f>
        <v>0</v>
      </c>
      <c r="L557" s="147">
        <f>F4Ax!L557+F4Bx!L556</f>
        <v>0</v>
      </c>
      <c r="M557" s="147">
        <f>F4Ax!M557+F4Bx!M556</f>
        <v>0</v>
      </c>
      <c r="N557" s="147">
        <f>F4Ax!N557+F4Bx!N556</f>
        <v>0</v>
      </c>
      <c r="O557" s="147">
        <f>F4Ax!O557+F4Bx!O556</f>
        <v>0</v>
      </c>
      <c r="P557" s="147">
        <f>F4Ax!P557+F4Bx!P556</f>
        <v>0</v>
      </c>
      <c r="Q557" s="316">
        <f t="shared" si="54"/>
        <v>0</v>
      </c>
    </row>
    <row r="558" ht="15" spans="3:17">
      <c r="C558" s="55"/>
      <c r="D558" s="55"/>
      <c r="E558" s="147">
        <f>F4Ax!E558+F4Bx!E557</f>
        <v>0</v>
      </c>
      <c r="F558" s="147">
        <f>F4Ax!F558+F4Bx!F557</f>
        <v>0</v>
      </c>
      <c r="G558" s="147">
        <f>F4Ax!G558+F4Bx!G557</f>
        <v>0</v>
      </c>
      <c r="H558" s="147">
        <f>F4Ax!H558+F4Bx!H557</f>
        <v>0</v>
      </c>
      <c r="I558" s="147">
        <f>F4Ax!I558+F4Bx!I557</f>
        <v>0</v>
      </c>
      <c r="J558" s="147">
        <f>F4Ax!J558+F4Bx!J557</f>
        <v>0</v>
      </c>
      <c r="K558" s="147">
        <f>F4Ax!K558+F4Bx!K557</f>
        <v>0</v>
      </c>
      <c r="L558" s="147">
        <f>F4Ax!L558+F4Bx!L557</f>
        <v>0</v>
      </c>
      <c r="M558" s="147">
        <f>F4Ax!M558+F4Bx!M557</f>
        <v>0</v>
      </c>
      <c r="N558" s="147">
        <f>F4Ax!N558+F4Bx!N557</f>
        <v>0</v>
      </c>
      <c r="O558" s="147">
        <f>F4Ax!O558+F4Bx!O557</f>
        <v>0</v>
      </c>
      <c r="P558" s="147">
        <f>F4Ax!P558+F4Bx!P557</f>
        <v>0</v>
      </c>
      <c r="Q558" s="316">
        <f t="shared" si="54"/>
        <v>0</v>
      </c>
    </row>
    <row r="559" ht="15" spans="3:17">
      <c r="C559" s="55" t="s">
        <v>258</v>
      </c>
      <c r="D559" s="55" t="s">
        <v>258</v>
      </c>
      <c r="E559" s="147">
        <f>F4Ax!E559+F4Bx!E558</f>
        <v>0</v>
      </c>
      <c r="F559" s="147">
        <f>F4Ax!F559+F4Bx!F558</f>
        <v>0</v>
      </c>
      <c r="G559" s="147">
        <f>F4Ax!G559+F4Bx!G558</f>
        <v>0</v>
      </c>
      <c r="H559" s="147">
        <f>F4Ax!H559+F4Bx!H558</f>
        <v>0</v>
      </c>
      <c r="I559" s="147">
        <f>F4Ax!I559+F4Bx!I558</f>
        <v>0</v>
      </c>
      <c r="J559" s="147">
        <f>F4Ax!J559+F4Bx!J558</f>
        <v>0</v>
      </c>
      <c r="K559" s="147">
        <f>F4Ax!K559+F4Bx!K558</f>
        <v>0</v>
      </c>
      <c r="L559" s="147">
        <f>F4Ax!L559+F4Bx!L558</f>
        <v>0</v>
      </c>
      <c r="M559" s="147">
        <f>F4Ax!M559+F4Bx!M558</f>
        <v>0</v>
      </c>
      <c r="N559" s="147">
        <f>F4Ax!N559+F4Bx!N558</f>
        <v>0</v>
      </c>
      <c r="O559" s="147">
        <f>F4Ax!O559+F4Bx!O558</f>
        <v>0</v>
      </c>
      <c r="P559" s="147">
        <f>F4Ax!P559+F4Bx!P558</f>
        <v>0</v>
      </c>
      <c r="Q559" s="316">
        <f t="shared" si="54"/>
        <v>0</v>
      </c>
    </row>
    <row r="560" ht="15" spans="3:17">
      <c r="C560" s="537" t="s">
        <v>211</v>
      </c>
      <c r="D560" s="540"/>
      <c r="E560" s="316">
        <f t="shared" ref="E560:P560" si="56">SUM(E545:E559)</f>
        <v>0</v>
      </c>
      <c r="F560" s="316">
        <f t="shared" si="56"/>
        <v>0</v>
      </c>
      <c r="G560" s="316">
        <f t="shared" si="56"/>
        <v>0</v>
      </c>
      <c r="H560" s="316">
        <f t="shared" si="56"/>
        <v>0</v>
      </c>
      <c r="I560" s="316">
        <f t="shared" si="56"/>
        <v>0</v>
      </c>
      <c r="J560" s="316">
        <f t="shared" si="56"/>
        <v>0</v>
      </c>
      <c r="K560" s="316">
        <f t="shared" si="56"/>
        <v>0</v>
      </c>
      <c r="L560" s="316">
        <f t="shared" si="56"/>
        <v>0</v>
      </c>
      <c r="M560" s="316">
        <f t="shared" si="56"/>
        <v>0</v>
      </c>
      <c r="N560" s="316">
        <f t="shared" si="56"/>
        <v>0</v>
      </c>
      <c r="O560" s="316">
        <f t="shared" si="56"/>
        <v>0</v>
      </c>
      <c r="P560" s="316">
        <f t="shared" si="56"/>
        <v>0</v>
      </c>
      <c r="Q560" s="316">
        <f t="shared" si="54"/>
        <v>0</v>
      </c>
    </row>
    <row r="561" ht="15" spans="3:17">
      <c r="C561" s="44" t="s">
        <v>212</v>
      </c>
      <c r="D561" s="45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316">
        <f t="shared" ref="Q561:Q592" si="57">SUM(E561:P561)</f>
        <v>0</v>
      </c>
    </row>
    <row r="562" ht="15" spans="3:17">
      <c r="C562" s="55" t="s">
        <v>191</v>
      </c>
      <c r="D562" s="55" t="s">
        <v>192</v>
      </c>
      <c r="E562" s="147">
        <f>F4Ax!E562+F4Bx!E561</f>
        <v>0</v>
      </c>
      <c r="F562" s="147">
        <f>F4Ax!F562+F4Bx!F561</f>
        <v>0</v>
      </c>
      <c r="G562" s="147">
        <f>F4Ax!G562+F4Bx!G561</f>
        <v>0</v>
      </c>
      <c r="H562" s="147">
        <f>F4Ax!H562+F4Bx!H561</f>
        <v>0</v>
      </c>
      <c r="I562" s="147">
        <f>F4Ax!I562+F4Bx!I561</f>
        <v>0</v>
      </c>
      <c r="J562" s="147">
        <f>F4Ax!J562+F4Bx!J561</f>
        <v>0</v>
      </c>
      <c r="K562" s="147">
        <f>F4Ax!K562+F4Bx!K561</f>
        <v>0</v>
      </c>
      <c r="L562" s="147">
        <f>F4Ax!L562+F4Bx!L561</f>
        <v>0</v>
      </c>
      <c r="M562" s="147">
        <f>F4Ax!M562+F4Bx!M561</f>
        <v>0</v>
      </c>
      <c r="N562" s="147">
        <f>F4Ax!N562+F4Bx!N561</f>
        <v>0</v>
      </c>
      <c r="O562" s="147">
        <f>F4Ax!O562+F4Bx!O561</f>
        <v>0</v>
      </c>
      <c r="P562" s="147">
        <f>F4Ax!P562+F4Bx!P561</f>
        <v>0</v>
      </c>
      <c r="Q562" s="316">
        <f t="shared" si="57"/>
        <v>0</v>
      </c>
    </row>
    <row r="563" ht="15" spans="3:17">
      <c r="C563" s="55" t="s">
        <v>193</v>
      </c>
      <c r="D563" s="55" t="s">
        <v>194</v>
      </c>
      <c r="E563" s="147">
        <f>F4Ax!E563+F4Bx!E562</f>
        <v>0</v>
      </c>
      <c r="F563" s="147">
        <f>F4Ax!F563+F4Bx!F562</f>
        <v>0</v>
      </c>
      <c r="G563" s="147">
        <f>F4Ax!G563+F4Bx!G562</f>
        <v>0</v>
      </c>
      <c r="H563" s="147">
        <f>F4Ax!H563+F4Bx!H562</f>
        <v>0</v>
      </c>
      <c r="I563" s="147">
        <f>F4Ax!I563+F4Bx!I562</f>
        <v>0</v>
      </c>
      <c r="J563" s="147">
        <f>F4Ax!J563+F4Bx!J562</f>
        <v>0</v>
      </c>
      <c r="K563" s="147">
        <f>F4Ax!K563+F4Bx!K562</f>
        <v>0</v>
      </c>
      <c r="L563" s="147">
        <f>F4Ax!L563+F4Bx!L562</f>
        <v>0</v>
      </c>
      <c r="M563" s="147">
        <f>F4Ax!M563+F4Bx!M562</f>
        <v>0</v>
      </c>
      <c r="N563" s="147">
        <f>F4Ax!N563+F4Bx!N562</f>
        <v>0</v>
      </c>
      <c r="O563" s="147">
        <f>F4Ax!O563+F4Bx!O562</f>
        <v>0</v>
      </c>
      <c r="P563" s="147">
        <f>F4Ax!P563+F4Bx!P562</f>
        <v>0</v>
      </c>
      <c r="Q563" s="316">
        <f t="shared" si="57"/>
        <v>0</v>
      </c>
    </row>
    <row r="564" ht="15" spans="3:17">
      <c r="C564" s="55" t="s">
        <v>239</v>
      </c>
      <c r="D564" s="55" t="s">
        <v>196</v>
      </c>
      <c r="E564" s="147">
        <f>F4Ax!E564+F4Bx!E563</f>
        <v>0</v>
      </c>
      <c r="F564" s="147">
        <f>F4Ax!F564+F4Bx!F563</f>
        <v>0</v>
      </c>
      <c r="G564" s="147">
        <f>F4Ax!G564+F4Bx!G563</f>
        <v>0</v>
      </c>
      <c r="H564" s="147">
        <f>F4Ax!H564+F4Bx!H563</f>
        <v>0</v>
      </c>
      <c r="I564" s="147">
        <f>F4Ax!I564+F4Bx!I563</f>
        <v>0</v>
      </c>
      <c r="J564" s="147">
        <f>F4Ax!J564+F4Bx!J563</f>
        <v>0</v>
      </c>
      <c r="K564" s="147">
        <f>F4Ax!K564+F4Bx!K563</f>
        <v>0</v>
      </c>
      <c r="L564" s="147">
        <f>F4Ax!L564+F4Bx!L563</f>
        <v>0</v>
      </c>
      <c r="M564" s="147">
        <f>F4Ax!M564+F4Bx!M563</f>
        <v>0</v>
      </c>
      <c r="N564" s="147">
        <f>F4Ax!N564+F4Bx!N563</f>
        <v>0</v>
      </c>
      <c r="O564" s="147">
        <f>F4Ax!O564+F4Bx!O563</f>
        <v>0</v>
      </c>
      <c r="P564" s="147">
        <f>F4Ax!P564+F4Bx!P563</f>
        <v>0</v>
      </c>
      <c r="Q564" s="316">
        <f t="shared" si="57"/>
        <v>0</v>
      </c>
    </row>
    <row r="565" ht="15" spans="3:17">
      <c r="C565" s="55" t="s">
        <v>197</v>
      </c>
      <c r="D565" s="55" t="s">
        <v>198</v>
      </c>
      <c r="E565" s="147">
        <f>F4Ax!E565+F4Bx!E564</f>
        <v>0</v>
      </c>
      <c r="F565" s="147">
        <f>F4Ax!F565+F4Bx!F564</f>
        <v>0</v>
      </c>
      <c r="G565" s="147">
        <f>F4Ax!G565+F4Bx!G564</f>
        <v>0</v>
      </c>
      <c r="H565" s="147">
        <f>F4Ax!H565+F4Bx!H564</f>
        <v>0</v>
      </c>
      <c r="I565" s="147">
        <f>F4Ax!I565+F4Bx!I564</f>
        <v>0</v>
      </c>
      <c r="J565" s="147">
        <f>F4Ax!J565+F4Bx!J564</f>
        <v>0</v>
      </c>
      <c r="K565" s="147">
        <f>F4Ax!K565+F4Bx!K564</f>
        <v>0</v>
      </c>
      <c r="L565" s="147">
        <f>F4Ax!L565+F4Bx!L564</f>
        <v>0</v>
      </c>
      <c r="M565" s="147">
        <f>F4Ax!M565+F4Bx!M564</f>
        <v>0</v>
      </c>
      <c r="N565" s="147">
        <f>F4Ax!N565+F4Bx!N564</f>
        <v>0</v>
      </c>
      <c r="O565" s="147">
        <f>F4Ax!O565+F4Bx!O564</f>
        <v>0</v>
      </c>
      <c r="P565" s="147">
        <f>F4Ax!P565+F4Bx!P564</f>
        <v>0</v>
      </c>
      <c r="Q565" s="316">
        <f t="shared" si="57"/>
        <v>0</v>
      </c>
    </row>
    <row r="566" ht="15" spans="3:17">
      <c r="C566" s="55" t="s">
        <v>199</v>
      </c>
      <c r="D566" s="55" t="s">
        <v>200</v>
      </c>
      <c r="E566" s="147">
        <f>F4Ax!E566+F4Bx!E565</f>
        <v>0</v>
      </c>
      <c r="F566" s="147">
        <f>F4Ax!F566+F4Bx!F565</f>
        <v>0</v>
      </c>
      <c r="G566" s="147">
        <f>F4Ax!G566+F4Bx!G565</f>
        <v>0</v>
      </c>
      <c r="H566" s="147">
        <f>F4Ax!H566+F4Bx!H565</f>
        <v>0</v>
      </c>
      <c r="I566" s="147">
        <f>F4Ax!I566+F4Bx!I565</f>
        <v>0</v>
      </c>
      <c r="J566" s="147">
        <f>F4Ax!J566+F4Bx!J565</f>
        <v>0</v>
      </c>
      <c r="K566" s="147">
        <f>F4Ax!K566+F4Bx!K565</f>
        <v>0</v>
      </c>
      <c r="L566" s="147">
        <f>F4Ax!L566+F4Bx!L565</f>
        <v>0</v>
      </c>
      <c r="M566" s="147">
        <f>F4Ax!M566+F4Bx!M565</f>
        <v>0</v>
      </c>
      <c r="N566" s="147">
        <f>F4Ax!N566+F4Bx!N565</f>
        <v>0</v>
      </c>
      <c r="O566" s="147">
        <f>F4Ax!O566+F4Bx!O565</f>
        <v>0</v>
      </c>
      <c r="P566" s="147">
        <f>F4Ax!P566+F4Bx!P565</f>
        <v>0</v>
      </c>
      <c r="Q566" s="316">
        <f t="shared" si="57"/>
        <v>0</v>
      </c>
    </row>
    <row r="567" ht="15" spans="3:17">
      <c r="C567" s="55" t="s">
        <v>201</v>
      </c>
      <c r="D567" s="55" t="s">
        <v>202</v>
      </c>
      <c r="E567" s="147">
        <f>F4Ax!E567+F4Bx!E566</f>
        <v>0</v>
      </c>
      <c r="F567" s="147">
        <f>F4Ax!F567+F4Bx!F566</f>
        <v>0</v>
      </c>
      <c r="G567" s="147">
        <f>F4Ax!G567+F4Bx!G566</f>
        <v>0</v>
      </c>
      <c r="H567" s="147">
        <f>F4Ax!H567+F4Bx!H566</f>
        <v>0</v>
      </c>
      <c r="I567" s="147">
        <f>F4Ax!I567+F4Bx!I566</f>
        <v>0</v>
      </c>
      <c r="J567" s="147">
        <f>F4Ax!J567+F4Bx!J566</f>
        <v>0</v>
      </c>
      <c r="K567" s="147">
        <f>F4Ax!K567+F4Bx!K566</f>
        <v>0</v>
      </c>
      <c r="L567" s="147">
        <f>F4Ax!L567+F4Bx!L566</f>
        <v>0</v>
      </c>
      <c r="M567" s="147">
        <f>F4Ax!M567+F4Bx!M566</f>
        <v>0</v>
      </c>
      <c r="N567" s="147">
        <f>F4Ax!N567+F4Bx!N566</f>
        <v>0</v>
      </c>
      <c r="O567" s="147">
        <f>F4Ax!O567+F4Bx!O566</f>
        <v>0</v>
      </c>
      <c r="P567" s="147">
        <f>F4Ax!P567+F4Bx!P566</f>
        <v>0</v>
      </c>
      <c r="Q567" s="316">
        <f t="shared" si="57"/>
        <v>0</v>
      </c>
    </row>
    <row r="568" ht="15" spans="3:17">
      <c r="C568" s="55" t="s">
        <v>203</v>
      </c>
      <c r="D568" s="55" t="s">
        <v>204</v>
      </c>
      <c r="E568" s="147">
        <f>F4Ax!E568+F4Bx!E567</f>
        <v>0</v>
      </c>
      <c r="F568" s="147">
        <f>F4Ax!F568+F4Bx!F567</f>
        <v>0</v>
      </c>
      <c r="G568" s="147">
        <f>F4Ax!G568+F4Bx!G567</f>
        <v>0</v>
      </c>
      <c r="H568" s="147">
        <f>F4Ax!H568+F4Bx!H567</f>
        <v>0</v>
      </c>
      <c r="I568" s="147">
        <f>F4Ax!I568+F4Bx!I567</f>
        <v>0</v>
      </c>
      <c r="J568" s="147">
        <f>F4Ax!J568+F4Bx!J567</f>
        <v>0</v>
      </c>
      <c r="K568" s="147">
        <f>F4Ax!K568+F4Bx!K567</f>
        <v>0</v>
      </c>
      <c r="L568" s="147">
        <f>F4Ax!L568+F4Bx!L567</f>
        <v>0</v>
      </c>
      <c r="M568" s="147">
        <f>F4Ax!M568+F4Bx!M567</f>
        <v>0</v>
      </c>
      <c r="N568" s="147">
        <f>F4Ax!N568+F4Bx!N567</f>
        <v>0</v>
      </c>
      <c r="O568" s="147">
        <f>F4Ax!O568+F4Bx!O567</f>
        <v>0</v>
      </c>
      <c r="P568" s="147">
        <f>F4Ax!P568+F4Bx!P567</f>
        <v>0</v>
      </c>
      <c r="Q568" s="316">
        <f t="shared" si="57"/>
        <v>0</v>
      </c>
    </row>
    <row r="569" ht="15" spans="3:17">
      <c r="C569" s="55" t="s">
        <v>205</v>
      </c>
      <c r="D569" s="55" t="s">
        <v>206</v>
      </c>
      <c r="E569" s="147">
        <f>F4Ax!E569+F4Bx!E568</f>
        <v>0</v>
      </c>
      <c r="F569" s="147">
        <f>F4Ax!F569+F4Bx!F568</f>
        <v>0</v>
      </c>
      <c r="G569" s="147">
        <f>F4Ax!G569+F4Bx!G568</f>
        <v>0</v>
      </c>
      <c r="H569" s="147">
        <f>F4Ax!H569+F4Bx!H568</f>
        <v>0</v>
      </c>
      <c r="I569" s="147">
        <f>F4Ax!I569+F4Bx!I568</f>
        <v>0</v>
      </c>
      <c r="J569" s="147">
        <f>F4Ax!J569+F4Bx!J568</f>
        <v>0</v>
      </c>
      <c r="K569" s="147">
        <f>F4Ax!K569+F4Bx!K568</f>
        <v>0</v>
      </c>
      <c r="L569" s="147">
        <f>F4Ax!L569+F4Bx!L568</f>
        <v>0</v>
      </c>
      <c r="M569" s="147">
        <f>F4Ax!M569+F4Bx!M568</f>
        <v>0</v>
      </c>
      <c r="N569" s="147">
        <f>F4Ax!N569+F4Bx!N568</f>
        <v>0</v>
      </c>
      <c r="O569" s="147">
        <f>F4Ax!O569+F4Bx!O568</f>
        <v>0</v>
      </c>
      <c r="P569" s="147">
        <f>F4Ax!P569+F4Bx!P568</f>
        <v>0</v>
      </c>
      <c r="Q569" s="316">
        <f t="shared" si="57"/>
        <v>0</v>
      </c>
    </row>
    <row r="570" ht="15" spans="3:17">
      <c r="C570" s="55" t="s">
        <v>231</v>
      </c>
      <c r="D570" s="55" t="s">
        <v>186</v>
      </c>
      <c r="E570" s="147">
        <f>F4Ax!E570+F4Bx!E569</f>
        <v>0</v>
      </c>
      <c r="F570" s="147">
        <f>F4Ax!F570+F4Bx!F569</f>
        <v>0</v>
      </c>
      <c r="G570" s="147">
        <f>F4Ax!G570+F4Bx!G569</f>
        <v>0</v>
      </c>
      <c r="H570" s="147">
        <f>F4Ax!H570+F4Bx!H569</f>
        <v>0</v>
      </c>
      <c r="I570" s="147">
        <f>F4Ax!I570+F4Bx!I569</f>
        <v>0</v>
      </c>
      <c r="J570" s="147">
        <f>F4Ax!J570+F4Bx!J569</f>
        <v>0</v>
      </c>
      <c r="K570" s="147">
        <f>F4Ax!K570+F4Bx!K569</f>
        <v>0</v>
      </c>
      <c r="L570" s="147">
        <f>F4Ax!L570+F4Bx!L569</f>
        <v>0</v>
      </c>
      <c r="M570" s="147">
        <f>F4Ax!M570+F4Bx!M569</f>
        <v>0</v>
      </c>
      <c r="N570" s="147">
        <f>F4Ax!N570+F4Bx!N569</f>
        <v>0</v>
      </c>
      <c r="O570" s="147">
        <f>F4Ax!O570+F4Bx!O569</f>
        <v>0</v>
      </c>
      <c r="P570" s="147">
        <f>F4Ax!P570+F4Bx!P569</f>
        <v>0</v>
      </c>
      <c r="Q570" s="316">
        <f t="shared" si="57"/>
        <v>0</v>
      </c>
    </row>
    <row r="571" ht="15" spans="3:17">
      <c r="C571" s="55" t="s">
        <v>208</v>
      </c>
      <c r="D571" s="55" t="s">
        <v>209</v>
      </c>
      <c r="E571" s="147">
        <f>F4Ax!E571+F4Bx!E570</f>
        <v>0</v>
      </c>
      <c r="F571" s="147">
        <f>F4Ax!F571+F4Bx!F570</f>
        <v>0</v>
      </c>
      <c r="G571" s="147">
        <f>F4Ax!G571+F4Bx!G570</f>
        <v>0</v>
      </c>
      <c r="H571" s="147">
        <f>F4Ax!H571+F4Bx!H570</f>
        <v>0</v>
      </c>
      <c r="I571" s="147">
        <f>F4Ax!I571+F4Bx!I570</f>
        <v>0</v>
      </c>
      <c r="J571" s="147">
        <f>F4Ax!J571+F4Bx!J570</f>
        <v>0</v>
      </c>
      <c r="K571" s="147">
        <f>F4Ax!K571+F4Bx!K570</f>
        <v>0</v>
      </c>
      <c r="L571" s="147">
        <f>F4Ax!L571+F4Bx!L570</f>
        <v>0</v>
      </c>
      <c r="M571" s="147">
        <f>F4Ax!M571+F4Bx!M570</f>
        <v>0</v>
      </c>
      <c r="N571" s="147">
        <f>F4Ax!N571+F4Bx!N570</f>
        <v>0</v>
      </c>
      <c r="O571" s="147">
        <f>F4Ax!O571+F4Bx!O570</f>
        <v>0</v>
      </c>
      <c r="P571" s="147">
        <f>F4Ax!P571+F4Bx!P570</f>
        <v>0</v>
      </c>
      <c r="Q571" s="316">
        <f t="shared" si="57"/>
        <v>0</v>
      </c>
    </row>
    <row r="572" ht="15" spans="3:17">
      <c r="C572" s="55" t="s">
        <v>210</v>
      </c>
      <c r="D572" s="55" t="s">
        <v>188</v>
      </c>
      <c r="E572" s="147">
        <f>F4Ax!E572+F4Bx!E571</f>
        <v>0</v>
      </c>
      <c r="F572" s="147">
        <f>F4Ax!F572+F4Bx!F571</f>
        <v>0</v>
      </c>
      <c r="G572" s="147">
        <f>F4Ax!G572+F4Bx!G571</f>
        <v>0</v>
      </c>
      <c r="H572" s="147">
        <f>F4Ax!H572+F4Bx!H571</f>
        <v>0</v>
      </c>
      <c r="I572" s="147">
        <f>F4Ax!I572+F4Bx!I571</f>
        <v>0</v>
      </c>
      <c r="J572" s="147">
        <f>F4Ax!J572+F4Bx!J571</f>
        <v>0</v>
      </c>
      <c r="K572" s="147">
        <f>F4Ax!K572+F4Bx!K571</f>
        <v>0</v>
      </c>
      <c r="L572" s="147">
        <f>F4Ax!L572+F4Bx!L571</f>
        <v>0</v>
      </c>
      <c r="M572" s="147">
        <f>F4Ax!M572+F4Bx!M571</f>
        <v>0</v>
      </c>
      <c r="N572" s="147">
        <f>F4Ax!N572+F4Bx!N571</f>
        <v>0</v>
      </c>
      <c r="O572" s="147">
        <f>F4Ax!O572+F4Bx!O571</f>
        <v>0</v>
      </c>
      <c r="P572" s="147">
        <f>F4Ax!P572+F4Bx!P571</f>
        <v>0</v>
      </c>
      <c r="Q572" s="316">
        <f t="shared" si="57"/>
        <v>0</v>
      </c>
    </row>
    <row r="573" ht="15" spans="3:17">
      <c r="C573" s="55"/>
      <c r="D573" s="55"/>
      <c r="E573" s="147">
        <f>F4Ax!E573+F4Bx!E572</f>
        <v>0</v>
      </c>
      <c r="F573" s="147">
        <f>F4Ax!F573+F4Bx!F572</f>
        <v>0</v>
      </c>
      <c r="G573" s="147">
        <f>F4Ax!G573+F4Bx!G572</f>
        <v>0</v>
      </c>
      <c r="H573" s="147">
        <f>F4Ax!H573+F4Bx!H572</f>
        <v>0</v>
      </c>
      <c r="I573" s="147">
        <f>F4Ax!I573+F4Bx!I572</f>
        <v>0</v>
      </c>
      <c r="J573" s="147">
        <f>F4Ax!J573+F4Bx!J572</f>
        <v>0</v>
      </c>
      <c r="K573" s="147">
        <f>F4Ax!K573+F4Bx!K572</f>
        <v>0</v>
      </c>
      <c r="L573" s="147">
        <f>F4Ax!L573+F4Bx!L572</f>
        <v>0</v>
      </c>
      <c r="M573" s="147">
        <f>F4Ax!M573+F4Bx!M572</f>
        <v>0</v>
      </c>
      <c r="N573" s="147">
        <f>F4Ax!N573+F4Bx!N572</f>
        <v>0</v>
      </c>
      <c r="O573" s="147">
        <f>F4Ax!O573+F4Bx!O572</f>
        <v>0</v>
      </c>
      <c r="P573" s="147">
        <f>F4Ax!P573+F4Bx!P572</f>
        <v>0</v>
      </c>
      <c r="Q573" s="316">
        <f t="shared" si="57"/>
        <v>0</v>
      </c>
    </row>
    <row r="574" ht="15" spans="3:17">
      <c r="C574" s="55"/>
      <c r="D574" s="55"/>
      <c r="E574" s="147">
        <f>F4Ax!E574+F4Bx!E573</f>
        <v>0</v>
      </c>
      <c r="F574" s="147">
        <f>F4Ax!F574+F4Bx!F573</f>
        <v>0</v>
      </c>
      <c r="G574" s="147">
        <f>F4Ax!G574+F4Bx!G573</f>
        <v>0</v>
      </c>
      <c r="H574" s="147">
        <f>F4Ax!H574+F4Bx!H573</f>
        <v>0</v>
      </c>
      <c r="I574" s="147">
        <f>F4Ax!I574+F4Bx!I573</f>
        <v>0</v>
      </c>
      <c r="J574" s="147">
        <f>F4Ax!J574+F4Bx!J573</f>
        <v>0</v>
      </c>
      <c r="K574" s="147">
        <f>F4Ax!K574+F4Bx!K573</f>
        <v>0</v>
      </c>
      <c r="L574" s="147">
        <f>F4Ax!L574+F4Bx!L573</f>
        <v>0</v>
      </c>
      <c r="M574" s="147">
        <f>F4Ax!M574+F4Bx!M573</f>
        <v>0</v>
      </c>
      <c r="N574" s="147">
        <f>F4Ax!N574+F4Bx!N573</f>
        <v>0</v>
      </c>
      <c r="O574" s="147">
        <f>F4Ax!O574+F4Bx!O573</f>
        <v>0</v>
      </c>
      <c r="P574" s="147">
        <f>F4Ax!P574+F4Bx!P573</f>
        <v>0</v>
      </c>
      <c r="Q574" s="316">
        <f t="shared" si="57"/>
        <v>0</v>
      </c>
    </row>
    <row r="575" ht="15" spans="3:17">
      <c r="C575" s="55"/>
      <c r="D575" s="55"/>
      <c r="E575" s="147">
        <f>F4Ax!E575+F4Bx!E574</f>
        <v>0</v>
      </c>
      <c r="F575" s="147">
        <f>F4Ax!F575+F4Bx!F574</f>
        <v>0</v>
      </c>
      <c r="G575" s="147">
        <f>F4Ax!G575+F4Bx!G574</f>
        <v>0</v>
      </c>
      <c r="H575" s="147">
        <f>F4Ax!H575+F4Bx!H574</f>
        <v>0</v>
      </c>
      <c r="I575" s="147">
        <f>F4Ax!I575+F4Bx!I574</f>
        <v>0</v>
      </c>
      <c r="J575" s="147">
        <f>F4Ax!J575+F4Bx!J574</f>
        <v>0</v>
      </c>
      <c r="K575" s="147">
        <f>F4Ax!K575+F4Bx!K574</f>
        <v>0</v>
      </c>
      <c r="L575" s="147">
        <f>F4Ax!L575+F4Bx!L574</f>
        <v>0</v>
      </c>
      <c r="M575" s="147">
        <f>F4Ax!M575+F4Bx!M574</f>
        <v>0</v>
      </c>
      <c r="N575" s="147">
        <f>F4Ax!N575+F4Bx!N574</f>
        <v>0</v>
      </c>
      <c r="O575" s="147">
        <f>F4Ax!O575+F4Bx!O574</f>
        <v>0</v>
      </c>
      <c r="P575" s="147">
        <f>F4Ax!P575+F4Bx!P574</f>
        <v>0</v>
      </c>
      <c r="Q575" s="316">
        <f t="shared" si="57"/>
        <v>0</v>
      </c>
    </row>
    <row r="576" ht="15" spans="3:17">
      <c r="C576" s="55" t="s">
        <v>258</v>
      </c>
      <c r="D576" s="55" t="s">
        <v>258</v>
      </c>
      <c r="E576" s="147">
        <f>F4Ax!E576+F4Bx!E575</f>
        <v>0</v>
      </c>
      <c r="F576" s="147">
        <f>F4Ax!F576+F4Bx!F575</f>
        <v>0</v>
      </c>
      <c r="G576" s="147">
        <f>F4Ax!G576+F4Bx!G575</f>
        <v>0</v>
      </c>
      <c r="H576" s="147">
        <f>F4Ax!H576+F4Bx!H575</f>
        <v>0</v>
      </c>
      <c r="I576" s="147">
        <f>F4Ax!I576+F4Bx!I575</f>
        <v>0</v>
      </c>
      <c r="J576" s="147">
        <f>F4Ax!J576+F4Bx!J575</f>
        <v>0</v>
      </c>
      <c r="K576" s="147">
        <f>F4Ax!K576+F4Bx!K575</f>
        <v>0</v>
      </c>
      <c r="L576" s="147">
        <f>F4Ax!L576+F4Bx!L575</f>
        <v>0</v>
      </c>
      <c r="M576" s="147">
        <f>F4Ax!M576+F4Bx!M575</f>
        <v>0</v>
      </c>
      <c r="N576" s="147">
        <f>F4Ax!N576+F4Bx!N575</f>
        <v>0</v>
      </c>
      <c r="O576" s="147">
        <f>F4Ax!O576+F4Bx!O575</f>
        <v>0</v>
      </c>
      <c r="P576" s="147">
        <f>F4Ax!P576+F4Bx!P575</f>
        <v>0</v>
      </c>
      <c r="Q576" s="316">
        <f t="shared" si="57"/>
        <v>0</v>
      </c>
    </row>
    <row r="577" ht="15" spans="3:17">
      <c r="C577" s="537" t="s">
        <v>211</v>
      </c>
      <c r="D577" s="540"/>
      <c r="E577" s="316">
        <f t="shared" ref="E577:P577" si="58">SUM(E562:E576)</f>
        <v>0</v>
      </c>
      <c r="F577" s="316">
        <f t="shared" si="58"/>
        <v>0</v>
      </c>
      <c r="G577" s="316">
        <f t="shared" si="58"/>
        <v>0</v>
      </c>
      <c r="H577" s="316">
        <f t="shared" si="58"/>
        <v>0</v>
      </c>
      <c r="I577" s="316">
        <f t="shared" si="58"/>
        <v>0</v>
      </c>
      <c r="J577" s="316">
        <f t="shared" si="58"/>
        <v>0</v>
      </c>
      <c r="K577" s="316">
        <f t="shared" si="58"/>
        <v>0</v>
      </c>
      <c r="L577" s="316">
        <f t="shared" si="58"/>
        <v>0</v>
      </c>
      <c r="M577" s="316">
        <f t="shared" si="58"/>
        <v>0</v>
      </c>
      <c r="N577" s="316">
        <f t="shared" si="58"/>
        <v>0</v>
      </c>
      <c r="O577" s="316">
        <f t="shared" si="58"/>
        <v>0</v>
      </c>
      <c r="P577" s="316">
        <f t="shared" si="58"/>
        <v>0</v>
      </c>
      <c r="Q577" s="316">
        <f t="shared" si="57"/>
        <v>0</v>
      </c>
    </row>
    <row r="578" ht="15" spans="3:17">
      <c r="C578" s="44" t="s">
        <v>219</v>
      </c>
      <c r="D578" s="45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316">
        <f t="shared" si="57"/>
        <v>0</v>
      </c>
    </row>
    <row r="579" ht="15" spans="3:17">
      <c r="C579" s="55" t="s">
        <v>191</v>
      </c>
      <c r="D579" s="55" t="s">
        <v>192</v>
      </c>
      <c r="E579" s="147">
        <f>F4Ax!E579+F4Bx!E578</f>
        <v>0</v>
      </c>
      <c r="F579" s="147">
        <f>F4Ax!F579+F4Bx!F578</f>
        <v>0</v>
      </c>
      <c r="G579" s="147">
        <f>F4Ax!G579+F4Bx!G578</f>
        <v>0</v>
      </c>
      <c r="H579" s="147">
        <f>F4Ax!H579+F4Bx!H578</f>
        <v>0</v>
      </c>
      <c r="I579" s="147">
        <f>F4Ax!I579+F4Bx!I578</f>
        <v>0</v>
      </c>
      <c r="J579" s="147">
        <f>F4Ax!J579+F4Bx!J578</f>
        <v>0</v>
      </c>
      <c r="K579" s="147">
        <f>F4Ax!K579+F4Bx!K578</f>
        <v>0</v>
      </c>
      <c r="L579" s="147">
        <f>F4Ax!L579+F4Bx!L578</f>
        <v>0</v>
      </c>
      <c r="M579" s="147">
        <f>F4Ax!M579+F4Bx!M578</f>
        <v>0</v>
      </c>
      <c r="N579" s="147">
        <f>F4Ax!N579+F4Bx!N578</f>
        <v>0</v>
      </c>
      <c r="O579" s="147">
        <f>F4Ax!O579+F4Bx!O578</f>
        <v>0</v>
      </c>
      <c r="P579" s="147">
        <f>F4Ax!P579+F4Bx!P578</f>
        <v>0</v>
      </c>
      <c r="Q579" s="316">
        <f t="shared" si="57"/>
        <v>0</v>
      </c>
    </row>
    <row r="580" ht="15" spans="3:17">
      <c r="C580" s="55" t="s">
        <v>193</v>
      </c>
      <c r="D580" s="55" t="s">
        <v>194</v>
      </c>
      <c r="E580" s="147">
        <f>F4Ax!E580+F4Bx!E579</f>
        <v>0</v>
      </c>
      <c r="F580" s="147">
        <f>F4Ax!F580+F4Bx!F579</f>
        <v>0</v>
      </c>
      <c r="G580" s="147">
        <f>F4Ax!G580+F4Bx!G579</f>
        <v>0</v>
      </c>
      <c r="H580" s="147">
        <f>F4Ax!H580+F4Bx!H579</f>
        <v>0</v>
      </c>
      <c r="I580" s="147">
        <f>F4Ax!I580+F4Bx!I579</f>
        <v>0</v>
      </c>
      <c r="J580" s="147">
        <f>F4Ax!J580+F4Bx!J579</f>
        <v>0</v>
      </c>
      <c r="K580" s="147">
        <f>F4Ax!K580+F4Bx!K579</f>
        <v>0</v>
      </c>
      <c r="L580" s="147">
        <f>F4Ax!L580+F4Bx!L579</f>
        <v>0</v>
      </c>
      <c r="M580" s="147">
        <f>F4Ax!M580+F4Bx!M579</f>
        <v>0</v>
      </c>
      <c r="N580" s="147">
        <f>F4Ax!N580+F4Bx!N579</f>
        <v>0</v>
      </c>
      <c r="O580" s="147">
        <f>F4Ax!O580+F4Bx!O579</f>
        <v>0</v>
      </c>
      <c r="P580" s="147">
        <f>F4Ax!P580+F4Bx!P579</f>
        <v>0</v>
      </c>
      <c r="Q580" s="316">
        <f t="shared" si="57"/>
        <v>0</v>
      </c>
    </row>
    <row r="581" ht="15" spans="3:17">
      <c r="C581" s="55" t="s">
        <v>239</v>
      </c>
      <c r="D581" s="55" t="s">
        <v>196</v>
      </c>
      <c r="E581" s="147">
        <f>F4Ax!E581+F4Bx!E580</f>
        <v>0</v>
      </c>
      <c r="F581" s="147">
        <f>F4Ax!F581+F4Bx!F580</f>
        <v>0</v>
      </c>
      <c r="G581" s="147">
        <f>F4Ax!G581+F4Bx!G580</f>
        <v>0</v>
      </c>
      <c r="H581" s="147">
        <f>F4Ax!H581+F4Bx!H580</f>
        <v>0</v>
      </c>
      <c r="I581" s="147">
        <f>F4Ax!I581+F4Bx!I580</f>
        <v>0</v>
      </c>
      <c r="J581" s="147">
        <f>F4Ax!J581+F4Bx!J580</f>
        <v>0</v>
      </c>
      <c r="K581" s="147">
        <f>F4Ax!K581+F4Bx!K580</f>
        <v>0</v>
      </c>
      <c r="L581" s="147">
        <f>F4Ax!L581+F4Bx!L580</f>
        <v>0</v>
      </c>
      <c r="M581" s="147">
        <f>F4Ax!M581+F4Bx!M580</f>
        <v>0</v>
      </c>
      <c r="N581" s="147">
        <f>F4Ax!N581+F4Bx!N580</f>
        <v>0</v>
      </c>
      <c r="O581" s="147">
        <f>F4Ax!O581+F4Bx!O580</f>
        <v>0</v>
      </c>
      <c r="P581" s="147">
        <f>F4Ax!P581+F4Bx!P580</f>
        <v>0</v>
      </c>
      <c r="Q581" s="316">
        <f t="shared" si="57"/>
        <v>0</v>
      </c>
    </row>
    <row r="582" ht="15" spans="3:17">
      <c r="C582" s="55" t="s">
        <v>197</v>
      </c>
      <c r="D582" s="55" t="s">
        <v>198</v>
      </c>
      <c r="E582" s="147">
        <f>F4Ax!E582+F4Bx!E581</f>
        <v>0</v>
      </c>
      <c r="F582" s="147">
        <f>F4Ax!F582+F4Bx!F581</f>
        <v>0</v>
      </c>
      <c r="G582" s="147">
        <f>F4Ax!G582+F4Bx!G581</f>
        <v>0</v>
      </c>
      <c r="H582" s="147">
        <f>F4Ax!H582+F4Bx!H581</f>
        <v>0</v>
      </c>
      <c r="I582" s="147">
        <f>F4Ax!I582+F4Bx!I581</f>
        <v>0</v>
      </c>
      <c r="J582" s="147">
        <f>F4Ax!J582+F4Bx!J581</f>
        <v>0</v>
      </c>
      <c r="K582" s="147">
        <f>F4Ax!K582+F4Bx!K581</f>
        <v>0</v>
      </c>
      <c r="L582" s="147">
        <f>F4Ax!L582+F4Bx!L581</f>
        <v>0</v>
      </c>
      <c r="M582" s="147">
        <f>F4Ax!M582+F4Bx!M581</f>
        <v>0</v>
      </c>
      <c r="N582" s="147">
        <f>F4Ax!N582+F4Bx!N581</f>
        <v>0</v>
      </c>
      <c r="O582" s="147">
        <f>F4Ax!O582+F4Bx!O581</f>
        <v>0</v>
      </c>
      <c r="P582" s="147">
        <f>F4Ax!P582+F4Bx!P581</f>
        <v>0</v>
      </c>
      <c r="Q582" s="316">
        <f t="shared" si="57"/>
        <v>0</v>
      </c>
    </row>
    <row r="583" ht="15" spans="3:17">
      <c r="C583" s="55" t="s">
        <v>199</v>
      </c>
      <c r="D583" s="55" t="s">
        <v>200</v>
      </c>
      <c r="E583" s="147">
        <f>F4Ax!E583+F4Bx!E582</f>
        <v>0</v>
      </c>
      <c r="F583" s="147">
        <f>F4Ax!F583+F4Bx!F582</f>
        <v>0</v>
      </c>
      <c r="G583" s="147">
        <f>F4Ax!G583+F4Bx!G582</f>
        <v>0</v>
      </c>
      <c r="H583" s="147">
        <f>F4Ax!H583+F4Bx!H582</f>
        <v>0</v>
      </c>
      <c r="I583" s="147">
        <f>F4Ax!I583+F4Bx!I582</f>
        <v>0</v>
      </c>
      <c r="J583" s="147">
        <f>F4Ax!J583+F4Bx!J582</f>
        <v>0</v>
      </c>
      <c r="K583" s="147">
        <f>F4Ax!K583+F4Bx!K582</f>
        <v>0</v>
      </c>
      <c r="L583" s="147">
        <f>F4Ax!L583+F4Bx!L582</f>
        <v>0</v>
      </c>
      <c r="M583" s="147">
        <f>F4Ax!M583+F4Bx!M582</f>
        <v>0</v>
      </c>
      <c r="N583" s="147">
        <f>F4Ax!N583+F4Bx!N582</f>
        <v>0</v>
      </c>
      <c r="O583" s="147">
        <f>F4Ax!O583+F4Bx!O582</f>
        <v>0</v>
      </c>
      <c r="P583" s="147">
        <f>F4Ax!P583+F4Bx!P582</f>
        <v>0</v>
      </c>
      <c r="Q583" s="316">
        <f t="shared" si="57"/>
        <v>0</v>
      </c>
    </row>
    <row r="584" ht="15" spans="3:17">
      <c r="C584" s="55" t="s">
        <v>201</v>
      </c>
      <c r="D584" s="55" t="s">
        <v>240</v>
      </c>
      <c r="E584" s="147">
        <f>F4Ax!E584+F4Bx!E583</f>
        <v>0</v>
      </c>
      <c r="F584" s="147">
        <f>F4Ax!F584+F4Bx!F583</f>
        <v>0</v>
      </c>
      <c r="G584" s="147">
        <f>F4Ax!G584+F4Bx!G583</f>
        <v>0</v>
      </c>
      <c r="H584" s="147">
        <f>F4Ax!H584+F4Bx!H583</f>
        <v>0</v>
      </c>
      <c r="I584" s="147">
        <f>F4Ax!I584+F4Bx!I583</f>
        <v>0</v>
      </c>
      <c r="J584" s="147">
        <f>F4Ax!J584+F4Bx!J583</f>
        <v>0</v>
      </c>
      <c r="K584" s="147">
        <f>F4Ax!K584+F4Bx!K583</f>
        <v>0</v>
      </c>
      <c r="L584" s="147">
        <f>F4Ax!L584+F4Bx!L583</f>
        <v>0</v>
      </c>
      <c r="M584" s="147">
        <f>F4Ax!M584+F4Bx!M583</f>
        <v>0</v>
      </c>
      <c r="N584" s="147">
        <f>F4Ax!N584+F4Bx!N583</f>
        <v>0</v>
      </c>
      <c r="O584" s="147">
        <f>F4Ax!O584+F4Bx!O583</f>
        <v>0</v>
      </c>
      <c r="P584" s="147">
        <f>F4Ax!P584+F4Bx!P583</f>
        <v>0</v>
      </c>
      <c r="Q584" s="316">
        <f t="shared" si="57"/>
        <v>0</v>
      </c>
    </row>
    <row r="585" ht="15" spans="3:17">
      <c r="C585" s="55" t="s">
        <v>203</v>
      </c>
      <c r="D585" s="55" t="s">
        <v>220</v>
      </c>
      <c r="E585" s="147">
        <f>F4Ax!E585+F4Bx!E584</f>
        <v>0</v>
      </c>
      <c r="F585" s="147">
        <f>F4Ax!F585+F4Bx!F584</f>
        <v>0</v>
      </c>
      <c r="G585" s="147">
        <f>F4Ax!G585+F4Bx!G584</f>
        <v>0</v>
      </c>
      <c r="H585" s="147">
        <f>F4Ax!H585+F4Bx!H584</f>
        <v>0</v>
      </c>
      <c r="I585" s="147">
        <f>F4Ax!I585+F4Bx!I584</f>
        <v>0</v>
      </c>
      <c r="J585" s="147">
        <f>F4Ax!J585+F4Bx!J584</f>
        <v>0</v>
      </c>
      <c r="K585" s="147">
        <f>F4Ax!K585+F4Bx!K584</f>
        <v>0</v>
      </c>
      <c r="L585" s="147">
        <f>F4Ax!L585+F4Bx!L584</f>
        <v>0</v>
      </c>
      <c r="M585" s="147">
        <f>F4Ax!M585+F4Bx!M584</f>
        <v>0</v>
      </c>
      <c r="N585" s="147">
        <f>F4Ax!N585+F4Bx!N584</f>
        <v>0</v>
      </c>
      <c r="O585" s="147">
        <f>F4Ax!O585+F4Bx!O584</f>
        <v>0</v>
      </c>
      <c r="P585" s="147">
        <f>F4Ax!P585+F4Bx!P584</f>
        <v>0</v>
      </c>
      <c r="Q585" s="316">
        <f t="shared" si="57"/>
        <v>0</v>
      </c>
    </row>
    <row r="586" ht="15" spans="3:17">
      <c r="C586" s="55" t="s">
        <v>241</v>
      </c>
      <c r="D586" s="55" t="s">
        <v>229</v>
      </c>
      <c r="E586" s="147">
        <f>F4Ax!E586+F4Bx!E585</f>
        <v>0</v>
      </c>
      <c r="F586" s="147">
        <f>F4Ax!F586+F4Bx!F585</f>
        <v>0</v>
      </c>
      <c r="G586" s="147">
        <f>F4Ax!G586+F4Bx!G585</f>
        <v>0</v>
      </c>
      <c r="H586" s="147">
        <f>F4Ax!H586+F4Bx!H585</f>
        <v>0</v>
      </c>
      <c r="I586" s="147">
        <f>F4Ax!I586+F4Bx!I585</f>
        <v>0</v>
      </c>
      <c r="J586" s="147">
        <f>F4Ax!J586+F4Bx!J585</f>
        <v>0</v>
      </c>
      <c r="K586" s="147">
        <f>F4Ax!K586+F4Bx!K585</f>
        <v>0</v>
      </c>
      <c r="L586" s="147">
        <f>F4Ax!L586+F4Bx!L585</f>
        <v>0</v>
      </c>
      <c r="M586" s="147">
        <f>F4Ax!M586+F4Bx!M585</f>
        <v>0</v>
      </c>
      <c r="N586" s="147">
        <f>F4Ax!N586+F4Bx!N585</f>
        <v>0</v>
      </c>
      <c r="O586" s="147">
        <f>F4Ax!O586+F4Bx!O585</f>
        <v>0</v>
      </c>
      <c r="P586" s="147">
        <f>F4Ax!P586+F4Bx!P585</f>
        <v>0</v>
      </c>
      <c r="Q586" s="316">
        <f t="shared" si="57"/>
        <v>0</v>
      </c>
    </row>
    <row r="587" ht="15" spans="3:17">
      <c r="C587" s="55" t="s">
        <v>259</v>
      </c>
      <c r="D587" s="55" t="s">
        <v>243</v>
      </c>
      <c r="E587" s="147">
        <f>F4Ax!E587+F4Bx!E586</f>
        <v>0</v>
      </c>
      <c r="F587" s="147">
        <f>F4Ax!F587+F4Bx!F586</f>
        <v>0</v>
      </c>
      <c r="G587" s="147">
        <f>F4Ax!G587+F4Bx!G586</f>
        <v>0</v>
      </c>
      <c r="H587" s="147">
        <f>F4Ax!H587+F4Bx!H586</f>
        <v>0</v>
      </c>
      <c r="I587" s="147">
        <f>F4Ax!I587+F4Bx!I586</f>
        <v>0</v>
      </c>
      <c r="J587" s="147">
        <f>F4Ax!J587+F4Bx!J586</f>
        <v>0</v>
      </c>
      <c r="K587" s="147">
        <f>F4Ax!K587+F4Bx!K586</f>
        <v>0</v>
      </c>
      <c r="L587" s="147">
        <f>F4Ax!L587+F4Bx!L586</f>
        <v>0</v>
      </c>
      <c r="M587" s="147">
        <f>F4Ax!M587+F4Bx!M586</f>
        <v>0</v>
      </c>
      <c r="N587" s="147">
        <f>F4Ax!N587+F4Bx!N586</f>
        <v>0</v>
      </c>
      <c r="O587" s="147">
        <f>F4Ax!O587+F4Bx!O586</f>
        <v>0</v>
      </c>
      <c r="P587" s="147">
        <f>F4Ax!P587+F4Bx!P586</f>
        <v>0</v>
      </c>
      <c r="Q587" s="316">
        <f t="shared" si="57"/>
        <v>0</v>
      </c>
    </row>
    <row r="588" ht="15" spans="3:17">
      <c r="C588" s="55" t="s">
        <v>205</v>
      </c>
      <c r="D588" s="55" t="s">
        <v>206</v>
      </c>
      <c r="E588" s="147">
        <f>F4Ax!E588+F4Bx!E587</f>
        <v>0</v>
      </c>
      <c r="F588" s="147">
        <f>F4Ax!F588+F4Bx!F587</f>
        <v>0</v>
      </c>
      <c r="G588" s="147">
        <f>F4Ax!G588+F4Bx!G587</f>
        <v>0</v>
      </c>
      <c r="H588" s="147">
        <f>F4Ax!H588+F4Bx!H587</f>
        <v>0</v>
      </c>
      <c r="I588" s="147">
        <f>F4Ax!I588+F4Bx!I587</f>
        <v>0</v>
      </c>
      <c r="J588" s="147">
        <f>F4Ax!J588+F4Bx!J587</f>
        <v>0</v>
      </c>
      <c r="K588" s="147">
        <f>F4Ax!K588+F4Bx!K587</f>
        <v>0</v>
      </c>
      <c r="L588" s="147">
        <f>F4Ax!L588+F4Bx!L587</f>
        <v>0</v>
      </c>
      <c r="M588" s="147">
        <f>F4Ax!M588+F4Bx!M587</f>
        <v>0</v>
      </c>
      <c r="N588" s="147">
        <f>F4Ax!N588+F4Bx!N587</f>
        <v>0</v>
      </c>
      <c r="O588" s="147">
        <f>F4Ax!O588+F4Bx!O587</f>
        <v>0</v>
      </c>
      <c r="P588" s="147">
        <f>F4Ax!P588+F4Bx!P587</f>
        <v>0</v>
      </c>
      <c r="Q588" s="316">
        <f t="shared" si="57"/>
        <v>0</v>
      </c>
    </row>
    <row r="589" ht="15" spans="3:17">
      <c r="C589" s="55" t="s">
        <v>207</v>
      </c>
      <c r="D589" s="55" t="s">
        <v>186</v>
      </c>
      <c r="E589" s="147">
        <f>F4Ax!E589+F4Bx!E588</f>
        <v>0</v>
      </c>
      <c r="F589" s="147">
        <f>F4Ax!F589+F4Bx!F588</f>
        <v>0</v>
      </c>
      <c r="G589" s="147">
        <f>F4Ax!G589+F4Bx!G588</f>
        <v>0</v>
      </c>
      <c r="H589" s="147">
        <f>F4Ax!H589+F4Bx!H588</f>
        <v>0</v>
      </c>
      <c r="I589" s="147">
        <f>F4Ax!I589+F4Bx!I588</f>
        <v>0</v>
      </c>
      <c r="J589" s="147">
        <f>F4Ax!J589+F4Bx!J588</f>
        <v>0</v>
      </c>
      <c r="K589" s="147">
        <f>F4Ax!K589+F4Bx!K588</f>
        <v>0</v>
      </c>
      <c r="L589" s="147">
        <f>F4Ax!L589+F4Bx!L588</f>
        <v>0</v>
      </c>
      <c r="M589" s="147">
        <f>F4Ax!M589+F4Bx!M588</f>
        <v>0</v>
      </c>
      <c r="N589" s="147">
        <f>F4Ax!N589+F4Bx!N588</f>
        <v>0</v>
      </c>
      <c r="O589" s="147">
        <f>F4Ax!O589+F4Bx!O588</f>
        <v>0</v>
      </c>
      <c r="P589" s="147">
        <f>F4Ax!P589+F4Bx!P588</f>
        <v>0</v>
      </c>
      <c r="Q589" s="316">
        <f t="shared" si="57"/>
        <v>0</v>
      </c>
    </row>
    <row r="590" ht="15" spans="3:17">
      <c r="C590" s="55" t="s">
        <v>208</v>
      </c>
      <c r="D590" s="55" t="s">
        <v>209</v>
      </c>
      <c r="E590" s="147">
        <f>F4Ax!E590+F4Bx!E589</f>
        <v>0</v>
      </c>
      <c r="F590" s="147">
        <f>F4Ax!F590+F4Bx!F589</f>
        <v>0</v>
      </c>
      <c r="G590" s="147">
        <f>F4Ax!G590+F4Bx!G589</f>
        <v>0</v>
      </c>
      <c r="H590" s="147">
        <f>F4Ax!H590+F4Bx!H589</f>
        <v>0</v>
      </c>
      <c r="I590" s="147">
        <f>F4Ax!I590+F4Bx!I589</f>
        <v>0</v>
      </c>
      <c r="J590" s="147">
        <f>F4Ax!J590+F4Bx!J589</f>
        <v>0</v>
      </c>
      <c r="K590" s="147">
        <f>F4Ax!K590+F4Bx!K589</f>
        <v>0</v>
      </c>
      <c r="L590" s="147">
        <f>F4Ax!L590+F4Bx!L589</f>
        <v>0</v>
      </c>
      <c r="M590" s="147">
        <f>F4Ax!M590+F4Bx!M589</f>
        <v>0</v>
      </c>
      <c r="N590" s="147">
        <f>F4Ax!N590+F4Bx!N589</f>
        <v>0</v>
      </c>
      <c r="O590" s="147">
        <f>F4Ax!O590+F4Bx!O589</f>
        <v>0</v>
      </c>
      <c r="P590" s="147">
        <f>F4Ax!P590+F4Bx!P589</f>
        <v>0</v>
      </c>
      <c r="Q590" s="316">
        <f t="shared" si="57"/>
        <v>0</v>
      </c>
    </row>
    <row r="591" ht="15" spans="3:17">
      <c r="C591" s="55" t="s">
        <v>210</v>
      </c>
      <c r="D591" s="55" t="s">
        <v>188</v>
      </c>
      <c r="E591" s="147">
        <f>F4Ax!E591+F4Bx!E590</f>
        <v>0</v>
      </c>
      <c r="F591" s="147">
        <f>F4Ax!F591+F4Bx!F590</f>
        <v>0</v>
      </c>
      <c r="G591" s="147">
        <f>F4Ax!G591+F4Bx!G590</f>
        <v>0</v>
      </c>
      <c r="H591" s="147">
        <f>F4Ax!H591+F4Bx!H590</f>
        <v>0</v>
      </c>
      <c r="I591" s="147">
        <f>F4Ax!I591+F4Bx!I590</f>
        <v>0</v>
      </c>
      <c r="J591" s="147">
        <f>F4Ax!J591+F4Bx!J590</f>
        <v>0</v>
      </c>
      <c r="K591" s="147">
        <f>F4Ax!K591+F4Bx!K590</f>
        <v>0</v>
      </c>
      <c r="L591" s="147">
        <f>F4Ax!L591+F4Bx!L590</f>
        <v>0</v>
      </c>
      <c r="M591" s="147">
        <f>F4Ax!M591+F4Bx!M590</f>
        <v>0</v>
      </c>
      <c r="N591" s="147">
        <f>F4Ax!N591+F4Bx!N590</f>
        <v>0</v>
      </c>
      <c r="O591" s="147">
        <f>F4Ax!O591+F4Bx!O590</f>
        <v>0</v>
      </c>
      <c r="P591" s="147">
        <f>F4Ax!P591+F4Bx!P590</f>
        <v>0</v>
      </c>
      <c r="Q591" s="316">
        <f t="shared" si="57"/>
        <v>0</v>
      </c>
    </row>
    <row r="592" ht="15" spans="3:17">
      <c r="C592" s="55"/>
      <c r="D592" s="55"/>
      <c r="E592" s="147">
        <f>F4Ax!E592+F4Bx!E591</f>
        <v>0</v>
      </c>
      <c r="F592" s="147">
        <f>F4Ax!F592+F4Bx!F591</f>
        <v>0</v>
      </c>
      <c r="G592" s="147">
        <f>F4Ax!G592+F4Bx!G591</f>
        <v>0</v>
      </c>
      <c r="H592" s="147">
        <f>F4Ax!H592+F4Bx!H591</f>
        <v>0</v>
      </c>
      <c r="I592" s="147">
        <f>F4Ax!I592+F4Bx!I591</f>
        <v>0</v>
      </c>
      <c r="J592" s="147">
        <f>F4Ax!J592+F4Bx!J591</f>
        <v>0</v>
      </c>
      <c r="K592" s="147">
        <f>F4Ax!K592+F4Bx!K591</f>
        <v>0</v>
      </c>
      <c r="L592" s="147">
        <f>F4Ax!L592+F4Bx!L591</f>
        <v>0</v>
      </c>
      <c r="M592" s="147">
        <f>F4Ax!M592+F4Bx!M591</f>
        <v>0</v>
      </c>
      <c r="N592" s="147">
        <f>F4Ax!N592+F4Bx!N591</f>
        <v>0</v>
      </c>
      <c r="O592" s="147">
        <f>F4Ax!O592+F4Bx!O591</f>
        <v>0</v>
      </c>
      <c r="P592" s="147">
        <f>F4Ax!P592+F4Bx!P591</f>
        <v>0</v>
      </c>
      <c r="Q592" s="316">
        <f t="shared" si="57"/>
        <v>0</v>
      </c>
    </row>
    <row r="593" ht="15" spans="3:17">
      <c r="C593" s="55"/>
      <c r="D593" s="55"/>
      <c r="E593" s="147">
        <f>F4Ax!E593+F4Bx!E592</f>
        <v>0</v>
      </c>
      <c r="F593" s="147">
        <f>F4Ax!F593+F4Bx!F592</f>
        <v>0</v>
      </c>
      <c r="G593" s="147">
        <f>F4Ax!G593+F4Bx!G592</f>
        <v>0</v>
      </c>
      <c r="H593" s="147">
        <f>F4Ax!H593+F4Bx!H592</f>
        <v>0</v>
      </c>
      <c r="I593" s="147">
        <f>F4Ax!I593+F4Bx!I592</f>
        <v>0</v>
      </c>
      <c r="J593" s="147">
        <f>F4Ax!J593+F4Bx!J592</f>
        <v>0</v>
      </c>
      <c r="K593" s="147">
        <f>F4Ax!K593+F4Bx!K592</f>
        <v>0</v>
      </c>
      <c r="L593" s="147">
        <f>F4Ax!L593+F4Bx!L592</f>
        <v>0</v>
      </c>
      <c r="M593" s="147">
        <f>F4Ax!M593+F4Bx!M592</f>
        <v>0</v>
      </c>
      <c r="N593" s="147">
        <f>F4Ax!N593+F4Bx!N592</f>
        <v>0</v>
      </c>
      <c r="O593" s="147">
        <f>F4Ax!O593+F4Bx!O592</f>
        <v>0</v>
      </c>
      <c r="P593" s="147">
        <f>F4Ax!P593+F4Bx!P592</f>
        <v>0</v>
      </c>
      <c r="Q593" s="316">
        <f t="shared" ref="Q593:Q598" si="59">SUM(E593:P593)</f>
        <v>0</v>
      </c>
    </row>
    <row r="594" ht="15" spans="3:17">
      <c r="C594" s="55"/>
      <c r="D594" s="55"/>
      <c r="E594" s="147">
        <f>F4Ax!E594+F4Bx!E593</f>
        <v>0</v>
      </c>
      <c r="F594" s="147">
        <f>F4Ax!F594+F4Bx!F593</f>
        <v>0</v>
      </c>
      <c r="G594" s="147">
        <f>F4Ax!G594+F4Bx!G593</f>
        <v>0</v>
      </c>
      <c r="H594" s="147">
        <f>F4Ax!H594+F4Bx!H593</f>
        <v>0</v>
      </c>
      <c r="I594" s="147">
        <f>F4Ax!I594+F4Bx!I593</f>
        <v>0</v>
      </c>
      <c r="J594" s="147">
        <f>F4Ax!J594+F4Bx!J593</f>
        <v>0</v>
      </c>
      <c r="K594" s="147">
        <f>F4Ax!K594+F4Bx!K593</f>
        <v>0</v>
      </c>
      <c r="L594" s="147">
        <f>F4Ax!L594+F4Bx!L593</f>
        <v>0</v>
      </c>
      <c r="M594" s="147">
        <f>F4Ax!M594+F4Bx!M593</f>
        <v>0</v>
      </c>
      <c r="N594" s="147">
        <f>F4Ax!N594+F4Bx!N593</f>
        <v>0</v>
      </c>
      <c r="O594" s="147">
        <f>F4Ax!O594+F4Bx!O593</f>
        <v>0</v>
      </c>
      <c r="P594" s="147">
        <f>F4Ax!P594+F4Bx!P593</f>
        <v>0</v>
      </c>
      <c r="Q594" s="316">
        <f t="shared" si="59"/>
        <v>0</v>
      </c>
    </row>
    <row r="595" ht="15" spans="3:17">
      <c r="C595" s="55" t="s">
        <v>258</v>
      </c>
      <c r="D595" s="55" t="s">
        <v>258</v>
      </c>
      <c r="E595" s="147">
        <f>F4Ax!E595+F4Bx!E594</f>
        <v>0</v>
      </c>
      <c r="F595" s="147">
        <f>F4Ax!F595+F4Bx!F594</f>
        <v>0</v>
      </c>
      <c r="G595" s="147">
        <f>F4Ax!G595+F4Bx!G594</f>
        <v>0</v>
      </c>
      <c r="H595" s="147">
        <f>F4Ax!H595+F4Bx!H594</f>
        <v>0</v>
      </c>
      <c r="I595" s="147">
        <f>F4Ax!I595+F4Bx!I594</f>
        <v>0</v>
      </c>
      <c r="J595" s="147">
        <f>F4Ax!J595+F4Bx!J594</f>
        <v>0</v>
      </c>
      <c r="K595" s="147">
        <f>F4Ax!K595+F4Bx!K594</f>
        <v>0</v>
      </c>
      <c r="L595" s="147">
        <f>F4Ax!L595+F4Bx!L594</f>
        <v>0</v>
      </c>
      <c r="M595" s="147">
        <f>F4Ax!M595+F4Bx!M594</f>
        <v>0</v>
      </c>
      <c r="N595" s="147">
        <f>F4Ax!N595+F4Bx!N594</f>
        <v>0</v>
      </c>
      <c r="O595" s="147">
        <f>F4Ax!O595+F4Bx!O594</f>
        <v>0</v>
      </c>
      <c r="P595" s="147">
        <f>F4Ax!P595+F4Bx!P594</f>
        <v>0</v>
      </c>
      <c r="Q595" s="316">
        <f t="shared" si="59"/>
        <v>0</v>
      </c>
    </row>
    <row r="596" ht="15" spans="3:17">
      <c r="C596" s="537" t="s">
        <v>211</v>
      </c>
      <c r="D596" s="540"/>
      <c r="E596" s="316">
        <f t="shared" ref="E596:P596" si="60">SUM(E579:E595)</f>
        <v>0</v>
      </c>
      <c r="F596" s="316">
        <f t="shared" si="60"/>
        <v>0</v>
      </c>
      <c r="G596" s="316">
        <f t="shared" si="60"/>
        <v>0</v>
      </c>
      <c r="H596" s="316">
        <f t="shared" si="60"/>
        <v>0</v>
      </c>
      <c r="I596" s="316">
        <f t="shared" si="60"/>
        <v>0</v>
      </c>
      <c r="J596" s="316">
        <f t="shared" si="60"/>
        <v>0</v>
      </c>
      <c r="K596" s="316">
        <f t="shared" si="60"/>
        <v>0</v>
      </c>
      <c r="L596" s="316">
        <f t="shared" si="60"/>
        <v>0</v>
      </c>
      <c r="M596" s="316">
        <f t="shared" si="60"/>
        <v>0</v>
      </c>
      <c r="N596" s="316">
        <f t="shared" si="60"/>
        <v>0</v>
      </c>
      <c r="O596" s="316">
        <f t="shared" si="60"/>
        <v>0</v>
      </c>
      <c r="P596" s="316">
        <f t="shared" si="60"/>
        <v>0</v>
      </c>
      <c r="Q596" s="316">
        <f t="shared" si="59"/>
        <v>0</v>
      </c>
    </row>
    <row r="597" ht="15" spans="3:17">
      <c r="C597" s="537" t="s">
        <v>223</v>
      </c>
      <c r="D597" s="540"/>
      <c r="E597" s="316">
        <f t="shared" ref="E597:P597" si="61">E596+E577+E560</f>
        <v>0</v>
      </c>
      <c r="F597" s="316">
        <f t="shared" si="61"/>
        <v>0</v>
      </c>
      <c r="G597" s="316">
        <f t="shared" si="61"/>
        <v>0</v>
      </c>
      <c r="H597" s="316">
        <f t="shared" si="61"/>
        <v>0</v>
      </c>
      <c r="I597" s="316">
        <f t="shared" si="61"/>
        <v>0</v>
      </c>
      <c r="J597" s="316">
        <f t="shared" si="61"/>
        <v>0</v>
      </c>
      <c r="K597" s="316">
        <f t="shared" si="61"/>
        <v>0</v>
      </c>
      <c r="L597" s="316">
        <f t="shared" si="61"/>
        <v>0</v>
      </c>
      <c r="M597" s="316">
        <f t="shared" si="61"/>
        <v>0</v>
      </c>
      <c r="N597" s="316">
        <f t="shared" si="61"/>
        <v>0</v>
      </c>
      <c r="O597" s="316">
        <f t="shared" si="61"/>
        <v>0</v>
      </c>
      <c r="P597" s="316">
        <f t="shared" si="61"/>
        <v>0</v>
      </c>
      <c r="Q597" s="316">
        <f t="shared" si="59"/>
        <v>0</v>
      </c>
    </row>
    <row r="598" ht="15" spans="3:17">
      <c r="C598" s="537" t="s">
        <v>224</v>
      </c>
      <c r="D598" s="540"/>
      <c r="E598" s="316">
        <f t="shared" ref="E598:P598" si="62">E597+E543</f>
        <v>0</v>
      </c>
      <c r="F598" s="316">
        <f t="shared" si="62"/>
        <v>0</v>
      </c>
      <c r="G598" s="316">
        <f t="shared" si="62"/>
        <v>0</v>
      </c>
      <c r="H598" s="316">
        <f t="shared" si="62"/>
        <v>0</v>
      </c>
      <c r="I598" s="316">
        <f t="shared" si="62"/>
        <v>0</v>
      </c>
      <c r="J598" s="316">
        <f t="shared" si="62"/>
        <v>0</v>
      </c>
      <c r="K598" s="316">
        <f t="shared" si="62"/>
        <v>0</v>
      </c>
      <c r="L598" s="316">
        <f t="shared" si="62"/>
        <v>0</v>
      </c>
      <c r="M598" s="316">
        <f t="shared" si="62"/>
        <v>0</v>
      </c>
      <c r="N598" s="316">
        <f t="shared" si="62"/>
        <v>0</v>
      </c>
      <c r="O598" s="316">
        <f t="shared" si="62"/>
        <v>0</v>
      </c>
      <c r="P598" s="316">
        <f t="shared" si="62"/>
        <v>0</v>
      </c>
      <c r="Q598" s="316">
        <f t="shared" si="59"/>
        <v>0</v>
      </c>
    </row>
    <row r="600" ht="15" spans="3:17">
      <c r="C600" s="14"/>
      <c r="Q600" s="3" t="s">
        <v>236</v>
      </c>
    </row>
    <row r="601" ht="15" spans="3:17">
      <c r="C601" s="6" t="s">
        <v>159</v>
      </c>
      <c r="D601" s="6"/>
      <c r="E601" s="135" t="s">
        <v>265</v>
      </c>
      <c r="F601" s="135"/>
      <c r="G601" s="135"/>
      <c r="H601" s="135"/>
      <c r="I601" s="135"/>
      <c r="J601" s="135"/>
      <c r="K601" s="135"/>
      <c r="L601" s="135"/>
      <c r="M601" s="135"/>
      <c r="N601" s="135"/>
      <c r="O601" s="135"/>
      <c r="P601" s="135"/>
      <c r="Q601" s="135"/>
    </row>
    <row r="602" ht="15" spans="3:17">
      <c r="C602" s="6"/>
      <c r="D602" s="6"/>
      <c r="E602" s="135" t="s">
        <v>246</v>
      </c>
      <c r="F602" s="135" t="s">
        <v>247</v>
      </c>
      <c r="G602" s="135" t="s">
        <v>248</v>
      </c>
      <c r="H602" s="135" t="s">
        <v>249</v>
      </c>
      <c r="I602" s="135" t="s">
        <v>250</v>
      </c>
      <c r="J602" s="135" t="s">
        <v>251</v>
      </c>
      <c r="K602" s="135" t="s">
        <v>252</v>
      </c>
      <c r="L602" s="135" t="s">
        <v>253</v>
      </c>
      <c r="M602" s="135" t="s">
        <v>254</v>
      </c>
      <c r="N602" s="135" t="s">
        <v>255</v>
      </c>
      <c r="O602" s="135" t="s">
        <v>256</v>
      </c>
      <c r="P602" s="135" t="s">
        <v>257</v>
      </c>
      <c r="Q602" s="135" t="s">
        <v>97</v>
      </c>
    </row>
    <row r="603" ht="15" spans="3:17">
      <c r="C603" s="44" t="s">
        <v>170</v>
      </c>
      <c r="D603" s="45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316">
        <f t="shared" ref="Q603:Q634" si="63">SUM(E603:P603)</f>
        <v>0</v>
      </c>
    </row>
    <row r="604" ht="15" spans="3:17">
      <c r="C604" s="47" t="s">
        <v>171</v>
      </c>
      <c r="D604" s="47" t="s">
        <v>172</v>
      </c>
      <c r="E604" s="147">
        <f>F4Ax!E604+F4Bx!E603</f>
        <v>0</v>
      </c>
      <c r="F604" s="147">
        <f>F4Ax!F604+F4Bx!F603</f>
        <v>0</v>
      </c>
      <c r="G604" s="147">
        <f>F4Ax!G604+F4Bx!G603</f>
        <v>0</v>
      </c>
      <c r="H604" s="147">
        <f>F4Ax!H604+F4Bx!H603</f>
        <v>0</v>
      </c>
      <c r="I604" s="147">
        <f>F4Ax!I604+F4Bx!I603</f>
        <v>0</v>
      </c>
      <c r="J604" s="147">
        <f>F4Ax!J604+F4Bx!J603</f>
        <v>0</v>
      </c>
      <c r="K604" s="147">
        <f>F4Ax!K604+F4Bx!K603</f>
        <v>0</v>
      </c>
      <c r="L604" s="147">
        <f>F4Ax!L604+F4Bx!L603</f>
        <v>0</v>
      </c>
      <c r="M604" s="147">
        <f>F4Ax!M604+F4Bx!M603</f>
        <v>0</v>
      </c>
      <c r="N604" s="147">
        <f>F4Ax!N604+F4Bx!N603</f>
        <v>0</v>
      </c>
      <c r="O604" s="147">
        <f>F4Ax!O604+F4Bx!O603</f>
        <v>0</v>
      </c>
      <c r="P604" s="147">
        <f>F4Ax!P604+F4Bx!P603</f>
        <v>0</v>
      </c>
      <c r="Q604" s="316">
        <f t="shared" si="63"/>
        <v>0</v>
      </c>
    </row>
    <row r="605" ht="15" spans="3:17">
      <c r="C605" s="55" t="s">
        <v>173</v>
      </c>
      <c r="D605" s="55" t="s">
        <v>174</v>
      </c>
      <c r="E605" s="147">
        <f>F4Ax!E605+F4Bx!E604</f>
        <v>0</v>
      </c>
      <c r="F605" s="147">
        <f>F4Ax!F605+F4Bx!F604</f>
        <v>0</v>
      </c>
      <c r="G605" s="147">
        <f>F4Ax!G605+F4Bx!G604</f>
        <v>0</v>
      </c>
      <c r="H605" s="147">
        <f>F4Ax!H605+F4Bx!H604</f>
        <v>0</v>
      </c>
      <c r="I605" s="147">
        <f>F4Ax!I605+F4Bx!I604</f>
        <v>0</v>
      </c>
      <c r="J605" s="147">
        <f>F4Ax!J605+F4Bx!J604</f>
        <v>0</v>
      </c>
      <c r="K605" s="147">
        <f>F4Ax!K605+F4Bx!K604</f>
        <v>0</v>
      </c>
      <c r="L605" s="147">
        <f>F4Ax!L605+F4Bx!L604</f>
        <v>0</v>
      </c>
      <c r="M605" s="147">
        <f>F4Ax!M605+F4Bx!M604</f>
        <v>0</v>
      </c>
      <c r="N605" s="147">
        <f>F4Ax!N605+F4Bx!N604</f>
        <v>0</v>
      </c>
      <c r="O605" s="147">
        <f>F4Ax!O605+F4Bx!O604</f>
        <v>0</v>
      </c>
      <c r="P605" s="147">
        <f>F4Ax!P605+F4Bx!P604</f>
        <v>0</v>
      </c>
      <c r="Q605" s="316">
        <f t="shared" si="63"/>
        <v>0</v>
      </c>
    </row>
    <row r="606" ht="15" spans="3:17">
      <c r="C606" s="55" t="s">
        <v>175</v>
      </c>
      <c r="D606" s="55" t="s">
        <v>176</v>
      </c>
      <c r="E606" s="147">
        <f>F4Ax!E606+F4Bx!E605</f>
        <v>0</v>
      </c>
      <c r="F606" s="147">
        <f>F4Ax!F606+F4Bx!F605</f>
        <v>0</v>
      </c>
      <c r="G606" s="147">
        <f>F4Ax!G606+F4Bx!G605</f>
        <v>0</v>
      </c>
      <c r="H606" s="147">
        <f>F4Ax!H606+F4Bx!H605</f>
        <v>0</v>
      </c>
      <c r="I606" s="147">
        <f>F4Ax!I606+F4Bx!I605</f>
        <v>0</v>
      </c>
      <c r="J606" s="147">
        <f>F4Ax!J606+F4Bx!J605</f>
        <v>0</v>
      </c>
      <c r="K606" s="147">
        <f>F4Ax!K606+F4Bx!K605</f>
        <v>0</v>
      </c>
      <c r="L606" s="147">
        <f>F4Ax!L606+F4Bx!L605</f>
        <v>0</v>
      </c>
      <c r="M606" s="147">
        <f>F4Ax!M606+F4Bx!M605</f>
        <v>0</v>
      </c>
      <c r="N606" s="147">
        <f>F4Ax!N606+F4Bx!N605</f>
        <v>0</v>
      </c>
      <c r="O606" s="147">
        <f>F4Ax!O606+F4Bx!O605</f>
        <v>0</v>
      </c>
      <c r="P606" s="147">
        <f>F4Ax!P606+F4Bx!P605</f>
        <v>0</v>
      </c>
      <c r="Q606" s="316">
        <f t="shared" si="63"/>
        <v>0</v>
      </c>
    </row>
    <row r="607" ht="15" spans="3:17">
      <c r="C607" s="55" t="s">
        <v>177</v>
      </c>
      <c r="D607" s="55" t="s">
        <v>178</v>
      </c>
      <c r="E607" s="147">
        <f>F4Ax!E607+F4Bx!E606</f>
        <v>0</v>
      </c>
      <c r="F607" s="147">
        <f>F4Ax!F607+F4Bx!F606</f>
        <v>0</v>
      </c>
      <c r="G607" s="147">
        <f>F4Ax!G607+F4Bx!G606</f>
        <v>0</v>
      </c>
      <c r="H607" s="147">
        <f>F4Ax!H607+F4Bx!H606</f>
        <v>0</v>
      </c>
      <c r="I607" s="147">
        <f>F4Ax!I607+F4Bx!I606</f>
        <v>0</v>
      </c>
      <c r="J607" s="147">
        <f>F4Ax!J607+F4Bx!J606</f>
        <v>0</v>
      </c>
      <c r="K607" s="147">
        <f>F4Ax!K607+F4Bx!K606</f>
        <v>0</v>
      </c>
      <c r="L607" s="147">
        <f>F4Ax!L607+F4Bx!L606</f>
        <v>0</v>
      </c>
      <c r="M607" s="147">
        <f>F4Ax!M607+F4Bx!M606</f>
        <v>0</v>
      </c>
      <c r="N607" s="147">
        <f>F4Ax!N607+F4Bx!N606</f>
        <v>0</v>
      </c>
      <c r="O607" s="147">
        <f>F4Ax!O607+F4Bx!O606</f>
        <v>0</v>
      </c>
      <c r="P607" s="147">
        <f>F4Ax!P607+F4Bx!P606</f>
        <v>0</v>
      </c>
      <c r="Q607" s="316">
        <f t="shared" si="63"/>
        <v>0</v>
      </c>
    </row>
    <row r="608" ht="15" spans="3:17">
      <c r="C608" s="55" t="s">
        <v>179</v>
      </c>
      <c r="D608" s="55" t="s">
        <v>180</v>
      </c>
      <c r="E608" s="147">
        <f>F4Ax!E608+F4Bx!E607</f>
        <v>0</v>
      </c>
      <c r="F608" s="147">
        <f>F4Ax!F608+F4Bx!F607</f>
        <v>0</v>
      </c>
      <c r="G608" s="147">
        <f>F4Ax!G608+F4Bx!G607</f>
        <v>0</v>
      </c>
      <c r="H608" s="147">
        <f>F4Ax!H608+F4Bx!H607</f>
        <v>0</v>
      </c>
      <c r="I608" s="147">
        <f>F4Ax!I608+F4Bx!I607</f>
        <v>0</v>
      </c>
      <c r="J608" s="147">
        <f>F4Ax!J608+F4Bx!J607</f>
        <v>0</v>
      </c>
      <c r="K608" s="147">
        <f>F4Ax!K608+F4Bx!K607</f>
        <v>0</v>
      </c>
      <c r="L608" s="147">
        <f>F4Ax!L608+F4Bx!L607</f>
        <v>0</v>
      </c>
      <c r="M608" s="147">
        <f>F4Ax!M608+F4Bx!M607</f>
        <v>0</v>
      </c>
      <c r="N608" s="147">
        <f>F4Ax!N608+F4Bx!N607</f>
        <v>0</v>
      </c>
      <c r="O608" s="147">
        <f>F4Ax!O608+F4Bx!O607</f>
        <v>0</v>
      </c>
      <c r="P608" s="147">
        <f>F4Ax!P608+F4Bx!P607</f>
        <v>0</v>
      </c>
      <c r="Q608" s="316">
        <f t="shared" si="63"/>
        <v>0</v>
      </c>
    </row>
    <row r="609" ht="15" spans="3:17">
      <c r="C609" s="55" t="s">
        <v>181</v>
      </c>
      <c r="D609" s="55" t="s">
        <v>182</v>
      </c>
      <c r="E609" s="147">
        <f>F4Ax!E609+F4Bx!E608</f>
        <v>0</v>
      </c>
      <c r="F609" s="147">
        <f>F4Ax!F609+F4Bx!F608</f>
        <v>0</v>
      </c>
      <c r="G609" s="147">
        <f>F4Ax!G609+F4Bx!G608</f>
        <v>0</v>
      </c>
      <c r="H609" s="147">
        <f>F4Ax!H609+F4Bx!H608</f>
        <v>0</v>
      </c>
      <c r="I609" s="147">
        <f>F4Ax!I609+F4Bx!I608</f>
        <v>0</v>
      </c>
      <c r="J609" s="147">
        <f>F4Ax!J609+F4Bx!J608</f>
        <v>0</v>
      </c>
      <c r="K609" s="147">
        <f>F4Ax!K609+F4Bx!K608</f>
        <v>0</v>
      </c>
      <c r="L609" s="147">
        <f>F4Ax!L609+F4Bx!L608</f>
        <v>0</v>
      </c>
      <c r="M609" s="147">
        <f>F4Ax!M609+F4Bx!M608</f>
        <v>0</v>
      </c>
      <c r="N609" s="147">
        <f>F4Ax!N609+F4Bx!N608</f>
        <v>0</v>
      </c>
      <c r="O609" s="147">
        <f>F4Ax!O609+F4Bx!O608</f>
        <v>0</v>
      </c>
      <c r="P609" s="147">
        <f>F4Ax!P609+F4Bx!P608</f>
        <v>0</v>
      </c>
      <c r="Q609" s="316">
        <f t="shared" si="63"/>
        <v>0</v>
      </c>
    </row>
    <row r="610" ht="15" spans="3:17">
      <c r="C610" s="55" t="s">
        <v>183</v>
      </c>
      <c r="D610" s="55" t="s">
        <v>184</v>
      </c>
      <c r="E610" s="147">
        <f>F4Ax!E610+F4Bx!E609</f>
        <v>0</v>
      </c>
      <c r="F610" s="147">
        <f>F4Ax!F610+F4Bx!F609</f>
        <v>0</v>
      </c>
      <c r="G610" s="147">
        <f>F4Ax!G610+F4Bx!G609</f>
        <v>0</v>
      </c>
      <c r="H610" s="147">
        <f>F4Ax!H610+F4Bx!H609</f>
        <v>0</v>
      </c>
      <c r="I610" s="147">
        <f>F4Ax!I610+F4Bx!I609</f>
        <v>0</v>
      </c>
      <c r="J610" s="147">
        <f>F4Ax!J610+F4Bx!J609</f>
        <v>0</v>
      </c>
      <c r="K610" s="147">
        <f>F4Ax!K610+F4Bx!K609</f>
        <v>0</v>
      </c>
      <c r="L610" s="147">
        <f>F4Ax!L610+F4Bx!L609</f>
        <v>0</v>
      </c>
      <c r="M610" s="147">
        <f>F4Ax!M610+F4Bx!M609</f>
        <v>0</v>
      </c>
      <c r="N610" s="147">
        <f>F4Ax!N610+F4Bx!N609</f>
        <v>0</v>
      </c>
      <c r="O610" s="147">
        <f>F4Ax!O610+F4Bx!O609</f>
        <v>0</v>
      </c>
      <c r="P610" s="147">
        <f>F4Ax!P610+F4Bx!P609</f>
        <v>0</v>
      </c>
      <c r="Q610" s="316">
        <f t="shared" si="63"/>
        <v>0</v>
      </c>
    </row>
    <row r="611" ht="15" spans="3:17">
      <c r="C611" s="55" t="s">
        <v>185</v>
      </c>
      <c r="D611" s="55" t="s">
        <v>186</v>
      </c>
      <c r="E611" s="147">
        <f>F4Ax!E611+F4Bx!E610</f>
        <v>0</v>
      </c>
      <c r="F611" s="147">
        <f>F4Ax!F611+F4Bx!F610</f>
        <v>0</v>
      </c>
      <c r="G611" s="147">
        <f>F4Ax!G611+F4Bx!G610</f>
        <v>0</v>
      </c>
      <c r="H611" s="147">
        <f>F4Ax!H611+F4Bx!H610</f>
        <v>0</v>
      </c>
      <c r="I611" s="147">
        <f>F4Ax!I611+F4Bx!I610</f>
        <v>0</v>
      </c>
      <c r="J611" s="147">
        <f>F4Ax!J611+F4Bx!J610</f>
        <v>0</v>
      </c>
      <c r="K611" s="147">
        <f>F4Ax!K611+F4Bx!K610</f>
        <v>0</v>
      </c>
      <c r="L611" s="147">
        <f>F4Ax!L611+F4Bx!L610</f>
        <v>0</v>
      </c>
      <c r="M611" s="147">
        <f>F4Ax!M611+F4Bx!M610</f>
        <v>0</v>
      </c>
      <c r="N611" s="147">
        <f>F4Ax!N611+F4Bx!N610</f>
        <v>0</v>
      </c>
      <c r="O611" s="147">
        <f>F4Ax!O611+F4Bx!O610</f>
        <v>0</v>
      </c>
      <c r="P611" s="147">
        <f>F4Ax!P611+F4Bx!P610</f>
        <v>0</v>
      </c>
      <c r="Q611" s="316">
        <f t="shared" si="63"/>
        <v>0</v>
      </c>
    </row>
    <row r="612" ht="15" spans="3:17">
      <c r="C612" s="55" t="s">
        <v>187</v>
      </c>
      <c r="D612" s="55" t="s">
        <v>188</v>
      </c>
      <c r="E612" s="147">
        <f>F4Ax!E612+F4Bx!E611</f>
        <v>0</v>
      </c>
      <c r="F612" s="147">
        <f>F4Ax!F612+F4Bx!F611</f>
        <v>0</v>
      </c>
      <c r="G612" s="147">
        <f>F4Ax!G612+F4Bx!G611</f>
        <v>0</v>
      </c>
      <c r="H612" s="147">
        <f>F4Ax!H612+F4Bx!H611</f>
        <v>0</v>
      </c>
      <c r="I612" s="147">
        <f>F4Ax!I612+F4Bx!I611</f>
        <v>0</v>
      </c>
      <c r="J612" s="147">
        <f>F4Ax!J612+F4Bx!J611</f>
        <v>0</v>
      </c>
      <c r="K612" s="147">
        <f>F4Ax!K612+F4Bx!K611</f>
        <v>0</v>
      </c>
      <c r="L612" s="147">
        <f>F4Ax!L612+F4Bx!L611</f>
        <v>0</v>
      </c>
      <c r="M612" s="147">
        <f>F4Ax!M612+F4Bx!M611</f>
        <v>0</v>
      </c>
      <c r="N612" s="147">
        <f>F4Ax!N612+F4Bx!N611</f>
        <v>0</v>
      </c>
      <c r="O612" s="147">
        <f>F4Ax!O612+F4Bx!O611</f>
        <v>0</v>
      </c>
      <c r="P612" s="147">
        <f>F4Ax!P612+F4Bx!P611</f>
        <v>0</v>
      </c>
      <c r="Q612" s="316">
        <f t="shared" si="63"/>
        <v>0</v>
      </c>
    </row>
    <row r="613" ht="15" spans="3:17">
      <c r="C613" s="55"/>
      <c r="D613" s="55"/>
      <c r="E613" s="147">
        <f>F4Ax!E613+F4Bx!E612</f>
        <v>0</v>
      </c>
      <c r="F613" s="147">
        <f>F4Ax!F613+F4Bx!F612</f>
        <v>0</v>
      </c>
      <c r="G613" s="147">
        <f>F4Ax!G613+F4Bx!G612</f>
        <v>0</v>
      </c>
      <c r="H613" s="147">
        <f>F4Ax!H613+F4Bx!H612</f>
        <v>0</v>
      </c>
      <c r="I613" s="147">
        <f>F4Ax!I613+F4Bx!I612</f>
        <v>0</v>
      </c>
      <c r="J613" s="147">
        <f>F4Ax!J613+F4Bx!J612</f>
        <v>0</v>
      </c>
      <c r="K613" s="147">
        <f>F4Ax!K613+F4Bx!K612</f>
        <v>0</v>
      </c>
      <c r="L613" s="147">
        <f>F4Ax!L613+F4Bx!L612</f>
        <v>0</v>
      </c>
      <c r="M613" s="147">
        <f>F4Ax!M613+F4Bx!M612</f>
        <v>0</v>
      </c>
      <c r="N613" s="147">
        <f>F4Ax!N613+F4Bx!N612</f>
        <v>0</v>
      </c>
      <c r="O613" s="147">
        <f>F4Ax!O613+F4Bx!O612</f>
        <v>0</v>
      </c>
      <c r="P613" s="147">
        <f>F4Ax!P613+F4Bx!P612</f>
        <v>0</v>
      </c>
      <c r="Q613" s="316">
        <f t="shared" si="63"/>
        <v>0</v>
      </c>
    </row>
    <row r="614" ht="15" spans="3:17">
      <c r="C614" s="55"/>
      <c r="D614" s="55"/>
      <c r="E614" s="147">
        <f>F4Ax!E614+F4Bx!E613</f>
        <v>0</v>
      </c>
      <c r="F614" s="147">
        <f>F4Ax!F614+F4Bx!F613</f>
        <v>0</v>
      </c>
      <c r="G614" s="147">
        <f>F4Ax!G614+F4Bx!G613</f>
        <v>0</v>
      </c>
      <c r="H614" s="147">
        <f>F4Ax!H614+F4Bx!H613</f>
        <v>0</v>
      </c>
      <c r="I614" s="147">
        <f>F4Ax!I614+F4Bx!I613</f>
        <v>0</v>
      </c>
      <c r="J614" s="147">
        <f>F4Ax!J614+F4Bx!J613</f>
        <v>0</v>
      </c>
      <c r="K614" s="147">
        <f>F4Ax!K614+F4Bx!K613</f>
        <v>0</v>
      </c>
      <c r="L614" s="147">
        <f>F4Ax!L614+F4Bx!L613</f>
        <v>0</v>
      </c>
      <c r="M614" s="147">
        <f>F4Ax!M614+F4Bx!M613</f>
        <v>0</v>
      </c>
      <c r="N614" s="147">
        <f>F4Ax!N614+F4Bx!N613</f>
        <v>0</v>
      </c>
      <c r="O614" s="147">
        <f>F4Ax!O614+F4Bx!O613</f>
        <v>0</v>
      </c>
      <c r="P614" s="147">
        <f>F4Ax!P614+F4Bx!P613</f>
        <v>0</v>
      </c>
      <c r="Q614" s="316">
        <f t="shared" si="63"/>
        <v>0</v>
      </c>
    </row>
    <row r="615" ht="15" spans="3:17">
      <c r="C615" s="55"/>
      <c r="D615" s="55"/>
      <c r="E615" s="147">
        <f>F4Ax!E615+F4Bx!E614</f>
        <v>0</v>
      </c>
      <c r="F615" s="147">
        <f>F4Ax!F615+F4Bx!F614</f>
        <v>0</v>
      </c>
      <c r="G615" s="147">
        <f>F4Ax!G615+F4Bx!G614</f>
        <v>0</v>
      </c>
      <c r="H615" s="147">
        <f>F4Ax!H615+F4Bx!H614</f>
        <v>0</v>
      </c>
      <c r="I615" s="147">
        <f>F4Ax!I615+F4Bx!I614</f>
        <v>0</v>
      </c>
      <c r="J615" s="147">
        <f>F4Ax!J615+F4Bx!J614</f>
        <v>0</v>
      </c>
      <c r="K615" s="147">
        <f>F4Ax!K615+F4Bx!K614</f>
        <v>0</v>
      </c>
      <c r="L615" s="147">
        <f>F4Ax!L615+F4Bx!L614</f>
        <v>0</v>
      </c>
      <c r="M615" s="147">
        <f>F4Ax!M615+F4Bx!M614</f>
        <v>0</v>
      </c>
      <c r="N615" s="147">
        <f>F4Ax!N615+F4Bx!N614</f>
        <v>0</v>
      </c>
      <c r="O615" s="147">
        <f>F4Ax!O615+F4Bx!O614</f>
        <v>0</v>
      </c>
      <c r="P615" s="147">
        <f>F4Ax!P615+F4Bx!P614</f>
        <v>0</v>
      </c>
      <c r="Q615" s="316">
        <f t="shared" si="63"/>
        <v>0</v>
      </c>
    </row>
    <row r="616" ht="15" spans="3:17">
      <c r="C616" s="55" t="s">
        <v>258</v>
      </c>
      <c r="D616" s="55" t="s">
        <v>258</v>
      </c>
      <c r="E616" s="147">
        <f>F4Ax!E616+F4Bx!E615</f>
        <v>0</v>
      </c>
      <c r="F616" s="147">
        <f>F4Ax!F616+F4Bx!F615</f>
        <v>0</v>
      </c>
      <c r="G616" s="147">
        <f>F4Ax!G616+F4Bx!G615</f>
        <v>0</v>
      </c>
      <c r="H616" s="147">
        <f>F4Ax!H616+F4Bx!H615</f>
        <v>0</v>
      </c>
      <c r="I616" s="147">
        <f>F4Ax!I616+F4Bx!I615</f>
        <v>0</v>
      </c>
      <c r="J616" s="147">
        <f>F4Ax!J616+F4Bx!J615</f>
        <v>0</v>
      </c>
      <c r="K616" s="147">
        <f>F4Ax!K616+F4Bx!K615</f>
        <v>0</v>
      </c>
      <c r="L616" s="147">
        <f>F4Ax!L616+F4Bx!L615</f>
        <v>0</v>
      </c>
      <c r="M616" s="147">
        <f>F4Ax!M616+F4Bx!M615</f>
        <v>0</v>
      </c>
      <c r="N616" s="147">
        <f>F4Ax!N616+F4Bx!N615</f>
        <v>0</v>
      </c>
      <c r="O616" s="147">
        <f>F4Ax!O616+F4Bx!O615</f>
        <v>0</v>
      </c>
      <c r="P616" s="147">
        <f>F4Ax!P616+F4Bx!P615</f>
        <v>0</v>
      </c>
      <c r="Q616" s="316">
        <f t="shared" si="63"/>
        <v>0</v>
      </c>
    </row>
    <row r="617" ht="15" spans="3:17">
      <c r="C617" s="537" t="s">
        <v>189</v>
      </c>
      <c r="D617" s="540"/>
      <c r="E617" s="316">
        <f t="shared" ref="E617:P617" si="64">SUM(E604:E616)</f>
        <v>0</v>
      </c>
      <c r="F617" s="316">
        <f t="shared" si="64"/>
        <v>0</v>
      </c>
      <c r="G617" s="316">
        <f t="shared" si="64"/>
        <v>0</v>
      </c>
      <c r="H617" s="316">
        <f t="shared" si="64"/>
        <v>0</v>
      </c>
      <c r="I617" s="316">
        <f t="shared" si="64"/>
        <v>0</v>
      </c>
      <c r="J617" s="316">
        <f t="shared" si="64"/>
        <v>0</v>
      </c>
      <c r="K617" s="316">
        <f t="shared" si="64"/>
        <v>0</v>
      </c>
      <c r="L617" s="316">
        <f t="shared" si="64"/>
        <v>0</v>
      </c>
      <c r="M617" s="316">
        <f t="shared" si="64"/>
        <v>0</v>
      </c>
      <c r="N617" s="316">
        <f t="shared" si="64"/>
        <v>0</v>
      </c>
      <c r="O617" s="316">
        <f t="shared" si="64"/>
        <v>0</v>
      </c>
      <c r="P617" s="316">
        <f t="shared" si="64"/>
        <v>0</v>
      </c>
      <c r="Q617" s="316">
        <f t="shared" si="63"/>
        <v>0</v>
      </c>
    </row>
    <row r="618" ht="15" spans="3:17">
      <c r="C618" s="44" t="s">
        <v>190</v>
      </c>
      <c r="D618" s="45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316">
        <f t="shared" si="63"/>
        <v>0</v>
      </c>
    </row>
    <row r="619" ht="15" spans="3:17">
      <c r="C619" s="55" t="s">
        <v>191</v>
      </c>
      <c r="D619" s="55" t="s">
        <v>192</v>
      </c>
      <c r="E619" s="147">
        <f>F4Ax!E619+F4Bx!E618</f>
        <v>0</v>
      </c>
      <c r="F619" s="147">
        <f>F4Ax!F619+F4Bx!F618</f>
        <v>0</v>
      </c>
      <c r="G619" s="147">
        <f>F4Ax!G619+F4Bx!G618</f>
        <v>0</v>
      </c>
      <c r="H619" s="147">
        <f>F4Ax!H619+F4Bx!H618</f>
        <v>0</v>
      </c>
      <c r="I619" s="147">
        <f>F4Ax!I619+F4Bx!I618</f>
        <v>0</v>
      </c>
      <c r="J619" s="147">
        <f>F4Ax!J619+F4Bx!J618</f>
        <v>0</v>
      </c>
      <c r="K619" s="147">
        <f>F4Ax!K619+F4Bx!K618</f>
        <v>0</v>
      </c>
      <c r="L619" s="147">
        <f>F4Ax!L619+F4Bx!L618</f>
        <v>0</v>
      </c>
      <c r="M619" s="147">
        <f>F4Ax!M619+F4Bx!M618</f>
        <v>0</v>
      </c>
      <c r="N619" s="147">
        <f>F4Ax!N619+F4Bx!N618</f>
        <v>0</v>
      </c>
      <c r="O619" s="147">
        <f>F4Ax!O619+F4Bx!O618</f>
        <v>0</v>
      </c>
      <c r="P619" s="147">
        <f>F4Ax!P619+F4Bx!P618</f>
        <v>0</v>
      </c>
      <c r="Q619" s="316">
        <f t="shared" si="63"/>
        <v>0</v>
      </c>
    </row>
    <row r="620" ht="15" spans="3:17">
      <c r="C620" s="55" t="s">
        <v>193</v>
      </c>
      <c r="D620" s="55" t="s">
        <v>194</v>
      </c>
      <c r="E620" s="147">
        <f>F4Ax!E620+F4Bx!E619</f>
        <v>0</v>
      </c>
      <c r="F620" s="147">
        <f>F4Ax!F620+F4Bx!F619</f>
        <v>0</v>
      </c>
      <c r="G620" s="147">
        <f>F4Ax!G620+F4Bx!G619</f>
        <v>0</v>
      </c>
      <c r="H620" s="147">
        <f>F4Ax!H620+F4Bx!H619</f>
        <v>0</v>
      </c>
      <c r="I620" s="147">
        <f>F4Ax!I620+F4Bx!I619</f>
        <v>0</v>
      </c>
      <c r="J620" s="147">
        <f>F4Ax!J620+F4Bx!J619</f>
        <v>0</v>
      </c>
      <c r="K620" s="147">
        <f>F4Ax!K620+F4Bx!K619</f>
        <v>0</v>
      </c>
      <c r="L620" s="147">
        <f>F4Ax!L620+F4Bx!L619</f>
        <v>0</v>
      </c>
      <c r="M620" s="147">
        <f>F4Ax!M620+F4Bx!M619</f>
        <v>0</v>
      </c>
      <c r="N620" s="147">
        <f>F4Ax!N620+F4Bx!N619</f>
        <v>0</v>
      </c>
      <c r="O620" s="147">
        <f>F4Ax!O620+F4Bx!O619</f>
        <v>0</v>
      </c>
      <c r="P620" s="147">
        <f>F4Ax!P620+F4Bx!P619</f>
        <v>0</v>
      </c>
      <c r="Q620" s="316">
        <f t="shared" si="63"/>
        <v>0</v>
      </c>
    </row>
    <row r="621" ht="15" spans="3:17">
      <c r="C621" s="55" t="s">
        <v>239</v>
      </c>
      <c r="D621" s="55" t="s">
        <v>196</v>
      </c>
      <c r="E621" s="147">
        <f>F4Ax!E621+F4Bx!E620</f>
        <v>0</v>
      </c>
      <c r="F621" s="147">
        <f>F4Ax!F621+F4Bx!F620</f>
        <v>0</v>
      </c>
      <c r="G621" s="147">
        <f>F4Ax!G621+F4Bx!G620</f>
        <v>0</v>
      </c>
      <c r="H621" s="147">
        <f>F4Ax!H621+F4Bx!H620</f>
        <v>0</v>
      </c>
      <c r="I621" s="147">
        <f>F4Ax!I621+F4Bx!I620</f>
        <v>0</v>
      </c>
      <c r="J621" s="147">
        <f>F4Ax!J621+F4Bx!J620</f>
        <v>0</v>
      </c>
      <c r="K621" s="147">
        <f>F4Ax!K621+F4Bx!K620</f>
        <v>0</v>
      </c>
      <c r="L621" s="147">
        <f>F4Ax!L621+F4Bx!L620</f>
        <v>0</v>
      </c>
      <c r="M621" s="147">
        <f>F4Ax!M621+F4Bx!M620</f>
        <v>0</v>
      </c>
      <c r="N621" s="147">
        <f>F4Ax!N621+F4Bx!N620</f>
        <v>0</v>
      </c>
      <c r="O621" s="147">
        <f>F4Ax!O621+F4Bx!O620</f>
        <v>0</v>
      </c>
      <c r="P621" s="147">
        <f>F4Ax!P621+F4Bx!P620</f>
        <v>0</v>
      </c>
      <c r="Q621" s="316">
        <f t="shared" si="63"/>
        <v>0</v>
      </c>
    </row>
    <row r="622" ht="15" spans="3:17">
      <c r="C622" s="55" t="s">
        <v>197</v>
      </c>
      <c r="D622" s="55" t="s">
        <v>198</v>
      </c>
      <c r="E622" s="147">
        <f>F4Ax!E622+F4Bx!E621</f>
        <v>0</v>
      </c>
      <c r="F622" s="147">
        <f>F4Ax!F622+F4Bx!F621</f>
        <v>0</v>
      </c>
      <c r="G622" s="147">
        <f>F4Ax!G622+F4Bx!G621</f>
        <v>0</v>
      </c>
      <c r="H622" s="147">
        <f>F4Ax!H622+F4Bx!H621</f>
        <v>0</v>
      </c>
      <c r="I622" s="147">
        <f>F4Ax!I622+F4Bx!I621</f>
        <v>0</v>
      </c>
      <c r="J622" s="147">
        <f>F4Ax!J622+F4Bx!J621</f>
        <v>0</v>
      </c>
      <c r="K622" s="147">
        <f>F4Ax!K622+F4Bx!K621</f>
        <v>0</v>
      </c>
      <c r="L622" s="147">
        <f>F4Ax!L622+F4Bx!L621</f>
        <v>0</v>
      </c>
      <c r="M622" s="147">
        <f>F4Ax!M622+F4Bx!M621</f>
        <v>0</v>
      </c>
      <c r="N622" s="147">
        <f>F4Ax!N622+F4Bx!N621</f>
        <v>0</v>
      </c>
      <c r="O622" s="147">
        <f>F4Ax!O622+F4Bx!O621</f>
        <v>0</v>
      </c>
      <c r="P622" s="147">
        <f>F4Ax!P622+F4Bx!P621</f>
        <v>0</v>
      </c>
      <c r="Q622" s="316">
        <f t="shared" si="63"/>
        <v>0</v>
      </c>
    </row>
    <row r="623" ht="15" spans="3:17">
      <c r="C623" s="55" t="s">
        <v>199</v>
      </c>
      <c r="D623" s="55" t="s">
        <v>200</v>
      </c>
      <c r="E623" s="147">
        <f>F4Ax!E623+F4Bx!E622</f>
        <v>0</v>
      </c>
      <c r="F623" s="147">
        <f>F4Ax!F623+F4Bx!F622</f>
        <v>0</v>
      </c>
      <c r="G623" s="147">
        <f>F4Ax!G623+F4Bx!G622</f>
        <v>0</v>
      </c>
      <c r="H623" s="147">
        <f>F4Ax!H623+F4Bx!H622</f>
        <v>0</v>
      </c>
      <c r="I623" s="147">
        <f>F4Ax!I623+F4Bx!I622</f>
        <v>0</v>
      </c>
      <c r="J623" s="147">
        <f>F4Ax!J623+F4Bx!J622</f>
        <v>0</v>
      </c>
      <c r="K623" s="147">
        <f>F4Ax!K623+F4Bx!K622</f>
        <v>0</v>
      </c>
      <c r="L623" s="147">
        <f>F4Ax!L623+F4Bx!L622</f>
        <v>0</v>
      </c>
      <c r="M623" s="147">
        <f>F4Ax!M623+F4Bx!M622</f>
        <v>0</v>
      </c>
      <c r="N623" s="147">
        <f>F4Ax!N623+F4Bx!N622</f>
        <v>0</v>
      </c>
      <c r="O623" s="147">
        <f>F4Ax!O623+F4Bx!O622</f>
        <v>0</v>
      </c>
      <c r="P623" s="147">
        <f>F4Ax!P623+F4Bx!P622</f>
        <v>0</v>
      </c>
      <c r="Q623" s="316">
        <f t="shared" si="63"/>
        <v>0</v>
      </c>
    </row>
    <row r="624" ht="15" spans="3:17">
      <c r="C624" s="55" t="s">
        <v>201</v>
      </c>
      <c r="D624" s="55" t="s">
        <v>202</v>
      </c>
      <c r="E624" s="147">
        <f>F4Ax!E624+F4Bx!E623</f>
        <v>0</v>
      </c>
      <c r="F624" s="147">
        <f>F4Ax!F624+F4Bx!F623</f>
        <v>0</v>
      </c>
      <c r="G624" s="147">
        <f>F4Ax!G624+F4Bx!G623</f>
        <v>0</v>
      </c>
      <c r="H624" s="147">
        <f>F4Ax!H624+F4Bx!H623</f>
        <v>0</v>
      </c>
      <c r="I624" s="147">
        <f>F4Ax!I624+F4Bx!I623</f>
        <v>0</v>
      </c>
      <c r="J624" s="147">
        <f>F4Ax!J624+F4Bx!J623</f>
        <v>0</v>
      </c>
      <c r="K624" s="147">
        <f>F4Ax!K624+F4Bx!K623</f>
        <v>0</v>
      </c>
      <c r="L624" s="147">
        <f>F4Ax!L624+F4Bx!L623</f>
        <v>0</v>
      </c>
      <c r="M624" s="147">
        <f>F4Ax!M624+F4Bx!M623</f>
        <v>0</v>
      </c>
      <c r="N624" s="147">
        <f>F4Ax!N624+F4Bx!N623</f>
        <v>0</v>
      </c>
      <c r="O624" s="147">
        <f>F4Ax!O624+F4Bx!O623</f>
        <v>0</v>
      </c>
      <c r="P624" s="147">
        <f>F4Ax!P624+F4Bx!P623</f>
        <v>0</v>
      </c>
      <c r="Q624" s="316">
        <f t="shared" si="63"/>
        <v>0</v>
      </c>
    </row>
    <row r="625" ht="15" spans="3:17">
      <c r="C625" s="55" t="s">
        <v>203</v>
      </c>
      <c r="D625" s="55" t="s">
        <v>204</v>
      </c>
      <c r="E625" s="147">
        <f>F4Ax!E625+F4Bx!E624</f>
        <v>0</v>
      </c>
      <c r="F625" s="147">
        <f>F4Ax!F625+F4Bx!F624</f>
        <v>0</v>
      </c>
      <c r="G625" s="147">
        <f>F4Ax!G625+F4Bx!G624</f>
        <v>0</v>
      </c>
      <c r="H625" s="147">
        <f>F4Ax!H625+F4Bx!H624</f>
        <v>0</v>
      </c>
      <c r="I625" s="147">
        <f>F4Ax!I625+F4Bx!I624</f>
        <v>0</v>
      </c>
      <c r="J625" s="147">
        <f>F4Ax!J625+F4Bx!J624</f>
        <v>0</v>
      </c>
      <c r="K625" s="147">
        <f>F4Ax!K625+F4Bx!K624</f>
        <v>0</v>
      </c>
      <c r="L625" s="147">
        <f>F4Ax!L625+F4Bx!L624</f>
        <v>0</v>
      </c>
      <c r="M625" s="147">
        <f>F4Ax!M625+F4Bx!M624</f>
        <v>0</v>
      </c>
      <c r="N625" s="147">
        <f>F4Ax!N625+F4Bx!N624</f>
        <v>0</v>
      </c>
      <c r="O625" s="147">
        <f>F4Ax!O625+F4Bx!O624</f>
        <v>0</v>
      </c>
      <c r="P625" s="147">
        <f>F4Ax!P625+F4Bx!P624</f>
        <v>0</v>
      </c>
      <c r="Q625" s="316">
        <f t="shared" si="63"/>
        <v>0</v>
      </c>
    </row>
    <row r="626" ht="15" spans="3:17">
      <c r="C626" s="55" t="s">
        <v>205</v>
      </c>
      <c r="D626" s="55" t="s">
        <v>206</v>
      </c>
      <c r="E626" s="147">
        <f>F4Ax!E626+F4Bx!E625</f>
        <v>0</v>
      </c>
      <c r="F626" s="147">
        <f>F4Ax!F626+F4Bx!F625</f>
        <v>0</v>
      </c>
      <c r="G626" s="147">
        <f>F4Ax!G626+F4Bx!G625</f>
        <v>0</v>
      </c>
      <c r="H626" s="147">
        <f>F4Ax!H626+F4Bx!H625</f>
        <v>0</v>
      </c>
      <c r="I626" s="147">
        <f>F4Ax!I626+F4Bx!I625</f>
        <v>0</v>
      </c>
      <c r="J626" s="147">
        <f>F4Ax!J626+F4Bx!J625</f>
        <v>0</v>
      </c>
      <c r="K626" s="147">
        <f>F4Ax!K626+F4Bx!K625</f>
        <v>0</v>
      </c>
      <c r="L626" s="147">
        <f>F4Ax!L626+F4Bx!L625</f>
        <v>0</v>
      </c>
      <c r="M626" s="147">
        <f>F4Ax!M626+F4Bx!M625</f>
        <v>0</v>
      </c>
      <c r="N626" s="147">
        <f>F4Ax!N626+F4Bx!N625</f>
        <v>0</v>
      </c>
      <c r="O626" s="147">
        <f>F4Ax!O626+F4Bx!O625</f>
        <v>0</v>
      </c>
      <c r="P626" s="147">
        <f>F4Ax!P626+F4Bx!P625</f>
        <v>0</v>
      </c>
      <c r="Q626" s="316">
        <f t="shared" si="63"/>
        <v>0</v>
      </c>
    </row>
    <row r="627" ht="15" spans="3:17">
      <c r="C627" s="55" t="s">
        <v>207</v>
      </c>
      <c r="D627" s="55" t="s">
        <v>186</v>
      </c>
      <c r="E627" s="147">
        <f>F4Ax!E627+F4Bx!E626</f>
        <v>0</v>
      </c>
      <c r="F627" s="147">
        <f>F4Ax!F627+F4Bx!F626</f>
        <v>0</v>
      </c>
      <c r="G627" s="147">
        <f>F4Ax!G627+F4Bx!G626</f>
        <v>0</v>
      </c>
      <c r="H627" s="147">
        <f>F4Ax!H627+F4Bx!H626</f>
        <v>0</v>
      </c>
      <c r="I627" s="147">
        <f>F4Ax!I627+F4Bx!I626</f>
        <v>0</v>
      </c>
      <c r="J627" s="147">
        <f>F4Ax!J627+F4Bx!J626</f>
        <v>0</v>
      </c>
      <c r="K627" s="147">
        <f>F4Ax!K627+F4Bx!K626</f>
        <v>0</v>
      </c>
      <c r="L627" s="147">
        <f>F4Ax!L627+F4Bx!L626</f>
        <v>0</v>
      </c>
      <c r="M627" s="147">
        <f>F4Ax!M627+F4Bx!M626</f>
        <v>0</v>
      </c>
      <c r="N627" s="147">
        <f>F4Ax!N627+F4Bx!N626</f>
        <v>0</v>
      </c>
      <c r="O627" s="147">
        <f>F4Ax!O627+F4Bx!O626</f>
        <v>0</v>
      </c>
      <c r="P627" s="147">
        <f>F4Ax!P627+F4Bx!P626</f>
        <v>0</v>
      </c>
      <c r="Q627" s="316">
        <f t="shared" si="63"/>
        <v>0</v>
      </c>
    </row>
    <row r="628" ht="15" spans="3:17">
      <c r="C628" s="55" t="s">
        <v>208</v>
      </c>
      <c r="D628" s="55" t="s">
        <v>209</v>
      </c>
      <c r="E628" s="147">
        <f>F4Ax!E628+F4Bx!E627</f>
        <v>0</v>
      </c>
      <c r="F628" s="147">
        <f>F4Ax!F628+F4Bx!F627</f>
        <v>0</v>
      </c>
      <c r="G628" s="147">
        <f>F4Ax!G628+F4Bx!G627</f>
        <v>0</v>
      </c>
      <c r="H628" s="147">
        <f>F4Ax!H628+F4Bx!H627</f>
        <v>0</v>
      </c>
      <c r="I628" s="147">
        <f>F4Ax!I628+F4Bx!I627</f>
        <v>0</v>
      </c>
      <c r="J628" s="147">
        <f>F4Ax!J628+F4Bx!J627</f>
        <v>0</v>
      </c>
      <c r="K628" s="147">
        <f>F4Ax!K628+F4Bx!K627</f>
        <v>0</v>
      </c>
      <c r="L628" s="147">
        <f>F4Ax!L628+F4Bx!L627</f>
        <v>0</v>
      </c>
      <c r="M628" s="147">
        <f>F4Ax!M628+F4Bx!M627</f>
        <v>0</v>
      </c>
      <c r="N628" s="147">
        <f>F4Ax!N628+F4Bx!N627</f>
        <v>0</v>
      </c>
      <c r="O628" s="147">
        <f>F4Ax!O628+F4Bx!O627</f>
        <v>0</v>
      </c>
      <c r="P628" s="147">
        <f>F4Ax!P628+F4Bx!P627</f>
        <v>0</v>
      </c>
      <c r="Q628" s="316">
        <f t="shared" si="63"/>
        <v>0</v>
      </c>
    </row>
    <row r="629" ht="15" spans="3:17">
      <c r="C629" s="55" t="s">
        <v>210</v>
      </c>
      <c r="D629" s="55" t="s">
        <v>188</v>
      </c>
      <c r="E629" s="147">
        <f>F4Ax!E629+F4Bx!E628</f>
        <v>0</v>
      </c>
      <c r="F629" s="147">
        <f>F4Ax!F629+F4Bx!F628</f>
        <v>0</v>
      </c>
      <c r="G629" s="147">
        <f>F4Ax!G629+F4Bx!G628</f>
        <v>0</v>
      </c>
      <c r="H629" s="147">
        <f>F4Ax!H629+F4Bx!H628</f>
        <v>0</v>
      </c>
      <c r="I629" s="147">
        <f>F4Ax!I629+F4Bx!I628</f>
        <v>0</v>
      </c>
      <c r="J629" s="147">
        <f>F4Ax!J629+F4Bx!J628</f>
        <v>0</v>
      </c>
      <c r="K629" s="147">
        <f>F4Ax!K629+F4Bx!K628</f>
        <v>0</v>
      </c>
      <c r="L629" s="147">
        <f>F4Ax!L629+F4Bx!L628</f>
        <v>0</v>
      </c>
      <c r="M629" s="147">
        <f>F4Ax!M629+F4Bx!M628</f>
        <v>0</v>
      </c>
      <c r="N629" s="147">
        <f>F4Ax!N629+F4Bx!N628</f>
        <v>0</v>
      </c>
      <c r="O629" s="147">
        <f>F4Ax!O629+F4Bx!O628</f>
        <v>0</v>
      </c>
      <c r="P629" s="147">
        <f>F4Ax!P629+F4Bx!P628</f>
        <v>0</v>
      </c>
      <c r="Q629" s="316">
        <f t="shared" si="63"/>
        <v>0</v>
      </c>
    </row>
    <row r="630" ht="15" spans="3:17">
      <c r="C630" s="55"/>
      <c r="D630" s="55"/>
      <c r="E630" s="147">
        <f>F4Ax!E630+F4Bx!E629</f>
        <v>0</v>
      </c>
      <c r="F630" s="147">
        <f>F4Ax!F630+F4Bx!F629</f>
        <v>0</v>
      </c>
      <c r="G630" s="147">
        <f>F4Ax!G630+F4Bx!G629</f>
        <v>0</v>
      </c>
      <c r="H630" s="147">
        <f>F4Ax!H630+F4Bx!H629</f>
        <v>0</v>
      </c>
      <c r="I630" s="147">
        <f>F4Ax!I630+F4Bx!I629</f>
        <v>0</v>
      </c>
      <c r="J630" s="147">
        <f>F4Ax!J630+F4Bx!J629</f>
        <v>0</v>
      </c>
      <c r="K630" s="147">
        <f>F4Ax!K630+F4Bx!K629</f>
        <v>0</v>
      </c>
      <c r="L630" s="147">
        <f>F4Ax!L630+F4Bx!L629</f>
        <v>0</v>
      </c>
      <c r="M630" s="147">
        <f>F4Ax!M630+F4Bx!M629</f>
        <v>0</v>
      </c>
      <c r="N630" s="147">
        <f>F4Ax!N630+F4Bx!N629</f>
        <v>0</v>
      </c>
      <c r="O630" s="147">
        <f>F4Ax!O630+F4Bx!O629</f>
        <v>0</v>
      </c>
      <c r="P630" s="147">
        <f>F4Ax!P630+F4Bx!P629</f>
        <v>0</v>
      </c>
      <c r="Q630" s="316">
        <f t="shared" si="63"/>
        <v>0</v>
      </c>
    </row>
    <row r="631" ht="15" spans="3:17">
      <c r="C631" s="55"/>
      <c r="D631" s="55"/>
      <c r="E631" s="147">
        <f>F4Ax!E631+F4Bx!E630</f>
        <v>0</v>
      </c>
      <c r="F631" s="147">
        <f>F4Ax!F631+F4Bx!F630</f>
        <v>0</v>
      </c>
      <c r="G631" s="147">
        <f>F4Ax!G631+F4Bx!G630</f>
        <v>0</v>
      </c>
      <c r="H631" s="147">
        <f>F4Ax!H631+F4Bx!H630</f>
        <v>0</v>
      </c>
      <c r="I631" s="147">
        <f>F4Ax!I631+F4Bx!I630</f>
        <v>0</v>
      </c>
      <c r="J631" s="147">
        <f>F4Ax!J631+F4Bx!J630</f>
        <v>0</v>
      </c>
      <c r="K631" s="147">
        <f>F4Ax!K631+F4Bx!K630</f>
        <v>0</v>
      </c>
      <c r="L631" s="147">
        <f>F4Ax!L631+F4Bx!L630</f>
        <v>0</v>
      </c>
      <c r="M631" s="147">
        <f>F4Ax!M631+F4Bx!M630</f>
        <v>0</v>
      </c>
      <c r="N631" s="147">
        <f>F4Ax!N631+F4Bx!N630</f>
        <v>0</v>
      </c>
      <c r="O631" s="147">
        <f>F4Ax!O631+F4Bx!O630</f>
        <v>0</v>
      </c>
      <c r="P631" s="147">
        <f>F4Ax!P631+F4Bx!P630</f>
        <v>0</v>
      </c>
      <c r="Q631" s="316">
        <f t="shared" si="63"/>
        <v>0</v>
      </c>
    </row>
    <row r="632" ht="15" spans="3:17">
      <c r="C632" s="55"/>
      <c r="D632" s="55"/>
      <c r="E632" s="147">
        <f>F4Ax!E632+F4Bx!E631</f>
        <v>0</v>
      </c>
      <c r="F632" s="147">
        <f>F4Ax!F632+F4Bx!F631</f>
        <v>0</v>
      </c>
      <c r="G632" s="147">
        <f>F4Ax!G632+F4Bx!G631</f>
        <v>0</v>
      </c>
      <c r="H632" s="147">
        <f>F4Ax!H632+F4Bx!H631</f>
        <v>0</v>
      </c>
      <c r="I632" s="147">
        <f>F4Ax!I632+F4Bx!I631</f>
        <v>0</v>
      </c>
      <c r="J632" s="147">
        <f>F4Ax!J632+F4Bx!J631</f>
        <v>0</v>
      </c>
      <c r="K632" s="147">
        <f>F4Ax!K632+F4Bx!K631</f>
        <v>0</v>
      </c>
      <c r="L632" s="147">
        <f>F4Ax!L632+F4Bx!L631</f>
        <v>0</v>
      </c>
      <c r="M632" s="147">
        <f>F4Ax!M632+F4Bx!M631</f>
        <v>0</v>
      </c>
      <c r="N632" s="147">
        <f>F4Ax!N632+F4Bx!N631</f>
        <v>0</v>
      </c>
      <c r="O632" s="147">
        <f>F4Ax!O632+F4Bx!O631</f>
        <v>0</v>
      </c>
      <c r="P632" s="147">
        <f>F4Ax!P632+F4Bx!P631</f>
        <v>0</v>
      </c>
      <c r="Q632" s="316">
        <f t="shared" si="63"/>
        <v>0</v>
      </c>
    </row>
    <row r="633" ht="15" spans="3:17">
      <c r="C633" s="55" t="s">
        <v>258</v>
      </c>
      <c r="D633" s="55" t="s">
        <v>258</v>
      </c>
      <c r="E633" s="147">
        <f>F4Ax!E633+F4Bx!E632</f>
        <v>0</v>
      </c>
      <c r="F633" s="147">
        <f>F4Ax!F633+F4Bx!F632</f>
        <v>0</v>
      </c>
      <c r="G633" s="147">
        <f>F4Ax!G633+F4Bx!G632</f>
        <v>0</v>
      </c>
      <c r="H633" s="147">
        <f>F4Ax!H633+F4Bx!H632</f>
        <v>0</v>
      </c>
      <c r="I633" s="147">
        <f>F4Ax!I633+F4Bx!I632</f>
        <v>0</v>
      </c>
      <c r="J633" s="147">
        <f>F4Ax!J633+F4Bx!J632</f>
        <v>0</v>
      </c>
      <c r="K633" s="147">
        <f>F4Ax!K633+F4Bx!K632</f>
        <v>0</v>
      </c>
      <c r="L633" s="147">
        <f>F4Ax!L633+F4Bx!L632</f>
        <v>0</v>
      </c>
      <c r="M633" s="147">
        <f>F4Ax!M633+F4Bx!M632</f>
        <v>0</v>
      </c>
      <c r="N633" s="147">
        <f>F4Ax!N633+F4Bx!N632</f>
        <v>0</v>
      </c>
      <c r="O633" s="147">
        <f>F4Ax!O633+F4Bx!O632</f>
        <v>0</v>
      </c>
      <c r="P633" s="147">
        <f>F4Ax!P633+F4Bx!P632</f>
        <v>0</v>
      </c>
      <c r="Q633" s="316">
        <f t="shared" si="63"/>
        <v>0</v>
      </c>
    </row>
    <row r="634" ht="15" spans="3:17">
      <c r="C634" s="537" t="s">
        <v>211</v>
      </c>
      <c r="D634" s="540"/>
      <c r="E634" s="316">
        <f t="shared" ref="E634:P634" si="65">SUM(E619:E633)</f>
        <v>0</v>
      </c>
      <c r="F634" s="316">
        <f t="shared" si="65"/>
        <v>0</v>
      </c>
      <c r="G634" s="316">
        <f t="shared" si="65"/>
        <v>0</v>
      </c>
      <c r="H634" s="316">
        <f t="shared" si="65"/>
        <v>0</v>
      </c>
      <c r="I634" s="316">
        <f t="shared" si="65"/>
        <v>0</v>
      </c>
      <c r="J634" s="316">
        <f t="shared" si="65"/>
        <v>0</v>
      </c>
      <c r="K634" s="316">
        <f t="shared" si="65"/>
        <v>0</v>
      </c>
      <c r="L634" s="316">
        <f t="shared" si="65"/>
        <v>0</v>
      </c>
      <c r="M634" s="316">
        <f t="shared" si="65"/>
        <v>0</v>
      </c>
      <c r="N634" s="316">
        <f t="shared" si="65"/>
        <v>0</v>
      </c>
      <c r="O634" s="316">
        <f t="shared" si="65"/>
        <v>0</v>
      </c>
      <c r="P634" s="316">
        <f t="shared" si="65"/>
        <v>0</v>
      </c>
      <c r="Q634" s="316">
        <f t="shared" si="63"/>
        <v>0</v>
      </c>
    </row>
    <row r="635" ht="15" spans="3:17">
      <c r="C635" s="44" t="s">
        <v>212</v>
      </c>
      <c r="D635" s="45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316">
        <f t="shared" ref="Q635:Q666" si="66">SUM(E635:P635)</f>
        <v>0</v>
      </c>
    </row>
    <row r="636" ht="15" spans="3:17">
      <c r="C636" s="55" t="s">
        <v>191</v>
      </c>
      <c r="D636" s="55" t="s">
        <v>192</v>
      </c>
      <c r="E636" s="147">
        <f>F4Ax!E636+F4Bx!E635</f>
        <v>0</v>
      </c>
      <c r="F636" s="147">
        <f>F4Ax!F636+F4Bx!F635</f>
        <v>0</v>
      </c>
      <c r="G636" s="147">
        <f>F4Ax!G636+F4Bx!G635</f>
        <v>0</v>
      </c>
      <c r="H636" s="147">
        <f>F4Ax!H636+F4Bx!H635</f>
        <v>0</v>
      </c>
      <c r="I636" s="147">
        <f>F4Ax!I636+F4Bx!I635</f>
        <v>0</v>
      </c>
      <c r="J636" s="147">
        <f>F4Ax!J636+F4Bx!J635</f>
        <v>0</v>
      </c>
      <c r="K636" s="147">
        <f>F4Ax!K636+F4Bx!K635</f>
        <v>0</v>
      </c>
      <c r="L636" s="147">
        <f>F4Ax!L636+F4Bx!L635</f>
        <v>0</v>
      </c>
      <c r="M636" s="147">
        <f>F4Ax!M636+F4Bx!M635</f>
        <v>0</v>
      </c>
      <c r="N636" s="147">
        <f>F4Ax!N636+F4Bx!N635</f>
        <v>0</v>
      </c>
      <c r="O636" s="147">
        <f>F4Ax!O636+F4Bx!O635</f>
        <v>0</v>
      </c>
      <c r="P636" s="147">
        <f>F4Ax!P636+F4Bx!P635</f>
        <v>0</v>
      </c>
      <c r="Q636" s="316">
        <f t="shared" si="66"/>
        <v>0</v>
      </c>
    </row>
    <row r="637" ht="15" spans="3:17">
      <c r="C637" s="55" t="s">
        <v>193</v>
      </c>
      <c r="D637" s="55" t="s">
        <v>194</v>
      </c>
      <c r="E637" s="147">
        <f>F4Ax!E637+F4Bx!E636</f>
        <v>0</v>
      </c>
      <c r="F637" s="147">
        <f>F4Ax!F637+F4Bx!F636</f>
        <v>0</v>
      </c>
      <c r="G637" s="147">
        <f>F4Ax!G637+F4Bx!G636</f>
        <v>0</v>
      </c>
      <c r="H637" s="147">
        <f>F4Ax!H637+F4Bx!H636</f>
        <v>0</v>
      </c>
      <c r="I637" s="147">
        <f>F4Ax!I637+F4Bx!I636</f>
        <v>0</v>
      </c>
      <c r="J637" s="147">
        <f>F4Ax!J637+F4Bx!J636</f>
        <v>0</v>
      </c>
      <c r="K637" s="147">
        <f>F4Ax!K637+F4Bx!K636</f>
        <v>0</v>
      </c>
      <c r="L637" s="147">
        <f>F4Ax!L637+F4Bx!L636</f>
        <v>0</v>
      </c>
      <c r="M637" s="147">
        <f>F4Ax!M637+F4Bx!M636</f>
        <v>0</v>
      </c>
      <c r="N637" s="147">
        <f>F4Ax!N637+F4Bx!N636</f>
        <v>0</v>
      </c>
      <c r="O637" s="147">
        <f>F4Ax!O637+F4Bx!O636</f>
        <v>0</v>
      </c>
      <c r="P637" s="147">
        <f>F4Ax!P637+F4Bx!P636</f>
        <v>0</v>
      </c>
      <c r="Q637" s="316">
        <f t="shared" si="66"/>
        <v>0</v>
      </c>
    </row>
    <row r="638" ht="15" spans="3:17">
      <c r="C638" s="55" t="s">
        <v>239</v>
      </c>
      <c r="D638" s="55" t="s">
        <v>196</v>
      </c>
      <c r="E638" s="147">
        <f>F4Ax!E638+F4Bx!E637</f>
        <v>0</v>
      </c>
      <c r="F638" s="147">
        <f>F4Ax!F638+F4Bx!F637</f>
        <v>0</v>
      </c>
      <c r="G638" s="147">
        <f>F4Ax!G638+F4Bx!G637</f>
        <v>0</v>
      </c>
      <c r="H638" s="147">
        <f>F4Ax!H638+F4Bx!H637</f>
        <v>0</v>
      </c>
      <c r="I638" s="147">
        <f>F4Ax!I638+F4Bx!I637</f>
        <v>0</v>
      </c>
      <c r="J638" s="147">
        <f>F4Ax!J638+F4Bx!J637</f>
        <v>0</v>
      </c>
      <c r="K638" s="147">
        <f>F4Ax!K638+F4Bx!K637</f>
        <v>0</v>
      </c>
      <c r="L638" s="147">
        <f>F4Ax!L638+F4Bx!L637</f>
        <v>0</v>
      </c>
      <c r="M638" s="147">
        <f>F4Ax!M638+F4Bx!M637</f>
        <v>0</v>
      </c>
      <c r="N638" s="147">
        <f>F4Ax!N638+F4Bx!N637</f>
        <v>0</v>
      </c>
      <c r="O638" s="147">
        <f>F4Ax!O638+F4Bx!O637</f>
        <v>0</v>
      </c>
      <c r="P638" s="147">
        <f>F4Ax!P638+F4Bx!P637</f>
        <v>0</v>
      </c>
      <c r="Q638" s="316">
        <f t="shared" si="66"/>
        <v>0</v>
      </c>
    </row>
    <row r="639" ht="15" spans="3:17">
      <c r="C639" s="55" t="s">
        <v>197</v>
      </c>
      <c r="D639" s="55" t="s">
        <v>198</v>
      </c>
      <c r="E639" s="147">
        <f>F4Ax!E639+F4Bx!E638</f>
        <v>0</v>
      </c>
      <c r="F639" s="147">
        <f>F4Ax!F639+F4Bx!F638</f>
        <v>0</v>
      </c>
      <c r="G639" s="147">
        <f>F4Ax!G639+F4Bx!G638</f>
        <v>0</v>
      </c>
      <c r="H639" s="147">
        <f>F4Ax!H639+F4Bx!H638</f>
        <v>0</v>
      </c>
      <c r="I639" s="147">
        <f>F4Ax!I639+F4Bx!I638</f>
        <v>0</v>
      </c>
      <c r="J639" s="147">
        <f>F4Ax!J639+F4Bx!J638</f>
        <v>0</v>
      </c>
      <c r="K639" s="147">
        <f>F4Ax!K639+F4Bx!K638</f>
        <v>0</v>
      </c>
      <c r="L639" s="147">
        <f>F4Ax!L639+F4Bx!L638</f>
        <v>0</v>
      </c>
      <c r="M639" s="147">
        <f>F4Ax!M639+F4Bx!M638</f>
        <v>0</v>
      </c>
      <c r="N639" s="147">
        <f>F4Ax!N639+F4Bx!N638</f>
        <v>0</v>
      </c>
      <c r="O639" s="147">
        <f>F4Ax!O639+F4Bx!O638</f>
        <v>0</v>
      </c>
      <c r="P639" s="147">
        <f>F4Ax!P639+F4Bx!P638</f>
        <v>0</v>
      </c>
      <c r="Q639" s="316">
        <f t="shared" si="66"/>
        <v>0</v>
      </c>
    </row>
    <row r="640" ht="15" spans="3:17">
      <c r="C640" s="55" t="s">
        <v>199</v>
      </c>
      <c r="D640" s="55" t="s">
        <v>200</v>
      </c>
      <c r="E640" s="147">
        <f>F4Ax!E640+F4Bx!E639</f>
        <v>0</v>
      </c>
      <c r="F640" s="147">
        <f>F4Ax!F640+F4Bx!F639</f>
        <v>0</v>
      </c>
      <c r="G640" s="147">
        <f>F4Ax!G640+F4Bx!G639</f>
        <v>0</v>
      </c>
      <c r="H640" s="147">
        <f>F4Ax!H640+F4Bx!H639</f>
        <v>0</v>
      </c>
      <c r="I640" s="147">
        <f>F4Ax!I640+F4Bx!I639</f>
        <v>0</v>
      </c>
      <c r="J640" s="147">
        <f>F4Ax!J640+F4Bx!J639</f>
        <v>0</v>
      </c>
      <c r="K640" s="147">
        <f>F4Ax!K640+F4Bx!K639</f>
        <v>0</v>
      </c>
      <c r="L640" s="147">
        <f>F4Ax!L640+F4Bx!L639</f>
        <v>0</v>
      </c>
      <c r="M640" s="147">
        <f>F4Ax!M640+F4Bx!M639</f>
        <v>0</v>
      </c>
      <c r="N640" s="147">
        <f>F4Ax!N640+F4Bx!N639</f>
        <v>0</v>
      </c>
      <c r="O640" s="147">
        <f>F4Ax!O640+F4Bx!O639</f>
        <v>0</v>
      </c>
      <c r="P640" s="147">
        <f>F4Ax!P640+F4Bx!P639</f>
        <v>0</v>
      </c>
      <c r="Q640" s="316">
        <f t="shared" si="66"/>
        <v>0</v>
      </c>
    </row>
    <row r="641" ht="15" spans="3:17">
      <c r="C641" s="55" t="s">
        <v>201</v>
      </c>
      <c r="D641" s="55" t="s">
        <v>202</v>
      </c>
      <c r="E641" s="147">
        <f>F4Ax!E641+F4Bx!E640</f>
        <v>0</v>
      </c>
      <c r="F641" s="147">
        <f>F4Ax!F641+F4Bx!F640</f>
        <v>0</v>
      </c>
      <c r="G641" s="147">
        <f>F4Ax!G641+F4Bx!G640</f>
        <v>0</v>
      </c>
      <c r="H641" s="147">
        <f>F4Ax!H641+F4Bx!H640</f>
        <v>0</v>
      </c>
      <c r="I641" s="147">
        <f>F4Ax!I641+F4Bx!I640</f>
        <v>0</v>
      </c>
      <c r="J641" s="147">
        <f>F4Ax!J641+F4Bx!J640</f>
        <v>0</v>
      </c>
      <c r="K641" s="147">
        <f>F4Ax!K641+F4Bx!K640</f>
        <v>0</v>
      </c>
      <c r="L641" s="147">
        <f>F4Ax!L641+F4Bx!L640</f>
        <v>0</v>
      </c>
      <c r="M641" s="147">
        <f>F4Ax!M641+F4Bx!M640</f>
        <v>0</v>
      </c>
      <c r="N641" s="147">
        <f>F4Ax!N641+F4Bx!N640</f>
        <v>0</v>
      </c>
      <c r="O641" s="147">
        <f>F4Ax!O641+F4Bx!O640</f>
        <v>0</v>
      </c>
      <c r="P641" s="147">
        <f>F4Ax!P641+F4Bx!P640</f>
        <v>0</v>
      </c>
      <c r="Q641" s="316">
        <f t="shared" si="66"/>
        <v>0</v>
      </c>
    </row>
    <row r="642" ht="15" spans="3:17">
      <c r="C642" s="55" t="s">
        <v>203</v>
      </c>
      <c r="D642" s="55" t="s">
        <v>204</v>
      </c>
      <c r="E642" s="147">
        <f>F4Ax!E642+F4Bx!E641</f>
        <v>0</v>
      </c>
      <c r="F642" s="147">
        <f>F4Ax!F642+F4Bx!F641</f>
        <v>0</v>
      </c>
      <c r="G642" s="147">
        <f>F4Ax!G642+F4Bx!G641</f>
        <v>0</v>
      </c>
      <c r="H642" s="147">
        <f>F4Ax!H642+F4Bx!H641</f>
        <v>0</v>
      </c>
      <c r="I642" s="147">
        <f>F4Ax!I642+F4Bx!I641</f>
        <v>0</v>
      </c>
      <c r="J642" s="147">
        <f>F4Ax!J642+F4Bx!J641</f>
        <v>0</v>
      </c>
      <c r="K642" s="147">
        <f>F4Ax!K642+F4Bx!K641</f>
        <v>0</v>
      </c>
      <c r="L642" s="147">
        <f>F4Ax!L642+F4Bx!L641</f>
        <v>0</v>
      </c>
      <c r="M642" s="147">
        <f>F4Ax!M642+F4Bx!M641</f>
        <v>0</v>
      </c>
      <c r="N642" s="147">
        <f>F4Ax!N642+F4Bx!N641</f>
        <v>0</v>
      </c>
      <c r="O642" s="147">
        <f>F4Ax!O642+F4Bx!O641</f>
        <v>0</v>
      </c>
      <c r="P642" s="147">
        <f>F4Ax!P642+F4Bx!P641</f>
        <v>0</v>
      </c>
      <c r="Q642" s="316">
        <f t="shared" si="66"/>
        <v>0</v>
      </c>
    </row>
    <row r="643" ht="15" spans="3:17">
      <c r="C643" s="55" t="s">
        <v>205</v>
      </c>
      <c r="D643" s="55" t="s">
        <v>206</v>
      </c>
      <c r="E643" s="147">
        <f>F4Ax!E643+F4Bx!E642</f>
        <v>0</v>
      </c>
      <c r="F643" s="147">
        <f>F4Ax!F643+F4Bx!F642</f>
        <v>0</v>
      </c>
      <c r="G643" s="147">
        <f>F4Ax!G643+F4Bx!G642</f>
        <v>0</v>
      </c>
      <c r="H643" s="147">
        <f>F4Ax!H643+F4Bx!H642</f>
        <v>0</v>
      </c>
      <c r="I643" s="147">
        <f>F4Ax!I643+F4Bx!I642</f>
        <v>0</v>
      </c>
      <c r="J643" s="147">
        <f>F4Ax!J643+F4Bx!J642</f>
        <v>0</v>
      </c>
      <c r="K643" s="147">
        <f>F4Ax!K643+F4Bx!K642</f>
        <v>0</v>
      </c>
      <c r="L643" s="147">
        <f>F4Ax!L643+F4Bx!L642</f>
        <v>0</v>
      </c>
      <c r="M643" s="147">
        <f>F4Ax!M643+F4Bx!M642</f>
        <v>0</v>
      </c>
      <c r="N643" s="147">
        <f>F4Ax!N643+F4Bx!N642</f>
        <v>0</v>
      </c>
      <c r="O643" s="147">
        <f>F4Ax!O643+F4Bx!O642</f>
        <v>0</v>
      </c>
      <c r="P643" s="147">
        <f>F4Ax!P643+F4Bx!P642</f>
        <v>0</v>
      </c>
      <c r="Q643" s="316">
        <f t="shared" si="66"/>
        <v>0</v>
      </c>
    </row>
    <row r="644" ht="15" spans="3:17">
      <c r="C644" s="55" t="s">
        <v>231</v>
      </c>
      <c r="D644" s="55" t="s">
        <v>186</v>
      </c>
      <c r="E644" s="147">
        <f>F4Ax!E644+F4Bx!E643</f>
        <v>0</v>
      </c>
      <c r="F644" s="147">
        <f>F4Ax!F644+F4Bx!F643</f>
        <v>0</v>
      </c>
      <c r="G644" s="147">
        <f>F4Ax!G644+F4Bx!G643</f>
        <v>0</v>
      </c>
      <c r="H644" s="147">
        <f>F4Ax!H644+F4Bx!H643</f>
        <v>0</v>
      </c>
      <c r="I644" s="147">
        <f>F4Ax!I644+F4Bx!I643</f>
        <v>0</v>
      </c>
      <c r="J644" s="147">
        <f>F4Ax!J644+F4Bx!J643</f>
        <v>0</v>
      </c>
      <c r="K644" s="147">
        <f>F4Ax!K644+F4Bx!K643</f>
        <v>0</v>
      </c>
      <c r="L644" s="147">
        <f>F4Ax!L644+F4Bx!L643</f>
        <v>0</v>
      </c>
      <c r="M644" s="147">
        <f>F4Ax!M644+F4Bx!M643</f>
        <v>0</v>
      </c>
      <c r="N644" s="147">
        <f>F4Ax!N644+F4Bx!N643</f>
        <v>0</v>
      </c>
      <c r="O644" s="147">
        <f>F4Ax!O644+F4Bx!O643</f>
        <v>0</v>
      </c>
      <c r="P644" s="147">
        <f>F4Ax!P644+F4Bx!P643</f>
        <v>0</v>
      </c>
      <c r="Q644" s="316">
        <f t="shared" si="66"/>
        <v>0</v>
      </c>
    </row>
    <row r="645" ht="15" spans="3:17">
      <c r="C645" s="55" t="s">
        <v>208</v>
      </c>
      <c r="D645" s="55" t="s">
        <v>209</v>
      </c>
      <c r="E645" s="147">
        <f>F4Ax!E645+F4Bx!E644</f>
        <v>0</v>
      </c>
      <c r="F645" s="147">
        <f>F4Ax!F645+F4Bx!F644</f>
        <v>0</v>
      </c>
      <c r="G645" s="147">
        <f>F4Ax!G645+F4Bx!G644</f>
        <v>0</v>
      </c>
      <c r="H645" s="147">
        <f>F4Ax!H645+F4Bx!H644</f>
        <v>0</v>
      </c>
      <c r="I645" s="147">
        <f>F4Ax!I645+F4Bx!I644</f>
        <v>0</v>
      </c>
      <c r="J645" s="147">
        <f>F4Ax!J645+F4Bx!J644</f>
        <v>0</v>
      </c>
      <c r="K645" s="147">
        <f>F4Ax!K645+F4Bx!K644</f>
        <v>0</v>
      </c>
      <c r="L645" s="147">
        <f>F4Ax!L645+F4Bx!L644</f>
        <v>0</v>
      </c>
      <c r="M645" s="147">
        <f>F4Ax!M645+F4Bx!M644</f>
        <v>0</v>
      </c>
      <c r="N645" s="147">
        <f>F4Ax!N645+F4Bx!N644</f>
        <v>0</v>
      </c>
      <c r="O645" s="147">
        <f>F4Ax!O645+F4Bx!O644</f>
        <v>0</v>
      </c>
      <c r="P645" s="147">
        <f>F4Ax!P645+F4Bx!P644</f>
        <v>0</v>
      </c>
      <c r="Q645" s="316">
        <f t="shared" si="66"/>
        <v>0</v>
      </c>
    </row>
    <row r="646" ht="15" spans="3:17">
      <c r="C646" s="55" t="s">
        <v>210</v>
      </c>
      <c r="D646" s="55" t="s">
        <v>188</v>
      </c>
      <c r="E646" s="147">
        <f>F4Ax!E646+F4Bx!E645</f>
        <v>0</v>
      </c>
      <c r="F646" s="147">
        <f>F4Ax!F646+F4Bx!F645</f>
        <v>0</v>
      </c>
      <c r="G646" s="147">
        <f>F4Ax!G646+F4Bx!G645</f>
        <v>0</v>
      </c>
      <c r="H646" s="147">
        <f>F4Ax!H646+F4Bx!H645</f>
        <v>0</v>
      </c>
      <c r="I646" s="147">
        <f>F4Ax!I646+F4Bx!I645</f>
        <v>0</v>
      </c>
      <c r="J646" s="147">
        <f>F4Ax!J646+F4Bx!J645</f>
        <v>0</v>
      </c>
      <c r="K646" s="147">
        <f>F4Ax!K646+F4Bx!K645</f>
        <v>0</v>
      </c>
      <c r="L646" s="147">
        <f>F4Ax!L646+F4Bx!L645</f>
        <v>0</v>
      </c>
      <c r="M646" s="147">
        <f>F4Ax!M646+F4Bx!M645</f>
        <v>0</v>
      </c>
      <c r="N646" s="147">
        <f>F4Ax!N646+F4Bx!N645</f>
        <v>0</v>
      </c>
      <c r="O646" s="147">
        <f>F4Ax!O646+F4Bx!O645</f>
        <v>0</v>
      </c>
      <c r="P646" s="147">
        <f>F4Ax!P646+F4Bx!P645</f>
        <v>0</v>
      </c>
      <c r="Q646" s="316">
        <f t="shared" si="66"/>
        <v>0</v>
      </c>
    </row>
    <row r="647" ht="15" spans="3:17">
      <c r="C647" s="55"/>
      <c r="D647" s="55"/>
      <c r="E647" s="147">
        <f>F4Ax!E647+F4Bx!E646</f>
        <v>0</v>
      </c>
      <c r="F647" s="147">
        <f>F4Ax!F647+F4Bx!F646</f>
        <v>0</v>
      </c>
      <c r="G647" s="147">
        <f>F4Ax!G647+F4Bx!G646</f>
        <v>0</v>
      </c>
      <c r="H647" s="147">
        <f>F4Ax!H647+F4Bx!H646</f>
        <v>0</v>
      </c>
      <c r="I647" s="147">
        <f>F4Ax!I647+F4Bx!I646</f>
        <v>0</v>
      </c>
      <c r="J647" s="147">
        <f>F4Ax!J647+F4Bx!J646</f>
        <v>0</v>
      </c>
      <c r="K647" s="147">
        <f>F4Ax!K647+F4Bx!K646</f>
        <v>0</v>
      </c>
      <c r="L647" s="147">
        <f>F4Ax!L647+F4Bx!L646</f>
        <v>0</v>
      </c>
      <c r="M647" s="147">
        <f>F4Ax!M647+F4Bx!M646</f>
        <v>0</v>
      </c>
      <c r="N647" s="147">
        <f>F4Ax!N647+F4Bx!N646</f>
        <v>0</v>
      </c>
      <c r="O647" s="147">
        <f>F4Ax!O647+F4Bx!O646</f>
        <v>0</v>
      </c>
      <c r="P647" s="147">
        <f>F4Ax!P647+F4Bx!P646</f>
        <v>0</v>
      </c>
      <c r="Q647" s="316">
        <f t="shared" si="66"/>
        <v>0</v>
      </c>
    </row>
    <row r="648" ht="15" spans="3:17">
      <c r="C648" s="55"/>
      <c r="D648" s="55"/>
      <c r="E648" s="147">
        <f>F4Ax!E648+F4Bx!E647</f>
        <v>0</v>
      </c>
      <c r="F648" s="147">
        <f>F4Ax!F648+F4Bx!F647</f>
        <v>0</v>
      </c>
      <c r="G648" s="147">
        <f>F4Ax!G648+F4Bx!G647</f>
        <v>0</v>
      </c>
      <c r="H648" s="147">
        <f>F4Ax!H648+F4Bx!H647</f>
        <v>0</v>
      </c>
      <c r="I648" s="147">
        <f>F4Ax!I648+F4Bx!I647</f>
        <v>0</v>
      </c>
      <c r="J648" s="147">
        <f>F4Ax!J648+F4Bx!J647</f>
        <v>0</v>
      </c>
      <c r="K648" s="147">
        <f>F4Ax!K648+F4Bx!K647</f>
        <v>0</v>
      </c>
      <c r="L648" s="147">
        <f>F4Ax!L648+F4Bx!L647</f>
        <v>0</v>
      </c>
      <c r="M648" s="147">
        <f>F4Ax!M648+F4Bx!M647</f>
        <v>0</v>
      </c>
      <c r="N648" s="147">
        <f>F4Ax!N648+F4Bx!N647</f>
        <v>0</v>
      </c>
      <c r="O648" s="147">
        <f>F4Ax!O648+F4Bx!O647</f>
        <v>0</v>
      </c>
      <c r="P648" s="147">
        <f>F4Ax!P648+F4Bx!P647</f>
        <v>0</v>
      </c>
      <c r="Q648" s="316">
        <f t="shared" si="66"/>
        <v>0</v>
      </c>
    </row>
    <row r="649" ht="15" spans="3:17">
      <c r="C649" s="55"/>
      <c r="D649" s="55"/>
      <c r="E649" s="147">
        <f>F4Ax!E649+F4Bx!E648</f>
        <v>0</v>
      </c>
      <c r="F649" s="147">
        <f>F4Ax!F649+F4Bx!F648</f>
        <v>0</v>
      </c>
      <c r="G649" s="147">
        <f>F4Ax!G649+F4Bx!G648</f>
        <v>0</v>
      </c>
      <c r="H649" s="147">
        <f>F4Ax!H649+F4Bx!H648</f>
        <v>0</v>
      </c>
      <c r="I649" s="147">
        <f>F4Ax!I649+F4Bx!I648</f>
        <v>0</v>
      </c>
      <c r="J649" s="147">
        <f>F4Ax!J649+F4Bx!J648</f>
        <v>0</v>
      </c>
      <c r="K649" s="147">
        <f>F4Ax!K649+F4Bx!K648</f>
        <v>0</v>
      </c>
      <c r="L649" s="147">
        <f>F4Ax!L649+F4Bx!L648</f>
        <v>0</v>
      </c>
      <c r="M649" s="147">
        <f>F4Ax!M649+F4Bx!M648</f>
        <v>0</v>
      </c>
      <c r="N649" s="147">
        <f>F4Ax!N649+F4Bx!N648</f>
        <v>0</v>
      </c>
      <c r="O649" s="147">
        <f>F4Ax!O649+F4Bx!O648</f>
        <v>0</v>
      </c>
      <c r="P649" s="147">
        <f>F4Ax!P649+F4Bx!P648</f>
        <v>0</v>
      </c>
      <c r="Q649" s="316">
        <f t="shared" si="66"/>
        <v>0</v>
      </c>
    </row>
    <row r="650" ht="15" spans="3:17">
      <c r="C650" s="55" t="s">
        <v>258</v>
      </c>
      <c r="D650" s="55" t="s">
        <v>258</v>
      </c>
      <c r="E650" s="147">
        <f>F4Ax!E650+F4Bx!E649</f>
        <v>0</v>
      </c>
      <c r="F650" s="147">
        <f>F4Ax!F650+F4Bx!F649</f>
        <v>0</v>
      </c>
      <c r="G650" s="147">
        <f>F4Ax!G650+F4Bx!G649</f>
        <v>0</v>
      </c>
      <c r="H650" s="147">
        <f>F4Ax!H650+F4Bx!H649</f>
        <v>0</v>
      </c>
      <c r="I650" s="147">
        <f>F4Ax!I650+F4Bx!I649</f>
        <v>0</v>
      </c>
      <c r="J650" s="147">
        <f>F4Ax!J650+F4Bx!J649</f>
        <v>0</v>
      </c>
      <c r="K650" s="147">
        <f>F4Ax!K650+F4Bx!K649</f>
        <v>0</v>
      </c>
      <c r="L650" s="147">
        <f>F4Ax!L650+F4Bx!L649</f>
        <v>0</v>
      </c>
      <c r="M650" s="147">
        <f>F4Ax!M650+F4Bx!M649</f>
        <v>0</v>
      </c>
      <c r="N650" s="147">
        <f>F4Ax!N650+F4Bx!N649</f>
        <v>0</v>
      </c>
      <c r="O650" s="147">
        <f>F4Ax!O650+F4Bx!O649</f>
        <v>0</v>
      </c>
      <c r="P650" s="147">
        <f>F4Ax!P650+F4Bx!P649</f>
        <v>0</v>
      </c>
      <c r="Q650" s="316">
        <f t="shared" si="66"/>
        <v>0</v>
      </c>
    </row>
    <row r="651" ht="15" spans="3:17">
      <c r="C651" s="537" t="s">
        <v>211</v>
      </c>
      <c r="D651" s="540"/>
      <c r="E651" s="316">
        <f t="shared" ref="E651:P651" si="67">SUM(E636:E650)</f>
        <v>0</v>
      </c>
      <c r="F651" s="316">
        <f t="shared" si="67"/>
        <v>0</v>
      </c>
      <c r="G651" s="316">
        <f t="shared" si="67"/>
        <v>0</v>
      </c>
      <c r="H651" s="316">
        <f t="shared" si="67"/>
        <v>0</v>
      </c>
      <c r="I651" s="316">
        <f t="shared" si="67"/>
        <v>0</v>
      </c>
      <c r="J651" s="316">
        <f t="shared" si="67"/>
        <v>0</v>
      </c>
      <c r="K651" s="316">
        <f t="shared" si="67"/>
        <v>0</v>
      </c>
      <c r="L651" s="316">
        <f t="shared" si="67"/>
        <v>0</v>
      </c>
      <c r="M651" s="316">
        <f t="shared" si="67"/>
        <v>0</v>
      </c>
      <c r="N651" s="316">
        <f t="shared" si="67"/>
        <v>0</v>
      </c>
      <c r="O651" s="316">
        <f t="shared" si="67"/>
        <v>0</v>
      </c>
      <c r="P651" s="316">
        <f t="shared" si="67"/>
        <v>0</v>
      </c>
      <c r="Q651" s="316">
        <f t="shared" si="66"/>
        <v>0</v>
      </c>
    </row>
    <row r="652" ht="15" spans="3:17">
      <c r="C652" s="44" t="s">
        <v>219</v>
      </c>
      <c r="D652" s="45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316">
        <f t="shared" si="66"/>
        <v>0</v>
      </c>
    </row>
    <row r="653" ht="15" spans="3:17">
      <c r="C653" s="55" t="s">
        <v>191</v>
      </c>
      <c r="D653" s="55" t="s">
        <v>192</v>
      </c>
      <c r="E653" s="147">
        <f>F4Ax!E653+F4Bx!E652</f>
        <v>0</v>
      </c>
      <c r="F653" s="147">
        <f>F4Ax!F653+F4Bx!F652</f>
        <v>0</v>
      </c>
      <c r="G653" s="147">
        <f>F4Ax!G653+F4Bx!G652</f>
        <v>0</v>
      </c>
      <c r="H653" s="147">
        <f>F4Ax!H653+F4Bx!H652</f>
        <v>0</v>
      </c>
      <c r="I653" s="147">
        <f>F4Ax!I653+F4Bx!I652</f>
        <v>0</v>
      </c>
      <c r="J653" s="147">
        <f>F4Ax!J653+F4Bx!J652</f>
        <v>0</v>
      </c>
      <c r="K653" s="147">
        <f>F4Ax!K653+F4Bx!K652</f>
        <v>0</v>
      </c>
      <c r="L653" s="147">
        <f>F4Ax!L653+F4Bx!L652</f>
        <v>0</v>
      </c>
      <c r="M653" s="147">
        <f>F4Ax!M653+F4Bx!M652</f>
        <v>0</v>
      </c>
      <c r="N653" s="147">
        <f>F4Ax!N653+F4Bx!N652</f>
        <v>0</v>
      </c>
      <c r="O653" s="147">
        <f>F4Ax!O653+F4Bx!O652</f>
        <v>0</v>
      </c>
      <c r="P653" s="147">
        <f>F4Ax!P653+F4Bx!P652</f>
        <v>0</v>
      </c>
      <c r="Q653" s="316">
        <f t="shared" si="66"/>
        <v>0</v>
      </c>
    </row>
    <row r="654" ht="15" spans="3:17">
      <c r="C654" s="55" t="s">
        <v>193</v>
      </c>
      <c r="D654" s="55" t="s">
        <v>194</v>
      </c>
      <c r="E654" s="147">
        <f>F4Ax!E654+F4Bx!E653</f>
        <v>0</v>
      </c>
      <c r="F654" s="147">
        <f>F4Ax!F654+F4Bx!F653</f>
        <v>0</v>
      </c>
      <c r="G654" s="147">
        <f>F4Ax!G654+F4Bx!G653</f>
        <v>0</v>
      </c>
      <c r="H654" s="147">
        <f>F4Ax!H654+F4Bx!H653</f>
        <v>0</v>
      </c>
      <c r="I654" s="147">
        <f>F4Ax!I654+F4Bx!I653</f>
        <v>0</v>
      </c>
      <c r="J654" s="147">
        <f>F4Ax!J654+F4Bx!J653</f>
        <v>0</v>
      </c>
      <c r="K654" s="147">
        <f>F4Ax!K654+F4Bx!K653</f>
        <v>0</v>
      </c>
      <c r="L654" s="147">
        <f>F4Ax!L654+F4Bx!L653</f>
        <v>0</v>
      </c>
      <c r="M654" s="147">
        <f>F4Ax!M654+F4Bx!M653</f>
        <v>0</v>
      </c>
      <c r="N654" s="147">
        <f>F4Ax!N654+F4Bx!N653</f>
        <v>0</v>
      </c>
      <c r="O654" s="147">
        <f>F4Ax!O654+F4Bx!O653</f>
        <v>0</v>
      </c>
      <c r="P654" s="147">
        <f>F4Ax!P654+F4Bx!P653</f>
        <v>0</v>
      </c>
      <c r="Q654" s="316">
        <f t="shared" si="66"/>
        <v>0</v>
      </c>
    </row>
    <row r="655" ht="15" spans="3:17">
      <c r="C655" s="55" t="s">
        <v>239</v>
      </c>
      <c r="D655" s="55" t="s">
        <v>196</v>
      </c>
      <c r="E655" s="147">
        <f>F4Ax!E655+F4Bx!E654</f>
        <v>0</v>
      </c>
      <c r="F655" s="147">
        <f>F4Ax!F655+F4Bx!F654</f>
        <v>0</v>
      </c>
      <c r="G655" s="147">
        <f>F4Ax!G655+F4Bx!G654</f>
        <v>0</v>
      </c>
      <c r="H655" s="147">
        <f>F4Ax!H655+F4Bx!H654</f>
        <v>0</v>
      </c>
      <c r="I655" s="147">
        <f>F4Ax!I655+F4Bx!I654</f>
        <v>0</v>
      </c>
      <c r="J655" s="147">
        <f>F4Ax!J655+F4Bx!J654</f>
        <v>0</v>
      </c>
      <c r="K655" s="147">
        <f>F4Ax!K655+F4Bx!K654</f>
        <v>0</v>
      </c>
      <c r="L655" s="147">
        <f>F4Ax!L655+F4Bx!L654</f>
        <v>0</v>
      </c>
      <c r="M655" s="147">
        <f>F4Ax!M655+F4Bx!M654</f>
        <v>0</v>
      </c>
      <c r="N655" s="147">
        <f>F4Ax!N655+F4Bx!N654</f>
        <v>0</v>
      </c>
      <c r="O655" s="147">
        <f>F4Ax!O655+F4Bx!O654</f>
        <v>0</v>
      </c>
      <c r="P655" s="147">
        <f>F4Ax!P655+F4Bx!P654</f>
        <v>0</v>
      </c>
      <c r="Q655" s="316">
        <f t="shared" si="66"/>
        <v>0</v>
      </c>
    </row>
    <row r="656" ht="15" spans="3:17">
      <c r="C656" s="55" t="s">
        <v>197</v>
      </c>
      <c r="D656" s="55" t="s">
        <v>198</v>
      </c>
      <c r="E656" s="147">
        <f>F4Ax!E656+F4Bx!E655</f>
        <v>0</v>
      </c>
      <c r="F656" s="147">
        <f>F4Ax!F656+F4Bx!F655</f>
        <v>0</v>
      </c>
      <c r="G656" s="147">
        <f>F4Ax!G656+F4Bx!G655</f>
        <v>0</v>
      </c>
      <c r="H656" s="147">
        <f>F4Ax!H656+F4Bx!H655</f>
        <v>0</v>
      </c>
      <c r="I656" s="147">
        <f>F4Ax!I656+F4Bx!I655</f>
        <v>0</v>
      </c>
      <c r="J656" s="147">
        <f>F4Ax!J656+F4Bx!J655</f>
        <v>0</v>
      </c>
      <c r="K656" s="147">
        <f>F4Ax!K656+F4Bx!K655</f>
        <v>0</v>
      </c>
      <c r="L656" s="147">
        <f>F4Ax!L656+F4Bx!L655</f>
        <v>0</v>
      </c>
      <c r="M656" s="147">
        <f>F4Ax!M656+F4Bx!M655</f>
        <v>0</v>
      </c>
      <c r="N656" s="147">
        <f>F4Ax!N656+F4Bx!N655</f>
        <v>0</v>
      </c>
      <c r="O656" s="147">
        <f>F4Ax!O656+F4Bx!O655</f>
        <v>0</v>
      </c>
      <c r="P656" s="147">
        <f>F4Ax!P656+F4Bx!P655</f>
        <v>0</v>
      </c>
      <c r="Q656" s="316">
        <f t="shared" si="66"/>
        <v>0</v>
      </c>
    </row>
    <row r="657" ht="15" spans="3:17">
      <c r="C657" s="55" t="s">
        <v>199</v>
      </c>
      <c r="D657" s="55" t="s">
        <v>200</v>
      </c>
      <c r="E657" s="147">
        <f>F4Ax!E657+F4Bx!E656</f>
        <v>0</v>
      </c>
      <c r="F657" s="147">
        <f>F4Ax!F657+F4Bx!F656</f>
        <v>0</v>
      </c>
      <c r="G657" s="147">
        <f>F4Ax!G657+F4Bx!G656</f>
        <v>0</v>
      </c>
      <c r="H657" s="147">
        <f>F4Ax!H657+F4Bx!H656</f>
        <v>0</v>
      </c>
      <c r="I657" s="147">
        <f>F4Ax!I657+F4Bx!I656</f>
        <v>0</v>
      </c>
      <c r="J657" s="147">
        <f>F4Ax!J657+F4Bx!J656</f>
        <v>0</v>
      </c>
      <c r="K657" s="147">
        <f>F4Ax!K657+F4Bx!K656</f>
        <v>0</v>
      </c>
      <c r="L657" s="147">
        <f>F4Ax!L657+F4Bx!L656</f>
        <v>0</v>
      </c>
      <c r="M657" s="147">
        <f>F4Ax!M657+F4Bx!M656</f>
        <v>0</v>
      </c>
      <c r="N657" s="147">
        <f>F4Ax!N657+F4Bx!N656</f>
        <v>0</v>
      </c>
      <c r="O657" s="147">
        <f>F4Ax!O657+F4Bx!O656</f>
        <v>0</v>
      </c>
      <c r="P657" s="147">
        <f>F4Ax!P657+F4Bx!P656</f>
        <v>0</v>
      </c>
      <c r="Q657" s="316">
        <f t="shared" si="66"/>
        <v>0</v>
      </c>
    </row>
    <row r="658" ht="15" spans="3:17">
      <c r="C658" s="55" t="s">
        <v>201</v>
      </c>
      <c r="D658" s="55" t="s">
        <v>240</v>
      </c>
      <c r="E658" s="147">
        <f>F4Ax!E658+F4Bx!E657</f>
        <v>0</v>
      </c>
      <c r="F658" s="147">
        <f>F4Ax!F658+F4Bx!F657</f>
        <v>0</v>
      </c>
      <c r="G658" s="147">
        <f>F4Ax!G658+F4Bx!G657</f>
        <v>0</v>
      </c>
      <c r="H658" s="147">
        <f>F4Ax!H658+F4Bx!H657</f>
        <v>0</v>
      </c>
      <c r="I658" s="147">
        <f>F4Ax!I658+F4Bx!I657</f>
        <v>0</v>
      </c>
      <c r="J658" s="147">
        <f>F4Ax!J658+F4Bx!J657</f>
        <v>0</v>
      </c>
      <c r="K658" s="147">
        <f>F4Ax!K658+F4Bx!K657</f>
        <v>0</v>
      </c>
      <c r="L658" s="147">
        <f>F4Ax!L658+F4Bx!L657</f>
        <v>0</v>
      </c>
      <c r="M658" s="147">
        <f>F4Ax!M658+F4Bx!M657</f>
        <v>0</v>
      </c>
      <c r="N658" s="147">
        <f>F4Ax!N658+F4Bx!N657</f>
        <v>0</v>
      </c>
      <c r="O658" s="147">
        <f>F4Ax!O658+F4Bx!O657</f>
        <v>0</v>
      </c>
      <c r="P658" s="147">
        <f>F4Ax!P658+F4Bx!P657</f>
        <v>0</v>
      </c>
      <c r="Q658" s="316">
        <f t="shared" si="66"/>
        <v>0</v>
      </c>
    </row>
    <row r="659" ht="15" spans="3:17">
      <c r="C659" s="55" t="s">
        <v>203</v>
      </c>
      <c r="D659" s="55" t="s">
        <v>220</v>
      </c>
      <c r="E659" s="147">
        <f>F4Ax!E659+F4Bx!E658</f>
        <v>0</v>
      </c>
      <c r="F659" s="147">
        <f>F4Ax!F659+F4Bx!F658</f>
        <v>0</v>
      </c>
      <c r="G659" s="147">
        <f>F4Ax!G659+F4Bx!G658</f>
        <v>0</v>
      </c>
      <c r="H659" s="147">
        <f>F4Ax!H659+F4Bx!H658</f>
        <v>0</v>
      </c>
      <c r="I659" s="147">
        <f>F4Ax!I659+F4Bx!I658</f>
        <v>0</v>
      </c>
      <c r="J659" s="147">
        <f>F4Ax!J659+F4Bx!J658</f>
        <v>0</v>
      </c>
      <c r="K659" s="147">
        <f>F4Ax!K659+F4Bx!K658</f>
        <v>0</v>
      </c>
      <c r="L659" s="147">
        <f>F4Ax!L659+F4Bx!L658</f>
        <v>0</v>
      </c>
      <c r="M659" s="147">
        <f>F4Ax!M659+F4Bx!M658</f>
        <v>0</v>
      </c>
      <c r="N659" s="147">
        <f>F4Ax!N659+F4Bx!N658</f>
        <v>0</v>
      </c>
      <c r="O659" s="147">
        <f>F4Ax!O659+F4Bx!O658</f>
        <v>0</v>
      </c>
      <c r="P659" s="147">
        <f>F4Ax!P659+F4Bx!P658</f>
        <v>0</v>
      </c>
      <c r="Q659" s="316">
        <f t="shared" si="66"/>
        <v>0</v>
      </c>
    </row>
    <row r="660" ht="15" spans="3:17">
      <c r="C660" s="55" t="s">
        <v>241</v>
      </c>
      <c r="D660" s="55" t="s">
        <v>229</v>
      </c>
      <c r="E660" s="147">
        <f>F4Ax!E660+F4Bx!E659</f>
        <v>0</v>
      </c>
      <c r="F660" s="147">
        <f>F4Ax!F660+F4Bx!F659</f>
        <v>0</v>
      </c>
      <c r="G660" s="147">
        <f>F4Ax!G660+F4Bx!G659</f>
        <v>0</v>
      </c>
      <c r="H660" s="147">
        <f>F4Ax!H660+F4Bx!H659</f>
        <v>0</v>
      </c>
      <c r="I660" s="147">
        <f>F4Ax!I660+F4Bx!I659</f>
        <v>0</v>
      </c>
      <c r="J660" s="147">
        <f>F4Ax!J660+F4Bx!J659</f>
        <v>0</v>
      </c>
      <c r="K660" s="147">
        <f>F4Ax!K660+F4Bx!K659</f>
        <v>0</v>
      </c>
      <c r="L660" s="147">
        <f>F4Ax!L660+F4Bx!L659</f>
        <v>0</v>
      </c>
      <c r="M660" s="147">
        <f>F4Ax!M660+F4Bx!M659</f>
        <v>0</v>
      </c>
      <c r="N660" s="147">
        <f>F4Ax!N660+F4Bx!N659</f>
        <v>0</v>
      </c>
      <c r="O660" s="147">
        <f>F4Ax!O660+F4Bx!O659</f>
        <v>0</v>
      </c>
      <c r="P660" s="147">
        <f>F4Ax!P660+F4Bx!P659</f>
        <v>0</v>
      </c>
      <c r="Q660" s="316">
        <f t="shared" si="66"/>
        <v>0</v>
      </c>
    </row>
    <row r="661" ht="15" spans="3:17">
      <c r="C661" s="55" t="s">
        <v>259</v>
      </c>
      <c r="D661" s="55" t="s">
        <v>243</v>
      </c>
      <c r="E661" s="147">
        <f>F4Ax!E661+F4Bx!E660</f>
        <v>0</v>
      </c>
      <c r="F661" s="147">
        <f>F4Ax!F661+F4Bx!F660</f>
        <v>0</v>
      </c>
      <c r="G661" s="147">
        <f>F4Ax!G661+F4Bx!G660</f>
        <v>0</v>
      </c>
      <c r="H661" s="147">
        <f>F4Ax!H661+F4Bx!H660</f>
        <v>0</v>
      </c>
      <c r="I661" s="147">
        <f>F4Ax!I661+F4Bx!I660</f>
        <v>0</v>
      </c>
      <c r="J661" s="147">
        <f>F4Ax!J661+F4Bx!J660</f>
        <v>0</v>
      </c>
      <c r="K661" s="147">
        <f>F4Ax!K661+F4Bx!K660</f>
        <v>0</v>
      </c>
      <c r="L661" s="147">
        <f>F4Ax!L661+F4Bx!L660</f>
        <v>0</v>
      </c>
      <c r="M661" s="147">
        <f>F4Ax!M661+F4Bx!M660</f>
        <v>0</v>
      </c>
      <c r="N661" s="147">
        <f>F4Ax!N661+F4Bx!N660</f>
        <v>0</v>
      </c>
      <c r="O661" s="147">
        <f>F4Ax!O661+F4Bx!O660</f>
        <v>0</v>
      </c>
      <c r="P661" s="147">
        <f>F4Ax!P661+F4Bx!P660</f>
        <v>0</v>
      </c>
      <c r="Q661" s="316">
        <f t="shared" si="66"/>
        <v>0</v>
      </c>
    </row>
    <row r="662" ht="15" spans="3:17">
      <c r="C662" s="55" t="s">
        <v>205</v>
      </c>
      <c r="D662" s="55" t="s">
        <v>206</v>
      </c>
      <c r="E662" s="147">
        <f>F4Ax!E662+F4Bx!E661</f>
        <v>0</v>
      </c>
      <c r="F662" s="147">
        <f>F4Ax!F662+F4Bx!F661</f>
        <v>0</v>
      </c>
      <c r="G662" s="147">
        <f>F4Ax!G662+F4Bx!G661</f>
        <v>0</v>
      </c>
      <c r="H662" s="147">
        <f>F4Ax!H662+F4Bx!H661</f>
        <v>0</v>
      </c>
      <c r="I662" s="147">
        <f>F4Ax!I662+F4Bx!I661</f>
        <v>0</v>
      </c>
      <c r="J662" s="147">
        <f>F4Ax!J662+F4Bx!J661</f>
        <v>0</v>
      </c>
      <c r="K662" s="147">
        <f>F4Ax!K662+F4Bx!K661</f>
        <v>0</v>
      </c>
      <c r="L662" s="147">
        <f>F4Ax!L662+F4Bx!L661</f>
        <v>0</v>
      </c>
      <c r="M662" s="147">
        <f>F4Ax!M662+F4Bx!M661</f>
        <v>0</v>
      </c>
      <c r="N662" s="147">
        <f>F4Ax!N662+F4Bx!N661</f>
        <v>0</v>
      </c>
      <c r="O662" s="147">
        <f>F4Ax!O662+F4Bx!O661</f>
        <v>0</v>
      </c>
      <c r="P662" s="147">
        <f>F4Ax!P662+F4Bx!P661</f>
        <v>0</v>
      </c>
      <c r="Q662" s="316">
        <f t="shared" si="66"/>
        <v>0</v>
      </c>
    </row>
    <row r="663" ht="15" spans="3:17">
      <c r="C663" s="55" t="s">
        <v>207</v>
      </c>
      <c r="D663" s="55" t="s">
        <v>186</v>
      </c>
      <c r="E663" s="147">
        <f>F4Ax!E663+F4Bx!E662</f>
        <v>0</v>
      </c>
      <c r="F663" s="147">
        <f>F4Ax!F663+F4Bx!F662</f>
        <v>0</v>
      </c>
      <c r="G663" s="147">
        <f>F4Ax!G663+F4Bx!G662</f>
        <v>0</v>
      </c>
      <c r="H663" s="147">
        <f>F4Ax!H663+F4Bx!H662</f>
        <v>0</v>
      </c>
      <c r="I663" s="147">
        <f>F4Ax!I663+F4Bx!I662</f>
        <v>0</v>
      </c>
      <c r="J663" s="147">
        <f>F4Ax!J663+F4Bx!J662</f>
        <v>0</v>
      </c>
      <c r="K663" s="147">
        <f>F4Ax!K663+F4Bx!K662</f>
        <v>0</v>
      </c>
      <c r="L663" s="147">
        <f>F4Ax!L663+F4Bx!L662</f>
        <v>0</v>
      </c>
      <c r="M663" s="147">
        <f>F4Ax!M663+F4Bx!M662</f>
        <v>0</v>
      </c>
      <c r="N663" s="147">
        <f>F4Ax!N663+F4Bx!N662</f>
        <v>0</v>
      </c>
      <c r="O663" s="147">
        <f>F4Ax!O663+F4Bx!O662</f>
        <v>0</v>
      </c>
      <c r="P663" s="147">
        <f>F4Ax!P663+F4Bx!P662</f>
        <v>0</v>
      </c>
      <c r="Q663" s="316">
        <f t="shared" si="66"/>
        <v>0</v>
      </c>
    </row>
    <row r="664" ht="15" spans="3:17">
      <c r="C664" s="55" t="s">
        <v>208</v>
      </c>
      <c r="D664" s="55" t="s">
        <v>209</v>
      </c>
      <c r="E664" s="147">
        <f>F4Ax!E664+F4Bx!E663</f>
        <v>0</v>
      </c>
      <c r="F664" s="147">
        <f>F4Ax!F664+F4Bx!F663</f>
        <v>0</v>
      </c>
      <c r="G664" s="147">
        <f>F4Ax!G664+F4Bx!G663</f>
        <v>0</v>
      </c>
      <c r="H664" s="147">
        <f>F4Ax!H664+F4Bx!H663</f>
        <v>0</v>
      </c>
      <c r="I664" s="147">
        <f>F4Ax!I664+F4Bx!I663</f>
        <v>0</v>
      </c>
      <c r="J664" s="147">
        <f>F4Ax!J664+F4Bx!J663</f>
        <v>0</v>
      </c>
      <c r="K664" s="147">
        <f>F4Ax!K664+F4Bx!K663</f>
        <v>0</v>
      </c>
      <c r="L664" s="147">
        <f>F4Ax!L664+F4Bx!L663</f>
        <v>0</v>
      </c>
      <c r="M664" s="147">
        <f>F4Ax!M664+F4Bx!M663</f>
        <v>0</v>
      </c>
      <c r="N664" s="147">
        <f>F4Ax!N664+F4Bx!N663</f>
        <v>0</v>
      </c>
      <c r="O664" s="147">
        <f>F4Ax!O664+F4Bx!O663</f>
        <v>0</v>
      </c>
      <c r="P664" s="147">
        <f>F4Ax!P664+F4Bx!P663</f>
        <v>0</v>
      </c>
      <c r="Q664" s="316">
        <f t="shared" si="66"/>
        <v>0</v>
      </c>
    </row>
    <row r="665" ht="15" spans="3:17">
      <c r="C665" s="55" t="s">
        <v>210</v>
      </c>
      <c r="D665" s="55" t="s">
        <v>188</v>
      </c>
      <c r="E665" s="147">
        <f>F4Ax!E665+F4Bx!E664</f>
        <v>0</v>
      </c>
      <c r="F665" s="147">
        <f>F4Ax!F665+F4Bx!F664</f>
        <v>0</v>
      </c>
      <c r="G665" s="147">
        <f>F4Ax!G665+F4Bx!G664</f>
        <v>0</v>
      </c>
      <c r="H665" s="147">
        <f>F4Ax!H665+F4Bx!H664</f>
        <v>0</v>
      </c>
      <c r="I665" s="147">
        <f>F4Ax!I665+F4Bx!I664</f>
        <v>0</v>
      </c>
      <c r="J665" s="147">
        <f>F4Ax!J665+F4Bx!J664</f>
        <v>0</v>
      </c>
      <c r="K665" s="147">
        <f>F4Ax!K665+F4Bx!K664</f>
        <v>0</v>
      </c>
      <c r="L665" s="147">
        <f>F4Ax!L665+F4Bx!L664</f>
        <v>0</v>
      </c>
      <c r="M665" s="147">
        <f>F4Ax!M665+F4Bx!M664</f>
        <v>0</v>
      </c>
      <c r="N665" s="147">
        <f>F4Ax!N665+F4Bx!N664</f>
        <v>0</v>
      </c>
      <c r="O665" s="147">
        <f>F4Ax!O665+F4Bx!O664</f>
        <v>0</v>
      </c>
      <c r="P665" s="147">
        <f>F4Ax!P665+F4Bx!P664</f>
        <v>0</v>
      </c>
      <c r="Q665" s="316">
        <f t="shared" si="66"/>
        <v>0</v>
      </c>
    </row>
    <row r="666" ht="15" spans="3:17">
      <c r="C666" s="55"/>
      <c r="D666" s="55"/>
      <c r="E666" s="147">
        <f>F4Ax!E666+F4Bx!E665</f>
        <v>0</v>
      </c>
      <c r="F666" s="147">
        <f>F4Ax!F666+F4Bx!F665</f>
        <v>0</v>
      </c>
      <c r="G666" s="147">
        <f>F4Ax!G666+F4Bx!G665</f>
        <v>0</v>
      </c>
      <c r="H666" s="147">
        <f>F4Ax!H666+F4Bx!H665</f>
        <v>0</v>
      </c>
      <c r="I666" s="147">
        <f>F4Ax!I666+F4Bx!I665</f>
        <v>0</v>
      </c>
      <c r="J666" s="147">
        <f>F4Ax!J666+F4Bx!J665</f>
        <v>0</v>
      </c>
      <c r="K666" s="147">
        <f>F4Ax!K666+F4Bx!K665</f>
        <v>0</v>
      </c>
      <c r="L666" s="147">
        <f>F4Ax!L666+F4Bx!L665</f>
        <v>0</v>
      </c>
      <c r="M666" s="147">
        <f>F4Ax!M666+F4Bx!M665</f>
        <v>0</v>
      </c>
      <c r="N666" s="147">
        <f>F4Ax!N666+F4Bx!N665</f>
        <v>0</v>
      </c>
      <c r="O666" s="147">
        <f>F4Ax!O666+F4Bx!O665</f>
        <v>0</v>
      </c>
      <c r="P666" s="147">
        <f>F4Ax!P666+F4Bx!P665</f>
        <v>0</v>
      </c>
      <c r="Q666" s="316">
        <f t="shared" si="66"/>
        <v>0</v>
      </c>
    </row>
    <row r="667" ht="15" spans="3:17">
      <c r="C667" s="55"/>
      <c r="D667" s="55"/>
      <c r="E667" s="147">
        <f>F4Ax!E667+F4Bx!E666</f>
        <v>0</v>
      </c>
      <c r="F667" s="147">
        <f>F4Ax!F667+F4Bx!F666</f>
        <v>0</v>
      </c>
      <c r="G667" s="147">
        <f>F4Ax!G667+F4Bx!G666</f>
        <v>0</v>
      </c>
      <c r="H667" s="147">
        <f>F4Ax!H667+F4Bx!H666</f>
        <v>0</v>
      </c>
      <c r="I667" s="147">
        <f>F4Ax!I667+F4Bx!I666</f>
        <v>0</v>
      </c>
      <c r="J667" s="147">
        <f>F4Ax!J667+F4Bx!J666</f>
        <v>0</v>
      </c>
      <c r="K667" s="147">
        <f>F4Ax!K667+F4Bx!K666</f>
        <v>0</v>
      </c>
      <c r="L667" s="147">
        <f>F4Ax!L667+F4Bx!L666</f>
        <v>0</v>
      </c>
      <c r="M667" s="147">
        <f>F4Ax!M667+F4Bx!M666</f>
        <v>0</v>
      </c>
      <c r="N667" s="147">
        <f>F4Ax!N667+F4Bx!N666</f>
        <v>0</v>
      </c>
      <c r="O667" s="147">
        <f>F4Ax!O667+F4Bx!O666</f>
        <v>0</v>
      </c>
      <c r="P667" s="147">
        <f>F4Ax!P667+F4Bx!P666</f>
        <v>0</v>
      </c>
      <c r="Q667" s="316">
        <f t="shared" ref="Q667:Q672" si="68">SUM(E667:P667)</f>
        <v>0</v>
      </c>
    </row>
    <row r="668" ht="15" spans="3:17">
      <c r="C668" s="55"/>
      <c r="D668" s="55"/>
      <c r="E668" s="147">
        <f>F4Ax!E668+F4Bx!E667</f>
        <v>0</v>
      </c>
      <c r="F668" s="147">
        <f>F4Ax!F668+F4Bx!F667</f>
        <v>0</v>
      </c>
      <c r="G668" s="147">
        <f>F4Ax!G668+F4Bx!G667</f>
        <v>0</v>
      </c>
      <c r="H668" s="147">
        <f>F4Ax!H668+F4Bx!H667</f>
        <v>0</v>
      </c>
      <c r="I668" s="147">
        <f>F4Ax!I668+F4Bx!I667</f>
        <v>0</v>
      </c>
      <c r="J668" s="147">
        <f>F4Ax!J668+F4Bx!J667</f>
        <v>0</v>
      </c>
      <c r="K668" s="147">
        <f>F4Ax!K668+F4Bx!K667</f>
        <v>0</v>
      </c>
      <c r="L668" s="147">
        <f>F4Ax!L668+F4Bx!L667</f>
        <v>0</v>
      </c>
      <c r="M668" s="147">
        <f>F4Ax!M668+F4Bx!M667</f>
        <v>0</v>
      </c>
      <c r="N668" s="147">
        <f>F4Ax!N668+F4Bx!N667</f>
        <v>0</v>
      </c>
      <c r="O668" s="147">
        <f>F4Ax!O668+F4Bx!O667</f>
        <v>0</v>
      </c>
      <c r="P668" s="147">
        <f>F4Ax!P668+F4Bx!P667</f>
        <v>0</v>
      </c>
      <c r="Q668" s="316">
        <f t="shared" si="68"/>
        <v>0</v>
      </c>
    </row>
    <row r="669" ht="15" spans="3:17">
      <c r="C669" s="55" t="s">
        <v>258</v>
      </c>
      <c r="D669" s="55" t="s">
        <v>258</v>
      </c>
      <c r="E669" s="147">
        <f>F4Ax!E669+F4Bx!E668</f>
        <v>0</v>
      </c>
      <c r="F669" s="147">
        <f>F4Ax!F669+F4Bx!F668</f>
        <v>0</v>
      </c>
      <c r="G669" s="147">
        <f>F4Ax!G669+F4Bx!G668</f>
        <v>0</v>
      </c>
      <c r="H669" s="147">
        <f>F4Ax!H669+F4Bx!H668</f>
        <v>0</v>
      </c>
      <c r="I669" s="147">
        <f>F4Ax!I669+F4Bx!I668</f>
        <v>0</v>
      </c>
      <c r="J669" s="147">
        <f>F4Ax!J669+F4Bx!J668</f>
        <v>0</v>
      </c>
      <c r="K669" s="147">
        <f>F4Ax!K669+F4Bx!K668</f>
        <v>0</v>
      </c>
      <c r="L669" s="147">
        <f>F4Ax!L669+F4Bx!L668</f>
        <v>0</v>
      </c>
      <c r="M669" s="147">
        <f>F4Ax!M669+F4Bx!M668</f>
        <v>0</v>
      </c>
      <c r="N669" s="147">
        <f>F4Ax!N669+F4Bx!N668</f>
        <v>0</v>
      </c>
      <c r="O669" s="147">
        <f>F4Ax!O669+F4Bx!O668</f>
        <v>0</v>
      </c>
      <c r="P669" s="147">
        <f>F4Ax!P669+F4Bx!P668</f>
        <v>0</v>
      </c>
      <c r="Q669" s="316">
        <f t="shared" si="68"/>
        <v>0</v>
      </c>
    </row>
    <row r="670" ht="15" spans="3:17">
      <c r="C670" s="537" t="s">
        <v>211</v>
      </c>
      <c r="D670" s="540"/>
      <c r="E670" s="316">
        <f t="shared" ref="E670:P670" si="69">SUM(E653:E669)</f>
        <v>0</v>
      </c>
      <c r="F670" s="316">
        <f t="shared" si="69"/>
        <v>0</v>
      </c>
      <c r="G670" s="316">
        <f t="shared" si="69"/>
        <v>0</v>
      </c>
      <c r="H670" s="316">
        <f t="shared" si="69"/>
        <v>0</v>
      </c>
      <c r="I670" s="316">
        <f t="shared" si="69"/>
        <v>0</v>
      </c>
      <c r="J670" s="316">
        <f t="shared" si="69"/>
        <v>0</v>
      </c>
      <c r="K670" s="316">
        <f t="shared" si="69"/>
        <v>0</v>
      </c>
      <c r="L670" s="316">
        <f t="shared" si="69"/>
        <v>0</v>
      </c>
      <c r="M670" s="316">
        <f t="shared" si="69"/>
        <v>0</v>
      </c>
      <c r="N670" s="316">
        <f t="shared" si="69"/>
        <v>0</v>
      </c>
      <c r="O670" s="316">
        <f t="shared" si="69"/>
        <v>0</v>
      </c>
      <c r="P670" s="316">
        <f t="shared" si="69"/>
        <v>0</v>
      </c>
      <c r="Q670" s="316">
        <f t="shared" si="68"/>
        <v>0</v>
      </c>
    </row>
    <row r="671" ht="15" spans="3:17">
      <c r="C671" s="537" t="s">
        <v>223</v>
      </c>
      <c r="D671" s="540"/>
      <c r="E671" s="316">
        <f t="shared" ref="E671:P671" si="70">E670+E651+E634</f>
        <v>0</v>
      </c>
      <c r="F671" s="316">
        <f t="shared" si="70"/>
        <v>0</v>
      </c>
      <c r="G671" s="316">
        <f t="shared" si="70"/>
        <v>0</v>
      </c>
      <c r="H671" s="316">
        <f t="shared" si="70"/>
        <v>0</v>
      </c>
      <c r="I671" s="316">
        <f t="shared" si="70"/>
        <v>0</v>
      </c>
      <c r="J671" s="316">
        <f t="shared" si="70"/>
        <v>0</v>
      </c>
      <c r="K671" s="316">
        <f t="shared" si="70"/>
        <v>0</v>
      </c>
      <c r="L671" s="316">
        <f t="shared" si="70"/>
        <v>0</v>
      </c>
      <c r="M671" s="316">
        <f t="shared" si="70"/>
        <v>0</v>
      </c>
      <c r="N671" s="316">
        <f t="shared" si="70"/>
        <v>0</v>
      </c>
      <c r="O671" s="316">
        <f t="shared" si="70"/>
        <v>0</v>
      </c>
      <c r="P671" s="316">
        <f t="shared" si="70"/>
        <v>0</v>
      </c>
      <c r="Q671" s="316">
        <f t="shared" si="68"/>
        <v>0</v>
      </c>
    </row>
    <row r="672" ht="15" spans="3:17">
      <c r="C672" s="537" t="s">
        <v>224</v>
      </c>
      <c r="D672" s="540"/>
      <c r="E672" s="316">
        <f t="shared" ref="E672:P672" si="71">E671+E617</f>
        <v>0</v>
      </c>
      <c r="F672" s="316">
        <f t="shared" si="71"/>
        <v>0</v>
      </c>
      <c r="G672" s="316">
        <f t="shared" si="71"/>
        <v>0</v>
      </c>
      <c r="H672" s="316">
        <f t="shared" si="71"/>
        <v>0</v>
      </c>
      <c r="I672" s="316">
        <f t="shared" si="71"/>
        <v>0</v>
      </c>
      <c r="J672" s="316">
        <f t="shared" si="71"/>
        <v>0</v>
      </c>
      <c r="K672" s="316">
        <f t="shared" si="71"/>
        <v>0</v>
      </c>
      <c r="L672" s="316">
        <f t="shared" si="71"/>
        <v>0</v>
      </c>
      <c r="M672" s="316">
        <f t="shared" si="71"/>
        <v>0</v>
      </c>
      <c r="N672" s="316">
        <f t="shared" si="71"/>
        <v>0</v>
      </c>
      <c r="O672" s="316">
        <f t="shared" si="71"/>
        <v>0</v>
      </c>
      <c r="P672" s="316">
        <f t="shared" si="71"/>
        <v>0</v>
      </c>
      <c r="Q672" s="316">
        <f t="shared" si="68"/>
        <v>0</v>
      </c>
    </row>
    <row r="674" ht="15" spans="3:17">
      <c r="C674" s="14"/>
      <c r="Q674" s="3" t="s">
        <v>236</v>
      </c>
    </row>
    <row r="675" ht="15" spans="3:17">
      <c r="C675" s="6" t="s">
        <v>159</v>
      </c>
      <c r="D675" s="6"/>
      <c r="E675" s="135" t="s">
        <v>266</v>
      </c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</row>
    <row r="676" ht="15" spans="3:17">
      <c r="C676" s="6"/>
      <c r="D676" s="6"/>
      <c r="E676" s="135" t="s">
        <v>246</v>
      </c>
      <c r="F676" s="135" t="s">
        <v>247</v>
      </c>
      <c r="G676" s="135" t="s">
        <v>248</v>
      </c>
      <c r="H676" s="135" t="s">
        <v>249</v>
      </c>
      <c r="I676" s="135" t="s">
        <v>250</v>
      </c>
      <c r="J676" s="135" t="s">
        <v>251</v>
      </c>
      <c r="K676" s="135" t="s">
        <v>252</v>
      </c>
      <c r="L676" s="135" t="s">
        <v>253</v>
      </c>
      <c r="M676" s="135" t="s">
        <v>254</v>
      </c>
      <c r="N676" s="135" t="s">
        <v>255</v>
      </c>
      <c r="O676" s="135" t="s">
        <v>256</v>
      </c>
      <c r="P676" s="135" t="s">
        <v>257</v>
      </c>
      <c r="Q676" s="135" t="s">
        <v>97</v>
      </c>
    </row>
    <row r="677" ht="15" spans="3:17">
      <c r="C677" s="44" t="s">
        <v>170</v>
      </c>
      <c r="D677" s="45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316">
        <f t="shared" ref="Q677:Q708" si="72">SUM(E677:P677)</f>
        <v>0</v>
      </c>
    </row>
    <row r="678" ht="15" spans="3:17">
      <c r="C678" s="47" t="s">
        <v>171</v>
      </c>
      <c r="D678" s="47" t="s">
        <v>172</v>
      </c>
      <c r="E678" s="147">
        <f>F4Ax!E678+F4Bx!E677</f>
        <v>0</v>
      </c>
      <c r="F678" s="147">
        <f>F4Ax!F678+F4Bx!F677</f>
        <v>0</v>
      </c>
      <c r="G678" s="147">
        <f>F4Ax!G678+F4Bx!G677</f>
        <v>0</v>
      </c>
      <c r="H678" s="147">
        <f>F4Ax!H678+F4Bx!H677</f>
        <v>0</v>
      </c>
      <c r="I678" s="147">
        <f>F4Ax!I678+F4Bx!I677</f>
        <v>0</v>
      </c>
      <c r="J678" s="147">
        <f>F4Ax!J678+F4Bx!J677</f>
        <v>0</v>
      </c>
      <c r="K678" s="147">
        <f>F4Ax!K678+F4Bx!K677</f>
        <v>0</v>
      </c>
      <c r="L678" s="147">
        <f>F4Ax!L678+F4Bx!L677</f>
        <v>0</v>
      </c>
      <c r="M678" s="147">
        <f>F4Ax!M678+F4Bx!M677</f>
        <v>0</v>
      </c>
      <c r="N678" s="147">
        <f>F4Ax!N678+F4Bx!N677</f>
        <v>0</v>
      </c>
      <c r="O678" s="147">
        <f>F4Ax!O678+F4Bx!O677</f>
        <v>0</v>
      </c>
      <c r="P678" s="147">
        <f>F4Ax!P678+F4Bx!P677</f>
        <v>0</v>
      </c>
      <c r="Q678" s="316">
        <f t="shared" si="72"/>
        <v>0</v>
      </c>
    </row>
    <row r="679" ht="15" spans="3:17">
      <c r="C679" s="55" t="s">
        <v>173</v>
      </c>
      <c r="D679" s="55" t="s">
        <v>174</v>
      </c>
      <c r="E679" s="147">
        <f>F4Ax!E679+F4Bx!E678</f>
        <v>0</v>
      </c>
      <c r="F679" s="147">
        <f>F4Ax!F679+F4Bx!F678</f>
        <v>0</v>
      </c>
      <c r="G679" s="147">
        <f>F4Ax!G679+F4Bx!G678</f>
        <v>0</v>
      </c>
      <c r="H679" s="147">
        <f>F4Ax!H679+F4Bx!H678</f>
        <v>0</v>
      </c>
      <c r="I679" s="147">
        <f>F4Ax!I679+F4Bx!I678</f>
        <v>0</v>
      </c>
      <c r="J679" s="147">
        <f>F4Ax!J679+F4Bx!J678</f>
        <v>0</v>
      </c>
      <c r="K679" s="147">
        <f>F4Ax!K679+F4Bx!K678</f>
        <v>0</v>
      </c>
      <c r="L679" s="147">
        <f>F4Ax!L679+F4Bx!L678</f>
        <v>0</v>
      </c>
      <c r="M679" s="147">
        <f>F4Ax!M679+F4Bx!M678</f>
        <v>0</v>
      </c>
      <c r="N679" s="147">
        <f>F4Ax!N679+F4Bx!N678</f>
        <v>0</v>
      </c>
      <c r="O679" s="147">
        <f>F4Ax!O679+F4Bx!O678</f>
        <v>0</v>
      </c>
      <c r="P679" s="147">
        <f>F4Ax!P679+F4Bx!P678</f>
        <v>0</v>
      </c>
      <c r="Q679" s="316">
        <f t="shared" si="72"/>
        <v>0</v>
      </c>
    </row>
    <row r="680" ht="15" spans="3:17">
      <c r="C680" s="55" t="s">
        <v>175</v>
      </c>
      <c r="D680" s="55" t="s">
        <v>176</v>
      </c>
      <c r="E680" s="147">
        <f>F4Ax!E680+F4Bx!E679</f>
        <v>0</v>
      </c>
      <c r="F680" s="147">
        <f>F4Ax!F680+F4Bx!F679</f>
        <v>0</v>
      </c>
      <c r="G680" s="147">
        <f>F4Ax!G680+F4Bx!G679</f>
        <v>0</v>
      </c>
      <c r="H680" s="147">
        <f>F4Ax!H680+F4Bx!H679</f>
        <v>0</v>
      </c>
      <c r="I680" s="147">
        <f>F4Ax!I680+F4Bx!I679</f>
        <v>0</v>
      </c>
      <c r="J680" s="147">
        <f>F4Ax!J680+F4Bx!J679</f>
        <v>0</v>
      </c>
      <c r="K680" s="147">
        <f>F4Ax!K680+F4Bx!K679</f>
        <v>0</v>
      </c>
      <c r="L680" s="147">
        <f>F4Ax!L680+F4Bx!L679</f>
        <v>0</v>
      </c>
      <c r="M680" s="147">
        <f>F4Ax!M680+F4Bx!M679</f>
        <v>0</v>
      </c>
      <c r="N680" s="147">
        <f>F4Ax!N680+F4Bx!N679</f>
        <v>0</v>
      </c>
      <c r="O680" s="147">
        <f>F4Ax!O680+F4Bx!O679</f>
        <v>0</v>
      </c>
      <c r="P680" s="147">
        <f>F4Ax!P680+F4Bx!P679</f>
        <v>0</v>
      </c>
      <c r="Q680" s="316">
        <f t="shared" si="72"/>
        <v>0</v>
      </c>
    </row>
    <row r="681" ht="15" spans="3:17">
      <c r="C681" s="55" t="s">
        <v>177</v>
      </c>
      <c r="D681" s="55" t="s">
        <v>178</v>
      </c>
      <c r="E681" s="147">
        <f>F4Ax!E681+F4Bx!E680</f>
        <v>0</v>
      </c>
      <c r="F681" s="147">
        <f>F4Ax!F681+F4Bx!F680</f>
        <v>0</v>
      </c>
      <c r="G681" s="147">
        <f>F4Ax!G681+F4Bx!G680</f>
        <v>0</v>
      </c>
      <c r="H681" s="147">
        <f>F4Ax!H681+F4Bx!H680</f>
        <v>0</v>
      </c>
      <c r="I681" s="147">
        <f>F4Ax!I681+F4Bx!I680</f>
        <v>0</v>
      </c>
      <c r="J681" s="147">
        <f>F4Ax!J681+F4Bx!J680</f>
        <v>0</v>
      </c>
      <c r="K681" s="147">
        <f>F4Ax!K681+F4Bx!K680</f>
        <v>0</v>
      </c>
      <c r="L681" s="147">
        <f>F4Ax!L681+F4Bx!L680</f>
        <v>0</v>
      </c>
      <c r="M681" s="147">
        <f>F4Ax!M681+F4Bx!M680</f>
        <v>0</v>
      </c>
      <c r="N681" s="147">
        <f>F4Ax!N681+F4Bx!N680</f>
        <v>0</v>
      </c>
      <c r="O681" s="147">
        <f>F4Ax!O681+F4Bx!O680</f>
        <v>0</v>
      </c>
      <c r="P681" s="147">
        <f>F4Ax!P681+F4Bx!P680</f>
        <v>0</v>
      </c>
      <c r="Q681" s="316">
        <f t="shared" si="72"/>
        <v>0</v>
      </c>
    </row>
    <row r="682" ht="15" spans="3:17">
      <c r="C682" s="55" t="s">
        <v>179</v>
      </c>
      <c r="D682" s="55" t="s">
        <v>180</v>
      </c>
      <c r="E682" s="147">
        <f>F4Ax!E682+F4Bx!E681</f>
        <v>0</v>
      </c>
      <c r="F682" s="147">
        <f>F4Ax!F682+F4Bx!F681</f>
        <v>0</v>
      </c>
      <c r="G682" s="147">
        <f>F4Ax!G682+F4Bx!G681</f>
        <v>0</v>
      </c>
      <c r="H682" s="147">
        <f>F4Ax!H682+F4Bx!H681</f>
        <v>0</v>
      </c>
      <c r="I682" s="147">
        <f>F4Ax!I682+F4Bx!I681</f>
        <v>0</v>
      </c>
      <c r="J682" s="147">
        <f>F4Ax!J682+F4Bx!J681</f>
        <v>0</v>
      </c>
      <c r="K682" s="147">
        <f>F4Ax!K682+F4Bx!K681</f>
        <v>0</v>
      </c>
      <c r="L682" s="147">
        <f>F4Ax!L682+F4Bx!L681</f>
        <v>0</v>
      </c>
      <c r="M682" s="147">
        <f>F4Ax!M682+F4Bx!M681</f>
        <v>0</v>
      </c>
      <c r="N682" s="147">
        <f>F4Ax!N682+F4Bx!N681</f>
        <v>0</v>
      </c>
      <c r="O682" s="147">
        <f>F4Ax!O682+F4Bx!O681</f>
        <v>0</v>
      </c>
      <c r="P682" s="147">
        <f>F4Ax!P682+F4Bx!P681</f>
        <v>0</v>
      </c>
      <c r="Q682" s="316">
        <f t="shared" si="72"/>
        <v>0</v>
      </c>
    </row>
    <row r="683" ht="15" spans="3:17">
      <c r="C683" s="55" t="s">
        <v>181</v>
      </c>
      <c r="D683" s="55" t="s">
        <v>182</v>
      </c>
      <c r="E683" s="147">
        <f>F4Ax!E683+F4Bx!E682</f>
        <v>0</v>
      </c>
      <c r="F683" s="147">
        <f>F4Ax!F683+F4Bx!F682</f>
        <v>0</v>
      </c>
      <c r="G683" s="147">
        <f>F4Ax!G683+F4Bx!G682</f>
        <v>0</v>
      </c>
      <c r="H683" s="147">
        <f>F4Ax!H683+F4Bx!H682</f>
        <v>0</v>
      </c>
      <c r="I683" s="147">
        <f>F4Ax!I683+F4Bx!I682</f>
        <v>0</v>
      </c>
      <c r="J683" s="147">
        <f>F4Ax!J683+F4Bx!J682</f>
        <v>0</v>
      </c>
      <c r="K683" s="147">
        <f>F4Ax!K683+F4Bx!K682</f>
        <v>0</v>
      </c>
      <c r="L683" s="147">
        <f>F4Ax!L683+F4Bx!L682</f>
        <v>0</v>
      </c>
      <c r="M683" s="147">
        <f>F4Ax!M683+F4Bx!M682</f>
        <v>0</v>
      </c>
      <c r="N683" s="147">
        <f>F4Ax!N683+F4Bx!N682</f>
        <v>0</v>
      </c>
      <c r="O683" s="147">
        <f>F4Ax!O683+F4Bx!O682</f>
        <v>0</v>
      </c>
      <c r="P683" s="147">
        <f>F4Ax!P683+F4Bx!P682</f>
        <v>0</v>
      </c>
      <c r="Q683" s="316">
        <f t="shared" si="72"/>
        <v>0</v>
      </c>
    </row>
    <row r="684" ht="15" spans="3:17">
      <c r="C684" s="55" t="s">
        <v>183</v>
      </c>
      <c r="D684" s="55" t="s">
        <v>184</v>
      </c>
      <c r="E684" s="147">
        <f>F4Ax!E684+F4Bx!E683</f>
        <v>0</v>
      </c>
      <c r="F684" s="147">
        <f>F4Ax!F684+F4Bx!F683</f>
        <v>0</v>
      </c>
      <c r="G684" s="147">
        <f>F4Ax!G684+F4Bx!G683</f>
        <v>0</v>
      </c>
      <c r="H684" s="147">
        <f>F4Ax!H684+F4Bx!H683</f>
        <v>0</v>
      </c>
      <c r="I684" s="147">
        <f>F4Ax!I684+F4Bx!I683</f>
        <v>0</v>
      </c>
      <c r="J684" s="147">
        <f>F4Ax!J684+F4Bx!J683</f>
        <v>0</v>
      </c>
      <c r="K684" s="147">
        <f>F4Ax!K684+F4Bx!K683</f>
        <v>0</v>
      </c>
      <c r="L684" s="147">
        <f>F4Ax!L684+F4Bx!L683</f>
        <v>0</v>
      </c>
      <c r="M684" s="147">
        <f>F4Ax!M684+F4Bx!M683</f>
        <v>0</v>
      </c>
      <c r="N684" s="147">
        <f>F4Ax!N684+F4Bx!N683</f>
        <v>0</v>
      </c>
      <c r="O684" s="147">
        <f>F4Ax!O684+F4Bx!O683</f>
        <v>0</v>
      </c>
      <c r="P684" s="147">
        <f>F4Ax!P684+F4Bx!P683</f>
        <v>0</v>
      </c>
      <c r="Q684" s="316">
        <f t="shared" si="72"/>
        <v>0</v>
      </c>
    </row>
    <row r="685" ht="15" spans="3:17">
      <c r="C685" s="55" t="s">
        <v>185</v>
      </c>
      <c r="D685" s="55" t="s">
        <v>186</v>
      </c>
      <c r="E685" s="147">
        <f>F4Ax!E685+F4Bx!E684</f>
        <v>0</v>
      </c>
      <c r="F685" s="147">
        <f>F4Ax!F685+F4Bx!F684</f>
        <v>0</v>
      </c>
      <c r="G685" s="147">
        <f>F4Ax!G685+F4Bx!G684</f>
        <v>0</v>
      </c>
      <c r="H685" s="147">
        <f>F4Ax!H685+F4Bx!H684</f>
        <v>0</v>
      </c>
      <c r="I685" s="147">
        <f>F4Ax!I685+F4Bx!I684</f>
        <v>0</v>
      </c>
      <c r="J685" s="147">
        <f>F4Ax!J685+F4Bx!J684</f>
        <v>0</v>
      </c>
      <c r="K685" s="147">
        <f>F4Ax!K685+F4Bx!K684</f>
        <v>0</v>
      </c>
      <c r="L685" s="147">
        <f>F4Ax!L685+F4Bx!L684</f>
        <v>0</v>
      </c>
      <c r="M685" s="147">
        <f>F4Ax!M685+F4Bx!M684</f>
        <v>0</v>
      </c>
      <c r="N685" s="147">
        <f>F4Ax!N685+F4Bx!N684</f>
        <v>0</v>
      </c>
      <c r="O685" s="147">
        <f>F4Ax!O685+F4Bx!O684</f>
        <v>0</v>
      </c>
      <c r="P685" s="147">
        <f>F4Ax!P685+F4Bx!P684</f>
        <v>0</v>
      </c>
      <c r="Q685" s="316">
        <f t="shared" si="72"/>
        <v>0</v>
      </c>
    </row>
    <row r="686" ht="15" spans="3:17">
      <c r="C686" s="55" t="s">
        <v>187</v>
      </c>
      <c r="D686" s="55" t="s">
        <v>188</v>
      </c>
      <c r="E686" s="147">
        <f>F4Ax!E686+F4Bx!E685</f>
        <v>0</v>
      </c>
      <c r="F686" s="147">
        <f>F4Ax!F686+F4Bx!F685</f>
        <v>0</v>
      </c>
      <c r="G686" s="147">
        <f>F4Ax!G686+F4Bx!G685</f>
        <v>0</v>
      </c>
      <c r="H686" s="147">
        <f>F4Ax!H686+F4Bx!H685</f>
        <v>0</v>
      </c>
      <c r="I686" s="147">
        <f>F4Ax!I686+F4Bx!I685</f>
        <v>0</v>
      </c>
      <c r="J686" s="147">
        <f>F4Ax!J686+F4Bx!J685</f>
        <v>0</v>
      </c>
      <c r="K686" s="147">
        <f>F4Ax!K686+F4Bx!K685</f>
        <v>0</v>
      </c>
      <c r="L686" s="147">
        <f>F4Ax!L686+F4Bx!L685</f>
        <v>0</v>
      </c>
      <c r="M686" s="147">
        <f>F4Ax!M686+F4Bx!M685</f>
        <v>0</v>
      </c>
      <c r="N686" s="147">
        <f>F4Ax!N686+F4Bx!N685</f>
        <v>0</v>
      </c>
      <c r="O686" s="147">
        <f>F4Ax!O686+F4Bx!O685</f>
        <v>0</v>
      </c>
      <c r="P686" s="147">
        <f>F4Ax!P686+F4Bx!P685</f>
        <v>0</v>
      </c>
      <c r="Q686" s="316">
        <f t="shared" si="72"/>
        <v>0</v>
      </c>
    </row>
    <row r="687" ht="15" spans="3:17">
      <c r="C687" s="55"/>
      <c r="D687" s="55"/>
      <c r="E687" s="147">
        <f>F4Ax!E687+F4Bx!E686</f>
        <v>0</v>
      </c>
      <c r="F687" s="147">
        <f>F4Ax!F687+F4Bx!F686</f>
        <v>0</v>
      </c>
      <c r="G687" s="147">
        <f>F4Ax!G687+F4Bx!G686</f>
        <v>0</v>
      </c>
      <c r="H687" s="147">
        <f>F4Ax!H687+F4Bx!H686</f>
        <v>0</v>
      </c>
      <c r="I687" s="147">
        <f>F4Ax!I687+F4Bx!I686</f>
        <v>0</v>
      </c>
      <c r="J687" s="147">
        <f>F4Ax!J687+F4Bx!J686</f>
        <v>0</v>
      </c>
      <c r="K687" s="147">
        <f>F4Ax!K687+F4Bx!K686</f>
        <v>0</v>
      </c>
      <c r="L687" s="147">
        <f>F4Ax!L687+F4Bx!L686</f>
        <v>0</v>
      </c>
      <c r="M687" s="147">
        <f>F4Ax!M687+F4Bx!M686</f>
        <v>0</v>
      </c>
      <c r="N687" s="147">
        <f>F4Ax!N687+F4Bx!N686</f>
        <v>0</v>
      </c>
      <c r="O687" s="147">
        <f>F4Ax!O687+F4Bx!O686</f>
        <v>0</v>
      </c>
      <c r="P687" s="147">
        <f>F4Ax!P687+F4Bx!P686</f>
        <v>0</v>
      </c>
      <c r="Q687" s="316">
        <f t="shared" si="72"/>
        <v>0</v>
      </c>
    </row>
    <row r="688" ht="15" spans="3:17">
      <c r="C688" s="55"/>
      <c r="D688" s="55"/>
      <c r="E688" s="147">
        <f>F4Ax!E688+F4Bx!E687</f>
        <v>0</v>
      </c>
      <c r="F688" s="147">
        <f>F4Ax!F688+F4Bx!F687</f>
        <v>0</v>
      </c>
      <c r="G688" s="147">
        <f>F4Ax!G688+F4Bx!G687</f>
        <v>0</v>
      </c>
      <c r="H688" s="147">
        <f>F4Ax!H688+F4Bx!H687</f>
        <v>0</v>
      </c>
      <c r="I688" s="147">
        <f>F4Ax!I688+F4Bx!I687</f>
        <v>0</v>
      </c>
      <c r="J688" s="147">
        <f>F4Ax!J688+F4Bx!J687</f>
        <v>0</v>
      </c>
      <c r="K688" s="147">
        <f>F4Ax!K688+F4Bx!K687</f>
        <v>0</v>
      </c>
      <c r="L688" s="147">
        <f>F4Ax!L688+F4Bx!L687</f>
        <v>0</v>
      </c>
      <c r="M688" s="147">
        <f>F4Ax!M688+F4Bx!M687</f>
        <v>0</v>
      </c>
      <c r="N688" s="147">
        <f>F4Ax!N688+F4Bx!N687</f>
        <v>0</v>
      </c>
      <c r="O688" s="147">
        <f>F4Ax!O688+F4Bx!O687</f>
        <v>0</v>
      </c>
      <c r="P688" s="147">
        <f>F4Ax!P688+F4Bx!P687</f>
        <v>0</v>
      </c>
      <c r="Q688" s="316">
        <f t="shared" si="72"/>
        <v>0</v>
      </c>
    </row>
    <row r="689" ht="15" spans="3:17">
      <c r="C689" s="55"/>
      <c r="D689" s="55"/>
      <c r="E689" s="147">
        <f>F4Ax!E689+F4Bx!E688</f>
        <v>0</v>
      </c>
      <c r="F689" s="147">
        <f>F4Ax!F689+F4Bx!F688</f>
        <v>0</v>
      </c>
      <c r="G689" s="147">
        <f>F4Ax!G689+F4Bx!G688</f>
        <v>0</v>
      </c>
      <c r="H689" s="147">
        <f>F4Ax!H689+F4Bx!H688</f>
        <v>0</v>
      </c>
      <c r="I689" s="147">
        <f>F4Ax!I689+F4Bx!I688</f>
        <v>0</v>
      </c>
      <c r="J689" s="147">
        <f>F4Ax!J689+F4Bx!J688</f>
        <v>0</v>
      </c>
      <c r="K689" s="147">
        <f>F4Ax!K689+F4Bx!K688</f>
        <v>0</v>
      </c>
      <c r="L689" s="147">
        <f>F4Ax!L689+F4Bx!L688</f>
        <v>0</v>
      </c>
      <c r="M689" s="147">
        <f>F4Ax!M689+F4Bx!M688</f>
        <v>0</v>
      </c>
      <c r="N689" s="147">
        <f>F4Ax!N689+F4Bx!N688</f>
        <v>0</v>
      </c>
      <c r="O689" s="147">
        <f>F4Ax!O689+F4Bx!O688</f>
        <v>0</v>
      </c>
      <c r="P689" s="147">
        <f>F4Ax!P689+F4Bx!P688</f>
        <v>0</v>
      </c>
      <c r="Q689" s="316">
        <f t="shared" si="72"/>
        <v>0</v>
      </c>
    </row>
    <row r="690" ht="15" spans="3:17">
      <c r="C690" s="55" t="s">
        <v>258</v>
      </c>
      <c r="D690" s="55" t="s">
        <v>258</v>
      </c>
      <c r="E690" s="147">
        <f>F4Ax!E690+F4Bx!E689</f>
        <v>0</v>
      </c>
      <c r="F690" s="147">
        <f>F4Ax!F690+F4Bx!F689</f>
        <v>0</v>
      </c>
      <c r="G690" s="147">
        <f>F4Ax!G690+F4Bx!G689</f>
        <v>0</v>
      </c>
      <c r="H690" s="147">
        <f>F4Ax!H690+F4Bx!H689</f>
        <v>0</v>
      </c>
      <c r="I690" s="147">
        <f>F4Ax!I690+F4Bx!I689</f>
        <v>0</v>
      </c>
      <c r="J690" s="147">
        <f>F4Ax!J690+F4Bx!J689</f>
        <v>0</v>
      </c>
      <c r="K690" s="147">
        <f>F4Ax!K690+F4Bx!K689</f>
        <v>0</v>
      </c>
      <c r="L690" s="147">
        <f>F4Ax!L690+F4Bx!L689</f>
        <v>0</v>
      </c>
      <c r="M690" s="147">
        <f>F4Ax!M690+F4Bx!M689</f>
        <v>0</v>
      </c>
      <c r="N690" s="147">
        <f>F4Ax!N690+F4Bx!N689</f>
        <v>0</v>
      </c>
      <c r="O690" s="147">
        <f>F4Ax!O690+F4Bx!O689</f>
        <v>0</v>
      </c>
      <c r="P690" s="147">
        <f>F4Ax!P690+F4Bx!P689</f>
        <v>0</v>
      </c>
      <c r="Q690" s="316">
        <f t="shared" si="72"/>
        <v>0</v>
      </c>
    </row>
    <row r="691" ht="15" spans="3:17">
      <c r="C691" s="537" t="s">
        <v>189</v>
      </c>
      <c r="D691" s="540"/>
      <c r="E691" s="316">
        <f t="shared" ref="E691:P691" si="73">SUM(E678:E690)</f>
        <v>0</v>
      </c>
      <c r="F691" s="316">
        <f t="shared" si="73"/>
        <v>0</v>
      </c>
      <c r="G691" s="316">
        <f t="shared" si="73"/>
        <v>0</v>
      </c>
      <c r="H691" s="316">
        <f t="shared" si="73"/>
        <v>0</v>
      </c>
      <c r="I691" s="316">
        <f t="shared" si="73"/>
        <v>0</v>
      </c>
      <c r="J691" s="316">
        <f t="shared" si="73"/>
        <v>0</v>
      </c>
      <c r="K691" s="316">
        <f t="shared" si="73"/>
        <v>0</v>
      </c>
      <c r="L691" s="316">
        <f t="shared" si="73"/>
        <v>0</v>
      </c>
      <c r="M691" s="316">
        <f t="shared" si="73"/>
        <v>0</v>
      </c>
      <c r="N691" s="316">
        <f t="shared" si="73"/>
        <v>0</v>
      </c>
      <c r="O691" s="316">
        <f t="shared" si="73"/>
        <v>0</v>
      </c>
      <c r="P691" s="316">
        <f t="shared" si="73"/>
        <v>0</v>
      </c>
      <c r="Q691" s="316">
        <f t="shared" si="72"/>
        <v>0</v>
      </c>
    </row>
    <row r="692" ht="15" spans="3:17">
      <c r="C692" s="44" t="s">
        <v>190</v>
      </c>
      <c r="D692" s="45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316">
        <f t="shared" si="72"/>
        <v>0</v>
      </c>
    </row>
    <row r="693" ht="15" spans="3:17">
      <c r="C693" s="55" t="s">
        <v>191</v>
      </c>
      <c r="D693" s="55" t="s">
        <v>192</v>
      </c>
      <c r="E693" s="147">
        <f>F4Ax!E693+F4Bx!E692</f>
        <v>0</v>
      </c>
      <c r="F693" s="147">
        <f>F4Ax!F693+F4Bx!F692</f>
        <v>0</v>
      </c>
      <c r="G693" s="147">
        <f>F4Ax!G693+F4Bx!G692</f>
        <v>0</v>
      </c>
      <c r="H693" s="147">
        <f>F4Ax!H693+F4Bx!H692</f>
        <v>0</v>
      </c>
      <c r="I693" s="147">
        <f>F4Ax!I693+F4Bx!I692</f>
        <v>0</v>
      </c>
      <c r="J693" s="147">
        <f>F4Ax!J693+F4Bx!J692</f>
        <v>0</v>
      </c>
      <c r="K693" s="147">
        <f>F4Ax!K693+F4Bx!K692</f>
        <v>0</v>
      </c>
      <c r="L693" s="147">
        <f>F4Ax!L693+F4Bx!L692</f>
        <v>0</v>
      </c>
      <c r="M693" s="147">
        <f>F4Ax!M693+F4Bx!M692</f>
        <v>0</v>
      </c>
      <c r="N693" s="147">
        <f>F4Ax!N693+F4Bx!N692</f>
        <v>0</v>
      </c>
      <c r="O693" s="147">
        <f>F4Ax!O693+F4Bx!O692</f>
        <v>0</v>
      </c>
      <c r="P693" s="147">
        <f>F4Ax!P693+F4Bx!P692</f>
        <v>0</v>
      </c>
      <c r="Q693" s="316">
        <f t="shared" si="72"/>
        <v>0</v>
      </c>
    </row>
    <row r="694" ht="15" spans="3:17">
      <c r="C694" s="55" t="s">
        <v>193</v>
      </c>
      <c r="D694" s="55" t="s">
        <v>194</v>
      </c>
      <c r="E694" s="147">
        <f>F4Ax!E694+F4Bx!E693</f>
        <v>0</v>
      </c>
      <c r="F694" s="147">
        <f>F4Ax!F694+F4Bx!F693</f>
        <v>0</v>
      </c>
      <c r="G694" s="147">
        <f>F4Ax!G694+F4Bx!G693</f>
        <v>0</v>
      </c>
      <c r="H694" s="147">
        <f>F4Ax!H694+F4Bx!H693</f>
        <v>0</v>
      </c>
      <c r="I694" s="147">
        <f>F4Ax!I694+F4Bx!I693</f>
        <v>0</v>
      </c>
      <c r="J694" s="147">
        <f>F4Ax!J694+F4Bx!J693</f>
        <v>0</v>
      </c>
      <c r="K694" s="147">
        <f>F4Ax!K694+F4Bx!K693</f>
        <v>0</v>
      </c>
      <c r="L694" s="147">
        <f>F4Ax!L694+F4Bx!L693</f>
        <v>0</v>
      </c>
      <c r="M694" s="147">
        <f>F4Ax!M694+F4Bx!M693</f>
        <v>0</v>
      </c>
      <c r="N694" s="147">
        <f>F4Ax!N694+F4Bx!N693</f>
        <v>0</v>
      </c>
      <c r="O694" s="147">
        <f>F4Ax!O694+F4Bx!O693</f>
        <v>0</v>
      </c>
      <c r="P694" s="147">
        <f>F4Ax!P694+F4Bx!P693</f>
        <v>0</v>
      </c>
      <c r="Q694" s="316">
        <f t="shared" si="72"/>
        <v>0</v>
      </c>
    </row>
    <row r="695" ht="15" spans="3:17">
      <c r="C695" s="55" t="s">
        <v>239</v>
      </c>
      <c r="D695" s="55" t="s">
        <v>196</v>
      </c>
      <c r="E695" s="147">
        <f>F4Ax!E695+F4Bx!E694</f>
        <v>0</v>
      </c>
      <c r="F695" s="147">
        <f>F4Ax!F695+F4Bx!F694</f>
        <v>0</v>
      </c>
      <c r="G695" s="147">
        <f>F4Ax!G695+F4Bx!G694</f>
        <v>0</v>
      </c>
      <c r="H695" s="147">
        <f>F4Ax!H695+F4Bx!H694</f>
        <v>0</v>
      </c>
      <c r="I695" s="147">
        <f>F4Ax!I695+F4Bx!I694</f>
        <v>0</v>
      </c>
      <c r="J695" s="147">
        <f>F4Ax!J695+F4Bx!J694</f>
        <v>0</v>
      </c>
      <c r="K695" s="147">
        <f>F4Ax!K695+F4Bx!K694</f>
        <v>0</v>
      </c>
      <c r="L695" s="147">
        <f>F4Ax!L695+F4Bx!L694</f>
        <v>0</v>
      </c>
      <c r="M695" s="147">
        <f>F4Ax!M695+F4Bx!M694</f>
        <v>0</v>
      </c>
      <c r="N695" s="147">
        <f>F4Ax!N695+F4Bx!N694</f>
        <v>0</v>
      </c>
      <c r="O695" s="147">
        <f>F4Ax!O695+F4Bx!O694</f>
        <v>0</v>
      </c>
      <c r="P695" s="147">
        <f>F4Ax!P695+F4Bx!P694</f>
        <v>0</v>
      </c>
      <c r="Q695" s="316">
        <f t="shared" si="72"/>
        <v>0</v>
      </c>
    </row>
    <row r="696" ht="15" spans="3:17">
      <c r="C696" s="55" t="s">
        <v>197</v>
      </c>
      <c r="D696" s="55" t="s">
        <v>198</v>
      </c>
      <c r="E696" s="147">
        <f>F4Ax!E696+F4Bx!E695</f>
        <v>0</v>
      </c>
      <c r="F696" s="147">
        <f>F4Ax!F696+F4Bx!F695</f>
        <v>0</v>
      </c>
      <c r="G696" s="147">
        <f>F4Ax!G696+F4Bx!G695</f>
        <v>0</v>
      </c>
      <c r="H696" s="147">
        <f>F4Ax!H696+F4Bx!H695</f>
        <v>0</v>
      </c>
      <c r="I696" s="147">
        <f>F4Ax!I696+F4Bx!I695</f>
        <v>0</v>
      </c>
      <c r="J696" s="147">
        <f>F4Ax!J696+F4Bx!J695</f>
        <v>0</v>
      </c>
      <c r="K696" s="147">
        <f>F4Ax!K696+F4Bx!K695</f>
        <v>0</v>
      </c>
      <c r="L696" s="147">
        <f>F4Ax!L696+F4Bx!L695</f>
        <v>0</v>
      </c>
      <c r="M696" s="147">
        <f>F4Ax!M696+F4Bx!M695</f>
        <v>0</v>
      </c>
      <c r="N696" s="147">
        <f>F4Ax!N696+F4Bx!N695</f>
        <v>0</v>
      </c>
      <c r="O696" s="147">
        <f>F4Ax!O696+F4Bx!O695</f>
        <v>0</v>
      </c>
      <c r="P696" s="147">
        <f>F4Ax!P696+F4Bx!P695</f>
        <v>0</v>
      </c>
      <c r="Q696" s="316">
        <f t="shared" si="72"/>
        <v>0</v>
      </c>
    </row>
    <row r="697" ht="15" spans="3:17">
      <c r="C697" s="55" t="s">
        <v>199</v>
      </c>
      <c r="D697" s="55" t="s">
        <v>200</v>
      </c>
      <c r="E697" s="147">
        <f>F4Ax!E697+F4Bx!E696</f>
        <v>0</v>
      </c>
      <c r="F697" s="147">
        <f>F4Ax!F697+F4Bx!F696</f>
        <v>0</v>
      </c>
      <c r="G697" s="147">
        <f>F4Ax!G697+F4Bx!G696</f>
        <v>0</v>
      </c>
      <c r="H697" s="147">
        <f>F4Ax!H697+F4Bx!H696</f>
        <v>0</v>
      </c>
      <c r="I697" s="147">
        <f>F4Ax!I697+F4Bx!I696</f>
        <v>0</v>
      </c>
      <c r="J697" s="147">
        <f>F4Ax!J697+F4Bx!J696</f>
        <v>0</v>
      </c>
      <c r="K697" s="147">
        <f>F4Ax!K697+F4Bx!K696</f>
        <v>0</v>
      </c>
      <c r="L697" s="147">
        <f>F4Ax!L697+F4Bx!L696</f>
        <v>0</v>
      </c>
      <c r="M697" s="147">
        <f>F4Ax!M697+F4Bx!M696</f>
        <v>0</v>
      </c>
      <c r="N697" s="147">
        <f>F4Ax!N697+F4Bx!N696</f>
        <v>0</v>
      </c>
      <c r="O697" s="147">
        <f>F4Ax!O697+F4Bx!O696</f>
        <v>0</v>
      </c>
      <c r="P697" s="147">
        <f>F4Ax!P697+F4Bx!P696</f>
        <v>0</v>
      </c>
      <c r="Q697" s="316">
        <f t="shared" si="72"/>
        <v>0</v>
      </c>
    </row>
    <row r="698" ht="15" spans="3:17">
      <c r="C698" s="55" t="s">
        <v>201</v>
      </c>
      <c r="D698" s="55" t="s">
        <v>202</v>
      </c>
      <c r="E698" s="147">
        <f>F4Ax!E698+F4Bx!E697</f>
        <v>0</v>
      </c>
      <c r="F698" s="147">
        <f>F4Ax!F698+F4Bx!F697</f>
        <v>0</v>
      </c>
      <c r="G698" s="147">
        <f>F4Ax!G698+F4Bx!G697</f>
        <v>0</v>
      </c>
      <c r="H698" s="147">
        <f>F4Ax!H698+F4Bx!H697</f>
        <v>0</v>
      </c>
      <c r="I698" s="147">
        <f>F4Ax!I698+F4Bx!I697</f>
        <v>0</v>
      </c>
      <c r="J698" s="147">
        <f>F4Ax!J698+F4Bx!J697</f>
        <v>0</v>
      </c>
      <c r="K698" s="147">
        <f>F4Ax!K698+F4Bx!K697</f>
        <v>0</v>
      </c>
      <c r="L698" s="147">
        <f>F4Ax!L698+F4Bx!L697</f>
        <v>0</v>
      </c>
      <c r="M698" s="147">
        <f>F4Ax!M698+F4Bx!M697</f>
        <v>0</v>
      </c>
      <c r="N698" s="147">
        <f>F4Ax!N698+F4Bx!N697</f>
        <v>0</v>
      </c>
      <c r="O698" s="147">
        <f>F4Ax!O698+F4Bx!O697</f>
        <v>0</v>
      </c>
      <c r="P698" s="147">
        <f>F4Ax!P698+F4Bx!P697</f>
        <v>0</v>
      </c>
      <c r="Q698" s="316">
        <f t="shared" si="72"/>
        <v>0</v>
      </c>
    </row>
    <row r="699" ht="15" spans="3:17">
      <c r="C699" s="55" t="s">
        <v>203</v>
      </c>
      <c r="D699" s="55" t="s">
        <v>204</v>
      </c>
      <c r="E699" s="147">
        <f>F4Ax!E699+F4Bx!E698</f>
        <v>0</v>
      </c>
      <c r="F699" s="147">
        <f>F4Ax!F699+F4Bx!F698</f>
        <v>0</v>
      </c>
      <c r="G699" s="147">
        <f>F4Ax!G699+F4Bx!G698</f>
        <v>0</v>
      </c>
      <c r="H699" s="147">
        <f>F4Ax!H699+F4Bx!H698</f>
        <v>0</v>
      </c>
      <c r="I699" s="147">
        <f>F4Ax!I699+F4Bx!I698</f>
        <v>0</v>
      </c>
      <c r="J699" s="147">
        <f>F4Ax!J699+F4Bx!J698</f>
        <v>0</v>
      </c>
      <c r="K699" s="147">
        <f>F4Ax!K699+F4Bx!K698</f>
        <v>0</v>
      </c>
      <c r="L699" s="147">
        <f>F4Ax!L699+F4Bx!L698</f>
        <v>0</v>
      </c>
      <c r="M699" s="147">
        <f>F4Ax!M699+F4Bx!M698</f>
        <v>0</v>
      </c>
      <c r="N699" s="147">
        <f>F4Ax!N699+F4Bx!N698</f>
        <v>0</v>
      </c>
      <c r="O699" s="147">
        <f>F4Ax!O699+F4Bx!O698</f>
        <v>0</v>
      </c>
      <c r="P699" s="147">
        <f>F4Ax!P699+F4Bx!P698</f>
        <v>0</v>
      </c>
      <c r="Q699" s="316">
        <f t="shared" si="72"/>
        <v>0</v>
      </c>
    </row>
    <row r="700" ht="15" spans="3:17">
      <c r="C700" s="55" t="s">
        <v>205</v>
      </c>
      <c r="D700" s="55" t="s">
        <v>206</v>
      </c>
      <c r="E700" s="147">
        <f>F4Ax!E700+F4Bx!E699</f>
        <v>0</v>
      </c>
      <c r="F700" s="147">
        <f>F4Ax!F700+F4Bx!F699</f>
        <v>0</v>
      </c>
      <c r="G700" s="147">
        <f>F4Ax!G700+F4Bx!G699</f>
        <v>0</v>
      </c>
      <c r="H700" s="147">
        <f>F4Ax!H700+F4Bx!H699</f>
        <v>0</v>
      </c>
      <c r="I700" s="147">
        <f>F4Ax!I700+F4Bx!I699</f>
        <v>0</v>
      </c>
      <c r="J700" s="147">
        <f>F4Ax!J700+F4Bx!J699</f>
        <v>0</v>
      </c>
      <c r="K700" s="147">
        <f>F4Ax!K700+F4Bx!K699</f>
        <v>0</v>
      </c>
      <c r="L700" s="147">
        <f>F4Ax!L700+F4Bx!L699</f>
        <v>0</v>
      </c>
      <c r="M700" s="147">
        <f>F4Ax!M700+F4Bx!M699</f>
        <v>0</v>
      </c>
      <c r="N700" s="147">
        <f>F4Ax!N700+F4Bx!N699</f>
        <v>0</v>
      </c>
      <c r="O700" s="147">
        <f>F4Ax!O700+F4Bx!O699</f>
        <v>0</v>
      </c>
      <c r="P700" s="147">
        <f>F4Ax!P700+F4Bx!P699</f>
        <v>0</v>
      </c>
      <c r="Q700" s="316">
        <f t="shared" si="72"/>
        <v>0</v>
      </c>
    </row>
    <row r="701" ht="15" spans="3:17">
      <c r="C701" s="55" t="s">
        <v>207</v>
      </c>
      <c r="D701" s="55" t="s">
        <v>186</v>
      </c>
      <c r="E701" s="147">
        <f>F4Ax!E701+F4Bx!E700</f>
        <v>0</v>
      </c>
      <c r="F701" s="147">
        <f>F4Ax!F701+F4Bx!F700</f>
        <v>0</v>
      </c>
      <c r="G701" s="147">
        <f>F4Ax!G701+F4Bx!G700</f>
        <v>0</v>
      </c>
      <c r="H701" s="147">
        <f>F4Ax!H701+F4Bx!H700</f>
        <v>0</v>
      </c>
      <c r="I701" s="147">
        <f>F4Ax!I701+F4Bx!I700</f>
        <v>0</v>
      </c>
      <c r="J701" s="147">
        <f>F4Ax!J701+F4Bx!J700</f>
        <v>0</v>
      </c>
      <c r="K701" s="147">
        <f>F4Ax!K701+F4Bx!K700</f>
        <v>0</v>
      </c>
      <c r="L701" s="147">
        <f>F4Ax!L701+F4Bx!L700</f>
        <v>0</v>
      </c>
      <c r="M701" s="147">
        <f>F4Ax!M701+F4Bx!M700</f>
        <v>0</v>
      </c>
      <c r="N701" s="147">
        <f>F4Ax!N701+F4Bx!N700</f>
        <v>0</v>
      </c>
      <c r="O701" s="147">
        <f>F4Ax!O701+F4Bx!O700</f>
        <v>0</v>
      </c>
      <c r="P701" s="147">
        <f>F4Ax!P701+F4Bx!P700</f>
        <v>0</v>
      </c>
      <c r="Q701" s="316">
        <f t="shared" si="72"/>
        <v>0</v>
      </c>
    </row>
    <row r="702" ht="15" spans="3:17">
      <c r="C702" s="55" t="s">
        <v>208</v>
      </c>
      <c r="D702" s="55" t="s">
        <v>209</v>
      </c>
      <c r="E702" s="147">
        <f>F4Ax!E702+F4Bx!E701</f>
        <v>0</v>
      </c>
      <c r="F702" s="147">
        <f>F4Ax!F702+F4Bx!F701</f>
        <v>0</v>
      </c>
      <c r="G702" s="147">
        <f>F4Ax!G702+F4Bx!G701</f>
        <v>0</v>
      </c>
      <c r="H702" s="147">
        <f>F4Ax!H702+F4Bx!H701</f>
        <v>0</v>
      </c>
      <c r="I702" s="147">
        <f>F4Ax!I702+F4Bx!I701</f>
        <v>0</v>
      </c>
      <c r="J702" s="147">
        <f>F4Ax!J702+F4Bx!J701</f>
        <v>0</v>
      </c>
      <c r="K702" s="147">
        <f>F4Ax!K702+F4Bx!K701</f>
        <v>0</v>
      </c>
      <c r="L702" s="147">
        <f>F4Ax!L702+F4Bx!L701</f>
        <v>0</v>
      </c>
      <c r="M702" s="147">
        <f>F4Ax!M702+F4Bx!M701</f>
        <v>0</v>
      </c>
      <c r="N702" s="147">
        <f>F4Ax!N702+F4Bx!N701</f>
        <v>0</v>
      </c>
      <c r="O702" s="147">
        <f>F4Ax!O702+F4Bx!O701</f>
        <v>0</v>
      </c>
      <c r="P702" s="147">
        <f>F4Ax!P702+F4Bx!P701</f>
        <v>0</v>
      </c>
      <c r="Q702" s="316">
        <f t="shared" si="72"/>
        <v>0</v>
      </c>
    </row>
    <row r="703" ht="15" spans="3:17">
      <c r="C703" s="55" t="s">
        <v>210</v>
      </c>
      <c r="D703" s="55" t="s">
        <v>188</v>
      </c>
      <c r="E703" s="147">
        <f>F4Ax!E703+F4Bx!E702</f>
        <v>0</v>
      </c>
      <c r="F703" s="147">
        <f>F4Ax!F703+F4Bx!F702</f>
        <v>0</v>
      </c>
      <c r="G703" s="147">
        <f>F4Ax!G703+F4Bx!G702</f>
        <v>0</v>
      </c>
      <c r="H703" s="147">
        <f>F4Ax!H703+F4Bx!H702</f>
        <v>0</v>
      </c>
      <c r="I703" s="147">
        <f>F4Ax!I703+F4Bx!I702</f>
        <v>0</v>
      </c>
      <c r="J703" s="147">
        <f>F4Ax!J703+F4Bx!J702</f>
        <v>0</v>
      </c>
      <c r="K703" s="147">
        <f>F4Ax!K703+F4Bx!K702</f>
        <v>0</v>
      </c>
      <c r="L703" s="147">
        <f>F4Ax!L703+F4Bx!L702</f>
        <v>0</v>
      </c>
      <c r="M703" s="147">
        <f>F4Ax!M703+F4Bx!M702</f>
        <v>0</v>
      </c>
      <c r="N703" s="147">
        <f>F4Ax!N703+F4Bx!N702</f>
        <v>0</v>
      </c>
      <c r="O703" s="147">
        <f>F4Ax!O703+F4Bx!O702</f>
        <v>0</v>
      </c>
      <c r="P703" s="147">
        <f>F4Ax!P703+F4Bx!P702</f>
        <v>0</v>
      </c>
      <c r="Q703" s="316">
        <f t="shared" si="72"/>
        <v>0</v>
      </c>
    </row>
    <row r="704" ht="15" spans="3:17">
      <c r="C704" s="55"/>
      <c r="D704" s="55"/>
      <c r="E704" s="147">
        <f>F4Ax!E704+F4Bx!E703</f>
        <v>0</v>
      </c>
      <c r="F704" s="147">
        <f>F4Ax!F704+F4Bx!F703</f>
        <v>0</v>
      </c>
      <c r="G704" s="147">
        <f>F4Ax!G704+F4Bx!G703</f>
        <v>0</v>
      </c>
      <c r="H704" s="147">
        <f>F4Ax!H704+F4Bx!H703</f>
        <v>0</v>
      </c>
      <c r="I704" s="147">
        <f>F4Ax!I704+F4Bx!I703</f>
        <v>0</v>
      </c>
      <c r="J704" s="147">
        <f>F4Ax!J704+F4Bx!J703</f>
        <v>0</v>
      </c>
      <c r="K704" s="147">
        <f>F4Ax!K704+F4Bx!K703</f>
        <v>0</v>
      </c>
      <c r="L704" s="147">
        <f>F4Ax!L704+F4Bx!L703</f>
        <v>0</v>
      </c>
      <c r="M704" s="147">
        <f>F4Ax!M704+F4Bx!M703</f>
        <v>0</v>
      </c>
      <c r="N704" s="147">
        <f>F4Ax!N704+F4Bx!N703</f>
        <v>0</v>
      </c>
      <c r="O704" s="147">
        <f>F4Ax!O704+F4Bx!O703</f>
        <v>0</v>
      </c>
      <c r="P704" s="147">
        <f>F4Ax!P704+F4Bx!P703</f>
        <v>0</v>
      </c>
      <c r="Q704" s="316">
        <f t="shared" si="72"/>
        <v>0</v>
      </c>
    </row>
    <row r="705" ht="15" spans="3:17">
      <c r="C705" s="55"/>
      <c r="D705" s="55"/>
      <c r="E705" s="147">
        <f>F4Ax!E705+F4Bx!E704</f>
        <v>0</v>
      </c>
      <c r="F705" s="147">
        <f>F4Ax!F705+F4Bx!F704</f>
        <v>0</v>
      </c>
      <c r="G705" s="147">
        <f>F4Ax!G705+F4Bx!G704</f>
        <v>0</v>
      </c>
      <c r="H705" s="147">
        <f>F4Ax!H705+F4Bx!H704</f>
        <v>0</v>
      </c>
      <c r="I705" s="147">
        <f>F4Ax!I705+F4Bx!I704</f>
        <v>0</v>
      </c>
      <c r="J705" s="147">
        <f>F4Ax!J705+F4Bx!J704</f>
        <v>0</v>
      </c>
      <c r="K705" s="147">
        <f>F4Ax!K705+F4Bx!K704</f>
        <v>0</v>
      </c>
      <c r="L705" s="147">
        <f>F4Ax!L705+F4Bx!L704</f>
        <v>0</v>
      </c>
      <c r="M705" s="147">
        <f>F4Ax!M705+F4Bx!M704</f>
        <v>0</v>
      </c>
      <c r="N705" s="147">
        <f>F4Ax!N705+F4Bx!N704</f>
        <v>0</v>
      </c>
      <c r="O705" s="147">
        <f>F4Ax!O705+F4Bx!O704</f>
        <v>0</v>
      </c>
      <c r="P705" s="147">
        <f>F4Ax!P705+F4Bx!P704</f>
        <v>0</v>
      </c>
      <c r="Q705" s="316">
        <f t="shared" si="72"/>
        <v>0</v>
      </c>
    </row>
    <row r="706" ht="15" spans="3:17">
      <c r="C706" s="55"/>
      <c r="D706" s="55"/>
      <c r="E706" s="147">
        <f>F4Ax!E706+F4Bx!E705</f>
        <v>0</v>
      </c>
      <c r="F706" s="147">
        <f>F4Ax!F706+F4Bx!F705</f>
        <v>0</v>
      </c>
      <c r="G706" s="147">
        <f>F4Ax!G706+F4Bx!G705</f>
        <v>0</v>
      </c>
      <c r="H706" s="147">
        <f>F4Ax!H706+F4Bx!H705</f>
        <v>0</v>
      </c>
      <c r="I706" s="147">
        <f>F4Ax!I706+F4Bx!I705</f>
        <v>0</v>
      </c>
      <c r="J706" s="147">
        <f>F4Ax!J706+F4Bx!J705</f>
        <v>0</v>
      </c>
      <c r="K706" s="147">
        <f>F4Ax!K706+F4Bx!K705</f>
        <v>0</v>
      </c>
      <c r="L706" s="147">
        <f>F4Ax!L706+F4Bx!L705</f>
        <v>0</v>
      </c>
      <c r="M706" s="147">
        <f>F4Ax!M706+F4Bx!M705</f>
        <v>0</v>
      </c>
      <c r="N706" s="147">
        <f>F4Ax!N706+F4Bx!N705</f>
        <v>0</v>
      </c>
      <c r="O706" s="147">
        <f>F4Ax!O706+F4Bx!O705</f>
        <v>0</v>
      </c>
      <c r="P706" s="147">
        <f>F4Ax!P706+F4Bx!P705</f>
        <v>0</v>
      </c>
      <c r="Q706" s="316">
        <f t="shared" si="72"/>
        <v>0</v>
      </c>
    </row>
    <row r="707" ht="15" spans="3:17">
      <c r="C707" s="55" t="s">
        <v>258</v>
      </c>
      <c r="D707" s="55" t="s">
        <v>258</v>
      </c>
      <c r="E707" s="147">
        <f>F4Ax!E707+F4Bx!E706</f>
        <v>0</v>
      </c>
      <c r="F707" s="147">
        <f>F4Ax!F707+F4Bx!F706</f>
        <v>0</v>
      </c>
      <c r="G707" s="147">
        <f>F4Ax!G707+F4Bx!G706</f>
        <v>0</v>
      </c>
      <c r="H707" s="147">
        <f>F4Ax!H707+F4Bx!H706</f>
        <v>0</v>
      </c>
      <c r="I707" s="147">
        <f>F4Ax!I707+F4Bx!I706</f>
        <v>0</v>
      </c>
      <c r="J707" s="147">
        <f>F4Ax!J707+F4Bx!J706</f>
        <v>0</v>
      </c>
      <c r="K707" s="147">
        <f>F4Ax!K707+F4Bx!K706</f>
        <v>0</v>
      </c>
      <c r="L707" s="147">
        <f>F4Ax!L707+F4Bx!L706</f>
        <v>0</v>
      </c>
      <c r="M707" s="147">
        <f>F4Ax!M707+F4Bx!M706</f>
        <v>0</v>
      </c>
      <c r="N707" s="147">
        <f>F4Ax!N707+F4Bx!N706</f>
        <v>0</v>
      </c>
      <c r="O707" s="147">
        <f>F4Ax!O707+F4Bx!O706</f>
        <v>0</v>
      </c>
      <c r="P707" s="147">
        <f>F4Ax!P707+F4Bx!P706</f>
        <v>0</v>
      </c>
      <c r="Q707" s="316">
        <f t="shared" si="72"/>
        <v>0</v>
      </c>
    </row>
    <row r="708" ht="15" spans="3:17">
      <c r="C708" s="537" t="s">
        <v>211</v>
      </c>
      <c r="D708" s="540"/>
      <c r="E708" s="316">
        <f t="shared" ref="E708:P708" si="74">SUM(E693:E707)</f>
        <v>0</v>
      </c>
      <c r="F708" s="316">
        <f t="shared" si="74"/>
        <v>0</v>
      </c>
      <c r="G708" s="316">
        <f t="shared" si="74"/>
        <v>0</v>
      </c>
      <c r="H708" s="316">
        <f t="shared" si="74"/>
        <v>0</v>
      </c>
      <c r="I708" s="316">
        <f t="shared" si="74"/>
        <v>0</v>
      </c>
      <c r="J708" s="316">
        <f t="shared" si="74"/>
        <v>0</v>
      </c>
      <c r="K708" s="316">
        <f t="shared" si="74"/>
        <v>0</v>
      </c>
      <c r="L708" s="316">
        <f t="shared" si="74"/>
        <v>0</v>
      </c>
      <c r="M708" s="316">
        <f t="shared" si="74"/>
        <v>0</v>
      </c>
      <c r="N708" s="316">
        <f t="shared" si="74"/>
        <v>0</v>
      </c>
      <c r="O708" s="316">
        <f t="shared" si="74"/>
        <v>0</v>
      </c>
      <c r="P708" s="316">
        <f t="shared" si="74"/>
        <v>0</v>
      </c>
      <c r="Q708" s="316">
        <f t="shared" si="72"/>
        <v>0</v>
      </c>
    </row>
    <row r="709" ht="15" spans="3:17">
      <c r="C709" s="44" t="s">
        <v>212</v>
      </c>
      <c r="D709" s="45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316">
        <f t="shared" ref="Q709:Q740" si="75">SUM(E709:P709)</f>
        <v>0</v>
      </c>
    </row>
    <row r="710" ht="15" spans="3:17">
      <c r="C710" s="55" t="s">
        <v>191</v>
      </c>
      <c r="D710" s="55" t="s">
        <v>192</v>
      </c>
      <c r="E710" s="147">
        <f>F4Ax!E710+F4Bx!E709</f>
        <v>0</v>
      </c>
      <c r="F710" s="147">
        <f>F4Ax!F710+F4Bx!F709</f>
        <v>0</v>
      </c>
      <c r="G710" s="147">
        <f>F4Ax!G710+F4Bx!G709</f>
        <v>0</v>
      </c>
      <c r="H710" s="147">
        <f>F4Ax!H710+F4Bx!H709</f>
        <v>0</v>
      </c>
      <c r="I710" s="147">
        <f>F4Ax!I710+F4Bx!I709</f>
        <v>0</v>
      </c>
      <c r="J710" s="147">
        <f>F4Ax!J710+F4Bx!J709</f>
        <v>0</v>
      </c>
      <c r="K710" s="147">
        <f>F4Ax!K710+F4Bx!K709</f>
        <v>0</v>
      </c>
      <c r="L710" s="147">
        <f>F4Ax!L710+F4Bx!L709</f>
        <v>0</v>
      </c>
      <c r="M710" s="147">
        <f>F4Ax!M710+F4Bx!M709</f>
        <v>0</v>
      </c>
      <c r="N710" s="147">
        <f>F4Ax!N710+F4Bx!N709</f>
        <v>0</v>
      </c>
      <c r="O710" s="147">
        <f>F4Ax!O710+F4Bx!O709</f>
        <v>0</v>
      </c>
      <c r="P710" s="147">
        <f>F4Ax!P710+F4Bx!P709</f>
        <v>0</v>
      </c>
      <c r="Q710" s="316">
        <f t="shared" si="75"/>
        <v>0</v>
      </c>
    </row>
    <row r="711" ht="15" spans="3:17">
      <c r="C711" s="55" t="s">
        <v>193</v>
      </c>
      <c r="D711" s="55" t="s">
        <v>194</v>
      </c>
      <c r="E711" s="147">
        <f>F4Ax!E711+F4Bx!E710</f>
        <v>0</v>
      </c>
      <c r="F711" s="147">
        <f>F4Ax!F711+F4Bx!F710</f>
        <v>0</v>
      </c>
      <c r="G711" s="147">
        <f>F4Ax!G711+F4Bx!G710</f>
        <v>0</v>
      </c>
      <c r="H711" s="147">
        <f>F4Ax!H711+F4Bx!H710</f>
        <v>0</v>
      </c>
      <c r="I711" s="147">
        <f>F4Ax!I711+F4Bx!I710</f>
        <v>0</v>
      </c>
      <c r="J711" s="147">
        <f>F4Ax!J711+F4Bx!J710</f>
        <v>0</v>
      </c>
      <c r="K711" s="147">
        <f>F4Ax!K711+F4Bx!K710</f>
        <v>0</v>
      </c>
      <c r="L711" s="147">
        <f>F4Ax!L711+F4Bx!L710</f>
        <v>0</v>
      </c>
      <c r="M711" s="147">
        <f>F4Ax!M711+F4Bx!M710</f>
        <v>0</v>
      </c>
      <c r="N711" s="147">
        <f>F4Ax!N711+F4Bx!N710</f>
        <v>0</v>
      </c>
      <c r="O711" s="147">
        <f>F4Ax!O711+F4Bx!O710</f>
        <v>0</v>
      </c>
      <c r="P711" s="147">
        <f>F4Ax!P711+F4Bx!P710</f>
        <v>0</v>
      </c>
      <c r="Q711" s="316">
        <f t="shared" si="75"/>
        <v>0</v>
      </c>
    </row>
    <row r="712" ht="15" spans="3:17">
      <c r="C712" s="55" t="s">
        <v>239</v>
      </c>
      <c r="D712" s="55" t="s">
        <v>196</v>
      </c>
      <c r="E712" s="147">
        <f>F4Ax!E712+F4Bx!E711</f>
        <v>0</v>
      </c>
      <c r="F712" s="147">
        <f>F4Ax!F712+F4Bx!F711</f>
        <v>0</v>
      </c>
      <c r="G712" s="147">
        <f>F4Ax!G712+F4Bx!G711</f>
        <v>0</v>
      </c>
      <c r="H712" s="147">
        <f>F4Ax!H712+F4Bx!H711</f>
        <v>0</v>
      </c>
      <c r="I712" s="147">
        <f>F4Ax!I712+F4Bx!I711</f>
        <v>0</v>
      </c>
      <c r="J712" s="147">
        <f>F4Ax!J712+F4Bx!J711</f>
        <v>0</v>
      </c>
      <c r="K712" s="147">
        <f>F4Ax!K712+F4Bx!K711</f>
        <v>0</v>
      </c>
      <c r="L712" s="147">
        <f>F4Ax!L712+F4Bx!L711</f>
        <v>0</v>
      </c>
      <c r="M712" s="147">
        <f>F4Ax!M712+F4Bx!M711</f>
        <v>0</v>
      </c>
      <c r="N712" s="147">
        <f>F4Ax!N712+F4Bx!N711</f>
        <v>0</v>
      </c>
      <c r="O712" s="147">
        <f>F4Ax!O712+F4Bx!O711</f>
        <v>0</v>
      </c>
      <c r="P712" s="147">
        <f>F4Ax!P712+F4Bx!P711</f>
        <v>0</v>
      </c>
      <c r="Q712" s="316">
        <f t="shared" si="75"/>
        <v>0</v>
      </c>
    </row>
    <row r="713" ht="15" spans="3:17">
      <c r="C713" s="55" t="s">
        <v>197</v>
      </c>
      <c r="D713" s="55" t="s">
        <v>198</v>
      </c>
      <c r="E713" s="147">
        <f>F4Ax!E713+F4Bx!E712</f>
        <v>0</v>
      </c>
      <c r="F713" s="147">
        <f>F4Ax!F713+F4Bx!F712</f>
        <v>0</v>
      </c>
      <c r="G713" s="147">
        <f>F4Ax!G713+F4Bx!G712</f>
        <v>0</v>
      </c>
      <c r="H713" s="147">
        <f>F4Ax!H713+F4Bx!H712</f>
        <v>0</v>
      </c>
      <c r="I713" s="147">
        <f>F4Ax!I713+F4Bx!I712</f>
        <v>0</v>
      </c>
      <c r="J713" s="147">
        <f>F4Ax!J713+F4Bx!J712</f>
        <v>0</v>
      </c>
      <c r="K713" s="147">
        <f>F4Ax!K713+F4Bx!K712</f>
        <v>0</v>
      </c>
      <c r="L713" s="147">
        <f>F4Ax!L713+F4Bx!L712</f>
        <v>0</v>
      </c>
      <c r="M713" s="147">
        <f>F4Ax!M713+F4Bx!M712</f>
        <v>0</v>
      </c>
      <c r="N713" s="147">
        <f>F4Ax!N713+F4Bx!N712</f>
        <v>0</v>
      </c>
      <c r="O713" s="147">
        <f>F4Ax!O713+F4Bx!O712</f>
        <v>0</v>
      </c>
      <c r="P713" s="147">
        <f>F4Ax!P713+F4Bx!P712</f>
        <v>0</v>
      </c>
      <c r="Q713" s="316">
        <f t="shared" si="75"/>
        <v>0</v>
      </c>
    </row>
    <row r="714" ht="15" spans="3:17">
      <c r="C714" s="55" t="s">
        <v>199</v>
      </c>
      <c r="D714" s="55" t="s">
        <v>200</v>
      </c>
      <c r="E714" s="147">
        <f>F4Ax!E714+F4Bx!E713</f>
        <v>0</v>
      </c>
      <c r="F714" s="147">
        <f>F4Ax!F714+F4Bx!F713</f>
        <v>0</v>
      </c>
      <c r="G714" s="147">
        <f>F4Ax!G714+F4Bx!G713</f>
        <v>0</v>
      </c>
      <c r="H714" s="147">
        <f>F4Ax!H714+F4Bx!H713</f>
        <v>0</v>
      </c>
      <c r="I714" s="147">
        <f>F4Ax!I714+F4Bx!I713</f>
        <v>0</v>
      </c>
      <c r="J714" s="147">
        <f>F4Ax!J714+F4Bx!J713</f>
        <v>0</v>
      </c>
      <c r="K714" s="147">
        <f>F4Ax!K714+F4Bx!K713</f>
        <v>0</v>
      </c>
      <c r="L714" s="147">
        <f>F4Ax!L714+F4Bx!L713</f>
        <v>0</v>
      </c>
      <c r="M714" s="147">
        <f>F4Ax!M714+F4Bx!M713</f>
        <v>0</v>
      </c>
      <c r="N714" s="147">
        <f>F4Ax!N714+F4Bx!N713</f>
        <v>0</v>
      </c>
      <c r="O714" s="147">
        <f>F4Ax!O714+F4Bx!O713</f>
        <v>0</v>
      </c>
      <c r="P714" s="147">
        <f>F4Ax!P714+F4Bx!P713</f>
        <v>0</v>
      </c>
      <c r="Q714" s="316">
        <f t="shared" si="75"/>
        <v>0</v>
      </c>
    </row>
    <row r="715" ht="15" spans="3:17">
      <c r="C715" s="55" t="s">
        <v>201</v>
      </c>
      <c r="D715" s="55" t="s">
        <v>202</v>
      </c>
      <c r="E715" s="147">
        <f>F4Ax!E715+F4Bx!E714</f>
        <v>0</v>
      </c>
      <c r="F715" s="147">
        <f>F4Ax!F715+F4Bx!F714</f>
        <v>0</v>
      </c>
      <c r="G715" s="147">
        <f>F4Ax!G715+F4Bx!G714</f>
        <v>0</v>
      </c>
      <c r="H715" s="147">
        <f>F4Ax!H715+F4Bx!H714</f>
        <v>0</v>
      </c>
      <c r="I715" s="147">
        <f>F4Ax!I715+F4Bx!I714</f>
        <v>0</v>
      </c>
      <c r="J715" s="147">
        <f>F4Ax!J715+F4Bx!J714</f>
        <v>0</v>
      </c>
      <c r="K715" s="147">
        <f>F4Ax!K715+F4Bx!K714</f>
        <v>0</v>
      </c>
      <c r="L715" s="147">
        <f>F4Ax!L715+F4Bx!L714</f>
        <v>0</v>
      </c>
      <c r="M715" s="147">
        <f>F4Ax!M715+F4Bx!M714</f>
        <v>0</v>
      </c>
      <c r="N715" s="147">
        <f>F4Ax!N715+F4Bx!N714</f>
        <v>0</v>
      </c>
      <c r="O715" s="147">
        <f>F4Ax!O715+F4Bx!O714</f>
        <v>0</v>
      </c>
      <c r="P715" s="147">
        <f>F4Ax!P715+F4Bx!P714</f>
        <v>0</v>
      </c>
      <c r="Q715" s="316">
        <f t="shared" si="75"/>
        <v>0</v>
      </c>
    </row>
    <row r="716" ht="15" spans="3:17">
      <c r="C716" s="55" t="s">
        <v>203</v>
      </c>
      <c r="D716" s="55" t="s">
        <v>204</v>
      </c>
      <c r="E716" s="147">
        <f>F4Ax!E716+F4Bx!E715</f>
        <v>0</v>
      </c>
      <c r="F716" s="147">
        <f>F4Ax!F716+F4Bx!F715</f>
        <v>0</v>
      </c>
      <c r="G716" s="147">
        <f>F4Ax!G716+F4Bx!G715</f>
        <v>0</v>
      </c>
      <c r="H716" s="147">
        <f>F4Ax!H716+F4Bx!H715</f>
        <v>0</v>
      </c>
      <c r="I716" s="147">
        <f>F4Ax!I716+F4Bx!I715</f>
        <v>0</v>
      </c>
      <c r="J716" s="147">
        <f>F4Ax!J716+F4Bx!J715</f>
        <v>0</v>
      </c>
      <c r="K716" s="147">
        <f>F4Ax!K716+F4Bx!K715</f>
        <v>0</v>
      </c>
      <c r="L716" s="147">
        <f>F4Ax!L716+F4Bx!L715</f>
        <v>0</v>
      </c>
      <c r="M716" s="147">
        <f>F4Ax!M716+F4Bx!M715</f>
        <v>0</v>
      </c>
      <c r="N716" s="147">
        <f>F4Ax!N716+F4Bx!N715</f>
        <v>0</v>
      </c>
      <c r="O716" s="147">
        <f>F4Ax!O716+F4Bx!O715</f>
        <v>0</v>
      </c>
      <c r="P716" s="147">
        <f>F4Ax!P716+F4Bx!P715</f>
        <v>0</v>
      </c>
      <c r="Q716" s="316">
        <f t="shared" si="75"/>
        <v>0</v>
      </c>
    </row>
    <row r="717" ht="15" spans="3:17">
      <c r="C717" s="55" t="s">
        <v>205</v>
      </c>
      <c r="D717" s="55" t="s">
        <v>206</v>
      </c>
      <c r="E717" s="147">
        <f>F4Ax!E717+F4Bx!E716</f>
        <v>0</v>
      </c>
      <c r="F717" s="147">
        <f>F4Ax!F717+F4Bx!F716</f>
        <v>0</v>
      </c>
      <c r="G717" s="147">
        <f>F4Ax!G717+F4Bx!G716</f>
        <v>0</v>
      </c>
      <c r="H717" s="147">
        <f>F4Ax!H717+F4Bx!H716</f>
        <v>0</v>
      </c>
      <c r="I717" s="147">
        <f>F4Ax!I717+F4Bx!I716</f>
        <v>0</v>
      </c>
      <c r="J717" s="147">
        <f>F4Ax!J717+F4Bx!J716</f>
        <v>0</v>
      </c>
      <c r="K717" s="147">
        <f>F4Ax!K717+F4Bx!K716</f>
        <v>0</v>
      </c>
      <c r="L717" s="147">
        <f>F4Ax!L717+F4Bx!L716</f>
        <v>0</v>
      </c>
      <c r="M717" s="147">
        <f>F4Ax!M717+F4Bx!M716</f>
        <v>0</v>
      </c>
      <c r="N717" s="147">
        <f>F4Ax!N717+F4Bx!N716</f>
        <v>0</v>
      </c>
      <c r="O717" s="147">
        <f>F4Ax!O717+F4Bx!O716</f>
        <v>0</v>
      </c>
      <c r="P717" s="147">
        <f>F4Ax!P717+F4Bx!P716</f>
        <v>0</v>
      </c>
      <c r="Q717" s="316">
        <f t="shared" si="75"/>
        <v>0</v>
      </c>
    </row>
    <row r="718" ht="15" spans="3:17">
      <c r="C718" s="55" t="s">
        <v>231</v>
      </c>
      <c r="D718" s="55" t="s">
        <v>186</v>
      </c>
      <c r="E718" s="147">
        <f>F4Ax!E718+F4Bx!E717</f>
        <v>0</v>
      </c>
      <c r="F718" s="147">
        <f>F4Ax!F718+F4Bx!F717</f>
        <v>0</v>
      </c>
      <c r="G718" s="147">
        <f>F4Ax!G718+F4Bx!G717</f>
        <v>0</v>
      </c>
      <c r="H718" s="147">
        <f>F4Ax!H718+F4Bx!H717</f>
        <v>0</v>
      </c>
      <c r="I718" s="147">
        <f>F4Ax!I718+F4Bx!I717</f>
        <v>0</v>
      </c>
      <c r="J718" s="147">
        <f>F4Ax!J718+F4Bx!J717</f>
        <v>0</v>
      </c>
      <c r="K718" s="147">
        <f>F4Ax!K718+F4Bx!K717</f>
        <v>0</v>
      </c>
      <c r="L718" s="147">
        <f>F4Ax!L718+F4Bx!L717</f>
        <v>0</v>
      </c>
      <c r="M718" s="147">
        <f>F4Ax!M718+F4Bx!M717</f>
        <v>0</v>
      </c>
      <c r="N718" s="147">
        <f>F4Ax!N718+F4Bx!N717</f>
        <v>0</v>
      </c>
      <c r="O718" s="147">
        <f>F4Ax!O718+F4Bx!O717</f>
        <v>0</v>
      </c>
      <c r="P718" s="147">
        <f>F4Ax!P718+F4Bx!P717</f>
        <v>0</v>
      </c>
      <c r="Q718" s="316">
        <f t="shared" si="75"/>
        <v>0</v>
      </c>
    </row>
    <row r="719" ht="15" spans="3:17">
      <c r="C719" s="55" t="s">
        <v>208</v>
      </c>
      <c r="D719" s="55" t="s">
        <v>209</v>
      </c>
      <c r="E719" s="147">
        <f>F4Ax!E719+F4Bx!E718</f>
        <v>0</v>
      </c>
      <c r="F719" s="147">
        <f>F4Ax!F719+F4Bx!F718</f>
        <v>0</v>
      </c>
      <c r="G719" s="147">
        <f>F4Ax!G719+F4Bx!G718</f>
        <v>0</v>
      </c>
      <c r="H719" s="147">
        <f>F4Ax!H719+F4Bx!H718</f>
        <v>0</v>
      </c>
      <c r="I719" s="147">
        <f>F4Ax!I719+F4Bx!I718</f>
        <v>0</v>
      </c>
      <c r="J719" s="147">
        <f>F4Ax!J719+F4Bx!J718</f>
        <v>0</v>
      </c>
      <c r="K719" s="147">
        <f>F4Ax!K719+F4Bx!K718</f>
        <v>0</v>
      </c>
      <c r="L719" s="147">
        <f>F4Ax!L719+F4Bx!L718</f>
        <v>0</v>
      </c>
      <c r="M719" s="147">
        <f>F4Ax!M719+F4Bx!M718</f>
        <v>0</v>
      </c>
      <c r="N719" s="147">
        <f>F4Ax!N719+F4Bx!N718</f>
        <v>0</v>
      </c>
      <c r="O719" s="147">
        <f>F4Ax!O719+F4Bx!O718</f>
        <v>0</v>
      </c>
      <c r="P719" s="147">
        <f>F4Ax!P719+F4Bx!P718</f>
        <v>0</v>
      </c>
      <c r="Q719" s="316">
        <f t="shared" si="75"/>
        <v>0</v>
      </c>
    </row>
    <row r="720" ht="15" spans="3:17">
      <c r="C720" s="55" t="s">
        <v>210</v>
      </c>
      <c r="D720" s="55" t="s">
        <v>188</v>
      </c>
      <c r="E720" s="147">
        <f>F4Ax!E720+F4Bx!E719</f>
        <v>0</v>
      </c>
      <c r="F720" s="147">
        <f>F4Ax!F720+F4Bx!F719</f>
        <v>0</v>
      </c>
      <c r="G720" s="147">
        <f>F4Ax!G720+F4Bx!G719</f>
        <v>0</v>
      </c>
      <c r="H720" s="147">
        <f>F4Ax!H720+F4Bx!H719</f>
        <v>0</v>
      </c>
      <c r="I720" s="147">
        <f>F4Ax!I720+F4Bx!I719</f>
        <v>0</v>
      </c>
      <c r="J720" s="147">
        <f>F4Ax!J720+F4Bx!J719</f>
        <v>0</v>
      </c>
      <c r="K720" s="147">
        <f>F4Ax!K720+F4Bx!K719</f>
        <v>0</v>
      </c>
      <c r="L720" s="147">
        <f>F4Ax!L720+F4Bx!L719</f>
        <v>0</v>
      </c>
      <c r="M720" s="147">
        <f>F4Ax!M720+F4Bx!M719</f>
        <v>0</v>
      </c>
      <c r="N720" s="147">
        <f>F4Ax!N720+F4Bx!N719</f>
        <v>0</v>
      </c>
      <c r="O720" s="147">
        <f>F4Ax!O720+F4Bx!O719</f>
        <v>0</v>
      </c>
      <c r="P720" s="147">
        <f>F4Ax!P720+F4Bx!P719</f>
        <v>0</v>
      </c>
      <c r="Q720" s="316">
        <f t="shared" si="75"/>
        <v>0</v>
      </c>
    </row>
    <row r="721" ht="15" spans="3:17">
      <c r="C721" s="55"/>
      <c r="D721" s="55"/>
      <c r="E721" s="147">
        <f>F4Ax!E721+F4Bx!E720</f>
        <v>0</v>
      </c>
      <c r="F721" s="147">
        <f>F4Ax!F721+F4Bx!F720</f>
        <v>0</v>
      </c>
      <c r="G721" s="147">
        <f>F4Ax!G721+F4Bx!G720</f>
        <v>0</v>
      </c>
      <c r="H721" s="147">
        <f>F4Ax!H721+F4Bx!H720</f>
        <v>0</v>
      </c>
      <c r="I721" s="147">
        <f>F4Ax!I721+F4Bx!I720</f>
        <v>0</v>
      </c>
      <c r="J721" s="147">
        <f>F4Ax!J721+F4Bx!J720</f>
        <v>0</v>
      </c>
      <c r="K721" s="147">
        <f>F4Ax!K721+F4Bx!K720</f>
        <v>0</v>
      </c>
      <c r="L721" s="147">
        <f>F4Ax!L721+F4Bx!L720</f>
        <v>0</v>
      </c>
      <c r="M721" s="147">
        <f>F4Ax!M721+F4Bx!M720</f>
        <v>0</v>
      </c>
      <c r="N721" s="147">
        <f>F4Ax!N721+F4Bx!N720</f>
        <v>0</v>
      </c>
      <c r="O721" s="147">
        <f>F4Ax!O721+F4Bx!O720</f>
        <v>0</v>
      </c>
      <c r="P721" s="147">
        <f>F4Ax!P721+F4Bx!P720</f>
        <v>0</v>
      </c>
      <c r="Q721" s="316">
        <f t="shared" si="75"/>
        <v>0</v>
      </c>
    </row>
    <row r="722" ht="15" spans="3:17">
      <c r="C722" s="55"/>
      <c r="D722" s="55"/>
      <c r="E722" s="147">
        <f>F4Ax!E722+F4Bx!E721</f>
        <v>0</v>
      </c>
      <c r="F722" s="147">
        <f>F4Ax!F722+F4Bx!F721</f>
        <v>0</v>
      </c>
      <c r="G722" s="147">
        <f>F4Ax!G722+F4Bx!G721</f>
        <v>0</v>
      </c>
      <c r="H722" s="147">
        <f>F4Ax!H722+F4Bx!H721</f>
        <v>0</v>
      </c>
      <c r="I722" s="147">
        <f>F4Ax!I722+F4Bx!I721</f>
        <v>0</v>
      </c>
      <c r="J722" s="147">
        <f>F4Ax!J722+F4Bx!J721</f>
        <v>0</v>
      </c>
      <c r="K722" s="147">
        <f>F4Ax!K722+F4Bx!K721</f>
        <v>0</v>
      </c>
      <c r="L722" s="147">
        <f>F4Ax!L722+F4Bx!L721</f>
        <v>0</v>
      </c>
      <c r="M722" s="147">
        <f>F4Ax!M722+F4Bx!M721</f>
        <v>0</v>
      </c>
      <c r="N722" s="147">
        <f>F4Ax!N722+F4Bx!N721</f>
        <v>0</v>
      </c>
      <c r="O722" s="147">
        <f>F4Ax!O722+F4Bx!O721</f>
        <v>0</v>
      </c>
      <c r="P722" s="147">
        <f>F4Ax!P722+F4Bx!P721</f>
        <v>0</v>
      </c>
      <c r="Q722" s="316">
        <f t="shared" si="75"/>
        <v>0</v>
      </c>
    </row>
    <row r="723" ht="15" spans="3:17">
      <c r="C723" s="55"/>
      <c r="D723" s="55"/>
      <c r="E723" s="147">
        <f>F4Ax!E723+F4Bx!E722</f>
        <v>0</v>
      </c>
      <c r="F723" s="147">
        <f>F4Ax!F723+F4Bx!F722</f>
        <v>0</v>
      </c>
      <c r="G723" s="147">
        <f>F4Ax!G723+F4Bx!G722</f>
        <v>0</v>
      </c>
      <c r="H723" s="147">
        <f>F4Ax!H723+F4Bx!H722</f>
        <v>0</v>
      </c>
      <c r="I723" s="147">
        <f>F4Ax!I723+F4Bx!I722</f>
        <v>0</v>
      </c>
      <c r="J723" s="147">
        <f>F4Ax!J723+F4Bx!J722</f>
        <v>0</v>
      </c>
      <c r="K723" s="147">
        <f>F4Ax!K723+F4Bx!K722</f>
        <v>0</v>
      </c>
      <c r="L723" s="147">
        <f>F4Ax!L723+F4Bx!L722</f>
        <v>0</v>
      </c>
      <c r="M723" s="147">
        <f>F4Ax!M723+F4Bx!M722</f>
        <v>0</v>
      </c>
      <c r="N723" s="147">
        <f>F4Ax!N723+F4Bx!N722</f>
        <v>0</v>
      </c>
      <c r="O723" s="147">
        <f>F4Ax!O723+F4Bx!O722</f>
        <v>0</v>
      </c>
      <c r="P723" s="147">
        <f>F4Ax!P723+F4Bx!P722</f>
        <v>0</v>
      </c>
      <c r="Q723" s="316">
        <f t="shared" si="75"/>
        <v>0</v>
      </c>
    </row>
    <row r="724" ht="15" spans="3:17">
      <c r="C724" s="55" t="s">
        <v>258</v>
      </c>
      <c r="D724" s="55" t="s">
        <v>258</v>
      </c>
      <c r="E724" s="147">
        <f>F4Ax!E724+F4Bx!E723</f>
        <v>0</v>
      </c>
      <c r="F724" s="147">
        <f>F4Ax!F724+F4Bx!F723</f>
        <v>0</v>
      </c>
      <c r="G724" s="147">
        <f>F4Ax!G724+F4Bx!G723</f>
        <v>0</v>
      </c>
      <c r="H724" s="147">
        <f>F4Ax!H724+F4Bx!H723</f>
        <v>0</v>
      </c>
      <c r="I724" s="147">
        <f>F4Ax!I724+F4Bx!I723</f>
        <v>0</v>
      </c>
      <c r="J724" s="147">
        <f>F4Ax!J724+F4Bx!J723</f>
        <v>0</v>
      </c>
      <c r="K724" s="147">
        <f>F4Ax!K724+F4Bx!K723</f>
        <v>0</v>
      </c>
      <c r="L724" s="147">
        <f>F4Ax!L724+F4Bx!L723</f>
        <v>0</v>
      </c>
      <c r="M724" s="147">
        <f>F4Ax!M724+F4Bx!M723</f>
        <v>0</v>
      </c>
      <c r="N724" s="147">
        <f>F4Ax!N724+F4Bx!N723</f>
        <v>0</v>
      </c>
      <c r="O724" s="147">
        <f>F4Ax!O724+F4Bx!O723</f>
        <v>0</v>
      </c>
      <c r="P724" s="147">
        <f>F4Ax!P724+F4Bx!P723</f>
        <v>0</v>
      </c>
      <c r="Q724" s="316">
        <f t="shared" si="75"/>
        <v>0</v>
      </c>
    </row>
    <row r="725" ht="15" spans="3:17">
      <c r="C725" s="537" t="s">
        <v>211</v>
      </c>
      <c r="D725" s="540"/>
      <c r="E725" s="316">
        <f t="shared" ref="E725:P725" si="76">SUM(E710:E724)</f>
        <v>0</v>
      </c>
      <c r="F725" s="316">
        <f t="shared" si="76"/>
        <v>0</v>
      </c>
      <c r="G725" s="316">
        <f t="shared" si="76"/>
        <v>0</v>
      </c>
      <c r="H725" s="316">
        <f t="shared" si="76"/>
        <v>0</v>
      </c>
      <c r="I725" s="316">
        <f t="shared" si="76"/>
        <v>0</v>
      </c>
      <c r="J725" s="316">
        <f t="shared" si="76"/>
        <v>0</v>
      </c>
      <c r="K725" s="316">
        <f t="shared" si="76"/>
        <v>0</v>
      </c>
      <c r="L725" s="316">
        <f t="shared" si="76"/>
        <v>0</v>
      </c>
      <c r="M725" s="316">
        <f t="shared" si="76"/>
        <v>0</v>
      </c>
      <c r="N725" s="316">
        <f t="shared" si="76"/>
        <v>0</v>
      </c>
      <c r="O725" s="316">
        <f t="shared" si="76"/>
        <v>0</v>
      </c>
      <c r="P725" s="316">
        <f t="shared" si="76"/>
        <v>0</v>
      </c>
      <c r="Q725" s="316">
        <f t="shared" si="75"/>
        <v>0</v>
      </c>
    </row>
    <row r="726" ht="15" spans="3:17">
      <c r="C726" s="44" t="s">
        <v>219</v>
      </c>
      <c r="D726" s="45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316">
        <f t="shared" si="75"/>
        <v>0</v>
      </c>
    </row>
    <row r="727" ht="15" spans="3:17">
      <c r="C727" s="55" t="s">
        <v>191</v>
      </c>
      <c r="D727" s="55" t="s">
        <v>192</v>
      </c>
      <c r="E727" s="147">
        <f>F4Ax!E727+F4Bx!E726</f>
        <v>0</v>
      </c>
      <c r="F727" s="147">
        <f>F4Ax!F727+F4Bx!F726</f>
        <v>0</v>
      </c>
      <c r="G727" s="147">
        <f>F4Ax!G727+F4Bx!G726</f>
        <v>0</v>
      </c>
      <c r="H727" s="147">
        <f>F4Ax!H727+F4Bx!H726</f>
        <v>0</v>
      </c>
      <c r="I727" s="147">
        <f>F4Ax!I727+F4Bx!I726</f>
        <v>0</v>
      </c>
      <c r="J727" s="147">
        <f>F4Ax!J727+F4Bx!J726</f>
        <v>0</v>
      </c>
      <c r="K727" s="147">
        <f>F4Ax!K727+F4Bx!K726</f>
        <v>0</v>
      </c>
      <c r="L727" s="147">
        <f>F4Ax!L727+F4Bx!L726</f>
        <v>0</v>
      </c>
      <c r="M727" s="147">
        <f>F4Ax!M727+F4Bx!M726</f>
        <v>0</v>
      </c>
      <c r="N727" s="147">
        <f>F4Ax!N727+F4Bx!N726</f>
        <v>0</v>
      </c>
      <c r="O727" s="147">
        <f>F4Ax!O727+F4Bx!O726</f>
        <v>0</v>
      </c>
      <c r="P727" s="147">
        <f>F4Ax!P727+F4Bx!P726</f>
        <v>0</v>
      </c>
      <c r="Q727" s="316">
        <f t="shared" si="75"/>
        <v>0</v>
      </c>
    </row>
    <row r="728" ht="15" spans="3:17">
      <c r="C728" s="55" t="s">
        <v>193</v>
      </c>
      <c r="D728" s="55" t="s">
        <v>194</v>
      </c>
      <c r="E728" s="147">
        <f>F4Ax!E728+F4Bx!E727</f>
        <v>0</v>
      </c>
      <c r="F728" s="147">
        <f>F4Ax!F728+F4Bx!F727</f>
        <v>0</v>
      </c>
      <c r="G728" s="147">
        <f>F4Ax!G728+F4Bx!G727</f>
        <v>0</v>
      </c>
      <c r="H728" s="147">
        <f>F4Ax!H728+F4Bx!H727</f>
        <v>0</v>
      </c>
      <c r="I728" s="147">
        <f>F4Ax!I728+F4Bx!I727</f>
        <v>0</v>
      </c>
      <c r="J728" s="147">
        <f>F4Ax!J728+F4Bx!J727</f>
        <v>0</v>
      </c>
      <c r="K728" s="147">
        <f>F4Ax!K728+F4Bx!K727</f>
        <v>0</v>
      </c>
      <c r="L728" s="147">
        <f>F4Ax!L728+F4Bx!L727</f>
        <v>0</v>
      </c>
      <c r="M728" s="147">
        <f>F4Ax!M728+F4Bx!M727</f>
        <v>0</v>
      </c>
      <c r="N728" s="147">
        <f>F4Ax!N728+F4Bx!N727</f>
        <v>0</v>
      </c>
      <c r="O728" s="147">
        <f>F4Ax!O728+F4Bx!O727</f>
        <v>0</v>
      </c>
      <c r="P728" s="147">
        <f>F4Ax!P728+F4Bx!P727</f>
        <v>0</v>
      </c>
      <c r="Q728" s="316">
        <f t="shared" si="75"/>
        <v>0</v>
      </c>
    </row>
    <row r="729" ht="15" spans="3:17">
      <c r="C729" s="55" t="s">
        <v>239</v>
      </c>
      <c r="D729" s="55" t="s">
        <v>196</v>
      </c>
      <c r="E729" s="147">
        <f>F4Ax!E729+F4Bx!E728</f>
        <v>0</v>
      </c>
      <c r="F729" s="147">
        <f>F4Ax!F729+F4Bx!F728</f>
        <v>0</v>
      </c>
      <c r="G729" s="147">
        <f>F4Ax!G729+F4Bx!G728</f>
        <v>0</v>
      </c>
      <c r="H729" s="147">
        <f>F4Ax!H729+F4Bx!H728</f>
        <v>0</v>
      </c>
      <c r="I729" s="147">
        <f>F4Ax!I729+F4Bx!I728</f>
        <v>0</v>
      </c>
      <c r="J729" s="147">
        <f>F4Ax!J729+F4Bx!J728</f>
        <v>0</v>
      </c>
      <c r="K729" s="147">
        <f>F4Ax!K729+F4Bx!K728</f>
        <v>0</v>
      </c>
      <c r="L729" s="147">
        <f>F4Ax!L729+F4Bx!L728</f>
        <v>0</v>
      </c>
      <c r="M729" s="147">
        <f>F4Ax!M729+F4Bx!M728</f>
        <v>0</v>
      </c>
      <c r="N729" s="147">
        <f>F4Ax!N729+F4Bx!N728</f>
        <v>0</v>
      </c>
      <c r="O729" s="147">
        <f>F4Ax!O729+F4Bx!O728</f>
        <v>0</v>
      </c>
      <c r="P729" s="147">
        <f>F4Ax!P729+F4Bx!P728</f>
        <v>0</v>
      </c>
      <c r="Q729" s="316">
        <f t="shared" si="75"/>
        <v>0</v>
      </c>
    </row>
    <row r="730" ht="15" spans="3:17">
      <c r="C730" s="55" t="s">
        <v>197</v>
      </c>
      <c r="D730" s="55" t="s">
        <v>198</v>
      </c>
      <c r="E730" s="147">
        <f>F4Ax!E730+F4Bx!E729</f>
        <v>0</v>
      </c>
      <c r="F730" s="147">
        <f>F4Ax!F730+F4Bx!F729</f>
        <v>0</v>
      </c>
      <c r="G730" s="147">
        <f>F4Ax!G730+F4Bx!G729</f>
        <v>0</v>
      </c>
      <c r="H730" s="147">
        <f>F4Ax!H730+F4Bx!H729</f>
        <v>0</v>
      </c>
      <c r="I730" s="147">
        <f>F4Ax!I730+F4Bx!I729</f>
        <v>0</v>
      </c>
      <c r="J730" s="147">
        <f>F4Ax!J730+F4Bx!J729</f>
        <v>0</v>
      </c>
      <c r="K730" s="147">
        <f>F4Ax!K730+F4Bx!K729</f>
        <v>0</v>
      </c>
      <c r="L730" s="147">
        <f>F4Ax!L730+F4Bx!L729</f>
        <v>0</v>
      </c>
      <c r="M730" s="147">
        <f>F4Ax!M730+F4Bx!M729</f>
        <v>0</v>
      </c>
      <c r="N730" s="147">
        <f>F4Ax!N730+F4Bx!N729</f>
        <v>0</v>
      </c>
      <c r="O730" s="147">
        <f>F4Ax!O730+F4Bx!O729</f>
        <v>0</v>
      </c>
      <c r="P730" s="147">
        <f>F4Ax!P730+F4Bx!P729</f>
        <v>0</v>
      </c>
      <c r="Q730" s="316">
        <f t="shared" si="75"/>
        <v>0</v>
      </c>
    </row>
    <row r="731" ht="15" spans="3:17">
      <c r="C731" s="55" t="s">
        <v>199</v>
      </c>
      <c r="D731" s="55" t="s">
        <v>200</v>
      </c>
      <c r="E731" s="147">
        <f>F4Ax!E731+F4Bx!E730</f>
        <v>0</v>
      </c>
      <c r="F731" s="147">
        <f>F4Ax!F731+F4Bx!F730</f>
        <v>0</v>
      </c>
      <c r="G731" s="147">
        <f>F4Ax!G731+F4Bx!G730</f>
        <v>0</v>
      </c>
      <c r="H731" s="147">
        <f>F4Ax!H731+F4Bx!H730</f>
        <v>0</v>
      </c>
      <c r="I731" s="147">
        <f>F4Ax!I731+F4Bx!I730</f>
        <v>0</v>
      </c>
      <c r="J731" s="147">
        <f>F4Ax!J731+F4Bx!J730</f>
        <v>0</v>
      </c>
      <c r="K731" s="147">
        <f>F4Ax!K731+F4Bx!K730</f>
        <v>0</v>
      </c>
      <c r="L731" s="147">
        <f>F4Ax!L731+F4Bx!L730</f>
        <v>0</v>
      </c>
      <c r="M731" s="147">
        <f>F4Ax!M731+F4Bx!M730</f>
        <v>0</v>
      </c>
      <c r="N731" s="147">
        <f>F4Ax!N731+F4Bx!N730</f>
        <v>0</v>
      </c>
      <c r="O731" s="147">
        <f>F4Ax!O731+F4Bx!O730</f>
        <v>0</v>
      </c>
      <c r="P731" s="147">
        <f>F4Ax!P731+F4Bx!P730</f>
        <v>0</v>
      </c>
      <c r="Q731" s="316">
        <f t="shared" si="75"/>
        <v>0</v>
      </c>
    </row>
    <row r="732" ht="15" spans="3:17">
      <c r="C732" s="55" t="s">
        <v>201</v>
      </c>
      <c r="D732" s="55" t="s">
        <v>240</v>
      </c>
      <c r="E732" s="147">
        <f>F4Ax!E732+F4Bx!E731</f>
        <v>0</v>
      </c>
      <c r="F732" s="147">
        <f>F4Ax!F732+F4Bx!F731</f>
        <v>0</v>
      </c>
      <c r="G732" s="147">
        <f>F4Ax!G732+F4Bx!G731</f>
        <v>0</v>
      </c>
      <c r="H732" s="147">
        <f>F4Ax!H732+F4Bx!H731</f>
        <v>0</v>
      </c>
      <c r="I732" s="147">
        <f>F4Ax!I732+F4Bx!I731</f>
        <v>0</v>
      </c>
      <c r="J732" s="147">
        <f>F4Ax!J732+F4Bx!J731</f>
        <v>0</v>
      </c>
      <c r="K732" s="147">
        <f>F4Ax!K732+F4Bx!K731</f>
        <v>0</v>
      </c>
      <c r="L732" s="147">
        <f>F4Ax!L732+F4Bx!L731</f>
        <v>0</v>
      </c>
      <c r="M732" s="147">
        <f>F4Ax!M732+F4Bx!M731</f>
        <v>0</v>
      </c>
      <c r="N732" s="147">
        <f>F4Ax!N732+F4Bx!N731</f>
        <v>0</v>
      </c>
      <c r="O732" s="147">
        <f>F4Ax!O732+F4Bx!O731</f>
        <v>0</v>
      </c>
      <c r="P732" s="147">
        <f>F4Ax!P732+F4Bx!P731</f>
        <v>0</v>
      </c>
      <c r="Q732" s="316">
        <f t="shared" si="75"/>
        <v>0</v>
      </c>
    </row>
    <row r="733" ht="15" spans="3:17">
      <c r="C733" s="55" t="s">
        <v>203</v>
      </c>
      <c r="D733" s="55" t="s">
        <v>220</v>
      </c>
      <c r="E733" s="147">
        <f>F4Ax!E733+F4Bx!E732</f>
        <v>0</v>
      </c>
      <c r="F733" s="147">
        <f>F4Ax!F733+F4Bx!F732</f>
        <v>0</v>
      </c>
      <c r="G733" s="147">
        <f>F4Ax!G733+F4Bx!G732</f>
        <v>0</v>
      </c>
      <c r="H733" s="147">
        <f>F4Ax!H733+F4Bx!H732</f>
        <v>0</v>
      </c>
      <c r="I733" s="147">
        <f>F4Ax!I733+F4Bx!I732</f>
        <v>0</v>
      </c>
      <c r="J733" s="147">
        <f>F4Ax!J733+F4Bx!J732</f>
        <v>0</v>
      </c>
      <c r="K733" s="147">
        <f>F4Ax!K733+F4Bx!K732</f>
        <v>0</v>
      </c>
      <c r="L733" s="147">
        <f>F4Ax!L733+F4Bx!L732</f>
        <v>0</v>
      </c>
      <c r="M733" s="147">
        <f>F4Ax!M733+F4Bx!M732</f>
        <v>0</v>
      </c>
      <c r="N733" s="147">
        <f>F4Ax!N733+F4Bx!N732</f>
        <v>0</v>
      </c>
      <c r="O733" s="147">
        <f>F4Ax!O733+F4Bx!O732</f>
        <v>0</v>
      </c>
      <c r="P733" s="147">
        <f>F4Ax!P733+F4Bx!P732</f>
        <v>0</v>
      </c>
      <c r="Q733" s="316">
        <f t="shared" si="75"/>
        <v>0</v>
      </c>
    </row>
    <row r="734" ht="15" spans="3:17">
      <c r="C734" s="55" t="s">
        <v>241</v>
      </c>
      <c r="D734" s="55" t="s">
        <v>229</v>
      </c>
      <c r="E734" s="147">
        <f>F4Ax!E734+F4Bx!E733</f>
        <v>0</v>
      </c>
      <c r="F734" s="147">
        <f>F4Ax!F734+F4Bx!F733</f>
        <v>0</v>
      </c>
      <c r="G734" s="147">
        <f>F4Ax!G734+F4Bx!G733</f>
        <v>0</v>
      </c>
      <c r="H734" s="147">
        <f>F4Ax!H734+F4Bx!H733</f>
        <v>0</v>
      </c>
      <c r="I734" s="147">
        <f>F4Ax!I734+F4Bx!I733</f>
        <v>0</v>
      </c>
      <c r="J734" s="147">
        <f>F4Ax!J734+F4Bx!J733</f>
        <v>0</v>
      </c>
      <c r="K734" s="147">
        <f>F4Ax!K734+F4Bx!K733</f>
        <v>0</v>
      </c>
      <c r="L734" s="147">
        <f>F4Ax!L734+F4Bx!L733</f>
        <v>0</v>
      </c>
      <c r="M734" s="147">
        <f>F4Ax!M734+F4Bx!M733</f>
        <v>0</v>
      </c>
      <c r="N734" s="147">
        <f>F4Ax!N734+F4Bx!N733</f>
        <v>0</v>
      </c>
      <c r="O734" s="147">
        <f>F4Ax!O734+F4Bx!O733</f>
        <v>0</v>
      </c>
      <c r="P734" s="147">
        <f>F4Ax!P734+F4Bx!P733</f>
        <v>0</v>
      </c>
      <c r="Q734" s="316">
        <f t="shared" si="75"/>
        <v>0</v>
      </c>
    </row>
    <row r="735" ht="15" spans="3:17">
      <c r="C735" s="55" t="s">
        <v>259</v>
      </c>
      <c r="D735" s="55" t="s">
        <v>243</v>
      </c>
      <c r="E735" s="147">
        <f>F4Ax!E735+F4Bx!E734</f>
        <v>0</v>
      </c>
      <c r="F735" s="147">
        <f>F4Ax!F735+F4Bx!F734</f>
        <v>0</v>
      </c>
      <c r="G735" s="147">
        <f>F4Ax!G735+F4Bx!G734</f>
        <v>0</v>
      </c>
      <c r="H735" s="147">
        <f>F4Ax!H735+F4Bx!H734</f>
        <v>0</v>
      </c>
      <c r="I735" s="147">
        <f>F4Ax!I735+F4Bx!I734</f>
        <v>0</v>
      </c>
      <c r="J735" s="147">
        <f>F4Ax!J735+F4Bx!J734</f>
        <v>0</v>
      </c>
      <c r="K735" s="147">
        <f>F4Ax!K735+F4Bx!K734</f>
        <v>0</v>
      </c>
      <c r="L735" s="147">
        <f>F4Ax!L735+F4Bx!L734</f>
        <v>0</v>
      </c>
      <c r="M735" s="147">
        <f>F4Ax!M735+F4Bx!M734</f>
        <v>0</v>
      </c>
      <c r="N735" s="147">
        <f>F4Ax!N735+F4Bx!N734</f>
        <v>0</v>
      </c>
      <c r="O735" s="147">
        <f>F4Ax!O735+F4Bx!O734</f>
        <v>0</v>
      </c>
      <c r="P735" s="147">
        <f>F4Ax!P735+F4Bx!P734</f>
        <v>0</v>
      </c>
      <c r="Q735" s="316">
        <f t="shared" si="75"/>
        <v>0</v>
      </c>
    </row>
    <row r="736" ht="15" spans="3:17">
      <c r="C736" s="55" t="s">
        <v>205</v>
      </c>
      <c r="D736" s="55" t="s">
        <v>206</v>
      </c>
      <c r="E736" s="147">
        <f>F4Ax!E736+F4Bx!E735</f>
        <v>0</v>
      </c>
      <c r="F736" s="147">
        <f>F4Ax!F736+F4Bx!F735</f>
        <v>0</v>
      </c>
      <c r="G736" s="147">
        <f>F4Ax!G736+F4Bx!G735</f>
        <v>0</v>
      </c>
      <c r="H736" s="147">
        <f>F4Ax!H736+F4Bx!H735</f>
        <v>0</v>
      </c>
      <c r="I736" s="147">
        <f>F4Ax!I736+F4Bx!I735</f>
        <v>0</v>
      </c>
      <c r="J736" s="147">
        <f>F4Ax!J736+F4Bx!J735</f>
        <v>0</v>
      </c>
      <c r="K736" s="147">
        <f>F4Ax!K736+F4Bx!K735</f>
        <v>0</v>
      </c>
      <c r="L736" s="147">
        <f>F4Ax!L736+F4Bx!L735</f>
        <v>0</v>
      </c>
      <c r="M736" s="147">
        <f>F4Ax!M736+F4Bx!M735</f>
        <v>0</v>
      </c>
      <c r="N736" s="147">
        <f>F4Ax!N736+F4Bx!N735</f>
        <v>0</v>
      </c>
      <c r="O736" s="147">
        <f>F4Ax!O736+F4Bx!O735</f>
        <v>0</v>
      </c>
      <c r="P736" s="147">
        <f>F4Ax!P736+F4Bx!P735</f>
        <v>0</v>
      </c>
      <c r="Q736" s="316">
        <f t="shared" si="75"/>
        <v>0</v>
      </c>
    </row>
    <row r="737" ht="15" spans="3:17">
      <c r="C737" s="55" t="s">
        <v>207</v>
      </c>
      <c r="D737" s="55" t="s">
        <v>186</v>
      </c>
      <c r="E737" s="147">
        <f>F4Ax!E737+F4Bx!E736</f>
        <v>0</v>
      </c>
      <c r="F737" s="147">
        <f>F4Ax!F737+F4Bx!F736</f>
        <v>0</v>
      </c>
      <c r="G737" s="147">
        <f>F4Ax!G737+F4Bx!G736</f>
        <v>0</v>
      </c>
      <c r="H737" s="147">
        <f>F4Ax!H737+F4Bx!H736</f>
        <v>0</v>
      </c>
      <c r="I737" s="147">
        <f>F4Ax!I737+F4Bx!I736</f>
        <v>0</v>
      </c>
      <c r="J737" s="147">
        <f>F4Ax!J737+F4Bx!J736</f>
        <v>0</v>
      </c>
      <c r="K737" s="147">
        <f>F4Ax!K737+F4Bx!K736</f>
        <v>0</v>
      </c>
      <c r="L737" s="147">
        <f>F4Ax!L737+F4Bx!L736</f>
        <v>0</v>
      </c>
      <c r="M737" s="147">
        <f>F4Ax!M737+F4Bx!M736</f>
        <v>0</v>
      </c>
      <c r="N737" s="147">
        <f>F4Ax!N737+F4Bx!N736</f>
        <v>0</v>
      </c>
      <c r="O737" s="147">
        <f>F4Ax!O737+F4Bx!O736</f>
        <v>0</v>
      </c>
      <c r="P737" s="147">
        <f>F4Ax!P737+F4Bx!P736</f>
        <v>0</v>
      </c>
      <c r="Q737" s="316">
        <f t="shared" si="75"/>
        <v>0</v>
      </c>
    </row>
    <row r="738" ht="15" spans="3:17">
      <c r="C738" s="55" t="s">
        <v>208</v>
      </c>
      <c r="D738" s="55" t="s">
        <v>209</v>
      </c>
      <c r="E738" s="147">
        <f>F4Ax!E738+F4Bx!E737</f>
        <v>0</v>
      </c>
      <c r="F738" s="147">
        <f>F4Ax!F738+F4Bx!F737</f>
        <v>0</v>
      </c>
      <c r="G738" s="147">
        <f>F4Ax!G738+F4Bx!G737</f>
        <v>0</v>
      </c>
      <c r="H738" s="147">
        <f>F4Ax!H738+F4Bx!H737</f>
        <v>0</v>
      </c>
      <c r="I738" s="147">
        <f>F4Ax!I738+F4Bx!I737</f>
        <v>0</v>
      </c>
      <c r="J738" s="147">
        <f>F4Ax!J738+F4Bx!J737</f>
        <v>0</v>
      </c>
      <c r="K738" s="147">
        <f>F4Ax!K738+F4Bx!K737</f>
        <v>0</v>
      </c>
      <c r="L738" s="147">
        <f>F4Ax!L738+F4Bx!L737</f>
        <v>0</v>
      </c>
      <c r="M738" s="147">
        <f>F4Ax!M738+F4Bx!M737</f>
        <v>0</v>
      </c>
      <c r="N738" s="147">
        <f>F4Ax!N738+F4Bx!N737</f>
        <v>0</v>
      </c>
      <c r="O738" s="147">
        <f>F4Ax!O738+F4Bx!O737</f>
        <v>0</v>
      </c>
      <c r="P738" s="147">
        <f>F4Ax!P738+F4Bx!P737</f>
        <v>0</v>
      </c>
      <c r="Q738" s="316">
        <f t="shared" si="75"/>
        <v>0</v>
      </c>
    </row>
    <row r="739" ht="15" spans="3:17">
      <c r="C739" s="55" t="s">
        <v>210</v>
      </c>
      <c r="D739" s="55" t="s">
        <v>188</v>
      </c>
      <c r="E739" s="147">
        <f>F4Ax!E739+F4Bx!E738</f>
        <v>0</v>
      </c>
      <c r="F739" s="147">
        <f>F4Ax!F739+F4Bx!F738</f>
        <v>0</v>
      </c>
      <c r="G739" s="147">
        <f>F4Ax!G739+F4Bx!G738</f>
        <v>0</v>
      </c>
      <c r="H739" s="147">
        <f>F4Ax!H739+F4Bx!H738</f>
        <v>0</v>
      </c>
      <c r="I739" s="147">
        <f>F4Ax!I739+F4Bx!I738</f>
        <v>0</v>
      </c>
      <c r="J739" s="147">
        <f>F4Ax!J739+F4Bx!J738</f>
        <v>0</v>
      </c>
      <c r="K739" s="147">
        <f>F4Ax!K739+F4Bx!K738</f>
        <v>0</v>
      </c>
      <c r="L739" s="147">
        <f>F4Ax!L739+F4Bx!L738</f>
        <v>0</v>
      </c>
      <c r="M739" s="147">
        <f>F4Ax!M739+F4Bx!M738</f>
        <v>0</v>
      </c>
      <c r="N739" s="147">
        <f>F4Ax!N739+F4Bx!N738</f>
        <v>0</v>
      </c>
      <c r="O739" s="147">
        <f>F4Ax!O739+F4Bx!O738</f>
        <v>0</v>
      </c>
      <c r="P739" s="147">
        <f>F4Ax!P739+F4Bx!P738</f>
        <v>0</v>
      </c>
      <c r="Q739" s="316">
        <f t="shared" si="75"/>
        <v>0</v>
      </c>
    </row>
    <row r="740" ht="15" spans="3:17">
      <c r="C740" s="55"/>
      <c r="D740" s="55"/>
      <c r="E740" s="147">
        <f>F4Ax!E740+F4Bx!E739</f>
        <v>0</v>
      </c>
      <c r="F740" s="147">
        <f>F4Ax!F740+F4Bx!F739</f>
        <v>0</v>
      </c>
      <c r="G740" s="147">
        <f>F4Ax!G740+F4Bx!G739</f>
        <v>0</v>
      </c>
      <c r="H740" s="147">
        <f>F4Ax!H740+F4Bx!H739</f>
        <v>0</v>
      </c>
      <c r="I740" s="147">
        <f>F4Ax!I740+F4Bx!I739</f>
        <v>0</v>
      </c>
      <c r="J740" s="147">
        <f>F4Ax!J740+F4Bx!J739</f>
        <v>0</v>
      </c>
      <c r="K740" s="147">
        <f>F4Ax!K740+F4Bx!K739</f>
        <v>0</v>
      </c>
      <c r="L740" s="147">
        <f>F4Ax!L740+F4Bx!L739</f>
        <v>0</v>
      </c>
      <c r="M740" s="147">
        <f>F4Ax!M740+F4Bx!M739</f>
        <v>0</v>
      </c>
      <c r="N740" s="147">
        <f>F4Ax!N740+F4Bx!N739</f>
        <v>0</v>
      </c>
      <c r="O740" s="147">
        <f>F4Ax!O740+F4Bx!O739</f>
        <v>0</v>
      </c>
      <c r="P740" s="147">
        <f>F4Ax!P740+F4Bx!P739</f>
        <v>0</v>
      </c>
      <c r="Q740" s="316">
        <f t="shared" si="75"/>
        <v>0</v>
      </c>
    </row>
    <row r="741" ht="15" spans="3:17">
      <c r="C741" s="55"/>
      <c r="D741" s="55"/>
      <c r="E741" s="147">
        <f>F4Ax!E741+F4Bx!E740</f>
        <v>0</v>
      </c>
      <c r="F741" s="147">
        <f>F4Ax!F741+F4Bx!F740</f>
        <v>0</v>
      </c>
      <c r="G741" s="147">
        <f>F4Ax!G741+F4Bx!G740</f>
        <v>0</v>
      </c>
      <c r="H741" s="147">
        <f>F4Ax!H741+F4Bx!H740</f>
        <v>0</v>
      </c>
      <c r="I741" s="147">
        <f>F4Ax!I741+F4Bx!I740</f>
        <v>0</v>
      </c>
      <c r="J741" s="147">
        <f>F4Ax!J741+F4Bx!J740</f>
        <v>0</v>
      </c>
      <c r="K741" s="147">
        <f>F4Ax!K741+F4Bx!K740</f>
        <v>0</v>
      </c>
      <c r="L741" s="147">
        <f>F4Ax!L741+F4Bx!L740</f>
        <v>0</v>
      </c>
      <c r="M741" s="147">
        <f>F4Ax!M741+F4Bx!M740</f>
        <v>0</v>
      </c>
      <c r="N741" s="147">
        <f>F4Ax!N741+F4Bx!N740</f>
        <v>0</v>
      </c>
      <c r="O741" s="147">
        <f>F4Ax!O741+F4Bx!O740</f>
        <v>0</v>
      </c>
      <c r="P741" s="147">
        <f>F4Ax!P741+F4Bx!P740</f>
        <v>0</v>
      </c>
      <c r="Q741" s="316">
        <f t="shared" ref="Q741:Q746" si="77">SUM(E741:P741)</f>
        <v>0</v>
      </c>
    </row>
    <row r="742" ht="15" spans="3:17">
      <c r="C742" s="55"/>
      <c r="D742" s="55"/>
      <c r="E742" s="147">
        <f>F4Ax!E742+F4Bx!E741</f>
        <v>0</v>
      </c>
      <c r="F742" s="147">
        <f>F4Ax!F742+F4Bx!F741</f>
        <v>0</v>
      </c>
      <c r="G742" s="147">
        <f>F4Ax!G742+F4Bx!G741</f>
        <v>0</v>
      </c>
      <c r="H742" s="147">
        <f>F4Ax!H742+F4Bx!H741</f>
        <v>0</v>
      </c>
      <c r="I742" s="147">
        <f>F4Ax!I742+F4Bx!I741</f>
        <v>0</v>
      </c>
      <c r="J742" s="147">
        <f>F4Ax!J742+F4Bx!J741</f>
        <v>0</v>
      </c>
      <c r="K742" s="147">
        <f>F4Ax!K742+F4Bx!K741</f>
        <v>0</v>
      </c>
      <c r="L742" s="147">
        <f>F4Ax!L742+F4Bx!L741</f>
        <v>0</v>
      </c>
      <c r="M742" s="147">
        <f>F4Ax!M742+F4Bx!M741</f>
        <v>0</v>
      </c>
      <c r="N742" s="147">
        <f>F4Ax!N742+F4Bx!N741</f>
        <v>0</v>
      </c>
      <c r="O742" s="147">
        <f>F4Ax!O742+F4Bx!O741</f>
        <v>0</v>
      </c>
      <c r="P742" s="147">
        <f>F4Ax!P742+F4Bx!P741</f>
        <v>0</v>
      </c>
      <c r="Q742" s="316">
        <f t="shared" si="77"/>
        <v>0</v>
      </c>
    </row>
    <row r="743" ht="15" spans="3:17">
      <c r="C743" s="55" t="s">
        <v>258</v>
      </c>
      <c r="D743" s="55" t="s">
        <v>258</v>
      </c>
      <c r="E743" s="147">
        <f>F4Ax!E743+F4Bx!E742</f>
        <v>0</v>
      </c>
      <c r="F743" s="147">
        <f>F4Ax!F743+F4Bx!F742</f>
        <v>0</v>
      </c>
      <c r="G743" s="147">
        <f>F4Ax!G743+F4Bx!G742</f>
        <v>0</v>
      </c>
      <c r="H743" s="147">
        <f>F4Ax!H743+F4Bx!H742</f>
        <v>0</v>
      </c>
      <c r="I743" s="147">
        <f>F4Ax!I743+F4Bx!I742</f>
        <v>0</v>
      </c>
      <c r="J743" s="147">
        <f>F4Ax!J743+F4Bx!J742</f>
        <v>0</v>
      </c>
      <c r="K743" s="147">
        <f>F4Ax!K743+F4Bx!K742</f>
        <v>0</v>
      </c>
      <c r="L743" s="147">
        <f>F4Ax!L743+F4Bx!L742</f>
        <v>0</v>
      </c>
      <c r="M743" s="147">
        <f>F4Ax!M743+F4Bx!M742</f>
        <v>0</v>
      </c>
      <c r="N743" s="147">
        <f>F4Ax!N743+F4Bx!N742</f>
        <v>0</v>
      </c>
      <c r="O743" s="147">
        <f>F4Ax!O743+F4Bx!O742</f>
        <v>0</v>
      </c>
      <c r="P743" s="147">
        <f>F4Ax!P743+F4Bx!P742</f>
        <v>0</v>
      </c>
      <c r="Q743" s="316">
        <f t="shared" si="77"/>
        <v>0</v>
      </c>
    </row>
    <row r="744" ht="15" spans="3:17">
      <c r="C744" s="537" t="s">
        <v>211</v>
      </c>
      <c r="D744" s="540"/>
      <c r="E744" s="316">
        <f t="shared" ref="E744:P744" si="78">SUM(E727:E743)</f>
        <v>0</v>
      </c>
      <c r="F744" s="316">
        <f t="shared" si="78"/>
        <v>0</v>
      </c>
      <c r="G744" s="316">
        <f t="shared" si="78"/>
        <v>0</v>
      </c>
      <c r="H744" s="316">
        <f t="shared" si="78"/>
        <v>0</v>
      </c>
      <c r="I744" s="316">
        <f t="shared" si="78"/>
        <v>0</v>
      </c>
      <c r="J744" s="316">
        <f t="shared" si="78"/>
        <v>0</v>
      </c>
      <c r="K744" s="316">
        <f t="shared" si="78"/>
        <v>0</v>
      </c>
      <c r="L744" s="316">
        <f t="shared" si="78"/>
        <v>0</v>
      </c>
      <c r="M744" s="316">
        <f t="shared" si="78"/>
        <v>0</v>
      </c>
      <c r="N744" s="316">
        <f t="shared" si="78"/>
        <v>0</v>
      </c>
      <c r="O744" s="316">
        <f t="shared" si="78"/>
        <v>0</v>
      </c>
      <c r="P744" s="316">
        <f t="shared" si="78"/>
        <v>0</v>
      </c>
      <c r="Q744" s="316">
        <f t="shared" si="77"/>
        <v>0</v>
      </c>
    </row>
    <row r="745" ht="15" spans="3:17">
      <c r="C745" s="537" t="s">
        <v>223</v>
      </c>
      <c r="D745" s="540"/>
      <c r="E745" s="316">
        <f t="shared" ref="E745:P745" si="79">E744+E725+E708</f>
        <v>0</v>
      </c>
      <c r="F745" s="316">
        <f t="shared" si="79"/>
        <v>0</v>
      </c>
      <c r="G745" s="316">
        <f t="shared" si="79"/>
        <v>0</v>
      </c>
      <c r="H745" s="316">
        <f t="shared" si="79"/>
        <v>0</v>
      </c>
      <c r="I745" s="316">
        <f t="shared" si="79"/>
        <v>0</v>
      </c>
      <c r="J745" s="316">
        <f t="shared" si="79"/>
        <v>0</v>
      </c>
      <c r="K745" s="316">
        <f t="shared" si="79"/>
        <v>0</v>
      </c>
      <c r="L745" s="316">
        <f t="shared" si="79"/>
        <v>0</v>
      </c>
      <c r="M745" s="316">
        <f t="shared" si="79"/>
        <v>0</v>
      </c>
      <c r="N745" s="316">
        <f t="shared" si="79"/>
        <v>0</v>
      </c>
      <c r="O745" s="316">
        <f t="shared" si="79"/>
        <v>0</v>
      </c>
      <c r="P745" s="316">
        <f t="shared" si="79"/>
        <v>0</v>
      </c>
      <c r="Q745" s="316">
        <f t="shared" si="77"/>
        <v>0</v>
      </c>
    </row>
    <row r="746" ht="15" spans="3:17">
      <c r="C746" s="537" t="s">
        <v>224</v>
      </c>
      <c r="D746" s="540"/>
      <c r="E746" s="316">
        <f t="shared" ref="E746:P746" si="80">E745+E691</f>
        <v>0</v>
      </c>
      <c r="F746" s="316">
        <f t="shared" si="80"/>
        <v>0</v>
      </c>
      <c r="G746" s="316">
        <f t="shared" si="80"/>
        <v>0</v>
      </c>
      <c r="H746" s="316">
        <f t="shared" si="80"/>
        <v>0</v>
      </c>
      <c r="I746" s="316">
        <f t="shared" si="80"/>
        <v>0</v>
      </c>
      <c r="J746" s="316">
        <f t="shared" si="80"/>
        <v>0</v>
      </c>
      <c r="K746" s="316">
        <f t="shared" si="80"/>
        <v>0</v>
      </c>
      <c r="L746" s="316">
        <f t="shared" si="80"/>
        <v>0</v>
      </c>
      <c r="M746" s="316">
        <f t="shared" si="80"/>
        <v>0</v>
      </c>
      <c r="N746" s="316">
        <f t="shared" si="80"/>
        <v>0</v>
      </c>
      <c r="O746" s="316">
        <f t="shared" si="80"/>
        <v>0</v>
      </c>
      <c r="P746" s="316">
        <f t="shared" si="80"/>
        <v>0</v>
      </c>
      <c r="Q746" s="316">
        <f t="shared" si="77"/>
        <v>0</v>
      </c>
    </row>
    <row r="748" ht="15" spans="3:17">
      <c r="C748" s="14"/>
      <c r="Q748" s="3" t="s">
        <v>236</v>
      </c>
    </row>
    <row r="749" ht="15" spans="3:17">
      <c r="C749" s="6" t="s">
        <v>159</v>
      </c>
      <c r="D749" s="6"/>
      <c r="E749" s="135" t="s">
        <v>267</v>
      </c>
      <c r="F749" s="135"/>
      <c r="G749" s="135"/>
      <c r="H749" s="135"/>
      <c r="I749" s="135"/>
      <c r="J749" s="135"/>
      <c r="K749" s="135"/>
      <c r="L749" s="135"/>
      <c r="M749" s="135"/>
      <c r="N749" s="135"/>
      <c r="O749" s="135"/>
      <c r="P749" s="135"/>
      <c r="Q749" s="135"/>
    </row>
    <row r="750" ht="15" spans="3:17">
      <c r="C750" s="6"/>
      <c r="D750" s="6"/>
      <c r="E750" s="135" t="s">
        <v>246</v>
      </c>
      <c r="F750" s="135" t="s">
        <v>247</v>
      </c>
      <c r="G750" s="135" t="s">
        <v>248</v>
      </c>
      <c r="H750" s="135" t="s">
        <v>249</v>
      </c>
      <c r="I750" s="135" t="s">
        <v>250</v>
      </c>
      <c r="J750" s="135" t="s">
        <v>251</v>
      </c>
      <c r="K750" s="135" t="s">
        <v>252</v>
      </c>
      <c r="L750" s="135" t="s">
        <v>253</v>
      </c>
      <c r="M750" s="135" t="s">
        <v>254</v>
      </c>
      <c r="N750" s="135" t="s">
        <v>255</v>
      </c>
      <c r="O750" s="135" t="s">
        <v>256</v>
      </c>
      <c r="P750" s="135" t="s">
        <v>257</v>
      </c>
      <c r="Q750" s="135" t="s">
        <v>97</v>
      </c>
    </row>
    <row r="751" ht="15" spans="3:17">
      <c r="C751" s="44" t="s">
        <v>170</v>
      </c>
      <c r="D751" s="45"/>
      <c r="E751" s="147"/>
      <c r="F751" s="147"/>
      <c r="G751" s="147"/>
      <c r="H751" s="147"/>
      <c r="I751" s="147"/>
      <c r="J751" s="147"/>
      <c r="K751" s="147"/>
      <c r="L751" s="147"/>
      <c r="M751" s="147"/>
      <c r="N751" s="147"/>
      <c r="O751" s="147"/>
      <c r="P751" s="147"/>
      <c r="Q751" s="316">
        <f t="shared" ref="Q751:Q782" si="81">SUM(E751:P751)</f>
        <v>0</v>
      </c>
    </row>
    <row r="752" ht="15" spans="3:17">
      <c r="C752" s="47" t="s">
        <v>171</v>
      </c>
      <c r="D752" s="47" t="s">
        <v>172</v>
      </c>
      <c r="E752" s="147">
        <f>F4Ax!E752+F4Bx!E751</f>
        <v>0</v>
      </c>
      <c r="F752" s="147">
        <f>F4Ax!F752+F4Bx!F751</f>
        <v>0</v>
      </c>
      <c r="G752" s="147">
        <f>F4Ax!G752+F4Bx!G751</f>
        <v>0</v>
      </c>
      <c r="H752" s="147">
        <f>F4Ax!H752+F4Bx!H751</f>
        <v>0</v>
      </c>
      <c r="I752" s="147">
        <f>F4Ax!I752+F4Bx!I751</f>
        <v>0</v>
      </c>
      <c r="J752" s="147">
        <f>F4Ax!J752+F4Bx!J751</f>
        <v>0</v>
      </c>
      <c r="K752" s="147">
        <f>F4Ax!K752+F4Bx!K751</f>
        <v>0</v>
      </c>
      <c r="L752" s="147">
        <f>F4Ax!L752+F4Bx!L751</f>
        <v>0</v>
      </c>
      <c r="M752" s="147">
        <f>F4Ax!M752+F4Bx!M751</f>
        <v>0</v>
      </c>
      <c r="N752" s="147">
        <f>F4Ax!N752+F4Bx!N751</f>
        <v>0</v>
      </c>
      <c r="O752" s="147">
        <f>F4Ax!O752+F4Bx!O751</f>
        <v>0</v>
      </c>
      <c r="P752" s="147">
        <f>F4Ax!P752+F4Bx!P751</f>
        <v>0</v>
      </c>
      <c r="Q752" s="316">
        <f t="shared" si="81"/>
        <v>0</v>
      </c>
    </row>
    <row r="753" ht="15" spans="3:17">
      <c r="C753" s="55" t="s">
        <v>173</v>
      </c>
      <c r="D753" s="55" t="s">
        <v>174</v>
      </c>
      <c r="E753" s="147">
        <f>F4Ax!E753+F4Bx!E752</f>
        <v>0</v>
      </c>
      <c r="F753" s="147">
        <f>F4Ax!F753+F4Bx!F752</f>
        <v>0</v>
      </c>
      <c r="G753" s="147">
        <f>F4Ax!G753+F4Bx!G752</f>
        <v>0</v>
      </c>
      <c r="H753" s="147">
        <f>F4Ax!H753+F4Bx!H752</f>
        <v>0</v>
      </c>
      <c r="I753" s="147">
        <f>F4Ax!I753+F4Bx!I752</f>
        <v>0</v>
      </c>
      <c r="J753" s="147">
        <f>F4Ax!J753+F4Bx!J752</f>
        <v>0</v>
      </c>
      <c r="K753" s="147">
        <f>F4Ax!K753+F4Bx!K752</f>
        <v>0</v>
      </c>
      <c r="L753" s="147">
        <f>F4Ax!L753+F4Bx!L752</f>
        <v>0</v>
      </c>
      <c r="M753" s="147">
        <f>F4Ax!M753+F4Bx!M752</f>
        <v>0</v>
      </c>
      <c r="N753" s="147">
        <f>F4Ax!N753+F4Bx!N752</f>
        <v>0</v>
      </c>
      <c r="O753" s="147">
        <f>F4Ax!O753+F4Bx!O752</f>
        <v>0</v>
      </c>
      <c r="P753" s="147">
        <f>F4Ax!P753+F4Bx!P752</f>
        <v>0</v>
      </c>
      <c r="Q753" s="316">
        <f t="shared" si="81"/>
        <v>0</v>
      </c>
    </row>
    <row r="754" ht="15" spans="3:17">
      <c r="C754" s="55" t="s">
        <v>175</v>
      </c>
      <c r="D754" s="55" t="s">
        <v>176</v>
      </c>
      <c r="E754" s="147">
        <f>F4Ax!E754+F4Bx!E753</f>
        <v>0</v>
      </c>
      <c r="F754" s="147">
        <f>F4Ax!F754+F4Bx!F753</f>
        <v>0</v>
      </c>
      <c r="G754" s="147">
        <f>F4Ax!G754+F4Bx!G753</f>
        <v>0</v>
      </c>
      <c r="H754" s="147">
        <f>F4Ax!H754+F4Bx!H753</f>
        <v>0</v>
      </c>
      <c r="I754" s="147">
        <f>F4Ax!I754+F4Bx!I753</f>
        <v>0</v>
      </c>
      <c r="J754" s="147">
        <f>F4Ax!J754+F4Bx!J753</f>
        <v>0</v>
      </c>
      <c r="K754" s="147">
        <f>F4Ax!K754+F4Bx!K753</f>
        <v>0</v>
      </c>
      <c r="L754" s="147">
        <f>F4Ax!L754+F4Bx!L753</f>
        <v>0</v>
      </c>
      <c r="M754" s="147">
        <f>F4Ax!M754+F4Bx!M753</f>
        <v>0</v>
      </c>
      <c r="N754" s="147">
        <f>F4Ax!N754+F4Bx!N753</f>
        <v>0</v>
      </c>
      <c r="O754" s="147">
        <f>F4Ax!O754+F4Bx!O753</f>
        <v>0</v>
      </c>
      <c r="P754" s="147">
        <f>F4Ax!P754+F4Bx!P753</f>
        <v>0</v>
      </c>
      <c r="Q754" s="316">
        <f t="shared" si="81"/>
        <v>0</v>
      </c>
    </row>
    <row r="755" ht="15" spans="3:17">
      <c r="C755" s="55" t="s">
        <v>177</v>
      </c>
      <c r="D755" s="55" t="s">
        <v>178</v>
      </c>
      <c r="E755" s="147">
        <f>F4Ax!E755+F4Bx!E754</f>
        <v>0</v>
      </c>
      <c r="F755" s="147">
        <f>F4Ax!F755+F4Bx!F754</f>
        <v>0</v>
      </c>
      <c r="G755" s="147">
        <f>F4Ax!G755+F4Bx!G754</f>
        <v>0</v>
      </c>
      <c r="H755" s="147">
        <f>F4Ax!H755+F4Bx!H754</f>
        <v>0</v>
      </c>
      <c r="I755" s="147">
        <f>F4Ax!I755+F4Bx!I754</f>
        <v>0</v>
      </c>
      <c r="J755" s="147">
        <f>F4Ax!J755+F4Bx!J754</f>
        <v>0</v>
      </c>
      <c r="K755" s="147">
        <f>F4Ax!K755+F4Bx!K754</f>
        <v>0</v>
      </c>
      <c r="L755" s="147">
        <f>F4Ax!L755+F4Bx!L754</f>
        <v>0</v>
      </c>
      <c r="M755" s="147">
        <f>F4Ax!M755+F4Bx!M754</f>
        <v>0</v>
      </c>
      <c r="N755" s="147">
        <f>F4Ax!N755+F4Bx!N754</f>
        <v>0</v>
      </c>
      <c r="O755" s="147">
        <f>F4Ax!O755+F4Bx!O754</f>
        <v>0</v>
      </c>
      <c r="P755" s="147">
        <f>F4Ax!P755+F4Bx!P754</f>
        <v>0</v>
      </c>
      <c r="Q755" s="316">
        <f t="shared" si="81"/>
        <v>0</v>
      </c>
    </row>
    <row r="756" ht="15" spans="3:17">
      <c r="C756" s="55" t="s">
        <v>179</v>
      </c>
      <c r="D756" s="55" t="s">
        <v>180</v>
      </c>
      <c r="E756" s="147">
        <f>F4Ax!E756+F4Bx!E755</f>
        <v>0</v>
      </c>
      <c r="F756" s="147">
        <f>F4Ax!F756+F4Bx!F755</f>
        <v>0</v>
      </c>
      <c r="G756" s="147">
        <f>F4Ax!G756+F4Bx!G755</f>
        <v>0</v>
      </c>
      <c r="H756" s="147">
        <f>F4Ax!H756+F4Bx!H755</f>
        <v>0</v>
      </c>
      <c r="I756" s="147">
        <f>F4Ax!I756+F4Bx!I755</f>
        <v>0</v>
      </c>
      <c r="J756" s="147">
        <f>F4Ax!J756+F4Bx!J755</f>
        <v>0</v>
      </c>
      <c r="K756" s="147">
        <f>F4Ax!K756+F4Bx!K755</f>
        <v>0</v>
      </c>
      <c r="L756" s="147">
        <f>F4Ax!L756+F4Bx!L755</f>
        <v>0</v>
      </c>
      <c r="M756" s="147">
        <f>F4Ax!M756+F4Bx!M755</f>
        <v>0</v>
      </c>
      <c r="N756" s="147">
        <f>F4Ax!N756+F4Bx!N755</f>
        <v>0</v>
      </c>
      <c r="O756" s="147">
        <f>F4Ax!O756+F4Bx!O755</f>
        <v>0</v>
      </c>
      <c r="P756" s="147">
        <f>F4Ax!P756+F4Bx!P755</f>
        <v>0</v>
      </c>
      <c r="Q756" s="316">
        <f t="shared" si="81"/>
        <v>0</v>
      </c>
    </row>
    <row r="757" ht="15" spans="3:17">
      <c r="C757" s="55" t="s">
        <v>181</v>
      </c>
      <c r="D757" s="55" t="s">
        <v>182</v>
      </c>
      <c r="E757" s="147">
        <f>F4Ax!E757+F4Bx!E756</f>
        <v>0</v>
      </c>
      <c r="F757" s="147">
        <f>F4Ax!F757+F4Bx!F756</f>
        <v>0</v>
      </c>
      <c r="G757" s="147">
        <f>F4Ax!G757+F4Bx!G756</f>
        <v>0</v>
      </c>
      <c r="H757" s="147">
        <f>F4Ax!H757+F4Bx!H756</f>
        <v>0</v>
      </c>
      <c r="I757" s="147">
        <f>F4Ax!I757+F4Bx!I756</f>
        <v>0</v>
      </c>
      <c r="J757" s="147">
        <f>F4Ax!J757+F4Bx!J756</f>
        <v>0</v>
      </c>
      <c r="K757" s="147">
        <f>F4Ax!K757+F4Bx!K756</f>
        <v>0</v>
      </c>
      <c r="L757" s="147">
        <f>F4Ax!L757+F4Bx!L756</f>
        <v>0</v>
      </c>
      <c r="M757" s="147">
        <f>F4Ax!M757+F4Bx!M756</f>
        <v>0</v>
      </c>
      <c r="N757" s="147">
        <f>F4Ax!N757+F4Bx!N756</f>
        <v>0</v>
      </c>
      <c r="O757" s="147">
        <f>F4Ax!O757+F4Bx!O756</f>
        <v>0</v>
      </c>
      <c r="P757" s="147">
        <f>F4Ax!P757+F4Bx!P756</f>
        <v>0</v>
      </c>
      <c r="Q757" s="316">
        <f t="shared" si="81"/>
        <v>0</v>
      </c>
    </row>
    <row r="758" ht="15" spans="3:17">
      <c r="C758" s="55" t="s">
        <v>183</v>
      </c>
      <c r="D758" s="55" t="s">
        <v>184</v>
      </c>
      <c r="E758" s="147">
        <f>F4Ax!E758+F4Bx!E757</f>
        <v>0</v>
      </c>
      <c r="F758" s="147">
        <f>F4Ax!F758+F4Bx!F757</f>
        <v>0</v>
      </c>
      <c r="G758" s="147">
        <f>F4Ax!G758+F4Bx!G757</f>
        <v>0</v>
      </c>
      <c r="H758" s="147">
        <f>F4Ax!H758+F4Bx!H757</f>
        <v>0</v>
      </c>
      <c r="I758" s="147">
        <f>F4Ax!I758+F4Bx!I757</f>
        <v>0</v>
      </c>
      <c r="J758" s="147">
        <f>F4Ax!J758+F4Bx!J757</f>
        <v>0</v>
      </c>
      <c r="K758" s="147">
        <f>F4Ax!K758+F4Bx!K757</f>
        <v>0</v>
      </c>
      <c r="L758" s="147">
        <f>F4Ax!L758+F4Bx!L757</f>
        <v>0</v>
      </c>
      <c r="M758" s="147">
        <f>F4Ax!M758+F4Bx!M757</f>
        <v>0</v>
      </c>
      <c r="N758" s="147">
        <f>F4Ax!N758+F4Bx!N757</f>
        <v>0</v>
      </c>
      <c r="O758" s="147">
        <f>F4Ax!O758+F4Bx!O757</f>
        <v>0</v>
      </c>
      <c r="P758" s="147">
        <f>F4Ax!P758+F4Bx!P757</f>
        <v>0</v>
      </c>
      <c r="Q758" s="316">
        <f t="shared" si="81"/>
        <v>0</v>
      </c>
    </row>
    <row r="759" ht="15" spans="3:17">
      <c r="C759" s="55" t="s">
        <v>185</v>
      </c>
      <c r="D759" s="55" t="s">
        <v>186</v>
      </c>
      <c r="E759" s="147">
        <f>F4Ax!E759+F4Bx!E758</f>
        <v>0</v>
      </c>
      <c r="F759" s="147">
        <f>F4Ax!F759+F4Bx!F758</f>
        <v>0</v>
      </c>
      <c r="G759" s="147">
        <f>F4Ax!G759+F4Bx!G758</f>
        <v>0</v>
      </c>
      <c r="H759" s="147">
        <f>F4Ax!H759+F4Bx!H758</f>
        <v>0</v>
      </c>
      <c r="I759" s="147">
        <f>F4Ax!I759+F4Bx!I758</f>
        <v>0</v>
      </c>
      <c r="J759" s="147">
        <f>F4Ax!J759+F4Bx!J758</f>
        <v>0</v>
      </c>
      <c r="K759" s="147">
        <f>F4Ax!K759+F4Bx!K758</f>
        <v>0</v>
      </c>
      <c r="L759" s="147">
        <f>F4Ax!L759+F4Bx!L758</f>
        <v>0</v>
      </c>
      <c r="M759" s="147">
        <f>F4Ax!M759+F4Bx!M758</f>
        <v>0</v>
      </c>
      <c r="N759" s="147">
        <f>F4Ax!N759+F4Bx!N758</f>
        <v>0</v>
      </c>
      <c r="O759" s="147">
        <f>F4Ax!O759+F4Bx!O758</f>
        <v>0</v>
      </c>
      <c r="P759" s="147">
        <f>F4Ax!P759+F4Bx!P758</f>
        <v>0</v>
      </c>
      <c r="Q759" s="316">
        <f t="shared" si="81"/>
        <v>0</v>
      </c>
    </row>
    <row r="760" ht="15" spans="3:17">
      <c r="C760" s="55" t="s">
        <v>187</v>
      </c>
      <c r="D760" s="55" t="s">
        <v>188</v>
      </c>
      <c r="E760" s="147">
        <f>F4Ax!E760+F4Bx!E759</f>
        <v>0</v>
      </c>
      <c r="F760" s="147">
        <f>F4Ax!F760+F4Bx!F759</f>
        <v>0</v>
      </c>
      <c r="G760" s="147">
        <f>F4Ax!G760+F4Bx!G759</f>
        <v>0</v>
      </c>
      <c r="H760" s="147">
        <f>F4Ax!H760+F4Bx!H759</f>
        <v>0</v>
      </c>
      <c r="I760" s="147">
        <f>F4Ax!I760+F4Bx!I759</f>
        <v>0</v>
      </c>
      <c r="J760" s="147">
        <f>F4Ax!J760+F4Bx!J759</f>
        <v>0</v>
      </c>
      <c r="K760" s="147">
        <f>F4Ax!K760+F4Bx!K759</f>
        <v>0</v>
      </c>
      <c r="L760" s="147">
        <f>F4Ax!L760+F4Bx!L759</f>
        <v>0</v>
      </c>
      <c r="M760" s="147">
        <f>F4Ax!M760+F4Bx!M759</f>
        <v>0</v>
      </c>
      <c r="N760" s="147">
        <f>F4Ax!N760+F4Bx!N759</f>
        <v>0</v>
      </c>
      <c r="O760" s="147">
        <f>F4Ax!O760+F4Bx!O759</f>
        <v>0</v>
      </c>
      <c r="P760" s="147">
        <f>F4Ax!P760+F4Bx!P759</f>
        <v>0</v>
      </c>
      <c r="Q760" s="316">
        <f t="shared" si="81"/>
        <v>0</v>
      </c>
    </row>
    <row r="761" ht="15" spans="3:17">
      <c r="C761" s="55"/>
      <c r="D761" s="55"/>
      <c r="E761" s="147">
        <f>F4Ax!E761+F4Bx!E760</f>
        <v>0</v>
      </c>
      <c r="F761" s="147">
        <f>F4Ax!F761+F4Bx!F760</f>
        <v>0</v>
      </c>
      <c r="G761" s="147">
        <f>F4Ax!G761+F4Bx!G760</f>
        <v>0</v>
      </c>
      <c r="H761" s="147">
        <f>F4Ax!H761+F4Bx!H760</f>
        <v>0</v>
      </c>
      <c r="I761" s="147">
        <f>F4Ax!I761+F4Bx!I760</f>
        <v>0</v>
      </c>
      <c r="J761" s="147">
        <f>F4Ax!J761+F4Bx!J760</f>
        <v>0</v>
      </c>
      <c r="K761" s="147">
        <f>F4Ax!K761+F4Bx!K760</f>
        <v>0</v>
      </c>
      <c r="L761" s="147">
        <f>F4Ax!L761+F4Bx!L760</f>
        <v>0</v>
      </c>
      <c r="M761" s="147">
        <f>F4Ax!M761+F4Bx!M760</f>
        <v>0</v>
      </c>
      <c r="N761" s="147">
        <f>F4Ax!N761+F4Bx!N760</f>
        <v>0</v>
      </c>
      <c r="O761" s="147">
        <f>F4Ax!O761+F4Bx!O760</f>
        <v>0</v>
      </c>
      <c r="P761" s="147">
        <f>F4Ax!P761+F4Bx!P760</f>
        <v>0</v>
      </c>
      <c r="Q761" s="316">
        <f t="shared" si="81"/>
        <v>0</v>
      </c>
    </row>
    <row r="762" ht="15" spans="3:17">
      <c r="C762" s="55"/>
      <c r="D762" s="55"/>
      <c r="E762" s="147">
        <f>F4Ax!E762+F4Bx!E761</f>
        <v>0</v>
      </c>
      <c r="F762" s="147">
        <f>F4Ax!F762+F4Bx!F761</f>
        <v>0</v>
      </c>
      <c r="G762" s="147">
        <f>F4Ax!G762+F4Bx!G761</f>
        <v>0</v>
      </c>
      <c r="H762" s="147">
        <f>F4Ax!H762+F4Bx!H761</f>
        <v>0</v>
      </c>
      <c r="I762" s="147">
        <f>F4Ax!I762+F4Bx!I761</f>
        <v>0</v>
      </c>
      <c r="J762" s="147">
        <f>F4Ax!J762+F4Bx!J761</f>
        <v>0</v>
      </c>
      <c r="K762" s="147">
        <f>F4Ax!K762+F4Bx!K761</f>
        <v>0</v>
      </c>
      <c r="L762" s="147">
        <f>F4Ax!L762+F4Bx!L761</f>
        <v>0</v>
      </c>
      <c r="M762" s="147">
        <f>F4Ax!M762+F4Bx!M761</f>
        <v>0</v>
      </c>
      <c r="N762" s="147">
        <f>F4Ax!N762+F4Bx!N761</f>
        <v>0</v>
      </c>
      <c r="O762" s="147">
        <f>F4Ax!O762+F4Bx!O761</f>
        <v>0</v>
      </c>
      <c r="P762" s="147">
        <f>F4Ax!P762+F4Bx!P761</f>
        <v>0</v>
      </c>
      <c r="Q762" s="316">
        <f t="shared" si="81"/>
        <v>0</v>
      </c>
    </row>
    <row r="763" ht="15" spans="3:17">
      <c r="C763" s="55"/>
      <c r="D763" s="55"/>
      <c r="E763" s="147">
        <f>F4Ax!E763+F4Bx!E762</f>
        <v>0</v>
      </c>
      <c r="F763" s="147">
        <f>F4Ax!F763+F4Bx!F762</f>
        <v>0</v>
      </c>
      <c r="G763" s="147">
        <f>F4Ax!G763+F4Bx!G762</f>
        <v>0</v>
      </c>
      <c r="H763" s="147">
        <f>F4Ax!H763+F4Bx!H762</f>
        <v>0</v>
      </c>
      <c r="I763" s="147">
        <f>F4Ax!I763+F4Bx!I762</f>
        <v>0</v>
      </c>
      <c r="J763" s="147">
        <f>F4Ax!J763+F4Bx!J762</f>
        <v>0</v>
      </c>
      <c r="K763" s="147">
        <f>F4Ax!K763+F4Bx!K762</f>
        <v>0</v>
      </c>
      <c r="L763" s="147">
        <f>F4Ax!L763+F4Bx!L762</f>
        <v>0</v>
      </c>
      <c r="M763" s="147">
        <f>F4Ax!M763+F4Bx!M762</f>
        <v>0</v>
      </c>
      <c r="N763" s="147">
        <f>F4Ax!N763+F4Bx!N762</f>
        <v>0</v>
      </c>
      <c r="O763" s="147">
        <f>F4Ax!O763+F4Bx!O762</f>
        <v>0</v>
      </c>
      <c r="P763" s="147">
        <f>F4Ax!P763+F4Bx!P762</f>
        <v>0</v>
      </c>
      <c r="Q763" s="316">
        <f t="shared" si="81"/>
        <v>0</v>
      </c>
    </row>
    <row r="764" ht="15" spans="3:17">
      <c r="C764" s="55" t="s">
        <v>258</v>
      </c>
      <c r="D764" s="55" t="s">
        <v>258</v>
      </c>
      <c r="E764" s="147">
        <f>F4Ax!E764+F4Bx!E763</f>
        <v>0</v>
      </c>
      <c r="F764" s="147">
        <f>F4Ax!F764+F4Bx!F763</f>
        <v>0</v>
      </c>
      <c r="G764" s="147">
        <f>F4Ax!G764+F4Bx!G763</f>
        <v>0</v>
      </c>
      <c r="H764" s="147">
        <f>F4Ax!H764+F4Bx!H763</f>
        <v>0</v>
      </c>
      <c r="I764" s="147">
        <f>F4Ax!I764+F4Bx!I763</f>
        <v>0</v>
      </c>
      <c r="J764" s="147">
        <f>F4Ax!J764+F4Bx!J763</f>
        <v>0</v>
      </c>
      <c r="K764" s="147">
        <f>F4Ax!K764+F4Bx!K763</f>
        <v>0</v>
      </c>
      <c r="L764" s="147">
        <f>F4Ax!L764+F4Bx!L763</f>
        <v>0</v>
      </c>
      <c r="M764" s="147">
        <f>F4Ax!M764+F4Bx!M763</f>
        <v>0</v>
      </c>
      <c r="N764" s="147">
        <f>F4Ax!N764+F4Bx!N763</f>
        <v>0</v>
      </c>
      <c r="O764" s="147">
        <f>F4Ax!O764+F4Bx!O763</f>
        <v>0</v>
      </c>
      <c r="P764" s="147">
        <f>F4Ax!P764+F4Bx!P763</f>
        <v>0</v>
      </c>
      <c r="Q764" s="316">
        <f t="shared" si="81"/>
        <v>0</v>
      </c>
    </row>
    <row r="765" ht="15" spans="3:17">
      <c r="C765" s="537" t="s">
        <v>189</v>
      </c>
      <c r="D765" s="540"/>
      <c r="E765" s="316">
        <f t="shared" ref="E765:P765" si="82">SUM(E752:E764)</f>
        <v>0</v>
      </c>
      <c r="F765" s="316">
        <f t="shared" si="82"/>
        <v>0</v>
      </c>
      <c r="G765" s="316">
        <f t="shared" si="82"/>
        <v>0</v>
      </c>
      <c r="H765" s="316">
        <f t="shared" si="82"/>
        <v>0</v>
      </c>
      <c r="I765" s="316">
        <f t="shared" si="82"/>
        <v>0</v>
      </c>
      <c r="J765" s="316">
        <f t="shared" si="82"/>
        <v>0</v>
      </c>
      <c r="K765" s="316">
        <f t="shared" si="82"/>
        <v>0</v>
      </c>
      <c r="L765" s="316">
        <f t="shared" si="82"/>
        <v>0</v>
      </c>
      <c r="M765" s="316">
        <f t="shared" si="82"/>
        <v>0</v>
      </c>
      <c r="N765" s="316">
        <f t="shared" si="82"/>
        <v>0</v>
      </c>
      <c r="O765" s="316">
        <f t="shared" si="82"/>
        <v>0</v>
      </c>
      <c r="P765" s="316">
        <f t="shared" si="82"/>
        <v>0</v>
      </c>
      <c r="Q765" s="316">
        <f t="shared" si="81"/>
        <v>0</v>
      </c>
    </row>
    <row r="766" ht="15" spans="3:17">
      <c r="C766" s="44" t="s">
        <v>190</v>
      </c>
      <c r="D766" s="45"/>
      <c r="E766" s="147"/>
      <c r="F766" s="147"/>
      <c r="G766" s="147"/>
      <c r="H766" s="147"/>
      <c r="I766" s="147"/>
      <c r="J766" s="147"/>
      <c r="K766" s="147"/>
      <c r="L766" s="147"/>
      <c r="M766" s="147"/>
      <c r="N766" s="147"/>
      <c r="O766" s="147"/>
      <c r="P766" s="147"/>
      <c r="Q766" s="316">
        <f t="shared" si="81"/>
        <v>0</v>
      </c>
    </row>
    <row r="767" ht="15" spans="3:17">
      <c r="C767" s="55" t="s">
        <v>191</v>
      </c>
      <c r="D767" s="55" t="s">
        <v>192</v>
      </c>
      <c r="E767" s="147">
        <f>F4Ax!E767+F4Bx!E766</f>
        <v>0</v>
      </c>
      <c r="F767" s="147">
        <f>F4Ax!F767+F4Bx!F766</f>
        <v>0</v>
      </c>
      <c r="G767" s="147">
        <f>F4Ax!G767+F4Bx!G766</f>
        <v>0</v>
      </c>
      <c r="H767" s="147">
        <f>F4Ax!H767+F4Bx!H766</f>
        <v>0</v>
      </c>
      <c r="I767" s="147">
        <f>F4Ax!I767+F4Bx!I766</f>
        <v>0</v>
      </c>
      <c r="J767" s="147">
        <f>F4Ax!J767+F4Bx!J766</f>
        <v>0</v>
      </c>
      <c r="K767" s="147">
        <f>F4Ax!K767+F4Bx!K766</f>
        <v>0</v>
      </c>
      <c r="L767" s="147">
        <f>F4Ax!L767+F4Bx!L766</f>
        <v>0</v>
      </c>
      <c r="M767" s="147">
        <f>F4Ax!M767+F4Bx!M766</f>
        <v>0</v>
      </c>
      <c r="N767" s="147">
        <f>F4Ax!N767+F4Bx!N766</f>
        <v>0</v>
      </c>
      <c r="O767" s="147">
        <f>F4Ax!O767+F4Bx!O766</f>
        <v>0</v>
      </c>
      <c r="P767" s="147">
        <f>F4Ax!P767+F4Bx!P766</f>
        <v>0</v>
      </c>
      <c r="Q767" s="316">
        <f t="shared" si="81"/>
        <v>0</v>
      </c>
    </row>
    <row r="768" ht="15" spans="3:17">
      <c r="C768" s="55" t="s">
        <v>193</v>
      </c>
      <c r="D768" s="55" t="s">
        <v>194</v>
      </c>
      <c r="E768" s="147">
        <f>F4Ax!E768+F4Bx!E767</f>
        <v>0</v>
      </c>
      <c r="F768" s="147">
        <f>F4Ax!F768+F4Bx!F767</f>
        <v>0</v>
      </c>
      <c r="G768" s="147">
        <f>F4Ax!G768+F4Bx!G767</f>
        <v>0</v>
      </c>
      <c r="H768" s="147">
        <f>F4Ax!H768+F4Bx!H767</f>
        <v>0</v>
      </c>
      <c r="I768" s="147">
        <f>F4Ax!I768+F4Bx!I767</f>
        <v>0</v>
      </c>
      <c r="J768" s="147">
        <f>F4Ax!J768+F4Bx!J767</f>
        <v>0</v>
      </c>
      <c r="K768" s="147">
        <f>F4Ax!K768+F4Bx!K767</f>
        <v>0</v>
      </c>
      <c r="L768" s="147">
        <f>F4Ax!L768+F4Bx!L767</f>
        <v>0</v>
      </c>
      <c r="M768" s="147">
        <f>F4Ax!M768+F4Bx!M767</f>
        <v>0</v>
      </c>
      <c r="N768" s="147">
        <f>F4Ax!N768+F4Bx!N767</f>
        <v>0</v>
      </c>
      <c r="O768" s="147">
        <f>F4Ax!O768+F4Bx!O767</f>
        <v>0</v>
      </c>
      <c r="P768" s="147">
        <f>F4Ax!P768+F4Bx!P767</f>
        <v>0</v>
      </c>
      <c r="Q768" s="316">
        <f t="shared" si="81"/>
        <v>0</v>
      </c>
    </row>
    <row r="769" ht="15" spans="3:17">
      <c r="C769" s="55" t="s">
        <v>239</v>
      </c>
      <c r="D769" s="55" t="s">
        <v>196</v>
      </c>
      <c r="E769" s="147">
        <f>F4Ax!E769+F4Bx!E768</f>
        <v>0</v>
      </c>
      <c r="F769" s="147">
        <f>F4Ax!F769+F4Bx!F768</f>
        <v>0</v>
      </c>
      <c r="G769" s="147">
        <f>F4Ax!G769+F4Bx!G768</f>
        <v>0</v>
      </c>
      <c r="H769" s="147">
        <f>F4Ax!H769+F4Bx!H768</f>
        <v>0</v>
      </c>
      <c r="I769" s="147">
        <f>F4Ax!I769+F4Bx!I768</f>
        <v>0</v>
      </c>
      <c r="J769" s="147">
        <f>F4Ax!J769+F4Bx!J768</f>
        <v>0</v>
      </c>
      <c r="K769" s="147">
        <f>F4Ax!K769+F4Bx!K768</f>
        <v>0</v>
      </c>
      <c r="L769" s="147">
        <f>F4Ax!L769+F4Bx!L768</f>
        <v>0</v>
      </c>
      <c r="M769" s="147">
        <f>F4Ax!M769+F4Bx!M768</f>
        <v>0</v>
      </c>
      <c r="N769" s="147">
        <f>F4Ax!N769+F4Bx!N768</f>
        <v>0</v>
      </c>
      <c r="O769" s="147">
        <f>F4Ax!O769+F4Bx!O768</f>
        <v>0</v>
      </c>
      <c r="P769" s="147">
        <f>F4Ax!P769+F4Bx!P768</f>
        <v>0</v>
      </c>
      <c r="Q769" s="316">
        <f t="shared" si="81"/>
        <v>0</v>
      </c>
    </row>
    <row r="770" ht="15" spans="3:17">
      <c r="C770" s="55" t="s">
        <v>197</v>
      </c>
      <c r="D770" s="55" t="s">
        <v>198</v>
      </c>
      <c r="E770" s="147">
        <f>F4Ax!E770+F4Bx!E769</f>
        <v>0</v>
      </c>
      <c r="F770" s="147">
        <f>F4Ax!F770+F4Bx!F769</f>
        <v>0</v>
      </c>
      <c r="G770" s="147">
        <f>F4Ax!G770+F4Bx!G769</f>
        <v>0</v>
      </c>
      <c r="H770" s="147">
        <f>F4Ax!H770+F4Bx!H769</f>
        <v>0</v>
      </c>
      <c r="I770" s="147">
        <f>F4Ax!I770+F4Bx!I769</f>
        <v>0</v>
      </c>
      <c r="J770" s="147">
        <f>F4Ax!J770+F4Bx!J769</f>
        <v>0</v>
      </c>
      <c r="K770" s="147">
        <f>F4Ax!K770+F4Bx!K769</f>
        <v>0</v>
      </c>
      <c r="L770" s="147">
        <f>F4Ax!L770+F4Bx!L769</f>
        <v>0</v>
      </c>
      <c r="M770" s="147">
        <f>F4Ax!M770+F4Bx!M769</f>
        <v>0</v>
      </c>
      <c r="N770" s="147">
        <f>F4Ax!N770+F4Bx!N769</f>
        <v>0</v>
      </c>
      <c r="O770" s="147">
        <f>F4Ax!O770+F4Bx!O769</f>
        <v>0</v>
      </c>
      <c r="P770" s="147">
        <f>F4Ax!P770+F4Bx!P769</f>
        <v>0</v>
      </c>
      <c r="Q770" s="316">
        <f t="shared" si="81"/>
        <v>0</v>
      </c>
    </row>
    <row r="771" ht="15" spans="3:17">
      <c r="C771" s="55" t="s">
        <v>199</v>
      </c>
      <c r="D771" s="55" t="s">
        <v>200</v>
      </c>
      <c r="E771" s="147">
        <f>F4Ax!E771+F4Bx!E770</f>
        <v>0</v>
      </c>
      <c r="F771" s="147">
        <f>F4Ax!F771+F4Bx!F770</f>
        <v>0</v>
      </c>
      <c r="G771" s="147">
        <f>F4Ax!G771+F4Bx!G770</f>
        <v>0</v>
      </c>
      <c r="H771" s="147">
        <f>F4Ax!H771+F4Bx!H770</f>
        <v>0</v>
      </c>
      <c r="I771" s="147">
        <f>F4Ax!I771+F4Bx!I770</f>
        <v>0</v>
      </c>
      <c r="J771" s="147">
        <f>F4Ax!J771+F4Bx!J770</f>
        <v>0</v>
      </c>
      <c r="K771" s="147">
        <f>F4Ax!K771+F4Bx!K770</f>
        <v>0</v>
      </c>
      <c r="L771" s="147">
        <f>F4Ax!L771+F4Bx!L770</f>
        <v>0</v>
      </c>
      <c r="M771" s="147">
        <f>F4Ax!M771+F4Bx!M770</f>
        <v>0</v>
      </c>
      <c r="N771" s="147">
        <f>F4Ax!N771+F4Bx!N770</f>
        <v>0</v>
      </c>
      <c r="O771" s="147">
        <f>F4Ax!O771+F4Bx!O770</f>
        <v>0</v>
      </c>
      <c r="P771" s="147">
        <f>F4Ax!P771+F4Bx!P770</f>
        <v>0</v>
      </c>
      <c r="Q771" s="316">
        <f t="shared" si="81"/>
        <v>0</v>
      </c>
    </row>
    <row r="772" ht="15" spans="3:17">
      <c r="C772" s="55" t="s">
        <v>201</v>
      </c>
      <c r="D772" s="55" t="s">
        <v>202</v>
      </c>
      <c r="E772" s="147">
        <f>F4Ax!E772+F4Bx!E771</f>
        <v>0</v>
      </c>
      <c r="F772" s="147">
        <f>F4Ax!F772+F4Bx!F771</f>
        <v>0</v>
      </c>
      <c r="G772" s="147">
        <f>F4Ax!G772+F4Bx!G771</f>
        <v>0</v>
      </c>
      <c r="H772" s="147">
        <f>F4Ax!H772+F4Bx!H771</f>
        <v>0</v>
      </c>
      <c r="I772" s="147">
        <f>F4Ax!I772+F4Bx!I771</f>
        <v>0</v>
      </c>
      <c r="J772" s="147">
        <f>F4Ax!J772+F4Bx!J771</f>
        <v>0</v>
      </c>
      <c r="K772" s="147">
        <f>F4Ax!K772+F4Bx!K771</f>
        <v>0</v>
      </c>
      <c r="L772" s="147">
        <f>F4Ax!L772+F4Bx!L771</f>
        <v>0</v>
      </c>
      <c r="M772" s="147">
        <f>F4Ax!M772+F4Bx!M771</f>
        <v>0</v>
      </c>
      <c r="N772" s="147">
        <f>F4Ax!N772+F4Bx!N771</f>
        <v>0</v>
      </c>
      <c r="O772" s="147">
        <f>F4Ax!O772+F4Bx!O771</f>
        <v>0</v>
      </c>
      <c r="P772" s="147">
        <f>F4Ax!P772+F4Bx!P771</f>
        <v>0</v>
      </c>
      <c r="Q772" s="316">
        <f t="shared" si="81"/>
        <v>0</v>
      </c>
    </row>
    <row r="773" ht="15" spans="3:17">
      <c r="C773" s="55" t="s">
        <v>203</v>
      </c>
      <c r="D773" s="55" t="s">
        <v>204</v>
      </c>
      <c r="E773" s="147">
        <f>F4Ax!E773+F4Bx!E772</f>
        <v>0</v>
      </c>
      <c r="F773" s="147">
        <f>F4Ax!F773+F4Bx!F772</f>
        <v>0</v>
      </c>
      <c r="G773" s="147">
        <f>F4Ax!G773+F4Bx!G772</f>
        <v>0</v>
      </c>
      <c r="H773" s="147">
        <f>F4Ax!H773+F4Bx!H772</f>
        <v>0</v>
      </c>
      <c r="I773" s="147">
        <f>F4Ax!I773+F4Bx!I772</f>
        <v>0</v>
      </c>
      <c r="J773" s="147">
        <f>F4Ax!J773+F4Bx!J772</f>
        <v>0</v>
      </c>
      <c r="K773" s="147">
        <f>F4Ax!K773+F4Bx!K772</f>
        <v>0</v>
      </c>
      <c r="L773" s="147">
        <f>F4Ax!L773+F4Bx!L772</f>
        <v>0</v>
      </c>
      <c r="M773" s="147">
        <f>F4Ax!M773+F4Bx!M772</f>
        <v>0</v>
      </c>
      <c r="N773" s="147">
        <f>F4Ax!N773+F4Bx!N772</f>
        <v>0</v>
      </c>
      <c r="O773" s="147">
        <f>F4Ax!O773+F4Bx!O772</f>
        <v>0</v>
      </c>
      <c r="P773" s="147">
        <f>F4Ax!P773+F4Bx!P772</f>
        <v>0</v>
      </c>
      <c r="Q773" s="316">
        <f t="shared" si="81"/>
        <v>0</v>
      </c>
    </row>
    <row r="774" ht="15" spans="3:17">
      <c r="C774" s="55" t="s">
        <v>205</v>
      </c>
      <c r="D774" s="55" t="s">
        <v>206</v>
      </c>
      <c r="E774" s="147">
        <f>F4Ax!E774+F4Bx!E773</f>
        <v>0</v>
      </c>
      <c r="F774" s="147">
        <f>F4Ax!F774+F4Bx!F773</f>
        <v>0</v>
      </c>
      <c r="G774" s="147">
        <f>F4Ax!G774+F4Bx!G773</f>
        <v>0</v>
      </c>
      <c r="H774" s="147">
        <f>F4Ax!H774+F4Bx!H773</f>
        <v>0</v>
      </c>
      <c r="I774" s="147">
        <f>F4Ax!I774+F4Bx!I773</f>
        <v>0</v>
      </c>
      <c r="J774" s="147">
        <f>F4Ax!J774+F4Bx!J773</f>
        <v>0</v>
      </c>
      <c r="K774" s="147">
        <f>F4Ax!K774+F4Bx!K773</f>
        <v>0</v>
      </c>
      <c r="L774" s="147">
        <f>F4Ax!L774+F4Bx!L773</f>
        <v>0</v>
      </c>
      <c r="M774" s="147">
        <f>F4Ax!M774+F4Bx!M773</f>
        <v>0</v>
      </c>
      <c r="N774" s="147">
        <f>F4Ax!N774+F4Bx!N773</f>
        <v>0</v>
      </c>
      <c r="O774" s="147">
        <f>F4Ax!O774+F4Bx!O773</f>
        <v>0</v>
      </c>
      <c r="P774" s="147">
        <f>F4Ax!P774+F4Bx!P773</f>
        <v>0</v>
      </c>
      <c r="Q774" s="316">
        <f t="shared" si="81"/>
        <v>0</v>
      </c>
    </row>
    <row r="775" ht="15" spans="3:17">
      <c r="C775" s="55" t="s">
        <v>207</v>
      </c>
      <c r="D775" s="55" t="s">
        <v>186</v>
      </c>
      <c r="E775" s="147">
        <f>F4Ax!E775+F4Bx!E774</f>
        <v>0</v>
      </c>
      <c r="F775" s="147">
        <f>F4Ax!F775+F4Bx!F774</f>
        <v>0</v>
      </c>
      <c r="G775" s="147">
        <f>F4Ax!G775+F4Bx!G774</f>
        <v>0</v>
      </c>
      <c r="H775" s="147">
        <f>F4Ax!H775+F4Bx!H774</f>
        <v>0</v>
      </c>
      <c r="I775" s="147">
        <f>F4Ax!I775+F4Bx!I774</f>
        <v>0</v>
      </c>
      <c r="J775" s="147">
        <f>F4Ax!J775+F4Bx!J774</f>
        <v>0</v>
      </c>
      <c r="K775" s="147">
        <f>F4Ax!K775+F4Bx!K774</f>
        <v>0</v>
      </c>
      <c r="L775" s="147">
        <f>F4Ax!L775+F4Bx!L774</f>
        <v>0</v>
      </c>
      <c r="M775" s="147">
        <f>F4Ax!M775+F4Bx!M774</f>
        <v>0</v>
      </c>
      <c r="N775" s="147">
        <f>F4Ax!N775+F4Bx!N774</f>
        <v>0</v>
      </c>
      <c r="O775" s="147">
        <f>F4Ax!O775+F4Bx!O774</f>
        <v>0</v>
      </c>
      <c r="P775" s="147">
        <f>F4Ax!P775+F4Bx!P774</f>
        <v>0</v>
      </c>
      <c r="Q775" s="316">
        <f t="shared" si="81"/>
        <v>0</v>
      </c>
    </row>
    <row r="776" ht="15" spans="3:17">
      <c r="C776" s="55" t="s">
        <v>208</v>
      </c>
      <c r="D776" s="55" t="s">
        <v>209</v>
      </c>
      <c r="E776" s="147">
        <f>F4Ax!E776+F4Bx!E775</f>
        <v>0</v>
      </c>
      <c r="F776" s="147">
        <f>F4Ax!F776+F4Bx!F775</f>
        <v>0</v>
      </c>
      <c r="G776" s="147">
        <f>F4Ax!G776+F4Bx!G775</f>
        <v>0</v>
      </c>
      <c r="H776" s="147">
        <f>F4Ax!H776+F4Bx!H775</f>
        <v>0</v>
      </c>
      <c r="I776" s="147">
        <f>F4Ax!I776+F4Bx!I775</f>
        <v>0</v>
      </c>
      <c r="J776" s="147">
        <f>F4Ax!J776+F4Bx!J775</f>
        <v>0</v>
      </c>
      <c r="K776" s="147">
        <f>F4Ax!K776+F4Bx!K775</f>
        <v>0</v>
      </c>
      <c r="L776" s="147">
        <f>F4Ax!L776+F4Bx!L775</f>
        <v>0</v>
      </c>
      <c r="M776" s="147">
        <f>F4Ax!M776+F4Bx!M775</f>
        <v>0</v>
      </c>
      <c r="N776" s="147">
        <f>F4Ax!N776+F4Bx!N775</f>
        <v>0</v>
      </c>
      <c r="O776" s="147">
        <f>F4Ax!O776+F4Bx!O775</f>
        <v>0</v>
      </c>
      <c r="P776" s="147">
        <f>F4Ax!P776+F4Bx!P775</f>
        <v>0</v>
      </c>
      <c r="Q776" s="316">
        <f t="shared" si="81"/>
        <v>0</v>
      </c>
    </row>
    <row r="777" ht="15" spans="3:17">
      <c r="C777" s="55" t="s">
        <v>210</v>
      </c>
      <c r="D777" s="55" t="s">
        <v>188</v>
      </c>
      <c r="E777" s="147">
        <f>F4Ax!E777+F4Bx!E776</f>
        <v>0</v>
      </c>
      <c r="F777" s="147">
        <f>F4Ax!F777+F4Bx!F776</f>
        <v>0</v>
      </c>
      <c r="G777" s="147">
        <f>F4Ax!G777+F4Bx!G776</f>
        <v>0</v>
      </c>
      <c r="H777" s="147">
        <f>F4Ax!H777+F4Bx!H776</f>
        <v>0</v>
      </c>
      <c r="I777" s="147">
        <f>F4Ax!I777+F4Bx!I776</f>
        <v>0</v>
      </c>
      <c r="J777" s="147">
        <f>F4Ax!J777+F4Bx!J776</f>
        <v>0</v>
      </c>
      <c r="K777" s="147">
        <f>F4Ax!K777+F4Bx!K776</f>
        <v>0</v>
      </c>
      <c r="L777" s="147">
        <f>F4Ax!L777+F4Bx!L776</f>
        <v>0</v>
      </c>
      <c r="M777" s="147">
        <f>F4Ax!M777+F4Bx!M776</f>
        <v>0</v>
      </c>
      <c r="N777" s="147">
        <f>F4Ax!N777+F4Bx!N776</f>
        <v>0</v>
      </c>
      <c r="O777" s="147">
        <f>F4Ax!O777+F4Bx!O776</f>
        <v>0</v>
      </c>
      <c r="P777" s="147">
        <f>F4Ax!P777+F4Bx!P776</f>
        <v>0</v>
      </c>
      <c r="Q777" s="316">
        <f t="shared" si="81"/>
        <v>0</v>
      </c>
    </row>
    <row r="778" ht="15" spans="3:17">
      <c r="C778" s="55"/>
      <c r="D778" s="55"/>
      <c r="E778" s="147">
        <f>F4Ax!E778+F4Bx!E777</f>
        <v>0</v>
      </c>
      <c r="F778" s="147">
        <f>F4Ax!F778+F4Bx!F777</f>
        <v>0</v>
      </c>
      <c r="G778" s="147">
        <f>F4Ax!G778+F4Bx!G777</f>
        <v>0</v>
      </c>
      <c r="H778" s="147">
        <f>F4Ax!H778+F4Bx!H777</f>
        <v>0</v>
      </c>
      <c r="I778" s="147">
        <f>F4Ax!I778+F4Bx!I777</f>
        <v>0</v>
      </c>
      <c r="J778" s="147">
        <f>F4Ax!J778+F4Bx!J777</f>
        <v>0</v>
      </c>
      <c r="K778" s="147">
        <f>F4Ax!K778+F4Bx!K777</f>
        <v>0</v>
      </c>
      <c r="L778" s="147">
        <f>F4Ax!L778+F4Bx!L777</f>
        <v>0</v>
      </c>
      <c r="M778" s="147">
        <f>F4Ax!M778+F4Bx!M777</f>
        <v>0</v>
      </c>
      <c r="N778" s="147">
        <f>F4Ax!N778+F4Bx!N777</f>
        <v>0</v>
      </c>
      <c r="O778" s="147">
        <f>F4Ax!O778+F4Bx!O777</f>
        <v>0</v>
      </c>
      <c r="P778" s="147">
        <f>F4Ax!P778+F4Bx!P777</f>
        <v>0</v>
      </c>
      <c r="Q778" s="316">
        <f t="shared" si="81"/>
        <v>0</v>
      </c>
    </row>
    <row r="779" ht="15" spans="3:17">
      <c r="C779" s="55"/>
      <c r="D779" s="55"/>
      <c r="E779" s="147">
        <f>F4Ax!E779+F4Bx!E778</f>
        <v>0</v>
      </c>
      <c r="F779" s="147">
        <f>F4Ax!F779+F4Bx!F778</f>
        <v>0</v>
      </c>
      <c r="G779" s="147">
        <f>F4Ax!G779+F4Bx!G778</f>
        <v>0</v>
      </c>
      <c r="H779" s="147">
        <f>F4Ax!H779+F4Bx!H778</f>
        <v>0</v>
      </c>
      <c r="I779" s="147">
        <f>F4Ax!I779+F4Bx!I778</f>
        <v>0</v>
      </c>
      <c r="J779" s="147">
        <f>F4Ax!J779+F4Bx!J778</f>
        <v>0</v>
      </c>
      <c r="K779" s="147">
        <f>F4Ax!K779+F4Bx!K778</f>
        <v>0</v>
      </c>
      <c r="L779" s="147">
        <f>F4Ax!L779+F4Bx!L778</f>
        <v>0</v>
      </c>
      <c r="M779" s="147">
        <f>F4Ax!M779+F4Bx!M778</f>
        <v>0</v>
      </c>
      <c r="N779" s="147">
        <f>F4Ax!N779+F4Bx!N778</f>
        <v>0</v>
      </c>
      <c r="O779" s="147">
        <f>F4Ax!O779+F4Bx!O778</f>
        <v>0</v>
      </c>
      <c r="P779" s="147">
        <f>F4Ax!P779+F4Bx!P778</f>
        <v>0</v>
      </c>
      <c r="Q779" s="316">
        <f t="shared" si="81"/>
        <v>0</v>
      </c>
    </row>
    <row r="780" ht="15" spans="3:17">
      <c r="C780" s="55"/>
      <c r="D780" s="55"/>
      <c r="E780" s="147">
        <f>F4Ax!E780+F4Bx!E779</f>
        <v>0</v>
      </c>
      <c r="F780" s="147">
        <f>F4Ax!F780+F4Bx!F779</f>
        <v>0</v>
      </c>
      <c r="G780" s="147">
        <f>F4Ax!G780+F4Bx!G779</f>
        <v>0</v>
      </c>
      <c r="H780" s="147">
        <f>F4Ax!H780+F4Bx!H779</f>
        <v>0</v>
      </c>
      <c r="I780" s="147">
        <f>F4Ax!I780+F4Bx!I779</f>
        <v>0</v>
      </c>
      <c r="J780" s="147">
        <f>F4Ax!J780+F4Bx!J779</f>
        <v>0</v>
      </c>
      <c r="K780" s="147">
        <f>F4Ax!K780+F4Bx!K779</f>
        <v>0</v>
      </c>
      <c r="L780" s="147">
        <f>F4Ax!L780+F4Bx!L779</f>
        <v>0</v>
      </c>
      <c r="M780" s="147">
        <f>F4Ax!M780+F4Bx!M779</f>
        <v>0</v>
      </c>
      <c r="N780" s="147">
        <f>F4Ax!N780+F4Bx!N779</f>
        <v>0</v>
      </c>
      <c r="O780" s="147">
        <f>F4Ax!O780+F4Bx!O779</f>
        <v>0</v>
      </c>
      <c r="P780" s="147">
        <f>F4Ax!P780+F4Bx!P779</f>
        <v>0</v>
      </c>
      <c r="Q780" s="316">
        <f t="shared" si="81"/>
        <v>0</v>
      </c>
    </row>
    <row r="781" ht="15" spans="3:17">
      <c r="C781" s="55" t="s">
        <v>258</v>
      </c>
      <c r="D781" s="55" t="s">
        <v>258</v>
      </c>
      <c r="E781" s="147">
        <f>F4Ax!E781+F4Bx!E780</f>
        <v>0</v>
      </c>
      <c r="F781" s="147">
        <f>F4Ax!F781+F4Bx!F780</f>
        <v>0</v>
      </c>
      <c r="G781" s="147">
        <f>F4Ax!G781+F4Bx!G780</f>
        <v>0</v>
      </c>
      <c r="H781" s="147">
        <f>F4Ax!H781+F4Bx!H780</f>
        <v>0</v>
      </c>
      <c r="I781" s="147">
        <f>F4Ax!I781+F4Bx!I780</f>
        <v>0</v>
      </c>
      <c r="J781" s="147">
        <f>F4Ax!J781+F4Bx!J780</f>
        <v>0</v>
      </c>
      <c r="K781" s="147">
        <f>F4Ax!K781+F4Bx!K780</f>
        <v>0</v>
      </c>
      <c r="L781" s="147">
        <f>F4Ax!L781+F4Bx!L780</f>
        <v>0</v>
      </c>
      <c r="M781" s="147">
        <f>F4Ax!M781+F4Bx!M780</f>
        <v>0</v>
      </c>
      <c r="N781" s="147">
        <f>F4Ax!N781+F4Bx!N780</f>
        <v>0</v>
      </c>
      <c r="O781" s="147">
        <f>F4Ax!O781+F4Bx!O780</f>
        <v>0</v>
      </c>
      <c r="P781" s="147">
        <f>F4Ax!P781+F4Bx!P780</f>
        <v>0</v>
      </c>
      <c r="Q781" s="316">
        <f t="shared" si="81"/>
        <v>0</v>
      </c>
    </row>
    <row r="782" ht="15" spans="3:17">
      <c r="C782" s="537" t="s">
        <v>211</v>
      </c>
      <c r="D782" s="540"/>
      <c r="E782" s="316">
        <f t="shared" ref="E782:P782" si="83">SUM(E767:E781)</f>
        <v>0</v>
      </c>
      <c r="F782" s="316">
        <f t="shared" si="83"/>
        <v>0</v>
      </c>
      <c r="G782" s="316">
        <f t="shared" si="83"/>
        <v>0</v>
      </c>
      <c r="H782" s="316">
        <f t="shared" si="83"/>
        <v>0</v>
      </c>
      <c r="I782" s="316">
        <f t="shared" si="83"/>
        <v>0</v>
      </c>
      <c r="J782" s="316">
        <f t="shared" si="83"/>
        <v>0</v>
      </c>
      <c r="K782" s="316">
        <f t="shared" si="83"/>
        <v>0</v>
      </c>
      <c r="L782" s="316">
        <f t="shared" si="83"/>
        <v>0</v>
      </c>
      <c r="M782" s="316">
        <f t="shared" si="83"/>
        <v>0</v>
      </c>
      <c r="N782" s="316">
        <f t="shared" si="83"/>
        <v>0</v>
      </c>
      <c r="O782" s="316">
        <f t="shared" si="83"/>
        <v>0</v>
      </c>
      <c r="P782" s="316">
        <f t="shared" si="83"/>
        <v>0</v>
      </c>
      <c r="Q782" s="316">
        <f t="shared" si="81"/>
        <v>0</v>
      </c>
    </row>
    <row r="783" ht="15" spans="3:17">
      <c r="C783" s="44" t="s">
        <v>212</v>
      </c>
      <c r="D783" s="45"/>
      <c r="E783" s="147"/>
      <c r="F783" s="147"/>
      <c r="G783" s="147"/>
      <c r="H783" s="147"/>
      <c r="I783" s="147"/>
      <c r="J783" s="147"/>
      <c r="K783" s="147"/>
      <c r="L783" s="147"/>
      <c r="M783" s="147"/>
      <c r="N783" s="147"/>
      <c r="O783" s="147"/>
      <c r="P783" s="147"/>
      <c r="Q783" s="316">
        <f t="shared" ref="Q783:Q814" si="84">SUM(E783:P783)</f>
        <v>0</v>
      </c>
    </row>
    <row r="784" ht="15" spans="3:17">
      <c r="C784" s="55" t="s">
        <v>191</v>
      </c>
      <c r="D784" s="55" t="s">
        <v>192</v>
      </c>
      <c r="E784" s="147">
        <f>F4Ax!E784+F4Bx!E783</f>
        <v>0</v>
      </c>
      <c r="F784" s="147">
        <f>F4Ax!F784+F4Bx!F783</f>
        <v>0</v>
      </c>
      <c r="G784" s="147">
        <f>F4Ax!G784+F4Bx!G783</f>
        <v>0</v>
      </c>
      <c r="H784" s="147">
        <f>F4Ax!H784+F4Bx!H783</f>
        <v>0</v>
      </c>
      <c r="I784" s="147">
        <f>F4Ax!I784+F4Bx!I783</f>
        <v>0</v>
      </c>
      <c r="J784" s="147">
        <f>F4Ax!J784+F4Bx!J783</f>
        <v>0</v>
      </c>
      <c r="K784" s="147">
        <f>F4Ax!K784+F4Bx!K783</f>
        <v>0</v>
      </c>
      <c r="L784" s="147">
        <f>F4Ax!L784+F4Bx!L783</f>
        <v>0</v>
      </c>
      <c r="M784" s="147">
        <f>F4Ax!M784+F4Bx!M783</f>
        <v>0</v>
      </c>
      <c r="N784" s="147">
        <f>F4Ax!N784+F4Bx!N783</f>
        <v>0</v>
      </c>
      <c r="O784" s="147">
        <f>F4Ax!O784+F4Bx!O783</f>
        <v>0</v>
      </c>
      <c r="P784" s="147">
        <f>F4Ax!P784+F4Bx!P783</f>
        <v>0</v>
      </c>
      <c r="Q784" s="316">
        <f t="shared" si="84"/>
        <v>0</v>
      </c>
    </row>
    <row r="785" ht="15" spans="3:17">
      <c r="C785" s="55" t="s">
        <v>193</v>
      </c>
      <c r="D785" s="55" t="s">
        <v>194</v>
      </c>
      <c r="E785" s="147">
        <f>F4Ax!E785+F4Bx!E784</f>
        <v>0</v>
      </c>
      <c r="F785" s="147">
        <f>F4Ax!F785+F4Bx!F784</f>
        <v>0</v>
      </c>
      <c r="G785" s="147">
        <f>F4Ax!G785+F4Bx!G784</f>
        <v>0</v>
      </c>
      <c r="H785" s="147">
        <f>F4Ax!H785+F4Bx!H784</f>
        <v>0</v>
      </c>
      <c r="I785" s="147">
        <f>F4Ax!I785+F4Bx!I784</f>
        <v>0</v>
      </c>
      <c r="J785" s="147">
        <f>F4Ax!J785+F4Bx!J784</f>
        <v>0</v>
      </c>
      <c r="K785" s="147">
        <f>F4Ax!K785+F4Bx!K784</f>
        <v>0</v>
      </c>
      <c r="L785" s="147">
        <f>F4Ax!L785+F4Bx!L784</f>
        <v>0</v>
      </c>
      <c r="M785" s="147">
        <f>F4Ax!M785+F4Bx!M784</f>
        <v>0</v>
      </c>
      <c r="N785" s="147">
        <f>F4Ax!N785+F4Bx!N784</f>
        <v>0</v>
      </c>
      <c r="O785" s="147">
        <f>F4Ax!O785+F4Bx!O784</f>
        <v>0</v>
      </c>
      <c r="P785" s="147">
        <f>F4Ax!P785+F4Bx!P784</f>
        <v>0</v>
      </c>
      <c r="Q785" s="316">
        <f t="shared" si="84"/>
        <v>0</v>
      </c>
    </row>
    <row r="786" ht="15" spans="3:17">
      <c r="C786" s="55" t="s">
        <v>239</v>
      </c>
      <c r="D786" s="55" t="s">
        <v>196</v>
      </c>
      <c r="E786" s="147">
        <f>F4Ax!E786+F4Bx!E785</f>
        <v>0</v>
      </c>
      <c r="F786" s="147">
        <f>F4Ax!F786+F4Bx!F785</f>
        <v>0</v>
      </c>
      <c r="G786" s="147">
        <f>F4Ax!G786+F4Bx!G785</f>
        <v>0</v>
      </c>
      <c r="H786" s="147">
        <f>F4Ax!H786+F4Bx!H785</f>
        <v>0</v>
      </c>
      <c r="I786" s="147">
        <f>F4Ax!I786+F4Bx!I785</f>
        <v>0</v>
      </c>
      <c r="J786" s="147">
        <f>F4Ax!J786+F4Bx!J785</f>
        <v>0</v>
      </c>
      <c r="K786" s="147">
        <f>F4Ax!K786+F4Bx!K785</f>
        <v>0</v>
      </c>
      <c r="L786" s="147">
        <f>F4Ax!L786+F4Bx!L785</f>
        <v>0</v>
      </c>
      <c r="M786" s="147">
        <f>F4Ax!M786+F4Bx!M785</f>
        <v>0</v>
      </c>
      <c r="N786" s="147">
        <f>F4Ax!N786+F4Bx!N785</f>
        <v>0</v>
      </c>
      <c r="O786" s="147">
        <f>F4Ax!O786+F4Bx!O785</f>
        <v>0</v>
      </c>
      <c r="P786" s="147">
        <f>F4Ax!P786+F4Bx!P785</f>
        <v>0</v>
      </c>
      <c r="Q786" s="316">
        <f t="shared" si="84"/>
        <v>0</v>
      </c>
    </row>
    <row r="787" ht="15" spans="3:17">
      <c r="C787" s="55" t="s">
        <v>197</v>
      </c>
      <c r="D787" s="55" t="s">
        <v>198</v>
      </c>
      <c r="E787" s="147">
        <f>F4Ax!E787+F4Bx!E786</f>
        <v>0</v>
      </c>
      <c r="F787" s="147">
        <f>F4Ax!F787+F4Bx!F786</f>
        <v>0</v>
      </c>
      <c r="G787" s="147">
        <f>F4Ax!G787+F4Bx!G786</f>
        <v>0</v>
      </c>
      <c r="H787" s="147">
        <f>F4Ax!H787+F4Bx!H786</f>
        <v>0</v>
      </c>
      <c r="I787" s="147">
        <f>F4Ax!I787+F4Bx!I786</f>
        <v>0</v>
      </c>
      <c r="J787" s="147">
        <f>F4Ax!J787+F4Bx!J786</f>
        <v>0</v>
      </c>
      <c r="K787" s="147">
        <f>F4Ax!K787+F4Bx!K786</f>
        <v>0</v>
      </c>
      <c r="L787" s="147">
        <f>F4Ax!L787+F4Bx!L786</f>
        <v>0</v>
      </c>
      <c r="M787" s="147">
        <f>F4Ax!M787+F4Bx!M786</f>
        <v>0</v>
      </c>
      <c r="N787" s="147">
        <f>F4Ax!N787+F4Bx!N786</f>
        <v>0</v>
      </c>
      <c r="O787" s="147">
        <f>F4Ax!O787+F4Bx!O786</f>
        <v>0</v>
      </c>
      <c r="P787" s="147">
        <f>F4Ax!P787+F4Bx!P786</f>
        <v>0</v>
      </c>
      <c r="Q787" s="316">
        <f t="shared" si="84"/>
        <v>0</v>
      </c>
    </row>
    <row r="788" ht="15" spans="3:17">
      <c r="C788" s="55" t="s">
        <v>199</v>
      </c>
      <c r="D788" s="55" t="s">
        <v>200</v>
      </c>
      <c r="E788" s="147">
        <f>F4Ax!E788+F4Bx!E787</f>
        <v>0</v>
      </c>
      <c r="F788" s="147">
        <f>F4Ax!F788+F4Bx!F787</f>
        <v>0</v>
      </c>
      <c r="G788" s="147">
        <f>F4Ax!G788+F4Bx!G787</f>
        <v>0</v>
      </c>
      <c r="H788" s="147">
        <f>F4Ax!H788+F4Bx!H787</f>
        <v>0</v>
      </c>
      <c r="I788" s="147">
        <f>F4Ax!I788+F4Bx!I787</f>
        <v>0</v>
      </c>
      <c r="J788" s="147">
        <f>F4Ax!J788+F4Bx!J787</f>
        <v>0</v>
      </c>
      <c r="K788" s="147">
        <f>F4Ax!K788+F4Bx!K787</f>
        <v>0</v>
      </c>
      <c r="L788" s="147">
        <f>F4Ax!L788+F4Bx!L787</f>
        <v>0</v>
      </c>
      <c r="M788" s="147">
        <f>F4Ax!M788+F4Bx!M787</f>
        <v>0</v>
      </c>
      <c r="N788" s="147">
        <f>F4Ax!N788+F4Bx!N787</f>
        <v>0</v>
      </c>
      <c r="O788" s="147">
        <f>F4Ax!O788+F4Bx!O787</f>
        <v>0</v>
      </c>
      <c r="P788" s="147">
        <f>F4Ax!P788+F4Bx!P787</f>
        <v>0</v>
      </c>
      <c r="Q788" s="316">
        <f t="shared" si="84"/>
        <v>0</v>
      </c>
    </row>
    <row r="789" ht="15" spans="3:17">
      <c r="C789" s="55" t="s">
        <v>201</v>
      </c>
      <c r="D789" s="55" t="s">
        <v>202</v>
      </c>
      <c r="E789" s="147">
        <f>F4Ax!E789+F4Bx!E788</f>
        <v>0</v>
      </c>
      <c r="F789" s="147">
        <f>F4Ax!F789+F4Bx!F788</f>
        <v>0</v>
      </c>
      <c r="G789" s="147">
        <f>F4Ax!G789+F4Bx!G788</f>
        <v>0</v>
      </c>
      <c r="H789" s="147">
        <f>F4Ax!H789+F4Bx!H788</f>
        <v>0</v>
      </c>
      <c r="I789" s="147">
        <f>F4Ax!I789+F4Bx!I788</f>
        <v>0</v>
      </c>
      <c r="J789" s="147">
        <f>F4Ax!J789+F4Bx!J788</f>
        <v>0</v>
      </c>
      <c r="K789" s="147">
        <f>F4Ax!K789+F4Bx!K788</f>
        <v>0</v>
      </c>
      <c r="L789" s="147">
        <f>F4Ax!L789+F4Bx!L788</f>
        <v>0</v>
      </c>
      <c r="M789" s="147">
        <f>F4Ax!M789+F4Bx!M788</f>
        <v>0</v>
      </c>
      <c r="N789" s="147">
        <f>F4Ax!N789+F4Bx!N788</f>
        <v>0</v>
      </c>
      <c r="O789" s="147">
        <f>F4Ax!O789+F4Bx!O788</f>
        <v>0</v>
      </c>
      <c r="P789" s="147">
        <f>F4Ax!P789+F4Bx!P788</f>
        <v>0</v>
      </c>
      <c r="Q789" s="316">
        <f t="shared" si="84"/>
        <v>0</v>
      </c>
    </row>
    <row r="790" ht="15" spans="3:17">
      <c r="C790" s="55" t="s">
        <v>203</v>
      </c>
      <c r="D790" s="55" t="s">
        <v>204</v>
      </c>
      <c r="E790" s="147">
        <f>F4Ax!E790+F4Bx!E789</f>
        <v>0</v>
      </c>
      <c r="F790" s="147">
        <f>F4Ax!F790+F4Bx!F789</f>
        <v>0</v>
      </c>
      <c r="G790" s="147">
        <f>F4Ax!G790+F4Bx!G789</f>
        <v>0</v>
      </c>
      <c r="H790" s="147">
        <f>F4Ax!H790+F4Bx!H789</f>
        <v>0</v>
      </c>
      <c r="I790" s="147">
        <f>F4Ax!I790+F4Bx!I789</f>
        <v>0</v>
      </c>
      <c r="J790" s="147">
        <f>F4Ax!J790+F4Bx!J789</f>
        <v>0</v>
      </c>
      <c r="K790" s="147">
        <f>F4Ax!K790+F4Bx!K789</f>
        <v>0</v>
      </c>
      <c r="L790" s="147">
        <f>F4Ax!L790+F4Bx!L789</f>
        <v>0</v>
      </c>
      <c r="M790" s="147">
        <f>F4Ax!M790+F4Bx!M789</f>
        <v>0</v>
      </c>
      <c r="N790" s="147">
        <f>F4Ax!N790+F4Bx!N789</f>
        <v>0</v>
      </c>
      <c r="O790" s="147">
        <f>F4Ax!O790+F4Bx!O789</f>
        <v>0</v>
      </c>
      <c r="P790" s="147">
        <f>F4Ax!P790+F4Bx!P789</f>
        <v>0</v>
      </c>
      <c r="Q790" s="316">
        <f t="shared" si="84"/>
        <v>0</v>
      </c>
    </row>
    <row r="791" ht="15" spans="3:17">
      <c r="C791" s="55" t="s">
        <v>205</v>
      </c>
      <c r="D791" s="55" t="s">
        <v>206</v>
      </c>
      <c r="E791" s="147">
        <f>F4Ax!E791+F4Bx!E790</f>
        <v>0</v>
      </c>
      <c r="F791" s="147">
        <f>F4Ax!F791+F4Bx!F790</f>
        <v>0</v>
      </c>
      <c r="G791" s="147">
        <f>F4Ax!G791+F4Bx!G790</f>
        <v>0</v>
      </c>
      <c r="H791" s="147">
        <f>F4Ax!H791+F4Bx!H790</f>
        <v>0</v>
      </c>
      <c r="I791" s="147">
        <f>F4Ax!I791+F4Bx!I790</f>
        <v>0</v>
      </c>
      <c r="J791" s="147">
        <f>F4Ax!J791+F4Bx!J790</f>
        <v>0</v>
      </c>
      <c r="K791" s="147">
        <f>F4Ax!K791+F4Bx!K790</f>
        <v>0</v>
      </c>
      <c r="L791" s="147">
        <f>F4Ax!L791+F4Bx!L790</f>
        <v>0</v>
      </c>
      <c r="M791" s="147">
        <f>F4Ax!M791+F4Bx!M790</f>
        <v>0</v>
      </c>
      <c r="N791" s="147">
        <f>F4Ax!N791+F4Bx!N790</f>
        <v>0</v>
      </c>
      <c r="O791" s="147">
        <f>F4Ax!O791+F4Bx!O790</f>
        <v>0</v>
      </c>
      <c r="P791" s="147">
        <f>F4Ax!P791+F4Bx!P790</f>
        <v>0</v>
      </c>
      <c r="Q791" s="316">
        <f t="shared" si="84"/>
        <v>0</v>
      </c>
    </row>
    <row r="792" ht="15" spans="3:17">
      <c r="C792" s="55" t="s">
        <v>231</v>
      </c>
      <c r="D792" s="55" t="s">
        <v>186</v>
      </c>
      <c r="E792" s="147">
        <f>F4Ax!E792+F4Bx!E791</f>
        <v>0</v>
      </c>
      <c r="F792" s="147">
        <f>F4Ax!F792+F4Bx!F791</f>
        <v>0</v>
      </c>
      <c r="G792" s="147">
        <f>F4Ax!G792+F4Bx!G791</f>
        <v>0</v>
      </c>
      <c r="H792" s="147">
        <f>F4Ax!H792+F4Bx!H791</f>
        <v>0</v>
      </c>
      <c r="I792" s="147">
        <f>F4Ax!I792+F4Bx!I791</f>
        <v>0</v>
      </c>
      <c r="J792" s="147">
        <f>F4Ax!J792+F4Bx!J791</f>
        <v>0</v>
      </c>
      <c r="K792" s="147">
        <f>F4Ax!K792+F4Bx!K791</f>
        <v>0</v>
      </c>
      <c r="L792" s="147">
        <f>F4Ax!L792+F4Bx!L791</f>
        <v>0</v>
      </c>
      <c r="M792" s="147">
        <f>F4Ax!M792+F4Bx!M791</f>
        <v>0</v>
      </c>
      <c r="N792" s="147">
        <f>F4Ax!N792+F4Bx!N791</f>
        <v>0</v>
      </c>
      <c r="O792" s="147">
        <f>F4Ax!O792+F4Bx!O791</f>
        <v>0</v>
      </c>
      <c r="P792" s="147">
        <f>F4Ax!P792+F4Bx!P791</f>
        <v>0</v>
      </c>
      <c r="Q792" s="316">
        <f t="shared" si="84"/>
        <v>0</v>
      </c>
    </row>
    <row r="793" ht="15" spans="3:17">
      <c r="C793" s="55" t="s">
        <v>208</v>
      </c>
      <c r="D793" s="55" t="s">
        <v>209</v>
      </c>
      <c r="E793" s="147">
        <f>F4Ax!E793+F4Bx!E792</f>
        <v>0</v>
      </c>
      <c r="F793" s="147">
        <f>F4Ax!F793+F4Bx!F792</f>
        <v>0</v>
      </c>
      <c r="G793" s="147">
        <f>F4Ax!G793+F4Bx!G792</f>
        <v>0</v>
      </c>
      <c r="H793" s="147">
        <f>F4Ax!H793+F4Bx!H792</f>
        <v>0</v>
      </c>
      <c r="I793" s="147">
        <f>F4Ax!I793+F4Bx!I792</f>
        <v>0</v>
      </c>
      <c r="J793" s="147">
        <f>F4Ax!J793+F4Bx!J792</f>
        <v>0</v>
      </c>
      <c r="K793" s="147">
        <f>F4Ax!K793+F4Bx!K792</f>
        <v>0</v>
      </c>
      <c r="L793" s="147">
        <f>F4Ax!L793+F4Bx!L792</f>
        <v>0</v>
      </c>
      <c r="M793" s="147">
        <f>F4Ax!M793+F4Bx!M792</f>
        <v>0</v>
      </c>
      <c r="N793" s="147">
        <f>F4Ax!N793+F4Bx!N792</f>
        <v>0</v>
      </c>
      <c r="O793" s="147">
        <f>F4Ax!O793+F4Bx!O792</f>
        <v>0</v>
      </c>
      <c r="P793" s="147">
        <f>F4Ax!P793+F4Bx!P792</f>
        <v>0</v>
      </c>
      <c r="Q793" s="316">
        <f t="shared" si="84"/>
        <v>0</v>
      </c>
    </row>
    <row r="794" ht="15" spans="3:17">
      <c r="C794" s="55" t="s">
        <v>210</v>
      </c>
      <c r="D794" s="55" t="s">
        <v>188</v>
      </c>
      <c r="E794" s="147">
        <f>F4Ax!E794+F4Bx!E793</f>
        <v>0</v>
      </c>
      <c r="F794" s="147">
        <f>F4Ax!F794+F4Bx!F793</f>
        <v>0</v>
      </c>
      <c r="G794" s="147">
        <f>F4Ax!G794+F4Bx!G793</f>
        <v>0</v>
      </c>
      <c r="H794" s="147">
        <f>F4Ax!H794+F4Bx!H793</f>
        <v>0</v>
      </c>
      <c r="I794" s="147">
        <f>F4Ax!I794+F4Bx!I793</f>
        <v>0</v>
      </c>
      <c r="J794" s="147">
        <f>F4Ax!J794+F4Bx!J793</f>
        <v>0</v>
      </c>
      <c r="K794" s="147">
        <f>F4Ax!K794+F4Bx!K793</f>
        <v>0</v>
      </c>
      <c r="L794" s="147">
        <f>F4Ax!L794+F4Bx!L793</f>
        <v>0</v>
      </c>
      <c r="M794" s="147">
        <f>F4Ax!M794+F4Bx!M793</f>
        <v>0</v>
      </c>
      <c r="N794" s="147">
        <f>F4Ax!N794+F4Bx!N793</f>
        <v>0</v>
      </c>
      <c r="O794" s="147">
        <f>F4Ax!O794+F4Bx!O793</f>
        <v>0</v>
      </c>
      <c r="P794" s="147">
        <f>F4Ax!P794+F4Bx!P793</f>
        <v>0</v>
      </c>
      <c r="Q794" s="316">
        <f t="shared" si="84"/>
        <v>0</v>
      </c>
    </row>
    <row r="795" ht="15" spans="3:17">
      <c r="C795" s="55"/>
      <c r="D795" s="55"/>
      <c r="E795" s="147">
        <f>F4Ax!E795+F4Bx!E794</f>
        <v>0</v>
      </c>
      <c r="F795" s="147">
        <f>F4Ax!F795+F4Bx!F794</f>
        <v>0</v>
      </c>
      <c r="G795" s="147">
        <f>F4Ax!G795+F4Bx!G794</f>
        <v>0</v>
      </c>
      <c r="H795" s="147">
        <f>F4Ax!H795+F4Bx!H794</f>
        <v>0</v>
      </c>
      <c r="I795" s="147">
        <f>F4Ax!I795+F4Bx!I794</f>
        <v>0</v>
      </c>
      <c r="J795" s="147">
        <f>F4Ax!J795+F4Bx!J794</f>
        <v>0</v>
      </c>
      <c r="K795" s="147">
        <f>F4Ax!K795+F4Bx!K794</f>
        <v>0</v>
      </c>
      <c r="L795" s="147">
        <f>F4Ax!L795+F4Bx!L794</f>
        <v>0</v>
      </c>
      <c r="M795" s="147">
        <f>F4Ax!M795+F4Bx!M794</f>
        <v>0</v>
      </c>
      <c r="N795" s="147">
        <f>F4Ax!N795+F4Bx!N794</f>
        <v>0</v>
      </c>
      <c r="O795" s="147">
        <f>F4Ax!O795+F4Bx!O794</f>
        <v>0</v>
      </c>
      <c r="P795" s="147">
        <f>F4Ax!P795+F4Bx!P794</f>
        <v>0</v>
      </c>
      <c r="Q795" s="316">
        <f t="shared" si="84"/>
        <v>0</v>
      </c>
    </row>
    <row r="796" ht="15" spans="3:17">
      <c r="C796" s="55"/>
      <c r="D796" s="55"/>
      <c r="E796" s="147">
        <f>F4Ax!E796+F4Bx!E795</f>
        <v>0</v>
      </c>
      <c r="F796" s="147">
        <f>F4Ax!F796+F4Bx!F795</f>
        <v>0</v>
      </c>
      <c r="G796" s="147">
        <f>F4Ax!G796+F4Bx!G795</f>
        <v>0</v>
      </c>
      <c r="H796" s="147">
        <f>F4Ax!H796+F4Bx!H795</f>
        <v>0</v>
      </c>
      <c r="I796" s="147">
        <f>F4Ax!I796+F4Bx!I795</f>
        <v>0</v>
      </c>
      <c r="J796" s="147">
        <f>F4Ax!J796+F4Bx!J795</f>
        <v>0</v>
      </c>
      <c r="K796" s="147">
        <f>F4Ax!K796+F4Bx!K795</f>
        <v>0</v>
      </c>
      <c r="L796" s="147">
        <f>F4Ax!L796+F4Bx!L795</f>
        <v>0</v>
      </c>
      <c r="M796" s="147">
        <f>F4Ax!M796+F4Bx!M795</f>
        <v>0</v>
      </c>
      <c r="N796" s="147">
        <f>F4Ax!N796+F4Bx!N795</f>
        <v>0</v>
      </c>
      <c r="O796" s="147">
        <f>F4Ax!O796+F4Bx!O795</f>
        <v>0</v>
      </c>
      <c r="P796" s="147">
        <f>F4Ax!P796+F4Bx!P795</f>
        <v>0</v>
      </c>
      <c r="Q796" s="316">
        <f t="shared" si="84"/>
        <v>0</v>
      </c>
    </row>
    <row r="797" ht="15" spans="3:17">
      <c r="C797" s="55"/>
      <c r="D797" s="55"/>
      <c r="E797" s="147">
        <f>F4Ax!E797+F4Bx!E796</f>
        <v>0</v>
      </c>
      <c r="F797" s="147">
        <f>F4Ax!F797+F4Bx!F796</f>
        <v>0</v>
      </c>
      <c r="G797" s="147">
        <f>F4Ax!G797+F4Bx!G796</f>
        <v>0</v>
      </c>
      <c r="H797" s="147">
        <f>F4Ax!H797+F4Bx!H796</f>
        <v>0</v>
      </c>
      <c r="I797" s="147">
        <f>F4Ax!I797+F4Bx!I796</f>
        <v>0</v>
      </c>
      <c r="J797" s="147">
        <f>F4Ax!J797+F4Bx!J796</f>
        <v>0</v>
      </c>
      <c r="K797" s="147">
        <f>F4Ax!K797+F4Bx!K796</f>
        <v>0</v>
      </c>
      <c r="L797" s="147">
        <f>F4Ax!L797+F4Bx!L796</f>
        <v>0</v>
      </c>
      <c r="M797" s="147">
        <f>F4Ax!M797+F4Bx!M796</f>
        <v>0</v>
      </c>
      <c r="N797" s="147">
        <f>F4Ax!N797+F4Bx!N796</f>
        <v>0</v>
      </c>
      <c r="O797" s="147">
        <f>F4Ax!O797+F4Bx!O796</f>
        <v>0</v>
      </c>
      <c r="P797" s="147">
        <f>F4Ax!P797+F4Bx!P796</f>
        <v>0</v>
      </c>
      <c r="Q797" s="316">
        <f t="shared" si="84"/>
        <v>0</v>
      </c>
    </row>
    <row r="798" ht="15" spans="3:17">
      <c r="C798" s="55" t="s">
        <v>258</v>
      </c>
      <c r="D798" s="55" t="s">
        <v>258</v>
      </c>
      <c r="E798" s="147">
        <f>F4Ax!E798+F4Bx!E797</f>
        <v>0</v>
      </c>
      <c r="F798" s="147">
        <f>F4Ax!F798+F4Bx!F797</f>
        <v>0</v>
      </c>
      <c r="G798" s="147">
        <f>F4Ax!G798+F4Bx!G797</f>
        <v>0</v>
      </c>
      <c r="H798" s="147">
        <f>F4Ax!H798+F4Bx!H797</f>
        <v>0</v>
      </c>
      <c r="I798" s="147">
        <f>F4Ax!I798+F4Bx!I797</f>
        <v>0</v>
      </c>
      <c r="J798" s="147">
        <f>F4Ax!J798+F4Bx!J797</f>
        <v>0</v>
      </c>
      <c r="K798" s="147">
        <f>F4Ax!K798+F4Bx!K797</f>
        <v>0</v>
      </c>
      <c r="L798" s="147">
        <f>F4Ax!L798+F4Bx!L797</f>
        <v>0</v>
      </c>
      <c r="M798" s="147">
        <f>F4Ax!M798+F4Bx!M797</f>
        <v>0</v>
      </c>
      <c r="N798" s="147">
        <f>F4Ax!N798+F4Bx!N797</f>
        <v>0</v>
      </c>
      <c r="O798" s="147">
        <f>F4Ax!O798+F4Bx!O797</f>
        <v>0</v>
      </c>
      <c r="P798" s="147">
        <f>F4Ax!P798+F4Bx!P797</f>
        <v>0</v>
      </c>
      <c r="Q798" s="316">
        <f t="shared" si="84"/>
        <v>0</v>
      </c>
    </row>
    <row r="799" ht="15" spans="3:17">
      <c r="C799" s="537" t="s">
        <v>211</v>
      </c>
      <c r="D799" s="540"/>
      <c r="E799" s="316">
        <f t="shared" ref="E799:P799" si="85">SUM(E784:E798)</f>
        <v>0</v>
      </c>
      <c r="F799" s="316">
        <f t="shared" si="85"/>
        <v>0</v>
      </c>
      <c r="G799" s="316">
        <f t="shared" si="85"/>
        <v>0</v>
      </c>
      <c r="H799" s="316">
        <f t="shared" si="85"/>
        <v>0</v>
      </c>
      <c r="I799" s="316">
        <f t="shared" si="85"/>
        <v>0</v>
      </c>
      <c r="J799" s="316">
        <f t="shared" si="85"/>
        <v>0</v>
      </c>
      <c r="K799" s="316">
        <f t="shared" si="85"/>
        <v>0</v>
      </c>
      <c r="L799" s="316">
        <f t="shared" si="85"/>
        <v>0</v>
      </c>
      <c r="M799" s="316">
        <f t="shared" si="85"/>
        <v>0</v>
      </c>
      <c r="N799" s="316">
        <f t="shared" si="85"/>
        <v>0</v>
      </c>
      <c r="O799" s="316">
        <f t="shared" si="85"/>
        <v>0</v>
      </c>
      <c r="P799" s="316">
        <f t="shared" si="85"/>
        <v>0</v>
      </c>
      <c r="Q799" s="316">
        <f t="shared" si="84"/>
        <v>0</v>
      </c>
    </row>
    <row r="800" ht="15" spans="3:17">
      <c r="C800" s="44" t="s">
        <v>219</v>
      </c>
      <c r="D800" s="45"/>
      <c r="E800" s="147"/>
      <c r="F800" s="147"/>
      <c r="G800" s="147"/>
      <c r="H800" s="147"/>
      <c r="I800" s="147"/>
      <c r="J800" s="147"/>
      <c r="K800" s="147"/>
      <c r="L800" s="147"/>
      <c r="M800" s="147"/>
      <c r="N800" s="147"/>
      <c r="O800" s="147"/>
      <c r="P800" s="147"/>
      <c r="Q800" s="316">
        <f t="shared" si="84"/>
        <v>0</v>
      </c>
    </row>
    <row r="801" ht="15" spans="3:17">
      <c r="C801" s="55" t="s">
        <v>191</v>
      </c>
      <c r="D801" s="55" t="s">
        <v>192</v>
      </c>
      <c r="E801" s="147">
        <f>F4Ax!E801+F4Bx!E800</f>
        <v>0</v>
      </c>
      <c r="F801" s="147">
        <f>F4Ax!F801+F4Bx!F800</f>
        <v>0</v>
      </c>
      <c r="G801" s="147">
        <f>F4Ax!G801+F4Bx!G800</f>
        <v>0</v>
      </c>
      <c r="H801" s="147">
        <f>F4Ax!H801+F4Bx!H800</f>
        <v>0</v>
      </c>
      <c r="I801" s="147">
        <f>F4Ax!I801+F4Bx!I800</f>
        <v>0</v>
      </c>
      <c r="J801" s="147">
        <f>F4Ax!J801+F4Bx!J800</f>
        <v>0</v>
      </c>
      <c r="K801" s="147">
        <f>F4Ax!K801+F4Bx!K800</f>
        <v>0</v>
      </c>
      <c r="L801" s="147">
        <f>F4Ax!L801+F4Bx!L800</f>
        <v>0</v>
      </c>
      <c r="M801" s="147">
        <f>F4Ax!M801+F4Bx!M800</f>
        <v>0</v>
      </c>
      <c r="N801" s="147">
        <f>F4Ax!N801+F4Bx!N800</f>
        <v>0</v>
      </c>
      <c r="O801" s="147">
        <f>F4Ax!O801+F4Bx!O800</f>
        <v>0</v>
      </c>
      <c r="P801" s="147">
        <f>F4Ax!P801+F4Bx!P800</f>
        <v>0</v>
      </c>
      <c r="Q801" s="316">
        <f t="shared" si="84"/>
        <v>0</v>
      </c>
    </row>
    <row r="802" ht="15" spans="3:17">
      <c r="C802" s="55" t="s">
        <v>193</v>
      </c>
      <c r="D802" s="55" t="s">
        <v>194</v>
      </c>
      <c r="E802" s="147">
        <f>F4Ax!E802+F4Bx!E801</f>
        <v>0</v>
      </c>
      <c r="F802" s="147">
        <f>F4Ax!F802+F4Bx!F801</f>
        <v>0</v>
      </c>
      <c r="G802" s="147">
        <f>F4Ax!G802+F4Bx!G801</f>
        <v>0</v>
      </c>
      <c r="H802" s="147">
        <f>F4Ax!H802+F4Bx!H801</f>
        <v>0</v>
      </c>
      <c r="I802" s="147">
        <f>F4Ax!I802+F4Bx!I801</f>
        <v>0</v>
      </c>
      <c r="J802" s="147">
        <f>F4Ax!J802+F4Bx!J801</f>
        <v>0</v>
      </c>
      <c r="K802" s="147">
        <f>F4Ax!K802+F4Bx!K801</f>
        <v>0</v>
      </c>
      <c r="L802" s="147">
        <f>F4Ax!L802+F4Bx!L801</f>
        <v>0</v>
      </c>
      <c r="M802" s="147">
        <f>F4Ax!M802+F4Bx!M801</f>
        <v>0</v>
      </c>
      <c r="N802" s="147">
        <f>F4Ax!N802+F4Bx!N801</f>
        <v>0</v>
      </c>
      <c r="O802" s="147">
        <f>F4Ax!O802+F4Bx!O801</f>
        <v>0</v>
      </c>
      <c r="P802" s="147">
        <f>F4Ax!P802+F4Bx!P801</f>
        <v>0</v>
      </c>
      <c r="Q802" s="316">
        <f t="shared" si="84"/>
        <v>0</v>
      </c>
    </row>
    <row r="803" ht="15" spans="3:17">
      <c r="C803" s="55" t="s">
        <v>239</v>
      </c>
      <c r="D803" s="55" t="s">
        <v>196</v>
      </c>
      <c r="E803" s="147">
        <f>F4Ax!E803+F4Bx!E802</f>
        <v>0</v>
      </c>
      <c r="F803" s="147">
        <f>F4Ax!F803+F4Bx!F802</f>
        <v>0</v>
      </c>
      <c r="G803" s="147">
        <f>F4Ax!G803+F4Bx!G802</f>
        <v>0</v>
      </c>
      <c r="H803" s="147">
        <f>F4Ax!H803+F4Bx!H802</f>
        <v>0</v>
      </c>
      <c r="I803" s="147">
        <f>F4Ax!I803+F4Bx!I802</f>
        <v>0</v>
      </c>
      <c r="J803" s="147">
        <f>F4Ax!J803+F4Bx!J802</f>
        <v>0</v>
      </c>
      <c r="K803" s="147">
        <f>F4Ax!K803+F4Bx!K802</f>
        <v>0</v>
      </c>
      <c r="L803" s="147">
        <f>F4Ax!L803+F4Bx!L802</f>
        <v>0</v>
      </c>
      <c r="M803" s="147">
        <f>F4Ax!M803+F4Bx!M802</f>
        <v>0</v>
      </c>
      <c r="N803" s="147">
        <f>F4Ax!N803+F4Bx!N802</f>
        <v>0</v>
      </c>
      <c r="O803" s="147">
        <f>F4Ax!O803+F4Bx!O802</f>
        <v>0</v>
      </c>
      <c r="P803" s="147">
        <f>F4Ax!P803+F4Bx!P802</f>
        <v>0</v>
      </c>
      <c r="Q803" s="316">
        <f t="shared" si="84"/>
        <v>0</v>
      </c>
    </row>
    <row r="804" ht="15" spans="3:17">
      <c r="C804" s="55" t="s">
        <v>197</v>
      </c>
      <c r="D804" s="55" t="s">
        <v>198</v>
      </c>
      <c r="E804" s="147">
        <f>F4Ax!E804+F4Bx!E803</f>
        <v>0</v>
      </c>
      <c r="F804" s="147">
        <f>F4Ax!F804+F4Bx!F803</f>
        <v>0</v>
      </c>
      <c r="G804" s="147">
        <f>F4Ax!G804+F4Bx!G803</f>
        <v>0</v>
      </c>
      <c r="H804" s="147">
        <f>F4Ax!H804+F4Bx!H803</f>
        <v>0</v>
      </c>
      <c r="I804" s="147">
        <f>F4Ax!I804+F4Bx!I803</f>
        <v>0</v>
      </c>
      <c r="J804" s="147">
        <f>F4Ax!J804+F4Bx!J803</f>
        <v>0</v>
      </c>
      <c r="K804" s="147">
        <f>F4Ax!K804+F4Bx!K803</f>
        <v>0</v>
      </c>
      <c r="L804" s="147">
        <f>F4Ax!L804+F4Bx!L803</f>
        <v>0</v>
      </c>
      <c r="M804" s="147">
        <f>F4Ax!M804+F4Bx!M803</f>
        <v>0</v>
      </c>
      <c r="N804" s="147">
        <f>F4Ax!N804+F4Bx!N803</f>
        <v>0</v>
      </c>
      <c r="O804" s="147">
        <f>F4Ax!O804+F4Bx!O803</f>
        <v>0</v>
      </c>
      <c r="P804" s="147">
        <f>F4Ax!P804+F4Bx!P803</f>
        <v>0</v>
      </c>
      <c r="Q804" s="316">
        <f t="shared" si="84"/>
        <v>0</v>
      </c>
    </row>
    <row r="805" ht="15" spans="3:17">
      <c r="C805" s="55" t="s">
        <v>199</v>
      </c>
      <c r="D805" s="55" t="s">
        <v>200</v>
      </c>
      <c r="E805" s="147">
        <f>F4Ax!E805+F4Bx!E804</f>
        <v>0</v>
      </c>
      <c r="F805" s="147">
        <f>F4Ax!F805+F4Bx!F804</f>
        <v>0</v>
      </c>
      <c r="G805" s="147">
        <f>F4Ax!G805+F4Bx!G804</f>
        <v>0</v>
      </c>
      <c r="H805" s="147">
        <f>F4Ax!H805+F4Bx!H804</f>
        <v>0</v>
      </c>
      <c r="I805" s="147">
        <f>F4Ax!I805+F4Bx!I804</f>
        <v>0</v>
      </c>
      <c r="J805" s="147">
        <f>F4Ax!J805+F4Bx!J804</f>
        <v>0</v>
      </c>
      <c r="K805" s="147">
        <f>F4Ax!K805+F4Bx!K804</f>
        <v>0</v>
      </c>
      <c r="L805" s="147">
        <f>F4Ax!L805+F4Bx!L804</f>
        <v>0</v>
      </c>
      <c r="M805" s="147">
        <f>F4Ax!M805+F4Bx!M804</f>
        <v>0</v>
      </c>
      <c r="N805" s="147">
        <f>F4Ax!N805+F4Bx!N804</f>
        <v>0</v>
      </c>
      <c r="O805" s="147">
        <f>F4Ax!O805+F4Bx!O804</f>
        <v>0</v>
      </c>
      <c r="P805" s="147">
        <f>F4Ax!P805+F4Bx!P804</f>
        <v>0</v>
      </c>
      <c r="Q805" s="316">
        <f t="shared" si="84"/>
        <v>0</v>
      </c>
    </row>
    <row r="806" ht="15" spans="3:17">
      <c r="C806" s="55" t="s">
        <v>201</v>
      </c>
      <c r="D806" s="55" t="s">
        <v>240</v>
      </c>
      <c r="E806" s="147">
        <f>F4Ax!E806+F4Bx!E805</f>
        <v>0</v>
      </c>
      <c r="F806" s="147">
        <f>F4Ax!F806+F4Bx!F805</f>
        <v>0</v>
      </c>
      <c r="G806" s="147">
        <f>F4Ax!G806+F4Bx!G805</f>
        <v>0</v>
      </c>
      <c r="H806" s="147">
        <f>F4Ax!H806+F4Bx!H805</f>
        <v>0</v>
      </c>
      <c r="I806" s="147">
        <f>F4Ax!I806+F4Bx!I805</f>
        <v>0</v>
      </c>
      <c r="J806" s="147">
        <f>F4Ax!J806+F4Bx!J805</f>
        <v>0</v>
      </c>
      <c r="K806" s="147">
        <f>F4Ax!K806+F4Bx!K805</f>
        <v>0</v>
      </c>
      <c r="L806" s="147">
        <f>F4Ax!L806+F4Bx!L805</f>
        <v>0</v>
      </c>
      <c r="M806" s="147">
        <f>F4Ax!M806+F4Bx!M805</f>
        <v>0</v>
      </c>
      <c r="N806" s="147">
        <f>F4Ax!N806+F4Bx!N805</f>
        <v>0</v>
      </c>
      <c r="O806" s="147">
        <f>F4Ax!O806+F4Bx!O805</f>
        <v>0</v>
      </c>
      <c r="P806" s="147">
        <f>F4Ax!P806+F4Bx!P805</f>
        <v>0</v>
      </c>
      <c r="Q806" s="316">
        <f t="shared" si="84"/>
        <v>0</v>
      </c>
    </row>
    <row r="807" ht="15" spans="3:17">
      <c r="C807" s="55" t="s">
        <v>203</v>
      </c>
      <c r="D807" s="55" t="s">
        <v>220</v>
      </c>
      <c r="E807" s="147">
        <f>F4Ax!E807+F4Bx!E806</f>
        <v>0</v>
      </c>
      <c r="F807" s="147">
        <f>F4Ax!F807+F4Bx!F806</f>
        <v>0</v>
      </c>
      <c r="G807" s="147">
        <f>F4Ax!G807+F4Bx!G806</f>
        <v>0</v>
      </c>
      <c r="H807" s="147">
        <f>F4Ax!H807+F4Bx!H806</f>
        <v>0</v>
      </c>
      <c r="I807" s="147">
        <f>F4Ax!I807+F4Bx!I806</f>
        <v>0</v>
      </c>
      <c r="J807" s="147">
        <f>F4Ax!J807+F4Bx!J806</f>
        <v>0</v>
      </c>
      <c r="K807" s="147">
        <f>F4Ax!K807+F4Bx!K806</f>
        <v>0</v>
      </c>
      <c r="L807" s="147">
        <f>F4Ax!L807+F4Bx!L806</f>
        <v>0</v>
      </c>
      <c r="M807" s="147">
        <f>F4Ax!M807+F4Bx!M806</f>
        <v>0</v>
      </c>
      <c r="N807" s="147">
        <f>F4Ax!N807+F4Bx!N806</f>
        <v>0</v>
      </c>
      <c r="O807" s="147">
        <f>F4Ax!O807+F4Bx!O806</f>
        <v>0</v>
      </c>
      <c r="P807" s="147">
        <f>F4Ax!P807+F4Bx!P806</f>
        <v>0</v>
      </c>
      <c r="Q807" s="316">
        <f t="shared" si="84"/>
        <v>0</v>
      </c>
    </row>
    <row r="808" ht="15" spans="3:17">
      <c r="C808" s="55" t="s">
        <v>241</v>
      </c>
      <c r="D808" s="55" t="s">
        <v>229</v>
      </c>
      <c r="E808" s="147">
        <f>F4Ax!E808+F4Bx!E807</f>
        <v>0</v>
      </c>
      <c r="F808" s="147">
        <f>F4Ax!F808+F4Bx!F807</f>
        <v>0</v>
      </c>
      <c r="G808" s="147">
        <f>F4Ax!G808+F4Bx!G807</f>
        <v>0</v>
      </c>
      <c r="H808" s="147">
        <f>F4Ax!H808+F4Bx!H807</f>
        <v>0</v>
      </c>
      <c r="I808" s="147">
        <f>F4Ax!I808+F4Bx!I807</f>
        <v>0</v>
      </c>
      <c r="J808" s="147">
        <f>F4Ax!J808+F4Bx!J807</f>
        <v>0</v>
      </c>
      <c r="K808" s="147">
        <f>F4Ax!K808+F4Bx!K807</f>
        <v>0</v>
      </c>
      <c r="L808" s="147">
        <f>F4Ax!L808+F4Bx!L807</f>
        <v>0</v>
      </c>
      <c r="M808" s="147">
        <f>F4Ax!M808+F4Bx!M807</f>
        <v>0</v>
      </c>
      <c r="N808" s="147">
        <f>F4Ax!N808+F4Bx!N807</f>
        <v>0</v>
      </c>
      <c r="O808" s="147">
        <f>F4Ax!O808+F4Bx!O807</f>
        <v>0</v>
      </c>
      <c r="P808" s="147">
        <f>F4Ax!P808+F4Bx!P807</f>
        <v>0</v>
      </c>
      <c r="Q808" s="316">
        <f t="shared" si="84"/>
        <v>0</v>
      </c>
    </row>
    <row r="809" ht="15" spans="3:17">
      <c r="C809" s="55" t="s">
        <v>259</v>
      </c>
      <c r="D809" s="55" t="s">
        <v>243</v>
      </c>
      <c r="E809" s="147">
        <f>F4Ax!E809+F4Bx!E808</f>
        <v>0</v>
      </c>
      <c r="F809" s="147">
        <f>F4Ax!F809+F4Bx!F808</f>
        <v>0</v>
      </c>
      <c r="G809" s="147">
        <f>F4Ax!G809+F4Bx!G808</f>
        <v>0</v>
      </c>
      <c r="H809" s="147">
        <f>F4Ax!H809+F4Bx!H808</f>
        <v>0</v>
      </c>
      <c r="I809" s="147">
        <f>F4Ax!I809+F4Bx!I808</f>
        <v>0</v>
      </c>
      <c r="J809" s="147">
        <f>F4Ax!J809+F4Bx!J808</f>
        <v>0</v>
      </c>
      <c r="K809" s="147">
        <f>F4Ax!K809+F4Bx!K808</f>
        <v>0</v>
      </c>
      <c r="L809" s="147">
        <f>F4Ax!L809+F4Bx!L808</f>
        <v>0</v>
      </c>
      <c r="M809" s="147">
        <f>F4Ax!M809+F4Bx!M808</f>
        <v>0</v>
      </c>
      <c r="N809" s="147">
        <f>F4Ax!N809+F4Bx!N808</f>
        <v>0</v>
      </c>
      <c r="O809" s="147">
        <f>F4Ax!O809+F4Bx!O808</f>
        <v>0</v>
      </c>
      <c r="P809" s="147">
        <f>F4Ax!P809+F4Bx!P808</f>
        <v>0</v>
      </c>
      <c r="Q809" s="316">
        <f t="shared" si="84"/>
        <v>0</v>
      </c>
    </row>
    <row r="810" ht="15" spans="3:17">
      <c r="C810" s="55" t="s">
        <v>205</v>
      </c>
      <c r="D810" s="55" t="s">
        <v>206</v>
      </c>
      <c r="E810" s="147">
        <f>F4Ax!E810+F4Bx!E809</f>
        <v>0</v>
      </c>
      <c r="F810" s="147">
        <f>F4Ax!F810+F4Bx!F809</f>
        <v>0</v>
      </c>
      <c r="G810" s="147">
        <f>F4Ax!G810+F4Bx!G809</f>
        <v>0</v>
      </c>
      <c r="H810" s="147">
        <f>F4Ax!H810+F4Bx!H809</f>
        <v>0</v>
      </c>
      <c r="I810" s="147">
        <f>F4Ax!I810+F4Bx!I809</f>
        <v>0</v>
      </c>
      <c r="J810" s="147">
        <f>F4Ax!J810+F4Bx!J809</f>
        <v>0</v>
      </c>
      <c r="K810" s="147">
        <f>F4Ax!K810+F4Bx!K809</f>
        <v>0</v>
      </c>
      <c r="L810" s="147">
        <f>F4Ax!L810+F4Bx!L809</f>
        <v>0</v>
      </c>
      <c r="M810" s="147">
        <f>F4Ax!M810+F4Bx!M809</f>
        <v>0</v>
      </c>
      <c r="N810" s="147">
        <f>F4Ax!N810+F4Bx!N809</f>
        <v>0</v>
      </c>
      <c r="O810" s="147">
        <f>F4Ax!O810+F4Bx!O809</f>
        <v>0</v>
      </c>
      <c r="P810" s="147">
        <f>F4Ax!P810+F4Bx!P809</f>
        <v>0</v>
      </c>
      <c r="Q810" s="316">
        <f t="shared" si="84"/>
        <v>0</v>
      </c>
    </row>
    <row r="811" ht="15" spans="3:17">
      <c r="C811" s="55" t="s">
        <v>207</v>
      </c>
      <c r="D811" s="55" t="s">
        <v>186</v>
      </c>
      <c r="E811" s="147">
        <f>F4Ax!E811+F4Bx!E810</f>
        <v>0</v>
      </c>
      <c r="F811" s="147">
        <f>F4Ax!F811+F4Bx!F810</f>
        <v>0</v>
      </c>
      <c r="G811" s="147">
        <f>F4Ax!G811+F4Bx!G810</f>
        <v>0</v>
      </c>
      <c r="H811" s="147">
        <f>F4Ax!H811+F4Bx!H810</f>
        <v>0</v>
      </c>
      <c r="I811" s="147">
        <f>F4Ax!I811+F4Bx!I810</f>
        <v>0</v>
      </c>
      <c r="J811" s="147">
        <f>F4Ax!J811+F4Bx!J810</f>
        <v>0</v>
      </c>
      <c r="K811" s="147">
        <f>F4Ax!K811+F4Bx!K810</f>
        <v>0</v>
      </c>
      <c r="L811" s="147">
        <f>F4Ax!L811+F4Bx!L810</f>
        <v>0</v>
      </c>
      <c r="M811" s="147">
        <f>F4Ax!M811+F4Bx!M810</f>
        <v>0</v>
      </c>
      <c r="N811" s="147">
        <f>F4Ax!N811+F4Bx!N810</f>
        <v>0</v>
      </c>
      <c r="O811" s="147">
        <f>F4Ax!O811+F4Bx!O810</f>
        <v>0</v>
      </c>
      <c r="P811" s="147">
        <f>F4Ax!P811+F4Bx!P810</f>
        <v>0</v>
      </c>
      <c r="Q811" s="316">
        <f t="shared" si="84"/>
        <v>0</v>
      </c>
    </row>
    <row r="812" ht="15" spans="3:17">
      <c r="C812" s="55" t="s">
        <v>208</v>
      </c>
      <c r="D812" s="55" t="s">
        <v>209</v>
      </c>
      <c r="E812" s="147">
        <f>F4Ax!E812+F4Bx!E811</f>
        <v>0</v>
      </c>
      <c r="F812" s="147">
        <f>F4Ax!F812+F4Bx!F811</f>
        <v>0</v>
      </c>
      <c r="G812" s="147">
        <f>F4Ax!G812+F4Bx!G811</f>
        <v>0</v>
      </c>
      <c r="H812" s="147">
        <f>F4Ax!H812+F4Bx!H811</f>
        <v>0</v>
      </c>
      <c r="I812" s="147">
        <f>F4Ax!I812+F4Bx!I811</f>
        <v>0</v>
      </c>
      <c r="J812" s="147">
        <f>F4Ax!J812+F4Bx!J811</f>
        <v>0</v>
      </c>
      <c r="K812" s="147">
        <f>F4Ax!K812+F4Bx!K811</f>
        <v>0</v>
      </c>
      <c r="L812" s="147">
        <f>F4Ax!L812+F4Bx!L811</f>
        <v>0</v>
      </c>
      <c r="M812" s="147">
        <f>F4Ax!M812+F4Bx!M811</f>
        <v>0</v>
      </c>
      <c r="N812" s="147">
        <f>F4Ax!N812+F4Bx!N811</f>
        <v>0</v>
      </c>
      <c r="O812" s="147">
        <f>F4Ax!O812+F4Bx!O811</f>
        <v>0</v>
      </c>
      <c r="P812" s="147">
        <f>F4Ax!P812+F4Bx!P811</f>
        <v>0</v>
      </c>
      <c r="Q812" s="316">
        <f t="shared" si="84"/>
        <v>0</v>
      </c>
    </row>
    <row r="813" ht="15" spans="3:17">
      <c r="C813" s="55" t="s">
        <v>210</v>
      </c>
      <c r="D813" s="55" t="s">
        <v>188</v>
      </c>
      <c r="E813" s="147">
        <f>F4Ax!E813+F4Bx!E812</f>
        <v>0</v>
      </c>
      <c r="F813" s="147">
        <f>F4Ax!F813+F4Bx!F812</f>
        <v>0</v>
      </c>
      <c r="G813" s="147">
        <f>F4Ax!G813+F4Bx!G812</f>
        <v>0</v>
      </c>
      <c r="H813" s="147">
        <f>F4Ax!H813+F4Bx!H812</f>
        <v>0</v>
      </c>
      <c r="I813" s="147">
        <f>F4Ax!I813+F4Bx!I812</f>
        <v>0</v>
      </c>
      <c r="J813" s="147">
        <f>F4Ax!J813+F4Bx!J812</f>
        <v>0</v>
      </c>
      <c r="K813" s="147">
        <f>F4Ax!K813+F4Bx!K812</f>
        <v>0</v>
      </c>
      <c r="L813" s="147">
        <f>F4Ax!L813+F4Bx!L812</f>
        <v>0</v>
      </c>
      <c r="M813" s="147">
        <f>F4Ax!M813+F4Bx!M812</f>
        <v>0</v>
      </c>
      <c r="N813" s="147">
        <f>F4Ax!N813+F4Bx!N812</f>
        <v>0</v>
      </c>
      <c r="O813" s="147">
        <f>F4Ax!O813+F4Bx!O812</f>
        <v>0</v>
      </c>
      <c r="P813" s="147">
        <f>F4Ax!P813+F4Bx!P812</f>
        <v>0</v>
      </c>
      <c r="Q813" s="316">
        <f t="shared" si="84"/>
        <v>0</v>
      </c>
    </row>
    <row r="814" ht="15" spans="3:17">
      <c r="C814" s="55"/>
      <c r="D814" s="55"/>
      <c r="E814" s="147">
        <f>F4Ax!E814+F4Bx!E813</f>
        <v>0</v>
      </c>
      <c r="F814" s="147">
        <f>F4Ax!F814+F4Bx!F813</f>
        <v>0</v>
      </c>
      <c r="G814" s="147">
        <f>F4Ax!G814+F4Bx!G813</f>
        <v>0</v>
      </c>
      <c r="H814" s="147">
        <f>F4Ax!H814+F4Bx!H813</f>
        <v>0</v>
      </c>
      <c r="I814" s="147">
        <f>F4Ax!I814+F4Bx!I813</f>
        <v>0</v>
      </c>
      <c r="J814" s="147">
        <f>F4Ax!J814+F4Bx!J813</f>
        <v>0</v>
      </c>
      <c r="K814" s="147">
        <f>F4Ax!K814+F4Bx!K813</f>
        <v>0</v>
      </c>
      <c r="L814" s="147">
        <f>F4Ax!L814+F4Bx!L813</f>
        <v>0</v>
      </c>
      <c r="M814" s="147">
        <f>F4Ax!M814+F4Bx!M813</f>
        <v>0</v>
      </c>
      <c r="N814" s="147">
        <f>F4Ax!N814+F4Bx!N813</f>
        <v>0</v>
      </c>
      <c r="O814" s="147">
        <f>F4Ax!O814+F4Bx!O813</f>
        <v>0</v>
      </c>
      <c r="P814" s="147">
        <f>F4Ax!P814+F4Bx!P813</f>
        <v>0</v>
      </c>
      <c r="Q814" s="316">
        <f t="shared" si="84"/>
        <v>0</v>
      </c>
    </row>
    <row r="815" ht="15" spans="3:17">
      <c r="C815" s="55"/>
      <c r="D815" s="55"/>
      <c r="E815" s="147">
        <f>F4Ax!E815+F4Bx!E814</f>
        <v>0</v>
      </c>
      <c r="F815" s="147">
        <f>F4Ax!F815+F4Bx!F814</f>
        <v>0</v>
      </c>
      <c r="G815" s="147">
        <f>F4Ax!G815+F4Bx!G814</f>
        <v>0</v>
      </c>
      <c r="H815" s="147">
        <f>F4Ax!H815+F4Bx!H814</f>
        <v>0</v>
      </c>
      <c r="I815" s="147">
        <f>F4Ax!I815+F4Bx!I814</f>
        <v>0</v>
      </c>
      <c r="J815" s="147">
        <f>F4Ax!J815+F4Bx!J814</f>
        <v>0</v>
      </c>
      <c r="K815" s="147">
        <f>F4Ax!K815+F4Bx!K814</f>
        <v>0</v>
      </c>
      <c r="L815" s="147">
        <f>F4Ax!L815+F4Bx!L814</f>
        <v>0</v>
      </c>
      <c r="M815" s="147">
        <f>F4Ax!M815+F4Bx!M814</f>
        <v>0</v>
      </c>
      <c r="N815" s="147">
        <f>F4Ax!N815+F4Bx!N814</f>
        <v>0</v>
      </c>
      <c r="O815" s="147">
        <f>F4Ax!O815+F4Bx!O814</f>
        <v>0</v>
      </c>
      <c r="P815" s="147">
        <f>F4Ax!P815+F4Bx!P814</f>
        <v>0</v>
      </c>
      <c r="Q815" s="316">
        <f t="shared" ref="Q815:Q820" si="86">SUM(E815:P815)</f>
        <v>0</v>
      </c>
    </row>
    <row r="816" ht="15" spans="3:17">
      <c r="C816" s="55"/>
      <c r="D816" s="55"/>
      <c r="E816" s="147">
        <f>F4Ax!E816+F4Bx!E815</f>
        <v>0</v>
      </c>
      <c r="F816" s="147">
        <f>F4Ax!F816+F4Bx!F815</f>
        <v>0</v>
      </c>
      <c r="G816" s="147">
        <f>F4Ax!G816+F4Bx!G815</f>
        <v>0</v>
      </c>
      <c r="H816" s="147">
        <f>F4Ax!H816+F4Bx!H815</f>
        <v>0</v>
      </c>
      <c r="I816" s="147">
        <f>F4Ax!I816+F4Bx!I815</f>
        <v>0</v>
      </c>
      <c r="J816" s="147">
        <f>F4Ax!J816+F4Bx!J815</f>
        <v>0</v>
      </c>
      <c r="K816" s="147">
        <f>F4Ax!K816+F4Bx!K815</f>
        <v>0</v>
      </c>
      <c r="L816" s="147">
        <f>F4Ax!L816+F4Bx!L815</f>
        <v>0</v>
      </c>
      <c r="M816" s="147">
        <f>F4Ax!M816+F4Bx!M815</f>
        <v>0</v>
      </c>
      <c r="N816" s="147">
        <f>F4Ax!N816+F4Bx!N815</f>
        <v>0</v>
      </c>
      <c r="O816" s="147">
        <f>F4Ax!O816+F4Bx!O815</f>
        <v>0</v>
      </c>
      <c r="P816" s="147">
        <f>F4Ax!P816+F4Bx!P815</f>
        <v>0</v>
      </c>
      <c r="Q816" s="316">
        <f t="shared" si="86"/>
        <v>0</v>
      </c>
    </row>
    <row r="817" ht="15" spans="3:17">
      <c r="C817" s="55" t="s">
        <v>258</v>
      </c>
      <c r="D817" s="55" t="s">
        <v>258</v>
      </c>
      <c r="E817" s="147">
        <f>F4Ax!E817+F4Bx!E816</f>
        <v>0</v>
      </c>
      <c r="F817" s="147">
        <f>F4Ax!F817+F4Bx!F816</f>
        <v>0</v>
      </c>
      <c r="G817" s="147">
        <f>F4Ax!G817+F4Bx!G816</f>
        <v>0</v>
      </c>
      <c r="H817" s="147">
        <f>F4Ax!H817+F4Bx!H816</f>
        <v>0</v>
      </c>
      <c r="I817" s="147">
        <f>F4Ax!I817+F4Bx!I816</f>
        <v>0</v>
      </c>
      <c r="J817" s="147">
        <f>F4Ax!J817+F4Bx!J816</f>
        <v>0</v>
      </c>
      <c r="K817" s="147">
        <f>F4Ax!K817+F4Bx!K816</f>
        <v>0</v>
      </c>
      <c r="L817" s="147">
        <f>F4Ax!L817+F4Bx!L816</f>
        <v>0</v>
      </c>
      <c r="M817" s="147">
        <f>F4Ax!M817+F4Bx!M816</f>
        <v>0</v>
      </c>
      <c r="N817" s="147">
        <f>F4Ax!N817+F4Bx!N816</f>
        <v>0</v>
      </c>
      <c r="O817" s="147">
        <f>F4Ax!O817+F4Bx!O816</f>
        <v>0</v>
      </c>
      <c r="P817" s="147">
        <f>F4Ax!P817+F4Bx!P816</f>
        <v>0</v>
      </c>
      <c r="Q817" s="316">
        <f t="shared" si="86"/>
        <v>0</v>
      </c>
    </row>
    <row r="818" ht="15" spans="3:17">
      <c r="C818" s="537" t="s">
        <v>211</v>
      </c>
      <c r="D818" s="540"/>
      <c r="E818" s="316">
        <f t="shared" ref="E818:P818" si="87">SUM(E801:E817)</f>
        <v>0</v>
      </c>
      <c r="F818" s="316">
        <f t="shared" si="87"/>
        <v>0</v>
      </c>
      <c r="G818" s="316">
        <f t="shared" si="87"/>
        <v>0</v>
      </c>
      <c r="H818" s="316">
        <f t="shared" si="87"/>
        <v>0</v>
      </c>
      <c r="I818" s="316">
        <f t="shared" si="87"/>
        <v>0</v>
      </c>
      <c r="J818" s="316">
        <f t="shared" si="87"/>
        <v>0</v>
      </c>
      <c r="K818" s="316">
        <f t="shared" si="87"/>
        <v>0</v>
      </c>
      <c r="L818" s="316">
        <f t="shared" si="87"/>
        <v>0</v>
      </c>
      <c r="M818" s="316">
        <f t="shared" si="87"/>
        <v>0</v>
      </c>
      <c r="N818" s="316">
        <f t="shared" si="87"/>
        <v>0</v>
      </c>
      <c r="O818" s="316">
        <f t="shared" si="87"/>
        <v>0</v>
      </c>
      <c r="P818" s="316">
        <f t="shared" si="87"/>
        <v>0</v>
      </c>
      <c r="Q818" s="316">
        <f t="shared" si="86"/>
        <v>0</v>
      </c>
    </row>
    <row r="819" ht="15" spans="3:17">
      <c r="C819" s="537" t="s">
        <v>223</v>
      </c>
      <c r="D819" s="540"/>
      <c r="E819" s="316">
        <f t="shared" ref="E819:P819" si="88">E818+E799+E782</f>
        <v>0</v>
      </c>
      <c r="F819" s="316">
        <f t="shared" si="88"/>
        <v>0</v>
      </c>
      <c r="G819" s="316">
        <f t="shared" si="88"/>
        <v>0</v>
      </c>
      <c r="H819" s="316">
        <f t="shared" si="88"/>
        <v>0</v>
      </c>
      <c r="I819" s="316">
        <f t="shared" si="88"/>
        <v>0</v>
      </c>
      <c r="J819" s="316">
        <f t="shared" si="88"/>
        <v>0</v>
      </c>
      <c r="K819" s="316">
        <f t="shared" si="88"/>
        <v>0</v>
      </c>
      <c r="L819" s="316">
        <f t="shared" si="88"/>
        <v>0</v>
      </c>
      <c r="M819" s="316">
        <f t="shared" si="88"/>
        <v>0</v>
      </c>
      <c r="N819" s="316">
        <f t="shared" si="88"/>
        <v>0</v>
      </c>
      <c r="O819" s="316">
        <f t="shared" si="88"/>
        <v>0</v>
      </c>
      <c r="P819" s="316">
        <f t="shared" si="88"/>
        <v>0</v>
      </c>
      <c r="Q819" s="316">
        <f t="shared" si="86"/>
        <v>0</v>
      </c>
    </row>
    <row r="820" ht="15" spans="3:17">
      <c r="C820" s="537" t="s">
        <v>224</v>
      </c>
      <c r="D820" s="540"/>
      <c r="E820" s="316">
        <f t="shared" ref="E820:P820" si="89">E819+E765</f>
        <v>0</v>
      </c>
      <c r="F820" s="316">
        <f t="shared" si="89"/>
        <v>0</v>
      </c>
      <c r="G820" s="316">
        <f t="shared" si="89"/>
        <v>0</v>
      </c>
      <c r="H820" s="316">
        <f t="shared" si="89"/>
        <v>0</v>
      </c>
      <c r="I820" s="316">
        <f t="shared" si="89"/>
        <v>0</v>
      </c>
      <c r="J820" s="316">
        <f t="shared" si="89"/>
        <v>0</v>
      </c>
      <c r="K820" s="316">
        <f t="shared" si="89"/>
        <v>0</v>
      </c>
      <c r="L820" s="316">
        <f t="shared" si="89"/>
        <v>0</v>
      </c>
      <c r="M820" s="316">
        <f t="shared" si="89"/>
        <v>0</v>
      </c>
      <c r="N820" s="316">
        <f t="shared" si="89"/>
        <v>0</v>
      </c>
      <c r="O820" s="316">
        <f t="shared" si="89"/>
        <v>0</v>
      </c>
      <c r="P820" s="316">
        <f t="shared" si="89"/>
        <v>0</v>
      </c>
      <c r="Q820" s="316">
        <f t="shared" si="86"/>
        <v>0</v>
      </c>
    </row>
    <row r="822" ht="15" spans="4:5">
      <c r="D822" s="11"/>
      <c r="E822" s="11" t="s">
        <v>225</v>
      </c>
    </row>
    <row r="823" spans="4:6">
      <c r="D823" s="13"/>
      <c r="E823" s="13">
        <v>1</v>
      </c>
      <c r="F823" s="12" t="s">
        <v>226</v>
      </c>
    </row>
    <row r="824" spans="5:6">
      <c r="E824" s="13">
        <f>E823+1</f>
        <v>2</v>
      </c>
      <c r="F824" s="12" t="s">
        <v>233</v>
      </c>
    </row>
    <row r="825" spans="5:5">
      <c r="E825" s="13"/>
    </row>
  </sheetData>
  <mergeCells count="137">
    <mergeCell ref="H5:J5"/>
    <mergeCell ref="K5:N5"/>
    <mergeCell ref="O5:S5"/>
    <mergeCell ref="C8:D8"/>
    <mergeCell ref="C22:D22"/>
    <mergeCell ref="C23:D23"/>
    <mergeCell ref="C39:D39"/>
    <mergeCell ref="C40:D40"/>
    <mergeCell ref="C57:D57"/>
    <mergeCell ref="C58:D58"/>
    <mergeCell ref="C76:D76"/>
    <mergeCell ref="C77:D77"/>
    <mergeCell ref="C78:D78"/>
    <mergeCell ref="E83:Q83"/>
    <mergeCell ref="C85:D85"/>
    <mergeCell ref="C99:D99"/>
    <mergeCell ref="C100:D100"/>
    <mergeCell ref="C116:D116"/>
    <mergeCell ref="C117:D117"/>
    <mergeCell ref="C133:D133"/>
    <mergeCell ref="C134:D134"/>
    <mergeCell ref="C152:D152"/>
    <mergeCell ref="C153:D153"/>
    <mergeCell ref="C154:D154"/>
    <mergeCell ref="E157:Q157"/>
    <mergeCell ref="C159:D159"/>
    <mergeCell ref="C173:D173"/>
    <mergeCell ref="C174:D174"/>
    <mergeCell ref="C190:D190"/>
    <mergeCell ref="C191:D191"/>
    <mergeCell ref="C207:D207"/>
    <mergeCell ref="C208:D208"/>
    <mergeCell ref="C225:D225"/>
    <mergeCell ref="C226:D226"/>
    <mergeCell ref="C227:D227"/>
    <mergeCell ref="E230:Q230"/>
    <mergeCell ref="C232:D232"/>
    <mergeCell ref="C246:D246"/>
    <mergeCell ref="C247:D247"/>
    <mergeCell ref="C263:D263"/>
    <mergeCell ref="C264:D264"/>
    <mergeCell ref="C280:D280"/>
    <mergeCell ref="C281:D281"/>
    <mergeCell ref="C299:D299"/>
    <mergeCell ref="C300:D300"/>
    <mergeCell ref="C301:D301"/>
    <mergeCell ref="E303:Q303"/>
    <mergeCell ref="C305:D305"/>
    <mergeCell ref="C319:D319"/>
    <mergeCell ref="C320:D320"/>
    <mergeCell ref="C336:D336"/>
    <mergeCell ref="C337:D337"/>
    <mergeCell ref="C354:D354"/>
    <mergeCell ref="C355:D355"/>
    <mergeCell ref="C373:D373"/>
    <mergeCell ref="C374:D374"/>
    <mergeCell ref="C375:D375"/>
    <mergeCell ref="E378:Q378"/>
    <mergeCell ref="C381:D381"/>
    <mergeCell ref="C395:D395"/>
    <mergeCell ref="C396:D396"/>
    <mergeCell ref="C412:D412"/>
    <mergeCell ref="C413:D413"/>
    <mergeCell ref="C429:D429"/>
    <mergeCell ref="C430:D430"/>
    <mergeCell ref="C448:D448"/>
    <mergeCell ref="C449:D449"/>
    <mergeCell ref="C450:D450"/>
    <mergeCell ref="E453:Q453"/>
    <mergeCell ref="C455:D455"/>
    <mergeCell ref="C469:D469"/>
    <mergeCell ref="C470:D470"/>
    <mergeCell ref="C486:D486"/>
    <mergeCell ref="C487:D487"/>
    <mergeCell ref="C503:D503"/>
    <mergeCell ref="C504:D504"/>
    <mergeCell ref="C522:D522"/>
    <mergeCell ref="C523:D523"/>
    <mergeCell ref="C524:D524"/>
    <mergeCell ref="E527:Q527"/>
    <mergeCell ref="C529:D529"/>
    <mergeCell ref="C543:D543"/>
    <mergeCell ref="C544:D544"/>
    <mergeCell ref="C560:D560"/>
    <mergeCell ref="C561:D561"/>
    <mergeCell ref="C577:D577"/>
    <mergeCell ref="C578:D578"/>
    <mergeCell ref="C596:D596"/>
    <mergeCell ref="C597:D597"/>
    <mergeCell ref="C598:D598"/>
    <mergeCell ref="E601:Q601"/>
    <mergeCell ref="C603:D603"/>
    <mergeCell ref="C617:D617"/>
    <mergeCell ref="C618:D618"/>
    <mergeCell ref="C634:D634"/>
    <mergeCell ref="C635:D635"/>
    <mergeCell ref="C651:D651"/>
    <mergeCell ref="C652:D652"/>
    <mergeCell ref="C670:D670"/>
    <mergeCell ref="C671:D671"/>
    <mergeCell ref="C672:D672"/>
    <mergeCell ref="E675:Q675"/>
    <mergeCell ref="C677:D677"/>
    <mergeCell ref="C691:D691"/>
    <mergeCell ref="C692:D692"/>
    <mergeCell ref="C708:D708"/>
    <mergeCell ref="C709:D709"/>
    <mergeCell ref="C725:D725"/>
    <mergeCell ref="C726:D726"/>
    <mergeCell ref="C744:D744"/>
    <mergeCell ref="C745:D745"/>
    <mergeCell ref="C746:D746"/>
    <mergeCell ref="E749:Q749"/>
    <mergeCell ref="C751:D751"/>
    <mergeCell ref="C765:D765"/>
    <mergeCell ref="C766:D766"/>
    <mergeCell ref="C782:D782"/>
    <mergeCell ref="C783:D783"/>
    <mergeCell ref="C799:D799"/>
    <mergeCell ref="C800:D800"/>
    <mergeCell ref="C818:D818"/>
    <mergeCell ref="C819:D819"/>
    <mergeCell ref="C820:D820"/>
    <mergeCell ref="E5:E6"/>
    <mergeCell ref="F5:F6"/>
    <mergeCell ref="G5:G6"/>
    <mergeCell ref="C675:D676"/>
    <mergeCell ref="C749:D750"/>
    <mergeCell ref="C601:D602"/>
    <mergeCell ref="C527:D528"/>
    <mergeCell ref="C378:D380"/>
    <mergeCell ref="C453:D454"/>
    <mergeCell ref="C303:D304"/>
    <mergeCell ref="C230:D231"/>
    <mergeCell ref="C157:D158"/>
    <mergeCell ref="C83:D84"/>
    <mergeCell ref="C5:D7"/>
  </mergeCells>
  <pageMargins left="0.75" right="0.75" top="1" bottom="1" header="0.5" footer="0.5"/>
  <pageSetup paperSize="9" scale="10" orientation="landscape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2:O101"/>
  <sheetViews>
    <sheetView showGridLines="0" zoomScale="56" zoomScaleNormal="56" zoomScaleSheetLayoutView="70" topLeftCell="D68" workbookViewId="0">
      <selection activeCell="R21" sqref="R21"/>
    </sheetView>
  </sheetViews>
  <sheetFormatPr defaultColWidth="9.14285714285714" defaultRowHeight="14.25"/>
  <cols>
    <col min="1" max="1" width="93.4285714285714" style="15" customWidth="1"/>
    <col min="2" max="2" width="7" style="15" customWidth="1"/>
    <col min="3" max="3" width="50.5714285714286" style="15" customWidth="1"/>
    <col min="4" max="6" width="16.8571428571429" style="15" customWidth="1"/>
    <col min="7" max="7" width="16" style="15" customWidth="1"/>
    <col min="8" max="9" width="14.4285714285714" style="15" hidden="1" customWidth="1"/>
    <col min="10" max="10" width="18" style="15" customWidth="1"/>
    <col min="11" max="12" width="12.1428571428571" style="15" customWidth="1"/>
    <col min="13" max="13" width="13" style="15" customWidth="1"/>
    <col min="14" max="14" width="13.4285714285714" style="15" customWidth="1"/>
    <col min="15" max="15" width="12.8571428571429" style="15" customWidth="1"/>
    <col min="16" max="16384" width="9.14285714285714" style="15"/>
  </cols>
  <sheetData>
    <row r="2" ht="15" spans="3:10">
      <c r="C2" s="12"/>
      <c r="D2" s="12"/>
      <c r="E2" s="12"/>
      <c r="F2" s="12"/>
      <c r="G2" s="12"/>
      <c r="H2" s="2" t="s">
        <v>105</v>
      </c>
      <c r="I2" s="12"/>
      <c r="J2" s="12"/>
    </row>
    <row r="3" s="479" customFormat="1" ht="15" spans="3:10">
      <c r="C3" s="12"/>
      <c r="D3" s="12"/>
      <c r="E3" s="12"/>
      <c r="F3" s="12"/>
      <c r="G3" s="12"/>
      <c r="H3" s="3" t="s">
        <v>563</v>
      </c>
      <c r="I3" s="12"/>
      <c r="J3" s="12"/>
    </row>
    <row r="4" s="479" customFormat="1" ht="15" spans="3:10">
      <c r="C4" s="501"/>
      <c r="D4" s="501"/>
      <c r="E4" s="501"/>
      <c r="F4" s="501"/>
      <c r="G4" s="502"/>
      <c r="H4" s="502"/>
      <c r="I4" s="502"/>
      <c r="J4" s="502"/>
    </row>
    <row r="5" s="479" customFormat="1" ht="15" spans="2:10">
      <c r="B5" s="503" t="s">
        <v>763</v>
      </c>
      <c r="C5" s="501"/>
      <c r="D5" s="501"/>
      <c r="E5" s="501"/>
      <c r="F5" s="501"/>
      <c r="G5" s="502"/>
      <c r="H5" s="502"/>
      <c r="I5" s="502"/>
      <c r="J5" s="502"/>
    </row>
    <row r="6" ht="15" spans="15:15">
      <c r="O6" s="33" t="s">
        <v>109</v>
      </c>
    </row>
    <row r="7" ht="12.75" customHeight="1" spans="2:15">
      <c r="B7" s="6" t="s">
        <v>564</v>
      </c>
      <c r="C7" s="6" t="s">
        <v>110</v>
      </c>
      <c r="D7" s="5" t="s">
        <v>565</v>
      </c>
      <c r="E7" s="5" t="s">
        <v>566</v>
      </c>
      <c r="F7" s="5" t="s">
        <v>567</v>
      </c>
      <c r="G7" s="5" t="s">
        <v>112</v>
      </c>
      <c r="H7" s="5" t="s">
        <v>760</v>
      </c>
      <c r="I7" s="5"/>
      <c r="J7" s="5"/>
      <c r="K7" s="135" t="s">
        <v>114</v>
      </c>
      <c r="L7" s="135"/>
      <c r="M7" s="135"/>
      <c r="N7" s="135"/>
      <c r="O7" s="135"/>
    </row>
    <row r="8" ht="15" spans="2:15">
      <c r="B8" s="6"/>
      <c r="C8" s="6"/>
      <c r="D8" s="5" t="s">
        <v>237</v>
      </c>
      <c r="E8" s="5" t="s">
        <v>237</v>
      </c>
      <c r="F8" s="5" t="s">
        <v>237</v>
      </c>
      <c r="G8" s="5" t="s">
        <v>237</v>
      </c>
      <c r="H8" s="5" t="s">
        <v>119</v>
      </c>
      <c r="I8" s="5" t="s">
        <v>120</v>
      </c>
      <c r="J8" s="5" t="s">
        <v>238</v>
      </c>
      <c r="K8" s="5" t="s">
        <v>514</v>
      </c>
      <c r="L8" s="5" t="s">
        <v>515</v>
      </c>
      <c r="M8" s="5" t="s">
        <v>516</v>
      </c>
      <c r="N8" s="5" t="s">
        <v>517</v>
      </c>
      <c r="O8" s="5" t="s">
        <v>518</v>
      </c>
    </row>
    <row r="9" ht="15" spans="2:15">
      <c r="B9" s="55"/>
      <c r="C9" s="6"/>
      <c r="D9" s="5" t="s">
        <v>128</v>
      </c>
      <c r="E9" s="5" t="s">
        <v>128</v>
      </c>
      <c r="F9" s="5" t="s">
        <v>128</v>
      </c>
      <c r="G9" s="5" t="s">
        <v>128</v>
      </c>
      <c r="H9" s="5" t="s">
        <v>130</v>
      </c>
      <c r="I9" s="5" t="s">
        <v>131</v>
      </c>
      <c r="J9" s="5" t="s">
        <v>128</v>
      </c>
      <c r="K9" s="5" t="s">
        <v>132</v>
      </c>
      <c r="L9" s="5" t="s">
        <v>132</v>
      </c>
      <c r="M9" s="5" t="s">
        <v>132</v>
      </c>
      <c r="N9" s="5" t="s">
        <v>132</v>
      </c>
      <c r="O9" s="5" t="s">
        <v>132</v>
      </c>
    </row>
    <row r="10" spans="2:15">
      <c r="B10" s="20">
        <v>1</v>
      </c>
      <c r="C10" s="354" t="s">
        <v>568</v>
      </c>
      <c r="D10" s="504">
        <f>D42+D75</f>
        <v>1253.1523894</v>
      </c>
      <c r="E10" s="504">
        <f t="shared" ref="E10:I10" si="0">E42+E75</f>
        <v>1189.81665889</v>
      </c>
      <c r="F10" s="504">
        <f t="shared" si="0"/>
        <v>1211.80493555</v>
      </c>
      <c r="G10" s="504">
        <f t="shared" si="0"/>
        <v>1761.447</v>
      </c>
      <c r="H10" s="504">
        <f t="shared" si="0"/>
        <v>0</v>
      </c>
      <c r="I10" s="504">
        <f t="shared" si="0"/>
        <v>0</v>
      </c>
      <c r="J10" s="504">
        <f>'[6]Employee Cost'!E9</f>
        <v>2005.3</v>
      </c>
      <c r="K10" s="504">
        <f>'[6]Employee Cost'!F9</f>
        <v>2145.671</v>
      </c>
      <c r="L10" s="504">
        <f>'[6]Employee Cost'!G9</f>
        <v>2295.86797</v>
      </c>
      <c r="M10" s="504">
        <f>'[6]Employee Cost'!H9</f>
        <v>2915.7523219</v>
      </c>
      <c r="N10" s="504">
        <f>'[6]Employee Cost'!I9</f>
        <v>3119.854984433</v>
      </c>
      <c r="O10" s="504">
        <f>'[6]Employee Cost'!J9</f>
        <v>3338.24483334331</v>
      </c>
    </row>
    <row r="11" spans="2:15">
      <c r="B11" s="20">
        <v>2</v>
      </c>
      <c r="C11" s="354" t="s">
        <v>569</v>
      </c>
      <c r="D11" s="504">
        <f t="shared" ref="D11:I25" si="1">D43+D76</f>
        <v>92.1167606</v>
      </c>
      <c r="E11" s="504">
        <f t="shared" si="1"/>
        <v>164.95400576</v>
      </c>
      <c r="F11" s="504">
        <f t="shared" si="1"/>
        <v>245.8957033</v>
      </c>
      <c r="G11" s="504">
        <f t="shared" si="1"/>
        <v>100.306</v>
      </c>
      <c r="H11" s="504">
        <f t="shared" si="1"/>
        <v>0</v>
      </c>
      <c r="I11" s="504">
        <f t="shared" si="1"/>
        <v>0</v>
      </c>
      <c r="J11" s="504">
        <v>0</v>
      </c>
      <c r="K11" s="504">
        <v>0</v>
      </c>
      <c r="L11" s="504">
        <v>0</v>
      </c>
      <c r="M11" s="504">
        <v>0</v>
      </c>
      <c r="N11" s="504">
        <v>0</v>
      </c>
      <c r="O11" s="504">
        <v>0</v>
      </c>
    </row>
    <row r="12" spans="2:15">
      <c r="B12" s="20">
        <v>3</v>
      </c>
      <c r="C12" s="21" t="s">
        <v>570</v>
      </c>
      <c r="D12" s="504">
        <f t="shared" si="1"/>
        <v>154.4344023</v>
      </c>
      <c r="E12" s="504">
        <f t="shared" si="1"/>
        <v>165.27452232</v>
      </c>
      <c r="F12" s="504">
        <f t="shared" si="1"/>
        <v>179.60189801</v>
      </c>
      <c r="G12" s="504">
        <f t="shared" si="1"/>
        <v>257.956</v>
      </c>
      <c r="H12" s="504">
        <f t="shared" si="1"/>
        <v>0</v>
      </c>
      <c r="I12" s="504">
        <f t="shared" si="1"/>
        <v>0</v>
      </c>
      <c r="J12" s="504">
        <v>0</v>
      </c>
      <c r="K12" s="504">
        <v>0</v>
      </c>
      <c r="L12" s="504">
        <v>0</v>
      </c>
      <c r="M12" s="504">
        <v>0</v>
      </c>
      <c r="N12" s="504">
        <v>0</v>
      </c>
      <c r="O12" s="504">
        <v>0</v>
      </c>
    </row>
    <row r="13" spans="2:15">
      <c r="B13" s="20">
        <v>4</v>
      </c>
      <c r="C13" s="354" t="s">
        <v>571</v>
      </c>
      <c r="D13" s="504">
        <f t="shared" si="1"/>
        <v>16.5764275</v>
      </c>
      <c r="E13" s="504">
        <f t="shared" si="1"/>
        <v>22.06520368</v>
      </c>
      <c r="F13" s="504">
        <f t="shared" si="1"/>
        <v>22.87750677</v>
      </c>
      <c r="G13" s="504">
        <f t="shared" si="1"/>
        <v>23.314</v>
      </c>
      <c r="H13" s="504">
        <f t="shared" si="1"/>
        <v>0</v>
      </c>
      <c r="I13" s="504">
        <f t="shared" si="1"/>
        <v>0</v>
      </c>
      <c r="J13" s="504">
        <v>0</v>
      </c>
      <c r="K13" s="504">
        <v>0</v>
      </c>
      <c r="L13" s="504">
        <v>0</v>
      </c>
      <c r="M13" s="504">
        <v>0</v>
      </c>
      <c r="N13" s="504">
        <v>0</v>
      </c>
      <c r="O13" s="504">
        <v>0</v>
      </c>
    </row>
    <row r="14" spans="2:15">
      <c r="B14" s="20">
        <v>5</v>
      </c>
      <c r="C14" s="354" t="s">
        <v>572</v>
      </c>
      <c r="D14" s="504">
        <f t="shared" si="1"/>
        <v>0</v>
      </c>
      <c r="E14" s="504">
        <f t="shared" si="1"/>
        <v>0</v>
      </c>
      <c r="F14" s="504">
        <f t="shared" si="1"/>
        <v>0</v>
      </c>
      <c r="G14" s="504">
        <f t="shared" si="1"/>
        <v>0</v>
      </c>
      <c r="H14" s="504">
        <f t="shared" si="1"/>
        <v>0</v>
      </c>
      <c r="I14" s="504">
        <f t="shared" si="1"/>
        <v>0</v>
      </c>
      <c r="J14" s="504">
        <v>0</v>
      </c>
      <c r="K14" s="504">
        <v>0</v>
      </c>
      <c r="L14" s="504">
        <v>0</v>
      </c>
      <c r="M14" s="504">
        <v>0</v>
      </c>
      <c r="N14" s="504">
        <v>0</v>
      </c>
      <c r="O14" s="504">
        <v>0</v>
      </c>
    </row>
    <row r="15" spans="2:15">
      <c r="B15" s="20">
        <v>6</v>
      </c>
      <c r="C15" s="21" t="s">
        <v>573</v>
      </c>
      <c r="D15" s="504">
        <f t="shared" si="1"/>
        <v>44.397469</v>
      </c>
      <c r="E15" s="504">
        <f t="shared" si="1"/>
        <v>44.26953715</v>
      </c>
      <c r="F15" s="504">
        <f t="shared" si="1"/>
        <v>46.95953225</v>
      </c>
      <c r="G15" s="504">
        <f t="shared" si="1"/>
        <v>55.639</v>
      </c>
      <c r="H15" s="504">
        <f t="shared" si="1"/>
        <v>0</v>
      </c>
      <c r="I15" s="504">
        <f t="shared" si="1"/>
        <v>0</v>
      </c>
      <c r="J15" s="504">
        <v>0</v>
      </c>
      <c r="K15" s="504">
        <v>0</v>
      </c>
      <c r="L15" s="504">
        <v>0</v>
      </c>
      <c r="M15" s="504">
        <v>0</v>
      </c>
      <c r="N15" s="504">
        <v>0</v>
      </c>
      <c r="O15" s="504">
        <v>0</v>
      </c>
    </row>
    <row r="16" spans="2:15">
      <c r="B16" s="20">
        <v>7</v>
      </c>
      <c r="C16" s="354" t="s">
        <v>574</v>
      </c>
      <c r="D16" s="504">
        <f t="shared" si="1"/>
        <v>33.1412989</v>
      </c>
      <c r="E16" s="504">
        <f t="shared" si="1"/>
        <v>33.23882065</v>
      </c>
      <c r="F16" s="504">
        <f t="shared" si="1"/>
        <v>34.12296564</v>
      </c>
      <c r="G16" s="504">
        <f t="shared" si="1"/>
        <v>42.239</v>
      </c>
      <c r="H16" s="504">
        <f t="shared" si="1"/>
        <v>0</v>
      </c>
      <c r="I16" s="504">
        <f t="shared" si="1"/>
        <v>0</v>
      </c>
      <c r="J16" s="504">
        <v>0</v>
      </c>
      <c r="K16" s="504">
        <v>0</v>
      </c>
      <c r="L16" s="504">
        <v>0</v>
      </c>
      <c r="M16" s="504">
        <v>0</v>
      </c>
      <c r="N16" s="504">
        <v>0</v>
      </c>
      <c r="O16" s="504">
        <v>0</v>
      </c>
    </row>
    <row r="17" spans="2:15">
      <c r="B17" s="20">
        <v>8</v>
      </c>
      <c r="C17" s="354" t="s">
        <v>575</v>
      </c>
      <c r="D17" s="504">
        <f t="shared" si="1"/>
        <v>39.5844298</v>
      </c>
      <c r="E17" s="504">
        <f t="shared" si="1"/>
        <v>44.96828578</v>
      </c>
      <c r="F17" s="504">
        <f t="shared" si="1"/>
        <v>470.8646492</v>
      </c>
      <c r="G17" s="504">
        <f t="shared" si="1"/>
        <v>376.964</v>
      </c>
      <c r="H17" s="504">
        <f t="shared" si="1"/>
        <v>0</v>
      </c>
      <c r="I17" s="504">
        <f t="shared" si="1"/>
        <v>0</v>
      </c>
      <c r="J17" s="504">
        <v>0</v>
      </c>
      <c r="K17" s="504">
        <v>0</v>
      </c>
      <c r="L17" s="504">
        <v>0</v>
      </c>
      <c r="M17" s="504">
        <v>0</v>
      </c>
      <c r="N17" s="504">
        <v>0</v>
      </c>
      <c r="O17" s="504">
        <v>0</v>
      </c>
    </row>
    <row r="18" spans="2:15">
      <c r="B18" s="20">
        <v>9</v>
      </c>
      <c r="C18" s="354" t="s">
        <v>576</v>
      </c>
      <c r="D18" s="504">
        <f t="shared" si="1"/>
        <v>0</v>
      </c>
      <c r="E18" s="504">
        <f t="shared" si="1"/>
        <v>0</v>
      </c>
      <c r="F18" s="504">
        <f t="shared" si="1"/>
        <v>0</v>
      </c>
      <c r="G18" s="504">
        <f t="shared" si="1"/>
        <v>0</v>
      </c>
      <c r="H18" s="504">
        <f t="shared" si="1"/>
        <v>0</v>
      </c>
      <c r="I18" s="504">
        <f t="shared" si="1"/>
        <v>0</v>
      </c>
      <c r="J18" s="504">
        <f>J50+J83</f>
        <v>0</v>
      </c>
      <c r="K18" s="504">
        <v>0</v>
      </c>
      <c r="L18" s="504">
        <v>0</v>
      </c>
      <c r="M18" s="504">
        <v>0</v>
      </c>
      <c r="N18" s="504">
        <v>0</v>
      </c>
      <c r="O18" s="504">
        <v>0</v>
      </c>
    </row>
    <row r="19" spans="2:15">
      <c r="B19" s="20">
        <v>10</v>
      </c>
      <c r="C19" s="354" t="s">
        <v>577</v>
      </c>
      <c r="D19" s="504">
        <f t="shared" si="1"/>
        <v>0</v>
      </c>
      <c r="E19" s="504">
        <f t="shared" si="1"/>
        <v>0</v>
      </c>
      <c r="F19" s="504">
        <f t="shared" si="1"/>
        <v>0</v>
      </c>
      <c r="G19" s="504">
        <f t="shared" si="1"/>
        <v>0.459</v>
      </c>
      <c r="H19" s="504">
        <f t="shared" si="1"/>
        <v>0</v>
      </c>
      <c r="I19" s="504">
        <f t="shared" si="1"/>
        <v>0</v>
      </c>
      <c r="J19" s="504">
        <v>0</v>
      </c>
      <c r="K19" s="504">
        <v>0</v>
      </c>
      <c r="L19" s="504">
        <v>0</v>
      </c>
      <c r="M19" s="504">
        <v>0</v>
      </c>
      <c r="N19" s="504">
        <v>0</v>
      </c>
      <c r="O19" s="504">
        <v>0</v>
      </c>
    </row>
    <row r="20" spans="2:15">
      <c r="B20" s="20">
        <v>11</v>
      </c>
      <c r="C20" s="354" t="s">
        <v>578</v>
      </c>
      <c r="D20" s="504">
        <f t="shared" si="1"/>
        <v>-0.0152015</v>
      </c>
      <c r="E20" s="504">
        <f t="shared" si="1"/>
        <v>-0.01342247</v>
      </c>
      <c r="F20" s="504">
        <f t="shared" si="1"/>
        <v>-0.00132248</v>
      </c>
      <c r="G20" s="504">
        <f t="shared" si="1"/>
        <v>-0.018</v>
      </c>
      <c r="H20" s="504">
        <f t="shared" si="1"/>
        <v>0</v>
      </c>
      <c r="I20" s="504">
        <f t="shared" si="1"/>
        <v>0</v>
      </c>
      <c r="J20" s="504">
        <v>0</v>
      </c>
      <c r="K20" s="504">
        <v>0</v>
      </c>
      <c r="L20" s="504">
        <v>0</v>
      </c>
      <c r="M20" s="504">
        <v>0</v>
      </c>
      <c r="N20" s="504">
        <v>0</v>
      </c>
      <c r="O20" s="504">
        <v>0</v>
      </c>
    </row>
    <row r="21" spans="2:15">
      <c r="B21" s="20">
        <v>12</v>
      </c>
      <c r="C21" s="354" t="s">
        <v>579</v>
      </c>
      <c r="D21" s="504">
        <f t="shared" si="1"/>
        <v>25.2644197</v>
      </c>
      <c r="E21" s="504">
        <f t="shared" si="1"/>
        <v>33.2509702</v>
      </c>
      <c r="F21" s="504">
        <f t="shared" si="1"/>
        <v>34.90483647</v>
      </c>
      <c r="G21" s="504">
        <f t="shared" si="1"/>
        <v>35.161</v>
      </c>
      <c r="H21" s="504">
        <f t="shared" si="1"/>
        <v>0</v>
      </c>
      <c r="I21" s="504">
        <f t="shared" si="1"/>
        <v>0</v>
      </c>
      <c r="J21" s="504">
        <f>'[6]Employee Cost'!E16</f>
        <v>103.07</v>
      </c>
      <c r="K21" s="504">
        <f>'[6]Employee Cost'!F16</f>
        <v>110.2849</v>
      </c>
      <c r="L21" s="504">
        <f>'[6]Employee Cost'!G16</f>
        <v>118.004843</v>
      </c>
      <c r="M21" s="504">
        <f>'[6]Employee Cost'!H16</f>
        <v>149.86615061</v>
      </c>
      <c r="N21" s="504">
        <f>'[6]Employee Cost'!I16</f>
        <v>160.3567811527</v>
      </c>
      <c r="O21" s="504">
        <f>'[6]Employee Cost'!J16</f>
        <v>171.581755833389</v>
      </c>
    </row>
    <row r="22" spans="2:15">
      <c r="B22" s="20">
        <v>13</v>
      </c>
      <c r="C22" s="354" t="s">
        <v>580</v>
      </c>
      <c r="D22" s="504">
        <f t="shared" si="1"/>
        <v>0</v>
      </c>
      <c r="E22" s="504">
        <f t="shared" si="1"/>
        <v>0</v>
      </c>
      <c r="F22" s="504">
        <f t="shared" si="1"/>
        <v>0</v>
      </c>
      <c r="G22" s="504">
        <f t="shared" si="1"/>
        <v>0</v>
      </c>
      <c r="H22" s="504">
        <f t="shared" si="1"/>
        <v>0</v>
      </c>
      <c r="I22" s="504">
        <f t="shared" si="1"/>
        <v>0</v>
      </c>
      <c r="J22" s="504">
        <f>J54+J87</f>
        <v>0</v>
      </c>
      <c r="K22" s="504">
        <v>0</v>
      </c>
      <c r="L22" s="504">
        <v>0</v>
      </c>
      <c r="M22" s="504">
        <v>0</v>
      </c>
      <c r="N22" s="504">
        <v>0</v>
      </c>
      <c r="O22" s="504">
        <v>0</v>
      </c>
    </row>
    <row r="23" spans="2:15">
      <c r="B23" s="20">
        <v>14</v>
      </c>
      <c r="C23" s="354" t="s">
        <v>581</v>
      </c>
      <c r="D23" s="504">
        <f t="shared" si="1"/>
        <v>0.010689</v>
      </c>
      <c r="E23" s="504">
        <f t="shared" si="1"/>
        <v>0.0102309</v>
      </c>
      <c r="F23" s="504">
        <f t="shared" si="1"/>
        <v>0.001018</v>
      </c>
      <c r="G23" s="504">
        <f t="shared" si="1"/>
        <v>0</v>
      </c>
      <c r="H23" s="504">
        <f t="shared" si="1"/>
        <v>0</v>
      </c>
      <c r="I23" s="504">
        <f t="shared" si="1"/>
        <v>0</v>
      </c>
      <c r="J23" s="504">
        <f>'[6]Employee Cost'!E14+'[6]Employee Cost'!E15</f>
        <v>2.99</v>
      </c>
      <c r="K23" s="504">
        <f>'[6]Employee Cost'!F14+'[6]Employee Cost'!F15</f>
        <v>3.1993</v>
      </c>
      <c r="L23" s="504">
        <f>'[6]Employee Cost'!G14+'[6]Employee Cost'!G15</f>
        <v>3.423251</v>
      </c>
      <c r="M23" s="504">
        <f>'[6]Employee Cost'!H14+'[6]Employee Cost'!H15</f>
        <v>4.34752877</v>
      </c>
      <c r="N23" s="504">
        <f>'[6]Employee Cost'!I14+'[6]Employee Cost'!I15</f>
        <v>4.6518557839</v>
      </c>
      <c r="O23" s="504">
        <f>'[6]Employee Cost'!J14+'[6]Employee Cost'!J15</f>
        <v>4.977485688773</v>
      </c>
    </row>
    <row r="24" spans="2:15">
      <c r="B24" s="20">
        <v>15</v>
      </c>
      <c r="C24" s="354" t="s">
        <v>582</v>
      </c>
      <c r="D24" s="504">
        <f t="shared" si="1"/>
        <v>0</v>
      </c>
      <c r="E24" s="504">
        <f t="shared" si="1"/>
        <v>0</v>
      </c>
      <c r="F24" s="504">
        <f t="shared" si="1"/>
        <v>0</v>
      </c>
      <c r="G24" s="504">
        <f t="shared" si="1"/>
        <v>0</v>
      </c>
      <c r="H24" s="504">
        <f t="shared" si="1"/>
        <v>0</v>
      </c>
      <c r="I24" s="504">
        <f t="shared" si="1"/>
        <v>0</v>
      </c>
      <c r="J24" s="504">
        <f>J56+J89</f>
        <v>0</v>
      </c>
      <c r="K24" s="504">
        <v>0</v>
      </c>
      <c r="L24" s="504">
        <v>0</v>
      </c>
      <c r="M24" s="504">
        <v>0</v>
      </c>
      <c r="N24" s="504">
        <v>0</v>
      </c>
      <c r="O24" s="504">
        <v>0</v>
      </c>
    </row>
    <row r="25" spans="2:15">
      <c r="B25" s="20">
        <v>16</v>
      </c>
      <c r="C25" s="354" t="s">
        <v>583</v>
      </c>
      <c r="D25" s="504">
        <f t="shared" si="1"/>
        <v>0.004314</v>
      </c>
      <c r="E25" s="504">
        <f t="shared" si="1"/>
        <v>0.004314</v>
      </c>
      <c r="F25" s="504">
        <f t="shared" si="1"/>
        <v>0.0004314</v>
      </c>
      <c r="G25" s="504">
        <f t="shared" si="1"/>
        <v>0</v>
      </c>
      <c r="H25" s="504">
        <f t="shared" si="1"/>
        <v>0</v>
      </c>
      <c r="I25" s="504">
        <f t="shared" si="1"/>
        <v>0</v>
      </c>
      <c r="J25" s="504">
        <f>'[6]Employee Cost'!E10+'[6]Employee Cost'!E12</f>
        <v>398.46</v>
      </c>
      <c r="K25" s="504">
        <f>'[6]Employee Cost'!F10+'[6]Employee Cost'!F12</f>
        <v>426.3522</v>
      </c>
      <c r="L25" s="504">
        <f>'[6]Employee Cost'!G10+'[6]Employee Cost'!G12</f>
        <v>456.196854</v>
      </c>
      <c r="M25" s="504">
        <f>'[6]Employee Cost'!H10+'[6]Employee Cost'!H12</f>
        <v>579.37000458</v>
      </c>
      <c r="N25" s="504">
        <f>'[6]Employee Cost'!I10+'[6]Employee Cost'!I12</f>
        <v>619.9259049006</v>
      </c>
      <c r="O25" s="504">
        <f>'[6]Employee Cost'!J10+'[6]Employee Cost'!J12</f>
        <v>663.320718243642</v>
      </c>
    </row>
    <row r="26" spans="2:15">
      <c r="B26" s="20">
        <v>18</v>
      </c>
      <c r="C26" s="354" t="s">
        <v>585</v>
      </c>
      <c r="D26" s="504">
        <f t="shared" ref="D26:I30" si="2">D59+D92</f>
        <v>193.3571419</v>
      </c>
      <c r="E26" s="504">
        <f t="shared" si="2"/>
        <v>193.91630785</v>
      </c>
      <c r="F26" s="504">
        <f t="shared" si="2"/>
        <v>1.37984374</v>
      </c>
      <c r="G26" s="504">
        <f t="shared" si="2"/>
        <v>345.155</v>
      </c>
      <c r="H26" s="504">
        <f t="shared" si="2"/>
        <v>0</v>
      </c>
      <c r="I26" s="504">
        <f t="shared" si="2"/>
        <v>0</v>
      </c>
      <c r="J26" s="504">
        <f>'[6]Employee Cost'!E13</f>
        <v>640.99</v>
      </c>
      <c r="K26" s="504">
        <f>'[6]Employee Cost'!F13</f>
        <v>692.2692</v>
      </c>
      <c r="L26" s="504">
        <f>'[6]Employee Cost'!G13</f>
        <v>747.650736</v>
      </c>
      <c r="M26" s="504">
        <f>'[6]Employee Cost'!H13</f>
        <v>956.99294208</v>
      </c>
      <c r="N26" s="504">
        <f>'[6]Employee Cost'!I13</f>
        <v>1033.5523774464</v>
      </c>
      <c r="O26" s="504">
        <f>'[6]Employee Cost'!J13</f>
        <v>1116.23656764211</v>
      </c>
    </row>
    <row r="27" spans="2:15">
      <c r="B27" s="20">
        <f>+B26+0.1</f>
        <v>18.1</v>
      </c>
      <c r="C27" s="354" t="s">
        <v>586</v>
      </c>
      <c r="D27" s="504">
        <f t="shared" si="2"/>
        <v>82.1072482</v>
      </c>
      <c r="E27" s="504">
        <f t="shared" si="2"/>
        <v>87.92024659</v>
      </c>
      <c r="F27" s="504">
        <f t="shared" si="2"/>
        <v>98.92861353</v>
      </c>
      <c r="G27" s="504">
        <f t="shared" si="2"/>
        <v>109.737</v>
      </c>
      <c r="H27" s="504">
        <f t="shared" si="2"/>
        <v>0</v>
      </c>
      <c r="I27" s="504">
        <f t="shared" si="2"/>
        <v>0</v>
      </c>
      <c r="J27" s="504">
        <f>'[6]Employee Cost'!E11</f>
        <v>124.25</v>
      </c>
      <c r="K27" s="504">
        <f>'[6]Employee Cost'!F11</f>
        <v>132.9475</v>
      </c>
      <c r="L27" s="504">
        <f>'[6]Employee Cost'!G11</f>
        <v>142.253825</v>
      </c>
      <c r="M27" s="504">
        <f>'[6]Employee Cost'!H11</f>
        <v>180.66235775</v>
      </c>
      <c r="N27" s="504">
        <f>'[6]Employee Cost'!I11</f>
        <v>193.3087227925</v>
      </c>
      <c r="O27" s="504">
        <f>'[6]Employee Cost'!J11</f>
        <v>206.840333387975</v>
      </c>
    </row>
    <row r="28" spans="2:15">
      <c r="B28" s="20">
        <f>+B27+0.1</f>
        <v>18.2</v>
      </c>
      <c r="C28" s="354" t="s">
        <v>587</v>
      </c>
      <c r="D28" s="504">
        <v>0</v>
      </c>
      <c r="E28" s="504">
        <v>0</v>
      </c>
      <c r="F28" s="504">
        <v>0</v>
      </c>
      <c r="G28" s="504">
        <v>0</v>
      </c>
      <c r="H28" s="504">
        <f t="shared" si="2"/>
        <v>0</v>
      </c>
      <c r="I28" s="504">
        <f t="shared" si="2"/>
        <v>0</v>
      </c>
      <c r="J28" s="504">
        <v>0</v>
      </c>
      <c r="K28" s="504">
        <v>0</v>
      </c>
      <c r="L28" s="504">
        <v>0</v>
      </c>
      <c r="M28" s="504">
        <v>0</v>
      </c>
      <c r="N28" s="504">
        <v>0</v>
      </c>
      <c r="O28" s="504">
        <v>0</v>
      </c>
    </row>
    <row r="29" spans="2:15">
      <c r="B29" s="20">
        <f>+B28+0.1</f>
        <v>18.3</v>
      </c>
      <c r="C29" s="354" t="s">
        <v>588</v>
      </c>
      <c r="D29" s="504">
        <v>0</v>
      </c>
      <c r="E29" s="504">
        <v>0</v>
      </c>
      <c r="F29" s="504">
        <v>0</v>
      </c>
      <c r="G29" s="504">
        <v>0</v>
      </c>
      <c r="H29" s="504">
        <f t="shared" si="2"/>
        <v>0</v>
      </c>
      <c r="I29" s="504">
        <f t="shared" si="2"/>
        <v>0</v>
      </c>
      <c r="J29" s="504">
        <v>0</v>
      </c>
      <c r="K29" s="504">
        <v>0</v>
      </c>
      <c r="L29" s="504">
        <v>0</v>
      </c>
      <c r="M29" s="504">
        <v>0</v>
      </c>
      <c r="N29" s="504">
        <v>0</v>
      </c>
      <c r="O29" s="504">
        <v>0</v>
      </c>
    </row>
    <row r="30" spans="2:15">
      <c r="B30" s="20">
        <f>+B29+0.1</f>
        <v>18.4</v>
      </c>
      <c r="C30" s="354" t="s">
        <v>589</v>
      </c>
      <c r="D30" s="504">
        <v>0</v>
      </c>
      <c r="E30" s="504">
        <v>0</v>
      </c>
      <c r="F30" s="504">
        <v>0</v>
      </c>
      <c r="G30" s="504">
        <v>0</v>
      </c>
      <c r="H30" s="504">
        <f t="shared" si="2"/>
        <v>0</v>
      </c>
      <c r="I30" s="504">
        <f t="shared" si="2"/>
        <v>0</v>
      </c>
      <c r="J30" s="504">
        <v>0</v>
      </c>
      <c r="K30" s="504">
        <v>0</v>
      </c>
      <c r="L30" s="504">
        <v>0</v>
      </c>
      <c r="M30" s="504">
        <v>0</v>
      </c>
      <c r="N30" s="504">
        <v>0</v>
      </c>
      <c r="O30" s="504">
        <v>0</v>
      </c>
    </row>
    <row r="31" ht="28.5" spans="2:15">
      <c r="B31" s="20">
        <v>19</v>
      </c>
      <c r="C31" s="505" t="s">
        <v>590</v>
      </c>
      <c r="D31" s="504">
        <f t="shared" ref="D31:I32" si="3">D64+D97</f>
        <v>0</v>
      </c>
      <c r="E31" s="504">
        <f t="shared" si="3"/>
        <v>0</v>
      </c>
      <c r="F31" s="504">
        <f t="shared" si="3"/>
        <v>0</v>
      </c>
      <c r="G31" s="504">
        <f t="shared" si="3"/>
        <v>0</v>
      </c>
      <c r="H31" s="504">
        <f t="shared" si="3"/>
        <v>0</v>
      </c>
      <c r="I31" s="504">
        <f t="shared" si="3"/>
        <v>0</v>
      </c>
      <c r="J31" s="504">
        <f>J64+J97</f>
        <v>0</v>
      </c>
      <c r="K31" s="504">
        <v>0</v>
      </c>
      <c r="L31" s="504">
        <v>0</v>
      </c>
      <c r="M31" s="504">
        <v>0</v>
      </c>
      <c r="N31" s="504">
        <v>0</v>
      </c>
      <c r="O31" s="504">
        <v>0</v>
      </c>
    </row>
    <row r="32" spans="2:15">
      <c r="B32" s="20">
        <v>20</v>
      </c>
      <c r="C32" s="354" t="s">
        <v>440</v>
      </c>
      <c r="D32" s="504">
        <f t="shared" si="3"/>
        <v>0</v>
      </c>
      <c r="E32" s="504">
        <f t="shared" si="3"/>
        <v>0</v>
      </c>
      <c r="F32" s="504">
        <f t="shared" si="3"/>
        <v>0</v>
      </c>
      <c r="G32" s="504">
        <f t="shared" si="3"/>
        <v>0</v>
      </c>
      <c r="H32" s="504">
        <f t="shared" si="3"/>
        <v>0</v>
      </c>
      <c r="I32" s="504">
        <f t="shared" si="3"/>
        <v>0</v>
      </c>
      <c r="J32" s="504">
        <f>J65+J98</f>
        <v>0</v>
      </c>
      <c r="K32" s="504">
        <v>0</v>
      </c>
      <c r="L32" s="504">
        <v>0</v>
      </c>
      <c r="M32" s="504">
        <v>0</v>
      </c>
      <c r="N32" s="504">
        <v>0</v>
      </c>
      <c r="O32" s="504">
        <v>0</v>
      </c>
    </row>
    <row r="33" ht="15" spans="2:15">
      <c r="B33" s="6">
        <v>21</v>
      </c>
      <c r="C33" s="358" t="s">
        <v>591</v>
      </c>
      <c r="D33" s="506">
        <f t="shared" ref="D33:J33" si="4">SUM(D10:D32)</f>
        <v>1934.1317888</v>
      </c>
      <c r="E33" s="506">
        <f t="shared" si="4"/>
        <v>1979.6756813</v>
      </c>
      <c r="F33" s="506">
        <f t="shared" si="4"/>
        <v>2347.34061138</v>
      </c>
      <c r="G33" s="506">
        <f t="shared" si="4"/>
        <v>3108.359</v>
      </c>
      <c r="H33" s="506">
        <f t="shared" si="4"/>
        <v>0</v>
      </c>
      <c r="I33" s="506">
        <f t="shared" si="4"/>
        <v>0</v>
      </c>
      <c r="J33" s="506">
        <f t="shared" si="4"/>
        <v>3275.06</v>
      </c>
      <c r="K33" s="506">
        <f t="shared" ref="K33:O33" si="5">SUM(K10:K32)</f>
        <v>3510.7241</v>
      </c>
      <c r="L33" s="506">
        <f t="shared" si="5"/>
        <v>3763.397479</v>
      </c>
      <c r="M33" s="506">
        <f t="shared" si="5"/>
        <v>4786.99130569</v>
      </c>
      <c r="N33" s="506">
        <f t="shared" si="5"/>
        <v>5131.6506265091</v>
      </c>
      <c r="O33" s="506">
        <f t="shared" si="5"/>
        <v>5501.2016941392</v>
      </c>
    </row>
    <row r="34" spans="2:15">
      <c r="B34" s="20">
        <v>22</v>
      </c>
      <c r="C34" s="354" t="s">
        <v>592</v>
      </c>
      <c r="D34" s="504"/>
      <c r="E34" s="504"/>
      <c r="F34" s="504"/>
      <c r="G34" s="504"/>
      <c r="H34" s="504"/>
      <c r="I34" s="504"/>
      <c r="J34" s="504">
        <f>'[6]Employee Cost'!E17</f>
        <v>-102.45</v>
      </c>
      <c r="K34" s="504">
        <f>'[6]Employee Cost'!F17</f>
        <v>0</v>
      </c>
      <c r="L34" s="504">
        <f>'[6]Employee Cost'!G17</f>
        <v>0</v>
      </c>
      <c r="M34" s="504">
        <f>'[6]Employee Cost'!H17</f>
        <v>0</v>
      </c>
      <c r="N34" s="504">
        <f>'[6]Employee Cost'!I17</f>
        <v>0</v>
      </c>
      <c r="O34" s="504">
        <f>'[6]Employee Cost'!J17</f>
        <v>0</v>
      </c>
    </row>
    <row r="35" ht="15" spans="2:15">
      <c r="B35" s="6">
        <v>23</v>
      </c>
      <c r="C35" s="19" t="s">
        <v>593</v>
      </c>
      <c r="D35" s="30">
        <f>D33-D34</f>
        <v>1934.1317888</v>
      </c>
      <c r="E35" s="30">
        <f t="shared" ref="E35:I35" si="6">E33-E34</f>
        <v>1979.6756813</v>
      </c>
      <c r="F35" s="30">
        <f t="shared" si="6"/>
        <v>2347.34061138</v>
      </c>
      <c r="G35" s="30">
        <f t="shared" si="6"/>
        <v>3108.359</v>
      </c>
      <c r="H35" s="30">
        <f t="shared" si="6"/>
        <v>0</v>
      </c>
      <c r="I35" s="30">
        <f t="shared" si="6"/>
        <v>0</v>
      </c>
      <c r="J35" s="30">
        <f>J33+J34</f>
        <v>3172.61</v>
      </c>
      <c r="K35" s="30">
        <f t="shared" ref="K35:O35" si="7">K33+K34</f>
        <v>3510.7241</v>
      </c>
      <c r="L35" s="30">
        <f t="shared" si="7"/>
        <v>3763.397479</v>
      </c>
      <c r="M35" s="30">
        <f t="shared" si="7"/>
        <v>4786.99130569</v>
      </c>
      <c r="N35" s="30">
        <f t="shared" si="7"/>
        <v>5131.6506265091</v>
      </c>
      <c r="O35" s="30">
        <f t="shared" si="7"/>
        <v>5501.2016941392</v>
      </c>
    </row>
    <row r="36" ht="15" spans="2:15">
      <c r="B36" s="2"/>
      <c r="C36" s="34"/>
      <c r="D36" s="507"/>
      <c r="E36" s="507"/>
      <c r="F36" s="507"/>
      <c r="G36" s="507"/>
      <c r="H36" s="507"/>
      <c r="I36" s="507"/>
      <c r="J36" s="507"/>
      <c r="K36" s="507"/>
      <c r="L36" s="507"/>
      <c r="M36" s="507"/>
      <c r="N36" s="507"/>
      <c r="O36" s="507"/>
    </row>
    <row r="37" s="479" customFormat="1" ht="15" spans="2:10">
      <c r="B37" s="503" t="s">
        <v>764</v>
      </c>
      <c r="C37" s="501"/>
      <c r="D37" s="501"/>
      <c r="E37" s="501"/>
      <c r="F37" s="501"/>
      <c r="G37" s="502"/>
      <c r="H37" s="502"/>
      <c r="I37" s="502"/>
      <c r="J37" s="502"/>
    </row>
    <row r="38" ht="15" spans="15:15">
      <c r="O38" s="33" t="s">
        <v>109</v>
      </c>
    </row>
    <row r="39" ht="12.75" customHeight="1" spans="2:15">
      <c r="B39" s="6" t="s">
        <v>564</v>
      </c>
      <c r="C39" s="6" t="s">
        <v>110</v>
      </c>
      <c r="D39" s="5" t="s">
        <v>565</v>
      </c>
      <c r="E39" s="5" t="s">
        <v>566</v>
      </c>
      <c r="F39" s="5" t="s">
        <v>567</v>
      </c>
      <c r="G39" s="5" t="s">
        <v>112</v>
      </c>
      <c r="H39" s="5" t="s">
        <v>760</v>
      </c>
      <c r="I39" s="5"/>
      <c r="J39" s="5"/>
      <c r="K39" s="135" t="s">
        <v>114</v>
      </c>
      <c r="L39" s="135"/>
      <c r="M39" s="135"/>
      <c r="N39" s="135"/>
      <c r="O39" s="135"/>
    </row>
    <row r="40" ht="15" spans="2:15">
      <c r="B40" s="6"/>
      <c r="C40" s="6"/>
      <c r="D40" s="5" t="s">
        <v>237</v>
      </c>
      <c r="E40" s="5" t="s">
        <v>237</v>
      </c>
      <c r="F40" s="5" t="s">
        <v>237</v>
      </c>
      <c r="G40" s="5" t="s">
        <v>237</v>
      </c>
      <c r="H40" s="5" t="s">
        <v>119</v>
      </c>
      <c r="I40" s="5" t="s">
        <v>120</v>
      </c>
      <c r="J40" s="5" t="s">
        <v>238</v>
      </c>
      <c r="K40" s="5" t="s">
        <v>514</v>
      </c>
      <c r="L40" s="5" t="s">
        <v>515</v>
      </c>
      <c r="M40" s="5" t="s">
        <v>516</v>
      </c>
      <c r="N40" s="5" t="s">
        <v>517</v>
      </c>
      <c r="O40" s="5" t="s">
        <v>518</v>
      </c>
    </row>
    <row r="41" ht="15" spans="2:15">
      <c r="B41" s="55"/>
      <c r="C41" s="6"/>
      <c r="D41" s="5" t="s">
        <v>128</v>
      </c>
      <c r="E41" s="5" t="s">
        <v>128</v>
      </c>
      <c r="F41" s="5" t="s">
        <v>128</v>
      </c>
      <c r="G41" s="5" t="s">
        <v>128</v>
      </c>
      <c r="H41" s="5" t="s">
        <v>130</v>
      </c>
      <c r="I41" s="5" t="s">
        <v>131</v>
      </c>
      <c r="J41" s="5" t="s">
        <v>128</v>
      </c>
      <c r="K41" s="5" t="s">
        <v>132</v>
      </c>
      <c r="L41" s="5" t="s">
        <v>132</v>
      </c>
      <c r="M41" s="5" t="s">
        <v>132</v>
      </c>
      <c r="N41" s="5" t="s">
        <v>132</v>
      </c>
      <c r="O41" s="5" t="s">
        <v>132</v>
      </c>
    </row>
    <row r="42" spans="1:15">
      <c r="A42" s="508"/>
      <c r="B42" s="20">
        <v>1</v>
      </c>
      <c r="C42" s="354" t="s">
        <v>568</v>
      </c>
      <c r="D42" s="509">
        <f>VLOOKUP(B42,'[57]2a'!$B$5:$H$31,3,0)*90%</f>
        <v>1127.83715046</v>
      </c>
      <c r="E42" s="509">
        <f>VLOOKUP(B42,'[57]2a'!$B$5:$H$31,4,0)*90%</f>
        <v>1064.50141995</v>
      </c>
      <c r="F42" s="509">
        <f>VLOOKUP(B42,'[57]2a'!$B$5:$H$31,5,0)*90%</f>
        <v>1093.527</v>
      </c>
      <c r="G42" s="488">
        <f>VLOOKUP(B42,'[57]2a'!$B$5:$H$31,6,0)*90%</f>
        <v>1639.944</v>
      </c>
      <c r="H42" s="488"/>
      <c r="I42" s="488"/>
      <c r="J42" s="488">
        <f>VLOOKUP(B42,'[57]2a'!$B$5:$H$31,7,0)*90%</f>
        <v>1641.42</v>
      </c>
      <c r="K42" s="488">
        <f>90%*K10</f>
        <v>1931.1039</v>
      </c>
      <c r="L42" s="488">
        <f t="shared" ref="L42:O57" si="8">90%*L10</f>
        <v>2066.281173</v>
      </c>
      <c r="M42" s="488">
        <f t="shared" si="8"/>
        <v>2624.17708971</v>
      </c>
      <c r="N42" s="488">
        <f t="shared" si="8"/>
        <v>2807.8694859897</v>
      </c>
      <c r="O42" s="488">
        <f t="shared" si="8"/>
        <v>3004.42035000898</v>
      </c>
    </row>
    <row r="43" spans="1:15">
      <c r="A43" s="508"/>
      <c r="B43" s="20">
        <v>2</v>
      </c>
      <c r="C43" s="354" t="s">
        <v>569</v>
      </c>
      <c r="D43" s="509">
        <f>VLOOKUP(B43,'[57]2a'!$B$5:$H$31,3,0)*90%</f>
        <v>82.90508454</v>
      </c>
      <c r="E43" s="509">
        <f>VLOOKUP(B43,'[57]2a'!$B$5:$H$31,4,0)*90%</f>
        <v>155.7423297</v>
      </c>
      <c r="F43" s="509">
        <f>VLOOKUP(B43,'[57]2a'!$B$5:$H$31,5,0)*90%</f>
        <v>228.591</v>
      </c>
      <c r="G43" s="488">
        <f>VLOOKUP(B43,'[57]2a'!$B$5:$H$31,6,0)*90%</f>
        <v>74.907</v>
      </c>
      <c r="H43" s="488"/>
      <c r="I43" s="488"/>
      <c r="J43" s="488">
        <f>VLOOKUP(B43,'[57]2a'!$B$5:$H$31,7,0)*90%</f>
        <v>98.532</v>
      </c>
      <c r="K43" s="488">
        <f t="shared" ref="K43:K57" si="9">90%*K11</f>
        <v>0</v>
      </c>
      <c r="L43" s="488">
        <f t="shared" si="8"/>
        <v>0</v>
      </c>
      <c r="M43" s="488">
        <f t="shared" si="8"/>
        <v>0</v>
      </c>
      <c r="N43" s="488">
        <f t="shared" si="8"/>
        <v>0</v>
      </c>
      <c r="O43" s="488">
        <f t="shared" si="8"/>
        <v>0</v>
      </c>
    </row>
    <row r="44" spans="1:15">
      <c r="A44" s="510"/>
      <c r="B44" s="20">
        <v>3</v>
      </c>
      <c r="C44" s="21" t="s">
        <v>570</v>
      </c>
      <c r="D44" s="509">
        <f>VLOOKUP(B44,'[57]2a'!$B$5:$H$31,3,0)*90%</f>
        <v>138.99096207</v>
      </c>
      <c r="E44" s="509">
        <f>VLOOKUP(B44,'[57]2a'!$B$5:$H$31,4,0)*90%</f>
        <v>149.83108209</v>
      </c>
      <c r="F44" s="509">
        <f>VLOOKUP(B44,'[57]2a'!$B$5:$H$31,5,0)*90%</f>
        <v>162.954</v>
      </c>
      <c r="G44" s="488">
        <f>VLOOKUP(B44,'[57]2a'!$B$5:$H$31,6,0)*90%</f>
        <v>239.85</v>
      </c>
      <c r="H44" s="488"/>
      <c r="I44" s="488"/>
      <c r="J44" s="488">
        <f>VLOOKUP(B44,'[57]2a'!$B$5:$H$31,7,0)*90%</f>
        <v>247.932</v>
      </c>
      <c r="K44" s="488">
        <f t="shared" si="9"/>
        <v>0</v>
      </c>
      <c r="L44" s="488">
        <f t="shared" si="8"/>
        <v>0</v>
      </c>
      <c r="M44" s="488">
        <f t="shared" si="8"/>
        <v>0</v>
      </c>
      <c r="N44" s="488">
        <f t="shared" si="8"/>
        <v>0</v>
      </c>
      <c r="O44" s="488">
        <f t="shared" si="8"/>
        <v>0</v>
      </c>
    </row>
    <row r="45" spans="1:15">
      <c r="A45" s="508"/>
      <c r="B45" s="20">
        <v>4</v>
      </c>
      <c r="C45" s="354" t="s">
        <v>571</v>
      </c>
      <c r="D45" s="509">
        <f>VLOOKUP(B45,'[57]2a'!$B$5:$H$31,3,0)*90%</f>
        <v>14.91878475</v>
      </c>
      <c r="E45" s="509">
        <f>VLOOKUP(B45,'[57]2a'!$B$5:$H$31,4,0)*90%</f>
        <v>20.40756093</v>
      </c>
      <c r="F45" s="509">
        <f>VLOOKUP(B45,'[57]2a'!$B$5:$H$31,5,0)*90%</f>
        <v>20.61</v>
      </c>
      <c r="G45" s="488">
        <f>VLOOKUP(B45,'[57]2a'!$B$5:$H$31,6,0)*90%</f>
        <v>21.024</v>
      </c>
      <c r="H45" s="488"/>
      <c r="I45" s="488"/>
      <c r="J45" s="488">
        <f>VLOOKUP(B45,'[57]2a'!$B$5:$H$31,7,0)*90%</f>
        <v>21.492</v>
      </c>
      <c r="K45" s="488">
        <f t="shared" si="9"/>
        <v>0</v>
      </c>
      <c r="L45" s="488">
        <f t="shared" si="8"/>
        <v>0</v>
      </c>
      <c r="M45" s="488">
        <f t="shared" si="8"/>
        <v>0</v>
      </c>
      <c r="N45" s="488">
        <f t="shared" si="8"/>
        <v>0</v>
      </c>
      <c r="O45" s="488">
        <f t="shared" si="8"/>
        <v>0</v>
      </c>
    </row>
    <row r="46" spans="1:15">
      <c r="A46" s="508"/>
      <c r="B46" s="20">
        <v>5</v>
      </c>
      <c r="C46" s="354" t="s">
        <v>572</v>
      </c>
      <c r="D46" s="509">
        <f>VLOOKUP(B46,'[57]2a'!$B$5:$H$31,3,0)*90%</f>
        <v>0</v>
      </c>
      <c r="E46" s="509">
        <f>VLOOKUP(B46,'[57]2a'!$B$5:$H$31,4,0)*90%</f>
        <v>0</v>
      </c>
      <c r="F46" s="509">
        <f>VLOOKUP(B46,'[57]2a'!$B$5:$H$31,5,0)*90%</f>
        <v>0</v>
      </c>
      <c r="G46" s="488">
        <f>VLOOKUP(B46,'[57]2a'!$B$5:$H$31,6,0)*90%</f>
        <v>0</v>
      </c>
      <c r="H46" s="488"/>
      <c r="I46" s="488"/>
      <c r="J46" s="488">
        <f>VLOOKUP(B46,'[57]2a'!$B$5:$H$31,7,0)*90%</f>
        <v>0</v>
      </c>
      <c r="K46" s="488">
        <f t="shared" si="9"/>
        <v>0</v>
      </c>
      <c r="L46" s="488">
        <f t="shared" si="8"/>
        <v>0</v>
      </c>
      <c r="M46" s="488">
        <f t="shared" si="8"/>
        <v>0</v>
      </c>
      <c r="N46" s="488">
        <f t="shared" si="8"/>
        <v>0</v>
      </c>
      <c r="O46" s="488">
        <f t="shared" si="8"/>
        <v>0</v>
      </c>
    </row>
    <row r="47" spans="1:15">
      <c r="A47" s="510"/>
      <c r="B47" s="20">
        <v>6</v>
      </c>
      <c r="C47" s="21" t="s">
        <v>573</v>
      </c>
      <c r="D47" s="509">
        <f>VLOOKUP(B47,'[57]2a'!$B$5:$H$31,3,0)*90%</f>
        <v>39.9577221</v>
      </c>
      <c r="E47" s="509">
        <f>VLOOKUP(B47,'[57]2a'!$B$5:$H$31,4,0)*90%</f>
        <v>39.82979025</v>
      </c>
      <c r="F47" s="509">
        <f>VLOOKUP(B47,'[57]2a'!$B$5:$H$31,5,0)*90%</f>
        <v>42.534</v>
      </c>
      <c r="G47" s="488">
        <f>VLOOKUP(B47,'[57]2a'!$B$5:$H$31,6,0)*90%</f>
        <v>50.913</v>
      </c>
      <c r="H47" s="488"/>
      <c r="I47" s="488"/>
      <c r="J47" s="488">
        <f>VLOOKUP(B47,'[57]2a'!$B$5:$H$31,7,0)*90%</f>
        <v>64.341</v>
      </c>
      <c r="K47" s="488">
        <f t="shared" si="9"/>
        <v>0</v>
      </c>
      <c r="L47" s="488">
        <f t="shared" si="8"/>
        <v>0</v>
      </c>
      <c r="M47" s="488">
        <f t="shared" si="8"/>
        <v>0</v>
      </c>
      <c r="N47" s="488">
        <f t="shared" si="8"/>
        <v>0</v>
      </c>
      <c r="O47" s="488">
        <f t="shared" si="8"/>
        <v>0</v>
      </c>
    </row>
    <row r="48" spans="1:15">
      <c r="A48" s="508"/>
      <c r="B48" s="20">
        <v>7</v>
      </c>
      <c r="C48" s="354" t="s">
        <v>574</v>
      </c>
      <c r="D48" s="509">
        <f>VLOOKUP(B48,'[57]2a'!$B$5:$H$31,3,0)*90%</f>
        <v>29.82716901</v>
      </c>
      <c r="E48" s="509">
        <f>VLOOKUP(B48,'[57]2a'!$B$5:$H$31,4,0)*90%</f>
        <v>29.92469076</v>
      </c>
      <c r="F48" s="509">
        <f>VLOOKUP(B48,'[57]2a'!$B$5:$H$31,5,0)*90%</f>
        <v>30.798</v>
      </c>
      <c r="G48" s="488">
        <f>VLOOKUP(B48,'[57]2a'!$B$5:$H$31,6,0)*90%</f>
        <v>38.817</v>
      </c>
      <c r="H48" s="488"/>
      <c r="I48" s="488"/>
      <c r="J48" s="488">
        <f>VLOOKUP(B48,'[57]2a'!$B$5:$H$31,7,0)*90%</f>
        <v>43.848</v>
      </c>
      <c r="K48" s="488">
        <f t="shared" si="9"/>
        <v>0</v>
      </c>
      <c r="L48" s="488">
        <f t="shared" si="8"/>
        <v>0</v>
      </c>
      <c r="M48" s="488">
        <f t="shared" si="8"/>
        <v>0</v>
      </c>
      <c r="N48" s="488">
        <f t="shared" si="8"/>
        <v>0</v>
      </c>
      <c r="O48" s="488">
        <f t="shared" si="8"/>
        <v>0</v>
      </c>
    </row>
    <row r="49" spans="1:15">
      <c r="A49" s="508"/>
      <c r="B49" s="20">
        <v>8</v>
      </c>
      <c r="C49" s="354" t="s">
        <v>575</v>
      </c>
      <c r="D49" s="509">
        <f>VLOOKUP(B49,'[57]2a'!$B$5:$H$31,3,0)*90%</f>
        <v>35.62598682</v>
      </c>
      <c r="E49" s="509">
        <f>VLOOKUP(B49,'[57]2a'!$B$5:$H$31,4,0)*90%</f>
        <v>41.0098428</v>
      </c>
      <c r="F49" s="509">
        <f>VLOOKUP(B49,'[57]2a'!$B$5:$H$31,5,0)*90%</f>
        <v>466.308</v>
      </c>
      <c r="G49" s="488">
        <f>VLOOKUP(B49,'[57]2a'!$B$5:$H$31,6,0)*90%</f>
        <v>325.152</v>
      </c>
      <c r="H49" s="488"/>
      <c r="I49" s="488"/>
      <c r="J49" s="488">
        <f>VLOOKUP(B49,'[57]2a'!$B$5:$H$31,7,0)*90%</f>
        <v>90</v>
      </c>
      <c r="K49" s="488">
        <f t="shared" si="9"/>
        <v>0</v>
      </c>
      <c r="L49" s="488">
        <f t="shared" si="8"/>
        <v>0</v>
      </c>
      <c r="M49" s="488">
        <f t="shared" si="8"/>
        <v>0</v>
      </c>
      <c r="N49" s="488">
        <f t="shared" si="8"/>
        <v>0</v>
      </c>
      <c r="O49" s="488">
        <f t="shared" si="8"/>
        <v>0</v>
      </c>
    </row>
    <row r="50" spans="1:15">
      <c r="A50" s="508"/>
      <c r="B50" s="20">
        <v>9</v>
      </c>
      <c r="C50" s="354" t="s">
        <v>576</v>
      </c>
      <c r="D50" s="509">
        <f>VLOOKUP(B50,'[57]2a'!$B$5:$H$31,3,0)*90%</f>
        <v>0</v>
      </c>
      <c r="E50" s="509">
        <f>VLOOKUP(B50,'[57]2a'!$B$5:$H$31,4,0)*90%</f>
        <v>0</v>
      </c>
      <c r="F50" s="509">
        <f>VLOOKUP(B50,'[57]2a'!$B$5:$H$31,5,0)*90%</f>
        <v>0</v>
      </c>
      <c r="G50" s="488">
        <f>VLOOKUP(B50,'[57]2a'!$B$5:$H$31,6,0)*90%</f>
        <v>0</v>
      </c>
      <c r="H50" s="488"/>
      <c r="I50" s="488"/>
      <c r="J50" s="488">
        <f>VLOOKUP(B50,'[57]2a'!$B$5:$H$31,7,0)*90%</f>
        <v>0</v>
      </c>
      <c r="K50" s="488">
        <f t="shared" si="9"/>
        <v>0</v>
      </c>
      <c r="L50" s="488">
        <f t="shared" si="8"/>
        <v>0</v>
      </c>
      <c r="M50" s="488">
        <f t="shared" si="8"/>
        <v>0</v>
      </c>
      <c r="N50" s="488">
        <f t="shared" si="8"/>
        <v>0</v>
      </c>
      <c r="O50" s="488">
        <f t="shared" si="8"/>
        <v>0</v>
      </c>
    </row>
    <row r="51" spans="1:15">
      <c r="A51" s="508"/>
      <c r="B51" s="20">
        <v>10</v>
      </c>
      <c r="C51" s="354" t="s">
        <v>577</v>
      </c>
      <c r="D51" s="509">
        <f>VLOOKUP(B51,'[57]2a'!$B$5:$H$31,3,0)*90%</f>
        <v>0</v>
      </c>
      <c r="E51" s="509">
        <f>VLOOKUP(B51,'[57]2a'!$B$5:$H$31,4,0)*90%</f>
        <v>0</v>
      </c>
      <c r="F51" s="509">
        <f>VLOOKUP(B51,'[57]2a'!$B$5:$H$31,5,0)*90%</f>
        <v>0</v>
      </c>
      <c r="G51" s="488">
        <f>VLOOKUP(B51,'[57]2a'!$B$5:$H$31,6,0)*90%</f>
        <v>0.459</v>
      </c>
      <c r="H51" s="488"/>
      <c r="I51" s="488"/>
      <c r="J51" s="488">
        <f>VLOOKUP(B51,'[57]2a'!$B$5:$H$31,7,0)*90%</f>
        <v>0.18</v>
      </c>
      <c r="K51" s="488">
        <f t="shared" si="9"/>
        <v>0</v>
      </c>
      <c r="L51" s="488">
        <f t="shared" si="8"/>
        <v>0</v>
      </c>
      <c r="M51" s="488">
        <f t="shared" si="8"/>
        <v>0</v>
      </c>
      <c r="N51" s="488">
        <f t="shared" si="8"/>
        <v>0</v>
      </c>
      <c r="O51" s="488">
        <f t="shared" si="8"/>
        <v>0</v>
      </c>
    </row>
    <row r="52" spans="1:15">
      <c r="A52" s="508"/>
      <c r="B52" s="20">
        <v>11</v>
      </c>
      <c r="C52" s="354" t="s">
        <v>578</v>
      </c>
      <c r="D52" s="509">
        <f>VLOOKUP(B52,'[57]2a'!$B$5:$H$31,3,0)*90%</f>
        <v>-0.01368135</v>
      </c>
      <c r="E52" s="509">
        <f>VLOOKUP(B52,'[57]2a'!$B$5:$H$31,4,0)*90%</f>
        <v>-0.01190232</v>
      </c>
      <c r="F52" s="509">
        <f>VLOOKUP(B52,'[57]2a'!$B$5:$H$31,5,0)*90%</f>
        <v>0</v>
      </c>
      <c r="G52" s="488">
        <f>VLOOKUP(B52,'[57]2a'!$B$5:$H$31,6,0)*90%</f>
        <v>-0.018</v>
      </c>
      <c r="H52" s="488"/>
      <c r="I52" s="488"/>
      <c r="J52" s="488">
        <f>VLOOKUP(B52,'[57]2a'!$B$5:$H$31,7,0)*90%</f>
        <v>0.081</v>
      </c>
      <c r="K52" s="488">
        <f t="shared" si="9"/>
        <v>0</v>
      </c>
      <c r="L52" s="488">
        <f t="shared" si="8"/>
        <v>0</v>
      </c>
      <c r="M52" s="488">
        <f t="shared" si="8"/>
        <v>0</v>
      </c>
      <c r="N52" s="488">
        <f t="shared" si="8"/>
        <v>0</v>
      </c>
      <c r="O52" s="488">
        <f t="shared" si="8"/>
        <v>0</v>
      </c>
    </row>
    <row r="53" spans="1:15">
      <c r="A53" s="508"/>
      <c r="B53" s="20">
        <v>12</v>
      </c>
      <c r="C53" s="354" t="s">
        <v>579</v>
      </c>
      <c r="D53" s="509">
        <f>VLOOKUP(B53,'[57]2a'!$B$5:$H$31,3,0)*90%</f>
        <v>22.73797773</v>
      </c>
      <c r="E53" s="509">
        <f>VLOOKUP(B53,'[57]2a'!$B$5:$H$31,4,0)*90%</f>
        <v>30.72452823</v>
      </c>
      <c r="F53" s="509">
        <f>VLOOKUP(B53,'[57]2a'!$B$5:$H$31,5,0)*90%</f>
        <v>31.491</v>
      </c>
      <c r="G53" s="488">
        <f>VLOOKUP(B53,'[57]2a'!$B$5:$H$31,6,0)*90%</f>
        <v>31.662</v>
      </c>
      <c r="H53" s="488"/>
      <c r="I53" s="488"/>
      <c r="J53" s="488">
        <f>VLOOKUP(B53,'[57]2a'!$B$5:$H$31,7,0)*90%</f>
        <v>32.211</v>
      </c>
      <c r="K53" s="488">
        <f t="shared" si="9"/>
        <v>99.25641</v>
      </c>
      <c r="L53" s="488">
        <f t="shared" si="8"/>
        <v>106.2043587</v>
      </c>
      <c r="M53" s="488">
        <f t="shared" si="8"/>
        <v>134.879535549</v>
      </c>
      <c r="N53" s="488">
        <f t="shared" si="8"/>
        <v>144.32110303743</v>
      </c>
      <c r="O53" s="488">
        <f t="shared" si="8"/>
        <v>154.42358025005</v>
      </c>
    </row>
    <row r="54" spans="1:15">
      <c r="A54" s="508"/>
      <c r="B54" s="20">
        <v>13</v>
      </c>
      <c r="C54" s="354" t="s">
        <v>580</v>
      </c>
      <c r="D54" s="509">
        <f>VLOOKUP(B54,'[57]2a'!$B$5:$H$31,3,0)*90%</f>
        <v>0</v>
      </c>
      <c r="E54" s="509">
        <f>VLOOKUP(B54,'[57]2a'!$B$5:$H$31,4,0)*90%</f>
        <v>0</v>
      </c>
      <c r="F54" s="509">
        <f>VLOOKUP(B54,'[57]2a'!$B$5:$H$31,5,0)*90%</f>
        <v>0</v>
      </c>
      <c r="G54" s="488">
        <f>VLOOKUP(B54,'[57]2a'!$B$5:$H$31,6,0)*90%</f>
        <v>0</v>
      </c>
      <c r="H54" s="488"/>
      <c r="I54" s="488"/>
      <c r="J54" s="488">
        <f>VLOOKUP(B54,'[57]2a'!$B$5:$H$31,7,0)*90%</f>
        <v>0</v>
      </c>
      <c r="K54" s="488">
        <f t="shared" si="9"/>
        <v>0</v>
      </c>
      <c r="L54" s="488">
        <f t="shared" si="8"/>
        <v>0</v>
      </c>
      <c r="M54" s="488">
        <f t="shared" si="8"/>
        <v>0</v>
      </c>
      <c r="N54" s="488">
        <f t="shared" si="8"/>
        <v>0</v>
      </c>
      <c r="O54" s="488">
        <f t="shared" si="8"/>
        <v>0</v>
      </c>
    </row>
    <row r="55" spans="1:15">
      <c r="A55" s="508"/>
      <c r="B55" s="20">
        <v>14</v>
      </c>
      <c r="C55" s="354" t="s">
        <v>581</v>
      </c>
      <c r="D55" s="509">
        <f>VLOOKUP(B55,'[57]2a'!$B$5:$H$31,3,0)*90%</f>
        <v>0.0096201</v>
      </c>
      <c r="E55" s="509">
        <f>VLOOKUP(B55,'[57]2a'!$B$5:$H$31,4,0)*90%</f>
        <v>0.009162</v>
      </c>
      <c r="F55" s="509">
        <f>VLOOKUP(B55,'[57]2a'!$B$5:$H$31,5,0)*90%</f>
        <v>0</v>
      </c>
      <c r="G55" s="488">
        <f>VLOOKUP(B55,'[57]2a'!$B$5:$H$31,6,0)*90%</f>
        <v>0</v>
      </c>
      <c r="H55" s="488"/>
      <c r="I55" s="488"/>
      <c r="J55" s="488">
        <f>VLOOKUP(B55,'[57]2a'!$B$5:$H$31,7,0)*90%</f>
        <v>0</v>
      </c>
      <c r="K55" s="488">
        <f t="shared" si="9"/>
        <v>2.87937</v>
      </c>
      <c r="L55" s="488">
        <f t="shared" si="8"/>
        <v>3.0809259</v>
      </c>
      <c r="M55" s="488">
        <f t="shared" si="8"/>
        <v>3.912775893</v>
      </c>
      <c r="N55" s="488">
        <f t="shared" si="8"/>
        <v>4.18667020551</v>
      </c>
      <c r="O55" s="488">
        <f t="shared" si="8"/>
        <v>4.4797371198957</v>
      </c>
    </row>
    <row r="56" spans="1:15">
      <c r="A56" s="508"/>
      <c r="B56" s="20">
        <v>15</v>
      </c>
      <c r="C56" s="354" t="s">
        <v>582</v>
      </c>
      <c r="D56" s="509">
        <f>VLOOKUP(B56,'[57]2a'!$B$5:$H$31,3,0)*90%</f>
        <v>0</v>
      </c>
      <c r="E56" s="509">
        <f>VLOOKUP(B56,'[57]2a'!$B$5:$H$31,4,0)*90%</f>
        <v>0</v>
      </c>
      <c r="F56" s="509">
        <f>VLOOKUP(B56,'[57]2a'!$B$5:$H$31,5,0)*90%</f>
        <v>0</v>
      </c>
      <c r="G56" s="488">
        <f>VLOOKUP(B56,'[57]2a'!$B$5:$H$31,6,0)*90%</f>
        <v>0</v>
      </c>
      <c r="H56" s="488"/>
      <c r="I56" s="488"/>
      <c r="J56" s="488">
        <f>VLOOKUP(B56,'[57]2a'!$B$5:$H$31,7,0)*90%</f>
        <v>0</v>
      </c>
      <c r="K56" s="488">
        <f t="shared" si="9"/>
        <v>0</v>
      </c>
      <c r="L56" s="488">
        <f t="shared" si="8"/>
        <v>0</v>
      </c>
      <c r="M56" s="488">
        <f t="shared" si="8"/>
        <v>0</v>
      </c>
      <c r="N56" s="488">
        <f t="shared" si="8"/>
        <v>0</v>
      </c>
      <c r="O56" s="488">
        <f t="shared" si="8"/>
        <v>0</v>
      </c>
    </row>
    <row r="57" spans="1:15">
      <c r="A57" s="508"/>
      <c r="B57" s="20">
        <v>16</v>
      </c>
      <c r="C57" s="354" t="s">
        <v>583</v>
      </c>
      <c r="D57" s="509">
        <f>VLOOKUP(B57,'[57]2a'!$B$5:$H$31,3,0)*90%</f>
        <v>0.0038826</v>
      </c>
      <c r="E57" s="509">
        <f>VLOOKUP(B57,'[57]2a'!$B$5:$H$31,4,0)*90%</f>
        <v>0.0038826</v>
      </c>
      <c r="F57" s="509">
        <f>VLOOKUP(B57,'[57]2a'!$B$5:$H$31,5,0)*90%</f>
        <v>0</v>
      </c>
      <c r="G57" s="488">
        <f>VLOOKUP(B57,'[57]2a'!$B$5:$H$31,6,0)*90%</f>
        <v>0</v>
      </c>
      <c r="H57" s="488"/>
      <c r="I57" s="488"/>
      <c r="J57" s="488">
        <f>VLOOKUP(B57,'[57]2a'!$B$5:$H$31,7,0)*90%</f>
        <v>0</v>
      </c>
      <c r="K57" s="488">
        <f t="shared" si="9"/>
        <v>383.71698</v>
      </c>
      <c r="L57" s="488">
        <f t="shared" si="8"/>
        <v>410.5771686</v>
      </c>
      <c r="M57" s="488">
        <f t="shared" si="8"/>
        <v>521.433004122</v>
      </c>
      <c r="N57" s="488">
        <f t="shared" si="8"/>
        <v>557.93331441054</v>
      </c>
      <c r="O57" s="488">
        <f t="shared" si="8"/>
        <v>596.988646419278</v>
      </c>
    </row>
    <row r="58" spans="2:15">
      <c r="B58" s="20">
        <v>17</v>
      </c>
      <c r="C58" s="354" t="s">
        <v>584</v>
      </c>
      <c r="D58" s="509">
        <f>VLOOKUP(B58,'[57]2a'!$B$5:$H$31,3,0)*90%</f>
        <v>1492.80065883</v>
      </c>
      <c r="E58" s="509">
        <f>VLOOKUP(B58,'[57]2a'!$B$5:$H$31,4,0)*90%</f>
        <v>1531.97238699</v>
      </c>
      <c r="F58" s="509">
        <f>VLOOKUP(B58,'[57]2a'!$B$5:$H$31,5,0)*90%</f>
        <v>2076.813</v>
      </c>
      <c r="G58" s="488">
        <f>VLOOKUP(B58,'[57]2a'!$B$5:$H$31,6,0)*90%</f>
        <v>2422.71</v>
      </c>
      <c r="H58" s="488"/>
      <c r="I58" s="488"/>
      <c r="J58" s="488">
        <f>VLOOKUP(B58,'[57]2a'!$B$5:$H$31,7,0)*90%</f>
        <v>2240.037</v>
      </c>
      <c r="K58" s="488">
        <v>0</v>
      </c>
      <c r="L58" s="488">
        <v>0</v>
      </c>
      <c r="M58" s="488">
        <v>0</v>
      </c>
      <c r="N58" s="488">
        <v>0</v>
      </c>
      <c r="O58" s="488">
        <v>0</v>
      </c>
    </row>
    <row r="59" spans="1:15">
      <c r="A59" s="508"/>
      <c r="B59" s="20">
        <v>18</v>
      </c>
      <c r="C59" s="354" t="s">
        <v>585</v>
      </c>
      <c r="D59" s="509">
        <f>VLOOKUP(B59,'[57]2a'!$B$5:$H$31,3,0)*90%</f>
        <v>174.02142771</v>
      </c>
      <c r="E59" s="509">
        <f>VLOOKUP(B59,'[57]2a'!$B$5:$H$31,4,0)*90%</f>
        <v>174.58059366</v>
      </c>
      <c r="F59" s="509">
        <f>VLOOKUP(B59,'[57]2a'!$B$5:$H$31,5,0)*90%</f>
        <v>-18.018</v>
      </c>
      <c r="G59" s="488">
        <f>VLOOKUP(B59,'[57]2a'!$B$5:$H$31,6,0)*90%</f>
        <v>347.157</v>
      </c>
      <c r="H59" s="488"/>
      <c r="I59" s="488"/>
      <c r="J59" s="488">
        <f>VLOOKUP(B59,'[57]2a'!$B$5:$H$31,7,0)*90%</f>
        <v>82.62</v>
      </c>
      <c r="K59" s="488">
        <f>90%*K26</f>
        <v>623.04228</v>
      </c>
      <c r="L59" s="488">
        <f t="shared" ref="L59:O59" si="10">90%*L26</f>
        <v>672.8856624</v>
      </c>
      <c r="M59" s="488">
        <f t="shared" si="10"/>
        <v>861.293647872</v>
      </c>
      <c r="N59" s="488">
        <f t="shared" si="10"/>
        <v>930.19713970176</v>
      </c>
      <c r="O59" s="488">
        <f t="shared" si="10"/>
        <v>1004.6129108779</v>
      </c>
    </row>
    <row r="60" spans="1:15">
      <c r="A60" s="508"/>
      <c r="B60" s="20">
        <f>+B59+0.1</f>
        <v>18.1</v>
      </c>
      <c r="C60" s="354" t="s">
        <v>586</v>
      </c>
      <c r="D60" s="509">
        <f>VLOOKUP(B60,'[57]2a'!$B$5:$H$31,3,0)*90%</f>
        <v>73.89652338</v>
      </c>
      <c r="E60" s="509">
        <f>VLOOKUP(B60,'[57]2a'!$B$5:$H$31,4,0)*90%</f>
        <v>79.70952177</v>
      </c>
      <c r="F60" s="509">
        <f>VLOOKUP(B60,'[57]2a'!$B$5:$H$31,5,0)*90%</f>
        <v>90.072</v>
      </c>
      <c r="G60" s="488">
        <f>VLOOKUP(B60,'[57]2a'!$B$5:$H$31,6,0)*90%</f>
        <v>99.729</v>
      </c>
      <c r="H60" s="488"/>
      <c r="I60" s="488"/>
      <c r="J60" s="488">
        <f>VLOOKUP(B60,'[57]2a'!$B$5:$H$31,7,0)*90%</f>
        <v>130.635</v>
      </c>
      <c r="K60" s="488">
        <f t="shared" ref="K60:O65" si="11">90%*K27</f>
        <v>119.65275</v>
      </c>
      <c r="L60" s="488">
        <f t="shared" si="11"/>
        <v>128.0284425</v>
      </c>
      <c r="M60" s="488">
        <f t="shared" si="11"/>
        <v>162.596121975</v>
      </c>
      <c r="N60" s="488">
        <f t="shared" si="11"/>
        <v>173.97785051325</v>
      </c>
      <c r="O60" s="488">
        <f t="shared" si="11"/>
        <v>186.156300049178</v>
      </c>
    </row>
    <row r="61" spans="1:15">
      <c r="A61" s="508"/>
      <c r="B61" s="20">
        <f>+B60+0.1</f>
        <v>18.2</v>
      </c>
      <c r="C61" s="354" t="s">
        <v>587</v>
      </c>
      <c r="D61" s="509">
        <v>0</v>
      </c>
      <c r="E61" s="509">
        <v>0</v>
      </c>
      <c r="F61" s="509">
        <v>0</v>
      </c>
      <c r="G61" s="488">
        <v>0</v>
      </c>
      <c r="H61" s="488"/>
      <c r="I61" s="488"/>
      <c r="J61" s="488">
        <v>0</v>
      </c>
      <c r="K61" s="488">
        <f t="shared" si="11"/>
        <v>0</v>
      </c>
      <c r="L61" s="488">
        <f t="shared" si="11"/>
        <v>0</v>
      </c>
      <c r="M61" s="488">
        <f t="shared" si="11"/>
        <v>0</v>
      </c>
      <c r="N61" s="488">
        <f t="shared" si="11"/>
        <v>0</v>
      </c>
      <c r="O61" s="488">
        <f t="shared" si="11"/>
        <v>0</v>
      </c>
    </row>
    <row r="62" spans="1:15">
      <c r="A62" s="508"/>
      <c r="B62" s="20">
        <f>+B61+0.1</f>
        <v>18.3</v>
      </c>
      <c r="C62" s="354" t="s">
        <v>588</v>
      </c>
      <c r="D62" s="509">
        <v>0</v>
      </c>
      <c r="E62" s="509">
        <v>0</v>
      </c>
      <c r="F62" s="509">
        <v>0</v>
      </c>
      <c r="G62" s="488">
        <v>0</v>
      </c>
      <c r="H62" s="488"/>
      <c r="I62" s="488"/>
      <c r="J62" s="488">
        <v>0</v>
      </c>
      <c r="K62" s="488">
        <f t="shared" si="11"/>
        <v>0</v>
      </c>
      <c r="L62" s="488">
        <f t="shared" si="11"/>
        <v>0</v>
      </c>
      <c r="M62" s="488">
        <f t="shared" si="11"/>
        <v>0</v>
      </c>
      <c r="N62" s="488">
        <f t="shared" si="11"/>
        <v>0</v>
      </c>
      <c r="O62" s="488">
        <f t="shared" si="11"/>
        <v>0</v>
      </c>
    </row>
    <row r="63" spans="1:15">
      <c r="A63" s="508"/>
      <c r="B63" s="20">
        <f>+B62+0.1</f>
        <v>18.4</v>
      </c>
      <c r="C63" s="354" t="s">
        <v>589</v>
      </c>
      <c r="D63" s="509">
        <v>0</v>
      </c>
      <c r="E63" s="509">
        <v>0</v>
      </c>
      <c r="F63" s="509">
        <v>0</v>
      </c>
      <c r="G63" s="488">
        <v>0</v>
      </c>
      <c r="H63" s="488"/>
      <c r="I63" s="488"/>
      <c r="J63" s="488">
        <v>0</v>
      </c>
      <c r="K63" s="488">
        <f t="shared" si="11"/>
        <v>0</v>
      </c>
      <c r="L63" s="488">
        <f t="shared" si="11"/>
        <v>0</v>
      </c>
      <c r="M63" s="488">
        <f t="shared" si="11"/>
        <v>0</v>
      </c>
      <c r="N63" s="488">
        <f t="shared" si="11"/>
        <v>0</v>
      </c>
      <c r="O63" s="488">
        <f t="shared" si="11"/>
        <v>0</v>
      </c>
    </row>
    <row r="64" ht="28.5" spans="1:15">
      <c r="A64" s="511"/>
      <c r="B64" s="20">
        <v>19</v>
      </c>
      <c r="C64" s="505" t="s">
        <v>590</v>
      </c>
      <c r="D64" s="509">
        <f>VLOOKUP(B64,'[57]2a'!$B$5:$H$31,3,0)*90%</f>
        <v>0</v>
      </c>
      <c r="E64" s="509">
        <f>VLOOKUP(B64,'[57]2a'!$B$5:$H$31,4,0)*90%</f>
        <v>0</v>
      </c>
      <c r="F64" s="509">
        <f>VLOOKUP(B64,'[57]2a'!$B$5:$H$31,5,0)*90%</f>
        <v>0</v>
      </c>
      <c r="G64" s="488">
        <f>VLOOKUP(B64,'[57]2a'!$B$5:$H$31,6,0)*90%</f>
        <v>0</v>
      </c>
      <c r="H64" s="488"/>
      <c r="I64" s="488"/>
      <c r="J64" s="488">
        <f>VLOOKUP(B64,'[57]2a'!$B$5:$H$31,7,0)*90%</f>
        <v>0</v>
      </c>
      <c r="K64" s="488">
        <f t="shared" si="11"/>
        <v>0</v>
      </c>
      <c r="L64" s="488">
        <f t="shared" si="11"/>
        <v>0</v>
      </c>
      <c r="M64" s="488">
        <f t="shared" si="11"/>
        <v>0</v>
      </c>
      <c r="N64" s="488">
        <f t="shared" si="11"/>
        <v>0</v>
      </c>
      <c r="O64" s="488">
        <f t="shared" si="11"/>
        <v>0</v>
      </c>
    </row>
    <row r="65" spans="1:15">
      <c r="A65" s="508"/>
      <c r="B65" s="20">
        <v>20</v>
      </c>
      <c r="C65" s="354" t="s">
        <v>440</v>
      </c>
      <c r="D65" s="509">
        <f>VLOOKUP(B65,'[57]2a'!$B$5:$H$31,3,0)*90%</f>
        <v>0</v>
      </c>
      <c r="E65" s="509">
        <f>VLOOKUP(B65,'[57]2a'!$B$5:$H$31,4,0)*90%</f>
        <v>0</v>
      </c>
      <c r="F65" s="509">
        <f>VLOOKUP(B65,'[57]2a'!$B$5:$H$31,5,0)*90%</f>
        <v>0</v>
      </c>
      <c r="G65" s="488">
        <f>VLOOKUP(B65,'[57]2a'!$B$5:$H$31,6,0)*90%</f>
        <v>0</v>
      </c>
      <c r="H65" s="488"/>
      <c r="I65" s="488"/>
      <c r="J65" s="488">
        <f>VLOOKUP(B65,'[57]2a'!$B$5:$H$31,7,0)*90%</f>
        <v>0</v>
      </c>
      <c r="K65" s="488">
        <f t="shared" si="11"/>
        <v>0</v>
      </c>
      <c r="L65" s="488">
        <f t="shared" si="11"/>
        <v>0</v>
      </c>
      <c r="M65" s="488">
        <f t="shared" si="11"/>
        <v>0</v>
      </c>
      <c r="N65" s="488">
        <f t="shared" si="11"/>
        <v>0</v>
      </c>
      <c r="O65" s="488">
        <f t="shared" si="11"/>
        <v>0</v>
      </c>
    </row>
    <row r="66" ht="15" spans="1:15">
      <c r="A66" s="481"/>
      <c r="B66" s="6">
        <v>21</v>
      </c>
      <c r="C66" s="358" t="s">
        <v>591</v>
      </c>
      <c r="D66" s="512">
        <f>SUM(D42:D65)</f>
        <v>3233.51926875</v>
      </c>
      <c r="E66" s="512">
        <f t="shared" ref="E66:K66" si="12">SUM(E42:E65)</f>
        <v>3318.23488941</v>
      </c>
      <c r="F66" s="512">
        <f t="shared" si="12"/>
        <v>4225.68</v>
      </c>
      <c r="G66" s="512">
        <f t="shared" si="12"/>
        <v>5292.306</v>
      </c>
      <c r="H66" s="512">
        <f t="shared" si="12"/>
        <v>0</v>
      </c>
      <c r="I66" s="512">
        <f t="shared" si="12"/>
        <v>0</v>
      </c>
      <c r="J66" s="512">
        <f t="shared" si="12"/>
        <v>4693.329</v>
      </c>
      <c r="K66" s="506">
        <f t="shared" si="12"/>
        <v>3159.65169</v>
      </c>
      <c r="L66" s="506">
        <f t="shared" ref="L66:O66" si="13">SUM(L42:L65)</f>
        <v>3387.0577311</v>
      </c>
      <c r="M66" s="506">
        <f t="shared" si="13"/>
        <v>4308.292175121</v>
      </c>
      <c r="N66" s="506">
        <f t="shared" si="13"/>
        <v>4618.48556385819</v>
      </c>
      <c r="O66" s="506">
        <f t="shared" si="13"/>
        <v>4951.08152472528</v>
      </c>
    </row>
    <row r="67" spans="1:15">
      <c r="A67" s="508"/>
      <c r="B67" s="20">
        <v>22</v>
      </c>
      <c r="C67" s="354" t="s">
        <v>592</v>
      </c>
      <c r="D67" s="509">
        <f>VLOOKUP(B67,'[57]2a'!$B$5:$H$31,3,0)*90%</f>
        <v>-80.56244916</v>
      </c>
      <c r="E67" s="509">
        <f>VLOOKUP(B67,'[57]2a'!$B$5:$H$31,3,0)*90%</f>
        <v>-80.56244916</v>
      </c>
      <c r="F67" s="509">
        <f>VLOOKUP(B67,'[57]2a'!$B$5:$H$31,5,0)*90%</f>
        <v>-77.805</v>
      </c>
      <c r="G67" s="488">
        <f>VLOOKUP(B67,'[57]2a'!$B$5:$H$31,6,0)*90%</f>
        <v>-88.002</v>
      </c>
      <c r="H67" s="509"/>
      <c r="I67" s="509"/>
      <c r="J67" s="488">
        <f>90%*J34</f>
        <v>-92.205</v>
      </c>
      <c r="K67" s="488">
        <f t="shared" ref="K67:O67" si="14">90%*K34</f>
        <v>0</v>
      </c>
      <c r="L67" s="488">
        <f t="shared" si="14"/>
        <v>0</v>
      </c>
      <c r="M67" s="488">
        <f t="shared" si="14"/>
        <v>0</v>
      </c>
      <c r="N67" s="488">
        <f t="shared" si="14"/>
        <v>0</v>
      </c>
      <c r="O67" s="488">
        <f t="shared" si="14"/>
        <v>0</v>
      </c>
    </row>
    <row r="68" ht="15" spans="1:15">
      <c r="A68" s="33"/>
      <c r="B68" s="6">
        <v>23</v>
      </c>
      <c r="C68" s="19" t="s">
        <v>593</v>
      </c>
      <c r="D68" s="492">
        <f>D66-D67</f>
        <v>3314.08171791</v>
      </c>
      <c r="E68" s="492">
        <f t="shared" ref="E68:O68" si="15">E66-E67</f>
        <v>3398.79733857</v>
      </c>
      <c r="F68" s="492">
        <f t="shared" si="15"/>
        <v>4303.485</v>
      </c>
      <c r="G68" s="492">
        <f t="shared" si="15"/>
        <v>5380.308</v>
      </c>
      <c r="H68" s="492">
        <f t="shared" si="15"/>
        <v>0</v>
      </c>
      <c r="I68" s="492">
        <f t="shared" si="15"/>
        <v>0</v>
      </c>
      <c r="J68" s="492">
        <f t="shared" si="15"/>
        <v>4785.534</v>
      </c>
      <c r="K68" s="30">
        <f t="shared" si="15"/>
        <v>3159.65169</v>
      </c>
      <c r="L68" s="30">
        <f t="shared" si="15"/>
        <v>3387.0577311</v>
      </c>
      <c r="M68" s="30">
        <f t="shared" si="15"/>
        <v>4308.292175121</v>
      </c>
      <c r="N68" s="30">
        <f t="shared" si="15"/>
        <v>4618.48556385819</v>
      </c>
      <c r="O68" s="30">
        <f t="shared" si="15"/>
        <v>4951.08152472528</v>
      </c>
    </row>
    <row r="70" ht="15" spans="2:2">
      <c r="B70" s="480" t="s">
        <v>153</v>
      </c>
    </row>
    <row r="71" ht="15" spans="15:15">
      <c r="O71" s="33" t="s">
        <v>109</v>
      </c>
    </row>
    <row r="72" ht="14.1" customHeight="1" spans="2:15">
      <c r="B72" s="6" t="s">
        <v>564</v>
      </c>
      <c r="C72" s="6" t="s">
        <v>110</v>
      </c>
      <c r="D72" s="5" t="s">
        <v>565</v>
      </c>
      <c r="E72" s="5" t="s">
        <v>566</v>
      </c>
      <c r="F72" s="5" t="s">
        <v>567</v>
      </c>
      <c r="G72" s="5" t="s">
        <v>112</v>
      </c>
      <c r="H72" s="5" t="s">
        <v>760</v>
      </c>
      <c r="I72" s="5"/>
      <c r="J72" s="5"/>
      <c r="K72" s="135" t="s">
        <v>114</v>
      </c>
      <c r="L72" s="135"/>
      <c r="M72" s="135"/>
      <c r="N72" s="135"/>
      <c r="O72" s="135"/>
    </row>
    <row r="73" ht="15" spans="2:15">
      <c r="B73" s="6"/>
      <c r="C73" s="6"/>
      <c r="D73" s="5" t="s">
        <v>237</v>
      </c>
      <c r="E73" s="5" t="s">
        <v>237</v>
      </c>
      <c r="F73" s="5" t="s">
        <v>237</v>
      </c>
      <c r="G73" s="5" t="s">
        <v>237</v>
      </c>
      <c r="H73" s="5" t="s">
        <v>119</v>
      </c>
      <c r="I73" s="5" t="s">
        <v>120</v>
      </c>
      <c r="J73" s="5" t="s">
        <v>238</v>
      </c>
      <c r="K73" s="5" t="s">
        <v>514</v>
      </c>
      <c r="L73" s="5" t="s">
        <v>515</v>
      </c>
      <c r="M73" s="5" t="s">
        <v>516</v>
      </c>
      <c r="N73" s="5" t="s">
        <v>517</v>
      </c>
      <c r="O73" s="5" t="s">
        <v>518</v>
      </c>
    </row>
    <row r="74" ht="15" spans="2:15">
      <c r="B74" s="55"/>
      <c r="C74" s="6"/>
      <c r="D74" s="5" t="s">
        <v>128</v>
      </c>
      <c r="E74" s="5" t="s">
        <v>128</v>
      </c>
      <c r="F74" s="5" t="s">
        <v>128</v>
      </c>
      <c r="G74" s="5" t="s">
        <v>128</v>
      </c>
      <c r="H74" s="5" t="s">
        <v>130</v>
      </c>
      <c r="I74" s="5" t="s">
        <v>131</v>
      </c>
      <c r="J74" s="5" t="s">
        <v>128</v>
      </c>
      <c r="K74" s="5" t="s">
        <v>132</v>
      </c>
      <c r="L74" s="5" t="s">
        <v>132</v>
      </c>
      <c r="M74" s="5" t="s">
        <v>132</v>
      </c>
      <c r="N74" s="5" t="s">
        <v>132</v>
      </c>
      <c r="O74" s="5" t="s">
        <v>132</v>
      </c>
    </row>
    <row r="75" spans="2:15">
      <c r="B75" s="20">
        <v>1</v>
      </c>
      <c r="C75" s="354" t="s">
        <v>568</v>
      </c>
      <c r="D75" s="509">
        <f>VLOOKUP(B75,'[57]2a'!$B$5:$H$31,3,0)*10%</f>
        <v>125.31523894</v>
      </c>
      <c r="E75" s="509">
        <f>VLOOKUP(B75,'[57]2a'!$B$5:$H$31,3,0)*10%</f>
        <v>125.31523894</v>
      </c>
      <c r="F75" s="509">
        <f>VLOOKUP(B75,'[57]2a'!$B$5:$H$31,4,0)*10%</f>
        <v>118.27793555</v>
      </c>
      <c r="G75" s="488">
        <f>VLOOKUP(B75,'[57]2a'!$B$5:$H$31,5,0)*10%</f>
        <v>121.503</v>
      </c>
      <c r="H75" s="488"/>
      <c r="I75" s="488"/>
      <c r="J75" s="488">
        <f>VLOOKUP(B75,'[57]2a'!$B$5:$H$31,5,0)*10%</f>
        <v>121.503</v>
      </c>
      <c r="K75" s="488">
        <f>10%*K10</f>
        <v>214.5671</v>
      </c>
      <c r="L75" s="488">
        <f t="shared" ref="L75:O75" si="16">10%*L10</f>
        <v>229.586797</v>
      </c>
      <c r="M75" s="488">
        <f t="shared" si="16"/>
        <v>291.57523219</v>
      </c>
      <c r="N75" s="488">
        <f t="shared" si="16"/>
        <v>311.9854984433</v>
      </c>
      <c r="O75" s="488">
        <f t="shared" si="16"/>
        <v>333.824483334331</v>
      </c>
    </row>
    <row r="76" spans="2:15">
      <c r="B76" s="20">
        <v>2</v>
      </c>
      <c r="C76" s="354" t="s">
        <v>569</v>
      </c>
      <c r="D76" s="509">
        <f>VLOOKUP(B76,'[57]2a'!$B$5:$H$31,3,0)*10%</f>
        <v>9.21167606</v>
      </c>
      <c r="E76" s="509">
        <f>VLOOKUP(B76,'[57]2a'!$B$5:$H$31,3,0)*10%</f>
        <v>9.21167606</v>
      </c>
      <c r="F76" s="509">
        <f>VLOOKUP(B76,'[57]2a'!$B$5:$H$31,4,0)*10%</f>
        <v>17.3047033</v>
      </c>
      <c r="G76" s="488">
        <f>VLOOKUP(B76,'[57]2a'!$B$5:$H$31,5,0)*10%</f>
        <v>25.399</v>
      </c>
      <c r="H76" s="488"/>
      <c r="I76" s="488"/>
      <c r="J76" s="488">
        <f>VLOOKUP(B76,'[57]2a'!$B$5:$H$31,5,0)*10%</f>
        <v>25.399</v>
      </c>
      <c r="K76" s="488">
        <f t="shared" ref="K76:O90" si="17">10%*K11</f>
        <v>0</v>
      </c>
      <c r="L76" s="488">
        <f t="shared" si="17"/>
        <v>0</v>
      </c>
      <c r="M76" s="488">
        <f t="shared" si="17"/>
        <v>0</v>
      </c>
      <c r="N76" s="488">
        <f t="shared" si="17"/>
        <v>0</v>
      </c>
      <c r="O76" s="488">
        <f t="shared" si="17"/>
        <v>0</v>
      </c>
    </row>
    <row r="77" spans="2:15">
      <c r="B77" s="20">
        <v>3</v>
      </c>
      <c r="C77" s="21" t="s">
        <v>570</v>
      </c>
      <c r="D77" s="509">
        <f>VLOOKUP(B77,'[57]2a'!$B$5:$H$31,3,0)*10%</f>
        <v>15.44344023</v>
      </c>
      <c r="E77" s="509">
        <f>VLOOKUP(B77,'[57]2a'!$B$5:$H$31,3,0)*10%</f>
        <v>15.44344023</v>
      </c>
      <c r="F77" s="509">
        <f>VLOOKUP(B77,'[57]2a'!$B$5:$H$31,4,0)*10%</f>
        <v>16.64789801</v>
      </c>
      <c r="G77" s="488">
        <f>VLOOKUP(B77,'[57]2a'!$B$5:$H$31,5,0)*10%</f>
        <v>18.106</v>
      </c>
      <c r="H77" s="488"/>
      <c r="I77" s="488"/>
      <c r="J77" s="488">
        <f>VLOOKUP(B77,'[57]2a'!$B$5:$H$31,5,0)*10%</f>
        <v>18.106</v>
      </c>
      <c r="K77" s="488">
        <f t="shared" si="17"/>
        <v>0</v>
      </c>
      <c r="L77" s="488">
        <f t="shared" si="17"/>
        <v>0</v>
      </c>
      <c r="M77" s="488">
        <f t="shared" si="17"/>
        <v>0</v>
      </c>
      <c r="N77" s="488">
        <f t="shared" si="17"/>
        <v>0</v>
      </c>
      <c r="O77" s="488">
        <f t="shared" si="17"/>
        <v>0</v>
      </c>
    </row>
    <row r="78" spans="2:15">
      <c r="B78" s="20">
        <v>4</v>
      </c>
      <c r="C78" s="354" t="s">
        <v>571</v>
      </c>
      <c r="D78" s="509">
        <f>VLOOKUP(B78,'[57]2a'!$B$5:$H$31,3,0)*10%</f>
        <v>1.65764275</v>
      </c>
      <c r="E78" s="509">
        <f>VLOOKUP(B78,'[57]2a'!$B$5:$H$31,3,0)*10%</f>
        <v>1.65764275</v>
      </c>
      <c r="F78" s="509">
        <f>VLOOKUP(B78,'[57]2a'!$B$5:$H$31,4,0)*10%</f>
        <v>2.26750677</v>
      </c>
      <c r="G78" s="488">
        <f>VLOOKUP(B78,'[57]2a'!$B$5:$H$31,5,0)*10%</f>
        <v>2.29</v>
      </c>
      <c r="H78" s="488"/>
      <c r="I78" s="488"/>
      <c r="J78" s="488">
        <f>VLOOKUP(B78,'[57]2a'!$B$5:$H$31,5,0)*10%</f>
        <v>2.29</v>
      </c>
      <c r="K78" s="488">
        <f t="shared" si="17"/>
        <v>0</v>
      </c>
      <c r="L78" s="488">
        <f t="shared" si="17"/>
        <v>0</v>
      </c>
      <c r="M78" s="488">
        <f t="shared" si="17"/>
        <v>0</v>
      </c>
      <c r="N78" s="488">
        <f t="shared" si="17"/>
        <v>0</v>
      </c>
      <c r="O78" s="488">
        <f t="shared" si="17"/>
        <v>0</v>
      </c>
    </row>
    <row r="79" spans="2:15">
      <c r="B79" s="20">
        <v>5</v>
      </c>
      <c r="C79" s="354" t="s">
        <v>572</v>
      </c>
      <c r="D79" s="509">
        <f>VLOOKUP(B79,'[57]2a'!$B$5:$H$31,3,0)*10%</f>
        <v>0</v>
      </c>
      <c r="E79" s="509">
        <f>VLOOKUP(B79,'[57]2a'!$B$5:$H$31,3,0)*10%</f>
        <v>0</v>
      </c>
      <c r="F79" s="509">
        <f>VLOOKUP(B79,'[57]2a'!$B$5:$H$31,4,0)*10%</f>
        <v>0</v>
      </c>
      <c r="G79" s="488">
        <f>VLOOKUP(B79,'[57]2a'!$B$5:$H$31,5,0)*10%</f>
        <v>0</v>
      </c>
      <c r="H79" s="488"/>
      <c r="I79" s="488"/>
      <c r="J79" s="488">
        <f>VLOOKUP(B79,'[57]2a'!$B$5:$H$31,5,0)*10%</f>
        <v>0</v>
      </c>
      <c r="K79" s="488">
        <f t="shared" si="17"/>
        <v>0</v>
      </c>
      <c r="L79" s="488">
        <f t="shared" si="17"/>
        <v>0</v>
      </c>
      <c r="M79" s="488">
        <f t="shared" si="17"/>
        <v>0</v>
      </c>
      <c r="N79" s="488">
        <f t="shared" si="17"/>
        <v>0</v>
      </c>
      <c r="O79" s="488">
        <f t="shared" si="17"/>
        <v>0</v>
      </c>
    </row>
    <row r="80" spans="2:15">
      <c r="B80" s="20">
        <v>6</v>
      </c>
      <c r="C80" s="21" t="s">
        <v>573</v>
      </c>
      <c r="D80" s="509">
        <f>VLOOKUP(B80,'[57]2a'!$B$5:$H$31,3,0)*10%</f>
        <v>4.4397469</v>
      </c>
      <c r="E80" s="509">
        <f>VLOOKUP(B80,'[57]2a'!$B$5:$H$31,3,0)*10%</f>
        <v>4.4397469</v>
      </c>
      <c r="F80" s="509">
        <f>VLOOKUP(B80,'[57]2a'!$B$5:$H$31,4,0)*10%</f>
        <v>4.42553225</v>
      </c>
      <c r="G80" s="488">
        <f>VLOOKUP(B80,'[57]2a'!$B$5:$H$31,5,0)*10%</f>
        <v>4.726</v>
      </c>
      <c r="H80" s="488"/>
      <c r="I80" s="488"/>
      <c r="J80" s="488">
        <f>VLOOKUP(B80,'[57]2a'!$B$5:$H$31,5,0)*10%</f>
        <v>4.726</v>
      </c>
      <c r="K80" s="488">
        <f t="shared" si="17"/>
        <v>0</v>
      </c>
      <c r="L80" s="488">
        <f t="shared" si="17"/>
        <v>0</v>
      </c>
      <c r="M80" s="488">
        <f t="shared" si="17"/>
        <v>0</v>
      </c>
      <c r="N80" s="488">
        <f t="shared" si="17"/>
        <v>0</v>
      </c>
      <c r="O80" s="488">
        <f t="shared" si="17"/>
        <v>0</v>
      </c>
    </row>
    <row r="81" spans="2:15">
      <c r="B81" s="20">
        <v>7</v>
      </c>
      <c r="C81" s="354" t="s">
        <v>574</v>
      </c>
      <c r="D81" s="509">
        <f>VLOOKUP(B81,'[57]2a'!$B$5:$H$31,3,0)*10%</f>
        <v>3.31412989</v>
      </c>
      <c r="E81" s="509">
        <f>VLOOKUP(B81,'[57]2a'!$B$5:$H$31,3,0)*10%</f>
        <v>3.31412989</v>
      </c>
      <c r="F81" s="509">
        <f>VLOOKUP(B81,'[57]2a'!$B$5:$H$31,4,0)*10%</f>
        <v>3.32496564</v>
      </c>
      <c r="G81" s="488">
        <f>VLOOKUP(B81,'[57]2a'!$B$5:$H$31,5,0)*10%</f>
        <v>3.422</v>
      </c>
      <c r="H81" s="488"/>
      <c r="I81" s="488"/>
      <c r="J81" s="488">
        <f>VLOOKUP(B81,'[57]2a'!$B$5:$H$31,5,0)*10%</f>
        <v>3.422</v>
      </c>
      <c r="K81" s="488">
        <f t="shared" si="17"/>
        <v>0</v>
      </c>
      <c r="L81" s="488">
        <f t="shared" si="17"/>
        <v>0</v>
      </c>
      <c r="M81" s="488">
        <f t="shared" si="17"/>
        <v>0</v>
      </c>
      <c r="N81" s="488">
        <f t="shared" si="17"/>
        <v>0</v>
      </c>
      <c r="O81" s="488">
        <f t="shared" si="17"/>
        <v>0</v>
      </c>
    </row>
    <row r="82" spans="2:15">
      <c r="B82" s="20">
        <v>8</v>
      </c>
      <c r="C82" s="354" t="s">
        <v>575</v>
      </c>
      <c r="D82" s="509">
        <f>VLOOKUP(B82,'[57]2a'!$B$5:$H$31,3,0)*10%</f>
        <v>3.95844298</v>
      </c>
      <c r="E82" s="509">
        <f>VLOOKUP(B82,'[57]2a'!$B$5:$H$31,3,0)*10%</f>
        <v>3.95844298</v>
      </c>
      <c r="F82" s="509">
        <f>VLOOKUP(B82,'[57]2a'!$B$5:$H$31,4,0)*10%</f>
        <v>4.5566492</v>
      </c>
      <c r="G82" s="488">
        <f>VLOOKUP(B82,'[57]2a'!$B$5:$H$31,5,0)*10%</f>
        <v>51.812</v>
      </c>
      <c r="H82" s="488"/>
      <c r="I82" s="488"/>
      <c r="J82" s="488">
        <f>VLOOKUP(B82,'[57]2a'!$B$5:$H$31,5,0)*10%</f>
        <v>51.812</v>
      </c>
      <c r="K82" s="488">
        <f t="shared" si="17"/>
        <v>0</v>
      </c>
      <c r="L82" s="488">
        <f t="shared" si="17"/>
        <v>0</v>
      </c>
      <c r="M82" s="488">
        <f t="shared" si="17"/>
        <v>0</v>
      </c>
      <c r="N82" s="488">
        <f t="shared" si="17"/>
        <v>0</v>
      </c>
      <c r="O82" s="488">
        <f t="shared" si="17"/>
        <v>0</v>
      </c>
    </row>
    <row r="83" spans="2:15">
      <c r="B83" s="20">
        <v>9</v>
      </c>
      <c r="C83" s="354" t="s">
        <v>576</v>
      </c>
      <c r="D83" s="509">
        <f>VLOOKUP(B83,'[57]2a'!$B$5:$H$31,3,0)*10%</f>
        <v>0</v>
      </c>
      <c r="E83" s="509">
        <f>VLOOKUP(B83,'[57]2a'!$B$5:$H$31,3,0)*10%</f>
        <v>0</v>
      </c>
      <c r="F83" s="509">
        <f>VLOOKUP(B83,'[57]2a'!$B$5:$H$31,4,0)*10%</f>
        <v>0</v>
      </c>
      <c r="G83" s="488">
        <f>VLOOKUP(B83,'[57]2a'!$B$5:$H$31,5,0)*10%</f>
        <v>0</v>
      </c>
      <c r="H83" s="488"/>
      <c r="I83" s="488"/>
      <c r="J83" s="488">
        <f>VLOOKUP(B83,'[57]2a'!$B$5:$H$31,5,0)*10%</f>
        <v>0</v>
      </c>
      <c r="K83" s="488">
        <f t="shared" si="17"/>
        <v>0</v>
      </c>
      <c r="L83" s="488">
        <f t="shared" si="17"/>
        <v>0</v>
      </c>
      <c r="M83" s="488">
        <f t="shared" si="17"/>
        <v>0</v>
      </c>
      <c r="N83" s="488">
        <f t="shared" si="17"/>
        <v>0</v>
      </c>
      <c r="O83" s="488">
        <f t="shared" si="17"/>
        <v>0</v>
      </c>
    </row>
    <row r="84" spans="2:15">
      <c r="B84" s="20">
        <v>10</v>
      </c>
      <c r="C84" s="354" t="s">
        <v>577</v>
      </c>
      <c r="D84" s="509">
        <f>VLOOKUP(B84,'[57]2a'!$B$5:$H$31,3,0)*10%</f>
        <v>0</v>
      </c>
      <c r="E84" s="509">
        <f>VLOOKUP(B84,'[57]2a'!$B$5:$H$31,3,0)*10%</f>
        <v>0</v>
      </c>
      <c r="F84" s="509">
        <f>VLOOKUP(B84,'[57]2a'!$B$5:$H$31,4,0)*10%</f>
        <v>0</v>
      </c>
      <c r="G84" s="488">
        <f>VLOOKUP(B84,'[57]2a'!$B$5:$H$31,5,0)*10%</f>
        <v>0</v>
      </c>
      <c r="H84" s="488"/>
      <c r="I84" s="488"/>
      <c r="J84" s="488">
        <f>VLOOKUP(B84,'[57]2a'!$B$5:$H$31,5,0)*10%</f>
        <v>0</v>
      </c>
      <c r="K84" s="488">
        <f t="shared" si="17"/>
        <v>0</v>
      </c>
      <c r="L84" s="488">
        <f t="shared" si="17"/>
        <v>0</v>
      </c>
      <c r="M84" s="488">
        <f t="shared" si="17"/>
        <v>0</v>
      </c>
      <c r="N84" s="488">
        <f t="shared" si="17"/>
        <v>0</v>
      </c>
      <c r="O84" s="488">
        <f t="shared" si="17"/>
        <v>0</v>
      </c>
    </row>
    <row r="85" spans="2:15">
      <c r="B85" s="20">
        <v>11</v>
      </c>
      <c r="C85" s="354" t="s">
        <v>578</v>
      </c>
      <c r="D85" s="509">
        <f>VLOOKUP(B85,'[57]2a'!$B$5:$H$31,3,0)*10%</f>
        <v>-0.00152015</v>
      </c>
      <c r="E85" s="509">
        <f>VLOOKUP(B85,'[57]2a'!$B$5:$H$31,3,0)*10%</f>
        <v>-0.00152015</v>
      </c>
      <c r="F85" s="509">
        <f>VLOOKUP(B85,'[57]2a'!$B$5:$H$31,4,0)*10%</f>
        <v>-0.00132248</v>
      </c>
      <c r="G85" s="488">
        <f>VLOOKUP(B85,'[57]2a'!$B$5:$H$31,5,0)*10%</f>
        <v>0</v>
      </c>
      <c r="H85" s="488"/>
      <c r="I85" s="488"/>
      <c r="J85" s="488">
        <f>VLOOKUP(B85,'[57]2a'!$B$5:$H$31,5,0)*10%</f>
        <v>0</v>
      </c>
      <c r="K85" s="488">
        <f t="shared" si="17"/>
        <v>0</v>
      </c>
      <c r="L85" s="488">
        <f t="shared" si="17"/>
        <v>0</v>
      </c>
      <c r="M85" s="488">
        <f t="shared" si="17"/>
        <v>0</v>
      </c>
      <c r="N85" s="488">
        <f t="shared" si="17"/>
        <v>0</v>
      </c>
      <c r="O85" s="488">
        <f t="shared" si="17"/>
        <v>0</v>
      </c>
    </row>
    <row r="86" spans="2:15">
      <c r="B86" s="20">
        <v>12</v>
      </c>
      <c r="C86" s="354" t="s">
        <v>579</v>
      </c>
      <c r="D86" s="509">
        <f>VLOOKUP(B86,'[57]2a'!$B$5:$H$31,3,0)*10%</f>
        <v>2.52644197</v>
      </c>
      <c r="E86" s="509">
        <f>VLOOKUP(B86,'[57]2a'!$B$5:$H$31,3,0)*10%</f>
        <v>2.52644197</v>
      </c>
      <c r="F86" s="509">
        <f>VLOOKUP(B86,'[57]2a'!$B$5:$H$31,4,0)*10%</f>
        <v>3.41383647</v>
      </c>
      <c r="G86" s="488">
        <f>VLOOKUP(B86,'[57]2a'!$B$5:$H$31,5,0)*10%</f>
        <v>3.499</v>
      </c>
      <c r="H86" s="488"/>
      <c r="I86" s="488"/>
      <c r="J86" s="488">
        <f>VLOOKUP(B86,'[57]2a'!$B$5:$H$31,5,0)*10%</f>
        <v>3.499</v>
      </c>
      <c r="K86" s="488">
        <f t="shared" si="17"/>
        <v>11.02849</v>
      </c>
      <c r="L86" s="488">
        <f t="shared" si="17"/>
        <v>11.8004843</v>
      </c>
      <c r="M86" s="488">
        <f t="shared" si="17"/>
        <v>14.986615061</v>
      </c>
      <c r="N86" s="488">
        <f t="shared" si="17"/>
        <v>16.03567811527</v>
      </c>
      <c r="O86" s="488">
        <f t="shared" si="17"/>
        <v>17.1581755833389</v>
      </c>
    </row>
    <row r="87" spans="2:15">
      <c r="B87" s="20">
        <v>13</v>
      </c>
      <c r="C87" s="354" t="s">
        <v>580</v>
      </c>
      <c r="D87" s="509">
        <f>VLOOKUP(B87,'[57]2a'!$B$5:$H$31,3,0)*10%</f>
        <v>0</v>
      </c>
      <c r="E87" s="509">
        <f>VLOOKUP(B87,'[57]2a'!$B$5:$H$31,3,0)*10%</f>
        <v>0</v>
      </c>
      <c r="F87" s="509">
        <f>VLOOKUP(B87,'[57]2a'!$B$5:$H$31,4,0)*10%</f>
        <v>0</v>
      </c>
      <c r="G87" s="488">
        <f>VLOOKUP(B87,'[57]2a'!$B$5:$H$31,5,0)*10%</f>
        <v>0</v>
      </c>
      <c r="H87" s="488"/>
      <c r="I87" s="488"/>
      <c r="J87" s="488">
        <f>VLOOKUP(B87,'[57]2a'!$B$5:$H$31,5,0)*10%</f>
        <v>0</v>
      </c>
      <c r="K87" s="488">
        <f t="shared" si="17"/>
        <v>0</v>
      </c>
      <c r="L87" s="488">
        <f t="shared" si="17"/>
        <v>0</v>
      </c>
      <c r="M87" s="488">
        <f t="shared" si="17"/>
        <v>0</v>
      </c>
      <c r="N87" s="488">
        <f t="shared" si="17"/>
        <v>0</v>
      </c>
      <c r="O87" s="488">
        <f t="shared" si="17"/>
        <v>0</v>
      </c>
    </row>
    <row r="88" spans="2:15">
      <c r="B88" s="20">
        <v>14</v>
      </c>
      <c r="C88" s="354" t="s">
        <v>581</v>
      </c>
      <c r="D88" s="509">
        <f>VLOOKUP(B88,'[57]2a'!$B$5:$H$31,3,0)*10%</f>
        <v>0.0010689</v>
      </c>
      <c r="E88" s="509">
        <f>VLOOKUP(B88,'[57]2a'!$B$5:$H$31,3,0)*10%</f>
        <v>0.0010689</v>
      </c>
      <c r="F88" s="509">
        <f>VLOOKUP(B88,'[57]2a'!$B$5:$H$31,4,0)*10%</f>
        <v>0.001018</v>
      </c>
      <c r="G88" s="488">
        <f>VLOOKUP(B88,'[57]2a'!$B$5:$H$31,5,0)*10%</f>
        <v>0</v>
      </c>
      <c r="H88" s="488"/>
      <c r="I88" s="488"/>
      <c r="J88" s="488">
        <f>VLOOKUP(B88,'[57]2a'!$B$5:$H$31,5,0)*10%</f>
        <v>0</v>
      </c>
      <c r="K88" s="488">
        <f t="shared" si="17"/>
        <v>0.31993</v>
      </c>
      <c r="L88" s="488">
        <f t="shared" si="17"/>
        <v>0.3423251</v>
      </c>
      <c r="M88" s="488">
        <f t="shared" si="17"/>
        <v>0.434752877</v>
      </c>
      <c r="N88" s="488">
        <f t="shared" si="17"/>
        <v>0.46518557839</v>
      </c>
      <c r="O88" s="488">
        <f t="shared" si="17"/>
        <v>0.4977485688773</v>
      </c>
    </row>
    <row r="89" spans="2:15">
      <c r="B89" s="20">
        <v>15</v>
      </c>
      <c r="C89" s="354" t="s">
        <v>582</v>
      </c>
      <c r="D89" s="509">
        <f>VLOOKUP(B89,'[57]2a'!$B$5:$H$31,3,0)*10%</f>
        <v>0</v>
      </c>
      <c r="E89" s="509">
        <f>VLOOKUP(B89,'[57]2a'!$B$5:$H$31,3,0)*10%</f>
        <v>0</v>
      </c>
      <c r="F89" s="509">
        <f>VLOOKUP(B89,'[57]2a'!$B$5:$H$31,4,0)*10%</f>
        <v>0</v>
      </c>
      <c r="G89" s="488">
        <f>VLOOKUP(B89,'[57]2a'!$B$5:$H$31,5,0)*10%</f>
        <v>0</v>
      </c>
      <c r="H89" s="488"/>
      <c r="I89" s="488"/>
      <c r="J89" s="488">
        <f>VLOOKUP(B89,'[57]2a'!$B$5:$H$31,5,0)*10%</f>
        <v>0</v>
      </c>
      <c r="K89" s="488">
        <f t="shared" si="17"/>
        <v>0</v>
      </c>
      <c r="L89" s="488">
        <f t="shared" si="17"/>
        <v>0</v>
      </c>
      <c r="M89" s="488">
        <f t="shared" si="17"/>
        <v>0</v>
      </c>
      <c r="N89" s="488">
        <f t="shared" si="17"/>
        <v>0</v>
      </c>
      <c r="O89" s="488">
        <f t="shared" si="17"/>
        <v>0</v>
      </c>
    </row>
    <row r="90" spans="2:15">
      <c r="B90" s="20">
        <v>16</v>
      </c>
      <c r="C90" s="354" t="s">
        <v>583</v>
      </c>
      <c r="D90" s="509">
        <f>VLOOKUP(B90,'[57]2a'!$B$5:$H$31,3,0)*10%</f>
        <v>0.0004314</v>
      </c>
      <c r="E90" s="509">
        <f>VLOOKUP(B90,'[57]2a'!$B$5:$H$31,3,0)*10%</f>
        <v>0.0004314</v>
      </c>
      <c r="F90" s="509">
        <f>VLOOKUP(B90,'[57]2a'!$B$5:$H$31,4,0)*10%</f>
        <v>0.0004314</v>
      </c>
      <c r="G90" s="488">
        <f>VLOOKUP(B90,'[57]2a'!$B$5:$H$31,5,0)*10%</f>
        <v>0</v>
      </c>
      <c r="H90" s="488"/>
      <c r="I90" s="488"/>
      <c r="J90" s="488">
        <f>VLOOKUP(B90,'[57]2a'!$B$5:$H$31,5,0)*10%</f>
        <v>0</v>
      </c>
      <c r="K90" s="488">
        <f t="shared" si="17"/>
        <v>42.63522</v>
      </c>
      <c r="L90" s="488">
        <f t="shared" si="17"/>
        <v>45.6196854</v>
      </c>
      <c r="M90" s="488">
        <f t="shared" si="17"/>
        <v>57.937000458</v>
      </c>
      <c r="N90" s="488">
        <f t="shared" si="17"/>
        <v>61.99259049006</v>
      </c>
      <c r="O90" s="488">
        <f t="shared" si="17"/>
        <v>66.3320718243642</v>
      </c>
    </row>
    <row r="91" spans="2:15">
      <c r="B91" s="20">
        <v>17</v>
      </c>
      <c r="C91" s="354" t="s">
        <v>584</v>
      </c>
      <c r="D91" s="509">
        <f>VLOOKUP(B91,'[57]2a'!$B$5:$H$31,3,0)*10%</f>
        <v>165.86673987</v>
      </c>
      <c r="E91" s="509">
        <f>VLOOKUP(B91,'[57]2a'!$B$5:$H$31,3,0)*10%</f>
        <v>165.86673987</v>
      </c>
      <c r="F91" s="509">
        <f>VLOOKUP(B91,'[57]2a'!$B$5:$H$31,4,0)*10%</f>
        <v>170.21915411</v>
      </c>
      <c r="G91" s="488">
        <f>VLOOKUP(B91,'[57]2a'!$B$5:$H$31,5,0)*10%</f>
        <v>230.757</v>
      </c>
      <c r="H91" s="488"/>
      <c r="I91" s="488"/>
      <c r="J91" s="488">
        <f>VLOOKUP(B91,'[57]2a'!$B$5:$H$31,5,0)*10%</f>
        <v>230.757</v>
      </c>
      <c r="K91" s="488">
        <v>0</v>
      </c>
      <c r="L91" s="488">
        <v>0</v>
      </c>
      <c r="M91" s="488">
        <v>0</v>
      </c>
      <c r="N91" s="488">
        <v>0</v>
      </c>
      <c r="O91" s="488">
        <v>0</v>
      </c>
    </row>
    <row r="92" spans="2:15">
      <c r="B92" s="20">
        <v>18</v>
      </c>
      <c r="C92" s="354" t="s">
        <v>585</v>
      </c>
      <c r="D92" s="509">
        <f>VLOOKUP(B92,'[57]2a'!$B$5:$H$31,3,0)*10%</f>
        <v>19.33571419</v>
      </c>
      <c r="E92" s="509">
        <f>VLOOKUP(B92,'[57]2a'!$B$5:$H$31,3,0)*10%</f>
        <v>19.33571419</v>
      </c>
      <c r="F92" s="509">
        <f>VLOOKUP(B92,'[57]2a'!$B$5:$H$31,4,0)*10%</f>
        <v>19.39784374</v>
      </c>
      <c r="G92" s="488">
        <f>VLOOKUP(B92,'[57]2a'!$B$5:$H$31,5,0)*10%</f>
        <v>-2.002</v>
      </c>
      <c r="H92" s="488"/>
      <c r="I92" s="488"/>
      <c r="J92" s="488">
        <f>VLOOKUP(B92,'[57]2a'!$B$5:$H$31,5,0)*10%</f>
        <v>-2.002</v>
      </c>
      <c r="K92" s="488">
        <f>K26*10%</f>
        <v>69.22692</v>
      </c>
      <c r="L92" s="488">
        <f t="shared" ref="L92:O92" si="18">L26*10%</f>
        <v>74.7650736</v>
      </c>
      <c r="M92" s="488">
        <f t="shared" si="18"/>
        <v>95.699294208</v>
      </c>
      <c r="N92" s="488">
        <f t="shared" si="18"/>
        <v>103.35523774464</v>
      </c>
      <c r="O92" s="488">
        <f t="shared" si="18"/>
        <v>111.623656764211</v>
      </c>
    </row>
    <row r="93" spans="2:15">
      <c r="B93" s="20">
        <f>+B92+0.1</f>
        <v>18.1</v>
      </c>
      <c r="C93" s="354" t="s">
        <v>586</v>
      </c>
      <c r="D93" s="509">
        <f>VLOOKUP(B93,'[57]2a'!$B$5:$H$31,3,0)*10%</f>
        <v>8.21072482</v>
      </c>
      <c r="E93" s="509">
        <f>VLOOKUP(B93,'[57]2a'!$B$5:$H$31,3,0)*10%</f>
        <v>8.21072482</v>
      </c>
      <c r="F93" s="509">
        <f>VLOOKUP(B93,'[57]2a'!$B$5:$H$31,4,0)*10%</f>
        <v>8.85661353</v>
      </c>
      <c r="G93" s="488">
        <f>VLOOKUP(B93,'[57]2a'!$B$5:$H$31,5,0)*10%</f>
        <v>10.008</v>
      </c>
      <c r="H93" s="488"/>
      <c r="I93" s="488"/>
      <c r="J93" s="488">
        <f>VLOOKUP(B93,'[57]2a'!$B$5:$H$31,5,0)*10%</f>
        <v>10.008</v>
      </c>
      <c r="K93" s="488">
        <f t="shared" ref="K93:O98" si="19">K27*10%</f>
        <v>13.29475</v>
      </c>
      <c r="L93" s="488">
        <f t="shared" si="19"/>
        <v>14.2253825</v>
      </c>
      <c r="M93" s="488">
        <f t="shared" si="19"/>
        <v>18.066235775</v>
      </c>
      <c r="N93" s="488">
        <f t="shared" si="19"/>
        <v>19.33087227925</v>
      </c>
      <c r="O93" s="488">
        <f t="shared" si="19"/>
        <v>20.6840333387975</v>
      </c>
    </row>
    <row r="94" spans="2:15">
      <c r="B94" s="20">
        <f>+B93+0.1</f>
        <v>18.2</v>
      </c>
      <c r="C94" s="354" t="s">
        <v>587</v>
      </c>
      <c r="D94" s="509">
        <v>0</v>
      </c>
      <c r="E94" s="509">
        <v>0</v>
      </c>
      <c r="F94" s="509">
        <v>0</v>
      </c>
      <c r="G94" s="488">
        <v>0</v>
      </c>
      <c r="H94" s="488"/>
      <c r="I94" s="488"/>
      <c r="J94" s="488">
        <v>0</v>
      </c>
      <c r="K94" s="488">
        <f t="shared" si="19"/>
        <v>0</v>
      </c>
      <c r="L94" s="488">
        <f t="shared" si="19"/>
        <v>0</v>
      </c>
      <c r="M94" s="488">
        <f t="shared" si="19"/>
        <v>0</v>
      </c>
      <c r="N94" s="488">
        <f t="shared" si="19"/>
        <v>0</v>
      </c>
      <c r="O94" s="488">
        <f t="shared" si="19"/>
        <v>0</v>
      </c>
    </row>
    <row r="95" spans="2:15">
      <c r="B95" s="20">
        <f>+B94+0.1</f>
        <v>18.3</v>
      </c>
      <c r="C95" s="354" t="s">
        <v>588</v>
      </c>
      <c r="D95" s="509">
        <v>0</v>
      </c>
      <c r="E95" s="509">
        <v>0</v>
      </c>
      <c r="F95" s="509">
        <v>0</v>
      </c>
      <c r="G95" s="488">
        <v>0</v>
      </c>
      <c r="H95" s="488"/>
      <c r="I95" s="488"/>
      <c r="J95" s="488">
        <v>0</v>
      </c>
      <c r="K95" s="488">
        <f t="shared" si="19"/>
        <v>0</v>
      </c>
      <c r="L95" s="488">
        <f t="shared" si="19"/>
        <v>0</v>
      </c>
      <c r="M95" s="488">
        <f t="shared" si="19"/>
        <v>0</v>
      </c>
      <c r="N95" s="488">
        <f t="shared" si="19"/>
        <v>0</v>
      </c>
      <c r="O95" s="488">
        <f t="shared" si="19"/>
        <v>0</v>
      </c>
    </row>
    <row r="96" spans="2:15">
      <c r="B96" s="20">
        <f>+B95+0.1</f>
        <v>18.4</v>
      </c>
      <c r="C96" s="354" t="s">
        <v>589</v>
      </c>
      <c r="D96" s="509">
        <v>0</v>
      </c>
      <c r="E96" s="509">
        <v>0</v>
      </c>
      <c r="F96" s="509">
        <v>0</v>
      </c>
      <c r="G96" s="488">
        <v>0</v>
      </c>
      <c r="H96" s="488"/>
      <c r="I96" s="488"/>
      <c r="J96" s="488">
        <v>0</v>
      </c>
      <c r="K96" s="488">
        <f t="shared" si="19"/>
        <v>0</v>
      </c>
      <c r="L96" s="488">
        <f t="shared" si="19"/>
        <v>0</v>
      </c>
      <c r="M96" s="488">
        <f t="shared" si="19"/>
        <v>0</v>
      </c>
      <c r="N96" s="488">
        <f t="shared" si="19"/>
        <v>0</v>
      </c>
      <c r="O96" s="488">
        <f t="shared" si="19"/>
        <v>0</v>
      </c>
    </row>
    <row r="97" ht="28.5" spans="2:15">
      <c r="B97" s="20">
        <v>19</v>
      </c>
      <c r="C97" s="505" t="s">
        <v>590</v>
      </c>
      <c r="D97" s="509">
        <f>VLOOKUP(B97,'[57]2a'!$B$5:$H$31,3,0)*10%</f>
        <v>0</v>
      </c>
      <c r="E97" s="509">
        <f>VLOOKUP(B97,'[57]2a'!$B$5:$H$31,3,0)*10%</f>
        <v>0</v>
      </c>
      <c r="F97" s="509">
        <f>VLOOKUP(B97,'[57]2a'!$B$5:$H$31,4,0)*10%</f>
        <v>0</v>
      </c>
      <c r="G97" s="488">
        <f>VLOOKUP(B97,'[57]2a'!$B$5:$H$31,5,0)*10%</f>
        <v>0</v>
      </c>
      <c r="H97" s="488"/>
      <c r="I97" s="488"/>
      <c r="J97" s="488">
        <f>VLOOKUP(B97,'[57]2a'!$B$5:$H$31,5,0)*10%</f>
        <v>0</v>
      </c>
      <c r="K97" s="488">
        <f t="shared" si="19"/>
        <v>0</v>
      </c>
      <c r="L97" s="488">
        <f t="shared" si="19"/>
        <v>0</v>
      </c>
      <c r="M97" s="488">
        <f t="shared" si="19"/>
        <v>0</v>
      </c>
      <c r="N97" s="488">
        <f t="shared" si="19"/>
        <v>0</v>
      </c>
      <c r="O97" s="488">
        <f t="shared" si="19"/>
        <v>0</v>
      </c>
    </row>
    <row r="98" spans="2:15">
      <c r="B98" s="20">
        <v>20</v>
      </c>
      <c r="C98" s="354" t="s">
        <v>440</v>
      </c>
      <c r="D98" s="509">
        <f>VLOOKUP(B98,'[57]2a'!$B$5:$H$31,3,0)*10%</f>
        <v>0</v>
      </c>
      <c r="E98" s="509">
        <f>VLOOKUP(B98,'[57]2a'!$B$5:$H$31,3,0)*10%</f>
        <v>0</v>
      </c>
      <c r="F98" s="509">
        <f>VLOOKUP(B98,'[57]2a'!$B$5:$H$31,4,0)*10%</f>
        <v>0</v>
      </c>
      <c r="G98" s="488">
        <f>VLOOKUP(B98,'[57]2a'!$B$5:$H$31,5,0)*10%</f>
        <v>0</v>
      </c>
      <c r="H98" s="488"/>
      <c r="I98" s="488"/>
      <c r="J98" s="488">
        <f>VLOOKUP(B98,'[57]2a'!$B$5:$H$31,5,0)*10%</f>
        <v>0</v>
      </c>
      <c r="K98" s="488">
        <f t="shared" si="19"/>
        <v>0</v>
      </c>
      <c r="L98" s="488">
        <f t="shared" si="19"/>
        <v>0</v>
      </c>
      <c r="M98" s="488">
        <f t="shared" si="19"/>
        <v>0</v>
      </c>
      <c r="N98" s="488">
        <f t="shared" si="19"/>
        <v>0</v>
      </c>
      <c r="O98" s="488">
        <f t="shared" si="19"/>
        <v>0</v>
      </c>
    </row>
    <row r="99" ht="15" spans="2:15">
      <c r="B99" s="6">
        <v>21</v>
      </c>
      <c r="C99" s="358" t="s">
        <v>591</v>
      </c>
      <c r="D99" s="512">
        <f>SUM(D75:D98)</f>
        <v>359.27991875</v>
      </c>
      <c r="E99" s="512">
        <f t="shared" ref="E99:O99" si="20">SUM(E75:E98)</f>
        <v>359.27991875</v>
      </c>
      <c r="F99" s="512">
        <f t="shared" si="20"/>
        <v>368.69276549</v>
      </c>
      <c r="G99" s="512">
        <f t="shared" si="20"/>
        <v>469.52</v>
      </c>
      <c r="H99" s="512">
        <f t="shared" si="20"/>
        <v>0</v>
      </c>
      <c r="I99" s="512">
        <f t="shared" si="20"/>
        <v>0</v>
      </c>
      <c r="J99" s="512">
        <f t="shared" si="20"/>
        <v>469.52</v>
      </c>
      <c r="K99" s="506">
        <f t="shared" si="20"/>
        <v>351.07241</v>
      </c>
      <c r="L99" s="506">
        <f t="shared" si="20"/>
        <v>376.3397479</v>
      </c>
      <c r="M99" s="506">
        <f t="shared" si="20"/>
        <v>478.699130569</v>
      </c>
      <c r="N99" s="506">
        <f t="shared" si="20"/>
        <v>513.16506265091</v>
      </c>
      <c r="O99" s="506">
        <f t="shared" si="20"/>
        <v>550.12016941392</v>
      </c>
    </row>
    <row r="100" spans="2:15">
      <c r="B100" s="20">
        <v>22</v>
      </c>
      <c r="C100" s="354" t="s">
        <v>592</v>
      </c>
      <c r="D100" s="509">
        <f>VLOOKUP(B100,'[57]2a'!$B$5:$H$31,3,0)*10%</f>
        <v>-8.95138324</v>
      </c>
      <c r="E100" s="509">
        <f>VLOOKUP(B98,'[57]2a'!$B$5:$H$31,3,0)*10%</f>
        <v>0</v>
      </c>
      <c r="F100" s="509">
        <f>VLOOKUP(B100,'[57]2a'!$B$5:$H$31,4,0)*10%</f>
        <v>-6.98766477</v>
      </c>
      <c r="G100" s="488">
        <f>VLOOKUP(B100,'[57]2a'!$B$5:$H$31,5,0)*10%</f>
        <v>-8.645</v>
      </c>
      <c r="H100" s="509"/>
      <c r="I100" s="509"/>
      <c r="J100" s="488">
        <f>10%*J34</f>
        <v>-10.245</v>
      </c>
      <c r="K100" s="488">
        <f t="shared" ref="K100:O100" si="21">10%*K34</f>
        <v>0</v>
      </c>
      <c r="L100" s="488">
        <f t="shared" si="21"/>
        <v>0</v>
      </c>
      <c r="M100" s="488">
        <f t="shared" si="21"/>
        <v>0</v>
      </c>
      <c r="N100" s="488">
        <f t="shared" si="21"/>
        <v>0</v>
      </c>
      <c r="O100" s="488">
        <f t="shared" si="21"/>
        <v>0</v>
      </c>
    </row>
    <row r="101" ht="15" spans="2:15">
      <c r="B101" s="6">
        <v>23</v>
      </c>
      <c r="C101" s="19" t="s">
        <v>593</v>
      </c>
      <c r="D101" s="492">
        <f>D99-D100</f>
        <v>368.23130199</v>
      </c>
      <c r="E101" s="492">
        <f t="shared" ref="E101:O101" si="22">E99-E100</f>
        <v>359.27991875</v>
      </c>
      <c r="F101" s="492">
        <f t="shared" si="22"/>
        <v>375.68043026</v>
      </c>
      <c r="G101" s="492">
        <f t="shared" si="22"/>
        <v>478.165</v>
      </c>
      <c r="H101" s="492">
        <f t="shared" si="22"/>
        <v>0</v>
      </c>
      <c r="I101" s="492">
        <f t="shared" si="22"/>
        <v>0</v>
      </c>
      <c r="J101" s="492">
        <f t="shared" si="22"/>
        <v>479.765</v>
      </c>
      <c r="K101" s="30">
        <f t="shared" si="22"/>
        <v>351.07241</v>
      </c>
      <c r="L101" s="30">
        <f t="shared" si="22"/>
        <v>376.3397479</v>
      </c>
      <c r="M101" s="30">
        <f t="shared" si="22"/>
        <v>478.699130569</v>
      </c>
      <c r="N101" s="30">
        <f t="shared" si="22"/>
        <v>513.16506265091</v>
      </c>
      <c r="O101" s="30">
        <f t="shared" si="22"/>
        <v>550.12016941392</v>
      </c>
    </row>
  </sheetData>
  <mergeCells count="12">
    <mergeCell ref="H7:J7"/>
    <mergeCell ref="K7:O7"/>
    <mergeCell ref="H39:J39"/>
    <mergeCell ref="K39:O39"/>
    <mergeCell ref="H72:J72"/>
    <mergeCell ref="K72:O72"/>
    <mergeCell ref="B7:B9"/>
    <mergeCell ref="B39:B41"/>
    <mergeCell ref="B72:B74"/>
    <mergeCell ref="C7:C9"/>
    <mergeCell ref="C39:C41"/>
    <mergeCell ref="C72:C74"/>
  </mergeCells>
  <pageMargins left="0.75" right="0.75" top="1" bottom="1" header="0.5" footer="0.5"/>
  <pageSetup paperSize="9" scale="69" fitToHeight="0" orientation="landscape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  <pageSetUpPr fitToPage="1"/>
  </sheetPr>
  <dimension ref="B2:O114"/>
  <sheetViews>
    <sheetView showGridLines="0" zoomScale="56" zoomScaleNormal="56" zoomScaleSheetLayoutView="70" topLeftCell="A84" workbookViewId="0">
      <selection activeCell="R21" sqref="R21"/>
    </sheetView>
  </sheetViews>
  <sheetFormatPr defaultColWidth="9.14285714285714" defaultRowHeight="14.25"/>
  <cols>
    <col min="1" max="1" width="6.85714285714286" style="15" customWidth="1"/>
    <col min="2" max="2" width="7" style="15" customWidth="1"/>
    <col min="3" max="3" width="44.1428571428571" style="15" customWidth="1"/>
    <col min="4" max="10" width="15.8571428571429" style="15" customWidth="1"/>
    <col min="11" max="12" width="12.1428571428571" style="15" customWidth="1"/>
    <col min="13" max="13" width="13" style="15" customWidth="1"/>
    <col min="14" max="14" width="13.4285714285714" style="15" customWidth="1"/>
    <col min="15" max="15" width="12.8571428571429" style="15" customWidth="1"/>
    <col min="16" max="16384" width="9.14285714285714" style="15"/>
  </cols>
  <sheetData>
    <row r="2" ht="15" spans="3:12">
      <c r="C2" s="12"/>
      <c r="D2" s="12"/>
      <c r="E2" s="12"/>
      <c r="F2" s="12"/>
      <c r="G2" s="12"/>
      <c r="H2" s="2" t="s">
        <v>758</v>
      </c>
      <c r="I2" s="12"/>
      <c r="J2" s="12"/>
      <c r="K2" s="12"/>
      <c r="L2" s="12"/>
    </row>
    <row r="3" s="479" customFormat="1" ht="15" spans="3:12">
      <c r="C3" s="12"/>
      <c r="D3" s="12"/>
      <c r="E3" s="12"/>
      <c r="F3" s="12"/>
      <c r="G3" s="12"/>
      <c r="H3" s="3" t="s">
        <v>594</v>
      </c>
      <c r="I3" s="12"/>
      <c r="J3" s="12"/>
      <c r="K3" s="12"/>
      <c r="L3" s="12"/>
    </row>
    <row r="4" s="479" customFormat="1" ht="15" spans="3:12">
      <c r="C4" s="12"/>
      <c r="D4" s="12"/>
      <c r="E4" s="12"/>
      <c r="F4" s="12"/>
      <c r="G4" s="12"/>
      <c r="H4" s="3"/>
      <c r="I4" s="12"/>
      <c r="J4" s="12"/>
      <c r="K4" s="12"/>
      <c r="L4" s="12"/>
    </row>
    <row r="5" ht="15" spans="2:2">
      <c r="B5" s="34" t="s">
        <v>763</v>
      </c>
    </row>
    <row r="6" ht="15" spans="15:15">
      <c r="O6" s="33" t="s">
        <v>109</v>
      </c>
    </row>
    <row r="7" ht="12.75" customHeight="1" spans="2:15">
      <c r="B7" s="5" t="s">
        <v>3</v>
      </c>
      <c r="C7" s="6" t="s">
        <v>110</v>
      </c>
      <c r="D7" s="5" t="s">
        <v>565</v>
      </c>
      <c r="E7" s="5" t="s">
        <v>566</v>
      </c>
      <c r="F7" s="5" t="s">
        <v>567</v>
      </c>
      <c r="G7" s="5" t="s">
        <v>112</v>
      </c>
      <c r="H7" s="5" t="s">
        <v>760</v>
      </c>
      <c r="I7" s="5"/>
      <c r="J7" s="5"/>
      <c r="K7" s="135" t="s">
        <v>114</v>
      </c>
      <c r="L7" s="135"/>
      <c r="M7" s="135"/>
      <c r="N7" s="135"/>
      <c r="O7" s="135"/>
    </row>
    <row r="8" ht="15" spans="2:15">
      <c r="B8" s="5"/>
      <c r="C8" s="6"/>
      <c r="D8" s="5" t="s">
        <v>237</v>
      </c>
      <c r="E8" s="5" t="s">
        <v>237</v>
      </c>
      <c r="F8" s="5" t="s">
        <v>237</v>
      </c>
      <c r="G8" s="5" t="s">
        <v>237</v>
      </c>
      <c r="H8" s="5" t="s">
        <v>119</v>
      </c>
      <c r="I8" s="5" t="s">
        <v>120</v>
      </c>
      <c r="J8" s="5" t="s">
        <v>238</v>
      </c>
      <c r="K8" s="5" t="s">
        <v>514</v>
      </c>
      <c r="L8" s="5" t="s">
        <v>515</v>
      </c>
      <c r="M8" s="5" t="s">
        <v>516</v>
      </c>
      <c r="N8" s="5" t="s">
        <v>517</v>
      </c>
      <c r="O8" s="5" t="s">
        <v>518</v>
      </c>
    </row>
    <row r="9" ht="15" spans="2:15">
      <c r="B9" s="5"/>
      <c r="C9" s="6"/>
      <c r="D9" s="5" t="s">
        <v>128</v>
      </c>
      <c r="E9" s="5" t="s">
        <v>128</v>
      </c>
      <c r="F9" s="5" t="s">
        <v>128</v>
      </c>
      <c r="G9" s="5" t="s">
        <v>128</v>
      </c>
      <c r="H9" s="5" t="s">
        <v>130</v>
      </c>
      <c r="I9" s="5" t="s">
        <v>131</v>
      </c>
      <c r="J9" s="5" t="s">
        <v>128</v>
      </c>
      <c r="K9" s="5" t="s">
        <v>132</v>
      </c>
      <c r="L9" s="5" t="s">
        <v>132</v>
      </c>
      <c r="M9" s="5" t="s">
        <v>132</v>
      </c>
      <c r="N9" s="5" t="s">
        <v>132</v>
      </c>
      <c r="O9" s="5" t="s">
        <v>132</v>
      </c>
    </row>
    <row r="10" spans="2:15">
      <c r="B10" s="21">
        <v>1</v>
      </c>
      <c r="C10" s="976" t="s">
        <v>595</v>
      </c>
      <c r="D10" s="488">
        <f>D47+D84</f>
        <v>5.2498565</v>
      </c>
      <c r="E10" s="488">
        <f t="shared" ref="E10:J10" si="0">E47+E84</f>
        <v>4.12726454</v>
      </c>
      <c r="F10" s="488">
        <f t="shared" si="0"/>
        <v>4.33198565</v>
      </c>
      <c r="G10" s="488">
        <f t="shared" si="0"/>
        <v>5.51998565</v>
      </c>
      <c r="H10" s="488">
        <f t="shared" si="0"/>
        <v>0</v>
      </c>
      <c r="I10" s="488">
        <f t="shared" si="0"/>
        <v>0</v>
      </c>
      <c r="J10" s="488">
        <f t="shared" si="0"/>
        <v>5.17</v>
      </c>
      <c r="K10" s="488">
        <f t="shared" ref="K10:K15" si="1">J10/J$38*K$38</f>
        <v>5.69904166525711</v>
      </c>
      <c r="L10" s="488">
        <f t="shared" ref="L10:O10" si="2">K10/K$38*L$38</f>
        <v>5.97269539056589</v>
      </c>
      <c r="M10" s="488">
        <f t="shared" si="2"/>
        <v>6.25948928325263</v>
      </c>
      <c r="N10" s="488">
        <f t="shared" si="2"/>
        <v>6.56005430128626</v>
      </c>
      <c r="O10" s="488">
        <f t="shared" si="2"/>
        <v>6.87505169965917</v>
      </c>
    </row>
    <row r="11" spans="2:15">
      <c r="B11" s="21">
        <v>2</v>
      </c>
      <c r="C11" s="487" t="s">
        <v>596</v>
      </c>
      <c r="D11" s="488">
        <f t="shared" ref="D11:J26" si="3">D48+D85</f>
        <v>0.0404141</v>
      </c>
      <c r="E11" s="488">
        <f t="shared" si="3"/>
        <v>0.20099588</v>
      </c>
      <c r="F11" s="488">
        <f t="shared" si="3"/>
        <v>0.32804141</v>
      </c>
      <c r="G11" s="488">
        <f t="shared" si="3"/>
        <v>0.27404141</v>
      </c>
      <c r="H11" s="488">
        <f t="shared" si="3"/>
        <v>0</v>
      </c>
      <c r="I11" s="488">
        <f t="shared" si="3"/>
        <v>0</v>
      </c>
      <c r="J11" s="488">
        <f t="shared" si="3"/>
        <v>0.39</v>
      </c>
      <c r="K11" s="488">
        <f t="shared" si="1"/>
        <v>0.429908365464269</v>
      </c>
      <c r="L11" s="488">
        <f t="shared" ref="K11:O37" si="4">K11/K$38*L$38</f>
        <v>0.450551489810579</v>
      </c>
      <c r="M11" s="488">
        <f t="shared" si="4"/>
        <v>0.472185845351745</v>
      </c>
      <c r="N11" s="488">
        <f t="shared" si="4"/>
        <v>0.494859028530298</v>
      </c>
      <c r="O11" s="488">
        <f t="shared" si="4"/>
        <v>0.518620921250885</v>
      </c>
    </row>
    <row r="12" spans="2:15">
      <c r="B12" s="21">
        <v>3</v>
      </c>
      <c r="C12" s="487" t="s">
        <v>597</v>
      </c>
      <c r="D12" s="488">
        <f t="shared" si="3"/>
        <v>2.2356406</v>
      </c>
      <c r="E12" s="488">
        <f t="shared" si="3"/>
        <v>2.31011434</v>
      </c>
      <c r="F12" s="488">
        <f t="shared" si="3"/>
        <v>2.49156406</v>
      </c>
      <c r="G12" s="488">
        <f t="shared" si="3"/>
        <v>2.41956406</v>
      </c>
      <c r="H12" s="488">
        <f t="shared" si="3"/>
        <v>0</v>
      </c>
      <c r="I12" s="488">
        <f t="shared" si="3"/>
        <v>0</v>
      </c>
      <c r="J12" s="488">
        <f t="shared" si="3"/>
        <v>2.47</v>
      </c>
      <c r="K12" s="488">
        <f t="shared" si="1"/>
        <v>2.7227529812737</v>
      </c>
      <c r="L12" s="488">
        <f t="shared" si="4"/>
        <v>2.85349276880034</v>
      </c>
      <c r="M12" s="488">
        <f t="shared" si="4"/>
        <v>2.99051035389439</v>
      </c>
      <c r="N12" s="488">
        <f t="shared" si="4"/>
        <v>3.13410718069189</v>
      </c>
      <c r="O12" s="488">
        <f t="shared" si="4"/>
        <v>3.28459916792227</v>
      </c>
    </row>
    <row r="13" spans="2:15">
      <c r="B13" s="21">
        <v>4</v>
      </c>
      <c r="C13" s="487" t="s">
        <v>598</v>
      </c>
      <c r="D13" s="488">
        <f t="shared" si="3"/>
        <v>2.077349</v>
      </c>
      <c r="E13" s="488">
        <f t="shared" si="3"/>
        <v>1.94790182</v>
      </c>
      <c r="F13" s="488">
        <f t="shared" si="3"/>
        <v>1.1347349</v>
      </c>
      <c r="G13" s="488">
        <f t="shared" si="3"/>
        <v>2.1067349</v>
      </c>
      <c r="H13" s="488">
        <f t="shared" si="3"/>
        <v>0</v>
      </c>
      <c r="I13" s="488">
        <f t="shared" si="3"/>
        <v>0</v>
      </c>
      <c r="J13" s="488">
        <f t="shared" si="3"/>
        <v>3.28</v>
      </c>
      <c r="K13" s="488">
        <f t="shared" si="1"/>
        <v>3.61563958646872</v>
      </c>
      <c r="L13" s="488">
        <f t="shared" si="4"/>
        <v>3.78925355533</v>
      </c>
      <c r="M13" s="488">
        <f t="shared" si="4"/>
        <v>3.97120403270186</v>
      </c>
      <c r="N13" s="488">
        <f t="shared" si="4"/>
        <v>4.1618913168702</v>
      </c>
      <c r="O13" s="488">
        <f t="shared" si="4"/>
        <v>4.36173492744334</v>
      </c>
    </row>
    <row r="14" spans="2:15">
      <c r="B14" s="21">
        <v>5</v>
      </c>
      <c r="C14" s="487" t="s">
        <v>599</v>
      </c>
      <c r="D14" s="488">
        <f t="shared" si="3"/>
        <v>37.343403</v>
      </c>
      <c r="E14" s="488">
        <f t="shared" si="3"/>
        <v>32.77039932</v>
      </c>
      <c r="F14" s="488">
        <f t="shared" si="3"/>
        <v>36.3053403</v>
      </c>
      <c r="G14" s="488">
        <f t="shared" si="3"/>
        <v>46.0433403</v>
      </c>
      <c r="H14" s="488">
        <f t="shared" si="3"/>
        <v>0</v>
      </c>
      <c r="I14" s="488">
        <f t="shared" si="3"/>
        <v>0</v>
      </c>
      <c r="J14" s="488">
        <f t="shared" si="3"/>
        <v>49.36</v>
      </c>
      <c r="K14" s="488">
        <f t="shared" si="1"/>
        <v>54.4109664597854</v>
      </c>
      <c r="L14" s="488">
        <f t="shared" si="4"/>
        <v>57.0236449667954</v>
      </c>
      <c r="M14" s="488">
        <f t="shared" si="4"/>
        <v>59.7617777604158</v>
      </c>
      <c r="N14" s="488">
        <f t="shared" si="4"/>
        <v>62.6313888416808</v>
      </c>
      <c r="O14" s="488">
        <f t="shared" si="4"/>
        <v>65.6387914690864</v>
      </c>
    </row>
    <row r="15" spans="2:15">
      <c r="B15" s="21">
        <v>6</v>
      </c>
      <c r="C15" s="487" t="s">
        <v>600</v>
      </c>
      <c r="D15" s="488">
        <f t="shared" si="3"/>
        <v>20.1164301</v>
      </c>
      <c r="E15" s="488">
        <f t="shared" si="3"/>
        <v>17.89693101</v>
      </c>
      <c r="F15" s="488">
        <f t="shared" si="3"/>
        <v>26.94164301</v>
      </c>
      <c r="G15" s="488">
        <f t="shared" si="3"/>
        <v>27.48164301</v>
      </c>
      <c r="H15" s="488">
        <f t="shared" si="3"/>
        <v>0</v>
      </c>
      <c r="I15" s="488">
        <f t="shared" si="3"/>
        <v>0</v>
      </c>
      <c r="J15" s="488">
        <f t="shared" si="3"/>
        <v>25.68</v>
      </c>
      <c r="K15" s="488">
        <f t="shared" si="1"/>
        <v>28.3078123721088</v>
      </c>
      <c r="L15" s="488">
        <f t="shared" si="4"/>
        <v>29.6670827136812</v>
      </c>
      <c r="M15" s="488">
        <f t="shared" si="4"/>
        <v>31.0916218170072</v>
      </c>
      <c r="N15" s="488">
        <f t="shared" si="4"/>
        <v>32.5845637247643</v>
      </c>
      <c r="O15" s="488">
        <f t="shared" si="4"/>
        <v>34.1491929685198</v>
      </c>
    </row>
    <row r="16" spans="2:15">
      <c r="B16" s="21">
        <v>7</v>
      </c>
      <c r="C16" s="487" t="s">
        <v>601</v>
      </c>
      <c r="D16" s="488">
        <f t="shared" si="3"/>
        <v>8.1906836</v>
      </c>
      <c r="E16" s="488">
        <f t="shared" si="3"/>
        <v>7.71043874</v>
      </c>
      <c r="F16" s="488">
        <f t="shared" si="3"/>
        <v>7.74006836</v>
      </c>
      <c r="G16" s="488">
        <f t="shared" si="3"/>
        <v>12.49206836</v>
      </c>
      <c r="H16" s="488">
        <f t="shared" si="3"/>
        <v>0</v>
      </c>
      <c r="I16" s="488">
        <f t="shared" si="3"/>
        <v>0</v>
      </c>
      <c r="J16" s="488">
        <f t="shared" si="3"/>
        <v>8.82</v>
      </c>
      <c r="K16" s="488">
        <f t="shared" si="4"/>
        <v>9.72254303434578</v>
      </c>
      <c r="L16" s="488">
        <f t="shared" si="4"/>
        <v>10.1893952311008</v>
      </c>
      <c r="M16" s="488">
        <f t="shared" si="4"/>
        <v>10.6786645025702</v>
      </c>
      <c r="N16" s="488">
        <f t="shared" si="4"/>
        <v>11.1914272606083</v>
      </c>
      <c r="O16" s="488">
        <f t="shared" si="4"/>
        <v>11.7288116036739</v>
      </c>
    </row>
    <row r="17" spans="2:15">
      <c r="B17" s="21">
        <v>8</v>
      </c>
      <c r="C17" s="487" t="s">
        <v>602</v>
      </c>
      <c r="D17" s="488">
        <f t="shared" si="3"/>
        <v>0.8266267</v>
      </c>
      <c r="E17" s="488">
        <f t="shared" si="3"/>
        <v>1.10099575</v>
      </c>
      <c r="F17" s="488">
        <f t="shared" si="3"/>
        <v>0.54166267</v>
      </c>
      <c r="G17" s="488">
        <f t="shared" si="3"/>
        <v>0.67666267</v>
      </c>
      <c r="H17" s="488">
        <f t="shared" si="3"/>
        <v>0</v>
      </c>
      <c r="I17" s="488">
        <f t="shared" si="3"/>
        <v>0</v>
      </c>
      <c r="J17" s="488">
        <f t="shared" si="3"/>
        <v>0.51</v>
      </c>
      <c r="K17" s="488">
        <f t="shared" si="4"/>
        <v>0.562187862530198</v>
      </c>
      <c r="L17" s="488">
        <f t="shared" si="4"/>
        <v>0.589182717444604</v>
      </c>
      <c r="M17" s="488">
        <f t="shared" si="4"/>
        <v>0.617473797767667</v>
      </c>
      <c r="N17" s="488">
        <f t="shared" si="4"/>
        <v>0.647123345001159</v>
      </c>
      <c r="O17" s="488">
        <f t="shared" si="4"/>
        <v>0.67819658932808</v>
      </c>
    </row>
    <row r="18" spans="2:15">
      <c r="B18" s="21">
        <v>9</v>
      </c>
      <c r="C18" s="487" t="s">
        <v>603</v>
      </c>
      <c r="D18" s="488">
        <f t="shared" si="3"/>
        <v>0.285328</v>
      </c>
      <c r="E18" s="488">
        <f t="shared" si="3"/>
        <v>0.29269243</v>
      </c>
      <c r="F18" s="488">
        <f t="shared" si="3"/>
        <v>0.3165328</v>
      </c>
      <c r="G18" s="488">
        <f t="shared" si="3"/>
        <v>0.3615328</v>
      </c>
      <c r="H18" s="488">
        <f t="shared" si="3"/>
        <v>0</v>
      </c>
      <c r="I18" s="488">
        <f t="shared" si="3"/>
        <v>0</v>
      </c>
      <c r="J18" s="488">
        <f t="shared" si="3"/>
        <v>0.34</v>
      </c>
      <c r="K18" s="488">
        <f t="shared" si="4"/>
        <v>0.374791908353465</v>
      </c>
      <c r="L18" s="488">
        <f t="shared" si="4"/>
        <v>0.392788478296403</v>
      </c>
      <c r="M18" s="488">
        <f t="shared" si="4"/>
        <v>0.411649198511778</v>
      </c>
      <c r="N18" s="488">
        <f t="shared" si="4"/>
        <v>0.431415563334106</v>
      </c>
      <c r="O18" s="488">
        <f t="shared" si="4"/>
        <v>0.452131059552054</v>
      </c>
    </row>
    <row r="19" spans="2:15">
      <c r="B19" s="21">
        <v>10</v>
      </c>
      <c r="C19" s="487" t="s">
        <v>604</v>
      </c>
      <c r="D19" s="488">
        <f t="shared" si="3"/>
        <v>0.5616071</v>
      </c>
      <c r="E19" s="488">
        <f t="shared" si="3"/>
        <v>0.44282114</v>
      </c>
      <c r="F19" s="488">
        <f t="shared" si="3"/>
        <v>0.28116071</v>
      </c>
      <c r="G19" s="488">
        <f t="shared" si="3"/>
        <v>0.92916071</v>
      </c>
      <c r="H19" s="488">
        <f t="shared" si="3"/>
        <v>0</v>
      </c>
      <c r="I19" s="488">
        <f t="shared" si="3"/>
        <v>0</v>
      </c>
      <c r="J19" s="488">
        <f t="shared" si="3"/>
        <v>1.62</v>
      </c>
      <c r="K19" s="488">
        <f t="shared" si="4"/>
        <v>1.78577321039004</v>
      </c>
      <c r="L19" s="488">
        <f t="shared" si="4"/>
        <v>1.87152157305933</v>
      </c>
      <c r="M19" s="488">
        <f t="shared" si="4"/>
        <v>1.96138735761494</v>
      </c>
      <c r="N19" s="488">
        <f t="shared" si="4"/>
        <v>2.05556827235662</v>
      </c>
      <c r="O19" s="488">
        <f t="shared" si="4"/>
        <v>2.15427151904214</v>
      </c>
    </row>
    <row r="20" spans="2:15">
      <c r="B20" s="21">
        <v>11</v>
      </c>
      <c r="C20" s="487" t="s">
        <v>605</v>
      </c>
      <c r="D20" s="488">
        <f t="shared" si="3"/>
        <v>0.0505607</v>
      </c>
      <c r="E20" s="488">
        <f t="shared" si="3"/>
        <v>0.08656574</v>
      </c>
      <c r="F20" s="488">
        <f t="shared" si="3"/>
        <v>0.05905607</v>
      </c>
      <c r="G20" s="488">
        <f t="shared" si="3"/>
        <v>0.13105607</v>
      </c>
      <c r="H20" s="488">
        <f t="shared" si="3"/>
        <v>0</v>
      </c>
      <c r="I20" s="488">
        <f t="shared" si="3"/>
        <v>0</v>
      </c>
      <c r="J20" s="488">
        <f t="shared" si="3"/>
        <v>0.09</v>
      </c>
      <c r="K20" s="488">
        <f t="shared" si="4"/>
        <v>0.0992096227994467</v>
      </c>
      <c r="L20" s="488">
        <f t="shared" si="4"/>
        <v>0.103973420725518</v>
      </c>
      <c r="M20" s="488">
        <f t="shared" si="4"/>
        <v>0.108965964311941</v>
      </c>
      <c r="N20" s="488">
        <f t="shared" si="4"/>
        <v>0.114198237353146</v>
      </c>
      <c r="O20" s="488">
        <f t="shared" si="4"/>
        <v>0.119681751057897</v>
      </c>
    </row>
    <row r="21" spans="2:15">
      <c r="B21" s="21">
        <v>12</v>
      </c>
      <c r="C21" s="487" t="s">
        <v>606</v>
      </c>
      <c r="D21" s="488">
        <f t="shared" si="3"/>
        <v>0</v>
      </c>
      <c r="E21" s="488">
        <f t="shared" si="3"/>
        <v>0</v>
      </c>
      <c r="F21" s="488">
        <f t="shared" si="3"/>
        <v>0</v>
      </c>
      <c r="G21" s="488">
        <f t="shared" si="3"/>
        <v>0</v>
      </c>
      <c r="H21" s="488">
        <f t="shared" si="3"/>
        <v>0</v>
      </c>
      <c r="I21" s="488">
        <f t="shared" si="3"/>
        <v>0</v>
      </c>
      <c r="J21" s="488">
        <f t="shared" si="3"/>
        <v>0</v>
      </c>
      <c r="K21" s="488">
        <f t="shared" si="4"/>
        <v>0</v>
      </c>
      <c r="L21" s="488">
        <f t="shared" si="4"/>
        <v>0</v>
      </c>
      <c r="M21" s="488">
        <f t="shared" si="4"/>
        <v>0</v>
      </c>
      <c r="N21" s="488">
        <f t="shared" si="4"/>
        <v>0</v>
      </c>
      <c r="O21" s="488">
        <f t="shared" si="4"/>
        <v>0</v>
      </c>
    </row>
    <row r="22" spans="2:15">
      <c r="B22" s="21">
        <v>13</v>
      </c>
      <c r="C22" s="487" t="s">
        <v>607</v>
      </c>
      <c r="D22" s="488">
        <f t="shared" si="3"/>
        <v>6.7557033</v>
      </c>
      <c r="E22" s="488">
        <f t="shared" si="3"/>
        <v>4.96213542</v>
      </c>
      <c r="F22" s="488">
        <f t="shared" si="3"/>
        <v>6.65157033</v>
      </c>
      <c r="G22" s="488">
        <f t="shared" si="3"/>
        <v>6.84057033</v>
      </c>
      <c r="H22" s="488">
        <f t="shared" si="3"/>
        <v>0</v>
      </c>
      <c r="I22" s="488">
        <f t="shared" si="3"/>
        <v>0</v>
      </c>
      <c r="J22" s="488">
        <f t="shared" si="3"/>
        <v>9.98</v>
      </c>
      <c r="K22" s="488">
        <f t="shared" si="4"/>
        <v>11.0012448393164</v>
      </c>
      <c r="L22" s="488">
        <f t="shared" si="4"/>
        <v>11.5294970982297</v>
      </c>
      <c r="M22" s="488">
        <f t="shared" si="4"/>
        <v>12.0831147092575</v>
      </c>
      <c r="N22" s="488">
        <f t="shared" si="4"/>
        <v>12.6633156531599</v>
      </c>
      <c r="O22" s="488">
        <f t="shared" si="4"/>
        <v>13.2713763950868</v>
      </c>
    </row>
    <row r="23" spans="2:15">
      <c r="B23" s="21">
        <v>14</v>
      </c>
      <c r="C23" s="487" t="s">
        <v>608</v>
      </c>
      <c r="D23" s="488">
        <f t="shared" si="3"/>
        <v>1.7569117</v>
      </c>
      <c r="E23" s="488">
        <f t="shared" si="3"/>
        <v>0.5859235</v>
      </c>
      <c r="F23" s="488">
        <f t="shared" si="3"/>
        <v>1.31869117</v>
      </c>
      <c r="G23" s="488">
        <f t="shared" si="3"/>
        <v>2.00269117</v>
      </c>
      <c r="H23" s="488">
        <f t="shared" si="3"/>
        <v>0</v>
      </c>
      <c r="I23" s="488">
        <f t="shared" si="3"/>
        <v>0</v>
      </c>
      <c r="J23" s="488">
        <f t="shared" si="3"/>
        <v>1.45</v>
      </c>
      <c r="K23" s="488">
        <f t="shared" si="4"/>
        <v>1.59837725621331</v>
      </c>
      <c r="L23" s="488">
        <f t="shared" si="4"/>
        <v>1.67512733391113</v>
      </c>
      <c r="M23" s="488">
        <f t="shared" si="4"/>
        <v>1.75556275835905</v>
      </c>
      <c r="N23" s="488">
        <f t="shared" si="4"/>
        <v>1.83986049068957</v>
      </c>
      <c r="O23" s="488">
        <f t="shared" si="4"/>
        <v>1.92820598926611</v>
      </c>
    </row>
    <row r="24" spans="2:15">
      <c r="B24" s="21">
        <v>15</v>
      </c>
      <c r="C24" s="487" t="s">
        <v>609</v>
      </c>
      <c r="D24" s="488">
        <f t="shared" si="3"/>
        <v>0</v>
      </c>
      <c r="E24" s="488">
        <f t="shared" si="3"/>
        <v>0</v>
      </c>
      <c r="F24" s="488">
        <f t="shared" si="3"/>
        <v>0</v>
      </c>
      <c r="G24" s="488">
        <f t="shared" si="3"/>
        <v>0</v>
      </c>
      <c r="H24" s="488">
        <f t="shared" si="3"/>
        <v>0</v>
      </c>
      <c r="I24" s="488">
        <f t="shared" si="3"/>
        <v>0</v>
      </c>
      <c r="J24" s="488">
        <f t="shared" si="3"/>
        <v>0</v>
      </c>
      <c r="K24" s="488">
        <f t="shared" si="4"/>
        <v>0</v>
      </c>
      <c r="L24" s="488">
        <f t="shared" si="4"/>
        <v>0</v>
      </c>
      <c r="M24" s="488">
        <f t="shared" si="4"/>
        <v>0</v>
      </c>
      <c r="N24" s="488">
        <f t="shared" si="4"/>
        <v>0</v>
      </c>
      <c r="O24" s="488">
        <f t="shared" si="4"/>
        <v>0</v>
      </c>
    </row>
    <row r="25" spans="2:15">
      <c r="B25" s="21">
        <v>16</v>
      </c>
      <c r="C25" s="976" t="s">
        <v>610</v>
      </c>
      <c r="D25" s="488">
        <f t="shared" si="3"/>
        <v>0</v>
      </c>
      <c r="E25" s="488">
        <f t="shared" si="3"/>
        <v>0</v>
      </c>
      <c r="F25" s="488">
        <f t="shared" si="3"/>
        <v>0</v>
      </c>
      <c r="G25" s="488">
        <f t="shared" si="3"/>
        <v>0</v>
      </c>
      <c r="H25" s="488">
        <f t="shared" si="3"/>
        <v>0</v>
      </c>
      <c r="I25" s="488">
        <f t="shared" si="3"/>
        <v>0</v>
      </c>
      <c r="J25" s="488">
        <f t="shared" si="3"/>
        <v>0</v>
      </c>
      <c r="K25" s="488">
        <f t="shared" si="4"/>
        <v>0</v>
      </c>
      <c r="L25" s="488">
        <f t="shared" si="4"/>
        <v>0</v>
      </c>
      <c r="M25" s="488">
        <f t="shared" si="4"/>
        <v>0</v>
      </c>
      <c r="N25" s="488">
        <f t="shared" si="4"/>
        <v>0</v>
      </c>
      <c r="O25" s="488">
        <f t="shared" si="4"/>
        <v>0</v>
      </c>
    </row>
    <row r="26" spans="2:15">
      <c r="B26" s="21">
        <v>17</v>
      </c>
      <c r="C26" s="976" t="s">
        <v>611</v>
      </c>
      <c r="D26" s="488">
        <f t="shared" si="3"/>
        <v>5.932071</v>
      </c>
      <c r="E26" s="488">
        <f t="shared" si="3"/>
        <v>5.932071</v>
      </c>
      <c r="F26" s="488">
        <f t="shared" si="3"/>
        <v>5.9302071</v>
      </c>
      <c r="G26" s="488">
        <f t="shared" si="3"/>
        <v>7.9732071</v>
      </c>
      <c r="H26" s="488">
        <f t="shared" si="3"/>
        <v>0</v>
      </c>
      <c r="I26" s="488">
        <f t="shared" si="3"/>
        <v>0</v>
      </c>
      <c r="J26" s="488">
        <f t="shared" si="3"/>
        <v>9.01</v>
      </c>
      <c r="K26" s="488">
        <f t="shared" si="4"/>
        <v>9.93198557136683</v>
      </c>
      <c r="L26" s="488">
        <f t="shared" si="4"/>
        <v>10.4088946748547</v>
      </c>
      <c r="M26" s="488">
        <f t="shared" si="4"/>
        <v>10.9087037605621</v>
      </c>
      <c r="N26" s="488">
        <f t="shared" si="4"/>
        <v>11.4325124283538</v>
      </c>
      <c r="O26" s="488">
        <f t="shared" si="4"/>
        <v>11.9814730781294</v>
      </c>
    </row>
    <row r="27" spans="2:15">
      <c r="B27" s="21">
        <v>18</v>
      </c>
      <c r="C27" s="487" t="s">
        <v>612</v>
      </c>
      <c r="D27" s="488">
        <f t="shared" ref="D27:J37" si="5">D64+D101</f>
        <v>0.3742913</v>
      </c>
      <c r="E27" s="488">
        <f t="shared" si="5"/>
        <v>0.30743192</v>
      </c>
      <c r="F27" s="488">
        <f t="shared" si="5"/>
        <v>0.28942913</v>
      </c>
      <c r="G27" s="488">
        <f t="shared" si="5"/>
        <v>0.44242913</v>
      </c>
      <c r="H27" s="488">
        <f t="shared" si="5"/>
        <v>0</v>
      </c>
      <c r="I27" s="488">
        <f t="shared" si="5"/>
        <v>0</v>
      </c>
      <c r="J27" s="488">
        <f t="shared" si="5"/>
        <v>0.41</v>
      </c>
      <c r="K27" s="488">
        <f t="shared" si="4"/>
        <v>0.451954948308591</v>
      </c>
      <c r="L27" s="488">
        <f t="shared" si="4"/>
        <v>0.47365669441625</v>
      </c>
      <c r="M27" s="488">
        <f t="shared" si="4"/>
        <v>0.496400504087732</v>
      </c>
      <c r="N27" s="488">
        <f t="shared" si="4"/>
        <v>0.520236414608775</v>
      </c>
      <c r="O27" s="488">
        <f t="shared" si="4"/>
        <v>0.545216865930418</v>
      </c>
    </row>
    <row r="28" spans="2:15">
      <c r="B28" s="21">
        <v>19</v>
      </c>
      <c r="C28" s="487" t="s">
        <v>613</v>
      </c>
      <c r="D28" s="488">
        <f t="shared" si="5"/>
        <v>38.3184536</v>
      </c>
      <c r="E28" s="488">
        <f t="shared" si="5"/>
        <v>40.12816667</v>
      </c>
      <c r="F28" s="488">
        <f t="shared" si="5"/>
        <v>8.66484536</v>
      </c>
      <c r="G28" s="488">
        <f t="shared" si="5"/>
        <v>16.32384536</v>
      </c>
      <c r="H28" s="488">
        <f t="shared" si="5"/>
        <v>0</v>
      </c>
      <c r="I28" s="488">
        <f t="shared" si="5"/>
        <v>0</v>
      </c>
      <c r="J28" s="488">
        <f t="shared" si="5"/>
        <v>12.42</v>
      </c>
      <c r="K28" s="488">
        <f t="shared" si="4"/>
        <v>13.6909279463236</v>
      </c>
      <c r="L28" s="488">
        <f t="shared" si="4"/>
        <v>14.3483320601215</v>
      </c>
      <c r="M28" s="488">
        <f t="shared" si="4"/>
        <v>15.0373030750479</v>
      </c>
      <c r="N28" s="488">
        <f t="shared" si="4"/>
        <v>15.7593567547341</v>
      </c>
      <c r="O28" s="488">
        <f t="shared" si="4"/>
        <v>16.5160816459897</v>
      </c>
    </row>
    <row r="29" spans="2:15">
      <c r="B29" s="21">
        <v>20</v>
      </c>
      <c r="C29" s="487" t="s">
        <v>614</v>
      </c>
      <c r="D29" s="488">
        <f t="shared" si="5"/>
        <v>0</v>
      </c>
      <c r="E29" s="488">
        <f t="shared" si="5"/>
        <v>0</v>
      </c>
      <c r="F29" s="488">
        <f t="shared" si="5"/>
        <v>0</v>
      </c>
      <c r="G29" s="488">
        <f t="shared" si="5"/>
        <v>0</v>
      </c>
      <c r="H29" s="488">
        <f t="shared" si="5"/>
        <v>0</v>
      </c>
      <c r="I29" s="488">
        <f t="shared" si="5"/>
        <v>0</v>
      </c>
      <c r="J29" s="488">
        <f t="shared" si="5"/>
        <v>0</v>
      </c>
      <c r="K29" s="488">
        <f t="shared" si="4"/>
        <v>0</v>
      </c>
      <c r="L29" s="488">
        <f t="shared" si="4"/>
        <v>0</v>
      </c>
      <c r="M29" s="488">
        <f t="shared" si="4"/>
        <v>0</v>
      </c>
      <c r="N29" s="488">
        <f t="shared" si="4"/>
        <v>0</v>
      </c>
      <c r="O29" s="488">
        <f t="shared" si="4"/>
        <v>0</v>
      </c>
    </row>
    <row r="30" spans="2:15">
      <c r="B30" s="21">
        <v>21</v>
      </c>
      <c r="C30" s="487" t="s">
        <v>615</v>
      </c>
      <c r="D30" s="488">
        <f t="shared" si="5"/>
        <v>13.1880313</v>
      </c>
      <c r="E30" s="488">
        <f t="shared" si="5"/>
        <v>15.81951691</v>
      </c>
      <c r="F30" s="488">
        <f t="shared" si="5"/>
        <v>14.36880313</v>
      </c>
      <c r="G30" s="488">
        <f t="shared" si="5"/>
        <v>16.74480313</v>
      </c>
      <c r="H30" s="488">
        <f t="shared" si="5"/>
        <v>0</v>
      </c>
      <c r="I30" s="488">
        <f t="shared" si="5"/>
        <v>0</v>
      </c>
      <c r="J30" s="488">
        <f t="shared" si="5"/>
        <v>10.87</v>
      </c>
      <c r="K30" s="488">
        <f t="shared" si="4"/>
        <v>11.9823177758887</v>
      </c>
      <c r="L30" s="488">
        <f t="shared" si="4"/>
        <v>12.557678703182</v>
      </c>
      <c r="M30" s="488">
        <f t="shared" si="4"/>
        <v>13.1606670230089</v>
      </c>
      <c r="N30" s="488">
        <f t="shared" si="4"/>
        <v>13.7926093336522</v>
      </c>
      <c r="O30" s="488">
        <f t="shared" si="4"/>
        <v>14.4548959333259</v>
      </c>
    </row>
    <row r="31" spans="2:15">
      <c r="B31" s="21">
        <v>22</v>
      </c>
      <c r="C31" s="487" t="s">
        <v>616</v>
      </c>
      <c r="D31" s="488">
        <f t="shared" si="5"/>
        <v>0</v>
      </c>
      <c r="E31" s="488">
        <f t="shared" si="5"/>
        <v>0</v>
      </c>
      <c r="F31" s="488">
        <f t="shared" si="5"/>
        <v>0</v>
      </c>
      <c r="G31" s="488">
        <f t="shared" si="5"/>
        <v>0</v>
      </c>
      <c r="H31" s="488">
        <f t="shared" si="5"/>
        <v>0</v>
      </c>
      <c r="I31" s="488">
        <f t="shared" si="5"/>
        <v>0</v>
      </c>
      <c r="J31" s="488">
        <f t="shared" si="5"/>
        <v>0</v>
      </c>
      <c r="K31" s="488">
        <f t="shared" si="4"/>
        <v>0</v>
      </c>
      <c r="L31" s="488">
        <f t="shared" si="4"/>
        <v>0</v>
      </c>
      <c r="M31" s="488">
        <f t="shared" si="4"/>
        <v>0</v>
      </c>
      <c r="N31" s="488">
        <f t="shared" si="4"/>
        <v>0</v>
      </c>
      <c r="O31" s="488">
        <f t="shared" si="4"/>
        <v>0</v>
      </c>
    </row>
    <row r="32" spans="2:15">
      <c r="B32" s="21">
        <v>23</v>
      </c>
      <c r="C32" s="487" t="s">
        <v>617</v>
      </c>
      <c r="D32" s="488">
        <f t="shared" si="5"/>
        <v>2.2295694</v>
      </c>
      <c r="E32" s="488">
        <f t="shared" si="5"/>
        <v>3.65176812</v>
      </c>
      <c r="F32" s="488">
        <f t="shared" si="5"/>
        <v>3.71495694</v>
      </c>
      <c r="G32" s="488">
        <f t="shared" si="5"/>
        <v>4.03895694</v>
      </c>
      <c r="H32" s="488">
        <f t="shared" si="5"/>
        <v>0</v>
      </c>
      <c r="I32" s="488">
        <f t="shared" si="5"/>
        <v>0</v>
      </c>
      <c r="J32" s="488">
        <f t="shared" si="5"/>
        <v>2.32</v>
      </c>
      <c r="K32" s="488">
        <f t="shared" si="4"/>
        <v>2.55740360994129</v>
      </c>
      <c r="L32" s="488">
        <f t="shared" si="4"/>
        <v>2.68020373425781</v>
      </c>
      <c r="M32" s="488">
        <f t="shared" si="4"/>
        <v>2.80890041337449</v>
      </c>
      <c r="N32" s="488">
        <f t="shared" si="4"/>
        <v>2.94377678510331</v>
      </c>
      <c r="O32" s="488">
        <f t="shared" si="4"/>
        <v>3.08512958282578</v>
      </c>
    </row>
    <row r="33" spans="2:15">
      <c r="B33" s="21">
        <v>24</v>
      </c>
      <c r="C33" s="487" t="s">
        <v>618</v>
      </c>
      <c r="D33" s="488">
        <f t="shared" si="5"/>
        <v>0.08747</v>
      </c>
      <c r="E33" s="488">
        <f t="shared" si="5"/>
        <v>0.07399925</v>
      </c>
      <c r="F33" s="488">
        <f t="shared" si="5"/>
        <v>0.044747</v>
      </c>
      <c r="G33" s="488">
        <f t="shared" si="5"/>
        <v>0.062747</v>
      </c>
      <c r="H33" s="488">
        <f t="shared" si="5"/>
        <v>0</v>
      </c>
      <c r="I33" s="488">
        <f t="shared" si="5"/>
        <v>0</v>
      </c>
      <c r="J33" s="488">
        <f t="shared" si="5"/>
        <v>0.11</v>
      </c>
      <c r="K33" s="488">
        <f t="shared" si="4"/>
        <v>0.121256205643768</v>
      </c>
      <c r="L33" s="488">
        <f t="shared" si="4"/>
        <v>0.127078625331189</v>
      </c>
      <c r="M33" s="488">
        <f t="shared" si="4"/>
        <v>0.133180623047928</v>
      </c>
      <c r="N33" s="488">
        <f t="shared" si="4"/>
        <v>0.139575623431623</v>
      </c>
      <c r="O33" s="488">
        <f t="shared" si="4"/>
        <v>0.146277695737429</v>
      </c>
    </row>
    <row r="34" spans="2:15">
      <c r="B34" s="21">
        <v>25</v>
      </c>
      <c r="C34" s="487" t="s">
        <v>619</v>
      </c>
      <c r="D34" s="488">
        <f t="shared" si="5"/>
        <v>0</v>
      </c>
      <c r="E34" s="488">
        <f t="shared" si="5"/>
        <v>0</v>
      </c>
      <c r="F34" s="488">
        <f t="shared" si="5"/>
        <v>0</v>
      </c>
      <c r="G34" s="488">
        <f t="shared" si="5"/>
        <v>1.782</v>
      </c>
      <c r="H34" s="488">
        <f t="shared" si="5"/>
        <v>0</v>
      </c>
      <c r="I34" s="488">
        <f t="shared" si="5"/>
        <v>0</v>
      </c>
      <c r="J34" s="488">
        <f t="shared" si="5"/>
        <v>2.41</v>
      </c>
      <c r="K34" s="488">
        <f t="shared" si="4"/>
        <v>2.65661323274074</v>
      </c>
      <c r="L34" s="488">
        <f t="shared" si="4"/>
        <v>2.78417715498332</v>
      </c>
      <c r="M34" s="488">
        <f t="shared" si="4"/>
        <v>2.91786637768643</v>
      </c>
      <c r="N34" s="488">
        <f t="shared" si="4"/>
        <v>3.05797502245646</v>
      </c>
      <c r="O34" s="488">
        <f t="shared" si="4"/>
        <v>3.20481133388367</v>
      </c>
    </row>
    <row r="35" spans="2:15">
      <c r="B35" s="21">
        <v>26</v>
      </c>
      <c r="C35" s="487" t="s">
        <v>620</v>
      </c>
      <c r="D35" s="488">
        <f t="shared" si="5"/>
        <v>5.7003685</v>
      </c>
      <c r="E35" s="488">
        <f t="shared" si="5"/>
        <v>5.36879248</v>
      </c>
      <c r="F35" s="488">
        <f t="shared" si="5"/>
        <v>3.69303685</v>
      </c>
      <c r="G35" s="488">
        <f t="shared" si="5"/>
        <v>9.18303685</v>
      </c>
      <c r="H35" s="488">
        <f t="shared" si="5"/>
        <v>0</v>
      </c>
      <c r="I35" s="488">
        <f t="shared" si="5"/>
        <v>0</v>
      </c>
      <c r="J35" s="488">
        <f t="shared" si="5"/>
        <v>13.45</v>
      </c>
      <c r="K35" s="488">
        <f t="shared" si="4"/>
        <v>14.8263269628062</v>
      </c>
      <c r="L35" s="488">
        <f t="shared" si="4"/>
        <v>15.5382500973136</v>
      </c>
      <c r="M35" s="488">
        <f t="shared" si="4"/>
        <v>16.2843579999512</v>
      </c>
      <c r="N35" s="488">
        <f t="shared" si="4"/>
        <v>17.0662921377757</v>
      </c>
      <c r="O35" s="488">
        <f t="shared" si="4"/>
        <v>17.8857727969857</v>
      </c>
    </row>
    <row r="36" spans="2:15">
      <c r="B36" s="21">
        <v>27</v>
      </c>
      <c r="C36" s="487" t="s">
        <v>621</v>
      </c>
      <c r="D36" s="488">
        <f t="shared" si="5"/>
        <v>5.4529457</v>
      </c>
      <c r="E36" s="488">
        <f t="shared" si="5"/>
        <v>3.70390613</v>
      </c>
      <c r="F36" s="488">
        <f t="shared" si="5"/>
        <v>4.19029457</v>
      </c>
      <c r="G36" s="488">
        <f t="shared" si="5"/>
        <v>5.60329457</v>
      </c>
      <c r="H36" s="488">
        <f t="shared" si="5"/>
        <v>0</v>
      </c>
      <c r="I36" s="488">
        <f t="shared" si="5"/>
        <v>0</v>
      </c>
      <c r="J36" s="488">
        <f t="shared" si="5"/>
        <v>7.51</v>
      </c>
      <c r="K36" s="488">
        <f t="shared" si="4"/>
        <v>8.27849185804272</v>
      </c>
      <c r="L36" s="488">
        <f t="shared" si="4"/>
        <v>8.67600432942936</v>
      </c>
      <c r="M36" s="488">
        <f t="shared" si="4"/>
        <v>9.0926043553631</v>
      </c>
      <c r="N36" s="488">
        <f t="shared" si="4"/>
        <v>9.52920847246805</v>
      </c>
      <c r="O36" s="488">
        <f t="shared" si="4"/>
        <v>9.98677722716448</v>
      </c>
    </row>
    <row r="37" spans="2:15">
      <c r="B37" s="21">
        <v>28</v>
      </c>
      <c r="C37" s="487" t="s">
        <v>440</v>
      </c>
      <c r="D37" s="488">
        <f t="shared" si="5"/>
        <v>1.8815399</v>
      </c>
      <c r="E37" s="488">
        <f t="shared" si="5"/>
        <v>1.02851027</v>
      </c>
      <c r="F37" s="488">
        <f t="shared" si="5"/>
        <v>1.12415399</v>
      </c>
      <c r="G37" s="488">
        <f t="shared" si="5"/>
        <v>0.52115399</v>
      </c>
      <c r="H37" s="488">
        <f t="shared" si="5"/>
        <v>0</v>
      </c>
      <c r="I37" s="488">
        <f t="shared" si="5"/>
        <v>0</v>
      </c>
      <c r="J37" s="488">
        <f t="shared" si="5"/>
        <v>2.41</v>
      </c>
      <c r="K37" s="488">
        <f t="shared" si="4"/>
        <v>2.65661323274074</v>
      </c>
      <c r="L37" s="488">
        <f t="shared" si="4"/>
        <v>2.78417715498332</v>
      </c>
      <c r="M37" s="488">
        <f t="shared" si="4"/>
        <v>2.91786637768643</v>
      </c>
      <c r="N37" s="488">
        <f t="shared" si="4"/>
        <v>3.05797502245646</v>
      </c>
      <c r="O37" s="488">
        <f t="shared" si="4"/>
        <v>3.20481133388367</v>
      </c>
    </row>
    <row r="38" ht="15" spans="2:15">
      <c r="B38" s="21">
        <v>29</v>
      </c>
      <c r="C38" s="491" t="s">
        <v>622</v>
      </c>
      <c r="D38" s="492">
        <f>SUM(D10:D37)</f>
        <v>158.6552551</v>
      </c>
      <c r="E38" s="492">
        <f t="shared" ref="E38:J38" si="6">SUM(E10:E37)</f>
        <v>150.44934238</v>
      </c>
      <c r="F38" s="492">
        <f t="shared" si="6"/>
        <v>130.46252551</v>
      </c>
      <c r="G38" s="492">
        <f t="shared" si="6"/>
        <v>169.95452551</v>
      </c>
      <c r="H38" s="492">
        <f t="shared" si="6"/>
        <v>0</v>
      </c>
      <c r="I38" s="492">
        <f t="shared" si="6"/>
        <v>0</v>
      </c>
      <c r="J38" s="492">
        <f t="shared" si="6"/>
        <v>170.08</v>
      </c>
      <c r="K38" s="492">
        <f>'[55]O&amp;M Projections New Methodology'!J6</f>
        <v>187.48414050811</v>
      </c>
      <c r="L38" s="492">
        <f>'[55]O&amp;M Projections New Methodology'!K6</f>
        <v>196.486659966624</v>
      </c>
      <c r="M38" s="492">
        <f>'[55]O&amp;M Projections New Methodology'!L6</f>
        <v>205.921457890833</v>
      </c>
      <c r="N38" s="492">
        <f>'[55]O&amp;M Projections New Methodology'!M6</f>
        <v>215.809291211367</v>
      </c>
      <c r="O38" s="492">
        <f>'[55]O&amp;M Projections New Methodology'!N6</f>
        <v>226.171913554745</v>
      </c>
    </row>
    <row r="39" ht="15" spans="2:15">
      <c r="B39" s="21">
        <v>30</v>
      </c>
      <c r="C39" s="354" t="s">
        <v>592</v>
      </c>
      <c r="D39" s="497"/>
      <c r="E39" s="497"/>
      <c r="F39" s="497"/>
      <c r="G39" s="497"/>
      <c r="H39" s="497"/>
      <c r="I39" s="497"/>
      <c r="J39" s="497">
        <f>J76+J113</f>
        <v>18.07</v>
      </c>
      <c r="K39" s="497">
        <f t="shared" ref="K39:O39" si="7">K76+K113</f>
        <v>19.9190875998445</v>
      </c>
      <c r="L39" s="497">
        <f t="shared" si="7"/>
        <v>20.8755523612235</v>
      </c>
      <c r="M39" s="497">
        <f t="shared" si="7"/>
        <v>21.8779441679642</v>
      </c>
      <c r="N39" s="497">
        <f t="shared" si="7"/>
        <v>22.9284683219038</v>
      </c>
      <c r="O39" s="497">
        <f t="shared" si="7"/>
        <v>24.0294360179577</v>
      </c>
    </row>
    <row r="40" ht="15" spans="2:15">
      <c r="B40" s="21">
        <v>31</v>
      </c>
      <c r="C40" s="19" t="s">
        <v>623</v>
      </c>
      <c r="D40" s="30">
        <f>D38-D39</f>
        <v>158.6552551</v>
      </c>
      <c r="E40" s="30">
        <f t="shared" ref="E40:O40" si="8">E38-E39</f>
        <v>150.44934238</v>
      </c>
      <c r="F40" s="30">
        <f t="shared" si="8"/>
        <v>130.46252551</v>
      </c>
      <c r="G40" s="30">
        <f t="shared" si="8"/>
        <v>169.95452551</v>
      </c>
      <c r="H40" s="30">
        <f t="shared" si="8"/>
        <v>0</v>
      </c>
      <c r="I40" s="30">
        <f t="shared" si="8"/>
        <v>0</v>
      </c>
      <c r="J40" s="30">
        <f t="shared" si="8"/>
        <v>152.01</v>
      </c>
      <c r="K40" s="30">
        <f t="shared" si="8"/>
        <v>167.565052908266</v>
      </c>
      <c r="L40" s="30">
        <f t="shared" si="8"/>
        <v>175.6111076054</v>
      </c>
      <c r="M40" s="30">
        <f t="shared" si="8"/>
        <v>184.043513722869</v>
      </c>
      <c r="N40" s="30">
        <f t="shared" si="8"/>
        <v>192.880822889463</v>
      </c>
      <c r="O40" s="30">
        <f t="shared" si="8"/>
        <v>202.142477536787</v>
      </c>
    </row>
    <row r="42" ht="15" spans="2:2">
      <c r="B42" s="34" t="s">
        <v>765</v>
      </c>
    </row>
    <row r="43" ht="15" spans="15:15">
      <c r="O43" s="33" t="s">
        <v>109</v>
      </c>
    </row>
    <row r="44" ht="12.75" customHeight="1" spans="2:15">
      <c r="B44" s="5" t="s">
        <v>3</v>
      </c>
      <c r="C44" s="6" t="s">
        <v>110</v>
      </c>
      <c r="D44" s="5" t="s">
        <v>565</v>
      </c>
      <c r="E44" s="5" t="s">
        <v>566</v>
      </c>
      <c r="F44" s="5" t="s">
        <v>567</v>
      </c>
      <c r="G44" s="5" t="s">
        <v>112</v>
      </c>
      <c r="H44" s="5" t="s">
        <v>760</v>
      </c>
      <c r="I44" s="5"/>
      <c r="J44" s="5"/>
      <c r="K44" s="135" t="s">
        <v>114</v>
      </c>
      <c r="L44" s="135"/>
      <c r="M44" s="135"/>
      <c r="N44" s="135"/>
      <c r="O44" s="135"/>
    </row>
    <row r="45" ht="15" spans="2:15">
      <c r="B45" s="5"/>
      <c r="C45" s="6"/>
      <c r="D45" s="5" t="s">
        <v>237</v>
      </c>
      <c r="E45" s="5" t="s">
        <v>237</v>
      </c>
      <c r="F45" s="5" t="s">
        <v>237</v>
      </c>
      <c r="G45" s="5" t="s">
        <v>237</v>
      </c>
      <c r="H45" s="5" t="s">
        <v>119</v>
      </c>
      <c r="I45" s="5" t="s">
        <v>120</v>
      </c>
      <c r="J45" s="5" t="s">
        <v>238</v>
      </c>
      <c r="K45" s="5" t="s">
        <v>514</v>
      </c>
      <c r="L45" s="5" t="s">
        <v>515</v>
      </c>
      <c r="M45" s="5" t="s">
        <v>516</v>
      </c>
      <c r="N45" s="5" t="s">
        <v>517</v>
      </c>
      <c r="O45" s="5" t="s">
        <v>518</v>
      </c>
    </row>
    <row r="46" ht="15" spans="2:15">
      <c r="B46" s="5"/>
      <c r="C46" s="6"/>
      <c r="D46" s="5" t="s">
        <v>128</v>
      </c>
      <c r="E46" s="5" t="s">
        <v>128</v>
      </c>
      <c r="F46" s="5" t="s">
        <v>128</v>
      </c>
      <c r="G46" s="5" t="s">
        <v>128</v>
      </c>
      <c r="H46" s="5" t="s">
        <v>130</v>
      </c>
      <c r="I46" s="5" t="s">
        <v>131</v>
      </c>
      <c r="J46" s="5" t="s">
        <v>128</v>
      </c>
      <c r="K46" s="5" t="s">
        <v>132</v>
      </c>
      <c r="L46" s="5" t="s">
        <v>132</v>
      </c>
      <c r="M46" s="5" t="s">
        <v>132</v>
      </c>
      <c r="N46" s="5" t="s">
        <v>132</v>
      </c>
      <c r="O46" s="5" t="s">
        <v>132</v>
      </c>
    </row>
    <row r="47" spans="2:15">
      <c r="B47" s="21">
        <v>1</v>
      </c>
      <c r="C47" s="976" t="s">
        <v>595</v>
      </c>
      <c r="D47" s="488">
        <f>VLOOKUP(B47,'[57]2b'!$B$4:$H$34,3,0)*90%</f>
        <v>4.72487085</v>
      </c>
      <c r="E47" s="488">
        <f>VLOOKUP(B47,'[57]2b'!$B$4:$H$34,4,0)*90%</f>
        <v>3.60227889</v>
      </c>
      <c r="F47" s="488">
        <f>VLOOKUP(B47,'[57]2b'!$B$4:$H$34,5,0)*90%</f>
        <v>3.807</v>
      </c>
      <c r="G47" s="488">
        <f>VLOOKUP(B47,'[57]2b'!$B$4:$H$34,6,0)*90%</f>
        <v>4.995</v>
      </c>
      <c r="H47" s="21"/>
      <c r="I47" s="21"/>
      <c r="J47" s="488">
        <f>VLOOKUP(B47,'[57]2b'!$B$4:$H$34,7,0)*90%</f>
        <v>4.653</v>
      </c>
      <c r="K47" s="488">
        <f>90%*K10</f>
        <v>5.12913749873139</v>
      </c>
      <c r="L47" s="488">
        <f t="shared" ref="L47:O47" si="9">90%*L10</f>
        <v>5.3754258515093</v>
      </c>
      <c r="M47" s="488">
        <f t="shared" si="9"/>
        <v>5.63354035492736</v>
      </c>
      <c r="N47" s="488">
        <f t="shared" si="9"/>
        <v>5.90404887115764</v>
      </c>
      <c r="O47" s="488">
        <f t="shared" si="9"/>
        <v>6.18754652969325</v>
      </c>
    </row>
    <row r="48" spans="2:15">
      <c r="B48" s="21">
        <v>2</v>
      </c>
      <c r="C48" s="487" t="s">
        <v>596</v>
      </c>
      <c r="D48" s="488">
        <f>VLOOKUP(B48,'[57]2b'!$B$4:$H$34,3,0)*90%</f>
        <v>0.03637269</v>
      </c>
      <c r="E48" s="488">
        <f>VLOOKUP(B48,'[57]2b'!$B$4:$H$34,4,0)*90%</f>
        <v>0.19695447</v>
      </c>
      <c r="F48" s="488">
        <f>VLOOKUP(B48,'[57]2b'!$B$4:$H$34,5,0)*90%</f>
        <v>0.324</v>
      </c>
      <c r="G48" s="488">
        <f>VLOOKUP(B48,'[57]2b'!$B$4:$H$34,6,0)*90%</f>
        <v>0.27</v>
      </c>
      <c r="H48" s="21"/>
      <c r="I48" s="21"/>
      <c r="J48" s="488">
        <f>VLOOKUP(B48,'[57]2b'!$B$4:$H$34,7,0)*90%</f>
        <v>0.351</v>
      </c>
      <c r="K48" s="488">
        <f>90%*K11</f>
        <v>0.386917528917842</v>
      </c>
      <c r="L48" s="488">
        <f t="shared" ref="K48:O63" si="10">90%*L11</f>
        <v>0.405496340829521</v>
      </c>
      <c r="M48" s="488">
        <f t="shared" si="10"/>
        <v>0.424967260816571</v>
      </c>
      <c r="N48" s="488">
        <f t="shared" si="10"/>
        <v>0.445373125677268</v>
      </c>
      <c r="O48" s="488">
        <f t="shared" si="10"/>
        <v>0.466758829125797</v>
      </c>
    </row>
    <row r="49" spans="2:15">
      <c r="B49" s="21">
        <v>3</v>
      </c>
      <c r="C49" s="487" t="s">
        <v>597</v>
      </c>
      <c r="D49" s="488">
        <f>VLOOKUP(B49,'[57]2b'!$B$4:$H$34,3,0)*90%</f>
        <v>2.01207654</v>
      </c>
      <c r="E49" s="488">
        <f>VLOOKUP(B49,'[57]2b'!$B$4:$H$34,4,0)*90%</f>
        <v>2.08655028</v>
      </c>
      <c r="F49" s="488">
        <f>VLOOKUP(B49,'[57]2b'!$B$4:$H$34,5,0)*90%</f>
        <v>2.268</v>
      </c>
      <c r="G49" s="488">
        <f>VLOOKUP(B49,'[57]2b'!$B$4:$H$34,6,0)*90%</f>
        <v>2.196</v>
      </c>
      <c r="H49" s="21"/>
      <c r="I49" s="21"/>
      <c r="J49" s="488">
        <f>VLOOKUP(B49,'[57]2b'!$B$4:$H$34,7,0)*90%</f>
        <v>2.223</v>
      </c>
      <c r="K49" s="488">
        <f>90%*K12</f>
        <v>2.45047768314633</v>
      </c>
      <c r="L49" s="488">
        <f t="shared" si="10"/>
        <v>2.5681434919203</v>
      </c>
      <c r="M49" s="488">
        <f t="shared" si="10"/>
        <v>2.69145931850495</v>
      </c>
      <c r="N49" s="488">
        <f t="shared" si="10"/>
        <v>2.8206964626227</v>
      </c>
      <c r="O49" s="488">
        <f t="shared" si="10"/>
        <v>2.95613925113004</v>
      </c>
    </row>
    <row r="50" spans="2:15">
      <c r="B50" s="21">
        <v>4</v>
      </c>
      <c r="C50" s="487" t="s">
        <v>598</v>
      </c>
      <c r="D50" s="488">
        <f>VLOOKUP(B50,'[57]2b'!$B$4:$H$34,3,0)*90%</f>
        <v>1.8696141</v>
      </c>
      <c r="E50" s="488">
        <f>VLOOKUP(B50,'[57]2b'!$B$4:$H$34,4,0)*90%</f>
        <v>1.74016692</v>
      </c>
      <c r="F50" s="488">
        <f>VLOOKUP(B50,'[57]2b'!$B$4:$H$34,5,0)*90%</f>
        <v>0.927</v>
      </c>
      <c r="G50" s="488">
        <f>VLOOKUP(B50,'[57]2b'!$B$4:$H$34,6,0)*90%</f>
        <v>1.899</v>
      </c>
      <c r="H50" s="21"/>
      <c r="I50" s="21"/>
      <c r="J50" s="488">
        <f>VLOOKUP(B50,'[57]2b'!$B$4:$H$34,7,0)*90%</f>
        <v>2.952</v>
      </c>
      <c r="K50" s="488">
        <f>90%*K13</f>
        <v>3.25407562782185</v>
      </c>
      <c r="L50" s="488">
        <f t="shared" si="10"/>
        <v>3.410328199797</v>
      </c>
      <c r="M50" s="488">
        <f t="shared" si="10"/>
        <v>3.57408362943167</v>
      </c>
      <c r="N50" s="488">
        <f t="shared" si="10"/>
        <v>3.74570218518318</v>
      </c>
      <c r="O50" s="488">
        <f t="shared" si="10"/>
        <v>3.92556143469901</v>
      </c>
    </row>
    <row r="51" spans="2:15">
      <c r="B51" s="21">
        <v>5</v>
      </c>
      <c r="C51" s="487" t="s">
        <v>599</v>
      </c>
      <c r="D51" s="488">
        <f>VLOOKUP(B51,'[57]2b'!$B$4:$H$34,3,0)*90%</f>
        <v>33.6090627</v>
      </c>
      <c r="E51" s="488">
        <f>VLOOKUP(B51,'[57]2b'!$B$4:$H$34,4,0)*90%</f>
        <v>29.03605902</v>
      </c>
      <c r="F51" s="488">
        <f>VLOOKUP(B51,'[57]2b'!$B$4:$H$34,5,0)*90%</f>
        <v>32.571</v>
      </c>
      <c r="G51" s="488">
        <f>VLOOKUP(B51,'[57]2b'!$B$4:$H$34,6,0)*90%</f>
        <v>42.309</v>
      </c>
      <c r="H51" s="21"/>
      <c r="I51" s="21"/>
      <c r="J51" s="488">
        <f>VLOOKUP(B51,'[57]2b'!$B$4:$H$34,7,0)*90%</f>
        <v>44.424</v>
      </c>
      <c r="K51" s="488">
        <f>90%*K14</f>
        <v>48.9698698138069</v>
      </c>
      <c r="L51" s="488">
        <f t="shared" si="10"/>
        <v>51.3212804701158</v>
      </c>
      <c r="M51" s="488">
        <f t="shared" si="10"/>
        <v>53.7855999843742</v>
      </c>
      <c r="N51" s="488">
        <f t="shared" si="10"/>
        <v>56.3682499575127</v>
      </c>
      <c r="O51" s="488">
        <f t="shared" si="10"/>
        <v>59.0749123221777</v>
      </c>
    </row>
    <row r="52" spans="2:15">
      <c r="B52" s="21">
        <v>6</v>
      </c>
      <c r="C52" s="487" t="s">
        <v>600</v>
      </c>
      <c r="D52" s="488">
        <f>VLOOKUP(B52,'[57]2b'!$B$4:$H$34,3,0)*90%</f>
        <v>18.10478709</v>
      </c>
      <c r="E52" s="488">
        <f>VLOOKUP(B52,'[57]2b'!$B$4:$H$34,4,0)*90%</f>
        <v>15.885288</v>
      </c>
      <c r="F52" s="488">
        <f>VLOOKUP(B52,'[57]2b'!$B$4:$H$34,5,0)*90%</f>
        <v>24.93</v>
      </c>
      <c r="G52" s="488">
        <f>VLOOKUP(B52,'[57]2b'!$B$4:$H$34,6,0)*90%</f>
        <v>25.47</v>
      </c>
      <c r="H52" s="21"/>
      <c r="I52" s="21"/>
      <c r="J52" s="488">
        <f>VLOOKUP(B52,'[57]2b'!$B$4:$H$34,7,0)*90%</f>
        <v>23.112</v>
      </c>
      <c r="K52" s="488">
        <f t="shared" si="10"/>
        <v>25.4770311348979</v>
      </c>
      <c r="L52" s="488">
        <f t="shared" si="10"/>
        <v>26.7003744423131</v>
      </c>
      <c r="M52" s="488">
        <f t="shared" si="10"/>
        <v>27.9824596353065</v>
      </c>
      <c r="N52" s="488">
        <f t="shared" si="10"/>
        <v>29.3261073522878</v>
      </c>
      <c r="O52" s="488">
        <f t="shared" si="10"/>
        <v>30.7342736716678</v>
      </c>
    </row>
    <row r="53" spans="2:15">
      <c r="B53" s="21">
        <v>7</v>
      </c>
      <c r="C53" s="487" t="s">
        <v>601</v>
      </c>
      <c r="D53" s="488">
        <f>VLOOKUP(B53,'[57]2b'!$B$4:$H$34,3,0)*90%</f>
        <v>7.37161524</v>
      </c>
      <c r="E53" s="488">
        <f>VLOOKUP(B53,'[57]2b'!$B$4:$H$34,4,0)*90%</f>
        <v>6.89137038</v>
      </c>
      <c r="F53" s="488">
        <f>VLOOKUP(B53,'[57]2b'!$B$4:$H$34,5,0)*90%</f>
        <v>6.921</v>
      </c>
      <c r="G53" s="488">
        <f>VLOOKUP(B53,'[57]2b'!$B$4:$H$34,6,0)*90%</f>
        <v>11.673</v>
      </c>
      <c r="H53" s="21"/>
      <c r="I53" s="21"/>
      <c r="J53" s="488">
        <f>VLOOKUP(B53,'[57]2b'!$B$4:$H$34,7,0)*90%</f>
        <v>7.938</v>
      </c>
      <c r="K53" s="488">
        <f t="shared" si="10"/>
        <v>8.7502887309112</v>
      </c>
      <c r="L53" s="488">
        <f t="shared" si="10"/>
        <v>9.17045570799072</v>
      </c>
      <c r="M53" s="488">
        <f t="shared" si="10"/>
        <v>9.61079805231322</v>
      </c>
      <c r="N53" s="488">
        <f t="shared" si="10"/>
        <v>10.0722845345475</v>
      </c>
      <c r="O53" s="488">
        <f t="shared" si="10"/>
        <v>10.5559304433065</v>
      </c>
    </row>
    <row r="54" spans="2:15">
      <c r="B54" s="21">
        <v>8</v>
      </c>
      <c r="C54" s="487" t="s">
        <v>602</v>
      </c>
      <c r="D54" s="488">
        <f>VLOOKUP(B54,'[57]2b'!$B$4:$H$34,3,0)*90%</f>
        <v>0.74396403</v>
      </c>
      <c r="E54" s="488">
        <f>VLOOKUP(B54,'[57]2b'!$B$4:$H$34,4,0)*90%</f>
        <v>1.01833308</v>
      </c>
      <c r="F54" s="488">
        <f>VLOOKUP(B54,'[57]2b'!$B$4:$H$34,5,0)*90%</f>
        <v>0.459</v>
      </c>
      <c r="G54" s="488">
        <f>VLOOKUP(B54,'[57]2b'!$B$4:$H$34,6,0)*90%</f>
        <v>0.594</v>
      </c>
      <c r="H54" s="21"/>
      <c r="I54" s="21"/>
      <c r="J54" s="488">
        <f>VLOOKUP(B54,'[57]2b'!$B$4:$H$34,7,0)*90%</f>
        <v>0.459</v>
      </c>
      <c r="K54" s="488">
        <f t="shared" si="10"/>
        <v>0.505969076277178</v>
      </c>
      <c r="L54" s="488">
        <f t="shared" si="10"/>
        <v>0.530264445700143</v>
      </c>
      <c r="M54" s="488">
        <f t="shared" si="10"/>
        <v>0.5557264179909</v>
      </c>
      <c r="N54" s="488">
        <f t="shared" si="10"/>
        <v>0.582411010501043</v>
      </c>
      <c r="O54" s="488">
        <f t="shared" si="10"/>
        <v>0.610376930395272</v>
      </c>
    </row>
    <row r="55" spans="2:15">
      <c r="B55" s="21">
        <v>9</v>
      </c>
      <c r="C55" s="487" t="s">
        <v>603</v>
      </c>
      <c r="D55" s="488">
        <f>VLOOKUP(B55,'[57]2b'!$B$4:$H$34,3,0)*90%</f>
        <v>0.2567952</v>
      </c>
      <c r="E55" s="488">
        <f>VLOOKUP(B55,'[57]2b'!$B$4:$H$34,4,0)*90%</f>
        <v>0.26415963</v>
      </c>
      <c r="F55" s="488">
        <f>VLOOKUP(B55,'[57]2b'!$B$4:$H$34,5,0)*90%</f>
        <v>0.288</v>
      </c>
      <c r="G55" s="488">
        <f>VLOOKUP(B55,'[57]2b'!$B$4:$H$34,6,0)*90%</f>
        <v>0.333</v>
      </c>
      <c r="H55" s="21"/>
      <c r="I55" s="21"/>
      <c r="J55" s="488">
        <f>VLOOKUP(B55,'[57]2b'!$B$4:$H$34,7,0)*90%</f>
        <v>0.306</v>
      </c>
      <c r="K55" s="488">
        <f t="shared" si="10"/>
        <v>0.337312717518119</v>
      </c>
      <c r="L55" s="488">
        <f t="shared" si="10"/>
        <v>0.353509630466762</v>
      </c>
      <c r="M55" s="488">
        <f t="shared" si="10"/>
        <v>0.3704842786606</v>
      </c>
      <c r="N55" s="488">
        <f t="shared" si="10"/>
        <v>0.388274007000696</v>
      </c>
      <c r="O55" s="488">
        <f t="shared" si="10"/>
        <v>0.406917953596848</v>
      </c>
    </row>
    <row r="56" spans="2:15">
      <c r="B56" s="21">
        <v>10</v>
      </c>
      <c r="C56" s="487" t="s">
        <v>604</v>
      </c>
      <c r="D56" s="488">
        <f>VLOOKUP(B56,'[57]2b'!$B$4:$H$34,3,0)*90%</f>
        <v>0.50544639</v>
      </c>
      <c r="E56" s="488">
        <f>VLOOKUP(B56,'[57]2b'!$B$4:$H$34,4,0)*90%</f>
        <v>0.38666043</v>
      </c>
      <c r="F56" s="488">
        <f>VLOOKUP(B56,'[57]2b'!$B$4:$H$34,5,0)*90%</f>
        <v>0.225</v>
      </c>
      <c r="G56" s="488">
        <f>VLOOKUP(B56,'[57]2b'!$B$4:$H$34,6,0)*90%</f>
        <v>0.873</v>
      </c>
      <c r="H56" s="21"/>
      <c r="I56" s="21"/>
      <c r="J56" s="488">
        <f>VLOOKUP(B56,'[57]2b'!$B$4:$H$34,7,0)*90%</f>
        <v>1.458</v>
      </c>
      <c r="K56" s="488">
        <f t="shared" si="10"/>
        <v>1.60719588935104</v>
      </c>
      <c r="L56" s="488">
        <f t="shared" si="10"/>
        <v>1.6843694157534</v>
      </c>
      <c r="M56" s="488">
        <f t="shared" si="10"/>
        <v>1.76524862185345</v>
      </c>
      <c r="N56" s="488">
        <f t="shared" si="10"/>
        <v>1.85001144512096</v>
      </c>
      <c r="O56" s="488">
        <f t="shared" si="10"/>
        <v>1.93884436713792</v>
      </c>
    </row>
    <row r="57" spans="2:15">
      <c r="B57" s="21">
        <v>11</v>
      </c>
      <c r="C57" s="487" t="s">
        <v>605</v>
      </c>
      <c r="D57" s="488">
        <f>VLOOKUP(B57,'[57]2b'!$B$4:$H$34,3,0)*90%</f>
        <v>0.04550463</v>
      </c>
      <c r="E57" s="488">
        <f>VLOOKUP(B57,'[57]2b'!$B$4:$H$34,4,0)*90%</f>
        <v>0.08150967</v>
      </c>
      <c r="F57" s="488">
        <f>VLOOKUP(B57,'[57]2b'!$B$4:$H$34,5,0)*90%</f>
        <v>0.054</v>
      </c>
      <c r="G57" s="488">
        <f>VLOOKUP(B57,'[57]2b'!$B$4:$H$34,6,0)*90%</f>
        <v>0.126</v>
      </c>
      <c r="H57" s="21"/>
      <c r="I57" s="21"/>
      <c r="J57" s="488">
        <f>VLOOKUP(B57,'[57]2b'!$B$4:$H$34,7,0)*90%</f>
        <v>0.081</v>
      </c>
      <c r="K57" s="488">
        <f t="shared" si="10"/>
        <v>0.089288660519502</v>
      </c>
      <c r="L57" s="488">
        <f t="shared" si="10"/>
        <v>0.0935760786529665</v>
      </c>
      <c r="M57" s="488">
        <f t="shared" si="10"/>
        <v>0.0980693678807471</v>
      </c>
      <c r="N57" s="488">
        <f t="shared" si="10"/>
        <v>0.102778413617831</v>
      </c>
      <c r="O57" s="488">
        <f t="shared" si="10"/>
        <v>0.107713575952107</v>
      </c>
    </row>
    <row r="58" spans="2:15">
      <c r="B58" s="21">
        <v>12</v>
      </c>
      <c r="C58" s="487" t="s">
        <v>606</v>
      </c>
      <c r="D58" s="488">
        <f>VLOOKUP(B58,'[57]2b'!$B$4:$H$34,3,0)*90%</f>
        <v>0</v>
      </c>
      <c r="E58" s="488">
        <f>VLOOKUP(B58,'[57]2b'!$B$4:$H$34,4,0)*90%</f>
        <v>0</v>
      </c>
      <c r="F58" s="488">
        <f>VLOOKUP(B58,'[57]2b'!$B$4:$H$34,5,0)*90%</f>
        <v>0</v>
      </c>
      <c r="G58" s="488">
        <f>VLOOKUP(B58,'[57]2b'!$B$4:$H$34,6,0)*90%</f>
        <v>0</v>
      </c>
      <c r="H58" s="21"/>
      <c r="I58" s="21"/>
      <c r="J58" s="488">
        <f>VLOOKUP(B58,'[57]2b'!$B$4:$H$34,7,0)*90%</f>
        <v>0</v>
      </c>
      <c r="K58" s="488">
        <f t="shared" si="10"/>
        <v>0</v>
      </c>
      <c r="L58" s="488">
        <f t="shared" si="10"/>
        <v>0</v>
      </c>
      <c r="M58" s="488">
        <f t="shared" si="10"/>
        <v>0</v>
      </c>
      <c r="N58" s="488">
        <f t="shared" si="10"/>
        <v>0</v>
      </c>
      <c r="O58" s="488">
        <f t="shared" si="10"/>
        <v>0</v>
      </c>
    </row>
    <row r="59" spans="2:15">
      <c r="B59" s="21">
        <v>13</v>
      </c>
      <c r="C59" s="487" t="s">
        <v>607</v>
      </c>
      <c r="D59" s="488">
        <f>VLOOKUP(B59,'[57]2b'!$B$4:$H$34,3,0)*90%</f>
        <v>6.08013297</v>
      </c>
      <c r="E59" s="488">
        <f>VLOOKUP(B59,'[57]2b'!$B$4:$H$34,4,0)*90%</f>
        <v>4.28656509</v>
      </c>
      <c r="F59" s="488">
        <f>VLOOKUP(B59,'[57]2b'!$B$4:$H$34,5,0)*90%</f>
        <v>5.976</v>
      </c>
      <c r="G59" s="488">
        <f>VLOOKUP(B59,'[57]2b'!$B$4:$H$34,6,0)*90%</f>
        <v>6.165</v>
      </c>
      <c r="H59" s="21"/>
      <c r="I59" s="21"/>
      <c r="J59" s="488">
        <f>VLOOKUP(B59,'[57]2b'!$B$4:$H$34,7,0)*90%</f>
        <v>8.982</v>
      </c>
      <c r="K59" s="488">
        <f t="shared" si="10"/>
        <v>9.90112035538478</v>
      </c>
      <c r="L59" s="488">
        <f t="shared" si="10"/>
        <v>10.3765473884067</v>
      </c>
      <c r="M59" s="488">
        <f t="shared" si="10"/>
        <v>10.8748032383317</v>
      </c>
      <c r="N59" s="488">
        <f t="shared" si="10"/>
        <v>11.3969840878439</v>
      </c>
      <c r="O59" s="488">
        <f t="shared" si="10"/>
        <v>11.9442387555781</v>
      </c>
    </row>
    <row r="60" spans="2:15">
      <c r="B60" s="21">
        <v>14</v>
      </c>
      <c r="C60" s="487" t="s">
        <v>608</v>
      </c>
      <c r="D60" s="488">
        <f>VLOOKUP(B60,'[57]2b'!$B$4:$H$34,3,0)*90%</f>
        <v>1.58122053</v>
      </c>
      <c r="E60" s="488">
        <f>VLOOKUP(B60,'[57]2b'!$B$4:$H$34,4,0)*90%</f>
        <v>0.41023233</v>
      </c>
      <c r="F60" s="488">
        <f>VLOOKUP(B60,'[57]2b'!$B$4:$H$34,5,0)*90%</f>
        <v>1.143</v>
      </c>
      <c r="G60" s="488">
        <f>VLOOKUP(B60,'[57]2b'!$B$4:$H$34,6,0)*90%</f>
        <v>1.827</v>
      </c>
      <c r="H60" s="21"/>
      <c r="I60" s="21"/>
      <c r="J60" s="488">
        <f>VLOOKUP(B60,'[57]2b'!$B$4:$H$34,7,0)*90%</f>
        <v>1.305</v>
      </c>
      <c r="K60" s="488">
        <f t="shared" si="10"/>
        <v>1.43853953059198</v>
      </c>
      <c r="L60" s="488">
        <f t="shared" si="10"/>
        <v>1.50761460052002</v>
      </c>
      <c r="M60" s="488">
        <f t="shared" si="10"/>
        <v>1.58000648252315</v>
      </c>
      <c r="N60" s="488">
        <f t="shared" si="10"/>
        <v>1.65587444162061</v>
      </c>
      <c r="O60" s="488">
        <f t="shared" si="10"/>
        <v>1.7353853903395</v>
      </c>
    </row>
    <row r="61" spans="2:15">
      <c r="B61" s="21">
        <v>15</v>
      </c>
      <c r="C61" s="487" t="s">
        <v>609</v>
      </c>
      <c r="D61" s="488">
        <f>VLOOKUP(B61,'[57]2b'!$B$4:$H$34,3,0)*90%</f>
        <v>0</v>
      </c>
      <c r="E61" s="488">
        <f>VLOOKUP(B61,'[57]2b'!$B$4:$H$34,4,0)*90%</f>
        <v>0</v>
      </c>
      <c r="F61" s="488">
        <f>VLOOKUP(B61,'[57]2b'!$B$4:$H$34,5,0)*90%</f>
        <v>0</v>
      </c>
      <c r="G61" s="488">
        <f>VLOOKUP(B61,'[57]2b'!$B$4:$H$34,6,0)*90%</f>
        <v>0</v>
      </c>
      <c r="H61" s="21"/>
      <c r="I61" s="21"/>
      <c r="J61" s="488">
        <f>VLOOKUP(B61,'[57]2b'!$B$4:$H$34,7,0)*90%</f>
        <v>0</v>
      </c>
      <c r="K61" s="488">
        <f t="shared" si="10"/>
        <v>0</v>
      </c>
      <c r="L61" s="488">
        <f t="shared" si="10"/>
        <v>0</v>
      </c>
      <c r="M61" s="488">
        <f t="shared" si="10"/>
        <v>0</v>
      </c>
      <c r="N61" s="488">
        <f t="shared" si="10"/>
        <v>0</v>
      </c>
      <c r="O61" s="488">
        <f t="shared" si="10"/>
        <v>0</v>
      </c>
    </row>
    <row r="62" spans="2:15">
      <c r="B62" s="21">
        <v>16</v>
      </c>
      <c r="C62" s="976" t="s">
        <v>610</v>
      </c>
      <c r="D62" s="488">
        <f>VLOOKUP(B62,'[57]2b'!$B$4:$H$34,3,0)*90%</f>
        <v>0</v>
      </c>
      <c r="E62" s="488">
        <f>VLOOKUP(B62,'[57]2b'!$B$4:$H$34,4,0)*90%</f>
        <v>0</v>
      </c>
      <c r="F62" s="488">
        <f>VLOOKUP(B62,'[57]2b'!$B$4:$H$34,5,0)*90%</f>
        <v>0</v>
      </c>
      <c r="G62" s="488">
        <f>VLOOKUP(B62,'[57]2b'!$B$4:$H$34,6,0)*90%</f>
        <v>0</v>
      </c>
      <c r="H62" s="21"/>
      <c r="I62" s="21"/>
      <c r="J62" s="488">
        <f>VLOOKUP(B62,'[57]2b'!$B$4:$H$34,7,0)*90%</f>
        <v>0</v>
      </c>
      <c r="K62" s="488">
        <f t="shared" si="10"/>
        <v>0</v>
      </c>
      <c r="L62" s="488">
        <f t="shared" si="10"/>
        <v>0</v>
      </c>
      <c r="M62" s="488">
        <f t="shared" si="10"/>
        <v>0</v>
      </c>
      <c r="N62" s="488">
        <f t="shared" si="10"/>
        <v>0</v>
      </c>
      <c r="O62" s="488">
        <f t="shared" si="10"/>
        <v>0</v>
      </c>
    </row>
    <row r="63" spans="2:15">
      <c r="B63" s="21">
        <v>17</v>
      </c>
      <c r="C63" s="976" t="s">
        <v>611</v>
      </c>
      <c r="D63" s="488">
        <f>VLOOKUP(B63,'[57]2b'!$B$4:$H$34,3,0)*90%</f>
        <v>5.3388639</v>
      </c>
      <c r="E63" s="488">
        <f>VLOOKUP(B63,'[57]2b'!$B$4:$H$34,4,0)*90%</f>
        <v>5.3388639</v>
      </c>
      <c r="F63" s="488">
        <f>VLOOKUP(B63,'[57]2b'!$B$4:$H$34,5,0)*90%</f>
        <v>5.337</v>
      </c>
      <c r="G63" s="488">
        <f>VLOOKUP(B63,'[57]2b'!$B$4:$H$34,6,0)*90%</f>
        <v>7.38</v>
      </c>
      <c r="H63" s="21"/>
      <c r="I63" s="21"/>
      <c r="J63" s="488">
        <f>VLOOKUP(B63,'[57]2b'!$B$4:$H$34,7,0)*90%</f>
        <v>8.109</v>
      </c>
      <c r="K63" s="488">
        <f t="shared" si="10"/>
        <v>8.93878701423015</v>
      </c>
      <c r="L63" s="488">
        <f t="shared" si="10"/>
        <v>9.3680052073692</v>
      </c>
      <c r="M63" s="488">
        <f t="shared" si="10"/>
        <v>9.81783338450591</v>
      </c>
      <c r="N63" s="488">
        <f t="shared" si="10"/>
        <v>10.2892611855184</v>
      </c>
      <c r="O63" s="488">
        <f t="shared" si="10"/>
        <v>10.7833257703165</v>
      </c>
    </row>
    <row r="64" spans="2:15">
      <c r="B64" s="21">
        <v>18</v>
      </c>
      <c r="C64" s="487" t="s">
        <v>612</v>
      </c>
      <c r="D64" s="488">
        <f>VLOOKUP(B64,'[57]2b'!$B$4:$H$34,3,0)*90%</f>
        <v>0.33686217</v>
      </c>
      <c r="E64" s="488">
        <f>VLOOKUP(B64,'[57]2b'!$B$4:$H$34,4,0)*90%</f>
        <v>0.27000279</v>
      </c>
      <c r="F64" s="488">
        <f>VLOOKUP(B64,'[57]2b'!$B$4:$H$34,5,0)*90%</f>
        <v>0.252</v>
      </c>
      <c r="G64" s="488">
        <f>VLOOKUP(B64,'[57]2b'!$B$4:$H$34,6,0)*90%</f>
        <v>0.405</v>
      </c>
      <c r="H64" s="21"/>
      <c r="I64" s="21"/>
      <c r="J64" s="488">
        <f>VLOOKUP(B64,'[57]2b'!$B$4:$H$34,7,0)*90%</f>
        <v>0.369</v>
      </c>
      <c r="K64" s="488">
        <f t="shared" ref="K64:O73" si="11">90%*K27</f>
        <v>0.406759453477731</v>
      </c>
      <c r="L64" s="488">
        <f t="shared" si="11"/>
        <v>0.426291024974625</v>
      </c>
      <c r="M64" s="488">
        <f t="shared" si="11"/>
        <v>0.446760453678959</v>
      </c>
      <c r="N64" s="488">
        <f t="shared" si="11"/>
        <v>0.468212773147897</v>
      </c>
      <c r="O64" s="488">
        <f t="shared" si="11"/>
        <v>0.490695179337376</v>
      </c>
    </row>
    <row r="65" spans="2:15">
      <c r="B65" s="21">
        <v>19</v>
      </c>
      <c r="C65" s="487" t="s">
        <v>613</v>
      </c>
      <c r="D65" s="488">
        <f>VLOOKUP(B65,'[57]2b'!$B$4:$H$34,3,0)*90%</f>
        <v>34.48660824</v>
      </c>
      <c r="E65" s="488">
        <f>VLOOKUP(B65,'[57]2b'!$B$4:$H$34,4,0)*90%</f>
        <v>36.29632131</v>
      </c>
      <c r="F65" s="488">
        <f>VLOOKUP(B65,'[57]2b'!$B$4:$H$34,5,0)*90%</f>
        <v>4.833</v>
      </c>
      <c r="G65" s="488">
        <f>VLOOKUP(B65,'[57]2b'!$B$4:$H$34,6,0)*90%</f>
        <v>12.492</v>
      </c>
      <c r="H65" s="21"/>
      <c r="I65" s="21"/>
      <c r="J65" s="488">
        <f>VLOOKUP(B65,'[57]2b'!$B$4:$H$34,7,0)*90%</f>
        <v>11.178</v>
      </c>
      <c r="K65" s="488">
        <f t="shared" si="11"/>
        <v>12.3218351516913</v>
      </c>
      <c r="L65" s="488">
        <f t="shared" si="11"/>
        <v>12.9134988541094</v>
      </c>
      <c r="M65" s="488">
        <f t="shared" si="11"/>
        <v>13.5335727675431</v>
      </c>
      <c r="N65" s="488">
        <f t="shared" si="11"/>
        <v>14.1834210792607</v>
      </c>
      <c r="O65" s="488">
        <f t="shared" si="11"/>
        <v>14.8644734813908</v>
      </c>
    </row>
    <row r="66" spans="2:15">
      <c r="B66" s="21">
        <v>20</v>
      </c>
      <c r="C66" s="487" t="s">
        <v>614</v>
      </c>
      <c r="D66" s="488">
        <f>VLOOKUP(B66,'[57]2b'!$B$4:$H$34,3,0)*90%</f>
        <v>0</v>
      </c>
      <c r="E66" s="488">
        <f>VLOOKUP(B66,'[57]2b'!$B$4:$H$34,4,0)*90%</f>
        <v>0</v>
      </c>
      <c r="F66" s="488">
        <f>VLOOKUP(B66,'[57]2b'!$B$4:$H$34,5,0)*90%</f>
        <v>0</v>
      </c>
      <c r="G66" s="488">
        <f>VLOOKUP(B66,'[57]2b'!$B$4:$H$34,6,0)*90%</f>
        <v>0</v>
      </c>
      <c r="H66" s="21"/>
      <c r="I66" s="21"/>
      <c r="J66" s="488">
        <f>VLOOKUP(B66,'[57]2b'!$B$4:$H$34,7,0)*90%</f>
        <v>0</v>
      </c>
      <c r="K66" s="488">
        <f t="shared" si="11"/>
        <v>0</v>
      </c>
      <c r="L66" s="488">
        <f t="shared" si="11"/>
        <v>0</v>
      </c>
      <c r="M66" s="488">
        <f t="shared" si="11"/>
        <v>0</v>
      </c>
      <c r="N66" s="488">
        <f t="shared" si="11"/>
        <v>0</v>
      </c>
      <c r="O66" s="488">
        <f t="shared" si="11"/>
        <v>0</v>
      </c>
    </row>
    <row r="67" spans="2:15">
      <c r="B67" s="21">
        <v>21</v>
      </c>
      <c r="C67" s="487" t="s">
        <v>615</v>
      </c>
      <c r="D67" s="488">
        <f>VLOOKUP(B67,'[57]2b'!$B$4:$H$34,3,0)*90%</f>
        <v>11.86922817</v>
      </c>
      <c r="E67" s="488">
        <f>VLOOKUP(B67,'[57]2b'!$B$4:$H$34,4,0)*90%</f>
        <v>14.50071378</v>
      </c>
      <c r="F67" s="488">
        <f>VLOOKUP(B67,'[57]2b'!$B$4:$H$34,5,0)*90%</f>
        <v>13.05</v>
      </c>
      <c r="G67" s="488">
        <f>VLOOKUP(B67,'[57]2b'!$B$4:$H$34,6,0)*90%</f>
        <v>15.426</v>
      </c>
      <c r="H67" s="21"/>
      <c r="I67" s="21"/>
      <c r="J67" s="488">
        <f>VLOOKUP(B67,'[57]2b'!$B$4:$H$34,7,0)*90%</f>
        <v>9.783</v>
      </c>
      <c r="K67" s="488">
        <f t="shared" si="11"/>
        <v>10.7840859982999</v>
      </c>
      <c r="L67" s="488">
        <f t="shared" si="11"/>
        <v>11.3019108328638</v>
      </c>
      <c r="M67" s="488">
        <f t="shared" si="11"/>
        <v>11.844600320708</v>
      </c>
      <c r="N67" s="488">
        <f t="shared" si="11"/>
        <v>12.4133484002869</v>
      </c>
      <c r="O67" s="488">
        <f t="shared" si="11"/>
        <v>13.0094063399934</v>
      </c>
    </row>
    <row r="68" spans="2:15">
      <c r="B68" s="21">
        <v>22</v>
      </c>
      <c r="C68" s="487" t="s">
        <v>616</v>
      </c>
      <c r="D68" s="488">
        <f>VLOOKUP(B68,'[57]2b'!$B$4:$H$34,3,0)*90%</f>
        <v>0</v>
      </c>
      <c r="E68" s="488">
        <f>VLOOKUP(B68,'[57]2b'!$B$4:$H$34,4,0)*90%</f>
        <v>0</v>
      </c>
      <c r="F68" s="488">
        <f>VLOOKUP(B68,'[57]2b'!$B$4:$H$34,5,0)*90%</f>
        <v>0</v>
      </c>
      <c r="G68" s="488">
        <f>VLOOKUP(B68,'[57]2b'!$B$4:$H$34,6,0)*90%</f>
        <v>0</v>
      </c>
      <c r="H68" s="21"/>
      <c r="I68" s="21"/>
      <c r="J68" s="488">
        <f>VLOOKUP(B68,'[57]2b'!$B$4:$H$34,7,0)*90%</f>
        <v>0</v>
      </c>
      <c r="K68" s="488">
        <f t="shared" si="11"/>
        <v>0</v>
      </c>
      <c r="L68" s="488">
        <f t="shared" si="11"/>
        <v>0</v>
      </c>
      <c r="M68" s="488">
        <f t="shared" si="11"/>
        <v>0</v>
      </c>
      <c r="N68" s="488">
        <f t="shared" si="11"/>
        <v>0</v>
      </c>
      <c r="O68" s="488">
        <f t="shared" si="11"/>
        <v>0</v>
      </c>
    </row>
    <row r="69" spans="2:15">
      <c r="B69" s="21">
        <v>23</v>
      </c>
      <c r="C69" s="487" t="s">
        <v>617</v>
      </c>
      <c r="D69" s="488">
        <f>VLOOKUP(B69,'[57]2b'!$B$4:$H$34,3,0)*90%</f>
        <v>2.00661246</v>
      </c>
      <c r="E69" s="488">
        <f>VLOOKUP(B69,'[57]2b'!$B$4:$H$34,4,0)*90%</f>
        <v>3.42881118</v>
      </c>
      <c r="F69" s="488">
        <f>VLOOKUP(B69,'[57]2b'!$B$4:$H$34,5,0)*90%</f>
        <v>3.492</v>
      </c>
      <c r="G69" s="488">
        <f>VLOOKUP(B69,'[57]2b'!$B$4:$H$34,6,0)*90%</f>
        <v>3.816</v>
      </c>
      <c r="H69" s="21"/>
      <c r="I69" s="21"/>
      <c r="J69" s="488">
        <f>VLOOKUP(B69,'[57]2b'!$B$4:$H$34,7,0)*90%</f>
        <v>2.088</v>
      </c>
      <c r="K69" s="488">
        <f t="shared" si="11"/>
        <v>2.30166324894716</v>
      </c>
      <c r="L69" s="488">
        <f t="shared" si="11"/>
        <v>2.41218336083203</v>
      </c>
      <c r="M69" s="488">
        <f t="shared" si="11"/>
        <v>2.52801037203704</v>
      </c>
      <c r="N69" s="488">
        <f t="shared" si="11"/>
        <v>2.64939910659298</v>
      </c>
      <c r="O69" s="488">
        <f t="shared" si="11"/>
        <v>2.7766166245432</v>
      </c>
    </row>
    <row r="70" spans="2:15">
      <c r="B70" s="21">
        <v>24</v>
      </c>
      <c r="C70" s="487" t="s">
        <v>618</v>
      </c>
      <c r="D70" s="488">
        <f>VLOOKUP(B70,'[57]2b'!$B$4:$H$34,3,0)*90%</f>
        <v>0.078723</v>
      </c>
      <c r="E70" s="488">
        <f>VLOOKUP(B70,'[57]2b'!$B$4:$H$34,4,0)*90%</f>
        <v>0.06525225</v>
      </c>
      <c r="F70" s="488">
        <f>VLOOKUP(B70,'[57]2b'!$B$4:$H$34,5,0)*90%</f>
        <v>0.036</v>
      </c>
      <c r="G70" s="488">
        <f>VLOOKUP(B70,'[57]2b'!$B$4:$H$34,6,0)*90%</f>
        <v>0.054</v>
      </c>
      <c r="H70" s="21"/>
      <c r="I70" s="21"/>
      <c r="J70" s="488">
        <f>VLOOKUP(B70,'[57]2b'!$B$4:$H$34,7,0)*90%</f>
        <v>0.099</v>
      </c>
      <c r="K70" s="488">
        <f t="shared" si="11"/>
        <v>0.109130585079391</v>
      </c>
      <c r="L70" s="488">
        <f t="shared" si="11"/>
        <v>0.11437076279807</v>
      </c>
      <c r="M70" s="488">
        <f t="shared" si="11"/>
        <v>0.119862560743135</v>
      </c>
      <c r="N70" s="488">
        <f t="shared" si="11"/>
        <v>0.12561806108846</v>
      </c>
      <c r="O70" s="488">
        <f t="shared" si="11"/>
        <v>0.131649926163686</v>
      </c>
    </row>
    <row r="71" spans="2:15">
      <c r="B71" s="21">
        <v>25</v>
      </c>
      <c r="C71" s="487" t="s">
        <v>619</v>
      </c>
      <c r="D71" s="488">
        <f>VLOOKUP(B71,'[57]2b'!$B$4:$H$34,3,0)*90%</f>
        <v>0</v>
      </c>
      <c r="E71" s="488">
        <f>VLOOKUP(B71,'[57]2b'!$B$4:$H$34,4,0)*90%</f>
        <v>0</v>
      </c>
      <c r="F71" s="488">
        <f>VLOOKUP(B71,'[57]2b'!$B$4:$H$34,5,0)*90%</f>
        <v>0</v>
      </c>
      <c r="G71" s="488">
        <f>VLOOKUP(B71,'[57]2b'!$B$4:$H$34,6,0)*90%</f>
        <v>1.782</v>
      </c>
      <c r="H71" s="21"/>
      <c r="I71" s="21"/>
      <c r="J71" s="488">
        <f>VLOOKUP(B71,'[57]2b'!$B$4:$H$34,7,0)*90%</f>
        <v>2.169</v>
      </c>
      <c r="K71" s="488">
        <f t="shared" si="11"/>
        <v>2.39095190946667</v>
      </c>
      <c r="L71" s="488">
        <f t="shared" si="11"/>
        <v>2.50575943948499</v>
      </c>
      <c r="M71" s="488">
        <f t="shared" si="11"/>
        <v>2.62607973991778</v>
      </c>
      <c r="N71" s="488">
        <f t="shared" si="11"/>
        <v>2.75217752021081</v>
      </c>
      <c r="O71" s="488">
        <f t="shared" si="11"/>
        <v>2.88433020049531</v>
      </c>
    </row>
    <row r="72" spans="2:15">
      <c r="B72" s="21">
        <v>26</v>
      </c>
      <c r="C72" s="487" t="s">
        <v>620</v>
      </c>
      <c r="D72" s="488">
        <f>VLOOKUP(B72,'[57]2b'!$B$4:$H$34,3,0)*90%</f>
        <v>5.13033165</v>
      </c>
      <c r="E72" s="488">
        <f>VLOOKUP(B72,'[57]2b'!$B$4:$H$34,4,0)*90%</f>
        <v>4.79875563</v>
      </c>
      <c r="F72" s="488">
        <f>VLOOKUP(B72,'[57]2b'!$B$4:$H$34,5,0)*90%</f>
        <v>3.123</v>
      </c>
      <c r="G72" s="488">
        <f>VLOOKUP(B72,'[57]2b'!$B$4:$H$34,6,0)*90%</f>
        <v>8.613</v>
      </c>
      <c r="H72" s="21"/>
      <c r="I72" s="21"/>
      <c r="J72" s="488">
        <f>VLOOKUP(B72,'[57]2b'!$B$4:$H$34,7,0)*90%</f>
        <v>12.105</v>
      </c>
      <c r="K72" s="488">
        <f t="shared" si="11"/>
        <v>13.3436942665256</v>
      </c>
      <c r="L72" s="488">
        <f t="shared" si="11"/>
        <v>13.9844250875822</v>
      </c>
      <c r="M72" s="488">
        <f t="shared" si="11"/>
        <v>14.6559221999561</v>
      </c>
      <c r="N72" s="488">
        <f t="shared" si="11"/>
        <v>15.3596629239981</v>
      </c>
      <c r="O72" s="488">
        <f t="shared" si="11"/>
        <v>16.0971955172871</v>
      </c>
    </row>
    <row r="73" spans="2:15">
      <c r="B73" s="21">
        <v>27</v>
      </c>
      <c r="C73" s="487" t="s">
        <v>621</v>
      </c>
      <c r="D73" s="488">
        <f>VLOOKUP(B73,'[57]2b'!$B$4:$H$34,3,0)*90%</f>
        <v>4.90765113</v>
      </c>
      <c r="E73" s="488">
        <f>VLOOKUP(B73,'[57]2b'!$B$4:$H$34,4,0)*90%</f>
        <v>3.15861156</v>
      </c>
      <c r="F73" s="488">
        <f>VLOOKUP(B73,'[57]2b'!$B$4:$H$34,5,0)*90%</f>
        <v>3.645</v>
      </c>
      <c r="G73" s="488">
        <f>VLOOKUP(B73,'[57]2b'!$B$4:$H$34,6,0)*90%</f>
        <v>5.058</v>
      </c>
      <c r="H73" s="21"/>
      <c r="I73" s="21"/>
      <c r="J73" s="488">
        <f>VLOOKUP(B73,'[57]2b'!$B$4:$H$34,7,0)*90%</f>
        <v>6.759</v>
      </c>
      <c r="K73" s="488">
        <f t="shared" si="11"/>
        <v>7.45064267223845</v>
      </c>
      <c r="L73" s="488">
        <f t="shared" si="11"/>
        <v>7.80840389648643</v>
      </c>
      <c r="M73" s="488">
        <f t="shared" si="11"/>
        <v>8.18334391982679</v>
      </c>
      <c r="N73" s="488">
        <f t="shared" si="11"/>
        <v>8.57628762522124</v>
      </c>
      <c r="O73" s="488">
        <f t="shared" si="11"/>
        <v>8.98809950444803</v>
      </c>
    </row>
    <row r="74" spans="2:15">
      <c r="B74" s="21">
        <v>28</v>
      </c>
      <c r="C74" s="487" t="s">
        <v>440</v>
      </c>
      <c r="D74" s="488">
        <f>VLOOKUP(B74,'[57]2b'!$B$4:$H$34,3,0)*90%</f>
        <v>1.69338591</v>
      </c>
      <c r="E74" s="488">
        <f>VLOOKUP(B74,'[57]2b'!$B$4:$H$34,4,0)*90%</f>
        <v>0.84035628</v>
      </c>
      <c r="F74" s="488">
        <f>VLOOKUP(B74,'[57]2b'!$B$4:$H$34,5,0)*90%</f>
        <v>0.936</v>
      </c>
      <c r="G74" s="488">
        <f>VLOOKUP(B74,'[57]2b'!$B$4:$H$34,6,0)*90%</f>
        <v>0.333</v>
      </c>
      <c r="H74" s="21"/>
      <c r="I74" s="21"/>
      <c r="J74" s="488">
        <f>VLOOKUP(B74,'[57]2b'!$B$4:$H$34,7,0)*90%</f>
        <v>2.169</v>
      </c>
      <c r="K74" s="488">
        <f>90%*K37</f>
        <v>2.39095190946667</v>
      </c>
      <c r="L74" s="488">
        <f>90%*L37</f>
        <v>2.50575943948499</v>
      </c>
      <c r="M74" s="488">
        <f>90%*M37</f>
        <v>2.62607973991778</v>
      </c>
      <c r="N74" s="488">
        <f>90%*N37</f>
        <v>2.75217752021081</v>
      </c>
      <c r="O74" s="488">
        <f>90%*O37</f>
        <v>2.88433020049531</v>
      </c>
    </row>
    <row r="75" ht="15" spans="2:15">
      <c r="B75" s="21">
        <v>29</v>
      </c>
      <c r="C75" s="491" t="s">
        <v>622</v>
      </c>
      <c r="D75" s="492">
        <f>SUM(D47:D74)</f>
        <v>142.78972959</v>
      </c>
      <c r="E75" s="492">
        <f t="shared" ref="E75:O75" si="12">SUM(E47:E74)</f>
        <v>134.58381687</v>
      </c>
      <c r="F75" s="492">
        <f t="shared" si="12"/>
        <v>114.597</v>
      </c>
      <c r="G75" s="492">
        <f t="shared" si="12"/>
        <v>154.089</v>
      </c>
      <c r="H75" s="30">
        <f t="shared" si="12"/>
        <v>0</v>
      </c>
      <c r="I75" s="30">
        <f t="shared" si="12"/>
        <v>0</v>
      </c>
      <c r="J75" s="492">
        <f t="shared" si="12"/>
        <v>153.072</v>
      </c>
      <c r="K75" s="492">
        <f t="shared" si="12"/>
        <v>168.735726457299</v>
      </c>
      <c r="L75" s="492">
        <f t="shared" si="12"/>
        <v>176.837993969962</v>
      </c>
      <c r="M75" s="492">
        <f t="shared" si="12"/>
        <v>185.32931210175</v>
      </c>
      <c r="N75" s="492">
        <f t="shared" si="12"/>
        <v>194.22836209023</v>
      </c>
      <c r="O75" s="492">
        <f t="shared" si="12"/>
        <v>203.55472219927</v>
      </c>
    </row>
    <row r="76" ht="15" spans="2:15">
      <c r="B76" s="21">
        <v>30</v>
      </c>
      <c r="C76" s="354" t="s">
        <v>592</v>
      </c>
      <c r="D76" s="488">
        <f>VLOOKUP(B76,'[57]2b'!$B$4:$H$34,3,0)*90%</f>
        <v>-14.17302468</v>
      </c>
      <c r="E76" s="488">
        <f>VLOOKUP(B76,'[57]2b'!$B$4:$H$34,4,0)*90%</f>
        <v>-11.0441592</v>
      </c>
      <c r="F76" s="488">
        <f>VLOOKUP(B76,'[57]2b'!$B$4:$H$34,5,0)*90%</f>
        <v>-13.68</v>
      </c>
      <c r="G76" s="488">
        <f>VLOOKUP(B76,'[57]2b'!$B$4:$H$34,6,0)*90%</f>
        <v>-15.507</v>
      </c>
      <c r="H76" s="497"/>
      <c r="I76" s="497"/>
      <c r="J76" s="488">
        <f>VLOOKUP(B76,'[57]2b'!$B$4:$H$34,7,0)*90%</f>
        <v>16.263</v>
      </c>
      <c r="K76" s="499">
        <f>$J$76/$J$75*K75</f>
        <v>17.92717883986</v>
      </c>
      <c r="L76" s="499">
        <f>$J$76/$J$75*L75</f>
        <v>18.7879971251012</v>
      </c>
      <c r="M76" s="499">
        <f>$J$76/$J$75*M75</f>
        <v>19.6901497511678</v>
      </c>
      <c r="N76" s="499">
        <f>$J$76/$J$75*N75</f>
        <v>20.6356214897134</v>
      </c>
      <c r="O76" s="499">
        <f>$J$76/$J$75*O75</f>
        <v>21.6264924161619</v>
      </c>
    </row>
    <row r="77" ht="15" spans="2:15">
      <c r="B77" s="21">
        <v>31</v>
      </c>
      <c r="C77" s="19" t="s">
        <v>623</v>
      </c>
      <c r="D77" s="492">
        <f>D75-D76</f>
        <v>156.96275427</v>
      </c>
      <c r="E77" s="492">
        <f t="shared" ref="E77:O77" si="13">E75-E76</f>
        <v>145.62797607</v>
      </c>
      <c r="F77" s="492">
        <f t="shared" si="13"/>
        <v>128.277</v>
      </c>
      <c r="G77" s="492">
        <f t="shared" si="13"/>
        <v>169.596</v>
      </c>
      <c r="H77" s="30">
        <f t="shared" si="13"/>
        <v>0</v>
      </c>
      <c r="I77" s="30">
        <f t="shared" si="13"/>
        <v>0</v>
      </c>
      <c r="J77" s="492">
        <f t="shared" si="13"/>
        <v>136.809</v>
      </c>
      <c r="K77" s="492">
        <f t="shared" si="13"/>
        <v>150.808547617439</v>
      </c>
      <c r="L77" s="492">
        <f t="shared" si="13"/>
        <v>158.04999684486</v>
      </c>
      <c r="M77" s="492">
        <f t="shared" si="13"/>
        <v>165.639162350582</v>
      </c>
      <c r="N77" s="492">
        <f t="shared" si="13"/>
        <v>173.592740600517</v>
      </c>
      <c r="O77" s="492">
        <f t="shared" si="13"/>
        <v>181.928229783109</v>
      </c>
    </row>
    <row r="79" ht="15" spans="2:2">
      <c r="B79" s="34" t="s">
        <v>153</v>
      </c>
    </row>
    <row r="80" ht="15" spans="15:15">
      <c r="O80" s="33" t="s">
        <v>109</v>
      </c>
    </row>
    <row r="81" ht="14.1" customHeight="1" spans="2:15">
      <c r="B81" s="5" t="s">
        <v>3</v>
      </c>
      <c r="C81" s="6" t="s">
        <v>110</v>
      </c>
      <c r="D81" s="5" t="s">
        <v>565</v>
      </c>
      <c r="E81" s="5" t="s">
        <v>566</v>
      </c>
      <c r="F81" s="5" t="s">
        <v>567</v>
      </c>
      <c r="G81" s="5" t="s">
        <v>112</v>
      </c>
      <c r="H81" s="5" t="s">
        <v>760</v>
      </c>
      <c r="I81" s="5"/>
      <c r="J81" s="5"/>
      <c r="K81" s="135" t="s">
        <v>114</v>
      </c>
      <c r="L81" s="135"/>
      <c r="M81" s="135"/>
      <c r="N81" s="135"/>
      <c r="O81" s="135"/>
    </row>
    <row r="82" ht="15" spans="2:15">
      <c r="B82" s="5"/>
      <c r="C82" s="6"/>
      <c r="D82" s="5" t="s">
        <v>237</v>
      </c>
      <c r="E82" s="5" t="s">
        <v>237</v>
      </c>
      <c r="F82" s="5" t="s">
        <v>237</v>
      </c>
      <c r="G82" s="5" t="s">
        <v>237</v>
      </c>
      <c r="H82" s="5" t="s">
        <v>119</v>
      </c>
      <c r="I82" s="5" t="s">
        <v>120</v>
      </c>
      <c r="J82" s="5" t="s">
        <v>238</v>
      </c>
      <c r="K82" s="5" t="s">
        <v>514</v>
      </c>
      <c r="L82" s="5" t="s">
        <v>515</v>
      </c>
      <c r="M82" s="5" t="s">
        <v>516</v>
      </c>
      <c r="N82" s="5" t="s">
        <v>517</v>
      </c>
      <c r="O82" s="5" t="s">
        <v>518</v>
      </c>
    </row>
    <row r="83" ht="15" spans="2:15">
      <c r="B83" s="5"/>
      <c r="C83" s="6"/>
      <c r="D83" s="5" t="s">
        <v>128</v>
      </c>
      <c r="E83" s="5" t="s">
        <v>128</v>
      </c>
      <c r="F83" s="5" t="s">
        <v>128</v>
      </c>
      <c r="G83" s="5" t="s">
        <v>128</v>
      </c>
      <c r="H83" s="5" t="s">
        <v>130</v>
      </c>
      <c r="I83" s="5" t="s">
        <v>131</v>
      </c>
      <c r="J83" s="5" t="s">
        <v>128</v>
      </c>
      <c r="K83" s="5" t="s">
        <v>132</v>
      </c>
      <c r="L83" s="5" t="s">
        <v>132</v>
      </c>
      <c r="M83" s="5" t="s">
        <v>132</v>
      </c>
      <c r="N83" s="5" t="s">
        <v>132</v>
      </c>
      <c r="O83" s="5" t="s">
        <v>132</v>
      </c>
    </row>
    <row r="84" spans="2:15">
      <c r="B84" s="21">
        <v>1</v>
      </c>
      <c r="C84" s="976" t="s">
        <v>595</v>
      </c>
      <c r="D84" s="488">
        <f>VLOOKUP(B47,'[57]2b'!$B$4:$H$34,3,0)*10%</f>
        <v>0.52498565</v>
      </c>
      <c r="E84" s="488">
        <f>VLOOKUP(B47,'[57]2b'!$B$4:$H$34,3,0)*10%</f>
        <v>0.52498565</v>
      </c>
      <c r="F84" s="488">
        <f>VLOOKUP(B47,'[57]2b'!$B$4:$H$34,3,0)*10%</f>
        <v>0.52498565</v>
      </c>
      <c r="G84" s="488">
        <f>VLOOKUP(B47,'[57]2b'!$B$4:$H$34,3,0)*10%</f>
        <v>0.52498565</v>
      </c>
      <c r="H84" s="21"/>
      <c r="I84" s="21"/>
      <c r="J84" s="488">
        <f>VLOOKUP(B47,'[57]2b'!$B$4:$H$34,7,0)*10%</f>
        <v>0.517</v>
      </c>
      <c r="K84" s="488">
        <f>10%*K10</f>
        <v>0.569904166525711</v>
      </c>
      <c r="L84" s="488">
        <f t="shared" ref="K84:O99" si="14">10%*L10</f>
        <v>0.597269539056589</v>
      </c>
      <c r="M84" s="488">
        <f t="shared" si="14"/>
        <v>0.625948928325263</v>
      </c>
      <c r="N84" s="488">
        <f t="shared" si="14"/>
        <v>0.656005430128626</v>
      </c>
      <c r="O84" s="488">
        <f t="shared" si="14"/>
        <v>0.687505169965917</v>
      </c>
    </row>
    <row r="85" spans="2:15">
      <c r="B85" s="21">
        <v>2</v>
      </c>
      <c r="C85" s="487" t="s">
        <v>596</v>
      </c>
      <c r="D85" s="488">
        <f>VLOOKUP(B48,'[57]2b'!$B$4:$H$34,3,0)*10%</f>
        <v>0.00404141</v>
      </c>
      <c r="E85" s="488">
        <f>VLOOKUP(B48,'[57]2b'!$B$4:$H$34,3,0)*10%</f>
        <v>0.00404141</v>
      </c>
      <c r="F85" s="488">
        <f>VLOOKUP(B48,'[57]2b'!$B$4:$H$34,3,0)*10%</f>
        <v>0.00404141</v>
      </c>
      <c r="G85" s="488">
        <f>VLOOKUP(B48,'[57]2b'!$B$4:$H$34,3,0)*10%</f>
        <v>0.00404141</v>
      </c>
      <c r="H85" s="21"/>
      <c r="I85" s="21"/>
      <c r="J85" s="488">
        <f>VLOOKUP(B48,'[57]2b'!$B$4:$H$34,7,0)*10%</f>
        <v>0.039</v>
      </c>
      <c r="K85" s="488">
        <f>10%*K11</f>
        <v>0.0429908365464269</v>
      </c>
      <c r="L85" s="488">
        <f t="shared" si="14"/>
        <v>0.0450551489810579</v>
      </c>
      <c r="M85" s="488">
        <f t="shared" si="14"/>
        <v>0.0472185845351745</v>
      </c>
      <c r="N85" s="488">
        <f t="shared" si="14"/>
        <v>0.0494859028530298</v>
      </c>
      <c r="O85" s="488">
        <f t="shared" si="14"/>
        <v>0.0518620921250885</v>
      </c>
    </row>
    <row r="86" spans="2:15">
      <c r="B86" s="21">
        <v>3</v>
      </c>
      <c r="C86" s="487" t="s">
        <v>597</v>
      </c>
      <c r="D86" s="488">
        <f>VLOOKUP(B49,'[57]2b'!$B$4:$H$34,3,0)*10%</f>
        <v>0.22356406</v>
      </c>
      <c r="E86" s="488">
        <f>VLOOKUP(B49,'[57]2b'!$B$4:$H$34,3,0)*10%</f>
        <v>0.22356406</v>
      </c>
      <c r="F86" s="488">
        <f>VLOOKUP(B49,'[57]2b'!$B$4:$H$34,3,0)*10%</f>
        <v>0.22356406</v>
      </c>
      <c r="G86" s="488">
        <f>VLOOKUP(B49,'[57]2b'!$B$4:$H$34,3,0)*10%</f>
        <v>0.22356406</v>
      </c>
      <c r="H86" s="21"/>
      <c r="I86" s="21"/>
      <c r="J86" s="488">
        <f>VLOOKUP(B49,'[57]2b'!$B$4:$H$34,7,0)*10%</f>
        <v>0.247</v>
      </c>
      <c r="K86" s="488">
        <f>10%*K12</f>
        <v>0.27227529812737</v>
      </c>
      <c r="L86" s="488">
        <f t="shared" si="14"/>
        <v>0.285349276880034</v>
      </c>
      <c r="M86" s="488">
        <f t="shared" si="14"/>
        <v>0.299051035389439</v>
      </c>
      <c r="N86" s="488">
        <f t="shared" si="14"/>
        <v>0.313410718069189</v>
      </c>
      <c r="O86" s="488">
        <f t="shared" si="14"/>
        <v>0.328459916792227</v>
      </c>
    </row>
    <row r="87" spans="2:15">
      <c r="B87" s="21">
        <v>4</v>
      </c>
      <c r="C87" s="487" t="s">
        <v>598</v>
      </c>
      <c r="D87" s="488">
        <f>VLOOKUP(B50,'[57]2b'!$B$4:$H$34,3,0)*10%</f>
        <v>0.2077349</v>
      </c>
      <c r="E87" s="488">
        <f>VLOOKUP(B50,'[57]2b'!$B$4:$H$34,3,0)*10%</f>
        <v>0.2077349</v>
      </c>
      <c r="F87" s="488">
        <f>VLOOKUP(B50,'[57]2b'!$B$4:$H$34,3,0)*10%</f>
        <v>0.2077349</v>
      </c>
      <c r="G87" s="488">
        <f>VLOOKUP(B50,'[57]2b'!$B$4:$H$34,3,0)*10%</f>
        <v>0.2077349</v>
      </c>
      <c r="H87" s="21"/>
      <c r="I87" s="21"/>
      <c r="J87" s="488">
        <f>VLOOKUP(B50,'[57]2b'!$B$4:$H$34,7,0)*10%</f>
        <v>0.328</v>
      </c>
      <c r="K87" s="488">
        <f>10%*K13</f>
        <v>0.361563958646872</v>
      </c>
      <c r="L87" s="488">
        <f t="shared" si="14"/>
        <v>0.378925355533</v>
      </c>
      <c r="M87" s="488">
        <f t="shared" si="14"/>
        <v>0.397120403270186</v>
      </c>
      <c r="N87" s="488">
        <f t="shared" si="14"/>
        <v>0.41618913168702</v>
      </c>
      <c r="O87" s="488">
        <f t="shared" si="14"/>
        <v>0.436173492744334</v>
      </c>
    </row>
    <row r="88" spans="2:15">
      <c r="B88" s="21">
        <v>5</v>
      </c>
      <c r="C88" s="487" t="s">
        <v>599</v>
      </c>
      <c r="D88" s="488">
        <f>VLOOKUP(B51,'[57]2b'!$B$4:$H$34,3,0)*10%</f>
        <v>3.7343403</v>
      </c>
      <c r="E88" s="488">
        <f>VLOOKUP(B51,'[57]2b'!$B$4:$H$34,3,0)*10%</f>
        <v>3.7343403</v>
      </c>
      <c r="F88" s="488">
        <f>VLOOKUP(B51,'[57]2b'!$B$4:$H$34,3,0)*10%</f>
        <v>3.7343403</v>
      </c>
      <c r="G88" s="488">
        <f>VLOOKUP(B51,'[57]2b'!$B$4:$H$34,3,0)*10%</f>
        <v>3.7343403</v>
      </c>
      <c r="H88" s="21"/>
      <c r="I88" s="21"/>
      <c r="J88" s="488">
        <f>VLOOKUP(B51,'[57]2b'!$B$4:$H$34,7,0)*10%</f>
        <v>4.936</v>
      </c>
      <c r="K88" s="488">
        <f>10%*K14</f>
        <v>5.44109664597854</v>
      </c>
      <c r="L88" s="488">
        <f t="shared" si="14"/>
        <v>5.70236449667954</v>
      </c>
      <c r="M88" s="488">
        <f t="shared" si="14"/>
        <v>5.97617777604158</v>
      </c>
      <c r="N88" s="488">
        <f t="shared" si="14"/>
        <v>6.26313888416808</v>
      </c>
      <c r="O88" s="488">
        <f t="shared" si="14"/>
        <v>6.56387914690864</v>
      </c>
    </row>
    <row r="89" spans="2:15">
      <c r="B89" s="21">
        <v>6</v>
      </c>
      <c r="C89" s="487" t="s">
        <v>600</v>
      </c>
      <c r="D89" s="488">
        <f>VLOOKUP(B52,'[57]2b'!$B$4:$H$34,3,0)*10%</f>
        <v>2.01164301</v>
      </c>
      <c r="E89" s="488">
        <f>VLOOKUP(B52,'[57]2b'!$B$4:$H$34,3,0)*10%</f>
        <v>2.01164301</v>
      </c>
      <c r="F89" s="488">
        <f>VLOOKUP(B52,'[57]2b'!$B$4:$H$34,3,0)*10%</f>
        <v>2.01164301</v>
      </c>
      <c r="G89" s="488">
        <f>VLOOKUP(B52,'[57]2b'!$B$4:$H$34,3,0)*10%</f>
        <v>2.01164301</v>
      </c>
      <c r="H89" s="21"/>
      <c r="I89" s="21"/>
      <c r="J89" s="488">
        <f>VLOOKUP(B52,'[57]2b'!$B$4:$H$34,7,0)*10%</f>
        <v>2.568</v>
      </c>
      <c r="K89" s="488">
        <f t="shared" si="14"/>
        <v>2.83078123721088</v>
      </c>
      <c r="L89" s="488">
        <f t="shared" si="14"/>
        <v>2.96670827136812</v>
      </c>
      <c r="M89" s="488">
        <f t="shared" si="14"/>
        <v>3.10916218170072</v>
      </c>
      <c r="N89" s="488">
        <f t="shared" si="14"/>
        <v>3.25845637247643</v>
      </c>
      <c r="O89" s="488">
        <f t="shared" si="14"/>
        <v>3.41491929685198</v>
      </c>
    </row>
    <row r="90" spans="2:15">
      <c r="B90" s="21">
        <v>7</v>
      </c>
      <c r="C90" s="487" t="s">
        <v>601</v>
      </c>
      <c r="D90" s="488">
        <f>VLOOKUP(B53,'[57]2b'!$B$4:$H$34,3,0)*10%</f>
        <v>0.81906836</v>
      </c>
      <c r="E90" s="488">
        <f>VLOOKUP(B53,'[57]2b'!$B$4:$H$34,3,0)*10%</f>
        <v>0.81906836</v>
      </c>
      <c r="F90" s="488">
        <f>VLOOKUP(B53,'[57]2b'!$B$4:$H$34,3,0)*10%</f>
        <v>0.81906836</v>
      </c>
      <c r="G90" s="488">
        <f>VLOOKUP(B53,'[57]2b'!$B$4:$H$34,3,0)*10%</f>
        <v>0.81906836</v>
      </c>
      <c r="H90" s="21"/>
      <c r="I90" s="21"/>
      <c r="J90" s="488">
        <f>VLOOKUP(B53,'[57]2b'!$B$4:$H$34,7,0)*10%</f>
        <v>0.882</v>
      </c>
      <c r="K90" s="488">
        <f t="shared" si="14"/>
        <v>0.972254303434578</v>
      </c>
      <c r="L90" s="488">
        <f t="shared" si="14"/>
        <v>1.01893952311008</v>
      </c>
      <c r="M90" s="488">
        <f t="shared" si="14"/>
        <v>1.06786645025702</v>
      </c>
      <c r="N90" s="488">
        <f t="shared" si="14"/>
        <v>1.11914272606083</v>
      </c>
      <c r="O90" s="488">
        <f t="shared" si="14"/>
        <v>1.17288116036739</v>
      </c>
    </row>
    <row r="91" spans="2:15">
      <c r="B91" s="21">
        <v>8</v>
      </c>
      <c r="C91" s="487" t="s">
        <v>602</v>
      </c>
      <c r="D91" s="488">
        <f>VLOOKUP(B54,'[57]2b'!$B$4:$H$34,3,0)*10%</f>
        <v>0.08266267</v>
      </c>
      <c r="E91" s="488">
        <f>VLOOKUP(B54,'[57]2b'!$B$4:$H$34,3,0)*10%</f>
        <v>0.08266267</v>
      </c>
      <c r="F91" s="488">
        <f>VLOOKUP(B54,'[57]2b'!$B$4:$H$34,3,0)*10%</f>
        <v>0.08266267</v>
      </c>
      <c r="G91" s="488">
        <f>VLOOKUP(B54,'[57]2b'!$B$4:$H$34,3,0)*10%</f>
        <v>0.08266267</v>
      </c>
      <c r="H91" s="21"/>
      <c r="I91" s="21"/>
      <c r="J91" s="488">
        <f>VLOOKUP(B54,'[57]2b'!$B$4:$H$34,7,0)*10%</f>
        <v>0.051</v>
      </c>
      <c r="K91" s="488">
        <f t="shared" si="14"/>
        <v>0.0562187862530198</v>
      </c>
      <c r="L91" s="488">
        <f t="shared" si="14"/>
        <v>0.0589182717444604</v>
      </c>
      <c r="M91" s="488">
        <f t="shared" si="14"/>
        <v>0.0617473797767667</v>
      </c>
      <c r="N91" s="488">
        <f t="shared" si="14"/>
        <v>0.0647123345001159</v>
      </c>
      <c r="O91" s="488">
        <f t="shared" si="14"/>
        <v>0.067819658932808</v>
      </c>
    </row>
    <row r="92" spans="2:15">
      <c r="B92" s="21">
        <v>9</v>
      </c>
      <c r="C92" s="487" t="s">
        <v>603</v>
      </c>
      <c r="D92" s="488">
        <f>VLOOKUP(B55,'[57]2b'!$B$4:$H$34,3,0)*10%</f>
        <v>0.0285328</v>
      </c>
      <c r="E92" s="488">
        <f>VLOOKUP(B55,'[57]2b'!$B$4:$H$34,3,0)*10%</f>
        <v>0.0285328</v>
      </c>
      <c r="F92" s="488">
        <f>VLOOKUP(B55,'[57]2b'!$B$4:$H$34,3,0)*10%</f>
        <v>0.0285328</v>
      </c>
      <c r="G92" s="488">
        <f>VLOOKUP(B55,'[57]2b'!$B$4:$H$34,3,0)*10%</f>
        <v>0.0285328</v>
      </c>
      <c r="H92" s="21"/>
      <c r="I92" s="21"/>
      <c r="J92" s="488">
        <f>VLOOKUP(B55,'[57]2b'!$B$4:$H$34,7,0)*10%</f>
        <v>0.034</v>
      </c>
      <c r="K92" s="488">
        <f t="shared" si="14"/>
        <v>0.0374791908353465</v>
      </c>
      <c r="L92" s="488">
        <f t="shared" si="14"/>
        <v>0.0392788478296403</v>
      </c>
      <c r="M92" s="488">
        <f t="shared" si="14"/>
        <v>0.0411649198511778</v>
      </c>
      <c r="N92" s="488">
        <f t="shared" si="14"/>
        <v>0.0431415563334106</v>
      </c>
      <c r="O92" s="488">
        <f t="shared" si="14"/>
        <v>0.0452131059552054</v>
      </c>
    </row>
    <row r="93" spans="2:15">
      <c r="B93" s="21">
        <v>10</v>
      </c>
      <c r="C93" s="487" t="s">
        <v>604</v>
      </c>
      <c r="D93" s="488">
        <f>VLOOKUP(B56,'[57]2b'!$B$4:$H$34,3,0)*10%</f>
        <v>0.05616071</v>
      </c>
      <c r="E93" s="488">
        <f>VLOOKUP(B56,'[57]2b'!$B$4:$H$34,3,0)*10%</f>
        <v>0.05616071</v>
      </c>
      <c r="F93" s="488">
        <f>VLOOKUP(B56,'[57]2b'!$B$4:$H$34,3,0)*10%</f>
        <v>0.05616071</v>
      </c>
      <c r="G93" s="488">
        <f>VLOOKUP(B56,'[57]2b'!$B$4:$H$34,3,0)*10%</f>
        <v>0.05616071</v>
      </c>
      <c r="H93" s="21"/>
      <c r="I93" s="21"/>
      <c r="J93" s="488">
        <f>VLOOKUP(B56,'[57]2b'!$B$4:$H$34,7,0)*10%</f>
        <v>0.162</v>
      </c>
      <c r="K93" s="488">
        <f t="shared" si="14"/>
        <v>0.178577321039004</v>
      </c>
      <c r="L93" s="488">
        <f t="shared" si="14"/>
        <v>0.187152157305933</v>
      </c>
      <c r="M93" s="488">
        <f t="shared" si="14"/>
        <v>0.196138735761494</v>
      </c>
      <c r="N93" s="488">
        <f t="shared" si="14"/>
        <v>0.205556827235662</v>
      </c>
      <c r="O93" s="488">
        <f t="shared" si="14"/>
        <v>0.215427151904214</v>
      </c>
    </row>
    <row r="94" spans="2:15">
      <c r="B94" s="21">
        <v>11</v>
      </c>
      <c r="C94" s="487" t="s">
        <v>605</v>
      </c>
      <c r="D94" s="488">
        <f>VLOOKUP(B57,'[57]2b'!$B$4:$H$34,3,0)*10%</f>
        <v>0.00505607</v>
      </c>
      <c r="E94" s="488">
        <f>VLOOKUP(B57,'[57]2b'!$B$4:$H$34,3,0)*10%</f>
        <v>0.00505607</v>
      </c>
      <c r="F94" s="488">
        <f>VLOOKUP(B57,'[57]2b'!$B$4:$H$34,3,0)*10%</f>
        <v>0.00505607</v>
      </c>
      <c r="G94" s="488">
        <f>VLOOKUP(B57,'[57]2b'!$B$4:$H$34,3,0)*10%</f>
        <v>0.00505607</v>
      </c>
      <c r="H94" s="21"/>
      <c r="I94" s="21"/>
      <c r="J94" s="488">
        <f>VLOOKUP(B57,'[57]2b'!$B$4:$H$34,7,0)*10%</f>
        <v>0.009</v>
      </c>
      <c r="K94" s="488">
        <f t="shared" si="14"/>
        <v>0.00992096227994467</v>
      </c>
      <c r="L94" s="488">
        <f t="shared" si="14"/>
        <v>0.0103973420725518</v>
      </c>
      <c r="M94" s="488">
        <f t="shared" si="14"/>
        <v>0.0108965964311941</v>
      </c>
      <c r="N94" s="488">
        <f t="shared" si="14"/>
        <v>0.0114198237353146</v>
      </c>
      <c r="O94" s="488">
        <f t="shared" si="14"/>
        <v>0.0119681751057897</v>
      </c>
    </row>
    <row r="95" spans="2:15">
      <c r="B95" s="21">
        <v>12</v>
      </c>
      <c r="C95" s="487" t="s">
        <v>606</v>
      </c>
      <c r="D95" s="488">
        <f>VLOOKUP(B58,'[57]2b'!$B$4:$H$34,3,0)*10%</f>
        <v>0</v>
      </c>
      <c r="E95" s="488">
        <f>VLOOKUP(B58,'[57]2b'!$B$4:$H$34,3,0)*10%</f>
        <v>0</v>
      </c>
      <c r="F95" s="488">
        <f>VLOOKUP(B58,'[57]2b'!$B$4:$H$34,3,0)*10%</f>
        <v>0</v>
      </c>
      <c r="G95" s="488">
        <f>VLOOKUP(B58,'[57]2b'!$B$4:$H$34,3,0)*10%</f>
        <v>0</v>
      </c>
      <c r="H95" s="21"/>
      <c r="I95" s="21"/>
      <c r="J95" s="488">
        <f>VLOOKUP(B58,'[57]2b'!$B$4:$H$34,7,0)*10%</f>
        <v>0</v>
      </c>
      <c r="K95" s="488">
        <f t="shared" si="14"/>
        <v>0</v>
      </c>
      <c r="L95" s="488">
        <f t="shared" si="14"/>
        <v>0</v>
      </c>
      <c r="M95" s="488">
        <f t="shared" si="14"/>
        <v>0</v>
      </c>
      <c r="N95" s="488">
        <f t="shared" si="14"/>
        <v>0</v>
      </c>
      <c r="O95" s="488">
        <f t="shared" si="14"/>
        <v>0</v>
      </c>
    </row>
    <row r="96" spans="2:15">
      <c r="B96" s="21">
        <v>13</v>
      </c>
      <c r="C96" s="487" t="s">
        <v>607</v>
      </c>
      <c r="D96" s="488">
        <f>VLOOKUP(B59,'[57]2b'!$B$4:$H$34,3,0)*10%</f>
        <v>0.67557033</v>
      </c>
      <c r="E96" s="488">
        <f>VLOOKUP(B59,'[57]2b'!$B$4:$H$34,3,0)*10%</f>
        <v>0.67557033</v>
      </c>
      <c r="F96" s="488">
        <f>VLOOKUP(B59,'[57]2b'!$B$4:$H$34,3,0)*10%</f>
        <v>0.67557033</v>
      </c>
      <c r="G96" s="488">
        <f>VLOOKUP(B59,'[57]2b'!$B$4:$H$34,3,0)*10%</f>
        <v>0.67557033</v>
      </c>
      <c r="H96" s="21"/>
      <c r="I96" s="21"/>
      <c r="J96" s="488">
        <f>VLOOKUP(B59,'[57]2b'!$B$4:$H$34,7,0)*10%</f>
        <v>0.998</v>
      </c>
      <c r="K96" s="488">
        <f t="shared" si="14"/>
        <v>1.10012448393164</v>
      </c>
      <c r="L96" s="488">
        <f t="shared" si="14"/>
        <v>1.15294970982297</v>
      </c>
      <c r="M96" s="488">
        <f t="shared" si="14"/>
        <v>1.20831147092575</v>
      </c>
      <c r="N96" s="488">
        <f t="shared" si="14"/>
        <v>1.26633156531599</v>
      </c>
      <c r="O96" s="488">
        <f t="shared" si="14"/>
        <v>1.32713763950868</v>
      </c>
    </row>
    <row r="97" spans="2:15">
      <c r="B97" s="21">
        <v>14</v>
      </c>
      <c r="C97" s="487" t="s">
        <v>608</v>
      </c>
      <c r="D97" s="488">
        <f>VLOOKUP(B60,'[57]2b'!$B$4:$H$34,3,0)*10%</f>
        <v>0.17569117</v>
      </c>
      <c r="E97" s="488">
        <f>VLOOKUP(B60,'[57]2b'!$B$4:$H$34,3,0)*10%</f>
        <v>0.17569117</v>
      </c>
      <c r="F97" s="488">
        <f>VLOOKUP(B60,'[57]2b'!$B$4:$H$34,3,0)*10%</f>
        <v>0.17569117</v>
      </c>
      <c r="G97" s="488">
        <f>VLOOKUP(B60,'[57]2b'!$B$4:$H$34,3,0)*10%</f>
        <v>0.17569117</v>
      </c>
      <c r="H97" s="21"/>
      <c r="I97" s="21"/>
      <c r="J97" s="488">
        <f>VLOOKUP(B60,'[57]2b'!$B$4:$H$34,7,0)*10%</f>
        <v>0.145</v>
      </c>
      <c r="K97" s="488">
        <f t="shared" si="14"/>
        <v>0.159837725621331</v>
      </c>
      <c r="L97" s="488">
        <f t="shared" si="14"/>
        <v>0.167512733391113</v>
      </c>
      <c r="M97" s="488">
        <f t="shared" si="14"/>
        <v>0.175556275835905</v>
      </c>
      <c r="N97" s="488">
        <f t="shared" si="14"/>
        <v>0.183986049068957</v>
      </c>
      <c r="O97" s="488">
        <f t="shared" si="14"/>
        <v>0.192820598926611</v>
      </c>
    </row>
    <row r="98" spans="2:15">
      <c r="B98" s="21">
        <v>15</v>
      </c>
      <c r="C98" s="487" t="s">
        <v>609</v>
      </c>
      <c r="D98" s="488">
        <f>VLOOKUP(B61,'[57]2b'!$B$4:$H$34,3,0)*10%</f>
        <v>0</v>
      </c>
      <c r="E98" s="488">
        <f>VLOOKUP(B61,'[57]2b'!$B$4:$H$34,3,0)*10%</f>
        <v>0</v>
      </c>
      <c r="F98" s="488">
        <f>VLOOKUP(B61,'[57]2b'!$B$4:$H$34,3,0)*10%</f>
        <v>0</v>
      </c>
      <c r="G98" s="488">
        <f>VLOOKUP(B61,'[57]2b'!$B$4:$H$34,3,0)*10%</f>
        <v>0</v>
      </c>
      <c r="H98" s="21"/>
      <c r="I98" s="21"/>
      <c r="J98" s="488">
        <f>VLOOKUP(B61,'[57]2b'!$B$4:$H$34,7,0)*10%</f>
        <v>0</v>
      </c>
      <c r="K98" s="488">
        <f t="shared" si="14"/>
        <v>0</v>
      </c>
      <c r="L98" s="488">
        <f t="shared" si="14"/>
        <v>0</v>
      </c>
      <c r="M98" s="488">
        <f t="shared" si="14"/>
        <v>0</v>
      </c>
      <c r="N98" s="488">
        <f t="shared" si="14"/>
        <v>0</v>
      </c>
      <c r="O98" s="488">
        <f t="shared" si="14"/>
        <v>0</v>
      </c>
    </row>
    <row r="99" spans="2:15">
      <c r="B99" s="21">
        <v>16</v>
      </c>
      <c r="C99" s="976" t="s">
        <v>610</v>
      </c>
      <c r="D99" s="488">
        <f>VLOOKUP(B62,'[57]2b'!$B$4:$H$34,3,0)*10%</f>
        <v>0</v>
      </c>
      <c r="E99" s="488">
        <f>VLOOKUP(B62,'[57]2b'!$B$4:$H$34,3,0)*10%</f>
        <v>0</v>
      </c>
      <c r="F99" s="488">
        <f>VLOOKUP(B62,'[57]2b'!$B$4:$H$34,3,0)*10%</f>
        <v>0</v>
      </c>
      <c r="G99" s="488">
        <f>VLOOKUP(B62,'[57]2b'!$B$4:$H$34,3,0)*10%</f>
        <v>0</v>
      </c>
      <c r="H99" s="21"/>
      <c r="I99" s="21"/>
      <c r="J99" s="488">
        <f>VLOOKUP(B62,'[57]2b'!$B$4:$H$34,7,0)*10%</f>
        <v>0</v>
      </c>
      <c r="K99" s="488">
        <f t="shared" si="14"/>
        <v>0</v>
      </c>
      <c r="L99" s="488">
        <f t="shared" si="14"/>
        <v>0</v>
      </c>
      <c r="M99" s="488">
        <f t="shared" si="14"/>
        <v>0</v>
      </c>
      <c r="N99" s="488">
        <f t="shared" si="14"/>
        <v>0</v>
      </c>
      <c r="O99" s="488">
        <f t="shared" si="14"/>
        <v>0</v>
      </c>
    </row>
    <row r="100" spans="2:15">
      <c r="B100" s="21">
        <v>17</v>
      </c>
      <c r="C100" s="976" t="s">
        <v>611</v>
      </c>
      <c r="D100" s="488">
        <f>VLOOKUP(B63,'[57]2b'!$B$4:$H$34,3,0)*10%</f>
        <v>0.5932071</v>
      </c>
      <c r="E100" s="488">
        <f>VLOOKUP(B63,'[57]2b'!$B$4:$H$34,3,0)*10%</f>
        <v>0.5932071</v>
      </c>
      <c r="F100" s="488">
        <f>VLOOKUP(B63,'[57]2b'!$B$4:$H$34,3,0)*10%</f>
        <v>0.5932071</v>
      </c>
      <c r="G100" s="488">
        <f>VLOOKUP(B63,'[57]2b'!$B$4:$H$34,3,0)*10%</f>
        <v>0.5932071</v>
      </c>
      <c r="H100" s="21"/>
      <c r="I100" s="21"/>
      <c r="J100" s="488">
        <f>VLOOKUP(B63,'[57]2b'!$B$4:$H$34,7,0)*10%</f>
        <v>0.901</v>
      </c>
      <c r="K100" s="488">
        <f t="shared" ref="K100:O111" si="15">10%*K26</f>
        <v>0.993198557136683</v>
      </c>
      <c r="L100" s="488">
        <f t="shared" si="15"/>
        <v>1.04088946748547</v>
      </c>
      <c r="M100" s="488">
        <f t="shared" si="15"/>
        <v>1.09087037605621</v>
      </c>
      <c r="N100" s="488">
        <f t="shared" si="15"/>
        <v>1.14325124283538</v>
      </c>
      <c r="O100" s="488">
        <f t="shared" si="15"/>
        <v>1.19814730781294</v>
      </c>
    </row>
    <row r="101" spans="2:15">
      <c r="B101" s="21">
        <v>18</v>
      </c>
      <c r="C101" s="487" t="s">
        <v>612</v>
      </c>
      <c r="D101" s="488">
        <f>VLOOKUP(B64,'[57]2b'!$B$4:$H$34,3,0)*10%</f>
        <v>0.03742913</v>
      </c>
      <c r="E101" s="488">
        <f>VLOOKUP(B64,'[57]2b'!$B$4:$H$34,3,0)*10%</f>
        <v>0.03742913</v>
      </c>
      <c r="F101" s="488">
        <f>VLOOKUP(B64,'[57]2b'!$B$4:$H$34,3,0)*10%</f>
        <v>0.03742913</v>
      </c>
      <c r="G101" s="488">
        <f>VLOOKUP(B64,'[57]2b'!$B$4:$H$34,3,0)*10%</f>
        <v>0.03742913</v>
      </c>
      <c r="H101" s="21"/>
      <c r="I101" s="21"/>
      <c r="J101" s="488">
        <f>VLOOKUP(B64,'[57]2b'!$B$4:$H$34,7,0)*10%</f>
        <v>0.041</v>
      </c>
      <c r="K101" s="488">
        <f t="shared" si="15"/>
        <v>0.0451954948308591</v>
      </c>
      <c r="L101" s="488">
        <f t="shared" si="15"/>
        <v>0.047365669441625</v>
      </c>
      <c r="M101" s="488">
        <f t="shared" si="15"/>
        <v>0.0496400504087732</v>
      </c>
      <c r="N101" s="488">
        <f t="shared" si="15"/>
        <v>0.0520236414608775</v>
      </c>
      <c r="O101" s="488">
        <f t="shared" si="15"/>
        <v>0.0545216865930418</v>
      </c>
    </row>
    <row r="102" spans="2:15">
      <c r="B102" s="21">
        <v>19</v>
      </c>
      <c r="C102" s="487" t="s">
        <v>613</v>
      </c>
      <c r="D102" s="488">
        <f>VLOOKUP(B65,'[57]2b'!$B$4:$H$34,3,0)*10%</f>
        <v>3.83184536</v>
      </c>
      <c r="E102" s="488">
        <f>VLOOKUP(B65,'[57]2b'!$B$4:$H$34,3,0)*10%</f>
        <v>3.83184536</v>
      </c>
      <c r="F102" s="488">
        <f>VLOOKUP(B65,'[57]2b'!$B$4:$H$34,3,0)*10%</f>
        <v>3.83184536</v>
      </c>
      <c r="G102" s="488">
        <f>VLOOKUP(B65,'[57]2b'!$B$4:$H$34,3,0)*10%</f>
        <v>3.83184536</v>
      </c>
      <c r="H102" s="21"/>
      <c r="I102" s="21"/>
      <c r="J102" s="488">
        <f>VLOOKUP(B65,'[57]2b'!$B$4:$H$34,7,0)*10%</f>
        <v>1.242</v>
      </c>
      <c r="K102" s="488">
        <f t="shared" si="15"/>
        <v>1.36909279463236</v>
      </c>
      <c r="L102" s="488">
        <f t="shared" si="15"/>
        <v>1.43483320601215</v>
      </c>
      <c r="M102" s="488">
        <f t="shared" si="15"/>
        <v>1.50373030750479</v>
      </c>
      <c r="N102" s="488">
        <f t="shared" si="15"/>
        <v>1.57593567547341</v>
      </c>
      <c r="O102" s="488">
        <f t="shared" si="15"/>
        <v>1.65160816459897</v>
      </c>
    </row>
    <row r="103" spans="2:15">
      <c r="B103" s="21">
        <v>20</v>
      </c>
      <c r="C103" s="487" t="s">
        <v>614</v>
      </c>
      <c r="D103" s="488">
        <f>VLOOKUP(B66,'[57]2b'!$B$4:$H$34,3,0)*10%</f>
        <v>0</v>
      </c>
      <c r="E103" s="488">
        <f>VLOOKUP(B66,'[57]2b'!$B$4:$H$34,3,0)*10%</f>
        <v>0</v>
      </c>
      <c r="F103" s="488">
        <f>VLOOKUP(B66,'[57]2b'!$B$4:$H$34,3,0)*10%</f>
        <v>0</v>
      </c>
      <c r="G103" s="488">
        <f>VLOOKUP(B66,'[57]2b'!$B$4:$H$34,3,0)*10%</f>
        <v>0</v>
      </c>
      <c r="H103" s="21"/>
      <c r="I103" s="21"/>
      <c r="J103" s="488">
        <f>VLOOKUP(B66,'[57]2b'!$B$4:$H$34,7,0)*10%</f>
        <v>0</v>
      </c>
      <c r="K103" s="488">
        <f t="shared" si="15"/>
        <v>0</v>
      </c>
      <c r="L103" s="488">
        <f t="shared" si="15"/>
        <v>0</v>
      </c>
      <c r="M103" s="488">
        <f t="shared" si="15"/>
        <v>0</v>
      </c>
      <c r="N103" s="488">
        <f t="shared" si="15"/>
        <v>0</v>
      </c>
      <c r="O103" s="488">
        <f t="shared" si="15"/>
        <v>0</v>
      </c>
    </row>
    <row r="104" spans="2:15">
      <c r="B104" s="21">
        <v>21</v>
      </c>
      <c r="C104" s="487" t="s">
        <v>615</v>
      </c>
      <c r="D104" s="488">
        <f>VLOOKUP(B67,'[57]2b'!$B$4:$H$34,3,0)*10%</f>
        <v>1.31880313</v>
      </c>
      <c r="E104" s="488">
        <f>VLOOKUP(B67,'[57]2b'!$B$4:$H$34,3,0)*10%</f>
        <v>1.31880313</v>
      </c>
      <c r="F104" s="488">
        <f>VLOOKUP(B67,'[57]2b'!$B$4:$H$34,3,0)*10%</f>
        <v>1.31880313</v>
      </c>
      <c r="G104" s="488">
        <f>VLOOKUP(B67,'[57]2b'!$B$4:$H$34,3,0)*10%</f>
        <v>1.31880313</v>
      </c>
      <c r="H104" s="21"/>
      <c r="I104" s="21"/>
      <c r="J104" s="488">
        <f>VLOOKUP(B67,'[57]2b'!$B$4:$H$34,7,0)*10%</f>
        <v>1.087</v>
      </c>
      <c r="K104" s="488">
        <f t="shared" si="15"/>
        <v>1.19823177758887</v>
      </c>
      <c r="L104" s="488">
        <f t="shared" si="15"/>
        <v>1.2557678703182</v>
      </c>
      <c r="M104" s="488">
        <f t="shared" si="15"/>
        <v>1.31606670230089</v>
      </c>
      <c r="N104" s="488">
        <f t="shared" si="15"/>
        <v>1.37926093336522</v>
      </c>
      <c r="O104" s="488">
        <f t="shared" si="15"/>
        <v>1.44548959333259</v>
      </c>
    </row>
    <row r="105" spans="2:15">
      <c r="B105" s="21">
        <v>22</v>
      </c>
      <c r="C105" s="487" t="s">
        <v>616</v>
      </c>
      <c r="D105" s="488">
        <f>VLOOKUP(B68,'[57]2b'!$B$4:$H$34,3,0)*10%</f>
        <v>0</v>
      </c>
      <c r="E105" s="488">
        <f>VLOOKUP(B68,'[57]2b'!$B$4:$H$34,3,0)*10%</f>
        <v>0</v>
      </c>
      <c r="F105" s="488">
        <f>VLOOKUP(B68,'[57]2b'!$B$4:$H$34,3,0)*10%</f>
        <v>0</v>
      </c>
      <c r="G105" s="488">
        <f>VLOOKUP(B68,'[57]2b'!$B$4:$H$34,3,0)*10%</f>
        <v>0</v>
      </c>
      <c r="H105" s="21"/>
      <c r="I105" s="21"/>
      <c r="J105" s="488">
        <f>VLOOKUP(B68,'[57]2b'!$B$4:$H$34,7,0)*10%</f>
        <v>0</v>
      </c>
      <c r="K105" s="488">
        <f t="shared" si="15"/>
        <v>0</v>
      </c>
      <c r="L105" s="488">
        <f t="shared" si="15"/>
        <v>0</v>
      </c>
      <c r="M105" s="488">
        <f t="shared" si="15"/>
        <v>0</v>
      </c>
      <c r="N105" s="488">
        <f t="shared" si="15"/>
        <v>0</v>
      </c>
      <c r="O105" s="488">
        <f t="shared" si="15"/>
        <v>0</v>
      </c>
    </row>
    <row r="106" spans="2:15">
      <c r="B106" s="21">
        <v>23</v>
      </c>
      <c r="C106" s="487" t="s">
        <v>617</v>
      </c>
      <c r="D106" s="488">
        <f>VLOOKUP(B69,'[57]2b'!$B$4:$H$34,3,0)*10%</f>
        <v>0.22295694</v>
      </c>
      <c r="E106" s="488">
        <f>VLOOKUP(B69,'[57]2b'!$B$4:$H$34,3,0)*10%</f>
        <v>0.22295694</v>
      </c>
      <c r="F106" s="488">
        <f>VLOOKUP(B69,'[57]2b'!$B$4:$H$34,3,0)*10%</f>
        <v>0.22295694</v>
      </c>
      <c r="G106" s="488">
        <f>VLOOKUP(B69,'[57]2b'!$B$4:$H$34,3,0)*10%</f>
        <v>0.22295694</v>
      </c>
      <c r="H106" s="21"/>
      <c r="I106" s="21"/>
      <c r="J106" s="488">
        <f>VLOOKUP(B69,'[57]2b'!$B$4:$H$34,7,0)*10%</f>
        <v>0.232</v>
      </c>
      <c r="K106" s="488">
        <f t="shared" si="15"/>
        <v>0.255740360994129</v>
      </c>
      <c r="L106" s="488">
        <f t="shared" si="15"/>
        <v>0.268020373425781</v>
      </c>
      <c r="M106" s="488">
        <f t="shared" si="15"/>
        <v>0.280890041337449</v>
      </c>
      <c r="N106" s="488">
        <f t="shared" si="15"/>
        <v>0.294377678510331</v>
      </c>
      <c r="O106" s="488">
        <f t="shared" si="15"/>
        <v>0.308512958282578</v>
      </c>
    </row>
    <row r="107" spans="2:15">
      <c r="B107" s="21">
        <v>24</v>
      </c>
      <c r="C107" s="487" t="s">
        <v>618</v>
      </c>
      <c r="D107" s="488">
        <f>VLOOKUP(B70,'[57]2b'!$B$4:$H$34,3,0)*10%</f>
        <v>0.008747</v>
      </c>
      <c r="E107" s="488">
        <f>VLOOKUP(B70,'[57]2b'!$B$4:$H$34,3,0)*10%</f>
        <v>0.008747</v>
      </c>
      <c r="F107" s="488">
        <f>VLOOKUP(B70,'[57]2b'!$B$4:$H$34,3,0)*10%</f>
        <v>0.008747</v>
      </c>
      <c r="G107" s="488">
        <f>VLOOKUP(B70,'[57]2b'!$B$4:$H$34,3,0)*10%</f>
        <v>0.008747</v>
      </c>
      <c r="H107" s="21"/>
      <c r="I107" s="21"/>
      <c r="J107" s="488">
        <f>VLOOKUP(B70,'[57]2b'!$B$4:$H$34,7,0)*10%</f>
        <v>0.011</v>
      </c>
      <c r="K107" s="488">
        <f t="shared" si="15"/>
        <v>0.0121256205643768</v>
      </c>
      <c r="L107" s="488">
        <f t="shared" si="15"/>
        <v>0.0127078625331189</v>
      </c>
      <c r="M107" s="488">
        <f t="shared" si="15"/>
        <v>0.0133180623047928</v>
      </c>
      <c r="N107" s="488">
        <f t="shared" si="15"/>
        <v>0.0139575623431623</v>
      </c>
      <c r="O107" s="488">
        <f t="shared" si="15"/>
        <v>0.0146277695737429</v>
      </c>
    </row>
    <row r="108" spans="2:15">
      <c r="B108" s="21">
        <v>25</v>
      </c>
      <c r="C108" s="487" t="s">
        <v>619</v>
      </c>
      <c r="D108" s="488">
        <f>VLOOKUP(B71,'[57]2b'!$B$4:$H$34,3,0)*10%</f>
        <v>0</v>
      </c>
      <c r="E108" s="488">
        <f>VLOOKUP(B71,'[57]2b'!$B$4:$H$34,3,0)*10%</f>
        <v>0</v>
      </c>
      <c r="F108" s="488">
        <f>VLOOKUP(B71,'[57]2b'!$B$4:$H$34,3,0)*10%</f>
        <v>0</v>
      </c>
      <c r="G108" s="488">
        <f>VLOOKUP(B71,'[57]2b'!$B$4:$H$34,3,0)*10%</f>
        <v>0</v>
      </c>
      <c r="H108" s="21"/>
      <c r="I108" s="21"/>
      <c r="J108" s="488">
        <f>VLOOKUP(B71,'[57]2b'!$B$4:$H$34,7,0)*10%</f>
        <v>0.241</v>
      </c>
      <c r="K108" s="488">
        <f t="shared" si="15"/>
        <v>0.265661323274074</v>
      </c>
      <c r="L108" s="488">
        <f t="shared" si="15"/>
        <v>0.278417715498332</v>
      </c>
      <c r="M108" s="488">
        <f t="shared" si="15"/>
        <v>0.291786637768643</v>
      </c>
      <c r="N108" s="488">
        <f t="shared" si="15"/>
        <v>0.305797502245646</v>
      </c>
      <c r="O108" s="488">
        <f t="shared" si="15"/>
        <v>0.320481133388367</v>
      </c>
    </row>
    <row r="109" spans="2:15">
      <c r="B109" s="21">
        <v>26</v>
      </c>
      <c r="C109" s="487" t="s">
        <v>620</v>
      </c>
      <c r="D109" s="488">
        <f>VLOOKUP(B72,'[57]2b'!$B$4:$H$34,3,0)*10%</f>
        <v>0.57003685</v>
      </c>
      <c r="E109" s="488">
        <f>VLOOKUP(B72,'[57]2b'!$B$4:$H$34,3,0)*10%</f>
        <v>0.57003685</v>
      </c>
      <c r="F109" s="488">
        <f>VLOOKUP(B72,'[57]2b'!$B$4:$H$34,3,0)*10%</f>
        <v>0.57003685</v>
      </c>
      <c r="G109" s="488">
        <f>VLOOKUP(B72,'[57]2b'!$B$4:$H$34,3,0)*10%</f>
        <v>0.57003685</v>
      </c>
      <c r="H109" s="21"/>
      <c r="I109" s="21"/>
      <c r="J109" s="488">
        <f>VLOOKUP(B72,'[57]2b'!$B$4:$H$34,7,0)*10%</f>
        <v>1.345</v>
      </c>
      <c r="K109" s="488">
        <f t="shared" si="15"/>
        <v>1.48263269628062</v>
      </c>
      <c r="L109" s="488">
        <f t="shared" si="15"/>
        <v>1.55382500973136</v>
      </c>
      <c r="M109" s="488">
        <f t="shared" si="15"/>
        <v>1.62843579999512</v>
      </c>
      <c r="N109" s="488">
        <f t="shared" si="15"/>
        <v>1.70662921377757</v>
      </c>
      <c r="O109" s="488">
        <f t="shared" si="15"/>
        <v>1.78857727969857</v>
      </c>
    </row>
    <row r="110" spans="2:15">
      <c r="B110" s="21">
        <v>27</v>
      </c>
      <c r="C110" s="487" t="s">
        <v>621</v>
      </c>
      <c r="D110" s="488">
        <f>VLOOKUP(B73,'[57]2b'!$B$4:$H$34,3,0)*10%</f>
        <v>0.54529457</v>
      </c>
      <c r="E110" s="488">
        <f>VLOOKUP(B73,'[57]2b'!$B$4:$H$34,3,0)*10%</f>
        <v>0.54529457</v>
      </c>
      <c r="F110" s="488">
        <f>VLOOKUP(B73,'[57]2b'!$B$4:$H$34,3,0)*10%</f>
        <v>0.54529457</v>
      </c>
      <c r="G110" s="488">
        <f>VLOOKUP(B73,'[57]2b'!$B$4:$H$34,3,0)*10%</f>
        <v>0.54529457</v>
      </c>
      <c r="H110" s="21"/>
      <c r="I110" s="21"/>
      <c r="J110" s="488">
        <f>VLOOKUP(B73,'[57]2b'!$B$4:$H$34,7,0)*10%</f>
        <v>0.751</v>
      </c>
      <c r="K110" s="488">
        <f t="shared" si="15"/>
        <v>0.827849185804272</v>
      </c>
      <c r="L110" s="488">
        <f t="shared" si="15"/>
        <v>0.867600432942936</v>
      </c>
      <c r="M110" s="488">
        <f t="shared" si="15"/>
        <v>0.90926043553631</v>
      </c>
      <c r="N110" s="488">
        <f t="shared" si="15"/>
        <v>0.952920847246805</v>
      </c>
      <c r="O110" s="488">
        <f t="shared" si="15"/>
        <v>0.998677722716448</v>
      </c>
    </row>
    <row r="111" spans="2:15">
      <c r="B111" s="21">
        <v>28</v>
      </c>
      <c r="C111" s="487" t="s">
        <v>440</v>
      </c>
      <c r="D111" s="488">
        <f>VLOOKUP(B74,'[57]2b'!$B$4:$H$34,3,0)*10%</f>
        <v>0.18815399</v>
      </c>
      <c r="E111" s="488">
        <f>VLOOKUP(B74,'[57]2b'!$B$4:$H$34,3,0)*10%</f>
        <v>0.18815399</v>
      </c>
      <c r="F111" s="488">
        <f>VLOOKUP(B74,'[57]2b'!$B$4:$H$34,3,0)*10%</f>
        <v>0.18815399</v>
      </c>
      <c r="G111" s="488">
        <f>VLOOKUP(B74,'[57]2b'!$B$4:$H$34,3,0)*10%</f>
        <v>0.18815399</v>
      </c>
      <c r="H111" s="21"/>
      <c r="I111" s="21"/>
      <c r="J111" s="488">
        <f>VLOOKUP(B74,'[57]2b'!$B$4:$H$34,7,0)*10%</f>
        <v>0.241</v>
      </c>
      <c r="K111" s="488">
        <f t="shared" si="15"/>
        <v>0.265661323274074</v>
      </c>
      <c r="L111" s="488">
        <f t="shared" si="15"/>
        <v>0.278417715498332</v>
      </c>
      <c r="M111" s="488">
        <f t="shared" si="15"/>
        <v>0.291786637768643</v>
      </c>
      <c r="N111" s="488">
        <f t="shared" si="15"/>
        <v>0.305797502245646</v>
      </c>
      <c r="O111" s="488">
        <f t="shared" si="15"/>
        <v>0.320481133388367</v>
      </c>
    </row>
    <row r="112" ht="15" spans="2:15">
      <c r="B112" s="21">
        <v>29</v>
      </c>
      <c r="C112" s="491" t="s">
        <v>622</v>
      </c>
      <c r="D112" s="492">
        <f>SUM(D84:D111)</f>
        <v>15.86552551</v>
      </c>
      <c r="E112" s="492">
        <f t="shared" ref="E112:O112" si="16">SUM(E84:E111)</f>
        <v>15.86552551</v>
      </c>
      <c r="F112" s="492">
        <f t="shared" si="16"/>
        <v>15.86552551</v>
      </c>
      <c r="G112" s="492">
        <f t="shared" si="16"/>
        <v>15.86552551</v>
      </c>
      <c r="H112" s="30">
        <f t="shared" si="16"/>
        <v>0</v>
      </c>
      <c r="I112" s="30">
        <f t="shared" si="16"/>
        <v>0</v>
      </c>
      <c r="J112" s="492">
        <f t="shared" si="16"/>
        <v>17.008</v>
      </c>
      <c r="K112" s="492">
        <f t="shared" si="16"/>
        <v>18.748414050811</v>
      </c>
      <c r="L112" s="492">
        <f t="shared" si="16"/>
        <v>19.6486659966624</v>
      </c>
      <c r="M112" s="492">
        <f t="shared" si="16"/>
        <v>20.5921457890833</v>
      </c>
      <c r="N112" s="492">
        <f t="shared" si="16"/>
        <v>21.5809291211367</v>
      </c>
      <c r="O112" s="492">
        <f t="shared" si="16"/>
        <v>22.6171913554745</v>
      </c>
    </row>
    <row r="113" ht="15" spans="2:15">
      <c r="B113" s="21">
        <v>30</v>
      </c>
      <c r="C113" s="354" t="s">
        <v>592</v>
      </c>
      <c r="D113" s="488">
        <f>VLOOKUP(B76,'[57]2b'!$B$4:$H$34,3,0)*10%</f>
        <v>-1.57478052</v>
      </c>
      <c r="E113" s="488">
        <f>VLOOKUP(B76,'[57]2b'!$B$4:$H$34,3,0)*10%</f>
        <v>-1.57478052</v>
      </c>
      <c r="F113" s="488">
        <f>VLOOKUP(B76,'[57]2b'!$B$4:$H$34,3,0)*10%</f>
        <v>-1.57478052</v>
      </c>
      <c r="G113" s="488">
        <f>VLOOKUP(B76,'[57]2b'!$B$4:$H$34,3,0)*10%</f>
        <v>-1.57478052</v>
      </c>
      <c r="H113" s="497"/>
      <c r="I113" s="497"/>
      <c r="J113" s="488">
        <f>VLOOKUP(B76,'[57]2b'!$B$4:$H$34,7,0)*10%</f>
        <v>1.807</v>
      </c>
      <c r="K113" s="499">
        <f>$J$113/$J$112*K112</f>
        <v>1.99190875998445</v>
      </c>
      <c r="L113" s="499">
        <f t="shared" ref="L113:O113" si="17">$J$113/$J$112*L112</f>
        <v>2.08755523612235</v>
      </c>
      <c r="M113" s="499">
        <f t="shared" si="17"/>
        <v>2.18779441679642</v>
      </c>
      <c r="N113" s="499">
        <f t="shared" si="17"/>
        <v>2.29284683219038</v>
      </c>
      <c r="O113" s="499">
        <f t="shared" si="17"/>
        <v>2.40294360179577</v>
      </c>
    </row>
    <row r="114" ht="15" spans="2:15">
      <c r="B114" s="21">
        <v>31</v>
      </c>
      <c r="C114" s="19" t="s">
        <v>623</v>
      </c>
      <c r="D114" s="492">
        <f>D112-D113</f>
        <v>17.44030603</v>
      </c>
      <c r="E114" s="492">
        <f t="shared" ref="E114:O114" si="18">E112-E113</f>
        <v>17.44030603</v>
      </c>
      <c r="F114" s="492">
        <f t="shared" si="18"/>
        <v>17.44030603</v>
      </c>
      <c r="G114" s="492">
        <f t="shared" si="18"/>
        <v>17.44030603</v>
      </c>
      <c r="H114" s="30">
        <f t="shared" si="18"/>
        <v>0</v>
      </c>
      <c r="I114" s="30">
        <f t="shared" si="18"/>
        <v>0</v>
      </c>
      <c r="J114" s="492">
        <f t="shared" si="18"/>
        <v>15.201</v>
      </c>
      <c r="K114" s="492">
        <f t="shared" si="18"/>
        <v>16.7565052908266</v>
      </c>
      <c r="L114" s="492">
        <f t="shared" si="18"/>
        <v>17.56111076054</v>
      </c>
      <c r="M114" s="492">
        <f t="shared" si="18"/>
        <v>18.4043513722869</v>
      </c>
      <c r="N114" s="492">
        <f t="shared" si="18"/>
        <v>19.2880822889463</v>
      </c>
      <c r="O114" s="492">
        <f t="shared" si="18"/>
        <v>20.2142477536787</v>
      </c>
    </row>
  </sheetData>
  <mergeCells count="12">
    <mergeCell ref="H7:J7"/>
    <mergeCell ref="K7:O7"/>
    <mergeCell ref="H44:J44"/>
    <mergeCell ref="K44:O44"/>
    <mergeCell ref="H81:J81"/>
    <mergeCell ref="K81:O81"/>
    <mergeCell ref="B7:B9"/>
    <mergeCell ref="B44:B46"/>
    <mergeCell ref="B81:B83"/>
    <mergeCell ref="C7:C9"/>
    <mergeCell ref="C44:C46"/>
    <mergeCell ref="C81:C83"/>
  </mergeCells>
  <pageMargins left="0.75" right="0.75" top="1" bottom="1" header="0.5" footer="0.5"/>
  <pageSetup paperSize="9" scale="28" orientation="landscape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  <pageSetUpPr fitToPage="1"/>
  </sheetPr>
  <dimension ref="B2:O64"/>
  <sheetViews>
    <sheetView showGridLines="0" zoomScale="68" zoomScaleNormal="68" zoomScaleSheetLayoutView="90" topLeftCell="B2" workbookViewId="0">
      <selection activeCell="R21" sqref="R21"/>
    </sheetView>
  </sheetViews>
  <sheetFormatPr defaultColWidth="9.14285714285714" defaultRowHeight="14.25"/>
  <cols>
    <col min="1" max="1" width="6.85714285714286" style="15" customWidth="1"/>
    <col min="2" max="2" width="8.85714285714286" style="486" customWidth="1"/>
    <col min="3" max="3" width="45.8571428571429" style="15" customWidth="1"/>
    <col min="4" max="10" width="15.8571428571429" style="15" customWidth="1"/>
    <col min="11" max="12" width="12.1428571428571" style="15" customWidth="1"/>
    <col min="13" max="13" width="13" style="15" customWidth="1"/>
    <col min="14" max="14" width="13.4285714285714" style="15" customWidth="1"/>
    <col min="15" max="15" width="12.8571428571429" style="15" customWidth="1"/>
    <col min="16" max="16384" width="9.14285714285714" style="15"/>
  </cols>
  <sheetData>
    <row r="2" ht="15" spans="3:12">
      <c r="C2" s="12"/>
      <c r="D2" s="12"/>
      <c r="E2" s="12"/>
      <c r="F2" s="12"/>
      <c r="G2" s="12"/>
      <c r="H2" s="2" t="s">
        <v>758</v>
      </c>
      <c r="I2" s="12"/>
      <c r="J2" s="12"/>
      <c r="K2" s="12"/>
      <c r="L2" s="12"/>
    </row>
    <row r="3" s="479" customFormat="1" ht="15" spans="3:12">
      <c r="C3" s="12"/>
      <c r="D3" s="12"/>
      <c r="E3" s="12"/>
      <c r="F3" s="12"/>
      <c r="G3" s="12"/>
      <c r="H3" s="3" t="s">
        <v>624</v>
      </c>
      <c r="I3" s="12"/>
      <c r="J3" s="12"/>
      <c r="K3" s="12"/>
      <c r="L3" s="12"/>
    </row>
    <row r="4" s="479" customFormat="1" ht="15" spans="3:12">
      <c r="C4" s="12"/>
      <c r="D4" s="12"/>
      <c r="E4" s="12"/>
      <c r="F4" s="12"/>
      <c r="G4" s="12"/>
      <c r="H4" s="3"/>
      <c r="I4" s="12"/>
      <c r="J4" s="12"/>
      <c r="K4" s="12"/>
      <c r="L4" s="12"/>
    </row>
    <row r="5" ht="15" spans="2:2">
      <c r="B5" s="322" t="s">
        <v>763</v>
      </c>
    </row>
    <row r="6" ht="15" spans="15:15">
      <c r="O6" s="33" t="s">
        <v>109</v>
      </c>
    </row>
    <row r="7" ht="12.75" customHeight="1" spans="2:15">
      <c r="B7" s="5" t="s">
        <v>3</v>
      </c>
      <c r="C7" s="6" t="s">
        <v>110</v>
      </c>
      <c r="D7" s="5" t="s">
        <v>565</v>
      </c>
      <c r="E7" s="5" t="s">
        <v>566</v>
      </c>
      <c r="F7" s="5" t="s">
        <v>567</v>
      </c>
      <c r="G7" s="5" t="s">
        <v>112</v>
      </c>
      <c r="H7" s="5" t="s">
        <v>760</v>
      </c>
      <c r="I7" s="5"/>
      <c r="J7" s="5"/>
      <c r="K7" s="135" t="s">
        <v>114</v>
      </c>
      <c r="L7" s="135"/>
      <c r="M7" s="135"/>
      <c r="N7" s="135"/>
      <c r="O7" s="135"/>
    </row>
    <row r="8" ht="15" spans="2:15">
      <c r="B8" s="5"/>
      <c r="C8" s="6"/>
      <c r="D8" s="5" t="s">
        <v>237</v>
      </c>
      <c r="E8" s="5" t="s">
        <v>237</v>
      </c>
      <c r="F8" s="5" t="s">
        <v>237</v>
      </c>
      <c r="G8" s="5" t="s">
        <v>237</v>
      </c>
      <c r="H8" s="5" t="s">
        <v>119</v>
      </c>
      <c r="I8" s="5" t="s">
        <v>120</v>
      </c>
      <c r="J8" s="5" t="s">
        <v>238</v>
      </c>
      <c r="K8" s="5" t="s">
        <v>514</v>
      </c>
      <c r="L8" s="5" t="s">
        <v>515</v>
      </c>
      <c r="M8" s="5" t="s">
        <v>516</v>
      </c>
      <c r="N8" s="5" t="s">
        <v>517</v>
      </c>
      <c r="O8" s="5" t="s">
        <v>518</v>
      </c>
    </row>
    <row r="9" ht="15" spans="2:15">
      <c r="B9" s="5"/>
      <c r="C9" s="6"/>
      <c r="D9" s="5" t="s">
        <v>128</v>
      </c>
      <c r="E9" s="5" t="s">
        <v>128</v>
      </c>
      <c r="F9" s="5" t="s">
        <v>128</v>
      </c>
      <c r="G9" s="5" t="s">
        <v>128</v>
      </c>
      <c r="H9" s="5" t="s">
        <v>130</v>
      </c>
      <c r="I9" s="5" t="s">
        <v>131</v>
      </c>
      <c r="J9" s="5" t="s">
        <v>128</v>
      </c>
      <c r="K9" s="5" t="s">
        <v>132</v>
      </c>
      <c r="L9" s="5" t="s">
        <v>132</v>
      </c>
      <c r="M9" s="5" t="s">
        <v>132</v>
      </c>
      <c r="N9" s="5" t="s">
        <v>132</v>
      </c>
      <c r="O9" s="5" t="s">
        <v>132</v>
      </c>
    </row>
    <row r="10" spans="2:15">
      <c r="B10" s="20">
        <v>1</v>
      </c>
      <c r="C10" s="487" t="s">
        <v>625</v>
      </c>
      <c r="D10" s="488">
        <f t="shared" ref="D10:J19" si="0">D30+D50</f>
        <v>68.8837685</v>
      </c>
      <c r="E10" s="488">
        <f t="shared" si="0"/>
        <v>77.5958344</v>
      </c>
      <c r="F10" s="488">
        <f t="shared" si="0"/>
        <v>87.77</v>
      </c>
      <c r="G10" s="488">
        <f t="shared" si="0"/>
        <v>84.41</v>
      </c>
      <c r="H10" s="488">
        <f t="shared" si="0"/>
        <v>0</v>
      </c>
      <c r="I10" s="488">
        <f t="shared" si="0"/>
        <v>0</v>
      </c>
      <c r="J10" s="351">
        <f t="shared" si="0"/>
        <v>120.94</v>
      </c>
      <c r="K10" s="351">
        <f t="shared" ref="K10:O19" si="1">J10/J$20*K$20</f>
        <v>106.598879341914</v>
      </c>
      <c r="L10" s="351">
        <f t="shared" si="1"/>
        <v>127.864077116959</v>
      </c>
      <c r="M10" s="351">
        <f t="shared" si="1"/>
        <v>154.791277376754</v>
      </c>
      <c r="N10" s="351">
        <f t="shared" si="1"/>
        <v>183.984294879327</v>
      </c>
      <c r="O10" s="351">
        <f t="shared" si="1"/>
        <v>214.923228326096</v>
      </c>
    </row>
    <row r="11" spans="2:15">
      <c r="B11" s="20">
        <v>2</v>
      </c>
      <c r="C11" s="487" t="s">
        <v>626</v>
      </c>
      <c r="D11" s="488">
        <f t="shared" si="0"/>
        <v>1.6172103</v>
      </c>
      <c r="E11" s="488">
        <f t="shared" si="0"/>
        <v>1.6109865</v>
      </c>
      <c r="F11" s="488">
        <f t="shared" si="0"/>
        <v>1.5</v>
      </c>
      <c r="G11" s="488">
        <f t="shared" si="0"/>
        <v>0.76</v>
      </c>
      <c r="H11" s="488">
        <f t="shared" si="0"/>
        <v>0</v>
      </c>
      <c r="I11" s="488">
        <f t="shared" si="0"/>
        <v>0</v>
      </c>
      <c r="J11" s="351">
        <f t="shared" si="0"/>
        <v>0.06</v>
      </c>
      <c r="K11" s="351">
        <f t="shared" si="1"/>
        <v>0.0528851724864796</v>
      </c>
      <c r="L11" s="351">
        <f t="shared" si="1"/>
        <v>0.0634351300398344</v>
      </c>
      <c r="M11" s="351">
        <f t="shared" si="1"/>
        <v>0.0767940850223687</v>
      </c>
      <c r="N11" s="351">
        <f t="shared" si="1"/>
        <v>0.0912771431516424</v>
      </c>
      <c r="O11" s="351">
        <f t="shared" si="1"/>
        <v>0.106626374231567</v>
      </c>
    </row>
    <row r="12" spans="2:15">
      <c r="B12" s="20">
        <v>3</v>
      </c>
      <c r="C12" s="487" t="s">
        <v>627</v>
      </c>
      <c r="D12" s="488">
        <f t="shared" si="0"/>
        <v>6.8628019</v>
      </c>
      <c r="E12" s="488">
        <f t="shared" si="0"/>
        <v>8.286688</v>
      </c>
      <c r="F12" s="488">
        <f t="shared" si="0"/>
        <v>12.39</v>
      </c>
      <c r="G12" s="488">
        <f t="shared" si="0"/>
        <v>9.81</v>
      </c>
      <c r="H12" s="488">
        <f t="shared" si="0"/>
        <v>0</v>
      </c>
      <c r="I12" s="488">
        <f t="shared" si="0"/>
        <v>0</v>
      </c>
      <c r="J12" s="351">
        <f t="shared" si="0"/>
        <v>9.97</v>
      </c>
      <c r="K12" s="351">
        <f t="shared" si="1"/>
        <v>8.78775282817002</v>
      </c>
      <c r="L12" s="351">
        <f t="shared" si="1"/>
        <v>10.5408041082858</v>
      </c>
      <c r="M12" s="351">
        <f t="shared" si="1"/>
        <v>12.7606171278836</v>
      </c>
      <c r="N12" s="351">
        <f t="shared" si="1"/>
        <v>15.1672186203646</v>
      </c>
      <c r="O12" s="351">
        <f t="shared" si="1"/>
        <v>17.7177491848121</v>
      </c>
    </row>
    <row r="13" spans="2:15">
      <c r="B13" s="20">
        <v>4</v>
      </c>
      <c r="C13" s="487" t="s">
        <v>628</v>
      </c>
      <c r="D13" s="488">
        <f t="shared" si="0"/>
        <v>0</v>
      </c>
      <c r="E13" s="488">
        <f t="shared" si="0"/>
        <v>0</v>
      </c>
      <c r="F13" s="488">
        <f t="shared" si="0"/>
        <v>0</v>
      </c>
      <c r="G13" s="488">
        <f t="shared" si="0"/>
        <v>0</v>
      </c>
      <c r="H13" s="488">
        <f t="shared" si="0"/>
        <v>0</v>
      </c>
      <c r="I13" s="488">
        <f t="shared" si="0"/>
        <v>0</v>
      </c>
      <c r="J13" s="351">
        <f t="shared" si="0"/>
        <v>0</v>
      </c>
      <c r="K13" s="351">
        <f t="shared" si="1"/>
        <v>0</v>
      </c>
      <c r="L13" s="351">
        <f t="shared" si="1"/>
        <v>0</v>
      </c>
      <c r="M13" s="351">
        <f t="shared" si="1"/>
        <v>0</v>
      </c>
      <c r="N13" s="351">
        <f t="shared" si="1"/>
        <v>0</v>
      </c>
      <c r="O13" s="351">
        <f t="shared" si="1"/>
        <v>0</v>
      </c>
    </row>
    <row r="14" spans="2:15">
      <c r="B14" s="20">
        <v>5</v>
      </c>
      <c r="C14" s="487" t="s">
        <v>629</v>
      </c>
      <c r="D14" s="488">
        <f t="shared" si="0"/>
        <v>32.1927425</v>
      </c>
      <c r="E14" s="488">
        <f t="shared" si="0"/>
        <v>56.6803026</v>
      </c>
      <c r="F14" s="488">
        <f t="shared" si="0"/>
        <v>49.9</v>
      </c>
      <c r="G14" s="488">
        <f t="shared" si="0"/>
        <v>57.35</v>
      </c>
      <c r="H14" s="488">
        <f t="shared" si="0"/>
        <v>0</v>
      </c>
      <c r="I14" s="488">
        <f t="shared" si="0"/>
        <v>0</v>
      </c>
      <c r="J14" s="351">
        <f t="shared" si="0"/>
        <v>63.63</v>
      </c>
      <c r="K14" s="351">
        <f t="shared" si="1"/>
        <v>56.0847254219116</v>
      </c>
      <c r="L14" s="351">
        <f t="shared" si="1"/>
        <v>67.2729554072443</v>
      </c>
      <c r="M14" s="351">
        <f t="shared" si="1"/>
        <v>81.440127166222</v>
      </c>
      <c r="N14" s="351">
        <f t="shared" si="1"/>
        <v>96.7994103123168</v>
      </c>
      <c r="O14" s="351">
        <f t="shared" si="1"/>
        <v>113.077269872577</v>
      </c>
    </row>
    <row r="15" spans="2:15">
      <c r="B15" s="20">
        <v>6</v>
      </c>
      <c r="C15" s="487" t="s">
        <v>630</v>
      </c>
      <c r="D15" s="488">
        <f t="shared" si="0"/>
        <v>2.1406478</v>
      </c>
      <c r="E15" s="488">
        <f t="shared" si="0"/>
        <v>1.1694712</v>
      </c>
      <c r="F15" s="488">
        <f t="shared" si="0"/>
        <v>40.1</v>
      </c>
      <c r="G15" s="488">
        <f t="shared" si="0"/>
        <v>35.2</v>
      </c>
      <c r="H15" s="488">
        <f t="shared" si="0"/>
        <v>0</v>
      </c>
      <c r="I15" s="488">
        <f t="shared" si="0"/>
        <v>0</v>
      </c>
      <c r="J15" s="351">
        <f t="shared" si="0"/>
        <v>39.3</v>
      </c>
      <c r="K15" s="351">
        <f t="shared" si="1"/>
        <v>34.6397879786441</v>
      </c>
      <c r="L15" s="351">
        <f t="shared" si="1"/>
        <v>41.5500101760915</v>
      </c>
      <c r="M15" s="351">
        <f t="shared" si="1"/>
        <v>50.3001256896515</v>
      </c>
      <c r="N15" s="351">
        <f t="shared" si="1"/>
        <v>59.7865287643258</v>
      </c>
      <c r="O15" s="351">
        <f t="shared" si="1"/>
        <v>69.8402751216767</v>
      </c>
    </row>
    <row r="16" spans="2:15">
      <c r="B16" s="20">
        <v>7</v>
      </c>
      <c r="C16" s="487" t="s">
        <v>631</v>
      </c>
      <c r="D16" s="488">
        <f t="shared" si="0"/>
        <v>0.4639077</v>
      </c>
      <c r="E16" s="488">
        <f t="shared" si="0"/>
        <v>0.5043186</v>
      </c>
      <c r="F16" s="488">
        <f t="shared" si="0"/>
        <v>0.34</v>
      </c>
      <c r="G16" s="488">
        <f t="shared" si="0"/>
        <v>0.23</v>
      </c>
      <c r="H16" s="488">
        <f t="shared" si="0"/>
        <v>0</v>
      </c>
      <c r="I16" s="488">
        <f t="shared" si="0"/>
        <v>0</v>
      </c>
      <c r="J16" s="351">
        <f t="shared" si="0"/>
        <v>0</v>
      </c>
      <c r="K16" s="351">
        <f t="shared" si="1"/>
        <v>0</v>
      </c>
      <c r="L16" s="351">
        <f t="shared" si="1"/>
        <v>0</v>
      </c>
      <c r="M16" s="351">
        <f t="shared" si="1"/>
        <v>0</v>
      </c>
      <c r="N16" s="351">
        <f t="shared" si="1"/>
        <v>0</v>
      </c>
      <c r="O16" s="351">
        <f t="shared" si="1"/>
        <v>0</v>
      </c>
    </row>
    <row r="17" spans="2:15">
      <c r="B17" s="20">
        <v>8</v>
      </c>
      <c r="C17" s="487" t="s">
        <v>632</v>
      </c>
      <c r="D17" s="488">
        <f t="shared" si="0"/>
        <v>1.3818494</v>
      </c>
      <c r="E17" s="488">
        <f t="shared" si="0"/>
        <v>0.5996207</v>
      </c>
      <c r="F17" s="488">
        <f t="shared" si="0"/>
        <v>4.41</v>
      </c>
      <c r="G17" s="488">
        <f t="shared" si="0"/>
        <v>0.59</v>
      </c>
      <c r="H17" s="488">
        <f t="shared" si="0"/>
        <v>0</v>
      </c>
      <c r="I17" s="488">
        <f t="shared" si="0"/>
        <v>0</v>
      </c>
      <c r="J17" s="351">
        <f t="shared" si="0"/>
        <v>0.01</v>
      </c>
      <c r="K17" s="351">
        <f t="shared" si="1"/>
        <v>0.00881419541441326</v>
      </c>
      <c r="L17" s="351">
        <f t="shared" si="1"/>
        <v>0.0105725216733057</v>
      </c>
      <c r="M17" s="351">
        <f t="shared" si="1"/>
        <v>0.0127990141703948</v>
      </c>
      <c r="N17" s="351">
        <f t="shared" si="1"/>
        <v>0.0152128571919404</v>
      </c>
      <c r="O17" s="351">
        <f t="shared" si="1"/>
        <v>0.0177710623719279</v>
      </c>
    </row>
    <row r="18" ht="15.75" spans="2:15">
      <c r="B18" s="616">
        <v>9</v>
      </c>
      <c r="C18" s="617" t="s">
        <v>766</v>
      </c>
      <c r="D18" s="488">
        <f t="shared" si="0"/>
        <v>3.5528336</v>
      </c>
      <c r="E18" s="488">
        <f t="shared" si="0"/>
        <v>1.681648</v>
      </c>
      <c r="F18" s="488">
        <f t="shared" si="0"/>
        <v>2.29</v>
      </c>
      <c r="G18" s="488">
        <f t="shared" si="0"/>
        <v>5.54</v>
      </c>
      <c r="H18" s="488">
        <f t="shared" si="0"/>
        <v>0</v>
      </c>
      <c r="I18" s="488">
        <f t="shared" si="0"/>
        <v>0</v>
      </c>
      <c r="J18" s="351">
        <f t="shared" si="0"/>
        <v>8.47</v>
      </c>
      <c r="K18" s="351">
        <f t="shared" si="1"/>
        <v>7.46562351600803</v>
      </c>
      <c r="L18" s="351">
        <f t="shared" si="1"/>
        <v>8.95492585728995</v>
      </c>
      <c r="M18" s="351">
        <f t="shared" si="1"/>
        <v>10.8407650023244</v>
      </c>
      <c r="N18" s="351">
        <f t="shared" si="1"/>
        <v>12.8852900415735</v>
      </c>
      <c r="O18" s="351">
        <f t="shared" si="1"/>
        <v>15.0520898290229</v>
      </c>
    </row>
    <row r="19" ht="15.75" spans="2:15">
      <c r="B19" s="616">
        <v>10</v>
      </c>
      <c r="C19" s="617" t="s">
        <v>767</v>
      </c>
      <c r="D19" s="488">
        <f t="shared" si="0"/>
        <v>0.1125318</v>
      </c>
      <c r="E19" s="488">
        <f t="shared" si="0"/>
        <v>0.1096673</v>
      </c>
      <c r="F19" s="488">
        <f t="shared" si="0"/>
        <v>0.01</v>
      </c>
      <c r="G19" s="488">
        <f t="shared" si="0"/>
        <v>0.04</v>
      </c>
      <c r="H19" s="488">
        <f t="shared" si="0"/>
        <v>0</v>
      </c>
      <c r="I19" s="488">
        <f t="shared" si="0"/>
        <v>0</v>
      </c>
      <c r="J19" s="351">
        <f t="shared" si="0"/>
        <v>0.06</v>
      </c>
      <c r="K19" s="351">
        <f t="shared" si="1"/>
        <v>0.0528851724864796</v>
      </c>
      <c r="L19" s="351">
        <f t="shared" si="1"/>
        <v>0.0634351300398344</v>
      </c>
      <c r="M19" s="351">
        <f t="shared" si="1"/>
        <v>0.0767940850223687</v>
      </c>
      <c r="N19" s="351">
        <f t="shared" si="1"/>
        <v>0.0912771431516424</v>
      </c>
      <c r="O19" s="351">
        <f t="shared" si="1"/>
        <v>0.106626374231567</v>
      </c>
    </row>
    <row r="20" ht="15" spans="2:15">
      <c r="B20" s="20">
        <v>11</v>
      </c>
      <c r="C20" s="491" t="s">
        <v>633</v>
      </c>
      <c r="D20" s="492">
        <f>SUM(D10:D19)</f>
        <v>117.2082935</v>
      </c>
      <c r="E20" s="492">
        <f t="shared" ref="E20:J20" si="2">SUM(E10:E19)</f>
        <v>148.2385373</v>
      </c>
      <c r="F20" s="492">
        <f t="shared" si="2"/>
        <v>198.71</v>
      </c>
      <c r="G20" s="492">
        <f t="shared" si="2"/>
        <v>193.93</v>
      </c>
      <c r="H20" s="492">
        <f t="shared" si="2"/>
        <v>0</v>
      </c>
      <c r="I20" s="492">
        <f t="shared" si="2"/>
        <v>0</v>
      </c>
      <c r="J20" s="492">
        <f t="shared" si="2"/>
        <v>242.44</v>
      </c>
      <c r="K20" s="30">
        <f>'[55]O&amp;M Projections New Methodology'!J7</f>
        <v>213.691353627035</v>
      </c>
      <c r="L20" s="30">
        <f>'[55]O&amp;M Projections New Methodology'!K7</f>
        <v>256.320215447624</v>
      </c>
      <c r="M20" s="30">
        <f>'[55]O&amp;M Projections New Methodology'!L7</f>
        <v>310.299299547051</v>
      </c>
      <c r="N20" s="30">
        <f>'[55]O&amp;M Projections New Methodology'!M7</f>
        <v>368.820509761403</v>
      </c>
      <c r="O20" s="30">
        <f>'[55]O&amp;M Projections New Methodology'!N7</f>
        <v>430.84163614502</v>
      </c>
    </row>
    <row r="21" spans="2:15">
      <c r="B21" s="20">
        <v>12</v>
      </c>
      <c r="C21" s="493" t="s">
        <v>634</v>
      </c>
      <c r="D21" s="488">
        <v>16417.3695542</v>
      </c>
      <c r="E21" s="488">
        <v>17612.8238348</v>
      </c>
      <c r="F21" s="488">
        <v>19014.96</v>
      </c>
      <c r="G21" s="488">
        <v>20432.89</v>
      </c>
      <c r="H21" s="488"/>
      <c r="I21" s="488"/>
      <c r="J21" s="488">
        <v>22196.41</v>
      </c>
      <c r="K21" s="488">
        <f>'[55]O&amp;M Projections New Methodology'!J12</f>
        <v>27053.7512298841</v>
      </c>
      <c r="L21" s="488">
        <f>'[55]O&amp;M Projections New Methodology'!K12</f>
        <v>32450.6500904725</v>
      </c>
      <c r="M21" s="488">
        <f>'[55]O&amp;M Projections New Methodology'!L12</f>
        <v>39284.5097111648</v>
      </c>
      <c r="N21" s="488">
        <f>'[55]O&amp;M Projections New Methodology'!M12</f>
        <v>46693.4115499079</v>
      </c>
      <c r="O21" s="488">
        <f>'[55]O&amp;M Projections New Methodology'!N12</f>
        <v>54545.4097505842</v>
      </c>
    </row>
    <row r="22" ht="28.5" spans="2:15">
      <c r="B22" s="20">
        <v>13</v>
      </c>
      <c r="C22" s="493" t="s">
        <v>635</v>
      </c>
      <c r="D22" s="488"/>
      <c r="E22" s="488"/>
      <c r="F22" s="488"/>
      <c r="G22" s="494">
        <f>G20/G21</f>
        <v>0.00949107052404237</v>
      </c>
      <c r="H22" s="488"/>
      <c r="I22" s="488"/>
      <c r="J22" s="494">
        <f t="shared" ref="J22:O22" si="3">J20/J21</f>
        <v>0.010922487014792</v>
      </c>
      <c r="K22" s="494">
        <f t="shared" si="3"/>
        <v>0.00789876981610548</v>
      </c>
      <c r="L22" s="494">
        <f t="shared" si="3"/>
        <v>0.00789876981610546</v>
      </c>
      <c r="M22" s="494">
        <f t="shared" si="3"/>
        <v>0.00789876981610548</v>
      </c>
      <c r="N22" s="494">
        <f t="shared" si="3"/>
        <v>0.00789876981610547</v>
      </c>
      <c r="O22" s="494">
        <f t="shared" si="3"/>
        <v>0.00789876981610548</v>
      </c>
    </row>
    <row r="23" spans="2:15">
      <c r="B23" s="20"/>
      <c r="C23" s="493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</row>
    <row r="25" ht="15" spans="2:2">
      <c r="B25" s="322" t="s">
        <v>768</v>
      </c>
    </row>
    <row r="26" ht="15" spans="15:15">
      <c r="O26" s="33" t="s">
        <v>109</v>
      </c>
    </row>
    <row r="27" ht="12.75" customHeight="1" spans="2:15">
      <c r="B27" s="5" t="s">
        <v>3</v>
      </c>
      <c r="C27" s="6" t="s">
        <v>110</v>
      </c>
      <c r="D27" s="5" t="s">
        <v>565</v>
      </c>
      <c r="E27" s="5" t="s">
        <v>566</v>
      </c>
      <c r="F27" s="5" t="s">
        <v>567</v>
      </c>
      <c r="G27" s="5" t="s">
        <v>112</v>
      </c>
      <c r="H27" s="5" t="s">
        <v>760</v>
      </c>
      <c r="I27" s="5"/>
      <c r="J27" s="5"/>
      <c r="K27" s="135" t="s">
        <v>114</v>
      </c>
      <c r="L27" s="135"/>
      <c r="M27" s="135"/>
      <c r="N27" s="135"/>
      <c r="O27" s="135"/>
    </row>
    <row r="28" ht="15" spans="2:15">
      <c r="B28" s="5"/>
      <c r="C28" s="6"/>
      <c r="D28" s="5" t="s">
        <v>237</v>
      </c>
      <c r="E28" s="5" t="s">
        <v>237</v>
      </c>
      <c r="F28" s="5" t="s">
        <v>237</v>
      </c>
      <c r="G28" s="5" t="s">
        <v>237</v>
      </c>
      <c r="H28" s="5" t="s">
        <v>119</v>
      </c>
      <c r="I28" s="5" t="s">
        <v>120</v>
      </c>
      <c r="J28" s="5" t="s">
        <v>238</v>
      </c>
      <c r="K28" s="5" t="s">
        <v>514</v>
      </c>
      <c r="L28" s="5" t="s">
        <v>515</v>
      </c>
      <c r="M28" s="5" t="s">
        <v>516</v>
      </c>
      <c r="N28" s="5" t="s">
        <v>517</v>
      </c>
      <c r="O28" s="5" t="s">
        <v>518</v>
      </c>
    </row>
    <row r="29" ht="15" spans="2:15">
      <c r="B29" s="5"/>
      <c r="C29" s="6"/>
      <c r="D29" s="5" t="s">
        <v>128</v>
      </c>
      <c r="E29" s="5" t="s">
        <v>128</v>
      </c>
      <c r="F29" s="5" t="s">
        <v>128</v>
      </c>
      <c r="G29" s="5" t="s">
        <v>128</v>
      </c>
      <c r="H29" s="5" t="s">
        <v>130</v>
      </c>
      <c r="I29" s="5" t="s">
        <v>131</v>
      </c>
      <c r="J29" s="5" t="s">
        <v>128</v>
      </c>
      <c r="K29" s="5" t="s">
        <v>132</v>
      </c>
      <c r="L29" s="5" t="s">
        <v>132</v>
      </c>
      <c r="M29" s="5" t="s">
        <v>132</v>
      </c>
      <c r="N29" s="5" t="s">
        <v>132</v>
      </c>
      <c r="O29" s="5" t="s">
        <v>132</v>
      </c>
    </row>
    <row r="30" spans="2:15">
      <c r="B30" s="20">
        <v>1</v>
      </c>
      <c r="C30" s="487" t="s">
        <v>625</v>
      </c>
      <c r="D30" s="488">
        <f>VLOOKUP(B30,'[57]2c'!$B$4:$H$18,3,0)*90%</f>
        <v>61.99539165</v>
      </c>
      <c r="E30" s="488">
        <f>VLOOKUP(B30,'[57]2c'!$B$4:$H$18,4,0)*90%</f>
        <v>69.83625096</v>
      </c>
      <c r="F30" s="488">
        <f>VLOOKUP(B30,'[57]2c'!$B$4:$H$18,5,0)*90%</f>
        <v>78.993</v>
      </c>
      <c r="G30" s="488">
        <f>VLOOKUP(B30,'[57]2c'!$B$4:$H$18,6,0)*90%</f>
        <v>75.969</v>
      </c>
      <c r="H30" s="488"/>
      <c r="I30" s="488"/>
      <c r="J30" s="488">
        <f>VLOOKUP(B30,'[57]2c'!$B$4:$H$18,7,0)*90%</f>
        <v>108.846</v>
      </c>
      <c r="K30" s="488">
        <f>90%*K10</f>
        <v>95.9389914077226</v>
      </c>
      <c r="L30" s="488">
        <f t="shared" ref="L30:O30" si="4">90%*L10</f>
        <v>115.077669405263</v>
      </c>
      <c r="M30" s="488">
        <f t="shared" si="4"/>
        <v>139.312149639079</v>
      </c>
      <c r="N30" s="488">
        <f t="shared" si="4"/>
        <v>165.585865391394</v>
      </c>
      <c r="O30" s="488">
        <f t="shared" si="4"/>
        <v>193.430905493486</v>
      </c>
    </row>
    <row r="31" spans="2:15">
      <c r="B31" s="20">
        <v>2</v>
      </c>
      <c r="C31" s="487" t="s">
        <v>626</v>
      </c>
      <c r="D31" s="488">
        <f>VLOOKUP(B31,'[57]2c'!$B$4:$H$18,3,0)*90%</f>
        <v>1.45548927</v>
      </c>
      <c r="E31" s="488">
        <f>VLOOKUP(B31,'[57]2c'!$B$4:$H$18,4,0)*90%</f>
        <v>1.44988785</v>
      </c>
      <c r="F31" s="488">
        <f>VLOOKUP(B31,'[57]2c'!$B$4:$H$18,5,0)*90%</f>
        <v>1.35</v>
      </c>
      <c r="G31" s="488">
        <f>VLOOKUP(B31,'[57]2c'!$B$4:$H$18,6,0)*90%</f>
        <v>0.684</v>
      </c>
      <c r="H31" s="488"/>
      <c r="I31" s="488"/>
      <c r="J31" s="488">
        <f>VLOOKUP(B31,'[57]2c'!$B$4:$H$18,7,0)*90%</f>
        <v>0.054</v>
      </c>
      <c r="K31" s="488">
        <f t="shared" ref="K31:O39" si="5">90%*K11</f>
        <v>0.0475966552378316</v>
      </c>
      <c r="L31" s="488">
        <f t="shared" si="5"/>
        <v>0.0570916170358509</v>
      </c>
      <c r="M31" s="488">
        <f t="shared" si="5"/>
        <v>0.0691146765201318</v>
      </c>
      <c r="N31" s="488">
        <f t="shared" si="5"/>
        <v>0.0821494288364782</v>
      </c>
      <c r="O31" s="488">
        <f t="shared" si="5"/>
        <v>0.0959637368084107</v>
      </c>
    </row>
    <row r="32" spans="2:15">
      <c r="B32" s="20">
        <v>3</v>
      </c>
      <c r="C32" s="487" t="s">
        <v>627</v>
      </c>
      <c r="D32" s="488">
        <f>VLOOKUP(B32,'[57]2c'!$B$4:$H$18,3,0)*90%</f>
        <v>6.17652171</v>
      </c>
      <c r="E32" s="488">
        <f>VLOOKUP(B32,'[57]2c'!$B$4:$H$18,4,0)*90%</f>
        <v>7.4580192</v>
      </c>
      <c r="F32" s="488">
        <f>VLOOKUP(B32,'[57]2c'!$B$4:$H$18,5,0)*90%</f>
        <v>11.151</v>
      </c>
      <c r="G32" s="488">
        <f>VLOOKUP(B32,'[57]2c'!$B$4:$H$18,6,0)*90%</f>
        <v>8.829</v>
      </c>
      <c r="H32" s="488"/>
      <c r="I32" s="488"/>
      <c r="J32" s="488">
        <f>VLOOKUP(B32,'[57]2c'!$B$4:$H$18,7,0)*90%</f>
        <v>8.973</v>
      </c>
      <c r="K32" s="488">
        <f t="shared" si="5"/>
        <v>7.90897754535302</v>
      </c>
      <c r="L32" s="488">
        <f t="shared" si="5"/>
        <v>9.48672369745723</v>
      </c>
      <c r="M32" s="488">
        <f t="shared" si="5"/>
        <v>11.4845554150952</v>
      </c>
      <c r="N32" s="488">
        <f t="shared" si="5"/>
        <v>13.6504967583281</v>
      </c>
      <c r="O32" s="488">
        <f t="shared" si="5"/>
        <v>15.9459742663309</v>
      </c>
    </row>
    <row r="33" spans="2:15">
      <c r="B33" s="20">
        <v>4</v>
      </c>
      <c r="C33" s="487" t="s">
        <v>628</v>
      </c>
      <c r="D33" s="488">
        <f>VLOOKUP(B33,'[57]2c'!$B$4:$H$18,3,0)*90%</f>
        <v>0</v>
      </c>
      <c r="E33" s="488">
        <f>VLOOKUP(B33,'[57]2c'!$B$4:$H$18,4,0)*90%</f>
        <v>0</v>
      </c>
      <c r="F33" s="488">
        <f>VLOOKUP(B33,'[57]2c'!$B$4:$H$18,5,0)*90%</f>
        <v>0</v>
      </c>
      <c r="G33" s="488">
        <f>VLOOKUP(B33,'[57]2c'!$B$4:$H$18,6,0)*90%</f>
        <v>0</v>
      </c>
      <c r="H33" s="488"/>
      <c r="I33" s="488"/>
      <c r="J33" s="488">
        <f>VLOOKUP(B33,'[57]2c'!$B$4:$H$18,7,0)*90%</f>
        <v>0</v>
      </c>
      <c r="K33" s="488">
        <f t="shared" si="5"/>
        <v>0</v>
      </c>
      <c r="L33" s="488">
        <f t="shared" si="5"/>
        <v>0</v>
      </c>
      <c r="M33" s="488">
        <f t="shared" si="5"/>
        <v>0</v>
      </c>
      <c r="N33" s="488">
        <f t="shared" si="5"/>
        <v>0</v>
      </c>
      <c r="O33" s="488">
        <f t="shared" si="5"/>
        <v>0</v>
      </c>
    </row>
    <row r="34" spans="2:15">
      <c r="B34" s="20">
        <v>5</v>
      </c>
      <c r="C34" s="487" t="s">
        <v>629</v>
      </c>
      <c r="D34" s="488">
        <f>VLOOKUP(B34,'[57]2c'!$B$4:$H$18,3,0)*90%</f>
        <v>28.97346825</v>
      </c>
      <c r="E34" s="488">
        <f>VLOOKUP(B34,'[57]2c'!$B$4:$H$18,4,0)*90%</f>
        <v>51.01227234</v>
      </c>
      <c r="F34" s="488">
        <f>VLOOKUP(B34,'[57]2c'!$B$4:$H$18,5,0)*90%</f>
        <v>44.91</v>
      </c>
      <c r="G34" s="488">
        <f>VLOOKUP(B34,'[57]2c'!$B$4:$H$18,6,0)*90%</f>
        <v>51.615</v>
      </c>
      <c r="H34" s="488"/>
      <c r="I34" s="488"/>
      <c r="J34" s="488">
        <f>VLOOKUP(B34,'[57]2c'!$B$4:$H$18,7,0)*90%</f>
        <v>57.267</v>
      </c>
      <c r="K34" s="488">
        <f t="shared" si="5"/>
        <v>50.4762528797204</v>
      </c>
      <c r="L34" s="488">
        <f t="shared" si="5"/>
        <v>60.5456598665199</v>
      </c>
      <c r="M34" s="488">
        <f t="shared" si="5"/>
        <v>73.2961144495998</v>
      </c>
      <c r="N34" s="488">
        <f t="shared" si="5"/>
        <v>87.1194692810851</v>
      </c>
      <c r="O34" s="488">
        <f t="shared" si="5"/>
        <v>101.76954288532</v>
      </c>
    </row>
    <row r="35" spans="2:15">
      <c r="B35" s="20">
        <v>6</v>
      </c>
      <c r="C35" s="487" t="s">
        <v>630</v>
      </c>
      <c r="D35" s="488">
        <f>VLOOKUP(B35,'[57]2c'!$B$4:$H$18,3,0)*90%</f>
        <v>1.92658302</v>
      </c>
      <c r="E35" s="488">
        <f>VLOOKUP(B35,'[57]2c'!$B$4:$H$18,4,0)*90%</f>
        <v>1.05252408</v>
      </c>
      <c r="F35" s="488">
        <f>VLOOKUP(B35,'[57]2c'!$B$4:$H$18,5,0)*90%</f>
        <v>36.09</v>
      </c>
      <c r="G35" s="488">
        <f>VLOOKUP(B35,'[57]2c'!$B$4:$H$18,6,0)*90%</f>
        <v>31.68</v>
      </c>
      <c r="H35" s="488"/>
      <c r="I35" s="488"/>
      <c r="J35" s="488">
        <f>VLOOKUP(B35,'[57]2c'!$B$4:$H$18,7,0)*90%</f>
        <v>35.37</v>
      </c>
      <c r="K35" s="488">
        <f t="shared" si="5"/>
        <v>31.1758091807797</v>
      </c>
      <c r="L35" s="488">
        <f t="shared" si="5"/>
        <v>37.3950091584823</v>
      </c>
      <c r="M35" s="488">
        <f t="shared" si="5"/>
        <v>45.2701131206863</v>
      </c>
      <c r="N35" s="488">
        <f t="shared" si="5"/>
        <v>53.8078758878932</v>
      </c>
      <c r="O35" s="488">
        <f t="shared" si="5"/>
        <v>62.856247609509</v>
      </c>
    </row>
    <row r="36" spans="2:15">
      <c r="B36" s="20">
        <v>7</v>
      </c>
      <c r="C36" s="487" t="s">
        <v>631</v>
      </c>
      <c r="D36" s="488">
        <f>VLOOKUP(B36,'[57]2c'!$B$4:$H$18,3,0)*90%</f>
        <v>0.41751693</v>
      </c>
      <c r="E36" s="488">
        <f>VLOOKUP(B36,'[57]2c'!$B$4:$H$18,4,0)*90%</f>
        <v>0.45388674</v>
      </c>
      <c r="F36" s="488">
        <f>VLOOKUP(B36,'[57]2c'!$B$4:$H$18,5,0)*90%</f>
        <v>0.306</v>
      </c>
      <c r="G36" s="488">
        <f>VLOOKUP(B36,'[57]2c'!$B$4:$H$18,6,0)*90%</f>
        <v>0.207</v>
      </c>
      <c r="H36" s="488"/>
      <c r="I36" s="488"/>
      <c r="J36" s="488">
        <f>VLOOKUP(B36,'[57]2c'!$B$4:$H$18,7,0)*90%</f>
        <v>0</v>
      </c>
      <c r="K36" s="488">
        <f t="shared" si="5"/>
        <v>0</v>
      </c>
      <c r="L36" s="488">
        <f t="shared" si="5"/>
        <v>0</v>
      </c>
      <c r="M36" s="488">
        <f t="shared" si="5"/>
        <v>0</v>
      </c>
      <c r="N36" s="488">
        <f t="shared" si="5"/>
        <v>0</v>
      </c>
      <c r="O36" s="488">
        <f t="shared" si="5"/>
        <v>0</v>
      </c>
    </row>
    <row r="37" spans="2:15">
      <c r="B37" s="20">
        <v>8</v>
      </c>
      <c r="C37" s="487" t="s">
        <v>632</v>
      </c>
      <c r="D37" s="488">
        <f>VLOOKUP(B37,'[57]2c'!$B$4:$H$18,3,0)*90%</f>
        <v>1.24366446</v>
      </c>
      <c r="E37" s="488">
        <f>VLOOKUP(B37,'[57]2c'!$B$4:$H$18,4,0)*90%</f>
        <v>0.53965863</v>
      </c>
      <c r="F37" s="488">
        <f>VLOOKUP(B37,'[57]2c'!$B$4:$H$18,5,0)*90%</f>
        <v>3.969</v>
      </c>
      <c r="G37" s="488">
        <f>VLOOKUP(B37,'[57]2c'!$B$4:$H$18,6,0)*90%</f>
        <v>0.531</v>
      </c>
      <c r="H37" s="488"/>
      <c r="I37" s="488"/>
      <c r="J37" s="488">
        <f>VLOOKUP(B37,'[57]2c'!$B$4:$H$18,7,0)*90%</f>
        <v>0.009</v>
      </c>
      <c r="K37" s="488">
        <f t="shared" si="5"/>
        <v>0.00793277587297193</v>
      </c>
      <c r="L37" s="488">
        <f t="shared" si="5"/>
        <v>0.00951526950597515</v>
      </c>
      <c r="M37" s="488">
        <f t="shared" si="5"/>
        <v>0.0115191127533553</v>
      </c>
      <c r="N37" s="488">
        <f t="shared" si="5"/>
        <v>0.0136915714727464</v>
      </c>
      <c r="O37" s="488">
        <f t="shared" si="5"/>
        <v>0.0159939561347351</v>
      </c>
    </row>
    <row r="38" ht="15.75" spans="2:15">
      <c r="B38" s="616">
        <v>9</v>
      </c>
      <c r="C38" s="617" t="s">
        <v>766</v>
      </c>
      <c r="D38" s="488">
        <f>VLOOKUP(B38,'[57]2c'!$B$4:$H$18,3,0)*90%</f>
        <v>3.19755024</v>
      </c>
      <c r="E38" s="488">
        <f>VLOOKUP(B38,'[57]2c'!$B$4:$H$18,4,0)*90%</f>
        <v>1.5134832</v>
      </c>
      <c r="F38" s="488">
        <f>VLOOKUP(B38,'[57]2c'!$B$4:$H$18,5,0)*90%</f>
        <v>2.061</v>
      </c>
      <c r="G38" s="488">
        <f>VLOOKUP(B38,'[57]2c'!$B$4:$H$18,6,0)*90%</f>
        <v>4.986</v>
      </c>
      <c r="H38" s="488"/>
      <c r="I38" s="488"/>
      <c r="J38" s="488">
        <f>VLOOKUP(B38,'[57]2c'!$B$4:$H$18,7,0)*90%</f>
        <v>7.623</v>
      </c>
      <c r="K38" s="488">
        <f t="shared" si="5"/>
        <v>6.71906116440723</v>
      </c>
      <c r="L38" s="488">
        <f t="shared" si="5"/>
        <v>8.05943327156096</v>
      </c>
      <c r="M38" s="488">
        <f t="shared" si="5"/>
        <v>9.75668850209194</v>
      </c>
      <c r="N38" s="488">
        <f t="shared" si="5"/>
        <v>11.5967610374162</v>
      </c>
      <c r="O38" s="488">
        <f t="shared" si="5"/>
        <v>13.5468808461206</v>
      </c>
    </row>
    <row r="39" ht="15.75" spans="2:15">
      <c r="B39" s="616">
        <v>10</v>
      </c>
      <c r="C39" s="617" t="s">
        <v>767</v>
      </c>
      <c r="D39" s="488">
        <f>VLOOKUP(B39,'[57]2c'!$B$4:$H$18,3,0)*90%</f>
        <v>0.10127862</v>
      </c>
      <c r="E39" s="488">
        <f>VLOOKUP(B39,'[57]2c'!$B$4:$H$18,4,0)*90%</f>
        <v>0.09870057</v>
      </c>
      <c r="F39" s="488">
        <f>VLOOKUP(B39,'[57]2c'!$B$4:$H$18,5,0)*90%</f>
        <v>0.009</v>
      </c>
      <c r="G39" s="488">
        <f>VLOOKUP(B39,'[57]2c'!$B$4:$H$18,6,0)*90%</f>
        <v>0.036</v>
      </c>
      <c r="H39" s="488"/>
      <c r="I39" s="488"/>
      <c r="J39" s="488">
        <f>VLOOKUP(B39,'[57]2c'!$B$4:$H$18,7,0)*90%</f>
        <v>0.054</v>
      </c>
      <c r="K39" s="488">
        <f t="shared" si="5"/>
        <v>0.0475966552378316</v>
      </c>
      <c r="L39" s="488">
        <f t="shared" si="5"/>
        <v>0.0570916170358509</v>
      </c>
      <c r="M39" s="488">
        <f t="shared" si="5"/>
        <v>0.0691146765201318</v>
      </c>
      <c r="N39" s="488">
        <f t="shared" si="5"/>
        <v>0.0821494288364782</v>
      </c>
      <c r="O39" s="488">
        <f t="shared" si="5"/>
        <v>0.0959637368084107</v>
      </c>
    </row>
    <row r="40" ht="15" spans="2:15">
      <c r="B40" s="20">
        <v>11</v>
      </c>
      <c r="C40" s="491" t="s">
        <v>633</v>
      </c>
      <c r="D40" s="492">
        <f>SUM(D30:D39)</f>
        <v>105.48746415</v>
      </c>
      <c r="E40" s="492">
        <f t="shared" ref="E40:O40" si="6">SUM(E30:E39)</f>
        <v>133.41468357</v>
      </c>
      <c r="F40" s="492">
        <f t="shared" si="6"/>
        <v>178.839</v>
      </c>
      <c r="G40" s="492">
        <f t="shared" si="6"/>
        <v>174.537</v>
      </c>
      <c r="H40" s="492">
        <f t="shared" si="6"/>
        <v>0</v>
      </c>
      <c r="I40" s="492">
        <f t="shared" si="6"/>
        <v>0</v>
      </c>
      <c r="J40" s="492">
        <f t="shared" si="6"/>
        <v>218.196</v>
      </c>
      <c r="K40" s="30">
        <f t="shared" si="6"/>
        <v>192.322218264332</v>
      </c>
      <c r="L40" s="30">
        <f t="shared" si="6"/>
        <v>230.688193902862</v>
      </c>
      <c r="M40" s="30">
        <f t="shared" si="6"/>
        <v>279.269369592346</v>
      </c>
      <c r="N40" s="30">
        <f t="shared" si="6"/>
        <v>331.938458785263</v>
      </c>
      <c r="O40" s="30">
        <f t="shared" si="6"/>
        <v>387.757472530518</v>
      </c>
    </row>
    <row r="41" spans="2:15">
      <c r="B41" s="20">
        <v>12</v>
      </c>
      <c r="C41" s="493" t="s">
        <v>634</v>
      </c>
      <c r="D41" s="488">
        <f>D21*90%</f>
        <v>14775.63259878</v>
      </c>
      <c r="E41" s="488">
        <f t="shared" ref="E41:G41" si="7">E21*90%</f>
        <v>15851.54145132</v>
      </c>
      <c r="F41" s="488">
        <f t="shared" si="7"/>
        <v>17113.464</v>
      </c>
      <c r="G41" s="488">
        <f t="shared" si="7"/>
        <v>18389.601</v>
      </c>
      <c r="H41" s="488"/>
      <c r="I41" s="488"/>
      <c r="J41" s="488">
        <f>J21*90%</f>
        <v>19976.769</v>
      </c>
      <c r="K41" s="351">
        <f>90%*K21</f>
        <v>24348.3761068957</v>
      </c>
      <c r="L41" s="351">
        <f>90%*L21</f>
        <v>29205.5850814253</v>
      </c>
      <c r="M41" s="351">
        <f>90%*M21</f>
        <v>35356.0587400483</v>
      </c>
      <c r="N41" s="351">
        <f>90%*N21</f>
        <v>42024.0703949171</v>
      </c>
      <c r="O41" s="351">
        <f>90%*O21</f>
        <v>49090.8687755258</v>
      </c>
    </row>
    <row r="42" ht="28.5" spans="2:15">
      <c r="B42" s="20">
        <v>13</v>
      </c>
      <c r="C42" s="493" t="s">
        <v>635</v>
      </c>
      <c r="D42" s="21"/>
      <c r="E42" s="21"/>
      <c r="F42" s="21"/>
      <c r="G42" s="494">
        <f>G40/G41</f>
        <v>0.00949107052404237</v>
      </c>
      <c r="H42" s="488"/>
      <c r="I42" s="488"/>
      <c r="J42" s="494">
        <f t="shared" ref="J42:O42" si="8">J40/J41</f>
        <v>0.010922487014792</v>
      </c>
      <c r="K42" s="494">
        <f t="shared" si="8"/>
        <v>0.00789876981610548</v>
      </c>
      <c r="L42" s="494">
        <f t="shared" si="8"/>
        <v>0.00789876981610546</v>
      </c>
      <c r="M42" s="494">
        <f t="shared" si="8"/>
        <v>0.00789876981610548</v>
      </c>
      <c r="N42" s="494">
        <f t="shared" si="8"/>
        <v>0.00789876981610547</v>
      </c>
      <c r="O42" s="494">
        <f t="shared" si="8"/>
        <v>0.00789876981610548</v>
      </c>
    </row>
    <row r="43" spans="2:15">
      <c r="B43" s="20"/>
      <c r="C43" s="493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</row>
    <row r="45" ht="15" spans="2:2">
      <c r="B45" s="322" t="s">
        <v>769</v>
      </c>
    </row>
    <row r="46" ht="15" spans="15:15">
      <c r="O46" s="33" t="s">
        <v>109</v>
      </c>
    </row>
    <row r="47" ht="14.1" customHeight="1" spans="2:15">
      <c r="B47" s="5" t="s">
        <v>3</v>
      </c>
      <c r="C47" s="6" t="s">
        <v>110</v>
      </c>
      <c r="D47" s="5" t="s">
        <v>565</v>
      </c>
      <c r="E47" s="5" t="s">
        <v>566</v>
      </c>
      <c r="F47" s="5" t="s">
        <v>567</v>
      </c>
      <c r="G47" s="5" t="s">
        <v>112</v>
      </c>
      <c r="H47" s="5" t="s">
        <v>760</v>
      </c>
      <c r="I47" s="5"/>
      <c r="J47" s="5"/>
      <c r="K47" s="135" t="s">
        <v>114</v>
      </c>
      <c r="L47" s="135"/>
      <c r="M47" s="135"/>
      <c r="N47" s="135"/>
      <c r="O47" s="135"/>
    </row>
    <row r="48" ht="15" spans="2:15">
      <c r="B48" s="5"/>
      <c r="C48" s="6"/>
      <c r="D48" s="5" t="s">
        <v>237</v>
      </c>
      <c r="E48" s="5" t="s">
        <v>237</v>
      </c>
      <c r="F48" s="5" t="s">
        <v>237</v>
      </c>
      <c r="G48" s="5" t="s">
        <v>237</v>
      </c>
      <c r="H48" s="5" t="s">
        <v>119</v>
      </c>
      <c r="I48" s="5" t="s">
        <v>120</v>
      </c>
      <c r="J48" s="5" t="s">
        <v>238</v>
      </c>
      <c r="K48" s="5" t="s">
        <v>514</v>
      </c>
      <c r="L48" s="5" t="s">
        <v>515</v>
      </c>
      <c r="M48" s="5" t="s">
        <v>516</v>
      </c>
      <c r="N48" s="5" t="s">
        <v>517</v>
      </c>
      <c r="O48" s="5" t="s">
        <v>518</v>
      </c>
    </row>
    <row r="49" ht="15" spans="2:15">
      <c r="B49" s="5"/>
      <c r="C49" s="6"/>
      <c r="D49" s="5" t="s">
        <v>128</v>
      </c>
      <c r="E49" s="5" t="s">
        <v>128</v>
      </c>
      <c r="F49" s="5" t="s">
        <v>128</v>
      </c>
      <c r="G49" s="5" t="s">
        <v>128</v>
      </c>
      <c r="H49" s="5" t="s">
        <v>130</v>
      </c>
      <c r="I49" s="5" t="s">
        <v>131</v>
      </c>
      <c r="J49" s="5" t="s">
        <v>128</v>
      </c>
      <c r="K49" s="5" t="s">
        <v>132</v>
      </c>
      <c r="L49" s="5" t="s">
        <v>132</v>
      </c>
      <c r="M49" s="5" t="s">
        <v>132</v>
      </c>
      <c r="N49" s="5" t="s">
        <v>132</v>
      </c>
      <c r="O49" s="5" t="s">
        <v>132</v>
      </c>
    </row>
    <row r="50" spans="2:15">
      <c r="B50" s="20">
        <v>1</v>
      </c>
      <c r="C50" s="487" t="s">
        <v>625</v>
      </c>
      <c r="D50" s="488">
        <f>VLOOKUP(B50,'[57]2c'!$B$4:$H$18,3,0)*10%</f>
        <v>6.88837685</v>
      </c>
      <c r="E50" s="488">
        <f>VLOOKUP(B50,'[57]2c'!$B$4:$H$18,4,0)*10%</f>
        <v>7.75958344</v>
      </c>
      <c r="F50" s="488">
        <f>VLOOKUP(B50,'[57]2c'!$B$4:$H$18,5,0)*10%</f>
        <v>8.777</v>
      </c>
      <c r="G50" s="488">
        <f>VLOOKUP(B50,'[57]2c'!$B$4:$H$18,6,0)*10%</f>
        <v>8.441</v>
      </c>
      <c r="H50" s="488"/>
      <c r="I50" s="488"/>
      <c r="J50" s="488">
        <f>VLOOKUP(B50,'[57]2c'!$B$4:$H$18,7,0)*10%</f>
        <v>12.094</v>
      </c>
      <c r="K50" s="488">
        <f>K10*10%</f>
        <v>10.6598879341914</v>
      </c>
      <c r="L50" s="488">
        <f t="shared" ref="L50:O50" si="9">L10*10%</f>
        <v>12.7864077116959</v>
      </c>
      <c r="M50" s="488">
        <f t="shared" si="9"/>
        <v>15.4791277376754</v>
      </c>
      <c r="N50" s="488">
        <f t="shared" si="9"/>
        <v>18.3984294879327</v>
      </c>
      <c r="O50" s="488">
        <f t="shared" si="9"/>
        <v>21.4923228326096</v>
      </c>
    </row>
    <row r="51" spans="2:15">
      <c r="B51" s="20">
        <v>2</v>
      </c>
      <c r="C51" s="487" t="s">
        <v>626</v>
      </c>
      <c r="D51" s="488">
        <f>VLOOKUP(B51,'[57]2c'!$B$4:$H$18,3,0)*10%</f>
        <v>0.16172103</v>
      </c>
      <c r="E51" s="488">
        <f>VLOOKUP(B51,'[57]2c'!$B$4:$H$18,4,0)*10%</f>
        <v>0.16109865</v>
      </c>
      <c r="F51" s="488">
        <f>VLOOKUP(B51,'[57]2c'!$B$4:$H$18,5,0)*10%</f>
        <v>0.15</v>
      </c>
      <c r="G51" s="488">
        <f>VLOOKUP(B51,'[57]2c'!$B$4:$H$18,6,0)*10%</f>
        <v>0.076</v>
      </c>
      <c r="H51" s="488"/>
      <c r="I51" s="488"/>
      <c r="J51" s="488">
        <f>VLOOKUP(B51,'[57]2c'!$B$4:$H$18,7,0)*10%</f>
        <v>0.006</v>
      </c>
      <c r="K51" s="488">
        <f t="shared" ref="K51:O59" si="10">K11*10%</f>
        <v>0.00528851724864796</v>
      </c>
      <c r="L51" s="488">
        <f t="shared" si="10"/>
        <v>0.00634351300398344</v>
      </c>
      <c r="M51" s="488">
        <f t="shared" si="10"/>
        <v>0.00767940850223687</v>
      </c>
      <c r="N51" s="488">
        <f t="shared" si="10"/>
        <v>0.00912771431516424</v>
      </c>
      <c r="O51" s="488">
        <f t="shared" si="10"/>
        <v>0.0106626374231567</v>
      </c>
    </row>
    <row r="52" spans="2:15">
      <c r="B52" s="20">
        <v>3</v>
      </c>
      <c r="C52" s="487" t="s">
        <v>627</v>
      </c>
      <c r="D52" s="488">
        <f>VLOOKUP(B52,'[57]2c'!$B$4:$H$18,3,0)*10%</f>
        <v>0.68628019</v>
      </c>
      <c r="E52" s="488">
        <f>VLOOKUP(B52,'[57]2c'!$B$4:$H$18,4,0)*10%</f>
        <v>0.8286688</v>
      </c>
      <c r="F52" s="488">
        <f>VLOOKUP(B52,'[57]2c'!$B$4:$H$18,5,0)*10%</f>
        <v>1.239</v>
      </c>
      <c r="G52" s="488">
        <f>VLOOKUP(B52,'[57]2c'!$B$4:$H$18,6,0)*10%</f>
        <v>0.981</v>
      </c>
      <c r="H52" s="488"/>
      <c r="I52" s="488"/>
      <c r="J52" s="488">
        <f>VLOOKUP(B52,'[57]2c'!$B$4:$H$18,7,0)*10%</f>
        <v>0.997</v>
      </c>
      <c r="K52" s="488">
        <f t="shared" si="10"/>
        <v>0.878775282817002</v>
      </c>
      <c r="L52" s="488">
        <f t="shared" si="10"/>
        <v>1.05408041082858</v>
      </c>
      <c r="M52" s="488">
        <f t="shared" si="10"/>
        <v>1.27606171278836</v>
      </c>
      <c r="N52" s="488">
        <f t="shared" si="10"/>
        <v>1.51672186203646</v>
      </c>
      <c r="O52" s="488">
        <f t="shared" si="10"/>
        <v>1.77177491848121</v>
      </c>
    </row>
    <row r="53" spans="2:15">
      <c r="B53" s="20">
        <v>4</v>
      </c>
      <c r="C53" s="487" t="s">
        <v>628</v>
      </c>
      <c r="D53" s="488">
        <f>VLOOKUP(B53,'[57]2c'!$B$4:$H$18,3,0)*10%</f>
        <v>0</v>
      </c>
      <c r="E53" s="488">
        <f>VLOOKUP(B53,'[57]2c'!$B$4:$H$18,4,0)*10%</f>
        <v>0</v>
      </c>
      <c r="F53" s="488">
        <f>VLOOKUP(B53,'[57]2c'!$B$4:$H$18,5,0)*10%</f>
        <v>0</v>
      </c>
      <c r="G53" s="488">
        <f>VLOOKUP(B53,'[57]2c'!$B$4:$H$18,6,0)*10%</f>
        <v>0</v>
      </c>
      <c r="H53" s="488"/>
      <c r="I53" s="488"/>
      <c r="J53" s="488">
        <f>VLOOKUP(B53,'[57]2c'!$B$4:$H$18,7,0)*10%</f>
        <v>0</v>
      </c>
      <c r="K53" s="488">
        <f t="shared" si="10"/>
        <v>0</v>
      </c>
      <c r="L53" s="488">
        <f t="shared" si="10"/>
        <v>0</v>
      </c>
      <c r="M53" s="488">
        <f t="shared" si="10"/>
        <v>0</v>
      </c>
      <c r="N53" s="488">
        <f t="shared" si="10"/>
        <v>0</v>
      </c>
      <c r="O53" s="488">
        <f t="shared" si="10"/>
        <v>0</v>
      </c>
    </row>
    <row r="54" spans="2:15">
      <c r="B54" s="20">
        <v>5</v>
      </c>
      <c r="C54" s="487" t="s">
        <v>629</v>
      </c>
      <c r="D54" s="488">
        <f>VLOOKUP(B54,'[57]2c'!$B$4:$H$18,3,0)*10%</f>
        <v>3.21927425</v>
      </c>
      <c r="E54" s="488">
        <f>VLOOKUP(B54,'[57]2c'!$B$4:$H$18,4,0)*10%</f>
        <v>5.66803026</v>
      </c>
      <c r="F54" s="488">
        <f>VLOOKUP(B54,'[57]2c'!$B$4:$H$18,5,0)*10%</f>
        <v>4.99</v>
      </c>
      <c r="G54" s="488">
        <f>VLOOKUP(B54,'[57]2c'!$B$4:$H$18,6,0)*10%</f>
        <v>5.735</v>
      </c>
      <c r="H54" s="488"/>
      <c r="I54" s="488"/>
      <c r="J54" s="488">
        <f>VLOOKUP(B54,'[57]2c'!$B$4:$H$18,7,0)*10%</f>
        <v>6.363</v>
      </c>
      <c r="K54" s="488">
        <f t="shared" si="10"/>
        <v>5.60847254219116</v>
      </c>
      <c r="L54" s="488">
        <f t="shared" si="10"/>
        <v>6.72729554072443</v>
      </c>
      <c r="M54" s="488">
        <f t="shared" si="10"/>
        <v>8.1440127166222</v>
      </c>
      <c r="N54" s="488">
        <f t="shared" si="10"/>
        <v>9.67994103123168</v>
      </c>
      <c r="O54" s="488">
        <f t="shared" si="10"/>
        <v>11.3077269872577</v>
      </c>
    </row>
    <row r="55" spans="2:15">
      <c r="B55" s="20">
        <v>6</v>
      </c>
      <c r="C55" s="487" t="s">
        <v>630</v>
      </c>
      <c r="D55" s="488">
        <f>VLOOKUP(B55,'[57]2c'!$B$4:$H$18,3,0)*10%</f>
        <v>0.21406478</v>
      </c>
      <c r="E55" s="488">
        <f>VLOOKUP(B55,'[57]2c'!$B$4:$H$18,4,0)*10%</f>
        <v>0.11694712</v>
      </c>
      <c r="F55" s="488">
        <f>VLOOKUP(B55,'[57]2c'!$B$4:$H$18,5,0)*10%</f>
        <v>4.01</v>
      </c>
      <c r="G55" s="488">
        <f>VLOOKUP(B55,'[57]2c'!$B$4:$H$18,6,0)*10%</f>
        <v>3.52</v>
      </c>
      <c r="H55" s="488"/>
      <c r="I55" s="488"/>
      <c r="J55" s="488">
        <f>VLOOKUP(B55,'[57]2c'!$B$4:$H$18,7,0)*10%</f>
        <v>3.93</v>
      </c>
      <c r="K55" s="488">
        <f t="shared" si="10"/>
        <v>3.46397879786441</v>
      </c>
      <c r="L55" s="488">
        <f t="shared" si="10"/>
        <v>4.15500101760915</v>
      </c>
      <c r="M55" s="488">
        <f t="shared" si="10"/>
        <v>5.03001256896515</v>
      </c>
      <c r="N55" s="488">
        <f t="shared" si="10"/>
        <v>5.97865287643258</v>
      </c>
      <c r="O55" s="488">
        <f t="shared" si="10"/>
        <v>6.98402751216767</v>
      </c>
    </row>
    <row r="56" spans="2:15">
      <c r="B56" s="20">
        <v>7</v>
      </c>
      <c r="C56" s="487" t="s">
        <v>631</v>
      </c>
      <c r="D56" s="488">
        <f>VLOOKUP(B56,'[57]2c'!$B$4:$H$18,3,0)*10%</f>
        <v>0.04639077</v>
      </c>
      <c r="E56" s="488">
        <f>VLOOKUP(B56,'[57]2c'!$B$4:$H$18,4,0)*10%</f>
        <v>0.05043186</v>
      </c>
      <c r="F56" s="488">
        <f>VLOOKUP(B56,'[57]2c'!$B$4:$H$18,5,0)*10%</f>
        <v>0.034</v>
      </c>
      <c r="G56" s="488">
        <f>VLOOKUP(B56,'[57]2c'!$B$4:$H$18,6,0)*10%</f>
        <v>0.023</v>
      </c>
      <c r="H56" s="488"/>
      <c r="I56" s="488"/>
      <c r="J56" s="488">
        <f>VLOOKUP(B56,'[57]2c'!$B$4:$H$18,7,0)*10%</f>
        <v>0</v>
      </c>
      <c r="K56" s="488">
        <f t="shared" si="10"/>
        <v>0</v>
      </c>
      <c r="L56" s="488">
        <f t="shared" si="10"/>
        <v>0</v>
      </c>
      <c r="M56" s="488">
        <f t="shared" si="10"/>
        <v>0</v>
      </c>
      <c r="N56" s="488">
        <f t="shared" si="10"/>
        <v>0</v>
      </c>
      <c r="O56" s="488">
        <f t="shared" si="10"/>
        <v>0</v>
      </c>
    </row>
    <row r="57" spans="2:15">
      <c r="B57" s="20">
        <v>8</v>
      </c>
      <c r="C57" s="487" t="s">
        <v>632</v>
      </c>
      <c r="D57" s="488">
        <f>VLOOKUP(B57,'[57]2c'!$B$4:$H$18,3,0)*10%</f>
        <v>0.13818494</v>
      </c>
      <c r="E57" s="488">
        <f>VLOOKUP(B57,'[57]2c'!$B$4:$H$18,4,0)*10%</f>
        <v>0.05996207</v>
      </c>
      <c r="F57" s="488">
        <f>VLOOKUP(B57,'[57]2c'!$B$4:$H$18,5,0)*10%</f>
        <v>0.441</v>
      </c>
      <c r="G57" s="488">
        <f>VLOOKUP(B57,'[57]2c'!$B$4:$H$18,6,0)*10%</f>
        <v>0.059</v>
      </c>
      <c r="H57" s="488"/>
      <c r="I57" s="488"/>
      <c r="J57" s="488">
        <f>VLOOKUP(B57,'[57]2c'!$B$4:$H$18,7,0)*10%</f>
        <v>0.001</v>
      </c>
      <c r="K57" s="488">
        <f t="shared" si="10"/>
        <v>0.000881419541441326</v>
      </c>
      <c r="L57" s="488">
        <f t="shared" si="10"/>
        <v>0.00105725216733057</v>
      </c>
      <c r="M57" s="488">
        <f t="shared" si="10"/>
        <v>0.00127990141703948</v>
      </c>
      <c r="N57" s="488">
        <f t="shared" si="10"/>
        <v>0.00152128571919404</v>
      </c>
      <c r="O57" s="488">
        <f t="shared" si="10"/>
        <v>0.00177710623719279</v>
      </c>
    </row>
    <row r="58" ht="15.75" spans="2:15">
      <c r="B58" s="616">
        <v>9</v>
      </c>
      <c r="C58" s="617" t="s">
        <v>766</v>
      </c>
      <c r="D58" s="488">
        <f>VLOOKUP(B58,'[57]2c'!$B$4:$H$18,3,0)*10%</f>
        <v>0.35528336</v>
      </c>
      <c r="E58" s="488">
        <f>VLOOKUP(B58,'[57]2c'!$B$4:$H$18,4,0)*10%</f>
        <v>0.1681648</v>
      </c>
      <c r="F58" s="488">
        <f>VLOOKUP(B58,'[57]2c'!$B$4:$H$18,5,0)*10%</f>
        <v>0.229</v>
      </c>
      <c r="G58" s="488">
        <f>VLOOKUP(B58,'[57]2c'!$B$4:$H$18,6,0)*10%</f>
        <v>0.554</v>
      </c>
      <c r="H58" s="488"/>
      <c r="I58" s="488"/>
      <c r="J58" s="488">
        <f>VLOOKUP(B58,'[57]2c'!$B$4:$H$18,7,0)*10%</f>
        <v>0.847</v>
      </c>
      <c r="K58" s="488">
        <f t="shared" si="10"/>
        <v>0.746562351600803</v>
      </c>
      <c r="L58" s="488">
        <f t="shared" si="10"/>
        <v>0.895492585728995</v>
      </c>
      <c r="M58" s="488">
        <f t="shared" si="10"/>
        <v>1.08407650023244</v>
      </c>
      <c r="N58" s="488">
        <f t="shared" si="10"/>
        <v>1.28852900415735</v>
      </c>
      <c r="O58" s="488">
        <f t="shared" si="10"/>
        <v>1.50520898290229</v>
      </c>
    </row>
    <row r="59" ht="15.75" spans="2:15">
      <c r="B59" s="616">
        <v>10</v>
      </c>
      <c r="C59" s="617" t="s">
        <v>767</v>
      </c>
      <c r="D59" s="488">
        <f>VLOOKUP(B59,'[57]2c'!$B$4:$H$18,3,0)*10%</f>
        <v>0.01125318</v>
      </c>
      <c r="E59" s="488">
        <f>VLOOKUP(B59,'[57]2c'!$B$4:$H$18,4,0)*10%</f>
        <v>0.01096673</v>
      </c>
      <c r="F59" s="488">
        <f>VLOOKUP(B59,'[57]2c'!$B$4:$H$18,5,0)*10%</f>
        <v>0.001</v>
      </c>
      <c r="G59" s="488">
        <f>VLOOKUP(B59,'[57]2c'!$B$4:$H$18,6,0)*10%</f>
        <v>0.004</v>
      </c>
      <c r="H59" s="488"/>
      <c r="I59" s="488"/>
      <c r="J59" s="488">
        <f>VLOOKUP(B59,'[57]2c'!$B$4:$H$18,7,0)*10%</f>
        <v>0.006</v>
      </c>
      <c r="K59" s="488">
        <f t="shared" si="10"/>
        <v>0.00528851724864796</v>
      </c>
      <c r="L59" s="488">
        <f t="shared" si="10"/>
        <v>0.00634351300398344</v>
      </c>
      <c r="M59" s="488">
        <f t="shared" si="10"/>
        <v>0.00767940850223687</v>
      </c>
      <c r="N59" s="488">
        <f t="shared" si="10"/>
        <v>0.00912771431516424</v>
      </c>
      <c r="O59" s="488">
        <f t="shared" si="10"/>
        <v>0.0106626374231567</v>
      </c>
    </row>
    <row r="60" ht="15" spans="2:15">
      <c r="B60" s="20">
        <v>11</v>
      </c>
      <c r="C60" s="491" t="s">
        <v>633</v>
      </c>
      <c r="D60" s="492">
        <f>SUM(D50:D59)</f>
        <v>11.72082935</v>
      </c>
      <c r="E60" s="492">
        <f t="shared" ref="E60:O60" si="11">SUM(E50:E59)</f>
        <v>14.82385373</v>
      </c>
      <c r="F60" s="492">
        <f t="shared" si="11"/>
        <v>19.871</v>
      </c>
      <c r="G60" s="492">
        <f t="shared" si="11"/>
        <v>19.393</v>
      </c>
      <c r="H60" s="492">
        <f t="shared" si="11"/>
        <v>0</v>
      </c>
      <c r="I60" s="492">
        <f t="shared" si="11"/>
        <v>0</v>
      </c>
      <c r="J60" s="492">
        <f t="shared" si="11"/>
        <v>24.244</v>
      </c>
      <c r="K60" s="30">
        <f t="shared" si="11"/>
        <v>21.3691353627035</v>
      </c>
      <c r="L60" s="30">
        <f t="shared" si="11"/>
        <v>25.6320215447624</v>
      </c>
      <c r="M60" s="30">
        <f t="shared" si="11"/>
        <v>31.0299299547051</v>
      </c>
      <c r="N60" s="30">
        <f t="shared" si="11"/>
        <v>36.8820509761403</v>
      </c>
      <c r="O60" s="30">
        <f t="shared" si="11"/>
        <v>43.084163614502</v>
      </c>
    </row>
    <row r="61" spans="2:15">
      <c r="B61" s="20"/>
      <c r="C61" s="493"/>
      <c r="D61" s="488"/>
      <c r="E61" s="488"/>
      <c r="F61" s="488"/>
      <c r="G61" s="488"/>
      <c r="H61" s="488"/>
      <c r="I61" s="488"/>
      <c r="J61" s="488"/>
      <c r="K61" s="21"/>
      <c r="L61" s="21"/>
      <c r="M61" s="21"/>
      <c r="N61" s="21"/>
      <c r="O61" s="21"/>
    </row>
    <row r="62" spans="2:15">
      <c r="B62" s="20">
        <v>12</v>
      </c>
      <c r="C62" s="493" t="s">
        <v>634</v>
      </c>
      <c r="D62" s="488">
        <f>D21*10%</f>
        <v>1641.73695542</v>
      </c>
      <c r="E62" s="488">
        <f t="shared" ref="E62:G62" si="12">E21*10%</f>
        <v>1761.28238348</v>
      </c>
      <c r="F62" s="488">
        <f t="shared" si="12"/>
        <v>1901.496</v>
      </c>
      <c r="G62" s="488">
        <f t="shared" si="12"/>
        <v>2043.289</v>
      </c>
      <c r="H62" s="488"/>
      <c r="I62" s="488"/>
      <c r="J62" s="488">
        <f>J21*10%</f>
        <v>2219.641</v>
      </c>
      <c r="K62" s="488">
        <f>10%*K21</f>
        <v>2705.37512298841</v>
      </c>
      <c r="L62" s="488">
        <f t="shared" ref="L62:O62" si="13">10%*L21</f>
        <v>3245.06500904725</v>
      </c>
      <c r="M62" s="488">
        <f t="shared" si="13"/>
        <v>3928.45097111648</v>
      </c>
      <c r="N62" s="488">
        <f t="shared" si="13"/>
        <v>4669.34115499079</v>
      </c>
      <c r="O62" s="488">
        <f t="shared" si="13"/>
        <v>5454.54097505842</v>
      </c>
    </row>
    <row r="63" ht="28.5" spans="2:15">
      <c r="B63" s="20">
        <v>13</v>
      </c>
      <c r="C63" s="493" t="s">
        <v>635</v>
      </c>
      <c r="D63" s="21"/>
      <c r="E63" s="21"/>
      <c r="F63" s="21"/>
      <c r="G63" s="494">
        <f>G60/G62</f>
        <v>0.00949107052404237</v>
      </c>
      <c r="H63" s="21"/>
      <c r="I63" s="21"/>
      <c r="J63" s="494">
        <f t="shared" ref="J63:O63" si="14">J60/J62</f>
        <v>0.010922487014792</v>
      </c>
      <c r="K63" s="494">
        <f t="shared" si="14"/>
        <v>0.00789876981610548</v>
      </c>
      <c r="L63" s="494">
        <f t="shared" si="14"/>
        <v>0.00789876981610546</v>
      </c>
      <c r="M63" s="494">
        <f t="shared" si="14"/>
        <v>0.00789876981610548</v>
      </c>
      <c r="N63" s="494">
        <f t="shared" si="14"/>
        <v>0.00789876981610547</v>
      </c>
      <c r="O63" s="494">
        <f t="shared" si="14"/>
        <v>0.00789876981610548</v>
      </c>
    </row>
    <row r="64" spans="2:15">
      <c r="B64" s="20"/>
      <c r="C64" s="493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</row>
  </sheetData>
  <mergeCells count="12">
    <mergeCell ref="H7:J7"/>
    <mergeCell ref="K7:O7"/>
    <mergeCell ref="H27:J27"/>
    <mergeCell ref="K27:O27"/>
    <mergeCell ref="H47:J47"/>
    <mergeCell ref="K47:O47"/>
    <mergeCell ref="B7:B9"/>
    <mergeCell ref="B27:B29"/>
    <mergeCell ref="B47:B49"/>
    <mergeCell ref="C7:C9"/>
    <mergeCell ref="C27:C29"/>
    <mergeCell ref="C47:C49"/>
  </mergeCells>
  <pageMargins left="0.75" right="0.75" top="1" bottom="1" header="0.5" footer="0.5"/>
  <pageSetup paperSize="9" scale="54" orientation="landscape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  <pageSetUpPr fitToPage="1"/>
  </sheetPr>
  <dimension ref="B1:O15"/>
  <sheetViews>
    <sheetView showGridLines="0" zoomScale="62" zoomScaleNormal="62" zoomScaleSheetLayoutView="90" workbookViewId="0">
      <selection activeCell="R21" sqref="R21"/>
    </sheetView>
  </sheetViews>
  <sheetFormatPr defaultColWidth="9.14285714285714" defaultRowHeight="14.25"/>
  <cols>
    <col min="1" max="1" width="4.14285714285714" style="479" customWidth="1"/>
    <col min="2" max="2" width="6.14285714285714" style="479" customWidth="1"/>
    <col min="3" max="3" width="46.5714285714286" style="479" customWidth="1"/>
    <col min="4" max="4" width="13.8571428571429" style="479" customWidth="1"/>
    <col min="5" max="5" width="12.5714285714286" style="479" customWidth="1"/>
    <col min="6" max="6" width="13.4285714285714" style="479" customWidth="1"/>
    <col min="7" max="7" width="13.8571428571429" style="479" customWidth="1"/>
    <col min="8" max="8" width="12.5714285714286" style="479" customWidth="1"/>
    <col min="9" max="9" width="13.1428571428571" style="479" customWidth="1"/>
    <col min="10" max="10" width="12.5714285714286" style="479" customWidth="1"/>
    <col min="11" max="11" width="11.8571428571429" style="479" customWidth="1"/>
    <col min="12" max="12" width="13.8571428571429" style="479" customWidth="1"/>
    <col min="13" max="18" width="11.8571428571429" style="479" customWidth="1"/>
    <col min="19" max="16384" width="9.14285714285714" style="479"/>
  </cols>
  <sheetData>
    <row r="1" ht="15" spans="2:2">
      <c r="B1" s="480"/>
    </row>
    <row r="2" ht="15" spans="3:13">
      <c r="C2" s="12"/>
      <c r="D2" s="12"/>
      <c r="E2" s="12"/>
      <c r="F2" s="12"/>
      <c r="G2" s="12"/>
      <c r="H2" s="2" t="s">
        <v>758</v>
      </c>
      <c r="I2" s="12"/>
      <c r="J2" s="12"/>
      <c r="K2" s="12"/>
      <c r="L2" s="12"/>
      <c r="M2" s="12"/>
    </row>
    <row r="3" ht="15" spans="3:13">
      <c r="C3" s="12"/>
      <c r="D3" s="12"/>
      <c r="E3" s="12"/>
      <c r="F3" s="12"/>
      <c r="G3" s="12"/>
      <c r="H3" s="3" t="s">
        <v>636</v>
      </c>
      <c r="I3" s="12"/>
      <c r="J3" s="12"/>
      <c r="K3" s="12"/>
      <c r="L3" s="12"/>
      <c r="M3" s="12"/>
    </row>
    <row r="4" ht="15" spans="2:12">
      <c r="B4" s="34"/>
      <c r="C4" s="481"/>
      <c r="D4" s="481"/>
      <c r="E4" s="481"/>
      <c r="F4" s="481"/>
      <c r="G4" s="481"/>
      <c r="H4" s="481"/>
      <c r="I4" s="481"/>
      <c r="J4" s="481"/>
      <c r="K4" s="481"/>
      <c r="L4" s="481"/>
    </row>
    <row r="5" ht="15" spans="15:15">
      <c r="O5" s="33" t="s">
        <v>109</v>
      </c>
    </row>
    <row r="6" s="15" customFormat="1" ht="15" customHeight="1" spans="2:15">
      <c r="B6" s="16" t="s">
        <v>3</v>
      </c>
      <c r="C6" s="6" t="s">
        <v>110</v>
      </c>
      <c r="D6" s="306" t="s">
        <v>112</v>
      </c>
      <c r="E6" s="307"/>
      <c r="F6" s="308"/>
      <c r="G6" s="306" t="s">
        <v>760</v>
      </c>
      <c r="H6" s="307"/>
      <c r="I6" s="307"/>
      <c r="J6" s="307"/>
      <c r="K6" s="135" t="s">
        <v>114</v>
      </c>
      <c r="L6" s="135"/>
      <c r="M6" s="135"/>
      <c r="N6" s="135"/>
      <c r="O6" s="135"/>
    </row>
    <row r="7" s="15" customFormat="1" ht="30" spans="2:15">
      <c r="B7" s="309"/>
      <c r="C7" s="6"/>
      <c r="D7" s="5" t="s">
        <v>116</v>
      </c>
      <c r="E7" s="5" t="s">
        <v>237</v>
      </c>
      <c r="F7" s="5" t="s">
        <v>118</v>
      </c>
      <c r="G7" s="5" t="s">
        <v>116</v>
      </c>
      <c r="H7" s="5" t="s">
        <v>119</v>
      </c>
      <c r="I7" s="5" t="s">
        <v>120</v>
      </c>
      <c r="J7" s="5" t="s">
        <v>238</v>
      </c>
      <c r="K7" s="5" t="s">
        <v>514</v>
      </c>
      <c r="L7" s="5" t="s">
        <v>515</v>
      </c>
      <c r="M7" s="5" t="s">
        <v>516</v>
      </c>
      <c r="N7" s="5" t="s">
        <v>517</v>
      </c>
      <c r="O7" s="5" t="s">
        <v>518</v>
      </c>
    </row>
    <row r="8" s="15" customFormat="1" ht="15" spans="2:15">
      <c r="B8" s="310"/>
      <c r="C8" s="100"/>
      <c r="D8" s="5" t="s">
        <v>127</v>
      </c>
      <c r="E8" s="5" t="s">
        <v>128</v>
      </c>
      <c r="F8" s="5" t="s">
        <v>129</v>
      </c>
      <c r="G8" s="5" t="s">
        <v>127</v>
      </c>
      <c r="H8" s="5" t="s">
        <v>130</v>
      </c>
      <c r="I8" s="5" t="s">
        <v>131</v>
      </c>
      <c r="J8" s="5" t="s">
        <v>131</v>
      </c>
      <c r="K8" s="5" t="s">
        <v>132</v>
      </c>
      <c r="L8" s="5" t="s">
        <v>132</v>
      </c>
      <c r="M8" s="5" t="s">
        <v>132</v>
      </c>
      <c r="N8" s="5" t="s">
        <v>132</v>
      </c>
      <c r="O8" s="5" t="s">
        <v>132</v>
      </c>
    </row>
    <row r="9" s="12" customFormat="1" ht="15" spans="2:15">
      <c r="B9" s="311">
        <v>1</v>
      </c>
      <c r="C9" s="55" t="s">
        <v>637</v>
      </c>
      <c r="D9" s="20"/>
      <c r="E9" s="100"/>
      <c r="F9" s="188">
        <f>E9-D9</f>
        <v>0</v>
      </c>
      <c r="G9" s="208"/>
      <c r="H9" s="208"/>
      <c r="I9" s="208"/>
      <c r="J9" s="325">
        <f>'[6]Investment for 5th MYT'!$B$133</f>
        <v>1206.97</v>
      </c>
      <c r="K9" s="325">
        <f>'[6]Investment for 5th MYT'!$B$160</f>
        <v>1696.01</v>
      </c>
      <c r="L9" s="325">
        <f>'[6]Investment for 5th MYT'!$B$187</f>
        <v>2808.59032670857</v>
      </c>
      <c r="M9" s="325">
        <f>'[6]Investment for 5th MYT'!$B$214</f>
        <v>3699.50912961617</v>
      </c>
      <c r="N9" s="325">
        <f>'[6]Investment for 5th MYT'!$B$241</f>
        <v>4684.52841351016</v>
      </c>
      <c r="O9" s="325">
        <f>'[6]Investment for 5th MYT'!$B$268</f>
        <v>5078.71292401281</v>
      </c>
    </row>
    <row r="10" s="12" customFormat="1" ht="15" spans="2:15">
      <c r="B10" s="100">
        <v>2</v>
      </c>
      <c r="C10" s="55" t="s">
        <v>638</v>
      </c>
      <c r="D10" s="20"/>
      <c r="E10" s="101">
        <f>[56]F16.1!G11</f>
        <v>0</v>
      </c>
      <c r="F10" s="188">
        <f>E10-D10</f>
        <v>0</v>
      </c>
      <c r="G10" s="208"/>
      <c r="H10" s="208"/>
      <c r="I10" s="208"/>
      <c r="J10" s="325">
        <f>'[6]Investment for 5th MYT'!$F$133</f>
        <v>3013.04931089087</v>
      </c>
      <c r="K10" s="325">
        <f>'[6]Investment for 5th MYT'!$F$160</f>
        <v>5209.79360636482</v>
      </c>
      <c r="L10" s="325">
        <f>'[6]Investment for 5th MYT'!$F$187</f>
        <v>6287.81766349594</v>
      </c>
      <c r="M10" s="325">
        <f>'[6]Investment for 5th MYT'!$F$214</f>
        <v>7818.87890458634</v>
      </c>
      <c r="N10" s="325">
        <f>'[6]Investment for 5th MYT'!$F$241</f>
        <v>7803.08634924571</v>
      </c>
      <c r="O10" s="325">
        <f>'[6]Investment for 5th MYT'!$F$268</f>
        <v>8155.73541692145</v>
      </c>
    </row>
    <row r="11" s="12" customFormat="1" ht="15" spans="2:15">
      <c r="B11" s="100">
        <v>3</v>
      </c>
      <c r="C11" s="334" t="s">
        <v>639</v>
      </c>
      <c r="D11" s="20"/>
      <c r="E11" s="101">
        <f>[56]F16.1!H11</f>
        <v>0</v>
      </c>
      <c r="F11" s="188">
        <f>E11-D11</f>
        <v>0</v>
      </c>
      <c r="G11" s="208"/>
      <c r="H11" s="208"/>
      <c r="I11" s="208"/>
      <c r="J11" s="325">
        <f>'[6]Investment for 5th MYT'!$I$133</f>
        <v>2524.00931089087</v>
      </c>
      <c r="K11" s="325">
        <f>'[6]Investment for 5th MYT'!$I$160</f>
        <v>4097.21327965625</v>
      </c>
      <c r="L11" s="325">
        <f>'[6]Investment for 5th MYT'!$I$187</f>
        <v>5396.89886058834</v>
      </c>
      <c r="M11" s="325">
        <f>'[6]Investment for 5th MYT'!$I$214</f>
        <v>6833.85962069235</v>
      </c>
      <c r="N11" s="325">
        <f>'[6]Investment for 5th MYT'!$I$241</f>
        <v>7408.90183874306</v>
      </c>
      <c r="O11" s="325">
        <f>'[6]Investment for 5th MYT'!$I$268</f>
        <v>7851.9982006763</v>
      </c>
    </row>
    <row r="12" s="12" customFormat="1" ht="15" spans="2:15">
      <c r="B12" s="100">
        <v>4</v>
      </c>
      <c r="C12" s="55" t="s">
        <v>640</v>
      </c>
      <c r="D12" s="21"/>
      <c r="E12" s="100"/>
      <c r="F12" s="188">
        <f>E12-D12</f>
        <v>0</v>
      </c>
      <c r="G12" s="334"/>
      <c r="H12" s="334"/>
      <c r="I12" s="334"/>
      <c r="J12" s="318">
        <f>'[6]Investment for 5th MYT'!$J$133</f>
        <v>1696.01</v>
      </c>
      <c r="K12" s="318">
        <f>'[6]Investment for 5th MYT'!$J$160</f>
        <v>2808.59032670857</v>
      </c>
      <c r="L12" s="318">
        <f>'[6]Investment for 5th MYT'!$J$187</f>
        <v>3699.50912961617</v>
      </c>
      <c r="M12" s="318">
        <f>'[6]Investment for 5th MYT'!$J$214</f>
        <v>4684.52841351016</v>
      </c>
      <c r="N12" s="318">
        <f>'[6]Investment for 5th MYT'!$J$241</f>
        <v>5078.71292401281</v>
      </c>
      <c r="O12" s="318">
        <f>'[6]Investment for 5th MYT'!$J$268</f>
        <v>5382.45014025796</v>
      </c>
    </row>
    <row r="13" s="11" customFormat="1" ht="15" spans="2:13">
      <c r="B13" s="482"/>
      <c r="C13" s="483"/>
      <c r="D13" s="484"/>
      <c r="E13" s="484"/>
      <c r="F13" s="484"/>
      <c r="G13" s="218"/>
      <c r="H13" s="14"/>
      <c r="I13" s="14"/>
      <c r="J13" s="14"/>
      <c r="K13" s="14"/>
      <c r="L13" s="14"/>
      <c r="M13" s="14"/>
    </row>
    <row r="15" spans="2:2">
      <c r="B15" s="485"/>
    </row>
  </sheetData>
  <mergeCells count="5">
    <mergeCell ref="D6:F6"/>
    <mergeCell ref="G6:J6"/>
    <mergeCell ref="K6:O6"/>
    <mergeCell ref="B6:B8"/>
    <mergeCell ref="C6:C8"/>
  </mergeCells>
  <pageMargins left="1.02" right="0.25" top="1" bottom="1" header="0.25" footer="0.25"/>
  <pageSetup paperSize="9" scale="68" orientation="landscape"/>
  <headerFooter alignWithMargins="0">
    <oddHeader>&amp;C&amp;F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B1:O953"/>
  <sheetViews>
    <sheetView showGridLines="0" zoomScale="52" zoomScaleNormal="52" zoomScaleSheetLayoutView="90" topLeftCell="A927" workbookViewId="0">
      <selection activeCell="R21" sqref="R21"/>
    </sheetView>
  </sheetViews>
  <sheetFormatPr defaultColWidth="9.14285714285714" defaultRowHeight="14.25"/>
  <cols>
    <col min="1" max="1" width="4.14285714285714" style="12" customWidth="1"/>
    <col min="2" max="2" width="9.14285714285714" style="12"/>
    <col min="3" max="3" width="46.1428571428571" style="12" customWidth="1"/>
    <col min="4" max="4" width="8" style="12" customWidth="1"/>
    <col min="5" max="5" width="14.5714285714286" style="12" customWidth="1"/>
    <col min="6" max="6" width="13.1428571428571" style="12" customWidth="1"/>
    <col min="7" max="7" width="10.8571428571429" style="12" customWidth="1"/>
    <col min="8" max="8" width="14.8571428571429" style="12" customWidth="1"/>
    <col min="9" max="9" width="10.8571428571429" style="12" customWidth="1"/>
    <col min="10" max="10" width="15.1428571428571" style="12" customWidth="1"/>
    <col min="11" max="11" width="13.8571428571429" style="12" customWidth="1"/>
    <col min="12" max="12" width="10.8571428571429" style="12" customWidth="1"/>
    <col min="13" max="13" width="13.8571428571429" style="12" customWidth="1"/>
    <col min="14" max="14" width="15.1428571428571" style="12" customWidth="1"/>
    <col min="15" max="15" width="14" style="12" customWidth="1"/>
    <col min="16" max="16" width="13.8571428571429" style="12" customWidth="1"/>
    <col min="17" max="22" width="11.8571428571429" style="12" customWidth="1"/>
    <col min="23" max="16384" width="9.14285714285714" style="12"/>
  </cols>
  <sheetData>
    <row r="1" ht="15" spans="2:2">
      <c r="B1" s="14"/>
    </row>
    <row r="2" ht="15" spans="8:9">
      <c r="H2" s="2" t="s">
        <v>758</v>
      </c>
      <c r="I2" s="2"/>
    </row>
    <row r="3" ht="15" spans="8:9">
      <c r="H3" s="3" t="s">
        <v>670</v>
      </c>
      <c r="I3" s="3"/>
    </row>
    <row r="4" ht="15" spans="2:9">
      <c r="B4" s="11" t="s">
        <v>763</v>
      </c>
      <c r="H4" s="3"/>
      <c r="I4" s="3"/>
    </row>
    <row r="5" ht="15.75" hidden="1" spans="11:15">
      <c r="K5" s="3"/>
      <c r="O5" s="11" t="s">
        <v>109</v>
      </c>
    </row>
    <row r="6" ht="15" hidden="1" spans="2:15">
      <c r="B6" s="545" t="s">
        <v>112</v>
      </c>
      <c r="C6" s="546"/>
      <c r="D6" s="546"/>
      <c r="E6" s="546"/>
      <c r="F6" s="546"/>
      <c r="G6" s="546"/>
      <c r="H6" s="546"/>
      <c r="I6" s="546"/>
      <c r="J6" s="546"/>
      <c r="K6" s="546"/>
      <c r="L6" s="546"/>
      <c r="M6" s="546"/>
      <c r="N6" s="546"/>
      <c r="O6" s="578"/>
    </row>
    <row r="7" ht="14.1" hidden="1" customHeight="1" spans="2:15">
      <c r="B7" s="547" t="s">
        <v>564</v>
      </c>
      <c r="C7" s="978" t="s">
        <v>671</v>
      </c>
      <c r="D7" s="549" t="s">
        <v>672</v>
      </c>
      <c r="E7" s="549" t="s">
        <v>673</v>
      </c>
      <c r="F7" s="549" t="s">
        <v>674</v>
      </c>
      <c r="G7" s="549"/>
      <c r="H7" s="549"/>
      <c r="I7" s="549"/>
      <c r="J7" s="549" t="s">
        <v>675</v>
      </c>
      <c r="K7" s="549"/>
      <c r="L7" s="549"/>
      <c r="M7" s="549"/>
      <c r="N7" s="549" t="s">
        <v>676</v>
      </c>
      <c r="O7" s="579"/>
    </row>
    <row r="8" ht="60" hidden="1" spans="2:15">
      <c r="B8" s="547"/>
      <c r="C8" s="550"/>
      <c r="D8" s="549"/>
      <c r="E8" s="549"/>
      <c r="F8" s="549" t="s">
        <v>677</v>
      </c>
      <c r="G8" s="549" t="s">
        <v>678</v>
      </c>
      <c r="H8" s="549" t="s">
        <v>679</v>
      </c>
      <c r="I8" s="549" t="s">
        <v>680</v>
      </c>
      <c r="J8" s="549" t="s">
        <v>681</v>
      </c>
      <c r="K8" s="549" t="s">
        <v>678</v>
      </c>
      <c r="L8" s="549" t="s">
        <v>682</v>
      </c>
      <c r="M8" s="549" t="s">
        <v>683</v>
      </c>
      <c r="N8" s="549" t="s">
        <v>677</v>
      </c>
      <c r="O8" s="579" t="s">
        <v>680</v>
      </c>
    </row>
    <row r="9" ht="15" hidden="1" spans="2:15">
      <c r="B9" s="551">
        <v>1</v>
      </c>
      <c r="C9" s="552" t="s">
        <v>684</v>
      </c>
      <c r="D9" s="553"/>
      <c r="E9" s="554"/>
      <c r="F9" s="555">
        <f ca="1" t="shared" ref="F9:L10" si="0">F326+F643</f>
        <v>0</v>
      </c>
      <c r="G9" s="555">
        <f ca="1" t="shared" si="0"/>
        <v>0</v>
      </c>
      <c r="H9" s="555">
        <f ca="1" t="shared" si="0"/>
        <v>0</v>
      </c>
      <c r="I9" s="555">
        <f ca="1">F9+G9-H9</f>
        <v>0</v>
      </c>
      <c r="J9" s="555">
        <f ca="1" t="shared" si="0"/>
        <v>0</v>
      </c>
      <c r="K9" s="555">
        <f ca="1" t="shared" si="0"/>
        <v>0</v>
      </c>
      <c r="L9" s="555">
        <f ca="1" t="shared" si="0"/>
        <v>0</v>
      </c>
      <c r="M9" s="555">
        <f ca="1">J9+K9-L9</f>
        <v>0</v>
      </c>
      <c r="N9" s="555">
        <f ca="1">F9-J9</f>
        <v>0</v>
      </c>
      <c r="O9" s="555">
        <f ca="1">I9-M9</f>
        <v>0</v>
      </c>
    </row>
    <row r="10" ht="15" hidden="1" spans="2:15">
      <c r="B10" s="551">
        <v>2</v>
      </c>
      <c r="C10" s="552" t="s">
        <v>770</v>
      </c>
      <c r="D10" s="553"/>
      <c r="E10" s="554"/>
      <c r="F10" s="555">
        <f ca="1">F327+F644</f>
        <v>0</v>
      </c>
      <c r="G10" s="555">
        <f ca="1" t="shared" si="0"/>
        <v>0</v>
      </c>
      <c r="H10" s="555">
        <f ca="1" t="shared" si="0"/>
        <v>0</v>
      </c>
      <c r="I10" s="555">
        <f ca="1">F10+G10-H10</f>
        <v>0</v>
      </c>
      <c r="J10" s="555">
        <f ca="1" t="shared" si="0"/>
        <v>0</v>
      </c>
      <c r="K10" s="555">
        <f ca="1" t="shared" si="0"/>
        <v>0</v>
      </c>
      <c r="L10" s="555">
        <f ca="1" t="shared" si="0"/>
        <v>0</v>
      </c>
      <c r="M10" s="555">
        <f ca="1">J10+K10-L10</f>
        <v>0</v>
      </c>
      <c r="N10" s="555">
        <f ca="1">F10-J10</f>
        <v>0</v>
      </c>
      <c r="O10" s="555">
        <f ca="1">I10-M10</f>
        <v>0</v>
      </c>
    </row>
    <row r="11" ht="15" hidden="1" spans="2:15">
      <c r="B11" s="551">
        <v>3</v>
      </c>
      <c r="C11" s="556" t="s">
        <v>771</v>
      </c>
      <c r="D11" s="553"/>
      <c r="E11" s="416"/>
      <c r="F11" s="555"/>
      <c r="G11" s="555"/>
      <c r="H11" s="555"/>
      <c r="I11" s="555"/>
      <c r="J11" s="555"/>
      <c r="K11" s="555"/>
      <c r="L11" s="555"/>
      <c r="M11" s="555"/>
      <c r="N11" s="555"/>
      <c r="O11" s="555"/>
    </row>
    <row r="12" ht="15" hidden="1" spans="2:15">
      <c r="B12" s="551"/>
      <c r="C12" s="557" t="s">
        <v>772</v>
      </c>
      <c r="D12" s="553"/>
      <c r="E12" s="416"/>
      <c r="F12" s="555">
        <f ca="1" t="shared" ref="F12:L15" si="1">F329+F646</f>
        <v>0</v>
      </c>
      <c r="G12" s="555">
        <f ca="1" t="shared" si="1"/>
        <v>0</v>
      </c>
      <c r="H12" s="555">
        <f ca="1" t="shared" si="1"/>
        <v>0</v>
      </c>
      <c r="I12" s="555">
        <f ca="1">F12+G12-H12</f>
        <v>0</v>
      </c>
      <c r="J12" s="555">
        <f ca="1" t="shared" si="1"/>
        <v>0</v>
      </c>
      <c r="K12" s="555">
        <f ca="1" t="shared" si="1"/>
        <v>0</v>
      </c>
      <c r="L12" s="555">
        <f ca="1" t="shared" si="1"/>
        <v>0</v>
      </c>
      <c r="M12" s="555">
        <f ca="1">J12+K12-L12</f>
        <v>0</v>
      </c>
      <c r="N12" s="555">
        <f ca="1">F12-J12</f>
        <v>0</v>
      </c>
      <c r="O12" s="555">
        <f ca="1">I12-M12</f>
        <v>0</v>
      </c>
    </row>
    <row r="13" ht="28.5" hidden="1" spans="2:15">
      <c r="B13" s="551"/>
      <c r="C13" s="557" t="s">
        <v>773</v>
      </c>
      <c r="D13" s="553"/>
      <c r="E13" s="416"/>
      <c r="F13" s="555">
        <f ca="1" t="shared" si="1"/>
        <v>0</v>
      </c>
      <c r="G13" s="555">
        <f ca="1" t="shared" si="1"/>
        <v>0</v>
      </c>
      <c r="H13" s="555">
        <f ca="1" t="shared" si="1"/>
        <v>0</v>
      </c>
      <c r="I13" s="555">
        <f ca="1">F13+G13-H13</f>
        <v>0</v>
      </c>
      <c r="J13" s="555">
        <f ca="1" t="shared" si="1"/>
        <v>0</v>
      </c>
      <c r="K13" s="555">
        <f ca="1" t="shared" si="1"/>
        <v>0</v>
      </c>
      <c r="L13" s="555">
        <f ca="1" t="shared" si="1"/>
        <v>0</v>
      </c>
      <c r="M13" s="555">
        <f ca="1" t="shared" ref="M13:M20" si="2">J13+K13-L13</f>
        <v>0</v>
      </c>
      <c r="N13" s="555">
        <f ca="1">F13-J13</f>
        <v>0</v>
      </c>
      <c r="O13" s="555">
        <f ca="1">I13-M13</f>
        <v>0</v>
      </c>
    </row>
    <row r="14" ht="15" hidden="1" spans="2:15">
      <c r="B14" s="551"/>
      <c r="C14" s="557" t="s">
        <v>774</v>
      </c>
      <c r="D14" s="553"/>
      <c r="E14" s="416"/>
      <c r="F14" s="555">
        <f ca="1" t="shared" si="1"/>
        <v>0</v>
      </c>
      <c r="G14" s="555">
        <f ca="1" t="shared" si="1"/>
        <v>0</v>
      </c>
      <c r="H14" s="555">
        <f ca="1" t="shared" si="1"/>
        <v>0</v>
      </c>
      <c r="I14" s="555">
        <f ca="1">F14+G14-H14</f>
        <v>0</v>
      </c>
      <c r="J14" s="555">
        <f ca="1" t="shared" si="1"/>
        <v>0</v>
      </c>
      <c r="K14" s="555">
        <f ca="1" t="shared" si="1"/>
        <v>0</v>
      </c>
      <c r="L14" s="555">
        <f ca="1" t="shared" si="1"/>
        <v>0</v>
      </c>
      <c r="M14" s="555">
        <f ca="1" t="shared" si="2"/>
        <v>0</v>
      </c>
      <c r="N14" s="555">
        <f ca="1">F14-J14</f>
        <v>0</v>
      </c>
      <c r="O14" s="555">
        <f ca="1">I14-M14</f>
        <v>0</v>
      </c>
    </row>
    <row r="15" ht="15" hidden="1" spans="2:15">
      <c r="B15" s="551"/>
      <c r="C15" s="557" t="s">
        <v>775</v>
      </c>
      <c r="D15" s="553"/>
      <c r="E15" s="416"/>
      <c r="F15" s="555">
        <f ca="1" t="shared" si="1"/>
        <v>0</v>
      </c>
      <c r="G15" s="555">
        <f ca="1" t="shared" si="1"/>
        <v>0</v>
      </c>
      <c r="H15" s="555">
        <f ca="1" t="shared" si="1"/>
        <v>0</v>
      </c>
      <c r="I15" s="555">
        <f ca="1">F15+G15-H15</f>
        <v>0</v>
      </c>
      <c r="J15" s="555">
        <f ca="1" t="shared" si="1"/>
        <v>0</v>
      </c>
      <c r="K15" s="555">
        <f ca="1" t="shared" si="1"/>
        <v>0</v>
      </c>
      <c r="L15" s="555">
        <f ca="1" t="shared" si="1"/>
        <v>0</v>
      </c>
      <c r="M15" s="555">
        <f ca="1" t="shared" si="2"/>
        <v>0</v>
      </c>
      <c r="N15" s="555">
        <f ca="1" t="shared" ref="N15" si="3">F15-J15</f>
        <v>0</v>
      </c>
      <c r="O15" s="555">
        <f ca="1">I15-M15</f>
        <v>0</v>
      </c>
    </row>
    <row r="16" ht="15" hidden="1" spans="2:15">
      <c r="B16" s="551">
        <v>4</v>
      </c>
      <c r="C16" s="552" t="s">
        <v>776</v>
      </c>
      <c r="D16" s="553"/>
      <c r="E16" s="416"/>
      <c r="F16" s="555"/>
      <c r="G16" s="555"/>
      <c r="H16" s="555"/>
      <c r="I16" s="555"/>
      <c r="J16" s="555"/>
      <c r="K16" s="555"/>
      <c r="L16" s="555"/>
      <c r="M16" s="555"/>
      <c r="N16" s="555"/>
      <c r="O16" s="555"/>
    </row>
    <row r="17" ht="15" hidden="1" spans="2:15">
      <c r="B17" s="551"/>
      <c r="C17" s="558" t="s">
        <v>777</v>
      </c>
      <c r="D17" s="553"/>
      <c r="E17" s="416"/>
      <c r="F17" s="555">
        <f ca="1" t="shared" ref="F17:L17" si="4">F334+F651</f>
        <v>0</v>
      </c>
      <c r="G17" s="555">
        <f ca="1" t="shared" si="4"/>
        <v>0</v>
      </c>
      <c r="H17" s="555">
        <f ca="1" t="shared" si="4"/>
        <v>0</v>
      </c>
      <c r="I17" s="555">
        <f ca="1">F17+G17-H17</f>
        <v>0</v>
      </c>
      <c r="J17" s="555">
        <f ca="1" t="shared" si="4"/>
        <v>0</v>
      </c>
      <c r="K17" s="555">
        <f ca="1" t="shared" si="4"/>
        <v>0</v>
      </c>
      <c r="L17" s="555">
        <f ca="1" t="shared" si="4"/>
        <v>0</v>
      </c>
      <c r="M17" s="555">
        <f ca="1" t="shared" si="2"/>
        <v>0</v>
      </c>
      <c r="N17" s="555">
        <f ca="1">F17-J17</f>
        <v>0</v>
      </c>
      <c r="O17" s="555">
        <f ca="1">I17-M17</f>
        <v>0</v>
      </c>
    </row>
    <row r="18" ht="15" hidden="1" spans="2:15">
      <c r="B18" s="551"/>
      <c r="C18" s="552" t="s">
        <v>778</v>
      </c>
      <c r="D18" s="553"/>
      <c r="E18" s="416"/>
      <c r="F18" s="555"/>
      <c r="G18" s="555"/>
      <c r="H18" s="555"/>
      <c r="I18" s="555"/>
      <c r="J18" s="555"/>
      <c r="K18" s="555"/>
      <c r="L18" s="555"/>
      <c r="M18" s="555"/>
      <c r="N18" s="555"/>
      <c r="O18" s="555"/>
    </row>
    <row r="19" ht="15" hidden="1" spans="2:15">
      <c r="B19" s="551"/>
      <c r="C19" s="558" t="s">
        <v>779</v>
      </c>
      <c r="D19" s="553"/>
      <c r="E19" s="416"/>
      <c r="F19" s="555">
        <f ca="1" t="shared" ref="F19:L20" si="5">F336+F653</f>
        <v>0</v>
      </c>
      <c r="G19" s="555">
        <f ca="1" t="shared" si="5"/>
        <v>0</v>
      </c>
      <c r="H19" s="555">
        <f ca="1" t="shared" si="5"/>
        <v>0</v>
      </c>
      <c r="I19" s="555">
        <f ca="1">F19+G19-H19</f>
        <v>0</v>
      </c>
      <c r="J19" s="555">
        <f ca="1" t="shared" si="5"/>
        <v>0</v>
      </c>
      <c r="K19" s="555">
        <f ca="1" t="shared" si="5"/>
        <v>0</v>
      </c>
      <c r="L19" s="555">
        <f ca="1" t="shared" si="5"/>
        <v>0</v>
      </c>
      <c r="M19" s="555">
        <f ca="1">J19+K19-L19</f>
        <v>0</v>
      </c>
      <c r="N19" s="555">
        <f ca="1">F19-J19</f>
        <v>0</v>
      </c>
      <c r="O19" s="555">
        <f ca="1">I19-M19</f>
        <v>0</v>
      </c>
    </row>
    <row r="20" ht="15" hidden="1" spans="2:15">
      <c r="B20" s="551"/>
      <c r="C20" s="558" t="s">
        <v>780</v>
      </c>
      <c r="D20" s="553"/>
      <c r="E20" s="416"/>
      <c r="F20" s="555">
        <f ca="1" t="shared" si="5"/>
        <v>0</v>
      </c>
      <c r="G20" s="555">
        <f ca="1" t="shared" si="5"/>
        <v>0</v>
      </c>
      <c r="H20" s="555">
        <f ca="1" t="shared" si="5"/>
        <v>0</v>
      </c>
      <c r="I20" s="555">
        <f ca="1">F20+G20-H20</f>
        <v>0</v>
      </c>
      <c r="J20" s="555">
        <f ca="1" t="shared" si="5"/>
        <v>0</v>
      </c>
      <c r="K20" s="555">
        <f ca="1" t="shared" si="5"/>
        <v>0</v>
      </c>
      <c r="L20" s="555">
        <f ca="1" t="shared" si="5"/>
        <v>0</v>
      </c>
      <c r="M20" s="555">
        <f ca="1" t="shared" si="2"/>
        <v>0</v>
      </c>
      <c r="N20" s="555">
        <f ca="1">F20-J20</f>
        <v>0</v>
      </c>
      <c r="O20" s="555">
        <f ca="1">I20-M20</f>
        <v>0</v>
      </c>
    </row>
    <row r="21" ht="15" hidden="1" spans="2:15">
      <c r="B21" s="551">
        <v>5</v>
      </c>
      <c r="C21" s="552" t="s">
        <v>781</v>
      </c>
      <c r="D21" s="553"/>
      <c r="E21" s="416"/>
      <c r="F21" s="559"/>
      <c r="G21" s="559"/>
      <c r="H21" s="559"/>
      <c r="I21" s="559"/>
      <c r="J21" s="559"/>
      <c r="K21" s="559"/>
      <c r="L21" s="559"/>
      <c r="M21" s="559"/>
      <c r="N21" s="559"/>
      <c r="O21" s="559"/>
    </row>
    <row r="22" ht="15" hidden="1" spans="2:15">
      <c r="B22" s="551"/>
      <c r="C22" s="558" t="s">
        <v>782</v>
      </c>
      <c r="D22" s="553"/>
      <c r="E22" s="416"/>
      <c r="F22" s="555">
        <f ca="1" t="shared" ref="F22:L27" si="6">F339+F656</f>
        <v>0</v>
      </c>
      <c r="G22" s="555">
        <f ca="1" t="shared" si="6"/>
        <v>0</v>
      </c>
      <c r="H22" s="555">
        <f ca="1" t="shared" si="6"/>
        <v>0</v>
      </c>
      <c r="I22" s="555">
        <f ca="1" t="shared" ref="I22:I27" si="7">F22+G22-H22</f>
        <v>0</v>
      </c>
      <c r="J22" s="555">
        <f ca="1" t="shared" si="6"/>
        <v>0</v>
      </c>
      <c r="K22" s="555">
        <f ca="1" t="shared" si="6"/>
        <v>0</v>
      </c>
      <c r="L22" s="555">
        <f ca="1" t="shared" si="6"/>
        <v>0</v>
      </c>
      <c r="M22" s="555">
        <f ca="1">J22+K22-L22</f>
        <v>0</v>
      </c>
      <c r="N22" s="555">
        <f ca="1">F22-J22</f>
        <v>0</v>
      </c>
      <c r="O22" s="555">
        <f ca="1" t="shared" ref="O22:O27" si="8">I22-M22</f>
        <v>0</v>
      </c>
    </row>
    <row r="23" ht="15" hidden="1" spans="2:15">
      <c r="B23" s="551"/>
      <c r="C23" s="558" t="s">
        <v>783</v>
      </c>
      <c r="D23" s="553"/>
      <c r="E23" s="416"/>
      <c r="F23" s="555">
        <f ca="1" t="shared" si="6"/>
        <v>0</v>
      </c>
      <c r="G23" s="555">
        <f ca="1" t="shared" si="6"/>
        <v>0</v>
      </c>
      <c r="H23" s="555">
        <f ca="1" t="shared" si="6"/>
        <v>0</v>
      </c>
      <c r="I23" s="555">
        <f ca="1" t="shared" si="7"/>
        <v>0</v>
      </c>
      <c r="J23" s="555">
        <f ca="1" t="shared" si="6"/>
        <v>0</v>
      </c>
      <c r="K23" s="555">
        <f ca="1" t="shared" si="6"/>
        <v>0</v>
      </c>
      <c r="L23" s="555">
        <f ca="1" t="shared" si="6"/>
        <v>0</v>
      </c>
      <c r="M23" s="555">
        <f ca="1" t="shared" ref="M23:M27" si="9">J23+K23-L23</f>
        <v>0</v>
      </c>
      <c r="N23" s="555">
        <f ca="1" t="shared" ref="N23:N27" si="10">F23-J23</f>
        <v>0</v>
      </c>
      <c r="O23" s="555">
        <f ca="1" t="shared" si="8"/>
        <v>0</v>
      </c>
    </row>
    <row r="24" ht="15" hidden="1" spans="2:15">
      <c r="B24" s="551"/>
      <c r="C24" s="558" t="s">
        <v>784</v>
      </c>
      <c r="D24" s="553"/>
      <c r="E24" s="416"/>
      <c r="F24" s="555">
        <f ca="1" t="shared" si="6"/>
        <v>0</v>
      </c>
      <c r="G24" s="555">
        <f ca="1" t="shared" si="6"/>
        <v>0</v>
      </c>
      <c r="H24" s="555">
        <f ca="1" t="shared" si="6"/>
        <v>0</v>
      </c>
      <c r="I24" s="555">
        <f ca="1" t="shared" si="7"/>
        <v>0</v>
      </c>
      <c r="J24" s="555">
        <f ca="1" t="shared" si="6"/>
        <v>0</v>
      </c>
      <c r="K24" s="555">
        <f ca="1" t="shared" si="6"/>
        <v>0</v>
      </c>
      <c r="L24" s="555">
        <f ca="1" t="shared" si="6"/>
        <v>0</v>
      </c>
      <c r="M24" s="555">
        <f ca="1" t="shared" si="9"/>
        <v>0</v>
      </c>
      <c r="N24" s="555">
        <f ca="1" t="shared" si="10"/>
        <v>0</v>
      </c>
      <c r="O24" s="555">
        <f ca="1" t="shared" si="8"/>
        <v>0</v>
      </c>
    </row>
    <row r="25" ht="15" hidden="1" spans="2:15">
      <c r="B25" s="551"/>
      <c r="C25" s="558" t="s">
        <v>785</v>
      </c>
      <c r="D25" s="553"/>
      <c r="E25" s="416"/>
      <c r="F25" s="555">
        <f ca="1" t="shared" si="6"/>
        <v>0</v>
      </c>
      <c r="G25" s="555">
        <f ca="1" t="shared" si="6"/>
        <v>0</v>
      </c>
      <c r="H25" s="555">
        <f ca="1" t="shared" si="6"/>
        <v>0</v>
      </c>
      <c r="I25" s="555">
        <f ca="1" t="shared" si="7"/>
        <v>0</v>
      </c>
      <c r="J25" s="555">
        <f ca="1" t="shared" si="6"/>
        <v>0</v>
      </c>
      <c r="K25" s="555">
        <f ca="1" t="shared" si="6"/>
        <v>0</v>
      </c>
      <c r="L25" s="555">
        <f ca="1" t="shared" si="6"/>
        <v>0</v>
      </c>
      <c r="M25" s="555">
        <f ca="1" t="shared" si="9"/>
        <v>0</v>
      </c>
      <c r="N25" s="555">
        <f ca="1" t="shared" si="10"/>
        <v>0</v>
      </c>
      <c r="O25" s="555">
        <f ca="1" t="shared" si="8"/>
        <v>0</v>
      </c>
    </row>
    <row r="26" ht="15" hidden="1" spans="2:15">
      <c r="B26" s="551">
        <v>6</v>
      </c>
      <c r="C26" s="552" t="s">
        <v>786</v>
      </c>
      <c r="D26" s="553"/>
      <c r="E26" s="416"/>
      <c r="F26" s="555">
        <f ca="1" t="shared" si="6"/>
        <v>0</v>
      </c>
      <c r="G26" s="555">
        <f ca="1" t="shared" si="6"/>
        <v>0</v>
      </c>
      <c r="H26" s="555">
        <f ca="1" t="shared" si="6"/>
        <v>0</v>
      </c>
      <c r="I26" s="555">
        <f ca="1" t="shared" si="7"/>
        <v>0</v>
      </c>
      <c r="J26" s="555">
        <f ca="1" t="shared" si="6"/>
        <v>0</v>
      </c>
      <c r="K26" s="555">
        <f ca="1" t="shared" si="6"/>
        <v>0</v>
      </c>
      <c r="L26" s="555">
        <f ca="1" t="shared" si="6"/>
        <v>0</v>
      </c>
      <c r="M26" s="555">
        <f ca="1" t="shared" si="9"/>
        <v>0</v>
      </c>
      <c r="N26" s="555">
        <f ca="1" t="shared" si="10"/>
        <v>0</v>
      </c>
      <c r="O26" s="555">
        <f ca="1" t="shared" si="8"/>
        <v>0</v>
      </c>
    </row>
    <row r="27" ht="15" hidden="1" spans="2:15">
      <c r="B27" s="551">
        <v>7</v>
      </c>
      <c r="C27" s="552" t="s">
        <v>787</v>
      </c>
      <c r="D27" s="553"/>
      <c r="E27" s="416"/>
      <c r="F27" s="555">
        <f ca="1" t="shared" si="6"/>
        <v>0</v>
      </c>
      <c r="G27" s="555">
        <f ca="1" t="shared" si="6"/>
        <v>0</v>
      </c>
      <c r="H27" s="555">
        <f ca="1" t="shared" si="6"/>
        <v>0</v>
      </c>
      <c r="I27" s="555">
        <f ca="1" t="shared" si="7"/>
        <v>0</v>
      </c>
      <c r="J27" s="555">
        <f ca="1" t="shared" si="6"/>
        <v>0</v>
      </c>
      <c r="K27" s="555">
        <f ca="1" t="shared" si="6"/>
        <v>0</v>
      </c>
      <c r="L27" s="555">
        <f ca="1" t="shared" si="6"/>
        <v>0</v>
      </c>
      <c r="M27" s="555">
        <f ca="1" t="shared" si="9"/>
        <v>0</v>
      </c>
      <c r="N27" s="555">
        <f ca="1" t="shared" si="10"/>
        <v>0</v>
      </c>
      <c r="O27" s="555">
        <f ca="1" t="shared" si="8"/>
        <v>0</v>
      </c>
    </row>
    <row r="28" ht="15" hidden="1" spans="2:15">
      <c r="B28" s="551">
        <v>8</v>
      </c>
      <c r="C28" s="552" t="s">
        <v>788</v>
      </c>
      <c r="D28" s="553"/>
      <c r="E28" s="416"/>
      <c r="F28" s="555"/>
      <c r="G28" s="555"/>
      <c r="H28" s="555"/>
      <c r="I28" s="555"/>
      <c r="J28" s="555"/>
      <c r="K28" s="555"/>
      <c r="L28" s="555"/>
      <c r="M28" s="555"/>
      <c r="N28" s="555"/>
      <c r="O28" s="555"/>
    </row>
    <row r="29" ht="15" hidden="1" spans="2:15">
      <c r="B29" s="551"/>
      <c r="C29" s="558" t="s">
        <v>789</v>
      </c>
      <c r="D29" s="553"/>
      <c r="E29" s="416"/>
      <c r="F29" s="555">
        <f ca="1" t="shared" ref="F29:L33" si="11">F346+F663</f>
        <v>0</v>
      </c>
      <c r="G29" s="555">
        <f ca="1" t="shared" si="11"/>
        <v>0</v>
      </c>
      <c r="H29" s="555">
        <f ca="1" t="shared" si="11"/>
        <v>0</v>
      </c>
      <c r="I29" s="555">
        <f ca="1">F29+G29-H29</f>
        <v>0</v>
      </c>
      <c r="J29" s="555">
        <f ca="1" t="shared" si="11"/>
        <v>0</v>
      </c>
      <c r="K29" s="555">
        <f ca="1" t="shared" si="11"/>
        <v>0</v>
      </c>
      <c r="L29" s="555">
        <f ca="1" t="shared" si="11"/>
        <v>0</v>
      </c>
      <c r="M29" s="555">
        <f ca="1">J29+K29-L29</f>
        <v>0</v>
      </c>
      <c r="N29" s="555">
        <f ca="1">F29-J29</f>
        <v>0</v>
      </c>
      <c r="O29" s="555">
        <f ca="1">I29-M29</f>
        <v>0</v>
      </c>
    </row>
    <row r="30" ht="15" hidden="1" spans="2:15">
      <c r="B30" s="551"/>
      <c r="C30" s="558" t="s">
        <v>790</v>
      </c>
      <c r="D30" s="553"/>
      <c r="E30" s="416"/>
      <c r="F30" s="555">
        <f ca="1" t="shared" si="11"/>
        <v>0</v>
      </c>
      <c r="G30" s="555">
        <f ca="1" t="shared" si="11"/>
        <v>0</v>
      </c>
      <c r="H30" s="555">
        <f ca="1" t="shared" si="11"/>
        <v>0</v>
      </c>
      <c r="I30" s="555">
        <f ca="1">F30+G30-H30</f>
        <v>0</v>
      </c>
      <c r="J30" s="555">
        <f ca="1" t="shared" si="11"/>
        <v>0</v>
      </c>
      <c r="K30" s="555">
        <f ca="1" t="shared" si="11"/>
        <v>0</v>
      </c>
      <c r="L30" s="555">
        <f ca="1" t="shared" si="11"/>
        <v>0</v>
      </c>
      <c r="M30" s="555">
        <f ca="1" t="shared" ref="M30:M48" si="12">J30+K30-L30</f>
        <v>0</v>
      </c>
      <c r="N30" s="555">
        <f ca="1">F30-J30</f>
        <v>0</v>
      </c>
      <c r="O30" s="555">
        <f ca="1" t="shared" ref="O30:O33" si="13">I30-M30</f>
        <v>0</v>
      </c>
    </row>
    <row r="31" ht="30" hidden="1" spans="2:15">
      <c r="B31" s="560">
        <v>9</v>
      </c>
      <c r="C31" s="561" t="s">
        <v>791</v>
      </c>
      <c r="D31" s="553"/>
      <c r="E31" s="416"/>
      <c r="F31" s="555">
        <f ca="1">F348+F665</f>
        <v>0</v>
      </c>
      <c r="G31" s="555">
        <f ca="1" t="shared" si="11"/>
        <v>0</v>
      </c>
      <c r="H31" s="555">
        <f ca="1" t="shared" si="11"/>
        <v>0</v>
      </c>
      <c r="I31" s="555">
        <f ca="1">F31+G31-H31</f>
        <v>0</v>
      </c>
      <c r="J31" s="555">
        <f ca="1" t="shared" si="11"/>
        <v>0</v>
      </c>
      <c r="K31" s="555">
        <f ca="1" t="shared" si="11"/>
        <v>0</v>
      </c>
      <c r="L31" s="555">
        <f ca="1" t="shared" si="11"/>
        <v>0</v>
      </c>
      <c r="M31" s="555">
        <f ca="1" t="shared" si="12"/>
        <v>0</v>
      </c>
      <c r="N31" s="555">
        <f ca="1">F31-J31</f>
        <v>0</v>
      </c>
      <c r="O31" s="555">
        <f ca="1" t="shared" si="13"/>
        <v>0</v>
      </c>
    </row>
    <row r="32" ht="15" hidden="1" spans="2:15">
      <c r="B32" s="562">
        <v>10</v>
      </c>
      <c r="C32" s="563" t="s">
        <v>792</v>
      </c>
      <c r="D32" s="564"/>
      <c r="E32" s="416"/>
      <c r="F32" s="555">
        <f ca="1">F349+F666</f>
        <v>0</v>
      </c>
      <c r="G32" s="555">
        <f ca="1" t="shared" si="11"/>
        <v>0</v>
      </c>
      <c r="H32" s="555">
        <f ca="1" t="shared" si="11"/>
        <v>0</v>
      </c>
      <c r="I32" s="555">
        <f ca="1">F32+G32-H32</f>
        <v>0</v>
      </c>
      <c r="J32" s="555">
        <f ca="1" t="shared" si="11"/>
        <v>0</v>
      </c>
      <c r="K32" s="555">
        <f ca="1" t="shared" si="11"/>
        <v>0</v>
      </c>
      <c r="L32" s="555">
        <f ca="1" t="shared" si="11"/>
        <v>0</v>
      </c>
      <c r="M32" s="555">
        <f ca="1" t="shared" si="12"/>
        <v>0</v>
      </c>
      <c r="N32" s="555">
        <f ca="1">F32-J32</f>
        <v>0</v>
      </c>
      <c r="O32" s="555">
        <f ca="1" t="shared" si="13"/>
        <v>0</v>
      </c>
    </row>
    <row r="33" ht="15" hidden="1" spans="2:15">
      <c r="B33" s="562">
        <v>11</v>
      </c>
      <c r="C33" s="563" t="s">
        <v>793</v>
      </c>
      <c r="D33" s="564"/>
      <c r="E33" s="416"/>
      <c r="F33" s="555">
        <f ca="1">F350+F667</f>
        <v>0</v>
      </c>
      <c r="G33" s="555">
        <f ca="1" t="shared" si="11"/>
        <v>0</v>
      </c>
      <c r="H33" s="555">
        <f ca="1" t="shared" si="11"/>
        <v>0</v>
      </c>
      <c r="I33" s="555">
        <f ca="1">F33+G33-H33</f>
        <v>0</v>
      </c>
      <c r="J33" s="555">
        <f ca="1" t="shared" si="11"/>
        <v>0</v>
      </c>
      <c r="K33" s="555">
        <f ca="1" t="shared" si="11"/>
        <v>0</v>
      </c>
      <c r="L33" s="555">
        <f ca="1" t="shared" si="11"/>
        <v>0</v>
      </c>
      <c r="M33" s="555">
        <f ca="1" t="shared" si="12"/>
        <v>0</v>
      </c>
      <c r="N33" s="555">
        <f ca="1">F33-J33</f>
        <v>0</v>
      </c>
      <c r="O33" s="555">
        <f ca="1" t="shared" si="13"/>
        <v>0</v>
      </c>
    </row>
    <row r="34" ht="15" hidden="1" spans="2:15">
      <c r="B34" s="562">
        <v>12</v>
      </c>
      <c r="C34" s="563" t="s">
        <v>794</v>
      </c>
      <c r="D34" s="564"/>
      <c r="E34" s="416"/>
      <c r="F34" s="555"/>
      <c r="G34" s="555"/>
      <c r="H34" s="555"/>
      <c r="I34" s="555"/>
      <c r="J34" s="555"/>
      <c r="K34" s="555"/>
      <c r="L34" s="555"/>
      <c r="M34" s="555"/>
      <c r="N34" s="555"/>
      <c r="O34" s="555"/>
    </row>
    <row r="35" ht="15" hidden="1" spans="2:15">
      <c r="B35" s="562"/>
      <c r="C35" s="565" t="s">
        <v>795</v>
      </c>
      <c r="D35" s="564"/>
      <c r="E35" s="416"/>
      <c r="F35" s="555">
        <f ca="1">F352+F669</f>
        <v>0</v>
      </c>
      <c r="G35" s="555">
        <f ca="1" t="shared" ref="G35:L36" si="14">G352+G669</f>
        <v>0</v>
      </c>
      <c r="H35" s="555">
        <f ca="1" t="shared" si="14"/>
        <v>0</v>
      </c>
      <c r="I35" s="555">
        <f ca="1">F35+G35-H35</f>
        <v>0</v>
      </c>
      <c r="J35" s="555">
        <f ca="1" t="shared" si="14"/>
        <v>0</v>
      </c>
      <c r="K35" s="555">
        <f ca="1" t="shared" si="14"/>
        <v>0</v>
      </c>
      <c r="L35" s="555">
        <f ca="1" t="shared" si="14"/>
        <v>0</v>
      </c>
      <c r="M35" s="555">
        <f ca="1" t="shared" si="12"/>
        <v>0</v>
      </c>
      <c r="N35" s="555">
        <f ca="1">F35-J35</f>
        <v>0</v>
      </c>
      <c r="O35" s="555">
        <f ca="1">I35-M35</f>
        <v>0</v>
      </c>
    </row>
    <row r="36" ht="15" hidden="1" spans="2:15">
      <c r="B36" s="562"/>
      <c r="C36" s="565" t="s">
        <v>796</v>
      </c>
      <c r="D36" s="564"/>
      <c r="E36" s="416"/>
      <c r="F36" s="555">
        <f ca="1">F353+F670</f>
        <v>0</v>
      </c>
      <c r="G36" s="555">
        <f ca="1" t="shared" si="14"/>
        <v>0</v>
      </c>
      <c r="H36" s="555">
        <f ca="1" t="shared" si="14"/>
        <v>0</v>
      </c>
      <c r="I36" s="555">
        <f ca="1">F36+G36-H36</f>
        <v>0</v>
      </c>
      <c r="J36" s="555">
        <f ca="1" t="shared" si="14"/>
        <v>0</v>
      </c>
      <c r="K36" s="555">
        <f ca="1" t="shared" si="14"/>
        <v>0</v>
      </c>
      <c r="L36" s="555">
        <f ca="1" t="shared" si="14"/>
        <v>0</v>
      </c>
      <c r="M36" s="555">
        <f ca="1" t="shared" si="12"/>
        <v>0</v>
      </c>
      <c r="N36" s="555">
        <f ca="1">F36-J36</f>
        <v>0</v>
      </c>
      <c r="O36" s="555">
        <f ca="1">I36-M36</f>
        <v>0</v>
      </c>
    </row>
    <row r="37" ht="15" hidden="1" spans="2:15">
      <c r="B37" s="562">
        <v>13</v>
      </c>
      <c r="C37" s="565"/>
      <c r="D37" s="564"/>
      <c r="E37" s="416"/>
      <c r="F37" s="555"/>
      <c r="G37" s="555"/>
      <c r="H37" s="555"/>
      <c r="I37" s="555"/>
      <c r="J37" s="555"/>
      <c r="K37" s="555"/>
      <c r="L37" s="555"/>
      <c r="M37" s="555"/>
      <c r="N37" s="555"/>
      <c r="O37" s="555"/>
    </row>
    <row r="38" ht="15" hidden="1" spans="2:15">
      <c r="B38" s="562"/>
      <c r="C38" s="565" t="s">
        <v>797</v>
      </c>
      <c r="D38" s="564"/>
      <c r="E38" s="416"/>
      <c r="F38" s="555">
        <f ca="1" t="shared" ref="F38:L41" si="15">F355+F672</f>
        <v>0</v>
      </c>
      <c r="G38" s="555">
        <f ca="1" t="shared" si="15"/>
        <v>0</v>
      </c>
      <c r="H38" s="555">
        <f ca="1" t="shared" si="15"/>
        <v>0</v>
      </c>
      <c r="I38" s="555">
        <f ca="1">F38+G38-H38</f>
        <v>0</v>
      </c>
      <c r="J38" s="555">
        <f ca="1" t="shared" si="15"/>
        <v>0</v>
      </c>
      <c r="K38" s="555">
        <f ca="1" t="shared" si="15"/>
        <v>0</v>
      </c>
      <c r="L38" s="555">
        <f ca="1" t="shared" si="15"/>
        <v>0</v>
      </c>
      <c r="M38" s="555">
        <f ca="1" t="shared" si="12"/>
        <v>0</v>
      </c>
      <c r="N38" s="555">
        <f ca="1">F38-J38</f>
        <v>0</v>
      </c>
      <c r="O38" s="555">
        <f ca="1">I38-M38</f>
        <v>0</v>
      </c>
    </row>
    <row r="39" ht="15" hidden="1" spans="2:15">
      <c r="B39" s="562"/>
      <c r="C39" s="565" t="s">
        <v>798</v>
      </c>
      <c r="D39" s="564"/>
      <c r="E39" s="416"/>
      <c r="F39" s="555">
        <f ca="1" t="shared" si="15"/>
        <v>0</v>
      </c>
      <c r="G39" s="555">
        <f ca="1" t="shared" si="15"/>
        <v>0</v>
      </c>
      <c r="H39" s="555">
        <f ca="1" t="shared" si="15"/>
        <v>0</v>
      </c>
      <c r="I39" s="555">
        <f ca="1">F39+G39-H39</f>
        <v>0</v>
      </c>
      <c r="J39" s="555">
        <f ca="1" t="shared" si="15"/>
        <v>0</v>
      </c>
      <c r="K39" s="555">
        <f ca="1" t="shared" si="15"/>
        <v>0</v>
      </c>
      <c r="L39" s="555">
        <f ca="1" t="shared" si="15"/>
        <v>0</v>
      </c>
      <c r="M39" s="555">
        <f ca="1" t="shared" si="12"/>
        <v>0</v>
      </c>
      <c r="N39" s="555">
        <f ca="1" t="shared" ref="N39:N41" si="16">F39-J39</f>
        <v>0</v>
      </c>
      <c r="O39" s="555">
        <f ca="1" t="shared" ref="O39:O41" si="17">I39-M39</f>
        <v>0</v>
      </c>
    </row>
    <row r="40" ht="15" hidden="1" spans="2:15">
      <c r="B40" s="562"/>
      <c r="C40" s="565" t="s">
        <v>799</v>
      </c>
      <c r="D40" s="564"/>
      <c r="E40" s="416"/>
      <c r="F40" s="555">
        <f ca="1" t="shared" si="15"/>
        <v>0</v>
      </c>
      <c r="G40" s="555">
        <f ca="1" t="shared" si="15"/>
        <v>0</v>
      </c>
      <c r="H40" s="555">
        <f ca="1" t="shared" si="15"/>
        <v>0</v>
      </c>
      <c r="I40" s="555">
        <f ca="1">F40+G40-H40</f>
        <v>0</v>
      </c>
      <c r="J40" s="555">
        <f ca="1" t="shared" si="15"/>
        <v>0</v>
      </c>
      <c r="K40" s="555">
        <f ca="1" t="shared" si="15"/>
        <v>0</v>
      </c>
      <c r="L40" s="555">
        <f ca="1" t="shared" si="15"/>
        <v>0</v>
      </c>
      <c r="M40" s="555">
        <f ca="1" t="shared" si="12"/>
        <v>0</v>
      </c>
      <c r="N40" s="555">
        <f ca="1" t="shared" si="16"/>
        <v>0</v>
      </c>
      <c r="O40" s="555">
        <f ca="1" t="shared" si="17"/>
        <v>0</v>
      </c>
    </row>
    <row r="41" ht="15" hidden="1" spans="2:15">
      <c r="B41" s="562"/>
      <c r="C41" s="565" t="s">
        <v>800</v>
      </c>
      <c r="D41" s="564"/>
      <c r="E41" s="416"/>
      <c r="F41" s="555">
        <f ca="1" t="shared" si="15"/>
        <v>0</v>
      </c>
      <c r="G41" s="555">
        <f ca="1" t="shared" si="15"/>
        <v>0</v>
      </c>
      <c r="H41" s="555">
        <f ca="1" t="shared" si="15"/>
        <v>0</v>
      </c>
      <c r="I41" s="555">
        <f ca="1">F41+G41-H41</f>
        <v>0</v>
      </c>
      <c r="J41" s="555">
        <f ca="1" t="shared" si="15"/>
        <v>0</v>
      </c>
      <c r="K41" s="555">
        <f ca="1" t="shared" si="15"/>
        <v>0</v>
      </c>
      <c r="L41" s="555">
        <f ca="1" t="shared" si="15"/>
        <v>0</v>
      </c>
      <c r="M41" s="555">
        <f ca="1" t="shared" si="12"/>
        <v>0</v>
      </c>
      <c r="N41" s="555">
        <f ca="1" t="shared" si="16"/>
        <v>0</v>
      </c>
      <c r="O41" s="555">
        <f ca="1" t="shared" si="17"/>
        <v>0</v>
      </c>
    </row>
    <row r="42" ht="15" hidden="1" spans="2:15">
      <c r="B42" s="562">
        <v>14</v>
      </c>
      <c r="C42" s="563" t="s">
        <v>801</v>
      </c>
      <c r="D42" s="564"/>
      <c r="E42" s="416"/>
      <c r="F42" s="555"/>
      <c r="G42" s="555"/>
      <c r="H42" s="555"/>
      <c r="I42" s="555"/>
      <c r="J42" s="555"/>
      <c r="K42" s="555"/>
      <c r="L42" s="555"/>
      <c r="M42" s="555"/>
      <c r="N42" s="555"/>
      <c r="O42" s="555"/>
    </row>
    <row r="43" ht="15" hidden="1" spans="2:15">
      <c r="B43" s="562"/>
      <c r="C43" s="565" t="s">
        <v>802</v>
      </c>
      <c r="D43" s="564"/>
      <c r="E43" s="416"/>
      <c r="F43" s="555">
        <f ca="1">F360+F677</f>
        <v>0</v>
      </c>
      <c r="G43" s="555">
        <f ca="1" t="shared" ref="G43:L43" si="18">G360+G677</f>
        <v>0</v>
      </c>
      <c r="H43" s="555">
        <f ca="1" t="shared" si="18"/>
        <v>0</v>
      </c>
      <c r="I43" s="555">
        <f ca="1" t="shared" ref="I43:I48" si="19">F43+G43-H43</f>
        <v>0</v>
      </c>
      <c r="J43" s="555">
        <f ca="1" t="shared" si="18"/>
        <v>0</v>
      </c>
      <c r="K43" s="555">
        <f ca="1" t="shared" si="18"/>
        <v>0</v>
      </c>
      <c r="L43" s="555">
        <f ca="1" t="shared" si="18"/>
        <v>0</v>
      </c>
      <c r="M43" s="555">
        <f ca="1" t="shared" si="12"/>
        <v>0</v>
      </c>
      <c r="N43" s="555">
        <f ca="1">F43-J43</f>
        <v>0</v>
      </c>
      <c r="O43" s="555">
        <f ca="1" t="shared" ref="O43:O48" si="20">I43-M43</f>
        <v>0</v>
      </c>
    </row>
    <row r="44" ht="15" hidden="1" spans="2:15">
      <c r="B44" s="562"/>
      <c r="C44" s="565" t="s">
        <v>803</v>
      </c>
      <c r="D44" s="564"/>
      <c r="E44" s="416"/>
      <c r="F44" s="555">
        <f ca="1" t="shared" ref="F44:L48" si="21">F361+F678</f>
        <v>0</v>
      </c>
      <c r="G44" s="555">
        <f ca="1" t="shared" si="21"/>
        <v>0</v>
      </c>
      <c r="H44" s="555">
        <f ca="1" t="shared" si="21"/>
        <v>0</v>
      </c>
      <c r="I44" s="555">
        <f ca="1" t="shared" si="19"/>
        <v>0</v>
      </c>
      <c r="J44" s="555">
        <f ca="1" t="shared" si="21"/>
        <v>0</v>
      </c>
      <c r="K44" s="555">
        <f ca="1" t="shared" si="21"/>
        <v>0</v>
      </c>
      <c r="L44" s="555">
        <f ca="1" t="shared" si="21"/>
        <v>0</v>
      </c>
      <c r="M44" s="555">
        <f ca="1" t="shared" si="12"/>
        <v>0</v>
      </c>
      <c r="N44" s="555">
        <f ca="1" t="shared" ref="N44:N48" si="22">F44-J44</f>
        <v>0</v>
      </c>
      <c r="O44" s="555">
        <f ca="1" t="shared" si="20"/>
        <v>0</v>
      </c>
    </row>
    <row r="45" ht="15" hidden="1" spans="2:15">
      <c r="B45" s="562"/>
      <c r="C45" s="565" t="s">
        <v>804</v>
      </c>
      <c r="D45" s="564"/>
      <c r="E45" s="416"/>
      <c r="F45" s="555">
        <f ca="1" t="shared" si="21"/>
        <v>0</v>
      </c>
      <c r="G45" s="555">
        <f ca="1" t="shared" si="21"/>
        <v>0</v>
      </c>
      <c r="H45" s="555">
        <f ca="1" t="shared" si="21"/>
        <v>0</v>
      </c>
      <c r="I45" s="555">
        <f ca="1" t="shared" si="19"/>
        <v>0</v>
      </c>
      <c r="J45" s="555">
        <f ca="1" t="shared" si="21"/>
        <v>0</v>
      </c>
      <c r="K45" s="555">
        <f ca="1" t="shared" si="21"/>
        <v>0</v>
      </c>
      <c r="L45" s="555">
        <f ca="1" t="shared" si="21"/>
        <v>0</v>
      </c>
      <c r="M45" s="555">
        <f ca="1" t="shared" si="12"/>
        <v>0</v>
      </c>
      <c r="N45" s="555">
        <f ca="1" t="shared" si="22"/>
        <v>0</v>
      </c>
      <c r="O45" s="555">
        <f ca="1" t="shared" si="20"/>
        <v>0</v>
      </c>
    </row>
    <row r="46" ht="15" hidden="1" spans="2:15">
      <c r="B46" s="562">
        <v>15</v>
      </c>
      <c r="C46" s="563" t="s">
        <v>805</v>
      </c>
      <c r="D46" s="564"/>
      <c r="E46" s="416"/>
      <c r="F46" s="555">
        <f ca="1" t="shared" si="21"/>
        <v>0</v>
      </c>
      <c r="G46" s="555">
        <f ca="1" t="shared" si="21"/>
        <v>0</v>
      </c>
      <c r="H46" s="555">
        <f ca="1" t="shared" si="21"/>
        <v>0</v>
      </c>
      <c r="I46" s="555">
        <f ca="1" t="shared" si="19"/>
        <v>0</v>
      </c>
      <c r="J46" s="555">
        <f ca="1" t="shared" si="21"/>
        <v>0</v>
      </c>
      <c r="K46" s="555">
        <f ca="1" t="shared" si="21"/>
        <v>0</v>
      </c>
      <c r="L46" s="555">
        <f ca="1" t="shared" si="21"/>
        <v>0</v>
      </c>
      <c r="M46" s="555">
        <f ca="1" t="shared" si="12"/>
        <v>0</v>
      </c>
      <c r="N46" s="555">
        <f ca="1" t="shared" si="22"/>
        <v>0</v>
      </c>
      <c r="O46" s="555">
        <f ca="1" t="shared" si="20"/>
        <v>0</v>
      </c>
    </row>
    <row r="47" ht="15" hidden="1" spans="2:15">
      <c r="B47" s="562">
        <v>16</v>
      </c>
      <c r="C47" s="563" t="s">
        <v>806</v>
      </c>
      <c r="D47" s="553"/>
      <c r="E47" s="416"/>
      <c r="F47" s="555">
        <f ca="1">F364+F681</f>
        <v>0</v>
      </c>
      <c r="G47" s="555">
        <f ca="1" t="shared" si="21"/>
        <v>0</v>
      </c>
      <c r="H47" s="555">
        <f ca="1" t="shared" si="21"/>
        <v>0</v>
      </c>
      <c r="I47" s="555">
        <f ca="1" t="shared" si="19"/>
        <v>0</v>
      </c>
      <c r="J47" s="555">
        <f ca="1" t="shared" si="21"/>
        <v>0</v>
      </c>
      <c r="K47" s="555">
        <f ca="1" t="shared" si="21"/>
        <v>0</v>
      </c>
      <c r="L47" s="555">
        <f ca="1" t="shared" si="21"/>
        <v>0</v>
      </c>
      <c r="M47" s="555">
        <f ca="1" t="shared" si="12"/>
        <v>0</v>
      </c>
      <c r="N47" s="555">
        <f ca="1" t="shared" si="22"/>
        <v>0</v>
      </c>
      <c r="O47" s="555">
        <f ca="1" t="shared" si="20"/>
        <v>0</v>
      </c>
    </row>
    <row r="48" ht="15" hidden="1" spans="2:15">
      <c r="B48" s="562">
        <v>17</v>
      </c>
      <c r="C48" s="563" t="s">
        <v>807</v>
      </c>
      <c r="D48" s="553"/>
      <c r="E48" s="426"/>
      <c r="F48" s="555">
        <f ca="1">F365+F682</f>
        <v>0</v>
      </c>
      <c r="G48" s="555">
        <f ca="1" t="shared" si="21"/>
        <v>0</v>
      </c>
      <c r="H48" s="555">
        <f ca="1" t="shared" si="21"/>
        <v>0</v>
      </c>
      <c r="I48" s="555">
        <f ca="1" t="shared" si="19"/>
        <v>0</v>
      </c>
      <c r="J48" s="555">
        <f ca="1" t="shared" si="21"/>
        <v>0</v>
      </c>
      <c r="K48" s="555">
        <f ca="1" t="shared" si="21"/>
        <v>0</v>
      </c>
      <c r="L48" s="555">
        <f ca="1" t="shared" si="21"/>
        <v>0</v>
      </c>
      <c r="M48" s="555">
        <f ca="1" t="shared" si="12"/>
        <v>0</v>
      </c>
      <c r="N48" s="555">
        <f ca="1" t="shared" si="22"/>
        <v>0</v>
      </c>
      <c r="O48" s="555">
        <f ca="1" t="shared" si="20"/>
        <v>0</v>
      </c>
    </row>
    <row r="49" ht="15.75" hidden="1" spans="2:15">
      <c r="B49" s="566"/>
      <c r="C49" s="567" t="s">
        <v>97</v>
      </c>
      <c r="D49" s="567"/>
      <c r="E49" s="568"/>
      <c r="F49" s="569">
        <f ca="1" t="shared" ref="F49:O49" si="23">SUM(F9:F48)</f>
        <v>0</v>
      </c>
      <c r="G49" s="569">
        <f ca="1" t="shared" si="23"/>
        <v>0</v>
      </c>
      <c r="H49" s="569">
        <f ca="1" t="shared" si="23"/>
        <v>0</v>
      </c>
      <c r="I49" s="569">
        <f ca="1" t="shared" si="23"/>
        <v>0</v>
      </c>
      <c r="J49" s="569">
        <f ca="1" t="shared" si="23"/>
        <v>0</v>
      </c>
      <c r="K49" s="569">
        <f ca="1" t="shared" si="23"/>
        <v>0</v>
      </c>
      <c r="L49" s="569">
        <f ca="1" t="shared" si="23"/>
        <v>0</v>
      </c>
      <c r="M49" s="569">
        <f ca="1" t="shared" si="23"/>
        <v>0</v>
      </c>
      <c r="N49" s="569">
        <f ca="1" t="shared" si="23"/>
        <v>0</v>
      </c>
      <c r="O49" s="580">
        <f ca="1" t="shared" si="23"/>
        <v>0</v>
      </c>
    </row>
    <row r="51" ht="15" spans="2:15">
      <c r="B51" s="570" t="s">
        <v>760</v>
      </c>
      <c r="C51" s="571"/>
      <c r="D51" s="571"/>
      <c r="E51" s="571"/>
      <c r="F51" s="571"/>
      <c r="G51" s="571"/>
      <c r="H51" s="571"/>
      <c r="I51" s="571"/>
      <c r="J51" s="571"/>
      <c r="K51" s="571"/>
      <c r="L51" s="571"/>
      <c r="M51" s="571"/>
      <c r="N51" s="571"/>
      <c r="O51" s="581"/>
    </row>
    <row r="52" ht="14.1" customHeight="1" spans="2:15">
      <c r="B52" s="547" t="s">
        <v>564</v>
      </c>
      <c r="C52" s="978" t="s">
        <v>671</v>
      </c>
      <c r="D52" s="549" t="s">
        <v>672</v>
      </c>
      <c r="E52" s="549" t="s">
        <v>673</v>
      </c>
      <c r="F52" s="549" t="s">
        <v>674</v>
      </c>
      <c r="G52" s="549"/>
      <c r="H52" s="549"/>
      <c r="I52" s="549"/>
      <c r="J52" s="549" t="s">
        <v>675</v>
      </c>
      <c r="K52" s="549"/>
      <c r="L52" s="549"/>
      <c r="M52" s="549"/>
      <c r="N52" s="549" t="s">
        <v>676</v>
      </c>
      <c r="O52" s="579"/>
    </row>
    <row r="53" ht="60.75" spans="2:15">
      <c r="B53" s="572"/>
      <c r="C53" s="573"/>
      <c r="D53" s="574"/>
      <c r="E53" s="574"/>
      <c r="F53" s="574" t="s">
        <v>677</v>
      </c>
      <c r="G53" s="574" t="s">
        <v>678</v>
      </c>
      <c r="H53" s="574" t="s">
        <v>679</v>
      </c>
      <c r="I53" s="574" t="s">
        <v>680</v>
      </c>
      <c r="J53" s="574" t="s">
        <v>681</v>
      </c>
      <c r="K53" s="574" t="s">
        <v>678</v>
      </c>
      <c r="L53" s="574" t="s">
        <v>682</v>
      </c>
      <c r="M53" s="574" t="s">
        <v>683</v>
      </c>
      <c r="N53" s="574" t="s">
        <v>677</v>
      </c>
      <c r="O53" s="582" t="s">
        <v>680</v>
      </c>
    </row>
    <row r="54" ht="15" spans="2:15">
      <c r="B54" s="551">
        <v>1</v>
      </c>
      <c r="C54" s="575" t="s">
        <v>684</v>
      </c>
      <c r="D54" s="546"/>
      <c r="E54" s="576"/>
      <c r="F54" s="555">
        <f>'[6]Voltage wise FA from SAP'!$P$31</f>
        <v>8.64</v>
      </c>
      <c r="G54" s="555">
        <f>'[6]GFA &amp; Dep-MYT 5th Control'!$L$39</f>
        <v>28.6544741660671</v>
      </c>
      <c r="H54" s="555">
        <f ca="1" t="shared" ref="H54:L55" si="24">H371+H688</f>
        <v>0</v>
      </c>
      <c r="I54" s="555">
        <f ca="1">F54+G54-H54</f>
        <v>37.2944741660671</v>
      </c>
      <c r="J54" s="555">
        <f>'[6]Voltage wise FA from SAP'!$S$31</f>
        <v>0.00489906200000156</v>
      </c>
      <c r="K54" s="555">
        <f>'[6]GFA &amp; Dep-MYT 5th Control'!$D$172</f>
        <v>0</v>
      </c>
      <c r="L54" s="555">
        <f ca="1" t="shared" si="24"/>
        <v>0</v>
      </c>
      <c r="M54" s="555">
        <f ca="1">J54+K54-L54</f>
        <v>0.00489906200000156</v>
      </c>
      <c r="N54" s="555">
        <f>F54-J54</f>
        <v>8.635100938</v>
      </c>
      <c r="O54" s="555">
        <f ca="1">I54-M54</f>
        <v>37.2895751040671</v>
      </c>
    </row>
    <row r="55" ht="15" spans="2:15">
      <c r="B55" s="551">
        <v>2</v>
      </c>
      <c r="C55" s="575" t="s">
        <v>770</v>
      </c>
      <c r="D55" s="553"/>
      <c r="E55" s="554"/>
      <c r="F55" s="555">
        <v>0</v>
      </c>
      <c r="G55" s="555">
        <v>0</v>
      </c>
      <c r="H55" s="555">
        <f ca="1" t="shared" si="24"/>
        <v>0</v>
      </c>
      <c r="I55" s="555">
        <f ca="1">F55+G55-H55</f>
        <v>0</v>
      </c>
      <c r="J55" s="555">
        <f ca="1" t="shared" si="24"/>
        <v>0</v>
      </c>
      <c r="K55" s="555">
        <f ca="1" t="shared" si="24"/>
        <v>0</v>
      </c>
      <c r="L55" s="555">
        <f ca="1" t="shared" si="24"/>
        <v>0</v>
      </c>
      <c r="M55" s="555">
        <f ca="1">J55+K55-L55</f>
        <v>0</v>
      </c>
      <c r="N55" s="555">
        <f ca="1">F55-J55</f>
        <v>0</v>
      </c>
      <c r="O55" s="555">
        <f ca="1">I55-M55</f>
        <v>0</v>
      </c>
    </row>
    <row r="56" ht="15" spans="2:15">
      <c r="B56" s="551">
        <v>3</v>
      </c>
      <c r="C56" s="577" t="s">
        <v>771</v>
      </c>
      <c r="D56" s="553"/>
      <c r="E56" s="416"/>
      <c r="F56" s="555"/>
      <c r="G56" s="555"/>
      <c r="H56" s="555"/>
      <c r="I56" s="555"/>
      <c r="J56" s="555"/>
      <c r="K56" s="555"/>
      <c r="L56" s="555"/>
      <c r="M56" s="555"/>
      <c r="N56" s="555"/>
      <c r="O56" s="555"/>
    </row>
    <row r="57" ht="15" spans="2:15">
      <c r="B57" s="551"/>
      <c r="C57" s="557" t="s">
        <v>772</v>
      </c>
      <c r="D57" s="553"/>
      <c r="E57" s="416"/>
      <c r="F57" s="555">
        <f>'[6]Voltage wise FA from SAP'!$P$32</f>
        <v>374.22</v>
      </c>
      <c r="G57" s="555">
        <f>'[6]GFA &amp; Dep-MYT 5th Control'!$L$38</f>
        <v>26.7029080822163</v>
      </c>
      <c r="H57" s="555">
        <f ca="1" t="shared" ref="H57:L57" si="25">H374+H691</f>
        <v>0</v>
      </c>
      <c r="I57" s="555">
        <f ca="1">F57+G57-H57</f>
        <v>400.922908082216</v>
      </c>
      <c r="J57" s="555">
        <f>'[6]Voltage wise FA from SAP'!$S$32</f>
        <v>118.902630197</v>
      </c>
      <c r="K57" s="555">
        <f>'[6]GFA &amp; Dep-MYT 5th Control'!$D$173</f>
        <v>20.3502718106166</v>
      </c>
      <c r="L57" s="555">
        <f ca="1" t="shared" si="25"/>
        <v>0</v>
      </c>
      <c r="M57" s="555">
        <f ca="1">J57+K57-L57</f>
        <v>139.252902007617</v>
      </c>
      <c r="N57" s="555">
        <f>F57-J57</f>
        <v>255.317369803</v>
      </c>
      <c r="O57" s="555">
        <f ca="1">I57-M57</f>
        <v>261.6700060746</v>
      </c>
    </row>
    <row r="58" ht="28.5" spans="2:15">
      <c r="B58" s="551"/>
      <c r="C58" s="557" t="s">
        <v>773</v>
      </c>
      <c r="D58" s="553"/>
      <c r="E58" s="416"/>
      <c r="F58" s="555">
        <f ca="1">F375+F692</f>
        <v>0</v>
      </c>
      <c r="G58" s="555">
        <f ca="1" t="shared" ref="G58:L60" si="26">G375+G692</f>
        <v>0</v>
      </c>
      <c r="H58" s="555">
        <f ca="1" t="shared" si="26"/>
        <v>0</v>
      </c>
      <c r="I58" s="555">
        <f ca="1">F58+G58-H58</f>
        <v>0</v>
      </c>
      <c r="J58" s="555">
        <f ca="1" t="shared" si="26"/>
        <v>0</v>
      </c>
      <c r="K58" s="555">
        <f ca="1" t="shared" si="26"/>
        <v>0</v>
      </c>
      <c r="L58" s="555">
        <f ca="1" t="shared" si="26"/>
        <v>0</v>
      </c>
      <c r="M58" s="555">
        <f ca="1">J58+K58-L58</f>
        <v>0</v>
      </c>
      <c r="N58" s="555">
        <f ca="1" t="shared" ref="N58:N60" si="27">F58-J58</f>
        <v>0</v>
      </c>
      <c r="O58" s="555">
        <f ca="1" t="shared" ref="O58:O60" si="28">I58-M58</f>
        <v>0</v>
      </c>
    </row>
    <row r="59" ht="15" spans="2:15">
      <c r="B59" s="551"/>
      <c r="C59" s="557" t="s">
        <v>774</v>
      </c>
      <c r="D59" s="553"/>
      <c r="E59" s="416"/>
      <c r="F59" s="555">
        <f ca="1">F376+F693</f>
        <v>0</v>
      </c>
      <c r="G59" s="555">
        <f ca="1" t="shared" si="26"/>
        <v>0</v>
      </c>
      <c r="H59" s="555">
        <f ca="1" t="shared" si="26"/>
        <v>0</v>
      </c>
      <c r="I59" s="555">
        <f ca="1">F59+G59-H59</f>
        <v>0</v>
      </c>
      <c r="J59" s="555">
        <f ca="1" t="shared" si="26"/>
        <v>0</v>
      </c>
      <c r="K59" s="555">
        <f ca="1" t="shared" si="26"/>
        <v>0</v>
      </c>
      <c r="L59" s="555">
        <f ca="1" t="shared" si="26"/>
        <v>0</v>
      </c>
      <c r="M59" s="555">
        <f ca="1">J59+K59-L59</f>
        <v>0</v>
      </c>
      <c r="N59" s="555">
        <f ca="1" t="shared" si="27"/>
        <v>0</v>
      </c>
      <c r="O59" s="555">
        <f ca="1" t="shared" si="28"/>
        <v>0</v>
      </c>
    </row>
    <row r="60" ht="15" spans="2:15">
      <c r="B60" s="551"/>
      <c r="C60" s="557" t="s">
        <v>775</v>
      </c>
      <c r="D60" s="553"/>
      <c r="E60" s="416"/>
      <c r="F60" s="555">
        <f>'[6]Voltage wise FA from SAP'!$P$35</f>
        <v>221.08</v>
      </c>
      <c r="G60" s="555">
        <f>0</f>
        <v>0</v>
      </c>
      <c r="H60" s="555">
        <f ca="1" t="shared" si="26"/>
        <v>0</v>
      </c>
      <c r="I60" s="555">
        <f ca="1">F60+G60-H60</f>
        <v>221.08</v>
      </c>
      <c r="J60" s="555">
        <f>'[6]Voltage wise FA from SAP'!$S$35</f>
        <v>44.413445081</v>
      </c>
      <c r="K60" s="555">
        <f>'[6]GFA &amp; Dep-MYT 5th Control'!$D$176</f>
        <v>0</v>
      </c>
      <c r="L60" s="555">
        <f ca="1" t="shared" si="26"/>
        <v>0</v>
      </c>
      <c r="M60" s="555">
        <f ca="1">J60+K60-L60</f>
        <v>44.413445081</v>
      </c>
      <c r="N60" s="555">
        <f t="shared" si="27"/>
        <v>176.666554919</v>
      </c>
      <c r="O60" s="555">
        <f ca="1" t="shared" si="28"/>
        <v>176.666554919</v>
      </c>
    </row>
    <row r="61" ht="15" spans="2:15">
      <c r="B61" s="551">
        <v>4</v>
      </c>
      <c r="C61" s="552" t="s">
        <v>776</v>
      </c>
      <c r="D61" s="553"/>
      <c r="E61" s="416"/>
      <c r="F61" s="555"/>
      <c r="G61" s="555"/>
      <c r="H61" s="555"/>
      <c r="I61" s="555"/>
      <c r="J61" s="555"/>
      <c r="K61" s="555"/>
      <c r="L61" s="555"/>
      <c r="M61" s="555"/>
      <c r="N61" s="555"/>
      <c r="O61" s="555"/>
    </row>
    <row r="62" ht="15" spans="2:15">
      <c r="B62" s="551"/>
      <c r="C62" s="558" t="s">
        <v>777</v>
      </c>
      <c r="D62" s="553"/>
      <c r="E62" s="416"/>
      <c r="F62" s="555">
        <f>'[6]Voltage wise FA from SAP'!$P$36</f>
        <v>8986.88</v>
      </c>
      <c r="G62" s="555">
        <f>'[6]GFA &amp; Dep-MYT 5th Control'!$L$34</f>
        <v>638.166249884847</v>
      </c>
      <c r="H62" s="555">
        <f ca="1" t="shared" ref="H62:L62" si="29">H379+H696</f>
        <v>0</v>
      </c>
      <c r="I62" s="555">
        <f ca="1">F62+G62-H62</f>
        <v>9625.04624988485</v>
      </c>
      <c r="J62" s="555">
        <f>'[6]Voltage wise FA from SAP'!$S$36</f>
        <v>4735.332433661</v>
      </c>
      <c r="K62" s="555">
        <f>SUM('[6]GFA &amp; Dep-MYT 5th Control'!$D$178:$D$180)</f>
        <v>379.334326894325</v>
      </c>
      <c r="L62" s="555">
        <f ca="1" t="shared" si="29"/>
        <v>0</v>
      </c>
      <c r="M62" s="555">
        <f ca="1">J62+K62-L62</f>
        <v>5114.66676055533</v>
      </c>
      <c r="N62" s="555">
        <f>F62-J62</f>
        <v>4251.547566339</v>
      </c>
      <c r="O62" s="555">
        <f ca="1" t="shared" ref="O62" si="30">I62-M62</f>
        <v>4510.37948932952</v>
      </c>
    </row>
    <row r="63" ht="15" spans="2:15">
      <c r="B63" s="551"/>
      <c r="C63" s="552" t="s">
        <v>778</v>
      </c>
      <c r="D63" s="553"/>
      <c r="E63" s="416"/>
      <c r="F63" s="555"/>
      <c r="G63" s="555"/>
      <c r="H63" s="555"/>
      <c r="I63" s="555"/>
      <c r="J63" s="555"/>
      <c r="K63" s="555"/>
      <c r="L63" s="555"/>
      <c r="M63" s="555"/>
      <c r="N63" s="555"/>
      <c r="O63" s="555"/>
    </row>
    <row r="64" ht="15" spans="2:15">
      <c r="B64" s="551"/>
      <c r="C64" s="558" t="s">
        <v>779</v>
      </c>
      <c r="D64" s="553"/>
      <c r="E64" s="416"/>
      <c r="F64" s="555">
        <f ca="1">F381+F698</f>
        <v>0</v>
      </c>
      <c r="G64" s="555">
        <f ca="1" t="shared" ref="G64:L65" si="31">G381+G698</f>
        <v>0</v>
      </c>
      <c r="H64" s="555">
        <f ca="1" t="shared" si="31"/>
        <v>0</v>
      </c>
      <c r="I64" s="555">
        <f ca="1">F64+G64-H64</f>
        <v>0</v>
      </c>
      <c r="J64" s="555">
        <f ca="1" t="shared" si="31"/>
        <v>0</v>
      </c>
      <c r="K64" s="555">
        <f ca="1" t="shared" si="31"/>
        <v>0</v>
      </c>
      <c r="L64" s="555">
        <f ca="1" t="shared" si="31"/>
        <v>0</v>
      </c>
      <c r="M64" s="555">
        <f ca="1" t="shared" ref="M64:M65" si="32">J64+K64-L64</f>
        <v>0</v>
      </c>
      <c r="N64" s="555">
        <f ca="1">F64-J64</f>
        <v>0</v>
      </c>
      <c r="O64" s="555">
        <f ca="1">I64-M64</f>
        <v>0</v>
      </c>
    </row>
    <row r="65" ht="15" spans="2:15">
      <c r="B65" s="551"/>
      <c r="C65" s="558" t="s">
        <v>780</v>
      </c>
      <c r="D65" s="553"/>
      <c r="E65" s="416"/>
      <c r="F65" s="555">
        <f ca="1">F382+F699</f>
        <v>0</v>
      </c>
      <c r="G65" s="555">
        <f ca="1" t="shared" si="31"/>
        <v>0</v>
      </c>
      <c r="H65" s="555">
        <f ca="1" t="shared" si="31"/>
        <v>0</v>
      </c>
      <c r="I65" s="555">
        <f ca="1">F65+G65-H65</f>
        <v>0</v>
      </c>
      <c r="J65" s="555">
        <f ca="1" t="shared" si="31"/>
        <v>0</v>
      </c>
      <c r="K65" s="555">
        <f ca="1" t="shared" si="31"/>
        <v>0</v>
      </c>
      <c r="L65" s="555">
        <f ca="1" t="shared" si="31"/>
        <v>0</v>
      </c>
      <c r="M65" s="555">
        <f ca="1" t="shared" si="32"/>
        <v>0</v>
      </c>
      <c r="N65" s="555">
        <f ca="1">F65-J65</f>
        <v>0</v>
      </c>
      <c r="O65" s="555">
        <f ca="1" t="shared" ref="O65" si="33">I65-M65</f>
        <v>0</v>
      </c>
    </row>
    <row r="66" ht="15" spans="2:15">
      <c r="B66" s="551">
        <v>5</v>
      </c>
      <c r="C66" s="552" t="s">
        <v>781</v>
      </c>
      <c r="D66" s="553"/>
      <c r="E66" s="416"/>
      <c r="F66" s="559"/>
      <c r="G66" s="559"/>
      <c r="H66" s="559"/>
      <c r="I66" s="559"/>
      <c r="J66" s="559"/>
      <c r="K66" s="559"/>
      <c r="L66" s="559"/>
      <c r="M66" s="559"/>
      <c r="N66" s="559"/>
      <c r="O66" s="559"/>
    </row>
    <row r="67" ht="15" spans="2:15">
      <c r="B67" s="551"/>
      <c r="C67" s="558" t="s">
        <v>782</v>
      </c>
      <c r="D67" s="553"/>
      <c r="E67" s="416"/>
      <c r="F67" s="555">
        <f ca="1" t="shared" ref="F67:L72" si="34">F384+F701</f>
        <v>0</v>
      </c>
      <c r="G67" s="555">
        <f ca="1" t="shared" si="34"/>
        <v>0</v>
      </c>
      <c r="H67" s="555">
        <f ca="1" t="shared" si="34"/>
        <v>0</v>
      </c>
      <c r="I67" s="555">
        <f ca="1" t="shared" ref="I67:I72" si="35">F67+G67-H67</f>
        <v>0</v>
      </c>
      <c r="J67" s="555">
        <f ca="1" t="shared" si="34"/>
        <v>0</v>
      </c>
      <c r="K67" s="555">
        <f ca="1" t="shared" si="34"/>
        <v>0</v>
      </c>
      <c r="L67" s="555">
        <f ca="1" t="shared" si="34"/>
        <v>0</v>
      </c>
      <c r="M67" s="555">
        <f ca="1" t="shared" ref="M67:M72" si="36">J67+K67-L67</f>
        <v>0</v>
      </c>
      <c r="N67" s="555">
        <f ca="1">F67-J67</f>
        <v>0</v>
      </c>
      <c r="O67" s="555">
        <f ca="1">I67-M67</f>
        <v>0</v>
      </c>
    </row>
    <row r="68" ht="15" spans="2:15">
      <c r="B68" s="551"/>
      <c r="C68" s="558" t="s">
        <v>783</v>
      </c>
      <c r="D68" s="553"/>
      <c r="E68" s="416"/>
      <c r="F68" s="555">
        <f ca="1" t="shared" si="34"/>
        <v>0</v>
      </c>
      <c r="G68" s="555">
        <f ca="1" t="shared" si="34"/>
        <v>0</v>
      </c>
      <c r="H68" s="555">
        <f ca="1" t="shared" si="34"/>
        <v>0</v>
      </c>
      <c r="I68" s="555">
        <f ca="1" t="shared" si="35"/>
        <v>0</v>
      </c>
      <c r="J68" s="555">
        <f ca="1" t="shared" si="34"/>
        <v>0</v>
      </c>
      <c r="K68" s="555">
        <f ca="1" t="shared" si="34"/>
        <v>0</v>
      </c>
      <c r="L68" s="555">
        <f ca="1" t="shared" si="34"/>
        <v>0</v>
      </c>
      <c r="M68" s="555">
        <f ca="1" t="shared" si="36"/>
        <v>0</v>
      </c>
      <c r="N68" s="555">
        <f ca="1" t="shared" ref="N68:N72" si="37">F68-J68</f>
        <v>0</v>
      </c>
      <c r="O68" s="555">
        <f ca="1" t="shared" ref="O68:O72" si="38">I68-M68</f>
        <v>0</v>
      </c>
    </row>
    <row r="69" ht="15" spans="2:15">
      <c r="B69" s="551"/>
      <c r="C69" s="558" t="s">
        <v>784</v>
      </c>
      <c r="D69" s="553"/>
      <c r="E69" s="416"/>
      <c r="F69" s="555">
        <f ca="1" t="shared" si="34"/>
        <v>0</v>
      </c>
      <c r="G69" s="555">
        <f ca="1" t="shared" si="34"/>
        <v>0</v>
      </c>
      <c r="H69" s="555">
        <f ca="1" t="shared" si="34"/>
        <v>0</v>
      </c>
      <c r="I69" s="555">
        <f ca="1" t="shared" si="35"/>
        <v>0</v>
      </c>
      <c r="J69" s="555">
        <f ca="1" t="shared" si="34"/>
        <v>0</v>
      </c>
      <c r="K69" s="555">
        <f ca="1" t="shared" si="34"/>
        <v>0</v>
      </c>
      <c r="L69" s="555">
        <f ca="1" t="shared" si="34"/>
        <v>0</v>
      </c>
      <c r="M69" s="555">
        <f ca="1" t="shared" si="36"/>
        <v>0</v>
      </c>
      <c r="N69" s="555">
        <f ca="1" t="shared" si="37"/>
        <v>0</v>
      </c>
      <c r="O69" s="555">
        <f ca="1" t="shared" si="38"/>
        <v>0</v>
      </c>
    </row>
    <row r="70" ht="15" spans="2:15">
      <c r="B70" s="551"/>
      <c r="C70" s="558" t="s">
        <v>785</v>
      </c>
      <c r="D70" s="553"/>
      <c r="E70" s="416"/>
      <c r="F70" s="555">
        <f ca="1" t="shared" si="34"/>
        <v>0</v>
      </c>
      <c r="G70" s="555">
        <f ca="1" t="shared" si="34"/>
        <v>0</v>
      </c>
      <c r="H70" s="555">
        <f ca="1" t="shared" si="34"/>
        <v>0</v>
      </c>
      <c r="I70" s="555">
        <f ca="1" t="shared" si="35"/>
        <v>0</v>
      </c>
      <c r="J70" s="555">
        <f ca="1" t="shared" si="34"/>
        <v>0</v>
      </c>
      <c r="K70" s="555">
        <f ca="1" t="shared" si="34"/>
        <v>0</v>
      </c>
      <c r="L70" s="555">
        <f ca="1" t="shared" si="34"/>
        <v>0</v>
      </c>
      <c r="M70" s="555">
        <f ca="1" t="shared" si="36"/>
        <v>0</v>
      </c>
      <c r="N70" s="555">
        <f ca="1" t="shared" si="37"/>
        <v>0</v>
      </c>
      <c r="O70" s="555">
        <f ca="1" t="shared" si="38"/>
        <v>0</v>
      </c>
    </row>
    <row r="71" ht="15" spans="2:15">
      <c r="B71" s="551">
        <v>6</v>
      </c>
      <c r="C71" s="552" t="s">
        <v>786</v>
      </c>
      <c r="D71" s="553"/>
      <c r="E71" s="416"/>
      <c r="F71" s="555">
        <f ca="1" t="shared" si="34"/>
        <v>0</v>
      </c>
      <c r="G71" s="555">
        <f ca="1" t="shared" si="34"/>
        <v>0</v>
      </c>
      <c r="H71" s="555">
        <f ca="1" t="shared" si="34"/>
        <v>0</v>
      </c>
      <c r="I71" s="555">
        <f ca="1" t="shared" si="35"/>
        <v>0</v>
      </c>
      <c r="J71" s="555">
        <f ca="1" t="shared" si="34"/>
        <v>0</v>
      </c>
      <c r="K71" s="555">
        <f ca="1" t="shared" si="34"/>
        <v>0</v>
      </c>
      <c r="L71" s="555">
        <f ca="1" t="shared" si="34"/>
        <v>0</v>
      </c>
      <c r="M71" s="555">
        <f ca="1" t="shared" si="36"/>
        <v>0</v>
      </c>
      <c r="N71" s="555">
        <f ca="1" t="shared" si="37"/>
        <v>0</v>
      </c>
      <c r="O71" s="555">
        <f ca="1" t="shared" si="38"/>
        <v>0</v>
      </c>
    </row>
    <row r="72" ht="15" spans="2:15">
      <c r="B72" s="551">
        <v>7</v>
      </c>
      <c r="C72" s="552" t="s">
        <v>787</v>
      </c>
      <c r="D72" s="553"/>
      <c r="E72" s="416"/>
      <c r="F72" s="555">
        <f ca="1" t="shared" si="34"/>
        <v>0</v>
      </c>
      <c r="G72" s="555">
        <f ca="1" t="shared" si="34"/>
        <v>0</v>
      </c>
      <c r="H72" s="555">
        <f ca="1" t="shared" si="34"/>
        <v>0</v>
      </c>
      <c r="I72" s="555">
        <f ca="1" t="shared" si="35"/>
        <v>0</v>
      </c>
      <c r="J72" s="555">
        <f ca="1" t="shared" si="34"/>
        <v>0</v>
      </c>
      <c r="K72" s="555">
        <f ca="1" t="shared" si="34"/>
        <v>0</v>
      </c>
      <c r="L72" s="555">
        <f ca="1" t="shared" si="34"/>
        <v>0</v>
      </c>
      <c r="M72" s="555">
        <f ca="1" t="shared" si="36"/>
        <v>0</v>
      </c>
      <c r="N72" s="555">
        <f ca="1" t="shared" si="37"/>
        <v>0</v>
      </c>
      <c r="O72" s="555">
        <f ca="1" t="shared" si="38"/>
        <v>0</v>
      </c>
    </row>
    <row r="73" ht="15" spans="2:15">
      <c r="B73" s="551">
        <v>8</v>
      </c>
      <c r="C73" s="552" t="s">
        <v>788</v>
      </c>
      <c r="D73" s="553"/>
      <c r="E73" s="416"/>
      <c r="F73" s="555"/>
      <c r="G73" s="555"/>
      <c r="H73" s="555"/>
      <c r="I73" s="555"/>
      <c r="J73" s="555"/>
      <c r="K73" s="555"/>
      <c r="L73" s="555"/>
      <c r="M73" s="555"/>
      <c r="N73" s="555"/>
      <c r="O73" s="555"/>
    </row>
    <row r="74" ht="15" spans="2:15">
      <c r="B74" s="551"/>
      <c r="C74" s="558" t="s">
        <v>789</v>
      </c>
      <c r="D74" s="553"/>
      <c r="E74" s="416"/>
      <c r="F74" s="555">
        <f>'[6]Voltage wise FA from SAP'!$P$40</f>
        <v>8680.09</v>
      </c>
      <c r="G74" s="555">
        <f>'[6]GFA &amp; Dep-MYT 5th Control'!$L$35</f>
        <v>719.951738685159</v>
      </c>
      <c r="H74" s="555">
        <f ca="1" t="shared" ref="H74:L74" si="39">H391+H708</f>
        <v>0</v>
      </c>
      <c r="I74" s="555">
        <f ca="1" t="shared" ref="I74:I78" si="40">F74+G74-H74</f>
        <v>9400.04173868516</v>
      </c>
      <c r="J74" s="555">
        <f>'[6]Voltage wise FA from SAP'!$S$40</f>
        <v>4126.22608089</v>
      </c>
      <c r="K74" s="555">
        <f>SUM('[6]GFA &amp; Dep-MYT 5th Control'!$D$187:$D$189)</f>
        <v>377.952231455649</v>
      </c>
      <c r="L74" s="555">
        <f ca="1" t="shared" si="39"/>
        <v>0</v>
      </c>
      <c r="M74" s="555">
        <f ca="1">J74+K74-L74</f>
        <v>4504.17831234565</v>
      </c>
      <c r="N74" s="555">
        <f t="shared" ref="N74:N78" si="41">F74-J74</f>
        <v>4553.86391911</v>
      </c>
      <c r="O74" s="555">
        <f ca="1" t="shared" ref="O74:O78" si="42">I74-M74</f>
        <v>4895.86342633951</v>
      </c>
    </row>
    <row r="75" ht="15" spans="2:15">
      <c r="B75" s="551"/>
      <c r="C75" s="558" t="s">
        <v>808</v>
      </c>
      <c r="D75" s="553"/>
      <c r="E75" s="416"/>
      <c r="F75" s="555">
        <f ca="1">F392+F709</f>
        <v>0</v>
      </c>
      <c r="G75" s="555">
        <f ca="1" t="shared" ref="G75:L77" si="43">G392+G709</f>
        <v>0</v>
      </c>
      <c r="H75" s="555">
        <f ca="1" t="shared" si="43"/>
        <v>0</v>
      </c>
      <c r="I75" s="555">
        <f ca="1" t="shared" si="40"/>
        <v>0</v>
      </c>
      <c r="J75" s="555">
        <f ca="1" t="shared" si="43"/>
        <v>0</v>
      </c>
      <c r="K75" s="555">
        <f ca="1" t="shared" si="43"/>
        <v>0</v>
      </c>
      <c r="L75" s="555">
        <f ca="1" t="shared" si="43"/>
        <v>0</v>
      </c>
      <c r="M75" s="555">
        <f ca="1" t="shared" ref="M75:M78" si="44">J75+K75-L75</f>
        <v>0</v>
      </c>
      <c r="N75" s="555">
        <f ca="1" t="shared" si="41"/>
        <v>0</v>
      </c>
      <c r="O75" s="555">
        <f ca="1" t="shared" si="42"/>
        <v>0</v>
      </c>
    </row>
    <row r="76" ht="30" spans="2:15">
      <c r="B76" s="560">
        <v>9</v>
      </c>
      <c r="C76" s="561" t="s">
        <v>791</v>
      </c>
      <c r="D76" s="553"/>
      <c r="E76" s="416"/>
      <c r="F76" s="555">
        <f ca="1">F393+F710</f>
        <v>0</v>
      </c>
      <c r="G76" s="555">
        <f ca="1" t="shared" si="43"/>
        <v>0</v>
      </c>
      <c r="H76" s="555">
        <f ca="1" t="shared" si="43"/>
        <v>0</v>
      </c>
      <c r="I76" s="555">
        <f ca="1" t="shared" si="40"/>
        <v>0</v>
      </c>
      <c r="J76" s="555">
        <f ca="1" t="shared" si="43"/>
        <v>0</v>
      </c>
      <c r="K76" s="555">
        <f ca="1" t="shared" si="43"/>
        <v>0</v>
      </c>
      <c r="L76" s="555">
        <f ca="1" t="shared" si="43"/>
        <v>0</v>
      </c>
      <c r="M76" s="555">
        <f ca="1" t="shared" si="44"/>
        <v>0</v>
      </c>
      <c r="N76" s="555">
        <f ca="1" t="shared" si="41"/>
        <v>0</v>
      </c>
      <c r="O76" s="555">
        <f ca="1" t="shared" si="42"/>
        <v>0</v>
      </c>
    </row>
    <row r="77" ht="15" spans="2:15">
      <c r="B77" s="562">
        <v>10</v>
      </c>
      <c r="C77" s="563" t="s">
        <v>792</v>
      </c>
      <c r="D77" s="564"/>
      <c r="E77" s="416"/>
      <c r="F77" s="555">
        <f>'[6]Voltage wise FA from SAP'!$P$44</f>
        <v>1827.32</v>
      </c>
      <c r="G77" s="555">
        <f>'[6]GFA &amp; Dep-MYT 5th Control'!$L$36</f>
        <v>1104.0508964106</v>
      </c>
      <c r="H77" s="555">
        <f ca="1" t="shared" si="43"/>
        <v>0</v>
      </c>
      <c r="I77" s="555">
        <f ca="1" t="shared" si="40"/>
        <v>2931.3708964106</v>
      </c>
      <c r="J77" s="555">
        <f>'[6]Voltage wise FA from SAP'!$S$44</f>
        <v>1152.021040442</v>
      </c>
      <c r="K77" s="555">
        <f>'[6]GFA &amp; Dep-MYT 5th Control'!$D$184</f>
        <v>88.0952928680627</v>
      </c>
      <c r="L77" s="555">
        <f ca="1" t="shared" si="43"/>
        <v>0</v>
      </c>
      <c r="M77" s="555">
        <f ca="1" t="shared" si="44"/>
        <v>1240.11633331006</v>
      </c>
      <c r="N77" s="555">
        <f t="shared" si="41"/>
        <v>675.298959558</v>
      </c>
      <c r="O77" s="555">
        <f ca="1" t="shared" si="42"/>
        <v>1691.25456310054</v>
      </c>
    </row>
    <row r="78" ht="15" spans="2:15">
      <c r="B78" s="562">
        <v>11</v>
      </c>
      <c r="C78" s="563" t="s">
        <v>793</v>
      </c>
      <c r="D78" s="564"/>
      <c r="E78" s="416"/>
      <c r="F78" s="555">
        <f>'[6]Voltage wise FA from SAP'!$P$48</f>
        <v>7.08</v>
      </c>
      <c r="G78" s="555">
        <f ca="1" t="shared" ref="G78:L78" si="45">G395+G712</f>
        <v>0</v>
      </c>
      <c r="H78" s="555">
        <f ca="1" t="shared" si="45"/>
        <v>0</v>
      </c>
      <c r="I78" s="555">
        <f ca="1" t="shared" si="40"/>
        <v>7.08</v>
      </c>
      <c r="J78" s="555">
        <f>'[6]Voltage wise FA from SAP'!$S$48</f>
        <v>6.372199932</v>
      </c>
      <c r="K78" s="555">
        <f>'[6]GFA &amp; Dep-MYT 5th Control'!$D$191</f>
        <v>0.02</v>
      </c>
      <c r="L78" s="555">
        <f ca="1" t="shared" si="45"/>
        <v>0</v>
      </c>
      <c r="M78" s="555">
        <f ca="1" t="shared" si="44"/>
        <v>6.392199932</v>
      </c>
      <c r="N78" s="555">
        <f t="shared" si="41"/>
        <v>0.707800068</v>
      </c>
      <c r="O78" s="555">
        <f ca="1" t="shared" si="42"/>
        <v>0.687800068</v>
      </c>
    </row>
    <row r="79" ht="15" spans="2:15">
      <c r="B79" s="562">
        <v>12</v>
      </c>
      <c r="C79" s="563" t="s">
        <v>794</v>
      </c>
      <c r="D79" s="564"/>
      <c r="E79" s="416"/>
      <c r="F79" s="555"/>
      <c r="G79" s="555"/>
      <c r="H79" s="555"/>
      <c r="I79" s="555"/>
      <c r="J79" s="555"/>
      <c r="K79" s="555"/>
      <c r="L79" s="555"/>
      <c r="M79" s="555"/>
      <c r="N79" s="555"/>
      <c r="O79" s="555"/>
    </row>
    <row r="80" ht="15" spans="2:15">
      <c r="B80" s="562"/>
      <c r="C80" s="565" t="s">
        <v>795</v>
      </c>
      <c r="D80" s="564"/>
      <c r="E80" s="416"/>
      <c r="F80" s="555">
        <f>'[6]Voltage wise FA from SAP'!$P$52</f>
        <v>2.6</v>
      </c>
      <c r="G80" s="555">
        <f ca="1" t="shared" ref="G80:L81" si="46">G397+G714</f>
        <v>0</v>
      </c>
      <c r="H80" s="555">
        <f ca="1" t="shared" si="46"/>
        <v>0</v>
      </c>
      <c r="I80" s="555">
        <f ca="1" t="shared" ref="I80:I81" si="47">F80+G80-H80</f>
        <v>2.6</v>
      </c>
      <c r="J80" s="555">
        <f>'[6]Voltage wise FA from SAP'!$S$52</f>
        <v>1.701644132</v>
      </c>
      <c r="K80" s="555">
        <f ca="1" t="shared" si="46"/>
        <v>0</v>
      </c>
      <c r="L80" s="555">
        <f ca="1" t="shared" si="46"/>
        <v>0</v>
      </c>
      <c r="M80" s="555">
        <f ca="1">J80+K80-L80</f>
        <v>1.701644132</v>
      </c>
      <c r="N80" s="555">
        <f>F80-J80</f>
        <v>0.898355868</v>
      </c>
      <c r="O80" s="555">
        <f ca="1">I80-M80</f>
        <v>0.898355868</v>
      </c>
    </row>
    <row r="81" ht="15" spans="2:15">
      <c r="B81" s="562"/>
      <c r="C81" s="565" t="s">
        <v>796</v>
      </c>
      <c r="D81" s="564"/>
      <c r="E81" s="416"/>
      <c r="F81" s="555">
        <f ca="1">F398+F715</f>
        <v>0</v>
      </c>
      <c r="G81" s="555">
        <f ca="1" t="shared" si="46"/>
        <v>0</v>
      </c>
      <c r="H81" s="555">
        <f ca="1" t="shared" si="46"/>
        <v>0</v>
      </c>
      <c r="I81" s="555">
        <f ca="1" t="shared" si="47"/>
        <v>0</v>
      </c>
      <c r="J81" s="555">
        <f ca="1" t="shared" si="46"/>
        <v>0</v>
      </c>
      <c r="K81" s="555">
        <f ca="1" t="shared" si="46"/>
        <v>0</v>
      </c>
      <c r="L81" s="555">
        <f ca="1" t="shared" si="46"/>
        <v>0</v>
      </c>
      <c r="M81" s="555">
        <f ca="1" t="shared" ref="M81" si="48">J81+K81-L81</f>
        <v>0</v>
      </c>
      <c r="N81" s="555">
        <f ca="1">F81-J81</f>
        <v>0</v>
      </c>
      <c r="O81" s="555">
        <f ca="1">I81-M81</f>
        <v>0</v>
      </c>
    </row>
    <row r="82" ht="15" spans="2:15">
      <c r="B82" s="562">
        <v>13</v>
      </c>
      <c r="C82" s="565"/>
      <c r="D82" s="564"/>
      <c r="E82" s="416"/>
      <c r="F82" s="555"/>
      <c r="G82" s="555"/>
      <c r="H82" s="555"/>
      <c r="I82" s="555"/>
      <c r="J82" s="555"/>
      <c r="K82" s="555"/>
      <c r="L82" s="555"/>
      <c r="M82" s="555"/>
      <c r="N82" s="555"/>
      <c r="O82" s="555"/>
    </row>
    <row r="83" ht="15" spans="2:15">
      <c r="B83" s="562"/>
      <c r="C83" s="565" t="s">
        <v>797</v>
      </c>
      <c r="D83" s="564"/>
      <c r="E83" s="416"/>
      <c r="F83" s="555">
        <f>'[6]Voltage wise FA from SAP'!$P$49</f>
        <v>17.25</v>
      </c>
      <c r="G83" s="555">
        <f ca="1" t="shared" ref="G83:L84" si="49">G400+G717</f>
        <v>0</v>
      </c>
      <c r="H83" s="555">
        <f ca="1" t="shared" si="49"/>
        <v>0</v>
      </c>
      <c r="I83" s="555">
        <f ca="1">F83+G83-H83</f>
        <v>17.25</v>
      </c>
      <c r="J83" s="555">
        <f>'[6]Voltage wise FA from SAP'!$S$49</f>
        <v>11.470196043</v>
      </c>
      <c r="K83" s="555">
        <f>'[6]GFA &amp; Dep-MYT 5th Control'!$D$192</f>
        <v>0.58</v>
      </c>
      <c r="L83" s="555">
        <f ca="1" t="shared" si="49"/>
        <v>0</v>
      </c>
      <c r="M83" s="555">
        <f ca="1">J83+K83-L83</f>
        <v>12.050196043</v>
      </c>
      <c r="N83" s="555">
        <f>F83-J83</f>
        <v>5.779803957</v>
      </c>
      <c r="O83" s="555">
        <f ca="1">I83-M83</f>
        <v>5.199803957</v>
      </c>
    </row>
    <row r="84" ht="15" spans="2:15">
      <c r="B84" s="562"/>
      <c r="C84" s="565" t="s">
        <v>798</v>
      </c>
      <c r="D84" s="564"/>
      <c r="E84" s="416"/>
      <c r="F84" s="555">
        <f>'[6]Voltage wise FA from SAP'!$P$50</f>
        <v>51.37</v>
      </c>
      <c r="G84" s="555">
        <f>'[6]GFA &amp; Dep-MYT 5th Control'!$L$37</f>
        <v>0.0815121993505444</v>
      </c>
      <c r="H84" s="555">
        <f ca="1" t="shared" si="49"/>
        <v>0</v>
      </c>
      <c r="I84" s="555">
        <f ca="1">F84+G84-H84</f>
        <v>51.4515121993505</v>
      </c>
      <c r="J84" s="555">
        <f>'[6]Voltage wise FA from SAP'!$S$50</f>
        <v>32.56355336</v>
      </c>
      <c r="K84" s="555">
        <f>'[6]GFA &amp; Dep-MYT 5th Control'!$D$193</f>
        <v>2.12366804897077</v>
      </c>
      <c r="L84" s="555">
        <f ca="1" t="shared" si="49"/>
        <v>0</v>
      </c>
      <c r="M84" s="555">
        <f ca="1">J84+K84-L84</f>
        <v>34.6872214089708</v>
      </c>
      <c r="N84" s="555">
        <f t="shared" ref="N84:N86" si="50">F84-J84</f>
        <v>18.80644664</v>
      </c>
      <c r="O84" s="555">
        <f ca="1" t="shared" ref="O84:O86" si="51">I84-M84</f>
        <v>16.7642907903798</v>
      </c>
    </row>
    <row r="85" ht="15" spans="2:15">
      <c r="B85" s="562"/>
      <c r="C85" s="565" t="s">
        <v>799</v>
      </c>
      <c r="D85" s="564"/>
      <c r="E85" s="416"/>
      <c r="F85" s="555">
        <f ca="1">F402+F719</f>
        <v>0</v>
      </c>
      <c r="G85" s="555">
        <f ca="1" t="shared" ref="G85:L86" si="52">G402+G719</f>
        <v>0</v>
      </c>
      <c r="H85" s="555">
        <f ca="1" t="shared" si="52"/>
        <v>0</v>
      </c>
      <c r="I85" s="555">
        <f ca="1">F85+G85-H85</f>
        <v>0</v>
      </c>
      <c r="J85" s="555">
        <f ca="1" t="shared" si="52"/>
        <v>0</v>
      </c>
      <c r="K85" s="555">
        <f ca="1" t="shared" si="52"/>
        <v>0</v>
      </c>
      <c r="L85" s="555">
        <f ca="1" t="shared" si="52"/>
        <v>0</v>
      </c>
      <c r="M85" s="555">
        <f ca="1">J85+K85-L85</f>
        <v>0</v>
      </c>
      <c r="N85" s="555">
        <f ca="1" t="shared" si="50"/>
        <v>0</v>
      </c>
      <c r="O85" s="555">
        <f ca="1" t="shared" si="51"/>
        <v>0</v>
      </c>
    </row>
    <row r="86" ht="15" spans="2:15">
      <c r="B86" s="562"/>
      <c r="C86" s="565" t="s">
        <v>800</v>
      </c>
      <c r="D86" s="564"/>
      <c r="E86" s="416"/>
      <c r="F86" s="555">
        <f ca="1">F403+F720</f>
        <v>0</v>
      </c>
      <c r="G86" s="555">
        <f ca="1" t="shared" si="52"/>
        <v>0</v>
      </c>
      <c r="H86" s="555">
        <f ca="1" t="shared" si="52"/>
        <v>0</v>
      </c>
      <c r="I86" s="555">
        <f ca="1">F86+G86-H86</f>
        <v>0</v>
      </c>
      <c r="J86" s="555">
        <f ca="1" t="shared" si="52"/>
        <v>0</v>
      </c>
      <c r="K86" s="555">
        <f ca="1" t="shared" si="52"/>
        <v>0</v>
      </c>
      <c r="L86" s="555">
        <f ca="1" t="shared" si="52"/>
        <v>0</v>
      </c>
      <c r="M86" s="555">
        <f ca="1">J86+K86-L86</f>
        <v>0</v>
      </c>
      <c r="N86" s="555">
        <f ca="1" t="shared" si="50"/>
        <v>0</v>
      </c>
      <c r="O86" s="555">
        <f ca="1" t="shared" si="51"/>
        <v>0</v>
      </c>
    </row>
    <row r="87" ht="15" spans="2:15">
      <c r="B87" s="562">
        <v>14</v>
      </c>
      <c r="C87" s="563" t="s">
        <v>801</v>
      </c>
      <c r="D87" s="564"/>
      <c r="E87" s="416"/>
      <c r="F87" s="555"/>
      <c r="G87" s="555"/>
      <c r="H87" s="555"/>
      <c r="I87" s="555"/>
      <c r="J87" s="555"/>
      <c r="K87" s="555"/>
      <c r="L87" s="555"/>
      <c r="M87" s="555"/>
      <c r="N87" s="555"/>
      <c r="O87" s="555"/>
    </row>
    <row r="88" ht="15" spans="2:15">
      <c r="B88" s="562"/>
      <c r="C88" s="565" t="s">
        <v>802</v>
      </c>
      <c r="D88" s="564"/>
      <c r="E88" s="416"/>
      <c r="F88" s="555">
        <f ca="1">F405+F722</f>
        <v>0</v>
      </c>
      <c r="G88" s="555">
        <f ca="1" t="shared" ref="G88:L89" si="53">G405+G722</f>
        <v>0</v>
      </c>
      <c r="H88" s="555">
        <f ca="1" t="shared" si="53"/>
        <v>0</v>
      </c>
      <c r="I88" s="555">
        <f ca="1">F88+G88-H88</f>
        <v>0</v>
      </c>
      <c r="J88" s="555">
        <f ca="1" t="shared" si="53"/>
        <v>0</v>
      </c>
      <c r="K88" s="555">
        <f ca="1" t="shared" si="53"/>
        <v>0</v>
      </c>
      <c r="L88" s="555">
        <f ca="1" t="shared" si="53"/>
        <v>0</v>
      </c>
      <c r="M88" s="555">
        <f ca="1" t="shared" ref="M88:M93" si="54">J88+K88-L88</f>
        <v>0</v>
      </c>
      <c r="N88" s="555">
        <f ca="1">F88-J88</f>
        <v>0</v>
      </c>
      <c r="O88" s="555">
        <f ca="1" t="shared" ref="O88:O93" si="55">I88-M88</f>
        <v>0</v>
      </c>
    </row>
    <row r="89" ht="15" spans="2:15">
      <c r="B89" s="562"/>
      <c r="C89" s="565" t="s">
        <v>803</v>
      </c>
      <c r="D89" s="564"/>
      <c r="E89" s="416"/>
      <c r="F89" s="555">
        <f ca="1">F406+F723</f>
        <v>0</v>
      </c>
      <c r="G89" s="555">
        <f ca="1" t="shared" si="53"/>
        <v>0</v>
      </c>
      <c r="H89" s="555">
        <f ca="1" t="shared" si="53"/>
        <v>0</v>
      </c>
      <c r="I89" s="555">
        <f ca="1" t="shared" ref="I89:I93" si="56">F89+G89-H89</f>
        <v>0</v>
      </c>
      <c r="J89" s="555">
        <f ca="1" t="shared" si="53"/>
        <v>0</v>
      </c>
      <c r="K89" s="555">
        <f ca="1" t="shared" si="53"/>
        <v>0</v>
      </c>
      <c r="L89" s="555">
        <f ca="1" t="shared" si="53"/>
        <v>0</v>
      </c>
      <c r="M89" s="555">
        <f ca="1" t="shared" si="54"/>
        <v>0</v>
      </c>
      <c r="N89" s="555">
        <f ca="1" t="shared" ref="N89:N93" si="57">F89-J89</f>
        <v>0</v>
      </c>
      <c r="O89" s="555">
        <f ca="1" t="shared" si="55"/>
        <v>0</v>
      </c>
    </row>
    <row r="90" ht="15" spans="2:15">
      <c r="B90" s="562"/>
      <c r="C90" s="565" t="s">
        <v>804</v>
      </c>
      <c r="D90" s="564"/>
      <c r="E90" s="416"/>
      <c r="F90" s="555">
        <f ca="1" t="shared" ref="F90:L91" si="58">F407+F724</f>
        <v>0</v>
      </c>
      <c r="G90" s="555">
        <f ca="1" t="shared" si="58"/>
        <v>0</v>
      </c>
      <c r="H90" s="555">
        <f ca="1" t="shared" si="58"/>
        <v>0</v>
      </c>
      <c r="I90" s="555">
        <f ca="1" t="shared" si="56"/>
        <v>0</v>
      </c>
      <c r="J90" s="555">
        <f ca="1" t="shared" si="58"/>
        <v>0</v>
      </c>
      <c r="K90" s="555">
        <f ca="1" t="shared" si="58"/>
        <v>0</v>
      </c>
      <c r="L90" s="555">
        <f ca="1" t="shared" si="58"/>
        <v>0</v>
      </c>
      <c r="M90" s="555">
        <f ca="1" t="shared" si="54"/>
        <v>0</v>
      </c>
      <c r="N90" s="555">
        <f ca="1" t="shared" si="57"/>
        <v>0</v>
      </c>
      <c r="O90" s="555">
        <f ca="1" t="shared" si="55"/>
        <v>0</v>
      </c>
    </row>
    <row r="91" ht="15" spans="2:15">
      <c r="B91" s="562">
        <v>15</v>
      </c>
      <c r="C91" s="563" t="s">
        <v>805</v>
      </c>
      <c r="D91" s="564"/>
      <c r="E91" s="416"/>
      <c r="F91" s="555">
        <f>'[6]Voltage wise FA from SAP'!$P$51</f>
        <v>185.56</v>
      </c>
      <c r="G91" s="555">
        <f>'[6]GFA &amp; Dep-MYT 5th Control'!$L$40</f>
        <v>6.40153146263202</v>
      </c>
      <c r="H91" s="555">
        <f ca="1" t="shared" si="58"/>
        <v>0</v>
      </c>
      <c r="I91" s="555">
        <f ca="1" t="shared" si="56"/>
        <v>191.961531462632</v>
      </c>
      <c r="J91" s="555">
        <f>'[6]Voltage wise FA from SAP'!$S$51</f>
        <v>145.428216707</v>
      </c>
      <c r="K91" s="555">
        <f>'[6]GFA &amp; Dep-MYT 5th Control'!$D$195</f>
        <v>13.2001148596974</v>
      </c>
      <c r="L91" s="555">
        <f ca="1" t="shared" si="58"/>
        <v>0</v>
      </c>
      <c r="M91" s="555">
        <f ca="1" t="shared" si="54"/>
        <v>158.628331566697</v>
      </c>
      <c r="N91" s="555">
        <f t="shared" si="57"/>
        <v>40.131783293</v>
      </c>
      <c r="O91" s="555">
        <f ca="1" t="shared" si="55"/>
        <v>33.3331998959346</v>
      </c>
    </row>
    <row r="92" ht="15" spans="2:15">
      <c r="B92" s="562">
        <v>16</v>
      </c>
      <c r="C92" s="563" t="s">
        <v>806</v>
      </c>
      <c r="D92" s="553"/>
      <c r="E92" s="416"/>
      <c r="F92" s="555">
        <f>'[6]Voltage wise FA from SAP'!$P$33</f>
        <v>70.8</v>
      </c>
      <c r="G92" s="555">
        <f ca="1" t="shared" ref="G92:L92" si="59">G409+G726</f>
        <v>0</v>
      </c>
      <c r="H92" s="555">
        <f ca="1" t="shared" si="59"/>
        <v>0</v>
      </c>
      <c r="I92" s="555">
        <f ca="1" t="shared" si="56"/>
        <v>70.8</v>
      </c>
      <c r="J92" s="555">
        <f>'[6]Voltage wise FA from SAP'!$S$33</f>
        <v>49.245021156</v>
      </c>
      <c r="K92" s="555">
        <f>'[6]GFA &amp; Dep-MYT 5th Control'!$D$174</f>
        <v>4.66</v>
      </c>
      <c r="L92" s="555">
        <f ca="1" t="shared" si="59"/>
        <v>0</v>
      </c>
      <c r="M92" s="555">
        <f ca="1" t="shared" si="54"/>
        <v>53.905021156</v>
      </c>
      <c r="N92" s="555">
        <f t="shared" si="57"/>
        <v>21.554978844</v>
      </c>
      <c r="O92" s="555">
        <f ca="1" t="shared" si="55"/>
        <v>16.894978844</v>
      </c>
    </row>
    <row r="93" ht="15" spans="2:15">
      <c r="B93" s="562">
        <v>17</v>
      </c>
      <c r="C93" s="563" t="s">
        <v>807</v>
      </c>
      <c r="D93" s="553"/>
      <c r="E93" s="426"/>
      <c r="F93" s="555">
        <f ca="1" t="shared" ref="F93:L93" si="60">F410+F727</f>
        <v>0</v>
      </c>
      <c r="G93" s="555">
        <f ca="1" t="shared" si="60"/>
        <v>0</v>
      </c>
      <c r="H93" s="555">
        <f ca="1" t="shared" si="60"/>
        <v>0</v>
      </c>
      <c r="I93" s="555">
        <f ca="1" t="shared" si="56"/>
        <v>0</v>
      </c>
      <c r="J93" s="555">
        <f ca="1" t="shared" si="60"/>
        <v>0</v>
      </c>
      <c r="K93" s="555">
        <f ca="1" t="shared" si="60"/>
        <v>0</v>
      </c>
      <c r="L93" s="555">
        <f ca="1" t="shared" si="60"/>
        <v>0</v>
      </c>
      <c r="M93" s="555">
        <f ca="1" t="shared" si="54"/>
        <v>0</v>
      </c>
      <c r="N93" s="555">
        <f ca="1" t="shared" si="57"/>
        <v>0</v>
      </c>
      <c r="O93" s="555">
        <f ca="1" t="shared" si="55"/>
        <v>0</v>
      </c>
    </row>
    <row r="94" ht="15.75" spans="2:15">
      <c r="B94" s="566"/>
      <c r="C94" s="567" t="s">
        <v>97</v>
      </c>
      <c r="D94" s="567"/>
      <c r="E94" s="568"/>
      <c r="F94" s="583">
        <f ca="1">SUM(F54:F93)</f>
        <v>20432.89</v>
      </c>
      <c r="G94" s="569">
        <f ca="1" t="shared" ref="G94:O94" si="61">SUM(G54:G93)</f>
        <v>2524.00931089087</v>
      </c>
      <c r="H94" s="569">
        <f ca="1" t="shared" si="61"/>
        <v>0</v>
      </c>
      <c r="I94" s="583">
        <f ca="1" t="shared" si="61"/>
        <v>22956.8993108909</v>
      </c>
      <c r="J94" s="569">
        <f ca="1" t="shared" si="61"/>
        <v>10423.681360663</v>
      </c>
      <c r="K94" s="569">
        <f ca="1" t="shared" si="61"/>
        <v>886.315905937321</v>
      </c>
      <c r="L94" s="569">
        <f ca="1" t="shared" si="61"/>
        <v>0</v>
      </c>
      <c r="M94" s="569">
        <f ca="1" t="shared" si="61"/>
        <v>11309.9972666003</v>
      </c>
      <c r="N94" s="583">
        <f ca="1" t="shared" si="61"/>
        <v>10009.208639337</v>
      </c>
      <c r="O94" s="583">
        <f ca="1" t="shared" si="61"/>
        <v>11646.9020442906</v>
      </c>
    </row>
    <row r="96" ht="15" spans="2:15">
      <c r="B96" s="584" t="s">
        <v>653</v>
      </c>
      <c r="C96" s="585"/>
      <c r="D96" s="585"/>
      <c r="E96" s="585"/>
      <c r="F96" s="585"/>
      <c r="G96" s="585"/>
      <c r="H96" s="585"/>
      <c r="I96" s="585"/>
      <c r="J96" s="585"/>
      <c r="K96" s="585"/>
      <c r="L96" s="585"/>
      <c r="M96" s="585"/>
      <c r="N96" s="585"/>
      <c r="O96" s="605"/>
    </row>
    <row r="97" ht="14.1" customHeight="1" spans="2:15">
      <c r="B97" s="586" t="s">
        <v>564</v>
      </c>
      <c r="C97" s="979" t="s">
        <v>671</v>
      </c>
      <c r="D97" s="588" t="s">
        <v>672</v>
      </c>
      <c r="E97" s="588" t="s">
        <v>673</v>
      </c>
      <c r="F97" s="588" t="s">
        <v>674</v>
      </c>
      <c r="G97" s="588"/>
      <c r="H97" s="588"/>
      <c r="I97" s="588"/>
      <c r="J97" s="588" t="s">
        <v>675</v>
      </c>
      <c r="K97" s="588"/>
      <c r="L97" s="588"/>
      <c r="M97" s="588"/>
      <c r="N97" s="588" t="s">
        <v>676</v>
      </c>
      <c r="O97" s="606"/>
    </row>
    <row r="98" ht="60.75" spans="2:15">
      <c r="B98" s="589"/>
      <c r="C98" s="590"/>
      <c r="D98" s="591"/>
      <c r="E98" s="591"/>
      <c r="F98" s="591" t="s">
        <v>677</v>
      </c>
      <c r="G98" s="591" t="s">
        <v>678</v>
      </c>
      <c r="H98" s="591" t="s">
        <v>679</v>
      </c>
      <c r="I98" s="591" t="s">
        <v>680</v>
      </c>
      <c r="J98" s="591" t="s">
        <v>681</v>
      </c>
      <c r="K98" s="591" t="s">
        <v>678</v>
      </c>
      <c r="L98" s="591" t="s">
        <v>682</v>
      </c>
      <c r="M98" s="591" t="s">
        <v>683</v>
      </c>
      <c r="N98" s="591" t="s">
        <v>677</v>
      </c>
      <c r="O98" s="607" t="s">
        <v>680</v>
      </c>
    </row>
    <row r="99" ht="15" spans="2:15">
      <c r="B99" s="592">
        <v>1</v>
      </c>
      <c r="C99" s="575" t="s">
        <v>684</v>
      </c>
      <c r="D99" s="593"/>
      <c r="E99" s="594"/>
      <c r="F99" s="595">
        <f ca="1">I54</f>
        <v>37.2944741660671</v>
      </c>
      <c r="G99" s="595">
        <f>'[6]GFA &amp; Dep-MYT 5th Control'!$M$39</f>
        <v>46.5146826393199</v>
      </c>
      <c r="H99" s="595">
        <f ca="1" t="shared" ref="H99:L99" si="62">H416+H733</f>
        <v>0</v>
      </c>
      <c r="I99" s="595">
        <f ca="1">F99+G99-H99</f>
        <v>83.809156805387</v>
      </c>
      <c r="J99" s="595">
        <f ca="1">M54</f>
        <v>0.00489906200000156</v>
      </c>
      <c r="K99" s="595">
        <f>'[6]GFA &amp; Dep-MYT 5th Control'!$E$172</f>
        <v>0</v>
      </c>
      <c r="L99" s="595">
        <f ca="1" t="shared" si="62"/>
        <v>0</v>
      </c>
      <c r="M99" s="595">
        <f ca="1">J99+K99-L99</f>
        <v>0.00489906200000156</v>
      </c>
      <c r="N99" s="595">
        <f ca="1">F99-J99</f>
        <v>37.2895751040671</v>
      </c>
      <c r="O99" s="595">
        <f ca="1" t="shared" ref="O99:O100" si="63">I99-M99</f>
        <v>83.804257743387</v>
      </c>
    </row>
    <row r="100" ht="15" spans="2:15">
      <c r="B100" s="592">
        <v>2</v>
      </c>
      <c r="C100" s="575" t="s">
        <v>770</v>
      </c>
      <c r="D100" s="596"/>
      <c r="E100" s="597"/>
      <c r="F100" s="595">
        <f ca="1" t="shared" ref="F100:F138" si="64">I55</f>
        <v>0</v>
      </c>
      <c r="G100" s="595">
        <f ca="1" t="shared" ref="G100:L100" si="65">G417+G734</f>
        <v>0</v>
      </c>
      <c r="H100" s="595">
        <f ca="1" t="shared" si="65"/>
        <v>0</v>
      </c>
      <c r="I100" s="595">
        <f ca="1">F100+G100-H100</f>
        <v>0</v>
      </c>
      <c r="J100" s="595">
        <f ca="1">M55</f>
        <v>0</v>
      </c>
      <c r="K100" s="595">
        <f ca="1" t="shared" si="65"/>
        <v>0</v>
      </c>
      <c r="L100" s="595">
        <f ca="1" t="shared" si="65"/>
        <v>0</v>
      </c>
      <c r="M100" s="595">
        <f ca="1">J100+K100-L100</f>
        <v>0</v>
      </c>
      <c r="N100" s="595">
        <f ca="1">F100-J100</f>
        <v>0</v>
      </c>
      <c r="O100" s="595">
        <f ca="1" t="shared" si="63"/>
        <v>0</v>
      </c>
    </row>
    <row r="101" ht="15" spans="2:15">
      <c r="B101" s="592">
        <v>3</v>
      </c>
      <c r="C101" s="577" t="s">
        <v>771</v>
      </c>
      <c r="D101" s="596"/>
      <c r="E101" s="459"/>
      <c r="F101" s="595"/>
      <c r="G101" s="595"/>
      <c r="H101" s="595"/>
      <c r="I101" s="595"/>
      <c r="J101" s="595"/>
      <c r="K101" s="595"/>
      <c r="L101" s="595"/>
      <c r="M101" s="595"/>
      <c r="N101" s="595"/>
      <c r="O101" s="595"/>
    </row>
    <row r="102" ht="15" spans="2:15">
      <c r="B102" s="592"/>
      <c r="C102" s="598" t="s">
        <v>772</v>
      </c>
      <c r="D102" s="596"/>
      <c r="E102" s="459"/>
      <c r="F102" s="595">
        <f ca="1" t="shared" si="64"/>
        <v>400.922908082216</v>
      </c>
      <c r="G102" s="595">
        <f>'[6]GFA &amp; Dep-MYT 5th Control'!$M$38</f>
        <v>43.3467139474539</v>
      </c>
      <c r="H102" s="595">
        <f ca="1" t="shared" ref="H102:L102" si="66">H419+H736</f>
        <v>0</v>
      </c>
      <c r="I102" s="595">
        <f ca="1">F102+G102-H102</f>
        <v>444.26962202967</v>
      </c>
      <c r="J102" s="595">
        <f ca="1">M57</f>
        <v>139.252902007617</v>
      </c>
      <c r="K102" s="595">
        <f>'[6]GFA &amp; Dep-MYT 5th Control'!$D$173</f>
        <v>20.3502718106166</v>
      </c>
      <c r="L102" s="595">
        <f ca="1" t="shared" si="66"/>
        <v>0</v>
      </c>
      <c r="M102" s="595">
        <f ca="1">J102+K102-L102</f>
        <v>159.603173818233</v>
      </c>
      <c r="N102" s="595">
        <f ca="1" t="shared" ref="N102:N105" si="67">F102-J102</f>
        <v>261.6700060746</v>
      </c>
      <c r="O102" s="595">
        <f ca="1" t="shared" ref="O102:O105" si="68">I102-M102</f>
        <v>284.666448211437</v>
      </c>
    </row>
    <row r="103" ht="28.5" spans="2:15">
      <c r="B103" s="592"/>
      <c r="C103" s="598" t="s">
        <v>773</v>
      </c>
      <c r="D103" s="596"/>
      <c r="E103" s="459"/>
      <c r="F103" s="595">
        <f ca="1" t="shared" si="64"/>
        <v>0</v>
      </c>
      <c r="G103" s="595">
        <f ca="1" t="shared" ref="G103:L105" si="69">G420+G737</f>
        <v>0</v>
      </c>
      <c r="H103" s="595">
        <f ca="1" t="shared" si="69"/>
        <v>0</v>
      </c>
      <c r="I103" s="595">
        <f ca="1">F103+G103-H103</f>
        <v>0</v>
      </c>
      <c r="J103" s="595">
        <f ca="1">M58</f>
        <v>0</v>
      </c>
      <c r="K103" s="595">
        <f ca="1" t="shared" si="69"/>
        <v>0</v>
      </c>
      <c r="L103" s="595">
        <f ca="1" t="shared" si="69"/>
        <v>0</v>
      </c>
      <c r="M103" s="595">
        <f ca="1">J103+K103-L103</f>
        <v>0</v>
      </c>
      <c r="N103" s="595">
        <f ca="1" t="shared" si="67"/>
        <v>0</v>
      </c>
      <c r="O103" s="595">
        <f ca="1" t="shared" si="68"/>
        <v>0</v>
      </c>
    </row>
    <row r="104" ht="15" spans="2:15">
      <c r="B104" s="592"/>
      <c r="C104" s="598" t="s">
        <v>774</v>
      </c>
      <c r="D104" s="596"/>
      <c r="E104" s="459"/>
      <c r="F104" s="595">
        <f ca="1" t="shared" si="64"/>
        <v>0</v>
      </c>
      <c r="G104" s="595">
        <f ca="1" t="shared" si="69"/>
        <v>0</v>
      </c>
      <c r="H104" s="595">
        <f ca="1" t="shared" si="69"/>
        <v>0</v>
      </c>
      <c r="I104" s="595">
        <f ca="1">F104+G104-H104</f>
        <v>0</v>
      </c>
      <c r="J104" s="595">
        <f ca="1">M59</f>
        <v>0</v>
      </c>
      <c r="K104" s="595">
        <f ca="1" t="shared" si="69"/>
        <v>0</v>
      </c>
      <c r="L104" s="595">
        <f ca="1" t="shared" si="69"/>
        <v>0</v>
      </c>
      <c r="M104" s="595">
        <f ca="1">J104+K104-L104</f>
        <v>0</v>
      </c>
      <c r="N104" s="595">
        <f ca="1" t="shared" si="67"/>
        <v>0</v>
      </c>
      <c r="O104" s="595">
        <f ca="1" t="shared" si="68"/>
        <v>0</v>
      </c>
    </row>
    <row r="105" ht="15" spans="2:15">
      <c r="B105" s="592"/>
      <c r="C105" s="598" t="s">
        <v>775</v>
      </c>
      <c r="D105" s="596"/>
      <c r="E105" s="459"/>
      <c r="F105" s="595">
        <f ca="1" t="shared" si="64"/>
        <v>221.08</v>
      </c>
      <c r="G105" s="595">
        <f ca="1" t="shared" si="69"/>
        <v>0</v>
      </c>
      <c r="H105" s="595">
        <f ca="1" t="shared" si="69"/>
        <v>0</v>
      </c>
      <c r="I105" s="595">
        <f ca="1">F105+G105-H105</f>
        <v>221.08</v>
      </c>
      <c r="J105" s="595">
        <f ca="1">M60</f>
        <v>44.413445081</v>
      </c>
      <c r="K105" s="595">
        <f ca="1" t="shared" si="69"/>
        <v>0</v>
      </c>
      <c r="L105" s="595">
        <f ca="1" t="shared" si="69"/>
        <v>0</v>
      </c>
      <c r="M105" s="595">
        <f ca="1">J105+K105-L105</f>
        <v>44.413445081</v>
      </c>
      <c r="N105" s="595">
        <f ca="1" t="shared" si="67"/>
        <v>176.666554919</v>
      </c>
      <c r="O105" s="595">
        <f ca="1" t="shared" si="68"/>
        <v>176.666554919</v>
      </c>
    </row>
    <row r="106" ht="15" spans="2:15">
      <c r="B106" s="592">
        <v>4</v>
      </c>
      <c r="C106" s="575" t="s">
        <v>776</v>
      </c>
      <c r="D106" s="596"/>
      <c r="E106" s="459"/>
      <c r="F106" s="595"/>
      <c r="G106" s="595"/>
      <c r="H106" s="595"/>
      <c r="I106" s="595"/>
      <c r="J106" s="595"/>
      <c r="K106" s="595"/>
      <c r="L106" s="595"/>
      <c r="M106" s="595"/>
      <c r="N106" s="595"/>
      <c r="O106" s="595"/>
    </row>
    <row r="107" ht="15" spans="2:15">
      <c r="B107" s="592"/>
      <c r="C107" s="599" t="s">
        <v>777</v>
      </c>
      <c r="D107" s="596"/>
      <c r="E107" s="459"/>
      <c r="F107" s="595">
        <f ca="1" t="shared" si="64"/>
        <v>9625.04624988485</v>
      </c>
      <c r="G107" s="595">
        <f>'[6]GFA &amp; Dep-MYT 5th Control'!$M$34</f>
        <v>1035.93248343991</v>
      </c>
      <c r="H107" s="595">
        <f ca="1" t="shared" ref="H107:L107" si="70">H424+H741</f>
        <v>0</v>
      </c>
      <c r="I107" s="595">
        <f ca="1">F107+G107-H107</f>
        <v>10660.9787333248</v>
      </c>
      <c r="J107" s="595">
        <f ca="1">M62</f>
        <v>5114.66676055533</v>
      </c>
      <c r="K107" s="595">
        <f>SUM('[6]GFA &amp; Dep-MYT 5th Control'!$E$178:$E$180)</f>
        <v>379.583978465704</v>
      </c>
      <c r="L107" s="595">
        <f ca="1" t="shared" si="70"/>
        <v>0</v>
      </c>
      <c r="M107" s="595">
        <f ca="1">J107+K107-L107</f>
        <v>5494.25073902103</v>
      </c>
      <c r="N107" s="595">
        <f ca="1">F107-J107</f>
        <v>4510.37948932952</v>
      </c>
      <c r="O107" s="595">
        <f ca="1" t="shared" ref="O107" si="71">I107-M107</f>
        <v>5166.72799430373</v>
      </c>
    </row>
    <row r="108" ht="15" spans="2:15">
      <c r="B108" s="592"/>
      <c r="C108" s="575" t="s">
        <v>778</v>
      </c>
      <c r="D108" s="596"/>
      <c r="E108" s="459"/>
      <c r="F108" s="595">
        <f t="shared" si="64"/>
        <v>0</v>
      </c>
      <c r="G108" s="595"/>
      <c r="H108" s="595"/>
      <c r="I108" s="595"/>
      <c r="J108" s="595"/>
      <c r="K108" s="595"/>
      <c r="L108" s="595"/>
      <c r="M108" s="595"/>
      <c r="N108" s="595"/>
      <c r="O108" s="595"/>
    </row>
    <row r="109" ht="15" spans="2:15">
      <c r="B109" s="592"/>
      <c r="C109" s="599" t="s">
        <v>779</v>
      </c>
      <c r="D109" s="596"/>
      <c r="E109" s="459"/>
      <c r="F109" s="595">
        <f ca="1" t="shared" si="64"/>
        <v>0</v>
      </c>
      <c r="G109" s="595">
        <f ca="1" t="shared" ref="G109:L110" si="72">G426+G743</f>
        <v>0</v>
      </c>
      <c r="H109" s="595">
        <f ca="1" t="shared" si="72"/>
        <v>0</v>
      </c>
      <c r="I109" s="595">
        <f ca="1">F109+G109-H109</f>
        <v>0</v>
      </c>
      <c r="J109" s="595">
        <f ca="1" t="shared" ref="J109:J138" si="73">M64</f>
        <v>0</v>
      </c>
      <c r="K109" s="595">
        <f ca="1" t="shared" si="72"/>
        <v>0</v>
      </c>
      <c r="L109" s="595">
        <f ca="1" t="shared" si="72"/>
        <v>0</v>
      </c>
      <c r="M109" s="595">
        <f ca="1">J109+K109-L109</f>
        <v>0</v>
      </c>
      <c r="N109" s="595">
        <f ca="1" t="shared" ref="N109:N110" si="74">F109-J109</f>
        <v>0</v>
      </c>
      <c r="O109" s="595">
        <f ca="1" t="shared" ref="O109:O110" si="75">I109-M109</f>
        <v>0</v>
      </c>
    </row>
    <row r="110" ht="15" spans="2:15">
      <c r="B110" s="592"/>
      <c r="C110" s="599" t="s">
        <v>780</v>
      </c>
      <c r="D110" s="596"/>
      <c r="E110" s="459"/>
      <c r="F110" s="595">
        <f ca="1" t="shared" si="64"/>
        <v>0</v>
      </c>
      <c r="G110" s="595">
        <f ca="1" t="shared" si="72"/>
        <v>0</v>
      </c>
      <c r="H110" s="595">
        <f ca="1" t="shared" si="72"/>
        <v>0</v>
      </c>
      <c r="I110" s="595">
        <f ca="1">F110+G110-H110</f>
        <v>0</v>
      </c>
      <c r="J110" s="595">
        <f ca="1" t="shared" si="73"/>
        <v>0</v>
      </c>
      <c r="K110" s="595">
        <f ca="1" t="shared" si="72"/>
        <v>0</v>
      </c>
      <c r="L110" s="595">
        <f ca="1" t="shared" si="72"/>
        <v>0</v>
      </c>
      <c r="M110" s="595">
        <f ca="1">J110+K110-L110</f>
        <v>0</v>
      </c>
      <c r="N110" s="595">
        <f ca="1" t="shared" si="74"/>
        <v>0</v>
      </c>
      <c r="O110" s="595">
        <f ca="1" t="shared" si="75"/>
        <v>0</v>
      </c>
    </row>
    <row r="111" ht="15" spans="2:15">
      <c r="B111" s="592">
        <v>5</v>
      </c>
      <c r="C111" s="575" t="s">
        <v>781</v>
      </c>
      <c r="D111" s="596"/>
      <c r="E111" s="459"/>
      <c r="F111" s="595"/>
      <c r="G111" s="600"/>
      <c r="H111" s="600"/>
      <c r="I111" s="600"/>
      <c r="J111" s="595"/>
      <c r="K111" s="600"/>
      <c r="L111" s="600"/>
      <c r="M111" s="600"/>
      <c r="N111" s="600"/>
      <c r="O111" s="600"/>
    </row>
    <row r="112" ht="15" spans="2:15">
      <c r="B112" s="592"/>
      <c r="C112" s="599" t="s">
        <v>782</v>
      </c>
      <c r="D112" s="596"/>
      <c r="E112" s="459"/>
      <c r="F112" s="595">
        <f ca="1" t="shared" si="64"/>
        <v>0</v>
      </c>
      <c r="G112" s="595">
        <f ca="1" t="shared" ref="G112:L117" si="76">G429+G746</f>
        <v>0</v>
      </c>
      <c r="H112" s="595">
        <f ca="1" t="shared" si="76"/>
        <v>0</v>
      </c>
      <c r="I112" s="595">
        <f ca="1" t="shared" ref="I112:I117" si="77">F112+G112-H112</f>
        <v>0</v>
      </c>
      <c r="J112" s="595">
        <f ca="1" t="shared" si="73"/>
        <v>0</v>
      </c>
      <c r="K112" s="595">
        <f ca="1" t="shared" si="76"/>
        <v>0</v>
      </c>
      <c r="L112" s="595">
        <f ca="1" t="shared" si="76"/>
        <v>0</v>
      </c>
      <c r="M112" s="595">
        <f ca="1">J112+K112-L112</f>
        <v>0</v>
      </c>
      <c r="N112" s="595">
        <f ca="1" t="shared" ref="N112:N117" si="78">F112-J112</f>
        <v>0</v>
      </c>
      <c r="O112" s="595">
        <f ca="1" t="shared" ref="O112:O117" si="79">I112-M112</f>
        <v>0</v>
      </c>
    </row>
    <row r="113" ht="15" spans="2:15">
      <c r="B113" s="592"/>
      <c r="C113" s="599" t="s">
        <v>783</v>
      </c>
      <c r="D113" s="596"/>
      <c r="E113" s="459"/>
      <c r="F113" s="595">
        <f ca="1" t="shared" si="64"/>
        <v>0</v>
      </c>
      <c r="G113" s="595">
        <f ca="1" t="shared" si="76"/>
        <v>0</v>
      </c>
      <c r="H113" s="595">
        <f ca="1" t="shared" si="76"/>
        <v>0</v>
      </c>
      <c r="I113" s="595">
        <f ca="1" t="shared" si="77"/>
        <v>0</v>
      </c>
      <c r="J113" s="595">
        <f ca="1" t="shared" si="73"/>
        <v>0</v>
      </c>
      <c r="K113" s="595">
        <f ca="1" t="shared" si="76"/>
        <v>0</v>
      </c>
      <c r="L113" s="595">
        <f ca="1" t="shared" si="76"/>
        <v>0</v>
      </c>
      <c r="M113" s="595">
        <f ca="1" t="shared" ref="M113:M117" si="80">J113+K113-L113</f>
        <v>0</v>
      </c>
      <c r="N113" s="595">
        <f ca="1" t="shared" si="78"/>
        <v>0</v>
      </c>
      <c r="O113" s="595">
        <f ca="1" t="shared" si="79"/>
        <v>0</v>
      </c>
    </row>
    <row r="114" ht="15" spans="2:15">
      <c r="B114" s="592"/>
      <c r="C114" s="599" t="s">
        <v>784</v>
      </c>
      <c r="D114" s="596"/>
      <c r="E114" s="459"/>
      <c r="F114" s="595">
        <f ca="1" t="shared" si="64"/>
        <v>0</v>
      </c>
      <c r="G114" s="595">
        <f ca="1" t="shared" si="76"/>
        <v>0</v>
      </c>
      <c r="H114" s="595">
        <f ca="1" t="shared" si="76"/>
        <v>0</v>
      </c>
      <c r="I114" s="595">
        <f ca="1" t="shared" si="77"/>
        <v>0</v>
      </c>
      <c r="J114" s="595">
        <f ca="1" t="shared" si="73"/>
        <v>0</v>
      </c>
      <c r="K114" s="595">
        <f ca="1" t="shared" si="76"/>
        <v>0</v>
      </c>
      <c r="L114" s="595">
        <f ca="1" t="shared" si="76"/>
        <v>0</v>
      </c>
      <c r="M114" s="595">
        <f ca="1" t="shared" si="80"/>
        <v>0</v>
      </c>
      <c r="N114" s="595">
        <f ca="1" t="shared" si="78"/>
        <v>0</v>
      </c>
      <c r="O114" s="595">
        <f ca="1" t="shared" si="79"/>
        <v>0</v>
      </c>
    </row>
    <row r="115" ht="15" spans="2:15">
      <c r="B115" s="592"/>
      <c r="C115" s="599" t="s">
        <v>785</v>
      </c>
      <c r="D115" s="596"/>
      <c r="E115" s="459"/>
      <c r="F115" s="595">
        <f ca="1" t="shared" si="64"/>
        <v>0</v>
      </c>
      <c r="G115" s="595">
        <f ca="1" t="shared" si="76"/>
        <v>0</v>
      </c>
      <c r="H115" s="595">
        <f ca="1" t="shared" si="76"/>
        <v>0</v>
      </c>
      <c r="I115" s="595">
        <f ca="1" t="shared" si="77"/>
        <v>0</v>
      </c>
      <c r="J115" s="595">
        <f ca="1" t="shared" si="73"/>
        <v>0</v>
      </c>
      <c r="K115" s="595">
        <f ca="1" t="shared" si="76"/>
        <v>0</v>
      </c>
      <c r="L115" s="595">
        <f ca="1" t="shared" si="76"/>
        <v>0</v>
      </c>
      <c r="M115" s="595">
        <f ca="1" t="shared" si="80"/>
        <v>0</v>
      </c>
      <c r="N115" s="595">
        <f ca="1" t="shared" si="78"/>
        <v>0</v>
      </c>
      <c r="O115" s="595">
        <f ca="1" t="shared" si="79"/>
        <v>0</v>
      </c>
    </row>
    <row r="116" ht="15" spans="2:15">
      <c r="B116" s="592">
        <v>6</v>
      </c>
      <c r="C116" s="575" t="s">
        <v>786</v>
      </c>
      <c r="D116" s="596"/>
      <c r="E116" s="459"/>
      <c r="F116" s="595">
        <f ca="1" t="shared" si="64"/>
        <v>0</v>
      </c>
      <c r="G116" s="595">
        <f ca="1" t="shared" si="76"/>
        <v>0</v>
      </c>
      <c r="H116" s="595">
        <f ca="1" t="shared" si="76"/>
        <v>0</v>
      </c>
      <c r="I116" s="595">
        <f ca="1" t="shared" si="77"/>
        <v>0</v>
      </c>
      <c r="J116" s="595">
        <f ca="1" t="shared" si="73"/>
        <v>0</v>
      </c>
      <c r="K116" s="595">
        <f ca="1" t="shared" si="76"/>
        <v>0</v>
      </c>
      <c r="L116" s="595">
        <f ca="1" t="shared" si="76"/>
        <v>0</v>
      </c>
      <c r="M116" s="595">
        <f ca="1" t="shared" si="80"/>
        <v>0</v>
      </c>
      <c r="N116" s="595">
        <f ca="1" t="shared" si="78"/>
        <v>0</v>
      </c>
      <c r="O116" s="595">
        <f ca="1" t="shared" si="79"/>
        <v>0</v>
      </c>
    </row>
    <row r="117" ht="15" spans="2:15">
      <c r="B117" s="592">
        <v>7</v>
      </c>
      <c r="C117" s="575" t="s">
        <v>787</v>
      </c>
      <c r="D117" s="596"/>
      <c r="E117" s="459"/>
      <c r="F117" s="595">
        <f ca="1" t="shared" si="64"/>
        <v>0</v>
      </c>
      <c r="G117" s="595">
        <f ca="1" t="shared" si="76"/>
        <v>0</v>
      </c>
      <c r="H117" s="595">
        <f ca="1" t="shared" si="76"/>
        <v>0</v>
      </c>
      <c r="I117" s="595">
        <f ca="1" t="shared" si="77"/>
        <v>0</v>
      </c>
      <c r="J117" s="595">
        <f ca="1" t="shared" si="73"/>
        <v>0</v>
      </c>
      <c r="K117" s="595">
        <f ca="1" t="shared" si="76"/>
        <v>0</v>
      </c>
      <c r="L117" s="595">
        <f ca="1" t="shared" si="76"/>
        <v>0</v>
      </c>
      <c r="M117" s="595">
        <f ca="1" t="shared" si="80"/>
        <v>0</v>
      </c>
      <c r="N117" s="595">
        <f ca="1" t="shared" si="78"/>
        <v>0</v>
      </c>
      <c r="O117" s="595">
        <f ca="1" t="shared" si="79"/>
        <v>0</v>
      </c>
    </row>
    <row r="118" ht="15" spans="2:15">
      <c r="B118" s="592">
        <v>8</v>
      </c>
      <c r="C118" s="575" t="s">
        <v>788</v>
      </c>
      <c r="D118" s="596"/>
      <c r="E118" s="459"/>
      <c r="F118" s="595"/>
      <c r="G118" s="595"/>
      <c r="H118" s="595"/>
      <c r="I118" s="595"/>
      <c r="J118" s="595"/>
      <c r="K118" s="595"/>
      <c r="L118" s="595"/>
      <c r="M118" s="595"/>
      <c r="N118" s="595"/>
      <c r="O118" s="595"/>
    </row>
    <row r="119" ht="15" spans="2:15">
      <c r="B119" s="592"/>
      <c r="C119" s="599" t="s">
        <v>789</v>
      </c>
      <c r="D119" s="596"/>
      <c r="E119" s="459"/>
      <c r="F119" s="595">
        <f ca="1" t="shared" si="64"/>
        <v>9400.04173868516</v>
      </c>
      <c r="G119" s="595">
        <f>'[6]GFA &amp; Dep-MYT 5th Control'!$M$35</f>
        <v>1168.69450985158</v>
      </c>
      <c r="H119" s="595">
        <f ca="1" t="shared" ref="H119:L119" si="81">H436+H753</f>
        <v>0</v>
      </c>
      <c r="I119" s="595">
        <f ca="1">F119+G119-H119</f>
        <v>10568.7362485367</v>
      </c>
      <c r="J119" s="595">
        <f ca="1" t="shared" si="73"/>
        <v>4504.17831234565</v>
      </c>
      <c r="K119" s="595">
        <f>SUM('[6]GFA &amp; Dep-MYT 5th Control'!$E$187:$E$189)</f>
        <v>370.647904369039</v>
      </c>
      <c r="L119" s="595">
        <f ca="1" t="shared" si="81"/>
        <v>0</v>
      </c>
      <c r="M119" s="595">
        <f ca="1">J119+K119-L119</f>
        <v>4874.82621671469</v>
      </c>
      <c r="N119" s="595">
        <f ca="1" t="shared" ref="N119:N123" si="82">F119-J119</f>
        <v>4895.86342633951</v>
      </c>
      <c r="O119" s="595">
        <f ca="1" t="shared" ref="O119:O123" si="83">I119-M119</f>
        <v>5693.91003182205</v>
      </c>
    </row>
    <row r="120" ht="15" spans="2:15">
      <c r="B120" s="592"/>
      <c r="C120" s="599" t="s">
        <v>808</v>
      </c>
      <c r="D120" s="596"/>
      <c r="E120" s="459"/>
      <c r="F120" s="595">
        <f ca="1" t="shared" si="64"/>
        <v>0</v>
      </c>
      <c r="G120" s="595">
        <f ca="1" t="shared" ref="G120:L122" si="84">G437+G754</f>
        <v>0</v>
      </c>
      <c r="H120" s="595">
        <f ca="1" t="shared" si="84"/>
        <v>0</v>
      </c>
      <c r="I120" s="595">
        <f ca="1">F120+G120-H120</f>
        <v>0</v>
      </c>
      <c r="J120" s="595">
        <f ca="1" t="shared" si="73"/>
        <v>0</v>
      </c>
      <c r="K120" s="595">
        <f ca="1" t="shared" si="84"/>
        <v>0</v>
      </c>
      <c r="L120" s="595">
        <f ca="1" t="shared" si="84"/>
        <v>0</v>
      </c>
      <c r="M120" s="595">
        <f ca="1" t="shared" ref="M120:M123" si="85">J120+K120-L120</f>
        <v>0</v>
      </c>
      <c r="N120" s="595">
        <f ca="1" t="shared" si="82"/>
        <v>0</v>
      </c>
      <c r="O120" s="595">
        <f ca="1" t="shared" si="83"/>
        <v>0</v>
      </c>
    </row>
    <row r="121" ht="30" spans="2:15">
      <c r="B121" s="601">
        <v>9</v>
      </c>
      <c r="C121" s="602" t="s">
        <v>791</v>
      </c>
      <c r="D121" s="596"/>
      <c r="E121" s="459"/>
      <c r="F121" s="595">
        <f ca="1" t="shared" si="64"/>
        <v>0</v>
      </c>
      <c r="G121" s="595">
        <f ca="1" t="shared" si="84"/>
        <v>0</v>
      </c>
      <c r="H121" s="595">
        <f ca="1" t="shared" si="84"/>
        <v>0</v>
      </c>
      <c r="I121" s="595">
        <f ca="1">F121+G121-H121</f>
        <v>0</v>
      </c>
      <c r="J121" s="595">
        <f ca="1" t="shared" si="73"/>
        <v>0</v>
      </c>
      <c r="K121" s="595">
        <f ca="1" t="shared" si="84"/>
        <v>0</v>
      </c>
      <c r="L121" s="595">
        <f ca="1" t="shared" si="84"/>
        <v>0</v>
      </c>
      <c r="M121" s="595">
        <f ca="1" t="shared" si="85"/>
        <v>0</v>
      </c>
      <c r="N121" s="595">
        <f ca="1" t="shared" si="82"/>
        <v>0</v>
      </c>
      <c r="O121" s="595">
        <f ca="1" t="shared" si="83"/>
        <v>0</v>
      </c>
    </row>
    <row r="122" ht="15" spans="2:15">
      <c r="B122" s="603">
        <v>10</v>
      </c>
      <c r="C122" s="563" t="s">
        <v>792</v>
      </c>
      <c r="D122" s="604"/>
      <c r="E122" s="459"/>
      <c r="F122" s="595">
        <f ca="1" t="shared" si="64"/>
        <v>2931.3708964106</v>
      </c>
      <c r="G122" s="595">
        <f>'[6]GFA &amp; Dep-MYT 5th Control'!$M$36</f>
        <v>1792.2009933447</v>
      </c>
      <c r="H122" s="595">
        <f ca="1" t="shared" si="84"/>
        <v>0</v>
      </c>
      <c r="I122" s="595">
        <f ca="1">F122+G122-H122</f>
        <v>4723.5718897553</v>
      </c>
      <c r="J122" s="595">
        <f ca="1" t="shared" si="73"/>
        <v>1240.11633331006</v>
      </c>
      <c r="K122" s="595">
        <f>'[6]GFA &amp; Dep-MYT 5th Control'!$E$184</f>
        <v>188.068993248026</v>
      </c>
      <c r="L122" s="595">
        <f ca="1" t="shared" si="84"/>
        <v>0</v>
      </c>
      <c r="M122" s="595">
        <f ca="1" t="shared" si="85"/>
        <v>1428.18532655809</v>
      </c>
      <c r="N122" s="595">
        <f ca="1" t="shared" si="82"/>
        <v>1691.25456310054</v>
      </c>
      <c r="O122" s="595">
        <f ca="1" t="shared" si="83"/>
        <v>3295.38656319721</v>
      </c>
    </row>
    <row r="123" ht="15" spans="2:15">
      <c r="B123" s="603">
        <v>11</v>
      </c>
      <c r="C123" s="563" t="s">
        <v>793</v>
      </c>
      <c r="D123" s="604"/>
      <c r="E123" s="459"/>
      <c r="F123" s="595">
        <f ca="1" t="shared" si="64"/>
        <v>7.08</v>
      </c>
      <c r="G123" s="595">
        <f ca="1" t="shared" ref="G123:L123" si="86">G440+G757</f>
        <v>0</v>
      </c>
      <c r="H123" s="595">
        <f ca="1" t="shared" si="86"/>
        <v>0</v>
      </c>
      <c r="I123" s="595">
        <f ca="1">F123+G123-H123</f>
        <v>7.08</v>
      </c>
      <c r="J123" s="595">
        <f ca="1" t="shared" si="73"/>
        <v>6.392199932</v>
      </c>
      <c r="K123" s="595">
        <f>'[6]GFA &amp; Dep-MYT 5th Control'!$E$191</f>
        <v>0</v>
      </c>
      <c r="L123" s="595">
        <f ca="1" t="shared" si="86"/>
        <v>0</v>
      </c>
      <c r="M123" s="595">
        <f ca="1" t="shared" si="85"/>
        <v>6.392199932</v>
      </c>
      <c r="N123" s="595">
        <f ca="1" t="shared" si="82"/>
        <v>0.687800068</v>
      </c>
      <c r="O123" s="595">
        <f ca="1" t="shared" si="83"/>
        <v>0.687800068</v>
      </c>
    </row>
    <row r="124" ht="15" spans="2:15">
      <c r="B124" s="603">
        <v>12</v>
      </c>
      <c r="C124" s="563" t="s">
        <v>794</v>
      </c>
      <c r="D124" s="604"/>
      <c r="E124" s="459"/>
      <c r="F124" s="595"/>
      <c r="G124" s="595"/>
      <c r="H124" s="595"/>
      <c r="I124" s="595"/>
      <c r="J124" s="595"/>
      <c r="K124" s="595"/>
      <c r="L124" s="595"/>
      <c r="M124" s="595"/>
      <c r="N124" s="595"/>
      <c r="O124" s="595"/>
    </row>
    <row r="125" ht="15" spans="2:15">
      <c r="B125" s="603"/>
      <c r="C125" s="565" t="s">
        <v>795</v>
      </c>
      <c r="D125" s="604"/>
      <c r="E125" s="459"/>
      <c r="F125" s="595">
        <f ca="1" t="shared" si="64"/>
        <v>2.6</v>
      </c>
      <c r="G125" s="595">
        <f ca="1" t="shared" ref="G125:L126" si="87">G442+G759</f>
        <v>0</v>
      </c>
      <c r="H125" s="595">
        <f ca="1" t="shared" si="87"/>
        <v>0</v>
      </c>
      <c r="I125" s="595">
        <f ca="1">F125+G125-H125</f>
        <v>2.6</v>
      </c>
      <c r="J125" s="595">
        <f ca="1" t="shared" si="73"/>
        <v>1.701644132</v>
      </c>
      <c r="K125" s="595">
        <f ca="1" t="shared" si="87"/>
        <v>0</v>
      </c>
      <c r="L125" s="595">
        <f ca="1" t="shared" si="87"/>
        <v>0</v>
      </c>
      <c r="M125" s="595">
        <f ca="1" t="shared" ref="M125:M126" si="88">J125+K125-L125</f>
        <v>1.701644132</v>
      </c>
      <c r="N125" s="595">
        <f ca="1" t="shared" ref="N125:N126" si="89">F125-J125</f>
        <v>0.898355868</v>
      </c>
      <c r="O125" s="595">
        <f ca="1" t="shared" ref="O125:O126" si="90">I125-M125</f>
        <v>0.898355868</v>
      </c>
    </row>
    <row r="126" ht="15" spans="2:15">
      <c r="B126" s="603"/>
      <c r="C126" s="565" t="s">
        <v>796</v>
      </c>
      <c r="D126" s="604"/>
      <c r="E126" s="459"/>
      <c r="F126" s="595">
        <f ca="1" t="shared" si="64"/>
        <v>0</v>
      </c>
      <c r="G126" s="595">
        <f ca="1" t="shared" si="87"/>
        <v>0</v>
      </c>
      <c r="H126" s="595">
        <f ca="1" t="shared" si="87"/>
        <v>0</v>
      </c>
      <c r="I126" s="595">
        <f ca="1" t="shared" ref="I126" si="91">F126+G126-H126</f>
        <v>0</v>
      </c>
      <c r="J126" s="595">
        <f ca="1" t="shared" si="73"/>
        <v>0</v>
      </c>
      <c r="K126" s="595">
        <f ca="1" t="shared" si="87"/>
        <v>0</v>
      </c>
      <c r="L126" s="595">
        <f ca="1" t="shared" si="87"/>
        <v>0</v>
      </c>
      <c r="M126" s="595">
        <f ca="1" t="shared" si="88"/>
        <v>0</v>
      </c>
      <c r="N126" s="595">
        <f ca="1" t="shared" si="89"/>
        <v>0</v>
      </c>
      <c r="O126" s="595">
        <f ca="1" t="shared" si="90"/>
        <v>0</v>
      </c>
    </row>
    <row r="127" ht="15" spans="2:15">
      <c r="B127" s="603">
        <v>13</v>
      </c>
      <c r="C127" s="565"/>
      <c r="D127" s="604"/>
      <c r="E127" s="459"/>
      <c r="F127" s="595"/>
      <c r="G127" s="595"/>
      <c r="H127" s="595"/>
      <c r="I127" s="595"/>
      <c r="J127" s="595"/>
      <c r="K127" s="595"/>
      <c r="L127" s="595"/>
      <c r="M127" s="595"/>
      <c r="N127" s="595"/>
      <c r="O127" s="595"/>
    </row>
    <row r="128" ht="15" spans="2:15">
      <c r="B128" s="603"/>
      <c r="C128" s="565" t="s">
        <v>797</v>
      </c>
      <c r="D128" s="604"/>
      <c r="E128" s="459"/>
      <c r="F128" s="595">
        <f ca="1" t="shared" si="64"/>
        <v>17.25</v>
      </c>
      <c r="G128" s="595">
        <f ca="1" t="shared" ref="G128:L129" si="92">G445+G762</f>
        <v>0</v>
      </c>
      <c r="H128" s="595">
        <f ca="1" t="shared" si="92"/>
        <v>0</v>
      </c>
      <c r="I128" s="595">
        <f ca="1">F128+G128-H128</f>
        <v>17.25</v>
      </c>
      <c r="J128" s="595">
        <f ca="1" t="shared" si="73"/>
        <v>12.050196043</v>
      </c>
      <c r="K128" s="595">
        <f>'[6]GFA &amp; Dep-MYT 5th Control'!$E$192</f>
        <v>0.493995032</v>
      </c>
      <c r="L128" s="595">
        <f ca="1" t="shared" si="92"/>
        <v>0</v>
      </c>
      <c r="M128" s="595">
        <f ca="1" t="shared" ref="M128:M131" si="93">J128+K128-L128</f>
        <v>12.544191075</v>
      </c>
      <c r="N128" s="595">
        <f ca="1" t="shared" ref="N128:N131" si="94">F128-J128</f>
        <v>5.199803957</v>
      </c>
      <c r="O128" s="595">
        <f ca="1" t="shared" ref="O128:O131" si="95">I128-M128</f>
        <v>4.705808925</v>
      </c>
    </row>
    <row r="129" ht="15" spans="2:15">
      <c r="B129" s="603"/>
      <c r="C129" s="565" t="s">
        <v>798</v>
      </c>
      <c r="D129" s="604"/>
      <c r="E129" s="459"/>
      <c r="F129" s="595">
        <f ca="1" t="shared" si="64"/>
        <v>51.4515121993505</v>
      </c>
      <c r="G129" s="595">
        <f>'[6]GFA &amp; Dep-MYT 5th Control'!$M$37</f>
        <v>0.132318396842664</v>
      </c>
      <c r="H129" s="595">
        <f ca="1" t="shared" si="92"/>
        <v>0</v>
      </c>
      <c r="I129" s="595">
        <f ca="1">F129+G129-H129</f>
        <v>51.5838305961932</v>
      </c>
      <c r="J129" s="595">
        <f ca="1" t="shared" si="73"/>
        <v>34.6872214089708</v>
      </c>
      <c r="K129" s="595">
        <f>'[6]GFA &amp; Dep-MYT 5th Control'!$E$193</f>
        <v>1.68601268879947</v>
      </c>
      <c r="L129" s="595">
        <f ca="1" t="shared" si="92"/>
        <v>0</v>
      </c>
      <c r="M129" s="595">
        <f ca="1" t="shared" si="93"/>
        <v>36.3732340977702</v>
      </c>
      <c r="N129" s="595">
        <f ca="1" t="shared" si="94"/>
        <v>16.7642907903798</v>
      </c>
      <c r="O129" s="595">
        <f ca="1" t="shared" si="95"/>
        <v>15.210596498423</v>
      </c>
    </row>
    <row r="130" ht="15" spans="2:15">
      <c r="B130" s="603"/>
      <c r="C130" s="565" t="s">
        <v>799</v>
      </c>
      <c r="D130" s="604"/>
      <c r="E130" s="459"/>
      <c r="F130" s="595">
        <f ca="1" t="shared" si="64"/>
        <v>0</v>
      </c>
      <c r="G130" s="595">
        <f ca="1" t="shared" ref="G130:L131" si="96">G447+G764</f>
        <v>0</v>
      </c>
      <c r="H130" s="595">
        <f ca="1" t="shared" si="96"/>
        <v>0</v>
      </c>
      <c r="I130" s="595">
        <f ca="1">F130+G130-H130</f>
        <v>0</v>
      </c>
      <c r="J130" s="595">
        <f ca="1" t="shared" si="73"/>
        <v>0</v>
      </c>
      <c r="K130" s="595">
        <f ca="1" t="shared" si="96"/>
        <v>0</v>
      </c>
      <c r="L130" s="595">
        <f ca="1" t="shared" si="96"/>
        <v>0</v>
      </c>
      <c r="M130" s="595">
        <f ca="1" t="shared" si="93"/>
        <v>0</v>
      </c>
      <c r="N130" s="595">
        <f ca="1" t="shared" si="94"/>
        <v>0</v>
      </c>
      <c r="O130" s="595">
        <f ca="1" t="shared" si="95"/>
        <v>0</v>
      </c>
    </row>
    <row r="131" ht="15" spans="2:15">
      <c r="B131" s="603"/>
      <c r="C131" s="565" t="s">
        <v>800</v>
      </c>
      <c r="D131" s="604"/>
      <c r="E131" s="459"/>
      <c r="F131" s="595">
        <f ca="1" t="shared" si="64"/>
        <v>0</v>
      </c>
      <c r="G131" s="595">
        <f ca="1" t="shared" si="96"/>
        <v>0</v>
      </c>
      <c r="H131" s="595">
        <f ca="1" t="shared" si="96"/>
        <v>0</v>
      </c>
      <c r="I131" s="595">
        <f ca="1">F131+G131-H131</f>
        <v>0</v>
      </c>
      <c r="J131" s="595">
        <f ca="1" t="shared" si="73"/>
        <v>0</v>
      </c>
      <c r="K131" s="595">
        <f ca="1" t="shared" si="96"/>
        <v>0</v>
      </c>
      <c r="L131" s="595">
        <f ca="1" t="shared" si="96"/>
        <v>0</v>
      </c>
      <c r="M131" s="595">
        <f ca="1" t="shared" si="93"/>
        <v>0</v>
      </c>
      <c r="N131" s="595">
        <f ca="1" t="shared" si="94"/>
        <v>0</v>
      </c>
      <c r="O131" s="595">
        <f ca="1" t="shared" si="95"/>
        <v>0</v>
      </c>
    </row>
    <row r="132" ht="15" spans="2:15">
      <c r="B132" s="603">
        <v>14</v>
      </c>
      <c r="C132" s="563" t="s">
        <v>801</v>
      </c>
      <c r="D132" s="604"/>
      <c r="E132" s="459"/>
      <c r="F132" s="595"/>
      <c r="G132" s="595"/>
      <c r="H132" s="595"/>
      <c r="I132" s="595"/>
      <c r="J132" s="595"/>
      <c r="K132" s="595"/>
      <c r="L132" s="595"/>
      <c r="M132" s="595"/>
      <c r="N132" s="595"/>
      <c r="O132" s="595"/>
    </row>
    <row r="133" ht="15" spans="2:15">
      <c r="B133" s="603"/>
      <c r="C133" s="565" t="s">
        <v>802</v>
      </c>
      <c r="D133" s="604"/>
      <c r="E133" s="459"/>
      <c r="F133" s="595">
        <f ca="1" t="shared" si="64"/>
        <v>0</v>
      </c>
      <c r="G133" s="595">
        <f ca="1" t="shared" ref="G133:L136" si="97">G450+G767</f>
        <v>0</v>
      </c>
      <c r="H133" s="595">
        <f ca="1" t="shared" si="97"/>
        <v>0</v>
      </c>
      <c r="I133" s="595">
        <f ca="1" t="shared" ref="I133:I138" si="98">F133+G133-H133</f>
        <v>0</v>
      </c>
      <c r="J133" s="595">
        <f ca="1" t="shared" si="73"/>
        <v>0</v>
      </c>
      <c r="K133" s="595">
        <f ca="1" t="shared" si="97"/>
        <v>0</v>
      </c>
      <c r="L133" s="595">
        <f ca="1" t="shared" si="97"/>
        <v>0</v>
      </c>
      <c r="M133" s="595">
        <f ca="1" t="shared" ref="M133:M138" si="99">J133+K133-L133</f>
        <v>0</v>
      </c>
      <c r="N133" s="595">
        <f ca="1" t="shared" ref="N133:N138" si="100">F133-J133</f>
        <v>0</v>
      </c>
      <c r="O133" s="595">
        <f ca="1" t="shared" ref="O133:O138" si="101">I133-M133</f>
        <v>0</v>
      </c>
    </row>
    <row r="134" ht="15" spans="2:15">
      <c r="B134" s="603"/>
      <c r="C134" s="565" t="s">
        <v>803</v>
      </c>
      <c r="D134" s="604"/>
      <c r="E134" s="459"/>
      <c r="F134" s="595">
        <f ca="1" t="shared" si="64"/>
        <v>0</v>
      </c>
      <c r="G134" s="595">
        <f ca="1" t="shared" si="97"/>
        <v>0</v>
      </c>
      <c r="H134" s="595">
        <f ca="1" t="shared" si="97"/>
        <v>0</v>
      </c>
      <c r="I134" s="595">
        <f ca="1" t="shared" si="98"/>
        <v>0</v>
      </c>
      <c r="J134" s="595">
        <f ca="1" t="shared" si="73"/>
        <v>0</v>
      </c>
      <c r="K134" s="595">
        <f ca="1" t="shared" si="97"/>
        <v>0</v>
      </c>
      <c r="L134" s="595">
        <f ca="1" t="shared" si="97"/>
        <v>0</v>
      </c>
      <c r="M134" s="595">
        <f ca="1" t="shared" si="99"/>
        <v>0</v>
      </c>
      <c r="N134" s="595">
        <f ca="1" t="shared" si="100"/>
        <v>0</v>
      </c>
      <c r="O134" s="595">
        <f ca="1" t="shared" si="101"/>
        <v>0</v>
      </c>
    </row>
    <row r="135" ht="15" spans="2:15">
      <c r="B135" s="603"/>
      <c r="C135" s="565" t="s">
        <v>804</v>
      </c>
      <c r="D135" s="604"/>
      <c r="E135" s="459"/>
      <c r="F135" s="595">
        <f ca="1" t="shared" si="64"/>
        <v>0</v>
      </c>
      <c r="G135" s="595">
        <f ca="1" t="shared" si="97"/>
        <v>0</v>
      </c>
      <c r="H135" s="595">
        <f ca="1" t="shared" si="97"/>
        <v>0</v>
      </c>
      <c r="I135" s="595">
        <f ca="1" t="shared" si="98"/>
        <v>0</v>
      </c>
      <c r="J135" s="595">
        <f ca="1" t="shared" si="73"/>
        <v>0</v>
      </c>
      <c r="K135" s="595">
        <f ca="1" t="shared" si="97"/>
        <v>0</v>
      </c>
      <c r="L135" s="595">
        <f ca="1" t="shared" si="97"/>
        <v>0</v>
      </c>
      <c r="M135" s="595">
        <f ca="1" t="shared" si="99"/>
        <v>0</v>
      </c>
      <c r="N135" s="595">
        <f ca="1" t="shared" si="100"/>
        <v>0</v>
      </c>
      <c r="O135" s="595">
        <f ca="1" t="shared" si="101"/>
        <v>0</v>
      </c>
    </row>
    <row r="136" ht="15" spans="2:15">
      <c r="B136" s="603">
        <v>15</v>
      </c>
      <c r="C136" s="563" t="s">
        <v>805</v>
      </c>
      <c r="D136" s="604"/>
      <c r="E136" s="459"/>
      <c r="F136" s="595">
        <f ca="1" t="shared" si="64"/>
        <v>191.961531462632</v>
      </c>
      <c r="G136" s="595">
        <f>'[6]GFA &amp; Dep-MYT 5th Control'!$M$40</f>
        <v>10.3915780364438</v>
      </c>
      <c r="H136" s="595">
        <f ca="1" t="shared" si="97"/>
        <v>0</v>
      </c>
      <c r="I136" s="595">
        <f ca="1" t="shared" si="98"/>
        <v>202.353109499076</v>
      </c>
      <c r="J136" s="595">
        <f ca="1" t="shared" si="73"/>
        <v>158.628331566697</v>
      </c>
      <c r="K136" s="595">
        <f>'[6]GFA &amp; Dep-MYT 5th Control'!$E$195</f>
        <v>11.5532517431281</v>
      </c>
      <c r="L136" s="595">
        <f ca="1" t="shared" si="97"/>
        <v>0</v>
      </c>
      <c r="M136" s="595">
        <f ca="1" t="shared" si="99"/>
        <v>170.181583309825</v>
      </c>
      <c r="N136" s="595">
        <f ca="1" t="shared" si="100"/>
        <v>33.3331998959346</v>
      </c>
      <c r="O136" s="595">
        <f ca="1" t="shared" si="101"/>
        <v>32.1715261892503</v>
      </c>
    </row>
    <row r="137" ht="15" spans="2:15">
      <c r="B137" s="603">
        <v>16</v>
      </c>
      <c r="C137" s="563" t="s">
        <v>806</v>
      </c>
      <c r="D137" s="596"/>
      <c r="E137" s="459"/>
      <c r="F137" s="595">
        <f ca="1" t="shared" si="64"/>
        <v>70.8</v>
      </c>
      <c r="G137" s="595">
        <f ca="1" t="shared" ref="G137:L138" si="102">G454+G771</f>
        <v>0</v>
      </c>
      <c r="H137" s="595">
        <f ca="1" t="shared" si="102"/>
        <v>0</v>
      </c>
      <c r="I137" s="595">
        <f ca="1" t="shared" si="98"/>
        <v>70.8</v>
      </c>
      <c r="J137" s="595">
        <f ca="1" t="shared" si="73"/>
        <v>53.905021156</v>
      </c>
      <c r="K137" s="595">
        <f>'[6]GFA &amp; Dep-MYT 5th Control'!$E$174</f>
        <v>4.515921614</v>
      </c>
      <c r="L137" s="595">
        <f ca="1" t="shared" si="102"/>
        <v>0</v>
      </c>
      <c r="M137" s="595">
        <f ca="1" t="shared" si="99"/>
        <v>58.42094277</v>
      </c>
      <c r="N137" s="595">
        <f ca="1" t="shared" si="100"/>
        <v>16.894978844</v>
      </c>
      <c r="O137" s="595">
        <f ca="1" t="shared" si="101"/>
        <v>12.37905723</v>
      </c>
    </row>
    <row r="138" ht="15" spans="2:15">
      <c r="B138" s="603">
        <v>17</v>
      </c>
      <c r="C138" s="563" t="s">
        <v>807</v>
      </c>
      <c r="D138" s="596"/>
      <c r="E138" s="426"/>
      <c r="F138" s="595">
        <f ca="1" t="shared" si="64"/>
        <v>0</v>
      </c>
      <c r="G138" s="595">
        <f ca="1" t="shared" si="102"/>
        <v>0</v>
      </c>
      <c r="H138" s="595">
        <f ca="1" t="shared" si="102"/>
        <v>0</v>
      </c>
      <c r="I138" s="595">
        <f ca="1" t="shared" si="98"/>
        <v>0</v>
      </c>
      <c r="J138" s="595">
        <f ca="1" t="shared" si="73"/>
        <v>0</v>
      </c>
      <c r="K138" s="595">
        <f ca="1" t="shared" si="102"/>
        <v>0</v>
      </c>
      <c r="L138" s="595">
        <f ca="1" t="shared" si="102"/>
        <v>0</v>
      </c>
      <c r="M138" s="595">
        <f ca="1" t="shared" si="99"/>
        <v>0</v>
      </c>
      <c r="N138" s="595">
        <f ca="1" t="shared" si="100"/>
        <v>0</v>
      </c>
      <c r="O138" s="595">
        <f ca="1" t="shared" si="101"/>
        <v>0</v>
      </c>
    </row>
    <row r="139" ht="15.75" spans="2:15">
      <c r="B139" s="608"/>
      <c r="C139" s="609" t="s">
        <v>97</v>
      </c>
      <c r="D139" s="609"/>
      <c r="E139" s="610"/>
      <c r="F139" s="611">
        <f ca="1">SUM(F99:F138)</f>
        <v>22956.8993108909</v>
      </c>
      <c r="G139" s="611">
        <f ca="1" t="shared" ref="G139:J139" si="103">SUM(G99:G138)</f>
        <v>4097.21327965625</v>
      </c>
      <c r="H139" s="611">
        <f ca="1" t="shared" si="103"/>
        <v>0</v>
      </c>
      <c r="I139" s="611">
        <f ca="1" t="shared" si="103"/>
        <v>27054.1125905471</v>
      </c>
      <c r="J139" s="611">
        <f ca="1" t="shared" si="103"/>
        <v>11309.9972666003</v>
      </c>
      <c r="K139" s="611">
        <f ca="1" t="shared" ref="K139:O139" si="104">SUM(K99:K138)</f>
        <v>976.900328971313</v>
      </c>
      <c r="L139" s="611">
        <f ca="1" t="shared" si="104"/>
        <v>0</v>
      </c>
      <c r="M139" s="611">
        <f ca="1" t="shared" si="104"/>
        <v>12286.8975955716</v>
      </c>
      <c r="N139" s="611">
        <f ca="1" t="shared" si="104"/>
        <v>11646.9020442906</v>
      </c>
      <c r="O139" s="611">
        <f ca="1" t="shared" si="104"/>
        <v>14767.2149949755</v>
      </c>
    </row>
    <row r="141" ht="15" spans="2:15">
      <c r="B141" s="584" t="s">
        <v>654</v>
      </c>
      <c r="C141" s="585"/>
      <c r="D141" s="585"/>
      <c r="E141" s="585"/>
      <c r="F141" s="585"/>
      <c r="G141" s="585"/>
      <c r="H141" s="585"/>
      <c r="I141" s="585"/>
      <c r="J141" s="585"/>
      <c r="K141" s="585"/>
      <c r="L141" s="585"/>
      <c r="M141" s="585"/>
      <c r="N141" s="585"/>
      <c r="O141" s="605"/>
    </row>
    <row r="142" ht="14.1" customHeight="1" spans="2:15">
      <c r="B142" s="586" t="s">
        <v>564</v>
      </c>
      <c r="C142" s="979" t="s">
        <v>671</v>
      </c>
      <c r="D142" s="588" t="s">
        <v>672</v>
      </c>
      <c r="E142" s="588" t="s">
        <v>673</v>
      </c>
      <c r="F142" s="588" t="s">
        <v>674</v>
      </c>
      <c r="G142" s="588"/>
      <c r="H142" s="588"/>
      <c r="I142" s="588"/>
      <c r="J142" s="588" t="s">
        <v>675</v>
      </c>
      <c r="K142" s="588"/>
      <c r="L142" s="588"/>
      <c r="M142" s="588"/>
      <c r="N142" s="588" t="s">
        <v>676</v>
      </c>
      <c r="O142" s="606"/>
    </row>
    <row r="143" ht="60.75" spans="2:15">
      <c r="B143" s="589"/>
      <c r="C143" s="590"/>
      <c r="D143" s="591"/>
      <c r="E143" s="591"/>
      <c r="F143" s="591" t="s">
        <v>677</v>
      </c>
      <c r="G143" s="591" t="s">
        <v>678</v>
      </c>
      <c r="H143" s="591" t="s">
        <v>679</v>
      </c>
      <c r="I143" s="591" t="s">
        <v>680</v>
      </c>
      <c r="J143" s="591" t="s">
        <v>681</v>
      </c>
      <c r="K143" s="591" t="s">
        <v>678</v>
      </c>
      <c r="L143" s="591" t="s">
        <v>682</v>
      </c>
      <c r="M143" s="591" t="s">
        <v>683</v>
      </c>
      <c r="N143" s="591" t="s">
        <v>677</v>
      </c>
      <c r="O143" s="607" t="s">
        <v>680</v>
      </c>
    </row>
    <row r="144" ht="15" spans="2:15">
      <c r="B144" s="592">
        <v>1</v>
      </c>
      <c r="C144" s="575" t="s">
        <v>684</v>
      </c>
      <c r="D144" s="593"/>
      <c r="E144" s="594"/>
      <c r="F144" s="595">
        <f ca="1">I99</f>
        <v>83.809156805387</v>
      </c>
      <c r="G144" s="595">
        <f>'[6]GFA &amp; Dep-MYT 5th Control'!$N$39</f>
        <v>61.2697022591499</v>
      </c>
      <c r="H144" s="595">
        <f ca="1" t="shared" ref="H144:L144" si="105">H461+H778</f>
        <v>0</v>
      </c>
      <c r="I144" s="595">
        <f ca="1">F144+G144-H144</f>
        <v>145.078859064537</v>
      </c>
      <c r="J144" s="595">
        <f ca="1">M99</f>
        <v>0.00489906200000156</v>
      </c>
      <c r="K144" s="595">
        <f>'[6]GFA &amp; Dep-MYT 5th Control'!$F$172</f>
        <v>0</v>
      </c>
      <c r="L144" s="595">
        <f ca="1" t="shared" si="105"/>
        <v>0</v>
      </c>
      <c r="M144" s="595">
        <f ca="1">J144+K144-L144</f>
        <v>0.00489906200000156</v>
      </c>
      <c r="N144" s="595">
        <f ca="1">F144-J144</f>
        <v>83.804257743387</v>
      </c>
      <c r="O144" s="595">
        <f ca="1" t="shared" ref="O144:O145" si="106">I144-M144</f>
        <v>145.073960002537</v>
      </c>
    </row>
    <row r="145" ht="15" spans="2:15">
      <c r="B145" s="592">
        <v>2</v>
      </c>
      <c r="C145" s="575" t="s">
        <v>770</v>
      </c>
      <c r="D145" s="596"/>
      <c r="E145" s="597"/>
      <c r="F145" s="595">
        <f ca="1" t="shared" ref="F145:F183" si="107">I100</f>
        <v>0</v>
      </c>
      <c r="G145" s="595">
        <f ca="1" t="shared" ref="G145:L145" si="108">G462+G779</f>
        <v>0</v>
      </c>
      <c r="H145" s="595">
        <f ca="1" t="shared" si="108"/>
        <v>0</v>
      </c>
      <c r="I145" s="595">
        <f ca="1">F145+G145-H145</f>
        <v>0</v>
      </c>
      <c r="J145" s="595">
        <f ca="1" t="shared" ref="J145:J183" si="109">M100</f>
        <v>0</v>
      </c>
      <c r="K145" s="595">
        <f ca="1" t="shared" si="108"/>
        <v>0</v>
      </c>
      <c r="L145" s="595">
        <f ca="1" t="shared" si="108"/>
        <v>0</v>
      </c>
      <c r="M145" s="595">
        <f ca="1">J145+K145-L145</f>
        <v>0</v>
      </c>
      <c r="N145" s="595">
        <f ca="1">F145-J145</f>
        <v>0</v>
      </c>
      <c r="O145" s="595">
        <f ca="1" t="shared" si="106"/>
        <v>0</v>
      </c>
    </row>
    <row r="146" ht="15" spans="2:15">
      <c r="B146" s="592">
        <v>3</v>
      </c>
      <c r="C146" s="577" t="s">
        <v>771</v>
      </c>
      <c r="D146" s="596"/>
      <c r="E146" s="459"/>
      <c r="F146" s="595">
        <f t="shared" si="107"/>
        <v>0</v>
      </c>
      <c r="G146" s="595"/>
      <c r="H146" s="595"/>
      <c r="I146" s="595"/>
      <c r="J146" s="595">
        <f t="shared" si="109"/>
        <v>0</v>
      </c>
      <c r="K146" s="595"/>
      <c r="L146" s="595"/>
      <c r="M146" s="595"/>
      <c r="N146" s="595"/>
      <c r="O146" s="595"/>
    </row>
    <row r="147" ht="15" spans="2:15">
      <c r="B147" s="592"/>
      <c r="C147" s="598" t="s">
        <v>772</v>
      </c>
      <c r="D147" s="596"/>
      <c r="E147" s="459"/>
      <c r="F147" s="595">
        <f ca="1" t="shared" si="107"/>
        <v>444.26962202967</v>
      </c>
      <c r="G147" s="595">
        <f>'[6]GFA &amp; Dep-MYT 5th Control'!$N$38</f>
        <v>57.0968156026503</v>
      </c>
      <c r="H147" s="595">
        <f ca="1" t="shared" ref="H147:L147" si="110">H464+H781</f>
        <v>0</v>
      </c>
      <c r="I147" s="595">
        <f ca="1">F147+G147-H147</f>
        <v>501.366437632321</v>
      </c>
      <c r="J147" s="595">
        <f ca="1" t="shared" si="109"/>
        <v>159.603173818233</v>
      </c>
      <c r="K147" s="595">
        <f>'[6]GFA &amp; Dep-MYT 5th Control'!$F$173</f>
        <v>19.6846249405875</v>
      </c>
      <c r="L147" s="595">
        <f ca="1" t="shared" si="110"/>
        <v>0</v>
      </c>
      <c r="M147" s="595">
        <f ca="1">J147+K147-L147</f>
        <v>179.287798758821</v>
      </c>
      <c r="N147" s="595">
        <f ca="1" t="shared" ref="N147:N150" si="111">F147-J147</f>
        <v>284.666448211437</v>
      </c>
      <c r="O147" s="595">
        <f ca="1" t="shared" ref="O147:O150" si="112">I147-M147</f>
        <v>322.0786388735</v>
      </c>
    </row>
    <row r="148" ht="28.5" spans="2:15">
      <c r="B148" s="592"/>
      <c r="C148" s="598" t="s">
        <v>773</v>
      </c>
      <c r="D148" s="596"/>
      <c r="E148" s="459"/>
      <c r="F148" s="595">
        <f ca="1" t="shared" si="107"/>
        <v>0</v>
      </c>
      <c r="G148" s="595">
        <f ca="1" t="shared" ref="G148:L150" si="113">G465+G782</f>
        <v>0</v>
      </c>
      <c r="H148" s="595">
        <f ca="1" t="shared" si="113"/>
        <v>0</v>
      </c>
      <c r="I148" s="595">
        <f ca="1">F148+G148-H148</f>
        <v>0</v>
      </c>
      <c r="J148" s="595">
        <f ca="1" t="shared" si="109"/>
        <v>0</v>
      </c>
      <c r="K148" s="595">
        <f ca="1" t="shared" si="113"/>
        <v>0</v>
      </c>
      <c r="L148" s="595">
        <f ca="1" t="shared" si="113"/>
        <v>0</v>
      </c>
      <c r="M148" s="595">
        <f ca="1">J148+K148-L148</f>
        <v>0</v>
      </c>
      <c r="N148" s="595">
        <f ca="1" t="shared" si="111"/>
        <v>0</v>
      </c>
      <c r="O148" s="595">
        <f ca="1" t="shared" si="112"/>
        <v>0</v>
      </c>
    </row>
    <row r="149" ht="15" spans="2:15">
      <c r="B149" s="592"/>
      <c r="C149" s="598" t="s">
        <v>774</v>
      </c>
      <c r="D149" s="596"/>
      <c r="E149" s="459"/>
      <c r="F149" s="595">
        <f ca="1" t="shared" si="107"/>
        <v>0</v>
      </c>
      <c r="G149" s="595">
        <f ca="1" t="shared" si="113"/>
        <v>0</v>
      </c>
      <c r="H149" s="595">
        <f ca="1" t="shared" si="113"/>
        <v>0</v>
      </c>
      <c r="I149" s="595">
        <f ca="1">F149+G149-H149</f>
        <v>0</v>
      </c>
      <c r="J149" s="595">
        <f ca="1" t="shared" si="109"/>
        <v>0</v>
      </c>
      <c r="K149" s="595">
        <f ca="1" t="shared" si="113"/>
        <v>0</v>
      </c>
      <c r="L149" s="595">
        <f ca="1" t="shared" si="113"/>
        <v>0</v>
      </c>
      <c r="M149" s="595">
        <f ca="1">J149+K149-L149</f>
        <v>0</v>
      </c>
      <c r="N149" s="595">
        <f ca="1" t="shared" si="111"/>
        <v>0</v>
      </c>
      <c r="O149" s="595">
        <f ca="1" t="shared" si="112"/>
        <v>0</v>
      </c>
    </row>
    <row r="150" ht="15" spans="2:15">
      <c r="B150" s="592"/>
      <c r="C150" s="598" t="s">
        <v>775</v>
      </c>
      <c r="D150" s="596"/>
      <c r="E150" s="459"/>
      <c r="F150" s="595">
        <f ca="1" t="shared" si="107"/>
        <v>221.08</v>
      </c>
      <c r="G150" s="595">
        <f ca="1" t="shared" si="113"/>
        <v>0</v>
      </c>
      <c r="H150" s="595">
        <f ca="1" t="shared" si="113"/>
        <v>0</v>
      </c>
      <c r="I150" s="595">
        <f ca="1">F150+G150-H150</f>
        <v>221.08</v>
      </c>
      <c r="J150" s="595">
        <f ca="1" t="shared" si="109"/>
        <v>44.413445081</v>
      </c>
      <c r="K150" s="595">
        <f>'[6]GFA &amp; Dep-MYT 5th Control'!$F$176</f>
        <v>0</v>
      </c>
      <c r="L150" s="595">
        <f ca="1" t="shared" si="113"/>
        <v>0</v>
      </c>
      <c r="M150" s="595">
        <f ca="1">J150+K150-L150</f>
        <v>44.413445081</v>
      </c>
      <c r="N150" s="595">
        <f ca="1" t="shared" si="111"/>
        <v>176.666554919</v>
      </c>
      <c r="O150" s="595">
        <f ca="1" t="shared" si="112"/>
        <v>176.666554919</v>
      </c>
    </row>
    <row r="151" ht="15" spans="2:15">
      <c r="B151" s="592">
        <v>4</v>
      </c>
      <c r="C151" s="575" t="s">
        <v>776</v>
      </c>
      <c r="D151" s="596"/>
      <c r="E151" s="459"/>
      <c r="F151" s="595">
        <f t="shared" si="107"/>
        <v>0</v>
      </c>
      <c r="G151" s="595"/>
      <c r="H151" s="595"/>
      <c r="I151" s="595"/>
      <c r="J151" s="595">
        <f t="shared" si="109"/>
        <v>0</v>
      </c>
      <c r="K151" s="595"/>
      <c r="L151" s="595"/>
      <c r="M151" s="595"/>
      <c r="N151" s="595"/>
      <c r="O151" s="595"/>
    </row>
    <row r="152" ht="15" spans="2:15">
      <c r="B152" s="592"/>
      <c r="C152" s="599" t="s">
        <v>777</v>
      </c>
      <c r="D152" s="596"/>
      <c r="E152" s="459"/>
      <c r="F152" s="595">
        <f ca="1" t="shared" si="107"/>
        <v>10660.9787333248</v>
      </c>
      <c r="G152" s="595">
        <f>'[6]GFA &amp; Dep-MYT 5th Control'!$N$34</f>
        <v>1364.54278992094</v>
      </c>
      <c r="H152" s="595">
        <f ca="1" t="shared" ref="H152:L152" si="114">H469+H786</f>
        <v>0</v>
      </c>
      <c r="I152" s="595">
        <f ca="1">F152+G152-H152</f>
        <v>12025.5215232457</v>
      </c>
      <c r="J152" s="595">
        <f ca="1" t="shared" si="109"/>
        <v>5494.25073902103</v>
      </c>
      <c r="K152" s="595">
        <f>SUM('[6]GFA &amp; Dep-MYT 5th Control'!$F$178:$F$180)</f>
        <v>418.320935263111</v>
      </c>
      <c r="L152" s="595">
        <f ca="1" t="shared" si="114"/>
        <v>0</v>
      </c>
      <c r="M152" s="595">
        <f ca="1">J152+K152-L152</f>
        <v>5912.57167428414</v>
      </c>
      <c r="N152" s="595">
        <f ca="1">F152-J152</f>
        <v>5166.72799430373</v>
      </c>
      <c r="O152" s="595">
        <f ca="1" t="shared" ref="O152" si="115">I152-M152</f>
        <v>6112.94984896156</v>
      </c>
    </row>
    <row r="153" ht="15" spans="2:15">
      <c r="B153" s="592"/>
      <c r="C153" s="575" t="s">
        <v>778</v>
      </c>
      <c r="D153" s="596"/>
      <c r="E153" s="459"/>
      <c r="F153" s="595">
        <f t="shared" si="107"/>
        <v>0</v>
      </c>
      <c r="G153" s="595"/>
      <c r="H153" s="595"/>
      <c r="I153" s="595"/>
      <c r="J153" s="595">
        <f t="shared" si="109"/>
        <v>0</v>
      </c>
      <c r="K153" s="595"/>
      <c r="L153" s="595"/>
      <c r="M153" s="595"/>
      <c r="N153" s="595"/>
      <c r="O153" s="595"/>
    </row>
    <row r="154" ht="15" spans="2:15">
      <c r="B154" s="592"/>
      <c r="C154" s="599" t="s">
        <v>779</v>
      </c>
      <c r="D154" s="596"/>
      <c r="E154" s="459"/>
      <c r="F154" s="595">
        <f ca="1" t="shared" si="107"/>
        <v>0</v>
      </c>
      <c r="G154" s="595">
        <f ca="1" t="shared" ref="G154:L155" si="116">G471+G788</f>
        <v>0</v>
      </c>
      <c r="H154" s="595">
        <f ca="1" t="shared" si="116"/>
        <v>0</v>
      </c>
      <c r="I154" s="595">
        <f ca="1" t="shared" ref="I154:I155" si="117">F154+G154-H154</f>
        <v>0</v>
      </c>
      <c r="J154" s="595">
        <f ca="1" t="shared" si="109"/>
        <v>0</v>
      </c>
      <c r="K154" s="595">
        <f ca="1" t="shared" si="116"/>
        <v>0</v>
      </c>
      <c r="L154" s="595">
        <f ca="1" t="shared" si="116"/>
        <v>0</v>
      </c>
      <c r="M154" s="595">
        <f ca="1">J154+K154-L154</f>
        <v>0</v>
      </c>
      <c r="N154" s="595">
        <f ca="1" t="shared" ref="N154:N155" si="118">F154-J154</f>
        <v>0</v>
      </c>
      <c r="O154" s="595">
        <f ca="1" t="shared" ref="O154:O155" si="119">I154-M154</f>
        <v>0</v>
      </c>
    </row>
    <row r="155" ht="15" spans="2:15">
      <c r="B155" s="592"/>
      <c r="C155" s="599" t="s">
        <v>780</v>
      </c>
      <c r="D155" s="596"/>
      <c r="E155" s="459"/>
      <c r="F155" s="595">
        <f ca="1" t="shared" si="107"/>
        <v>0</v>
      </c>
      <c r="G155" s="595">
        <f ca="1" t="shared" si="116"/>
        <v>0</v>
      </c>
      <c r="H155" s="595">
        <f ca="1" t="shared" si="116"/>
        <v>0</v>
      </c>
      <c r="I155" s="595">
        <f ca="1" t="shared" si="117"/>
        <v>0</v>
      </c>
      <c r="J155" s="595">
        <f ca="1" t="shared" si="109"/>
        <v>0</v>
      </c>
      <c r="K155" s="595">
        <f ca="1" t="shared" si="116"/>
        <v>0</v>
      </c>
      <c r="L155" s="595">
        <f ca="1" t="shared" si="116"/>
        <v>0</v>
      </c>
      <c r="M155" s="595">
        <f ca="1">J155+K155-L155</f>
        <v>0</v>
      </c>
      <c r="N155" s="595">
        <f ca="1" t="shared" si="118"/>
        <v>0</v>
      </c>
      <c r="O155" s="595">
        <f ca="1" t="shared" si="119"/>
        <v>0</v>
      </c>
    </row>
    <row r="156" ht="15" spans="2:15">
      <c r="B156" s="592">
        <v>5</v>
      </c>
      <c r="C156" s="575" t="s">
        <v>781</v>
      </c>
      <c r="D156" s="596"/>
      <c r="E156" s="459"/>
      <c r="F156" s="595">
        <f t="shared" si="107"/>
        <v>0</v>
      </c>
      <c r="G156" s="600"/>
      <c r="H156" s="600"/>
      <c r="I156" s="600"/>
      <c r="J156" s="595">
        <f t="shared" si="109"/>
        <v>0</v>
      </c>
      <c r="K156" s="600"/>
      <c r="L156" s="600"/>
      <c r="M156" s="600"/>
      <c r="N156" s="600"/>
      <c r="O156" s="600"/>
    </row>
    <row r="157" ht="15" spans="2:15">
      <c r="B157" s="592"/>
      <c r="C157" s="599" t="s">
        <v>782</v>
      </c>
      <c r="D157" s="596"/>
      <c r="E157" s="459"/>
      <c r="F157" s="595">
        <f ca="1" t="shared" si="107"/>
        <v>0</v>
      </c>
      <c r="G157" s="595">
        <f ca="1" t="shared" ref="G157:L162" si="120">G474+G791</f>
        <v>0</v>
      </c>
      <c r="H157" s="595">
        <f ca="1" t="shared" si="120"/>
        <v>0</v>
      </c>
      <c r="I157" s="595">
        <f ca="1" t="shared" ref="I157:I162" si="121">F157+G157-H157</f>
        <v>0</v>
      </c>
      <c r="J157" s="595">
        <f ca="1" t="shared" si="109"/>
        <v>0</v>
      </c>
      <c r="K157" s="595">
        <f ca="1" t="shared" si="120"/>
        <v>0</v>
      </c>
      <c r="L157" s="595">
        <f ca="1" t="shared" si="120"/>
        <v>0</v>
      </c>
      <c r="M157" s="595">
        <f ca="1" t="shared" ref="M157:M162" si="122">J157+K157-L157</f>
        <v>0</v>
      </c>
      <c r="N157" s="595">
        <f ca="1" t="shared" ref="N157:N162" si="123">F157-J157</f>
        <v>0</v>
      </c>
      <c r="O157" s="595">
        <f ca="1" t="shared" ref="O157:O162" si="124">I157-M157</f>
        <v>0</v>
      </c>
    </row>
    <row r="158" ht="15" spans="2:15">
      <c r="B158" s="592"/>
      <c r="C158" s="599" t="s">
        <v>783</v>
      </c>
      <c r="D158" s="596"/>
      <c r="E158" s="459"/>
      <c r="F158" s="595">
        <f ca="1" t="shared" si="107"/>
        <v>0</v>
      </c>
      <c r="G158" s="595">
        <f ca="1" t="shared" si="120"/>
        <v>0</v>
      </c>
      <c r="H158" s="595">
        <f ca="1" t="shared" si="120"/>
        <v>0</v>
      </c>
      <c r="I158" s="595">
        <f ca="1" t="shared" si="121"/>
        <v>0</v>
      </c>
      <c r="J158" s="595">
        <f ca="1" t="shared" si="109"/>
        <v>0</v>
      </c>
      <c r="K158" s="595">
        <f ca="1" t="shared" si="120"/>
        <v>0</v>
      </c>
      <c r="L158" s="595">
        <f ca="1" t="shared" si="120"/>
        <v>0</v>
      </c>
      <c r="M158" s="595">
        <f ca="1" t="shared" si="122"/>
        <v>0</v>
      </c>
      <c r="N158" s="595">
        <f ca="1" t="shared" si="123"/>
        <v>0</v>
      </c>
      <c r="O158" s="595">
        <f ca="1" t="shared" si="124"/>
        <v>0</v>
      </c>
    </row>
    <row r="159" ht="15" spans="2:15">
      <c r="B159" s="592"/>
      <c r="C159" s="599" t="s">
        <v>784</v>
      </c>
      <c r="D159" s="596"/>
      <c r="E159" s="459"/>
      <c r="F159" s="595">
        <f ca="1" t="shared" si="107"/>
        <v>0</v>
      </c>
      <c r="G159" s="595">
        <f ca="1" t="shared" si="120"/>
        <v>0</v>
      </c>
      <c r="H159" s="595">
        <f ca="1" t="shared" si="120"/>
        <v>0</v>
      </c>
      <c r="I159" s="595">
        <f ca="1" t="shared" si="121"/>
        <v>0</v>
      </c>
      <c r="J159" s="595">
        <f ca="1" t="shared" si="109"/>
        <v>0</v>
      </c>
      <c r="K159" s="595">
        <f ca="1" t="shared" si="120"/>
        <v>0</v>
      </c>
      <c r="L159" s="595">
        <f ca="1" t="shared" si="120"/>
        <v>0</v>
      </c>
      <c r="M159" s="595">
        <f ca="1" t="shared" si="122"/>
        <v>0</v>
      </c>
      <c r="N159" s="595">
        <f ca="1" t="shared" si="123"/>
        <v>0</v>
      </c>
      <c r="O159" s="595">
        <f ca="1" t="shared" si="124"/>
        <v>0</v>
      </c>
    </row>
    <row r="160" ht="15" spans="2:15">
      <c r="B160" s="592"/>
      <c r="C160" s="599" t="s">
        <v>785</v>
      </c>
      <c r="D160" s="596"/>
      <c r="E160" s="459"/>
      <c r="F160" s="595">
        <f ca="1" t="shared" si="107"/>
        <v>0</v>
      </c>
      <c r="G160" s="595">
        <f ca="1" t="shared" si="120"/>
        <v>0</v>
      </c>
      <c r="H160" s="595">
        <f ca="1" t="shared" si="120"/>
        <v>0</v>
      </c>
      <c r="I160" s="595">
        <f ca="1" t="shared" si="121"/>
        <v>0</v>
      </c>
      <c r="J160" s="595">
        <f ca="1" t="shared" si="109"/>
        <v>0</v>
      </c>
      <c r="K160" s="595">
        <f ca="1" t="shared" si="120"/>
        <v>0</v>
      </c>
      <c r="L160" s="595">
        <f ca="1" t="shared" si="120"/>
        <v>0</v>
      </c>
      <c r="M160" s="595">
        <f ca="1" t="shared" si="122"/>
        <v>0</v>
      </c>
      <c r="N160" s="595">
        <f ca="1" t="shared" si="123"/>
        <v>0</v>
      </c>
      <c r="O160" s="595">
        <f ca="1" t="shared" si="124"/>
        <v>0</v>
      </c>
    </row>
    <row r="161" ht="15" spans="2:15">
      <c r="B161" s="592">
        <v>6</v>
      </c>
      <c r="C161" s="575" t="s">
        <v>786</v>
      </c>
      <c r="D161" s="596"/>
      <c r="E161" s="459"/>
      <c r="F161" s="595">
        <f ca="1" t="shared" si="107"/>
        <v>0</v>
      </c>
      <c r="G161" s="595">
        <f ca="1" t="shared" si="120"/>
        <v>0</v>
      </c>
      <c r="H161" s="595">
        <f ca="1" t="shared" si="120"/>
        <v>0</v>
      </c>
      <c r="I161" s="595">
        <f ca="1" t="shared" si="121"/>
        <v>0</v>
      </c>
      <c r="J161" s="595">
        <f ca="1" t="shared" si="109"/>
        <v>0</v>
      </c>
      <c r="K161" s="595">
        <f ca="1" t="shared" si="120"/>
        <v>0</v>
      </c>
      <c r="L161" s="595">
        <f ca="1" t="shared" si="120"/>
        <v>0</v>
      </c>
      <c r="M161" s="595">
        <f ca="1" t="shared" si="122"/>
        <v>0</v>
      </c>
      <c r="N161" s="595">
        <f ca="1" t="shared" si="123"/>
        <v>0</v>
      </c>
      <c r="O161" s="595">
        <f ca="1" t="shared" si="124"/>
        <v>0</v>
      </c>
    </row>
    <row r="162" ht="15" spans="2:15">
      <c r="B162" s="592">
        <v>7</v>
      </c>
      <c r="C162" s="575" t="s">
        <v>787</v>
      </c>
      <c r="D162" s="596"/>
      <c r="E162" s="459"/>
      <c r="F162" s="595">
        <f ca="1" t="shared" si="107"/>
        <v>0</v>
      </c>
      <c r="G162" s="595">
        <f ca="1" t="shared" si="120"/>
        <v>0</v>
      </c>
      <c r="H162" s="595">
        <f ca="1" t="shared" si="120"/>
        <v>0</v>
      </c>
      <c r="I162" s="595">
        <f ca="1" t="shared" si="121"/>
        <v>0</v>
      </c>
      <c r="J162" s="595">
        <f ca="1" t="shared" si="109"/>
        <v>0</v>
      </c>
      <c r="K162" s="595">
        <f ca="1" t="shared" si="120"/>
        <v>0</v>
      </c>
      <c r="L162" s="595">
        <f ca="1" t="shared" si="120"/>
        <v>0</v>
      </c>
      <c r="M162" s="595">
        <f ca="1" t="shared" si="122"/>
        <v>0</v>
      </c>
      <c r="N162" s="595">
        <f ca="1" t="shared" si="123"/>
        <v>0</v>
      </c>
      <c r="O162" s="595">
        <f ca="1" t="shared" si="124"/>
        <v>0</v>
      </c>
    </row>
    <row r="163" ht="15" spans="2:15">
      <c r="B163" s="592">
        <v>8</v>
      </c>
      <c r="C163" s="575" t="s">
        <v>788</v>
      </c>
      <c r="D163" s="596"/>
      <c r="E163" s="459"/>
      <c r="F163" s="595">
        <f t="shared" si="107"/>
        <v>0</v>
      </c>
      <c r="G163" s="595"/>
      <c r="H163" s="595"/>
      <c r="I163" s="595"/>
      <c r="J163" s="595">
        <f t="shared" si="109"/>
        <v>0</v>
      </c>
      <c r="K163" s="595"/>
      <c r="L163" s="595"/>
      <c r="M163" s="595"/>
      <c r="N163" s="595"/>
      <c r="O163" s="595"/>
    </row>
    <row r="164" ht="15" spans="2:15">
      <c r="B164" s="592"/>
      <c r="C164" s="599" t="s">
        <v>789</v>
      </c>
      <c r="D164" s="596"/>
      <c r="E164" s="459"/>
      <c r="F164" s="595">
        <f ca="1" t="shared" si="107"/>
        <v>10568.7362485367</v>
      </c>
      <c r="G164" s="595">
        <f>'[6]GFA &amp; Dep-MYT 5th Control'!$N$35</f>
        <v>1539.41853598674</v>
      </c>
      <c r="H164" s="595">
        <f ca="1" t="shared" ref="H164:L164" si="125">H481+H798</f>
        <v>0</v>
      </c>
      <c r="I164" s="595">
        <f ca="1" t="shared" ref="I164:I168" si="126">F164+G164-H164</f>
        <v>12108.1547845235</v>
      </c>
      <c r="J164" s="595">
        <f ca="1" t="shared" si="109"/>
        <v>4874.82621671469</v>
      </c>
      <c r="K164" s="595">
        <f>SUM('[6]GFA &amp; Dep-MYT 5th Control'!$F$187:$F$189)</f>
        <v>402.069677729778</v>
      </c>
      <c r="L164" s="595">
        <f ca="1" t="shared" si="125"/>
        <v>0</v>
      </c>
      <c r="M164" s="595">
        <f ca="1">J164+K164-L164</f>
        <v>5276.89589444447</v>
      </c>
      <c r="N164" s="595">
        <f ca="1" t="shared" ref="N164:N168" si="127">F164-J164</f>
        <v>5693.91003182205</v>
      </c>
      <c r="O164" s="595">
        <f ca="1" t="shared" ref="O164:O168" si="128">I164-M164</f>
        <v>6831.25889007901</v>
      </c>
    </row>
    <row r="165" ht="15" spans="2:15">
      <c r="B165" s="592"/>
      <c r="C165" s="599" t="s">
        <v>808</v>
      </c>
      <c r="D165" s="596"/>
      <c r="E165" s="459"/>
      <c r="F165" s="595">
        <f ca="1" t="shared" si="107"/>
        <v>0</v>
      </c>
      <c r="G165" s="595">
        <f ca="1" t="shared" ref="G165:L167" si="129">G482+G799</f>
        <v>0</v>
      </c>
      <c r="H165" s="595">
        <f ca="1" t="shared" si="129"/>
        <v>0</v>
      </c>
      <c r="I165" s="595">
        <f ca="1" t="shared" si="126"/>
        <v>0</v>
      </c>
      <c r="J165" s="595">
        <f ca="1" t="shared" si="109"/>
        <v>0</v>
      </c>
      <c r="K165" s="595">
        <f ca="1" t="shared" si="129"/>
        <v>0</v>
      </c>
      <c r="L165" s="595">
        <f ca="1" t="shared" si="129"/>
        <v>0</v>
      </c>
      <c r="M165" s="595">
        <f ca="1">J165+K165-L165</f>
        <v>0</v>
      </c>
      <c r="N165" s="595">
        <f ca="1" t="shared" si="127"/>
        <v>0</v>
      </c>
      <c r="O165" s="595">
        <f ca="1" t="shared" si="128"/>
        <v>0</v>
      </c>
    </row>
    <row r="166" ht="30" spans="2:15">
      <c r="B166" s="601">
        <v>9</v>
      </c>
      <c r="C166" s="602" t="s">
        <v>791</v>
      </c>
      <c r="D166" s="596"/>
      <c r="E166" s="459"/>
      <c r="F166" s="595">
        <f ca="1" t="shared" si="107"/>
        <v>0</v>
      </c>
      <c r="G166" s="595">
        <f ca="1" t="shared" si="129"/>
        <v>0</v>
      </c>
      <c r="H166" s="595">
        <f ca="1" t="shared" si="129"/>
        <v>0</v>
      </c>
      <c r="I166" s="595">
        <f ca="1" t="shared" si="126"/>
        <v>0</v>
      </c>
      <c r="J166" s="595">
        <f ca="1" t="shared" si="109"/>
        <v>0</v>
      </c>
      <c r="K166" s="595">
        <f ca="1" t="shared" si="129"/>
        <v>0</v>
      </c>
      <c r="L166" s="595">
        <f ca="1" t="shared" si="129"/>
        <v>0</v>
      </c>
      <c r="M166" s="595">
        <f ca="1">J166+K166-L166</f>
        <v>0</v>
      </c>
      <c r="N166" s="595">
        <f ca="1" t="shared" si="127"/>
        <v>0</v>
      </c>
      <c r="O166" s="595">
        <f ca="1" t="shared" si="128"/>
        <v>0</v>
      </c>
    </row>
    <row r="167" ht="15" spans="2:15">
      <c r="B167" s="603">
        <v>10</v>
      </c>
      <c r="C167" s="563" t="s">
        <v>792</v>
      </c>
      <c r="D167" s="604"/>
      <c r="E167" s="459"/>
      <c r="F167" s="595">
        <f ca="1" t="shared" si="107"/>
        <v>4723.5718897553</v>
      </c>
      <c r="G167" s="595">
        <f>'[6]GFA &amp; Dep-MYT 5th Control'!$N$36</f>
        <v>2360.70881322019</v>
      </c>
      <c r="H167" s="595">
        <f ca="1" t="shared" si="129"/>
        <v>0</v>
      </c>
      <c r="I167" s="595">
        <f ca="1" t="shared" si="126"/>
        <v>7084.28070297549</v>
      </c>
      <c r="J167" s="595">
        <f ca="1" t="shared" si="109"/>
        <v>1428.18532655809</v>
      </c>
      <c r="K167" s="595">
        <f>'[6]GFA &amp; Dep-MYT 5th Control'!$F$184</f>
        <v>349.705901866762</v>
      </c>
      <c r="L167" s="595">
        <f ca="1" t="shared" si="129"/>
        <v>0</v>
      </c>
      <c r="M167" s="595">
        <f ca="1">J167+K167-L167</f>
        <v>1777.89122842485</v>
      </c>
      <c r="N167" s="595">
        <f ca="1" t="shared" si="127"/>
        <v>3295.38656319721</v>
      </c>
      <c r="O167" s="595">
        <f ca="1" t="shared" si="128"/>
        <v>5306.38947455064</v>
      </c>
    </row>
    <row r="168" ht="15" spans="2:15">
      <c r="B168" s="603">
        <v>11</v>
      </c>
      <c r="C168" s="563" t="s">
        <v>793</v>
      </c>
      <c r="D168" s="604"/>
      <c r="E168" s="459"/>
      <c r="F168" s="595">
        <f ca="1" t="shared" si="107"/>
        <v>7.08</v>
      </c>
      <c r="G168" s="595">
        <f ca="1" t="shared" ref="G168:L168" si="130">G485+G802</f>
        <v>0</v>
      </c>
      <c r="H168" s="595">
        <f ca="1" t="shared" si="130"/>
        <v>0</v>
      </c>
      <c r="I168" s="595">
        <f ca="1" t="shared" si="126"/>
        <v>7.08</v>
      </c>
      <c r="J168" s="595">
        <f ca="1" t="shared" si="109"/>
        <v>6.392199932</v>
      </c>
      <c r="K168" s="595">
        <f>'[6]GFA &amp; Dep-MYT 5th Control'!$F$191</f>
        <v>0</v>
      </c>
      <c r="L168" s="595">
        <f ca="1" t="shared" si="130"/>
        <v>0</v>
      </c>
      <c r="M168" s="595">
        <f ca="1">J168+K168-L168</f>
        <v>6.392199932</v>
      </c>
      <c r="N168" s="595">
        <f ca="1" t="shared" si="127"/>
        <v>0.687800068</v>
      </c>
      <c r="O168" s="595">
        <f ca="1" t="shared" si="128"/>
        <v>0.687800068</v>
      </c>
    </row>
    <row r="169" ht="15" spans="2:15">
      <c r="B169" s="603">
        <v>12</v>
      </c>
      <c r="C169" s="563" t="s">
        <v>794</v>
      </c>
      <c r="D169" s="604"/>
      <c r="E169" s="459"/>
      <c r="F169" s="595">
        <f t="shared" si="107"/>
        <v>0</v>
      </c>
      <c r="G169" s="595"/>
      <c r="H169" s="595"/>
      <c r="I169" s="595"/>
      <c r="J169" s="595">
        <f t="shared" si="109"/>
        <v>0</v>
      </c>
      <c r="K169" s="595"/>
      <c r="L169" s="595"/>
      <c r="M169" s="595"/>
      <c r="N169" s="595"/>
      <c r="O169" s="595"/>
    </row>
    <row r="170" ht="15" spans="2:15">
      <c r="B170" s="603"/>
      <c r="C170" s="565" t="s">
        <v>795</v>
      </c>
      <c r="D170" s="604"/>
      <c r="E170" s="459"/>
      <c r="F170" s="595">
        <f ca="1" t="shared" si="107"/>
        <v>2.6</v>
      </c>
      <c r="G170" s="595">
        <f ca="1" t="shared" ref="G170:L171" si="131">G487+G804</f>
        <v>0</v>
      </c>
      <c r="H170" s="595">
        <f ca="1" t="shared" si="131"/>
        <v>0</v>
      </c>
      <c r="I170" s="595">
        <f ca="1" t="shared" ref="I170:I171" si="132">F170+G170-H170</f>
        <v>2.6</v>
      </c>
      <c r="J170" s="595">
        <f ca="1" t="shared" si="109"/>
        <v>1.701644132</v>
      </c>
      <c r="K170" s="595">
        <f ca="1" t="shared" si="131"/>
        <v>0</v>
      </c>
      <c r="L170" s="595">
        <f ca="1" t="shared" si="131"/>
        <v>0</v>
      </c>
      <c r="M170" s="595">
        <f ca="1">J170+K170-L170</f>
        <v>1.701644132</v>
      </c>
      <c r="N170" s="595">
        <f ca="1" t="shared" ref="N170:N171" si="133">F170-J170</f>
        <v>0.898355868</v>
      </c>
      <c r="O170" s="595">
        <f ca="1" t="shared" ref="O170:O171" si="134">I170-M170</f>
        <v>0.898355868</v>
      </c>
    </row>
    <row r="171" ht="15" spans="2:15">
      <c r="B171" s="603"/>
      <c r="C171" s="565" t="s">
        <v>796</v>
      </c>
      <c r="D171" s="604"/>
      <c r="E171" s="459"/>
      <c r="F171" s="595">
        <f ca="1" t="shared" si="107"/>
        <v>0</v>
      </c>
      <c r="G171" s="595">
        <f ca="1" t="shared" si="131"/>
        <v>0</v>
      </c>
      <c r="H171" s="595">
        <f ca="1" t="shared" si="131"/>
        <v>0</v>
      </c>
      <c r="I171" s="595">
        <f ca="1" t="shared" si="132"/>
        <v>0</v>
      </c>
      <c r="J171" s="595">
        <f ca="1" t="shared" si="109"/>
        <v>0</v>
      </c>
      <c r="K171" s="595">
        <f ca="1" t="shared" si="131"/>
        <v>0</v>
      </c>
      <c r="L171" s="595">
        <f ca="1" t="shared" si="131"/>
        <v>0</v>
      </c>
      <c r="M171" s="595">
        <f ca="1">J171+K171-L171</f>
        <v>0</v>
      </c>
      <c r="N171" s="595">
        <f ca="1" t="shared" si="133"/>
        <v>0</v>
      </c>
      <c r="O171" s="595">
        <f ca="1" t="shared" si="134"/>
        <v>0</v>
      </c>
    </row>
    <row r="172" ht="15" spans="2:15">
      <c r="B172" s="603">
        <v>13</v>
      </c>
      <c r="C172" s="565"/>
      <c r="D172" s="604"/>
      <c r="E172" s="459"/>
      <c r="F172" s="595">
        <f t="shared" si="107"/>
        <v>0</v>
      </c>
      <c r="G172" s="595"/>
      <c r="H172" s="595"/>
      <c r="I172" s="595"/>
      <c r="J172" s="595">
        <f t="shared" si="109"/>
        <v>0</v>
      </c>
      <c r="K172" s="595"/>
      <c r="L172" s="595"/>
      <c r="M172" s="595"/>
      <c r="N172" s="595"/>
      <c r="O172" s="595"/>
    </row>
    <row r="173" ht="15" spans="2:15">
      <c r="B173" s="603"/>
      <c r="C173" s="565" t="s">
        <v>797</v>
      </c>
      <c r="D173" s="604"/>
      <c r="E173" s="459"/>
      <c r="F173" s="595">
        <f ca="1" t="shared" si="107"/>
        <v>17.25</v>
      </c>
      <c r="G173" s="595">
        <f ca="1" t="shared" ref="G173:L174" si="135">G490+G807</f>
        <v>0</v>
      </c>
      <c r="H173" s="595">
        <f ca="1" t="shared" si="135"/>
        <v>0</v>
      </c>
      <c r="I173" s="595">
        <f ca="1" t="shared" ref="I173:I176" si="136">F173+G173-H173</f>
        <v>17.25</v>
      </c>
      <c r="J173" s="595">
        <f ca="1" t="shared" si="109"/>
        <v>12.544191075</v>
      </c>
      <c r="K173" s="595">
        <f>'[6]GFA &amp; Dep-MYT 5th Control'!$F$192</f>
        <v>0.472833391</v>
      </c>
      <c r="L173" s="595">
        <f ca="1" t="shared" si="135"/>
        <v>0</v>
      </c>
      <c r="M173" s="595">
        <f ca="1">J173+K173-L173</f>
        <v>13.017024466</v>
      </c>
      <c r="N173" s="595">
        <f ca="1" t="shared" ref="N173:N176" si="137">F173-J173</f>
        <v>4.705808925</v>
      </c>
      <c r="O173" s="595">
        <f ca="1" t="shared" ref="O173:O176" si="138">I173-M173</f>
        <v>4.232975534</v>
      </c>
    </row>
    <row r="174" ht="15" spans="2:15">
      <c r="B174" s="603"/>
      <c r="C174" s="565" t="s">
        <v>798</v>
      </c>
      <c r="D174" s="604"/>
      <c r="E174" s="459"/>
      <c r="F174" s="595">
        <f ca="1" t="shared" si="107"/>
        <v>51.5838305961932</v>
      </c>
      <c r="G174" s="595">
        <f>'[6]GFA &amp; Dep-MYT 5th Control'!$N$37</f>
        <v>0.174291391834736</v>
      </c>
      <c r="H174" s="595">
        <f ca="1" t="shared" si="135"/>
        <v>0</v>
      </c>
      <c r="I174" s="595">
        <f ca="1" t="shared" si="136"/>
        <v>51.7581219880279</v>
      </c>
      <c r="J174" s="595">
        <f ca="1" t="shared" si="109"/>
        <v>36.3732340977702</v>
      </c>
      <c r="K174" s="595">
        <f>'[6]GFA &amp; Dep-MYT 5th Control'!$F$193</f>
        <v>1.57919280728995</v>
      </c>
      <c r="L174" s="595">
        <f ca="1" t="shared" si="135"/>
        <v>0</v>
      </c>
      <c r="M174" s="595">
        <f ca="1">J174+K174-L174</f>
        <v>37.9524269050602</v>
      </c>
      <c r="N174" s="595">
        <f ca="1" t="shared" si="137"/>
        <v>15.210596498423</v>
      </c>
      <c r="O174" s="595">
        <f ca="1" t="shared" si="138"/>
        <v>13.8056950829677</v>
      </c>
    </row>
    <row r="175" ht="15" spans="2:15">
      <c r="B175" s="603"/>
      <c r="C175" s="565" t="s">
        <v>799</v>
      </c>
      <c r="D175" s="604"/>
      <c r="E175" s="459"/>
      <c r="F175" s="595">
        <f ca="1" t="shared" si="107"/>
        <v>0</v>
      </c>
      <c r="G175" s="595">
        <f ca="1" t="shared" ref="G175:L176" si="139">G492+G809</f>
        <v>0</v>
      </c>
      <c r="H175" s="595">
        <f ca="1" t="shared" si="139"/>
        <v>0</v>
      </c>
      <c r="I175" s="595">
        <f ca="1" t="shared" si="136"/>
        <v>0</v>
      </c>
      <c r="J175" s="595">
        <f ca="1" t="shared" si="109"/>
        <v>0</v>
      </c>
      <c r="K175" s="595">
        <f ca="1" t="shared" si="139"/>
        <v>0</v>
      </c>
      <c r="L175" s="595">
        <f ca="1" t="shared" si="139"/>
        <v>0</v>
      </c>
      <c r="M175" s="595">
        <f ca="1">J175+K175-L175</f>
        <v>0</v>
      </c>
      <c r="N175" s="595">
        <f ca="1" t="shared" si="137"/>
        <v>0</v>
      </c>
      <c r="O175" s="595">
        <f ca="1" t="shared" si="138"/>
        <v>0</v>
      </c>
    </row>
    <row r="176" ht="15" spans="2:15">
      <c r="B176" s="603"/>
      <c r="C176" s="565" t="s">
        <v>800</v>
      </c>
      <c r="D176" s="604"/>
      <c r="E176" s="459"/>
      <c r="F176" s="595">
        <f ca="1" t="shared" si="107"/>
        <v>0</v>
      </c>
      <c r="G176" s="595">
        <f ca="1" t="shared" si="139"/>
        <v>0</v>
      </c>
      <c r="H176" s="595">
        <f ca="1" t="shared" si="139"/>
        <v>0</v>
      </c>
      <c r="I176" s="595">
        <f ca="1" t="shared" si="136"/>
        <v>0</v>
      </c>
      <c r="J176" s="595">
        <f ca="1" t="shared" si="109"/>
        <v>0</v>
      </c>
      <c r="K176" s="595">
        <f ca="1" t="shared" si="139"/>
        <v>0</v>
      </c>
      <c r="L176" s="595">
        <f ca="1" t="shared" si="139"/>
        <v>0</v>
      </c>
      <c r="M176" s="595">
        <f ca="1">J176+K176-L176</f>
        <v>0</v>
      </c>
      <c r="N176" s="595">
        <f ca="1" t="shared" si="137"/>
        <v>0</v>
      </c>
      <c r="O176" s="595">
        <f ca="1" t="shared" si="138"/>
        <v>0</v>
      </c>
    </row>
    <row r="177" ht="15" spans="2:15">
      <c r="B177" s="603">
        <v>14</v>
      </c>
      <c r="C177" s="563" t="s">
        <v>801</v>
      </c>
      <c r="D177" s="604"/>
      <c r="E177" s="459"/>
      <c r="F177" s="595">
        <f t="shared" si="107"/>
        <v>0</v>
      </c>
      <c r="G177" s="595"/>
      <c r="H177" s="595"/>
      <c r="I177" s="595"/>
      <c r="J177" s="595">
        <f t="shared" si="109"/>
        <v>0</v>
      </c>
      <c r="K177" s="595"/>
      <c r="L177" s="595"/>
      <c r="M177" s="595"/>
      <c r="N177" s="595"/>
      <c r="O177" s="595"/>
    </row>
    <row r="178" ht="15" spans="2:15">
      <c r="B178" s="603"/>
      <c r="C178" s="565" t="s">
        <v>802</v>
      </c>
      <c r="D178" s="604"/>
      <c r="E178" s="459"/>
      <c r="F178" s="595">
        <f ca="1" t="shared" si="107"/>
        <v>0</v>
      </c>
      <c r="G178" s="595">
        <f ca="1" t="shared" ref="G178:L181" si="140">G495+G812</f>
        <v>0</v>
      </c>
      <c r="H178" s="595">
        <f ca="1" t="shared" si="140"/>
        <v>0</v>
      </c>
      <c r="I178" s="595">
        <f ca="1" t="shared" ref="I178:I183" si="141">F178+G178-H178</f>
        <v>0</v>
      </c>
      <c r="J178" s="595">
        <f ca="1" t="shared" si="109"/>
        <v>0</v>
      </c>
      <c r="K178" s="595">
        <f ca="1" t="shared" si="140"/>
        <v>0</v>
      </c>
      <c r="L178" s="595">
        <f ca="1" t="shared" si="140"/>
        <v>0</v>
      </c>
      <c r="M178" s="595">
        <f ca="1" t="shared" ref="M178:M183" si="142">J178+K178-L178</f>
        <v>0</v>
      </c>
      <c r="N178" s="595">
        <f ca="1" t="shared" ref="N178:N183" si="143">F178-J178</f>
        <v>0</v>
      </c>
      <c r="O178" s="595">
        <f ca="1" t="shared" ref="O178:O183" si="144">I178-M178</f>
        <v>0</v>
      </c>
    </row>
    <row r="179" ht="15" spans="2:15">
      <c r="B179" s="603"/>
      <c r="C179" s="565" t="s">
        <v>803</v>
      </c>
      <c r="D179" s="604"/>
      <c r="E179" s="459"/>
      <c r="F179" s="595">
        <f ca="1" t="shared" si="107"/>
        <v>0</v>
      </c>
      <c r="G179" s="595">
        <f ca="1" t="shared" si="140"/>
        <v>0</v>
      </c>
      <c r="H179" s="595">
        <f ca="1" t="shared" si="140"/>
        <v>0</v>
      </c>
      <c r="I179" s="595">
        <f ca="1" t="shared" si="141"/>
        <v>0</v>
      </c>
      <c r="J179" s="595">
        <f ca="1" t="shared" si="109"/>
        <v>0</v>
      </c>
      <c r="K179" s="595">
        <f ca="1" t="shared" si="140"/>
        <v>0</v>
      </c>
      <c r="L179" s="595">
        <f ca="1" t="shared" si="140"/>
        <v>0</v>
      </c>
      <c r="M179" s="595">
        <f ca="1" t="shared" si="142"/>
        <v>0</v>
      </c>
      <c r="N179" s="595">
        <f ca="1" t="shared" si="143"/>
        <v>0</v>
      </c>
      <c r="O179" s="595">
        <f ca="1" t="shared" si="144"/>
        <v>0</v>
      </c>
    </row>
    <row r="180" ht="15" spans="2:15">
      <c r="B180" s="603"/>
      <c r="C180" s="565" t="s">
        <v>804</v>
      </c>
      <c r="D180" s="604"/>
      <c r="E180" s="459"/>
      <c r="F180" s="595">
        <f ca="1" t="shared" si="107"/>
        <v>0</v>
      </c>
      <c r="G180" s="595">
        <f ca="1" t="shared" si="140"/>
        <v>0</v>
      </c>
      <c r="H180" s="595">
        <f ca="1" t="shared" si="140"/>
        <v>0</v>
      </c>
      <c r="I180" s="595">
        <f ca="1" t="shared" si="141"/>
        <v>0</v>
      </c>
      <c r="J180" s="595">
        <f ca="1" t="shared" si="109"/>
        <v>0</v>
      </c>
      <c r="K180" s="595">
        <f ca="1" t="shared" si="140"/>
        <v>0</v>
      </c>
      <c r="L180" s="595">
        <f ca="1" t="shared" si="140"/>
        <v>0</v>
      </c>
      <c r="M180" s="595">
        <f ca="1" t="shared" si="142"/>
        <v>0</v>
      </c>
      <c r="N180" s="595">
        <f ca="1" t="shared" si="143"/>
        <v>0</v>
      </c>
      <c r="O180" s="595">
        <f ca="1" t="shared" si="144"/>
        <v>0</v>
      </c>
    </row>
    <row r="181" ht="15" spans="2:15">
      <c r="B181" s="603">
        <v>15</v>
      </c>
      <c r="C181" s="563" t="s">
        <v>805</v>
      </c>
      <c r="D181" s="604"/>
      <c r="E181" s="459"/>
      <c r="F181" s="595">
        <f ca="1" t="shared" si="107"/>
        <v>202.353109499076</v>
      </c>
      <c r="G181" s="595">
        <f>'[6]GFA &amp; Dep-MYT 5th Control'!$N$40</f>
        <v>13.6879122068314</v>
      </c>
      <c r="H181" s="595">
        <f ca="1" t="shared" si="140"/>
        <v>0</v>
      </c>
      <c r="I181" s="595">
        <f ca="1" t="shared" si="141"/>
        <v>216.041021705907</v>
      </c>
      <c r="J181" s="595">
        <f ca="1" t="shared" si="109"/>
        <v>170.181583309825</v>
      </c>
      <c r="K181" s="595">
        <f>'[6]GFA &amp; Dep-MYT 5th Control'!$F$195</f>
        <v>9.11531378037373</v>
      </c>
      <c r="L181" s="595">
        <f ca="1" t="shared" si="140"/>
        <v>0</v>
      </c>
      <c r="M181" s="595">
        <f ca="1" t="shared" si="142"/>
        <v>179.296897090199</v>
      </c>
      <c r="N181" s="595">
        <f ca="1" t="shared" si="143"/>
        <v>32.1715261892503</v>
      </c>
      <c r="O181" s="595">
        <f ca="1" t="shared" si="144"/>
        <v>36.744124615708</v>
      </c>
    </row>
    <row r="182" ht="15" spans="2:15">
      <c r="B182" s="603">
        <v>16</v>
      </c>
      <c r="C182" s="563" t="s">
        <v>806</v>
      </c>
      <c r="D182" s="596"/>
      <c r="E182" s="459"/>
      <c r="F182" s="595">
        <f ca="1" t="shared" si="107"/>
        <v>70.8</v>
      </c>
      <c r="G182" s="595">
        <f ca="1" t="shared" ref="G182:L183" si="145">G499+G816</f>
        <v>0</v>
      </c>
      <c r="H182" s="595">
        <f ca="1" t="shared" si="145"/>
        <v>0</v>
      </c>
      <c r="I182" s="595">
        <f ca="1" t="shared" si="141"/>
        <v>70.8</v>
      </c>
      <c r="J182" s="595">
        <f ca="1" t="shared" si="109"/>
        <v>58.42094277</v>
      </c>
      <c r="K182" s="595">
        <f ca="1" t="shared" si="145"/>
        <v>0</v>
      </c>
      <c r="L182" s="595">
        <f ca="1" t="shared" si="145"/>
        <v>0</v>
      </c>
      <c r="M182" s="595">
        <f ca="1" t="shared" si="142"/>
        <v>58.42094277</v>
      </c>
      <c r="N182" s="595">
        <f ca="1" t="shared" si="143"/>
        <v>12.37905723</v>
      </c>
      <c r="O182" s="595">
        <f ca="1" t="shared" si="144"/>
        <v>12.37905723</v>
      </c>
    </row>
    <row r="183" ht="15" spans="2:15">
      <c r="B183" s="603">
        <v>17</v>
      </c>
      <c r="C183" s="563" t="s">
        <v>807</v>
      </c>
      <c r="D183" s="596"/>
      <c r="E183" s="426"/>
      <c r="F183" s="595">
        <f ca="1" t="shared" si="107"/>
        <v>0</v>
      </c>
      <c r="G183" s="595">
        <f ca="1" t="shared" si="145"/>
        <v>0</v>
      </c>
      <c r="H183" s="595">
        <f ca="1" t="shared" si="145"/>
        <v>0</v>
      </c>
      <c r="I183" s="595">
        <f ca="1" t="shared" si="141"/>
        <v>0</v>
      </c>
      <c r="J183" s="595">
        <f ca="1" t="shared" si="109"/>
        <v>0</v>
      </c>
      <c r="K183" s="595">
        <f>'[6]GFA &amp; Dep-MYT 5th Control'!$F$174</f>
        <v>4.466468187</v>
      </c>
      <c r="L183" s="595">
        <f ca="1" t="shared" si="145"/>
        <v>0</v>
      </c>
      <c r="M183" s="595">
        <f ca="1" t="shared" si="142"/>
        <v>4.466468187</v>
      </c>
      <c r="N183" s="595">
        <f ca="1" t="shared" si="143"/>
        <v>0</v>
      </c>
      <c r="O183" s="595">
        <f ca="1" t="shared" si="144"/>
        <v>-4.466468187</v>
      </c>
    </row>
    <row r="184" ht="15.75" spans="2:15">
      <c r="B184" s="608"/>
      <c r="C184" s="609" t="s">
        <v>97</v>
      </c>
      <c r="D184" s="609"/>
      <c r="E184" s="610"/>
      <c r="F184" s="612">
        <f ca="1">SUM(F144:F183)</f>
        <v>27054.1125905471</v>
      </c>
      <c r="G184" s="611">
        <f ca="1" t="shared" ref="G184:M184" si="146">SUM(G144:G183)</f>
        <v>5396.89886058834</v>
      </c>
      <c r="H184" s="612">
        <f ca="1" t="shared" si="146"/>
        <v>0</v>
      </c>
      <c r="I184" s="612">
        <f ca="1" t="shared" si="146"/>
        <v>32451.0114511355</v>
      </c>
      <c r="J184" s="612">
        <f ca="1" t="shared" si="146"/>
        <v>12286.8975955716</v>
      </c>
      <c r="K184" s="612">
        <f ca="1" t="shared" si="146"/>
        <v>1205.4149479659</v>
      </c>
      <c r="L184" s="612">
        <f ca="1" t="shared" si="146"/>
        <v>0</v>
      </c>
      <c r="M184" s="612">
        <f ca="1" t="shared" si="146"/>
        <v>13492.3125435375</v>
      </c>
      <c r="N184" s="612">
        <f ca="1" t="shared" ref="N184:O184" si="147">SUM(N144:N183)</f>
        <v>14767.2149949755</v>
      </c>
      <c r="O184" s="612">
        <f ca="1" t="shared" si="147"/>
        <v>18958.6989075979</v>
      </c>
    </row>
    <row r="186" ht="15" spans="2:15">
      <c r="B186" s="584" t="s">
        <v>655</v>
      </c>
      <c r="C186" s="585"/>
      <c r="D186" s="585"/>
      <c r="E186" s="585"/>
      <c r="F186" s="585"/>
      <c r="G186" s="585"/>
      <c r="H186" s="585"/>
      <c r="I186" s="585"/>
      <c r="J186" s="585"/>
      <c r="K186" s="585"/>
      <c r="L186" s="585"/>
      <c r="M186" s="585"/>
      <c r="N186" s="585"/>
      <c r="O186" s="605"/>
    </row>
    <row r="187" ht="14.1" customHeight="1" spans="2:15">
      <c r="B187" s="586" t="s">
        <v>564</v>
      </c>
      <c r="C187" s="979" t="s">
        <v>671</v>
      </c>
      <c r="D187" s="588" t="s">
        <v>672</v>
      </c>
      <c r="E187" s="588" t="s">
        <v>673</v>
      </c>
      <c r="F187" s="588" t="s">
        <v>674</v>
      </c>
      <c r="G187" s="588"/>
      <c r="H187" s="588"/>
      <c r="I187" s="588"/>
      <c r="J187" s="588" t="s">
        <v>675</v>
      </c>
      <c r="K187" s="588"/>
      <c r="L187" s="588"/>
      <c r="M187" s="588"/>
      <c r="N187" s="588" t="s">
        <v>676</v>
      </c>
      <c r="O187" s="606"/>
    </row>
    <row r="188" ht="60.75" spans="2:15">
      <c r="B188" s="589"/>
      <c r="C188" s="590"/>
      <c r="D188" s="591"/>
      <c r="E188" s="591"/>
      <c r="F188" s="591" t="s">
        <v>677</v>
      </c>
      <c r="G188" s="591" t="s">
        <v>678</v>
      </c>
      <c r="H188" s="591" t="s">
        <v>679</v>
      </c>
      <c r="I188" s="591" t="s">
        <v>680</v>
      </c>
      <c r="J188" s="591" t="s">
        <v>681</v>
      </c>
      <c r="K188" s="591" t="s">
        <v>678</v>
      </c>
      <c r="L188" s="591" t="s">
        <v>682</v>
      </c>
      <c r="M188" s="591" t="s">
        <v>683</v>
      </c>
      <c r="N188" s="591" t="s">
        <v>677</v>
      </c>
      <c r="O188" s="607" t="s">
        <v>680</v>
      </c>
    </row>
    <row r="189" ht="15" spans="2:15">
      <c r="B189" s="592">
        <v>1</v>
      </c>
      <c r="C189" s="575" t="s">
        <v>684</v>
      </c>
      <c r="D189" s="593"/>
      <c r="E189" s="594"/>
      <c r="F189" s="595">
        <f ca="1">I144</f>
        <v>145.078859064537</v>
      </c>
      <c r="G189" s="595">
        <f>'[6]GFA &amp; Dep-MYT 5th Control'!$O$39</f>
        <v>77.5831741629123</v>
      </c>
      <c r="H189" s="595">
        <f ca="1" t="shared" ref="H189:L189" si="148">H506+H823</f>
        <v>0</v>
      </c>
      <c r="I189" s="595">
        <f ca="1">F189+G189-H189</f>
        <v>222.662033227449</v>
      </c>
      <c r="J189" s="595">
        <f ca="1">M144</f>
        <v>0.00489906200000156</v>
      </c>
      <c r="K189" s="595">
        <f>'[6]GFA &amp; Dep-MYT 5th Control'!$G$172</f>
        <v>0</v>
      </c>
      <c r="L189" s="595">
        <f ca="1" t="shared" si="148"/>
        <v>0</v>
      </c>
      <c r="M189" s="595">
        <f ca="1">J189+K189-L189</f>
        <v>0.00489906200000156</v>
      </c>
      <c r="N189" s="595">
        <f ca="1" t="shared" ref="N189:N190" si="149">F189-J189</f>
        <v>145.073960002537</v>
      </c>
      <c r="O189" s="595">
        <f ca="1" t="shared" ref="O189:O190" si="150">I189-M189</f>
        <v>222.657134165449</v>
      </c>
    </row>
    <row r="190" ht="15" spans="2:15">
      <c r="B190" s="592">
        <v>2</v>
      </c>
      <c r="C190" s="575" t="s">
        <v>770</v>
      </c>
      <c r="D190" s="596"/>
      <c r="E190" s="597"/>
      <c r="F190" s="595">
        <f ca="1" t="shared" ref="F190:F228" si="151">I145</f>
        <v>0</v>
      </c>
      <c r="G190" s="595">
        <f ca="1" t="shared" ref="G190:L190" si="152">G507+G824</f>
        <v>0</v>
      </c>
      <c r="H190" s="595">
        <f ca="1" t="shared" si="152"/>
        <v>0</v>
      </c>
      <c r="I190" s="595">
        <f ca="1">F190+G190-H190</f>
        <v>0</v>
      </c>
      <c r="J190" s="595">
        <f ca="1">M145</f>
        <v>0</v>
      </c>
      <c r="K190" s="595">
        <f ca="1" t="shared" si="152"/>
        <v>0</v>
      </c>
      <c r="L190" s="595">
        <f ca="1" t="shared" si="152"/>
        <v>0</v>
      </c>
      <c r="M190" s="595">
        <f ca="1">J190+K190-L190</f>
        <v>0</v>
      </c>
      <c r="N190" s="595">
        <f ca="1" t="shared" si="149"/>
        <v>0</v>
      </c>
      <c r="O190" s="595">
        <f ca="1" t="shared" si="150"/>
        <v>0</v>
      </c>
    </row>
    <row r="191" ht="15" spans="2:15">
      <c r="B191" s="592">
        <v>3</v>
      </c>
      <c r="C191" s="577" t="s">
        <v>771</v>
      </c>
      <c r="D191" s="596"/>
      <c r="E191" s="459"/>
      <c r="F191" s="595">
        <f t="shared" si="151"/>
        <v>0</v>
      </c>
      <c r="G191" s="595"/>
      <c r="H191" s="595"/>
      <c r="I191" s="595"/>
      <c r="J191" s="595">
        <f>M146</f>
        <v>0</v>
      </c>
      <c r="K191" s="595"/>
      <c r="L191" s="595"/>
      <c r="M191" s="595"/>
      <c r="N191" s="595"/>
      <c r="O191" s="595"/>
    </row>
    <row r="192" ht="15" spans="2:15">
      <c r="B192" s="592"/>
      <c r="C192" s="598" t="s">
        <v>772</v>
      </c>
      <c r="D192" s="596"/>
      <c r="E192" s="459"/>
      <c r="F192" s="595">
        <f ca="1" t="shared" si="151"/>
        <v>501.366437632321</v>
      </c>
      <c r="G192" s="595">
        <f>'[6]GFA &amp; Dep-MYT 5th Control'!$O$38</f>
        <v>72.2992282598627</v>
      </c>
      <c r="H192" s="595">
        <f ca="1" t="shared" ref="H192:L192" si="153">H509+H826</f>
        <v>0</v>
      </c>
      <c r="I192" s="595">
        <f ca="1">F192+G192-H192</f>
        <v>573.665665892183</v>
      </c>
      <c r="J192" s="595">
        <f ca="1">M147</f>
        <v>179.287798758821</v>
      </c>
      <c r="K192" s="595">
        <f>'[6]GFA &amp; Dep-MYT 5th Control'!$G$173</f>
        <v>20.559686600172</v>
      </c>
      <c r="L192" s="595">
        <f ca="1" t="shared" si="153"/>
        <v>0</v>
      </c>
      <c r="M192" s="595">
        <f ca="1">J192+K192-L192</f>
        <v>199.847485358993</v>
      </c>
      <c r="N192" s="595">
        <f ca="1" t="shared" ref="N192:N195" si="154">F192-J192</f>
        <v>322.0786388735</v>
      </c>
      <c r="O192" s="595">
        <f ca="1" t="shared" ref="O192:O195" si="155">I192-M192</f>
        <v>373.818180533191</v>
      </c>
    </row>
    <row r="193" ht="28.5" spans="2:15">
      <c r="B193" s="592"/>
      <c r="C193" s="598" t="s">
        <v>773</v>
      </c>
      <c r="D193" s="596"/>
      <c r="E193" s="459"/>
      <c r="F193" s="595">
        <f ca="1" t="shared" si="151"/>
        <v>0</v>
      </c>
      <c r="G193" s="595">
        <f ca="1" t="shared" ref="G193:L195" si="156">G510+G827</f>
        <v>0</v>
      </c>
      <c r="H193" s="595">
        <f ca="1" t="shared" si="156"/>
        <v>0</v>
      </c>
      <c r="I193" s="595">
        <f ca="1">F193+G193-H193</f>
        <v>0</v>
      </c>
      <c r="J193" s="595">
        <f ca="1" t="shared" ref="J193:J228" si="157">M148</f>
        <v>0</v>
      </c>
      <c r="K193" s="595">
        <f ca="1" t="shared" si="156"/>
        <v>0</v>
      </c>
      <c r="L193" s="595">
        <f ca="1" t="shared" si="156"/>
        <v>0</v>
      </c>
      <c r="M193" s="595">
        <f ca="1">J193+K193-L193</f>
        <v>0</v>
      </c>
      <c r="N193" s="595">
        <f ca="1" t="shared" si="154"/>
        <v>0</v>
      </c>
      <c r="O193" s="595">
        <f ca="1" t="shared" si="155"/>
        <v>0</v>
      </c>
    </row>
    <row r="194" ht="15" spans="2:15">
      <c r="B194" s="592"/>
      <c r="C194" s="598" t="s">
        <v>774</v>
      </c>
      <c r="D194" s="596"/>
      <c r="E194" s="459"/>
      <c r="F194" s="595">
        <f ca="1" t="shared" si="151"/>
        <v>0</v>
      </c>
      <c r="G194" s="595">
        <f ca="1" t="shared" si="156"/>
        <v>0</v>
      </c>
      <c r="H194" s="595">
        <f ca="1" t="shared" si="156"/>
        <v>0</v>
      </c>
      <c r="I194" s="595">
        <f ca="1">F194+G194-H194</f>
        <v>0</v>
      </c>
      <c r="J194" s="595">
        <f ca="1" t="shared" si="157"/>
        <v>0</v>
      </c>
      <c r="K194" s="595">
        <f ca="1" t="shared" si="156"/>
        <v>0</v>
      </c>
      <c r="L194" s="595">
        <f ca="1" t="shared" si="156"/>
        <v>0</v>
      </c>
      <c r="M194" s="595">
        <f ca="1">J194+K194-L194</f>
        <v>0</v>
      </c>
      <c r="N194" s="595">
        <f ca="1" t="shared" si="154"/>
        <v>0</v>
      </c>
      <c r="O194" s="595">
        <f ca="1" t="shared" si="155"/>
        <v>0</v>
      </c>
    </row>
    <row r="195" ht="15" spans="2:15">
      <c r="B195" s="592"/>
      <c r="C195" s="598" t="s">
        <v>775</v>
      </c>
      <c r="D195" s="596"/>
      <c r="E195" s="459"/>
      <c r="F195" s="595">
        <f ca="1" t="shared" si="151"/>
        <v>221.08</v>
      </c>
      <c r="G195" s="595">
        <f ca="1" t="shared" si="156"/>
        <v>0</v>
      </c>
      <c r="H195" s="595">
        <f ca="1" t="shared" si="156"/>
        <v>0</v>
      </c>
      <c r="I195" s="595">
        <f ca="1">F195+G195-H195</f>
        <v>221.08</v>
      </c>
      <c r="J195" s="595">
        <f ca="1" t="shared" si="157"/>
        <v>44.413445081</v>
      </c>
      <c r="K195" s="595">
        <f ca="1" t="shared" si="156"/>
        <v>0</v>
      </c>
      <c r="L195" s="595">
        <f ca="1" t="shared" si="156"/>
        <v>0</v>
      </c>
      <c r="M195" s="595">
        <f ca="1">J195+K195-L195</f>
        <v>44.413445081</v>
      </c>
      <c r="N195" s="595">
        <f ca="1" t="shared" si="154"/>
        <v>176.666554919</v>
      </c>
      <c r="O195" s="595">
        <f ca="1" t="shared" si="155"/>
        <v>176.666554919</v>
      </c>
    </row>
    <row r="196" ht="15" spans="2:15">
      <c r="B196" s="592">
        <v>4</v>
      </c>
      <c r="C196" s="575" t="s">
        <v>776</v>
      </c>
      <c r="D196" s="596"/>
      <c r="E196" s="459"/>
      <c r="F196" s="595">
        <f t="shared" si="151"/>
        <v>0</v>
      </c>
      <c r="G196" s="595"/>
      <c r="H196" s="595"/>
      <c r="I196" s="595"/>
      <c r="J196" s="595">
        <f t="shared" si="157"/>
        <v>0</v>
      </c>
      <c r="K196" s="595"/>
      <c r="L196" s="595"/>
      <c r="M196" s="595"/>
      <c r="N196" s="595"/>
      <c r="O196" s="595"/>
    </row>
    <row r="197" ht="15" spans="2:15">
      <c r="B197" s="592"/>
      <c r="C197" s="599" t="s">
        <v>777</v>
      </c>
      <c r="D197" s="596"/>
      <c r="E197" s="459"/>
      <c r="F197" s="595">
        <f ca="1" t="shared" si="151"/>
        <v>12025.5215232457</v>
      </c>
      <c r="G197" s="595">
        <f>'[6]GFA &amp; Dep-MYT 5th Control'!$O$34</f>
        <v>1727.86152077919</v>
      </c>
      <c r="H197" s="595">
        <f ca="1" t="shared" ref="H197:L197" si="158">H514+H831</f>
        <v>0</v>
      </c>
      <c r="I197" s="595">
        <f ca="1">F197+G197-H197</f>
        <v>13753.3830440249</v>
      </c>
      <c r="J197" s="595">
        <f ca="1" t="shared" si="157"/>
        <v>5912.57167428414</v>
      </c>
      <c r="K197" s="595">
        <f>SUM('[6]GFA &amp; Dep-MYT 5th Control'!$G$178:$G$180)</f>
        <v>473.576260964121</v>
      </c>
      <c r="L197" s="595">
        <f ca="1" t="shared" si="158"/>
        <v>0</v>
      </c>
      <c r="M197" s="595">
        <f ca="1">J197+K197-L197</f>
        <v>6386.14793524826</v>
      </c>
      <c r="N197" s="595">
        <f ca="1">F197-J197</f>
        <v>6112.94984896156</v>
      </c>
      <c r="O197" s="595">
        <f ca="1" t="shared" ref="O197" si="159">I197-M197</f>
        <v>7367.23510877663</v>
      </c>
    </row>
    <row r="198" ht="15" spans="2:15">
      <c r="B198" s="592"/>
      <c r="C198" s="575" t="s">
        <v>778</v>
      </c>
      <c r="D198" s="596"/>
      <c r="E198" s="459"/>
      <c r="F198" s="595">
        <f t="shared" si="151"/>
        <v>0</v>
      </c>
      <c r="G198" s="595"/>
      <c r="H198" s="595"/>
      <c r="I198" s="595"/>
      <c r="J198" s="595">
        <f t="shared" si="157"/>
        <v>0</v>
      </c>
      <c r="K198" s="595"/>
      <c r="L198" s="595"/>
      <c r="M198" s="595"/>
      <c r="N198" s="595"/>
      <c r="O198" s="595"/>
    </row>
    <row r="199" ht="15" spans="2:15">
      <c r="B199" s="592"/>
      <c r="C199" s="599" t="s">
        <v>779</v>
      </c>
      <c r="D199" s="596"/>
      <c r="E199" s="459"/>
      <c r="F199" s="595">
        <f ca="1" t="shared" si="151"/>
        <v>0</v>
      </c>
      <c r="G199" s="595">
        <f ca="1" t="shared" ref="G199:L200" si="160">G516+G833</f>
        <v>0</v>
      </c>
      <c r="H199" s="595">
        <f ca="1" t="shared" si="160"/>
        <v>0</v>
      </c>
      <c r="I199" s="595">
        <f ca="1">F199+G199-H199</f>
        <v>0</v>
      </c>
      <c r="J199" s="595">
        <f ca="1" t="shared" si="157"/>
        <v>0</v>
      </c>
      <c r="K199" s="595">
        <f ca="1" t="shared" si="160"/>
        <v>0</v>
      </c>
      <c r="L199" s="595">
        <f ca="1" t="shared" si="160"/>
        <v>0</v>
      </c>
      <c r="M199" s="595">
        <f ca="1">J199+K199-L199</f>
        <v>0</v>
      </c>
      <c r="N199" s="595">
        <f ca="1" t="shared" ref="N199:N200" si="161">F199-J199</f>
        <v>0</v>
      </c>
      <c r="O199" s="595">
        <f ca="1" t="shared" ref="O199:O200" si="162">I199-M199</f>
        <v>0</v>
      </c>
    </row>
    <row r="200" ht="15" spans="2:15">
      <c r="B200" s="592"/>
      <c r="C200" s="599" t="s">
        <v>780</v>
      </c>
      <c r="D200" s="596"/>
      <c r="E200" s="459"/>
      <c r="F200" s="595">
        <f ca="1" t="shared" si="151"/>
        <v>0</v>
      </c>
      <c r="G200" s="595">
        <f ca="1" t="shared" si="160"/>
        <v>0</v>
      </c>
      <c r="H200" s="595">
        <f ca="1" t="shared" si="160"/>
        <v>0</v>
      </c>
      <c r="I200" s="595">
        <f ca="1">F200+G200-H200</f>
        <v>0</v>
      </c>
      <c r="J200" s="595">
        <f ca="1" t="shared" si="157"/>
        <v>0</v>
      </c>
      <c r="K200" s="595">
        <f ca="1" t="shared" si="160"/>
        <v>0</v>
      </c>
      <c r="L200" s="595">
        <f ca="1" t="shared" si="160"/>
        <v>0</v>
      </c>
      <c r="M200" s="595">
        <f ca="1">J200+K200-L200</f>
        <v>0</v>
      </c>
      <c r="N200" s="595">
        <f ca="1" t="shared" si="161"/>
        <v>0</v>
      </c>
      <c r="O200" s="595">
        <f ca="1" t="shared" si="162"/>
        <v>0</v>
      </c>
    </row>
    <row r="201" ht="15" spans="2:15">
      <c r="B201" s="592">
        <v>5</v>
      </c>
      <c r="C201" s="575" t="s">
        <v>781</v>
      </c>
      <c r="D201" s="596"/>
      <c r="E201" s="459"/>
      <c r="F201" s="595">
        <f t="shared" si="151"/>
        <v>0</v>
      </c>
      <c r="G201" s="600"/>
      <c r="H201" s="600"/>
      <c r="I201" s="600"/>
      <c r="J201" s="595">
        <f t="shared" si="157"/>
        <v>0</v>
      </c>
      <c r="K201" s="600"/>
      <c r="L201" s="600"/>
      <c r="M201" s="600"/>
      <c r="N201" s="600"/>
      <c r="O201" s="600"/>
    </row>
    <row r="202" ht="15" spans="2:15">
      <c r="B202" s="592"/>
      <c r="C202" s="599" t="s">
        <v>782</v>
      </c>
      <c r="D202" s="596"/>
      <c r="E202" s="459"/>
      <c r="F202" s="595">
        <f ca="1" t="shared" si="151"/>
        <v>0</v>
      </c>
      <c r="G202" s="595">
        <f ca="1" t="shared" ref="G202:L207" si="163">G519+G836</f>
        <v>0</v>
      </c>
      <c r="H202" s="595">
        <f ca="1" t="shared" si="163"/>
        <v>0</v>
      </c>
      <c r="I202" s="595">
        <f ca="1" t="shared" ref="I202:I207" si="164">F202+G202-H202</f>
        <v>0</v>
      </c>
      <c r="J202" s="595">
        <f ca="1" t="shared" si="157"/>
        <v>0</v>
      </c>
      <c r="K202" s="595">
        <f ca="1" t="shared" si="163"/>
        <v>0</v>
      </c>
      <c r="L202" s="595">
        <f ca="1" t="shared" si="163"/>
        <v>0</v>
      </c>
      <c r="M202" s="595">
        <f ca="1" t="shared" ref="M202:M207" si="165">J202+K202-L202</f>
        <v>0</v>
      </c>
      <c r="N202" s="595">
        <f ca="1" t="shared" ref="N202:N207" si="166">F202-J202</f>
        <v>0</v>
      </c>
      <c r="O202" s="595">
        <f ca="1" t="shared" ref="O202:O207" si="167">I202-M202</f>
        <v>0</v>
      </c>
    </row>
    <row r="203" ht="15" spans="2:15">
      <c r="B203" s="592"/>
      <c r="C203" s="599" t="s">
        <v>783</v>
      </c>
      <c r="D203" s="596"/>
      <c r="E203" s="459"/>
      <c r="F203" s="595">
        <f ca="1" t="shared" si="151"/>
        <v>0</v>
      </c>
      <c r="G203" s="595">
        <f ca="1" t="shared" si="163"/>
        <v>0</v>
      </c>
      <c r="H203" s="595">
        <f ca="1" t="shared" si="163"/>
        <v>0</v>
      </c>
      <c r="I203" s="595">
        <f ca="1" t="shared" si="164"/>
        <v>0</v>
      </c>
      <c r="J203" s="595">
        <f ca="1" t="shared" si="157"/>
        <v>0</v>
      </c>
      <c r="K203" s="595">
        <f ca="1" t="shared" si="163"/>
        <v>0</v>
      </c>
      <c r="L203" s="595">
        <f ca="1" t="shared" si="163"/>
        <v>0</v>
      </c>
      <c r="M203" s="595">
        <f ca="1" t="shared" si="165"/>
        <v>0</v>
      </c>
      <c r="N203" s="595">
        <f ca="1" t="shared" si="166"/>
        <v>0</v>
      </c>
      <c r="O203" s="595">
        <f ca="1" t="shared" si="167"/>
        <v>0</v>
      </c>
    </row>
    <row r="204" ht="15" spans="2:15">
      <c r="B204" s="592"/>
      <c r="C204" s="599" t="s">
        <v>784</v>
      </c>
      <c r="D204" s="596"/>
      <c r="E204" s="459"/>
      <c r="F204" s="595">
        <f ca="1" t="shared" si="151"/>
        <v>0</v>
      </c>
      <c r="G204" s="595">
        <f ca="1" t="shared" si="163"/>
        <v>0</v>
      </c>
      <c r="H204" s="595">
        <f ca="1" t="shared" si="163"/>
        <v>0</v>
      </c>
      <c r="I204" s="595">
        <f ca="1" t="shared" si="164"/>
        <v>0</v>
      </c>
      <c r="J204" s="595">
        <f ca="1" t="shared" si="157"/>
        <v>0</v>
      </c>
      <c r="K204" s="595">
        <f ca="1" t="shared" si="163"/>
        <v>0</v>
      </c>
      <c r="L204" s="595">
        <f ca="1" t="shared" si="163"/>
        <v>0</v>
      </c>
      <c r="M204" s="595">
        <f ca="1" t="shared" si="165"/>
        <v>0</v>
      </c>
      <c r="N204" s="595">
        <f ca="1" t="shared" si="166"/>
        <v>0</v>
      </c>
      <c r="O204" s="595">
        <f ca="1" t="shared" si="167"/>
        <v>0</v>
      </c>
    </row>
    <row r="205" ht="15" spans="2:15">
      <c r="B205" s="592"/>
      <c r="C205" s="599" t="s">
        <v>785</v>
      </c>
      <c r="D205" s="596"/>
      <c r="E205" s="459"/>
      <c r="F205" s="595">
        <f ca="1" t="shared" si="151"/>
        <v>0</v>
      </c>
      <c r="G205" s="595">
        <f ca="1" t="shared" si="163"/>
        <v>0</v>
      </c>
      <c r="H205" s="595">
        <f ca="1" t="shared" si="163"/>
        <v>0</v>
      </c>
      <c r="I205" s="595">
        <f ca="1" t="shared" si="164"/>
        <v>0</v>
      </c>
      <c r="J205" s="595">
        <f ca="1" t="shared" si="157"/>
        <v>0</v>
      </c>
      <c r="K205" s="595">
        <f ca="1" t="shared" si="163"/>
        <v>0</v>
      </c>
      <c r="L205" s="595">
        <f ca="1" t="shared" si="163"/>
        <v>0</v>
      </c>
      <c r="M205" s="595">
        <f ca="1" t="shared" si="165"/>
        <v>0</v>
      </c>
      <c r="N205" s="595">
        <f ca="1" t="shared" si="166"/>
        <v>0</v>
      </c>
      <c r="O205" s="595">
        <f ca="1" t="shared" si="167"/>
        <v>0</v>
      </c>
    </row>
    <row r="206" ht="15" spans="2:15">
      <c r="B206" s="592">
        <v>6</v>
      </c>
      <c r="C206" s="575" t="s">
        <v>786</v>
      </c>
      <c r="D206" s="596"/>
      <c r="E206" s="459"/>
      <c r="F206" s="595">
        <f ca="1" t="shared" si="151"/>
        <v>0</v>
      </c>
      <c r="G206" s="595">
        <f ca="1" t="shared" si="163"/>
        <v>0</v>
      </c>
      <c r="H206" s="595">
        <f ca="1" t="shared" si="163"/>
        <v>0</v>
      </c>
      <c r="I206" s="595">
        <f ca="1" t="shared" si="164"/>
        <v>0</v>
      </c>
      <c r="J206" s="595">
        <f ca="1" t="shared" si="157"/>
        <v>0</v>
      </c>
      <c r="K206" s="595">
        <f ca="1" t="shared" si="163"/>
        <v>0</v>
      </c>
      <c r="L206" s="595">
        <f ca="1" t="shared" si="163"/>
        <v>0</v>
      </c>
      <c r="M206" s="595">
        <f ca="1" t="shared" si="165"/>
        <v>0</v>
      </c>
      <c r="N206" s="595">
        <f ca="1" t="shared" si="166"/>
        <v>0</v>
      </c>
      <c r="O206" s="595">
        <f ca="1" t="shared" si="167"/>
        <v>0</v>
      </c>
    </row>
    <row r="207" ht="15" spans="2:15">
      <c r="B207" s="592">
        <v>7</v>
      </c>
      <c r="C207" s="575" t="s">
        <v>787</v>
      </c>
      <c r="D207" s="596"/>
      <c r="E207" s="459"/>
      <c r="F207" s="595">
        <f ca="1" t="shared" si="151"/>
        <v>0</v>
      </c>
      <c r="G207" s="595">
        <f ca="1" t="shared" si="163"/>
        <v>0</v>
      </c>
      <c r="H207" s="595">
        <f ca="1" t="shared" si="163"/>
        <v>0</v>
      </c>
      <c r="I207" s="595">
        <f ca="1" t="shared" si="164"/>
        <v>0</v>
      </c>
      <c r="J207" s="595">
        <f ca="1" t="shared" si="157"/>
        <v>0</v>
      </c>
      <c r="K207" s="595">
        <f ca="1" t="shared" si="163"/>
        <v>0</v>
      </c>
      <c r="L207" s="595">
        <f ca="1" t="shared" si="163"/>
        <v>0</v>
      </c>
      <c r="M207" s="595">
        <f ca="1" t="shared" si="165"/>
        <v>0</v>
      </c>
      <c r="N207" s="595">
        <f ca="1" t="shared" si="166"/>
        <v>0</v>
      </c>
      <c r="O207" s="595">
        <f ca="1" t="shared" si="167"/>
        <v>0</v>
      </c>
    </row>
    <row r="208" ht="15" spans="2:15">
      <c r="B208" s="592">
        <v>8</v>
      </c>
      <c r="C208" s="575" t="s">
        <v>788</v>
      </c>
      <c r="D208" s="596"/>
      <c r="E208" s="459"/>
      <c r="F208" s="595">
        <f t="shared" si="151"/>
        <v>0</v>
      </c>
      <c r="G208" s="595"/>
      <c r="H208" s="595"/>
      <c r="I208" s="595"/>
      <c r="J208" s="595">
        <f t="shared" si="157"/>
        <v>0</v>
      </c>
      <c r="K208" s="595"/>
      <c r="L208" s="595"/>
      <c r="M208" s="595"/>
      <c r="N208" s="595"/>
      <c r="O208" s="595"/>
    </row>
    <row r="209" ht="15" spans="2:15">
      <c r="B209" s="592"/>
      <c r="C209" s="599" t="s">
        <v>789</v>
      </c>
      <c r="D209" s="596"/>
      <c r="E209" s="459"/>
      <c r="F209" s="595">
        <f ca="1" t="shared" si="151"/>
        <v>12108.1547845235</v>
      </c>
      <c r="G209" s="595">
        <f>'[6]GFA &amp; Dep-MYT 5th Control'!$O$35</f>
        <v>1949.29911495104</v>
      </c>
      <c r="H209" s="595">
        <f ca="1" t="shared" ref="H209:L209" si="168">H526+H843</f>
        <v>0</v>
      </c>
      <c r="I209" s="595">
        <f ca="1">F209+G209-H209</f>
        <v>14057.4538994745</v>
      </c>
      <c r="J209" s="595">
        <f ca="1" t="shared" si="157"/>
        <v>5276.89589444447</v>
      </c>
      <c r="K209" s="595">
        <f>SUM('[6]GFA &amp; Dep-MYT 5th Control'!$G$187:$G$189)</f>
        <v>450.019764358581</v>
      </c>
      <c r="L209" s="595">
        <f ca="1" t="shared" si="168"/>
        <v>0</v>
      </c>
      <c r="M209" s="595">
        <f ca="1" t="shared" ref="M209:M213" si="169">J209+K209-L209</f>
        <v>5726.91565880305</v>
      </c>
      <c r="N209" s="595">
        <f ca="1" t="shared" ref="N209:N213" si="170">F209-J209</f>
        <v>6831.25889007901</v>
      </c>
      <c r="O209" s="595">
        <f ca="1" t="shared" ref="O209:O213" si="171">I209-M209</f>
        <v>8330.53824067147</v>
      </c>
    </row>
    <row r="210" ht="15" spans="2:15">
      <c r="B210" s="592"/>
      <c r="C210" s="599" t="s">
        <v>808</v>
      </c>
      <c r="D210" s="596"/>
      <c r="E210" s="459"/>
      <c r="F210" s="595">
        <f ca="1" t="shared" si="151"/>
        <v>0</v>
      </c>
      <c r="G210" s="595">
        <f ca="1" t="shared" ref="G210:L212" si="172">G527+G844</f>
        <v>0</v>
      </c>
      <c r="H210" s="595">
        <f ca="1" t="shared" si="172"/>
        <v>0</v>
      </c>
      <c r="I210" s="595">
        <f ca="1">F210+G210-H210</f>
        <v>0</v>
      </c>
      <c r="J210" s="595">
        <f ca="1" t="shared" si="157"/>
        <v>0</v>
      </c>
      <c r="K210" s="595">
        <f ca="1" t="shared" si="172"/>
        <v>0</v>
      </c>
      <c r="L210" s="595">
        <f ca="1" t="shared" si="172"/>
        <v>0</v>
      </c>
      <c r="M210" s="595">
        <f ca="1" t="shared" si="169"/>
        <v>0</v>
      </c>
      <c r="N210" s="595">
        <f ca="1" t="shared" si="170"/>
        <v>0</v>
      </c>
      <c r="O210" s="595">
        <f ca="1" t="shared" si="171"/>
        <v>0</v>
      </c>
    </row>
    <row r="211" ht="30" spans="2:15">
      <c r="B211" s="601">
        <v>9</v>
      </c>
      <c r="C211" s="602" t="s">
        <v>791</v>
      </c>
      <c r="D211" s="596"/>
      <c r="E211" s="459"/>
      <c r="F211" s="595">
        <f ca="1" t="shared" si="151"/>
        <v>0</v>
      </c>
      <c r="G211" s="595">
        <f ca="1" t="shared" si="172"/>
        <v>0</v>
      </c>
      <c r="H211" s="595">
        <f ca="1" t="shared" si="172"/>
        <v>0</v>
      </c>
      <c r="I211" s="595">
        <f ca="1">F211+G211-H211</f>
        <v>0</v>
      </c>
      <c r="J211" s="595">
        <f ca="1" t="shared" si="157"/>
        <v>0</v>
      </c>
      <c r="K211" s="595">
        <f ca="1" t="shared" si="172"/>
        <v>0</v>
      </c>
      <c r="L211" s="595">
        <f ca="1" t="shared" si="172"/>
        <v>0</v>
      </c>
      <c r="M211" s="595">
        <f ca="1" t="shared" si="169"/>
        <v>0</v>
      </c>
      <c r="N211" s="595">
        <f ca="1" t="shared" si="170"/>
        <v>0</v>
      </c>
      <c r="O211" s="595">
        <f ca="1" t="shared" si="171"/>
        <v>0</v>
      </c>
    </row>
    <row r="212" ht="15" spans="2:15">
      <c r="B212" s="603">
        <v>10</v>
      </c>
      <c r="C212" s="563" t="s">
        <v>792</v>
      </c>
      <c r="D212" s="604"/>
      <c r="E212" s="459"/>
      <c r="F212" s="595">
        <f ca="1" t="shared" si="151"/>
        <v>7084.28070297549</v>
      </c>
      <c r="G212" s="595">
        <f>'[6]GFA &amp; Dep-MYT 5th Control'!$O$36</f>
        <v>2989.26347363851</v>
      </c>
      <c r="H212" s="595">
        <f ca="1" t="shared" si="172"/>
        <v>0</v>
      </c>
      <c r="I212" s="595">
        <f ca="1">F212+G212-H212</f>
        <v>10073.544176614</v>
      </c>
      <c r="J212" s="595">
        <f ca="1" t="shared" si="157"/>
        <v>1777.89122842485</v>
      </c>
      <c r="K212" s="595">
        <f>'[6]GFA &amp; Dep-MYT 5th Control'!$G$184</f>
        <v>566.271770817202</v>
      </c>
      <c r="L212" s="595">
        <f ca="1" t="shared" si="172"/>
        <v>0</v>
      </c>
      <c r="M212" s="595">
        <f ca="1" t="shared" si="169"/>
        <v>2344.16299924205</v>
      </c>
      <c r="N212" s="595">
        <f ca="1" t="shared" si="170"/>
        <v>5306.38947455064</v>
      </c>
      <c r="O212" s="595">
        <f ca="1" t="shared" si="171"/>
        <v>7729.38117737195</v>
      </c>
    </row>
    <row r="213" ht="15" spans="2:15">
      <c r="B213" s="603">
        <v>11</v>
      </c>
      <c r="C213" s="563" t="s">
        <v>793</v>
      </c>
      <c r="D213" s="604"/>
      <c r="E213" s="459"/>
      <c r="F213" s="595">
        <f ca="1" t="shared" si="151"/>
        <v>7.08</v>
      </c>
      <c r="G213" s="595">
        <f ca="1" t="shared" ref="G213:L213" si="173">G530+G847</f>
        <v>0</v>
      </c>
      <c r="H213" s="595">
        <f ca="1" t="shared" si="173"/>
        <v>0</v>
      </c>
      <c r="I213" s="595">
        <f ca="1">F213+G213-H213</f>
        <v>7.08</v>
      </c>
      <c r="J213" s="595">
        <f ca="1" t="shared" si="157"/>
        <v>6.392199932</v>
      </c>
      <c r="K213" s="595">
        <f>'[6]GFA &amp; Dep-MYT 5th Control'!$G$192</f>
        <v>0.441010919</v>
      </c>
      <c r="L213" s="595">
        <f ca="1" t="shared" si="173"/>
        <v>0</v>
      </c>
      <c r="M213" s="595">
        <f ca="1" t="shared" si="169"/>
        <v>6.833210851</v>
      </c>
      <c r="N213" s="595">
        <f ca="1" t="shared" si="170"/>
        <v>0.687800068</v>
      </c>
      <c r="O213" s="595">
        <f ca="1" t="shared" si="171"/>
        <v>0.246789149</v>
      </c>
    </row>
    <row r="214" ht="15" spans="2:15">
      <c r="B214" s="603">
        <v>12</v>
      </c>
      <c r="C214" s="563" t="s">
        <v>794</v>
      </c>
      <c r="D214" s="604"/>
      <c r="E214" s="459"/>
      <c r="F214" s="595">
        <f t="shared" si="151"/>
        <v>0</v>
      </c>
      <c r="G214" s="595"/>
      <c r="H214" s="595"/>
      <c r="I214" s="595"/>
      <c r="J214" s="595">
        <f t="shared" si="157"/>
        <v>0</v>
      </c>
      <c r="K214" s="595"/>
      <c r="L214" s="595"/>
      <c r="M214" s="595"/>
      <c r="N214" s="595"/>
      <c r="O214" s="595"/>
    </row>
    <row r="215" ht="15" spans="2:15">
      <c r="B215" s="603"/>
      <c r="C215" s="565" t="s">
        <v>795</v>
      </c>
      <c r="D215" s="604"/>
      <c r="E215" s="459"/>
      <c r="F215" s="595">
        <f ca="1" t="shared" si="151"/>
        <v>2.6</v>
      </c>
      <c r="G215" s="595">
        <f ca="1" t="shared" ref="G215:L216" si="174">G532+G849</f>
        <v>0</v>
      </c>
      <c r="H215" s="595">
        <f ca="1" t="shared" si="174"/>
        <v>0</v>
      </c>
      <c r="I215" s="595">
        <f ca="1">F215+G215-H215</f>
        <v>2.6</v>
      </c>
      <c r="J215" s="595">
        <f ca="1" t="shared" si="157"/>
        <v>1.701644132</v>
      </c>
      <c r="K215" s="595">
        <f ca="1" t="shared" si="174"/>
        <v>0</v>
      </c>
      <c r="L215" s="595">
        <f ca="1" t="shared" si="174"/>
        <v>0</v>
      </c>
      <c r="M215" s="595">
        <f ca="1" t="shared" ref="M215:M216" si="175">J215+K215-L215</f>
        <v>1.701644132</v>
      </c>
      <c r="N215" s="595">
        <f ca="1">F215-J215</f>
        <v>0.898355868</v>
      </c>
      <c r="O215" s="595">
        <f ca="1" t="shared" ref="O215:O216" si="176">I215-M215</f>
        <v>0.898355868</v>
      </c>
    </row>
    <row r="216" ht="15" spans="2:15">
      <c r="B216" s="603"/>
      <c r="C216" s="565" t="s">
        <v>796</v>
      </c>
      <c r="D216" s="604"/>
      <c r="E216" s="459"/>
      <c r="F216" s="595">
        <f ca="1" t="shared" si="151"/>
        <v>0</v>
      </c>
      <c r="G216" s="595">
        <f ca="1" t="shared" si="174"/>
        <v>0</v>
      </c>
      <c r="H216" s="595">
        <f ca="1" t="shared" si="174"/>
        <v>0</v>
      </c>
      <c r="I216" s="595">
        <f ca="1">F216+G216-H216</f>
        <v>0</v>
      </c>
      <c r="J216" s="595">
        <f ca="1" t="shared" si="157"/>
        <v>0</v>
      </c>
      <c r="K216" s="595">
        <f ca="1" t="shared" si="174"/>
        <v>0</v>
      </c>
      <c r="L216" s="595">
        <f ca="1" t="shared" si="174"/>
        <v>0</v>
      </c>
      <c r="M216" s="595">
        <f ca="1" t="shared" si="175"/>
        <v>0</v>
      </c>
      <c r="N216" s="595">
        <f ca="1">F216-J216</f>
        <v>0</v>
      </c>
      <c r="O216" s="595">
        <f ca="1" t="shared" si="176"/>
        <v>0</v>
      </c>
    </row>
    <row r="217" ht="15" spans="2:15">
      <c r="B217" s="603">
        <v>13</v>
      </c>
      <c r="C217" s="565"/>
      <c r="D217" s="604"/>
      <c r="E217" s="459"/>
      <c r="F217" s="595">
        <f t="shared" si="151"/>
        <v>0</v>
      </c>
      <c r="G217" s="595"/>
      <c r="H217" s="595"/>
      <c r="I217" s="595"/>
      <c r="J217" s="595">
        <f t="shared" si="157"/>
        <v>0</v>
      </c>
      <c r="K217" s="595"/>
      <c r="L217" s="595"/>
      <c r="M217" s="595"/>
      <c r="N217" s="595"/>
      <c r="O217" s="595"/>
    </row>
    <row r="218" ht="15" spans="2:15">
      <c r="B218" s="603"/>
      <c r="C218" s="565" t="s">
        <v>797</v>
      </c>
      <c r="D218" s="604"/>
      <c r="E218" s="459"/>
      <c r="F218" s="595">
        <f ca="1" t="shared" si="151"/>
        <v>17.25</v>
      </c>
      <c r="G218" s="595">
        <f ca="1" t="shared" ref="G218:L219" si="177">G535+G852</f>
        <v>0</v>
      </c>
      <c r="H218" s="595">
        <f ca="1" t="shared" si="177"/>
        <v>0</v>
      </c>
      <c r="I218" s="595">
        <f ca="1">F218+G218-H218</f>
        <v>17.25</v>
      </c>
      <c r="J218" s="595">
        <f ca="1" t="shared" si="157"/>
        <v>13.017024466</v>
      </c>
      <c r="K218" s="595">
        <f>'[6]GFA &amp; Dep-MYT 5th Control'!$G$192</f>
        <v>0.441010919</v>
      </c>
      <c r="L218" s="595">
        <f ca="1" t="shared" si="177"/>
        <v>0</v>
      </c>
      <c r="M218" s="595">
        <f ca="1" t="shared" ref="M218:M221" si="178">J218+K218-L218</f>
        <v>13.458035385</v>
      </c>
      <c r="N218" s="595">
        <f ca="1">F218-J218</f>
        <v>4.232975534</v>
      </c>
      <c r="O218" s="595">
        <f ca="1" t="shared" ref="O218:O221" si="179">I218-M218</f>
        <v>3.791964615</v>
      </c>
    </row>
    <row r="219" ht="15" spans="2:15">
      <c r="B219" s="603"/>
      <c r="C219" s="565" t="s">
        <v>798</v>
      </c>
      <c r="D219" s="604"/>
      <c r="E219" s="459"/>
      <c r="F219" s="595">
        <f ca="1" t="shared" si="151"/>
        <v>51.7581219880279</v>
      </c>
      <c r="G219" s="595">
        <f>'[6]GFA &amp; Dep-MYT 5th Control'!$O$37</f>
        <v>0.220697651681363</v>
      </c>
      <c r="H219" s="595">
        <f ca="1" t="shared" si="177"/>
        <v>0</v>
      </c>
      <c r="I219" s="595">
        <f ca="1">F219+G219-H219</f>
        <v>51.9788196397093</v>
      </c>
      <c r="J219" s="595">
        <f ca="1" t="shared" si="157"/>
        <v>37.9524269050602</v>
      </c>
      <c r="K219" s="595">
        <f>'[6]GFA &amp; Dep-MYT 5th Control'!$G$193</f>
        <v>1.46376696824818</v>
      </c>
      <c r="L219" s="595">
        <f ca="1" t="shared" si="177"/>
        <v>0</v>
      </c>
      <c r="M219" s="595">
        <f ca="1" t="shared" si="178"/>
        <v>39.4161938733084</v>
      </c>
      <c r="N219" s="595">
        <f ca="1">F219-J219</f>
        <v>13.8056950829677</v>
      </c>
      <c r="O219" s="595">
        <f ca="1" t="shared" si="179"/>
        <v>12.5626257664009</v>
      </c>
    </row>
    <row r="220" ht="15" spans="2:15">
      <c r="B220" s="603"/>
      <c r="C220" s="565" t="s">
        <v>799</v>
      </c>
      <c r="D220" s="604"/>
      <c r="E220" s="459"/>
      <c r="F220" s="595">
        <f ca="1" t="shared" si="151"/>
        <v>0</v>
      </c>
      <c r="G220" s="595">
        <f ca="1" t="shared" ref="G220:L221" si="180">G537+G854</f>
        <v>0</v>
      </c>
      <c r="H220" s="595">
        <f ca="1" t="shared" si="180"/>
        <v>0</v>
      </c>
      <c r="I220" s="595">
        <f ca="1">F220+G220-H220</f>
        <v>0</v>
      </c>
      <c r="J220" s="595">
        <f ca="1" t="shared" si="157"/>
        <v>0</v>
      </c>
      <c r="K220" s="595">
        <f ca="1" t="shared" si="180"/>
        <v>0</v>
      </c>
      <c r="L220" s="595">
        <f ca="1" t="shared" si="180"/>
        <v>0</v>
      </c>
      <c r="M220" s="595">
        <f ca="1" t="shared" si="178"/>
        <v>0</v>
      </c>
      <c r="N220" s="595">
        <f ca="1" t="shared" ref="N220:N221" si="181">F220-J220</f>
        <v>0</v>
      </c>
      <c r="O220" s="595">
        <f ca="1" t="shared" si="179"/>
        <v>0</v>
      </c>
    </row>
    <row r="221" ht="15" spans="2:15">
      <c r="B221" s="603"/>
      <c r="C221" s="565" t="s">
        <v>800</v>
      </c>
      <c r="D221" s="604"/>
      <c r="E221" s="459"/>
      <c r="F221" s="595">
        <f ca="1" t="shared" si="151"/>
        <v>0</v>
      </c>
      <c r="G221" s="595">
        <f ca="1" t="shared" si="180"/>
        <v>0</v>
      </c>
      <c r="H221" s="595">
        <f ca="1" t="shared" si="180"/>
        <v>0</v>
      </c>
      <c r="I221" s="595">
        <f ca="1" t="shared" ref="I221" si="182">F221+G221-H221</f>
        <v>0</v>
      </c>
      <c r="J221" s="595">
        <f ca="1" t="shared" si="157"/>
        <v>0</v>
      </c>
      <c r="K221" s="595">
        <f ca="1" t="shared" si="180"/>
        <v>0</v>
      </c>
      <c r="L221" s="595">
        <f ca="1" t="shared" si="180"/>
        <v>0</v>
      </c>
      <c r="M221" s="595">
        <f ca="1" t="shared" si="178"/>
        <v>0</v>
      </c>
      <c r="N221" s="595">
        <f ca="1" t="shared" si="181"/>
        <v>0</v>
      </c>
      <c r="O221" s="595">
        <f ca="1" t="shared" si="179"/>
        <v>0</v>
      </c>
    </row>
    <row r="222" ht="15" spans="2:15">
      <c r="B222" s="603">
        <v>14</v>
      </c>
      <c r="C222" s="563" t="s">
        <v>801</v>
      </c>
      <c r="D222" s="604"/>
      <c r="E222" s="459"/>
      <c r="F222" s="595">
        <f t="shared" si="151"/>
        <v>0</v>
      </c>
      <c r="G222" s="595"/>
      <c r="H222" s="595"/>
      <c r="I222" s="595"/>
      <c r="J222" s="595">
        <f t="shared" si="157"/>
        <v>0</v>
      </c>
      <c r="K222" s="595"/>
      <c r="L222" s="595"/>
      <c r="M222" s="595"/>
      <c r="N222" s="595"/>
      <c r="O222" s="595"/>
    </row>
    <row r="223" ht="15" spans="2:15">
      <c r="B223" s="603"/>
      <c r="C223" s="565" t="s">
        <v>802</v>
      </c>
      <c r="D223" s="604"/>
      <c r="E223" s="459"/>
      <c r="F223" s="595">
        <f ca="1" t="shared" si="151"/>
        <v>0</v>
      </c>
      <c r="G223" s="595">
        <f ca="1" t="shared" ref="G223:L226" si="183">G540+G857</f>
        <v>0</v>
      </c>
      <c r="H223" s="595">
        <f ca="1" t="shared" si="183"/>
        <v>0</v>
      </c>
      <c r="I223" s="595">
        <f ca="1" t="shared" ref="I223:I228" si="184">F223+G223-H223</f>
        <v>0</v>
      </c>
      <c r="J223" s="595">
        <f ca="1" t="shared" si="157"/>
        <v>0</v>
      </c>
      <c r="K223" s="595">
        <f ca="1" t="shared" si="183"/>
        <v>0</v>
      </c>
      <c r="L223" s="595">
        <f ca="1" t="shared" si="183"/>
        <v>0</v>
      </c>
      <c r="M223" s="595">
        <f ca="1" t="shared" ref="M223:M228" si="185">J223+K223-L223</f>
        <v>0</v>
      </c>
      <c r="N223" s="595">
        <f ca="1">F223-J223</f>
        <v>0</v>
      </c>
      <c r="O223" s="595">
        <f ca="1">I223-M223</f>
        <v>0</v>
      </c>
    </row>
    <row r="224" ht="15" spans="2:15">
      <c r="B224" s="603"/>
      <c r="C224" s="565" t="s">
        <v>803</v>
      </c>
      <c r="D224" s="604"/>
      <c r="E224" s="459"/>
      <c r="F224" s="595">
        <f ca="1" t="shared" si="151"/>
        <v>0</v>
      </c>
      <c r="G224" s="595">
        <f ca="1" t="shared" si="183"/>
        <v>0</v>
      </c>
      <c r="H224" s="595">
        <f ca="1" t="shared" si="183"/>
        <v>0</v>
      </c>
      <c r="I224" s="595">
        <f ca="1" t="shared" si="184"/>
        <v>0</v>
      </c>
      <c r="J224" s="595">
        <f ca="1" t="shared" si="157"/>
        <v>0</v>
      </c>
      <c r="K224" s="595">
        <f ca="1" t="shared" si="183"/>
        <v>0</v>
      </c>
      <c r="L224" s="595">
        <f ca="1" t="shared" si="183"/>
        <v>0</v>
      </c>
      <c r="M224" s="595">
        <f ca="1" t="shared" si="185"/>
        <v>0</v>
      </c>
      <c r="N224" s="595">
        <f ca="1" t="shared" ref="N224:N228" si="186">F224-J224</f>
        <v>0</v>
      </c>
      <c r="O224" s="595">
        <f ca="1" t="shared" ref="O224:O228" si="187">I224-M224</f>
        <v>0</v>
      </c>
    </row>
    <row r="225" ht="15" spans="2:15">
      <c r="B225" s="603"/>
      <c r="C225" s="565" t="s">
        <v>804</v>
      </c>
      <c r="D225" s="604"/>
      <c r="E225" s="459"/>
      <c r="F225" s="595">
        <f ca="1" t="shared" si="151"/>
        <v>0</v>
      </c>
      <c r="G225" s="595">
        <f ca="1" t="shared" si="183"/>
        <v>0</v>
      </c>
      <c r="H225" s="595">
        <f ca="1" t="shared" si="183"/>
        <v>0</v>
      </c>
      <c r="I225" s="595">
        <f ca="1" t="shared" si="184"/>
        <v>0</v>
      </c>
      <c r="J225" s="595">
        <f ca="1" t="shared" si="157"/>
        <v>0</v>
      </c>
      <c r="K225" s="595">
        <f ca="1" t="shared" si="183"/>
        <v>0</v>
      </c>
      <c r="L225" s="595">
        <f ca="1" t="shared" si="183"/>
        <v>0</v>
      </c>
      <c r="M225" s="595">
        <f ca="1" t="shared" si="185"/>
        <v>0</v>
      </c>
      <c r="N225" s="595">
        <f ca="1" t="shared" si="186"/>
        <v>0</v>
      </c>
      <c r="O225" s="595">
        <f ca="1" t="shared" si="187"/>
        <v>0</v>
      </c>
    </row>
    <row r="226" ht="15" spans="2:15">
      <c r="B226" s="603">
        <v>15</v>
      </c>
      <c r="C226" s="563" t="s">
        <v>805</v>
      </c>
      <c r="D226" s="604"/>
      <c r="E226" s="459"/>
      <c r="F226" s="595">
        <f ca="1" t="shared" si="151"/>
        <v>216.041021705907</v>
      </c>
      <c r="G226" s="595">
        <f>'[6]GFA &amp; Dep-MYT 5th Control'!$O$40</f>
        <v>17.3324112491613</v>
      </c>
      <c r="H226" s="595">
        <f ca="1" t="shared" si="183"/>
        <v>0</v>
      </c>
      <c r="I226" s="595">
        <f ca="1" t="shared" si="184"/>
        <v>233.373432955069</v>
      </c>
      <c r="J226" s="595">
        <f ca="1" t="shared" si="157"/>
        <v>179.296897090199</v>
      </c>
      <c r="K226" s="595">
        <f>'[6]GFA &amp; Dep-MYT 5th Control'!$G$195</f>
        <v>9.22424530457317</v>
      </c>
      <c r="L226" s="595">
        <f ca="1" t="shared" si="183"/>
        <v>0</v>
      </c>
      <c r="M226" s="595">
        <f ca="1" t="shared" si="185"/>
        <v>188.521142394772</v>
      </c>
      <c r="N226" s="595">
        <f ca="1" t="shared" si="186"/>
        <v>36.744124615708</v>
      </c>
      <c r="O226" s="595">
        <f ca="1" t="shared" si="187"/>
        <v>44.8522905602962</v>
      </c>
    </row>
    <row r="227" ht="15" spans="2:15">
      <c r="B227" s="603">
        <v>16</v>
      </c>
      <c r="C227" s="563" t="s">
        <v>806</v>
      </c>
      <c r="D227" s="596"/>
      <c r="E227" s="459"/>
      <c r="F227" s="595">
        <f ca="1" t="shared" si="151"/>
        <v>70.8</v>
      </c>
      <c r="G227" s="595">
        <f ca="1" t="shared" ref="G227:L228" si="188">G544+G861</f>
        <v>0</v>
      </c>
      <c r="H227" s="595">
        <f ca="1" t="shared" si="188"/>
        <v>0</v>
      </c>
      <c r="I227" s="595">
        <f ca="1" t="shared" si="184"/>
        <v>70.8</v>
      </c>
      <c r="J227" s="595">
        <f ca="1" t="shared" si="157"/>
        <v>58.42094277</v>
      </c>
      <c r="K227" s="595">
        <f>'[6]GFA &amp; Dep-MYT 5th Control'!$G$174</f>
        <v>4.152617751</v>
      </c>
      <c r="L227" s="595">
        <f ca="1" t="shared" si="188"/>
        <v>0</v>
      </c>
      <c r="M227" s="595">
        <f ca="1" t="shared" si="185"/>
        <v>62.573560521</v>
      </c>
      <c r="N227" s="595">
        <f ca="1" t="shared" si="186"/>
        <v>12.37905723</v>
      </c>
      <c r="O227" s="595">
        <f ca="1" t="shared" si="187"/>
        <v>8.22643947899999</v>
      </c>
    </row>
    <row r="228" ht="15" spans="2:15">
      <c r="B228" s="603">
        <v>17</v>
      </c>
      <c r="C228" s="563" t="s">
        <v>807</v>
      </c>
      <c r="D228" s="596"/>
      <c r="E228" s="426"/>
      <c r="F228" s="595">
        <f ca="1" t="shared" si="151"/>
        <v>0</v>
      </c>
      <c r="G228" s="595">
        <f ca="1" t="shared" si="188"/>
        <v>0</v>
      </c>
      <c r="H228" s="595">
        <f ca="1" t="shared" si="188"/>
        <v>0</v>
      </c>
      <c r="I228" s="595">
        <f ca="1" t="shared" si="184"/>
        <v>0</v>
      </c>
      <c r="J228" s="595">
        <f ca="1" t="shared" si="157"/>
        <v>4.466468187</v>
      </c>
      <c r="K228" s="595">
        <f ca="1" t="shared" si="188"/>
        <v>0</v>
      </c>
      <c r="L228" s="595">
        <f ca="1" t="shared" si="188"/>
        <v>0</v>
      </c>
      <c r="M228" s="595">
        <f ca="1" t="shared" si="185"/>
        <v>4.466468187</v>
      </c>
      <c r="N228" s="595">
        <f ca="1" t="shared" si="186"/>
        <v>-4.466468187</v>
      </c>
      <c r="O228" s="595">
        <f ca="1" t="shared" si="187"/>
        <v>-4.466468187</v>
      </c>
    </row>
    <row r="229" ht="15.75" spans="2:15">
      <c r="B229" s="608"/>
      <c r="C229" s="609" t="s">
        <v>97</v>
      </c>
      <c r="D229" s="609"/>
      <c r="E229" s="610"/>
      <c r="F229" s="612">
        <f ca="1">SUM(F189:F228)</f>
        <v>32451.0114511355</v>
      </c>
      <c r="G229" s="612">
        <f ca="1" t="shared" ref="G229:O229" si="189">SUM(G189:G228)</f>
        <v>6833.85962069236</v>
      </c>
      <c r="H229" s="612">
        <f ca="1" t="shared" si="189"/>
        <v>0</v>
      </c>
      <c r="I229" s="612">
        <f ca="1" t="shared" si="189"/>
        <v>39284.8710718278</v>
      </c>
      <c r="J229" s="612">
        <f ca="1" t="shared" si="189"/>
        <v>13492.3125435375</v>
      </c>
      <c r="K229" s="612">
        <f ca="1" t="shared" si="189"/>
        <v>1526.1501346019</v>
      </c>
      <c r="L229" s="612">
        <f ca="1" t="shared" si="189"/>
        <v>0</v>
      </c>
      <c r="M229" s="612">
        <f ca="1" t="shared" si="189"/>
        <v>15018.4626781394</v>
      </c>
      <c r="N229" s="612">
        <f ca="1" t="shared" si="189"/>
        <v>18958.6989075979</v>
      </c>
      <c r="O229" s="612">
        <f ca="1" t="shared" si="189"/>
        <v>24266.4083936884</v>
      </c>
    </row>
    <row r="231" ht="15" spans="2:15">
      <c r="B231" s="584" t="s">
        <v>656</v>
      </c>
      <c r="C231" s="585"/>
      <c r="D231" s="585"/>
      <c r="E231" s="585"/>
      <c r="F231" s="585"/>
      <c r="G231" s="585"/>
      <c r="H231" s="585"/>
      <c r="I231" s="585"/>
      <c r="J231" s="585"/>
      <c r="K231" s="585"/>
      <c r="L231" s="585"/>
      <c r="M231" s="585"/>
      <c r="N231" s="585"/>
      <c r="O231" s="605"/>
    </row>
    <row r="232" ht="14.1" customHeight="1" spans="2:15">
      <c r="B232" s="586" t="s">
        <v>564</v>
      </c>
      <c r="C232" s="979" t="s">
        <v>671</v>
      </c>
      <c r="D232" s="588" t="s">
        <v>672</v>
      </c>
      <c r="E232" s="588" t="s">
        <v>673</v>
      </c>
      <c r="F232" s="588" t="s">
        <v>674</v>
      </c>
      <c r="G232" s="588"/>
      <c r="H232" s="588"/>
      <c r="I232" s="588"/>
      <c r="J232" s="588" t="s">
        <v>675</v>
      </c>
      <c r="K232" s="588"/>
      <c r="L232" s="588"/>
      <c r="M232" s="588"/>
      <c r="N232" s="588" t="s">
        <v>676</v>
      </c>
      <c r="O232" s="606"/>
    </row>
    <row r="233" ht="60.75" spans="2:15">
      <c r="B233" s="589"/>
      <c r="C233" s="590"/>
      <c r="D233" s="591"/>
      <c r="E233" s="591"/>
      <c r="F233" s="591" t="s">
        <v>677</v>
      </c>
      <c r="G233" s="591" t="s">
        <v>678</v>
      </c>
      <c r="H233" s="591" t="s">
        <v>679</v>
      </c>
      <c r="I233" s="591" t="s">
        <v>680</v>
      </c>
      <c r="J233" s="591" t="s">
        <v>681</v>
      </c>
      <c r="K233" s="591" t="s">
        <v>678</v>
      </c>
      <c r="L233" s="591" t="s">
        <v>682</v>
      </c>
      <c r="M233" s="591" t="s">
        <v>683</v>
      </c>
      <c r="N233" s="591" t="s">
        <v>677</v>
      </c>
      <c r="O233" s="607" t="s">
        <v>680</v>
      </c>
    </row>
    <row r="234" ht="15" spans="2:15">
      <c r="B234" s="592">
        <v>1</v>
      </c>
      <c r="C234" s="575" t="s">
        <v>684</v>
      </c>
      <c r="D234" s="593"/>
      <c r="E234" s="594"/>
      <c r="F234" s="595">
        <f ca="1" t="shared" ref="F234:F273" si="190">I189</f>
        <v>222.662033227449</v>
      </c>
      <c r="G234" s="595">
        <f>'[6]GFA &amp; Dep-MYT 5th Control'!$P$39</f>
        <v>84.1114909604901</v>
      </c>
      <c r="H234" s="595">
        <f ca="1" t="shared" ref="H234" si="191">H551+H868</f>
        <v>0</v>
      </c>
      <c r="I234" s="595">
        <f ca="1" t="shared" ref="I234:I273" si="192">F234+G234-H234</f>
        <v>306.773524187939</v>
      </c>
      <c r="J234" s="595">
        <f ca="1">M189</f>
        <v>0.00489906200000156</v>
      </c>
      <c r="K234" s="595">
        <f>'[6]GFA &amp; Dep-MYT 5th Control'!$H$172</f>
        <v>0</v>
      </c>
      <c r="L234" s="595">
        <f ca="1">L551+L868</f>
        <v>0</v>
      </c>
      <c r="M234" s="595">
        <f ca="1">J234+K234-L234</f>
        <v>0.00489906200000156</v>
      </c>
      <c r="N234" s="595">
        <f ca="1">F234-J234</f>
        <v>222.657134165449</v>
      </c>
      <c r="O234" s="595">
        <f ca="1">I234-M234</f>
        <v>306.768625125939</v>
      </c>
    </row>
    <row r="235" ht="15" spans="2:15">
      <c r="B235" s="592">
        <v>2</v>
      </c>
      <c r="C235" s="575" t="s">
        <v>770</v>
      </c>
      <c r="D235" s="596"/>
      <c r="E235" s="597"/>
      <c r="F235" s="595">
        <f ca="1" t="shared" si="190"/>
        <v>0</v>
      </c>
      <c r="G235" s="595">
        <f ca="1" t="shared" ref="G235:L235" si="193">G552+G869</f>
        <v>0</v>
      </c>
      <c r="H235" s="595">
        <f ca="1" t="shared" si="193"/>
        <v>0</v>
      </c>
      <c r="I235" s="595">
        <f ca="1" t="shared" si="192"/>
        <v>0</v>
      </c>
      <c r="J235" s="595">
        <f ca="1" t="shared" ref="J235:J273" si="194">M190</f>
        <v>0</v>
      </c>
      <c r="K235" s="595">
        <f ca="1">K552+K869</f>
        <v>0</v>
      </c>
      <c r="L235" s="595">
        <f ca="1" t="shared" si="193"/>
        <v>0</v>
      </c>
      <c r="M235" s="595">
        <f ca="1">J235+K235-L235</f>
        <v>0</v>
      </c>
      <c r="N235" s="595">
        <f ca="1">F235-J235</f>
        <v>0</v>
      </c>
      <c r="O235" s="595">
        <f ca="1">I235-M235</f>
        <v>0</v>
      </c>
    </row>
    <row r="236" ht="15" spans="2:15">
      <c r="B236" s="592">
        <v>3</v>
      </c>
      <c r="C236" s="577" t="s">
        <v>771</v>
      </c>
      <c r="D236" s="596"/>
      <c r="E236" s="459"/>
      <c r="F236" s="595">
        <f t="shared" si="190"/>
        <v>0</v>
      </c>
      <c r="G236" s="595"/>
      <c r="H236" s="595"/>
      <c r="I236" s="595"/>
      <c r="J236" s="595">
        <f t="shared" si="194"/>
        <v>0</v>
      </c>
      <c r="K236" s="595"/>
      <c r="L236" s="595"/>
      <c r="M236" s="595"/>
      <c r="N236" s="595"/>
      <c r="O236" s="595"/>
    </row>
    <row r="237" ht="15" spans="2:15">
      <c r="B237" s="592"/>
      <c r="C237" s="598" t="s">
        <v>772</v>
      </c>
      <c r="D237" s="596"/>
      <c r="E237" s="459"/>
      <c r="F237" s="595">
        <f ca="1" t="shared" si="190"/>
        <v>573.665665892183</v>
      </c>
      <c r="G237" s="595">
        <f>'[6]GFA &amp; Dep-MYT 5th Control'!$P$38</f>
        <v>78.3829219394957</v>
      </c>
      <c r="H237" s="595">
        <f ca="1" t="shared" ref="H237:L237" si="195">H554+H871</f>
        <v>0</v>
      </c>
      <c r="I237" s="595">
        <f ca="1" t="shared" si="192"/>
        <v>652.048587831679</v>
      </c>
      <c r="J237" s="595">
        <f ca="1" t="shared" si="194"/>
        <v>199.847485358993</v>
      </c>
      <c r="K237" s="595">
        <f>'[6]GFA &amp; Dep-MYT 5th Control'!$H$173</f>
        <v>21.5798446204976</v>
      </c>
      <c r="L237" s="595">
        <f ca="1" t="shared" si="195"/>
        <v>0</v>
      </c>
      <c r="M237" s="595">
        <f ca="1">J237+K237-L237</f>
        <v>221.42732997949</v>
      </c>
      <c r="N237" s="595">
        <f ca="1">F237-J237</f>
        <v>373.818180533191</v>
      </c>
      <c r="O237" s="595">
        <f ca="1">I237-M237</f>
        <v>430.621257852189</v>
      </c>
    </row>
    <row r="238" ht="28.5" spans="2:15">
      <c r="B238" s="592"/>
      <c r="C238" s="598" t="s">
        <v>773</v>
      </c>
      <c r="D238" s="596"/>
      <c r="E238" s="459"/>
      <c r="F238" s="595">
        <f ca="1" t="shared" si="190"/>
        <v>0</v>
      </c>
      <c r="G238" s="595">
        <f ca="1" t="shared" ref="G238:L240" si="196">G555+G872</f>
        <v>0</v>
      </c>
      <c r="H238" s="595">
        <f ca="1" t="shared" si="196"/>
        <v>0</v>
      </c>
      <c r="I238" s="595">
        <f ca="1" t="shared" si="192"/>
        <v>0</v>
      </c>
      <c r="J238" s="595">
        <f ca="1" t="shared" si="194"/>
        <v>0</v>
      </c>
      <c r="K238" s="595">
        <f ca="1" t="shared" si="196"/>
        <v>0</v>
      </c>
      <c r="L238" s="595">
        <f ca="1" t="shared" si="196"/>
        <v>0</v>
      </c>
      <c r="M238" s="595">
        <f ca="1">J238+K238-L238</f>
        <v>0</v>
      </c>
      <c r="N238" s="595">
        <f ca="1">F238-J238</f>
        <v>0</v>
      </c>
      <c r="O238" s="595">
        <f ca="1">I238-M238</f>
        <v>0</v>
      </c>
    </row>
    <row r="239" ht="15" spans="2:15">
      <c r="B239" s="592"/>
      <c r="C239" s="598" t="s">
        <v>774</v>
      </c>
      <c r="D239" s="596"/>
      <c r="E239" s="459"/>
      <c r="F239" s="595">
        <f ca="1" t="shared" si="190"/>
        <v>0</v>
      </c>
      <c r="G239" s="595">
        <f ca="1" t="shared" si="196"/>
        <v>0</v>
      </c>
      <c r="H239" s="595">
        <f ca="1" t="shared" si="196"/>
        <v>0</v>
      </c>
      <c r="I239" s="595">
        <f ca="1" t="shared" si="192"/>
        <v>0</v>
      </c>
      <c r="J239" s="595">
        <f ca="1" t="shared" si="194"/>
        <v>0</v>
      </c>
      <c r="K239" s="595">
        <f ca="1" t="shared" si="196"/>
        <v>0</v>
      </c>
      <c r="L239" s="595">
        <f ca="1" t="shared" si="196"/>
        <v>0</v>
      </c>
      <c r="M239" s="595">
        <f ca="1">J239+K239-L239</f>
        <v>0</v>
      </c>
      <c r="N239" s="595">
        <f ca="1">F239-J239</f>
        <v>0</v>
      </c>
      <c r="O239" s="595">
        <f ca="1">I239-M239</f>
        <v>0</v>
      </c>
    </row>
    <row r="240" ht="15" spans="2:15">
      <c r="B240" s="592"/>
      <c r="C240" s="598" t="s">
        <v>775</v>
      </c>
      <c r="D240" s="596"/>
      <c r="E240" s="459"/>
      <c r="F240" s="595">
        <f ca="1" t="shared" si="190"/>
        <v>221.08</v>
      </c>
      <c r="G240" s="595">
        <f ca="1" t="shared" si="196"/>
        <v>0</v>
      </c>
      <c r="H240" s="595">
        <f ca="1" t="shared" si="196"/>
        <v>0</v>
      </c>
      <c r="I240" s="595">
        <f ca="1" t="shared" si="192"/>
        <v>221.08</v>
      </c>
      <c r="J240" s="595">
        <f ca="1" t="shared" si="194"/>
        <v>44.413445081</v>
      </c>
      <c r="K240" s="595">
        <f ca="1" t="shared" si="196"/>
        <v>0</v>
      </c>
      <c r="L240" s="595">
        <f ca="1" t="shared" si="196"/>
        <v>0</v>
      </c>
      <c r="M240" s="595">
        <f ca="1">J240+K240-L240</f>
        <v>44.413445081</v>
      </c>
      <c r="N240" s="595">
        <f ca="1">F240-J240</f>
        <v>176.666554919</v>
      </c>
      <c r="O240" s="595">
        <f ca="1">I240-M240</f>
        <v>176.666554919</v>
      </c>
    </row>
    <row r="241" ht="15" spans="2:15">
      <c r="B241" s="592">
        <v>4</v>
      </c>
      <c r="C241" s="575" t="s">
        <v>776</v>
      </c>
      <c r="D241" s="596"/>
      <c r="E241" s="459"/>
      <c r="F241" s="595">
        <f t="shared" si="190"/>
        <v>0</v>
      </c>
      <c r="G241" s="595"/>
      <c r="H241" s="595"/>
      <c r="I241" s="595"/>
      <c r="J241" s="595">
        <f t="shared" si="194"/>
        <v>0</v>
      </c>
      <c r="K241" s="595"/>
      <c r="L241" s="595"/>
      <c r="M241" s="595"/>
      <c r="N241" s="595"/>
      <c r="O241" s="595"/>
    </row>
    <row r="242" ht="15" spans="2:15">
      <c r="B242" s="592"/>
      <c r="C242" s="599" t="s">
        <v>777</v>
      </c>
      <c r="D242" s="596"/>
      <c r="E242" s="459"/>
      <c r="F242" s="595">
        <f ca="1" t="shared" si="190"/>
        <v>13753.3830440249</v>
      </c>
      <c r="G242" s="595">
        <f>'[6]GFA &amp; Dep-MYT 5th Control'!$P$34</f>
        <v>1873.2542236648</v>
      </c>
      <c r="H242" s="595">
        <f ca="1" t="shared" ref="H242:L242" si="197">H559+H876</f>
        <v>0</v>
      </c>
      <c r="I242" s="595">
        <f ca="1" t="shared" si="192"/>
        <v>15626.6372676897</v>
      </c>
      <c r="J242" s="595">
        <f ca="1" t="shared" si="194"/>
        <v>6386.14793524826</v>
      </c>
      <c r="K242" s="595">
        <f>SUM('[6]GFA &amp; Dep-MYT 5th Control'!$H$178:$H$180)</f>
        <v>540.504102006227</v>
      </c>
      <c r="L242" s="595">
        <f ca="1" t="shared" si="197"/>
        <v>0</v>
      </c>
      <c r="M242" s="595">
        <f ca="1">J242+K242-L242</f>
        <v>6926.65203725449</v>
      </c>
      <c r="N242" s="595">
        <f ca="1">F242-J242</f>
        <v>7367.23510877663</v>
      </c>
      <c r="O242" s="595">
        <f ca="1">I242-M242</f>
        <v>8699.9852304352</v>
      </c>
    </row>
    <row r="243" ht="15" spans="2:15">
      <c r="B243" s="592"/>
      <c r="C243" s="575" t="s">
        <v>778</v>
      </c>
      <c r="D243" s="596"/>
      <c r="E243" s="459"/>
      <c r="F243" s="595">
        <f t="shared" si="190"/>
        <v>0</v>
      </c>
      <c r="G243" s="595"/>
      <c r="H243" s="595"/>
      <c r="I243" s="595"/>
      <c r="J243" s="595">
        <f t="shared" si="194"/>
        <v>0</v>
      </c>
      <c r="K243" s="595"/>
      <c r="L243" s="595"/>
      <c r="M243" s="595"/>
      <c r="N243" s="595"/>
      <c r="O243" s="595"/>
    </row>
    <row r="244" ht="15" spans="2:15">
      <c r="B244" s="592"/>
      <c r="C244" s="599" t="s">
        <v>779</v>
      </c>
      <c r="D244" s="596"/>
      <c r="E244" s="459"/>
      <c r="F244" s="595">
        <f ca="1" t="shared" si="190"/>
        <v>0</v>
      </c>
      <c r="G244" s="595">
        <f ca="1" t="shared" ref="G244:L245" si="198">G561+G878</f>
        <v>0</v>
      </c>
      <c r="H244" s="595">
        <f ca="1" t="shared" si="198"/>
        <v>0</v>
      </c>
      <c r="I244" s="595">
        <f ca="1" t="shared" si="192"/>
        <v>0</v>
      </c>
      <c r="J244" s="595">
        <f ca="1" t="shared" si="194"/>
        <v>0</v>
      </c>
      <c r="K244" s="595">
        <f ca="1" t="shared" si="198"/>
        <v>0</v>
      </c>
      <c r="L244" s="595">
        <f ca="1" t="shared" si="198"/>
        <v>0</v>
      </c>
      <c r="M244" s="595">
        <f ca="1">J244+K244-L244</f>
        <v>0</v>
      </c>
      <c r="N244" s="595">
        <f ca="1">F244-J244</f>
        <v>0</v>
      </c>
      <c r="O244" s="595">
        <f ca="1">I244-M244</f>
        <v>0</v>
      </c>
    </row>
    <row r="245" ht="15" spans="2:15">
      <c r="B245" s="592"/>
      <c r="C245" s="599" t="s">
        <v>780</v>
      </c>
      <c r="D245" s="596"/>
      <c r="E245" s="459"/>
      <c r="F245" s="595">
        <f ca="1" t="shared" si="190"/>
        <v>0</v>
      </c>
      <c r="G245" s="595">
        <f ca="1" t="shared" si="198"/>
        <v>0</v>
      </c>
      <c r="H245" s="595">
        <f ca="1" t="shared" si="198"/>
        <v>0</v>
      </c>
      <c r="I245" s="595">
        <f ca="1" t="shared" si="192"/>
        <v>0</v>
      </c>
      <c r="J245" s="595">
        <f ca="1" t="shared" si="194"/>
        <v>0</v>
      </c>
      <c r="K245" s="595">
        <f ca="1" t="shared" si="198"/>
        <v>0</v>
      </c>
      <c r="L245" s="595">
        <f ca="1" t="shared" si="198"/>
        <v>0</v>
      </c>
      <c r="M245" s="595">
        <f ca="1">J245+K245-L245</f>
        <v>0</v>
      </c>
      <c r="N245" s="595">
        <f ca="1">F245-J245</f>
        <v>0</v>
      </c>
      <c r="O245" s="595">
        <f ca="1">I245-M245</f>
        <v>0</v>
      </c>
    </row>
    <row r="246" ht="15" spans="2:15">
      <c r="B246" s="592">
        <v>5</v>
      </c>
      <c r="C246" s="575" t="s">
        <v>781</v>
      </c>
      <c r="D246" s="596"/>
      <c r="E246" s="459"/>
      <c r="F246" s="595">
        <f t="shared" si="190"/>
        <v>0</v>
      </c>
      <c r="G246" s="600"/>
      <c r="H246" s="600"/>
      <c r="I246" s="600"/>
      <c r="J246" s="595">
        <f t="shared" si="194"/>
        <v>0</v>
      </c>
      <c r="K246" s="600"/>
      <c r="L246" s="600"/>
      <c r="M246" s="600"/>
      <c r="N246" s="600"/>
      <c r="O246" s="600"/>
    </row>
    <row r="247" ht="15" spans="2:15">
      <c r="B247" s="592"/>
      <c r="C247" s="599" t="s">
        <v>782</v>
      </c>
      <c r="D247" s="596"/>
      <c r="E247" s="459"/>
      <c r="F247" s="595">
        <f ca="1" t="shared" si="190"/>
        <v>0</v>
      </c>
      <c r="G247" s="595">
        <f ca="1" t="shared" ref="G247:L252" si="199">G564+G881</f>
        <v>0</v>
      </c>
      <c r="H247" s="595">
        <f ca="1" t="shared" si="199"/>
        <v>0</v>
      </c>
      <c r="I247" s="595">
        <f ca="1" t="shared" si="192"/>
        <v>0</v>
      </c>
      <c r="J247" s="595">
        <f ca="1" t="shared" si="194"/>
        <v>0</v>
      </c>
      <c r="K247" s="595">
        <f ca="1" t="shared" si="199"/>
        <v>0</v>
      </c>
      <c r="L247" s="595">
        <f ca="1" t="shared" si="199"/>
        <v>0</v>
      </c>
      <c r="M247" s="595">
        <f ca="1" t="shared" ref="M247:M252" si="200">J247+K247-L247</f>
        <v>0</v>
      </c>
      <c r="N247" s="595">
        <f ca="1" t="shared" ref="N247:N252" si="201">F247-J247</f>
        <v>0</v>
      </c>
      <c r="O247" s="595">
        <f ca="1" t="shared" ref="O247:O252" si="202">I247-M247</f>
        <v>0</v>
      </c>
    </row>
    <row r="248" ht="15" spans="2:15">
      <c r="B248" s="592"/>
      <c r="C248" s="599" t="s">
        <v>783</v>
      </c>
      <c r="D248" s="596"/>
      <c r="E248" s="459"/>
      <c r="F248" s="595">
        <f ca="1" t="shared" si="190"/>
        <v>0</v>
      </c>
      <c r="G248" s="595">
        <f ca="1" t="shared" si="199"/>
        <v>0</v>
      </c>
      <c r="H248" s="595">
        <f ca="1" t="shared" si="199"/>
        <v>0</v>
      </c>
      <c r="I248" s="595">
        <f ca="1" t="shared" si="192"/>
        <v>0</v>
      </c>
      <c r="J248" s="595">
        <f ca="1" t="shared" si="194"/>
        <v>0</v>
      </c>
      <c r="K248" s="595">
        <f ca="1" t="shared" si="199"/>
        <v>0</v>
      </c>
      <c r="L248" s="595">
        <f ca="1" t="shared" si="199"/>
        <v>0</v>
      </c>
      <c r="M248" s="595">
        <f ca="1" t="shared" si="200"/>
        <v>0</v>
      </c>
      <c r="N248" s="595">
        <f ca="1" t="shared" si="201"/>
        <v>0</v>
      </c>
      <c r="O248" s="595">
        <f ca="1" t="shared" si="202"/>
        <v>0</v>
      </c>
    </row>
    <row r="249" ht="15" spans="2:15">
      <c r="B249" s="592"/>
      <c r="C249" s="599" t="s">
        <v>784</v>
      </c>
      <c r="D249" s="596"/>
      <c r="E249" s="459"/>
      <c r="F249" s="595">
        <f ca="1" t="shared" si="190"/>
        <v>0</v>
      </c>
      <c r="G249" s="595">
        <f ca="1" t="shared" si="199"/>
        <v>0</v>
      </c>
      <c r="H249" s="595">
        <f ca="1" t="shared" si="199"/>
        <v>0</v>
      </c>
      <c r="I249" s="595">
        <f ca="1" t="shared" si="192"/>
        <v>0</v>
      </c>
      <c r="J249" s="595">
        <f ca="1" t="shared" si="194"/>
        <v>0</v>
      </c>
      <c r="K249" s="595">
        <f ca="1" t="shared" si="199"/>
        <v>0</v>
      </c>
      <c r="L249" s="595">
        <f ca="1" t="shared" si="199"/>
        <v>0</v>
      </c>
      <c r="M249" s="595">
        <f ca="1" t="shared" si="200"/>
        <v>0</v>
      </c>
      <c r="N249" s="595">
        <f ca="1" t="shared" si="201"/>
        <v>0</v>
      </c>
      <c r="O249" s="595">
        <f ca="1" t="shared" si="202"/>
        <v>0</v>
      </c>
    </row>
    <row r="250" ht="15" spans="2:15">
      <c r="B250" s="592"/>
      <c r="C250" s="599" t="s">
        <v>785</v>
      </c>
      <c r="D250" s="596"/>
      <c r="E250" s="459"/>
      <c r="F250" s="595">
        <f ca="1" t="shared" si="190"/>
        <v>0</v>
      </c>
      <c r="G250" s="595">
        <f ca="1" t="shared" si="199"/>
        <v>0</v>
      </c>
      <c r="H250" s="595">
        <f ca="1" t="shared" si="199"/>
        <v>0</v>
      </c>
      <c r="I250" s="595">
        <f ca="1" t="shared" si="192"/>
        <v>0</v>
      </c>
      <c r="J250" s="595">
        <f ca="1" t="shared" si="194"/>
        <v>0</v>
      </c>
      <c r="K250" s="595">
        <f ca="1" t="shared" si="199"/>
        <v>0</v>
      </c>
      <c r="L250" s="595">
        <f ca="1" t="shared" si="199"/>
        <v>0</v>
      </c>
      <c r="M250" s="595">
        <f ca="1" t="shared" si="200"/>
        <v>0</v>
      </c>
      <c r="N250" s="595">
        <f ca="1" t="shared" si="201"/>
        <v>0</v>
      </c>
      <c r="O250" s="595">
        <f ca="1" t="shared" si="202"/>
        <v>0</v>
      </c>
    </row>
    <row r="251" ht="15" spans="2:15">
      <c r="B251" s="592">
        <v>6</v>
      </c>
      <c r="C251" s="575" t="s">
        <v>786</v>
      </c>
      <c r="D251" s="596"/>
      <c r="E251" s="459"/>
      <c r="F251" s="595">
        <f ca="1" t="shared" si="190"/>
        <v>0</v>
      </c>
      <c r="G251" s="595">
        <f ca="1" t="shared" si="199"/>
        <v>0</v>
      </c>
      <c r="H251" s="595">
        <f ca="1" t="shared" si="199"/>
        <v>0</v>
      </c>
      <c r="I251" s="595">
        <f ca="1" t="shared" si="192"/>
        <v>0</v>
      </c>
      <c r="J251" s="595">
        <f ca="1" t="shared" si="194"/>
        <v>0</v>
      </c>
      <c r="K251" s="595">
        <f ca="1" t="shared" si="199"/>
        <v>0</v>
      </c>
      <c r="L251" s="595">
        <f ca="1" t="shared" si="199"/>
        <v>0</v>
      </c>
      <c r="M251" s="595">
        <f ca="1" t="shared" si="200"/>
        <v>0</v>
      </c>
      <c r="N251" s="595">
        <f ca="1" t="shared" si="201"/>
        <v>0</v>
      </c>
      <c r="O251" s="595">
        <f ca="1" t="shared" si="202"/>
        <v>0</v>
      </c>
    </row>
    <row r="252" ht="15" spans="2:15">
      <c r="B252" s="592">
        <v>7</v>
      </c>
      <c r="C252" s="575" t="s">
        <v>787</v>
      </c>
      <c r="D252" s="596"/>
      <c r="E252" s="459"/>
      <c r="F252" s="595">
        <f ca="1" t="shared" si="190"/>
        <v>0</v>
      </c>
      <c r="G252" s="595">
        <f ca="1" t="shared" si="199"/>
        <v>0</v>
      </c>
      <c r="H252" s="595">
        <f ca="1" t="shared" si="199"/>
        <v>0</v>
      </c>
      <c r="I252" s="595">
        <f ca="1" t="shared" si="192"/>
        <v>0</v>
      </c>
      <c r="J252" s="595">
        <f ca="1" t="shared" si="194"/>
        <v>0</v>
      </c>
      <c r="K252" s="595">
        <f ca="1" t="shared" si="199"/>
        <v>0</v>
      </c>
      <c r="L252" s="595">
        <f ca="1" t="shared" si="199"/>
        <v>0</v>
      </c>
      <c r="M252" s="595">
        <f ca="1" t="shared" si="200"/>
        <v>0</v>
      </c>
      <c r="N252" s="595">
        <f ca="1" t="shared" si="201"/>
        <v>0</v>
      </c>
      <c r="O252" s="595">
        <f ca="1" t="shared" si="202"/>
        <v>0</v>
      </c>
    </row>
    <row r="253" ht="15" spans="2:15">
      <c r="B253" s="592">
        <v>8</v>
      </c>
      <c r="C253" s="575" t="s">
        <v>788</v>
      </c>
      <c r="D253" s="596"/>
      <c r="E253" s="459"/>
      <c r="F253" s="595">
        <f t="shared" si="190"/>
        <v>0</v>
      </c>
      <c r="G253" s="595"/>
      <c r="H253" s="595"/>
      <c r="I253" s="595"/>
      <c r="J253" s="595">
        <f t="shared" si="194"/>
        <v>0</v>
      </c>
      <c r="K253" s="595"/>
      <c r="L253" s="595"/>
      <c r="M253" s="595"/>
      <c r="N253" s="595"/>
      <c r="O253" s="595"/>
    </row>
    <row r="254" ht="15" spans="2:15">
      <c r="B254" s="592"/>
      <c r="C254" s="599" t="s">
        <v>789</v>
      </c>
      <c r="D254" s="596"/>
      <c r="E254" s="459"/>
      <c r="F254" s="595">
        <f ca="1" t="shared" si="190"/>
        <v>14057.4538994745</v>
      </c>
      <c r="G254" s="595">
        <f>'[6]GFA &amp; Dep-MYT 5th Control'!$P$35</f>
        <v>2113.32491426826</v>
      </c>
      <c r="H254" s="595">
        <f ca="1" t="shared" ref="H254:L254" si="203">H571+H888</f>
        <v>0</v>
      </c>
      <c r="I254" s="595">
        <f ca="1" t="shared" si="192"/>
        <v>16170.7788137428</v>
      </c>
      <c r="J254" s="595">
        <f ca="1" t="shared" si="194"/>
        <v>5726.91565880305</v>
      </c>
      <c r="K254" s="595">
        <f>SUM('[6]GFA &amp; Dep-MYT 5th Control'!$H$187:$H$189)</f>
        <v>504.676945252636</v>
      </c>
      <c r="L254" s="595">
        <f ca="1" t="shared" si="203"/>
        <v>0</v>
      </c>
      <c r="M254" s="595">
        <f ca="1">J254+K254-L254</f>
        <v>6231.59260405568</v>
      </c>
      <c r="N254" s="595">
        <f ca="1">F254-J254</f>
        <v>8330.53824067147</v>
      </c>
      <c r="O254" s="595">
        <f ca="1">I254-M254</f>
        <v>9939.1862096871</v>
      </c>
    </row>
    <row r="255" ht="15" spans="2:15">
      <c r="B255" s="592"/>
      <c r="C255" s="599" t="s">
        <v>808</v>
      </c>
      <c r="D255" s="596"/>
      <c r="E255" s="459"/>
      <c r="F255" s="595">
        <f ca="1" t="shared" si="190"/>
        <v>0</v>
      </c>
      <c r="G255" s="595">
        <f ca="1" t="shared" ref="G255:L257" si="204">G572+G889</f>
        <v>0</v>
      </c>
      <c r="H255" s="595">
        <f ca="1" t="shared" si="204"/>
        <v>0</v>
      </c>
      <c r="I255" s="595">
        <f ca="1" t="shared" si="192"/>
        <v>0</v>
      </c>
      <c r="J255" s="595">
        <f ca="1" t="shared" si="194"/>
        <v>0</v>
      </c>
      <c r="K255" s="595">
        <f ca="1" t="shared" si="204"/>
        <v>0</v>
      </c>
      <c r="L255" s="595">
        <f ca="1" t="shared" si="204"/>
        <v>0</v>
      </c>
      <c r="M255" s="595">
        <f ca="1">J255+K255-L255</f>
        <v>0</v>
      </c>
      <c r="N255" s="595">
        <f ca="1">F255-J255</f>
        <v>0</v>
      </c>
      <c r="O255" s="595">
        <f ca="1">I255-M255</f>
        <v>0</v>
      </c>
    </row>
    <row r="256" ht="30" spans="2:15">
      <c r="B256" s="601">
        <v>9</v>
      </c>
      <c r="C256" s="602" t="s">
        <v>791</v>
      </c>
      <c r="D256" s="596"/>
      <c r="E256" s="459"/>
      <c r="F256" s="595">
        <f ca="1" t="shared" si="190"/>
        <v>0</v>
      </c>
      <c r="G256" s="595">
        <f ca="1" t="shared" si="204"/>
        <v>0</v>
      </c>
      <c r="H256" s="595">
        <f ca="1" t="shared" si="204"/>
        <v>0</v>
      </c>
      <c r="I256" s="595">
        <f ca="1" t="shared" si="192"/>
        <v>0</v>
      </c>
      <c r="J256" s="595">
        <f ca="1" t="shared" si="194"/>
        <v>0</v>
      </c>
      <c r="K256" s="595">
        <f ca="1" t="shared" si="204"/>
        <v>0</v>
      </c>
      <c r="L256" s="595">
        <f ca="1" t="shared" si="204"/>
        <v>0</v>
      </c>
      <c r="M256" s="595">
        <f ca="1">J256+K256-L256</f>
        <v>0</v>
      </c>
      <c r="N256" s="595">
        <f ca="1">F256-J256</f>
        <v>0</v>
      </c>
      <c r="O256" s="595">
        <f ca="1">I256-M256</f>
        <v>0</v>
      </c>
    </row>
    <row r="257" ht="15" spans="2:15">
      <c r="B257" s="603">
        <v>10</v>
      </c>
      <c r="C257" s="563" t="s">
        <v>792</v>
      </c>
      <c r="D257" s="604"/>
      <c r="E257" s="459"/>
      <c r="F257" s="595">
        <f ca="1" t="shared" si="190"/>
        <v>10073.544176614</v>
      </c>
      <c r="G257" s="595">
        <f>'[6]GFA &amp; Dep-MYT 5th Control'!$P$36</f>
        <v>3240.79815442332</v>
      </c>
      <c r="H257" s="595">
        <f ca="1" t="shared" si="204"/>
        <v>0</v>
      </c>
      <c r="I257" s="595">
        <f ca="1" t="shared" si="192"/>
        <v>13314.3423310373</v>
      </c>
      <c r="J257" s="595">
        <f ca="1" t="shared" si="194"/>
        <v>2344.16299924205</v>
      </c>
      <c r="K257" s="595">
        <f>'[6]GFA &amp; Dep-MYT 5th Control'!$H$184</f>
        <v>820.393997164436</v>
      </c>
      <c r="L257" s="595">
        <f ca="1" t="shared" si="204"/>
        <v>0</v>
      </c>
      <c r="M257" s="595">
        <f ca="1">J257+K257-L257</f>
        <v>3164.55699640649</v>
      </c>
      <c r="N257" s="595">
        <f ca="1">F257-J257</f>
        <v>7729.38117737195</v>
      </c>
      <c r="O257" s="595">
        <f ca="1">I257-M257</f>
        <v>10149.7853346308</v>
      </c>
    </row>
    <row r="258" ht="15" spans="2:15">
      <c r="B258" s="603">
        <v>11</v>
      </c>
      <c r="C258" s="563" t="s">
        <v>793</v>
      </c>
      <c r="D258" s="604"/>
      <c r="E258" s="459"/>
      <c r="F258" s="595">
        <f ca="1" t="shared" si="190"/>
        <v>7.08</v>
      </c>
      <c r="G258" s="595">
        <f ca="1" t="shared" ref="G258:L258" si="205">G575+G892</f>
        <v>0</v>
      </c>
      <c r="H258" s="595">
        <f ca="1" t="shared" si="205"/>
        <v>0</v>
      </c>
      <c r="I258" s="595">
        <f ca="1" t="shared" si="192"/>
        <v>7.08</v>
      </c>
      <c r="J258" s="595">
        <f ca="1" t="shared" si="194"/>
        <v>6.833210851</v>
      </c>
      <c r="K258" s="595">
        <f>'[6]GFA &amp; Dep-MYT 5th Control'!$H$191</f>
        <v>0</v>
      </c>
      <c r="L258" s="595">
        <f ca="1" t="shared" si="205"/>
        <v>0</v>
      </c>
      <c r="M258" s="595">
        <f ca="1">J258+K258-L258</f>
        <v>6.833210851</v>
      </c>
      <c r="N258" s="595">
        <f ca="1">F258-J258</f>
        <v>0.246789149</v>
      </c>
      <c r="O258" s="595">
        <f ca="1">I258-M258</f>
        <v>0.246789149</v>
      </c>
    </row>
    <row r="259" ht="15" spans="2:15">
      <c r="B259" s="603">
        <v>12</v>
      </c>
      <c r="C259" s="563" t="s">
        <v>794</v>
      </c>
      <c r="D259" s="604"/>
      <c r="E259" s="459"/>
      <c r="F259" s="595">
        <f t="shared" si="190"/>
        <v>0</v>
      </c>
      <c r="G259" s="595"/>
      <c r="H259" s="595"/>
      <c r="I259" s="595"/>
      <c r="J259" s="595">
        <f t="shared" si="194"/>
        <v>0</v>
      </c>
      <c r="K259" s="595"/>
      <c r="L259" s="595"/>
      <c r="M259" s="595"/>
      <c r="N259" s="595"/>
      <c r="O259" s="595"/>
    </row>
    <row r="260" ht="15" spans="2:15">
      <c r="B260" s="603"/>
      <c r="C260" s="565" t="s">
        <v>795</v>
      </c>
      <c r="D260" s="604"/>
      <c r="E260" s="459"/>
      <c r="F260" s="595">
        <f ca="1" t="shared" si="190"/>
        <v>2.6</v>
      </c>
      <c r="G260" s="595">
        <f ca="1" t="shared" ref="G260:L261" si="206">G577+G894</f>
        <v>0</v>
      </c>
      <c r="H260" s="595">
        <f ca="1" t="shared" si="206"/>
        <v>0</v>
      </c>
      <c r="I260" s="595">
        <f ca="1" t="shared" si="192"/>
        <v>2.6</v>
      </c>
      <c r="J260" s="595">
        <f ca="1" t="shared" si="194"/>
        <v>1.701644132</v>
      </c>
      <c r="K260" s="595">
        <f ca="1" t="shared" si="206"/>
        <v>0</v>
      </c>
      <c r="L260" s="595">
        <f ca="1" t="shared" si="206"/>
        <v>0</v>
      </c>
      <c r="M260" s="595">
        <f ca="1">J260+K260-L260</f>
        <v>1.701644132</v>
      </c>
      <c r="N260" s="595">
        <f ca="1">F260-J260</f>
        <v>0.898355868</v>
      </c>
      <c r="O260" s="595">
        <f ca="1">I260-M260</f>
        <v>0.898355868</v>
      </c>
    </row>
    <row r="261" ht="15" spans="2:15">
      <c r="B261" s="603"/>
      <c r="C261" s="565" t="s">
        <v>796</v>
      </c>
      <c r="D261" s="604"/>
      <c r="E261" s="459"/>
      <c r="F261" s="595">
        <f ca="1" t="shared" si="190"/>
        <v>0</v>
      </c>
      <c r="G261" s="595">
        <f ca="1" t="shared" si="206"/>
        <v>0</v>
      </c>
      <c r="H261" s="595">
        <f ca="1" t="shared" si="206"/>
        <v>0</v>
      </c>
      <c r="I261" s="595">
        <f ca="1" t="shared" si="192"/>
        <v>0</v>
      </c>
      <c r="J261" s="595">
        <f ca="1" t="shared" si="194"/>
        <v>0</v>
      </c>
      <c r="K261" s="595">
        <f ca="1" t="shared" si="206"/>
        <v>0</v>
      </c>
      <c r="L261" s="595">
        <f ca="1" t="shared" si="206"/>
        <v>0</v>
      </c>
      <c r="M261" s="595">
        <f ca="1">J261+K261-L261</f>
        <v>0</v>
      </c>
      <c r="N261" s="595">
        <f ca="1">F261-J261</f>
        <v>0</v>
      </c>
      <c r="O261" s="595">
        <f ca="1">I261-M261</f>
        <v>0</v>
      </c>
    </row>
    <row r="262" ht="15" spans="2:15">
      <c r="B262" s="603">
        <v>13</v>
      </c>
      <c r="C262" s="565"/>
      <c r="D262" s="604"/>
      <c r="E262" s="459"/>
      <c r="F262" s="595">
        <f t="shared" si="190"/>
        <v>0</v>
      </c>
      <c r="G262" s="595"/>
      <c r="H262" s="595"/>
      <c r="I262" s="595"/>
      <c r="J262" s="595">
        <f t="shared" si="194"/>
        <v>0</v>
      </c>
      <c r="K262" s="595"/>
      <c r="L262" s="595"/>
      <c r="M262" s="595"/>
      <c r="N262" s="595"/>
      <c r="O262" s="595"/>
    </row>
    <row r="263" ht="15" spans="2:15">
      <c r="B263" s="603"/>
      <c r="C263" s="565" t="s">
        <v>797</v>
      </c>
      <c r="D263" s="604"/>
      <c r="E263" s="459"/>
      <c r="F263" s="595">
        <f ca="1" t="shared" si="190"/>
        <v>17.25</v>
      </c>
      <c r="G263" s="595">
        <f ca="1" t="shared" ref="G263:L264" si="207">G580+G897</f>
        <v>0</v>
      </c>
      <c r="H263" s="595">
        <f ca="1" t="shared" si="207"/>
        <v>0</v>
      </c>
      <c r="I263" s="595">
        <f ca="1" t="shared" si="192"/>
        <v>17.25</v>
      </c>
      <c r="J263" s="595">
        <f ca="1" t="shared" si="194"/>
        <v>13.458035385</v>
      </c>
      <c r="K263" s="595">
        <f>'[6]GFA &amp; Dep-MYT 5th Control'!$H$192</f>
        <v>0.405165171</v>
      </c>
      <c r="L263" s="595">
        <f ca="1" t="shared" si="207"/>
        <v>0</v>
      </c>
      <c r="M263" s="595">
        <f ca="1" t="shared" ref="M263:M273" si="208">J263+K263-L263</f>
        <v>13.863200556</v>
      </c>
      <c r="N263" s="595">
        <f ca="1">F263-J263</f>
        <v>3.791964615</v>
      </c>
      <c r="O263" s="595">
        <f ca="1">I263-M263</f>
        <v>3.386799444</v>
      </c>
    </row>
    <row r="264" ht="15" spans="2:15">
      <c r="B264" s="603"/>
      <c r="C264" s="565" t="s">
        <v>798</v>
      </c>
      <c r="D264" s="604"/>
      <c r="E264" s="459"/>
      <c r="F264" s="595">
        <f ca="1" t="shared" si="190"/>
        <v>51.9788196397093</v>
      </c>
      <c r="G264" s="595">
        <f>'[6]GFA &amp; Dep-MYT 5th Control'!$P$37</f>
        <v>0.239268484883315</v>
      </c>
      <c r="H264" s="595">
        <f ca="1" t="shared" si="207"/>
        <v>0</v>
      </c>
      <c r="I264" s="595">
        <f ca="1" t="shared" si="192"/>
        <v>52.2180881245926</v>
      </c>
      <c r="J264" s="595">
        <f ca="1" t="shared" si="194"/>
        <v>39.4161938733084</v>
      </c>
      <c r="K264" s="595">
        <f>'[6]GFA &amp; Dep-MYT 5th Control'!$H$193</f>
        <v>1.39702427939359</v>
      </c>
      <c r="L264" s="595">
        <f ca="1" t="shared" si="207"/>
        <v>0</v>
      </c>
      <c r="M264" s="595">
        <f ca="1" t="shared" si="208"/>
        <v>40.813218152702</v>
      </c>
      <c r="N264" s="595">
        <f ca="1">F264-J264</f>
        <v>12.5626257664009</v>
      </c>
      <c r="O264" s="595">
        <f ca="1">I264-M264</f>
        <v>11.4048699718907</v>
      </c>
    </row>
    <row r="265" ht="15" spans="2:15">
      <c r="B265" s="603"/>
      <c r="C265" s="565" t="s">
        <v>799</v>
      </c>
      <c r="D265" s="604"/>
      <c r="E265" s="459"/>
      <c r="F265" s="595">
        <f ca="1" t="shared" si="190"/>
        <v>0</v>
      </c>
      <c r="G265" s="595">
        <f ca="1" t="shared" ref="G265:L266" si="209">G582+G899</f>
        <v>0</v>
      </c>
      <c r="H265" s="595">
        <f ca="1" t="shared" si="209"/>
        <v>0</v>
      </c>
      <c r="I265" s="595">
        <f ca="1" t="shared" si="192"/>
        <v>0</v>
      </c>
      <c r="J265" s="595">
        <f ca="1" t="shared" si="194"/>
        <v>0</v>
      </c>
      <c r="K265" s="595">
        <f ca="1" t="shared" si="209"/>
        <v>0</v>
      </c>
      <c r="L265" s="595">
        <f ca="1" t="shared" si="209"/>
        <v>0</v>
      </c>
      <c r="M265" s="595">
        <f ca="1" t="shared" si="208"/>
        <v>0</v>
      </c>
      <c r="N265" s="595">
        <f ca="1">F265-J265</f>
        <v>0</v>
      </c>
      <c r="O265" s="595">
        <f ca="1">I265-M265</f>
        <v>0</v>
      </c>
    </row>
    <row r="266" ht="15" spans="2:15">
      <c r="B266" s="603"/>
      <c r="C266" s="565" t="s">
        <v>800</v>
      </c>
      <c r="D266" s="604"/>
      <c r="E266" s="459"/>
      <c r="F266" s="595">
        <f ca="1" t="shared" si="190"/>
        <v>0</v>
      </c>
      <c r="G266" s="595">
        <f ca="1" t="shared" si="209"/>
        <v>0</v>
      </c>
      <c r="H266" s="595">
        <f ca="1" t="shared" si="209"/>
        <v>0</v>
      </c>
      <c r="I266" s="595">
        <f ca="1" t="shared" si="192"/>
        <v>0</v>
      </c>
      <c r="J266" s="595">
        <f ca="1" t="shared" si="194"/>
        <v>0</v>
      </c>
      <c r="K266" s="595">
        <f ca="1" t="shared" si="209"/>
        <v>0</v>
      </c>
      <c r="L266" s="595">
        <f ca="1" t="shared" si="209"/>
        <v>0</v>
      </c>
      <c r="M266" s="595">
        <f ca="1" t="shared" si="208"/>
        <v>0</v>
      </c>
      <c r="N266" s="595">
        <f ca="1">F266-J266</f>
        <v>0</v>
      </c>
      <c r="O266" s="595">
        <f ca="1">I266-M266</f>
        <v>0</v>
      </c>
    </row>
    <row r="267" ht="15" spans="2:15">
      <c r="B267" s="603">
        <v>14</v>
      </c>
      <c r="C267" s="563" t="s">
        <v>801</v>
      </c>
      <c r="D267" s="604"/>
      <c r="E267" s="459"/>
      <c r="F267" s="595">
        <f t="shared" si="190"/>
        <v>0</v>
      </c>
      <c r="G267" s="595"/>
      <c r="H267" s="595"/>
      <c r="I267" s="595"/>
      <c r="J267" s="595">
        <f t="shared" si="194"/>
        <v>0</v>
      </c>
      <c r="K267" s="595"/>
      <c r="L267" s="595"/>
      <c r="M267" s="595"/>
      <c r="N267" s="595"/>
      <c r="O267" s="595"/>
    </row>
    <row r="268" ht="15" spans="2:15">
      <c r="B268" s="603"/>
      <c r="C268" s="565" t="s">
        <v>802</v>
      </c>
      <c r="D268" s="604"/>
      <c r="E268" s="459"/>
      <c r="F268" s="595">
        <f ca="1" t="shared" si="190"/>
        <v>0</v>
      </c>
      <c r="G268" s="595">
        <f ca="1" t="shared" ref="G268:L271" si="210">G585+G902</f>
        <v>0</v>
      </c>
      <c r="H268" s="595">
        <f ca="1" t="shared" si="210"/>
        <v>0</v>
      </c>
      <c r="I268" s="595">
        <f ca="1" t="shared" si="192"/>
        <v>0</v>
      </c>
      <c r="J268" s="595">
        <f ca="1" t="shared" si="194"/>
        <v>0</v>
      </c>
      <c r="K268" s="595">
        <f ca="1" t="shared" si="210"/>
        <v>0</v>
      </c>
      <c r="L268" s="595">
        <f ca="1" t="shared" si="210"/>
        <v>0</v>
      </c>
      <c r="M268" s="595">
        <f ca="1" t="shared" si="208"/>
        <v>0</v>
      </c>
      <c r="N268" s="595">
        <f ca="1" t="shared" ref="N268:N273" si="211">F268-J268</f>
        <v>0</v>
      </c>
      <c r="O268" s="595">
        <f ca="1" t="shared" ref="O268:O273" si="212">I268-M268</f>
        <v>0</v>
      </c>
    </row>
    <row r="269" ht="15" spans="2:15">
      <c r="B269" s="603"/>
      <c r="C269" s="565" t="s">
        <v>803</v>
      </c>
      <c r="D269" s="604"/>
      <c r="E269" s="459"/>
      <c r="F269" s="595">
        <f ca="1" t="shared" si="190"/>
        <v>0</v>
      </c>
      <c r="G269" s="595">
        <f ca="1" t="shared" si="210"/>
        <v>0</v>
      </c>
      <c r="H269" s="595">
        <f ca="1" t="shared" si="210"/>
        <v>0</v>
      </c>
      <c r="I269" s="595">
        <f ca="1" t="shared" si="192"/>
        <v>0</v>
      </c>
      <c r="J269" s="595">
        <f ca="1" t="shared" si="194"/>
        <v>0</v>
      </c>
      <c r="K269" s="595">
        <f ca="1" t="shared" si="210"/>
        <v>0</v>
      </c>
      <c r="L269" s="595">
        <f ca="1" t="shared" si="210"/>
        <v>0</v>
      </c>
      <c r="M269" s="595">
        <f ca="1" t="shared" si="208"/>
        <v>0</v>
      </c>
      <c r="N269" s="595">
        <f ca="1" t="shared" si="211"/>
        <v>0</v>
      </c>
      <c r="O269" s="595">
        <f ca="1" t="shared" si="212"/>
        <v>0</v>
      </c>
    </row>
    <row r="270" ht="15" spans="2:15">
      <c r="B270" s="603"/>
      <c r="C270" s="565" t="s">
        <v>804</v>
      </c>
      <c r="D270" s="604"/>
      <c r="E270" s="459"/>
      <c r="F270" s="595">
        <f ca="1" t="shared" si="190"/>
        <v>0</v>
      </c>
      <c r="G270" s="595">
        <f ca="1" t="shared" si="210"/>
        <v>0</v>
      </c>
      <c r="H270" s="595">
        <f ca="1" t="shared" si="210"/>
        <v>0</v>
      </c>
      <c r="I270" s="595">
        <f ca="1" t="shared" si="192"/>
        <v>0</v>
      </c>
      <c r="J270" s="595">
        <f ca="1" t="shared" si="194"/>
        <v>0</v>
      </c>
      <c r="K270" s="595">
        <f ca="1" t="shared" si="210"/>
        <v>0</v>
      </c>
      <c r="L270" s="595">
        <f ca="1" t="shared" si="210"/>
        <v>0</v>
      </c>
      <c r="M270" s="595">
        <f ca="1" t="shared" si="208"/>
        <v>0</v>
      </c>
      <c r="N270" s="595">
        <f ca="1" t="shared" si="211"/>
        <v>0</v>
      </c>
      <c r="O270" s="595">
        <f ca="1" t="shared" si="212"/>
        <v>0</v>
      </c>
    </row>
    <row r="271" ht="15" spans="2:15">
      <c r="B271" s="603">
        <v>15</v>
      </c>
      <c r="C271" s="563" t="s">
        <v>805</v>
      </c>
      <c r="D271" s="604"/>
      <c r="E271" s="459"/>
      <c r="F271" s="595">
        <f ca="1" t="shared" si="190"/>
        <v>233.373432955069</v>
      </c>
      <c r="G271" s="595">
        <f>'[6]GFA &amp; Dep-MYT 5th Control'!$P$40</f>
        <v>18.7908650018116</v>
      </c>
      <c r="H271" s="595">
        <f ca="1" t="shared" si="210"/>
        <v>0</v>
      </c>
      <c r="I271" s="595">
        <f ca="1" t="shared" si="192"/>
        <v>252.16429795688</v>
      </c>
      <c r="J271" s="595">
        <f ca="1" t="shared" si="194"/>
        <v>188.521142394772</v>
      </c>
      <c r="K271" s="595">
        <f>'[6]GFA &amp; Dep-MYT 5th Control'!$H$195</f>
        <v>10.6476395233961</v>
      </c>
      <c r="L271" s="595">
        <f ca="1" t="shared" si="210"/>
        <v>0</v>
      </c>
      <c r="M271" s="595">
        <f ca="1" t="shared" si="208"/>
        <v>199.168781918168</v>
      </c>
      <c r="N271" s="595">
        <f ca="1" t="shared" si="211"/>
        <v>44.8522905602962</v>
      </c>
      <c r="O271" s="595">
        <f ca="1" t="shared" si="212"/>
        <v>52.9955160387117</v>
      </c>
    </row>
    <row r="272" ht="15" spans="2:15">
      <c r="B272" s="603">
        <v>16</v>
      </c>
      <c r="C272" s="563" t="s">
        <v>806</v>
      </c>
      <c r="D272" s="596"/>
      <c r="E272" s="459"/>
      <c r="F272" s="595">
        <f ca="1" t="shared" si="190"/>
        <v>70.8</v>
      </c>
      <c r="G272" s="595">
        <f ca="1" t="shared" ref="G272:L273" si="213">G589+G906</f>
        <v>0</v>
      </c>
      <c r="H272" s="595">
        <f ca="1" t="shared" si="213"/>
        <v>0</v>
      </c>
      <c r="I272" s="595">
        <f ca="1" t="shared" si="192"/>
        <v>70.8</v>
      </c>
      <c r="J272" s="595">
        <f ca="1" t="shared" si="194"/>
        <v>62.573560521</v>
      </c>
      <c r="K272" s="595">
        <f>'[6]GFA &amp; Dep-MYT 5th Control'!$H$174</f>
        <v>3.046486616</v>
      </c>
      <c r="L272" s="595">
        <f ca="1" t="shared" si="213"/>
        <v>0</v>
      </c>
      <c r="M272" s="595">
        <f ca="1" t="shared" si="208"/>
        <v>65.620047137</v>
      </c>
      <c r="N272" s="595">
        <f ca="1" t="shared" si="211"/>
        <v>8.22643947899999</v>
      </c>
      <c r="O272" s="595">
        <f ca="1" t="shared" si="212"/>
        <v>5.179952863</v>
      </c>
    </row>
    <row r="273" ht="15" spans="2:15">
      <c r="B273" s="603">
        <v>17</v>
      </c>
      <c r="C273" s="563" t="s">
        <v>807</v>
      </c>
      <c r="D273" s="596"/>
      <c r="E273" s="426"/>
      <c r="F273" s="595">
        <f ca="1" t="shared" si="190"/>
        <v>0</v>
      </c>
      <c r="G273" s="595">
        <f ca="1" t="shared" si="213"/>
        <v>0</v>
      </c>
      <c r="H273" s="595">
        <f ca="1" t="shared" si="213"/>
        <v>0</v>
      </c>
      <c r="I273" s="595">
        <f ca="1" t="shared" si="192"/>
        <v>0</v>
      </c>
      <c r="J273" s="595">
        <f ca="1" t="shared" si="194"/>
        <v>4.466468187</v>
      </c>
      <c r="K273" s="595">
        <f ca="1" t="shared" si="213"/>
        <v>0</v>
      </c>
      <c r="L273" s="595">
        <f ca="1" t="shared" si="213"/>
        <v>0</v>
      </c>
      <c r="M273" s="595">
        <f ca="1" t="shared" si="208"/>
        <v>4.466468187</v>
      </c>
      <c r="N273" s="595">
        <f ca="1" t="shared" si="211"/>
        <v>-4.466468187</v>
      </c>
      <c r="O273" s="595">
        <f ca="1" t="shared" si="212"/>
        <v>-4.466468187</v>
      </c>
    </row>
    <row r="274" ht="15.75" spans="2:15">
      <c r="B274" s="608"/>
      <c r="C274" s="609" t="s">
        <v>97</v>
      </c>
      <c r="D274" s="609"/>
      <c r="E274" s="610"/>
      <c r="F274" s="613">
        <f ca="1">SUM(F234:F273)</f>
        <v>39284.8710718278</v>
      </c>
      <c r="G274" s="612">
        <f ca="1" t="shared" ref="G274:O274" si="214">SUM(G234:G273)</f>
        <v>7408.90183874306</v>
      </c>
      <c r="H274" s="612">
        <f ca="1" t="shared" si="214"/>
        <v>0</v>
      </c>
      <c r="I274" s="612">
        <f ca="1" t="shared" si="214"/>
        <v>46693.7729105709</v>
      </c>
      <c r="J274" s="612">
        <f ca="1" t="shared" si="214"/>
        <v>15018.4626781394</v>
      </c>
      <c r="K274" s="612">
        <f ca="1" t="shared" si="214"/>
        <v>1902.65120463359</v>
      </c>
      <c r="L274" s="612">
        <f ca="1" t="shared" si="214"/>
        <v>0</v>
      </c>
      <c r="M274" s="612">
        <f ca="1" t="shared" si="214"/>
        <v>16921.113882773</v>
      </c>
      <c r="N274" s="612">
        <f ca="1" t="shared" si="214"/>
        <v>24266.4083936884</v>
      </c>
      <c r="O274" s="612">
        <f ca="1" t="shared" si="214"/>
        <v>29772.6590277979</v>
      </c>
    </row>
    <row r="276" ht="15" spans="2:15">
      <c r="B276" s="584" t="s">
        <v>657</v>
      </c>
      <c r="C276" s="585"/>
      <c r="D276" s="585"/>
      <c r="E276" s="585"/>
      <c r="F276" s="585"/>
      <c r="G276" s="585"/>
      <c r="H276" s="585"/>
      <c r="I276" s="585"/>
      <c r="J276" s="585"/>
      <c r="K276" s="585"/>
      <c r="L276" s="585"/>
      <c r="M276" s="585"/>
      <c r="N276" s="585"/>
      <c r="O276" s="605"/>
    </row>
    <row r="277" ht="14.1" customHeight="1" spans="2:15">
      <c r="B277" s="586" t="s">
        <v>564</v>
      </c>
      <c r="C277" s="979" t="s">
        <v>671</v>
      </c>
      <c r="D277" s="588" t="s">
        <v>672</v>
      </c>
      <c r="E277" s="588" t="s">
        <v>673</v>
      </c>
      <c r="F277" s="588" t="s">
        <v>674</v>
      </c>
      <c r="G277" s="588"/>
      <c r="H277" s="588"/>
      <c r="I277" s="588"/>
      <c r="J277" s="588" t="s">
        <v>675</v>
      </c>
      <c r="K277" s="588"/>
      <c r="L277" s="588"/>
      <c r="M277" s="588"/>
      <c r="N277" s="588" t="s">
        <v>676</v>
      </c>
      <c r="O277" s="606"/>
    </row>
    <row r="278" ht="60.75" spans="2:15">
      <c r="B278" s="589"/>
      <c r="C278" s="590"/>
      <c r="D278" s="591"/>
      <c r="E278" s="591"/>
      <c r="F278" s="591" t="s">
        <v>677</v>
      </c>
      <c r="G278" s="591" t="s">
        <v>678</v>
      </c>
      <c r="H278" s="591" t="s">
        <v>679</v>
      </c>
      <c r="I278" s="591" t="s">
        <v>680</v>
      </c>
      <c r="J278" s="591" t="s">
        <v>681</v>
      </c>
      <c r="K278" s="591" t="s">
        <v>678</v>
      </c>
      <c r="L278" s="591" t="s">
        <v>682</v>
      </c>
      <c r="M278" s="591" t="s">
        <v>683</v>
      </c>
      <c r="N278" s="591" t="s">
        <v>677</v>
      </c>
      <c r="O278" s="607" t="s">
        <v>680</v>
      </c>
    </row>
    <row r="279" ht="15" spans="2:15">
      <c r="B279" s="592">
        <v>1</v>
      </c>
      <c r="C279" s="575" t="s">
        <v>684</v>
      </c>
      <c r="D279" s="593"/>
      <c r="E279" s="594"/>
      <c r="F279" s="595">
        <f ca="1">I234</f>
        <v>306.773524187939</v>
      </c>
      <c r="G279" s="595">
        <f>'[6]GFA &amp; Dep-MYT 5th Control'!$Q$39</f>
        <v>89.1418580044267</v>
      </c>
      <c r="H279" s="595">
        <f ca="1" t="shared" ref="H279:L279" si="215">H596+H913</f>
        <v>0</v>
      </c>
      <c r="I279" s="595">
        <f ca="1">F279+G279-H279</f>
        <v>395.915382192366</v>
      </c>
      <c r="J279" s="595">
        <f ca="1">M234</f>
        <v>0.00489906200000156</v>
      </c>
      <c r="K279" s="595">
        <f>'[6]GFA &amp; Dep-MYT 5th Control'!$I$172</f>
        <v>0</v>
      </c>
      <c r="L279" s="595">
        <f ca="1" t="shared" si="215"/>
        <v>0</v>
      </c>
      <c r="M279" s="595">
        <f ca="1">J279+K279-L279</f>
        <v>0.00489906200000156</v>
      </c>
      <c r="N279" s="595">
        <f ca="1">F279-J279</f>
        <v>306.768625125939</v>
      </c>
      <c r="O279" s="595">
        <f ca="1" t="shared" ref="O279:O280" si="216">I279-M279</f>
        <v>395.910483130366</v>
      </c>
    </row>
    <row r="280" ht="15" spans="2:15">
      <c r="B280" s="592">
        <v>2</v>
      </c>
      <c r="C280" s="575" t="s">
        <v>770</v>
      </c>
      <c r="D280" s="596"/>
      <c r="E280" s="597"/>
      <c r="F280" s="595">
        <f ca="1" t="shared" ref="F280:F318" si="217">I235</f>
        <v>0</v>
      </c>
      <c r="G280" s="595">
        <f ca="1" t="shared" ref="G280:L280" si="218">G597+G914</f>
        <v>0</v>
      </c>
      <c r="H280" s="595">
        <f ca="1" t="shared" si="218"/>
        <v>0</v>
      </c>
      <c r="I280" s="595">
        <f ca="1">F280+G280-H280</f>
        <v>0</v>
      </c>
      <c r="J280" s="595">
        <f ca="1" t="shared" ref="J280:J318" si="219">M235</f>
        <v>0</v>
      </c>
      <c r="K280" s="595">
        <f ca="1" t="shared" si="218"/>
        <v>0</v>
      </c>
      <c r="L280" s="595">
        <f ca="1" t="shared" si="218"/>
        <v>0</v>
      </c>
      <c r="M280" s="595">
        <f ca="1">J280+K280-L280</f>
        <v>0</v>
      </c>
      <c r="N280" s="595">
        <f ca="1">F280-J280</f>
        <v>0</v>
      </c>
      <c r="O280" s="595">
        <f ca="1" t="shared" si="216"/>
        <v>0</v>
      </c>
    </row>
    <row r="281" ht="15" spans="2:15">
      <c r="B281" s="592">
        <v>3</v>
      </c>
      <c r="C281" s="577" t="s">
        <v>771</v>
      </c>
      <c r="D281" s="596"/>
      <c r="E281" s="459"/>
      <c r="F281" s="595">
        <f t="shared" si="217"/>
        <v>0</v>
      </c>
      <c r="G281" s="595"/>
      <c r="H281" s="595"/>
      <c r="I281" s="595"/>
      <c r="J281" s="595">
        <f t="shared" si="219"/>
        <v>0</v>
      </c>
      <c r="K281" s="595"/>
      <c r="L281" s="595"/>
      <c r="M281" s="595"/>
      <c r="N281" s="595"/>
      <c r="O281" s="595"/>
    </row>
    <row r="282" ht="15" spans="2:15">
      <c r="B282" s="592"/>
      <c r="C282" s="598" t="s">
        <v>772</v>
      </c>
      <c r="D282" s="596"/>
      <c r="E282" s="459"/>
      <c r="F282" s="595">
        <f ca="1" t="shared" si="217"/>
        <v>652.048587831679</v>
      </c>
      <c r="G282" s="595">
        <f>'[6]GFA &amp; Dep-MYT 5th Control'!$Q$38</f>
        <v>83.0706865104163</v>
      </c>
      <c r="H282" s="595">
        <f ca="1" t="shared" ref="H282:L282" si="220">H599+H916</f>
        <v>0</v>
      </c>
      <c r="I282" s="595">
        <f ca="1" t="shared" ref="I282:I285" si="221">F282+G282-H282</f>
        <v>735.119274342095</v>
      </c>
      <c r="J282" s="595">
        <f ca="1" t="shared" si="219"/>
        <v>221.42732997949</v>
      </c>
      <c r="K282" s="595">
        <f>'[6]GFA &amp; Dep-MYT 5th Control'!$I$173</f>
        <v>22.6979800769291</v>
      </c>
      <c r="L282" s="595">
        <f ca="1" t="shared" si="220"/>
        <v>0</v>
      </c>
      <c r="M282" s="595">
        <f ca="1">J282+K282-L282</f>
        <v>244.125310056419</v>
      </c>
      <c r="N282" s="595">
        <f ca="1" t="shared" ref="N282:N285" si="222">F282-J282</f>
        <v>430.621257852189</v>
      </c>
      <c r="O282" s="595">
        <f ca="1" t="shared" ref="O282:O285" si="223">I282-M282</f>
        <v>490.993964285676</v>
      </c>
    </row>
    <row r="283" ht="28.5" spans="2:15">
      <c r="B283" s="592"/>
      <c r="C283" s="598" t="s">
        <v>773</v>
      </c>
      <c r="D283" s="596"/>
      <c r="E283" s="459"/>
      <c r="F283" s="595">
        <f ca="1" t="shared" si="217"/>
        <v>0</v>
      </c>
      <c r="G283" s="595">
        <f ca="1" t="shared" ref="G283:L285" si="224">G600+G917</f>
        <v>0</v>
      </c>
      <c r="H283" s="595">
        <f ca="1" t="shared" si="224"/>
        <v>0</v>
      </c>
      <c r="I283" s="595">
        <f ca="1" t="shared" si="221"/>
        <v>0</v>
      </c>
      <c r="J283" s="595">
        <f ca="1" t="shared" si="219"/>
        <v>0</v>
      </c>
      <c r="K283" s="595">
        <f ca="1" t="shared" si="224"/>
        <v>0</v>
      </c>
      <c r="L283" s="595">
        <f ca="1" t="shared" si="224"/>
        <v>0</v>
      </c>
      <c r="M283" s="595">
        <f ca="1">J283+K283-L283</f>
        <v>0</v>
      </c>
      <c r="N283" s="595">
        <f ca="1" t="shared" si="222"/>
        <v>0</v>
      </c>
      <c r="O283" s="595">
        <f ca="1" t="shared" si="223"/>
        <v>0</v>
      </c>
    </row>
    <row r="284" ht="15" spans="2:15">
      <c r="B284" s="592"/>
      <c r="C284" s="598" t="s">
        <v>774</v>
      </c>
      <c r="D284" s="596"/>
      <c r="E284" s="459"/>
      <c r="F284" s="595">
        <f ca="1" t="shared" si="217"/>
        <v>0</v>
      </c>
      <c r="G284" s="595">
        <f ca="1" t="shared" si="224"/>
        <v>0</v>
      </c>
      <c r="H284" s="595">
        <f ca="1" t="shared" si="224"/>
        <v>0</v>
      </c>
      <c r="I284" s="595">
        <f ca="1" t="shared" si="221"/>
        <v>0</v>
      </c>
      <c r="J284" s="595">
        <f ca="1" t="shared" si="219"/>
        <v>0</v>
      </c>
      <c r="K284" s="595">
        <f ca="1" t="shared" si="224"/>
        <v>0</v>
      </c>
      <c r="L284" s="595">
        <f ca="1" t="shared" si="224"/>
        <v>0</v>
      </c>
      <c r="M284" s="595">
        <f ca="1">J284+K284-L284</f>
        <v>0</v>
      </c>
      <c r="N284" s="595">
        <f ca="1" t="shared" si="222"/>
        <v>0</v>
      </c>
      <c r="O284" s="595">
        <f ca="1" t="shared" si="223"/>
        <v>0</v>
      </c>
    </row>
    <row r="285" ht="15" spans="2:15">
      <c r="B285" s="592"/>
      <c r="C285" s="598" t="s">
        <v>775</v>
      </c>
      <c r="D285" s="596"/>
      <c r="E285" s="459"/>
      <c r="F285" s="595">
        <f ca="1" t="shared" si="217"/>
        <v>221.08</v>
      </c>
      <c r="G285" s="595">
        <f ca="1" t="shared" si="224"/>
        <v>0</v>
      </c>
      <c r="H285" s="595">
        <f ca="1" t="shared" si="224"/>
        <v>0</v>
      </c>
      <c r="I285" s="595">
        <f ca="1" t="shared" si="221"/>
        <v>221.08</v>
      </c>
      <c r="J285" s="595">
        <f ca="1" t="shared" si="219"/>
        <v>44.413445081</v>
      </c>
      <c r="K285" s="595">
        <f ca="1" t="shared" si="224"/>
        <v>0</v>
      </c>
      <c r="L285" s="595">
        <f ca="1" t="shared" si="224"/>
        <v>0</v>
      </c>
      <c r="M285" s="595">
        <f ca="1">J285+K285-L285</f>
        <v>44.413445081</v>
      </c>
      <c r="N285" s="595">
        <f ca="1" t="shared" si="222"/>
        <v>176.666554919</v>
      </c>
      <c r="O285" s="595">
        <f ca="1" t="shared" si="223"/>
        <v>176.666554919</v>
      </c>
    </row>
    <row r="286" ht="15" spans="2:15">
      <c r="B286" s="592">
        <v>4</v>
      </c>
      <c r="C286" s="575" t="s">
        <v>776</v>
      </c>
      <c r="D286" s="596"/>
      <c r="E286" s="459"/>
      <c r="F286" s="595">
        <f t="shared" si="217"/>
        <v>0</v>
      </c>
      <c r="G286" s="595"/>
      <c r="H286" s="595"/>
      <c r="I286" s="595"/>
      <c r="J286" s="595">
        <f t="shared" si="219"/>
        <v>0</v>
      </c>
      <c r="K286" s="595"/>
      <c r="L286" s="595"/>
      <c r="M286" s="595"/>
      <c r="N286" s="595"/>
      <c r="O286" s="595"/>
    </row>
    <row r="287" ht="15" spans="2:15">
      <c r="B287" s="592"/>
      <c r="C287" s="599" t="s">
        <v>777</v>
      </c>
      <c r="D287" s="596"/>
      <c r="E287" s="459"/>
      <c r="F287" s="595">
        <f ca="1" t="shared" si="217"/>
        <v>15626.6372676897</v>
      </c>
      <c r="G287" s="595">
        <f>'[6]GFA &amp; Dep-MYT 5th Control'!$Q$34</f>
        <v>1985.28595921048</v>
      </c>
      <c r="H287" s="595">
        <f ca="1" t="shared" ref="H287:L287" si="225">H604+H921</f>
        <v>0</v>
      </c>
      <c r="I287" s="595">
        <f ca="1">F287+G287-H287</f>
        <v>17611.9232269002</v>
      </c>
      <c r="J287" s="595">
        <f ca="1" t="shared" si="219"/>
        <v>6926.65203725449</v>
      </c>
      <c r="K287" s="595">
        <f>SUM('[6]GFA &amp; Dep-MYT 5th Control'!$I$178:$I$180)</f>
        <v>612.523301570699</v>
      </c>
      <c r="L287" s="595">
        <f ca="1" t="shared" si="225"/>
        <v>0</v>
      </c>
      <c r="M287" s="595">
        <f ca="1">J287+K287-L287</f>
        <v>7539.17533882519</v>
      </c>
      <c r="N287" s="595">
        <f ca="1">F287-J287</f>
        <v>8699.9852304352</v>
      </c>
      <c r="O287" s="595">
        <f ca="1" t="shared" ref="O287" si="226">I287-M287</f>
        <v>10072.747888075</v>
      </c>
    </row>
    <row r="288" ht="15" spans="2:15">
      <c r="B288" s="592"/>
      <c r="C288" s="575" t="s">
        <v>778</v>
      </c>
      <c r="D288" s="596"/>
      <c r="E288" s="459"/>
      <c r="F288" s="595">
        <f t="shared" si="217"/>
        <v>0</v>
      </c>
      <c r="G288" s="595"/>
      <c r="H288" s="595"/>
      <c r="I288" s="595"/>
      <c r="J288" s="595">
        <f t="shared" si="219"/>
        <v>0</v>
      </c>
      <c r="K288" s="595"/>
      <c r="L288" s="595"/>
      <c r="M288" s="595"/>
      <c r="N288" s="595"/>
      <c r="O288" s="595"/>
    </row>
    <row r="289" ht="15" spans="2:15">
      <c r="B289" s="592"/>
      <c r="C289" s="599" t="s">
        <v>779</v>
      </c>
      <c r="D289" s="596"/>
      <c r="E289" s="459"/>
      <c r="F289" s="595">
        <f ca="1" t="shared" si="217"/>
        <v>0</v>
      </c>
      <c r="G289" s="595">
        <f ca="1" t="shared" ref="G289:L290" si="227">G606+G923</f>
        <v>0</v>
      </c>
      <c r="H289" s="595">
        <f ca="1" t="shared" si="227"/>
        <v>0</v>
      </c>
      <c r="I289" s="595">
        <f ca="1" t="shared" ref="I289:I290" si="228">F289+G289-H289</f>
        <v>0</v>
      </c>
      <c r="J289" s="595">
        <f ca="1" t="shared" si="219"/>
        <v>0</v>
      </c>
      <c r="K289" s="595">
        <f ca="1" t="shared" si="227"/>
        <v>0</v>
      </c>
      <c r="L289" s="595">
        <f ca="1" t="shared" si="227"/>
        <v>0</v>
      </c>
      <c r="M289" s="595">
        <f ca="1" t="shared" ref="M289:M318" si="229">J289+K289-L289</f>
        <v>0</v>
      </c>
      <c r="N289" s="595">
        <f ca="1" t="shared" ref="N289:N290" si="230">F289-J289</f>
        <v>0</v>
      </c>
      <c r="O289" s="595">
        <f ca="1" t="shared" ref="O289:O290" si="231">I289-M289</f>
        <v>0</v>
      </c>
    </row>
    <row r="290" ht="15" spans="2:15">
      <c r="B290" s="592"/>
      <c r="C290" s="599" t="s">
        <v>780</v>
      </c>
      <c r="D290" s="596"/>
      <c r="E290" s="459"/>
      <c r="F290" s="595">
        <f ca="1" t="shared" si="217"/>
        <v>0</v>
      </c>
      <c r="G290" s="595">
        <f ca="1" t="shared" si="227"/>
        <v>0</v>
      </c>
      <c r="H290" s="595">
        <f ca="1" t="shared" si="227"/>
        <v>0</v>
      </c>
      <c r="I290" s="595">
        <f ca="1" t="shared" si="228"/>
        <v>0</v>
      </c>
      <c r="J290" s="595">
        <f ca="1" t="shared" si="219"/>
        <v>0</v>
      </c>
      <c r="K290" s="595">
        <f ca="1" t="shared" si="227"/>
        <v>0</v>
      </c>
      <c r="L290" s="595">
        <f ca="1" t="shared" si="227"/>
        <v>0</v>
      </c>
      <c r="M290" s="595">
        <f ca="1" t="shared" si="229"/>
        <v>0</v>
      </c>
      <c r="N290" s="595">
        <f ca="1" t="shared" si="230"/>
        <v>0</v>
      </c>
      <c r="O290" s="595">
        <f ca="1" t="shared" si="231"/>
        <v>0</v>
      </c>
    </row>
    <row r="291" ht="15" spans="2:15">
      <c r="B291" s="592">
        <v>5</v>
      </c>
      <c r="C291" s="575" t="s">
        <v>781</v>
      </c>
      <c r="D291" s="596"/>
      <c r="E291" s="459"/>
      <c r="F291" s="595">
        <f t="shared" si="217"/>
        <v>0</v>
      </c>
      <c r="G291" s="600"/>
      <c r="H291" s="600"/>
      <c r="I291" s="600"/>
      <c r="J291" s="595">
        <f t="shared" si="219"/>
        <v>0</v>
      </c>
      <c r="K291" s="600"/>
      <c r="L291" s="600"/>
      <c r="M291" s="600"/>
      <c r="N291" s="600"/>
      <c r="O291" s="600"/>
    </row>
    <row r="292" ht="15" spans="2:15">
      <c r="B292" s="592"/>
      <c r="C292" s="599" t="s">
        <v>782</v>
      </c>
      <c r="D292" s="596"/>
      <c r="E292" s="459"/>
      <c r="F292" s="595">
        <f ca="1" t="shared" si="217"/>
        <v>0</v>
      </c>
      <c r="G292" s="595">
        <f ca="1" t="shared" ref="G292:L297" si="232">G609+G926</f>
        <v>0</v>
      </c>
      <c r="H292" s="595">
        <f ca="1" t="shared" si="232"/>
        <v>0</v>
      </c>
      <c r="I292" s="595">
        <f ca="1" t="shared" ref="I292:I311" si="233">F292+G292-H292</f>
        <v>0</v>
      </c>
      <c r="J292" s="595">
        <f ca="1" t="shared" si="219"/>
        <v>0</v>
      </c>
      <c r="K292" s="595">
        <f ca="1" t="shared" si="232"/>
        <v>0</v>
      </c>
      <c r="L292" s="595">
        <f ca="1" t="shared" si="232"/>
        <v>0</v>
      </c>
      <c r="M292" s="595">
        <f ca="1" t="shared" si="229"/>
        <v>0</v>
      </c>
      <c r="N292" s="595">
        <f ca="1" t="shared" ref="N292:N297" si="234">F292-J292</f>
        <v>0</v>
      </c>
      <c r="O292" s="595">
        <f ca="1" t="shared" ref="O292:O297" si="235">I292-M292</f>
        <v>0</v>
      </c>
    </row>
    <row r="293" ht="15" spans="2:15">
      <c r="B293" s="592"/>
      <c r="C293" s="599" t="s">
        <v>783</v>
      </c>
      <c r="D293" s="596"/>
      <c r="E293" s="459"/>
      <c r="F293" s="595">
        <f ca="1" t="shared" si="217"/>
        <v>0</v>
      </c>
      <c r="G293" s="595">
        <f ca="1" t="shared" si="232"/>
        <v>0</v>
      </c>
      <c r="H293" s="595">
        <f ca="1" t="shared" si="232"/>
        <v>0</v>
      </c>
      <c r="I293" s="595">
        <f ca="1" t="shared" si="233"/>
        <v>0</v>
      </c>
      <c r="J293" s="595">
        <f ca="1" t="shared" si="219"/>
        <v>0</v>
      </c>
      <c r="K293" s="595">
        <f ca="1" t="shared" si="232"/>
        <v>0</v>
      </c>
      <c r="L293" s="595">
        <f ca="1" t="shared" si="232"/>
        <v>0</v>
      </c>
      <c r="M293" s="595">
        <f ca="1" t="shared" si="229"/>
        <v>0</v>
      </c>
      <c r="N293" s="595">
        <f ca="1" t="shared" si="234"/>
        <v>0</v>
      </c>
      <c r="O293" s="595">
        <f ca="1" t="shared" si="235"/>
        <v>0</v>
      </c>
    </row>
    <row r="294" ht="15" spans="2:15">
      <c r="B294" s="592"/>
      <c r="C294" s="599" t="s">
        <v>784</v>
      </c>
      <c r="D294" s="596"/>
      <c r="E294" s="459"/>
      <c r="F294" s="595">
        <f ca="1" t="shared" si="217"/>
        <v>0</v>
      </c>
      <c r="G294" s="595">
        <f ca="1" t="shared" si="232"/>
        <v>0</v>
      </c>
      <c r="H294" s="595">
        <f ca="1" t="shared" si="232"/>
        <v>0</v>
      </c>
      <c r="I294" s="595">
        <f ca="1" t="shared" si="233"/>
        <v>0</v>
      </c>
      <c r="J294" s="595">
        <f ca="1" t="shared" si="219"/>
        <v>0</v>
      </c>
      <c r="K294" s="595">
        <f ca="1" t="shared" si="232"/>
        <v>0</v>
      </c>
      <c r="L294" s="595">
        <f ca="1" t="shared" si="232"/>
        <v>0</v>
      </c>
      <c r="M294" s="595">
        <f ca="1" t="shared" si="229"/>
        <v>0</v>
      </c>
      <c r="N294" s="595">
        <f ca="1" t="shared" si="234"/>
        <v>0</v>
      </c>
      <c r="O294" s="595">
        <f ca="1" t="shared" si="235"/>
        <v>0</v>
      </c>
    </row>
    <row r="295" ht="15" spans="2:15">
      <c r="B295" s="592"/>
      <c r="C295" s="599" t="s">
        <v>785</v>
      </c>
      <c r="D295" s="596"/>
      <c r="E295" s="459"/>
      <c r="F295" s="595">
        <f ca="1" t="shared" si="217"/>
        <v>0</v>
      </c>
      <c r="G295" s="595">
        <f ca="1" t="shared" si="232"/>
        <v>0</v>
      </c>
      <c r="H295" s="595">
        <f ca="1" t="shared" si="232"/>
        <v>0</v>
      </c>
      <c r="I295" s="595">
        <f ca="1" t="shared" si="233"/>
        <v>0</v>
      </c>
      <c r="J295" s="595">
        <f ca="1" t="shared" si="219"/>
        <v>0</v>
      </c>
      <c r="K295" s="595">
        <f ca="1" t="shared" si="232"/>
        <v>0</v>
      </c>
      <c r="L295" s="595">
        <f ca="1" t="shared" si="232"/>
        <v>0</v>
      </c>
      <c r="M295" s="595">
        <f ca="1" t="shared" si="229"/>
        <v>0</v>
      </c>
      <c r="N295" s="595">
        <f ca="1" t="shared" si="234"/>
        <v>0</v>
      </c>
      <c r="O295" s="595">
        <f ca="1" t="shared" si="235"/>
        <v>0</v>
      </c>
    </row>
    <row r="296" ht="15" spans="2:15">
      <c r="B296" s="592">
        <v>6</v>
      </c>
      <c r="C296" s="575" t="s">
        <v>786</v>
      </c>
      <c r="D296" s="596"/>
      <c r="E296" s="459"/>
      <c r="F296" s="595">
        <f ca="1" t="shared" si="217"/>
        <v>0</v>
      </c>
      <c r="G296" s="595">
        <f ca="1" t="shared" si="232"/>
        <v>0</v>
      </c>
      <c r="H296" s="595">
        <f ca="1" t="shared" si="232"/>
        <v>0</v>
      </c>
      <c r="I296" s="595">
        <f ca="1" t="shared" si="233"/>
        <v>0</v>
      </c>
      <c r="J296" s="595">
        <f ca="1" t="shared" si="219"/>
        <v>0</v>
      </c>
      <c r="K296" s="595">
        <f ca="1" t="shared" si="232"/>
        <v>0</v>
      </c>
      <c r="L296" s="595">
        <f ca="1" t="shared" si="232"/>
        <v>0</v>
      </c>
      <c r="M296" s="595">
        <f ca="1" t="shared" si="229"/>
        <v>0</v>
      </c>
      <c r="N296" s="595">
        <f ca="1" t="shared" si="234"/>
        <v>0</v>
      </c>
      <c r="O296" s="595">
        <f ca="1" t="shared" si="235"/>
        <v>0</v>
      </c>
    </row>
    <row r="297" ht="15" spans="2:15">
      <c r="B297" s="592">
        <v>7</v>
      </c>
      <c r="C297" s="575" t="s">
        <v>787</v>
      </c>
      <c r="D297" s="596"/>
      <c r="E297" s="459"/>
      <c r="F297" s="595">
        <f ca="1" t="shared" si="217"/>
        <v>0</v>
      </c>
      <c r="G297" s="595">
        <f ca="1" t="shared" si="232"/>
        <v>0</v>
      </c>
      <c r="H297" s="595">
        <f ca="1" t="shared" si="232"/>
        <v>0</v>
      </c>
      <c r="I297" s="595">
        <f ca="1" t="shared" si="233"/>
        <v>0</v>
      </c>
      <c r="J297" s="595">
        <f ca="1" t="shared" si="219"/>
        <v>0</v>
      </c>
      <c r="K297" s="595">
        <f ca="1" t="shared" si="232"/>
        <v>0</v>
      </c>
      <c r="L297" s="595">
        <f ca="1" t="shared" si="232"/>
        <v>0</v>
      </c>
      <c r="M297" s="595">
        <f ca="1" t="shared" si="229"/>
        <v>0</v>
      </c>
      <c r="N297" s="595">
        <f ca="1" t="shared" si="234"/>
        <v>0</v>
      </c>
      <c r="O297" s="595">
        <f ca="1" t="shared" si="235"/>
        <v>0</v>
      </c>
    </row>
    <row r="298" ht="15" spans="2:15">
      <c r="B298" s="592">
        <v>8</v>
      </c>
      <c r="C298" s="575" t="s">
        <v>788</v>
      </c>
      <c r="D298" s="596"/>
      <c r="E298" s="459"/>
      <c r="F298" s="595">
        <f t="shared" si="217"/>
        <v>0</v>
      </c>
      <c r="G298" s="595"/>
      <c r="H298" s="595"/>
      <c r="I298" s="595"/>
      <c r="J298" s="595">
        <f t="shared" si="219"/>
        <v>0</v>
      </c>
      <c r="K298" s="595"/>
      <c r="L298" s="595"/>
      <c r="M298" s="595"/>
      <c r="N298" s="595"/>
      <c r="O298" s="595"/>
    </row>
    <row r="299" ht="15" spans="2:15">
      <c r="B299" s="592"/>
      <c r="C299" s="599" t="s">
        <v>789</v>
      </c>
      <c r="D299" s="596"/>
      <c r="E299" s="459"/>
      <c r="F299" s="595">
        <f ca="1" t="shared" si="217"/>
        <v>16170.7788137428</v>
      </c>
      <c r="G299" s="595">
        <f>'[6]GFA &amp; Dep-MYT 5th Control'!$Q$35</f>
        <v>2239.71430388042</v>
      </c>
      <c r="H299" s="595">
        <f ca="1" t="shared" ref="H299:L299" si="236">H616+H933</f>
        <v>0</v>
      </c>
      <c r="I299" s="595">
        <f ca="1" t="shared" si="233"/>
        <v>18410.4931176232</v>
      </c>
      <c r="J299" s="595">
        <f ca="1" t="shared" si="219"/>
        <v>6231.59260405568</v>
      </c>
      <c r="K299" s="595">
        <f>SUM('[6]GFA &amp; Dep-MYT 5th Control'!$I$187:$I$189)</f>
        <v>563.782891975308</v>
      </c>
      <c r="L299" s="595">
        <f ca="1" t="shared" si="236"/>
        <v>0</v>
      </c>
      <c r="M299" s="595">
        <f ca="1" t="shared" si="229"/>
        <v>6795.37549603099</v>
      </c>
      <c r="N299" s="595">
        <f ca="1" t="shared" ref="N299:N303" si="237">F299-J299</f>
        <v>9939.1862096871</v>
      </c>
      <c r="O299" s="595">
        <f ca="1" t="shared" ref="O299:O303" si="238">I299-M299</f>
        <v>11615.1176215922</v>
      </c>
    </row>
    <row r="300" ht="15" spans="2:15">
      <c r="B300" s="592"/>
      <c r="C300" s="599" t="s">
        <v>808</v>
      </c>
      <c r="D300" s="596"/>
      <c r="E300" s="459"/>
      <c r="F300" s="595">
        <f ca="1" t="shared" si="217"/>
        <v>0</v>
      </c>
      <c r="G300" s="595">
        <f ca="1" t="shared" ref="G300:L302" si="239">G617+G934</f>
        <v>0</v>
      </c>
      <c r="H300" s="595">
        <f ca="1" t="shared" si="239"/>
        <v>0</v>
      </c>
      <c r="I300" s="595">
        <f ca="1" t="shared" si="233"/>
        <v>0</v>
      </c>
      <c r="J300" s="595">
        <f ca="1" t="shared" si="219"/>
        <v>0</v>
      </c>
      <c r="K300" s="595">
        <f ca="1" t="shared" si="239"/>
        <v>0</v>
      </c>
      <c r="L300" s="595">
        <f ca="1" t="shared" si="239"/>
        <v>0</v>
      </c>
      <c r="M300" s="595">
        <f ca="1" t="shared" si="229"/>
        <v>0</v>
      </c>
      <c r="N300" s="595">
        <f ca="1" t="shared" si="237"/>
        <v>0</v>
      </c>
      <c r="O300" s="595">
        <f ca="1" t="shared" si="238"/>
        <v>0</v>
      </c>
    </row>
    <row r="301" ht="30" spans="2:15">
      <c r="B301" s="601">
        <v>9</v>
      </c>
      <c r="C301" s="602" t="s">
        <v>791</v>
      </c>
      <c r="D301" s="596"/>
      <c r="E301" s="459"/>
      <c r="F301" s="595">
        <f ca="1" t="shared" si="217"/>
        <v>0</v>
      </c>
      <c r="G301" s="595">
        <f ca="1" t="shared" si="239"/>
        <v>0</v>
      </c>
      <c r="H301" s="595">
        <f ca="1" t="shared" si="239"/>
        <v>0</v>
      </c>
      <c r="I301" s="595">
        <f ca="1" t="shared" si="233"/>
        <v>0</v>
      </c>
      <c r="J301" s="595">
        <f ca="1" t="shared" si="219"/>
        <v>0</v>
      </c>
      <c r="K301" s="595">
        <f ca="1" t="shared" si="239"/>
        <v>0</v>
      </c>
      <c r="L301" s="595">
        <f ca="1" t="shared" si="239"/>
        <v>0</v>
      </c>
      <c r="M301" s="595">
        <f ca="1" t="shared" si="229"/>
        <v>0</v>
      </c>
      <c r="N301" s="595">
        <f ca="1" t="shared" si="237"/>
        <v>0</v>
      </c>
      <c r="O301" s="595">
        <f ca="1" t="shared" si="238"/>
        <v>0</v>
      </c>
    </row>
    <row r="302" ht="15" spans="2:15">
      <c r="B302" s="603">
        <v>10</v>
      </c>
      <c r="C302" s="563" t="s">
        <v>792</v>
      </c>
      <c r="D302" s="604"/>
      <c r="E302" s="459"/>
      <c r="F302" s="595">
        <f ca="1" t="shared" si="217"/>
        <v>13314.3423310373</v>
      </c>
      <c r="G302" s="595">
        <f>'[6]GFA &amp; Dep-MYT 5th Control'!$Q$36</f>
        <v>3434.61714450303</v>
      </c>
      <c r="H302" s="595">
        <f ca="1" t="shared" si="239"/>
        <v>0</v>
      </c>
      <c r="I302" s="595">
        <f ca="1" t="shared" si="233"/>
        <v>16748.9594755403</v>
      </c>
      <c r="J302" s="595">
        <f ca="1" t="shared" si="219"/>
        <v>3164.55699640649</v>
      </c>
      <c r="K302" s="595">
        <f>'[6]GFA &amp; Dep-MYT 5th Control'!$I$184</f>
        <v>1095.13742890232</v>
      </c>
      <c r="L302" s="595">
        <f ca="1" t="shared" si="239"/>
        <v>0</v>
      </c>
      <c r="M302" s="595">
        <f ca="1" t="shared" si="229"/>
        <v>4259.69442530881</v>
      </c>
      <c r="N302" s="595">
        <f ca="1" t="shared" si="237"/>
        <v>10149.7853346308</v>
      </c>
      <c r="O302" s="595">
        <f ca="1" t="shared" si="238"/>
        <v>12489.2650502315</v>
      </c>
    </row>
    <row r="303" ht="15" spans="2:15">
      <c r="B303" s="603">
        <v>11</v>
      </c>
      <c r="C303" s="563" t="s">
        <v>793</v>
      </c>
      <c r="D303" s="604"/>
      <c r="E303" s="459"/>
      <c r="F303" s="595">
        <f ca="1" t="shared" si="217"/>
        <v>7.08</v>
      </c>
      <c r="G303" s="595">
        <f ca="1" t="shared" ref="G303:L303" si="240">G620+G937</f>
        <v>0</v>
      </c>
      <c r="H303" s="595">
        <f ca="1" t="shared" si="240"/>
        <v>0</v>
      </c>
      <c r="I303" s="595">
        <f ca="1" t="shared" si="233"/>
        <v>7.08</v>
      </c>
      <c r="J303" s="595">
        <f ca="1" t="shared" si="219"/>
        <v>6.833210851</v>
      </c>
      <c r="K303" s="595">
        <f>'[6]GFA &amp; Dep-MYT 5th Control'!$I$191</f>
        <v>0</v>
      </c>
      <c r="L303" s="595">
        <f ca="1" t="shared" si="240"/>
        <v>0</v>
      </c>
      <c r="M303" s="595">
        <f ca="1" t="shared" si="229"/>
        <v>6.833210851</v>
      </c>
      <c r="N303" s="595">
        <f ca="1" t="shared" si="237"/>
        <v>0.246789149</v>
      </c>
      <c r="O303" s="595">
        <f ca="1" t="shared" si="238"/>
        <v>0.246789149</v>
      </c>
    </row>
    <row r="304" ht="15" spans="2:15">
      <c r="B304" s="603">
        <v>12</v>
      </c>
      <c r="C304" s="563" t="s">
        <v>794</v>
      </c>
      <c r="D304" s="604"/>
      <c r="E304" s="459"/>
      <c r="F304" s="595">
        <f t="shared" si="217"/>
        <v>0</v>
      </c>
      <c r="G304" s="595"/>
      <c r="H304" s="595"/>
      <c r="I304" s="595"/>
      <c r="J304" s="595">
        <f t="shared" si="219"/>
        <v>0</v>
      </c>
      <c r="K304" s="595"/>
      <c r="L304" s="595"/>
      <c r="M304" s="595"/>
      <c r="N304" s="595"/>
      <c r="O304" s="595"/>
    </row>
    <row r="305" ht="15" spans="2:15">
      <c r="B305" s="603"/>
      <c r="C305" s="565" t="s">
        <v>795</v>
      </c>
      <c r="D305" s="604"/>
      <c r="E305" s="459"/>
      <c r="F305" s="595">
        <f ca="1" t="shared" si="217"/>
        <v>2.6</v>
      </c>
      <c r="G305" s="595">
        <f ca="1" t="shared" ref="G305:L306" si="241">G622+G939</f>
        <v>0</v>
      </c>
      <c r="H305" s="595">
        <f ca="1" t="shared" si="241"/>
        <v>0</v>
      </c>
      <c r="I305" s="595">
        <f ca="1" t="shared" si="233"/>
        <v>2.6</v>
      </c>
      <c r="J305" s="595">
        <f ca="1" t="shared" si="219"/>
        <v>1.701644132</v>
      </c>
      <c r="K305" s="595">
        <f ca="1" t="shared" si="241"/>
        <v>0</v>
      </c>
      <c r="L305" s="595">
        <f ca="1" t="shared" si="241"/>
        <v>0</v>
      </c>
      <c r="M305" s="595">
        <f ca="1" t="shared" si="229"/>
        <v>1.701644132</v>
      </c>
      <c r="N305" s="595">
        <f ca="1" t="shared" ref="N305:N306" si="242">F305-J305</f>
        <v>0.898355868</v>
      </c>
      <c r="O305" s="595">
        <f ca="1" t="shared" ref="O305:O306" si="243">I305-M305</f>
        <v>0.898355868</v>
      </c>
    </row>
    <row r="306" ht="15" spans="2:15">
      <c r="B306" s="603"/>
      <c r="C306" s="565" t="s">
        <v>796</v>
      </c>
      <c r="D306" s="604"/>
      <c r="E306" s="459"/>
      <c r="F306" s="595">
        <f ca="1" t="shared" si="217"/>
        <v>0</v>
      </c>
      <c r="G306" s="595">
        <f ca="1" t="shared" si="241"/>
        <v>0</v>
      </c>
      <c r="H306" s="595">
        <f ca="1" t="shared" si="241"/>
        <v>0</v>
      </c>
      <c r="I306" s="595">
        <f ca="1" t="shared" si="233"/>
        <v>0</v>
      </c>
      <c r="J306" s="595">
        <f ca="1" t="shared" si="219"/>
        <v>0</v>
      </c>
      <c r="K306" s="595">
        <f ca="1" t="shared" si="241"/>
        <v>0</v>
      </c>
      <c r="L306" s="595">
        <f ca="1" t="shared" si="241"/>
        <v>0</v>
      </c>
      <c r="M306" s="595">
        <f ca="1" t="shared" si="229"/>
        <v>0</v>
      </c>
      <c r="N306" s="595">
        <f ca="1" t="shared" si="242"/>
        <v>0</v>
      </c>
      <c r="O306" s="595">
        <f ca="1" t="shared" si="243"/>
        <v>0</v>
      </c>
    </row>
    <row r="307" ht="15" spans="2:15">
      <c r="B307" s="603">
        <v>13</v>
      </c>
      <c r="C307" s="565"/>
      <c r="D307" s="604"/>
      <c r="E307" s="459"/>
      <c r="F307" s="595">
        <f t="shared" si="217"/>
        <v>0</v>
      </c>
      <c r="G307" s="595"/>
      <c r="H307" s="595"/>
      <c r="I307" s="595"/>
      <c r="J307" s="595">
        <f t="shared" si="219"/>
        <v>0</v>
      </c>
      <c r="K307" s="595"/>
      <c r="L307" s="595"/>
      <c r="M307" s="595"/>
      <c r="N307" s="595"/>
      <c r="O307" s="595"/>
    </row>
    <row r="308" ht="15" spans="2:15">
      <c r="B308" s="603"/>
      <c r="C308" s="565" t="s">
        <v>797</v>
      </c>
      <c r="D308" s="604"/>
      <c r="E308" s="459"/>
      <c r="F308" s="595">
        <f ca="1" t="shared" si="217"/>
        <v>17.25</v>
      </c>
      <c r="G308" s="595">
        <f ca="1" t="shared" ref="G308:L309" si="244">G625+G942</f>
        <v>0</v>
      </c>
      <c r="H308" s="595">
        <f ca="1" t="shared" si="244"/>
        <v>0</v>
      </c>
      <c r="I308" s="595">
        <f ca="1" t="shared" si="233"/>
        <v>17.25</v>
      </c>
      <c r="J308" s="595">
        <f ca="1" t="shared" si="219"/>
        <v>13.863200556</v>
      </c>
      <c r="K308" s="595">
        <f>'[6]GFA &amp; Dep-MYT 5th Control'!$I$192</f>
        <v>0.332381284</v>
      </c>
      <c r="L308" s="595">
        <f ca="1" t="shared" si="244"/>
        <v>0</v>
      </c>
      <c r="M308" s="595">
        <f ca="1" t="shared" si="229"/>
        <v>14.19558184</v>
      </c>
      <c r="N308" s="595">
        <f ca="1" t="shared" ref="N308:N311" si="245">F308-J308</f>
        <v>3.386799444</v>
      </c>
      <c r="O308" s="595">
        <f ca="1" t="shared" ref="O308:O311" si="246">I308-M308</f>
        <v>3.05441816</v>
      </c>
    </row>
    <row r="309" ht="15" spans="2:15">
      <c r="B309" s="603"/>
      <c r="C309" s="565" t="s">
        <v>798</v>
      </c>
      <c r="D309" s="604"/>
      <c r="E309" s="459"/>
      <c r="F309" s="595">
        <f ca="1" t="shared" si="217"/>
        <v>52.2180881245926</v>
      </c>
      <c r="G309" s="595">
        <f>'[6]GFA &amp; Dep-MYT 5th Control'!$Q$37</f>
        <v>0.253578162280129</v>
      </c>
      <c r="H309" s="595">
        <f ca="1" t="shared" si="244"/>
        <v>0</v>
      </c>
      <c r="I309" s="595">
        <f ca="1" t="shared" si="233"/>
        <v>52.4716662868727</v>
      </c>
      <c r="J309" s="595">
        <f ca="1" t="shared" si="219"/>
        <v>40.813218152702</v>
      </c>
      <c r="K309" s="595">
        <f>'[6]GFA &amp; Dep-MYT 5th Control'!$I$193</f>
        <v>1.35265748651594</v>
      </c>
      <c r="L309" s="595">
        <f ca="1" t="shared" si="244"/>
        <v>0</v>
      </c>
      <c r="M309" s="595">
        <f ca="1" t="shared" si="229"/>
        <v>42.1658756392179</v>
      </c>
      <c r="N309" s="595">
        <f ca="1" t="shared" si="245"/>
        <v>11.4048699718907</v>
      </c>
      <c r="O309" s="595">
        <f ca="1" t="shared" si="246"/>
        <v>10.3057906476548</v>
      </c>
    </row>
    <row r="310" ht="15" spans="2:15">
      <c r="B310" s="603"/>
      <c r="C310" s="565" t="s">
        <v>799</v>
      </c>
      <c r="D310" s="604"/>
      <c r="E310" s="459"/>
      <c r="F310" s="595">
        <f ca="1" t="shared" si="217"/>
        <v>0</v>
      </c>
      <c r="G310" s="595">
        <f ca="1" t="shared" ref="G310:L311" si="247">G627+G944</f>
        <v>0</v>
      </c>
      <c r="H310" s="595">
        <f ca="1" t="shared" si="247"/>
        <v>0</v>
      </c>
      <c r="I310" s="595">
        <f ca="1" t="shared" si="233"/>
        <v>0</v>
      </c>
      <c r="J310" s="595">
        <f ca="1" t="shared" si="219"/>
        <v>0</v>
      </c>
      <c r="K310" s="595">
        <f ca="1" t="shared" si="247"/>
        <v>0</v>
      </c>
      <c r="L310" s="595">
        <f ca="1" t="shared" si="247"/>
        <v>0</v>
      </c>
      <c r="M310" s="595">
        <f ca="1" t="shared" si="229"/>
        <v>0</v>
      </c>
      <c r="N310" s="595">
        <f ca="1" t="shared" si="245"/>
        <v>0</v>
      </c>
      <c r="O310" s="595">
        <f ca="1" t="shared" si="246"/>
        <v>0</v>
      </c>
    </row>
    <row r="311" ht="15" spans="2:15">
      <c r="B311" s="603"/>
      <c r="C311" s="565" t="s">
        <v>800</v>
      </c>
      <c r="D311" s="604"/>
      <c r="E311" s="459"/>
      <c r="F311" s="595">
        <f ca="1" t="shared" si="217"/>
        <v>0</v>
      </c>
      <c r="G311" s="595">
        <f ca="1" t="shared" si="247"/>
        <v>0</v>
      </c>
      <c r="H311" s="595">
        <f ca="1" t="shared" si="247"/>
        <v>0</v>
      </c>
      <c r="I311" s="595">
        <f ca="1" t="shared" si="233"/>
        <v>0</v>
      </c>
      <c r="J311" s="595">
        <f ca="1" t="shared" si="219"/>
        <v>0</v>
      </c>
      <c r="K311" s="595">
        <f ca="1" t="shared" si="247"/>
        <v>0</v>
      </c>
      <c r="L311" s="595">
        <f ca="1" t="shared" si="247"/>
        <v>0</v>
      </c>
      <c r="M311" s="595">
        <f ca="1" t="shared" si="229"/>
        <v>0</v>
      </c>
      <c r="N311" s="595">
        <f ca="1" t="shared" si="245"/>
        <v>0</v>
      </c>
      <c r="O311" s="595">
        <f ca="1" t="shared" si="246"/>
        <v>0</v>
      </c>
    </row>
    <row r="312" ht="15" spans="2:15">
      <c r="B312" s="603">
        <v>14</v>
      </c>
      <c r="C312" s="563" t="s">
        <v>801</v>
      </c>
      <c r="D312" s="604"/>
      <c r="E312" s="459"/>
      <c r="F312" s="595">
        <f t="shared" si="217"/>
        <v>0</v>
      </c>
      <c r="G312" s="595"/>
      <c r="H312" s="595"/>
      <c r="I312" s="595"/>
      <c r="J312" s="595">
        <f t="shared" si="219"/>
        <v>0</v>
      </c>
      <c r="K312" s="595"/>
      <c r="L312" s="595"/>
      <c r="M312" s="595"/>
      <c r="N312" s="595"/>
      <c r="O312" s="595"/>
    </row>
    <row r="313" ht="15" spans="2:15">
      <c r="B313" s="603"/>
      <c r="C313" s="565" t="s">
        <v>802</v>
      </c>
      <c r="D313" s="604"/>
      <c r="E313" s="459"/>
      <c r="F313" s="595">
        <f ca="1" t="shared" si="217"/>
        <v>0</v>
      </c>
      <c r="G313" s="595">
        <f ca="1" t="shared" ref="G313:L316" si="248">G630+G947</f>
        <v>0</v>
      </c>
      <c r="H313" s="595">
        <f ca="1" t="shared" si="248"/>
        <v>0</v>
      </c>
      <c r="I313" s="595">
        <f ca="1" t="shared" ref="I313:I318" si="249">F313+G313-H313</f>
        <v>0</v>
      </c>
      <c r="J313" s="595">
        <f ca="1" t="shared" si="219"/>
        <v>0</v>
      </c>
      <c r="K313" s="595">
        <f ca="1" t="shared" si="248"/>
        <v>0</v>
      </c>
      <c r="L313" s="595">
        <f ca="1" t="shared" si="248"/>
        <v>0</v>
      </c>
      <c r="M313" s="595">
        <f ca="1" t="shared" si="229"/>
        <v>0</v>
      </c>
      <c r="N313" s="595">
        <f ca="1">F313-J313</f>
        <v>0</v>
      </c>
      <c r="O313" s="595">
        <f ca="1">I313-M313</f>
        <v>0</v>
      </c>
    </row>
    <row r="314" ht="15" spans="2:15">
      <c r="B314" s="603"/>
      <c r="C314" s="565" t="s">
        <v>803</v>
      </c>
      <c r="D314" s="604"/>
      <c r="E314" s="459"/>
      <c r="F314" s="595">
        <f ca="1" t="shared" si="217"/>
        <v>0</v>
      </c>
      <c r="G314" s="595">
        <f ca="1" t="shared" si="248"/>
        <v>0</v>
      </c>
      <c r="H314" s="595">
        <f ca="1" t="shared" si="248"/>
        <v>0</v>
      </c>
      <c r="I314" s="595">
        <f ca="1" t="shared" si="249"/>
        <v>0</v>
      </c>
      <c r="J314" s="595">
        <f ca="1" t="shared" si="219"/>
        <v>0</v>
      </c>
      <c r="K314" s="595">
        <f ca="1" t="shared" si="248"/>
        <v>0</v>
      </c>
      <c r="L314" s="595">
        <f ca="1" t="shared" si="248"/>
        <v>0</v>
      </c>
      <c r="M314" s="595">
        <f ca="1" t="shared" si="229"/>
        <v>0</v>
      </c>
      <c r="N314" s="595">
        <f ca="1">F314-J314</f>
        <v>0</v>
      </c>
      <c r="O314" s="595">
        <f ca="1">I314-M314</f>
        <v>0</v>
      </c>
    </row>
    <row r="315" ht="15" spans="2:15">
      <c r="B315" s="603"/>
      <c r="C315" s="565" t="s">
        <v>804</v>
      </c>
      <c r="D315" s="604"/>
      <c r="E315" s="459"/>
      <c r="F315" s="595">
        <f ca="1" t="shared" si="217"/>
        <v>0</v>
      </c>
      <c r="G315" s="595">
        <f ca="1" t="shared" si="248"/>
        <v>0</v>
      </c>
      <c r="H315" s="595">
        <f ca="1" t="shared" si="248"/>
        <v>0</v>
      </c>
      <c r="I315" s="595">
        <f ca="1" t="shared" si="249"/>
        <v>0</v>
      </c>
      <c r="J315" s="595">
        <f ca="1" t="shared" si="219"/>
        <v>0</v>
      </c>
      <c r="K315" s="595">
        <f ca="1" t="shared" si="248"/>
        <v>0</v>
      </c>
      <c r="L315" s="595">
        <f ca="1" t="shared" si="248"/>
        <v>0</v>
      </c>
      <c r="M315" s="595">
        <f ca="1" t="shared" si="229"/>
        <v>0</v>
      </c>
      <c r="N315" s="595">
        <f ca="1" t="shared" ref="N315:N318" si="250">F315-J315</f>
        <v>0</v>
      </c>
      <c r="O315" s="595">
        <f ca="1" t="shared" ref="O315:O318" si="251">I315-M315</f>
        <v>0</v>
      </c>
    </row>
    <row r="316" ht="15" spans="2:15">
      <c r="B316" s="603">
        <v>15</v>
      </c>
      <c r="C316" s="563" t="s">
        <v>805</v>
      </c>
      <c r="D316" s="604"/>
      <c r="E316" s="459"/>
      <c r="F316" s="595">
        <f ca="1" t="shared" si="217"/>
        <v>252.16429795688</v>
      </c>
      <c r="G316" s="595">
        <f>'[6]GFA &amp; Dep-MYT 5th Control'!$Q$40</f>
        <v>19.9146704052443</v>
      </c>
      <c r="H316" s="595">
        <f ca="1" t="shared" si="248"/>
        <v>0</v>
      </c>
      <c r="I316" s="595">
        <f ca="1" t="shared" si="249"/>
        <v>272.078968362124</v>
      </c>
      <c r="J316" s="595">
        <f ca="1" t="shared" si="219"/>
        <v>199.168781918168</v>
      </c>
      <c r="K316" s="595">
        <f>'[6]GFA &amp; Dep-MYT 5th Control'!$I$195</f>
        <v>13.2031315483186</v>
      </c>
      <c r="L316" s="595">
        <f ca="1" t="shared" si="248"/>
        <v>0</v>
      </c>
      <c r="M316" s="595">
        <f ca="1" t="shared" si="229"/>
        <v>212.371913466487</v>
      </c>
      <c r="N316" s="595">
        <f ca="1" t="shared" si="250"/>
        <v>52.9955160387117</v>
      </c>
      <c r="O316" s="595">
        <f ca="1" t="shared" si="251"/>
        <v>59.7070548956374</v>
      </c>
    </row>
    <row r="317" ht="15" spans="2:15">
      <c r="B317" s="603">
        <v>16</v>
      </c>
      <c r="C317" s="563" t="s">
        <v>806</v>
      </c>
      <c r="D317" s="596"/>
      <c r="E317" s="459"/>
      <c r="F317" s="595">
        <f ca="1" t="shared" si="217"/>
        <v>70.8</v>
      </c>
      <c r="G317" s="595">
        <f ca="1" t="shared" ref="G317:L318" si="252">G634+G951</f>
        <v>0</v>
      </c>
      <c r="H317" s="595">
        <f ca="1" t="shared" si="252"/>
        <v>0</v>
      </c>
      <c r="I317" s="595">
        <f ca="1" t="shared" si="249"/>
        <v>70.8</v>
      </c>
      <c r="J317" s="595">
        <f ca="1" t="shared" si="219"/>
        <v>65.620047137</v>
      </c>
      <c r="K317" s="595">
        <f ca="1" t="shared" si="252"/>
        <v>0</v>
      </c>
      <c r="L317" s="595">
        <f ca="1" t="shared" si="252"/>
        <v>0</v>
      </c>
      <c r="M317" s="595">
        <f ca="1" t="shared" si="229"/>
        <v>65.620047137</v>
      </c>
      <c r="N317" s="595">
        <f ca="1" t="shared" si="250"/>
        <v>5.179952863</v>
      </c>
      <c r="O317" s="595">
        <f ca="1" t="shared" si="251"/>
        <v>5.179952863</v>
      </c>
    </row>
    <row r="318" ht="15" spans="2:15">
      <c r="B318" s="603">
        <v>17</v>
      </c>
      <c r="C318" s="563" t="s">
        <v>807</v>
      </c>
      <c r="D318" s="596"/>
      <c r="E318" s="426"/>
      <c r="F318" s="595">
        <f ca="1" t="shared" si="217"/>
        <v>0</v>
      </c>
      <c r="G318" s="595">
        <f ca="1" t="shared" si="252"/>
        <v>0</v>
      </c>
      <c r="H318" s="595">
        <f ca="1" t="shared" si="252"/>
        <v>0</v>
      </c>
      <c r="I318" s="595">
        <f ca="1" t="shared" si="249"/>
        <v>0</v>
      </c>
      <c r="J318" s="595">
        <f ca="1" t="shared" si="219"/>
        <v>4.466468187</v>
      </c>
      <c r="K318" s="595">
        <f ca="1" t="shared" si="252"/>
        <v>0</v>
      </c>
      <c r="L318" s="595">
        <f ca="1" t="shared" si="252"/>
        <v>0</v>
      </c>
      <c r="M318" s="595">
        <f ca="1" t="shared" si="229"/>
        <v>4.466468187</v>
      </c>
      <c r="N318" s="595">
        <f ca="1" t="shared" si="250"/>
        <v>-4.466468187</v>
      </c>
      <c r="O318" s="595">
        <f ca="1" t="shared" si="251"/>
        <v>-4.466468187</v>
      </c>
    </row>
    <row r="319" ht="15.75" spans="2:15">
      <c r="B319" s="608"/>
      <c r="C319" s="609" t="s">
        <v>97</v>
      </c>
      <c r="D319" s="609"/>
      <c r="E319" s="610"/>
      <c r="F319" s="612">
        <f ca="1">SUM(F279:F318)</f>
        <v>46693.7729105709</v>
      </c>
      <c r="G319" s="612">
        <f ca="1" t="shared" ref="G319:O319" si="253">SUM(G279:G318)</f>
        <v>7851.9982006763</v>
      </c>
      <c r="H319" s="612">
        <f ca="1" t="shared" si="253"/>
        <v>0</v>
      </c>
      <c r="I319" s="612">
        <f ca="1" t="shared" si="253"/>
        <v>54545.7711112472</v>
      </c>
      <c r="J319" s="612">
        <f ca="1" t="shared" si="253"/>
        <v>16921.113882773</v>
      </c>
      <c r="K319" s="612">
        <f ca="1" t="shared" si="253"/>
        <v>2309.02977284409</v>
      </c>
      <c r="L319" s="612">
        <f ca="1" t="shared" si="253"/>
        <v>0</v>
      </c>
      <c r="M319" s="612">
        <f ca="1" t="shared" si="253"/>
        <v>19230.1436556171</v>
      </c>
      <c r="N319" s="612">
        <f ca="1" t="shared" si="253"/>
        <v>29772.6590277979</v>
      </c>
      <c r="O319" s="612">
        <f ca="1" t="shared" si="253"/>
        <v>35315.6274556301</v>
      </c>
    </row>
    <row r="321" ht="15" spans="2:9">
      <c r="B321" s="11" t="s">
        <v>809</v>
      </c>
      <c r="H321" s="3"/>
      <c r="I321" s="3"/>
    </row>
    <row r="322" ht="15.75" hidden="1" spans="11:15">
      <c r="K322" s="3"/>
      <c r="O322" s="11" t="s">
        <v>109</v>
      </c>
    </row>
    <row r="323" ht="15" hidden="1" spans="2:15">
      <c r="B323" s="570" t="s">
        <v>112</v>
      </c>
      <c r="C323" s="571"/>
      <c r="D323" s="571"/>
      <c r="E323" s="571"/>
      <c r="F323" s="571"/>
      <c r="G323" s="571"/>
      <c r="H323" s="571"/>
      <c r="I323" s="571"/>
      <c r="J323" s="571"/>
      <c r="K323" s="571"/>
      <c r="L323" s="571"/>
      <c r="M323" s="571"/>
      <c r="N323" s="571"/>
      <c r="O323" s="581"/>
    </row>
    <row r="324" hidden="1" customHeight="1" spans="2:15">
      <c r="B324" s="547" t="s">
        <v>564</v>
      </c>
      <c r="C324" s="978" t="s">
        <v>671</v>
      </c>
      <c r="D324" s="549" t="s">
        <v>672</v>
      </c>
      <c r="E324" s="549" t="s">
        <v>673</v>
      </c>
      <c r="F324" s="549" t="s">
        <v>674</v>
      </c>
      <c r="G324" s="549"/>
      <c r="H324" s="549"/>
      <c r="I324" s="549"/>
      <c r="J324" s="549" t="s">
        <v>675</v>
      </c>
      <c r="K324" s="549"/>
      <c r="L324" s="549"/>
      <c r="M324" s="549"/>
      <c r="N324" s="549" t="s">
        <v>676</v>
      </c>
      <c r="O324" s="579"/>
    </row>
    <row r="325" ht="60.75" hidden="1" spans="2:15">
      <c r="B325" s="572"/>
      <c r="C325" s="573"/>
      <c r="D325" s="574"/>
      <c r="E325" s="574"/>
      <c r="F325" s="574" t="s">
        <v>677</v>
      </c>
      <c r="G325" s="574" t="s">
        <v>678</v>
      </c>
      <c r="H325" s="574" t="s">
        <v>679</v>
      </c>
      <c r="I325" s="574" t="s">
        <v>680</v>
      </c>
      <c r="J325" s="574" t="s">
        <v>681</v>
      </c>
      <c r="K325" s="574" t="s">
        <v>678</v>
      </c>
      <c r="L325" s="574" t="s">
        <v>682</v>
      </c>
      <c r="M325" s="574" t="s">
        <v>683</v>
      </c>
      <c r="N325" s="574" t="s">
        <v>677</v>
      </c>
      <c r="O325" s="582" t="s">
        <v>680</v>
      </c>
    </row>
    <row r="326" ht="15" hidden="1" spans="2:15">
      <c r="B326" s="551">
        <v>1</v>
      </c>
      <c r="C326" s="552" t="s">
        <v>684</v>
      </c>
      <c r="D326" s="546"/>
      <c r="E326" s="576"/>
      <c r="F326" s="555">
        <f ca="1">90%*F9</f>
        <v>0</v>
      </c>
      <c r="G326" s="555">
        <f ca="1" t="shared" ref="G326:M326" si="254">90%*G9</f>
        <v>0</v>
      </c>
      <c r="H326" s="555">
        <f ca="1" t="shared" si="254"/>
        <v>0</v>
      </c>
      <c r="I326" s="555">
        <f ca="1" t="shared" si="254"/>
        <v>0</v>
      </c>
      <c r="J326" s="555">
        <f ca="1" t="shared" si="254"/>
        <v>0</v>
      </c>
      <c r="K326" s="555">
        <f ca="1" t="shared" si="254"/>
        <v>0</v>
      </c>
      <c r="L326" s="555">
        <f ca="1" t="shared" si="254"/>
        <v>0</v>
      </c>
      <c r="M326" s="555">
        <f ca="1" t="shared" si="254"/>
        <v>0</v>
      </c>
      <c r="N326" s="555">
        <f ca="1">F326-J326</f>
        <v>0</v>
      </c>
      <c r="O326" s="555">
        <f ca="1">I326-M326</f>
        <v>0</v>
      </c>
    </row>
    <row r="327" ht="15" hidden="1" spans="2:15">
      <c r="B327" s="551">
        <v>2</v>
      </c>
      <c r="C327" s="552" t="s">
        <v>770</v>
      </c>
      <c r="D327" s="614"/>
      <c r="E327" s="615"/>
      <c r="F327" s="555">
        <f ca="1" t="shared" ref="F327:M342" si="255">90%*F10</f>
        <v>0</v>
      </c>
      <c r="G327" s="555">
        <f ca="1" t="shared" si="255"/>
        <v>0</v>
      </c>
      <c r="H327" s="555">
        <f ca="1" t="shared" si="255"/>
        <v>0</v>
      </c>
      <c r="I327" s="555">
        <f ca="1" t="shared" si="255"/>
        <v>0</v>
      </c>
      <c r="J327" s="555">
        <f ca="1" t="shared" si="255"/>
        <v>0</v>
      </c>
      <c r="K327" s="555">
        <f ca="1" t="shared" si="255"/>
        <v>0</v>
      </c>
      <c r="L327" s="555">
        <f ca="1" t="shared" si="255"/>
        <v>0</v>
      </c>
      <c r="M327" s="555">
        <f ca="1" t="shared" si="255"/>
        <v>0</v>
      </c>
      <c r="N327" s="555">
        <f ca="1">F327-J327</f>
        <v>0</v>
      </c>
      <c r="O327" s="555">
        <f ca="1">I327-M327</f>
        <v>0</v>
      </c>
    </row>
    <row r="328" ht="15" hidden="1" spans="2:15">
      <c r="B328" s="551">
        <v>3</v>
      </c>
      <c r="C328" s="556" t="s">
        <v>771</v>
      </c>
      <c r="D328" s="553"/>
      <c r="E328" s="416"/>
      <c r="F328" s="555">
        <f t="shared" si="255"/>
        <v>0</v>
      </c>
      <c r="G328" s="555">
        <f t="shared" si="255"/>
        <v>0</v>
      </c>
      <c r="H328" s="555">
        <f t="shared" si="255"/>
        <v>0</v>
      </c>
      <c r="I328" s="555">
        <f t="shared" si="255"/>
        <v>0</v>
      </c>
      <c r="J328" s="555">
        <f t="shared" si="255"/>
        <v>0</v>
      </c>
      <c r="K328" s="555">
        <f t="shared" si="255"/>
        <v>0</v>
      </c>
      <c r="L328" s="555">
        <f t="shared" si="255"/>
        <v>0</v>
      </c>
      <c r="M328" s="555">
        <f t="shared" si="255"/>
        <v>0</v>
      </c>
      <c r="N328" s="555"/>
      <c r="O328" s="555"/>
    </row>
    <row r="329" ht="15" hidden="1" spans="2:15">
      <c r="B329" s="551"/>
      <c r="C329" s="557" t="s">
        <v>772</v>
      </c>
      <c r="D329" s="553"/>
      <c r="E329" s="416"/>
      <c r="F329" s="555">
        <f ca="1" t="shared" si="255"/>
        <v>0</v>
      </c>
      <c r="G329" s="555">
        <f ca="1" t="shared" si="255"/>
        <v>0</v>
      </c>
      <c r="H329" s="555">
        <f ca="1" t="shared" si="255"/>
        <v>0</v>
      </c>
      <c r="I329" s="555">
        <f ca="1" t="shared" si="255"/>
        <v>0</v>
      </c>
      <c r="J329" s="555">
        <f ca="1" t="shared" si="255"/>
        <v>0</v>
      </c>
      <c r="K329" s="555">
        <f ca="1" t="shared" si="255"/>
        <v>0</v>
      </c>
      <c r="L329" s="555">
        <f ca="1" t="shared" si="255"/>
        <v>0</v>
      </c>
      <c r="M329" s="555">
        <f ca="1" t="shared" si="255"/>
        <v>0</v>
      </c>
      <c r="N329" s="555">
        <f ca="1" t="shared" ref="N329:O365" si="256">F329-J329</f>
        <v>0</v>
      </c>
      <c r="O329" s="555">
        <f ca="1" t="shared" ref="O329:O348" si="257">I329-M329</f>
        <v>0</v>
      </c>
    </row>
    <row r="330" ht="28.5" hidden="1" spans="2:15">
      <c r="B330" s="551"/>
      <c r="C330" s="557" t="s">
        <v>773</v>
      </c>
      <c r="D330" s="553"/>
      <c r="E330" s="416"/>
      <c r="F330" s="555">
        <f ca="1" t="shared" si="255"/>
        <v>0</v>
      </c>
      <c r="G330" s="555">
        <f ca="1" t="shared" si="255"/>
        <v>0</v>
      </c>
      <c r="H330" s="555">
        <f ca="1" t="shared" si="255"/>
        <v>0</v>
      </c>
      <c r="I330" s="555">
        <f ca="1" t="shared" si="255"/>
        <v>0</v>
      </c>
      <c r="J330" s="555">
        <f ca="1" t="shared" si="255"/>
        <v>0</v>
      </c>
      <c r="K330" s="555">
        <f ca="1" t="shared" si="255"/>
        <v>0</v>
      </c>
      <c r="L330" s="555">
        <f ca="1" t="shared" si="255"/>
        <v>0</v>
      </c>
      <c r="M330" s="555">
        <f ca="1" t="shared" si="255"/>
        <v>0</v>
      </c>
      <c r="N330" s="555">
        <f ca="1" t="shared" si="256"/>
        <v>0</v>
      </c>
      <c r="O330" s="555">
        <f ca="1" t="shared" si="257"/>
        <v>0</v>
      </c>
    </row>
    <row r="331" ht="15" hidden="1" spans="2:15">
      <c r="B331" s="551"/>
      <c r="C331" s="557" t="s">
        <v>774</v>
      </c>
      <c r="D331" s="553"/>
      <c r="E331" s="416"/>
      <c r="F331" s="555">
        <f ca="1" t="shared" si="255"/>
        <v>0</v>
      </c>
      <c r="G331" s="555">
        <f ca="1" t="shared" si="255"/>
        <v>0</v>
      </c>
      <c r="H331" s="555">
        <f ca="1" t="shared" si="255"/>
        <v>0</v>
      </c>
      <c r="I331" s="555">
        <f ca="1" t="shared" si="255"/>
        <v>0</v>
      </c>
      <c r="J331" s="555">
        <f ca="1" t="shared" si="255"/>
        <v>0</v>
      </c>
      <c r="K331" s="555">
        <f ca="1" t="shared" si="255"/>
        <v>0</v>
      </c>
      <c r="L331" s="555">
        <f ca="1" t="shared" si="255"/>
        <v>0</v>
      </c>
      <c r="M331" s="555">
        <f ca="1" t="shared" si="255"/>
        <v>0</v>
      </c>
      <c r="N331" s="555">
        <f ca="1" t="shared" si="256"/>
        <v>0</v>
      </c>
      <c r="O331" s="555">
        <f ca="1" t="shared" si="257"/>
        <v>0</v>
      </c>
    </row>
    <row r="332" ht="15" hidden="1" spans="2:15">
      <c r="B332" s="551"/>
      <c r="C332" s="557" t="s">
        <v>775</v>
      </c>
      <c r="D332" s="553"/>
      <c r="E332" s="416"/>
      <c r="F332" s="555">
        <f ca="1" t="shared" si="255"/>
        <v>0</v>
      </c>
      <c r="G332" s="555">
        <f ca="1" t="shared" si="255"/>
        <v>0</v>
      </c>
      <c r="H332" s="555">
        <f ca="1" t="shared" si="255"/>
        <v>0</v>
      </c>
      <c r="I332" s="555">
        <f ca="1" t="shared" si="255"/>
        <v>0</v>
      </c>
      <c r="J332" s="555">
        <f ca="1" t="shared" si="255"/>
        <v>0</v>
      </c>
      <c r="K332" s="555">
        <f ca="1" t="shared" si="255"/>
        <v>0</v>
      </c>
      <c r="L332" s="555">
        <f ca="1" t="shared" si="255"/>
        <v>0</v>
      </c>
      <c r="M332" s="555">
        <f ca="1" t="shared" si="255"/>
        <v>0</v>
      </c>
      <c r="N332" s="555">
        <f ca="1" t="shared" si="256"/>
        <v>0</v>
      </c>
      <c r="O332" s="555">
        <f ca="1" t="shared" si="257"/>
        <v>0</v>
      </c>
    </row>
    <row r="333" ht="15" hidden="1" spans="2:15">
      <c r="B333" s="551">
        <v>4</v>
      </c>
      <c r="C333" s="552" t="s">
        <v>776</v>
      </c>
      <c r="D333" s="553"/>
      <c r="E333" s="416"/>
      <c r="F333" s="555">
        <f t="shared" si="255"/>
        <v>0</v>
      </c>
      <c r="G333" s="555">
        <f t="shared" si="255"/>
        <v>0</v>
      </c>
      <c r="H333" s="555">
        <f t="shared" si="255"/>
        <v>0</v>
      </c>
      <c r="I333" s="555">
        <f t="shared" si="255"/>
        <v>0</v>
      </c>
      <c r="J333" s="555">
        <f t="shared" si="255"/>
        <v>0</v>
      </c>
      <c r="K333" s="555">
        <f t="shared" si="255"/>
        <v>0</v>
      </c>
      <c r="L333" s="555">
        <f t="shared" si="255"/>
        <v>0</v>
      </c>
      <c r="M333" s="555">
        <f t="shared" si="255"/>
        <v>0</v>
      </c>
      <c r="N333" s="555"/>
      <c r="O333" s="555"/>
    </row>
    <row r="334" ht="15" hidden="1" spans="2:15">
      <c r="B334" s="551"/>
      <c r="C334" s="558" t="s">
        <v>777</v>
      </c>
      <c r="D334" s="553"/>
      <c r="E334" s="416"/>
      <c r="F334" s="555">
        <f ca="1" t="shared" si="255"/>
        <v>0</v>
      </c>
      <c r="G334" s="555">
        <f ca="1" t="shared" si="255"/>
        <v>0</v>
      </c>
      <c r="H334" s="555">
        <f ca="1" t="shared" si="255"/>
        <v>0</v>
      </c>
      <c r="I334" s="555">
        <f ca="1" t="shared" si="255"/>
        <v>0</v>
      </c>
      <c r="J334" s="555">
        <f ca="1" t="shared" si="255"/>
        <v>0</v>
      </c>
      <c r="K334" s="555">
        <f ca="1" t="shared" si="255"/>
        <v>0</v>
      </c>
      <c r="L334" s="555">
        <f ca="1" t="shared" si="255"/>
        <v>0</v>
      </c>
      <c r="M334" s="555">
        <f ca="1" t="shared" si="255"/>
        <v>0</v>
      </c>
      <c r="N334" s="555">
        <f ca="1" t="shared" si="256"/>
        <v>0</v>
      </c>
      <c r="O334" s="555">
        <f ca="1" t="shared" si="257"/>
        <v>0</v>
      </c>
    </row>
    <row r="335" ht="15" hidden="1" spans="2:15">
      <c r="B335" s="551"/>
      <c r="C335" s="552" t="s">
        <v>778</v>
      </c>
      <c r="D335" s="553"/>
      <c r="E335" s="416"/>
      <c r="F335" s="555">
        <f t="shared" si="255"/>
        <v>0</v>
      </c>
      <c r="G335" s="555">
        <f t="shared" si="255"/>
        <v>0</v>
      </c>
      <c r="H335" s="555">
        <f t="shared" si="255"/>
        <v>0</v>
      </c>
      <c r="I335" s="555">
        <f t="shared" si="255"/>
        <v>0</v>
      </c>
      <c r="J335" s="555">
        <f t="shared" si="255"/>
        <v>0</v>
      </c>
      <c r="K335" s="555">
        <f t="shared" si="255"/>
        <v>0</v>
      </c>
      <c r="L335" s="555">
        <f t="shared" si="255"/>
        <v>0</v>
      </c>
      <c r="M335" s="555">
        <f t="shared" si="255"/>
        <v>0</v>
      </c>
      <c r="N335" s="555"/>
      <c r="O335" s="555"/>
    </row>
    <row r="336" ht="15" hidden="1" spans="2:15">
      <c r="B336" s="551"/>
      <c r="C336" s="558" t="s">
        <v>779</v>
      </c>
      <c r="D336" s="553"/>
      <c r="E336" s="416"/>
      <c r="F336" s="555">
        <f ca="1" t="shared" si="255"/>
        <v>0</v>
      </c>
      <c r="G336" s="555">
        <f ca="1" t="shared" si="255"/>
        <v>0</v>
      </c>
      <c r="H336" s="555">
        <f ca="1" t="shared" si="255"/>
        <v>0</v>
      </c>
      <c r="I336" s="555">
        <f ca="1" t="shared" si="255"/>
        <v>0</v>
      </c>
      <c r="J336" s="555">
        <f ca="1" t="shared" si="255"/>
        <v>0</v>
      </c>
      <c r="K336" s="555">
        <f ca="1" t="shared" si="255"/>
        <v>0</v>
      </c>
      <c r="L336" s="555">
        <f ca="1" t="shared" si="255"/>
        <v>0</v>
      </c>
      <c r="M336" s="555">
        <f ca="1" t="shared" si="255"/>
        <v>0</v>
      </c>
      <c r="N336" s="555">
        <f ca="1" t="shared" si="256"/>
        <v>0</v>
      </c>
      <c r="O336" s="555">
        <f ca="1" t="shared" si="257"/>
        <v>0</v>
      </c>
    </row>
    <row r="337" ht="15" hidden="1" spans="2:15">
      <c r="B337" s="551"/>
      <c r="C337" s="558" t="s">
        <v>780</v>
      </c>
      <c r="D337" s="553"/>
      <c r="E337" s="416"/>
      <c r="F337" s="555">
        <f ca="1" t="shared" si="255"/>
        <v>0</v>
      </c>
      <c r="G337" s="555">
        <f ca="1" t="shared" si="255"/>
        <v>0</v>
      </c>
      <c r="H337" s="555">
        <f ca="1" t="shared" si="255"/>
        <v>0</v>
      </c>
      <c r="I337" s="555">
        <f ca="1" t="shared" si="255"/>
        <v>0</v>
      </c>
      <c r="J337" s="555">
        <f ca="1" t="shared" si="255"/>
        <v>0</v>
      </c>
      <c r="K337" s="555">
        <f ca="1" t="shared" si="255"/>
        <v>0</v>
      </c>
      <c r="L337" s="555">
        <f ca="1" t="shared" si="255"/>
        <v>0</v>
      </c>
      <c r="M337" s="555">
        <f ca="1" t="shared" si="255"/>
        <v>0</v>
      </c>
      <c r="N337" s="555">
        <f ca="1" t="shared" si="256"/>
        <v>0</v>
      </c>
      <c r="O337" s="555">
        <f ca="1" t="shared" si="257"/>
        <v>0</v>
      </c>
    </row>
    <row r="338" ht="15" hidden="1" spans="2:15">
      <c r="B338" s="551">
        <v>5</v>
      </c>
      <c r="C338" s="552" t="s">
        <v>781</v>
      </c>
      <c r="D338" s="553"/>
      <c r="E338" s="416"/>
      <c r="F338" s="555">
        <f t="shared" si="255"/>
        <v>0</v>
      </c>
      <c r="G338" s="555">
        <f t="shared" si="255"/>
        <v>0</v>
      </c>
      <c r="H338" s="555">
        <f t="shared" si="255"/>
        <v>0</v>
      </c>
      <c r="I338" s="555">
        <f t="shared" si="255"/>
        <v>0</v>
      </c>
      <c r="J338" s="555">
        <f t="shared" si="255"/>
        <v>0</v>
      </c>
      <c r="K338" s="555">
        <f t="shared" si="255"/>
        <v>0</v>
      </c>
      <c r="L338" s="555">
        <f t="shared" si="255"/>
        <v>0</v>
      </c>
      <c r="M338" s="555">
        <f t="shared" si="255"/>
        <v>0</v>
      </c>
      <c r="N338" s="555"/>
      <c r="O338" s="555"/>
    </row>
    <row r="339" ht="15" hidden="1" spans="2:15">
      <c r="B339" s="551"/>
      <c r="C339" s="558" t="s">
        <v>782</v>
      </c>
      <c r="D339" s="553"/>
      <c r="E339" s="416"/>
      <c r="F339" s="555">
        <f ca="1" t="shared" si="255"/>
        <v>0</v>
      </c>
      <c r="G339" s="555">
        <f ca="1" t="shared" si="255"/>
        <v>0</v>
      </c>
      <c r="H339" s="555">
        <f ca="1" t="shared" si="255"/>
        <v>0</v>
      </c>
      <c r="I339" s="555">
        <f ca="1" t="shared" si="255"/>
        <v>0</v>
      </c>
      <c r="J339" s="555">
        <f ca="1" t="shared" si="255"/>
        <v>0</v>
      </c>
      <c r="K339" s="555">
        <f ca="1" t="shared" si="255"/>
        <v>0</v>
      </c>
      <c r="L339" s="555">
        <f ca="1" t="shared" si="255"/>
        <v>0</v>
      </c>
      <c r="M339" s="555">
        <f ca="1" t="shared" si="255"/>
        <v>0</v>
      </c>
      <c r="N339" s="555">
        <f ca="1" t="shared" si="256"/>
        <v>0</v>
      </c>
      <c r="O339" s="555">
        <f ca="1" t="shared" si="257"/>
        <v>0</v>
      </c>
    </row>
    <row r="340" ht="15" hidden="1" spans="2:15">
      <c r="B340" s="551"/>
      <c r="C340" s="558" t="s">
        <v>783</v>
      </c>
      <c r="D340" s="553"/>
      <c r="E340" s="416"/>
      <c r="F340" s="555">
        <f ca="1" t="shared" si="255"/>
        <v>0</v>
      </c>
      <c r="G340" s="555">
        <f ca="1" t="shared" si="255"/>
        <v>0</v>
      </c>
      <c r="H340" s="555">
        <f ca="1" t="shared" si="255"/>
        <v>0</v>
      </c>
      <c r="I340" s="555">
        <f ca="1" t="shared" si="255"/>
        <v>0</v>
      </c>
      <c r="J340" s="555">
        <f ca="1" t="shared" si="255"/>
        <v>0</v>
      </c>
      <c r="K340" s="555">
        <f ca="1" t="shared" si="255"/>
        <v>0</v>
      </c>
      <c r="L340" s="555">
        <f ca="1" t="shared" si="255"/>
        <v>0</v>
      </c>
      <c r="M340" s="555">
        <f ca="1" t="shared" si="255"/>
        <v>0</v>
      </c>
      <c r="N340" s="555">
        <f ca="1" t="shared" si="256"/>
        <v>0</v>
      </c>
      <c r="O340" s="555">
        <f ca="1" t="shared" si="257"/>
        <v>0</v>
      </c>
    </row>
    <row r="341" ht="15" hidden="1" spans="2:15">
      <c r="B341" s="551"/>
      <c r="C341" s="558" t="s">
        <v>784</v>
      </c>
      <c r="D341" s="553"/>
      <c r="E341" s="416"/>
      <c r="F341" s="555">
        <f ca="1" t="shared" si="255"/>
        <v>0</v>
      </c>
      <c r="G341" s="555">
        <f ca="1" t="shared" si="255"/>
        <v>0</v>
      </c>
      <c r="H341" s="555">
        <f ca="1" t="shared" si="255"/>
        <v>0</v>
      </c>
      <c r="I341" s="555">
        <f ca="1" t="shared" si="255"/>
        <v>0</v>
      </c>
      <c r="J341" s="555">
        <f ca="1" t="shared" si="255"/>
        <v>0</v>
      </c>
      <c r="K341" s="555">
        <f ca="1" t="shared" si="255"/>
        <v>0</v>
      </c>
      <c r="L341" s="555">
        <f ca="1" t="shared" si="255"/>
        <v>0</v>
      </c>
      <c r="M341" s="555">
        <f ca="1" t="shared" si="255"/>
        <v>0</v>
      </c>
      <c r="N341" s="555">
        <f ca="1" t="shared" si="256"/>
        <v>0</v>
      </c>
      <c r="O341" s="555">
        <f ca="1" t="shared" si="257"/>
        <v>0</v>
      </c>
    </row>
    <row r="342" ht="15" hidden="1" spans="2:15">
      <c r="B342" s="551"/>
      <c r="C342" s="558" t="s">
        <v>785</v>
      </c>
      <c r="D342" s="553"/>
      <c r="E342" s="416"/>
      <c r="F342" s="555">
        <f ca="1" t="shared" si="255"/>
        <v>0</v>
      </c>
      <c r="G342" s="555">
        <f ca="1" t="shared" si="255"/>
        <v>0</v>
      </c>
      <c r="H342" s="555">
        <f ca="1" t="shared" si="255"/>
        <v>0</v>
      </c>
      <c r="I342" s="555">
        <f ca="1" t="shared" si="255"/>
        <v>0</v>
      </c>
      <c r="J342" s="555">
        <f ca="1" t="shared" si="255"/>
        <v>0</v>
      </c>
      <c r="K342" s="555">
        <f ca="1" t="shared" si="255"/>
        <v>0</v>
      </c>
      <c r="L342" s="555">
        <f ca="1" t="shared" si="255"/>
        <v>0</v>
      </c>
      <c r="M342" s="555">
        <f ca="1" t="shared" si="255"/>
        <v>0</v>
      </c>
      <c r="N342" s="555">
        <f ca="1" t="shared" si="256"/>
        <v>0</v>
      </c>
      <c r="O342" s="555">
        <f ca="1" t="shared" si="257"/>
        <v>0</v>
      </c>
    </row>
    <row r="343" ht="15" hidden="1" spans="2:15">
      <c r="B343" s="551">
        <v>6</v>
      </c>
      <c r="C343" s="552" t="s">
        <v>786</v>
      </c>
      <c r="D343" s="553"/>
      <c r="E343" s="416"/>
      <c r="F343" s="555">
        <f ca="1" t="shared" ref="F343:M358" si="258">90%*F26</f>
        <v>0</v>
      </c>
      <c r="G343" s="555">
        <f ca="1" t="shared" si="258"/>
        <v>0</v>
      </c>
      <c r="H343" s="555">
        <f ca="1" t="shared" si="258"/>
        <v>0</v>
      </c>
      <c r="I343" s="555">
        <f ca="1" t="shared" si="258"/>
        <v>0</v>
      </c>
      <c r="J343" s="555">
        <f ca="1" t="shared" si="258"/>
        <v>0</v>
      </c>
      <c r="K343" s="555">
        <f ca="1" t="shared" si="258"/>
        <v>0</v>
      </c>
      <c r="L343" s="555">
        <f ca="1" t="shared" si="258"/>
        <v>0</v>
      </c>
      <c r="M343" s="555">
        <f ca="1" t="shared" si="258"/>
        <v>0</v>
      </c>
      <c r="N343" s="555">
        <f ca="1" t="shared" si="256"/>
        <v>0</v>
      </c>
      <c r="O343" s="555">
        <f ca="1" t="shared" si="257"/>
        <v>0</v>
      </c>
    </row>
    <row r="344" ht="15" hidden="1" spans="2:15">
      <c r="B344" s="551">
        <v>7</v>
      </c>
      <c r="C344" s="552" t="s">
        <v>787</v>
      </c>
      <c r="D344" s="553"/>
      <c r="E344" s="416"/>
      <c r="F344" s="555">
        <f ca="1" t="shared" si="258"/>
        <v>0</v>
      </c>
      <c r="G344" s="555">
        <f ca="1" t="shared" si="258"/>
        <v>0</v>
      </c>
      <c r="H344" s="555">
        <f ca="1" t="shared" si="258"/>
        <v>0</v>
      </c>
      <c r="I344" s="555">
        <f ca="1" t="shared" si="258"/>
        <v>0</v>
      </c>
      <c r="J344" s="555">
        <f ca="1" t="shared" si="258"/>
        <v>0</v>
      </c>
      <c r="K344" s="555">
        <f ca="1" t="shared" si="258"/>
        <v>0</v>
      </c>
      <c r="L344" s="555">
        <f ca="1" t="shared" si="258"/>
        <v>0</v>
      </c>
      <c r="M344" s="555">
        <f ca="1" t="shared" si="258"/>
        <v>0</v>
      </c>
      <c r="N344" s="555">
        <f ca="1" t="shared" si="256"/>
        <v>0</v>
      </c>
      <c r="O344" s="555">
        <f ca="1" t="shared" si="257"/>
        <v>0</v>
      </c>
    </row>
    <row r="345" ht="15" hidden="1" spans="2:15">
      <c r="B345" s="551">
        <v>8</v>
      </c>
      <c r="C345" s="552" t="s">
        <v>788</v>
      </c>
      <c r="D345" s="553"/>
      <c r="E345" s="416"/>
      <c r="F345" s="555">
        <f t="shared" si="258"/>
        <v>0</v>
      </c>
      <c r="G345" s="555">
        <f t="shared" si="258"/>
        <v>0</v>
      </c>
      <c r="H345" s="555">
        <f t="shared" si="258"/>
        <v>0</v>
      </c>
      <c r="I345" s="555">
        <f t="shared" si="258"/>
        <v>0</v>
      </c>
      <c r="J345" s="555">
        <f t="shared" si="258"/>
        <v>0</v>
      </c>
      <c r="K345" s="555">
        <f t="shared" si="258"/>
        <v>0</v>
      </c>
      <c r="L345" s="555">
        <f t="shared" si="258"/>
        <v>0</v>
      </c>
      <c r="M345" s="555">
        <f t="shared" si="258"/>
        <v>0</v>
      </c>
      <c r="N345" s="555"/>
      <c r="O345" s="555"/>
    </row>
    <row r="346" ht="15" hidden="1" spans="2:15">
      <c r="B346" s="551"/>
      <c r="C346" s="558" t="s">
        <v>789</v>
      </c>
      <c r="D346" s="553"/>
      <c r="E346" s="416"/>
      <c r="F346" s="555">
        <f ca="1" t="shared" si="258"/>
        <v>0</v>
      </c>
      <c r="G346" s="555">
        <f ca="1" t="shared" si="258"/>
        <v>0</v>
      </c>
      <c r="H346" s="555">
        <f ca="1" t="shared" si="258"/>
        <v>0</v>
      </c>
      <c r="I346" s="555">
        <f ca="1" t="shared" si="258"/>
        <v>0</v>
      </c>
      <c r="J346" s="555">
        <f ca="1" t="shared" si="258"/>
        <v>0</v>
      </c>
      <c r="K346" s="555">
        <f ca="1" t="shared" si="258"/>
        <v>0</v>
      </c>
      <c r="L346" s="555">
        <f ca="1" t="shared" si="258"/>
        <v>0</v>
      </c>
      <c r="M346" s="555">
        <f ca="1" t="shared" si="258"/>
        <v>0</v>
      </c>
      <c r="N346" s="555">
        <f ca="1" t="shared" si="256"/>
        <v>0</v>
      </c>
      <c r="O346" s="555">
        <f ca="1" t="shared" si="257"/>
        <v>0</v>
      </c>
    </row>
    <row r="347" ht="15" hidden="1" spans="2:15">
      <c r="B347" s="551"/>
      <c r="C347" s="558" t="s">
        <v>808</v>
      </c>
      <c r="D347" s="553"/>
      <c r="E347" s="416"/>
      <c r="F347" s="555">
        <f ca="1" t="shared" si="258"/>
        <v>0</v>
      </c>
      <c r="G347" s="555">
        <f ca="1" t="shared" si="258"/>
        <v>0</v>
      </c>
      <c r="H347" s="555">
        <f ca="1" t="shared" si="258"/>
        <v>0</v>
      </c>
      <c r="I347" s="555">
        <f ca="1" t="shared" si="258"/>
        <v>0</v>
      </c>
      <c r="J347" s="555">
        <f ca="1" t="shared" si="258"/>
        <v>0</v>
      </c>
      <c r="K347" s="555">
        <f ca="1" t="shared" si="258"/>
        <v>0</v>
      </c>
      <c r="L347" s="555">
        <f ca="1" t="shared" si="258"/>
        <v>0</v>
      </c>
      <c r="M347" s="555">
        <f ca="1" t="shared" si="258"/>
        <v>0</v>
      </c>
      <c r="N347" s="555">
        <f ca="1" t="shared" si="256"/>
        <v>0</v>
      </c>
      <c r="O347" s="555">
        <f ca="1" t="shared" si="257"/>
        <v>0</v>
      </c>
    </row>
    <row r="348" ht="30" hidden="1" spans="2:15">
      <c r="B348" s="560">
        <v>9</v>
      </c>
      <c r="C348" s="561" t="s">
        <v>791</v>
      </c>
      <c r="D348" s="553"/>
      <c r="E348" s="416"/>
      <c r="F348" s="555">
        <f ca="1" t="shared" si="258"/>
        <v>0</v>
      </c>
      <c r="G348" s="555">
        <f ca="1" t="shared" si="258"/>
        <v>0</v>
      </c>
      <c r="H348" s="555">
        <f ca="1" t="shared" si="258"/>
        <v>0</v>
      </c>
      <c r="I348" s="555">
        <f ca="1" t="shared" si="258"/>
        <v>0</v>
      </c>
      <c r="J348" s="555">
        <f ca="1" t="shared" si="258"/>
        <v>0</v>
      </c>
      <c r="K348" s="555">
        <f ca="1" t="shared" si="258"/>
        <v>0</v>
      </c>
      <c r="L348" s="555">
        <f ca="1" t="shared" si="258"/>
        <v>0</v>
      </c>
      <c r="M348" s="555">
        <f ca="1" t="shared" si="258"/>
        <v>0</v>
      </c>
      <c r="N348" s="555">
        <f ca="1" t="shared" si="256"/>
        <v>0</v>
      </c>
      <c r="O348" s="555">
        <f ca="1" t="shared" si="257"/>
        <v>0</v>
      </c>
    </row>
    <row r="349" ht="15" hidden="1" spans="2:15">
      <c r="B349" s="562">
        <v>10</v>
      </c>
      <c r="C349" s="563" t="s">
        <v>792</v>
      </c>
      <c r="D349" s="564"/>
      <c r="E349" s="416"/>
      <c r="F349" s="555">
        <f ca="1" t="shared" si="258"/>
        <v>0</v>
      </c>
      <c r="G349" s="555">
        <f ca="1" t="shared" si="258"/>
        <v>0</v>
      </c>
      <c r="H349" s="555">
        <f ca="1" t="shared" si="258"/>
        <v>0</v>
      </c>
      <c r="I349" s="555">
        <f ca="1" t="shared" si="258"/>
        <v>0</v>
      </c>
      <c r="J349" s="555">
        <f ca="1" t="shared" si="258"/>
        <v>0</v>
      </c>
      <c r="K349" s="555">
        <f ca="1" t="shared" si="258"/>
        <v>0</v>
      </c>
      <c r="L349" s="555">
        <f ca="1" t="shared" si="258"/>
        <v>0</v>
      </c>
      <c r="M349" s="555">
        <f ca="1" t="shared" si="258"/>
        <v>0</v>
      </c>
      <c r="N349" s="555">
        <f ca="1" t="shared" si="256"/>
        <v>0</v>
      </c>
      <c r="O349" s="555">
        <f ca="1" t="shared" si="256"/>
        <v>0</v>
      </c>
    </row>
    <row r="350" ht="15" hidden="1" spans="2:15">
      <c r="B350" s="562">
        <v>11</v>
      </c>
      <c r="C350" s="563" t="s">
        <v>793</v>
      </c>
      <c r="D350" s="564"/>
      <c r="E350" s="416"/>
      <c r="F350" s="555">
        <f ca="1" t="shared" si="258"/>
        <v>0</v>
      </c>
      <c r="G350" s="555">
        <f ca="1" t="shared" si="258"/>
        <v>0</v>
      </c>
      <c r="H350" s="555">
        <f ca="1" t="shared" si="258"/>
        <v>0</v>
      </c>
      <c r="I350" s="555">
        <f ca="1" t="shared" si="258"/>
        <v>0</v>
      </c>
      <c r="J350" s="555">
        <f ca="1" t="shared" si="258"/>
        <v>0</v>
      </c>
      <c r="K350" s="555">
        <f ca="1" t="shared" si="258"/>
        <v>0</v>
      </c>
      <c r="L350" s="555">
        <f ca="1" t="shared" si="258"/>
        <v>0</v>
      </c>
      <c r="M350" s="555">
        <f ca="1" t="shared" si="258"/>
        <v>0</v>
      </c>
      <c r="N350" s="555">
        <f ca="1" t="shared" si="256"/>
        <v>0</v>
      </c>
      <c r="O350" s="555">
        <f ca="1" t="shared" si="256"/>
        <v>0</v>
      </c>
    </row>
    <row r="351" ht="15" hidden="1" spans="2:15">
      <c r="B351" s="562">
        <v>12</v>
      </c>
      <c r="C351" s="563" t="s">
        <v>794</v>
      </c>
      <c r="D351" s="564"/>
      <c r="E351" s="416"/>
      <c r="F351" s="555">
        <f t="shared" si="258"/>
        <v>0</v>
      </c>
      <c r="G351" s="555">
        <f t="shared" si="258"/>
        <v>0</v>
      </c>
      <c r="H351" s="555">
        <f t="shared" si="258"/>
        <v>0</v>
      </c>
      <c r="I351" s="555">
        <f t="shared" si="258"/>
        <v>0</v>
      </c>
      <c r="J351" s="555">
        <f t="shared" si="258"/>
        <v>0</v>
      </c>
      <c r="K351" s="555">
        <f t="shared" si="258"/>
        <v>0</v>
      </c>
      <c r="L351" s="555">
        <f t="shared" si="258"/>
        <v>0</v>
      </c>
      <c r="M351" s="555">
        <f t="shared" si="258"/>
        <v>0</v>
      </c>
      <c r="N351" s="555"/>
      <c r="O351" s="555"/>
    </row>
    <row r="352" ht="15" hidden="1" spans="2:15">
      <c r="B352" s="562"/>
      <c r="C352" s="565" t="s">
        <v>795</v>
      </c>
      <c r="D352" s="564"/>
      <c r="E352" s="416"/>
      <c r="F352" s="555">
        <f ca="1" t="shared" si="258"/>
        <v>0</v>
      </c>
      <c r="G352" s="555">
        <f ca="1" t="shared" si="258"/>
        <v>0</v>
      </c>
      <c r="H352" s="555">
        <f ca="1" t="shared" si="258"/>
        <v>0</v>
      </c>
      <c r="I352" s="555">
        <f ca="1" t="shared" si="258"/>
        <v>0</v>
      </c>
      <c r="J352" s="555">
        <f ca="1" t="shared" si="258"/>
        <v>0</v>
      </c>
      <c r="K352" s="555">
        <f ca="1" t="shared" si="258"/>
        <v>0</v>
      </c>
      <c r="L352" s="555">
        <f ca="1" t="shared" si="258"/>
        <v>0</v>
      </c>
      <c r="M352" s="555">
        <f ca="1" t="shared" si="258"/>
        <v>0</v>
      </c>
      <c r="N352" s="555">
        <f ca="1" t="shared" si="256"/>
        <v>0</v>
      </c>
      <c r="O352" s="555">
        <f ca="1" t="shared" si="256"/>
        <v>0</v>
      </c>
    </row>
    <row r="353" ht="15" hidden="1" spans="2:15">
      <c r="B353" s="562"/>
      <c r="C353" s="565" t="s">
        <v>796</v>
      </c>
      <c r="D353" s="564"/>
      <c r="E353" s="416"/>
      <c r="F353" s="555">
        <f ca="1" t="shared" si="258"/>
        <v>0</v>
      </c>
      <c r="G353" s="555">
        <f ca="1" t="shared" si="258"/>
        <v>0</v>
      </c>
      <c r="H353" s="555">
        <f ca="1" t="shared" si="258"/>
        <v>0</v>
      </c>
      <c r="I353" s="555">
        <f ca="1" t="shared" si="258"/>
        <v>0</v>
      </c>
      <c r="J353" s="555">
        <f ca="1" t="shared" si="258"/>
        <v>0</v>
      </c>
      <c r="K353" s="555">
        <f ca="1" t="shared" si="258"/>
        <v>0</v>
      </c>
      <c r="L353" s="555">
        <f ca="1" t="shared" si="258"/>
        <v>0</v>
      </c>
      <c r="M353" s="555">
        <f ca="1" t="shared" si="258"/>
        <v>0</v>
      </c>
      <c r="N353" s="555">
        <f ca="1" t="shared" si="256"/>
        <v>0</v>
      </c>
      <c r="O353" s="555">
        <f ca="1" t="shared" si="256"/>
        <v>0</v>
      </c>
    </row>
    <row r="354" ht="15" hidden="1" spans="2:15">
      <c r="B354" s="562">
        <v>13</v>
      </c>
      <c r="C354" s="565"/>
      <c r="D354" s="564"/>
      <c r="E354" s="416"/>
      <c r="F354" s="555">
        <f t="shared" si="258"/>
        <v>0</v>
      </c>
      <c r="G354" s="555">
        <f t="shared" si="258"/>
        <v>0</v>
      </c>
      <c r="H354" s="555">
        <f t="shared" si="258"/>
        <v>0</v>
      </c>
      <c r="I354" s="555">
        <f t="shared" si="258"/>
        <v>0</v>
      </c>
      <c r="J354" s="555">
        <f t="shared" si="258"/>
        <v>0</v>
      </c>
      <c r="K354" s="555">
        <f t="shared" si="258"/>
        <v>0</v>
      </c>
      <c r="L354" s="555">
        <f t="shared" si="258"/>
        <v>0</v>
      </c>
      <c r="M354" s="555">
        <f t="shared" si="258"/>
        <v>0</v>
      </c>
      <c r="N354" s="555"/>
      <c r="O354" s="555"/>
    </row>
    <row r="355" ht="15" hidden="1" spans="2:15">
      <c r="B355" s="562"/>
      <c r="C355" s="565" t="s">
        <v>797</v>
      </c>
      <c r="D355" s="564"/>
      <c r="E355" s="416"/>
      <c r="F355" s="555">
        <f ca="1" t="shared" si="258"/>
        <v>0</v>
      </c>
      <c r="G355" s="555">
        <f ca="1" t="shared" si="258"/>
        <v>0</v>
      </c>
      <c r="H355" s="555">
        <f ca="1" t="shared" si="258"/>
        <v>0</v>
      </c>
      <c r="I355" s="555">
        <f ca="1" t="shared" si="258"/>
        <v>0</v>
      </c>
      <c r="J355" s="555">
        <f ca="1" t="shared" si="258"/>
        <v>0</v>
      </c>
      <c r="K355" s="555">
        <f ca="1" t="shared" si="258"/>
        <v>0</v>
      </c>
      <c r="L355" s="555">
        <f ca="1" t="shared" si="258"/>
        <v>0</v>
      </c>
      <c r="M355" s="555">
        <f ca="1" t="shared" si="258"/>
        <v>0</v>
      </c>
      <c r="N355" s="555">
        <f ca="1" t="shared" si="256"/>
        <v>0</v>
      </c>
      <c r="O355" s="555">
        <f ca="1" t="shared" si="256"/>
        <v>0</v>
      </c>
    </row>
    <row r="356" ht="15" hidden="1" spans="2:15">
      <c r="B356" s="562"/>
      <c r="C356" s="565" t="s">
        <v>798</v>
      </c>
      <c r="D356" s="564"/>
      <c r="E356" s="416"/>
      <c r="F356" s="555">
        <f ca="1" t="shared" si="258"/>
        <v>0</v>
      </c>
      <c r="G356" s="555">
        <f ca="1" t="shared" si="258"/>
        <v>0</v>
      </c>
      <c r="H356" s="555">
        <f ca="1" t="shared" si="258"/>
        <v>0</v>
      </c>
      <c r="I356" s="555">
        <f ca="1" t="shared" si="258"/>
        <v>0</v>
      </c>
      <c r="J356" s="555">
        <f ca="1" t="shared" si="258"/>
        <v>0</v>
      </c>
      <c r="K356" s="555">
        <f ca="1" t="shared" si="258"/>
        <v>0</v>
      </c>
      <c r="L356" s="555">
        <f ca="1" t="shared" si="258"/>
        <v>0</v>
      </c>
      <c r="M356" s="555">
        <f ca="1" t="shared" si="258"/>
        <v>0</v>
      </c>
      <c r="N356" s="555">
        <f ca="1" t="shared" si="256"/>
        <v>0</v>
      </c>
      <c r="O356" s="555">
        <f ca="1" t="shared" si="256"/>
        <v>0</v>
      </c>
    </row>
    <row r="357" ht="15" hidden="1" spans="2:15">
      <c r="B357" s="562"/>
      <c r="C357" s="565" t="s">
        <v>799</v>
      </c>
      <c r="D357" s="564"/>
      <c r="E357" s="416"/>
      <c r="F357" s="555">
        <f ca="1" t="shared" si="258"/>
        <v>0</v>
      </c>
      <c r="G357" s="555">
        <f ca="1" t="shared" si="258"/>
        <v>0</v>
      </c>
      <c r="H357" s="555">
        <f ca="1" t="shared" si="258"/>
        <v>0</v>
      </c>
      <c r="I357" s="555">
        <f ca="1" t="shared" si="258"/>
        <v>0</v>
      </c>
      <c r="J357" s="555">
        <f ca="1" t="shared" si="258"/>
        <v>0</v>
      </c>
      <c r="K357" s="555">
        <f ca="1" t="shared" si="258"/>
        <v>0</v>
      </c>
      <c r="L357" s="555">
        <f ca="1" t="shared" si="258"/>
        <v>0</v>
      </c>
      <c r="M357" s="555">
        <f ca="1" t="shared" si="258"/>
        <v>0</v>
      </c>
      <c r="N357" s="555">
        <f ca="1" t="shared" si="256"/>
        <v>0</v>
      </c>
      <c r="O357" s="555">
        <f ca="1" t="shared" si="256"/>
        <v>0</v>
      </c>
    </row>
    <row r="358" ht="15" hidden="1" spans="2:15">
      <c r="B358" s="562"/>
      <c r="C358" s="565" t="s">
        <v>800</v>
      </c>
      <c r="D358" s="564"/>
      <c r="E358" s="416"/>
      <c r="F358" s="555">
        <f ca="1" t="shared" si="258"/>
        <v>0</v>
      </c>
      <c r="G358" s="555">
        <f ca="1" t="shared" si="258"/>
        <v>0</v>
      </c>
      <c r="H358" s="555">
        <f ca="1" t="shared" si="258"/>
        <v>0</v>
      </c>
      <c r="I358" s="555">
        <f ca="1" t="shared" si="258"/>
        <v>0</v>
      </c>
      <c r="J358" s="555">
        <f ca="1" t="shared" si="258"/>
        <v>0</v>
      </c>
      <c r="K358" s="555">
        <f ca="1" t="shared" si="258"/>
        <v>0</v>
      </c>
      <c r="L358" s="555">
        <f ca="1" t="shared" si="258"/>
        <v>0</v>
      </c>
      <c r="M358" s="555">
        <f ca="1" t="shared" si="258"/>
        <v>0</v>
      </c>
      <c r="N358" s="555">
        <f ca="1" t="shared" si="256"/>
        <v>0</v>
      </c>
      <c r="O358" s="555">
        <f ca="1" t="shared" si="256"/>
        <v>0</v>
      </c>
    </row>
    <row r="359" ht="15" hidden="1" spans="2:15">
      <c r="B359" s="562">
        <v>14</v>
      </c>
      <c r="C359" s="563" t="s">
        <v>801</v>
      </c>
      <c r="D359" s="564"/>
      <c r="E359" s="416"/>
      <c r="F359" s="555">
        <f t="shared" ref="F359:M365" si="259">90%*F42</f>
        <v>0</v>
      </c>
      <c r="G359" s="555">
        <f t="shared" si="259"/>
        <v>0</v>
      </c>
      <c r="H359" s="555">
        <f t="shared" si="259"/>
        <v>0</v>
      </c>
      <c r="I359" s="555">
        <f t="shared" si="259"/>
        <v>0</v>
      </c>
      <c r="J359" s="555">
        <f t="shared" si="259"/>
        <v>0</v>
      </c>
      <c r="K359" s="555">
        <f t="shared" si="259"/>
        <v>0</v>
      </c>
      <c r="L359" s="555">
        <f t="shared" si="259"/>
        <v>0</v>
      </c>
      <c r="M359" s="555">
        <f t="shared" si="259"/>
        <v>0</v>
      </c>
      <c r="N359" s="555"/>
      <c r="O359" s="555"/>
    </row>
    <row r="360" ht="15" hidden="1" spans="2:15">
      <c r="B360" s="562"/>
      <c r="C360" s="565" t="s">
        <v>802</v>
      </c>
      <c r="D360" s="564"/>
      <c r="E360" s="416"/>
      <c r="F360" s="555">
        <f ca="1" t="shared" si="259"/>
        <v>0</v>
      </c>
      <c r="G360" s="555">
        <f ca="1" t="shared" si="259"/>
        <v>0</v>
      </c>
      <c r="H360" s="555">
        <f ca="1" t="shared" si="259"/>
        <v>0</v>
      </c>
      <c r="I360" s="555">
        <f ca="1" t="shared" si="259"/>
        <v>0</v>
      </c>
      <c r="J360" s="555">
        <f ca="1" t="shared" si="259"/>
        <v>0</v>
      </c>
      <c r="K360" s="555">
        <f ca="1" t="shared" si="259"/>
        <v>0</v>
      </c>
      <c r="L360" s="555">
        <f ca="1" t="shared" si="259"/>
        <v>0</v>
      </c>
      <c r="M360" s="555">
        <f ca="1" t="shared" si="259"/>
        <v>0</v>
      </c>
      <c r="N360" s="555">
        <f ca="1" t="shared" si="256"/>
        <v>0</v>
      </c>
      <c r="O360" s="555">
        <f ca="1" t="shared" si="256"/>
        <v>0</v>
      </c>
    </row>
    <row r="361" ht="15" hidden="1" spans="2:15">
      <c r="B361" s="562"/>
      <c r="C361" s="565" t="s">
        <v>803</v>
      </c>
      <c r="D361" s="564"/>
      <c r="E361" s="416"/>
      <c r="F361" s="555">
        <f ca="1" t="shared" si="259"/>
        <v>0</v>
      </c>
      <c r="G361" s="555">
        <f ca="1" t="shared" si="259"/>
        <v>0</v>
      </c>
      <c r="H361" s="555">
        <f ca="1" t="shared" si="259"/>
        <v>0</v>
      </c>
      <c r="I361" s="555">
        <f ca="1" t="shared" si="259"/>
        <v>0</v>
      </c>
      <c r="J361" s="555">
        <f ca="1" t="shared" si="259"/>
        <v>0</v>
      </c>
      <c r="K361" s="555">
        <f ca="1" t="shared" si="259"/>
        <v>0</v>
      </c>
      <c r="L361" s="555">
        <f ca="1" t="shared" si="259"/>
        <v>0</v>
      </c>
      <c r="M361" s="555">
        <f ca="1" t="shared" si="259"/>
        <v>0</v>
      </c>
      <c r="N361" s="555">
        <f ca="1" t="shared" si="256"/>
        <v>0</v>
      </c>
      <c r="O361" s="555">
        <f ca="1" t="shared" si="256"/>
        <v>0</v>
      </c>
    </row>
    <row r="362" ht="15" hidden="1" spans="2:15">
      <c r="B362" s="562"/>
      <c r="C362" s="565" t="s">
        <v>804</v>
      </c>
      <c r="D362" s="564"/>
      <c r="E362" s="416"/>
      <c r="F362" s="555">
        <f ca="1" t="shared" si="259"/>
        <v>0</v>
      </c>
      <c r="G362" s="555">
        <f ca="1" t="shared" si="259"/>
        <v>0</v>
      </c>
      <c r="H362" s="555">
        <f ca="1" t="shared" si="259"/>
        <v>0</v>
      </c>
      <c r="I362" s="555">
        <f ca="1" t="shared" si="259"/>
        <v>0</v>
      </c>
      <c r="J362" s="555">
        <f ca="1" t="shared" si="259"/>
        <v>0</v>
      </c>
      <c r="K362" s="555">
        <f ca="1" t="shared" si="259"/>
        <v>0</v>
      </c>
      <c r="L362" s="555">
        <f ca="1" t="shared" si="259"/>
        <v>0</v>
      </c>
      <c r="M362" s="555">
        <f ca="1" t="shared" si="259"/>
        <v>0</v>
      </c>
      <c r="N362" s="555">
        <f ca="1" t="shared" si="256"/>
        <v>0</v>
      </c>
      <c r="O362" s="555">
        <f ca="1" t="shared" si="256"/>
        <v>0</v>
      </c>
    </row>
    <row r="363" ht="15" hidden="1" spans="2:15">
      <c r="B363" s="562">
        <v>15</v>
      </c>
      <c r="C363" s="563" t="s">
        <v>805</v>
      </c>
      <c r="D363" s="564"/>
      <c r="E363" s="416"/>
      <c r="F363" s="555">
        <f ca="1" t="shared" si="259"/>
        <v>0</v>
      </c>
      <c r="G363" s="555">
        <f ca="1" t="shared" si="259"/>
        <v>0</v>
      </c>
      <c r="H363" s="555">
        <f ca="1" t="shared" si="259"/>
        <v>0</v>
      </c>
      <c r="I363" s="555">
        <f ca="1" t="shared" si="259"/>
        <v>0</v>
      </c>
      <c r="J363" s="555">
        <f ca="1" t="shared" si="259"/>
        <v>0</v>
      </c>
      <c r="K363" s="555">
        <f ca="1" t="shared" si="259"/>
        <v>0</v>
      </c>
      <c r="L363" s="555">
        <f ca="1" t="shared" si="259"/>
        <v>0</v>
      </c>
      <c r="M363" s="555">
        <f ca="1" t="shared" si="259"/>
        <v>0</v>
      </c>
      <c r="N363" s="555">
        <f ca="1" t="shared" si="256"/>
        <v>0</v>
      </c>
      <c r="O363" s="555">
        <f ca="1" t="shared" si="256"/>
        <v>0</v>
      </c>
    </row>
    <row r="364" ht="15" hidden="1" spans="2:15">
      <c r="B364" s="562">
        <v>16</v>
      </c>
      <c r="C364" s="563" t="s">
        <v>806</v>
      </c>
      <c r="D364" s="553"/>
      <c r="E364" s="416"/>
      <c r="F364" s="555">
        <f ca="1" t="shared" si="259"/>
        <v>0</v>
      </c>
      <c r="G364" s="555">
        <f ca="1" t="shared" si="259"/>
        <v>0</v>
      </c>
      <c r="H364" s="555">
        <f ca="1" t="shared" si="259"/>
        <v>0</v>
      </c>
      <c r="I364" s="555">
        <f ca="1" t="shared" si="259"/>
        <v>0</v>
      </c>
      <c r="J364" s="555">
        <f ca="1" t="shared" si="259"/>
        <v>0</v>
      </c>
      <c r="K364" s="555">
        <f ca="1" t="shared" si="259"/>
        <v>0</v>
      </c>
      <c r="L364" s="555">
        <f ca="1" t="shared" si="259"/>
        <v>0</v>
      </c>
      <c r="M364" s="555">
        <f ca="1" t="shared" si="259"/>
        <v>0</v>
      </c>
      <c r="N364" s="555">
        <f ca="1" t="shared" si="256"/>
        <v>0</v>
      </c>
      <c r="O364" s="555">
        <f ca="1" t="shared" si="256"/>
        <v>0</v>
      </c>
    </row>
    <row r="365" ht="15" hidden="1" spans="2:15">
      <c r="B365" s="562">
        <v>17</v>
      </c>
      <c r="C365" s="563" t="s">
        <v>807</v>
      </c>
      <c r="D365" s="553"/>
      <c r="E365" s="426"/>
      <c r="F365" s="555">
        <f ca="1" t="shared" si="259"/>
        <v>0</v>
      </c>
      <c r="G365" s="555">
        <f ca="1" t="shared" si="259"/>
        <v>0</v>
      </c>
      <c r="H365" s="555">
        <f ca="1" t="shared" si="259"/>
        <v>0</v>
      </c>
      <c r="I365" s="555">
        <f ca="1" t="shared" si="259"/>
        <v>0</v>
      </c>
      <c r="J365" s="555">
        <f ca="1" t="shared" si="259"/>
        <v>0</v>
      </c>
      <c r="K365" s="555">
        <f ca="1" t="shared" si="259"/>
        <v>0</v>
      </c>
      <c r="L365" s="555">
        <f ca="1" t="shared" si="259"/>
        <v>0</v>
      </c>
      <c r="M365" s="555">
        <f ca="1" t="shared" si="259"/>
        <v>0</v>
      </c>
      <c r="N365" s="555">
        <f ca="1" t="shared" si="256"/>
        <v>0</v>
      </c>
      <c r="O365" s="555">
        <f ca="1" t="shared" si="256"/>
        <v>0</v>
      </c>
    </row>
    <row r="366" ht="15.75" hidden="1" spans="2:15">
      <c r="B366" s="566"/>
      <c r="C366" s="567" t="s">
        <v>97</v>
      </c>
      <c r="D366" s="567"/>
      <c r="E366" s="568"/>
      <c r="F366" s="569">
        <f ca="1">SUM(F326:F365)</f>
        <v>0</v>
      </c>
      <c r="G366" s="569">
        <f ca="1" t="shared" ref="G366:O366" si="260">SUM(G326:G365)</f>
        <v>0</v>
      </c>
      <c r="H366" s="569">
        <f ca="1" t="shared" si="260"/>
        <v>0</v>
      </c>
      <c r="I366" s="569">
        <f ca="1" t="shared" si="260"/>
        <v>0</v>
      </c>
      <c r="J366" s="569">
        <f ca="1" t="shared" si="260"/>
        <v>0</v>
      </c>
      <c r="K366" s="569">
        <f ca="1" t="shared" si="260"/>
        <v>0</v>
      </c>
      <c r="L366" s="569">
        <f ca="1" t="shared" si="260"/>
        <v>0</v>
      </c>
      <c r="M366" s="569">
        <f ca="1" t="shared" si="260"/>
        <v>0</v>
      </c>
      <c r="N366" s="569">
        <f ca="1" t="shared" si="260"/>
        <v>0</v>
      </c>
      <c r="O366" s="569">
        <f ca="1" t="shared" si="260"/>
        <v>0</v>
      </c>
    </row>
    <row r="368" ht="15" spans="2:15">
      <c r="B368" s="570" t="s">
        <v>760</v>
      </c>
      <c r="C368" s="571"/>
      <c r="D368" s="571"/>
      <c r="E368" s="571"/>
      <c r="F368" s="571"/>
      <c r="G368" s="571"/>
      <c r="H368" s="571"/>
      <c r="I368" s="571"/>
      <c r="J368" s="571"/>
      <c r="K368" s="571"/>
      <c r="L368" s="571"/>
      <c r="M368" s="571"/>
      <c r="N368" s="571"/>
      <c r="O368" s="581"/>
    </row>
    <row r="369" customHeight="1" spans="2:15">
      <c r="B369" s="547" t="s">
        <v>564</v>
      </c>
      <c r="C369" s="978" t="s">
        <v>671</v>
      </c>
      <c r="D369" s="549" t="s">
        <v>672</v>
      </c>
      <c r="E369" s="549" t="s">
        <v>673</v>
      </c>
      <c r="F369" s="549" t="s">
        <v>674</v>
      </c>
      <c r="G369" s="549"/>
      <c r="H369" s="549"/>
      <c r="I369" s="549"/>
      <c r="J369" s="549" t="s">
        <v>675</v>
      </c>
      <c r="K369" s="549"/>
      <c r="L369" s="549"/>
      <c r="M369" s="549"/>
      <c r="N369" s="549" t="s">
        <v>676</v>
      </c>
      <c r="O369" s="579"/>
    </row>
    <row r="370" ht="60.75" spans="2:15">
      <c r="B370" s="572"/>
      <c r="C370" s="573"/>
      <c r="D370" s="574"/>
      <c r="E370" s="574"/>
      <c r="F370" s="574" t="s">
        <v>677</v>
      </c>
      <c r="G370" s="574" t="s">
        <v>678</v>
      </c>
      <c r="H370" s="574" t="s">
        <v>679</v>
      </c>
      <c r="I370" s="574" t="s">
        <v>680</v>
      </c>
      <c r="J370" s="574" t="s">
        <v>681</v>
      </c>
      <c r="K370" s="574" t="s">
        <v>678</v>
      </c>
      <c r="L370" s="574" t="s">
        <v>682</v>
      </c>
      <c r="M370" s="574" t="s">
        <v>683</v>
      </c>
      <c r="N370" s="574" t="s">
        <v>677</v>
      </c>
      <c r="O370" s="582" t="s">
        <v>680</v>
      </c>
    </row>
    <row r="371" ht="15" spans="2:15">
      <c r="B371" s="551">
        <v>1</v>
      </c>
      <c r="C371" s="552" t="s">
        <v>684</v>
      </c>
      <c r="D371" s="546"/>
      <c r="E371" s="576"/>
      <c r="F371" s="555">
        <f>90%*F54</f>
        <v>7.776</v>
      </c>
      <c r="G371" s="555">
        <f t="shared" ref="G371:M371" si="261">90%*G54</f>
        <v>25.7890267494604</v>
      </c>
      <c r="H371" s="555">
        <f ca="1" t="shared" si="261"/>
        <v>0</v>
      </c>
      <c r="I371" s="555">
        <f ca="1" t="shared" si="261"/>
        <v>33.5650267494604</v>
      </c>
      <c r="J371" s="555">
        <f t="shared" si="261"/>
        <v>0.0044091558000014</v>
      </c>
      <c r="K371" s="555">
        <f t="shared" si="261"/>
        <v>0</v>
      </c>
      <c r="L371" s="555">
        <f ca="1" t="shared" si="261"/>
        <v>0</v>
      </c>
      <c r="M371" s="555">
        <f ca="1" t="shared" si="261"/>
        <v>0.0044091558000014</v>
      </c>
      <c r="N371" s="555">
        <f>F371-J371</f>
        <v>7.7715908442</v>
      </c>
      <c r="O371" s="555">
        <f ca="1">I371-M371</f>
        <v>33.5606175936604</v>
      </c>
    </row>
    <row r="372" ht="15" spans="2:15">
      <c r="B372" s="551">
        <v>2</v>
      </c>
      <c r="C372" s="552" t="s">
        <v>770</v>
      </c>
      <c r="D372" s="614"/>
      <c r="E372" s="615"/>
      <c r="F372" s="555">
        <f t="shared" ref="F372:M387" si="262">90%*F55</f>
        <v>0</v>
      </c>
      <c r="G372" s="555">
        <f t="shared" si="262"/>
        <v>0</v>
      </c>
      <c r="H372" s="555">
        <f ca="1" t="shared" si="262"/>
        <v>0</v>
      </c>
      <c r="I372" s="555">
        <f ca="1" t="shared" si="262"/>
        <v>0</v>
      </c>
      <c r="J372" s="555">
        <f ca="1" t="shared" si="262"/>
        <v>0</v>
      </c>
      <c r="K372" s="555">
        <f ca="1" t="shared" si="262"/>
        <v>0</v>
      </c>
      <c r="L372" s="555">
        <f ca="1" t="shared" si="262"/>
        <v>0</v>
      </c>
      <c r="M372" s="555">
        <f ca="1" t="shared" si="262"/>
        <v>0</v>
      </c>
      <c r="N372" s="555">
        <f ca="1">F372-J372</f>
        <v>0</v>
      </c>
      <c r="O372" s="555">
        <f ca="1">I372-M372</f>
        <v>0</v>
      </c>
    </row>
    <row r="373" ht="15" spans="2:15">
      <c r="B373" s="551">
        <v>3</v>
      </c>
      <c r="C373" s="556" t="s">
        <v>771</v>
      </c>
      <c r="D373" s="553"/>
      <c r="E373" s="416"/>
      <c r="F373" s="555">
        <f t="shared" si="262"/>
        <v>0</v>
      </c>
      <c r="G373" s="555">
        <f t="shared" si="262"/>
        <v>0</v>
      </c>
      <c r="H373" s="555">
        <f t="shared" si="262"/>
        <v>0</v>
      </c>
      <c r="I373" s="555">
        <f t="shared" si="262"/>
        <v>0</v>
      </c>
      <c r="J373" s="555">
        <f t="shared" si="262"/>
        <v>0</v>
      </c>
      <c r="K373" s="555">
        <f t="shared" si="262"/>
        <v>0</v>
      </c>
      <c r="L373" s="555">
        <f t="shared" si="262"/>
        <v>0</v>
      </c>
      <c r="M373" s="555">
        <f t="shared" si="262"/>
        <v>0</v>
      </c>
      <c r="N373" s="555"/>
      <c r="O373" s="555"/>
    </row>
    <row r="374" ht="15" spans="2:15">
      <c r="B374" s="551"/>
      <c r="C374" s="557" t="s">
        <v>772</v>
      </c>
      <c r="D374" s="553"/>
      <c r="E374" s="416"/>
      <c r="F374" s="555">
        <f t="shared" si="262"/>
        <v>336.798</v>
      </c>
      <c r="G374" s="555">
        <f t="shared" si="262"/>
        <v>24.0326172739947</v>
      </c>
      <c r="H374" s="555">
        <f ca="1" t="shared" si="262"/>
        <v>0</v>
      </c>
      <c r="I374" s="555">
        <f ca="1" t="shared" si="262"/>
        <v>360.830617273995</v>
      </c>
      <c r="J374" s="555">
        <f t="shared" si="262"/>
        <v>107.0123671773</v>
      </c>
      <c r="K374" s="555">
        <f t="shared" si="262"/>
        <v>18.3152446295549</v>
      </c>
      <c r="L374" s="555">
        <f ca="1" t="shared" si="262"/>
        <v>0</v>
      </c>
      <c r="M374" s="555">
        <f ca="1" t="shared" si="262"/>
        <v>125.327611806855</v>
      </c>
      <c r="N374" s="555">
        <f t="shared" ref="N374:N377" si="263">F374-J374</f>
        <v>229.7856328227</v>
      </c>
      <c r="O374" s="555">
        <f ca="1" t="shared" ref="O374:O377" si="264">I374-M374</f>
        <v>235.50300546714</v>
      </c>
    </row>
    <row r="375" ht="28.5" spans="2:15">
      <c r="B375" s="551"/>
      <c r="C375" s="557" t="s">
        <v>773</v>
      </c>
      <c r="D375" s="553"/>
      <c r="E375" s="416"/>
      <c r="F375" s="555">
        <f ca="1" t="shared" si="262"/>
        <v>0</v>
      </c>
      <c r="G375" s="555">
        <f ca="1" t="shared" si="262"/>
        <v>0</v>
      </c>
      <c r="H375" s="555">
        <f ca="1" t="shared" si="262"/>
        <v>0</v>
      </c>
      <c r="I375" s="555">
        <f ca="1" t="shared" si="262"/>
        <v>0</v>
      </c>
      <c r="J375" s="555">
        <f ca="1" t="shared" si="262"/>
        <v>0</v>
      </c>
      <c r="K375" s="555">
        <f ca="1" t="shared" si="262"/>
        <v>0</v>
      </c>
      <c r="L375" s="555">
        <f ca="1" t="shared" si="262"/>
        <v>0</v>
      </c>
      <c r="M375" s="555">
        <f ca="1" t="shared" si="262"/>
        <v>0</v>
      </c>
      <c r="N375" s="555">
        <f ca="1" t="shared" si="263"/>
        <v>0</v>
      </c>
      <c r="O375" s="555">
        <f ca="1" t="shared" si="264"/>
        <v>0</v>
      </c>
    </row>
    <row r="376" ht="15" spans="2:15">
      <c r="B376" s="551"/>
      <c r="C376" s="557" t="s">
        <v>774</v>
      </c>
      <c r="D376" s="553"/>
      <c r="E376" s="416"/>
      <c r="F376" s="555">
        <f ca="1" t="shared" si="262"/>
        <v>0</v>
      </c>
      <c r="G376" s="555">
        <f ca="1" t="shared" si="262"/>
        <v>0</v>
      </c>
      <c r="H376" s="555">
        <f ca="1" t="shared" si="262"/>
        <v>0</v>
      </c>
      <c r="I376" s="555">
        <f ca="1" t="shared" si="262"/>
        <v>0</v>
      </c>
      <c r="J376" s="555">
        <f ca="1" t="shared" si="262"/>
        <v>0</v>
      </c>
      <c r="K376" s="555">
        <f ca="1" t="shared" si="262"/>
        <v>0</v>
      </c>
      <c r="L376" s="555">
        <f ca="1" t="shared" si="262"/>
        <v>0</v>
      </c>
      <c r="M376" s="555">
        <f ca="1" t="shared" si="262"/>
        <v>0</v>
      </c>
      <c r="N376" s="555">
        <f ca="1" t="shared" si="263"/>
        <v>0</v>
      </c>
      <c r="O376" s="555">
        <f ca="1" t="shared" si="264"/>
        <v>0</v>
      </c>
    </row>
    <row r="377" ht="15" spans="2:15">
      <c r="B377" s="551"/>
      <c r="C377" s="557" t="s">
        <v>775</v>
      </c>
      <c r="D377" s="553"/>
      <c r="E377" s="416"/>
      <c r="F377" s="555">
        <f t="shared" si="262"/>
        <v>198.972</v>
      </c>
      <c r="G377" s="555">
        <f t="shared" si="262"/>
        <v>0</v>
      </c>
      <c r="H377" s="555">
        <f ca="1" t="shared" si="262"/>
        <v>0</v>
      </c>
      <c r="I377" s="555">
        <f ca="1" t="shared" si="262"/>
        <v>198.972</v>
      </c>
      <c r="J377" s="555">
        <f t="shared" si="262"/>
        <v>39.9721005729</v>
      </c>
      <c r="K377" s="555">
        <f t="shared" si="262"/>
        <v>0</v>
      </c>
      <c r="L377" s="555">
        <f ca="1" t="shared" si="262"/>
        <v>0</v>
      </c>
      <c r="M377" s="555">
        <f ca="1" t="shared" si="262"/>
        <v>39.9721005729</v>
      </c>
      <c r="N377" s="555">
        <f t="shared" si="263"/>
        <v>158.9998994271</v>
      </c>
      <c r="O377" s="555">
        <f ca="1" t="shared" si="264"/>
        <v>158.9998994271</v>
      </c>
    </row>
    <row r="378" ht="15" spans="2:15">
      <c r="B378" s="551">
        <v>4</v>
      </c>
      <c r="C378" s="552" t="s">
        <v>776</v>
      </c>
      <c r="D378" s="553"/>
      <c r="E378" s="416"/>
      <c r="F378" s="555">
        <f t="shared" si="262"/>
        <v>0</v>
      </c>
      <c r="G378" s="555">
        <f t="shared" si="262"/>
        <v>0</v>
      </c>
      <c r="H378" s="555">
        <f t="shared" si="262"/>
        <v>0</v>
      </c>
      <c r="I378" s="555">
        <f t="shared" si="262"/>
        <v>0</v>
      </c>
      <c r="J378" s="555">
        <f t="shared" si="262"/>
        <v>0</v>
      </c>
      <c r="K378" s="555">
        <f t="shared" si="262"/>
        <v>0</v>
      </c>
      <c r="L378" s="555">
        <f t="shared" si="262"/>
        <v>0</v>
      </c>
      <c r="M378" s="555">
        <f t="shared" si="262"/>
        <v>0</v>
      </c>
      <c r="N378" s="555"/>
      <c r="O378" s="555"/>
    </row>
    <row r="379" ht="15" spans="2:15">
      <c r="B379" s="551"/>
      <c r="C379" s="558" t="s">
        <v>777</v>
      </c>
      <c r="D379" s="553"/>
      <c r="E379" s="416"/>
      <c r="F379" s="555">
        <f t="shared" si="262"/>
        <v>8088.192</v>
      </c>
      <c r="G379" s="555">
        <f t="shared" si="262"/>
        <v>574.349624896362</v>
      </c>
      <c r="H379" s="555">
        <f ca="1" t="shared" si="262"/>
        <v>0</v>
      </c>
      <c r="I379" s="555">
        <f ca="1" t="shared" si="262"/>
        <v>8662.54162489636</v>
      </c>
      <c r="J379" s="555">
        <f t="shared" si="262"/>
        <v>4261.7991902949</v>
      </c>
      <c r="K379" s="555">
        <f t="shared" si="262"/>
        <v>341.400894204893</v>
      </c>
      <c r="L379" s="555">
        <f ca="1" t="shared" si="262"/>
        <v>0</v>
      </c>
      <c r="M379" s="555">
        <f ca="1" t="shared" si="262"/>
        <v>4603.20008449979</v>
      </c>
      <c r="N379" s="555">
        <f t="shared" ref="N379:N382" si="265">F379-J379</f>
        <v>3826.3928097051</v>
      </c>
      <c r="O379" s="555">
        <f ca="1" t="shared" ref="O379:O382" si="266">I379-M379</f>
        <v>4059.34154039657</v>
      </c>
    </row>
    <row r="380" ht="15" spans="2:15">
      <c r="B380" s="551"/>
      <c r="C380" s="552" t="s">
        <v>778</v>
      </c>
      <c r="D380" s="553"/>
      <c r="E380" s="416"/>
      <c r="F380" s="555">
        <f t="shared" si="262"/>
        <v>0</v>
      </c>
      <c r="G380" s="555">
        <f t="shared" si="262"/>
        <v>0</v>
      </c>
      <c r="H380" s="555">
        <f t="shared" si="262"/>
        <v>0</v>
      </c>
      <c r="I380" s="555">
        <f t="shared" si="262"/>
        <v>0</v>
      </c>
      <c r="J380" s="555">
        <f t="shared" si="262"/>
        <v>0</v>
      </c>
      <c r="K380" s="555">
        <f t="shared" si="262"/>
        <v>0</v>
      </c>
      <c r="L380" s="555">
        <f t="shared" si="262"/>
        <v>0</v>
      </c>
      <c r="M380" s="555">
        <f t="shared" si="262"/>
        <v>0</v>
      </c>
      <c r="N380" s="555"/>
      <c r="O380" s="555"/>
    </row>
    <row r="381" ht="15" spans="2:15">
      <c r="B381" s="551"/>
      <c r="C381" s="558" t="s">
        <v>779</v>
      </c>
      <c r="D381" s="553"/>
      <c r="E381" s="416"/>
      <c r="F381" s="555">
        <f ca="1" t="shared" si="262"/>
        <v>0</v>
      </c>
      <c r="G381" s="555">
        <f ca="1" t="shared" si="262"/>
        <v>0</v>
      </c>
      <c r="H381" s="555">
        <f ca="1" t="shared" si="262"/>
        <v>0</v>
      </c>
      <c r="I381" s="555">
        <f ca="1" t="shared" si="262"/>
        <v>0</v>
      </c>
      <c r="J381" s="555">
        <f ca="1" t="shared" si="262"/>
        <v>0</v>
      </c>
      <c r="K381" s="555">
        <f ca="1" t="shared" si="262"/>
        <v>0</v>
      </c>
      <c r="L381" s="555">
        <f ca="1" t="shared" si="262"/>
        <v>0</v>
      </c>
      <c r="M381" s="555">
        <f ca="1" t="shared" si="262"/>
        <v>0</v>
      </c>
      <c r="N381" s="555">
        <f ca="1" t="shared" si="265"/>
        <v>0</v>
      </c>
      <c r="O381" s="555">
        <f ca="1" t="shared" si="266"/>
        <v>0</v>
      </c>
    </row>
    <row r="382" ht="15" spans="2:15">
      <c r="B382" s="551"/>
      <c r="C382" s="558" t="s">
        <v>780</v>
      </c>
      <c r="D382" s="553"/>
      <c r="E382" s="416"/>
      <c r="F382" s="555">
        <f ca="1" t="shared" si="262"/>
        <v>0</v>
      </c>
      <c r="G382" s="555">
        <f ca="1" t="shared" si="262"/>
        <v>0</v>
      </c>
      <c r="H382" s="555">
        <f ca="1" t="shared" si="262"/>
        <v>0</v>
      </c>
      <c r="I382" s="555">
        <f ca="1" t="shared" si="262"/>
        <v>0</v>
      </c>
      <c r="J382" s="555">
        <f ca="1" t="shared" si="262"/>
        <v>0</v>
      </c>
      <c r="K382" s="555">
        <f ca="1" t="shared" si="262"/>
        <v>0</v>
      </c>
      <c r="L382" s="555">
        <f ca="1" t="shared" si="262"/>
        <v>0</v>
      </c>
      <c r="M382" s="555">
        <f ca="1" t="shared" si="262"/>
        <v>0</v>
      </c>
      <c r="N382" s="555">
        <f ca="1" t="shared" si="265"/>
        <v>0</v>
      </c>
      <c r="O382" s="555">
        <f ca="1" t="shared" si="266"/>
        <v>0</v>
      </c>
    </row>
    <row r="383" ht="15" spans="2:15">
      <c r="B383" s="551">
        <v>5</v>
      </c>
      <c r="C383" s="552" t="s">
        <v>781</v>
      </c>
      <c r="D383" s="553"/>
      <c r="E383" s="416"/>
      <c r="F383" s="555">
        <f t="shared" si="262"/>
        <v>0</v>
      </c>
      <c r="G383" s="555">
        <f t="shared" si="262"/>
        <v>0</v>
      </c>
      <c r="H383" s="555">
        <f t="shared" si="262"/>
        <v>0</v>
      </c>
      <c r="I383" s="555">
        <f t="shared" si="262"/>
        <v>0</v>
      </c>
      <c r="J383" s="555">
        <f t="shared" si="262"/>
        <v>0</v>
      </c>
      <c r="K383" s="555">
        <f t="shared" si="262"/>
        <v>0</v>
      </c>
      <c r="L383" s="555">
        <f t="shared" si="262"/>
        <v>0</v>
      </c>
      <c r="M383" s="555">
        <f t="shared" si="262"/>
        <v>0</v>
      </c>
      <c r="N383" s="555"/>
      <c r="O383" s="555"/>
    </row>
    <row r="384" ht="15" spans="2:15">
      <c r="B384" s="551"/>
      <c r="C384" s="558" t="s">
        <v>782</v>
      </c>
      <c r="D384" s="553"/>
      <c r="E384" s="416"/>
      <c r="F384" s="555">
        <f ca="1" t="shared" si="262"/>
        <v>0</v>
      </c>
      <c r="G384" s="555">
        <f ca="1" t="shared" si="262"/>
        <v>0</v>
      </c>
      <c r="H384" s="555">
        <f ca="1" t="shared" si="262"/>
        <v>0</v>
      </c>
      <c r="I384" s="555">
        <f ca="1" t="shared" si="262"/>
        <v>0</v>
      </c>
      <c r="J384" s="555">
        <f ca="1" t="shared" si="262"/>
        <v>0</v>
      </c>
      <c r="K384" s="555">
        <f ca="1" t="shared" si="262"/>
        <v>0</v>
      </c>
      <c r="L384" s="555">
        <f ca="1" t="shared" si="262"/>
        <v>0</v>
      </c>
      <c r="M384" s="555">
        <f ca="1" t="shared" si="262"/>
        <v>0</v>
      </c>
      <c r="N384" s="555">
        <f ca="1" t="shared" ref="N384:N389" si="267">F384-J384</f>
        <v>0</v>
      </c>
      <c r="O384" s="555">
        <f ca="1" t="shared" ref="O384:O389" si="268">I384-M384</f>
        <v>0</v>
      </c>
    </row>
    <row r="385" ht="15" spans="2:15">
      <c r="B385" s="551"/>
      <c r="C385" s="558" t="s">
        <v>783</v>
      </c>
      <c r="D385" s="553"/>
      <c r="E385" s="416"/>
      <c r="F385" s="555">
        <f ca="1" t="shared" si="262"/>
        <v>0</v>
      </c>
      <c r="G385" s="555">
        <f ca="1" t="shared" si="262"/>
        <v>0</v>
      </c>
      <c r="H385" s="555">
        <f ca="1" t="shared" si="262"/>
        <v>0</v>
      </c>
      <c r="I385" s="555">
        <f ca="1" t="shared" si="262"/>
        <v>0</v>
      </c>
      <c r="J385" s="555">
        <f ca="1" t="shared" si="262"/>
        <v>0</v>
      </c>
      <c r="K385" s="555">
        <f ca="1" t="shared" si="262"/>
        <v>0</v>
      </c>
      <c r="L385" s="555">
        <f ca="1" t="shared" si="262"/>
        <v>0</v>
      </c>
      <c r="M385" s="555">
        <f ca="1" t="shared" si="262"/>
        <v>0</v>
      </c>
      <c r="N385" s="555">
        <f ca="1" t="shared" si="267"/>
        <v>0</v>
      </c>
      <c r="O385" s="555">
        <f ca="1" t="shared" si="268"/>
        <v>0</v>
      </c>
    </row>
    <row r="386" ht="15" spans="2:15">
      <c r="B386" s="551"/>
      <c r="C386" s="558" t="s">
        <v>784</v>
      </c>
      <c r="D386" s="553"/>
      <c r="E386" s="416"/>
      <c r="F386" s="555">
        <f ca="1" t="shared" si="262"/>
        <v>0</v>
      </c>
      <c r="G386" s="555">
        <f ca="1" t="shared" si="262"/>
        <v>0</v>
      </c>
      <c r="H386" s="555">
        <f ca="1" t="shared" si="262"/>
        <v>0</v>
      </c>
      <c r="I386" s="555">
        <f ca="1" t="shared" si="262"/>
        <v>0</v>
      </c>
      <c r="J386" s="555">
        <f ca="1" t="shared" si="262"/>
        <v>0</v>
      </c>
      <c r="K386" s="555">
        <f ca="1" t="shared" si="262"/>
        <v>0</v>
      </c>
      <c r="L386" s="555">
        <f ca="1" t="shared" si="262"/>
        <v>0</v>
      </c>
      <c r="M386" s="555">
        <f ca="1" t="shared" si="262"/>
        <v>0</v>
      </c>
      <c r="N386" s="555">
        <f ca="1" t="shared" si="267"/>
        <v>0</v>
      </c>
      <c r="O386" s="555">
        <f ca="1" t="shared" si="268"/>
        <v>0</v>
      </c>
    </row>
    <row r="387" ht="15" spans="2:15">
      <c r="B387" s="551"/>
      <c r="C387" s="558" t="s">
        <v>785</v>
      </c>
      <c r="D387" s="553"/>
      <c r="E387" s="416"/>
      <c r="F387" s="555">
        <f ca="1" t="shared" si="262"/>
        <v>0</v>
      </c>
      <c r="G387" s="555">
        <f ca="1" t="shared" si="262"/>
        <v>0</v>
      </c>
      <c r="H387" s="555">
        <f ca="1" t="shared" si="262"/>
        <v>0</v>
      </c>
      <c r="I387" s="555">
        <f ca="1" t="shared" si="262"/>
        <v>0</v>
      </c>
      <c r="J387" s="555">
        <f ca="1" t="shared" si="262"/>
        <v>0</v>
      </c>
      <c r="K387" s="555">
        <f ca="1" t="shared" si="262"/>
        <v>0</v>
      </c>
      <c r="L387" s="555">
        <f ca="1" t="shared" si="262"/>
        <v>0</v>
      </c>
      <c r="M387" s="555">
        <f ca="1" t="shared" si="262"/>
        <v>0</v>
      </c>
      <c r="N387" s="555">
        <f ca="1" t="shared" si="267"/>
        <v>0</v>
      </c>
      <c r="O387" s="555">
        <f ca="1" t="shared" si="268"/>
        <v>0</v>
      </c>
    </row>
    <row r="388" ht="15" spans="2:15">
      <c r="B388" s="551">
        <v>6</v>
      </c>
      <c r="C388" s="552" t="s">
        <v>786</v>
      </c>
      <c r="D388" s="553"/>
      <c r="E388" s="416"/>
      <c r="F388" s="555">
        <f ca="1" t="shared" ref="F388:M403" si="269">90%*F71</f>
        <v>0</v>
      </c>
      <c r="G388" s="555">
        <f ca="1" t="shared" si="269"/>
        <v>0</v>
      </c>
      <c r="H388" s="555">
        <f ca="1" t="shared" si="269"/>
        <v>0</v>
      </c>
      <c r="I388" s="555">
        <f ca="1" t="shared" si="269"/>
        <v>0</v>
      </c>
      <c r="J388" s="555">
        <f ca="1" t="shared" si="269"/>
        <v>0</v>
      </c>
      <c r="K388" s="555">
        <f ca="1" t="shared" si="269"/>
        <v>0</v>
      </c>
      <c r="L388" s="555">
        <f ca="1" t="shared" si="269"/>
        <v>0</v>
      </c>
      <c r="M388" s="555">
        <f ca="1" t="shared" si="269"/>
        <v>0</v>
      </c>
      <c r="N388" s="555">
        <f ca="1" t="shared" si="267"/>
        <v>0</v>
      </c>
      <c r="O388" s="555">
        <f ca="1" t="shared" si="268"/>
        <v>0</v>
      </c>
    </row>
    <row r="389" ht="15" spans="2:15">
      <c r="B389" s="551">
        <v>7</v>
      </c>
      <c r="C389" s="552" t="s">
        <v>787</v>
      </c>
      <c r="D389" s="553"/>
      <c r="E389" s="416"/>
      <c r="F389" s="555">
        <f ca="1" t="shared" si="269"/>
        <v>0</v>
      </c>
      <c r="G389" s="555">
        <f ca="1" t="shared" si="269"/>
        <v>0</v>
      </c>
      <c r="H389" s="555">
        <f ca="1" t="shared" si="269"/>
        <v>0</v>
      </c>
      <c r="I389" s="555">
        <f ca="1" t="shared" si="269"/>
        <v>0</v>
      </c>
      <c r="J389" s="555">
        <f ca="1" t="shared" si="269"/>
        <v>0</v>
      </c>
      <c r="K389" s="555">
        <f ca="1" t="shared" si="269"/>
        <v>0</v>
      </c>
      <c r="L389" s="555">
        <f ca="1" t="shared" si="269"/>
        <v>0</v>
      </c>
      <c r="M389" s="555">
        <f ca="1" t="shared" si="269"/>
        <v>0</v>
      </c>
      <c r="N389" s="555">
        <f ca="1" t="shared" si="267"/>
        <v>0</v>
      </c>
      <c r="O389" s="555">
        <f ca="1" t="shared" si="268"/>
        <v>0</v>
      </c>
    </row>
    <row r="390" ht="15" spans="2:15">
      <c r="B390" s="551">
        <v>8</v>
      </c>
      <c r="C390" s="552" t="s">
        <v>788</v>
      </c>
      <c r="D390" s="553"/>
      <c r="E390" s="416"/>
      <c r="F390" s="555">
        <f t="shared" si="269"/>
        <v>0</v>
      </c>
      <c r="G390" s="555">
        <f t="shared" si="269"/>
        <v>0</v>
      </c>
      <c r="H390" s="555">
        <f t="shared" si="269"/>
        <v>0</v>
      </c>
      <c r="I390" s="555">
        <f t="shared" si="269"/>
        <v>0</v>
      </c>
      <c r="J390" s="555">
        <f t="shared" si="269"/>
        <v>0</v>
      </c>
      <c r="K390" s="555">
        <f t="shared" si="269"/>
        <v>0</v>
      </c>
      <c r="L390" s="555">
        <f t="shared" si="269"/>
        <v>0</v>
      </c>
      <c r="M390" s="555">
        <f t="shared" si="269"/>
        <v>0</v>
      </c>
      <c r="N390" s="555"/>
      <c r="O390" s="555"/>
    </row>
    <row r="391" ht="15" spans="2:15">
      <c r="B391" s="551"/>
      <c r="C391" s="558" t="s">
        <v>789</v>
      </c>
      <c r="D391" s="553"/>
      <c r="E391" s="416"/>
      <c r="F391" s="555">
        <f t="shared" si="269"/>
        <v>7812.081</v>
      </c>
      <c r="G391" s="555">
        <f t="shared" si="269"/>
        <v>647.956564816643</v>
      </c>
      <c r="H391" s="555">
        <f ca="1" t="shared" si="269"/>
        <v>0</v>
      </c>
      <c r="I391" s="555">
        <f ca="1" t="shared" si="269"/>
        <v>8460.03756481664</v>
      </c>
      <c r="J391" s="555">
        <f t="shared" si="269"/>
        <v>3713.603472801</v>
      </c>
      <c r="K391" s="555">
        <f t="shared" si="269"/>
        <v>340.157008310084</v>
      </c>
      <c r="L391" s="555">
        <f ca="1" t="shared" si="269"/>
        <v>0</v>
      </c>
      <c r="M391" s="555">
        <f ca="1" t="shared" si="269"/>
        <v>4053.76048111108</v>
      </c>
      <c r="N391" s="555">
        <f t="shared" ref="N391:O395" si="270">F391-J391</f>
        <v>4098.477527199</v>
      </c>
      <c r="O391" s="555">
        <f ca="1" t="shared" ref="O391:O393" si="271">I391-M391</f>
        <v>4406.27708370556</v>
      </c>
    </row>
    <row r="392" ht="15" spans="2:15">
      <c r="B392" s="551"/>
      <c r="C392" s="558" t="s">
        <v>808</v>
      </c>
      <c r="D392" s="553"/>
      <c r="E392" s="416"/>
      <c r="F392" s="555">
        <f ca="1" t="shared" si="269"/>
        <v>0</v>
      </c>
      <c r="G392" s="555">
        <f ca="1" t="shared" si="269"/>
        <v>0</v>
      </c>
      <c r="H392" s="555">
        <f ca="1" t="shared" si="269"/>
        <v>0</v>
      </c>
      <c r="I392" s="555">
        <f ca="1" t="shared" si="269"/>
        <v>0</v>
      </c>
      <c r="J392" s="555">
        <f ca="1" t="shared" si="269"/>
        <v>0</v>
      </c>
      <c r="K392" s="555">
        <f ca="1" t="shared" si="269"/>
        <v>0</v>
      </c>
      <c r="L392" s="555">
        <f ca="1" t="shared" si="269"/>
        <v>0</v>
      </c>
      <c r="M392" s="555">
        <f ca="1" t="shared" si="269"/>
        <v>0</v>
      </c>
      <c r="N392" s="555">
        <f ca="1" t="shared" si="270"/>
        <v>0</v>
      </c>
      <c r="O392" s="555">
        <f ca="1" t="shared" si="271"/>
        <v>0</v>
      </c>
    </row>
    <row r="393" ht="30" spans="2:15">
      <c r="B393" s="560">
        <v>9</v>
      </c>
      <c r="C393" s="561" t="s">
        <v>791</v>
      </c>
      <c r="D393" s="553"/>
      <c r="E393" s="416"/>
      <c r="F393" s="555">
        <f ca="1" t="shared" si="269"/>
        <v>0</v>
      </c>
      <c r="G393" s="555">
        <f ca="1" t="shared" si="269"/>
        <v>0</v>
      </c>
      <c r="H393" s="555">
        <f ca="1" t="shared" si="269"/>
        <v>0</v>
      </c>
      <c r="I393" s="555">
        <f ca="1" t="shared" si="269"/>
        <v>0</v>
      </c>
      <c r="J393" s="555">
        <f ca="1" t="shared" si="269"/>
        <v>0</v>
      </c>
      <c r="K393" s="555">
        <f ca="1" t="shared" si="269"/>
        <v>0</v>
      </c>
      <c r="L393" s="555">
        <f ca="1" t="shared" si="269"/>
        <v>0</v>
      </c>
      <c r="M393" s="555">
        <f ca="1" t="shared" si="269"/>
        <v>0</v>
      </c>
      <c r="N393" s="555">
        <f ca="1" t="shared" si="270"/>
        <v>0</v>
      </c>
      <c r="O393" s="555">
        <f ca="1" t="shared" si="271"/>
        <v>0</v>
      </c>
    </row>
    <row r="394" ht="15" spans="2:15">
      <c r="B394" s="562">
        <v>10</v>
      </c>
      <c r="C394" s="563" t="s">
        <v>792</v>
      </c>
      <c r="D394" s="564"/>
      <c r="E394" s="416"/>
      <c r="F394" s="555">
        <f t="shared" si="269"/>
        <v>1644.588</v>
      </c>
      <c r="G394" s="555">
        <f t="shared" si="269"/>
        <v>993.64580676954</v>
      </c>
      <c r="H394" s="555">
        <f ca="1" t="shared" si="269"/>
        <v>0</v>
      </c>
      <c r="I394" s="555">
        <f ca="1" t="shared" si="269"/>
        <v>2638.23380676954</v>
      </c>
      <c r="J394" s="555">
        <f t="shared" si="269"/>
        <v>1036.8189363978</v>
      </c>
      <c r="K394" s="555">
        <f t="shared" si="269"/>
        <v>79.2857635812564</v>
      </c>
      <c r="L394" s="555">
        <f ca="1" t="shared" si="269"/>
        <v>0</v>
      </c>
      <c r="M394" s="555">
        <f ca="1" t="shared" si="269"/>
        <v>1116.10469997906</v>
      </c>
      <c r="N394" s="555">
        <f t="shared" si="270"/>
        <v>607.7690636022</v>
      </c>
      <c r="O394" s="555">
        <f t="shared" si="270"/>
        <v>914.360043188284</v>
      </c>
    </row>
    <row r="395" ht="15" spans="2:15">
      <c r="B395" s="562">
        <v>11</v>
      </c>
      <c r="C395" s="563" t="s">
        <v>793</v>
      </c>
      <c r="D395" s="564"/>
      <c r="E395" s="416"/>
      <c r="F395" s="555">
        <f t="shared" si="269"/>
        <v>6.372</v>
      </c>
      <c r="G395" s="555">
        <f ca="1" t="shared" si="269"/>
        <v>0</v>
      </c>
      <c r="H395" s="555">
        <f ca="1" t="shared" si="269"/>
        <v>0</v>
      </c>
      <c r="I395" s="555">
        <f ca="1" t="shared" si="269"/>
        <v>6.372</v>
      </c>
      <c r="J395" s="555">
        <f t="shared" si="269"/>
        <v>5.7349799388</v>
      </c>
      <c r="K395" s="555">
        <f t="shared" si="269"/>
        <v>0.018</v>
      </c>
      <c r="L395" s="555">
        <f ca="1" t="shared" si="269"/>
        <v>0</v>
      </c>
      <c r="M395" s="555">
        <f ca="1" t="shared" si="269"/>
        <v>5.7529799388</v>
      </c>
      <c r="N395" s="555">
        <f t="shared" si="270"/>
        <v>0.637020061199999</v>
      </c>
      <c r="O395" s="555">
        <f ca="1" t="shared" si="270"/>
        <v>-0.018</v>
      </c>
    </row>
    <row r="396" ht="15" spans="2:15">
      <c r="B396" s="562">
        <v>12</v>
      </c>
      <c r="C396" s="563" t="s">
        <v>794</v>
      </c>
      <c r="D396" s="564"/>
      <c r="E396" s="416"/>
      <c r="F396" s="555">
        <f t="shared" si="269"/>
        <v>0</v>
      </c>
      <c r="G396" s="555">
        <f t="shared" si="269"/>
        <v>0</v>
      </c>
      <c r="H396" s="555">
        <f t="shared" si="269"/>
        <v>0</v>
      </c>
      <c r="I396" s="555">
        <f t="shared" si="269"/>
        <v>0</v>
      </c>
      <c r="J396" s="555">
        <f t="shared" si="269"/>
        <v>0</v>
      </c>
      <c r="K396" s="555">
        <f t="shared" si="269"/>
        <v>0</v>
      </c>
      <c r="L396" s="555">
        <f t="shared" si="269"/>
        <v>0</v>
      </c>
      <c r="M396" s="555">
        <f t="shared" si="269"/>
        <v>0</v>
      </c>
      <c r="N396" s="555"/>
      <c r="O396" s="555"/>
    </row>
    <row r="397" ht="15" spans="2:15">
      <c r="B397" s="562"/>
      <c r="C397" s="565" t="s">
        <v>795</v>
      </c>
      <c r="D397" s="564"/>
      <c r="E397" s="416"/>
      <c r="F397" s="555">
        <f t="shared" si="269"/>
        <v>2.34</v>
      </c>
      <c r="G397" s="555">
        <f ca="1" t="shared" si="269"/>
        <v>0</v>
      </c>
      <c r="H397" s="555">
        <f ca="1" t="shared" si="269"/>
        <v>0</v>
      </c>
      <c r="I397" s="555">
        <f ca="1" t="shared" si="269"/>
        <v>2.34</v>
      </c>
      <c r="J397" s="555">
        <f t="shared" si="269"/>
        <v>1.5314797188</v>
      </c>
      <c r="K397" s="555">
        <f ca="1" t="shared" si="269"/>
        <v>0</v>
      </c>
      <c r="L397" s="555">
        <f ca="1" t="shared" si="269"/>
        <v>0</v>
      </c>
      <c r="M397" s="555">
        <f ca="1" t="shared" si="269"/>
        <v>1.5314797188</v>
      </c>
      <c r="N397" s="555">
        <f t="shared" ref="N397:O398" si="272">F397-J397</f>
        <v>0.8085202812</v>
      </c>
      <c r="O397" s="555">
        <f ca="1" t="shared" si="272"/>
        <v>0</v>
      </c>
    </row>
    <row r="398" ht="15" spans="2:15">
      <c r="B398" s="562"/>
      <c r="C398" s="565" t="s">
        <v>796</v>
      </c>
      <c r="D398" s="564"/>
      <c r="E398" s="416"/>
      <c r="F398" s="555">
        <f ca="1" t="shared" si="269"/>
        <v>0</v>
      </c>
      <c r="G398" s="555">
        <f ca="1" t="shared" si="269"/>
        <v>0</v>
      </c>
      <c r="H398" s="555">
        <f ca="1" t="shared" si="269"/>
        <v>0</v>
      </c>
      <c r="I398" s="555">
        <f ca="1" t="shared" si="269"/>
        <v>0</v>
      </c>
      <c r="J398" s="555">
        <f ca="1" t="shared" si="269"/>
        <v>0</v>
      </c>
      <c r="K398" s="555">
        <f ca="1" t="shared" si="269"/>
        <v>0</v>
      </c>
      <c r="L398" s="555">
        <f ca="1" t="shared" si="269"/>
        <v>0</v>
      </c>
      <c r="M398" s="555">
        <f ca="1" t="shared" si="269"/>
        <v>0</v>
      </c>
      <c r="N398" s="555">
        <f ca="1" t="shared" si="272"/>
        <v>0</v>
      </c>
      <c r="O398" s="555">
        <f ca="1" t="shared" si="272"/>
        <v>0</v>
      </c>
    </row>
    <row r="399" ht="15" spans="2:15">
      <c r="B399" s="562">
        <v>13</v>
      </c>
      <c r="C399" s="565"/>
      <c r="D399" s="564"/>
      <c r="E399" s="416"/>
      <c r="F399" s="555">
        <f t="shared" si="269"/>
        <v>0</v>
      </c>
      <c r="G399" s="555">
        <f t="shared" si="269"/>
        <v>0</v>
      </c>
      <c r="H399" s="555">
        <f t="shared" si="269"/>
        <v>0</v>
      </c>
      <c r="I399" s="555">
        <f t="shared" si="269"/>
        <v>0</v>
      </c>
      <c r="J399" s="555">
        <f t="shared" si="269"/>
        <v>0</v>
      </c>
      <c r="K399" s="555">
        <f t="shared" si="269"/>
        <v>0</v>
      </c>
      <c r="L399" s="555">
        <f t="shared" si="269"/>
        <v>0</v>
      </c>
      <c r="M399" s="555">
        <f t="shared" si="269"/>
        <v>0</v>
      </c>
      <c r="N399" s="555"/>
      <c r="O399" s="555"/>
    </row>
    <row r="400" ht="15" spans="2:15">
      <c r="B400" s="562"/>
      <c r="C400" s="565" t="s">
        <v>797</v>
      </c>
      <c r="D400" s="564"/>
      <c r="E400" s="416"/>
      <c r="F400" s="555">
        <f t="shared" si="269"/>
        <v>15.525</v>
      </c>
      <c r="G400" s="555">
        <f ca="1" t="shared" si="269"/>
        <v>0</v>
      </c>
      <c r="H400" s="555">
        <f ca="1" t="shared" si="269"/>
        <v>0</v>
      </c>
      <c r="I400" s="555">
        <f ca="1" t="shared" si="269"/>
        <v>15.525</v>
      </c>
      <c r="J400" s="555">
        <f t="shared" si="269"/>
        <v>10.3231764387</v>
      </c>
      <c r="K400" s="555">
        <f t="shared" si="269"/>
        <v>0.522</v>
      </c>
      <c r="L400" s="555">
        <f ca="1" t="shared" si="269"/>
        <v>0</v>
      </c>
      <c r="M400" s="555">
        <f ca="1" t="shared" si="269"/>
        <v>10.8451764387</v>
      </c>
      <c r="N400" s="555">
        <f t="shared" ref="N400:O403" si="273">F400-J400</f>
        <v>5.2018235613</v>
      </c>
      <c r="O400" s="555">
        <f ca="1" t="shared" si="273"/>
        <v>-0.522</v>
      </c>
    </row>
    <row r="401" ht="15" spans="2:15">
      <c r="B401" s="562"/>
      <c r="C401" s="565" t="s">
        <v>798</v>
      </c>
      <c r="D401" s="564"/>
      <c r="E401" s="416"/>
      <c r="F401" s="555">
        <f t="shared" si="269"/>
        <v>46.233</v>
      </c>
      <c r="G401" s="555">
        <f t="shared" si="269"/>
        <v>0.07336097941549</v>
      </c>
      <c r="H401" s="555">
        <f ca="1" t="shared" si="269"/>
        <v>0</v>
      </c>
      <c r="I401" s="555">
        <f ca="1" t="shared" si="269"/>
        <v>46.3063609794155</v>
      </c>
      <c r="J401" s="555">
        <f t="shared" si="269"/>
        <v>29.307198024</v>
      </c>
      <c r="K401" s="555">
        <f t="shared" si="269"/>
        <v>1.91130124407369</v>
      </c>
      <c r="L401" s="555">
        <f ca="1" t="shared" si="269"/>
        <v>0</v>
      </c>
      <c r="M401" s="555">
        <f ca="1" t="shared" si="269"/>
        <v>31.2184992680737</v>
      </c>
      <c r="N401" s="555">
        <f t="shared" si="273"/>
        <v>16.925801976</v>
      </c>
      <c r="O401" s="555">
        <f t="shared" si="273"/>
        <v>-1.8379402646582</v>
      </c>
    </row>
    <row r="402" ht="15" spans="2:15">
      <c r="B402" s="562"/>
      <c r="C402" s="565" t="s">
        <v>799</v>
      </c>
      <c r="D402" s="564"/>
      <c r="E402" s="416"/>
      <c r="F402" s="555">
        <f ca="1" t="shared" si="269"/>
        <v>0</v>
      </c>
      <c r="G402" s="555">
        <f ca="1" t="shared" si="269"/>
        <v>0</v>
      </c>
      <c r="H402" s="555">
        <f ca="1" t="shared" si="269"/>
        <v>0</v>
      </c>
      <c r="I402" s="555">
        <f ca="1" t="shared" si="269"/>
        <v>0</v>
      </c>
      <c r="J402" s="555">
        <f ca="1" t="shared" si="269"/>
        <v>0</v>
      </c>
      <c r="K402" s="555">
        <f ca="1" t="shared" si="269"/>
        <v>0</v>
      </c>
      <c r="L402" s="555">
        <f ca="1" t="shared" si="269"/>
        <v>0</v>
      </c>
      <c r="M402" s="555">
        <f ca="1" t="shared" si="269"/>
        <v>0</v>
      </c>
      <c r="N402" s="555">
        <f ca="1" t="shared" si="273"/>
        <v>0</v>
      </c>
      <c r="O402" s="555">
        <f ca="1" t="shared" si="273"/>
        <v>0</v>
      </c>
    </row>
    <row r="403" ht="15" spans="2:15">
      <c r="B403" s="562"/>
      <c r="C403" s="565" t="s">
        <v>800</v>
      </c>
      <c r="D403" s="564"/>
      <c r="E403" s="416"/>
      <c r="F403" s="555">
        <f ca="1" t="shared" si="269"/>
        <v>0</v>
      </c>
      <c r="G403" s="555">
        <f ca="1" t="shared" si="269"/>
        <v>0</v>
      </c>
      <c r="H403" s="555">
        <f ca="1" t="shared" si="269"/>
        <v>0</v>
      </c>
      <c r="I403" s="555">
        <f ca="1" t="shared" si="269"/>
        <v>0</v>
      </c>
      <c r="J403" s="555">
        <f ca="1" t="shared" si="269"/>
        <v>0</v>
      </c>
      <c r="K403" s="555">
        <f ca="1" t="shared" si="269"/>
        <v>0</v>
      </c>
      <c r="L403" s="555">
        <f ca="1" t="shared" si="269"/>
        <v>0</v>
      </c>
      <c r="M403" s="555">
        <f ca="1" t="shared" si="269"/>
        <v>0</v>
      </c>
      <c r="N403" s="555">
        <f ca="1" t="shared" si="273"/>
        <v>0</v>
      </c>
      <c r="O403" s="555">
        <f ca="1" t="shared" si="273"/>
        <v>0</v>
      </c>
    </row>
    <row r="404" ht="15" spans="2:15">
      <c r="B404" s="562">
        <v>14</v>
      </c>
      <c r="C404" s="563" t="s">
        <v>801</v>
      </c>
      <c r="D404" s="564"/>
      <c r="E404" s="416"/>
      <c r="F404" s="555">
        <f t="shared" ref="F404:M410" si="274">90%*F87</f>
        <v>0</v>
      </c>
      <c r="G404" s="555">
        <f t="shared" si="274"/>
        <v>0</v>
      </c>
      <c r="H404" s="555">
        <f t="shared" si="274"/>
        <v>0</v>
      </c>
      <c r="I404" s="555">
        <f t="shared" si="274"/>
        <v>0</v>
      </c>
      <c r="J404" s="555">
        <f t="shared" si="274"/>
        <v>0</v>
      </c>
      <c r="K404" s="555">
        <f t="shared" si="274"/>
        <v>0</v>
      </c>
      <c r="L404" s="555">
        <f t="shared" si="274"/>
        <v>0</v>
      </c>
      <c r="M404" s="555">
        <f t="shared" si="274"/>
        <v>0</v>
      </c>
      <c r="N404" s="555"/>
      <c r="O404" s="555"/>
    </row>
    <row r="405" ht="15" spans="2:15">
      <c r="B405" s="562"/>
      <c r="C405" s="565" t="s">
        <v>802</v>
      </c>
      <c r="D405" s="564"/>
      <c r="E405" s="416"/>
      <c r="F405" s="555">
        <f ca="1" t="shared" si="274"/>
        <v>0</v>
      </c>
      <c r="G405" s="555">
        <f ca="1" t="shared" si="274"/>
        <v>0</v>
      </c>
      <c r="H405" s="555">
        <f ca="1" t="shared" si="274"/>
        <v>0</v>
      </c>
      <c r="I405" s="555">
        <f ca="1" t="shared" si="274"/>
        <v>0</v>
      </c>
      <c r="J405" s="555">
        <f ca="1" t="shared" si="274"/>
        <v>0</v>
      </c>
      <c r="K405" s="555">
        <f ca="1" t="shared" si="274"/>
        <v>0</v>
      </c>
      <c r="L405" s="555">
        <f ca="1" t="shared" si="274"/>
        <v>0</v>
      </c>
      <c r="M405" s="555">
        <f ca="1" t="shared" si="274"/>
        <v>0</v>
      </c>
      <c r="N405" s="555">
        <f ca="1" t="shared" ref="N405:O410" si="275">F405-J405</f>
        <v>0</v>
      </c>
      <c r="O405" s="555">
        <f ca="1" t="shared" si="275"/>
        <v>0</v>
      </c>
    </row>
    <row r="406" ht="15" spans="2:15">
      <c r="B406" s="562"/>
      <c r="C406" s="565" t="s">
        <v>803</v>
      </c>
      <c r="D406" s="564"/>
      <c r="E406" s="416"/>
      <c r="F406" s="555">
        <f ca="1" t="shared" si="274"/>
        <v>0</v>
      </c>
      <c r="G406" s="555">
        <f ca="1" t="shared" si="274"/>
        <v>0</v>
      </c>
      <c r="H406" s="555">
        <f ca="1" t="shared" si="274"/>
        <v>0</v>
      </c>
      <c r="I406" s="555">
        <f ca="1" t="shared" si="274"/>
        <v>0</v>
      </c>
      <c r="J406" s="555">
        <f ca="1" t="shared" si="274"/>
        <v>0</v>
      </c>
      <c r="K406" s="555">
        <f ca="1" t="shared" si="274"/>
        <v>0</v>
      </c>
      <c r="L406" s="555">
        <f ca="1" t="shared" si="274"/>
        <v>0</v>
      </c>
      <c r="M406" s="555">
        <f ca="1" t="shared" si="274"/>
        <v>0</v>
      </c>
      <c r="N406" s="555">
        <f ca="1" t="shared" si="275"/>
        <v>0</v>
      </c>
      <c r="O406" s="555">
        <f ca="1" t="shared" si="275"/>
        <v>0</v>
      </c>
    </row>
    <row r="407" ht="15" spans="2:15">
      <c r="B407" s="562"/>
      <c r="C407" s="565" t="s">
        <v>804</v>
      </c>
      <c r="D407" s="564"/>
      <c r="E407" s="416"/>
      <c r="F407" s="555">
        <f ca="1" t="shared" si="274"/>
        <v>0</v>
      </c>
      <c r="G407" s="555">
        <f ca="1" t="shared" si="274"/>
        <v>0</v>
      </c>
      <c r="H407" s="555">
        <f ca="1" t="shared" si="274"/>
        <v>0</v>
      </c>
      <c r="I407" s="555">
        <f ca="1" t="shared" si="274"/>
        <v>0</v>
      </c>
      <c r="J407" s="555">
        <f ca="1" t="shared" si="274"/>
        <v>0</v>
      </c>
      <c r="K407" s="555">
        <f ca="1" t="shared" si="274"/>
        <v>0</v>
      </c>
      <c r="L407" s="555">
        <f ca="1" t="shared" si="274"/>
        <v>0</v>
      </c>
      <c r="M407" s="555">
        <f ca="1" t="shared" si="274"/>
        <v>0</v>
      </c>
      <c r="N407" s="555">
        <f ca="1" t="shared" si="275"/>
        <v>0</v>
      </c>
      <c r="O407" s="555">
        <f ca="1" t="shared" si="275"/>
        <v>0</v>
      </c>
    </row>
    <row r="408" ht="15" spans="2:15">
      <c r="B408" s="562">
        <v>15</v>
      </c>
      <c r="C408" s="563" t="s">
        <v>805</v>
      </c>
      <c r="D408" s="564"/>
      <c r="E408" s="416"/>
      <c r="F408" s="555">
        <f t="shared" si="274"/>
        <v>167.004</v>
      </c>
      <c r="G408" s="555">
        <f t="shared" si="274"/>
        <v>5.76137831636882</v>
      </c>
      <c r="H408" s="555">
        <f ca="1" t="shared" si="274"/>
        <v>0</v>
      </c>
      <c r="I408" s="555">
        <f ca="1" t="shared" si="274"/>
        <v>172.765378316369</v>
      </c>
      <c r="J408" s="555">
        <f t="shared" si="274"/>
        <v>130.8853950363</v>
      </c>
      <c r="K408" s="555">
        <f t="shared" si="274"/>
        <v>11.8801033737277</v>
      </c>
      <c r="L408" s="555">
        <f ca="1" t="shared" si="274"/>
        <v>0</v>
      </c>
      <c r="M408" s="555">
        <f ca="1" t="shared" si="274"/>
        <v>142.765498410028</v>
      </c>
      <c r="N408" s="555">
        <f t="shared" si="275"/>
        <v>36.1186049637</v>
      </c>
      <c r="O408" s="555">
        <f t="shared" si="275"/>
        <v>-6.11872505735884</v>
      </c>
    </row>
    <row r="409" ht="15" spans="2:15">
      <c r="B409" s="562">
        <v>16</v>
      </c>
      <c r="C409" s="563" t="s">
        <v>806</v>
      </c>
      <c r="D409" s="553"/>
      <c r="E409" s="416"/>
      <c r="F409" s="555">
        <f t="shared" si="274"/>
        <v>63.72</v>
      </c>
      <c r="G409" s="555">
        <f ca="1" t="shared" si="274"/>
        <v>0</v>
      </c>
      <c r="H409" s="555">
        <f ca="1" t="shared" si="274"/>
        <v>0</v>
      </c>
      <c r="I409" s="555">
        <f ca="1" t="shared" si="274"/>
        <v>63.72</v>
      </c>
      <c r="J409" s="555">
        <f t="shared" si="274"/>
        <v>44.3205190404</v>
      </c>
      <c r="K409" s="555">
        <f t="shared" si="274"/>
        <v>4.194</v>
      </c>
      <c r="L409" s="555">
        <f ca="1" t="shared" si="274"/>
        <v>0</v>
      </c>
      <c r="M409" s="555">
        <f ca="1" t="shared" si="274"/>
        <v>48.5145190404</v>
      </c>
      <c r="N409" s="555">
        <f t="shared" si="275"/>
        <v>19.3994809596</v>
      </c>
      <c r="O409" s="555">
        <f ca="1" t="shared" si="275"/>
        <v>-4.194</v>
      </c>
    </row>
    <row r="410" ht="15" spans="2:15">
      <c r="B410" s="562">
        <v>17</v>
      </c>
      <c r="C410" s="563" t="s">
        <v>807</v>
      </c>
      <c r="D410" s="553"/>
      <c r="E410" s="426"/>
      <c r="F410" s="555">
        <f ca="1" t="shared" si="274"/>
        <v>0</v>
      </c>
      <c r="G410" s="555">
        <f ca="1" t="shared" si="274"/>
        <v>0</v>
      </c>
      <c r="H410" s="555">
        <f ca="1" t="shared" si="274"/>
        <v>0</v>
      </c>
      <c r="I410" s="555">
        <f ca="1" t="shared" si="274"/>
        <v>0</v>
      </c>
      <c r="J410" s="555">
        <f ca="1" t="shared" si="274"/>
        <v>0</v>
      </c>
      <c r="K410" s="555">
        <f ca="1" t="shared" si="274"/>
        <v>0</v>
      </c>
      <c r="L410" s="555">
        <f ca="1" t="shared" si="274"/>
        <v>0</v>
      </c>
      <c r="M410" s="555">
        <f ca="1" t="shared" si="274"/>
        <v>0</v>
      </c>
      <c r="N410" s="555">
        <f ca="1" t="shared" si="275"/>
        <v>0</v>
      </c>
      <c r="O410" s="555">
        <f ca="1" t="shared" si="275"/>
        <v>0</v>
      </c>
    </row>
    <row r="411" ht="15.75" spans="2:15">
      <c r="B411" s="566"/>
      <c r="C411" s="567" t="s">
        <v>97</v>
      </c>
      <c r="D411" s="567"/>
      <c r="E411" s="568"/>
      <c r="F411" s="569">
        <f ca="1">SUM(F371:F410)</f>
        <v>18389.601</v>
      </c>
      <c r="G411" s="569">
        <f ca="1" t="shared" ref="G411:O411" si="276">SUM(G371:G410)</f>
        <v>2271.60837980178</v>
      </c>
      <c r="H411" s="569">
        <f ca="1" t="shared" si="276"/>
        <v>0</v>
      </c>
      <c r="I411" s="569">
        <f ca="1" t="shared" si="276"/>
        <v>20661.2093798018</v>
      </c>
      <c r="J411" s="569">
        <f ca="1" t="shared" si="276"/>
        <v>9381.3132245967</v>
      </c>
      <c r="K411" s="569">
        <f ca="1" t="shared" si="276"/>
        <v>797.68431534359</v>
      </c>
      <c r="L411" s="569">
        <f ca="1" t="shared" si="276"/>
        <v>0</v>
      </c>
      <c r="M411" s="569">
        <f ca="1" t="shared" si="276"/>
        <v>10178.9975399403</v>
      </c>
      <c r="N411" s="569">
        <f ca="1" t="shared" si="276"/>
        <v>9008.2877754033</v>
      </c>
      <c r="O411" s="569">
        <f ca="1" t="shared" si="276"/>
        <v>9795.35152445629</v>
      </c>
    </row>
    <row r="413" ht="15" spans="2:15">
      <c r="B413" s="570" t="s">
        <v>653</v>
      </c>
      <c r="C413" s="571"/>
      <c r="D413" s="571"/>
      <c r="E413" s="571"/>
      <c r="F413" s="571"/>
      <c r="G413" s="571"/>
      <c r="H413" s="571"/>
      <c r="I413" s="571"/>
      <c r="J413" s="571"/>
      <c r="K413" s="571"/>
      <c r="L413" s="571"/>
      <c r="M413" s="571"/>
      <c r="N413" s="571"/>
      <c r="O413" s="581"/>
    </row>
    <row r="414" ht="15" spans="2:15">
      <c r="B414" s="547" t="s">
        <v>564</v>
      </c>
      <c r="C414" s="978" t="s">
        <v>671</v>
      </c>
      <c r="D414" s="549" t="s">
        <v>672</v>
      </c>
      <c r="E414" s="549" t="s">
        <v>673</v>
      </c>
      <c r="F414" s="549" t="s">
        <v>674</v>
      </c>
      <c r="G414" s="549"/>
      <c r="H414" s="549"/>
      <c r="I414" s="549"/>
      <c r="J414" s="549" t="s">
        <v>675</v>
      </c>
      <c r="K414" s="549"/>
      <c r="L414" s="549"/>
      <c r="M414" s="549"/>
      <c r="N414" s="549" t="s">
        <v>676</v>
      </c>
      <c r="O414" s="579"/>
    </row>
    <row r="415" ht="60.75" spans="2:15">
      <c r="B415" s="572"/>
      <c r="C415" s="573"/>
      <c r="D415" s="574"/>
      <c r="E415" s="574"/>
      <c r="F415" s="574" t="s">
        <v>677</v>
      </c>
      <c r="G415" s="574" t="s">
        <v>678</v>
      </c>
      <c r="H415" s="574" t="s">
        <v>679</v>
      </c>
      <c r="I415" s="574" t="s">
        <v>680</v>
      </c>
      <c r="J415" s="574" t="s">
        <v>681</v>
      </c>
      <c r="K415" s="574" t="s">
        <v>678</v>
      </c>
      <c r="L415" s="574" t="s">
        <v>682</v>
      </c>
      <c r="M415" s="574" t="s">
        <v>683</v>
      </c>
      <c r="N415" s="574" t="s">
        <v>677</v>
      </c>
      <c r="O415" s="582" t="s">
        <v>680</v>
      </c>
    </row>
    <row r="416" ht="15" spans="2:15">
      <c r="B416" s="551">
        <v>1</v>
      </c>
      <c r="C416" s="552" t="s">
        <v>684</v>
      </c>
      <c r="D416" s="546"/>
      <c r="E416" s="576"/>
      <c r="F416" s="555">
        <f ca="1" t="shared" ref="F416:M431" si="277">90%*F99</f>
        <v>33.5650267494604</v>
      </c>
      <c r="G416" s="555">
        <f t="shared" si="277"/>
        <v>41.8632143753879</v>
      </c>
      <c r="H416" s="555">
        <f ca="1" t="shared" si="277"/>
        <v>0</v>
      </c>
      <c r="I416" s="555">
        <f ca="1" t="shared" si="277"/>
        <v>75.4282411248483</v>
      </c>
      <c r="J416" s="555">
        <f ca="1" t="shared" si="277"/>
        <v>0.0044091558000014</v>
      </c>
      <c r="K416" s="555">
        <f t="shared" si="277"/>
        <v>0</v>
      </c>
      <c r="L416" s="555">
        <f ca="1" t="shared" si="277"/>
        <v>0</v>
      </c>
      <c r="M416" s="555">
        <f ca="1" t="shared" si="277"/>
        <v>0.0044091558000014</v>
      </c>
      <c r="N416" s="555">
        <f ca="1">F416-J416</f>
        <v>33.5606175936604</v>
      </c>
      <c r="O416" s="555">
        <f ca="1">I416-M416</f>
        <v>75.4238319690483</v>
      </c>
    </row>
    <row r="417" ht="15" spans="2:15">
      <c r="B417" s="551">
        <v>2</v>
      </c>
      <c r="C417" s="552" t="s">
        <v>770</v>
      </c>
      <c r="D417" s="614"/>
      <c r="E417" s="615"/>
      <c r="F417" s="555">
        <f ca="1" t="shared" si="277"/>
        <v>0</v>
      </c>
      <c r="G417" s="555">
        <f ca="1" t="shared" si="277"/>
        <v>0</v>
      </c>
      <c r="H417" s="555">
        <f ca="1" t="shared" si="277"/>
        <v>0</v>
      </c>
      <c r="I417" s="555">
        <f ca="1" t="shared" si="277"/>
        <v>0</v>
      </c>
      <c r="J417" s="555">
        <f ca="1" t="shared" si="277"/>
        <v>0</v>
      </c>
      <c r="K417" s="555">
        <f ca="1" t="shared" si="277"/>
        <v>0</v>
      </c>
      <c r="L417" s="555">
        <f ca="1" t="shared" si="277"/>
        <v>0</v>
      </c>
      <c r="M417" s="555">
        <f ca="1" t="shared" si="277"/>
        <v>0</v>
      </c>
      <c r="N417" s="555">
        <f ca="1">F417-J417</f>
        <v>0</v>
      </c>
      <c r="O417" s="555">
        <f ca="1">I417-M417</f>
        <v>0</v>
      </c>
    </row>
    <row r="418" ht="15" spans="2:15">
      <c r="B418" s="551">
        <v>3</v>
      </c>
      <c r="C418" s="556" t="s">
        <v>771</v>
      </c>
      <c r="D418" s="553"/>
      <c r="E418" s="416"/>
      <c r="F418" s="555">
        <f t="shared" si="277"/>
        <v>0</v>
      </c>
      <c r="G418" s="555">
        <f t="shared" si="277"/>
        <v>0</v>
      </c>
      <c r="H418" s="555">
        <f t="shared" si="277"/>
        <v>0</v>
      </c>
      <c r="I418" s="555">
        <f t="shared" si="277"/>
        <v>0</v>
      </c>
      <c r="J418" s="555">
        <f t="shared" si="277"/>
        <v>0</v>
      </c>
      <c r="K418" s="555">
        <f t="shared" si="277"/>
        <v>0</v>
      </c>
      <c r="L418" s="555">
        <f t="shared" si="277"/>
        <v>0</v>
      </c>
      <c r="M418" s="555">
        <f t="shared" si="277"/>
        <v>0</v>
      </c>
      <c r="N418" s="555"/>
      <c r="O418" s="555"/>
    </row>
    <row r="419" ht="15" spans="2:15">
      <c r="B419" s="551"/>
      <c r="C419" s="557" t="s">
        <v>772</v>
      </c>
      <c r="D419" s="553"/>
      <c r="E419" s="416"/>
      <c r="F419" s="555">
        <f ca="1" t="shared" si="277"/>
        <v>360.830617273995</v>
      </c>
      <c r="G419" s="555">
        <f t="shared" si="277"/>
        <v>39.0120425527085</v>
      </c>
      <c r="H419" s="555">
        <f ca="1" t="shared" si="277"/>
        <v>0</v>
      </c>
      <c r="I419" s="555">
        <f ca="1" t="shared" si="277"/>
        <v>399.842659826703</v>
      </c>
      <c r="J419" s="555">
        <f ca="1" t="shared" si="277"/>
        <v>125.327611806855</v>
      </c>
      <c r="K419" s="555">
        <f t="shared" si="277"/>
        <v>18.3152446295549</v>
      </c>
      <c r="L419" s="555">
        <f ca="1" t="shared" si="277"/>
        <v>0</v>
      </c>
      <c r="M419" s="555">
        <f ca="1" t="shared" si="277"/>
        <v>143.64285643641</v>
      </c>
      <c r="N419" s="555">
        <f ca="1" t="shared" ref="N419:N422" si="278">F419-J419</f>
        <v>235.50300546714</v>
      </c>
      <c r="O419" s="555">
        <f ca="1" t="shared" ref="O419:O422" si="279">I419-M419</f>
        <v>256.199803390293</v>
      </c>
    </row>
    <row r="420" ht="28.5" spans="2:15">
      <c r="B420" s="551"/>
      <c r="C420" s="557" t="s">
        <v>773</v>
      </c>
      <c r="D420" s="553"/>
      <c r="E420" s="416"/>
      <c r="F420" s="555">
        <f ca="1" t="shared" si="277"/>
        <v>0</v>
      </c>
      <c r="G420" s="555">
        <f ca="1" t="shared" si="277"/>
        <v>0</v>
      </c>
      <c r="H420" s="555">
        <f ca="1" t="shared" si="277"/>
        <v>0</v>
      </c>
      <c r="I420" s="555">
        <f ca="1" t="shared" si="277"/>
        <v>0</v>
      </c>
      <c r="J420" s="555">
        <f ca="1" t="shared" si="277"/>
        <v>0</v>
      </c>
      <c r="K420" s="555">
        <f ca="1" t="shared" si="277"/>
        <v>0</v>
      </c>
      <c r="L420" s="555">
        <f ca="1" t="shared" si="277"/>
        <v>0</v>
      </c>
      <c r="M420" s="555">
        <f ca="1" t="shared" si="277"/>
        <v>0</v>
      </c>
      <c r="N420" s="555">
        <f ca="1" t="shared" si="278"/>
        <v>0</v>
      </c>
      <c r="O420" s="555">
        <f ca="1" t="shared" si="279"/>
        <v>0</v>
      </c>
    </row>
    <row r="421" ht="15" spans="2:15">
      <c r="B421" s="551"/>
      <c r="C421" s="557" t="s">
        <v>774</v>
      </c>
      <c r="D421" s="553"/>
      <c r="E421" s="416"/>
      <c r="F421" s="555">
        <f ca="1" t="shared" si="277"/>
        <v>0</v>
      </c>
      <c r="G421" s="555">
        <f ca="1" t="shared" si="277"/>
        <v>0</v>
      </c>
      <c r="H421" s="555">
        <f ca="1" t="shared" si="277"/>
        <v>0</v>
      </c>
      <c r="I421" s="555">
        <f ca="1" t="shared" si="277"/>
        <v>0</v>
      </c>
      <c r="J421" s="555">
        <f ca="1" t="shared" si="277"/>
        <v>0</v>
      </c>
      <c r="K421" s="555">
        <f ca="1" t="shared" si="277"/>
        <v>0</v>
      </c>
      <c r="L421" s="555">
        <f ca="1" t="shared" si="277"/>
        <v>0</v>
      </c>
      <c r="M421" s="555">
        <f ca="1" t="shared" si="277"/>
        <v>0</v>
      </c>
      <c r="N421" s="555">
        <f ca="1" t="shared" si="278"/>
        <v>0</v>
      </c>
      <c r="O421" s="555">
        <f ca="1" t="shared" si="279"/>
        <v>0</v>
      </c>
    </row>
    <row r="422" ht="15" spans="2:15">
      <c r="B422" s="551"/>
      <c r="C422" s="557" t="s">
        <v>775</v>
      </c>
      <c r="D422" s="553"/>
      <c r="E422" s="416"/>
      <c r="F422" s="555">
        <f ca="1" t="shared" si="277"/>
        <v>198.972</v>
      </c>
      <c r="G422" s="555">
        <f ca="1" t="shared" si="277"/>
        <v>0</v>
      </c>
      <c r="H422" s="555">
        <f ca="1" t="shared" si="277"/>
        <v>0</v>
      </c>
      <c r="I422" s="555">
        <f ca="1" t="shared" si="277"/>
        <v>198.972</v>
      </c>
      <c r="J422" s="555">
        <f ca="1" t="shared" si="277"/>
        <v>39.9721005729</v>
      </c>
      <c r="K422" s="555">
        <f ca="1" t="shared" si="277"/>
        <v>0</v>
      </c>
      <c r="L422" s="555">
        <f ca="1" t="shared" si="277"/>
        <v>0</v>
      </c>
      <c r="M422" s="555">
        <f ca="1" t="shared" si="277"/>
        <v>39.9721005729</v>
      </c>
      <c r="N422" s="555">
        <f ca="1" t="shared" si="278"/>
        <v>158.9998994271</v>
      </c>
      <c r="O422" s="555">
        <f ca="1" t="shared" si="279"/>
        <v>158.9998994271</v>
      </c>
    </row>
    <row r="423" ht="15" spans="2:15">
      <c r="B423" s="551">
        <v>4</v>
      </c>
      <c r="C423" s="552" t="s">
        <v>776</v>
      </c>
      <c r="D423" s="553"/>
      <c r="E423" s="416"/>
      <c r="F423" s="555">
        <f t="shared" si="277"/>
        <v>0</v>
      </c>
      <c r="G423" s="555">
        <f t="shared" si="277"/>
        <v>0</v>
      </c>
      <c r="H423" s="555">
        <f t="shared" si="277"/>
        <v>0</v>
      </c>
      <c r="I423" s="555">
        <f t="shared" si="277"/>
        <v>0</v>
      </c>
      <c r="J423" s="555">
        <f t="shared" si="277"/>
        <v>0</v>
      </c>
      <c r="K423" s="555">
        <f t="shared" si="277"/>
        <v>0</v>
      </c>
      <c r="L423" s="555">
        <f t="shared" si="277"/>
        <v>0</v>
      </c>
      <c r="M423" s="555">
        <f t="shared" si="277"/>
        <v>0</v>
      </c>
      <c r="N423" s="555"/>
      <c r="O423" s="555"/>
    </row>
    <row r="424" ht="15" spans="2:15">
      <c r="B424" s="551"/>
      <c r="C424" s="558" t="s">
        <v>777</v>
      </c>
      <c r="D424" s="553"/>
      <c r="E424" s="416"/>
      <c r="F424" s="555">
        <f ca="1" t="shared" si="277"/>
        <v>8662.54162489636</v>
      </c>
      <c r="G424" s="555">
        <f t="shared" si="277"/>
        <v>932.339235095919</v>
      </c>
      <c r="H424" s="555">
        <f ca="1" t="shared" si="277"/>
        <v>0</v>
      </c>
      <c r="I424" s="555">
        <f ca="1" t="shared" si="277"/>
        <v>9594.88085999228</v>
      </c>
      <c r="J424" s="555">
        <f ca="1" t="shared" si="277"/>
        <v>4603.20008449979</v>
      </c>
      <c r="K424" s="555">
        <f t="shared" si="277"/>
        <v>341.625580619133</v>
      </c>
      <c r="L424" s="555">
        <f ca="1" t="shared" si="277"/>
        <v>0</v>
      </c>
      <c r="M424" s="555">
        <f ca="1" t="shared" si="277"/>
        <v>4944.82566511893</v>
      </c>
      <c r="N424" s="555">
        <f ca="1" t="shared" ref="N424:N427" si="280">F424-J424</f>
        <v>4059.34154039657</v>
      </c>
      <c r="O424" s="555">
        <f ca="1" t="shared" ref="O424:O427" si="281">I424-M424</f>
        <v>4650.05519487335</v>
      </c>
    </row>
    <row r="425" ht="15" spans="2:15">
      <c r="B425" s="551"/>
      <c r="C425" s="552" t="s">
        <v>778</v>
      </c>
      <c r="D425" s="553"/>
      <c r="E425" s="416"/>
      <c r="F425" s="555">
        <f t="shared" si="277"/>
        <v>0</v>
      </c>
      <c r="G425" s="555">
        <f t="shared" si="277"/>
        <v>0</v>
      </c>
      <c r="H425" s="555">
        <f t="shared" si="277"/>
        <v>0</v>
      </c>
      <c r="I425" s="555">
        <f t="shared" si="277"/>
        <v>0</v>
      </c>
      <c r="J425" s="555">
        <f t="shared" si="277"/>
        <v>0</v>
      </c>
      <c r="K425" s="555">
        <f t="shared" si="277"/>
        <v>0</v>
      </c>
      <c r="L425" s="555">
        <f t="shared" si="277"/>
        <v>0</v>
      </c>
      <c r="M425" s="555">
        <f t="shared" si="277"/>
        <v>0</v>
      </c>
      <c r="N425" s="555"/>
      <c r="O425" s="555"/>
    </row>
    <row r="426" ht="15" spans="2:15">
      <c r="B426" s="551"/>
      <c r="C426" s="558" t="s">
        <v>779</v>
      </c>
      <c r="D426" s="553"/>
      <c r="E426" s="416"/>
      <c r="F426" s="555">
        <f ca="1" t="shared" si="277"/>
        <v>0</v>
      </c>
      <c r="G426" s="555">
        <f ca="1" t="shared" si="277"/>
        <v>0</v>
      </c>
      <c r="H426" s="555">
        <f ca="1" t="shared" si="277"/>
        <v>0</v>
      </c>
      <c r="I426" s="555">
        <f ca="1" t="shared" si="277"/>
        <v>0</v>
      </c>
      <c r="J426" s="555">
        <f ca="1" t="shared" si="277"/>
        <v>0</v>
      </c>
      <c r="K426" s="555">
        <f ca="1" t="shared" si="277"/>
        <v>0</v>
      </c>
      <c r="L426" s="555">
        <f ca="1" t="shared" si="277"/>
        <v>0</v>
      </c>
      <c r="M426" s="555">
        <f ca="1" t="shared" si="277"/>
        <v>0</v>
      </c>
      <c r="N426" s="555">
        <f ca="1" t="shared" si="280"/>
        <v>0</v>
      </c>
      <c r="O426" s="555">
        <f ca="1" t="shared" si="281"/>
        <v>0</v>
      </c>
    </row>
    <row r="427" ht="15" spans="2:15">
      <c r="B427" s="551"/>
      <c r="C427" s="558" t="s">
        <v>780</v>
      </c>
      <c r="D427" s="553"/>
      <c r="E427" s="416"/>
      <c r="F427" s="555">
        <f ca="1" t="shared" si="277"/>
        <v>0</v>
      </c>
      <c r="G427" s="555">
        <f ca="1" t="shared" si="277"/>
        <v>0</v>
      </c>
      <c r="H427" s="555">
        <f ca="1" t="shared" si="277"/>
        <v>0</v>
      </c>
      <c r="I427" s="555">
        <f ca="1" t="shared" si="277"/>
        <v>0</v>
      </c>
      <c r="J427" s="555">
        <f ca="1" t="shared" si="277"/>
        <v>0</v>
      </c>
      <c r="K427" s="555">
        <f ca="1" t="shared" si="277"/>
        <v>0</v>
      </c>
      <c r="L427" s="555">
        <f ca="1" t="shared" si="277"/>
        <v>0</v>
      </c>
      <c r="M427" s="555">
        <f ca="1" t="shared" si="277"/>
        <v>0</v>
      </c>
      <c r="N427" s="555">
        <f ca="1" t="shared" si="280"/>
        <v>0</v>
      </c>
      <c r="O427" s="555">
        <f ca="1" t="shared" si="281"/>
        <v>0</v>
      </c>
    </row>
    <row r="428" ht="15" spans="2:15">
      <c r="B428" s="551">
        <v>5</v>
      </c>
      <c r="C428" s="552" t="s">
        <v>781</v>
      </c>
      <c r="D428" s="553"/>
      <c r="E428" s="416"/>
      <c r="F428" s="555">
        <f t="shared" si="277"/>
        <v>0</v>
      </c>
      <c r="G428" s="555">
        <f t="shared" si="277"/>
        <v>0</v>
      </c>
      <c r="H428" s="555">
        <f t="shared" si="277"/>
        <v>0</v>
      </c>
      <c r="I428" s="555">
        <f t="shared" si="277"/>
        <v>0</v>
      </c>
      <c r="J428" s="555">
        <f t="shared" si="277"/>
        <v>0</v>
      </c>
      <c r="K428" s="555">
        <f t="shared" si="277"/>
        <v>0</v>
      </c>
      <c r="L428" s="555">
        <f t="shared" si="277"/>
        <v>0</v>
      </c>
      <c r="M428" s="555">
        <f t="shared" si="277"/>
        <v>0</v>
      </c>
      <c r="N428" s="555"/>
      <c r="O428" s="555"/>
    </row>
    <row r="429" ht="15" spans="2:15">
      <c r="B429" s="551"/>
      <c r="C429" s="558" t="s">
        <v>782</v>
      </c>
      <c r="D429" s="553"/>
      <c r="E429" s="416"/>
      <c r="F429" s="555">
        <f ca="1" t="shared" si="277"/>
        <v>0</v>
      </c>
      <c r="G429" s="555">
        <f ca="1" t="shared" si="277"/>
        <v>0</v>
      </c>
      <c r="H429" s="555">
        <f ca="1" t="shared" si="277"/>
        <v>0</v>
      </c>
      <c r="I429" s="555">
        <f ca="1" t="shared" si="277"/>
        <v>0</v>
      </c>
      <c r="J429" s="555">
        <f ca="1" t="shared" si="277"/>
        <v>0</v>
      </c>
      <c r="K429" s="555">
        <f ca="1" t="shared" si="277"/>
        <v>0</v>
      </c>
      <c r="L429" s="555">
        <f ca="1" t="shared" si="277"/>
        <v>0</v>
      </c>
      <c r="M429" s="555">
        <f ca="1" t="shared" si="277"/>
        <v>0</v>
      </c>
      <c r="N429" s="555">
        <f ca="1" t="shared" ref="N429:N434" si="282">F429-J429</f>
        <v>0</v>
      </c>
      <c r="O429" s="555">
        <f ca="1" t="shared" ref="O429:O434" si="283">I429-M429</f>
        <v>0</v>
      </c>
    </row>
    <row r="430" ht="15" spans="2:15">
      <c r="B430" s="551"/>
      <c r="C430" s="558" t="s">
        <v>783</v>
      </c>
      <c r="D430" s="553"/>
      <c r="E430" s="416"/>
      <c r="F430" s="555">
        <f ca="1" t="shared" si="277"/>
        <v>0</v>
      </c>
      <c r="G430" s="555">
        <f ca="1" t="shared" si="277"/>
        <v>0</v>
      </c>
      <c r="H430" s="555">
        <f ca="1" t="shared" si="277"/>
        <v>0</v>
      </c>
      <c r="I430" s="555">
        <f ca="1" t="shared" si="277"/>
        <v>0</v>
      </c>
      <c r="J430" s="555">
        <f ca="1" t="shared" si="277"/>
        <v>0</v>
      </c>
      <c r="K430" s="555">
        <f ca="1" t="shared" si="277"/>
        <v>0</v>
      </c>
      <c r="L430" s="555">
        <f ca="1" t="shared" si="277"/>
        <v>0</v>
      </c>
      <c r="M430" s="555">
        <f ca="1" t="shared" si="277"/>
        <v>0</v>
      </c>
      <c r="N430" s="555">
        <f ca="1" t="shared" si="282"/>
        <v>0</v>
      </c>
      <c r="O430" s="555">
        <f ca="1" t="shared" si="283"/>
        <v>0</v>
      </c>
    </row>
    <row r="431" ht="15" spans="2:15">
      <c r="B431" s="551"/>
      <c r="C431" s="558" t="s">
        <v>784</v>
      </c>
      <c r="D431" s="553"/>
      <c r="E431" s="416"/>
      <c r="F431" s="555">
        <f ca="1" t="shared" si="277"/>
        <v>0</v>
      </c>
      <c r="G431" s="555">
        <f ca="1" t="shared" si="277"/>
        <v>0</v>
      </c>
      <c r="H431" s="555">
        <f ca="1" t="shared" si="277"/>
        <v>0</v>
      </c>
      <c r="I431" s="555">
        <f ca="1" t="shared" si="277"/>
        <v>0</v>
      </c>
      <c r="J431" s="555">
        <f ca="1" t="shared" si="277"/>
        <v>0</v>
      </c>
      <c r="K431" s="555">
        <f ca="1" t="shared" si="277"/>
        <v>0</v>
      </c>
      <c r="L431" s="555">
        <f ca="1" t="shared" si="277"/>
        <v>0</v>
      </c>
      <c r="M431" s="555">
        <f ca="1" t="shared" si="277"/>
        <v>0</v>
      </c>
      <c r="N431" s="555">
        <f ca="1" t="shared" si="282"/>
        <v>0</v>
      </c>
      <c r="O431" s="555">
        <f ca="1" t="shared" si="283"/>
        <v>0</v>
      </c>
    </row>
    <row r="432" ht="15" spans="2:15">
      <c r="B432" s="551"/>
      <c r="C432" s="558" t="s">
        <v>785</v>
      </c>
      <c r="D432" s="553"/>
      <c r="E432" s="416"/>
      <c r="F432" s="555">
        <f ca="1" t="shared" ref="F432:M447" si="284">90%*F115</f>
        <v>0</v>
      </c>
      <c r="G432" s="555">
        <f ca="1" t="shared" si="284"/>
        <v>0</v>
      </c>
      <c r="H432" s="555">
        <f ca="1" t="shared" si="284"/>
        <v>0</v>
      </c>
      <c r="I432" s="555">
        <f ca="1" t="shared" si="284"/>
        <v>0</v>
      </c>
      <c r="J432" s="555">
        <f ca="1" t="shared" si="284"/>
        <v>0</v>
      </c>
      <c r="K432" s="555">
        <f ca="1" t="shared" si="284"/>
        <v>0</v>
      </c>
      <c r="L432" s="555">
        <f ca="1" t="shared" si="284"/>
        <v>0</v>
      </c>
      <c r="M432" s="555">
        <f ca="1" t="shared" si="284"/>
        <v>0</v>
      </c>
      <c r="N432" s="555">
        <f ca="1" t="shared" si="282"/>
        <v>0</v>
      </c>
      <c r="O432" s="555">
        <f ca="1" t="shared" si="283"/>
        <v>0</v>
      </c>
    </row>
    <row r="433" ht="15" spans="2:15">
      <c r="B433" s="551">
        <v>6</v>
      </c>
      <c r="C433" s="552" t="s">
        <v>786</v>
      </c>
      <c r="D433" s="553"/>
      <c r="E433" s="416"/>
      <c r="F433" s="555">
        <f ca="1" t="shared" si="284"/>
        <v>0</v>
      </c>
      <c r="G433" s="555">
        <f ca="1" t="shared" si="284"/>
        <v>0</v>
      </c>
      <c r="H433" s="555">
        <f ca="1" t="shared" si="284"/>
        <v>0</v>
      </c>
      <c r="I433" s="555">
        <f ca="1" t="shared" si="284"/>
        <v>0</v>
      </c>
      <c r="J433" s="555">
        <f ca="1" t="shared" si="284"/>
        <v>0</v>
      </c>
      <c r="K433" s="555">
        <f ca="1" t="shared" si="284"/>
        <v>0</v>
      </c>
      <c r="L433" s="555">
        <f ca="1" t="shared" si="284"/>
        <v>0</v>
      </c>
      <c r="M433" s="555">
        <f ca="1" t="shared" si="284"/>
        <v>0</v>
      </c>
      <c r="N433" s="555">
        <f ca="1" t="shared" si="282"/>
        <v>0</v>
      </c>
      <c r="O433" s="555">
        <f ca="1" t="shared" si="283"/>
        <v>0</v>
      </c>
    </row>
    <row r="434" ht="15" spans="2:15">
      <c r="B434" s="551">
        <v>7</v>
      </c>
      <c r="C434" s="552" t="s">
        <v>787</v>
      </c>
      <c r="D434" s="553"/>
      <c r="E434" s="416"/>
      <c r="F434" s="555">
        <f ca="1" t="shared" si="284"/>
        <v>0</v>
      </c>
      <c r="G434" s="555">
        <f ca="1" t="shared" si="284"/>
        <v>0</v>
      </c>
      <c r="H434" s="555">
        <f ca="1" t="shared" si="284"/>
        <v>0</v>
      </c>
      <c r="I434" s="555">
        <f ca="1" t="shared" si="284"/>
        <v>0</v>
      </c>
      <c r="J434" s="555">
        <f ca="1" t="shared" si="284"/>
        <v>0</v>
      </c>
      <c r="K434" s="555">
        <f ca="1" t="shared" si="284"/>
        <v>0</v>
      </c>
      <c r="L434" s="555">
        <f ca="1" t="shared" si="284"/>
        <v>0</v>
      </c>
      <c r="M434" s="555">
        <f ca="1" t="shared" si="284"/>
        <v>0</v>
      </c>
      <c r="N434" s="555">
        <f ca="1" t="shared" si="282"/>
        <v>0</v>
      </c>
      <c r="O434" s="555">
        <f ca="1" t="shared" si="283"/>
        <v>0</v>
      </c>
    </row>
    <row r="435" ht="15" spans="2:15">
      <c r="B435" s="551">
        <v>8</v>
      </c>
      <c r="C435" s="552" t="s">
        <v>788</v>
      </c>
      <c r="D435" s="553"/>
      <c r="E435" s="416"/>
      <c r="F435" s="555">
        <f t="shared" si="284"/>
        <v>0</v>
      </c>
      <c r="G435" s="555">
        <f t="shared" si="284"/>
        <v>0</v>
      </c>
      <c r="H435" s="555">
        <f t="shared" si="284"/>
        <v>0</v>
      </c>
      <c r="I435" s="555">
        <f t="shared" si="284"/>
        <v>0</v>
      </c>
      <c r="J435" s="555">
        <f t="shared" si="284"/>
        <v>0</v>
      </c>
      <c r="K435" s="555">
        <f t="shared" si="284"/>
        <v>0</v>
      </c>
      <c r="L435" s="555">
        <f t="shared" si="284"/>
        <v>0</v>
      </c>
      <c r="M435" s="555">
        <f t="shared" si="284"/>
        <v>0</v>
      </c>
      <c r="N435" s="555"/>
      <c r="O435" s="555"/>
    </row>
    <row r="436" ht="15" spans="2:15">
      <c r="B436" s="551"/>
      <c r="C436" s="558" t="s">
        <v>789</v>
      </c>
      <c r="D436" s="553"/>
      <c r="E436" s="416"/>
      <c r="F436" s="555">
        <f ca="1" t="shared" si="284"/>
        <v>8460.03756481664</v>
      </c>
      <c r="G436" s="555">
        <f t="shared" si="284"/>
        <v>1051.82505886642</v>
      </c>
      <c r="H436" s="555">
        <f ca="1" t="shared" si="284"/>
        <v>0</v>
      </c>
      <c r="I436" s="555">
        <f ca="1" t="shared" si="284"/>
        <v>9511.86262368307</v>
      </c>
      <c r="J436" s="555">
        <f ca="1" t="shared" si="284"/>
        <v>4053.76048111108</v>
      </c>
      <c r="K436" s="555">
        <f t="shared" si="284"/>
        <v>333.583113932136</v>
      </c>
      <c r="L436" s="555">
        <f ca="1" t="shared" si="284"/>
        <v>0</v>
      </c>
      <c r="M436" s="555">
        <f ca="1" t="shared" si="284"/>
        <v>4387.34359504322</v>
      </c>
      <c r="N436" s="555">
        <f ca="1" t="shared" ref="N436:O440" si="285">F436-J436</f>
        <v>4406.27708370556</v>
      </c>
      <c r="O436" s="555">
        <f ca="1" t="shared" ref="O436:O438" si="286">I436-M436</f>
        <v>5124.51902863985</v>
      </c>
    </row>
    <row r="437" ht="15" spans="2:15">
      <c r="B437" s="551"/>
      <c r="C437" s="558" t="s">
        <v>808</v>
      </c>
      <c r="D437" s="553"/>
      <c r="E437" s="416"/>
      <c r="F437" s="555">
        <f ca="1" t="shared" si="284"/>
        <v>0</v>
      </c>
      <c r="G437" s="555">
        <f ca="1" t="shared" si="284"/>
        <v>0</v>
      </c>
      <c r="H437" s="555">
        <f ca="1" t="shared" si="284"/>
        <v>0</v>
      </c>
      <c r="I437" s="555">
        <f ca="1" t="shared" si="284"/>
        <v>0</v>
      </c>
      <c r="J437" s="555">
        <f ca="1" t="shared" si="284"/>
        <v>0</v>
      </c>
      <c r="K437" s="555">
        <f ca="1" t="shared" si="284"/>
        <v>0</v>
      </c>
      <c r="L437" s="555">
        <f ca="1" t="shared" si="284"/>
        <v>0</v>
      </c>
      <c r="M437" s="555">
        <f ca="1" t="shared" si="284"/>
        <v>0</v>
      </c>
      <c r="N437" s="555">
        <f ca="1" t="shared" si="285"/>
        <v>0</v>
      </c>
      <c r="O437" s="555">
        <f ca="1" t="shared" si="286"/>
        <v>0</v>
      </c>
    </row>
    <row r="438" ht="30" spans="2:15">
      <c r="B438" s="560">
        <v>9</v>
      </c>
      <c r="C438" s="561" t="s">
        <v>791</v>
      </c>
      <c r="D438" s="553"/>
      <c r="E438" s="416"/>
      <c r="F438" s="555">
        <f ca="1" t="shared" si="284"/>
        <v>0</v>
      </c>
      <c r="G438" s="555">
        <f ca="1" t="shared" si="284"/>
        <v>0</v>
      </c>
      <c r="H438" s="555">
        <f ca="1" t="shared" si="284"/>
        <v>0</v>
      </c>
      <c r="I438" s="555">
        <f ca="1" t="shared" si="284"/>
        <v>0</v>
      </c>
      <c r="J438" s="555">
        <f ca="1" t="shared" si="284"/>
        <v>0</v>
      </c>
      <c r="K438" s="555">
        <f ca="1" t="shared" si="284"/>
        <v>0</v>
      </c>
      <c r="L438" s="555">
        <f ca="1" t="shared" si="284"/>
        <v>0</v>
      </c>
      <c r="M438" s="555">
        <f ca="1" t="shared" si="284"/>
        <v>0</v>
      </c>
      <c r="N438" s="555">
        <f ca="1" t="shared" si="285"/>
        <v>0</v>
      </c>
      <c r="O438" s="555">
        <f ca="1" t="shared" si="286"/>
        <v>0</v>
      </c>
    </row>
    <row r="439" ht="15" spans="2:15">
      <c r="B439" s="562">
        <v>10</v>
      </c>
      <c r="C439" s="563" t="s">
        <v>792</v>
      </c>
      <c r="D439" s="564"/>
      <c r="E439" s="416"/>
      <c r="F439" s="555">
        <f ca="1" t="shared" si="284"/>
        <v>2638.23380676954</v>
      </c>
      <c r="G439" s="555">
        <f t="shared" si="284"/>
        <v>1612.98089401023</v>
      </c>
      <c r="H439" s="555">
        <f ca="1" t="shared" si="284"/>
        <v>0</v>
      </c>
      <c r="I439" s="555">
        <f ca="1" t="shared" si="284"/>
        <v>4251.21470077977</v>
      </c>
      <c r="J439" s="555">
        <f ca="1" t="shared" si="284"/>
        <v>1116.10469997906</v>
      </c>
      <c r="K439" s="555">
        <f t="shared" si="284"/>
        <v>169.262093923223</v>
      </c>
      <c r="L439" s="555">
        <f ca="1" t="shared" si="284"/>
        <v>0</v>
      </c>
      <c r="M439" s="555">
        <f ca="1" t="shared" si="284"/>
        <v>1285.36679390228</v>
      </c>
      <c r="N439" s="555">
        <f ca="1" t="shared" si="285"/>
        <v>1522.12910679048</v>
      </c>
      <c r="O439" s="555">
        <f t="shared" si="285"/>
        <v>1443.71880008701</v>
      </c>
    </row>
    <row r="440" ht="15" spans="2:15">
      <c r="B440" s="562">
        <v>11</v>
      </c>
      <c r="C440" s="563" t="s">
        <v>793</v>
      </c>
      <c r="D440" s="564"/>
      <c r="E440" s="416"/>
      <c r="F440" s="555">
        <f ca="1" t="shared" si="284"/>
        <v>6.372</v>
      </c>
      <c r="G440" s="555">
        <f ca="1" t="shared" si="284"/>
        <v>0</v>
      </c>
      <c r="H440" s="555">
        <f ca="1" t="shared" si="284"/>
        <v>0</v>
      </c>
      <c r="I440" s="555">
        <f ca="1" t="shared" si="284"/>
        <v>6.372</v>
      </c>
      <c r="J440" s="555">
        <f ca="1" t="shared" si="284"/>
        <v>5.7529799388</v>
      </c>
      <c r="K440" s="555">
        <f t="shared" si="284"/>
        <v>0</v>
      </c>
      <c r="L440" s="555">
        <f ca="1" t="shared" si="284"/>
        <v>0</v>
      </c>
      <c r="M440" s="555">
        <f ca="1" t="shared" si="284"/>
        <v>5.7529799388</v>
      </c>
      <c r="N440" s="555">
        <f ca="1" t="shared" si="285"/>
        <v>0.619020061200001</v>
      </c>
      <c r="O440" s="555">
        <f ca="1" t="shared" si="285"/>
        <v>0</v>
      </c>
    </row>
    <row r="441" ht="15" spans="2:15">
      <c r="B441" s="562">
        <v>12</v>
      </c>
      <c r="C441" s="563" t="s">
        <v>794</v>
      </c>
      <c r="D441" s="564"/>
      <c r="E441" s="416"/>
      <c r="F441" s="555">
        <f t="shared" si="284"/>
        <v>0</v>
      </c>
      <c r="G441" s="555">
        <f t="shared" si="284"/>
        <v>0</v>
      </c>
      <c r="H441" s="555">
        <f t="shared" si="284"/>
        <v>0</v>
      </c>
      <c r="I441" s="555">
        <f t="shared" si="284"/>
        <v>0</v>
      </c>
      <c r="J441" s="555">
        <f t="shared" si="284"/>
        <v>0</v>
      </c>
      <c r="K441" s="555">
        <f t="shared" si="284"/>
        <v>0</v>
      </c>
      <c r="L441" s="555">
        <f t="shared" si="284"/>
        <v>0</v>
      </c>
      <c r="M441" s="555">
        <f t="shared" si="284"/>
        <v>0</v>
      </c>
      <c r="N441" s="555"/>
      <c r="O441" s="555"/>
    </row>
    <row r="442" ht="15" spans="2:15">
      <c r="B442" s="562"/>
      <c r="C442" s="565" t="s">
        <v>795</v>
      </c>
      <c r="D442" s="564"/>
      <c r="E442" s="416"/>
      <c r="F442" s="555">
        <f ca="1" t="shared" si="284"/>
        <v>2.34</v>
      </c>
      <c r="G442" s="555">
        <f ca="1" t="shared" si="284"/>
        <v>0</v>
      </c>
      <c r="H442" s="555">
        <f ca="1" t="shared" si="284"/>
        <v>0</v>
      </c>
      <c r="I442" s="555">
        <f ca="1" t="shared" si="284"/>
        <v>2.34</v>
      </c>
      <c r="J442" s="555">
        <f ca="1" t="shared" si="284"/>
        <v>1.5314797188</v>
      </c>
      <c r="K442" s="555">
        <f ca="1" t="shared" si="284"/>
        <v>0</v>
      </c>
      <c r="L442" s="555">
        <f ca="1" t="shared" si="284"/>
        <v>0</v>
      </c>
      <c r="M442" s="555">
        <f ca="1" t="shared" si="284"/>
        <v>1.5314797188</v>
      </c>
      <c r="N442" s="555">
        <f ca="1" t="shared" ref="N442:O443" si="287">F442-J442</f>
        <v>0.8085202812</v>
      </c>
      <c r="O442" s="555">
        <f ca="1" t="shared" si="287"/>
        <v>0</v>
      </c>
    </row>
    <row r="443" ht="15" spans="2:15">
      <c r="B443" s="562"/>
      <c r="C443" s="565" t="s">
        <v>796</v>
      </c>
      <c r="D443" s="564"/>
      <c r="E443" s="416"/>
      <c r="F443" s="555">
        <f ca="1" t="shared" si="284"/>
        <v>0</v>
      </c>
      <c r="G443" s="555">
        <f ca="1" t="shared" si="284"/>
        <v>0</v>
      </c>
      <c r="H443" s="555">
        <f ca="1" t="shared" si="284"/>
        <v>0</v>
      </c>
      <c r="I443" s="555">
        <f ca="1" t="shared" si="284"/>
        <v>0</v>
      </c>
      <c r="J443" s="555">
        <f ca="1" t="shared" si="284"/>
        <v>0</v>
      </c>
      <c r="K443" s="555">
        <f ca="1" t="shared" si="284"/>
        <v>0</v>
      </c>
      <c r="L443" s="555">
        <f ca="1" t="shared" si="284"/>
        <v>0</v>
      </c>
      <c r="M443" s="555">
        <f ca="1" t="shared" si="284"/>
        <v>0</v>
      </c>
      <c r="N443" s="555">
        <f ca="1" t="shared" si="287"/>
        <v>0</v>
      </c>
      <c r="O443" s="555">
        <f ca="1" t="shared" si="287"/>
        <v>0</v>
      </c>
    </row>
    <row r="444" ht="15" spans="2:15">
      <c r="B444" s="562">
        <v>13</v>
      </c>
      <c r="C444" s="565"/>
      <c r="D444" s="564"/>
      <c r="E444" s="416"/>
      <c r="F444" s="555">
        <f t="shared" si="284"/>
        <v>0</v>
      </c>
      <c r="G444" s="555">
        <f t="shared" si="284"/>
        <v>0</v>
      </c>
      <c r="H444" s="555">
        <f t="shared" si="284"/>
        <v>0</v>
      </c>
      <c r="I444" s="555">
        <f t="shared" si="284"/>
        <v>0</v>
      </c>
      <c r="J444" s="555">
        <f t="shared" si="284"/>
        <v>0</v>
      </c>
      <c r="K444" s="555">
        <f t="shared" si="284"/>
        <v>0</v>
      </c>
      <c r="L444" s="555">
        <f t="shared" si="284"/>
        <v>0</v>
      </c>
      <c r="M444" s="555">
        <f t="shared" si="284"/>
        <v>0</v>
      </c>
      <c r="N444" s="555"/>
      <c r="O444" s="555"/>
    </row>
    <row r="445" ht="15" spans="2:15">
      <c r="B445" s="562"/>
      <c r="C445" s="565" t="s">
        <v>797</v>
      </c>
      <c r="D445" s="564"/>
      <c r="E445" s="416"/>
      <c r="F445" s="555">
        <f ca="1" t="shared" si="284"/>
        <v>15.525</v>
      </c>
      <c r="G445" s="555">
        <f ca="1" t="shared" si="284"/>
        <v>0</v>
      </c>
      <c r="H445" s="555">
        <f ca="1" t="shared" si="284"/>
        <v>0</v>
      </c>
      <c r="I445" s="555">
        <f ca="1" t="shared" si="284"/>
        <v>15.525</v>
      </c>
      <c r="J445" s="555">
        <f ca="1" t="shared" si="284"/>
        <v>10.8451764387</v>
      </c>
      <c r="K445" s="555">
        <f t="shared" si="284"/>
        <v>0.4445955288</v>
      </c>
      <c r="L445" s="555">
        <f ca="1" t="shared" si="284"/>
        <v>0</v>
      </c>
      <c r="M445" s="555">
        <f ca="1" t="shared" si="284"/>
        <v>11.2897719675</v>
      </c>
      <c r="N445" s="555">
        <f ca="1" t="shared" ref="N445:O448" si="288">F445-J445</f>
        <v>4.6798235613</v>
      </c>
      <c r="O445" s="555">
        <f ca="1" t="shared" si="288"/>
        <v>-0.4445955288</v>
      </c>
    </row>
    <row r="446" ht="15" spans="2:15">
      <c r="B446" s="562"/>
      <c r="C446" s="565" t="s">
        <v>798</v>
      </c>
      <c r="D446" s="564"/>
      <c r="E446" s="416"/>
      <c r="F446" s="555">
        <f ca="1" t="shared" si="284"/>
        <v>46.3063609794155</v>
      </c>
      <c r="G446" s="555">
        <f t="shared" si="284"/>
        <v>0.119086557158398</v>
      </c>
      <c r="H446" s="555">
        <f ca="1" t="shared" si="284"/>
        <v>0</v>
      </c>
      <c r="I446" s="555">
        <f ca="1" t="shared" si="284"/>
        <v>46.4254475365739</v>
      </c>
      <c r="J446" s="555">
        <f ca="1" t="shared" si="284"/>
        <v>31.2184992680737</v>
      </c>
      <c r="K446" s="555">
        <f t="shared" si="284"/>
        <v>1.51741141991952</v>
      </c>
      <c r="L446" s="555">
        <f ca="1" t="shared" si="284"/>
        <v>0</v>
      </c>
      <c r="M446" s="555">
        <f ca="1" t="shared" si="284"/>
        <v>32.7359106879932</v>
      </c>
      <c r="N446" s="555">
        <f ca="1" t="shared" si="288"/>
        <v>15.0878617113418</v>
      </c>
      <c r="O446" s="555">
        <f t="shared" si="288"/>
        <v>-1.39832486276113</v>
      </c>
    </row>
    <row r="447" ht="15" spans="2:15">
      <c r="B447" s="562"/>
      <c r="C447" s="565" t="s">
        <v>799</v>
      </c>
      <c r="D447" s="564"/>
      <c r="E447" s="416"/>
      <c r="F447" s="555">
        <f ca="1" t="shared" si="284"/>
        <v>0</v>
      </c>
      <c r="G447" s="555">
        <f ca="1" t="shared" si="284"/>
        <v>0</v>
      </c>
      <c r="H447" s="555">
        <f ca="1" t="shared" si="284"/>
        <v>0</v>
      </c>
      <c r="I447" s="555">
        <f ca="1" t="shared" si="284"/>
        <v>0</v>
      </c>
      <c r="J447" s="555">
        <f ca="1" t="shared" si="284"/>
        <v>0</v>
      </c>
      <c r="K447" s="555">
        <f ca="1" t="shared" si="284"/>
        <v>0</v>
      </c>
      <c r="L447" s="555">
        <f ca="1" t="shared" si="284"/>
        <v>0</v>
      </c>
      <c r="M447" s="555">
        <f ca="1" t="shared" si="284"/>
        <v>0</v>
      </c>
      <c r="N447" s="555">
        <f ca="1" t="shared" si="288"/>
        <v>0</v>
      </c>
      <c r="O447" s="555">
        <f ca="1" t="shared" si="288"/>
        <v>0</v>
      </c>
    </row>
    <row r="448" ht="15" spans="2:15">
      <c r="B448" s="562"/>
      <c r="C448" s="565" t="s">
        <v>800</v>
      </c>
      <c r="D448" s="564"/>
      <c r="E448" s="416"/>
      <c r="F448" s="555">
        <f ca="1" t="shared" ref="F448:M455" si="289">90%*F131</f>
        <v>0</v>
      </c>
      <c r="G448" s="555">
        <f ca="1" t="shared" si="289"/>
        <v>0</v>
      </c>
      <c r="H448" s="555">
        <f ca="1" t="shared" si="289"/>
        <v>0</v>
      </c>
      <c r="I448" s="555">
        <f ca="1" t="shared" si="289"/>
        <v>0</v>
      </c>
      <c r="J448" s="555">
        <f ca="1" t="shared" si="289"/>
        <v>0</v>
      </c>
      <c r="K448" s="555">
        <f ca="1" t="shared" si="289"/>
        <v>0</v>
      </c>
      <c r="L448" s="555">
        <f ca="1" t="shared" si="289"/>
        <v>0</v>
      </c>
      <c r="M448" s="555">
        <f ca="1" t="shared" si="289"/>
        <v>0</v>
      </c>
      <c r="N448" s="555">
        <f ca="1" t="shared" si="288"/>
        <v>0</v>
      </c>
      <c r="O448" s="555">
        <f ca="1" t="shared" si="288"/>
        <v>0</v>
      </c>
    </row>
    <row r="449" ht="15" spans="2:15">
      <c r="B449" s="562">
        <v>14</v>
      </c>
      <c r="C449" s="563" t="s">
        <v>801</v>
      </c>
      <c r="D449" s="564"/>
      <c r="E449" s="416"/>
      <c r="F449" s="555">
        <f t="shared" si="289"/>
        <v>0</v>
      </c>
      <c r="G449" s="555">
        <f t="shared" si="289"/>
        <v>0</v>
      </c>
      <c r="H449" s="555">
        <f t="shared" si="289"/>
        <v>0</v>
      </c>
      <c r="I449" s="555">
        <f t="shared" si="289"/>
        <v>0</v>
      </c>
      <c r="J449" s="555">
        <f t="shared" si="289"/>
        <v>0</v>
      </c>
      <c r="K449" s="555">
        <f t="shared" si="289"/>
        <v>0</v>
      </c>
      <c r="L449" s="555">
        <f t="shared" si="289"/>
        <v>0</v>
      </c>
      <c r="M449" s="555">
        <f t="shared" si="289"/>
        <v>0</v>
      </c>
      <c r="N449" s="555"/>
      <c r="O449" s="555"/>
    </row>
    <row r="450" ht="15" spans="2:15">
      <c r="B450" s="562"/>
      <c r="C450" s="565" t="s">
        <v>802</v>
      </c>
      <c r="D450" s="564"/>
      <c r="E450" s="416"/>
      <c r="F450" s="555">
        <f ca="1" t="shared" si="289"/>
        <v>0</v>
      </c>
      <c r="G450" s="555">
        <f ca="1" t="shared" si="289"/>
        <v>0</v>
      </c>
      <c r="H450" s="555">
        <f ca="1" t="shared" si="289"/>
        <v>0</v>
      </c>
      <c r="I450" s="555">
        <f ca="1" t="shared" si="289"/>
        <v>0</v>
      </c>
      <c r="J450" s="555">
        <f ca="1" t="shared" si="289"/>
        <v>0</v>
      </c>
      <c r="K450" s="555">
        <f ca="1" t="shared" si="289"/>
        <v>0</v>
      </c>
      <c r="L450" s="555">
        <f ca="1" t="shared" si="289"/>
        <v>0</v>
      </c>
      <c r="M450" s="555">
        <f ca="1" t="shared" si="289"/>
        <v>0</v>
      </c>
      <c r="N450" s="555">
        <f ca="1" t="shared" ref="N450:O455" si="290">F450-J450</f>
        <v>0</v>
      </c>
      <c r="O450" s="555">
        <f ca="1" t="shared" si="290"/>
        <v>0</v>
      </c>
    </row>
    <row r="451" ht="15" spans="2:15">
      <c r="B451" s="562"/>
      <c r="C451" s="565" t="s">
        <v>803</v>
      </c>
      <c r="D451" s="564"/>
      <c r="E451" s="416"/>
      <c r="F451" s="555">
        <f ca="1" t="shared" si="289"/>
        <v>0</v>
      </c>
      <c r="G451" s="555">
        <f ca="1" t="shared" si="289"/>
        <v>0</v>
      </c>
      <c r="H451" s="555">
        <f ca="1" t="shared" si="289"/>
        <v>0</v>
      </c>
      <c r="I451" s="555">
        <f ca="1" t="shared" si="289"/>
        <v>0</v>
      </c>
      <c r="J451" s="555">
        <f ca="1" t="shared" si="289"/>
        <v>0</v>
      </c>
      <c r="K451" s="555">
        <f ca="1" t="shared" si="289"/>
        <v>0</v>
      </c>
      <c r="L451" s="555">
        <f ca="1" t="shared" si="289"/>
        <v>0</v>
      </c>
      <c r="M451" s="555">
        <f ca="1" t="shared" si="289"/>
        <v>0</v>
      </c>
      <c r="N451" s="555">
        <f ca="1" t="shared" si="290"/>
        <v>0</v>
      </c>
      <c r="O451" s="555">
        <f ca="1" t="shared" si="290"/>
        <v>0</v>
      </c>
    </row>
    <row r="452" ht="15" spans="2:15">
      <c r="B452" s="562"/>
      <c r="C452" s="565" t="s">
        <v>804</v>
      </c>
      <c r="D452" s="564"/>
      <c r="E452" s="416"/>
      <c r="F452" s="555">
        <f ca="1" t="shared" si="289"/>
        <v>0</v>
      </c>
      <c r="G452" s="555">
        <f ca="1" t="shared" si="289"/>
        <v>0</v>
      </c>
      <c r="H452" s="555">
        <f ca="1" t="shared" si="289"/>
        <v>0</v>
      </c>
      <c r="I452" s="555">
        <f ca="1" t="shared" si="289"/>
        <v>0</v>
      </c>
      <c r="J452" s="555">
        <f ca="1" t="shared" si="289"/>
        <v>0</v>
      </c>
      <c r="K452" s="555">
        <f ca="1" t="shared" si="289"/>
        <v>0</v>
      </c>
      <c r="L452" s="555">
        <f ca="1" t="shared" si="289"/>
        <v>0</v>
      </c>
      <c r="M452" s="555">
        <f ca="1" t="shared" si="289"/>
        <v>0</v>
      </c>
      <c r="N452" s="555">
        <f ca="1" t="shared" si="290"/>
        <v>0</v>
      </c>
      <c r="O452" s="555">
        <f ca="1" t="shared" si="290"/>
        <v>0</v>
      </c>
    </row>
    <row r="453" ht="15" spans="2:15">
      <c r="B453" s="562">
        <v>15</v>
      </c>
      <c r="C453" s="563" t="s">
        <v>805</v>
      </c>
      <c r="D453" s="564"/>
      <c r="E453" s="416"/>
      <c r="F453" s="555">
        <f ca="1" t="shared" si="289"/>
        <v>172.765378316369</v>
      </c>
      <c r="G453" s="555">
        <f t="shared" si="289"/>
        <v>9.35242023279942</v>
      </c>
      <c r="H453" s="555">
        <f ca="1" t="shared" si="289"/>
        <v>0</v>
      </c>
      <c r="I453" s="555">
        <f ca="1" t="shared" si="289"/>
        <v>182.117798549168</v>
      </c>
      <c r="J453" s="555">
        <f ca="1" t="shared" si="289"/>
        <v>142.765498410028</v>
      </c>
      <c r="K453" s="555">
        <f t="shared" si="289"/>
        <v>10.3979265688153</v>
      </c>
      <c r="L453" s="555">
        <f ca="1" t="shared" si="289"/>
        <v>0</v>
      </c>
      <c r="M453" s="555">
        <f ca="1" t="shared" si="289"/>
        <v>153.163424978843</v>
      </c>
      <c r="N453" s="555">
        <f ca="1" t="shared" si="290"/>
        <v>29.9998799063412</v>
      </c>
      <c r="O453" s="555">
        <f t="shared" si="290"/>
        <v>-1.04550633601587</v>
      </c>
    </row>
    <row r="454" ht="15" spans="2:15">
      <c r="B454" s="562">
        <v>16</v>
      </c>
      <c r="C454" s="563" t="s">
        <v>806</v>
      </c>
      <c r="D454" s="553"/>
      <c r="E454" s="416"/>
      <c r="F454" s="555">
        <f ca="1" t="shared" si="289"/>
        <v>63.72</v>
      </c>
      <c r="G454" s="555">
        <f ca="1" t="shared" si="289"/>
        <v>0</v>
      </c>
      <c r="H454" s="555">
        <f ca="1" t="shared" si="289"/>
        <v>0</v>
      </c>
      <c r="I454" s="555">
        <f ca="1" t="shared" si="289"/>
        <v>63.72</v>
      </c>
      <c r="J454" s="555">
        <f ca="1" t="shared" si="289"/>
        <v>48.5145190404</v>
      </c>
      <c r="K454" s="555">
        <f t="shared" si="289"/>
        <v>4.0643294526</v>
      </c>
      <c r="L454" s="555">
        <f ca="1" t="shared" si="289"/>
        <v>0</v>
      </c>
      <c r="M454" s="555">
        <f ca="1" t="shared" si="289"/>
        <v>52.578848493</v>
      </c>
      <c r="N454" s="555">
        <f ca="1" t="shared" si="290"/>
        <v>15.2054809596</v>
      </c>
      <c r="O454" s="555">
        <f ca="1" t="shared" si="290"/>
        <v>-4.0643294526</v>
      </c>
    </row>
    <row r="455" ht="15" spans="2:15">
      <c r="B455" s="562">
        <v>17</v>
      </c>
      <c r="C455" s="563" t="s">
        <v>807</v>
      </c>
      <c r="D455" s="553"/>
      <c r="E455" s="426"/>
      <c r="F455" s="555">
        <f ca="1" t="shared" si="289"/>
        <v>0</v>
      </c>
      <c r="G455" s="555">
        <f ca="1" t="shared" si="289"/>
        <v>0</v>
      </c>
      <c r="H455" s="555">
        <f ca="1" t="shared" si="289"/>
        <v>0</v>
      </c>
      <c r="I455" s="555">
        <f ca="1" t="shared" si="289"/>
        <v>0</v>
      </c>
      <c r="J455" s="555">
        <f ca="1" t="shared" si="289"/>
        <v>0</v>
      </c>
      <c r="K455" s="555">
        <f ca="1" t="shared" si="289"/>
        <v>0</v>
      </c>
      <c r="L455" s="555">
        <f ca="1" t="shared" si="289"/>
        <v>0</v>
      </c>
      <c r="M455" s="555">
        <f ca="1" t="shared" si="289"/>
        <v>0</v>
      </c>
      <c r="N455" s="555">
        <f ca="1" t="shared" si="290"/>
        <v>0</v>
      </c>
      <c r="O455" s="555">
        <f ca="1" t="shared" si="290"/>
        <v>0</v>
      </c>
    </row>
    <row r="456" ht="15.75" spans="2:15">
      <c r="B456" s="566"/>
      <c r="C456" s="567" t="s">
        <v>97</v>
      </c>
      <c r="D456" s="567"/>
      <c r="E456" s="568"/>
      <c r="F456" s="569">
        <f ca="1">SUM(F416:F455)</f>
        <v>20661.2093798018</v>
      </c>
      <c r="G456" s="569">
        <f ca="1" t="shared" ref="G456:O456" si="291">SUM(G416:G455)</f>
        <v>3687.49195169062</v>
      </c>
      <c r="H456" s="569">
        <f ca="1" t="shared" si="291"/>
        <v>0</v>
      </c>
      <c r="I456" s="569">
        <f ca="1" t="shared" si="291"/>
        <v>24348.7013314924</v>
      </c>
      <c r="J456" s="569">
        <f ca="1" t="shared" si="291"/>
        <v>10178.9975399403</v>
      </c>
      <c r="K456" s="569">
        <f ca="1" t="shared" si="291"/>
        <v>879.210296074182</v>
      </c>
      <c r="L456" s="569">
        <f ca="1" t="shared" si="291"/>
        <v>0</v>
      </c>
      <c r="M456" s="569">
        <f ca="1" t="shared" si="291"/>
        <v>11058.2078360145</v>
      </c>
      <c r="N456" s="569">
        <f ca="1" t="shared" si="291"/>
        <v>10482.2118398615</v>
      </c>
      <c r="O456" s="569">
        <f ca="1" t="shared" si="291"/>
        <v>11701.9638022065</v>
      </c>
    </row>
    <row r="458" ht="15" spans="2:15">
      <c r="B458" s="570" t="s">
        <v>654</v>
      </c>
      <c r="C458" s="571"/>
      <c r="D458" s="571"/>
      <c r="E458" s="571"/>
      <c r="F458" s="571"/>
      <c r="G458" s="571"/>
      <c r="H458" s="571"/>
      <c r="I458" s="571"/>
      <c r="J458" s="571"/>
      <c r="K458" s="571"/>
      <c r="L458" s="571"/>
      <c r="M458" s="571"/>
      <c r="N458" s="571"/>
      <c r="O458" s="581"/>
    </row>
    <row r="459" ht="15" spans="2:15">
      <c r="B459" s="547" t="s">
        <v>564</v>
      </c>
      <c r="C459" s="978" t="s">
        <v>671</v>
      </c>
      <c r="D459" s="549" t="s">
        <v>672</v>
      </c>
      <c r="E459" s="549" t="s">
        <v>673</v>
      </c>
      <c r="F459" s="549" t="s">
        <v>674</v>
      </c>
      <c r="G459" s="549"/>
      <c r="H459" s="549"/>
      <c r="I459" s="549"/>
      <c r="J459" s="549" t="s">
        <v>675</v>
      </c>
      <c r="K459" s="549"/>
      <c r="L459" s="549"/>
      <c r="M459" s="549"/>
      <c r="N459" s="549" t="s">
        <v>676</v>
      </c>
      <c r="O459" s="579"/>
    </row>
    <row r="460" ht="60.75" spans="2:15">
      <c r="B460" s="572"/>
      <c r="C460" s="573"/>
      <c r="D460" s="574"/>
      <c r="E460" s="574"/>
      <c r="F460" s="574" t="s">
        <v>677</v>
      </c>
      <c r="G460" s="574" t="s">
        <v>678</v>
      </c>
      <c r="H460" s="574" t="s">
        <v>679</v>
      </c>
      <c r="I460" s="574" t="s">
        <v>680</v>
      </c>
      <c r="J460" s="574" t="s">
        <v>681</v>
      </c>
      <c r="K460" s="574" t="s">
        <v>678</v>
      </c>
      <c r="L460" s="574" t="s">
        <v>682</v>
      </c>
      <c r="M460" s="574" t="s">
        <v>683</v>
      </c>
      <c r="N460" s="574" t="s">
        <v>677</v>
      </c>
      <c r="O460" s="582" t="s">
        <v>680</v>
      </c>
    </row>
    <row r="461" ht="15" spans="2:15">
      <c r="B461" s="551">
        <v>1</v>
      </c>
      <c r="C461" s="552" t="s">
        <v>684</v>
      </c>
      <c r="D461" s="546"/>
      <c r="E461" s="576"/>
      <c r="F461" s="555">
        <f ca="1">90%*F144</f>
        <v>75.4282411248483</v>
      </c>
      <c r="G461" s="555">
        <f t="shared" ref="G461:M461" si="292">90%*G144</f>
        <v>55.1427320332349</v>
      </c>
      <c r="H461" s="555">
        <f ca="1" t="shared" si="292"/>
        <v>0</v>
      </c>
      <c r="I461" s="555">
        <f ca="1" t="shared" si="292"/>
        <v>130.570973158083</v>
      </c>
      <c r="J461" s="555">
        <f ca="1" t="shared" si="292"/>
        <v>0.0044091558000014</v>
      </c>
      <c r="K461" s="555">
        <f t="shared" si="292"/>
        <v>0</v>
      </c>
      <c r="L461" s="555">
        <f ca="1" t="shared" si="292"/>
        <v>0</v>
      </c>
      <c r="M461" s="555">
        <f ca="1" t="shared" si="292"/>
        <v>0.0044091558000014</v>
      </c>
      <c r="N461" s="555">
        <f ca="1">F461-J461</f>
        <v>75.4238319690483</v>
      </c>
      <c r="O461" s="555">
        <f ca="1">I461-M461</f>
        <v>130.566564002283</v>
      </c>
    </row>
    <row r="462" ht="15" spans="2:15">
      <c r="B462" s="551">
        <v>2</v>
      </c>
      <c r="C462" s="552" t="s">
        <v>770</v>
      </c>
      <c r="D462" s="614"/>
      <c r="E462" s="615"/>
      <c r="F462" s="555">
        <f ca="1" t="shared" ref="F462:M477" si="293">90%*F145</f>
        <v>0</v>
      </c>
      <c r="G462" s="555">
        <f ca="1" t="shared" si="293"/>
        <v>0</v>
      </c>
      <c r="H462" s="555">
        <f ca="1" t="shared" si="293"/>
        <v>0</v>
      </c>
      <c r="I462" s="555">
        <f ca="1" t="shared" si="293"/>
        <v>0</v>
      </c>
      <c r="J462" s="555">
        <f ca="1" t="shared" si="293"/>
        <v>0</v>
      </c>
      <c r="K462" s="555">
        <f ca="1" t="shared" si="293"/>
        <v>0</v>
      </c>
      <c r="L462" s="555">
        <f ca="1" t="shared" si="293"/>
        <v>0</v>
      </c>
      <c r="M462" s="555">
        <f ca="1" t="shared" si="293"/>
        <v>0</v>
      </c>
      <c r="N462" s="555">
        <f ca="1">F462-J462</f>
        <v>0</v>
      </c>
      <c r="O462" s="555">
        <f ca="1">I462-M462</f>
        <v>0</v>
      </c>
    </row>
    <row r="463" ht="15" spans="2:15">
      <c r="B463" s="551">
        <v>3</v>
      </c>
      <c r="C463" s="556" t="s">
        <v>771</v>
      </c>
      <c r="D463" s="553"/>
      <c r="E463" s="416"/>
      <c r="F463" s="555">
        <f t="shared" si="293"/>
        <v>0</v>
      </c>
      <c r="G463" s="555">
        <f t="shared" si="293"/>
        <v>0</v>
      </c>
      <c r="H463" s="555">
        <f t="shared" si="293"/>
        <v>0</v>
      </c>
      <c r="I463" s="555">
        <f t="shared" si="293"/>
        <v>0</v>
      </c>
      <c r="J463" s="555">
        <f t="shared" si="293"/>
        <v>0</v>
      </c>
      <c r="K463" s="555">
        <f t="shared" si="293"/>
        <v>0</v>
      </c>
      <c r="L463" s="555">
        <f t="shared" si="293"/>
        <v>0</v>
      </c>
      <c r="M463" s="555">
        <f t="shared" si="293"/>
        <v>0</v>
      </c>
      <c r="N463" s="555"/>
      <c r="O463" s="555"/>
    </row>
    <row r="464" ht="15" spans="2:15">
      <c r="B464" s="551"/>
      <c r="C464" s="557" t="s">
        <v>772</v>
      </c>
      <c r="D464" s="553"/>
      <c r="E464" s="416"/>
      <c r="F464" s="555">
        <f ca="1" t="shared" si="293"/>
        <v>399.842659826703</v>
      </c>
      <c r="G464" s="555">
        <f t="shared" si="293"/>
        <v>51.3871340423853</v>
      </c>
      <c r="H464" s="555">
        <f ca="1" t="shared" si="293"/>
        <v>0</v>
      </c>
      <c r="I464" s="555">
        <f ca="1" t="shared" si="293"/>
        <v>451.229793869088</v>
      </c>
      <c r="J464" s="555">
        <f ca="1" t="shared" si="293"/>
        <v>143.64285643641</v>
      </c>
      <c r="K464" s="555">
        <f t="shared" si="293"/>
        <v>17.7161624465288</v>
      </c>
      <c r="L464" s="555">
        <f ca="1" t="shared" si="293"/>
        <v>0</v>
      </c>
      <c r="M464" s="555">
        <f ca="1" t="shared" si="293"/>
        <v>161.359018882939</v>
      </c>
      <c r="N464" s="555">
        <f ca="1" t="shared" ref="N464:N467" si="294">F464-J464</f>
        <v>256.199803390293</v>
      </c>
      <c r="O464" s="555">
        <f ca="1" t="shared" ref="O464:O467" si="295">I464-M464</f>
        <v>289.87077498615</v>
      </c>
    </row>
    <row r="465" ht="28.5" spans="2:15">
      <c r="B465" s="551"/>
      <c r="C465" s="557" t="s">
        <v>773</v>
      </c>
      <c r="D465" s="553"/>
      <c r="E465" s="416"/>
      <c r="F465" s="555">
        <f ca="1" t="shared" si="293"/>
        <v>0</v>
      </c>
      <c r="G465" s="555">
        <f ca="1" t="shared" si="293"/>
        <v>0</v>
      </c>
      <c r="H465" s="555">
        <f ca="1" t="shared" si="293"/>
        <v>0</v>
      </c>
      <c r="I465" s="555">
        <f ca="1" t="shared" si="293"/>
        <v>0</v>
      </c>
      <c r="J465" s="555">
        <f ca="1" t="shared" si="293"/>
        <v>0</v>
      </c>
      <c r="K465" s="555">
        <f ca="1" t="shared" si="293"/>
        <v>0</v>
      </c>
      <c r="L465" s="555">
        <f ca="1" t="shared" si="293"/>
        <v>0</v>
      </c>
      <c r="M465" s="555">
        <f ca="1" t="shared" si="293"/>
        <v>0</v>
      </c>
      <c r="N465" s="555">
        <f ca="1" t="shared" si="294"/>
        <v>0</v>
      </c>
      <c r="O465" s="555">
        <f ca="1" t="shared" si="295"/>
        <v>0</v>
      </c>
    </row>
    <row r="466" ht="15" spans="2:15">
      <c r="B466" s="551"/>
      <c r="C466" s="557" t="s">
        <v>774</v>
      </c>
      <c r="D466" s="553"/>
      <c r="E466" s="416"/>
      <c r="F466" s="555">
        <f ca="1" t="shared" si="293"/>
        <v>0</v>
      </c>
      <c r="G466" s="555">
        <f ca="1" t="shared" si="293"/>
        <v>0</v>
      </c>
      <c r="H466" s="555">
        <f ca="1" t="shared" si="293"/>
        <v>0</v>
      </c>
      <c r="I466" s="555">
        <f ca="1" t="shared" si="293"/>
        <v>0</v>
      </c>
      <c r="J466" s="555">
        <f ca="1" t="shared" si="293"/>
        <v>0</v>
      </c>
      <c r="K466" s="555">
        <f ca="1" t="shared" si="293"/>
        <v>0</v>
      </c>
      <c r="L466" s="555">
        <f ca="1" t="shared" si="293"/>
        <v>0</v>
      </c>
      <c r="M466" s="555">
        <f ca="1" t="shared" si="293"/>
        <v>0</v>
      </c>
      <c r="N466" s="555">
        <f ca="1" t="shared" si="294"/>
        <v>0</v>
      </c>
      <c r="O466" s="555">
        <f ca="1" t="shared" si="295"/>
        <v>0</v>
      </c>
    </row>
    <row r="467" ht="15" spans="2:15">
      <c r="B467" s="551"/>
      <c r="C467" s="557" t="s">
        <v>775</v>
      </c>
      <c r="D467" s="553"/>
      <c r="E467" s="416"/>
      <c r="F467" s="555">
        <f ca="1" t="shared" si="293"/>
        <v>198.972</v>
      </c>
      <c r="G467" s="555">
        <f ca="1" t="shared" si="293"/>
        <v>0</v>
      </c>
      <c r="H467" s="555">
        <f ca="1" t="shared" si="293"/>
        <v>0</v>
      </c>
      <c r="I467" s="555">
        <f ca="1" t="shared" si="293"/>
        <v>198.972</v>
      </c>
      <c r="J467" s="555">
        <f ca="1" t="shared" si="293"/>
        <v>39.9721005729</v>
      </c>
      <c r="K467" s="555">
        <f t="shared" si="293"/>
        <v>0</v>
      </c>
      <c r="L467" s="555">
        <f ca="1" t="shared" si="293"/>
        <v>0</v>
      </c>
      <c r="M467" s="555">
        <f ca="1" t="shared" si="293"/>
        <v>39.9721005729</v>
      </c>
      <c r="N467" s="555">
        <f ca="1" t="shared" si="294"/>
        <v>158.9998994271</v>
      </c>
      <c r="O467" s="555">
        <f ca="1" t="shared" si="295"/>
        <v>158.9998994271</v>
      </c>
    </row>
    <row r="468" ht="15" spans="2:15">
      <c r="B468" s="551">
        <v>4</v>
      </c>
      <c r="C468" s="552" t="s">
        <v>776</v>
      </c>
      <c r="D468" s="553"/>
      <c r="E468" s="416"/>
      <c r="F468" s="555">
        <f t="shared" si="293"/>
        <v>0</v>
      </c>
      <c r="G468" s="555">
        <f t="shared" si="293"/>
        <v>0</v>
      </c>
      <c r="H468" s="555">
        <f t="shared" si="293"/>
        <v>0</v>
      </c>
      <c r="I468" s="555">
        <f t="shared" si="293"/>
        <v>0</v>
      </c>
      <c r="J468" s="555">
        <f t="shared" si="293"/>
        <v>0</v>
      </c>
      <c r="K468" s="555">
        <f t="shared" si="293"/>
        <v>0</v>
      </c>
      <c r="L468" s="555">
        <f t="shared" si="293"/>
        <v>0</v>
      </c>
      <c r="M468" s="555">
        <f t="shared" si="293"/>
        <v>0</v>
      </c>
      <c r="N468" s="555"/>
      <c r="O468" s="555"/>
    </row>
    <row r="469" ht="15" spans="2:15">
      <c r="B469" s="551"/>
      <c r="C469" s="558" t="s">
        <v>777</v>
      </c>
      <c r="D469" s="553"/>
      <c r="E469" s="416"/>
      <c r="F469" s="555">
        <f ca="1" t="shared" si="293"/>
        <v>9594.88085999228</v>
      </c>
      <c r="G469" s="555">
        <f t="shared" si="293"/>
        <v>1228.08851092885</v>
      </c>
      <c r="H469" s="555">
        <f ca="1" t="shared" si="293"/>
        <v>0</v>
      </c>
      <c r="I469" s="555">
        <f ca="1" t="shared" si="293"/>
        <v>10822.9693709211</v>
      </c>
      <c r="J469" s="555">
        <f ca="1" t="shared" si="293"/>
        <v>4944.82566511893</v>
      </c>
      <c r="K469" s="555">
        <f t="shared" si="293"/>
        <v>376.4888417368</v>
      </c>
      <c r="L469" s="555">
        <f ca="1" t="shared" si="293"/>
        <v>0</v>
      </c>
      <c r="M469" s="555">
        <f ca="1" t="shared" si="293"/>
        <v>5321.31450685573</v>
      </c>
      <c r="N469" s="555">
        <f ca="1" t="shared" ref="N469:N472" si="296">F469-J469</f>
        <v>4650.05519487335</v>
      </c>
      <c r="O469" s="555">
        <f ca="1" t="shared" ref="O469:O472" si="297">I469-M469</f>
        <v>5501.6548640654</v>
      </c>
    </row>
    <row r="470" ht="15" spans="2:15">
      <c r="B470" s="551"/>
      <c r="C470" s="552" t="s">
        <v>778</v>
      </c>
      <c r="D470" s="553"/>
      <c r="E470" s="416"/>
      <c r="F470" s="555">
        <f t="shared" si="293"/>
        <v>0</v>
      </c>
      <c r="G470" s="555">
        <f t="shared" si="293"/>
        <v>0</v>
      </c>
      <c r="H470" s="555">
        <f t="shared" si="293"/>
        <v>0</v>
      </c>
      <c r="I470" s="555">
        <f t="shared" si="293"/>
        <v>0</v>
      </c>
      <c r="J470" s="555">
        <f t="shared" si="293"/>
        <v>0</v>
      </c>
      <c r="K470" s="555">
        <f t="shared" si="293"/>
        <v>0</v>
      </c>
      <c r="L470" s="555">
        <f t="shared" si="293"/>
        <v>0</v>
      </c>
      <c r="M470" s="555">
        <f t="shared" si="293"/>
        <v>0</v>
      </c>
      <c r="N470" s="555"/>
      <c r="O470" s="555"/>
    </row>
    <row r="471" ht="15" spans="2:15">
      <c r="B471" s="551"/>
      <c r="C471" s="558" t="s">
        <v>779</v>
      </c>
      <c r="D471" s="553"/>
      <c r="E471" s="416"/>
      <c r="F471" s="555">
        <f ca="1" t="shared" si="293"/>
        <v>0</v>
      </c>
      <c r="G471" s="555">
        <f ca="1" t="shared" si="293"/>
        <v>0</v>
      </c>
      <c r="H471" s="555">
        <f ca="1" t="shared" si="293"/>
        <v>0</v>
      </c>
      <c r="I471" s="555">
        <f ca="1" t="shared" si="293"/>
        <v>0</v>
      </c>
      <c r="J471" s="555">
        <f ca="1" t="shared" si="293"/>
        <v>0</v>
      </c>
      <c r="K471" s="555">
        <f ca="1" t="shared" si="293"/>
        <v>0</v>
      </c>
      <c r="L471" s="555">
        <f ca="1" t="shared" si="293"/>
        <v>0</v>
      </c>
      <c r="M471" s="555">
        <f ca="1" t="shared" si="293"/>
        <v>0</v>
      </c>
      <c r="N471" s="555">
        <f ca="1" t="shared" si="296"/>
        <v>0</v>
      </c>
      <c r="O471" s="555">
        <f ca="1" t="shared" si="297"/>
        <v>0</v>
      </c>
    </row>
    <row r="472" ht="15" spans="2:15">
      <c r="B472" s="551"/>
      <c r="C472" s="558" t="s">
        <v>780</v>
      </c>
      <c r="D472" s="553"/>
      <c r="E472" s="416"/>
      <c r="F472" s="555">
        <f ca="1" t="shared" si="293"/>
        <v>0</v>
      </c>
      <c r="G472" s="555">
        <f ca="1" t="shared" si="293"/>
        <v>0</v>
      </c>
      <c r="H472" s="555">
        <f ca="1" t="shared" si="293"/>
        <v>0</v>
      </c>
      <c r="I472" s="555">
        <f ca="1" t="shared" si="293"/>
        <v>0</v>
      </c>
      <c r="J472" s="555">
        <f ca="1" t="shared" si="293"/>
        <v>0</v>
      </c>
      <c r="K472" s="555">
        <f ca="1" t="shared" si="293"/>
        <v>0</v>
      </c>
      <c r="L472" s="555">
        <f ca="1" t="shared" si="293"/>
        <v>0</v>
      </c>
      <c r="M472" s="555">
        <f ca="1" t="shared" si="293"/>
        <v>0</v>
      </c>
      <c r="N472" s="555">
        <f ca="1" t="shared" si="296"/>
        <v>0</v>
      </c>
      <c r="O472" s="555">
        <f ca="1" t="shared" si="297"/>
        <v>0</v>
      </c>
    </row>
    <row r="473" ht="15" spans="2:15">
      <c r="B473" s="551">
        <v>5</v>
      </c>
      <c r="C473" s="552" t="s">
        <v>781</v>
      </c>
      <c r="D473" s="553"/>
      <c r="E473" s="416"/>
      <c r="F473" s="555">
        <f t="shared" si="293"/>
        <v>0</v>
      </c>
      <c r="G473" s="555">
        <f t="shared" si="293"/>
        <v>0</v>
      </c>
      <c r="H473" s="555">
        <f t="shared" si="293"/>
        <v>0</v>
      </c>
      <c r="I473" s="555">
        <f t="shared" si="293"/>
        <v>0</v>
      </c>
      <c r="J473" s="555">
        <f t="shared" si="293"/>
        <v>0</v>
      </c>
      <c r="K473" s="555">
        <f t="shared" si="293"/>
        <v>0</v>
      </c>
      <c r="L473" s="555">
        <f t="shared" si="293"/>
        <v>0</v>
      </c>
      <c r="M473" s="555">
        <f t="shared" si="293"/>
        <v>0</v>
      </c>
      <c r="N473" s="555"/>
      <c r="O473" s="555"/>
    </row>
    <row r="474" ht="15" spans="2:15">
      <c r="B474" s="551"/>
      <c r="C474" s="558" t="s">
        <v>782</v>
      </c>
      <c r="D474" s="553"/>
      <c r="E474" s="416"/>
      <c r="F474" s="555">
        <f ca="1" t="shared" si="293"/>
        <v>0</v>
      </c>
      <c r="G474" s="555">
        <f ca="1" t="shared" si="293"/>
        <v>0</v>
      </c>
      <c r="H474" s="555">
        <f ca="1" t="shared" si="293"/>
        <v>0</v>
      </c>
      <c r="I474" s="555">
        <f ca="1" t="shared" si="293"/>
        <v>0</v>
      </c>
      <c r="J474" s="555">
        <f ca="1" t="shared" si="293"/>
        <v>0</v>
      </c>
      <c r="K474" s="555">
        <f ca="1" t="shared" si="293"/>
        <v>0</v>
      </c>
      <c r="L474" s="555">
        <f ca="1" t="shared" si="293"/>
        <v>0</v>
      </c>
      <c r="M474" s="555">
        <f ca="1" t="shared" si="293"/>
        <v>0</v>
      </c>
      <c r="N474" s="555">
        <f ca="1" t="shared" ref="N474:N479" si="298">F474-J474</f>
        <v>0</v>
      </c>
      <c r="O474" s="555">
        <f ca="1" t="shared" ref="O474:O479" si="299">I474-M474</f>
        <v>0</v>
      </c>
    </row>
    <row r="475" ht="15" spans="2:15">
      <c r="B475" s="551"/>
      <c r="C475" s="558" t="s">
        <v>783</v>
      </c>
      <c r="D475" s="553"/>
      <c r="E475" s="416"/>
      <c r="F475" s="555">
        <f ca="1" t="shared" si="293"/>
        <v>0</v>
      </c>
      <c r="G475" s="555">
        <f ca="1" t="shared" si="293"/>
        <v>0</v>
      </c>
      <c r="H475" s="555">
        <f ca="1" t="shared" si="293"/>
        <v>0</v>
      </c>
      <c r="I475" s="555">
        <f ca="1" t="shared" si="293"/>
        <v>0</v>
      </c>
      <c r="J475" s="555">
        <f ca="1" t="shared" si="293"/>
        <v>0</v>
      </c>
      <c r="K475" s="555">
        <f ca="1" t="shared" si="293"/>
        <v>0</v>
      </c>
      <c r="L475" s="555">
        <f ca="1" t="shared" si="293"/>
        <v>0</v>
      </c>
      <c r="M475" s="555">
        <f ca="1" t="shared" si="293"/>
        <v>0</v>
      </c>
      <c r="N475" s="555">
        <f ca="1" t="shared" si="298"/>
        <v>0</v>
      </c>
      <c r="O475" s="555">
        <f ca="1" t="shared" si="299"/>
        <v>0</v>
      </c>
    </row>
    <row r="476" ht="15" spans="2:15">
      <c r="B476" s="551"/>
      <c r="C476" s="558" t="s">
        <v>784</v>
      </c>
      <c r="D476" s="553"/>
      <c r="E476" s="416"/>
      <c r="F476" s="555">
        <f ca="1" t="shared" si="293"/>
        <v>0</v>
      </c>
      <c r="G476" s="555">
        <f ca="1" t="shared" si="293"/>
        <v>0</v>
      </c>
      <c r="H476" s="555">
        <f ca="1" t="shared" si="293"/>
        <v>0</v>
      </c>
      <c r="I476" s="555">
        <f ca="1" t="shared" si="293"/>
        <v>0</v>
      </c>
      <c r="J476" s="555">
        <f ca="1" t="shared" si="293"/>
        <v>0</v>
      </c>
      <c r="K476" s="555">
        <f ca="1" t="shared" si="293"/>
        <v>0</v>
      </c>
      <c r="L476" s="555">
        <f ca="1" t="shared" si="293"/>
        <v>0</v>
      </c>
      <c r="M476" s="555">
        <f ca="1" t="shared" si="293"/>
        <v>0</v>
      </c>
      <c r="N476" s="555">
        <f ca="1" t="shared" si="298"/>
        <v>0</v>
      </c>
      <c r="O476" s="555">
        <f ca="1" t="shared" si="299"/>
        <v>0</v>
      </c>
    </row>
    <row r="477" ht="15" spans="2:15">
      <c r="B477" s="551"/>
      <c r="C477" s="558" t="s">
        <v>785</v>
      </c>
      <c r="D477" s="553"/>
      <c r="E477" s="416"/>
      <c r="F477" s="555">
        <f ca="1" t="shared" si="293"/>
        <v>0</v>
      </c>
      <c r="G477" s="555">
        <f ca="1" t="shared" si="293"/>
        <v>0</v>
      </c>
      <c r="H477" s="555">
        <f ca="1" t="shared" si="293"/>
        <v>0</v>
      </c>
      <c r="I477" s="555">
        <f ca="1" t="shared" si="293"/>
        <v>0</v>
      </c>
      <c r="J477" s="555">
        <f ca="1" t="shared" si="293"/>
        <v>0</v>
      </c>
      <c r="K477" s="555">
        <f ca="1" t="shared" si="293"/>
        <v>0</v>
      </c>
      <c r="L477" s="555">
        <f ca="1" t="shared" si="293"/>
        <v>0</v>
      </c>
      <c r="M477" s="555">
        <f ca="1" t="shared" si="293"/>
        <v>0</v>
      </c>
      <c r="N477" s="555">
        <f ca="1" t="shared" si="298"/>
        <v>0</v>
      </c>
      <c r="O477" s="555">
        <f ca="1" t="shared" si="299"/>
        <v>0</v>
      </c>
    </row>
    <row r="478" ht="15" spans="2:15">
      <c r="B478" s="551">
        <v>6</v>
      </c>
      <c r="C478" s="552" t="s">
        <v>786</v>
      </c>
      <c r="D478" s="553"/>
      <c r="E478" s="416"/>
      <c r="F478" s="555">
        <f ca="1" t="shared" ref="F478:M493" si="300">90%*F161</f>
        <v>0</v>
      </c>
      <c r="G478" s="555">
        <f ca="1" t="shared" si="300"/>
        <v>0</v>
      </c>
      <c r="H478" s="555">
        <f ca="1" t="shared" si="300"/>
        <v>0</v>
      </c>
      <c r="I478" s="555">
        <f ca="1" t="shared" si="300"/>
        <v>0</v>
      </c>
      <c r="J478" s="555">
        <f ca="1" t="shared" si="300"/>
        <v>0</v>
      </c>
      <c r="K478" s="555">
        <f ca="1" t="shared" si="300"/>
        <v>0</v>
      </c>
      <c r="L478" s="555">
        <f ca="1" t="shared" si="300"/>
        <v>0</v>
      </c>
      <c r="M478" s="555">
        <f ca="1" t="shared" si="300"/>
        <v>0</v>
      </c>
      <c r="N478" s="555">
        <f ca="1" t="shared" si="298"/>
        <v>0</v>
      </c>
      <c r="O478" s="555">
        <f ca="1" t="shared" si="299"/>
        <v>0</v>
      </c>
    </row>
    <row r="479" ht="15" spans="2:15">
      <c r="B479" s="551">
        <v>7</v>
      </c>
      <c r="C479" s="552" t="s">
        <v>787</v>
      </c>
      <c r="D479" s="553"/>
      <c r="E479" s="416"/>
      <c r="F479" s="555">
        <f ca="1" t="shared" si="300"/>
        <v>0</v>
      </c>
      <c r="G479" s="555">
        <f ca="1" t="shared" si="300"/>
        <v>0</v>
      </c>
      <c r="H479" s="555">
        <f ca="1" t="shared" si="300"/>
        <v>0</v>
      </c>
      <c r="I479" s="555">
        <f ca="1" t="shared" si="300"/>
        <v>0</v>
      </c>
      <c r="J479" s="555">
        <f ca="1" t="shared" si="300"/>
        <v>0</v>
      </c>
      <c r="K479" s="555">
        <f ca="1" t="shared" si="300"/>
        <v>0</v>
      </c>
      <c r="L479" s="555">
        <f ca="1" t="shared" si="300"/>
        <v>0</v>
      </c>
      <c r="M479" s="555">
        <f ca="1" t="shared" si="300"/>
        <v>0</v>
      </c>
      <c r="N479" s="555">
        <f ca="1" t="shared" si="298"/>
        <v>0</v>
      </c>
      <c r="O479" s="555">
        <f ca="1" t="shared" si="299"/>
        <v>0</v>
      </c>
    </row>
    <row r="480" ht="15" spans="2:15">
      <c r="B480" s="551">
        <v>8</v>
      </c>
      <c r="C480" s="552" t="s">
        <v>788</v>
      </c>
      <c r="D480" s="553"/>
      <c r="E480" s="416"/>
      <c r="F480" s="555">
        <f t="shared" si="300"/>
        <v>0</v>
      </c>
      <c r="G480" s="555">
        <f t="shared" si="300"/>
        <v>0</v>
      </c>
      <c r="H480" s="555">
        <f t="shared" si="300"/>
        <v>0</v>
      </c>
      <c r="I480" s="555">
        <f t="shared" si="300"/>
        <v>0</v>
      </c>
      <c r="J480" s="555">
        <f t="shared" si="300"/>
        <v>0</v>
      </c>
      <c r="K480" s="555">
        <f t="shared" si="300"/>
        <v>0</v>
      </c>
      <c r="L480" s="555">
        <f t="shared" si="300"/>
        <v>0</v>
      </c>
      <c r="M480" s="555">
        <f t="shared" si="300"/>
        <v>0</v>
      </c>
      <c r="N480" s="555"/>
      <c r="O480" s="555"/>
    </row>
    <row r="481" ht="15" spans="2:15">
      <c r="B481" s="551"/>
      <c r="C481" s="558" t="s">
        <v>789</v>
      </c>
      <c r="D481" s="553"/>
      <c r="E481" s="416"/>
      <c r="F481" s="555">
        <f ca="1" t="shared" si="300"/>
        <v>9511.86262368307</v>
      </c>
      <c r="G481" s="555">
        <f t="shared" si="300"/>
        <v>1385.47668238807</v>
      </c>
      <c r="H481" s="555">
        <f ca="1" t="shared" si="300"/>
        <v>0</v>
      </c>
      <c r="I481" s="555">
        <f ca="1" t="shared" si="300"/>
        <v>10897.3393060711</v>
      </c>
      <c r="J481" s="555">
        <f ca="1" t="shared" si="300"/>
        <v>4387.34359504322</v>
      </c>
      <c r="K481" s="555">
        <f t="shared" si="300"/>
        <v>361.8627099568</v>
      </c>
      <c r="L481" s="555">
        <f ca="1" t="shared" si="300"/>
        <v>0</v>
      </c>
      <c r="M481" s="555">
        <f ca="1" t="shared" si="300"/>
        <v>4749.20630500002</v>
      </c>
      <c r="N481" s="555">
        <f ca="1" t="shared" ref="N481:O485" si="301">F481-J481</f>
        <v>5124.51902863985</v>
      </c>
      <c r="O481" s="555">
        <f ca="1" t="shared" ref="O481:O483" si="302">I481-M481</f>
        <v>6148.13300107111</v>
      </c>
    </row>
    <row r="482" ht="15" spans="2:15">
      <c r="B482" s="551"/>
      <c r="C482" s="558" t="s">
        <v>808</v>
      </c>
      <c r="D482" s="553"/>
      <c r="E482" s="416"/>
      <c r="F482" s="555">
        <f ca="1" t="shared" si="300"/>
        <v>0</v>
      </c>
      <c r="G482" s="555">
        <f ca="1" t="shared" si="300"/>
        <v>0</v>
      </c>
      <c r="H482" s="555">
        <f ca="1" t="shared" si="300"/>
        <v>0</v>
      </c>
      <c r="I482" s="555">
        <f ca="1" t="shared" si="300"/>
        <v>0</v>
      </c>
      <c r="J482" s="555">
        <f ca="1" t="shared" si="300"/>
        <v>0</v>
      </c>
      <c r="K482" s="555">
        <f ca="1" t="shared" si="300"/>
        <v>0</v>
      </c>
      <c r="L482" s="555">
        <f ca="1" t="shared" si="300"/>
        <v>0</v>
      </c>
      <c r="M482" s="555">
        <f ca="1" t="shared" si="300"/>
        <v>0</v>
      </c>
      <c r="N482" s="555">
        <f ca="1" t="shared" si="301"/>
        <v>0</v>
      </c>
      <c r="O482" s="555">
        <f ca="1" t="shared" si="302"/>
        <v>0</v>
      </c>
    </row>
    <row r="483" ht="30" spans="2:15">
      <c r="B483" s="560">
        <v>9</v>
      </c>
      <c r="C483" s="561" t="s">
        <v>791</v>
      </c>
      <c r="D483" s="553"/>
      <c r="E483" s="416"/>
      <c r="F483" s="555">
        <f ca="1" t="shared" si="300"/>
        <v>0</v>
      </c>
      <c r="G483" s="555">
        <f ca="1" t="shared" si="300"/>
        <v>0</v>
      </c>
      <c r="H483" s="555">
        <f ca="1" t="shared" si="300"/>
        <v>0</v>
      </c>
      <c r="I483" s="555">
        <f ca="1" t="shared" si="300"/>
        <v>0</v>
      </c>
      <c r="J483" s="555">
        <f ca="1" t="shared" si="300"/>
        <v>0</v>
      </c>
      <c r="K483" s="555">
        <f ca="1" t="shared" si="300"/>
        <v>0</v>
      </c>
      <c r="L483" s="555">
        <f ca="1" t="shared" si="300"/>
        <v>0</v>
      </c>
      <c r="M483" s="555">
        <f ca="1" t="shared" si="300"/>
        <v>0</v>
      </c>
      <c r="N483" s="555">
        <f ca="1" t="shared" si="301"/>
        <v>0</v>
      </c>
      <c r="O483" s="555">
        <f ca="1" t="shared" si="302"/>
        <v>0</v>
      </c>
    </row>
    <row r="484" ht="15" spans="2:15">
      <c r="B484" s="562">
        <v>10</v>
      </c>
      <c r="C484" s="563" t="s">
        <v>792</v>
      </c>
      <c r="D484" s="564"/>
      <c r="E484" s="416"/>
      <c r="F484" s="555">
        <f ca="1" t="shared" si="300"/>
        <v>4251.21470077977</v>
      </c>
      <c r="G484" s="555">
        <f t="shared" si="300"/>
        <v>2124.63793189817</v>
      </c>
      <c r="H484" s="555">
        <f ca="1" t="shared" si="300"/>
        <v>0</v>
      </c>
      <c r="I484" s="555">
        <f ca="1" t="shared" si="300"/>
        <v>6375.85263267794</v>
      </c>
      <c r="J484" s="555">
        <f ca="1" t="shared" si="300"/>
        <v>1285.36679390228</v>
      </c>
      <c r="K484" s="555">
        <f t="shared" si="300"/>
        <v>314.735311680086</v>
      </c>
      <c r="L484" s="555">
        <f ca="1" t="shared" si="300"/>
        <v>0</v>
      </c>
      <c r="M484" s="555">
        <f ca="1" t="shared" si="300"/>
        <v>1600.10210558237</v>
      </c>
      <c r="N484" s="555">
        <f ca="1" t="shared" si="301"/>
        <v>2965.84790687749</v>
      </c>
      <c r="O484" s="555">
        <f t="shared" si="301"/>
        <v>1809.90262021809</v>
      </c>
    </row>
    <row r="485" ht="15" spans="2:15">
      <c r="B485" s="562">
        <v>11</v>
      </c>
      <c r="C485" s="563" t="s">
        <v>793</v>
      </c>
      <c r="D485" s="564"/>
      <c r="E485" s="416"/>
      <c r="F485" s="555">
        <f ca="1" t="shared" si="300"/>
        <v>6.372</v>
      </c>
      <c r="G485" s="555">
        <f ca="1" t="shared" si="300"/>
        <v>0</v>
      </c>
      <c r="H485" s="555">
        <f ca="1" t="shared" si="300"/>
        <v>0</v>
      </c>
      <c r="I485" s="555">
        <f ca="1" t="shared" si="300"/>
        <v>6.372</v>
      </c>
      <c r="J485" s="555">
        <f ca="1" t="shared" si="300"/>
        <v>5.7529799388</v>
      </c>
      <c r="K485" s="555">
        <f t="shared" si="300"/>
        <v>0</v>
      </c>
      <c r="L485" s="555">
        <f ca="1" t="shared" si="300"/>
        <v>0</v>
      </c>
      <c r="M485" s="555">
        <f ca="1" t="shared" si="300"/>
        <v>5.7529799388</v>
      </c>
      <c r="N485" s="555">
        <f ca="1" t="shared" si="301"/>
        <v>0.619020061200001</v>
      </c>
      <c r="O485" s="555">
        <f ca="1" t="shared" si="301"/>
        <v>0</v>
      </c>
    </row>
    <row r="486" ht="15" spans="2:15">
      <c r="B486" s="562">
        <v>12</v>
      </c>
      <c r="C486" s="563" t="s">
        <v>794</v>
      </c>
      <c r="D486" s="564"/>
      <c r="E486" s="416"/>
      <c r="F486" s="555">
        <f t="shared" si="300"/>
        <v>0</v>
      </c>
      <c r="G486" s="555">
        <f t="shared" si="300"/>
        <v>0</v>
      </c>
      <c r="H486" s="555">
        <f t="shared" si="300"/>
        <v>0</v>
      </c>
      <c r="I486" s="555">
        <f t="shared" si="300"/>
        <v>0</v>
      </c>
      <c r="J486" s="555">
        <f t="shared" si="300"/>
        <v>0</v>
      </c>
      <c r="K486" s="555">
        <f t="shared" si="300"/>
        <v>0</v>
      </c>
      <c r="L486" s="555">
        <f t="shared" si="300"/>
        <v>0</v>
      </c>
      <c r="M486" s="555">
        <f t="shared" si="300"/>
        <v>0</v>
      </c>
      <c r="N486" s="555"/>
      <c r="O486" s="555"/>
    </row>
    <row r="487" ht="15" spans="2:15">
      <c r="B487" s="562"/>
      <c r="C487" s="565" t="s">
        <v>795</v>
      </c>
      <c r="D487" s="564"/>
      <c r="E487" s="416"/>
      <c r="F487" s="555">
        <f ca="1" t="shared" si="300"/>
        <v>2.34</v>
      </c>
      <c r="G487" s="555">
        <f ca="1" t="shared" si="300"/>
        <v>0</v>
      </c>
      <c r="H487" s="555">
        <f ca="1" t="shared" si="300"/>
        <v>0</v>
      </c>
      <c r="I487" s="555">
        <f ca="1" t="shared" si="300"/>
        <v>2.34</v>
      </c>
      <c r="J487" s="555">
        <f ca="1" t="shared" si="300"/>
        <v>1.5314797188</v>
      </c>
      <c r="K487" s="555">
        <f ca="1" t="shared" si="300"/>
        <v>0</v>
      </c>
      <c r="L487" s="555">
        <f ca="1" t="shared" si="300"/>
        <v>0</v>
      </c>
      <c r="M487" s="555">
        <f ca="1" t="shared" si="300"/>
        <v>1.5314797188</v>
      </c>
      <c r="N487" s="555">
        <f ca="1" t="shared" ref="N487:O488" si="303">F487-J487</f>
        <v>0.8085202812</v>
      </c>
      <c r="O487" s="555">
        <f ca="1" t="shared" si="303"/>
        <v>0</v>
      </c>
    </row>
    <row r="488" ht="15" spans="2:15">
      <c r="B488" s="562"/>
      <c r="C488" s="565" t="s">
        <v>796</v>
      </c>
      <c r="D488" s="564"/>
      <c r="E488" s="416"/>
      <c r="F488" s="555">
        <f ca="1" t="shared" si="300"/>
        <v>0</v>
      </c>
      <c r="G488" s="555">
        <f ca="1" t="shared" si="300"/>
        <v>0</v>
      </c>
      <c r="H488" s="555">
        <f ca="1" t="shared" si="300"/>
        <v>0</v>
      </c>
      <c r="I488" s="555">
        <f ca="1" t="shared" si="300"/>
        <v>0</v>
      </c>
      <c r="J488" s="555">
        <f ca="1" t="shared" si="300"/>
        <v>0</v>
      </c>
      <c r="K488" s="555">
        <f ca="1" t="shared" si="300"/>
        <v>0</v>
      </c>
      <c r="L488" s="555">
        <f ca="1" t="shared" si="300"/>
        <v>0</v>
      </c>
      <c r="M488" s="555">
        <f ca="1" t="shared" si="300"/>
        <v>0</v>
      </c>
      <c r="N488" s="555">
        <f ca="1" t="shared" si="303"/>
        <v>0</v>
      </c>
      <c r="O488" s="555">
        <f ca="1" t="shared" si="303"/>
        <v>0</v>
      </c>
    </row>
    <row r="489" ht="15" spans="2:15">
      <c r="B489" s="562">
        <v>13</v>
      </c>
      <c r="C489" s="565"/>
      <c r="D489" s="564"/>
      <c r="E489" s="416"/>
      <c r="F489" s="555">
        <f t="shared" si="300"/>
        <v>0</v>
      </c>
      <c r="G489" s="555">
        <f t="shared" si="300"/>
        <v>0</v>
      </c>
      <c r="H489" s="555">
        <f t="shared" si="300"/>
        <v>0</v>
      </c>
      <c r="I489" s="555">
        <f t="shared" si="300"/>
        <v>0</v>
      </c>
      <c r="J489" s="555">
        <f t="shared" si="300"/>
        <v>0</v>
      </c>
      <c r="K489" s="555">
        <f t="shared" si="300"/>
        <v>0</v>
      </c>
      <c r="L489" s="555">
        <f t="shared" si="300"/>
        <v>0</v>
      </c>
      <c r="M489" s="555">
        <f t="shared" si="300"/>
        <v>0</v>
      </c>
      <c r="N489" s="555"/>
      <c r="O489" s="555"/>
    </row>
    <row r="490" ht="15" spans="2:15">
      <c r="B490" s="562"/>
      <c r="C490" s="565" t="s">
        <v>797</v>
      </c>
      <c r="D490" s="564"/>
      <c r="E490" s="416"/>
      <c r="F490" s="555">
        <f ca="1" t="shared" si="300"/>
        <v>15.525</v>
      </c>
      <c r="G490" s="555">
        <f ca="1" t="shared" si="300"/>
        <v>0</v>
      </c>
      <c r="H490" s="555">
        <f ca="1" t="shared" si="300"/>
        <v>0</v>
      </c>
      <c r="I490" s="555">
        <f ca="1" t="shared" si="300"/>
        <v>15.525</v>
      </c>
      <c r="J490" s="555">
        <f ca="1" t="shared" si="300"/>
        <v>11.2897719675</v>
      </c>
      <c r="K490" s="555">
        <f t="shared" si="300"/>
        <v>0.4255500519</v>
      </c>
      <c r="L490" s="555">
        <f ca="1" t="shared" si="300"/>
        <v>0</v>
      </c>
      <c r="M490" s="555">
        <f ca="1" t="shared" si="300"/>
        <v>11.7153220194</v>
      </c>
      <c r="N490" s="555">
        <f ca="1" t="shared" ref="N490:O493" si="304">F490-J490</f>
        <v>4.2352280325</v>
      </c>
      <c r="O490" s="555">
        <f ca="1" t="shared" si="304"/>
        <v>-0.4255500519</v>
      </c>
    </row>
    <row r="491" ht="15" spans="2:15">
      <c r="B491" s="562"/>
      <c r="C491" s="565" t="s">
        <v>798</v>
      </c>
      <c r="D491" s="564"/>
      <c r="E491" s="416"/>
      <c r="F491" s="555">
        <f ca="1" t="shared" si="300"/>
        <v>46.4254475365739</v>
      </c>
      <c r="G491" s="555">
        <f t="shared" si="300"/>
        <v>0.156862252651262</v>
      </c>
      <c r="H491" s="555">
        <f ca="1" t="shared" si="300"/>
        <v>0</v>
      </c>
      <c r="I491" s="555">
        <f ca="1" t="shared" si="300"/>
        <v>46.5823097892251</v>
      </c>
      <c r="J491" s="555">
        <f ca="1" t="shared" si="300"/>
        <v>32.7359106879932</v>
      </c>
      <c r="K491" s="555">
        <f t="shared" si="300"/>
        <v>1.42127352656096</v>
      </c>
      <c r="L491" s="555">
        <f ca="1" t="shared" si="300"/>
        <v>0</v>
      </c>
      <c r="M491" s="555">
        <f ca="1" t="shared" si="300"/>
        <v>34.1571842145542</v>
      </c>
      <c r="N491" s="555">
        <f ca="1" t="shared" si="304"/>
        <v>13.6895368485807</v>
      </c>
      <c r="O491" s="555">
        <f t="shared" si="304"/>
        <v>-1.26441127390969</v>
      </c>
    </row>
    <row r="492" ht="15" spans="2:15">
      <c r="B492" s="562"/>
      <c r="C492" s="565" t="s">
        <v>799</v>
      </c>
      <c r="D492" s="564"/>
      <c r="E492" s="416"/>
      <c r="F492" s="555">
        <f ca="1" t="shared" si="300"/>
        <v>0</v>
      </c>
      <c r="G492" s="555">
        <f ca="1" t="shared" si="300"/>
        <v>0</v>
      </c>
      <c r="H492" s="555">
        <f ca="1" t="shared" si="300"/>
        <v>0</v>
      </c>
      <c r="I492" s="555">
        <f ca="1" t="shared" si="300"/>
        <v>0</v>
      </c>
      <c r="J492" s="555">
        <f ca="1" t="shared" si="300"/>
        <v>0</v>
      </c>
      <c r="K492" s="555">
        <f ca="1" t="shared" si="300"/>
        <v>0</v>
      </c>
      <c r="L492" s="555">
        <f ca="1" t="shared" si="300"/>
        <v>0</v>
      </c>
      <c r="M492" s="555">
        <f ca="1" t="shared" si="300"/>
        <v>0</v>
      </c>
      <c r="N492" s="555">
        <f ca="1" t="shared" si="304"/>
        <v>0</v>
      </c>
      <c r="O492" s="555">
        <f ca="1" t="shared" si="304"/>
        <v>0</v>
      </c>
    </row>
    <row r="493" ht="15" spans="2:15">
      <c r="B493" s="562"/>
      <c r="C493" s="565" t="s">
        <v>800</v>
      </c>
      <c r="D493" s="564"/>
      <c r="E493" s="416"/>
      <c r="F493" s="555">
        <f ca="1" t="shared" si="300"/>
        <v>0</v>
      </c>
      <c r="G493" s="555">
        <f ca="1" t="shared" si="300"/>
        <v>0</v>
      </c>
      <c r="H493" s="555">
        <f ca="1" t="shared" si="300"/>
        <v>0</v>
      </c>
      <c r="I493" s="555">
        <f ca="1" t="shared" si="300"/>
        <v>0</v>
      </c>
      <c r="J493" s="555">
        <f ca="1" t="shared" si="300"/>
        <v>0</v>
      </c>
      <c r="K493" s="555">
        <f ca="1" t="shared" si="300"/>
        <v>0</v>
      </c>
      <c r="L493" s="555">
        <f ca="1" t="shared" si="300"/>
        <v>0</v>
      </c>
      <c r="M493" s="555">
        <f ca="1" t="shared" si="300"/>
        <v>0</v>
      </c>
      <c r="N493" s="555">
        <f ca="1" t="shared" si="304"/>
        <v>0</v>
      </c>
      <c r="O493" s="555">
        <f ca="1" t="shared" si="304"/>
        <v>0</v>
      </c>
    </row>
    <row r="494" ht="15" spans="2:15">
      <c r="B494" s="562">
        <v>14</v>
      </c>
      <c r="C494" s="563" t="s">
        <v>801</v>
      </c>
      <c r="D494" s="564"/>
      <c r="E494" s="416"/>
      <c r="F494" s="555">
        <f t="shared" ref="F494:M500" si="305">90%*F177</f>
        <v>0</v>
      </c>
      <c r="G494" s="555">
        <f t="shared" si="305"/>
        <v>0</v>
      </c>
      <c r="H494" s="555">
        <f t="shared" si="305"/>
        <v>0</v>
      </c>
      <c r="I494" s="555">
        <f t="shared" si="305"/>
        <v>0</v>
      </c>
      <c r="J494" s="555">
        <f t="shared" si="305"/>
        <v>0</v>
      </c>
      <c r="K494" s="555">
        <f t="shared" si="305"/>
        <v>0</v>
      </c>
      <c r="L494" s="555">
        <f t="shared" si="305"/>
        <v>0</v>
      </c>
      <c r="M494" s="555">
        <f t="shared" si="305"/>
        <v>0</v>
      </c>
      <c r="N494" s="555"/>
      <c r="O494" s="555"/>
    </row>
    <row r="495" ht="15" spans="2:15">
      <c r="B495" s="562"/>
      <c r="C495" s="565" t="s">
        <v>802</v>
      </c>
      <c r="D495" s="564"/>
      <c r="E495" s="416"/>
      <c r="F495" s="555">
        <f ca="1" t="shared" si="305"/>
        <v>0</v>
      </c>
      <c r="G495" s="555">
        <f ca="1" t="shared" si="305"/>
        <v>0</v>
      </c>
      <c r="H495" s="555">
        <f ca="1" t="shared" si="305"/>
        <v>0</v>
      </c>
      <c r="I495" s="555">
        <f ca="1" t="shared" si="305"/>
        <v>0</v>
      </c>
      <c r="J495" s="555">
        <f ca="1" t="shared" si="305"/>
        <v>0</v>
      </c>
      <c r="K495" s="555">
        <f ca="1" t="shared" si="305"/>
        <v>0</v>
      </c>
      <c r="L495" s="555">
        <f ca="1" t="shared" si="305"/>
        <v>0</v>
      </c>
      <c r="M495" s="555">
        <f ca="1" t="shared" si="305"/>
        <v>0</v>
      </c>
      <c r="N495" s="555">
        <f ca="1" t="shared" ref="N495:O500" si="306">F495-J495</f>
        <v>0</v>
      </c>
      <c r="O495" s="555">
        <f ca="1" t="shared" si="306"/>
        <v>0</v>
      </c>
    </row>
    <row r="496" ht="15" spans="2:15">
      <c r="B496" s="562"/>
      <c r="C496" s="565" t="s">
        <v>803</v>
      </c>
      <c r="D496" s="564"/>
      <c r="E496" s="416"/>
      <c r="F496" s="555">
        <f ca="1" t="shared" si="305"/>
        <v>0</v>
      </c>
      <c r="G496" s="555">
        <f ca="1" t="shared" si="305"/>
        <v>0</v>
      </c>
      <c r="H496" s="555">
        <f ca="1" t="shared" si="305"/>
        <v>0</v>
      </c>
      <c r="I496" s="555">
        <f ca="1" t="shared" si="305"/>
        <v>0</v>
      </c>
      <c r="J496" s="555">
        <f ca="1" t="shared" si="305"/>
        <v>0</v>
      </c>
      <c r="K496" s="555">
        <f ca="1" t="shared" si="305"/>
        <v>0</v>
      </c>
      <c r="L496" s="555">
        <f ca="1" t="shared" si="305"/>
        <v>0</v>
      </c>
      <c r="M496" s="555">
        <f ca="1" t="shared" si="305"/>
        <v>0</v>
      </c>
      <c r="N496" s="555">
        <f ca="1" t="shared" si="306"/>
        <v>0</v>
      </c>
      <c r="O496" s="555">
        <f ca="1" t="shared" si="306"/>
        <v>0</v>
      </c>
    </row>
    <row r="497" ht="15" spans="2:15">
      <c r="B497" s="562"/>
      <c r="C497" s="565" t="s">
        <v>804</v>
      </c>
      <c r="D497" s="564"/>
      <c r="E497" s="416"/>
      <c r="F497" s="555">
        <f ca="1" t="shared" si="305"/>
        <v>0</v>
      </c>
      <c r="G497" s="555">
        <f ca="1" t="shared" si="305"/>
        <v>0</v>
      </c>
      <c r="H497" s="555">
        <f ca="1" t="shared" si="305"/>
        <v>0</v>
      </c>
      <c r="I497" s="555">
        <f ca="1" t="shared" si="305"/>
        <v>0</v>
      </c>
      <c r="J497" s="555">
        <f ca="1" t="shared" si="305"/>
        <v>0</v>
      </c>
      <c r="K497" s="555">
        <f ca="1" t="shared" si="305"/>
        <v>0</v>
      </c>
      <c r="L497" s="555">
        <f ca="1" t="shared" si="305"/>
        <v>0</v>
      </c>
      <c r="M497" s="555">
        <f ca="1" t="shared" si="305"/>
        <v>0</v>
      </c>
      <c r="N497" s="555">
        <f ca="1" t="shared" si="306"/>
        <v>0</v>
      </c>
      <c r="O497" s="555">
        <f ca="1" t="shared" si="306"/>
        <v>0</v>
      </c>
    </row>
    <row r="498" ht="15" spans="2:15">
      <c r="B498" s="562">
        <v>15</v>
      </c>
      <c r="C498" s="563" t="s">
        <v>805</v>
      </c>
      <c r="D498" s="564"/>
      <c r="E498" s="416"/>
      <c r="F498" s="555">
        <f ca="1" t="shared" si="305"/>
        <v>182.117798549168</v>
      </c>
      <c r="G498" s="555">
        <f t="shared" si="305"/>
        <v>12.3191209861483</v>
      </c>
      <c r="H498" s="555">
        <f ca="1" t="shared" si="305"/>
        <v>0</v>
      </c>
      <c r="I498" s="555">
        <f ca="1" t="shared" si="305"/>
        <v>194.436919535317</v>
      </c>
      <c r="J498" s="555">
        <f ca="1" t="shared" si="305"/>
        <v>153.163424978843</v>
      </c>
      <c r="K498" s="555">
        <f t="shared" si="305"/>
        <v>8.20378240233636</v>
      </c>
      <c r="L498" s="555">
        <f ca="1" t="shared" si="305"/>
        <v>0</v>
      </c>
      <c r="M498" s="555">
        <f ca="1" t="shared" si="305"/>
        <v>161.367207381179</v>
      </c>
      <c r="N498" s="555">
        <f ca="1" t="shared" si="306"/>
        <v>28.9543735703253</v>
      </c>
      <c r="O498" s="555">
        <f t="shared" si="306"/>
        <v>4.1153385838119</v>
      </c>
    </row>
    <row r="499" ht="15" spans="2:15">
      <c r="B499" s="562">
        <v>16</v>
      </c>
      <c r="C499" s="563" t="s">
        <v>806</v>
      </c>
      <c r="D499" s="553"/>
      <c r="E499" s="416"/>
      <c r="F499" s="555">
        <f ca="1" t="shared" si="305"/>
        <v>63.72</v>
      </c>
      <c r="G499" s="555">
        <f ca="1" t="shared" si="305"/>
        <v>0</v>
      </c>
      <c r="H499" s="555">
        <f ca="1" t="shared" si="305"/>
        <v>0</v>
      </c>
      <c r="I499" s="555">
        <f ca="1" t="shared" si="305"/>
        <v>63.72</v>
      </c>
      <c r="J499" s="555">
        <f ca="1" t="shared" si="305"/>
        <v>52.578848493</v>
      </c>
      <c r="K499" s="555">
        <f ca="1" t="shared" si="305"/>
        <v>0</v>
      </c>
      <c r="L499" s="555">
        <f ca="1" t="shared" si="305"/>
        <v>0</v>
      </c>
      <c r="M499" s="555">
        <f ca="1" t="shared" si="305"/>
        <v>52.578848493</v>
      </c>
      <c r="N499" s="555">
        <f ca="1" t="shared" si="306"/>
        <v>11.141151507</v>
      </c>
      <c r="O499" s="555">
        <f ca="1" t="shared" si="306"/>
        <v>0</v>
      </c>
    </row>
    <row r="500" ht="15" spans="2:15">
      <c r="B500" s="562">
        <v>17</v>
      </c>
      <c r="C500" s="563" t="s">
        <v>807</v>
      </c>
      <c r="D500" s="553"/>
      <c r="E500" s="426"/>
      <c r="F500" s="555">
        <f ca="1" t="shared" si="305"/>
        <v>0</v>
      </c>
      <c r="G500" s="555">
        <f ca="1" t="shared" si="305"/>
        <v>0</v>
      </c>
      <c r="H500" s="555">
        <f ca="1" t="shared" si="305"/>
        <v>0</v>
      </c>
      <c r="I500" s="555">
        <f ca="1" t="shared" si="305"/>
        <v>0</v>
      </c>
      <c r="J500" s="555">
        <f ca="1" t="shared" si="305"/>
        <v>0</v>
      </c>
      <c r="K500" s="555">
        <f t="shared" si="305"/>
        <v>4.0198213683</v>
      </c>
      <c r="L500" s="555">
        <f ca="1" t="shared" si="305"/>
        <v>0</v>
      </c>
      <c r="M500" s="555">
        <f ca="1" t="shared" si="305"/>
        <v>4.0198213683</v>
      </c>
      <c r="N500" s="555">
        <f ca="1" t="shared" si="306"/>
        <v>0</v>
      </c>
      <c r="O500" s="555">
        <f ca="1" t="shared" si="306"/>
        <v>-4.0198213683</v>
      </c>
    </row>
    <row r="501" ht="15.75" spans="2:15">
      <c r="B501" s="566"/>
      <c r="C501" s="567" t="s">
        <v>97</v>
      </c>
      <c r="D501" s="567"/>
      <c r="E501" s="568"/>
      <c r="F501" s="569">
        <f ca="1">SUM(F461:F500)</f>
        <v>24348.7013314924</v>
      </c>
      <c r="G501" s="569">
        <f ca="1" t="shared" ref="G501:O501" si="307">SUM(G461:G500)</f>
        <v>4857.20897452951</v>
      </c>
      <c r="H501" s="569">
        <f ca="1" t="shared" si="307"/>
        <v>0</v>
      </c>
      <c r="I501" s="569">
        <f ca="1" t="shared" si="307"/>
        <v>29205.9103060219</v>
      </c>
      <c r="J501" s="569">
        <f ca="1" t="shared" si="307"/>
        <v>11058.2078360145</v>
      </c>
      <c r="K501" s="569">
        <f ca="1" t="shared" si="307"/>
        <v>1084.87345316931</v>
      </c>
      <c r="L501" s="569">
        <f ca="1" t="shared" si="307"/>
        <v>0</v>
      </c>
      <c r="M501" s="569">
        <f ca="1" t="shared" si="307"/>
        <v>12143.0812891838</v>
      </c>
      <c r="N501" s="569">
        <f ca="1" t="shared" si="307"/>
        <v>13290.4934954779</v>
      </c>
      <c r="O501" s="569">
        <f ca="1" t="shared" si="307"/>
        <v>14037.5332796598</v>
      </c>
    </row>
    <row r="503" ht="15" spans="2:15">
      <c r="B503" s="570" t="s">
        <v>655</v>
      </c>
      <c r="C503" s="571"/>
      <c r="D503" s="571"/>
      <c r="E503" s="571"/>
      <c r="F503" s="571"/>
      <c r="G503" s="571"/>
      <c r="H503" s="571"/>
      <c r="I503" s="571"/>
      <c r="J503" s="571"/>
      <c r="K503" s="571"/>
      <c r="L503" s="571"/>
      <c r="M503" s="571"/>
      <c r="N503" s="571"/>
      <c r="O503" s="581"/>
    </row>
    <row r="504" ht="15" spans="2:15">
      <c r="B504" s="547" t="s">
        <v>564</v>
      </c>
      <c r="C504" s="978" t="s">
        <v>671</v>
      </c>
      <c r="D504" s="549" t="s">
        <v>672</v>
      </c>
      <c r="E504" s="549" t="s">
        <v>673</v>
      </c>
      <c r="F504" s="549" t="s">
        <v>674</v>
      </c>
      <c r="G504" s="549"/>
      <c r="H504" s="549"/>
      <c r="I504" s="549"/>
      <c r="J504" s="549" t="s">
        <v>675</v>
      </c>
      <c r="K504" s="549"/>
      <c r="L504" s="549"/>
      <c r="M504" s="549"/>
      <c r="N504" s="549" t="s">
        <v>676</v>
      </c>
      <c r="O504" s="579"/>
    </row>
    <row r="505" ht="60.75" spans="2:15">
      <c r="B505" s="572"/>
      <c r="C505" s="573"/>
      <c r="D505" s="574"/>
      <c r="E505" s="574"/>
      <c r="F505" s="574" t="s">
        <v>677</v>
      </c>
      <c r="G505" s="574" t="s">
        <v>678</v>
      </c>
      <c r="H505" s="574" t="s">
        <v>679</v>
      </c>
      <c r="I505" s="574" t="s">
        <v>680</v>
      </c>
      <c r="J505" s="574" t="s">
        <v>681</v>
      </c>
      <c r="K505" s="574" t="s">
        <v>678</v>
      </c>
      <c r="L505" s="574" t="s">
        <v>682</v>
      </c>
      <c r="M505" s="574" t="s">
        <v>683</v>
      </c>
      <c r="N505" s="574" t="s">
        <v>677</v>
      </c>
      <c r="O505" s="582" t="s">
        <v>680</v>
      </c>
    </row>
    <row r="506" ht="15" spans="2:15">
      <c r="B506" s="551">
        <v>1</v>
      </c>
      <c r="C506" s="552" t="s">
        <v>684</v>
      </c>
      <c r="D506" s="546"/>
      <c r="E506" s="576"/>
      <c r="F506" s="555">
        <f ca="1">90%*F189</f>
        <v>130.570973158083</v>
      </c>
      <c r="G506" s="555">
        <f t="shared" ref="G506:M506" si="308">90%*G189</f>
        <v>69.8248567466211</v>
      </c>
      <c r="H506" s="555">
        <f ca="1" t="shared" si="308"/>
        <v>0</v>
      </c>
      <c r="I506" s="555">
        <f ca="1" t="shared" si="308"/>
        <v>200.395829904704</v>
      </c>
      <c r="J506" s="555">
        <f ca="1" t="shared" si="308"/>
        <v>0.0044091558000014</v>
      </c>
      <c r="K506" s="555">
        <f t="shared" si="308"/>
        <v>0</v>
      </c>
      <c r="L506" s="555">
        <f ca="1" t="shared" si="308"/>
        <v>0</v>
      </c>
      <c r="M506" s="555">
        <f ca="1" t="shared" si="308"/>
        <v>0.0044091558000014</v>
      </c>
      <c r="N506" s="555">
        <f ca="1">F506-J506</f>
        <v>130.566564002283</v>
      </c>
      <c r="O506" s="555">
        <f ca="1">I506-M506</f>
        <v>200.391420748904</v>
      </c>
    </row>
    <row r="507" ht="15" spans="2:15">
      <c r="B507" s="551">
        <v>2</v>
      </c>
      <c r="C507" s="552" t="s">
        <v>770</v>
      </c>
      <c r="D507" s="614"/>
      <c r="E507" s="615"/>
      <c r="F507" s="555">
        <f ca="1" t="shared" ref="F507:M522" si="309">90%*F190</f>
        <v>0</v>
      </c>
      <c r="G507" s="555">
        <f ca="1" t="shared" si="309"/>
        <v>0</v>
      </c>
      <c r="H507" s="555">
        <f ca="1" t="shared" si="309"/>
        <v>0</v>
      </c>
      <c r="I507" s="555">
        <f ca="1" t="shared" si="309"/>
        <v>0</v>
      </c>
      <c r="J507" s="555">
        <f ca="1" t="shared" si="309"/>
        <v>0</v>
      </c>
      <c r="K507" s="555">
        <f ca="1" t="shared" si="309"/>
        <v>0</v>
      </c>
      <c r="L507" s="555">
        <f ca="1" t="shared" si="309"/>
        <v>0</v>
      </c>
      <c r="M507" s="555">
        <f ca="1" t="shared" si="309"/>
        <v>0</v>
      </c>
      <c r="N507" s="555">
        <f ca="1">F507-J507</f>
        <v>0</v>
      </c>
      <c r="O507" s="555">
        <f ca="1">I507-M507</f>
        <v>0</v>
      </c>
    </row>
    <row r="508" ht="15" spans="2:15">
      <c r="B508" s="551">
        <v>3</v>
      </c>
      <c r="C508" s="556" t="s">
        <v>771</v>
      </c>
      <c r="D508" s="553"/>
      <c r="E508" s="416"/>
      <c r="F508" s="555">
        <f t="shared" si="309"/>
        <v>0</v>
      </c>
      <c r="G508" s="555">
        <f t="shared" si="309"/>
        <v>0</v>
      </c>
      <c r="H508" s="555">
        <f t="shared" si="309"/>
        <v>0</v>
      </c>
      <c r="I508" s="555">
        <f t="shared" si="309"/>
        <v>0</v>
      </c>
      <c r="J508" s="555">
        <f t="shared" si="309"/>
        <v>0</v>
      </c>
      <c r="K508" s="555">
        <f t="shared" si="309"/>
        <v>0</v>
      </c>
      <c r="L508" s="555">
        <f t="shared" si="309"/>
        <v>0</v>
      </c>
      <c r="M508" s="555">
        <f t="shared" si="309"/>
        <v>0</v>
      </c>
      <c r="N508" s="555"/>
      <c r="O508" s="555"/>
    </row>
    <row r="509" ht="15" spans="2:15">
      <c r="B509" s="551"/>
      <c r="C509" s="557" t="s">
        <v>772</v>
      </c>
      <c r="D509" s="553"/>
      <c r="E509" s="416"/>
      <c r="F509" s="555">
        <f ca="1" t="shared" si="309"/>
        <v>451.229793869088</v>
      </c>
      <c r="G509" s="555">
        <f t="shared" si="309"/>
        <v>65.0693054338764</v>
      </c>
      <c r="H509" s="555">
        <f ca="1" t="shared" si="309"/>
        <v>0</v>
      </c>
      <c r="I509" s="555">
        <f ca="1" t="shared" si="309"/>
        <v>516.299099302965</v>
      </c>
      <c r="J509" s="555">
        <f ca="1" t="shared" si="309"/>
        <v>161.359018882939</v>
      </c>
      <c r="K509" s="555">
        <f t="shared" si="309"/>
        <v>18.5037179401548</v>
      </c>
      <c r="L509" s="555">
        <f ca="1" t="shared" si="309"/>
        <v>0</v>
      </c>
      <c r="M509" s="555">
        <f ca="1" t="shared" si="309"/>
        <v>179.862736823093</v>
      </c>
      <c r="N509" s="555">
        <f ca="1" t="shared" ref="N509:N512" si="310">F509-J509</f>
        <v>289.87077498615</v>
      </c>
      <c r="O509" s="555">
        <f ca="1" t="shared" ref="O509:O512" si="311">I509-M509</f>
        <v>336.436362479871</v>
      </c>
    </row>
    <row r="510" ht="28.5" spans="2:15">
      <c r="B510" s="551"/>
      <c r="C510" s="557" t="s">
        <v>773</v>
      </c>
      <c r="D510" s="553"/>
      <c r="E510" s="416"/>
      <c r="F510" s="555">
        <f ca="1" t="shared" si="309"/>
        <v>0</v>
      </c>
      <c r="G510" s="555">
        <f ca="1" t="shared" si="309"/>
        <v>0</v>
      </c>
      <c r="H510" s="555">
        <f ca="1" t="shared" si="309"/>
        <v>0</v>
      </c>
      <c r="I510" s="555">
        <f ca="1" t="shared" si="309"/>
        <v>0</v>
      </c>
      <c r="J510" s="555">
        <f ca="1" t="shared" si="309"/>
        <v>0</v>
      </c>
      <c r="K510" s="555">
        <f ca="1" t="shared" si="309"/>
        <v>0</v>
      </c>
      <c r="L510" s="555">
        <f ca="1" t="shared" si="309"/>
        <v>0</v>
      </c>
      <c r="M510" s="555">
        <f ca="1" t="shared" si="309"/>
        <v>0</v>
      </c>
      <c r="N510" s="555">
        <f ca="1" t="shared" si="310"/>
        <v>0</v>
      </c>
      <c r="O510" s="555">
        <f ca="1" t="shared" si="311"/>
        <v>0</v>
      </c>
    </row>
    <row r="511" ht="15" spans="2:15">
      <c r="B511" s="551"/>
      <c r="C511" s="557" t="s">
        <v>774</v>
      </c>
      <c r="D511" s="553"/>
      <c r="E511" s="416"/>
      <c r="F511" s="555">
        <f ca="1" t="shared" si="309"/>
        <v>0</v>
      </c>
      <c r="G511" s="555">
        <f ca="1" t="shared" si="309"/>
        <v>0</v>
      </c>
      <c r="H511" s="555">
        <f ca="1" t="shared" si="309"/>
        <v>0</v>
      </c>
      <c r="I511" s="555">
        <f ca="1" t="shared" si="309"/>
        <v>0</v>
      </c>
      <c r="J511" s="555">
        <f ca="1" t="shared" si="309"/>
        <v>0</v>
      </c>
      <c r="K511" s="555">
        <f ca="1" t="shared" si="309"/>
        <v>0</v>
      </c>
      <c r="L511" s="555">
        <f ca="1" t="shared" si="309"/>
        <v>0</v>
      </c>
      <c r="M511" s="555">
        <f ca="1" t="shared" si="309"/>
        <v>0</v>
      </c>
      <c r="N511" s="555">
        <f ca="1" t="shared" si="310"/>
        <v>0</v>
      </c>
      <c r="O511" s="555">
        <f ca="1" t="shared" si="311"/>
        <v>0</v>
      </c>
    </row>
    <row r="512" ht="15" spans="2:15">
      <c r="B512" s="551"/>
      <c r="C512" s="557" t="s">
        <v>775</v>
      </c>
      <c r="D512" s="553"/>
      <c r="E512" s="416"/>
      <c r="F512" s="555">
        <f ca="1" t="shared" si="309"/>
        <v>198.972</v>
      </c>
      <c r="G512" s="555">
        <f ca="1" t="shared" si="309"/>
        <v>0</v>
      </c>
      <c r="H512" s="555">
        <f ca="1" t="shared" si="309"/>
        <v>0</v>
      </c>
      <c r="I512" s="555">
        <f ca="1" t="shared" si="309"/>
        <v>198.972</v>
      </c>
      <c r="J512" s="555">
        <f ca="1" t="shared" si="309"/>
        <v>39.9721005729</v>
      </c>
      <c r="K512" s="555">
        <f ca="1" t="shared" si="309"/>
        <v>0</v>
      </c>
      <c r="L512" s="555">
        <f ca="1" t="shared" si="309"/>
        <v>0</v>
      </c>
      <c r="M512" s="555">
        <f ca="1" t="shared" si="309"/>
        <v>39.9721005729</v>
      </c>
      <c r="N512" s="555">
        <f ca="1" t="shared" si="310"/>
        <v>158.9998994271</v>
      </c>
      <c r="O512" s="555">
        <f ca="1" t="shared" si="311"/>
        <v>158.9998994271</v>
      </c>
    </row>
    <row r="513" ht="15" spans="2:15">
      <c r="B513" s="551">
        <v>4</v>
      </c>
      <c r="C513" s="552" t="s">
        <v>776</v>
      </c>
      <c r="D513" s="553"/>
      <c r="E513" s="416"/>
      <c r="F513" s="555">
        <f t="shared" si="309"/>
        <v>0</v>
      </c>
      <c r="G513" s="555">
        <f t="shared" si="309"/>
        <v>0</v>
      </c>
      <c r="H513" s="555">
        <f t="shared" si="309"/>
        <v>0</v>
      </c>
      <c r="I513" s="555">
        <f t="shared" si="309"/>
        <v>0</v>
      </c>
      <c r="J513" s="555">
        <f t="shared" si="309"/>
        <v>0</v>
      </c>
      <c r="K513" s="555">
        <f t="shared" si="309"/>
        <v>0</v>
      </c>
      <c r="L513" s="555">
        <f t="shared" si="309"/>
        <v>0</v>
      </c>
      <c r="M513" s="555">
        <f t="shared" si="309"/>
        <v>0</v>
      </c>
      <c r="N513" s="555"/>
      <c r="O513" s="555"/>
    </row>
    <row r="514" ht="15" spans="2:15">
      <c r="B514" s="551"/>
      <c r="C514" s="558" t="s">
        <v>777</v>
      </c>
      <c r="D514" s="553"/>
      <c r="E514" s="416"/>
      <c r="F514" s="555">
        <f ca="1" t="shared" si="309"/>
        <v>10822.9693709211</v>
      </c>
      <c r="G514" s="555">
        <f t="shared" si="309"/>
        <v>1555.07536870127</v>
      </c>
      <c r="H514" s="555">
        <f ca="1" t="shared" si="309"/>
        <v>0</v>
      </c>
      <c r="I514" s="555">
        <f ca="1" t="shared" si="309"/>
        <v>12378.0447396224</v>
      </c>
      <c r="J514" s="555">
        <f ca="1" t="shared" si="309"/>
        <v>5321.31450685573</v>
      </c>
      <c r="K514" s="555">
        <f t="shared" si="309"/>
        <v>426.218634867709</v>
      </c>
      <c r="L514" s="555">
        <f ca="1" t="shared" si="309"/>
        <v>0</v>
      </c>
      <c r="M514" s="555">
        <f ca="1" t="shared" si="309"/>
        <v>5747.53314172343</v>
      </c>
      <c r="N514" s="555">
        <f ca="1" t="shared" ref="N514:N517" si="312">F514-J514</f>
        <v>5501.6548640654</v>
      </c>
      <c r="O514" s="555">
        <f ca="1" t="shared" ref="O514:O517" si="313">I514-M514</f>
        <v>6630.51159789896</v>
      </c>
    </row>
    <row r="515" ht="15" spans="2:15">
      <c r="B515" s="551"/>
      <c r="C515" s="552" t="s">
        <v>778</v>
      </c>
      <c r="D515" s="553"/>
      <c r="E515" s="416"/>
      <c r="F515" s="555">
        <f t="shared" si="309"/>
        <v>0</v>
      </c>
      <c r="G515" s="555">
        <f t="shared" si="309"/>
        <v>0</v>
      </c>
      <c r="H515" s="555">
        <f t="shared" si="309"/>
        <v>0</v>
      </c>
      <c r="I515" s="555">
        <f t="shared" si="309"/>
        <v>0</v>
      </c>
      <c r="J515" s="555">
        <f t="shared" si="309"/>
        <v>0</v>
      </c>
      <c r="K515" s="555">
        <f t="shared" si="309"/>
        <v>0</v>
      </c>
      <c r="L515" s="555">
        <f t="shared" si="309"/>
        <v>0</v>
      </c>
      <c r="M515" s="555">
        <f t="shared" si="309"/>
        <v>0</v>
      </c>
      <c r="N515" s="555"/>
      <c r="O515" s="555"/>
    </row>
    <row r="516" ht="15" spans="2:15">
      <c r="B516" s="551"/>
      <c r="C516" s="558" t="s">
        <v>779</v>
      </c>
      <c r="D516" s="553"/>
      <c r="E516" s="416"/>
      <c r="F516" s="555">
        <f ca="1" t="shared" si="309"/>
        <v>0</v>
      </c>
      <c r="G516" s="555">
        <f ca="1" t="shared" si="309"/>
        <v>0</v>
      </c>
      <c r="H516" s="555">
        <f ca="1" t="shared" si="309"/>
        <v>0</v>
      </c>
      <c r="I516" s="555">
        <f ca="1" t="shared" si="309"/>
        <v>0</v>
      </c>
      <c r="J516" s="555">
        <f ca="1" t="shared" si="309"/>
        <v>0</v>
      </c>
      <c r="K516" s="555">
        <f ca="1" t="shared" si="309"/>
        <v>0</v>
      </c>
      <c r="L516" s="555">
        <f ca="1" t="shared" si="309"/>
        <v>0</v>
      </c>
      <c r="M516" s="555">
        <f ca="1" t="shared" si="309"/>
        <v>0</v>
      </c>
      <c r="N516" s="555">
        <f ca="1" t="shared" si="312"/>
        <v>0</v>
      </c>
      <c r="O516" s="555">
        <f ca="1" t="shared" si="313"/>
        <v>0</v>
      </c>
    </row>
    <row r="517" ht="15" spans="2:15">
      <c r="B517" s="551"/>
      <c r="C517" s="558" t="s">
        <v>780</v>
      </c>
      <c r="D517" s="553"/>
      <c r="E517" s="416"/>
      <c r="F517" s="555">
        <f ca="1" t="shared" si="309"/>
        <v>0</v>
      </c>
      <c r="G517" s="555">
        <f ca="1" t="shared" si="309"/>
        <v>0</v>
      </c>
      <c r="H517" s="555">
        <f ca="1" t="shared" si="309"/>
        <v>0</v>
      </c>
      <c r="I517" s="555">
        <f ca="1" t="shared" si="309"/>
        <v>0</v>
      </c>
      <c r="J517" s="555">
        <f ca="1" t="shared" si="309"/>
        <v>0</v>
      </c>
      <c r="K517" s="555">
        <f ca="1" t="shared" si="309"/>
        <v>0</v>
      </c>
      <c r="L517" s="555">
        <f ca="1" t="shared" si="309"/>
        <v>0</v>
      </c>
      <c r="M517" s="555">
        <f ca="1" t="shared" si="309"/>
        <v>0</v>
      </c>
      <c r="N517" s="555">
        <f ca="1" t="shared" si="312"/>
        <v>0</v>
      </c>
      <c r="O517" s="555">
        <f ca="1" t="shared" si="313"/>
        <v>0</v>
      </c>
    </row>
    <row r="518" ht="15" spans="2:15">
      <c r="B518" s="551">
        <v>5</v>
      </c>
      <c r="C518" s="552" t="s">
        <v>781</v>
      </c>
      <c r="D518" s="553"/>
      <c r="E518" s="416"/>
      <c r="F518" s="555">
        <f t="shared" si="309"/>
        <v>0</v>
      </c>
      <c r="G518" s="555">
        <f t="shared" si="309"/>
        <v>0</v>
      </c>
      <c r="H518" s="555">
        <f t="shared" si="309"/>
        <v>0</v>
      </c>
      <c r="I518" s="555">
        <f t="shared" si="309"/>
        <v>0</v>
      </c>
      <c r="J518" s="555">
        <f t="shared" si="309"/>
        <v>0</v>
      </c>
      <c r="K518" s="555">
        <f t="shared" si="309"/>
        <v>0</v>
      </c>
      <c r="L518" s="555">
        <f t="shared" si="309"/>
        <v>0</v>
      </c>
      <c r="M518" s="555">
        <f t="shared" si="309"/>
        <v>0</v>
      </c>
      <c r="N518" s="555"/>
      <c r="O518" s="555"/>
    </row>
    <row r="519" ht="15" spans="2:15">
      <c r="B519" s="551"/>
      <c r="C519" s="558" t="s">
        <v>782</v>
      </c>
      <c r="D519" s="553"/>
      <c r="E519" s="416"/>
      <c r="F519" s="555">
        <f ca="1" t="shared" si="309"/>
        <v>0</v>
      </c>
      <c r="G519" s="555">
        <f ca="1" t="shared" si="309"/>
        <v>0</v>
      </c>
      <c r="H519" s="555">
        <f ca="1" t="shared" si="309"/>
        <v>0</v>
      </c>
      <c r="I519" s="555">
        <f ca="1" t="shared" si="309"/>
        <v>0</v>
      </c>
      <c r="J519" s="555">
        <f ca="1" t="shared" si="309"/>
        <v>0</v>
      </c>
      <c r="K519" s="555">
        <f ca="1" t="shared" si="309"/>
        <v>0</v>
      </c>
      <c r="L519" s="555">
        <f ca="1" t="shared" si="309"/>
        <v>0</v>
      </c>
      <c r="M519" s="555">
        <f ca="1" t="shared" si="309"/>
        <v>0</v>
      </c>
      <c r="N519" s="555">
        <f ca="1" t="shared" ref="N519:N524" si="314">F519-J519</f>
        <v>0</v>
      </c>
      <c r="O519" s="555">
        <f ca="1" t="shared" ref="O519:O524" si="315">I519-M519</f>
        <v>0</v>
      </c>
    </row>
    <row r="520" ht="15" spans="2:15">
      <c r="B520" s="551"/>
      <c r="C520" s="558" t="s">
        <v>783</v>
      </c>
      <c r="D520" s="553"/>
      <c r="E520" s="416"/>
      <c r="F520" s="555">
        <f ca="1" t="shared" si="309"/>
        <v>0</v>
      </c>
      <c r="G520" s="555">
        <f ca="1" t="shared" si="309"/>
        <v>0</v>
      </c>
      <c r="H520" s="555">
        <f ca="1" t="shared" si="309"/>
        <v>0</v>
      </c>
      <c r="I520" s="555">
        <f ca="1" t="shared" si="309"/>
        <v>0</v>
      </c>
      <c r="J520" s="555">
        <f ca="1" t="shared" si="309"/>
        <v>0</v>
      </c>
      <c r="K520" s="555">
        <f ca="1" t="shared" si="309"/>
        <v>0</v>
      </c>
      <c r="L520" s="555">
        <f ca="1" t="shared" si="309"/>
        <v>0</v>
      </c>
      <c r="M520" s="555">
        <f ca="1" t="shared" si="309"/>
        <v>0</v>
      </c>
      <c r="N520" s="555">
        <f ca="1" t="shared" si="314"/>
        <v>0</v>
      </c>
      <c r="O520" s="555">
        <f ca="1" t="shared" si="315"/>
        <v>0</v>
      </c>
    </row>
    <row r="521" ht="15" spans="2:15">
      <c r="B521" s="551"/>
      <c r="C521" s="558" t="s">
        <v>784</v>
      </c>
      <c r="D521" s="553"/>
      <c r="E521" s="416"/>
      <c r="F521" s="555">
        <f ca="1" t="shared" si="309"/>
        <v>0</v>
      </c>
      <c r="G521" s="555">
        <f ca="1" t="shared" si="309"/>
        <v>0</v>
      </c>
      <c r="H521" s="555">
        <f ca="1" t="shared" si="309"/>
        <v>0</v>
      </c>
      <c r="I521" s="555">
        <f ca="1" t="shared" si="309"/>
        <v>0</v>
      </c>
      <c r="J521" s="555">
        <f ca="1" t="shared" si="309"/>
        <v>0</v>
      </c>
      <c r="K521" s="555">
        <f ca="1" t="shared" si="309"/>
        <v>0</v>
      </c>
      <c r="L521" s="555">
        <f ca="1" t="shared" si="309"/>
        <v>0</v>
      </c>
      <c r="M521" s="555">
        <f ca="1" t="shared" si="309"/>
        <v>0</v>
      </c>
      <c r="N521" s="555">
        <f ca="1" t="shared" si="314"/>
        <v>0</v>
      </c>
      <c r="O521" s="555">
        <f ca="1" t="shared" si="315"/>
        <v>0</v>
      </c>
    </row>
    <row r="522" ht="15" spans="2:15">
      <c r="B522" s="551"/>
      <c r="C522" s="558" t="s">
        <v>785</v>
      </c>
      <c r="D522" s="553"/>
      <c r="E522" s="416"/>
      <c r="F522" s="555">
        <f ca="1" t="shared" si="309"/>
        <v>0</v>
      </c>
      <c r="G522" s="555">
        <f ca="1" t="shared" si="309"/>
        <v>0</v>
      </c>
      <c r="H522" s="555">
        <f ca="1" t="shared" si="309"/>
        <v>0</v>
      </c>
      <c r="I522" s="555">
        <f ca="1" t="shared" si="309"/>
        <v>0</v>
      </c>
      <c r="J522" s="555">
        <f ca="1" t="shared" si="309"/>
        <v>0</v>
      </c>
      <c r="K522" s="555">
        <f ca="1" t="shared" si="309"/>
        <v>0</v>
      </c>
      <c r="L522" s="555">
        <f ca="1" t="shared" si="309"/>
        <v>0</v>
      </c>
      <c r="M522" s="555">
        <f ca="1" t="shared" si="309"/>
        <v>0</v>
      </c>
      <c r="N522" s="555">
        <f ca="1" t="shared" si="314"/>
        <v>0</v>
      </c>
      <c r="O522" s="555">
        <f ca="1" t="shared" si="315"/>
        <v>0</v>
      </c>
    </row>
    <row r="523" ht="15" spans="2:15">
      <c r="B523" s="551">
        <v>6</v>
      </c>
      <c r="C523" s="552" t="s">
        <v>786</v>
      </c>
      <c r="D523" s="553"/>
      <c r="E523" s="416"/>
      <c r="F523" s="555">
        <f ca="1" t="shared" ref="F523:M538" si="316">90%*F206</f>
        <v>0</v>
      </c>
      <c r="G523" s="555">
        <f ca="1" t="shared" si="316"/>
        <v>0</v>
      </c>
      <c r="H523" s="555">
        <f ca="1" t="shared" si="316"/>
        <v>0</v>
      </c>
      <c r="I523" s="555">
        <f ca="1" t="shared" si="316"/>
        <v>0</v>
      </c>
      <c r="J523" s="555">
        <f ca="1" t="shared" si="316"/>
        <v>0</v>
      </c>
      <c r="K523" s="555">
        <f ca="1" t="shared" si="316"/>
        <v>0</v>
      </c>
      <c r="L523" s="555">
        <f ca="1" t="shared" si="316"/>
        <v>0</v>
      </c>
      <c r="M523" s="555">
        <f ca="1" t="shared" si="316"/>
        <v>0</v>
      </c>
      <c r="N523" s="555">
        <f ca="1" t="shared" si="314"/>
        <v>0</v>
      </c>
      <c r="O523" s="555">
        <f ca="1" t="shared" si="315"/>
        <v>0</v>
      </c>
    </row>
    <row r="524" ht="15" spans="2:15">
      <c r="B524" s="551">
        <v>7</v>
      </c>
      <c r="C524" s="552" t="s">
        <v>787</v>
      </c>
      <c r="D524" s="553"/>
      <c r="E524" s="416"/>
      <c r="F524" s="555">
        <f ca="1" t="shared" si="316"/>
        <v>0</v>
      </c>
      <c r="G524" s="555">
        <f ca="1" t="shared" si="316"/>
        <v>0</v>
      </c>
      <c r="H524" s="555">
        <f ca="1" t="shared" si="316"/>
        <v>0</v>
      </c>
      <c r="I524" s="555">
        <f ca="1" t="shared" si="316"/>
        <v>0</v>
      </c>
      <c r="J524" s="555">
        <f ca="1" t="shared" si="316"/>
        <v>0</v>
      </c>
      <c r="K524" s="555">
        <f ca="1" t="shared" si="316"/>
        <v>0</v>
      </c>
      <c r="L524" s="555">
        <f ca="1" t="shared" si="316"/>
        <v>0</v>
      </c>
      <c r="M524" s="555">
        <f ca="1" t="shared" si="316"/>
        <v>0</v>
      </c>
      <c r="N524" s="555">
        <f ca="1" t="shared" si="314"/>
        <v>0</v>
      </c>
      <c r="O524" s="555">
        <f ca="1" t="shared" si="315"/>
        <v>0</v>
      </c>
    </row>
    <row r="525" ht="15" spans="2:15">
      <c r="B525" s="551">
        <v>8</v>
      </c>
      <c r="C525" s="552" t="s">
        <v>788</v>
      </c>
      <c r="D525" s="553"/>
      <c r="E525" s="416"/>
      <c r="F525" s="555">
        <f t="shared" si="316"/>
        <v>0</v>
      </c>
      <c r="G525" s="555">
        <f t="shared" si="316"/>
        <v>0</v>
      </c>
      <c r="H525" s="555">
        <f t="shared" si="316"/>
        <v>0</v>
      </c>
      <c r="I525" s="555">
        <f t="shared" si="316"/>
        <v>0</v>
      </c>
      <c r="J525" s="555">
        <f t="shared" si="316"/>
        <v>0</v>
      </c>
      <c r="K525" s="555">
        <f t="shared" si="316"/>
        <v>0</v>
      </c>
      <c r="L525" s="555">
        <f t="shared" si="316"/>
        <v>0</v>
      </c>
      <c r="M525" s="555">
        <f t="shared" si="316"/>
        <v>0</v>
      </c>
      <c r="N525" s="555"/>
      <c r="O525" s="555"/>
    </row>
    <row r="526" ht="15" spans="2:15">
      <c r="B526" s="551"/>
      <c r="C526" s="558" t="s">
        <v>789</v>
      </c>
      <c r="D526" s="553"/>
      <c r="E526" s="416"/>
      <c r="F526" s="555">
        <f ca="1" t="shared" si="316"/>
        <v>10897.3393060711</v>
      </c>
      <c r="G526" s="555">
        <f t="shared" si="316"/>
        <v>1754.36920345594</v>
      </c>
      <c r="H526" s="555">
        <f ca="1" t="shared" si="316"/>
        <v>0</v>
      </c>
      <c r="I526" s="555">
        <f ca="1" t="shared" si="316"/>
        <v>12651.7085095271</v>
      </c>
      <c r="J526" s="555">
        <f ca="1" t="shared" si="316"/>
        <v>4749.20630500002</v>
      </c>
      <c r="K526" s="555">
        <f t="shared" si="316"/>
        <v>405.017787922723</v>
      </c>
      <c r="L526" s="555">
        <f ca="1" t="shared" si="316"/>
        <v>0</v>
      </c>
      <c r="M526" s="555">
        <f ca="1" t="shared" si="316"/>
        <v>5154.22409292274</v>
      </c>
      <c r="N526" s="555">
        <f ca="1" t="shared" ref="N526:O530" si="317">F526-J526</f>
        <v>6148.13300107111</v>
      </c>
      <c r="O526" s="555">
        <f ca="1" t="shared" ref="O526:O528" si="318">I526-M526</f>
        <v>7497.48441660433</v>
      </c>
    </row>
    <row r="527" ht="15" spans="2:15">
      <c r="B527" s="551"/>
      <c r="C527" s="558" t="s">
        <v>808</v>
      </c>
      <c r="D527" s="553"/>
      <c r="E527" s="416"/>
      <c r="F527" s="555">
        <f ca="1" t="shared" si="316"/>
        <v>0</v>
      </c>
      <c r="G527" s="555">
        <f ca="1" t="shared" si="316"/>
        <v>0</v>
      </c>
      <c r="H527" s="555">
        <f ca="1" t="shared" si="316"/>
        <v>0</v>
      </c>
      <c r="I527" s="555">
        <f ca="1" t="shared" si="316"/>
        <v>0</v>
      </c>
      <c r="J527" s="555">
        <f ca="1" t="shared" si="316"/>
        <v>0</v>
      </c>
      <c r="K527" s="555">
        <f ca="1" t="shared" si="316"/>
        <v>0</v>
      </c>
      <c r="L527" s="555">
        <f ca="1" t="shared" si="316"/>
        <v>0</v>
      </c>
      <c r="M527" s="555">
        <f ca="1" t="shared" si="316"/>
        <v>0</v>
      </c>
      <c r="N527" s="555">
        <f ca="1" t="shared" si="317"/>
        <v>0</v>
      </c>
      <c r="O527" s="555">
        <f ca="1" t="shared" si="318"/>
        <v>0</v>
      </c>
    </row>
    <row r="528" ht="30" spans="2:15">
      <c r="B528" s="560">
        <v>9</v>
      </c>
      <c r="C528" s="561" t="s">
        <v>791</v>
      </c>
      <c r="D528" s="553"/>
      <c r="E528" s="416"/>
      <c r="F528" s="555">
        <f ca="1" t="shared" si="316"/>
        <v>0</v>
      </c>
      <c r="G528" s="555">
        <f ca="1" t="shared" si="316"/>
        <v>0</v>
      </c>
      <c r="H528" s="555">
        <f ca="1" t="shared" si="316"/>
        <v>0</v>
      </c>
      <c r="I528" s="555">
        <f ca="1" t="shared" si="316"/>
        <v>0</v>
      </c>
      <c r="J528" s="555">
        <f ca="1" t="shared" si="316"/>
        <v>0</v>
      </c>
      <c r="K528" s="555">
        <f ca="1" t="shared" si="316"/>
        <v>0</v>
      </c>
      <c r="L528" s="555">
        <f ca="1" t="shared" si="316"/>
        <v>0</v>
      </c>
      <c r="M528" s="555">
        <f ca="1" t="shared" si="316"/>
        <v>0</v>
      </c>
      <c r="N528" s="555">
        <f ca="1" t="shared" si="317"/>
        <v>0</v>
      </c>
      <c r="O528" s="555">
        <f ca="1" t="shared" si="318"/>
        <v>0</v>
      </c>
    </row>
    <row r="529" ht="15" spans="2:15">
      <c r="B529" s="562">
        <v>10</v>
      </c>
      <c r="C529" s="563" t="s">
        <v>792</v>
      </c>
      <c r="D529" s="564"/>
      <c r="E529" s="416"/>
      <c r="F529" s="555">
        <f ca="1" t="shared" si="316"/>
        <v>6375.85263267794</v>
      </c>
      <c r="G529" s="555">
        <f t="shared" si="316"/>
        <v>2690.33712627466</v>
      </c>
      <c r="H529" s="555">
        <f ca="1" t="shared" si="316"/>
        <v>0</v>
      </c>
      <c r="I529" s="555">
        <f ca="1" t="shared" si="316"/>
        <v>9066.1897589526</v>
      </c>
      <c r="J529" s="555">
        <f ca="1" t="shared" si="316"/>
        <v>1600.10210558237</v>
      </c>
      <c r="K529" s="555">
        <f t="shared" si="316"/>
        <v>509.644593735482</v>
      </c>
      <c r="L529" s="555">
        <f ca="1" t="shared" si="316"/>
        <v>0</v>
      </c>
      <c r="M529" s="555">
        <f ca="1" t="shared" si="316"/>
        <v>2109.74669931785</v>
      </c>
      <c r="N529" s="555">
        <f ca="1" t="shared" si="317"/>
        <v>4775.75052709558</v>
      </c>
      <c r="O529" s="555">
        <f t="shared" si="317"/>
        <v>2180.69253253918</v>
      </c>
    </row>
    <row r="530" ht="15" spans="2:15">
      <c r="B530" s="562">
        <v>11</v>
      </c>
      <c r="C530" s="563" t="s">
        <v>793</v>
      </c>
      <c r="D530" s="564"/>
      <c r="E530" s="416"/>
      <c r="F530" s="555">
        <f ca="1" t="shared" si="316"/>
        <v>6.372</v>
      </c>
      <c r="G530" s="555">
        <f ca="1" t="shared" si="316"/>
        <v>0</v>
      </c>
      <c r="H530" s="555">
        <f ca="1" t="shared" si="316"/>
        <v>0</v>
      </c>
      <c r="I530" s="555">
        <f ca="1" t="shared" si="316"/>
        <v>6.372</v>
      </c>
      <c r="J530" s="555">
        <f ca="1" t="shared" si="316"/>
        <v>5.7529799388</v>
      </c>
      <c r="K530" s="555">
        <f t="shared" si="316"/>
        <v>0.3969098271</v>
      </c>
      <c r="L530" s="555">
        <f ca="1" t="shared" si="316"/>
        <v>0</v>
      </c>
      <c r="M530" s="555">
        <f ca="1" t="shared" si="316"/>
        <v>6.1498897659</v>
      </c>
      <c r="N530" s="555">
        <f ca="1" t="shared" si="317"/>
        <v>0.619020061200001</v>
      </c>
      <c r="O530" s="555">
        <f ca="1" t="shared" si="317"/>
        <v>-0.3969098271</v>
      </c>
    </row>
    <row r="531" ht="15" spans="2:15">
      <c r="B531" s="562">
        <v>12</v>
      </c>
      <c r="C531" s="563" t="s">
        <v>794</v>
      </c>
      <c r="D531" s="564"/>
      <c r="E531" s="416"/>
      <c r="F531" s="555">
        <f t="shared" si="316"/>
        <v>0</v>
      </c>
      <c r="G531" s="555">
        <f t="shared" si="316"/>
        <v>0</v>
      </c>
      <c r="H531" s="555">
        <f t="shared" si="316"/>
        <v>0</v>
      </c>
      <c r="I531" s="555">
        <f t="shared" si="316"/>
        <v>0</v>
      </c>
      <c r="J531" s="555">
        <f t="shared" si="316"/>
        <v>0</v>
      </c>
      <c r="K531" s="555">
        <f t="shared" si="316"/>
        <v>0</v>
      </c>
      <c r="L531" s="555">
        <f t="shared" si="316"/>
        <v>0</v>
      </c>
      <c r="M531" s="555">
        <f t="shared" si="316"/>
        <v>0</v>
      </c>
      <c r="N531" s="555"/>
      <c r="O531" s="555"/>
    </row>
    <row r="532" ht="15" spans="2:15">
      <c r="B532" s="562"/>
      <c r="C532" s="565" t="s">
        <v>795</v>
      </c>
      <c r="D532" s="564"/>
      <c r="E532" s="416"/>
      <c r="F532" s="555">
        <f ca="1" t="shared" si="316"/>
        <v>2.34</v>
      </c>
      <c r="G532" s="555">
        <f ca="1" t="shared" si="316"/>
        <v>0</v>
      </c>
      <c r="H532" s="555">
        <f ca="1" t="shared" si="316"/>
        <v>0</v>
      </c>
      <c r="I532" s="555">
        <f ca="1" t="shared" si="316"/>
        <v>2.34</v>
      </c>
      <c r="J532" s="555">
        <f ca="1" t="shared" si="316"/>
        <v>1.5314797188</v>
      </c>
      <c r="K532" s="555">
        <f ca="1" t="shared" si="316"/>
        <v>0</v>
      </c>
      <c r="L532" s="555">
        <f ca="1" t="shared" si="316"/>
        <v>0</v>
      </c>
      <c r="M532" s="555">
        <f ca="1" t="shared" si="316"/>
        <v>1.5314797188</v>
      </c>
      <c r="N532" s="555">
        <f ca="1" t="shared" ref="N532:O533" si="319">F532-J532</f>
        <v>0.8085202812</v>
      </c>
      <c r="O532" s="555">
        <f ca="1" t="shared" si="319"/>
        <v>0</v>
      </c>
    </row>
    <row r="533" ht="15" spans="2:15">
      <c r="B533" s="562"/>
      <c r="C533" s="565" t="s">
        <v>796</v>
      </c>
      <c r="D533" s="564"/>
      <c r="E533" s="416"/>
      <c r="F533" s="555">
        <f ca="1" t="shared" si="316"/>
        <v>0</v>
      </c>
      <c r="G533" s="555">
        <f ca="1" t="shared" si="316"/>
        <v>0</v>
      </c>
      <c r="H533" s="555">
        <f ca="1" t="shared" si="316"/>
        <v>0</v>
      </c>
      <c r="I533" s="555">
        <f ca="1" t="shared" si="316"/>
        <v>0</v>
      </c>
      <c r="J533" s="555">
        <f ca="1" t="shared" si="316"/>
        <v>0</v>
      </c>
      <c r="K533" s="555">
        <f ca="1" t="shared" si="316"/>
        <v>0</v>
      </c>
      <c r="L533" s="555">
        <f ca="1" t="shared" si="316"/>
        <v>0</v>
      </c>
      <c r="M533" s="555">
        <f ca="1" t="shared" si="316"/>
        <v>0</v>
      </c>
      <c r="N533" s="555">
        <f ca="1" t="shared" si="319"/>
        <v>0</v>
      </c>
      <c r="O533" s="555">
        <f ca="1" t="shared" si="319"/>
        <v>0</v>
      </c>
    </row>
    <row r="534" ht="15" spans="2:15">
      <c r="B534" s="562">
        <v>13</v>
      </c>
      <c r="C534" s="565"/>
      <c r="D534" s="564"/>
      <c r="E534" s="416"/>
      <c r="F534" s="555">
        <f t="shared" si="316"/>
        <v>0</v>
      </c>
      <c r="G534" s="555">
        <f t="shared" si="316"/>
        <v>0</v>
      </c>
      <c r="H534" s="555">
        <f t="shared" si="316"/>
        <v>0</v>
      </c>
      <c r="I534" s="555">
        <f t="shared" si="316"/>
        <v>0</v>
      </c>
      <c r="J534" s="555">
        <f t="shared" si="316"/>
        <v>0</v>
      </c>
      <c r="K534" s="555">
        <f t="shared" si="316"/>
        <v>0</v>
      </c>
      <c r="L534" s="555">
        <f t="shared" si="316"/>
        <v>0</v>
      </c>
      <c r="M534" s="555">
        <f t="shared" si="316"/>
        <v>0</v>
      </c>
      <c r="N534" s="555"/>
      <c r="O534" s="555"/>
    </row>
    <row r="535" ht="15" spans="2:15">
      <c r="B535" s="562"/>
      <c r="C535" s="565" t="s">
        <v>797</v>
      </c>
      <c r="D535" s="564"/>
      <c r="E535" s="416"/>
      <c r="F535" s="555">
        <f ca="1" t="shared" si="316"/>
        <v>15.525</v>
      </c>
      <c r="G535" s="555">
        <f ca="1" t="shared" si="316"/>
        <v>0</v>
      </c>
      <c r="H535" s="555">
        <f ca="1" t="shared" si="316"/>
        <v>0</v>
      </c>
      <c r="I535" s="555">
        <f ca="1" t="shared" si="316"/>
        <v>15.525</v>
      </c>
      <c r="J535" s="555">
        <f ca="1" t="shared" si="316"/>
        <v>11.7153220194</v>
      </c>
      <c r="K535" s="555">
        <f t="shared" si="316"/>
        <v>0.3969098271</v>
      </c>
      <c r="L535" s="555">
        <f ca="1" t="shared" si="316"/>
        <v>0</v>
      </c>
      <c r="M535" s="555">
        <f ca="1" t="shared" si="316"/>
        <v>12.1122318465</v>
      </c>
      <c r="N535" s="555">
        <f ca="1" t="shared" ref="N535:O538" si="320">F535-J535</f>
        <v>3.8096779806</v>
      </c>
      <c r="O535" s="555">
        <f ca="1" t="shared" si="320"/>
        <v>-0.3969098271</v>
      </c>
    </row>
    <row r="536" ht="15" spans="2:15">
      <c r="B536" s="562"/>
      <c r="C536" s="565" t="s">
        <v>798</v>
      </c>
      <c r="D536" s="564"/>
      <c r="E536" s="416"/>
      <c r="F536" s="555">
        <f ca="1" t="shared" si="316"/>
        <v>46.5823097892251</v>
      </c>
      <c r="G536" s="555">
        <f t="shared" si="316"/>
        <v>0.198627886513227</v>
      </c>
      <c r="H536" s="555">
        <f ca="1" t="shared" si="316"/>
        <v>0</v>
      </c>
      <c r="I536" s="555">
        <f ca="1" t="shared" si="316"/>
        <v>46.7809376757384</v>
      </c>
      <c r="J536" s="555">
        <f ca="1" t="shared" si="316"/>
        <v>34.1571842145542</v>
      </c>
      <c r="K536" s="555">
        <f t="shared" si="316"/>
        <v>1.31739027142336</v>
      </c>
      <c r="L536" s="555">
        <f ca="1" t="shared" si="316"/>
        <v>0</v>
      </c>
      <c r="M536" s="555">
        <f ca="1" t="shared" si="316"/>
        <v>35.4745744859775</v>
      </c>
      <c r="N536" s="555">
        <f ca="1" t="shared" si="320"/>
        <v>12.425125574671</v>
      </c>
      <c r="O536" s="555">
        <f t="shared" si="320"/>
        <v>-1.11876238491014</v>
      </c>
    </row>
    <row r="537" ht="15" spans="2:15">
      <c r="B537" s="562"/>
      <c r="C537" s="565" t="s">
        <v>799</v>
      </c>
      <c r="D537" s="564"/>
      <c r="E537" s="416"/>
      <c r="F537" s="555">
        <f ca="1" t="shared" si="316"/>
        <v>0</v>
      </c>
      <c r="G537" s="555">
        <f ca="1" t="shared" si="316"/>
        <v>0</v>
      </c>
      <c r="H537" s="555">
        <f ca="1" t="shared" si="316"/>
        <v>0</v>
      </c>
      <c r="I537" s="555">
        <f ca="1" t="shared" si="316"/>
        <v>0</v>
      </c>
      <c r="J537" s="555">
        <f ca="1" t="shared" si="316"/>
        <v>0</v>
      </c>
      <c r="K537" s="555">
        <f ca="1" t="shared" si="316"/>
        <v>0</v>
      </c>
      <c r="L537" s="555">
        <f ca="1" t="shared" si="316"/>
        <v>0</v>
      </c>
      <c r="M537" s="555">
        <f ca="1" t="shared" si="316"/>
        <v>0</v>
      </c>
      <c r="N537" s="555">
        <f ca="1" t="shared" si="320"/>
        <v>0</v>
      </c>
      <c r="O537" s="555">
        <f ca="1" t="shared" si="320"/>
        <v>0</v>
      </c>
    </row>
    <row r="538" ht="15" spans="2:15">
      <c r="B538" s="562"/>
      <c r="C538" s="565" t="s">
        <v>800</v>
      </c>
      <c r="D538" s="564"/>
      <c r="E538" s="416"/>
      <c r="F538" s="555">
        <f ca="1" t="shared" si="316"/>
        <v>0</v>
      </c>
      <c r="G538" s="555">
        <f ca="1" t="shared" si="316"/>
        <v>0</v>
      </c>
      <c r="H538" s="555">
        <f ca="1" t="shared" si="316"/>
        <v>0</v>
      </c>
      <c r="I538" s="555">
        <f ca="1" t="shared" si="316"/>
        <v>0</v>
      </c>
      <c r="J538" s="555">
        <f ca="1" t="shared" si="316"/>
        <v>0</v>
      </c>
      <c r="K538" s="555">
        <f ca="1" t="shared" si="316"/>
        <v>0</v>
      </c>
      <c r="L538" s="555">
        <f ca="1" t="shared" si="316"/>
        <v>0</v>
      </c>
      <c r="M538" s="555">
        <f ca="1" t="shared" si="316"/>
        <v>0</v>
      </c>
      <c r="N538" s="555">
        <f ca="1" t="shared" si="320"/>
        <v>0</v>
      </c>
      <c r="O538" s="555">
        <f ca="1" t="shared" si="320"/>
        <v>0</v>
      </c>
    </row>
    <row r="539" ht="15" spans="2:15">
      <c r="B539" s="562">
        <v>14</v>
      </c>
      <c r="C539" s="563" t="s">
        <v>801</v>
      </c>
      <c r="D539" s="564"/>
      <c r="E539" s="416"/>
      <c r="F539" s="555">
        <f t="shared" ref="F539:M545" si="321">90%*F222</f>
        <v>0</v>
      </c>
      <c r="G539" s="555">
        <f t="shared" si="321"/>
        <v>0</v>
      </c>
      <c r="H539" s="555">
        <f t="shared" si="321"/>
        <v>0</v>
      </c>
      <c r="I539" s="555">
        <f t="shared" si="321"/>
        <v>0</v>
      </c>
      <c r="J539" s="555">
        <f t="shared" si="321"/>
        <v>0</v>
      </c>
      <c r="K539" s="555">
        <f t="shared" si="321"/>
        <v>0</v>
      </c>
      <c r="L539" s="555">
        <f t="shared" si="321"/>
        <v>0</v>
      </c>
      <c r="M539" s="555">
        <f t="shared" si="321"/>
        <v>0</v>
      </c>
      <c r="N539" s="555"/>
      <c r="O539" s="555"/>
    </row>
    <row r="540" ht="15" spans="2:15">
      <c r="B540" s="562"/>
      <c r="C540" s="565" t="s">
        <v>802</v>
      </c>
      <c r="D540" s="564"/>
      <c r="E540" s="416"/>
      <c r="F540" s="555">
        <f ca="1" t="shared" si="321"/>
        <v>0</v>
      </c>
      <c r="G540" s="555">
        <f ca="1" t="shared" si="321"/>
        <v>0</v>
      </c>
      <c r="H540" s="555">
        <f ca="1" t="shared" si="321"/>
        <v>0</v>
      </c>
      <c r="I540" s="555">
        <f ca="1" t="shared" si="321"/>
        <v>0</v>
      </c>
      <c r="J540" s="555">
        <f ca="1" t="shared" si="321"/>
        <v>0</v>
      </c>
      <c r="K540" s="555">
        <f ca="1" t="shared" si="321"/>
        <v>0</v>
      </c>
      <c r="L540" s="555">
        <f ca="1" t="shared" si="321"/>
        <v>0</v>
      </c>
      <c r="M540" s="555">
        <f ca="1" t="shared" si="321"/>
        <v>0</v>
      </c>
      <c r="N540" s="555">
        <f ca="1" t="shared" ref="N540:O545" si="322">F540-J540</f>
        <v>0</v>
      </c>
      <c r="O540" s="555">
        <f ca="1" t="shared" si="322"/>
        <v>0</v>
      </c>
    </row>
    <row r="541" ht="15" spans="2:15">
      <c r="B541" s="562"/>
      <c r="C541" s="565" t="s">
        <v>803</v>
      </c>
      <c r="D541" s="564"/>
      <c r="E541" s="416"/>
      <c r="F541" s="555">
        <f ca="1" t="shared" si="321"/>
        <v>0</v>
      </c>
      <c r="G541" s="555">
        <f ca="1" t="shared" si="321"/>
        <v>0</v>
      </c>
      <c r="H541" s="555">
        <f ca="1" t="shared" si="321"/>
        <v>0</v>
      </c>
      <c r="I541" s="555">
        <f ca="1" t="shared" si="321"/>
        <v>0</v>
      </c>
      <c r="J541" s="555">
        <f ca="1" t="shared" si="321"/>
        <v>0</v>
      </c>
      <c r="K541" s="555">
        <f ca="1" t="shared" si="321"/>
        <v>0</v>
      </c>
      <c r="L541" s="555">
        <f ca="1" t="shared" si="321"/>
        <v>0</v>
      </c>
      <c r="M541" s="555">
        <f ca="1" t="shared" si="321"/>
        <v>0</v>
      </c>
      <c r="N541" s="555">
        <f ca="1" t="shared" si="322"/>
        <v>0</v>
      </c>
      <c r="O541" s="555">
        <f ca="1" t="shared" si="322"/>
        <v>0</v>
      </c>
    </row>
    <row r="542" ht="15" spans="2:15">
      <c r="B542" s="562"/>
      <c r="C542" s="565" t="s">
        <v>804</v>
      </c>
      <c r="D542" s="564"/>
      <c r="E542" s="416"/>
      <c r="F542" s="555">
        <f ca="1" t="shared" si="321"/>
        <v>0</v>
      </c>
      <c r="G542" s="555">
        <f ca="1" t="shared" si="321"/>
        <v>0</v>
      </c>
      <c r="H542" s="555">
        <f ca="1" t="shared" si="321"/>
        <v>0</v>
      </c>
      <c r="I542" s="555">
        <f ca="1" t="shared" si="321"/>
        <v>0</v>
      </c>
      <c r="J542" s="555">
        <f ca="1" t="shared" si="321"/>
        <v>0</v>
      </c>
      <c r="K542" s="555">
        <f ca="1" t="shared" si="321"/>
        <v>0</v>
      </c>
      <c r="L542" s="555">
        <f ca="1" t="shared" si="321"/>
        <v>0</v>
      </c>
      <c r="M542" s="555">
        <f ca="1" t="shared" si="321"/>
        <v>0</v>
      </c>
      <c r="N542" s="555">
        <f ca="1" t="shared" si="322"/>
        <v>0</v>
      </c>
      <c r="O542" s="555">
        <f ca="1" t="shared" si="322"/>
        <v>0</v>
      </c>
    </row>
    <row r="543" ht="15" spans="2:15">
      <c r="B543" s="562">
        <v>15</v>
      </c>
      <c r="C543" s="563" t="s">
        <v>805</v>
      </c>
      <c r="D543" s="564"/>
      <c r="E543" s="416"/>
      <c r="F543" s="555">
        <f ca="1" t="shared" si="321"/>
        <v>194.436919535317</v>
      </c>
      <c r="G543" s="555">
        <f t="shared" si="321"/>
        <v>15.5991701242452</v>
      </c>
      <c r="H543" s="555">
        <f ca="1" t="shared" si="321"/>
        <v>0</v>
      </c>
      <c r="I543" s="555">
        <f ca="1" t="shared" si="321"/>
        <v>210.036089659562</v>
      </c>
      <c r="J543" s="555">
        <f ca="1" t="shared" si="321"/>
        <v>161.367207381179</v>
      </c>
      <c r="K543" s="555">
        <f t="shared" si="321"/>
        <v>8.30182077411585</v>
      </c>
      <c r="L543" s="555">
        <f ca="1" t="shared" si="321"/>
        <v>0</v>
      </c>
      <c r="M543" s="555">
        <f ca="1" t="shared" si="321"/>
        <v>169.669028155295</v>
      </c>
      <c r="N543" s="555">
        <f ca="1" t="shared" si="322"/>
        <v>33.0697121541372</v>
      </c>
      <c r="O543" s="555">
        <f t="shared" si="322"/>
        <v>7.29734935012932</v>
      </c>
    </row>
    <row r="544" ht="15" spans="2:15">
      <c r="B544" s="562">
        <v>16</v>
      </c>
      <c r="C544" s="563" t="s">
        <v>806</v>
      </c>
      <c r="D544" s="553"/>
      <c r="E544" s="416"/>
      <c r="F544" s="555">
        <f ca="1" t="shared" si="321"/>
        <v>63.72</v>
      </c>
      <c r="G544" s="555">
        <f ca="1" t="shared" si="321"/>
        <v>0</v>
      </c>
      <c r="H544" s="555">
        <f ca="1" t="shared" si="321"/>
        <v>0</v>
      </c>
      <c r="I544" s="555">
        <f ca="1" t="shared" si="321"/>
        <v>63.72</v>
      </c>
      <c r="J544" s="555">
        <f ca="1" t="shared" si="321"/>
        <v>52.578848493</v>
      </c>
      <c r="K544" s="555">
        <f t="shared" si="321"/>
        <v>3.7373559759</v>
      </c>
      <c r="L544" s="555">
        <f ca="1" t="shared" si="321"/>
        <v>0</v>
      </c>
      <c r="M544" s="555">
        <f ca="1" t="shared" si="321"/>
        <v>56.3162044689</v>
      </c>
      <c r="N544" s="555">
        <f ca="1" t="shared" si="322"/>
        <v>11.141151507</v>
      </c>
      <c r="O544" s="555">
        <f ca="1" t="shared" si="322"/>
        <v>-3.7373559759</v>
      </c>
    </row>
    <row r="545" ht="15" spans="2:15">
      <c r="B545" s="562">
        <v>17</v>
      </c>
      <c r="C545" s="563" t="s">
        <v>807</v>
      </c>
      <c r="D545" s="553"/>
      <c r="E545" s="426"/>
      <c r="F545" s="555">
        <f ca="1" t="shared" si="321"/>
        <v>0</v>
      </c>
      <c r="G545" s="555">
        <f ca="1" t="shared" si="321"/>
        <v>0</v>
      </c>
      <c r="H545" s="555">
        <f ca="1" t="shared" si="321"/>
        <v>0</v>
      </c>
      <c r="I545" s="555">
        <f ca="1" t="shared" si="321"/>
        <v>0</v>
      </c>
      <c r="J545" s="555">
        <f ca="1" t="shared" si="321"/>
        <v>4.0198213683</v>
      </c>
      <c r="K545" s="555">
        <f ca="1" t="shared" si="321"/>
        <v>0</v>
      </c>
      <c r="L545" s="555">
        <f ca="1" t="shared" si="321"/>
        <v>0</v>
      </c>
      <c r="M545" s="555">
        <f ca="1" t="shared" si="321"/>
        <v>4.0198213683</v>
      </c>
      <c r="N545" s="555">
        <f ca="1" t="shared" si="322"/>
        <v>-4.0198213683</v>
      </c>
      <c r="O545" s="555">
        <f ca="1" t="shared" si="322"/>
        <v>0</v>
      </c>
    </row>
    <row r="546" ht="15.75" spans="2:15">
      <c r="B546" s="566"/>
      <c r="C546" s="567" t="s">
        <v>97</v>
      </c>
      <c r="D546" s="567"/>
      <c r="E546" s="568"/>
      <c r="F546" s="569">
        <f ca="1">SUM(F506:F545)</f>
        <v>29205.9103060219</v>
      </c>
      <c r="G546" s="569">
        <f ca="1" t="shared" ref="G546:O546" si="323">SUM(G506:G545)</f>
        <v>6150.47365862313</v>
      </c>
      <c r="H546" s="569">
        <f ca="1" t="shared" si="323"/>
        <v>0</v>
      </c>
      <c r="I546" s="569">
        <f ca="1" t="shared" si="323"/>
        <v>35356.383964645</v>
      </c>
      <c r="J546" s="569">
        <f ca="1" t="shared" si="323"/>
        <v>12143.0812891838</v>
      </c>
      <c r="K546" s="569">
        <f ca="1" t="shared" si="323"/>
        <v>1373.53512114171</v>
      </c>
      <c r="L546" s="569">
        <f ca="1" t="shared" si="323"/>
        <v>0</v>
      </c>
      <c r="M546" s="569">
        <f ca="1" t="shared" si="323"/>
        <v>13516.6164103255</v>
      </c>
      <c r="N546" s="569">
        <f ca="1" t="shared" si="323"/>
        <v>17062.8290168381</v>
      </c>
      <c r="O546" s="569">
        <f ca="1" t="shared" si="323"/>
        <v>17006.1636410335</v>
      </c>
    </row>
    <row r="548" ht="15" spans="2:15">
      <c r="B548" s="570" t="s">
        <v>656</v>
      </c>
      <c r="C548" s="571"/>
      <c r="D548" s="571"/>
      <c r="E548" s="571"/>
      <c r="F548" s="571"/>
      <c r="G548" s="571"/>
      <c r="H548" s="571"/>
      <c r="I548" s="571"/>
      <c r="J548" s="571"/>
      <c r="K548" s="571"/>
      <c r="L548" s="571"/>
      <c r="M548" s="571"/>
      <c r="N548" s="571"/>
      <c r="O548" s="581"/>
    </row>
    <row r="549" ht="15" spans="2:15">
      <c r="B549" s="547" t="s">
        <v>564</v>
      </c>
      <c r="C549" s="978" t="s">
        <v>671</v>
      </c>
      <c r="D549" s="549" t="s">
        <v>672</v>
      </c>
      <c r="E549" s="549" t="s">
        <v>673</v>
      </c>
      <c r="F549" s="549" t="s">
        <v>674</v>
      </c>
      <c r="G549" s="549"/>
      <c r="H549" s="549"/>
      <c r="I549" s="549"/>
      <c r="J549" s="549" t="s">
        <v>675</v>
      </c>
      <c r="K549" s="549"/>
      <c r="L549" s="549"/>
      <c r="M549" s="549"/>
      <c r="N549" s="549" t="s">
        <v>676</v>
      </c>
      <c r="O549" s="579"/>
    </row>
    <row r="550" ht="60.75" spans="2:15">
      <c r="B550" s="572"/>
      <c r="C550" s="573"/>
      <c r="D550" s="574"/>
      <c r="E550" s="574"/>
      <c r="F550" s="574" t="s">
        <v>677</v>
      </c>
      <c r="G550" s="574" t="s">
        <v>678</v>
      </c>
      <c r="H550" s="574" t="s">
        <v>679</v>
      </c>
      <c r="I550" s="574" t="s">
        <v>680</v>
      </c>
      <c r="J550" s="574" t="s">
        <v>681</v>
      </c>
      <c r="K550" s="574" t="s">
        <v>678</v>
      </c>
      <c r="L550" s="574" t="s">
        <v>682</v>
      </c>
      <c r="M550" s="574" t="s">
        <v>683</v>
      </c>
      <c r="N550" s="574" t="s">
        <v>677</v>
      </c>
      <c r="O550" s="582" t="s">
        <v>680</v>
      </c>
    </row>
    <row r="551" ht="15" spans="2:15">
      <c r="B551" s="551">
        <v>1</v>
      </c>
      <c r="C551" s="552" t="s">
        <v>684</v>
      </c>
      <c r="D551" s="546"/>
      <c r="E551" s="576"/>
      <c r="F551" s="555">
        <f ca="1">90%*F234</f>
        <v>200.395829904704</v>
      </c>
      <c r="G551" s="555">
        <f t="shared" ref="G551:M551" si="324">90%*G234</f>
        <v>75.7003418644411</v>
      </c>
      <c r="H551" s="555">
        <f ca="1" t="shared" si="324"/>
        <v>0</v>
      </c>
      <c r="I551" s="555">
        <f ca="1" t="shared" si="324"/>
        <v>276.096171769145</v>
      </c>
      <c r="J551" s="555">
        <f ca="1" t="shared" si="324"/>
        <v>0.0044091558000014</v>
      </c>
      <c r="K551" s="555">
        <f t="shared" si="324"/>
        <v>0</v>
      </c>
      <c r="L551" s="555">
        <f ca="1" t="shared" si="324"/>
        <v>0</v>
      </c>
      <c r="M551" s="555">
        <f ca="1" t="shared" si="324"/>
        <v>0.0044091558000014</v>
      </c>
      <c r="N551" s="555">
        <f ca="1">F551-J551</f>
        <v>200.391420748904</v>
      </c>
      <c r="O551" s="555">
        <f ca="1">I551-M551</f>
        <v>276.091762613345</v>
      </c>
    </row>
    <row r="552" ht="15" spans="2:15">
      <c r="B552" s="551">
        <v>2</v>
      </c>
      <c r="C552" s="552" t="s">
        <v>770</v>
      </c>
      <c r="D552" s="614"/>
      <c r="E552" s="615"/>
      <c r="F552" s="555">
        <f ca="1" t="shared" ref="F552:M567" si="325">90%*F235</f>
        <v>0</v>
      </c>
      <c r="G552" s="555">
        <f ca="1" t="shared" si="325"/>
        <v>0</v>
      </c>
      <c r="H552" s="555">
        <f ca="1" t="shared" si="325"/>
        <v>0</v>
      </c>
      <c r="I552" s="555">
        <f ca="1" t="shared" si="325"/>
        <v>0</v>
      </c>
      <c r="J552" s="555">
        <f ca="1" t="shared" si="325"/>
        <v>0</v>
      </c>
      <c r="K552" s="555">
        <f ca="1" t="shared" si="325"/>
        <v>0</v>
      </c>
      <c r="L552" s="555">
        <f ca="1" t="shared" si="325"/>
        <v>0</v>
      </c>
      <c r="M552" s="555">
        <f ca="1" t="shared" si="325"/>
        <v>0</v>
      </c>
      <c r="N552" s="555">
        <f ca="1">F552-J552</f>
        <v>0</v>
      </c>
      <c r="O552" s="555">
        <f ca="1">I552-M552</f>
        <v>0</v>
      </c>
    </row>
    <row r="553" ht="15" spans="2:15">
      <c r="B553" s="551">
        <v>3</v>
      </c>
      <c r="C553" s="556" t="s">
        <v>771</v>
      </c>
      <c r="D553" s="553"/>
      <c r="E553" s="416"/>
      <c r="F553" s="555">
        <f t="shared" si="325"/>
        <v>0</v>
      </c>
      <c r="G553" s="555">
        <f t="shared" si="325"/>
        <v>0</v>
      </c>
      <c r="H553" s="555">
        <f t="shared" si="325"/>
        <v>0</v>
      </c>
      <c r="I553" s="555">
        <f t="shared" si="325"/>
        <v>0</v>
      </c>
      <c r="J553" s="555">
        <f t="shared" si="325"/>
        <v>0</v>
      </c>
      <c r="K553" s="555">
        <f t="shared" si="325"/>
        <v>0</v>
      </c>
      <c r="L553" s="555">
        <f t="shared" si="325"/>
        <v>0</v>
      </c>
      <c r="M553" s="555">
        <f t="shared" si="325"/>
        <v>0</v>
      </c>
      <c r="N553" s="555"/>
      <c r="O553" s="555"/>
    </row>
    <row r="554" ht="15" spans="2:15">
      <c r="B554" s="551"/>
      <c r="C554" s="557" t="s">
        <v>772</v>
      </c>
      <c r="D554" s="553"/>
      <c r="E554" s="416"/>
      <c r="F554" s="555">
        <f ca="1" t="shared" si="325"/>
        <v>516.299099302965</v>
      </c>
      <c r="G554" s="555">
        <f t="shared" si="325"/>
        <v>70.5446297455461</v>
      </c>
      <c r="H554" s="555">
        <f ca="1" t="shared" si="325"/>
        <v>0</v>
      </c>
      <c r="I554" s="555">
        <f ca="1" t="shared" si="325"/>
        <v>586.843729048511</v>
      </c>
      <c r="J554" s="555">
        <f ca="1" t="shared" si="325"/>
        <v>179.862736823093</v>
      </c>
      <c r="K554" s="555">
        <f t="shared" si="325"/>
        <v>19.4218601584478</v>
      </c>
      <c r="L554" s="555">
        <f ca="1" t="shared" si="325"/>
        <v>0</v>
      </c>
      <c r="M554" s="555">
        <f ca="1" t="shared" si="325"/>
        <v>199.284596981541</v>
      </c>
      <c r="N554" s="555">
        <f ca="1" t="shared" ref="N554:N557" si="326">F554-J554</f>
        <v>336.436362479871</v>
      </c>
      <c r="O554" s="555">
        <f ca="1" t="shared" ref="O554:O557" si="327">I554-M554</f>
        <v>387.55913206697</v>
      </c>
    </row>
    <row r="555" ht="28.5" spans="2:15">
      <c r="B555" s="551"/>
      <c r="C555" s="557" t="s">
        <v>773</v>
      </c>
      <c r="D555" s="553"/>
      <c r="E555" s="416"/>
      <c r="F555" s="555">
        <f ca="1" t="shared" si="325"/>
        <v>0</v>
      </c>
      <c r="G555" s="555">
        <f ca="1" t="shared" si="325"/>
        <v>0</v>
      </c>
      <c r="H555" s="555">
        <f ca="1" t="shared" si="325"/>
        <v>0</v>
      </c>
      <c r="I555" s="555">
        <f ca="1" t="shared" si="325"/>
        <v>0</v>
      </c>
      <c r="J555" s="555">
        <f ca="1" t="shared" si="325"/>
        <v>0</v>
      </c>
      <c r="K555" s="555">
        <f ca="1" t="shared" si="325"/>
        <v>0</v>
      </c>
      <c r="L555" s="555">
        <f ca="1" t="shared" si="325"/>
        <v>0</v>
      </c>
      <c r="M555" s="555">
        <f ca="1" t="shared" si="325"/>
        <v>0</v>
      </c>
      <c r="N555" s="555">
        <f ca="1" t="shared" si="326"/>
        <v>0</v>
      </c>
      <c r="O555" s="555">
        <f ca="1" t="shared" si="327"/>
        <v>0</v>
      </c>
    </row>
    <row r="556" ht="15" spans="2:15">
      <c r="B556" s="551"/>
      <c r="C556" s="557" t="s">
        <v>774</v>
      </c>
      <c r="D556" s="553"/>
      <c r="E556" s="416"/>
      <c r="F556" s="555">
        <f ca="1" t="shared" si="325"/>
        <v>0</v>
      </c>
      <c r="G556" s="555">
        <f ca="1" t="shared" si="325"/>
        <v>0</v>
      </c>
      <c r="H556" s="555">
        <f ca="1" t="shared" si="325"/>
        <v>0</v>
      </c>
      <c r="I556" s="555">
        <f ca="1" t="shared" si="325"/>
        <v>0</v>
      </c>
      <c r="J556" s="555">
        <f ca="1" t="shared" si="325"/>
        <v>0</v>
      </c>
      <c r="K556" s="555">
        <f ca="1" t="shared" si="325"/>
        <v>0</v>
      </c>
      <c r="L556" s="555">
        <f ca="1" t="shared" si="325"/>
        <v>0</v>
      </c>
      <c r="M556" s="555">
        <f ca="1" t="shared" si="325"/>
        <v>0</v>
      </c>
      <c r="N556" s="555">
        <f ca="1" t="shared" si="326"/>
        <v>0</v>
      </c>
      <c r="O556" s="555">
        <f ca="1" t="shared" si="327"/>
        <v>0</v>
      </c>
    </row>
    <row r="557" ht="15" spans="2:15">
      <c r="B557" s="551"/>
      <c r="C557" s="557" t="s">
        <v>775</v>
      </c>
      <c r="D557" s="553"/>
      <c r="E557" s="416"/>
      <c r="F557" s="555">
        <f ca="1" t="shared" si="325"/>
        <v>198.972</v>
      </c>
      <c r="G557" s="555">
        <f ca="1" t="shared" si="325"/>
        <v>0</v>
      </c>
      <c r="H557" s="555">
        <f ca="1" t="shared" si="325"/>
        <v>0</v>
      </c>
      <c r="I557" s="555">
        <f ca="1" t="shared" si="325"/>
        <v>198.972</v>
      </c>
      <c r="J557" s="555">
        <f ca="1" t="shared" si="325"/>
        <v>39.9721005729</v>
      </c>
      <c r="K557" s="555">
        <f ca="1" t="shared" si="325"/>
        <v>0</v>
      </c>
      <c r="L557" s="555">
        <f ca="1" t="shared" si="325"/>
        <v>0</v>
      </c>
      <c r="M557" s="555">
        <f ca="1" t="shared" si="325"/>
        <v>39.9721005729</v>
      </c>
      <c r="N557" s="555">
        <f ca="1" t="shared" si="326"/>
        <v>158.9998994271</v>
      </c>
      <c r="O557" s="555">
        <f ca="1" t="shared" si="327"/>
        <v>158.9998994271</v>
      </c>
    </row>
    <row r="558" ht="15" spans="2:15">
      <c r="B558" s="551">
        <v>4</v>
      </c>
      <c r="C558" s="552" t="s">
        <v>776</v>
      </c>
      <c r="D558" s="553"/>
      <c r="E558" s="416"/>
      <c r="F558" s="555">
        <f t="shared" si="325"/>
        <v>0</v>
      </c>
      <c r="G558" s="555">
        <f t="shared" si="325"/>
        <v>0</v>
      </c>
      <c r="H558" s="555">
        <f t="shared" si="325"/>
        <v>0</v>
      </c>
      <c r="I558" s="555">
        <f t="shared" si="325"/>
        <v>0</v>
      </c>
      <c r="J558" s="555">
        <f t="shared" si="325"/>
        <v>0</v>
      </c>
      <c r="K558" s="555">
        <f t="shared" si="325"/>
        <v>0</v>
      </c>
      <c r="L558" s="555">
        <f t="shared" si="325"/>
        <v>0</v>
      </c>
      <c r="M558" s="555">
        <f t="shared" si="325"/>
        <v>0</v>
      </c>
      <c r="N558" s="555"/>
      <c r="O558" s="555"/>
    </row>
    <row r="559" ht="15" spans="2:15">
      <c r="B559" s="551"/>
      <c r="C559" s="558" t="s">
        <v>777</v>
      </c>
      <c r="D559" s="553"/>
      <c r="E559" s="416"/>
      <c r="F559" s="555">
        <f ca="1" t="shared" si="325"/>
        <v>12378.0447396224</v>
      </c>
      <c r="G559" s="555">
        <f t="shared" si="325"/>
        <v>1685.92880129832</v>
      </c>
      <c r="H559" s="555">
        <f ca="1" t="shared" si="325"/>
        <v>0</v>
      </c>
      <c r="I559" s="555">
        <f ca="1" t="shared" si="325"/>
        <v>14063.9735409207</v>
      </c>
      <c r="J559" s="555">
        <f ca="1" t="shared" si="325"/>
        <v>5747.53314172343</v>
      </c>
      <c r="K559" s="555">
        <f t="shared" si="325"/>
        <v>486.453691805605</v>
      </c>
      <c r="L559" s="555">
        <f ca="1" t="shared" si="325"/>
        <v>0</v>
      </c>
      <c r="M559" s="555">
        <f ca="1" t="shared" si="325"/>
        <v>6233.98683352904</v>
      </c>
      <c r="N559" s="555">
        <f ca="1" t="shared" ref="N559:N562" si="328">F559-J559</f>
        <v>6630.51159789896</v>
      </c>
      <c r="O559" s="555">
        <f ca="1" t="shared" ref="O559:O562" si="329">I559-M559</f>
        <v>7829.98670739168</v>
      </c>
    </row>
    <row r="560" ht="15" spans="2:15">
      <c r="B560" s="551"/>
      <c r="C560" s="552" t="s">
        <v>778</v>
      </c>
      <c r="D560" s="553"/>
      <c r="E560" s="478"/>
      <c r="F560" s="555">
        <f t="shared" si="325"/>
        <v>0</v>
      </c>
      <c r="G560" s="555">
        <f t="shared" si="325"/>
        <v>0</v>
      </c>
      <c r="H560" s="555">
        <f t="shared" si="325"/>
        <v>0</v>
      </c>
      <c r="I560" s="555">
        <f t="shared" si="325"/>
        <v>0</v>
      </c>
      <c r="J560" s="555">
        <f t="shared" si="325"/>
        <v>0</v>
      </c>
      <c r="K560" s="555">
        <f t="shared" si="325"/>
        <v>0</v>
      </c>
      <c r="L560" s="555">
        <f t="shared" si="325"/>
        <v>0</v>
      </c>
      <c r="M560" s="555">
        <f t="shared" si="325"/>
        <v>0</v>
      </c>
      <c r="N560" s="555"/>
      <c r="O560" s="555"/>
    </row>
    <row r="561" ht="15" spans="2:15">
      <c r="B561" s="551"/>
      <c r="C561" s="558" t="s">
        <v>779</v>
      </c>
      <c r="D561" s="553"/>
      <c r="E561" s="416"/>
      <c r="F561" s="555">
        <f ca="1" t="shared" si="325"/>
        <v>0</v>
      </c>
      <c r="G561" s="555">
        <f ca="1" t="shared" si="325"/>
        <v>0</v>
      </c>
      <c r="H561" s="555">
        <f ca="1" t="shared" si="325"/>
        <v>0</v>
      </c>
      <c r="I561" s="555">
        <f ca="1" t="shared" si="325"/>
        <v>0</v>
      </c>
      <c r="J561" s="555">
        <f ca="1" t="shared" si="325"/>
        <v>0</v>
      </c>
      <c r="K561" s="555">
        <f ca="1" t="shared" si="325"/>
        <v>0</v>
      </c>
      <c r="L561" s="555">
        <f ca="1" t="shared" si="325"/>
        <v>0</v>
      </c>
      <c r="M561" s="555">
        <f ca="1" t="shared" si="325"/>
        <v>0</v>
      </c>
      <c r="N561" s="555">
        <f ca="1" t="shared" si="328"/>
        <v>0</v>
      </c>
      <c r="O561" s="555">
        <f ca="1" t="shared" si="329"/>
        <v>0</v>
      </c>
    </row>
    <row r="562" ht="15" spans="2:15">
      <c r="B562" s="551"/>
      <c r="C562" s="558" t="s">
        <v>780</v>
      </c>
      <c r="D562" s="553"/>
      <c r="E562" s="416"/>
      <c r="F562" s="555">
        <f ca="1" t="shared" si="325"/>
        <v>0</v>
      </c>
      <c r="G562" s="555">
        <f ca="1" t="shared" si="325"/>
        <v>0</v>
      </c>
      <c r="H562" s="555">
        <f ca="1" t="shared" si="325"/>
        <v>0</v>
      </c>
      <c r="I562" s="555">
        <f ca="1" t="shared" si="325"/>
        <v>0</v>
      </c>
      <c r="J562" s="555">
        <f ca="1" t="shared" si="325"/>
        <v>0</v>
      </c>
      <c r="K562" s="555">
        <f ca="1" t="shared" si="325"/>
        <v>0</v>
      </c>
      <c r="L562" s="555">
        <f ca="1" t="shared" si="325"/>
        <v>0</v>
      </c>
      <c r="M562" s="555">
        <f ca="1" t="shared" si="325"/>
        <v>0</v>
      </c>
      <c r="N562" s="555">
        <f ca="1" t="shared" si="328"/>
        <v>0</v>
      </c>
      <c r="O562" s="555">
        <f ca="1" t="shared" si="329"/>
        <v>0</v>
      </c>
    </row>
    <row r="563" ht="15" spans="2:15">
      <c r="B563" s="551">
        <v>5</v>
      </c>
      <c r="C563" s="552" t="s">
        <v>781</v>
      </c>
      <c r="D563" s="553"/>
      <c r="E563" s="416"/>
      <c r="F563" s="555">
        <f t="shared" si="325"/>
        <v>0</v>
      </c>
      <c r="G563" s="555">
        <f t="shared" si="325"/>
        <v>0</v>
      </c>
      <c r="H563" s="555">
        <f t="shared" si="325"/>
        <v>0</v>
      </c>
      <c r="I563" s="555">
        <f t="shared" si="325"/>
        <v>0</v>
      </c>
      <c r="J563" s="555">
        <f t="shared" si="325"/>
        <v>0</v>
      </c>
      <c r="K563" s="555">
        <f t="shared" si="325"/>
        <v>0</v>
      </c>
      <c r="L563" s="555">
        <f t="shared" si="325"/>
        <v>0</v>
      </c>
      <c r="M563" s="555">
        <f t="shared" si="325"/>
        <v>0</v>
      </c>
      <c r="N563" s="555"/>
      <c r="O563" s="555"/>
    </row>
    <row r="564" ht="15" spans="2:15">
      <c r="B564" s="551"/>
      <c r="C564" s="558" t="s">
        <v>782</v>
      </c>
      <c r="D564" s="553"/>
      <c r="E564" s="416"/>
      <c r="F564" s="555">
        <f ca="1" t="shared" si="325"/>
        <v>0</v>
      </c>
      <c r="G564" s="555">
        <f ca="1" t="shared" si="325"/>
        <v>0</v>
      </c>
      <c r="H564" s="555">
        <f ca="1" t="shared" si="325"/>
        <v>0</v>
      </c>
      <c r="I564" s="555">
        <f ca="1" t="shared" si="325"/>
        <v>0</v>
      </c>
      <c r="J564" s="555">
        <f ca="1" t="shared" si="325"/>
        <v>0</v>
      </c>
      <c r="K564" s="555">
        <f ca="1" t="shared" si="325"/>
        <v>0</v>
      </c>
      <c r="L564" s="555">
        <f ca="1" t="shared" si="325"/>
        <v>0</v>
      </c>
      <c r="M564" s="555">
        <f ca="1" t="shared" si="325"/>
        <v>0</v>
      </c>
      <c r="N564" s="555">
        <f ca="1" t="shared" ref="N564:N569" si="330">F564-J564</f>
        <v>0</v>
      </c>
      <c r="O564" s="555">
        <f ca="1" t="shared" ref="O564:O569" si="331">I564-M564</f>
        <v>0</v>
      </c>
    </row>
    <row r="565" ht="15" spans="2:15">
      <c r="B565" s="551"/>
      <c r="C565" s="558" t="s">
        <v>783</v>
      </c>
      <c r="D565" s="553"/>
      <c r="E565" s="416"/>
      <c r="F565" s="555">
        <f ca="1" t="shared" si="325"/>
        <v>0</v>
      </c>
      <c r="G565" s="555">
        <f ca="1" t="shared" si="325"/>
        <v>0</v>
      </c>
      <c r="H565" s="555">
        <f ca="1" t="shared" si="325"/>
        <v>0</v>
      </c>
      <c r="I565" s="555">
        <f ca="1" t="shared" si="325"/>
        <v>0</v>
      </c>
      <c r="J565" s="555">
        <f ca="1" t="shared" si="325"/>
        <v>0</v>
      </c>
      <c r="K565" s="555">
        <f ca="1" t="shared" si="325"/>
        <v>0</v>
      </c>
      <c r="L565" s="555">
        <f ca="1" t="shared" si="325"/>
        <v>0</v>
      </c>
      <c r="M565" s="555">
        <f ca="1" t="shared" si="325"/>
        <v>0</v>
      </c>
      <c r="N565" s="555">
        <f ca="1" t="shared" si="330"/>
        <v>0</v>
      </c>
      <c r="O565" s="555">
        <f ca="1" t="shared" si="331"/>
        <v>0</v>
      </c>
    </row>
    <row r="566" ht="15" spans="2:15">
      <c r="B566" s="551"/>
      <c r="C566" s="558" t="s">
        <v>784</v>
      </c>
      <c r="D566" s="553"/>
      <c r="E566" s="416"/>
      <c r="F566" s="555">
        <f ca="1" t="shared" si="325"/>
        <v>0</v>
      </c>
      <c r="G566" s="555">
        <f ca="1" t="shared" si="325"/>
        <v>0</v>
      </c>
      <c r="H566" s="555">
        <f ca="1" t="shared" si="325"/>
        <v>0</v>
      </c>
      <c r="I566" s="555">
        <f ca="1" t="shared" si="325"/>
        <v>0</v>
      </c>
      <c r="J566" s="555">
        <f ca="1" t="shared" si="325"/>
        <v>0</v>
      </c>
      <c r="K566" s="555">
        <f ca="1" t="shared" si="325"/>
        <v>0</v>
      </c>
      <c r="L566" s="555">
        <f ca="1" t="shared" si="325"/>
        <v>0</v>
      </c>
      <c r="M566" s="555">
        <f ca="1" t="shared" si="325"/>
        <v>0</v>
      </c>
      <c r="N566" s="555">
        <f ca="1" t="shared" si="330"/>
        <v>0</v>
      </c>
      <c r="O566" s="555">
        <f ca="1" t="shared" si="331"/>
        <v>0</v>
      </c>
    </row>
    <row r="567" ht="15" spans="2:15">
      <c r="B567" s="551"/>
      <c r="C567" s="558" t="s">
        <v>785</v>
      </c>
      <c r="D567" s="553"/>
      <c r="E567" s="416"/>
      <c r="F567" s="555">
        <f ca="1" t="shared" si="325"/>
        <v>0</v>
      </c>
      <c r="G567" s="555">
        <f ca="1" t="shared" si="325"/>
        <v>0</v>
      </c>
      <c r="H567" s="555">
        <f ca="1" t="shared" si="325"/>
        <v>0</v>
      </c>
      <c r="I567" s="555">
        <f ca="1" t="shared" si="325"/>
        <v>0</v>
      </c>
      <c r="J567" s="555">
        <f ca="1" t="shared" si="325"/>
        <v>0</v>
      </c>
      <c r="K567" s="555">
        <f ca="1" t="shared" si="325"/>
        <v>0</v>
      </c>
      <c r="L567" s="555">
        <f ca="1" t="shared" si="325"/>
        <v>0</v>
      </c>
      <c r="M567" s="555">
        <f ca="1" t="shared" si="325"/>
        <v>0</v>
      </c>
      <c r="N567" s="555">
        <f ca="1" t="shared" si="330"/>
        <v>0</v>
      </c>
      <c r="O567" s="555">
        <f ca="1" t="shared" si="331"/>
        <v>0</v>
      </c>
    </row>
    <row r="568" ht="15" spans="2:15">
      <c r="B568" s="551">
        <v>6</v>
      </c>
      <c r="C568" s="552" t="s">
        <v>786</v>
      </c>
      <c r="D568" s="553"/>
      <c r="E568" s="416"/>
      <c r="F568" s="555">
        <f ca="1" t="shared" ref="F568:M583" si="332">90%*F251</f>
        <v>0</v>
      </c>
      <c r="G568" s="555">
        <f ca="1" t="shared" si="332"/>
        <v>0</v>
      </c>
      <c r="H568" s="555">
        <f ca="1" t="shared" si="332"/>
        <v>0</v>
      </c>
      <c r="I568" s="555">
        <f ca="1" t="shared" si="332"/>
        <v>0</v>
      </c>
      <c r="J568" s="555">
        <f ca="1" t="shared" si="332"/>
        <v>0</v>
      </c>
      <c r="K568" s="555">
        <f ca="1" t="shared" si="332"/>
        <v>0</v>
      </c>
      <c r="L568" s="555">
        <f ca="1" t="shared" si="332"/>
        <v>0</v>
      </c>
      <c r="M568" s="555">
        <f ca="1" t="shared" si="332"/>
        <v>0</v>
      </c>
      <c r="N568" s="555">
        <f ca="1" t="shared" si="330"/>
        <v>0</v>
      </c>
      <c r="O568" s="555">
        <f ca="1" t="shared" si="331"/>
        <v>0</v>
      </c>
    </row>
    <row r="569" ht="15" spans="2:15">
      <c r="B569" s="551">
        <v>7</v>
      </c>
      <c r="C569" s="552" t="s">
        <v>787</v>
      </c>
      <c r="D569" s="553"/>
      <c r="E569" s="416"/>
      <c r="F569" s="555">
        <f ca="1" t="shared" si="332"/>
        <v>0</v>
      </c>
      <c r="G569" s="555">
        <f ca="1" t="shared" si="332"/>
        <v>0</v>
      </c>
      <c r="H569" s="555">
        <f ca="1" t="shared" si="332"/>
        <v>0</v>
      </c>
      <c r="I569" s="555">
        <f ca="1" t="shared" si="332"/>
        <v>0</v>
      </c>
      <c r="J569" s="555">
        <f ca="1" t="shared" si="332"/>
        <v>0</v>
      </c>
      <c r="K569" s="555">
        <f ca="1" t="shared" si="332"/>
        <v>0</v>
      </c>
      <c r="L569" s="555">
        <f ca="1" t="shared" si="332"/>
        <v>0</v>
      </c>
      <c r="M569" s="555">
        <f ca="1" t="shared" si="332"/>
        <v>0</v>
      </c>
      <c r="N569" s="555">
        <f ca="1" t="shared" si="330"/>
        <v>0</v>
      </c>
      <c r="O569" s="555">
        <f ca="1" t="shared" si="331"/>
        <v>0</v>
      </c>
    </row>
    <row r="570" ht="15" spans="2:15">
      <c r="B570" s="551">
        <v>8</v>
      </c>
      <c r="C570" s="552" t="s">
        <v>788</v>
      </c>
      <c r="D570" s="553"/>
      <c r="E570" s="416"/>
      <c r="F570" s="555">
        <f t="shared" si="332"/>
        <v>0</v>
      </c>
      <c r="G570" s="555">
        <f t="shared" si="332"/>
        <v>0</v>
      </c>
      <c r="H570" s="555">
        <f t="shared" si="332"/>
        <v>0</v>
      </c>
      <c r="I570" s="555">
        <f t="shared" si="332"/>
        <v>0</v>
      </c>
      <c r="J570" s="555">
        <f t="shared" si="332"/>
        <v>0</v>
      </c>
      <c r="K570" s="555">
        <f t="shared" si="332"/>
        <v>0</v>
      </c>
      <c r="L570" s="555">
        <f t="shared" si="332"/>
        <v>0</v>
      </c>
      <c r="M570" s="555">
        <f t="shared" si="332"/>
        <v>0</v>
      </c>
      <c r="N570" s="555"/>
      <c r="O570" s="555"/>
    </row>
    <row r="571" ht="15" spans="2:15">
      <c r="B571" s="551"/>
      <c r="C571" s="558" t="s">
        <v>789</v>
      </c>
      <c r="D571" s="553"/>
      <c r="E571" s="416"/>
      <c r="F571" s="555">
        <f ca="1" t="shared" si="332"/>
        <v>12651.7085095271</v>
      </c>
      <c r="G571" s="555">
        <f t="shared" si="332"/>
        <v>1901.99242284143</v>
      </c>
      <c r="H571" s="555">
        <f ca="1" t="shared" si="332"/>
        <v>0</v>
      </c>
      <c r="I571" s="555">
        <f ca="1" t="shared" si="332"/>
        <v>14553.7009323685</v>
      </c>
      <c r="J571" s="555">
        <f ca="1" t="shared" si="332"/>
        <v>5154.22409292274</v>
      </c>
      <c r="K571" s="555">
        <f t="shared" si="332"/>
        <v>454.209250727372</v>
      </c>
      <c r="L571" s="555">
        <f ca="1" t="shared" si="332"/>
        <v>0</v>
      </c>
      <c r="M571" s="555">
        <f ca="1" t="shared" si="332"/>
        <v>5608.43334365011</v>
      </c>
      <c r="N571" s="555">
        <f ca="1" t="shared" ref="N571:O575" si="333">F571-J571</f>
        <v>7497.48441660433</v>
      </c>
      <c r="O571" s="555">
        <f ca="1" t="shared" ref="O571:O573" si="334">I571-M571</f>
        <v>8945.26758871839</v>
      </c>
    </row>
    <row r="572" ht="15" spans="2:15">
      <c r="B572" s="551"/>
      <c r="C572" s="558" t="s">
        <v>808</v>
      </c>
      <c r="D572" s="553"/>
      <c r="E572" s="416"/>
      <c r="F572" s="555">
        <f ca="1" t="shared" si="332"/>
        <v>0</v>
      </c>
      <c r="G572" s="555">
        <f ca="1" t="shared" si="332"/>
        <v>0</v>
      </c>
      <c r="H572" s="555">
        <f ca="1" t="shared" si="332"/>
        <v>0</v>
      </c>
      <c r="I572" s="555">
        <f ca="1" t="shared" si="332"/>
        <v>0</v>
      </c>
      <c r="J572" s="555">
        <f ca="1" t="shared" si="332"/>
        <v>0</v>
      </c>
      <c r="K572" s="555">
        <f ca="1" t="shared" si="332"/>
        <v>0</v>
      </c>
      <c r="L572" s="555">
        <f ca="1" t="shared" si="332"/>
        <v>0</v>
      </c>
      <c r="M572" s="555">
        <f ca="1" t="shared" si="332"/>
        <v>0</v>
      </c>
      <c r="N572" s="555">
        <f ca="1" t="shared" si="333"/>
        <v>0</v>
      </c>
      <c r="O572" s="555">
        <f ca="1" t="shared" si="334"/>
        <v>0</v>
      </c>
    </row>
    <row r="573" ht="30" spans="2:15">
      <c r="B573" s="560">
        <v>9</v>
      </c>
      <c r="C573" s="561" t="s">
        <v>791</v>
      </c>
      <c r="D573" s="553"/>
      <c r="E573" s="416"/>
      <c r="F573" s="555">
        <f ca="1" t="shared" si="332"/>
        <v>0</v>
      </c>
      <c r="G573" s="555">
        <f ca="1" t="shared" si="332"/>
        <v>0</v>
      </c>
      <c r="H573" s="555">
        <f ca="1" t="shared" si="332"/>
        <v>0</v>
      </c>
      <c r="I573" s="555">
        <f ca="1" t="shared" si="332"/>
        <v>0</v>
      </c>
      <c r="J573" s="555">
        <f ca="1" t="shared" si="332"/>
        <v>0</v>
      </c>
      <c r="K573" s="555">
        <f ca="1" t="shared" si="332"/>
        <v>0</v>
      </c>
      <c r="L573" s="555">
        <f ca="1" t="shared" si="332"/>
        <v>0</v>
      </c>
      <c r="M573" s="555">
        <f ca="1" t="shared" si="332"/>
        <v>0</v>
      </c>
      <c r="N573" s="555">
        <f ca="1" t="shared" si="333"/>
        <v>0</v>
      </c>
      <c r="O573" s="555">
        <f ca="1" t="shared" si="334"/>
        <v>0</v>
      </c>
    </row>
    <row r="574" ht="15" spans="2:15">
      <c r="B574" s="562">
        <v>10</v>
      </c>
      <c r="C574" s="563" t="s">
        <v>792</v>
      </c>
      <c r="D574" s="564"/>
      <c r="E574" s="416"/>
      <c r="F574" s="555">
        <f ca="1" t="shared" si="332"/>
        <v>9066.1897589526</v>
      </c>
      <c r="G574" s="555">
        <f t="shared" si="332"/>
        <v>2916.71833898099</v>
      </c>
      <c r="H574" s="555">
        <f ca="1" t="shared" si="332"/>
        <v>0</v>
      </c>
      <c r="I574" s="555">
        <f ca="1" t="shared" si="332"/>
        <v>11982.9080979336</v>
      </c>
      <c r="J574" s="555">
        <f ca="1" t="shared" si="332"/>
        <v>2109.74669931785</v>
      </c>
      <c r="K574" s="555">
        <f t="shared" si="332"/>
        <v>738.354597447992</v>
      </c>
      <c r="L574" s="555">
        <f ca="1" t="shared" si="332"/>
        <v>0</v>
      </c>
      <c r="M574" s="555">
        <f ca="1" t="shared" si="332"/>
        <v>2848.10129676584</v>
      </c>
      <c r="N574" s="555">
        <f ca="1" t="shared" si="333"/>
        <v>6956.44305963475</v>
      </c>
      <c r="O574" s="555">
        <f t="shared" si="333"/>
        <v>2178.363741533</v>
      </c>
    </row>
    <row r="575" ht="15" spans="2:15">
      <c r="B575" s="562">
        <v>11</v>
      </c>
      <c r="C575" s="563" t="s">
        <v>793</v>
      </c>
      <c r="D575" s="564"/>
      <c r="E575" s="416"/>
      <c r="F575" s="555">
        <f ca="1" t="shared" si="332"/>
        <v>6.372</v>
      </c>
      <c r="G575" s="555">
        <f ca="1" t="shared" si="332"/>
        <v>0</v>
      </c>
      <c r="H575" s="555">
        <f ca="1" t="shared" si="332"/>
        <v>0</v>
      </c>
      <c r="I575" s="555">
        <f ca="1" t="shared" si="332"/>
        <v>6.372</v>
      </c>
      <c r="J575" s="555">
        <f ca="1" t="shared" si="332"/>
        <v>6.1498897659</v>
      </c>
      <c r="K575" s="555">
        <f t="shared" si="332"/>
        <v>0</v>
      </c>
      <c r="L575" s="555">
        <f ca="1" t="shared" si="332"/>
        <v>0</v>
      </c>
      <c r="M575" s="555">
        <f ca="1" t="shared" si="332"/>
        <v>6.1498897659</v>
      </c>
      <c r="N575" s="555">
        <f ca="1" t="shared" si="333"/>
        <v>0.222110234100001</v>
      </c>
      <c r="O575" s="555">
        <f ca="1" t="shared" si="333"/>
        <v>0</v>
      </c>
    </row>
    <row r="576" ht="15" spans="2:15">
      <c r="B576" s="562">
        <v>12</v>
      </c>
      <c r="C576" s="563" t="s">
        <v>794</v>
      </c>
      <c r="D576" s="564"/>
      <c r="E576" s="416"/>
      <c r="F576" s="555">
        <f t="shared" si="332"/>
        <v>0</v>
      </c>
      <c r="G576" s="555">
        <f t="shared" si="332"/>
        <v>0</v>
      </c>
      <c r="H576" s="555">
        <f t="shared" si="332"/>
        <v>0</v>
      </c>
      <c r="I576" s="555">
        <f t="shared" si="332"/>
        <v>0</v>
      </c>
      <c r="J576" s="555">
        <f t="shared" si="332"/>
        <v>0</v>
      </c>
      <c r="K576" s="555">
        <f t="shared" si="332"/>
        <v>0</v>
      </c>
      <c r="L576" s="555">
        <f t="shared" si="332"/>
        <v>0</v>
      </c>
      <c r="M576" s="555">
        <f t="shared" si="332"/>
        <v>0</v>
      </c>
      <c r="N576" s="555"/>
      <c r="O576" s="555"/>
    </row>
    <row r="577" ht="15" spans="2:15">
      <c r="B577" s="562"/>
      <c r="C577" s="565" t="s">
        <v>795</v>
      </c>
      <c r="D577" s="564"/>
      <c r="E577" s="416"/>
      <c r="F577" s="555">
        <f ca="1" t="shared" si="332"/>
        <v>2.34</v>
      </c>
      <c r="G577" s="555">
        <f ca="1" t="shared" si="332"/>
        <v>0</v>
      </c>
      <c r="H577" s="555">
        <f ca="1" t="shared" si="332"/>
        <v>0</v>
      </c>
      <c r="I577" s="555">
        <f ca="1" t="shared" si="332"/>
        <v>2.34</v>
      </c>
      <c r="J577" s="555">
        <f ca="1" t="shared" si="332"/>
        <v>1.5314797188</v>
      </c>
      <c r="K577" s="555">
        <f ca="1" t="shared" si="332"/>
        <v>0</v>
      </c>
      <c r="L577" s="555">
        <f ca="1" t="shared" si="332"/>
        <v>0</v>
      </c>
      <c r="M577" s="555">
        <f ca="1" t="shared" si="332"/>
        <v>1.5314797188</v>
      </c>
      <c r="N577" s="555">
        <f ca="1" t="shared" ref="N577:O578" si="335">F577-J577</f>
        <v>0.8085202812</v>
      </c>
      <c r="O577" s="555">
        <f ca="1" t="shared" si="335"/>
        <v>0</v>
      </c>
    </row>
    <row r="578" ht="15" spans="2:15">
      <c r="B578" s="562"/>
      <c r="C578" s="565" t="s">
        <v>796</v>
      </c>
      <c r="D578" s="564"/>
      <c r="E578" s="416"/>
      <c r="F578" s="555">
        <f ca="1" t="shared" si="332"/>
        <v>0</v>
      </c>
      <c r="G578" s="555">
        <f ca="1" t="shared" si="332"/>
        <v>0</v>
      </c>
      <c r="H578" s="555">
        <f ca="1" t="shared" si="332"/>
        <v>0</v>
      </c>
      <c r="I578" s="555">
        <f ca="1" t="shared" si="332"/>
        <v>0</v>
      </c>
      <c r="J578" s="555">
        <f ca="1" t="shared" si="332"/>
        <v>0</v>
      </c>
      <c r="K578" s="555">
        <f ca="1" t="shared" si="332"/>
        <v>0</v>
      </c>
      <c r="L578" s="555">
        <f ca="1" t="shared" si="332"/>
        <v>0</v>
      </c>
      <c r="M578" s="555">
        <f ca="1" t="shared" si="332"/>
        <v>0</v>
      </c>
      <c r="N578" s="555">
        <f ca="1" t="shared" si="335"/>
        <v>0</v>
      </c>
      <c r="O578" s="555">
        <f ca="1" t="shared" si="335"/>
        <v>0</v>
      </c>
    </row>
    <row r="579" ht="15" spans="2:15">
      <c r="B579" s="562">
        <v>13</v>
      </c>
      <c r="C579" s="565"/>
      <c r="D579" s="564"/>
      <c r="E579" s="416"/>
      <c r="F579" s="555">
        <f t="shared" si="332"/>
        <v>0</v>
      </c>
      <c r="G579" s="555">
        <f t="shared" si="332"/>
        <v>0</v>
      </c>
      <c r="H579" s="555">
        <f t="shared" si="332"/>
        <v>0</v>
      </c>
      <c r="I579" s="555">
        <f t="shared" si="332"/>
        <v>0</v>
      </c>
      <c r="J579" s="555">
        <f t="shared" si="332"/>
        <v>0</v>
      </c>
      <c r="K579" s="555">
        <f t="shared" si="332"/>
        <v>0</v>
      </c>
      <c r="L579" s="555">
        <f t="shared" si="332"/>
        <v>0</v>
      </c>
      <c r="M579" s="555">
        <f t="shared" si="332"/>
        <v>0</v>
      </c>
      <c r="N579" s="555"/>
      <c r="O579" s="555"/>
    </row>
    <row r="580" ht="15" spans="2:15">
      <c r="B580" s="562"/>
      <c r="C580" s="565" t="s">
        <v>797</v>
      </c>
      <c r="D580" s="564"/>
      <c r="E580" s="416"/>
      <c r="F580" s="555">
        <f ca="1" t="shared" si="332"/>
        <v>15.525</v>
      </c>
      <c r="G580" s="555">
        <f ca="1" t="shared" si="332"/>
        <v>0</v>
      </c>
      <c r="H580" s="555">
        <f ca="1" t="shared" si="332"/>
        <v>0</v>
      </c>
      <c r="I580" s="555">
        <f ca="1" t="shared" si="332"/>
        <v>15.525</v>
      </c>
      <c r="J580" s="555">
        <f ca="1" t="shared" si="332"/>
        <v>12.1122318465</v>
      </c>
      <c r="K580" s="555">
        <f t="shared" si="332"/>
        <v>0.3646486539</v>
      </c>
      <c r="L580" s="555">
        <f ca="1" t="shared" si="332"/>
        <v>0</v>
      </c>
      <c r="M580" s="555">
        <f ca="1" t="shared" si="332"/>
        <v>12.4768805004</v>
      </c>
      <c r="N580" s="555">
        <f ca="1" t="shared" ref="N580:O583" si="336">F580-J580</f>
        <v>3.4127681535</v>
      </c>
      <c r="O580" s="555">
        <f ca="1" t="shared" si="336"/>
        <v>-0.3646486539</v>
      </c>
    </row>
    <row r="581" ht="15" spans="2:15">
      <c r="B581" s="562"/>
      <c r="C581" s="565" t="s">
        <v>798</v>
      </c>
      <c r="D581" s="564"/>
      <c r="E581" s="416"/>
      <c r="F581" s="555">
        <f ca="1" t="shared" si="332"/>
        <v>46.7809376757384</v>
      </c>
      <c r="G581" s="555">
        <f t="shared" si="332"/>
        <v>0.215341636394984</v>
      </c>
      <c r="H581" s="555">
        <f ca="1" t="shared" si="332"/>
        <v>0</v>
      </c>
      <c r="I581" s="555">
        <f ca="1" t="shared" si="332"/>
        <v>46.9962793121334</v>
      </c>
      <c r="J581" s="555">
        <f ca="1" t="shared" si="332"/>
        <v>35.4745744859775</v>
      </c>
      <c r="K581" s="555">
        <f t="shared" si="332"/>
        <v>1.25732185145423</v>
      </c>
      <c r="L581" s="555">
        <f ca="1" t="shared" si="332"/>
        <v>0</v>
      </c>
      <c r="M581" s="555">
        <f ca="1" t="shared" si="332"/>
        <v>36.7318963374318</v>
      </c>
      <c r="N581" s="555">
        <f ca="1" t="shared" si="336"/>
        <v>11.3063631897608</v>
      </c>
      <c r="O581" s="555">
        <f t="shared" si="336"/>
        <v>-1.04198021505925</v>
      </c>
    </row>
    <row r="582" ht="15" spans="2:15">
      <c r="B582" s="562"/>
      <c r="C582" s="565" t="s">
        <v>799</v>
      </c>
      <c r="D582" s="564"/>
      <c r="E582" s="416"/>
      <c r="F582" s="555">
        <f ca="1" t="shared" si="332"/>
        <v>0</v>
      </c>
      <c r="G582" s="555">
        <f ca="1" t="shared" si="332"/>
        <v>0</v>
      </c>
      <c r="H582" s="555">
        <f ca="1" t="shared" si="332"/>
        <v>0</v>
      </c>
      <c r="I582" s="555">
        <f ca="1" t="shared" si="332"/>
        <v>0</v>
      </c>
      <c r="J582" s="555">
        <f ca="1" t="shared" si="332"/>
        <v>0</v>
      </c>
      <c r="K582" s="555">
        <f ca="1" t="shared" si="332"/>
        <v>0</v>
      </c>
      <c r="L582" s="555">
        <f ca="1" t="shared" si="332"/>
        <v>0</v>
      </c>
      <c r="M582" s="555">
        <f ca="1" t="shared" si="332"/>
        <v>0</v>
      </c>
      <c r="N582" s="555">
        <f ca="1" t="shared" si="336"/>
        <v>0</v>
      </c>
      <c r="O582" s="555">
        <f ca="1" t="shared" si="336"/>
        <v>0</v>
      </c>
    </row>
    <row r="583" ht="15" spans="2:15">
      <c r="B583" s="562"/>
      <c r="C583" s="565" t="s">
        <v>800</v>
      </c>
      <c r="D583" s="564"/>
      <c r="E583" s="416"/>
      <c r="F583" s="555">
        <f ca="1" t="shared" si="332"/>
        <v>0</v>
      </c>
      <c r="G583" s="555">
        <f ca="1" t="shared" si="332"/>
        <v>0</v>
      </c>
      <c r="H583" s="555">
        <f ca="1" t="shared" si="332"/>
        <v>0</v>
      </c>
      <c r="I583" s="555">
        <f ca="1" t="shared" si="332"/>
        <v>0</v>
      </c>
      <c r="J583" s="555">
        <f ca="1" t="shared" si="332"/>
        <v>0</v>
      </c>
      <c r="K583" s="555">
        <f ca="1" t="shared" si="332"/>
        <v>0</v>
      </c>
      <c r="L583" s="555">
        <f ca="1" t="shared" si="332"/>
        <v>0</v>
      </c>
      <c r="M583" s="555">
        <f ca="1" t="shared" si="332"/>
        <v>0</v>
      </c>
      <c r="N583" s="555">
        <f ca="1" t="shared" si="336"/>
        <v>0</v>
      </c>
      <c r="O583" s="555">
        <f ca="1" t="shared" si="336"/>
        <v>0</v>
      </c>
    </row>
    <row r="584" ht="15" spans="2:15">
      <c r="B584" s="562">
        <v>14</v>
      </c>
      <c r="C584" s="563" t="s">
        <v>801</v>
      </c>
      <c r="D584" s="564"/>
      <c r="E584" s="416"/>
      <c r="F584" s="555">
        <f t="shared" ref="F584:M590" si="337">90%*F267</f>
        <v>0</v>
      </c>
      <c r="G584" s="555">
        <f t="shared" si="337"/>
        <v>0</v>
      </c>
      <c r="H584" s="555">
        <f t="shared" si="337"/>
        <v>0</v>
      </c>
      <c r="I584" s="555">
        <f t="shared" si="337"/>
        <v>0</v>
      </c>
      <c r="J584" s="555">
        <f t="shared" si="337"/>
        <v>0</v>
      </c>
      <c r="K584" s="555">
        <f t="shared" si="337"/>
        <v>0</v>
      </c>
      <c r="L584" s="555">
        <f t="shared" si="337"/>
        <v>0</v>
      </c>
      <c r="M584" s="555">
        <f t="shared" si="337"/>
        <v>0</v>
      </c>
      <c r="N584" s="555"/>
      <c r="O584" s="555"/>
    </row>
    <row r="585" ht="15" spans="2:15">
      <c r="B585" s="562"/>
      <c r="C585" s="565" t="s">
        <v>802</v>
      </c>
      <c r="D585" s="564"/>
      <c r="E585" s="416"/>
      <c r="F585" s="555">
        <f ca="1" t="shared" si="337"/>
        <v>0</v>
      </c>
      <c r="G585" s="555">
        <f ca="1" t="shared" si="337"/>
        <v>0</v>
      </c>
      <c r="H585" s="555">
        <f ca="1" t="shared" si="337"/>
        <v>0</v>
      </c>
      <c r="I585" s="555">
        <f ca="1" t="shared" si="337"/>
        <v>0</v>
      </c>
      <c r="J585" s="555">
        <f ca="1" t="shared" si="337"/>
        <v>0</v>
      </c>
      <c r="K585" s="555">
        <f ca="1" t="shared" si="337"/>
        <v>0</v>
      </c>
      <c r="L585" s="555">
        <f ca="1" t="shared" si="337"/>
        <v>0</v>
      </c>
      <c r="M585" s="555">
        <f ca="1" t="shared" si="337"/>
        <v>0</v>
      </c>
      <c r="N585" s="555">
        <f ca="1" t="shared" ref="N585:O590" si="338">F585-J585</f>
        <v>0</v>
      </c>
      <c r="O585" s="555">
        <f ca="1" t="shared" si="338"/>
        <v>0</v>
      </c>
    </row>
    <row r="586" ht="15" spans="2:15">
      <c r="B586" s="562"/>
      <c r="C586" s="565" t="s">
        <v>803</v>
      </c>
      <c r="D586" s="564"/>
      <c r="E586" s="416"/>
      <c r="F586" s="555">
        <f ca="1" t="shared" si="337"/>
        <v>0</v>
      </c>
      <c r="G586" s="555">
        <f ca="1" t="shared" si="337"/>
        <v>0</v>
      </c>
      <c r="H586" s="555">
        <f ca="1" t="shared" si="337"/>
        <v>0</v>
      </c>
      <c r="I586" s="555">
        <f ca="1" t="shared" si="337"/>
        <v>0</v>
      </c>
      <c r="J586" s="555">
        <f ca="1" t="shared" si="337"/>
        <v>0</v>
      </c>
      <c r="K586" s="555">
        <f ca="1" t="shared" si="337"/>
        <v>0</v>
      </c>
      <c r="L586" s="555">
        <f ca="1" t="shared" si="337"/>
        <v>0</v>
      </c>
      <c r="M586" s="555">
        <f ca="1" t="shared" si="337"/>
        <v>0</v>
      </c>
      <c r="N586" s="555">
        <f ca="1" t="shared" si="338"/>
        <v>0</v>
      </c>
      <c r="O586" s="555">
        <f ca="1" t="shared" si="338"/>
        <v>0</v>
      </c>
    </row>
    <row r="587" ht="15" spans="2:15">
      <c r="B587" s="562"/>
      <c r="C587" s="565" t="s">
        <v>804</v>
      </c>
      <c r="D587" s="564"/>
      <c r="E587" s="416"/>
      <c r="F587" s="555">
        <f ca="1" t="shared" si="337"/>
        <v>0</v>
      </c>
      <c r="G587" s="555">
        <f ca="1" t="shared" si="337"/>
        <v>0</v>
      </c>
      <c r="H587" s="555">
        <f ca="1" t="shared" si="337"/>
        <v>0</v>
      </c>
      <c r="I587" s="555">
        <f ca="1" t="shared" si="337"/>
        <v>0</v>
      </c>
      <c r="J587" s="555">
        <f ca="1" t="shared" si="337"/>
        <v>0</v>
      </c>
      <c r="K587" s="555">
        <f ca="1" t="shared" si="337"/>
        <v>0</v>
      </c>
      <c r="L587" s="555">
        <f ca="1" t="shared" si="337"/>
        <v>0</v>
      </c>
      <c r="M587" s="555">
        <f ca="1" t="shared" si="337"/>
        <v>0</v>
      </c>
      <c r="N587" s="555">
        <f ca="1" t="shared" si="338"/>
        <v>0</v>
      </c>
      <c r="O587" s="555">
        <f ca="1" t="shared" si="338"/>
        <v>0</v>
      </c>
    </row>
    <row r="588" ht="15" spans="2:15">
      <c r="B588" s="562">
        <v>15</v>
      </c>
      <c r="C588" s="563" t="s">
        <v>805</v>
      </c>
      <c r="D588" s="564"/>
      <c r="E588" s="416"/>
      <c r="F588" s="555">
        <f ca="1" t="shared" si="337"/>
        <v>210.036089659562</v>
      </c>
      <c r="G588" s="555">
        <f t="shared" si="337"/>
        <v>16.9117785016304</v>
      </c>
      <c r="H588" s="555">
        <f ca="1" t="shared" si="337"/>
        <v>0</v>
      </c>
      <c r="I588" s="555">
        <f ca="1" t="shared" si="337"/>
        <v>226.947868161192</v>
      </c>
      <c r="J588" s="555">
        <f ca="1" t="shared" si="337"/>
        <v>169.669028155295</v>
      </c>
      <c r="K588" s="555">
        <f t="shared" si="337"/>
        <v>9.58287557105649</v>
      </c>
      <c r="L588" s="555">
        <f ca="1" t="shared" si="337"/>
        <v>0</v>
      </c>
      <c r="M588" s="555">
        <f ca="1" t="shared" si="337"/>
        <v>179.251903726352</v>
      </c>
      <c r="N588" s="555">
        <f ca="1" t="shared" si="338"/>
        <v>40.3670615042665</v>
      </c>
      <c r="O588" s="555">
        <f t="shared" si="338"/>
        <v>7.32890293057395</v>
      </c>
    </row>
    <row r="589" ht="15" spans="2:15">
      <c r="B589" s="562">
        <v>16</v>
      </c>
      <c r="C589" s="563" t="s">
        <v>806</v>
      </c>
      <c r="D589" s="553"/>
      <c r="E589" s="416"/>
      <c r="F589" s="555">
        <f ca="1" t="shared" si="337"/>
        <v>63.72</v>
      </c>
      <c r="G589" s="555">
        <f ca="1" t="shared" si="337"/>
        <v>0</v>
      </c>
      <c r="H589" s="555">
        <f ca="1" t="shared" si="337"/>
        <v>0</v>
      </c>
      <c r="I589" s="555">
        <f ca="1" t="shared" si="337"/>
        <v>63.72</v>
      </c>
      <c r="J589" s="555">
        <f ca="1" t="shared" si="337"/>
        <v>56.3162044689</v>
      </c>
      <c r="K589" s="555">
        <f t="shared" si="337"/>
        <v>2.7418379544</v>
      </c>
      <c r="L589" s="555">
        <f ca="1" t="shared" si="337"/>
        <v>0</v>
      </c>
      <c r="M589" s="555">
        <f ca="1" t="shared" si="337"/>
        <v>59.0580424233</v>
      </c>
      <c r="N589" s="555">
        <f ca="1" t="shared" si="338"/>
        <v>7.40379553109999</v>
      </c>
      <c r="O589" s="555">
        <f ca="1" t="shared" si="338"/>
        <v>-2.7418379544</v>
      </c>
    </row>
    <row r="590" ht="15" spans="2:15">
      <c r="B590" s="562">
        <v>17</v>
      </c>
      <c r="C590" s="563" t="s">
        <v>807</v>
      </c>
      <c r="D590" s="553"/>
      <c r="E590" s="426"/>
      <c r="F590" s="555">
        <f ca="1" t="shared" si="337"/>
        <v>0</v>
      </c>
      <c r="G590" s="555">
        <f ca="1" t="shared" si="337"/>
        <v>0</v>
      </c>
      <c r="H590" s="555">
        <f ca="1" t="shared" si="337"/>
        <v>0</v>
      </c>
      <c r="I590" s="555">
        <f ca="1" t="shared" si="337"/>
        <v>0</v>
      </c>
      <c r="J590" s="555">
        <f ca="1" t="shared" si="337"/>
        <v>4.0198213683</v>
      </c>
      <c r="K590" s="555">
        <f ca="1" t="shared" si="337"/>
        <v>0</v>
      </c>
      <c r="L590" s="555">
        <f ca="1" t="shared" si="337"/>
        <v>0</v>
      </c>
      <c r="M590" s="555">
        <f ca="1" t="shared" si="337"/>
        <v>4.0198213683</v>
      </c>
      <c r="N590" s="555">
        <f ca="1" t="shared" si="338"/>
        <v>-4.0198213683</v>
      </c>
      <c r="O590" s="555">
        <f ca="1" t="shared" si="338"/>
        <v>0</v>
      </c>
    </row>
    <row r="591" ht="15.75" spans="2:15">
      <c r="B591" s="566"/>
      <c r="C591" s="567" t="s">
        <v>97</v>
      </c>
      <c r="D591" s="567"/>
      <c r="E591" s="568"/>
      <c r="F591" s="569">
        <f ca="1">SUM(F551:F590)</f>
        <v>35356.383964645</v>
      </c>
      <c r="G591" s="569">
        <f ca="1" t="shared" ref="G591:O591" si="339">SUM(G551:G590)</f>
        <v>6668.01165486875</v>
      </c>
      <c r="H591" s="569">
        <f ca="1" t="shared" si="339"/>
        <v>0</v>
      </c>
      <c r="I591" s="569">
        <f ca="1" t="shared" si="339"/>
        <v>42024.3956195138</v>
      </c>
      <c r="J591" s="569">
        <f ca="1" t="shared" si="339"/>
        <v>13516.6164103255</v>
      </c>
      <c r="K591" s="569">
        <f ca="1" t="shared" si="339"/>
        <v>1712.38608417023</v>
      </c>
      <c r="L591" s="569">
        <f ca="1" t="shared" si="339"/>
        <v>0</v>
      </c>
      <c r="M591" s="569">
        <f ca="1" t="shared" si="339"/>
        <v>15229.0024944957</v>
      </c>
      <c r="N591" s="569">
        <f ca="1" t="shared" si="339"/>
        <v>21839.7675543195</v>
      </c>
      <c r="O591" s="569">
        <f ca="1" t="shared" si="339"/>
        <v>19779.4492678577</v>
      </c>
    </row>
    <row r="593" ht="15" spans="2:15">
      <c r="B593" s="570" t="s">
        <v>657</v>
      </c>
      <c r="C593" s="571"/>
      <c r="D593" s="571"/>
      <c r="E593" s="571"/>
      <c r="F593" s="571"/>
      <c r="G593" s="571"/>
      <c r="H593" s="571"/>
      <c r="I593" s="571"/>
      <c r="J593" s="571"/>
      <c r="K593" s="571"/>
      <c r="L593" s="571"/>
      <c r="M593" s="571"/>
      <c r="N593" s="571"/>
      <c r="O593" s="581"/>
    </row>
    <row r="594" ht="15" spans="2:15">
      <c r="B594" s="547" t="s">
        <v>564</v>
      </c>
      <c r="C594" s="978" t="s">
        <v>671</v>
      </c>
      <c r="D594" s="549" t="s">
        <v>672</v>
      </c>
      <c r="E594" s="549" t="s">
        <v>673</v>
      </c>
      <c r="F594" s="549" t="s">
        <v>674</v>
      </c>
      <c r="G594" s="549"/>
      <c r="H594" s="549"/>
      <c r="I594" s="549"/>
      <c r="J594" s="549" t="s">
        <v>675</v>
      </c>
      <c r="K594" s="549"/>
      <c r="L594" s="549"/>
      <c r="M594" s="549"/>
      <c r="N594" s="549" t="s">
        <v>676</v>
      </c>
      <c r="O594" s="579"/>
    </row>
    <row r="595" ht="60.75" spans="2:15">
      <c r="B595" s="572"/>
      <c r="C595" s="573"/>
      <c r="D595" s="574"/>
      <c r="E595" s="574"/>
      <c r="F595" s="574" t="s">
        <v>677</v>
      </c>
      <c r="G595" s="574" t="s">
        <v>678</v>
      </c>
      <c r="H595" s="574" t="s">
        <v>679</v>
      </c>
      <c r="I595" s="574" t="s">
        <v>680</v>
      </c>
      <c r="J595" s="574" t="s">
        <v>681</v>
      </c>
      <c r="K595" s="574" t="s">
        <v>678</v>
      </c>
      <c r="L595" s="574" t="s">
        <v>682</v>
      </c>
      <c r="M595" s="574" t="s">
        <v>683</v>
      </c>
      <c r="N595" s="574" t="s">
        <v>677</v>
      </c>
      <c r="O595" s="582" t="s">
        <v>680</v>
      </c>
    </row>
    <row r="596" ht="15" spans="2:15">
      <c r="B596" s="551">
        <v>1</v>
      </c>
      <c r="C596" s="552" t="s">
        <v>684</v>
      </c>
      <c r="D596" s="546"/>
      <c r="E596" s="576"/>
      <c r="F596" s="555">
        <f ca="1">90%*F279</f>
        <v>276.096171769145</v>
      </c>
      <c r="G596" s="555">
        <f t="shared" ref="G596:M596" si="340">90%*G279</f>
        <v>80.227672203984</v>
      </c>
      <c r="H596" s="555">
        <f ca="1" t="shared" si="340"/>
        <v>0</v>
      </c>
      <c r="I596" s="555">
        <f ca="1" t="shared" si="340"/>
        <v>356.323843973129</v>
      </c>
      <c r="J596" s="555">
        <f ca="1" t="shared" si="340"/>
        <v>0.0044091558000014</v>
      </c>
      <c r="K596" s="555">
        <f t="shared" si="340"/>
        <v>0</v>
      </c>
      <c r="L596" s="555">
        <f ca="1" t="shared" si="340"/>
        <v>0</v>
      </c>
      <c r="M596" s="555">
        <f ca="1" t="shared" si="340"/>
        <v>0.0044091558000014</v>
      </c>
      <c r="N596" s="555">
        <f ca="1">F596-J596</f>
        <v>276.091762613345</v>
      </c>
      <c r="O596" s="555">
        <f ca="1">I596-M596</f>
        <v>356.319434817329</v>
      </c>
    </row>
    <row r="597" ht="15" spans="2:15">
      <c r="B597" s="551">
        <v>2</v>
      </c>
      <c r="C597" s="552" t="s">
        <v>770</v>
      </c>
      <c r="D597" s="614"/>
      <c r="E597" s="615"/>
      <c r="F597" s="555">
        <f ca="1" t="shared" ref="F597:M612" si="341">90%*F280</f>
        <v>0</v>
      </c>
      <c r="G597" s="555">
        <f ca="1" t="shared" si="341"/>
        <v>0</v>
      </c>
      <c r="H597" s="555">
        <f ca="1" t="shared" si="341"/>
        <v>0</v>
      </c>
      <c r="I597" s="555">
        <f ca="1" t="shared" si="341"/>
        <v>0</v>
      </c>
      <c r="J597" s="555">
        <f ca="1" t="shared" si="341"/>
        <v>0</v>
      </c>
      <c r="K597" s="555">
        <f ca="1" t="shared" si="341"/>
        <v>0</v>
      </c>
      <c r="L597" s="555">
        <f ca="1" t="shared" si="341"/>
        <v>0</v>
      </c>
      <c r="M597" s="555">
        <f ca="1" t="shared" si="341"/>
        <v>0</v>
      </c>
      <c r="N597" s="555">
        <f ca="1">F597-J597</f>
        <v>0</v>
      </c>
      <c r="O597" s="555">
        <f ca="1">I597-M597</f>
        <v>0</v>
      </c>
    </row>
    <row r="598" ht="15" spans="2:15">
      <c r="B598" s="551">
        <v>3</v>
      </c>
      <c r="C598" s="556" t="s">
        <v>771</v>
      </c>
      <c r="D598" s="553"/>
      <c r="E598" s="416"/>
      <c r="F598" s="555">
        <f t="shared" si="341"/>
        <v>0</v>
      </c>
      <c r="G598" s="555">
        <f t="shared" si="341"/>
        <v>0</v>
      </c>
      <c r="H598" s="555">
        <f t="shared" si="341"/>
        <v>0</v>
      </c>
      <c r="I598" s="555">
        <f t="shared" si="341"/>
        <v>0</v>
      </c>
      <c r="J598" s="555">
        <f t="shared" si="341"/>
        <v>0</v>
      </c>
      <c r="K598" s="555">
        <f t="shared" si="341"/>
        <v>0</v>
      </c>
      <c r="L598" s="555">
        <f t="shared" si="341"/>
        <v>0</v>
      </c>
      <c r="M598" s="555">
        <f t="shared" si="341"/>
        <v>0</v>
      </c>
      <c r="N598" s="555"/>
      <c r="O598" s="555"/>
    </row>
    <row r="599" ht="15" spans="2:15">
      <c r="B599" s="551"/>
      <c r="C599" s="557" t="s">
        <v>772</v>
      </c>
      <c r="D599" s="553"/>
      <c r="E599" s="416"/>
      <c r="F599" s="555">
        <f ca="1" t="shared" si="341"/>
        <v>586.843729048511</v>
      </c>
      <c r="G599" s="555">
        <f t="shared" si="341"/>
        <v>74.7636178593747</v>
      </c>
      <c r="H599" s="555">
        <f ca="1" t="shared" si="341"/>
        <v>0</v>
      </c>
      <c r="I599" s="555">
        <f ca="1" t="shared" si="341"/>
        <v>661.607346907886</v>
      </c>
      <c r="J599" s="555">
        <f ca="1" t="shared" si="341"/>
        <v>199.284596981541</v>
      </c>
      <c r="K599" s="555">
        <f t="shared" si="341"/>
        <v>20.4281820692362</v>
      </c>
      <c r="L599" s="555">
        <f ca="1" t="shared" si="341"/>
        <v>0</v>
      </c>
      <c r="M599" s="555">
        <f ca="1" t="shared" si="341"/>
        <v>219.712779050777</v>
      </c>
      <c r="N599" s="555">
        <f ca="1" t="shared" ref="N599:N602" si="342">F599-J599</f>
        <v>387.55913206697</v>
      </c>
      <c r="O599" s="555">
        <f ca="1" t="shared" ref="O599:O602" si="343">I599-M599</f>
        <v>441.894567857108</v>
      </c>
    </row>
    <row r="600" ht="28.5" spans="2:15">
      <c r="B600" s="551"/>
      <c r="C600" s="557" t="s">
        <v>773</v>
      </c>
      <c r="D600" s="553"/>
      <c r="E600" s="416"/>
      <c r="F600" s="555">
        <f ca="1" t="shared" si="341"/>
        <v>0</v>
      </c>
      <c r="G600" s="555">
        <f ca="1" t="shared" si="341"/>
        <v>0</v>
      </c>
      <c r="H600" s="555">
        <f ca="1" t="shared" si="341"/>
        <v>0</v>
      </c>
      <c r="I600" s="555">
        <f ca="1" t="shared" si="341"/>
        <v>0</v>
      </c>
      <c r="J600" s="555">
        <f ca="1" t="shared" si="341"/>
        <v>0</v>
      </c>
      <c r="K600" s="555">
        <f ca="1" t="shared" si="341"/>
        <v>0</v>
      </c>
      <c r="L600" s="555">
        <f ca="1" t="shared" si="341"/>
        <v>0</v>
      </c>
      <c r="M600" s="555">
        <f ca="1" t="shared" si="341"/>
        <v>0</v>
      </c>
      <c r="N600" s="555">
        <f ca="1" t="shared" si="342"/>
        <v>0</v>
      </c>
      <c r="O600" s="555">
        <f ca="1" t="shared" si="343"/>
        <v>0</v>
      </c>
    </row>
    <row r="601" ht="15" spans="2:15">
      <c r="B601" s="551"/>
      <c r="C601" s="557" t="s">
        <v>774</v>
      </c>
      <c r="D601" s="553"/>
      <c r="E601" s="416"/>
      <c r="F601" s="555">
        <f ca="1" t="shared" si="341"/>
        <v>0</v>
      </c>
      <c r="G601" s="555">
        <f ca="1" t="shared" si="341"/>
        <v>0</v>
      </c>
      <c r="H601" s="555">
        <f ca="1" t="shared" si="341"/>
        <v>0</v>
      </c>
      <c r="I601" s="555">
        <f ca="1" t="shared" si="341"/>
        <v>0</v>
      </c>
      <c r="J601" s="555">
        <f ca="1" t="shared" si="341"/>
        <v>0</v>
      </c>
      <c r="K601" s="555">
        <f ca="1" t="shared" si="341"/>
        <v>0</v>
      </c>
      <c r="L601" s="555">
        <f ca="1" t="shared" si="341"/>
        <v>0</v>
      </c>
      <c r="M601" s="555">
        <f ca="1" t="shared" si="341"/>
        <v>0</v>
      </c>
      <c r="N601" s="555">
        <f ca="1" t="shared" si="342"/>
        <v>0</v>
      </c>
      <c r="O601" s="555">
        <f ca="1" t="shared" si="343"/>
        <v>0</v>
      </c>
    </row>
    <row r="602" ht="15" spans="2:15">
      <c r="B602" s="551"/>
      <c r="C602" s="557" t="s">
        <v>775</v>
      </c>
      <c r="D602" s="553"/>
      <c r="E602" s="416"/>
      <c r="F602" s="555">
        <f ca="1" t="shared" si="341"/>
        <v>198.972</v>
      </c>
      <c r="G602" s="555">
        <f ca="1" t="shared" si="341"/>
        <v>0</v>
      </c>
      <c r="H602" s="555">
        <f ca="1" t="shared" si="341"/>
        <v>0</v>
      </c>
      <c r="I602" s="555">
        <f ca="1" t="shared" si="341"/>
        <v>198.972</v>
      </c>
      <c r="J602" s="555">
        <f ca="1" t="shared" si="341"/>
        <v>39.9721005729</v>
      </c>
      <c r="K602" s="555">
        <f ca="1" t="shared" si="341"/>
        <v>0</v>
      </c>
      <c r="L602" s="555">
        <f ca="1" t="shared" si="341"/>
        <v>0</v>
      </c>
      <c r="M602" s="555">
        <f ca="1" t="shared" si="341"/>
        <v>39.9721005729</v>
      </c>
      <c r="N602" s="555">
        <f ca="1" t="shared" si="342"/>
        <v>158.9998994271</v>
      </c>
      <c r="O602" s="555">
        <f ca="1" t="shared" si="343"/>
        <v>158.9998994271</v>
      </c>
    </row>
    <row r="603" ht="15" spans="2:15">
      <c r="B603" s="551">
        <v>4</v>
      </c>
      <c r="C603" s="552" t="s">
        <v>776</v>
      </c>
      <c r="D603" s="553"/>
      <c r="E603" s="416"/>
      <c r="F603" s="555">
        <f t="shared" si="341"/>
        <v>0</v>
      </c>
      <c r="G603" s="555">
        <f t="shared" si="341"/>
        <v>0</v>
      </c>
      <c r="H603" s="555">
        <f t="shared" si="341"/>
        <v>0</v>
      </c>
      <c r="I603" s="555">
        <f t="shared" si="341"/>
        <v>0</v>
      </c>
      <c r="J603" s="555">
        <f t="shared" si="341"/>
        <v>0</v>
      </c>
      <c r="K603" s="555">
        <f t="shared" si="341"/>
        <v>0</v>
      </c>
      <c r="L603" s="555">
        <f t="shared" si="341"/>
        <v>0</v>
      </c>
      <c r="M603" s="555">
        <f t="shared" si="341"/>
        <v>0</v>
      </c>
      <c r="N603" s="555"/>
      <c r="O603" s="555"/>
    </row>
    <row r="604" ht="15" spans="2:15">
      <c r="B604" s="551"/>
      <c r="C604" s="558" t="s">
        <v>777</v>
      </c>
      <c r="D604" s="553"/>
      <c r="E604" s="416"/>
      <c r="F604" s="555">
        <f ca="1" t="shared" si="341"/>
        <v>14063.9735409207</v>
      </c>
      <c r="G604" s="555">
        <f t="shared" si="341"/>
        <v>1786.75736328943</v>
      </c>
      <c r="H604" s="555">
        <f ca="1" t="shared" si="341"/>
        <v>0</v>
      </c>
      <c r="I604" s="555">
        <f ca="1" t="shared" si="341"/>
        <v>15850.7309042102</v>
      </c>
      <c r="J604" s="555">
        <f ca="1" t="shared" si="341"/>
        <v>6233.98683352904</v>
      </c>
      <c r="K604" s="555">
        <f t="shared" si="341"/>
        <v>551.270971413629</v>
      </c>
      <c r="L604" s="555">
        <f ca="1" t="shared" si="341"/>
        <v>0</v>
      </c>
      <c r="M604" s="555">
        <f ca="1" t="shared" si="341"/>
        <v>6785.25780494267</v>
      </c>
      <c r="N604" s="555">
        <f ca="1" t="shared" ref="N604:N607" si="344">F604-J604</f>
        <v>7829.98670739168</v>
      </c>
      <c r="O604" s="555">
        <f ca="1" t="shared" ref="O604:O607" si="345">I604-M604</f>
        <v>9065.47309926748</v>
      </c>
    </row>
    <row r="605" ht="15" spans="2:15">
      <c r="B605" s="551"/>
      <c r="C605" s="552" t="s">
        <v>778</v>
      </c>
      <c r="D605" s="553"/>
      <c r="E605" s="416"/>
      <c r="F605" s="555">
        <f t="shared" si="341"/>
        <v>0</v>
      </c>
      <c r="G605" s="555">
        <f t="shared" si="341"/>
        <v>0</v>
      </c>
      <c r="H605" s="555">
        <f t="shared" si="341"/>
        <v>0</v>
      </c>
      <c r="I605" s="555">
        <f t="shared" si="341"/>
        <v>0</v>
      </c>
      <c r="J605" s="555">
        <f t="shared" si="341"/>
        <v>0</v>
      </c>
      <c r="K605" s="555">
        <f t="shared" si="341"/>
        <v>0</v>
      </c>
      <c r="L605" s="555">
        <f t="shared" si="341"/>
        <v>0</v>
      </c>
      <c r="M605" s="555">
        <f t="shared" si="341"/>
        <v>0</v>
      </c>
      <c r="N605" s="555"/>
      <c r="O605" s="555"/>
    </row>
    <row r="606" ht="15" spans="2:15">
      <c r="B606" s="551"/>
      <c r="C606" s="558" t="s">
        <v>779</v>
      </c>
      <c r="D606" s="553"/>
      <c r="E606" s="416"/>
      <c r="F606" s="555">
        <f ca="1" t="shared" si="341"/>
        <v>0</v>
      </c>
      <c r="G606" s="555">
        <f ca="1" t="shared" si="341"/>
        <v>0</v>
      </c>
      <c r="H606" s="555">
        <f ca="1" t="shared" si="341"/>
        <v>0</v>
      </c>
      <c r="I606" s="555">
        <f ca="1" t="shared" si="341"/>
        <v>0</v>
      </c>
      <c r="J606" s="555">
        <f ca="1" t="shared" si="341"/>
        <v>0</v>
      </c>
      <c r="K606" s="555">
        <f ca="1" t="shared" si="341"/>
        <v>0</v>
      </c>
      <c r="L606" s="555">
        <f ca="1" t="shared" si="341"/>
        <v>0</v>
      </c>
      <c r="M606" s="555">
        <f ca="1" t="shared" si="341"/>
        <v>0</v>
      </c>
      <c r="N606" s="555">
        <f ca="1" t="shared" si="344"/>
        <v>0</v>
      </c>
      <c r="O606" s="555">
        <f ca="1" t="shared" si="345"/>
        <v>0</v>
      </c>
    </row>
    <row r="607" ht="15" spans="2:15">
      <c r="B607" s="551"/>
      <c r="C607" s="558" t="s">
        <v>780</v>
      </c>
      <c r="D607" s="553"/>
      <c r="E607" s="416"/>
      <c r="F607" s="555">
        <f ca="1" t="shared" si="341"/>
        <v>0</v>
      </c>
      <c r="G607" s="555">
        <f ca="1" t="shared" si="341"/>
        <v>0</v>
      </c>
      <c r="H607" s="555">
        <f ca="1" t="shared" si="341"/>
        <v>0</v>
      </c>
      <c r="I607" s="555">
        <f ca="1" t="shared" si="341"/>
        <v>0</v>
      </c>
      <c r="J607" s="555">
        <f ca="1" t="shared" si="341"/>
        <v>0</v>
      </c>
      <c r="K607" s="555">
        <f ca="1" t="shared" si="341"/>
        <v>0</v>
      </c>
      <c r="L607" s="555">
        <f ca="1" t="shared" si="341"/>
        <v>0</v>
      </c>
      <c r="M607" s="555">
        <f ca="1" t="shared" si="341"/>
        <v>0</v>
      </c>
      <c r="N607" s="555">
        <f ca="1" t="shared" si="344"/>
        <v>0</v>
      </c>
      <c r="O607" s="555">
        <f ca="1" t="shared" si="345"/>
        <v>0</v>
      </c>
    </row>
    <row r="608" ht="15" spans="2:15">
      <c r="B608" s="551">
        <v>5</v>
      </c>
      <c r="C608" s="552" t="s">
        <v>781</v>
      </c>
      <c r="D608" s="553"/>
      <c r="E608" s="416"/>
      <c r="F608" s="555">
        <f t="shared" si="341"/>
        <v>0</v>
      </c>
      <c r="G608" s="555">
        <f t="shared" si="341"/>
        <v>0</v>
      </c>
      <c r="H608" s="555">
        <f t="shared" si="341"/>
        <v>0</v>
      </c>
      <c r="I608" s="555">
        <f t="shared" si="341"/>
        <v>0</v>
      </c>
      <c r="J608" s="555">
        <f t="shared" si="341"/>
        <v>0</v>
      </c>
      <c r="K608" s="555">
        <f t="shared" si="341"/>
        <v>0</v>
      </c>
      <c r="L608" s="555">
        <f t="shared" si="341"/>
        <v>0</v>
      </c>
      <c r="M608" s="555">
        <f t="shared" si="341"/>
        <v>0</v>
      </c>
      <c r="N608" s="555"/>
      <c r="O608" s="555"/>
    </row>
    <row r="609" ht="15" spans="2:15">
      <c r="B609" s="551"/>
      <c r="C609" s="558" t="s">
        <v>782</v>
      </c>
      <c r="D609" s="553"/>
      <c r="E609" s="416"/>
      <c r="F609" s="555">
        <f ca="1" t="shared" si="341"/>
        <v>0</v>
      </c>
      <c r="G609" s="555">
        <f ca="1" t="shared" si="341"/>
        <v>0</v>
      </c>
      <c r="H609" s="555">
        <f ca="1" t="shared" si="341"/>
        <v>0</v>
      </c>
      <c r="I609" s="555">
        <f ca="1" t="shared" si="341"/>
        <v>0</v>
      </c>
      <c r="J609" s="555">
        <f ca="1" t="shared" si="341"/>
        <v>0</v>
      </c>
      <c r="K609" s="555">
        <f ca="1" t="shared" si="341"/>
        <v>0</v>
      </c>
      <c r="L609" s="555">
        <f ca="1" t="shared" si="341"/>
        <v>0</v>
      </c>
      <c r="M609" s="555">
        <f ca="1" t="shared" si="341"/>
        <v>0</v>
      </c>
      <c r="N609" s="555">
        <f ca="1" t="shared" ref="N609:N614" si="346">F609-J609</f>
        <v>0</v>
      </c>
      <c r="O609" s="555">
        <f ca="1" t="shared" ref="O609:O614" si="347">I609-M609</f>
        <v>0</v>
      </c>
    </row>
    <row r="610" ht="15" spans="2:15">
      <c r="B610" s="551"/>
      <c r="C610" s="558" t="s">
        <v>783</v>
      </c>
      <c r="D610" s="553"/>
      <c r="E610" s="416"/>
      <c r="F610" s="555">
        <f ca="1" t="shared" si="341"/>
        <v>0</v>
      </c>
      <c r="G610" s="555">
        <f ca="1" t="shared" si="341"/>
        <v>0</v>
      </c>
      <c r="H610" s="555">
        <f ca="1" t="shared" si="341"/>
        <v>0</v>
      </c>
      <c r="I610" s="555">
        <f ca="1" t="shared" si="341"/>
        <v>0</v>
      </c>
      <c r="J610" s="555">
        <f ca="1" t="shared" si="341"/>
        <v>0</v>
      </c>
      <c r="K610" s="555">
        <f ca="1" t="shared" si="341"/>
        <v>0</v>
      </c>
      <c r="L610" s="555">
        <f ca="1" t="shared" si="341"/>
        <v>0</v>
      </c>
      <c r="M610" s="555">
        <f ca="1" t="shared" si="341"/>
        <v>0</v>
      </c>
      <c r="N610" s="555">
        <f ca="1" t="shared" si="346"/>
        <v>0</v>
      </c>
      <c r="O610" s="555">
        <f ca="1" t="shared" si="347"/>
        <v>0</v>
      </c>
    </row>
    <row r="611" ht="15" spans="2:15">
      <c r="B611" s="551"/>
      <c r="C611" s="558" t="s">
        <v>784</v>
      </c>
      <c r="D611" s="553"/>
      <c r="E611" s="416"/>
      <c r="F611" s="555">
        <f ca="1" t="shared" si="341"/>
        <v>0</v>
      </c>
      <c r="G611" s="555">
        <f ca="1" t="shared" si="341"/>
        <v>0</v>
      </c>
      <c r="H611" s="555">
        <f ca="1" t="shared" si="341"/>
        <v>0</v>
      </c>
      <c r="I611" s="555">
        <f ca="1" t="shared" si="341"/>
        <v>0</v>
      </c>
      <c r="J611" s="555">
        <f ca="1" t="shared" si="341"/>
        <v>0</v>
      </c>
      <c r="K611" s="555">
        <f ca="1" t="shared" si="341"/>
        <v>0</v>
      </c>
      <c r="L611" s="555">
        <f ca="1" t="shared" si="341"/>
        <v>0</v>
      </c>
      <c r="M611" s="555">
        <f ca="1" t="shared" si="341"/>
        <v>0</v>
      </c>
      <c r="N611" s="555">
        <f ca="1" t="shared" si="346"/>
        <v>0</v>
      </c>
      <c r="O611" s="555">
        <f ca="1" t="shared" si="347"/>
        <v>0</v>
      </c>
    </row>
    <row r="612" ht="15" spans="2:15">
      <c r="B612" s="551"/>
      <c r="C612" s="558" t="s">
        <v>785</v>
      </c>
      <c r="D612" s="553"/>
      <c r="E612" s="416"/>
      <c r="F612" s="555">
        <f ca="1" t="shared" si="341"/>
        <v>0</v>
      </c>
      <c r="G612" s="555">
        <f ca="1" t="shared" si="341"/>
        <v>0</v>
      </c>
      <c r="H612" s="555">
        <f ca="1" t="shared" si="341"/>
        <v>0</v>
      </c>
      <c r="I612" s="555">
        <f ca="1" t="shared" si="341"/>
        <v>0</v>
      </c>
      <c r="J612" s="555">
        <f ca="1" t="shared" si="341"/>
        <v>0</v>
      </c>
      <c r="K612" s="555">
        <f ca="1" t="shared" si="341"/>
        <v>0</v>
      </c>
      <c r="L612" s="555">
        <f ca="1" t="shared" si="341"/>
        <v>0</v>
      </c>
      <c r="M612" s="555">
        <f ca="1" t="shared" si="341"/>
        <v>0</v>
      </c>
      <c r="N612" s="555">
        <f ca="1" t="shared" si="346"/>
        <v>0</v>
      </c>
      <c r="O612" s="555">
        <f ca="1" t="shared" si="347"/>
        <v>0</v>
      </c>
    </row>
    <row r="613" ht="15" spans="2:15">
      <c r="B613" s="551">
        <v>6</v>
      </c>
      <c r="C613" s="552" t="s">
        <v>786</v>
      </c>
      <c r="D613" s="553"/>
      <c r="E613" s="416"/>
      <c r="F613" s="555">
        <f ca="1" t="shared" ref="F613:M628" si="348">90%*F296</f>
        <v>0</v>
      </c>
      <c r="G613" s="555">
        <f ca="1" t="shared" si="348"/>
        <v>0</v>
      </c>
      <c r="H613" s="555">
        <f ca="1" t="shared" si="348"/>
        <v>0</v>
      </c>
      <c r="I613" s="555">
        <f ca="1" t="shared" si="348"/>
        <v>0</v>
      </c>
      <c r="J613" s="555">
        <f ca="1" t="shared" si="348"/>
        <v>0</v>
      </c>
      <c r="K613" s="555">
        <f ca="1" t="shared" si="348"/>
        <v>0</v>
      </c>
      <c r="L613" s="555">
        <f ca="1" t="shared" si="348"/>
        <v>0</v>
      </c>
      <c r="M613" s="555">
        <f ca="1" t="shared" si="348"/>
        <v>0</v>
      </c>
      <c r="N613" s="555">
        <f ca="1" t="shared" si="346"/>
        <v>0</v>
      </c>
      <c r="O613" s="555">
        <f ca="1" t="shared" si="347"/>
        <v>0</v>
      </c>
    </row>
    <row r="614" ht="15" spans="2:15">
      <c r="B614" s="551">
        <v>7</v>
      </c>
      <c r="C614" s="552" t="s">
        <v>787</v>
      </c>
      <c r="D614" s="553"/>
      <c r="E614" s="416"/>
      <c r="F614" s="555">
        <f ca="1" t="shared" si="348"/>
        <v>0</v>
      </c>
      <c r="G614" s="555">
        <f ca="1" t="shared" si="348"/>
        <v>0</v>
      </c>
      <c r="H614" s="555">
        <f ca="1" t="shared" si="348"/>
        <v>0</v>
      </c>
      <c r="I614" s="555">
        <f ca="1" t="shared" si="348"/>
        <v>0</v>
      </c>
      <c r="J614" s="555">
        <f ca="1" t="shared" si="348"/>
        <v>0</v>
      </c>
      <c r="K614" s="555">
        <f ca="1" t="shared" si="348"/>
        <v>0</v>
      </c>
      <c r="L614" s="555">
        <f ca="1" t="shared" si="348"/>
        <v>0</v>
      </c>
      <c r="M614" s="555">
        <f ca="1" t="shared" si="348"/>
        <v>0</v>
      </c>
      <c r="N614" s="555">
        <f ca="1" t="shared" si="346"/>
        <v>0</v>
      </c>
      <c r="O614" s="555">
        <f ca="1" t="shared" si="347"/>
        <v>0</v>
      </c>
    </row>
    <row r="615" ht="15" spans="2:15">
      <c r="B615" s="551">
        <v>8</v>
      </c>
      <c r="C615" s="552" t="s">
        <v>788</v>
      </c>
      <c r="D615" s="553"/>
      <c r="E615" s="416"/>
      <c r="F615" s="555">
        <f t="shared" si="348"/>
        <v>0</v>
      </c>
      <c r="G615" s="555">
        <f t="shared" si="348"/>
        <v>0</v>
      </c>
      <c r="H615" s="555">
        <f t="shared" si="348"/>
        <v>0</v>
      </c>
      <c r="I615" s="555">
        <f t="shared" si="348"/>
        <v>0</v>
      </c>
      <c r="J615" s="555">
        <f t="shared" si="348"/>
        <v>0</v>
      </c>
      <c r="K615" s="555">
        <f t="shared" si="348"/>
        <v>0</v>
      </c>
      <c r="L615" s="555">
        <f t="shared" si="348"/>
        <v>0</v>
      </c>
      <c r="M615" s="555">
        <f t="shared" si="348"/>
        <v>0</v>
      </c>
      <c r="N615" s="555"/>
      <c r="O615" s="555"/>
    </row>
    <row r="616" ht="15" spans="2:15">
      <c r="B616" s="551"/>
      <c r="C616" s="558" t="s">
        <v>789</v>
      </c>
      <c r="D616" s="553"/>
      <c r="E616" s="416"/>
      <c r="F616" s="555">
        <f ca="1" t="shared" si="348"/>
        <v>14553.7009323685</v>
      </c>
      <c r="G616" s="555">
        <f t="shared" si="348"/>
        <v>2015.74287349238</v>
      </c>
      <c r="H616" s="555">
        <f ca="1" t="shared" si="348"/>
        <v>0</v>
      </c>
      <c r="I616" s="555">
        <f ca="1" t="shared" si="348"/>
        <v>16569.4438058609</v>
      </c>
      <c r="J616" s="555">
        <f ca="1" t="shared" si="348"/>
        <v>5608.43334365011</v>
      </c>
      <c r="K616" s="555">
        <f t="shared" si="348"/>
        <v>507.404602777777</v>
      </c>
      <c r="L616" s="555">
        <f ca="1" t="shared" si="348"/>
        <v>0</v>
      </c>
      <c r="M616" s="555">
        <f ca="1" t="shared" si="348"/>
        <v>6115.83794642789</v>
      </c>
      <c r="N616" s="555">
        <f ca="1" t="shared" ref="N616:O620" si="349">F616-J616</f>
        <v>8945.26758871839</v>
      </c>
      <c r="O616" s="555">
        <f ca="1" t="shared" ref="O616:O618" si="350">I616-M616</f>
        <v>10453.605859433</v>
      </c>
    </row>
    <row r="617" ht="15" spans="2:15">
      <c r="B617" s="551"/>
      <c r="C617" s="558" t="s">
        <v>808</v>
      </c>
      <c r="D617" s="553"/>
      <c r="E617" s="416"/>
      <c r="F617" s="555">
        <f ca="1" t="shared" si="348"/>
        <v>0</v>
      </c>
      <c r="G617" s="555">
        <f ca="1" t="shared" si="348"/>
        <v>0</v>
      </c>
      <c r="H617" s="555">
        <f ca="1" t="shared" si="348"/>
        <v>0</v>
      </c>
      <c r="I617" s="555">
        <f ca="1" t="shared" si="348"/>
        <v>0</v>
      </c>
      <c r="J617" s="555">
        <f ca="1" t="shared" si="348"/>
        <v>0</v>
      </c>
      <c r="K617" s="555">
        <f ca="1" t="shared" si="348"/>
        <v>0</v>
      </c>
      <c r="L617" s="555">
        <f ca="1" t="shared" si="348"/>
        <v>0</v>
      </c>
      <c r="M617" s="555">
        <f ca="1" t="shared" si="348"/>
        <v>0</v>
      </c>
      <c r="N617" s="555">
        <f ca="1" t="shared" si="349"/>
        <v>0</v>
      </c>
      <c r="O617" s="555">
        <f ca="1" t="shared" si="350"/>
        <v>0</v>
      </c>
    </row>
    <row r="618" ht="30" spans="2:15">
      <c r="B618" s="560">
        <v>9</v>
      </c>
      <c r="C618" s="561" t="s">
        <v>791</v>
      </c>
      <c r="D618" s="553"/>
      <c r="E618" s="416"/>
      <c r="F618" s="555">
        <f ca="1" t="shared" si="348"/>
        <v>0</v>
      </c>
      <c r="G618" s="555">
        <f ca="1" t="shared" si="348"/>
        <v>0</v>
      </c>
      <c r="H618" s="555">
        <f ca="1" t="shared" si="348"/>
        <v>0</v>
      </c>
      <c r="I618" s="555">
        <f ca="1" t="shared" si="348"/>
        <v>0</v>
      </c>
      <c r="J618" s="555">
        <f ca="1" t="shared" si="348"/>
        <v>0</v>
      </c>
      <c r="K618" s="555">
        <f ca="1" t="shared" si="348"/>
        <v>0</v>
      </c>
      <c r="L618" s="555">
        <f ca="1" t="shared" si="348"/>
        <v>0</v>
      </c>
      <c r="M618" s="555">
        <f ca="1" t="shared" si="348"/>
        <v>0</v>
      </c>
      <c r="N618" s="555">
        <f ca="1" t="shared" si="349"/>
        <v>0</v>
      </c>
      <c r="O618" s="555">
        <f ca="1" t="shared" si="350"/>
        <v>0</v>
      </c>
    </row>
    <row r="619" ht="15" spans="2:15">
      <c r="B619" s="562">
        <v>10</v>
      </c>
      <c r="C619" s="563" t="s">
        <v>792</v>
      </c>
      <c r="D619" s="564"/>
      <c r="E619" s="416"/>
      <c r="F619" s="555">
        <f ca="1" t="shared" si="348"/>
        <v>11982.9080979336</v>
      </c>
      <c r="G619" s="555">
        <f t="shared" si="348"/>
        <v>3091.15543005273</v>
      </c>
      <c r="H619" s="555">
        <f ca="1" t="shared" si="348"/>
        <v>0</v>
      </c>
      <c r="I619" s="555">
        <f ca="1" t="shared" si="348"/>
        <v>15074.0635279863</v>
      </c>
      <c r="J619" s="555">
        <f ca="1" t="shared" si="348"/>
        <v>2848.10129676584</v>
      </c>
      <c r="K619" s="555">
        <f t="shared" si="348"/>
        <v>985.623686012088</v>
      </c>
      <c r="L619" s="555">
        <f ca="1" t="shared" si="348"/>
        <v>0</v>
      </c>
      <c r="M619" s="555">
        <f ca="1" t="shared" si="348"/>
        <v>3833.72498277793</v>
      </c>
      <c r="N619" s="555">
        <f ca="1" t="shared" si="349"/>
        <v>9134.80680116775</v>
      </c>
      <c r="O619" s="555">
        <f t="shared" si="349"/>
        <v>2105.53174404064</v>
      </c>
    </row>
    <row r="620" ht="15" spans="2:15">
      <c r="B620" s="562">
        <v>11</v>
      </c>
      <c r="C620" s="563" t="s">
        <v>793</v>
      </c>
      <c r="D620" s="564"/>
      <c r="E620" s="416"/>
      <c r="F620" s="555">
        <f ca="1" t="shared" si="348"/>
        <v>6.372</v>
      </c>
      <c r="G620" s="555">
        <f ca="1" t="shared" si="348"/>
        <v>0</v>
      </c>
      <c r="H620" s="555">
        <f ca="1" t="shared" si="348"/>
        <v>0</v>
      </c>
      <c r="I620" s="555">
        <f ca="1" t="shared" si="348"/>
        <v>6.372</v>
      </c>
      <c r="J620" s="555">
        <f ca="1" t="shared" si="348"/>
        <v>6.1498897659</v>
      </c>
      <c r="K620" s="555">
        <f t="shared" si="348"/>
        <v>0</v>
      </c>
      <c r="L620" s="555">
        <f ca="1" t="shared" si="348"/>
        <v>0</v>
      </c>
      <c r="M620" s="555">
        <f ca="1" t="shared" si="348"/>
        <v>6.1498897659</v>
      </c>
      <c r="N620" s="555">
        <f ca="1" t="shared" si="349"/>
        <v>0.222110234100001</v>
      </c>
      <c r="O620" s="555">
        <f ca="1" t="shared" si="349"/>
        <v>0</v>
      </c>
    </row>
    <row r="621" ht="15" spans="2:15">
      <c r="B621" s="562">
        <v>12</v>
      </c>
      <c r="C621" s="563" t="s">
        <v>794</v>
      </c>
      <c r="D621" s="564"/>
      <c r="E621" s="416"/>
      <c r="F621" s="555">
        <f t="shared" si="348"/>
        <v>0</v>
      </c>
      <c r="G621" s="555">
        <f t="shared" si="348"/>
        <v>0</v>
      </c>
      <c r="H621" s="555">
        <f t="shared" si="348"/>
        <v>0</v>
      </c>
      <c r="I621" s="555">
        <f t="shared" si="348"/>
        <v>0</v>
      </c>
      <c r="J621" s="555">
        <f t="shared" si="348"/>
        <v>0</v>
      </c>
      <c r="K621" s="555">
        <f t="shared" si="348"/>
        <v>0</v>
      </c>
      <c r="L621" s="555">
        <f t="shared" si="348"/>
        <v>0</v>
      </c>
      <c r="M621" s="555">
        <f t="shared" si="348"/>
        <v>0</v>
      </c>
      <c r="N621" s="555"/>
      <c r="O621" s="555"/>
    </row>
    <row r="622" ht="15" spans="2:15">
      <c r="B622" s="562"/>
      <c r="C622" s="565" t="s">
        <v>795</v>
      </c>
      <c r="D622" s="564"/>
      <c r="E622" s="416"/>
      <c r="F622" s="555">
        <f ca="1" t="shared" si="348"/>
        <v>2.34</v>
      </c>
      <c r="G622" s="555">
        <f ca="1" t="shared" si="348"/>
        <v>0</v>
      </c>
      <c r="H622" s="555">
        <f ca="1" t="shared" si="348"/>
        <v>0</v>
      </c>
      <c r="I622" s="555">
        <f ca="1" t="shared" si="348"/>
        <v>2.34</v>
      </c>
      <c r="J622" s="555">
        <f ca="1" t="shared" si="348"/>
        <v>1.5314797188</v>
      </c>
      <c r="K622" s="555">
        <f ca="1" t="shared" si="348"/>
        <v>0</v>
      </c>
      <c r="L622" s="555">
        <f ca="1" t="shared" si="348"/>
        <v>0</v>
      </c>
      <c r="M622" s="555">
        <f ca="1" t="shared" si="348"/>
        <v>1.5314797188</v>
      </c>
      <c r="N622" s="555">
        <f ca="1" t="shared" ref="N622:O623" si="351">F622-J622</f>
        <v>0.8085202812</v>
      </c>
      <c r="O622" s="555">
        <f ca="1" t="shared" si="351"/>
        <v>0</v>
      </c>
    </row>
    <row r="623" ht="15" spans="2:15">
      <c r="B623" s="562"/>
      <c r="C623" s="565" t="s">
        <v>796</v>
      </c>
      <c r="D623" s="564"/>
      <c r="E623" s="416"/>
      <c r="F623" s="555">
        <f ca="1" t="shared" si="348"/>
        <v>0</v>
      </c>
      <c r="G623" s="555">
        <f ca="1" t="shared" si="348"/>
        <v>0</v>
      </c>
      <c r="H623" s="555">
        <f ca="1" t="shared" si="348"/>
        <v>0</v>
      </c>
      <c r="I623" s="555">
        <f ca="1" t="shared" si="348"/>
        <v>0</v>
      </c>
      <c r="J623" s="555">
        <f ca="1" t="shared" si="348"/>
        <v>0</v>
      </c>
      <c r="K623" s="555">
        <f ca="1" t="shared" si="348"/>
        <v>0</v>
      </c>
      <c r="L623" s="555">
        <f ca="1" t="shared" si="348"/>
        <v>0</v>
      </c>
      <c r="M623" s="555">
        <f ca="1" t="shared" si="348"/>
        <v>0</v>
      </c>
      <c r="N623" s="555">
        <f ca="1" t="shared" si="351"/>
        <v>0</v>
      </c>
      <c r="O623" s="555">
        <f ca="1" t="shared" si="351"/>
        <v>0</v>
      </c>
    </row>
    <row r="624" ht="15" spans="2:15">
      <c r="B624" s="562">
        <v>13</v>
      </c>
      <c r="C624" s="565"/>
      <c r="D624" s="564"/>
      <c r="E624" s="416"/>
      <c r="F624" s="555">
        <f t="shared" si="348"/>
        <v>0</v>
      </c>
      <c r="G624" s="555">
        <f t="shared" si="348"/>
        <v>0</v>
      </c>
      <c r="H624" s="555">
        <f t="shared" si="348"/>
        <v>0</v>
      </c>
      <c r="I624" s="555">
        <f t="shared" si="348"/>
        <v>0</v>
      </c>
      <c r="J624" s="555">
        <f t="shared" si="348"/>
        <v>0</v>
      </c>
      <c r="K624" s="555">
        <f t="shared" si="348"/>
        <v>0</v>
      </c>
      <c r="L624" s="555">
        <f t="shared" si="348"/>
        <v>0</v>
      </c>
      <c r="M624" s="555">
        <f t="shared" si="348"/>
        <v>0</v>
      </c>
      <c r="N624" s="555"/>
      <c r="O624" s="555"/>
    </row>
    <row r="625" ht="15" spans="2:15">
      <c r="B625" s="562"/>
      <c r="C625" s="565" t="s">
        <v>797</v>
      </c>
      <c r="D625" s="564"/>
      <c r="E625" s="416"/>
      <c r="F625" s="555">
        <f ca="1" t="shared" si="348"/>
        <v>15.525</v>
      </c>
      <c r="G625" s="555">
        <f ca="1" t="shared" si="348"/>
        <v>0</v>
      </c>
      <c r="H625" s="555">
        <f ca="1" t="shared" si="348"/>
        <v>0</v>
      </c>
      <c r="I625" s="555">
        <f ca="1" t="shared" si="348"/>
        <v>15.525</v>
      </c>
      <c r="J625" s="555">
        <f ca="1" t="shared" si="348"/>
        <v>12.4768805004</v>
      </c>
      <c r="K625" s="555">
        <f t="shared" si="348"/>
        <v>0.2991431556</v>
      </c>
      <c r="L625" s="555">
        <f ca="1" t="shared" si="348"/>
        <v>0</v>
      </c>
      <c r="M625" s="555">
        <f ca="1" t="shared" si="348"/>
        <v>12.776023656</v>
      </c>
      <c r="N625" s="555">
        <f ca="1" t="shared" ref="N625:O628" si="352">F625-J625</f>
        <v>3.0481194996</v>
      </c>
      <c r="O625" s="555">
        <f ca="1" t="shared" si="352"/>
        <v>-0.2991431556</v>
      </c>
    </row>
    <row r="626" ht="15" spans="2:15">
      <c r="B626" s="562"/>
      <c r="C626" s="565" t="s">
        <v>798</v>
      </c>
      <c r="D626" s="564"/>
      <c r="E626" s="416"/>
      <c r="F626" s="555">
        <f ca="1" t="shared" si="348"/>
        <v>46.9962793121334</v>
      </c>
      <c r="G626" s="555">
        <f t="shared" si="348"/>
        <v>0.228220346052116</v>
      </c>
      <c r="H626" s="555">
        <f ca="1" t="shared" si="348"/>
        <v>0</v>
      </c>
      <c r="I626" s="555">
        <f ca="1" t="shared" si="348"/>
        <v>47.2244996581855</v>
      </c>
      <c r="J626" s="555">
        <f ca="1" t="shared" si="348"/>
        <v>36.7318963374318</v>
      </c>
      <c r="K626" s="555">
        <f t="shared" si="348"/>
        <v>1.21739173786435</v>
      </c>
      <c r="L626" s="555">
        <f ca="1" t="shared" si="348"/>
        <v>0</v>
      </c>
      <c r="M626" s="555">
        <f ca="1" t="shared" si="348"/>
        <v>37.9492880752961</v>
      </c>
      <c r="N626" s="555">
        <f ca="1" t="shared" si="352"/>
        <v>10.2643829747016</v>
      </c>
      <c r="O626" s="555">
        <f t="shared" si="352"/>
        <v>-0.98917139181223</v>
      </c>
    </row>
    <row r="627" ht="15" spans="2:15">
      <c r="B627" s="562"/>
      <c r="C627" s="565" t="s">
        <v>799</v>
      </c>
      <c r="D627" s="564"/>
      <c r="E627" s="416"/>
      <c r="F627" s="555">
        <f ca="1" t="shared" si="348"/>
        <v>0</v>
      </c>
      <c r="G627" s="555">
        <f ca="1" t="shared" si="348"/>
        <v>0</v>
      </c>
      <c r="H627" s="555">
        <f ca="1" t="shared" si="348"/>
        <v>0</v>
      </c>
      <c r="I627" s="555">
        <f ca="1" t="shared" si="348"/>
        <v>0</v>
      </c>
      <c r="J627" s="555">
        <f ca="1" t="shared" si="348"/>
        <v>0</v>
      </c>
      <c r="K627" s="555">
        <f ca="1" t="shared" si="348"/>
        <v>0</v>
      </c>
      <c r="L627" s="555">
        <f ca="1" t="shared" si="348"/>
        <v>0</v>
      </c>
      <c r="M627" s="555">
        <f ca="1" t="shared" si="348"/>
        <v>0</v>
      </c>
      <c r="N627" s="555">
        <f ca="1" t="shared" si="352"/>
        <v>0</v>
      </c>
      <c r="O627" s="555">
        <f ca="1" t="shared" si="352"/>
        <v>0</v>
      </c>
    </row>
    <row r="628" ht="15" spans="2:15">
      <c r="B628" s="562"/>
      <c r="C628" s="565" t="s">
        <v>800</v>
      </c>
      <c r="D628" s="564"/>
      <c r="E628" s="416"/>
      <c r="F628" s="555">
        <f ca="1" t="shared" si="348"/>
        <v>0</v>
      </c>
      <c r="G628" s="555">
        <f ca="1" t="shared" si="348"/>
        <v>0</v>
      </c>
      <c r="H628" s="555">
        <f ca="1" t="shared" si="348"/>
        <v>0</v>
      </c>
      <c r="I628" s="555">
        <f ca="1" t="shared" si="348"/>
        <v>0</v>
      </c>
      <c r="J628" s="555">
        <f ca="1" t="shared" si="348"/>
        <v>0</v>
      </c>
      <c r="K628" s="555">
        <f ca="1" t="shared" si="348"/>
        <v>0</v>
      </c>
      <c r="L628" s="555">
        <f ca="1" t="shared" si="348"/>
        <v>0</v>
      </c>
      <c r="M628" s="555">
        <f ca="1" t="shared" si="348"/>
        <v>0</v>
      </c>
      <c r="N628" s="555">
        <f ca="1" t="shared" si="352"/>
        <v>0</v>
      </c>
      <c r="O628" s="555">
        <f ca="1" t="shared" si="352"/>
        <v>0</v>
      </c>
    </row>
    <row r="629" ht="15" spans="2:15">
      <c r="B629" s="562">
        <v>14</v>
      </c>
      <c r="C629" s="563" t="s">
        <v>801</v>
      </c>
      <c r="D629" s="564"/>
      <c r="E629" s="416"/>
      <c r="F629" s="555">
        <f t="shared" ref="F629:M635" si="353">90%*F312</f>
        <v>0</v>
      </c>
      <c r="G629" s="555">
        <f t="shared" si="353"/>
        <v>0</v>
      </c>
      <c r="H629" s="555">
        <f t="shared" si="353"/>
        <v>0</v>
      </c>
      <c r="I629" s="555">
        <f t="shared" si="353"/>
        <v>0</v>
      </c>
      <c r="J629" s="555">
        <f t="shared" si="353"/>
        <v>0</v>
      </c>
      <c r="K629" s="555">
        <f t="shared" si="353"/>
        <v>0</v>
      </c>
      <c r="L629" s="555">
        <f t="shared" si="353"/>
        <v>0</v>
      </c>
      <c r="M629" s="555">
        <f t="shared" si="353"/>
        <v>0</v>
      </c>
      <c r="N629" s="555"/>
      <c r="O629" s="555"/>
    </row>
    <row r="630" ht="15" spans="2:15">
      <c r="B630" s="562"/>
      <c r="C630" s="565" t="s">
        <v>802</v>
      </c>
      <c r="D630" s="564"/>
      <c r="E630" s="416"/>
      <c r="F630" s="555">
        <f ca="1" t="shared" si="353"/>
        <v>0</v>
      </c>
      <c r="G630" s="555">
        <f ca="1" t="shared" si="353"/>
        <v>0</v>
      </c>
      <c r="H630" s="555">
        <f ca="1" t="shared" si="353"/>
        <v>0</v>
      </c>
      <c r="I630" s="555">
        <f ca="1" t="shared" si="353"/>
        <v>0</v>
      </c>
      <c r="J630" s="555">
        <f ca="1" t="shared" si="353"/>
        <v>0</v>
      </c>
      <c r="K630" s="555">
        <f ca="1" t="shared" si="353"/>
        <v>0</v>
      </c>
      <c r="L630" s="555">
        <f ca="1" t="shared" si="353"/>
        <v>0</v>
      </c>
      <c r="M630" s="555">
        <f ca="1" t="shared" si="353"/>
        <v>0</v>
      </c>
      <c r="N630" s="555">
        <f ca="1" t="shared" ref="N630:O635" si="354">F630-J630</f>
        <v>0</v>
      </c>
      <c r="O630" s="555">
        <f ca="1" t="shared" si="354"/>
        <v>0</v>
      </c>
    </row>
    <row r="631" ht="15" spans="2:15">
      <c r="B631" s="562"/>
      <c r="C631" s="565" t="s">
        <v>803</v>
      </c>
      <c r="D631" s="564"/>
      <c r="E631" s="416"/>
      <c r="F631" s="555">
        <f ca="1" t="shared" si="353"/>
        <v>0</v>
      </c>
      <c r="G631" s="555">
        <f ca="1" t="shared" si="353"/>
        <v>0</v>
      </c>
      <c r="H631" s="555">
        <f ca="1" t="shared" si="353"/>
        <v>0</v>
      </c>
      <c r="I631" s="555">
        <f ca="1" t="shared" si="353"/>
        <v>0</v>
      </c>
      <c r="J631" s="555">
        <f ca="1" t="shared" si="353"/>
        <v>0</v>
      </c>
      <c r="K631" s="555">
        <f ca="1" t="shared" si="353"/>
        <v>0</v>
      </c>
      <c r="L631" s="555">
        <f ca="1" t="shared" si="353"/>
        <v>0</v>
      </c>
      <c r="M631" s="555">
        <f ca="1" t="shared" si="353"/>
        <v>0</v>
      </c>
      <c r="N631" s="555">
        <f ca="1" t="shared" si="354"/>
        <v>0</v>
      </c>
      <c r="O631" s="555">
        <f ca="1" t="shared" si="354"/>
        <v>0</v>
      </c>
    </row>
    <row r="632" ht="15" spans="2:15">
      <c r="B632" s="562"/>
      <c r="C632" s="565" t="s">
        <v>804</v>
      </c>
      <c r="D632" s="564"/>
      <c r="E632" s="416"/>
      <c r="F632" s="555">
        <f ca="1" t="shared" si="353"/>
        <v>0</v>
      </c>
      <c r="G632" s="555">
        <f ca="1" t="shared" si="353"/>
        <v>0</v>
      </c>
      <c r="H632" s="555">
        <f ca="1" t="shared" si="353"/>
        <v>0</v>
      </c>
      <c r="I632" s="555">
        <f ca="1" t="shared" si="353"/>
        <v>0</v>
      </c>
      <c r="J632" s="555">
        <f ca="1" t="shared" si="353"/>
        <v>0</v>
      </c>
      <c r="K632" s="555">
        <f ca="1" t="shared" si="353"/>
        <v>0</v>
      </c>
      <c r="L632" s="555">
        <f ca="1" t="shared" si="353"/>
        <v>0</v>
      </c>
      <c r="M632" s="555">
        <f ca="1" t="shared" si="353"/>
        <v>0</v>
      </c>
      <c r="N632" s="555">
        <f ca="1" t="shared" si="354"/>
        <v>0</v>
      </c>
      <c r="O632" s="555">
        <f ca="1" t="shared" si="354"/>
        <v>0</v>
      </c>
    </row>
    <row r="633" ht="15" spans="2:15">
      <c r="B633" s="562">
        <v>15</v>
      </c>
      <c r="C633" s="563" t="s">
        <v>805</v>
      </c>
      <c r="D633" s="564"/>
      <c r="E633" s="416"/>
      <c r="F633" s="555">
        <f ca="1" t="shared" si="353"/>
        <v>226.947868161192</v>
      </c>
      <c r="G633" s="555">
        <f t="shared" si="353"/>
        <v>17.9232033647199</v>
      </c>
      <c r="H633" s="555">
        <f ca="1" t="shared" si="353"/>
        <v>0</v>
      </c>
      <c r="I633" s="555">
        <f ca="1" t="shared" si="353"/>
        <v>244.871071525912</v>
      </c>
      <c r="J633" s="555">
        <f ca="1" t="shared" si="353"/>
        <v>179.251903726352</v>
      </c>
      <c r="K633" s="555">
        <f t="shared" si="353"/>
        <v>11.8828183934867</v>
      </c>
      <c r="L633" s="555">
        <f ca="1" t="shared" si="353"/>
        <v>0</v>
      </c>
      <c r="M633" s="555">
        <f ca="1" t="shared" si="353"/>
        <v>191.134722119838</v>
      </c>
      <c r="N633" s="555">
        <f ca="1" t="shared" si="354"/>
        <v>47.6959644348405</v>
      </c>
      <c r="O633" s="555">
        <f t="shared" si="354"/>
        <v>6.04038497123313</v>
      </c>
    </row>
    <row r="634" ht="15" spans="2:15">
      <c r="B634" s="562">
        <v>16</v>
      </c>
      <c r="C634" s="563" t="s">
        <v>806</v>
      </c>
      <c r="D634" s="553"/>
      <c r="E634" s="416"/>
      <c r="F634" s="555">
        <f ca="1" t="shared" si="353"/>
        <v>63.72</v>
      </c>
      <c r="G634" s="555">
        <f ca="1" t="shared" si="353"/>
        <v>0</v>
      </c>
      <c r="H634" s="555">
        <f ca="1" t="shared" si="353"/>
        <v>0</v>
      </c>
      <c r="I634" s="555">
        <f ca="1" t="shared" si="353"/>
        <v>63.72</v>
      </c>
      <c r="J634" s="555">
        <f ca="1" t="shared" si="353"/>
        <v>59.0580424233</v>
      </c>
      <c r="K634" s="555">
        <f ca="1" t="shared" si="353"/>
        <v>0</v>
      </c>
      <c r="L634" s="555">
        <f ca="1" t="shared" si="353"/>
        <v>0</v>
      </c>
      <c r="M634" s="555">
        <f ca="1" t="shared" si="353"/>
        <v>59.0580424233</v>
      </c>
      <c r="N634" s="555">
        <f ca="1" t="shared" si="354"/>
        <v>4.6619575767</v>
      </c>
      <c r="O634" s="555">
        <f ca="1" t="shared" si="354"/>
        <v>0</v>
      </c>
    </row>
    <row r="635" ht="15" spans="2:15">
      <c r="B635" s="562">
        <v>17</v>
      </c>
      <c r="C635" s="563" t="s">
        <v>807</v>
      </c>
      <c r="D635" s="553"/>
      <c r="E635" s="426"/>
      <c r="F635" s="555">
        <f ca="1" t="shared" si="353"/>
        <v>0</v>
      </c>
      <c r="G635" s="555">
        <f ca="1" t="shared" si="353"/>
        <v>0</v>
      </c>
      <c r="H635" s="555">
        <f ca="1" t="shared" si="353"/>
        <v>0</v>
      </c>
      <c r="I635" s="555">
        <f ca="1" t="shared" si="353"/>
        <v>0</v>
      </c>
      <c r="J635" s="555">
        <f ca="1" t="shared" si="353"/>
        <v>4.0198213683</v>
      </c>
      <c r="K635" s="555">
        <f ca="1" t="shared" si="353"/>
        <v>0</v>
      </c>
      <c r="L635" s="555">
        <f ca="1" t="shared" si="353"/>
        <v>0</v>
      </c>
      <c r="M635" s="555">
        <f ca="1" t="shared" si="353"/>
        <v>4.0198213683</v>
      </c>
      <c r="N635" s="555">
        <f ca="1" t="shared" si="354"/>
        <v>-4.0198213683</v>
      </c>
      <c r="O635" s="555">
        <f ca="1" t="shared" si="354"/>
        <v>0</v>
      </c>
    </row>
    <row r="636" ht="15.75" spans="2:15">
      <c r="B636" s="566"/>
      <c r="C636" s="567" t="s">
        <v>97</v>
      </c>
      <c r="D636" s="567"/>
      <c r="E636" s="568"/>
      <c r="F636" s="569">
        <f ca="1">SUM(F596:F635)</f>
        <v>42024.3956195138</v>
      </c>
      <c r="G636" s="569">
        <f ca="1" t="shared" ref="G636:O636" si="355">SUM(G596:G635)</f>
        <v>7066.79838060867</v>
      </c>
      <c r="H636" s="569">
        <f ca="1" t="shared" si="355"/>
        <v>0</v>
      </c>
      <c r="I636" s="569">
        <f ca="1" t="shared" si="355"/>
        <v>49091.1940001225</v>
      </c>
      <c r="J636" s="569">
        <f ca="1" t="shared" si="355"/>
        <v>15229.0024944957</v>
      </c>
      <c r="K636" s="569">
        <f ca="1" t="shared" si="355"/>
        <v>2078.12679555968</v>
      </c>
      <c r="L636" s="569">
        <f ca="1" t="shared" si="355"/>
        <v>0</v>
      </c>
      <c r="M636" s="569">
        <f ca="1" t="shared" si="355"/>
        <v>17307.1292900554</v>
      </c>
      <c r="N636" s="569">
        <f ca="1" t="shared" si="355"/>
        <v>26795.3931250181</v>
      </c>
      <c r="O636" s="569">
        <f ca="1" t="shared" si="355"/>
        <v>22586.5766752665</v>
      </c>
    </row>
    <row r="638" ht="15" spans="2:9">
      <c r="B638" s="11" t="s">
        <v>810</v>
      </c>
      <c r="H638" s="3"/>
      <c r="I638" s="3"/>
    </row>
    <row r="639" ht="15.75" hidden="1" spans="11:15">
      <c r="K639" s="3"/>
      <c r="O639" s="11" t="s">
        <v>109</v>
      </c>
    </row>
    <row r="640" ht="15" hidden="1" spans="2:15">
      <c r="B640" s="570" t="s">
        <v>112</v>
      </c>
      <c r="C640" s="571"/>
      <c r="D640" s="571"/>
      <c r="E640" s="571"/>
      <c r="F640" s="571"/>
      <c r="G640" s="571"/>
      <c r="H640" s="571"/>
      <c r="I640" s="571"/>
      <c r="J640" s="571"/>
      <c r="K640" s="571"/>
      <c r="L640" s="571"/>
      <c r="M640" s="571"/>
      <c r="N640" s="571"/>
      <c r="O640" s="581"/>
    </row>
    <row r="641" ht="15" hidden="1" spans="2:15">
      <c r="B641" s="547" t="s">
        <v>564</v>
      </c>
      <c r="C641" s="978" t="s">
        <v>671</v>
      </c>
      <c r="D641" s="549" t="s">
        <v>672</v>
      </c>
      <c r="E641" s="549" t="s">
        <v>673</v>
      </c>
      <c r="F641" s="549" t="s">
        <v>674</v>
      </c>
      <c r="G641" s="549"/>
      <c r="H641" s="549"/>
      <c r="I641" s="549"/>
      <c r="J641" s="549" t="s">
        <v>675</v>
      </c>
      <c r="K641" s="549"/>
      <c r="L641" s="549"/>
      <c r="M641" s="549"/>
      <c r="N641" s="549" t="s">
        <v>676</v>
      </c>
      <c r="O641" s="579"/>
    </row>
    <row r="642" ht="60.75" hidden="1" spans="2:15">
      <c r="B642" s="572"/>
      <c r="C642" s="573"/>
      <c r="D642" s="574"/>
      <c r="E642" s="574"/>
      <c r="F642" s="574" t="s">
        <v>677</v>
      </c>
      <c r="G642" s="574" t="s">
        <v>678</v>
      </c>
      <c r="H642" s="574" t="s">
        <v>679</v>
      </c>
      <c r="I642" s="574" t="s">
        <v>680</v>
      </c>
      <c r="J642" s="574" t="s">
        <v>681</v>
      </c>
      <c r="K642" s="574" t="s">
        <v>678</v>
      </c>
      <c r="L642" s="574" t="s">
        <v>682</v>
      </c>
      <c r="M642" s="574" t="s">
        <v>683</v>
      </c>
      <c r="N642" s="574" t="s">
        <v>677</v>
      </c>
      <c r="O642" s="582" t="s">
        <v>680</v>
      </c>
    </row>
    <row r="643" ht="15" hidden="1" spans="2:15">
      <c r="B643" s="551">
        <v>1</v>
      </c>
      <c r="C643" s="552" t="s">
        <v>684</v>
      </c>
      <c r="D643" s="546"/>
      <c r="E643" s="576"/>
      <c r="F643" s="555">
        <f ca="1">10%*F9</f>
        <v>0</v>
      </c>
      <c r="G643" s="555">
        <f ca="1" t="shared" ref="G643:M643" si="356">10%*G9</f>
        <v>0</v>
      </c>
      <c r="H643" s="555">
        <f ca="1" t="shared" si="356"/>
        <v>0</v>
      </c>
      <c r="I643" s="555">
        <f ca="1" t="shared" si="356"/>
        <v>0</v>
      </c>
      <c r="J643" s="555">
        <f ca="1" t="shared" si="356"/>
        <v>0</v>
      </c>
      <c r="K643" s="555">
        <f ca="1" t="shared" si="356"/>
        <v>0</v>
      </c>
      <c r="L643" s="555">
        <f ca="1" t="shared" si="356"/>
        <v>0</v>
      </c>
      <c r="M643" s="555">
        <f ca="1" t="shared" si="356"/>
        <v>0</v>
      </c>
      <c r="N643" s="555">
        <f ca="1">F643-J643</f>
        <v>0</v>
      </c>
      <c r="O643" s="555">
        <f ca="1">I643-M643</f>
        <v>0</v>
      </c>
    </row>
    <row r="644" ht="15" hidden="1" spans="2:15">
      <c r="B644" s="551">
        <v>2</v>
      </c>
      <c r="C644" s="552" t="s">
        <v>770</v>
      </c>
      <c r="D644" s="614"/>
      <c r="E644" s="615"/>
      <c r="F644" s="555">
        <f ca="1" t="shared" ref="F644:M659" si="357">10%*F10</f>
        <v>0</v>
      </c>
      <c r="G644" s="555">
        <f ca="1" t="shared" si="357"/>
        <v>0</v>
      </c>
      <c r="H644" s="555">
        <f ca="1" t="shared" si="357"/>
        <v>0</v>
      </c>
      <c r="I644" s="555">
        <f ca="1" t="shared" si="357"/>
        <v>0</v>
      </c>
      <c r="J644" s="555">
        <f ca="1" t="shared" si="357"/>
        <v>0</v>
      </c>
      <c r="K644" s="555">
        <f ca="1" t="shared" si="357"/>
        <v>0</v>
      </c>
      <c r="L644" s="555">
        <f ca="1" t="shared" si="357"/>
        <v>0</v>
      </c>
      <c r="M644" s="555">
        <f ca="1" t="shared" si="357"/>
        <v>0</v>
      </c>
      <c r="N644" s="555">
        <f ca="1">F644-J644</f>
        <v>0</v>
      </c>
      <c r="O644" s="555">
        <f ca="1">I644-M644</f>
        <v>0</v>
      </c>
    </row>
    <row r="645" ht="15" hidden="1" spans="2:15">
      <c r="B645" s="551">
        <v>3</v>
      </c>
      <c r="C645" s="556" t="s">
        <v>771</v>
      </c>
      <c r="D645" s="553"/>
      <c r="E645" s="416"/>
      <c r="F645" s="555">
        <f t="shared" si="357"/>
        <v>0</v>
      </c>
      <c r="G645" s="555">
        <f t="shared" si="357"/>
        <v>0</v>
      </c>
      <c r="H645" s="555">
        <f t="shared" si="357"/>
        <v>0</v>
      </c>
      <c r="I645" s="555">
        <f t="shared" si="357"/>
        <v>0</v>
      </c>
      <c r="J645" s="555">
        <f t="shared" si="357"/>
        <v>0</v>
      </c>
      <c r="K645" s="555">
        <f t="shared" si="357"/>
        <v>0</v>
      </c>
      <c r="L645" s="555">
        <f t="shared" si="357"/>
        <v>0</v>
      </c>
      <c r="M645" s="555">
        <f t="shared" si="357"/>
        <v>0</v>
      </c>
      <c r="N645" s="555"/>
      <c r="O645" s="555"/>
    </row>
    <row r="646" ht="15" hidden="1" spans="2:15">
      <c r="B646" s="551"/>
      <c r="C646" s="557" t="s">
        <v>772</v>
      </c>
      <c r="D646" s="553"/>
      <c r="E646" s="416"/>
      <c r="F646" s="555">
        <f ca="1" t="shared" si="357"/>
        <v>0</v>
      </c>
      <c r="G646" s="555">
        <f ca="1" t="shared" si="357"/>
        <v>0</v>
      </c>
      <c r="H646" s="555">
        <f ca="1" t="shared" si="357"/>
        <v>0</v>
      </c>
      <c r="I646" s="555">
        <f ca="1" t="shared" si="357"/>
        <v>0</v>
      </c>
      <c r="J646" s="555">
        <f ca="1" t="shared" si="357"/>
        <v>0</v>
      </c>
      <c r="K646" s="555">
        <f ca="1" t="shared" si="357"/>
        <v>0</v>
      </c>
      <c r="L646" s="555">
        <f ca="1" t="shared" si="357"/>
        <v>0</v>
      </c>
      <c r="M646" s="555">
        <f ca="1" t="shared" si="357"/>
        <v>0</v>
      </c>
      <c r="N646" s="555">
        <f ca="1" t="shared" ref="N646:N649" si="358">F646-J646</f>
        <v>0</v>
      </c>
      <c r="O646" s="555">
        <f ca="1" t="shared" ref="O646:O649" si="359">I646-M646</f>
        <v>0</v>
      </c>
    </row>
    <row r="647" ht="28.5" hidden="1" spans="2:15">
      <c r="B647" s="551"/>
      <c r="C647" s="557" t="s">
        <v>773</v>
      </c>
      <c r="D647" s="553"/>
      <c r="E647" s="416"/>
      <c r="F647" s="555">
        <f ca="1" t="shared" si="357"/>
        <v>0</v>
      </c>
      <c r="G647" s="555">
        <f ca="1" t="shared" si="357"/>
        <v>0</v>
      </c>
      <c r="H647" s="555">
        <f ca="1" t="shared" si="357"/>
        <v>0</v>
      </c>
      <c r="I647" s="555">
        <f ca="1" t="shared" si="357"/>
        <v>0</v>
      </c>
      <c r="J647" s="555">
        <f ca="1" t="shared" si="357"/>
        <v>0</v>
      </c>
      <c r="K647" s="555">
        <f ca="1" t="shared" si="357"/>
        <v>0</v>
      </c>
      <c r="L647" s="555">
        <f ca="1" t="shared" si="357"/>
        <v>0</v>
      </c>
      <c r="M647" s="555">
        <f ca="1" t="shared" si="357"/>
        <v>0</v>
      </c>
      <c r="N647" s="555">
        <f ca="1" t="shared" si="358"/>
        <v>0</v>
      </c>
      <c r="O647" s="555">
        <f ca="1" t="shared" si="359"/>
        <v>0</v>
      </c>
    </row>
    <row r="648" ht="15" hidden="1" spans="2:15">
      <c r="B648" s="551"/>
      <c r="C648" s="557" t="s">
        <v>774</v>
      </c>
      <c r="D648" s="553"/>
      <c r="E648" s="416"/>
      <c r="F648" s="555">
        <f ca="1" t="shared" si="357"/>
        <v>0</v>
      </c>
      <c r="G648" s="555">
        <f ca="1" t="shared" si="357"/>
        <v>0</v>
      </c>
      <c r="H648" s="555">
        <f ca="1" t="shared" si="357"/>
        <v>0</v>
      </c>
      <c r="I648" s="555">
        <f ca="1" t="shared" si="357"/>
        <v>0</v>
      </c>
      <c r="J648" s="555">
        <f ca="1" t="shared" si="357"/>
        <v>0</v>
      </c>
      <c r="K648" s="555">
        <f ca="1" t="shared" si="357"/>
        <v>0</v>
      </c>
      <c r="L648" s="555">
        <f ca="1" t="shared" si="357"/>
        <v>0</v>
      </c>
      <c r="M648" s="555">
        <f ca="1" t="shared" si="357"/>
        <v>0</v>
      </c>
      <c r="N648" s="555">
        <f ca="1" t="shared" si="358"/>
        <v>0</v>
      </c>
      <c r="O648" s="555">
        <f ca="1" t="shared" si="359"/>
        <v>0</v>
      </c>
    </row>
    <row r="649" ht="15" hidden="1" spans="2:15">
      <c r="B649" s="551"/>
      <c r="C649" s="557" t="s">
        <v>775</v>
      </c>
      <c r="D649" s="553"/>
      <c r="E649" s="416"/>
      <c r="F649" s="555">
        <f ca="1" t="shared" si="357"/>
        <v>0</v>
      </c>
      <c r="G649" s="555">
        <f ca="1" t="shared" si="357"/>
        <v>0</v>
      </c>
      <c r="H649" s="555">
        <f ca="1" t="shared" si="357"/>
        <v>0</v>
      </c>
      <c r="I649" s="555">
        <f ca="1" t="shared" si="357"/>
        <v>0</v>
      </c>
      <c r="J649" s="555">
        <f ca="1" t="shared" si="357"/>
        <v>0</v>
      </c>
      <c r="K649" s="555">
        <f ca="1" t="shared" si="357"/>
        <v>0</v>
      </c>
      <c r="L649" s="555">
        <f ca="1" t="shared" si="357"/>
        <v>0</v>
      </c>
      <c r="M649" s="555">
        <f ca="1" t="shared" si="357"/>
        <v>0</v>
      </c>
      <c r="N649" s="555">
        <f ca="1" t="shared" si="358"/>
        <v>0</v>
      </c>
      <c r="O649" s="555">
        <f ca="1" t="shared" si="359"/>
        <v>0</v>
      </c>
    </row>
    <row r="650" ht="15" hidden="1" spans="2:15">
      <c r="B650" s="551">
        <v>4</v>
      </c>
      <c r="C650" s="552" t="s">
        <v>776</v>
      </c>
      <c r="D650" s="553"/>
      <c r="E650" s="416"/>
      <c r="F650" s="555">
        <f t="shared" si="357"/>
        <v>0</v>
      </c>
      <c r="G650" s="555">
        <f t="shared" si="357"/>
        <v>0</v>
      </c>
      <c r="H650" s="555">
        <f t="shared" si="357"/>
        <v>0</v>
      </c>
      <c r="I650" s="555">
        <f t="shared" si="357"/>
        <v>0</v>
      </c>
      <c r="J650" s="555">
        <f t="shared" si="357"/>
        <v>0</v>
      </c>
      <c r="K650" s="555">
        <f t="shared" si="357"/>
        <v>0</v>
      </c>
      <c r="L650" s="555">
        <f t="shared" si="357"/>
        <v>0</v>
      </c>
      <c r="M650" s="555">
        <f t="shared" si="357"/>
        <v>0</v>
      </c>
      <c r="N650" s="555"/>
      <c r="O650" s="555"/>
    </row>
    <row r="651" ht="15" hidden="1" spans="2:15">
      <c r="B651" s="551"/>
      <c r="C651" s="558" t="s">
        <v>777</v>
      </c>
      <c r="D651" s="553"/>
      <c r="E651" s="416"/>
      <c r="F651" s="555">
        <f ca="1" t="shared" si="357"/>
        <v>0</v>
      </c>
      <c r="G651" s="555">
        <f ca="1" t="shared" si="357"/>
        <v>0</v>
      </c>
      <c r="H651" s="555">
        <f ca="1" t="shared" si="357"/>
        <v>0</v>
      </c>
      <c r="I651" s="555">
        <f ca="1" t="shared" si="357"/>
        <v>0</v>
      </c>
      <c r="J651" s="555">
        <f ca="1" t="shared" si="357"/>
        <v>0</v>
      </c>
      <c r="K651" s="555">
        <f ca="1" t="shared" si="357"/>
        <v>0</v>
      </c>
      <c r="L651" s="555">
        <f ca="1" t="shared" si="357"/>
        <v>0</v>
      </c>
      <c r="M651" s="555">
        <f ca="1" t="shared" si="357"/>
        <v>0</v>
      </c>
      <c r="N651" s="555">
        <f ca="1" t="shared" ref="N651:N654" si="360">F651-J651</f>
        <v>0</v>
      </c>
      <c r="O651" s="555">
        <f ca="1" t="shared" ref="O651:O654" si="361">I651-M651</f>
        <v>0</v>
      </c>
    </row>
    <row r="652" ht="15" hidden="1" spans="2:15">
      <c r="B652" s="551"/>
      <c r="C652" s="552" t="s">
        <v>778</v>
      </c>
      <c r="D652" s="553"/>
      <c r="E652" s="416"/>
      <c r="F652" s="555">
        <f t="shared" si="357"/>
        <v>0</v>
      </c>
      <c r="G652" s="555">
        <f t="shared" si="357"/>
        <v>0</v>
      </c>
      <c r="H652" s="555">
        <f t="shared" si="357"/>
        <v>0</v>
      </c>
      <c r="I652" s="555">
        <f t="shared" si="357"/>
        <v>0</v>
      </c>
      <c r="J652" s="555">
        <f t="shared" si="357"/>
        <v>0</v>
      </c>
      <c r="K652" s="555">
        <f t="shared" si="357"/>
        <v>0</v>
      </c>
      <c r="L652" s="555">
        <f t="shared" si="357"/>
        <v>0</v>
      </c>
      <c r="M652" s="555">
        <f t="shared" si="357"/>
        <v>0</v>
      </c>
      <c r="N652" s="555"/>
      <c r="O652" s="555"/>
    </row>
    <row r="653" ht="15" hidden="1" spans="2:15">
      <c r="B653" s="551"/>
      <c r="C653" s="558" t="s">
        <v>779</v>
      </c>
      <c r="D653" s="553"/>
      <c r="E653" s="416"/>
      <c r="F653" s="555">
        <f ca="1" t="shared" si="357"/>
        <v>0</v>
      </c>
      <c r="G653" s="555">
        <f ca="1" t="shared" si="357"/>
        <v>0</v>
      </c>
      <c r="H653" s="555">
        <f ca="1" t="shared" si="357"/>
        <v>0</v>
      </c>
      <c r="I653" s="555">
        <f ca="1" t="shared" si="357"/>
        <v>0</v>
      </c>
      <c r="J653" s="555">
        <f ca="1" t="shared" si="357"/>
        <v>0</v>
      </c>
      <c r="K653" s="555">
        <f ca="1" t="shared" si="357"/>
        <v>0</v>
      </c>
      <c r="L653" s="555">
        <f ca="1" t="shared" si="357"/>
        <v>0</v>
      </c>
      <c r="M653" s="555">
        <f ca="1" t="shared" si="357"/>
        <v>0</v>
      </c>
      <c r="N653" s="555">
        <f ca="1" t="shared" si="360"/>
        <v>0</v>
      </c>
      <c r="O653" s="555">
        <f ca="1" t="shared" si="361"/>
        <v>0</v>
      </c>
    </row>
    <row r="654" ht="15" hidden="1" spans="2:15">
      <c r="B654" s="551"/>
      <c r="C654" s="558" t="s">
        <v>780</v>
      </c>
      <c r="D654" s="553"/>
      <c r="E654" s="416"/>
      <c r="F654" s="555">
        <f ca="1" t="shared" si="357"/>
        <v>0</v>
      </c>
      <c r="G654" s="555">
        <f ca="1" t="shared" si="357"/>
        <v>0</v>
      </c>
      <c r="H654" s="555">
        <f ca="1" t="shared" si="357"/>
        <v>0</v>
      </c>
      <c r="I654" s="555">
        <f ca="1" t="shared" si="357"/>
        <v>0</v>
      </c>
      <c r="J654" s="555">
        <f ca="1" t="shared" si="357"/>
        <v>0</v>
      </c>
      <c r="K654" s="555">
        <f ca="1" t="shared" si="357"/>
        <v>0</v>
      </c>
      <c r="L654" s="555">
        <f ca="1" t="shared" si="357"/>
        <v>0</v>
      </c>
      <c r="M654" s="555">
        <f ca="1" t="shared" si="357"/>
        <v>0</v>
      </c>
      <c r="N654" s="555">
        <f ca="1" t="shared" si="360"/>
        <v>0</v>
      </c>
      <c r="O654" s="555">
        <f ca="1" t="shared" si="361"/>
        <v>0</v>
      </c>
    </row>
    <row r="655" ht="15" hidden="1" spans="2:15">
      <c r="B655" s="551">
        <v>5</v>
      </c>
      <c r="C655" s="552" t="s">
        <v>781</v>
      </c>
      <c r="D655" s="553"/>
      <c r="E655" s="416"/>
      <c r="F655" s="555">
        <f t="shared" si="357"/>
        <v>0</v>
      </c>
      <c r="G655" s="555">
        <f t="shared" si="357"/>
        <v>0</v>
      </c>
      <c r="H655" s="555">
        <f t="shared" si="357"/>
        <v>0</v>
      </c>
      <c r="I655" s="555">
        <f t="shared" si="357"/>
        <v>0</v>
      </c>
      <c r="J655" s="555">
        <f t="shared" si="357"/>
        <v>0</v>
      </c>
      <c r="K655" s="555">
        <f t="shared" si="357"/>
        <v>0</v>
      </c>
      <c r="L655" s="555">
        <f t="shared" si="357"/>
        <v>0</v>
      </c>
      <c r="M655" s="555">
        <f t="shared" si="357"/>
        <v>0</v>
      </c>
      <c r="N655" s="555"/>
      <c r="O655" s="555"/>
    </row>
    <row r="656" ht="15" hidden="1" spans="2:15">
      <c r="B656" s="551"/>
      <c r="C656" s="558" t="s">
        <v>782</v>
      </c>
      <c r="D656" s="553"/>
      <c r="E656" s="416"/>
      <c r="F656" s="555">
        <f ca="1" t="shared" si="357"/>
        <v>0</v>
      </c>
      <c r="G656" s="555">
        <f ca="1" t="shared" si="357"/>
        <v>0</v>
      </c>
      <c r="H656" s="555">
        <f ca="1" t="shared" si="357"/>
        <v>0</v>
      </c>
      <c r="I656" s="555">
        <f ca="1" t="shared" si="357"/>
        <v>0</v>
      </c>
      <c r="J656" s="555">
        <f ca="1" t="shared" si="357"/>
        <v>0</v>
      </c>
      <c r="K656" s="555">
        <f ca="1" t="shared" si="357"/>
        <v>0</v>
      </c>
      <c r="L656" s="555">
        <f ca="1" t="shared" si="357"/>
        <v>0</v>
      </c>
      <c r="M656" s="555">
        <f ca="1" t="shared" si="357"/>
        <v>0</v>
      </c>
      <c r="N656" s="555">
        <f ca="1" t="shared" ref="N656:N661" si="362">F656-J656</f>
        <v>0</v>
      </c>
      <c r="O656" s="555">
        <f ca="1" t="shared" ref="O656:O661" si="363">I656-M656</f>
        <v>0</v>
      </c>
    </row>
    <row r="657" ht="15" hidden="1" spans="2:15">
      <c r="B657" s="551"/>
      <c r="C657" s="558" t="s">
        <v>783</v>
      </c>
      <c r="D657" s="553"/>
      <c r="E657" s="416"/>
      <c r="F657" s="555">
        <f ca="1" t="shared" si="357"/>
        <v>0</v>
      </c>
      <c r="G657" s="555">
        <f ca="1" t="shared" si="357"/>
        <v>0</v>
      </c>
      <c r="H657" s="555">
        <f ca="1" t="shared" si="357"/>
        <v>0</v>
      </c>
      <c r="I657" s="555">
        <f ca="1" t="shared" si="357"/>
        <v>0</v>
      </c>
      <c r="J657" s="555">
        <f ca="1" t="shared" si="357"/>
        <v>0</v>
      </c>
      <c r="K657" s="555">
        <f ca="1" t="shared" si="357"/>
        <v>0</v>
      </c>
      <c r="L657" s="555">
        <f ca="1" t="shared" si="357"/>
        <v>0</v>
      </c>
      <c r="M657" s="555">
        <f ca="1" t="shared" si="357"/>
        <v>0</v>
      </c>
      <c r="N657" s="555">
        <f ca="1" t="shared" si="362"/>
        <v>0</v>
      </c>
      <c r="O657" s="555">
        <f ca="1" t="shared" si="363"/>
        <v>0</v>
      </c>
    </row>
    <row r="658" ht="15" hidden="1" spans="2:15">
      <c r="B658" s="551"/>
      <c r="C658" s="558" t="s">
        <v>784</v>
      </c>
      <c r="D658" s="553"/>
      <c r="E658" s="416"/>
      <c r="F658" s="555">
        <f ca="1" t="shared" si="357"/>
        <v>0</v>
      </c>
      <c r="G658" s="555">
        <f ca="1" t="shared" si="357"/>
        <v>0</v>
      </c>
      <c r="H658" s="555">
        <f ca="1" t="shared" si="357"/>
        <v>0</v>
      </c>
      <c r="I658" s="555">
        <f ca="1" t="shared" si="357"/>
        <v>0</v>
      </c>
      <c r="J658" s="555">
        <f ca="1" t="shared" si="357"/>
        <v>0</v>
      </c>
      <c r="K658" s="555">
        <f ca="1" t="shared" si="357"/>
        <v>0</v>
      </c>
      <c r="L658" s="555">
        <f ca="1" t="shared" si="357"/>
        <v>0</v>
      </c>
      <c r="M658" s="555">
        <f ca="1" t="shared" si="357"/>
        <v>0</v>
      </c>
      <c r="N658" s="555">
        <f ca="1" t="shared" si="362"/>
        <v>0</v>
      </c>
      <c r="O658" s="555">
        <f ca="1" t="shared" si="363"/>
        <v>0</v>
      </c>
    </row>
    <row r="659" ht="15" hidden="1" spans="2:15">
      <c r="B659" s="551"/>
      <c r="C659" s="558" t="s">
        <v>785</v>
      </c>
      <c r="D659" s="553"/>
      <c r="E659" s="416"/>
      <c r="F659" s="555">
        <f ca="1" t="shared" si="357"/>
        <v>0</v>
      </c>
      <c r="G659" s="555">
        <f ca="1" t="shared" si="357"/>
        <v>0</v>
      </c>
      <c r="H659" s="555">
        <f ca="1" t="shared" si="357"/>
        <v>0</v>
      </c>
      <c r="I659" s="555">
        <f ca="1" t="shared" si="357"/>
        <v>0</v>
      </c>
      <c r="J659" s="555">
        <f ca="1" t="shared" si="357"/>
        <v>0</v>
      </c>
      <c r="K659" s="555">
        <f ca="1" t="shared" si="357"/>
        <v>0</v>
      </c>
      <c r="L659" s="555">
        <f ca="1" t="shared" si="357"/>
        <v>0</v>
      </c>
      <c r="M659" s="555">
        <f ca="1" t="shared" si="357"/>
        <v>0</v>
      </c>
      <c r="N659" s="555">
        <f ca="1" t="shared" si="362"/>
        <v>0</v>
      </c>
      <c r="O659" s="555">
        <f ca="1" t="shared" si="363"/>
        <v>0</v>
      </c>
    </row>
    <row r="660" ht="15" hidden="1" spans="2:15">
      <c r="B660" s="551">
        <v>6</v>
      </c>
      <c r="C660" s="552" t="s">
        <v>786</v>
      </c>
      <c r="D660" s="553"/>
      <c r="E660" s="416"/>
      <c r="F660" s="555">
        <f ca="1" t="shared" ref="F660:M675" si="364">10%*F26</f>
        <v>0</v>
      </c>
      <c r="G660" s="555">
        <f ca="1" t="shared" si="364"/>
        <v>0</v>
      </c>
      <c r="H660" s="555">
        <f ca="1" t="shared" si="364"/>
        <v>0</v>
      </c>
      <c r="I660" s="555">
        <f ca="1" t="shared" si="364"/>
        <v>0</v>
      </c>
      <c r="J660" s="555">
        <f ca="1" t="shared" si="364"/>
        <v>0</v>
      </c>
      <c r="K660" s="555">
        <f ca="1" t="shared" si="364"/>
        <v>0</v>
      </c>
      <c r="L660" s="555">
        <f ca="1" t="shared" si="364"/>
        <v>0</v>
      </c>
      <c r="M660" s="555">
        <f ca="1" t="shared" si="364"/>
        <v>0</v>
      </c>
      <c r="N660" s="555">
        <f ca="1" t="shared" si="362"/>
        <v>0</v>
      </c>
      <c r="O660" s="555">
        <f ca="1" t="shared" si="363"/>
        <v>0</v>
      </c>
    </row>
    <row r="661" ht="15" hidden="1" spans="2:15">
      <c r="B661" s="551">
        <v>7</v>
      </c>
      <c r="C661" s="552" t="s">
        <v>787</v>
      </c>
      <c r="D661" s="553"/>
      <c r="E661" s="416"/>
      <c r="F661" s="555">
        <f ca="1" t="shared" si="364"/>
        <v>0</v>
      </c>
      <c r="G661" s="555">
        <f ca="1" t="shared" si="364"/>
        <v>0</v>
      </c>
      <c r="H661" s="555">
        <f ca="1" t="shared" si="364"/>
        <v>0</v>
      </c>
      <c r="I661" s="555">
        <f ca="1" t="shared" si="364"/>
        <v>0</v>
      </c>
      <c r="J661" s="555">
        <f ca="1" t="shared" si="364"/>
        <v>0</v>
      </c>
      <c r="K661" s="555">
        <f ca="1" t="shared" si="364"/>
        <v>0</v>
      </c>
      <c r="L661" s="555">
        <f ca="1" t="shared" si="364"/>
        <v>0</v>
      </c>
      <c r="M661" s="555">
        <f ca="1" t="shared" si="364"/>
        <v>0</v>
      </c>
      <c r="N661" s="555">
        <f ca="1" t="shared" si="362"/>
        <v>0</v>
      </c>
      <c r="O661" s="555">
        <f ca="1" t="shared" si="363"/>
        <v>0</v>
      </c>
    </row>
    <row r="662" ht="15" hidden="1" spans="2:15">
      <c r="B662" s="551">
        <v>8</v>
      </c>
      <c r="C662" s="552" t="s">
        <v>788</v>
      </c>
      <c r="D662" s="553"/>
      <c r="E662" s="416"/>
      <c r="F662" s="555">
        <f t="shared" si="364"/>
        <v>0</v>
      </c>
      <c r="G662" s="555">
        <f t="shared" si="364"/>
        <v>0</v>
      </c>
      <c r="H662" s="555">
        <f t="shared" si="364"/>
        <v>0</v>
      </c>
      <c r="I662" s="555">
        <f t="shared" si="364"/>
        <v>0</v>
      </c>
      <c r="J662" s="555">
        <f t="shared" si="364"/>
        <v>0</v>
      </c>
      <c r="K662" s="555">
        <f t="shared" si="364"/>
        <v>0</v>
      </c>
      <c r="L662" s="555">
        <f t="shared" si="364"/>
        <v>0</v>
      </c>
      <c r="M662" s="555">
        <f t="shared" si="364"/>
        <v>0</v>
      </c>
      <c r="N662" s="555"/>
      <c r="O662" s="555"/>
    </row>
    <row r="663" ht="15" hidden="1" spans="2:15">
      <c r="B663" s="551"/>
      <c r="C663" s="558" t="s">
        <v>789</v>
      </c>
      <c r="D663" s="553"/>
      <c r="E663" s="416"/>
      <c r="F663" s="555">
        <f ca="1" t="shared" si="364"/>
        <v>0</v>
      </c>
      <c r="G663" s="555">
        <f ca="1" t="shared" si="364"/>
        <v>0</v>
      </c>
      <c r="H663" s="555">
        <f ca="1" t="shared" si="364"/>
        <v>0</v>
      </c>
      <c r="I663" s="555">
        <f ca="1" t="shared" si="364"/>
        <v>0</v>
      </c>
      <c r="J663" s="555">
        <f ca="1" t="shared" si="364"/>
        <v>0</v>
      </c>
      <c r="K663" s="555">
        <f ca="1" t="shared" si="364"/>
        <v>0</v>
      </c>
      <c r="L663" s="555">
        <f ca="1" t="shared" si="364"/>
        <v>0</v>
      </c>
      <c r="M663" s="555">
        <f ca="1" t="shared" si="364"/>
        <v>0</v>
      </c>
      <c r="N663" s="555">
        <f ca="1" t="shared" ref="N663:O667" si="365">F663-J663</f>
        <v>0</v>
      </c>
      <c r="O663" s="555">
        <f ca="1" t="shared" ref="O663:O665" si="366">I663-M663</f>
        <v>0</v>
      </c>
    </row>
    <row r="664" ht="15" hidden="1" spans="2:15">
      <c r="B664" s="551"/>
      <c r="C664" s="558" t="s">
        <v>808</v>
      </c>
      <c r="D664" s="553"/>
      <c r="E664" s="416"/>
      <c r="F664" s="555">
        <f ca="1" t="shared" si="364"/>
        <v>0</v>
      </c>
      <c r="G664" s="555">
        <f ca="1" t="shared" si="364"/>
        <v>0</v>
      </c>
      <c r="H664" s="555">
        <f ca="1" t="shared" si="364"/>
        <v>0</v>
      </c>
      <c r="I664" s="555">
        <f ca="1" t="shared" si="364"/>
        <v>0</v>
      </c>
      <c r="J664" s="555">
        <f ca="1" t="shared" si="364"/>
        <v>0</v>
      </c>
      <c r="K664" s="555">
        <f ca="1" t="shared" si="364"/>
        <v>0</v>
      </c>
      <c r="L664" s="555">
        <f ca="1" t="shared" si="364"/>
        <v>0</v>
      </c>
      <c r="M664" s="555">
        <f ca="1" t="shared" si="364"/>
        <v>0</v>
      </c>
      <c r="N664" s="555">
        <f ca="1" t="shared" si="365"/>
        <v>0</v>
      </c>
      <c r="O664" s="555">
        <f ca="1" t="shared" si="366"/>
        <v>0</v>
      </c>
    </row>
    <row r="665" ht="30" hidden="1" spans="2:15">
      <c r="B665" s="560">
        <v>9</v>
      </c>
      <c r="C665" s="561" t="s">
        <v>791</v>
      </c>
      <c r="D665" s="553"/>
      <c r="E665" s="416"/>
      <c r="F665" s="555">
        <f ca="1" t="shared" si="364"/>
        <v>0</v>
      </c>
      <c r="G665" s="555">
        <f ca="1" t="shared" si="364"/>
        <v>0</v>
      </c>
      <c r="H665" s="555">
        <f ca="1" t="shared" si="364"/>
        <v>0</v>
      </c>
      <c r="I665" s="555">
        <f ca="1" t="shared" si="364"/>
        <v>0</v>
      </c>
      <c r="J665" s="555">
        <f ca="1" t="shared" si="364"/>
        <v>0</v>
      </c>
      <c r="K665" s="555">
        <f ca="1" t="shared" si="364"/>
        <v>0</v>
      </c>
      <c r="L665" s="555">
        <f ca="1" t="shared" si="364"/>
        <v>0</v>
      </c>
      <c r="M665" s="555">
        <f ca="1" t="shared" si="364"/>
        <v>0</v>
      </c>
      <c r="N665" s="555">
        <f ca="1" t="shared" si="365"/>
        <v>0</v>
      </c>
      <c r="O665" s="555">
        <f ca="1" t="shared" si="366"/>
        <v>0</v>
      </c>
    </row>
    <row r="666" ht="15" hidden="1" spans="2:15">
      <c r="B666" s="562">
        <v>10</v>
      </c>
      <c r="C666" s="563" t="s">
        <v>792</v>
      </c>
      <c r="D666" s="564"/>
      <c r="E666" s="416"/>
      <c r="F666" s="555">
        <f ca="1" t="shared" si="364"/>
        <v>0</v>
      </c>
      <c r="G666" s="555">
        <f ca="1" t="shared" si="364"/>
        <v>0</v>
      </c>
      <c r="H666" s="555">
        <f ca="1" t="shared" si="364"/>
        <v>0</v>
      </c>
      <c r="I666" s="555">
        <f ca="1" t="shared" si="364"/>
        <v>0</v>
      </c>
      <c r="J666" s="555">
        <f ca="1" t="shared" si="364"/>
        <v>0</v>
      </c>
      <c r="K666" s="555">
        <f ca="1" t="shared" si="364"/>
        <v>0</v>
      </c>
      <c r="L666" s="555">
        <f ca="1" t="shared" si="364"/>
        <v>0</v>
      </c>
      <c r="M666" s="555">
        <f ca="1" t="shared" si="364"/>
        <v>0</v>
      </c>
      <c r="N666" s="555">
        <f ca="1" t="shared" si="365"/>
        <v>0</v>
      </c>
      <c r="O666" s="555">
        <f ca="1" t="shared" si="365"/>
        <v>0</v>
      </c>
    </row>
    <row r="667" ht="15" hidden="1" spans="2:15">
      <c r="B667" s="562">
        <v>11</v>
      </c>
      <c r="C667" s="563" t="s">
        <v>793</v>
      </c>
      <c r="D667" s="564"/>
      <c r="E667" s="416"/>
      <c r="F667" s="555">
        <f ca="1" t="shared" si="364"/>
        <v>0</v>
      </c>
      <c r="G667" s="555">
        <f ca="1" t="shared" si="364"/>
        <v>0</v>
      </c>
      <c r="H667" s="555">
        <f ca="1" t="shared" si="364"/>
        <v>0</v>
      </c>
      <c r="I667" s="555">
        <f ca="1" t="shared" si="364"/>
        <v>0</v>
      </c>
      <c r="J667" s="555">
        <f ca="1" t="shared" si="364"/>
        <v>0</v>
      </c>
      <c r="K667" s="555">
        <f ca="1" t="shared" si="364"/>
        <v>0</v>
      </c>
      <c r="L667" s="555">
        <f ca="1" t="shared" si="364"/>
        <v>0</v>
      </c>
      <c r="M667" s="555">
        <f ca="1" t="shared" si="364"/>
        <v>0</v>
      </c>
      <c r="N667" s="555">
        <f ca="1" t="shared" si="365"/>
        <v>0</v>
      </c>
      <c r="O667" s="555">
        <f ca="1" t="shared" si="365"/>
        <v>0</v>
      </c>
    </row>
    <row r="668" ht="15" hidden="1" spans="2:15">
      <c r="B668" s="562">
        <v>12</v>
      </c>
      <c r="C668" s="563" t="s">
        <v>794</v>
      </c>
      <c r="D668" s="564"/>
      <c r="E668" s="416"/>
      <c r="F668" s="555">
        <f t="shared" si="364"/>
        <v>0</v>
      </c>
      <c r="G668" s="555">
        <f t="shared" si="364"/>
        <v>0</v>
      </c>
      <c r="H668" s="555">
        <f t="shared" si="364"/>
        <v>0</v>
      </c>
      <c r="I668" s="555">
        <f t="shared" si="364"/>
        <v>0</v>
      </c>
      <c r="J668" s="555">
        <f t="shared" si="364"/>
        <v>0</v>
      </c>
      <c r="K668" s="555">
        <f t="shared" si="364"/>
        <v>0</v>
      </c>
      <c r="L668" s="555">
        <f t="shared" si="364"/>
        <v>0</v>
      </c>
      <c r="M668" s="555">
        <f t="shared" si="364"/>
        <v>0</v>
      </c>
      <c r="N668" s="555"/>
      <c r="O668" s="555"/>
    </row>
    <row r="669" ht="15" hidden="1" spans="2:15">
      <c r="B669" s="562"/>
      <c r="C669" s="565" t="s">
        <v>795</v>
      </c>
      <c r="D669" s="564"/>
      <c r="E669" s="416"/>
      <c r="F669" s="555">
        <f ca="1" t="shared" si="364"/>
        <v>0</v>
      </c>
      <c r="G669" s="555">
        <f ca="1" t="shared" si="364"/>
        <v>0</v>
      </c>
      <c r="H669" s="555">
        <f ca="1" t="shared" si="364"/>
        <v>0</v>
      </c>
      <c r="I669" s="555">
        <f ca="1" t="shared" si="364"/>
        <v>0</v>
      </c>
      <c r="J669" s="555">
        <f ca="1" t="shared" si="364"/>
        <v>0</v>
      </c>
      <c r="K669" s="555">
        <f ca="1" t="shared" si="364"/>
        <v>0</v>
      </c>
      <c r="L669" s="555">
        <f ca="1" t="shared" si="364"/>
        <v>0</v>
      </c>
      <c r="M669" s="555">
        <f ca="1" t="shared" si="364"/>
        <v>0</v>
      </c>
      <c r="N669" s="555">
        <f ca="1" t="shared" ref="N669:O670" si="367">F669-J669</f>
        <v>0</v>
      </c>
      <c r="O669" s="555">
        <f ca="1" t="shared" si="367"/>
        <v>0</v>
      </c>
    </row>
    <row r="670" ht="15" hidden="1" spans="2:15">
      <c r="B670" s="562"/>
      <c r="C670" s="565" t="s">
        <v>796</v>
      </c>
      <c r="D670" s="564"/>
      <c r="E670" s="416"/>
      <c r="F670" s="555">
        <f ca="1" t="shared" si="364"/>
        <v>0</v>
      </c>
      <c r="G670" s="555">
        <f ca="1" t="shared" si="364"/>
        <v>0</v>
      </c>
      <c r="H670" s="555">
        <f ca="1" t="shared" si="364"/>
        <v>0</v>
      </c>
      <c r="I670" s="555">
        <f ca="1" t="shared" si="364"/>
        <v>0</v>
      </c>
      <c r="J670" s="555">
        <f ca="1" t="shared" si="364"/>
        <v>0</v>
      </c>
      <c r="K670" s="555">
        <f ca="1" t="shared" si="364"/>
        <v>0</v>
      </c>
      <c r="L670" s="555">
        <f ca="1" t="shared" si="364"/>
        <v>0</v>
      </c>
      <c r="M670" s="555">
        <f ca="1" t="shared" si="364"/>
        <v>0</v>
      </c>
      <c r="N670" s="555">
        <f ca="1" t="shared" si="367"/>
        <v>0</v>
      </c>
      <c r="O670" s="555">
        <f ca="1" t="shared" si="367"/>
        <v>0</v>
      </c>
    </row>
    <row r="671" ht="15" hidden="1" spans="2:15">
      <c r="B671" s="562">
        <v>13</v>
      </c>
      <c r="C671" s="565"/>
      <c r="D671" s="564"/>
      <c r="E671" s="416"/>
      <c r="F671" s="555">
        <f t="shared" si="364"/>
        <v>0</v>
      </c>
      <c r="G671" s="555">
        <f t="shared" si="364"/>
        <v>0</v>
      </c>
      <c r="H671" s="555">
        <f t="shared" si="364"/>
        <v>0</v>
      </c>
      <c r="I671" s="555">
        <f t="shared" si="364"/>
        <v>0</v>
      </c>
      <c r="J671" s="555">
        <f t="shared" si="364"/>
        <v>0</v>
      </c>
      <c r="K671" s="555">
        <f t="shared" si="364"/>
        <v>0</v>
      </c>
      <c r="L671" s="555">
        <f t="shared" si="364"/>
        <v>0</v>
      </c>
      <c r="M671" s="555">
        <f t="shared" si="364"/>
        <v>0</v>
      </c>
      <c r="N671" s="555"/>
      <c r="O671" s="555"/>
    </row>
    <row r="672" ht="15" hidden="1" spans="2:15">
      <c r="B672" s="562"/>
      <c r="C672" s="565" t="s">
        <v>797</v>
      </c>
      <c r="D672" s="564"/>
      <c r="E672" s="416"/>
      <c r="F672" s="555">
        <f ca="1" t="shared" si="364"/>
        <v>0</v>
      </c>
      <c r="G672" s="555">
        <f ca="1" t="shared" si="364"/>
        <v>0</v>
      </c>
      <c r="H672" s="555">
        <f ca="1" t="shared" si="364"/>
        <v>0</v>
      </c>
      <c r="I672" s="555">
        <f ca="1" t="shared" si="364"/>
        <v>0</v>
      </c>
      <c r="J672" s="555">
        <f ca="1" t="shared" si="364"/>
        <v>0</v>
      </c>
      <c r="K672" s="555">
        <f ca="1" t="shared" si="364"/>
        <v>0</v>
      </c>
      <c r="L672" s="555">
        <f ca="1" t="shared" si="364"/>
        <v>0</v>
      </c>
      <c r="M672" s="555">
        <f ca="1" t="shared" si="364"/>
        <v>0</v>
      </c>
      <c r="N672" s="555">
        <f ca="1" t="shared" ref="N672:O675" si="368">F672-J672</f>
        <v>0</v>
      </c>
      <c r="O672" s="555">
        <f ca="1" t="shared" si="368"/>
        <v>0</v>
      </c>
    </row>
    <row r="673" ht="15" hidden="1" spans="2:15">
      <c r="B673" s="562"/>
      <c r="C673" s="565" t="s">
        <v>798</v>
      </c>
      <c r="D673" s="564"/>
      <c r="E673" s="416"/>
      <c r="F673" s="555">
        <f ca="1" t="shared" si="364"/>
        <v>0</v>
      </c>
      <c r="G673" s="555">
        <f ca="1" t="shared" si="364"/>
        <v>0</v>
      </c>
      <c r="H673" s="555">
        <f ca="1" t="shared" si="364"/>
        <v>0</v>
      </c>
      <c r="I673" s="555">
        <f ca="1" t="shared" si="364"/>
        <v>0</v>
      </c>
      <c r="J673" s="555">
        <f ca="1" t="shared" si="364"/>
        <v>0</v>
      </c>
      <c r="K673" s="555">
        <f ca="1" t="shared" si="364"/>
        <v>0</v>
      </c>
      <c r="L673" s="555">
        <f ca="1" t="shared" si="364"/>
        <v>0</v>
      </c>
      <c r="M673" s="555">
        <f ca="1" t="shared" si="364"/>
        <v>0</v>
      </c>
      <c r="N673" s="555">
        <f ca="1" t="shared" si="368"/>
        <v>0</v>
      </c>
      <c r="O673" s="555">
        <f ca="1" t="shared" si="368"/>
        <v>0</v>
      </c>
    </row>
    <row r="674" ht="15" hidden="1" spans="2:15">
      <c r="B674" s="562"/>
      <c r="C674" s="565" t="s">
        <v>799</v>
      </c>
      <c r="D674" s="564"/>
      <c r="E674" s="416"/>
      <c r="F674" s="555">
        <f ca="1" t="shared" si="364"/>
        <v>0</v>
      </c>
      <c r="G674" s="555">
        <f ca="1" t="shared" si="364"/>
        <v>0</v>
      </c>
      <c r="H674" s="555">
        <f ca="1" t="shared" si="364"/>
        <v>0</v>
      </c>
      <c r="I674" s="555">
        <f ca="1" t="shared" si="364"/>
        <v>0</v>
      </c>
      <c r="J674" s="555">
        <f ca="1" t="shared" si="364"/>
        <v>0</v>
      </c>
      <c r="K674" s="555">
        <f ca="1" t="shared" si="364"/>
        <v>0</v>
      </c>
      <c r="L674" s="555">
        <f ca="1" t="shared" si="364"/>
        <v>0</v>
      </c>
      <c r="M674" s="555">
        <f ca="1" t="shared" si="364"/>
        <v>0</v>
      </c>
      <c r="N674" s="555">
        <f ca="1" t="shared" si="368"/>
        <v>0</v>
      </c>
      <c r="O674" s="555">
        <f ca="1" t="shared" si="368"/>
        <v>0</v>
      </c>
    </row>
    <row r="675" ht="15" hidden="1" spans="2:15">
      <c r="B675" s="562"/>
      <c r="C675" s="565" t="s">
        <v>800</v>
      </c>
      <c r="D675" s="564"/>
      <c r="E675" s="416"/>
      <c r="F675" s="555">
        <f ca="1" t="shared" si="364"/>
        <v>0</v>
      </c>
      <c r="G675" s="555">
        <f ca="1" t="shared" si="364"/>
        <v>0</v>
      </c>
      <c r="H675" s="555">
        <f ca="1" t="shared" si="364"/>
        <v>0</v>
      </c>
      <c r="I675" s="555">
        <f ca="1" t="shared" si="364"/>
        <v>0</v>
      </c>
      <c r="J675" s="555">
        <f ca="1" t="shared" si="364"/>
        <v>0</v>
      </c>
      <c r="K675" s="555">
        <f ca="1" t="shared" si="364"/>
        <v>0</v>
      </c>
      <c r="L675" s="555">
        <f ca="1" t="shared" si="364"/>
        <v>0</v>
      </c>
      <c r="M675" s="555">
        <f ca="1" t="shared" si="364"/>
        <v>0</v>
      </c>
      <c r="N675" s="555">
        <f ca="1" t="shared" si="368"/>
        <v>0</v>
      </c>
      <c r="O675" s="555">
        <f ca="1" t="shared" si="368"/>
        <v>0</v>
      </c>
    </row>
    <row r="676" ht="15" hidden="1" spans="2:15">
      <c r="B676" s="562">
        <v>14</v>
      </c>
      <c r="C676" s="563" t="s">
        <v>801</v>
      </c>
      <c r="D676" s="564"/>
      <c r="E676" s="416"/>
      <c r="F676" s="555">
        <f t="shared" ref="F676:M682" si="369">10%*F42</f>
        <v>0</v>
      </c>
      <c r="G676" s="555">
        <f t="shared" si="369"/>
        <v>0</v>
      </c>
      <c r="H676" s="555">
        <f t="shared" si="369"/>
        <v>0</v>
      </c>
      <c r="I676" s="555">
        <f t="shared" si="369"/>
        <v>0</v>
      </c>
      <c r="J676" s="555">
        <f t="shared" si="369"/>
        <v>0</v>
      </c>
      <c r="K676" s="555">
        <f t="shared" si="369"/>
        <v>0</v>
      </c>
      <c r="L676" s="555">
        <f t="shared" si="369"/>
        <v>0</v>
      </c>
      <c r="M676" s="555">
        <f t="shared" si="369"/>
        <v>0</v>
      </c>
      <c r="N676" s="555"/>
      <c r="O676" s="555"/>
    </row>
    <row r="677" ht="15" hidden="1" spans="2:15">
      <c r="B677" s="562"/>
      <c r="C677" s="565" t="s">
        <v>802</v>
      </c>
      <c r="D677" s="564"/>
      <c r="E677" s="416"/>
      <c r="F677" s="555">
        <f ca="1" t="shared" si="369"/>
        <v>0</v>
      </c>
      <c r="G677" s="555">
        <f ca="1" t="shared" si="369"/>
        <v>0</v>
      </c>
      <c r="H677" s="555">
        <f ca="1" t="shared" si="369"/>
        <v>0</v>
      </c>
      <c r="I677" s="555">
        <f ca="1" t="shared" si="369"/>
        <v>0</v>
      </c>
      <c r="J677" s="555">
        <f ca="1" t="shared" si="369"/>
        <v>0</v>
      </c>
      <c r="K677" s="555">
        <f ca="1" t="shared" si="369"/>
        <v>0</v>
      </c>
      <c r="L677" s="555">
        <f ca="1" t="shared" si="369"/>
        <v>0</v>
      </c>
      <c r="M677" s="555">
        <f ca="1" t="shared" si="369"/>
        <v>0</v>
      </c>
      <c r="N677" s="555">
        <f ca="1" t="shared" ref="N677:O682" si="370">F677-J677</f>
        <v>0</v>
      </c>
      <c r="O677" s="555">
        <f ca="1" t="shared" si="370"/>
        <v>0</v>
      </c>
    </row>
    <row r="678" ht="15" hidden="1" spans="2:15">
      <c r="B678" s="562"/>
      <c r="C678" s="565" t="s">
        <v>803</v>
      </c>
      <c r="D678" s="564"/>
      <c r="E678" s="416"/>
      <c r="F678" s="555">
        <f ca="1" t="shared" si="369"/>
        <v>0</v>
      </c>
      <c r="G678" s="555">
        <f ca="1" t="shared" si="369"/>
        <v>0</v>
      </c>
      <c r="H678" s="555">
        <f ca="1" t="shared" si="369"/>
        <v>0</v>
      </c>
      <c r="I678" s="555">
        <f ca="1" t="shared" si="369"/>
        <v>0</v>
      </c>
      <c r="J678" s="555">
        <f ca="1" t="shared" si="369"/>
        <v>0</v>
      </c>
      <c r="K678" s="555">
        <f ca="1" t="shared" si="369"/>
        <v>0</v>
      </c>
      <c r="L678" s="555">
        <f ca="1" t="shared" si="369"/>
        <v>0</v>
      </c>
      <c r="M678" s="555">
        <f ca="1" t="shared" si="369"/>
        <v>0</v>
      </c>
      <c r="N678" s="555">
        <f ca="1" t="shared" si="370"/>
        <v>0</v>
      </c>
      <c r="O678" s="555">
        <f ca="1" t="shared" si="370"/>
        <v>0</v>
      </c>
    </row>
    <row r="679" ht="15" hidden="1" spans="2:15">
      <c r="B679" s="562"/>
      <c r="C679" s="565" t="s">
        <v>804</v>
      </c>
      <c r="D679" s="564"/>
      <c r="E679" s="416"/>
      <c r="F679" s="555">
        <f ca="1" t="shared" si="369"/>
        <v>0</v>
      </c>
      <c r="G679" s="555">
        <f ca="1" t="shared" si="369"/>
        <v>0</v>
      </c>
      <c r="H679" s="555">
        <f ca="1" t="shared" si="369"/>
        <v>0</v>
      </c>
      <c r="I679" s="555">
        <f ca="1" t="shared" si="369"/>
        <v>0</v>
      </c>
      <c r="J679" s="555">
        <f ca="1" t="shared" si="369"/>
        <v>0</v>
      </c>
      <c r="K679" s="555">
        <f ca="1" t="shared" si="369"/>
        <v>0</v>
      </c>
      <c r="L679" s="555">
        <f ca="1" t="shared" si="369"/>
        <v>0</v>
      </c>
      <c r="M679" s="555">
        <f ca="1" t="shared" si="369"/>
        <v>0</v>
      </c>
      <c r="N679" s="555">
        <f ca="1" t="shared" si="370"/>
        <v>0</v>
      </c>
      <c r="O679" s="555">
        <f ca="1" t="shared" si="370"/>
        <v>0</v>
      </c>
    </row>
    <row r="680" ht="15" hidden="1" spans="2:15">
      <c r="B680" s="562">
        <v>15</v>
      </c>
      <c r="C680" s="563" t="s">
        <v>805</v>
      </c>
      <c r="D680" s="564"/>
      <c r="E680" s="416"/>
      <c r="F680" s="555">
        <f ca="1" t="shared" si="369"/>
        <v>0</v>
      </c>
      <c r="G680" s="555">
        <f ca="1" t="shared" si="369"/>
        <v>0</v>
      </c>
      <c r="H680" s="555">
        <f ca="1" t="shared" si="369"/>
        <v>0</v>
      </c>
      <c r="I680" s="555">
        <f ca="1" t="shared" si="369"/>
        <v>0</v>
      </c>
      <c r="J680" s="555">
        <f ca="1" t="shared" si="369"/>
        <v>0</v>
      </c>
      <c r="K680" s="555">
        <f ca="1" t="shared" si="369"/>
        <v>0</v>
      </c>
      <c r="L680" s="555">
        <f ca="1" t="shared" si="369"/>
        <v>0</v>
      </c>
      <c r="M680" s="555">
        <f ca="1" t="shared" si="369"/>
        <v>0</v>
      </c>
      <c r="N680" s="555">
        <f ca="1" t="shared" si="370"/>
        <v>0</v>
      </c>
      <c r="O680" s="555">
        <f ca="1" t="shared" si="370"/>
        <v>0</v>
      </c>
    </row>
    <row r="681" ht="15" hidden="1" spans="2:15">
      <c r="B681" s="562">
        <v>16</v>
      </c>
      <c r="C681" s="563" t="s">
        <v>806</v>
      </c>
      <c r="D681" s="553"/>
      <c r="E681" s="416"/>
      <c r="F681" s="555">
        <f ca="1" t="shared" si="369"/>
        <v>0</v>
      </c>
      <c r="G681" s="555">
        <f ca="1" t="shared" si="369"/>
        <v>0</v>
      </c>
      <c r="H681" s="555">
        <f ca="1" t="shared" si="369"/>
        <v>0</v>
      </c>
      <c r="I681" s="555">
        <f ca="1" t="shared" si="369"/>
        <v>0</v>
      </c>
      <c r="J681" s="555">
        <f ca="1" t="shared" si="369"/>
        <v>0</v>
      </c>
      <c r="K681" s="555">
        <f ca="1" t="shared" si="369"/>
        <v>0</v>
      </c>
      <c r="L681" s="555">
        <f ca="1" t="shared" si="369"/>
        <v>0</v>
      </c>
      <c r="M681" s="555">
        <f ca="1" t="shared" si="369"/>
        <v>0</v>
      </c>
      <c r="N681" s="555">
        <f ca="1" t="shared" si="370"/>
        <v>0</v>
      </c>
      <c r="O681" s="555">
        <f ca="1" t="shared" si="370"/>
        <v>0</v>
      </c>
    </row>
    <row r="682" ht="15" hidden="1" spans="2:15">
      <c r="B682" s="562">
        <v>17</v>
      </c>
      <c r="C682" s="563" t="s">
        <v>807</v>
      </c>
      <c r="D682" s="553"/>
      <c r="E682" s="426"/>
      <c r="F682" s="555">
        <f ca="1" t="shared" si="369"/>
        <v>0</v>
      </c>
      <c r="G682" s="555">
        <f ca="1" t="shared" si="369"/>
        <v>0</v>
      </c>
      <c r="H682" s="555">
        <f ca="1" t="shared" si="369"/>
        <v>0</v>
      </c>
      <c r="I682" s="555">
        <f ca="1" t="shared" si="369"/>
        <v>0</v>
      </c>
      <c r="J682" s="555">
        <f ca="1" t="shared" si="369"/>
        <v>0</v>
      </c>
      <c r="K682" s="555">
        <f ca="1" t="shared" si="369"/>
        <v>0</v>
      </c>
      <c r="L682" s="555">
        <f ca="1" t="shared" si="369"/>
        <v>0</v>
      </c>
      <c r="M682" s="555">
        <f ca="1" t="shared" si="369"/>
        <v>0</v>
      </c>
      <c r="N682" s="555">
        <f ca="1" t="shared" si="370"/>
        <v>0</v>
      </c>
      <c r="O682" s="555">
        <f ca="1" t="shared" si="370"/>
        <v>0</v>
      </c>
    </row>
    <row r="683" ht="15.75" hidden="1" spans="2:15">
      <c r="B683" s="566"/>
      <c r="C683" s="567" t="s">
        <v>97</v>
      </c>
      <c r="D683" s="567"/>
      <c r="E683" s="568"/>
      <c r="F683" s="569">
        <f ca="1">SUM(F643:F682)</f>
        <v>0</v>
      </c>
      <c r="G683" s="569">
        <f ca="1" t="shared" ref="G683:O683" si="371">SUM(G643:G682)</f>
        <v>0</v>
      </c>
      <c r="H683" s="569">
        <f ca="1" t="shared" si="371"/>
        <v>0</v>
      </c>
      <c r="I683" s="569">
        <f ca="1" t="shared" si="371"/>
        <v>0</v>
      </c>
      <c r="J683" s="569">
        <f ca="1" t="shared" si="371"/>
        <v>0</v>
      </c>
      <c r="K683" s="569">
        <f ca="1" t="shared" si="371"/>
        <v>0</v>
      </c>
      <c r="L683" s="569">
        <f ca="1" t="shared" si="371"/>
        <v>0</v>
      </c>
      <c r="M683" s="569">
        <f ca="1" t="shared" si="371"/>
        <v>0</v>
      </c>
      <c r="N683" s="569">
        <f ca="1" t="shared" si="371"/>
        <v>0</v>
      </c>
      <c r="O683" s="569">
        <f ca="1" t="shared" si="371"/>
        <v>0</v>
      </c>
    </row>
    <row r="685" ht="15" spans="2:15">
      <c r="B685" s="570" t="s">
        <v>760</v>
      </c>
      <c r="C685" s="571"/>
      <c r="D685" s="571"/>
      <c r="E685" s="571"/>
      <c r="F685" s="571"/>
      <c r="G685" s="571"/>
      <c r="H685" s="571"/>
      <c r="I685" s="571"/>
      <c r="J685" s="571"/>
      <c r="K685" s="571"/>
      <c r="L685" s="571"/>
      <c r="M685" s="571"/>
      <c r="N685" s="571"/>
      <c r="O685" s="581"/>
    </row>
    <row r="686" ht="15" spans="2:15">
      <c r="B686" s="547" t="s">
        <v>564</v>
      </c>
      <c r="C686" s="978" t="s">
        <v>671</v>
      </c>
      <c r="D686" s="549" t="s">
        <v>672</v>
      </c>
      <c r="E686" s="549" t="s">
        <v>673</v>
      </c>
      <c r="F686" s="549" t="s">
        <v>674</v>
      </c>
      <c r="G686" s="549"/>
      <c r="H686" s="549"/>
      <c r="I686" s="549"/>
      <c r="J686" s="549" t="s">
        <v>675</v>
      </c>
      <c r="K686" s="549"/>
      <c r="L686" s="549"/>
      <c r="M686" s="549"/>
      <c r="N686" s="549" t="s">
        <v>676</v>
      </c>
      <c r="O686" s="579"/>
    </row>
    <row r="687" ht="60.75" spans="2:15">
      <c r="B687" s="572"/>
      <c r="C687" s="573"/>
      <c r="D687" s="574"/>
      <c r="E687" s="574"/>
      <c r="F687" s="574" t="s">
        <v>677</v>
      </c>
      <c r="G687" s="574" t="s">
        <v>678</v>
      </c>
      <c r="H687" s="574" t="s">
        <v>679</v>
      </c>
      <c r="I687" s="574" t="s">
        <v>680</v>
      </c>
      <c r="J687" s="574" t="s">
        <v>681</v>
      </c>
      <c r="K687" s="574" t="s">
        <v>678</v>
      </c>
      <c r="L687" s="574" t="s">
        <v>682</v>
      </c>
      <c r="M687" s="574" t="s">
        <v>683</v>
      </c>
      <c r="N687" s="574" t="s">
        <v>677</v>
      </c>
      <c r="O687" s="582" t="s">
        <v>680</v>
      </c>
    </row>
    <row r="688" ht="15" spans="2:15">
      <c r="B688" s="551">
        <v>1</v>
      </c>
      <c r="C688" s="552" t="s">
        <v>684</v>
      </c>
      <c r="D688" s="546"/>
      <c r="E688" s="576"/>
      <c r="F688" s="555">
        <f>10%*F54</f>
        <v>0.864</v>
      </c>
      <c r="G688" s="555">
        <f t="shared" ref="G688:M688" si="372">10%*G54</f>
        <v>2.86544741660671</v>
      </c>
      <c r="H688" s="555">
        <f ca="1" t="shared" si="372"/>
        <v>0</v>
      </c>
      <c r="I688" s="555">
        <f ca="1" t="shared" si="372"/>
        <v>3.72944741660671</v>
      </c>
      <c r="J688" s="555">
        <f t="shared" si="372"/>
        <v>0.000489906200000156</v>
      </c>
      <c r="K688" s="555">
        <f t="shared" si="372"/>
        <v>0</v>
      </c>
      <c r="L688" s="555">
        <f ca="1" t="shared" si="372"/>
        <v>0</v>
      </c>
      <c r="M688" s="555">
        <f ca="1" t="shared" si="372"/>
        <v>0.000489906200000156</v>
      </c>
      <c r="N688" s="555">
        <f>F688-J688</f>
        <v>0.8635100938</v>
      </c>
      <c r="O688" s="555">
        <f ca="1">I688-M688</f>
        <v>3.72895751040671</v>
      </c>
    </row>
    <row r="689" ht="15" spans="2:15">
      <c r="B689" s="551">
        <v>2</v>
      </c>
      <c r="C689" s="552" t="s">
        <v>770</v>
      </c>
      <c r="D689" s="614"/>
      <c r="E689" s="615"/>
      <c r="F689" s="555">
        <f t="shared" ref="F689:M704" si="373">10%*F55</f>
        <v>0</v>
      </c>
      <c r="G689" s="555">
        <f t="shared" si="373"/>
        <v>0</v>
      </c>
      <c r="H689" s="555">
        <f ca="1" t="shared" si="373"/>
        <v>0</v>
      </c>
      <c r="I689" s="555">
        <f ca="1" t="shared" si="373"/>
        <v>0</v>
      </c>
      <c r="J689" s="555">
        <f ca="1" t="shared" si="373"/>
        <v>0</v>
      </c>
      <c r="K689" s="555">
        <f ca="1" t="shared" si="373"/>
        <v>0</v>
      </c>
      <c r="L689" s="555">
        <f ca="1" t="shared" si="373"/>
        <v>0</v>
      </c>
      <c r="M689" s="555">
        <f ca="1" t="shared" si="373"/>
        <v>0</v>
      </c>
      <c r="N689" s="555">
        <f ca="1">F689-J689</f>
        <v>0</v>
      </c>
      <c r="O689" s="555">
        <f ca="1">I689-M689</f>
        <v>0</v>
      </c>
    </row>
    <row r="690" ht="15" spans="2:15">
      <c r="B690" s="551">
        <v>3</v>
      </c>
      <c r="C690" s="556" t="s">
        <v>771</v>
      </c>
      <c r="D690" s="553"/>
      <c r="E690" s="416"/>
      <c r="F690" s="555">
        <f t="shared" si="373"/>
        <v>0</v>
      </c>
      <c r="G690" s="555">
        <f t="shared" si="373"/>
        <v>0</v>
      </c>
      <c r="H690" s="555">
        <f t="shared" si="373"/>
        <v>0</v>
      </c>
      <c r="I690" s="555">
        <f t="shared" si="373"/>
        <v>0</v>
      </c>
      <c r="J690" s="555">
        <f t="shared" si="373"/>
        <v>0</v>
      </c>
      <c r="K690" s="555">
        <f t="shared" si="373"/>
        <v>0</v>
      </c>
      <c r="L690" s="555">
        <f t="shared" si="373"/>
        <v>0</v>
      </c>
      <c r="M690" s="555">
        <f t="shared" si="373"/>
        <v>0</v>
      </c>
      <c r="N690" s="555"/>
      <c r="O690" s="555"/>
    </row>
    <row r="691" ht="15" spans="2:15">
      <c r="B691" s="551"/>
      <c r="C691" s="557" t="s">
        <v>772</v>
      </c>
      <c r="D691" s="553"/>
      <c r="E691" s="416"/>
      <c r="F691" s="555">
        <f t="shared" si="373"/>
        <v>37.422</v>
      </c>
      <c r="G691" s="555">
        <f t="shared" si="373"/>
        <v>2.67029080822163</v>
      </c>
      <c r="H691" s="555">
        <f ca="1" t="shared" si="373"/>
        <v>0</v>
      </c>
      <c r="I691" s="555">
        <f ca="1" t="shared" si="373"/>
        <v>40.0922908082216</v>
      </c>
      <c r="J691" s="555">
        <f t="shared" si="373"/>
        <v>11.8902630197</v>
      </c>
      <c r="K691" s="555">
        <f t="shared" si="373"/>
        <v>2.03502718106166</v>
      </c>
      <c r="L691" s="555">
        <f ca="1" t="shared" si="373"/>
        <v>0</v>
      </c>
      <c r="M691" s="555">
        <f ca="1" t="shared" si="373"/>
        <v>13.9252902007617</v>
      </c>
      <c r="N691" s="555">
        <f t="shared" ref="N691:N694" si="374">F691-J691</f>
        <v>25.5317369803</v>
      </c>
      <c r="O691" s="555">
        <f ca="1" t="shared" ref="O691:O694" si="375">I691-M691</f>
        <v>26.16700060746</v>
      </c>
    </row>
    <row r="692" ht="28.5" spans="2:15">
      <c r="B692" s="551"/>
      <c r="C692" s="557" t="s">
        <v>773</v>
      </c>
      <c r="D692" s="553"/>
      <c r="E692" s="416"/>
      <c r="F692" s="555">
        <f ca="1" t="shared" si="373"/>
        <v>0</v>
      </c>
      <c r="G692" s="555">
        <f ca="1" t="shared" si="373"/>
        <v>0</v>
      </c>
      <c r="H692" s="555">
        <f ca="1" t="shared" si="373"/>
        <v>0</v>
      </c>
      <c r="I692" s="555">
        <f ca="1" t="shared" si="373"/>
        <v>0</v>
      </c>
      <c r="J692" s="555">
        <f ca="1" t="shared" si="373"/>
        <v>0</v>
      </c>
      <c r="K692" s="555">
        <f ca="1" t="shared" si="373"/>
        <v>0</v>
      </c>
      <c r="L692" s="555">
        <f ca="1" t="shared" si="373"/>
        <v>0</v>
      </c>
      <c r="M692" s="555">
        <f ca="1" t="shared" si="373"/>
        <v>0</v>
      </c>
      <c r="N692" s="555">
        <f ca="1" t="shared" si="374"/>
        <v>0</v>
      </c>
      <c r="O692" s="555">
        <f ca="1" t="shared" si="375"/>
        <v>0</v>
      </c>
    </row>
    <row r="693" ht="15" spans="2:15">
      <c r="B693" s="551"/>
      <c r="C693" s="557" t="s">
        <v>774</v>
      </c>
      <c r="D693" s="553"/>
      <c r="E693" s="416"/>
      <c r="F693" s="555">
        <f ca="1" t="shared" si="373"/>
        <v>0</v>
      </c>
      <c r="G693" s="555">
        <f ca="1" t="shared" si="373"/>
        <v>0</v>
      </c>
      <c r="H693" s="555">
        <f ca="1" t="shared" si="373"/>
        <v>0</v>
      </c>
      <c r="I693" s="555">
        <f ca="1" t="shared" si="373"/>
        <v>0</v>
      </c>
      <c r="J693" s="555">
        <f ca="1" t="shared" si="373"/>
        <v>0</v>
      </c>
      <c r="K693" s="555">
        <f ca="1" t="shared" si="373"/>
        <v>0</v>
      </c>
      <c r="L693" s="555">
        <f ca="1" t="shared" si="373"/>
        <v>0</v>
      </c>
      <c r="M693" s="555">
        <f ca="1" t="shared" si="373"/>
        <v>0</v>
      </c>
      <c r="N693" s="555">
        <f ca="1" t="shared" si="374"/>
        <v>0</v>
      </c>
      <c r="O693" s="555">
        <f ca="1" t="shared" si="375"/>
        <v>0</v>
      </c>
    </row>
    <row r="694" ht="15" spans="2:15">
      <c r="B694" s="551"/>
      <c r="C694" s="557" t="s">
        <v>775</v>
      </c>
      <c r="D694" s="553"/>
      <c r="E694" s="416"/>
      <c r="F694" s="555">
        <f t="shared" si="373"/>
        <v>22.108</v>
      </c>
      <c r="G694" s="555">
        <f t="shared" si="373"/>
        <v>0</v>
      </c>
      <c r="H694" s="555">
        <f ca="1" t="shared" si="373"/>
        <v>0</v>
      </c>
      <c r="I694" s="555">
        <f ca="1" t="shared" si="373"/>
        <v>22.108</v>
      </c>
      <c r="J694" s="555">
        <f t="shared" si="373"/>
        <v>4.4413445081</v>
      </c>
      <c r="K694" s="555">
        <f t="shared" si="373"/>
        <v>0</v>
      </c>
      <c r="L694" s="555">
        <f ca="1" t="shared" si="373"/>
        <v>0</v>
      </c>
      <c r="M694" s="555">
        <f ca="1" t="shared" si="373"/>
        <v>4.4413445081</v>
      </c>
      <c r="N694" s="555">
        <f t="shared" si="374"/>
        <v>17.6666554919</v>
      </c>
      <c r="O694" s="555">
        <f ca="1" t="shared" si="375"/>
        <v>17.6666554919</v>
      </c>
    </row>
    <row r="695" ht="15" spans="2:15">
      <c r="B695" s="551">
        <v>4</v>
      </c>
      <c r="C695" s="552" t="s">
        <v>776</v>
      </c>
      <c r="D695" s="553"/>
      <c r="E695" s="416"/>
      <c r="F695" s="555">
        <f t="shared" si="373"/>
        <v>0</v>
      </c>
      <c r="G695" s="555">
        <f t="shared" si="373"/>
        <v>0</v>
      </c>
      <c r="H695" s="555">
        <f t="shared" si="373"/>
        <v>0</v>
      </c>
      <c r="I695" s="555">
        <f t="shared" si="373"/>
        <v>0</v>
      </c>
      <c r="J695" s="555">
        <f t="shared" si="373"/>
        <v>0</v>
      </c>
      <c r="K695" s="555">
        <f t="shared" si="373"/>
        <v>0</v>
      </c>
      <c r="L695" s="555">
        <f t="shared" si="373"/>
        <v>0</v>
      </c>
      <c r="M695" s="555">
        <f t="shared" si="373"/>
        <v>0</v>
      </c>
      <c r="N695" s="555"/>
      <c r="O695" s="555"/>
    </row>
    <row r="696" ht="15" spans="2:15">
      <c r="B696" s="551"/>
      <c r="C696" s="558" t="s">
        <v>777</v>
      </c>
      <c r="D696" s="553"/>
      <c r="E696" s="416"/>
      <c r="F696" s="555">
        <f t="shared" si="373"/>
        <v>898.688</v>
      </c>
      <c r="G696" s="555">
        <f t="shared" si="373"/>
        <v>63.8166249884847</v>
      </c>
      <c r="H696" s="555">
        <f ca="1" t="shared" si="373"/>
        <v>0</v>
      </c>
      <c r="I696" s="555">
        <f ca="1" t="shared" si="373"/>
        <v>962.504624988485</v>
      </c>
      <c r="J696" s="555">
        <f t="shared" si="373"/>
        <v>473.5332433661</v>
      </c>
      <c r="K696" s="555">
        <f t="shared" si="373"/>
        <v>37.9334326894325</v>
      </c>
      <c r="L696" s="555">
        <f ca="1" t="shared" si="373"/>
        <v>0</v>
      </c>
      <c r="M696" s="555">
        <f ca="1" t="shared" si="373"/>
        <v>511.466676055533</v>
      </c>
      <c r="N696" s="555">
        <f t="shared" ref="N696:N699" si="376">F696-J696</f>
        <v>425.1547566339</v>
      </c>
      <c r="O696" s="555">
        <f ca="1" t="shared" ref="O696:O699" si="377">I696-M696</f>
        <v>451.037948932952</v>
      </c>
    </row>
    <row r="697" ht="15" spans="2:15">
      <c r="B697" s="551"/>
      <c r="C697" s="552" t="s">
        <v>778</v>
      </c>
      <c r="D697" s="553"/>
      <c r="E697" s="416"/>
      <c r="F697" s="555">
        <f t="shared" si="373"/>
        <v>0</v>
      </c>
      <c r="G697" s="555">
        <f t="shared" si="373"/>
        <v>0</v>
      </c>
      <c r="H697" s="555">
        <f t="shared" si="373"/>
        <v>0</v>
      </c>
      <c r="I697" s="555">
        <f t="shared" si="373"/>
        <v>0</v>
      </c>
      <c r="J697" s="555">
        <f t="shared" si="373"/>
        <v>0</v>
      </c>
      <c r="K697" s="555">
        <f t="shared" si="373"/>
        <v>0</v>
      </c>
      <c r="L697" s="555">
        <f t="shared" si="373"/>
        <v>0</v>
      </c>
      <c r="M697" s="555">
        <f t="shared" si="373"/>
        <v>0</v>
      </c>
      <c r="N697" s="555"/>
      <c r="O697" s="555"/>
    </row>
    <row r="698" ht="15" spans="2:15">
      <c r="B698" s="551"/>
      <c r="C698" s="558" t="s">
        <v>779</v>
      </c>
      <c r="D698" s="553"/>
      <c r="E698" s="416"/>
      <c r="F698" s="555">
        <f ca="1" t="shared" si="373"/>
        <v>0</v>
      </c>
      <c r="G698" s="555">
        <f ca="1" t="shared" si="373"/>
        <v>0</v>
      </c>
      <c r="H698" s="555">
        <f ca="1" t="shared" si="373"/>
        <v>0</v>
      </c>
      <c r="I698" s="555">
        <f ca="1" t="shared" si="373"/>
        <v>0</v>
      </c>
      <c r="J698" s="555">
        <f ca="1" t="shared" si="373"/>
        <v>0</v>
      </c>
      <c r="K698" s="555">
        <f ca="1" t="shared" si="373"/>
        <v>0</v>
      </c>
      <c r="L698" s="555">
        <f ca="1" t="shared" si="373"/>
        <v>0</v>
      </c>
      <c r="M698" s="555">
        <f ca="1" t="shared" si="373"/>
        <v>0</v>
      </c>
      <c r="N698" s="555">
        <f ca="1" t="shared" si="376"/>
        <v>0</v>
      </c>
      <c r="O698" s="555">
        <f ca="1" t="shared" si="377"/>
        <v>0</v>
      </c>
    </row>
    <row r="699" ht="15" spans="2:15">
      <c r="B699" s="551"/>
      <c r="C699" s="558" t="s">
        <v>780</v>
      </c>
      <c r="D699" s="553"/>
      <c r="E699" s="416"/>
      <c r="F699" s="555">
        <f ca="1" t="shared" si="373"/>
        <v>0</v>
      </c>
      <c r="G699" s="555">
        <f ca="1" t="shared" si="373"/>
        <v>0</v>
      </c>
      <c r="H699" s="555">
        <f ca="1" t="shared" si="373"/>
        <v>0</v>
      </c>
      <c r="I699" s="555">
        <f ca="1" t="shared" si="373"/>
        <v>0</v>
      </c>
      <c r="J699" s="555">
        <f ca="1" t="shared" si="373"/>
        <v>0</v>
      </c>
      <c r="K699" s="555">
        <f ca="1" t="shared" si="373"/>
        <v>0</v>
      </c>
      <c r="L699" s="555">
        <f ca="1" t="shared" si="373"/>
        <v>0</v>
      </c>
      <c r="M699" s="555">
        <f ca="1" t="shared" si="373"/>
        <v>0</v>
      </c>
      <c r="N699" s="555">
        <f ca="1" t="shared" si="376"/>
        <v>0</v>
      </c>
      <c r="O699" s="555">
        <f ca="1" t="shared" si="377"/>
        <v>0</v>
      </c>
    </row>
    <row r="700" ht="15" spans="2:15">
      <c r="B700" s="551">
        <v>5</v>
      </c>
      <c r="C700" s="552" t="s">
        <v>781</v>
      </c>
      <c r="D700" s="553"/>
      <c r="E700" s="416"/>
      <c r="F700" s="555">
        <f t="shared" si="373"/>
        <v>0</v>
      </c>
      <c r="G700" s="555">
        <f t="shared" si="373"/>
        <v>0</v>
      </c>
      <c r="H700" s="555">
        <f t="shared" si="373"/>
        <v>0</v>
      </c>
      <c r="I700" s="555">
        <f t="shared" si="373"/>
        <v>0</v>
      </c>
      <c r="J700" s="555">
        <f t="shared" si="373"/>
        <v>0</v>
      </c>
      <c r="K700" s="555">
        <f t="shared" si="373"/>
        <v>0</v>
      </c>
      <c r="L700" s="555">
        <f t="shared" si="373"/>
        <v>0</v>
      </c>
      <c r="M700" s="555">
        <f t="shared" si="373"/>
        <v>0</v>
      </c>
      <c r="N700" s="555"/>
      <c r="O700" s="555"/>
    </row>
    <row r="701" ht="15" spans="2:15">
      <c r="B701" s="551"/>
      <c r="C701" s="558" t="s">
        <v>782</v>
      </c>
      <c r="D701" s="553"/>
      <c r="E701" s="416"/>
      <c r="F701" s="555">
        <f ca="1" t="shared" si="373"/>
        <v>0</v>
      </c>
      <c r="G701" s="555">
        <f ca="1" t="shared" si="373"/>
        <v>0</v>
      </c>
      <c r="H701" s="555">
        <f ca="1" t="shared" si="373"/>
        <v>0</v>
      </c>
      <c r="I701" s="555">
        <f ca="1" t="shared" si="373"/>
        <v>0</v>
      </c>
      <c r="J701" s="555">
        <f ca="1" t="shared" si="373"/>
        <v>0</v>
      </c>
      <c r="K701" s="555">
        <f ca="1" t="shared" si="373"/>
        <v>0</v>
      </c>
      <c r="L701" s="555">
        <f ca="1" t="shared" si="373"/>
        <v>0</v>
      </c>
      <c r="M701" s="555">
        <f ca="1" t="shared" si="373"/>
        <v>0</v>
      </c>
      <c r="N701" s="555">
        <f ca="1" t="shared" ref="N701:N706" si="378">F701-J701</f>
        <v>0</v>
      </c>
      <c r="O701" s="555">
        <f ca="1" t="shared" ref="O701:O706" si="379">I701-M701</f>
        <v>0</v>
      </c>
    </row>
    <row r="702" ht="15" spans="2:15">
      <c r="B702" s="551"/>
      <c r="C702" s="558" t="s">
        <v>783</v>
      </c>
      <c r="D702" s="553"/>
      <c r="E702" s="416"/>
      <c r="F702" s="555">
        <f ca="1" t="shared" si="373"/>
        <v>0</v>
      </c>
      <c r="G702" s="555">
        <f ca="1" t="shared" si="373"/>
        <v>0</v>
      </c>
      <c r="H702" s="555">
        <f ca="1" t="shared" si="373"/>
        <v>0</v>
      </c>
      <c r="I702" s="555">
        <f ca="1" t="shared" si="373"/>
        <v>0</v>
      </c>
      <c r="J702" s="555">
        <f ca="1" t="shared" si="373"/>
        <v>0</v>
      </c>
      <c r="K702" s="555">
        <f ca="1" t="shared" si="373"/>
        <v>0</v>
      </c>
      <c r="L702" s="555">
        <f ca="1" t="shared" si="373"/>
        <v>0</v>
      </c>
      <c r="M702" s="555">
        <f ca="1" t="shared" si="373"/>
        <v>0</v>
      </c>
      <c r="N702" s="555">
        <f ca="1" t="shared" si="378"/>
        <v>0</v>
      </c>
      <c r="O702" s="555">
        <f ca="1" t="shared" si="379"/>
        <v>0</v>
      </c>
    </row>
    <row r="703" ht="15" spans="2:15">
      <c r="B703" s="551"/>
      <c r="C703" s="558" t="s">
        <v>784</v>
      </c>
      <c r="D703" s="553"/>
      <c r="E703" s="416"/>
      <c r="F703" s="555">
        <f ca="1" t="shared" si="373"/>
        <v>0</v>
      </c>
      <c r="G703" s="555">
        <f ca="1" t="shared" si="373"/>
        <v>0</v>
      </c>
      <c r="H703" s="555">
        <f ca="1" t="shared" si="373"/>
        <v>0</v>
      </c>
      <c r="I703" s="555">
        <f ca="1" t="shared" si="373"/>
        <v>0</v>
      </c>
      <c r="J703" s="555">
        <f ca="1" t="shared" si="373"/>
        <v>0</v>
      </c>
      <c r="K703" s="555">
        <f ca="1" t="shared" si="373"/>
        <v>0</v>
      </c>
      <c r="L703" s="555">
        <f ca="1" t="shared" si="373"/>
        <v>0</v>
      </c>
      <c r="M703" s="555">
        <f ca="1" t="shared" si="373"/>
        <v>0</v>
      </c>
      <c r="N703" s="555">
        <f ca="1" t="shared" si="378"/>
        <v>0</v>
      </c>
      <c r="O703" s="555">
        <f ca="1" t="shared" si="379"/>
        <v>0</v>
      </c>
    </row>
    <row r="704" ht="15" spans="2:15">
      <c r="B704" s="551"/>
      <c r="C704" s="558" t="s">
        <v>785</v>
      </c>
      <c r="D704" s="553"/>
      <c r="E704" s="416"/>
      <c r="F704" s="555">
        <f ca="1" t="shared" si="373"/>
        <v>0</v>
      </c>
      <c r="G704" s="555">
        <f ca="1" t="shared" si="373"/>
        <v>0</v>
      </c>
      <c r="H704" s="555">
        <f ca="1" t="shared" si="373"/>
        <v>0</v>
      </c>
      <c r="I704" s="555">
        <f ca="1" t="shared" si="373"/>
        <v>0</v>
      </c>
      <c r="J704" s="555">
        <f ca="1" t="shared" si="373"/>
        <v>0</v>
      </c>
      <c r="K704" s="555">
        <f ca="1" t="shared" si="373"/>
        <v>0</v>
      </c>
      <c r="L704" s="555">
        <f ca="1" t="shared" si="373"/>
        <v>0</v>
      </c>
      <c r="M704" s="555">
        <f ca="1" t="shared" si="373"/>
        <v>0</v>
      </c>
      <c r="N704" s="555">
        <f ca="1" t="shared" si="378"/>
        <v>0</v>
      </c>
      <c r="O704" s="555">
        <f ca="1" t="shared" si="379"/>
        <v>0</v>
      </c>
    </row>
    <row r="705" ht="15" spans="2:15">
      <c r="B705" s="551">
        <v>6</v>
      </c>
      <c r="C705" s="552" t="s">
        <v>786</v>
      </c>
      <c r="D705" s="553"/>
      <c r="E705" s="416"/>
      <c r="F705" s="555">
        <f ca="1" t="shared" ref="F705:M720" si="380">10%*F71</f>
        <v>0</v>
      </c>
      <c r="G705" s="555">
        <f ca="1" t="shared" si="380"/>
        <v>0</v>
      </c>
      <c r="H705" s="555">
        <f ca="1" t="shared" si="380"/>
        <v>0</v>
      </c>
      <c r="I705" s="555">
        <f ca="1" t="shared" si="380"/>
        <v>0</v>
      </c>
      <c r="J705" s="555">
        <f ca="1" t="shared" si="380"/>
        <v>0</v>
      </c>
      <c r="K705" s="555">
        <f ca="1" t="shared" si="380"/>
        <v>0</v>
      </c>
      <c r="L705" s="555">
        <f ca="1" t="shared" si="380"/>
        <v>0</v>
      </c>
      <c r="M705" s="555">
        <f ca="1" t="shared" si="380"/>
        <v>0</v>
      </c>
      <c r="N705" s="555">
        <f ca="1" t="shared" si="378"/>
        <v>0</v>
      </c>
      <c r="O705" s="555">
        <f ca="1" t="shared" si="379"/>
        <v>0</v>
      </c>
    </row>
    <row r="706" ht="15" spans="2:15">
      <c r="B706" s="551">
        <v>7</v>
      </c>
      <c r="C706" s="552" t="s">
        <v>787</v>
      </c>
      <c r="D706" s="553"/>
      <c r="E706" s="416"/>
      <c r="F706" s="555">
        <f ca="1" t="shared" si="380"/>
        <v>0</v>
      </c>
      <c r="G706" s="555">
        <f ca="1" t="shared" si="380"/>
        <v>0</v>
      </c>
      <c r="H706" s="555">
        <f ca="1" t="shared" si="380"/>
        <v>0</v>
      </c>
      <c r="I706" s="555">
        <f ca="1" t="shared" si="380"/>
        <v>0</v>
      </c>
      <c r="J706" s="555">
        <f ca="1" t="shared" si="380"/>
        <v>0</v>
      </c>
      <c r="K706" s="555">
        <f ca="1" t="shared" si="380"/>
        <v>0</v>
      </c>
      <c r="L706" s="555">
        <f ca="1" t="shared" si="380"/>
        <v>0</v>
      </c>
      <c r="M706" s="555">
        <f ca="1" t="shared" si="380"/>
        <v>0</v>
      </c>
      <c r="N706" s="555">
        <f ca="1" t="shared" si="378"/>
        <v>0</v>
      </c>
      <c r="O706" s="555">
        <f ca="1" t="shared" si="379"/>
        <v>0</v>
      </c>
    </row>
    <row r="707" ht="15" spans="2:15">
      <c r="B707" s="551">
        <v>8</v>
      </c>
      <c r="C707" s="552" t="s">
        <v>788</v>
      </c>
      <c r="D707" s="553"/>
      <c r="E707" s="416"/>
      <c r="F707" s="555">
        <f t="shared" si="380"/>
        <v>0</v>
      </c>
      <c r="G707" s="555">
        <f t="shared" si="380"/>
        <v>0</v>
      </c>
      <c r="H707" s="555">
        <f t="shared" si="380"/>
        <v>0</v>
      </c>
      <c r="I707" s="555">
        <f t="shared" si="380"/>
        <v>0</v>
      </c>
      <c r="J707" s="555">
        <f t="shared" si="380"/>
        <v>0</v>
      </c>
      <c r="K707" s="555">
        <f t="shared" si="380"/>
        <v>0</v>
      </c>
      <c r="L707" s="555">
        <f t="shared" si="380"/>
        <v>0</v>
      </c>
      <c r="M707" s="555">
        <f t="shared" si="380"/>
        <v>0</v>
      </c>
      <c r="N707" s="555"/>
      <c r="O707" s="555"/>
    </row>
    <row r="708" ht="15" spans="2:15">
      <c r="B708" s="551"/>
      <c r="C708" s="558" t="s">
        <v>789</v>
      </c>
      <c r="D708" s="553"/>
      <c r="E708" s="416"/>
      <c r="F708" s="555">
        <f t="shared" si="380"/>
        <v>868.009</v>
      </c>
      <c r="G708" s="555">
        <f t="shared" si="380"/>
        <v>71.9951738685159</v>
      </c>
      <c r="H708" s="555">
        <f ca="1" t="shared" si="380"/>
        <v>0</v>
      </c>
      <c r="I708" s="555">
        <f ca="1" t="shared" si="380"/>
        <v>940.004173868516</v>
      </c>
      <c r="J708" s="555">
        <f t="shared" si="380"/>
        <v>412.622608089</v>
      </c>
      <c r="K708" s="555">
        <f t="shared" si="380"/>
        <v>37.7952231455649</v>
      </c>
      <c r="L708" s="555">
        <f ca="1" t="shared" si="380"/>
        <v>0</v>
      </c>
      <c r="M708" s="555">
        <f ca="1" t="shared" si="380"/>
        <v>450.417831234565</v>
      </c>
      <c r="N708" s="555">
        <f t="shared" ref="N708:O712" si="381">F708-J708</f>
        <v>455.386391911</v>
      </c>
      <c r="O708" s="555">
        <f ca="1" t="shared" ref="O708:O710" si="382">I708-M708</f>
        <v>489.586342633951</v>
      </c>
    </row>
    <row r="709" ht="15" spans="2:15">
      <c r="B709" s="551"/>
      <c r="C709" s="558" t="s">
        <v>808</v>
      </c>
      <c r="D709" s="553"/>
      <c r="E709" s="416"/>
      <c r="F709" s="555">
        <f ca="1" t="shared" si="380"/>
        <v>0</v>
      </c>
      <c r="G709" s="555">
        <f ca="1" t="shared" si="380"/>
        <v>0</v>
      </c>
      <c r="H709" s="555">
        <f ca="1" t="shared" si="380"/>
        <v>0</v>
      </c>
      <c r="I709" s="555">
        <f ca="1" t="shared" si="380"/>
        <v>0</v>
      </c>
      <c r="J709" s="555">
        <f ca="1" t="shared" si="380"/>
        <v>0</v>
      </c>
      <c r="K709" s="555">
        <f ca="1" t="shared" si="380"/>
        <v>0</v>
      </c>
      <c r="L709" s="555">
        <f ca="1" t="shared" si="380"/>
        <v>0</v>
      </c>
      <c r="M709" s="555">
        <f ca="1" t="shared" si="380"/>
        <v>0</v>
      </c>
      <c r="N709" s="555">
        <f ca="1" t="shared" si="381"/>
        <v>0</v>
      </c>
      <c r="O709" s="555">
        <f ca="1" t="shared" si="382"/>
        <v>0</v>
      </c>
    </row>
    <row r="710" ht="30" spans="2:15">
      <c r="B710" s="560">
        <v>9</v>
      </c>
      <c r="C710" s="561" t="s">
        <v>791</v>
      </c>
      <c r="D710" s="553"/>
      <c r="E710" s="416"/>
      <c r="F710" s="555">
        <f ca="1" t="shared" si="380"/>
        <v>0</v>
      </c>
      <c r="G710" s="555">
        <f ca="1" t="shared" si="380"/>
        <v>0</v>
      </c>
      <c r="H710" s="555">
        <f ca="1" t="shared" si="380"/>
        <v>0</v>
      </c>
      <c r="I710" s="555">
        <f ca="1" t="shared" si="380"/>
        <v>0</v>
      </c>
      <c r="J710" s="555">
        <f ca="1" t="shared" si="380"/>
        <v>0</v>
      </c>
      <c r="K710" s="555">
        <f ca="1" t="shared" si="380"/>
        <v>0</v>
      </c>
      <c r="L710" s="555">
        <f ca="1" t="shared" si="380"/>
        <v>0</v>
      </c>
      <c r="M710" s="555">
        <f ca="1" t="shared" si="380"/>
        <v>0</v>
      </c>
      <c r="N710" s="555">
        <f ca="1" t="shared" si="381"/>
        <v>0</v>
      </c>
      <c r="O710" s="555">
        <f ca="1" t="shared" si="382"/>
        <v>0</v>
      </c>
    </row>
    <row r="711" ht="15" spans="2:15">
      <c r="B711" s="562">
        <v>10</v>
      </c>
      <c r="C711" s="563" t="s">
        <v>792</v>
      </c>
      <c r="D711" s="564"/>
      <c r="E711" s="416"/>
      <c r="F711" s="555">
        <f t="shared" si="380"/>
        <v>182.732</v>
      </c>
      <c r="G711" s="555">
        <f t="shared" si="380"/>
        <v>110.40508964106</v>
      </c>
      <c r="H711" s="555">
        <f ca="1" t="shared" si="380"/>
        <v>0</v>
      </c>
      <c r="I711" s="555">
        <f ca="1" t="shared" si="380"/>
        <v>293.13708964106</v>
      </c>
      <c r="J711" s="555">
        <f t="shared" si="380"/>
        <v>115.2021040442</v>
      </c>
      <c r="K711" s="555">
        <f t="shared" si="380"/>
        <v>8.80952928680627</v>
      </c>
      <c r="L711" s="555">
        <f ca="1" t="shared" si="380"/>
        <v>0</v>
      </c>
      <c r="M711" s="555">
        <f ca="1" t="shared" si="380"/>
        <v>124.011633331006</v>
      </c>
      <c r="N711" s="555">
        <f t="shared" si="381"/>
        <v>67.5298959558</v>
      </c>
      <c r="O711" s="555">
        <f t="shared" si="381"/>
        <v>101.595560354254</v>
      </c>
    </row>
    <row r="712" ht="15" spans="2:15">
      <c r="B712" s="562">
        <v>11</v>
      </c>
      <c r="C712" s="563" t="s">
        <v>793</v>
      </c>
      <c r="D712" s="564"/>
      <c r="E712" s="416"/>
      <c r="F712" s="555">
        <f t="shared" si="380"/>
        <v>0.708</v>
      </c>
      <c r="G712" s="555">
        <f ca="1" t="shared" si="380"/>
        <v>0</v>
      </c>
      <c r="H712" s="555">
        <f ca="1" t="shared" si="380"/>
        <v>0</v>
      </c>
      <c r="I712" s="555">
        <f ca="1" t="shared" si="380"/>
        <v>0.708</v>
      </c>
      <c r="J712" s="555">
        <f t="shared" si="380"/>
        <v>0.6372199932</v>
      </c>
      <c r="K712" s="555">
        <f t="shared" si="380"/>
        <v>0.002</v>
      </c>
      <c r="L712" s="555">
        <f ca="1" t="shared" si="380"/>
        <v>0</v>
      </c>
      <c r="M712" s="555">
        <f ca="1" t="shared" si="380"/>
        <v>0.6392199932</v>
      </c>
      <c r="N712" s="555">
        <f t="shared" si="381"/>
        <v>0.0707800068000001</v>
      </c>
      <c r="O712" s="555">
        <f ca="1" t="shared" si="381"/>
        <v>-0.002</v>
      </c>
    </row>
    <row r="713" ht="15" spans="2:15">
      <c r="B713" s="562">
        <v>12</v>
      </c>
      <c r="C713" s="563" t="s">
        <v>794</v>
      </c>
      <c r="D713" s="564"/>
      <c r="E713" s="416"/>
      <c r="F713" s="555">
        <f t="shared" si="380"/>
        <v>0</v>
      </c>
      <c r="G713" s="555">
        <f t="shared" si="380"/>
        <v>0</v>
      </c>
      <c r="H713" s="555">
        <f t="shared" si="380"/>
        <v>0</v>
      </c>
      <c r="I713" s="555">
        <f t="shared" si="380"/>
        <v>0</v>
      </c>
      <c r="J713" s="555">
        <f t="shared" si="380"/>
        <v>0</v>
      </c>
      <c r="K713" s="555">
        <f t="shared" si="380"/>
        <v>0</v>
      </c>
      <c r="L713" s="555">
        <f t="shared" si="380"/>
        <v>0</v>
      </c>
      <c r="M713" s="555">
        <f t="shared" si="380"/>
        <v>0</v>
      </c>
      <c r="N713" s="555"/>
      <c r="O713" s="555"/>
    </row>
    <row r="714" ht="15" spans="2:15">
      <c r="B714" s="562"/>
      <c r="C714" s="565" t="s">
        <v>795</v>
      </c>
      <c r="D714" s="564"/>
      <c r="E714" s="416"/>
      <c r="F714" s="555">
        <f t="shared" si="380"/>
        <v>0.26</v>
      </c>
      <c r="G714" s="555">
        <f ca="1" t="shared" si="380"/>
        <v>0</v>
      </c>
      <c r="H714" s="555">
        <f ca="1" t="shared" si="380"/>
        <v>0</v>
      </c>
      <c r="I714" s="555">
        <f ca="1" t="shared" si="380"/>
        <v>0.26</v>
      </c>
      <c r="J714" s="555">
        <f t="shared" si="380"/>
        <v>0.1701644132</v>
      </c>
      <c r="K714" s="555">
        <f ca="1" t="shared" si="380"/>
        <v>0</v>
      </c>
      <c r="L714" s="555">
        <f ca="1" t="shared" si="380"/>
        <v>0</v>
      </c>
      <c r="M714" s="555">
        <f ca="1" t="shared" si="380"/>
        <v>0.1701644132</v>
      </c>
      <c r="N714" s="555">
        <f t="shared" ref="N714:O715" si="383">F714-J714</f>
        <v>0.0898355868</v>
      </c>
      <c r="O714" s="555">
        <f ca="1" t="shared" si="383"/>
        <v>0</v>
      </c>
    </row>
    <row r="715" ht="15" spans="2:15">
      <c r="B715" s="562"/>
      <c r="C715" s="565" t="s">
        <v>796</v>
      </c>
      <c r="D715" s="564"/>
      <c r="E715" s="416"/>
      <c r="F715" s="555">
        <f ca="1" t="shared" si="380"/>
        <v>0</v>
      </c>
      <c r="G715" s="555">
        <f ca="1" t="shared" si="380"/>
        <v>0</v>
      </c>
      <c r="H715" s="555">
        <f ca="1" t="shared" si="380"/>
        <v>0</v>
      </c>
      <c r="I715" s="555">
        <f ca="1" t="shared" si="380"/>
        <v>0</v>
      </c>
      <c r="J715" s="555">
        <f ca="1" t="shared" si="380"/>
        <v>0</v>
      </c>
      <c r="K715" s="555">
        <f ca="1" t="shared" si="380"/>
        <v>0</v>
      </c>
      <c r="L715" s="555">
        <f ca="1" t="shared" si="380"/>
        <v>0</v>
      </c>
      <c r="M715" s="555">
        <f ca="1" t="shared" si="380"/>
        <v>0</v>
      </c>
      <c r="N715" s="555">
        <f ca="1" t="shared" si="383"/>
        <v>0</v>
      </c>
      <c r="O715" s="555">
        <f ca="1" t="shared" si="383"/>
        <v>0</v>
      </c>
    </row>
    <row r="716" ht="15" spans="2:15">
      <c r="B716" s="562">
        <v>13</v>
      </c>
      <c r="C716" s="565"/>
      <c r="D716" s="564"/>
      <c r="E716" s="416"/>
      <c r="F716" s="555">
        <f t="shared" si="380"/>
        <v>0</v>
      </c>
      <c r="G716" s="555">
        <f t="shared" si="380"/>
        <v>0</v>
      </c>
      <c r="H716" s="555">
        <f t="shared" si="380"/>
        <v>0</v>
      </c>
      <c r="I716" s="555">
        <f t="shared" si="380"/>
        <v>0</v>
      </c>
      <c r="J716" s="555">
        <f t="shared" si="380"/>
        <v>0</v>
      </c>
      <c r="K716" s="555">
        <f t="shared" si="380"/>
        <v>0</v>
      </c>
      <c r="L716" s="555">
        <f t="shared" si="380"/>
        <v>0</v>
      </c>
      <c r="M716" s="555">
        <f t="shared" si="380"/>
        <v>0</v>
      </c>
      <c r="N716" s="555"/>
      <c r="O716" s="555"/>
    </row>
    <row r="717" ht="15" spans="2:15">
      <c r="B717" s="562"/>
      <c r="C717" s="565" t="s">
        <v>797</v>
      </c>
      <c r="D717" s="564"/>
      <c r="E717" s="416"/>
      <c r="F717" s="555">
        <f t="shared" si="380"/>
        <v>1.725</v>
      </c>
      <c r="G717" s="555">
        <f ca="1" t="shared" si="380"/>
        <v>0</v>
      </c>
      <c r="H717" s="555">
        <f ca="1" t="shared" si="380"/>
        <v>0</v>
      </c>
      <c r="I717" s="555">
        <f ca="1" t="shared" si="380"/>
        <v>1.725</v>
      </c>
      <c r="J717" s="555">
        <f t="shared" si="380"/>
        <v>1.1470196043</v>
      </c>
      <c r="K717" s="555">
        <f t="shared" si="380"/>
        <v>0.058</v>
      </c>
      <c r="L717" s="555">
        <f ca="1" t="shared" si="380"/>
        <v>0</v>
      </c>
      <c r="M717" s="555">
        <f ca="1" t="shared" si="380"/>
        <v>1.2050196043</v>
      </c>
      <c r="N717" s="555">
        <f t="shared" ref="N717:O720" si="384">F717-J717</f>
        <v>0.5779803957</v>
      </c>
      <c r="O717" s="555">
        <f ca="1" t="shared" si="384"/>
        <v>-0.058</v>
      </c>
    </row>
    <row r="718" ht="15" spans="2:15">
      <c r="B718" s="562"/>
      <c r="C718" s="565" t="s">
        <v>798</v>
      </c>
      <c r="D718" s="564"/>
      <c r="E718" s="416"/>
      <c r="F718" s="555">
        <f t="shared" si="380"/>
        <v>5.137</v>
      </c>
      <c r="G718" s="555">
        <f t="shared" si="380"/>
        <v>0.00815121993505444</v>
      </c>
      <c r="H718" s="555">
        <f ca="1" t="shared" si="380"/>
        <v>0</v>
      </c>
      <c r="I718" s="555">
        <f ca="1" t="shared" si="380"/>
        <v>5.14515121993505</v>
      </c>
      <c r="J718" s="555">
        <f t="shared" si="380"/>
        <v>3.256355336</v>
      </c>
      <c r="K718" s="555">
        <f t="shared" si="380"/>
        <v>0.212366804897077</v>
      </c>
      <c r="L718" s="555">
        <f ca="1" t="shared" si="380"/>
        <v>0</v>
      </c>
      <c r="M718" s="555">
        <f ca="1" t="shared" si="380"/>
        <v>3.46872214089708</v>
      </c>
      <c r="N718" s="555">
        <f t="shared" si="384"/>
        <v>1.880644664</v>
      </c>
      <c r="O718" s="555">
        <f t="shared" si="384"/>
        <v>-0.204215584962023</v>
      </c>
    </row>
    <row r="719" ht="15" spans="2:15">
      <c r="B719" s="562"/>
      <c r="C719" s="565" t="s">
        <v>799</v>
      </c>
      <c r="D719" s="564"/>
      <c r="E719" s="416"/>
      <c r="F719" s="555">
        <f ca="1" t="shared" si="380"/>
        <v>0</v>
      </c>
      <c r="G719" s="555">
        <f ca="1" t="shared" si="380"/>
        <v>0</v>
      </c>
      <c r="H719" s="555">
        <f ca="1" t="shared" si="380"/>
        <v>0</v>
      </c>
      <c r="I719" s="555">
        <f ca="1" t="shared" si="380"/>
        <v>0</v>
      </c>
      <c r="J719" s="555">
        <f ca="1" t="shared" si="380"/>
        <v>0</v>
      </c>
      <c r="K719" s="555">
        <f ca="1" t="shared" si="380"/>
        <v>0</v>
      </c>
      <c r="L719" s="555">
        <f ca="1" t="shared" si="380"/>
        <v>0</v>
      </c>
      <c r="M719" s="555">
        <f ca="1" t="shared" si="380"/>
        <v>0</v>
      </c>
      <c r="N719" s="555">
        <f ca="1" t="shared" si="384"/>
        <v>0</v>
      </c>
      <c r="O719" s="555">
        <f ca="1" t="shared" si="384"/>
        <v>0</v>
      </c>
    </row>
    <row r="720" ht="15" spans="2:15">
      <c r="B720" s="562"/>
      <c r="C720" s="565" t="s">
        <v>800</v>
      </c>
      <c r="D720" s="564"/>
      <c r="E720" s="416"/>
      <c r="F720" s="555">
        <f ca="1" t="shared" si="380"/>
        <v>0</v>
      </c>
      <c r="G720" s="555">
        <f ca="1" t="shared" si="380"/>
        <v>0</v>
      </c>
      <c r="H720" s="555">
        <f ca="1" t="shared" si="380"/>
        <v>0</v>
      </c>
      <c r="I720" s="555">
        <f ca="1" t="shared" si="380"/>
        <v>0</v>
      </c>
      <c r="J720" s="555">
        <f ca="1" t="shared" si="380"/>
        <v>0</v>
      </c>
      <c r="K720" s="555">
        <f ca="1" t="shared" si="380"/>
        <v>0</v>
      </c>
      <c r="L720" s="555">
        <f ca="1" t="shared" si="380"/>
        <v>0</v>
      </c>
      <c r="M720" s="555">
        <f ca="1" t="shared" si="380"/>
        <v>0</v>
      </c>
      <c r="N720" s="555">
        <f ca="1" t="shared" si="384"/>
        <v>0</v>
      </c>
      <c r="O720" s="555">
        <f ca="1" t="shared" si="384"/>
        <v>0</v>
      </c>
    </row>
    <row r="721" ht="15" spans="2:15">
      <c r="B721" s="562">
        <v>14</v>
      </c>
      <c r="C721" s="563" t="s">
        <v>801</v>
      </c>
      <c r="D721" s="564"/>
      <c r="E721" s="416"/>
      <c r="F721" s="555">
        <f t="shared" ref="F721:M727" si="385">10%*F87</f>
        <v>0</v>
      </c>
      <c r="G721" s="555">
        <f t="shared" si="385"/>
        <v>0</v>
      </c>
      <c r="H721" s="555">
        <f t="shared" si="385"/>
        <v>0</v>
      </c>
      <c r="I721" s="555">
        <f t="shared" si="385"/>
        <v>0</v>
      </c>
      <c r="J721" s="555">
        <f t="shared" si="385"/>
        <v>0</v>
      </c>
      <c r="K721" s="555">
        <f t="shared" si="385"/>
        <v>0</v>
      </c>
      <c r="L721" s="555">
        <f t="shared" si="385"/>
        <v>0</v>
      </c>
      <c r="M721" s="555">
        <f t="shared" si="385"/>
        <v>0</v>
      </c>
      <c r="N721" s="555"/>
      <c r="O721" s="555"/>
    </row>
    <row r="722" ht="15" spans="2:15">
      <c r="B722" s="562"/>
      <c r="C722" s="565" t="s">
        <v>802</v>
      </c>
      <c r="D722" s="564"/>
      <c r="E722" s="416"/>
      <c r="F722" s="555">
        <f ca="1" t="shared" si="385"/>
        <v>0</v>
      </c>
      <c r="G722" s="555">
        <f ca="1" t="shared" si="385"/>
        <v>0</v>
      </c>
      <c r="H722" s="555">
        <f ca="1" t="shared" si="385"/>
        <v>0</v>
      </c>
      <c r="I722" s="555">
        <f ca="1" t="shared" si="385"/>
        <v>0</v>
      </c>
      <c r="J722" s="555">
        <f ca="1" t="shared" si="385"/>
        <v>0</v>
      </c>
      <c r="K722" s="555">
        <f ca="1" t="shared" si="385"/>
        <v>0</v>
      </c>
      <c r="L722" s="555">
        <f ca="1" t="shared" si="385"/>
        <v>0</v>
      </c>
      <c r="M722" s="555">
        <f ca="1" t="shared" si="385"/>
        <v>0</v>
      </c>
      <c r="N722" s="555">
        <f ca="1" t="shared" ref="N722:O727" si="386">F722-J722</f>
        <v>0</v>
      </c>
      <c r="O722" s="555">
        <f ca="1" t="shared" si="386"/>
        <v>0</v>
      </c>
    </row>
    <row r="723" ht="15" spans="2:15">
      <c r="B723" s="562"/>
      <c r="C723" s="565" t="s">
        <v>803</v>
      </c>
      <c r="D723" s="564"/>
      <c r="E723" s="416"/>
      <c r="F723" s="555">
        <f ca="1" t="shared" si="385"/>
        <v>0</v>
      </c>
      <c r="G723" s="555">
        <f ca="1" t="shared" si="385"/>
        <v>0</v>
      </c>
      <c r="H723" s="555">
        <f ca="1" t="shared" si="385"/>
        <v>0</v>
      </c>
      <c r="I723" s="555">
        <f ca="1" t="shared" si="385"/>
        <v>0</v>
      </c>
      <c r="J723" s="555">
        <f ca="1" t="shared" si="385"/>
        <v>0</v>
      </c>
      <c r="K723" s="555">
        <f ca="1" t="shared" si="385"/>
        <v>0</v>
      </c>
      <c r="L723" s="555">
        <f ca="1" t="shared" si="385"/>
        <v>0</v>
      </c>
      <c r="M723" s="555">
        <f ca="1" t="shared" si="385"/>
        <v>0</v>
      </c>
      <c r="N723" s="555">
        <f ca="1" t="shared" si="386"/>
        <v>0</v>
      </c>
      <c r="O723" s="555">
        <f ca="1" t="shared" si="386"/>
        <v>0</v>
      </c>
    </row>
    <row r="724" ht="15" spans="2:15">
      <c r="B724" s="562"/>
      <c r="C724" s="565" t="s">
        <v>804</v>
      </c>
      <c r="D724" s="564"/>
      <c r="E724" s="416"/>
      <c r="F724" s="555">
        <f ca="1" t="shared" si="385"/>
        <v>0</v>
      </c>
      <c r="G724" s="555">
        <f ca="1" t="shared" si="385"/>
        <v>0</v>
      </c>
      <c r="H724" s="555">
        <f ca="1" t="shared" si="385"/>
        <v>0</v>
      </c>
      <c r="I724" s="555">
        <f ca="1" t="shared" si="385"/>
        <v>0</v>
      </c>
      <c r="J724" s="555">
        <f ca="1" t="shared" si="385"/>
        <v>0</v>
      </c>
      <c r="K724" s="555">
        <f ca="1" t="shared" si="385"/>
        <v>0</v>
      </c>
      <c r="L724" s="555">
        <f ca="1" t="shared" si="385"/>
        <v>0</v>
      </c>
      <c r="M724" s="555">
        <f ca="1" t="shared" si="385"/>
        <v>0</v>
      </c>
      <c r="N724" s="555">
        <f ca="1" t="shared" si="386"/>
        <v>0</v>
      </c>
      <c r="O724" s="555">
        <f ca="1" t="shared" si="386"/>
        <v>0</v>
      </c>
    </row>
    <row r="725" ht="15" spans="2:15">
      <c r="B725" s="562">
        <v>15</v>
      </c>
      <c r="C725" s="563" t="s">
        <v>805</v>
      </c>
      <c r="D725" s="564"/>
      <c r="E725" s="416"/>
      <c r="F725" s="555">
        <f t="shared" si="385"/>
        <v>18.556</v>
      </c>
      <c r="G725" s="555">
        <f t="shared" si="385"/>
        <v>0.640153146263202</v>
      </c>
      <c r="H725" s="555">
        <f ca="1" t="shared" si="385"/>
        <v>0</v>
      </c>
      <c r="I725" s="555">
        <f ca="1" t="shared" si="385"/>
        <v>19.1961531462632</v>
      </c>
      <c r="J725" s="555">
        <f t="shared" si="385"/>
        <v>14.5428216707</v>
      </c>
      <c r="K725" s="555">
        <f t="shared" si="385"/>
        <v>1.32001148596974</v>
      </c>
      <c r="L725" s="555">
        <f ca="1" t="shared" si="385"/>
        <v>0</v>
      </c>
      <c r="M725" s="555">
        <f ca="1" t="shared" si="385"/>
        <v>15.8628331566697</v>
      </c>
      <c r="N725" s="555">
        <f t="shared" si="386"/>
        <v>4.0131783293</v>
      </c>
      <c r="O725" s="555">
        <f t="shared" si="386"/>
        <v>-0.679858339706538</v>
      </c>
    </row>
    <row r="726" ht="15" spans="2:15">
      <c r="B726" s="562">
        <v>16</v>
      </c>
      <c r="C726" s="563" t="s">
        <v>806</v>
      </c>
      <c r="D726" s="553"/>
      <c r="E726" s="416"/>
      <c r="F726" s="555">
        <f t="shared" si="385"/>
        <v>7.08</v>
      </c>
      <c r="G726" s="555">
        <f ca="1" t="shared" si="385"/>
        <v>0</v>
      </c>
      <c r="H726" s="555">
        <f ca="1" t="shared" si="385"/>
        <v>0</v>
      </c>
      <c r="I726" s="555">
        <f ca="1" t="shared" si="385"/>
        <v>7.08</v>
      </c>
      <c r="J726" s="555">
        <f t="shared" si="385"/>
        <v>4.9245021156</v>
      </c>
      <c r="K726" s="555">
        <f t="shared" si="385"/>
        <v>0.466</v>
      </c>
      <c r="L726" s="555">
        <f ca="1" t="shared" si="385"/>
        <v>0</v>
      </c>
      <c r="M726" s="555">
        <f ca="1" t="shared" si="385"/>
        <v>5.3905021156</v>
      </c>
      <c r="N726" s="555">
        <f t="shared" si="386"/>
        <v>2.1554978844</v>
      </c>
      <c r="O726" s="555">
        <f ca="1" t="shared" si="386"/>
        <v>-0.466</v>
      </c>
    </row>
    <row r="727" ht="15" spans="2:15">
      <c r="B727" s="562">
        <v>17</v>
      </c>
      <c r="C727" s="563" t="s">
        <v>807</v>
      </c>
      <c r="D727" s="553"/>
      <c r="E727" s="426"/>
      <c r="F727" s="555">
        <f ca="1" t="shared" si="385"/>
        <v>0</v>
      </c>
      <c r="G727" s="555">
        <f ca="1" t="shared" si="385"/>
        <v>0</v>
      </c>
      <c r="H727" s="555">
        <f ca="1" t="shared" si="385"/>
        <v>0</v>
      </c>
      <c r="I727" s="555">
        <f ca="1" t="shared" si="385"/>
        <v>0</v>
      </c>
      <c r="J727" s="555">
        <f ca="1" t="shared" si="385"/>
        <v>0</v>
      </c>
      <c r="K727" s="555">
        <f ca="1" t="shared" si="385"/>
        <v>0</v>
      </c>
      <c r="L727" s="555">
        <f ca="1" t="shared" si="385"/>
        <v>0</v>
      </c>
      <c r="M727" s="555">
        <f ca="1" t="shared" si="385"/>
        <v>0</v>
      </c>
      <c r="N727" s="555">
        <f ca="1" t="shared" si="386"/>
        <v>0</v>
      </c>
      <c r="O727" s="555">
        <f ca="1" t="shared" si="386"/>
        <v>0</v>
      </c>
    </row>
    <row r="728" ht="15.75" spans="2:15">
      <c r="B728" s="566"/>
      <c r="C728" s="567" t="s">
        <v>97</v>
      </c>
      <c r="D728" s="567"/>
      <c r="E728" s="568"/>
      <c r="F728" s="569">
        <f ca="1">SUM(F688:F727)</f>
        <v>2043.289</v>
      </c>
      <c r="G728" s="569">
        <f ca="1" t="shared" ref="G728:O728" si="387">SUM(G688:G727)</f>
        <v>252.400931089087</v>
      </c>
      <c r="H728" s="569">
        <f ca="1" t="shared" si="387"/>
        <v>0</v>
      </c>
      <c r="I728" s="569">
        <f ca="1" t="shared" si="387"/>
        <v>2295.68993108909</v>
      </c>
      <c r="J728" s="569">
        <f ca="1" t="shared" si="387"/>
        <v>1042.3681360663</v>
      </c>
      <c r="K728" s="569">
        <f ca="1" t="shared" si="387"/>
        <v>88.6315905937321</v>
      </c>
      <c r="L728" s="569">
        <f ca="1" t="shared" si="387"/>
        <v>0</v>
      </c>
      <c r="M728" s="569">
        <f ca="1" t="shared" si="387"/>
        <v>1130.99972666003</v>
      </c>
      <c r="N728" s="569">
        <f ca="1" t="shared" si="387"/>
        <v>1000.9208639337</v>
      </c>
      <c r="O728" s="569">
        <f ca="1" t="shared" si="387"/>
        <v>1088.37239160626</v>
      </c>
    </row>
    <row r="730" ht="15" spans="2:15">
      <c r="B730" s="570" t="s">
        <v>653</v>
      </c>
      <c r="C730" s="571"/>
      <c r="D730" s="571"/>
      <c r="E730" s="571"/>
      <c r="F730" s="571"/>
      <c r="G730" s="571"/>
      <c r="H730" s="571"/>
      <c r="I730" s="571"/>
      <c r="J730" s="571"/>
      <c r="K730" s="571"/>
      <c r="L730" s="571"/>
      <c r="M730" s="571"/>
      <c r="N730" s="571"/>
      <c r="O730" s="581"/>
    </row>
    <row r="731" ht="15" spans="2:15">
      <c r="B731" s="547" t="s">
        <v>564</v>
      </c>
      <c r="C731" s="978" t="s">
        <v>671</v>
      </c>
      <c r="D731" s="549" t="s">
        <v>672</v>
      </c>
      <c r="E731" s="549" t="s">
        <v>673</v>
      </c>
      <c r="F731" s="549" t="s">
        <v>674</v>
      </c>
      <c r="G731" s="549"/>
      <c r="H731" s="549"/>
      <c r="I731" s="549"/>
      <c r="J731" s="549" t="s">
        <v>675</v>
      </c>
      <c r="K731" s="549"/>
      <c r="L731" s="549"/>
      <c r="M731" s="549"/>
      <c r="N731" s="549" t="s">
        <v>676</v>
      </c>
      <c r="O731" s="579"/>
    </row>
    <row r="732" ht="60.75" spans="2:15">
      <c r="B732" s="572"/>
      <c r="C732" s="573"/>
      <c r="D732" s="574"/>
      <c r="E732" s="574"/>
      <c r="F732" s="574" t="s">
        <v>677</v>
      </c>
      <c r="G732" s="574" t="s">
        <v>678</v>
      </c>
      <c r="H732" s="574" t="s">
        <v>679</v>
      </c>
      <c r="I732" s="574" t="s">
        <v>680</v>
      </c>
      <c r="J732" s="574" t="s">
        <v>681</v>
      </c>
      <c r="K732" s="574" t="s">
        <v>678</v>
      </c>
      <c r="L732" s="574" t="s">
        <v>682</v>
      </c>
      <c r="M732" s="574" t="s">
        <v>683</v>
      </c>
      <c r="N732" s="574" t="s">
        <v>677</v>
      </c>
      <c r="O732" s="582" t="s">
        <v>680</v>
      </c>
    </row>
    <row r="733" ht="15" spans="2:15">
      <c r="B733" s="551">
        <v>1</v>
      </c>
      <c r="C733" s="552" t="s">
        <v>684</v>
      </c>
      <c r="D733" s="546"/>
      <c r="E733" s="576"/>
      <c r="F733" s="555">
        <f ca="1" t="shared" ref="F733:M748" si="388">10%*F99</f>
        <v>3.72944741660671</v>
      </c>
      <c r="G733" s="555">
        <f t="shared" si="388"/>
        <v>4.65146826393199</v>
      </c>
      <c r="H733" s="555">
        <f ca="1" t="shared" si="388"/>
        <v>0</v>
      </c>
      <c r="I733" s="555">
        <f ca="1" t="shared" si="388"/>
        <v>8.3809156805387</v>
      </c>
      <c r="J733" s="555">
        <f ca="1" t="shared" si="388"/>
        <v>0.000489906200000156</v>
      </c>
      <c r="K733" s="555">
        <f t="shared" si="388"/>
        <v>0</v>
      </c>
      <c r="L733" s="555">
        <f ca="1" t="shared" si="388"/>
        <v>0</v>
      </c>
      <c r="M733" s="555">
        <f ca="1" t="shared" si="388"/>
        <v>0.000489906200000156</v>
      </c>
      <c r="N733" s="555">
        <f ca="1">F733-J733</f>
        <v>3.72895751040671</v>
      </c>
      <c r="O733" s="555">
        <f ca="1">I733-M733</f>
        <v>8.3804257743387</v>
      </c>
    </row>
    <row r="734" ht="15" spans="2:15">
      <c r="B734" s="551">
        <v>2</v>
      </c>
      <c r="C734" s="552" t="s">
        <v>770</v>
      </c>
      <c r="D734" s="614"/>
      <c r="E734" s="615"/>
      <c r="F734" s="555">
        <f ca="1" t="shared" si="388"/>
        <v>0</v>
      </c>
      <c r="G734" s="555">
        <f ca="1" t="shared" si="388"/>
        <v>0</v>
      </c>
      <c r="H734" s="555">
        <f ca="1" t="shared" si="388"/>
        <v>0</v>
      </c>
      <c r="I734" s="555">
        <f ca="1" t="shared" si="388"/>
        <v>0</v>
      </c>
      <c r="J734" s="555">
        <f ca="1" t="shared" si="388"/>
        <v>0</v>
      </c>
      <c r="K734" s="555">
        <f ca="1" t="shared" si="388"/>
        <v>0</v>
      </c>
      <c r="L734" s="555">
        <f ca="1" t="shared" si="388"/>
        <v>0</v>
      </c>
      <c r="M734" s="555">
        <f ca="1" t="shared" si="388"/>
        <v>0</v>
      </c>
      <c r="N734" s="555">
        <f ca="1">F734-J734</f>
        <v>0</v>
      </c>
      <c r="O734" s="555">
        <f ca="1">I734-M734</f>
        <v>0</v>
      </c>
    </row>
    <row r="735" ht="15" spans="2:15">
      <c r="B735" s="551">
        <v>3</v>
      </c>
      <c r="C735" s="556" t="s">
        <v>771</v>
      </c>
      <c r="D735" s="553"/>
      <c r="E735" s="416"/>
      <c r="F735" s="555">
        <f t="shared" si="388"/>
        <v>0</v>
      </c>
      <c r="G735" s="555">
        <f t="shared" si="388"/>
        <v>0</v>
      </c>
      <c r="H735" s="555">
        <f t="shared" si="388"/>
        <v>0</v>
      </c>
      <c r="I735" s="555">
        <f t="shared" si="388"/>
        <v>0</v>
      </c>
      <c r="J735" s="555">
        <f t="shared" si="388"/>
        <v>0</v>
      </c>
      <c r="K735" s="555">
        <f t="shared" si="388"/>
        <v>0</v>
      </c>
      <c r="L735" s="555">
        <f t="shared" si="388"/>
        <v>0</v>
      </c>
      <c r="M735" s="555">
        <f t="shared" si="388"/>
        <v>0</v>
      </c>
      <c r="N735" s="555"/>
      <c r="O735" s="555"/>
    </row>
    <row r="736" ht="15" spans="2:15">
      <c r="B736" s="551"/>
      <c r="C736" s="557" t="s">
        <v>772</v>
      </c>
      <c r="D736" s="553"/>
      <c r="E736" s="416"/>
      <c r="F736" s="555">
        <f ca="1" t="shared" si="388"/>
        <v>40.0922908082216</v>
      </c>
      <c r="G736" s="555">
        <f t="shared" si="388"/>
        <v>4.33467139474539</v>
      </c>
      <c r="H736" s="555">
        <f ca="1" t="shared" si="388"/>
        <v>0</v>
      </c>
      <c r="I736" s="555">
        <f ca="1" t="shared" si="388"/>
        <v>44.426962202967</v>
      </c>
      <c r="J736" s="555">
        <f ca="1" t="shared" si="388"/>
        <v>13.9252902007617</v>
      </c>
      <c r="K736" s="555">
        <f t="shared" si="388"/>
        <v>2.03502718106166</v>
      </c>
      <c r="L736" s="555">
        <f ca="1" t="shared" si="388"/>
        <v>0</v>
      </c>
      <c r="M736" s="555">
        <f ca="1" t="shared" si="388"/>
        <v>15.9603173818233</v>
      </c>
      <c r="N736" s="555">
        <f ca="1" t="shared" ref="N736:N739" si="389">F736-J736</f>
        <v>26.16700060746</v>
      </c>
      <c r="O736" s="555">
        <f ca="1" t="shared" ref="O736:O739" si="390">I736-M736</f>
        <v>28.4666448211437</v>
      </c>
    </row>
    <row r="737" ht="28.5" spans="2:15">
      <c r="B737" s="551"/>
      <c r="C737" s="557" t="s">
        <v>773</v>
      </c>
      <c r="D737" s="553"/>
      <c r="E737" s="416"/>
      <c r="F737" s="555">
        <f ca="1" t="shared" si="388"/>
        <v>0</v>
      </c>
      <c r="G737" s="555">
        <f ca="1" t="shared" si="388"/>
        <v>0</v>
      </c>
      <c r="H737" s="555">
        <f ca="1" t="shared" si="388"/>
        <v>0</v>
      </c>
      <c r="I737" s="555">
        <f ca="1" t="shared" si="388"/>
        <v>0</v>
      </c>
      <c r="J737" s="555">
        <f ca="1" t="shared" si="388"/>
        <v>0</v>
      </c>
      <c r="K737" s="555">
        <f ca="1" t="shared" si="388"/>
        <v>0</v>
      </c>
      <c r="L737" s="555">
        <f ca="1" t="shared" si="388"/>
        <v>0</v>
      </c>
      <c r="M737" s="555">
        <f ca="1" t="shared" si="388"/>
        <v>0</v>
      </c>
      <c r="N737" s="555">
        <f ca="1" t="shared" si="389"/>
        <v>0</v>
      </c>
      <c r="O737" s="555">
        <f ca="1" t="shared" si="390"/>
        <v>0</v>
      </c>
    </row>
    <row r="738" ht="15" spans="2:15">
      <c r="B738" s="551"/>
      <c r="C738" s="557" t="s">
        <v>774</v>
      </c>
      <c r="D738" s="553"/>
      <c r="E738" s="416"/>
      <c r="F738" s="555">
        <f ca="1" t="shared" si="388"/>
        <v>0</v>
      </c>
      <c r="G738" s="555">
        <f ca="1" t="shared" si="388"/>
        <v>0</v>
      </c>
      <c r="H738" s="555">
        <f ca="1" t="shared" si="388"/>
        <v>0</v>
      </c>
      <c r="I738" s="555">
        <f ca="1" t="shared" si="388"/>
        <v>0</v>
      </c>
      <c r="J738" s="555">
        <f ca="1" t="shared" si="388"/>
        <v>0</v>
      </c>
      <c r="K738" s="555">
        <f ca="1" t="shared" si="388"/>
        <v>0</v>
      </c>
      <c r="L738" s="555">
        <f ca="1" t="shared" si="388"/>
        <v>0</v>
      </c>
      <c r="M738" s="555">
        <f ca="1" t="shared" si="388"/>
        <v>0</v>
      </c>
      <c r="N738" s="555">
        <f ca="1" t="shared" si="389"/>
        <v>0</v>
      </c>
      <c r="O738" s="555">
        <f ca="1" t="shared" si="390"/>
        <v>0</v>
      </c>
    </row>
    <row r="739" ht="15" spans="2:15">
      <c r="B739" s="551"/>
      <c r="C739" s="557" t="s">
        <v>775</v>
      </c>
      <c r="D739" s="553"/>
      <c r="E739" s="416"/>
      <c r="F739" s="555">
        <f ca="1" t="shared" si="388"/>
        <v>22.108</v>
      </c>
      <c r="G739" s="555">
        <f ca="1" t="shared" si="388"/>
        <v>0</v>
      </c>
      <c r="H739" s="555">
        <f ca="1" t="shared" si="388"/>
        <v>0</v>
      </c>
      <c r="I739" s="555">
        <f ca="1" t="shared" si="388"/>
        <v>22.108</v>
      </c>
      <c r="J739" s="555">
        <f ca="1" t="shared" si="388"/>
        <v>4.4413445081</v>
      </c>
      <c r="K739" s="555">
        <f ca="1" t="shared" si="388"/>
        <v>0</v>
      </c>
      <c r="L739" s="555">
        <f ca="1" t="shared" si="388"/>
        <v>0</v>
      </c>
      <c r="M739" s="555">
        <f ca="1" t="shared" si="388"/>
        <v>4.4413445081</v>
      </c>
      <c r="N739" s="555">
        <f ca="1" t="shared" si="389"/>
        <v>17.6666554919</v>
      </c>
      <c r="O739" s="555">
        <f ca="1" t="shared" si="390"/>
        <v>17.6666554919</v>
      </c>
    </row>
    <row r="740" ht="15" spans="2:15">
      <c r="B740" s="551">
        <v>4</v>
      </c>
      <c r="C740" s="552" t="s">
        <v>776</v>
      </c>
      <c r="D740" s="553"/>
      <c r="E740" s="416"/>
      <c r="F740" s="555">
        <f t="shared" si="388"/>
        <v>0</v>
      </c>
      <c r="G740" s="555">
        <f t="shared" si="388"/>
        <v>0</v>
      </c>
      <c r="H740" s="555">
        <f t="shared" si="388"/>
        <v>0</v>
      </c>
      <c r="I740" s="555">
        <f t="shared" si="388"/>
        <v>0</v>
      </c>
      <c r="J740" s="555">
        <f t="shared" si="388"/>
        <v>0</v>
      </c>
      <c r="K740" s="555">
        <f t="shared" si="388"/>
        <v>0</v>
      </c>
      <c r="L740" s="555">
        <f t="shared" si="388"/>
        <v>0</v>
      </c>
      <c r="M740" s="555">
        <f t="shared" si="388"/>
        <v>0</v>
      </c>
      <c r="N740" s="555"/>
      <c r="O740" s="555"/>
    </row>
    <row r="741" ht="15" spans="2:15">
      <c r="B741" s="551"/>
      <c r="C741" s="558" t="s">
        <v>777</v>
      </c>
      <c r="D741" s="553"/>
      <c r="E741" s="416"/>
      <c r="F741" s="555">
        <f ca="1" t="shared" si="388"/>
        <v>962.504624988485</v>
      </c>
      <c r="G741" s="555">
        <f t="shared" si="388"/>
        <v>103.593248343991</v>
      </c>
      <c r="H741" s="555">
        <f ca="1" t="shared" si="388"/>
        <v>0</v>
      </c>
      <c r="I741" s="555">
        <f ca="1" t="shared" si="388"/>
        <v>1066.09787333248</v>
      </c>
      <c r="J741" s="555">
        <f ca="1" t="shared" si="388"/>
        <v>511.466676055533</v>
      </c>
      <c r="K741" s="555">
        <f t="shared" si="388"/>
        <v>37.9583978465704</v>
      </c>
      <c r="L741" s="555">
        <f ca="1" t="shared" si="388"/>
        <v>0</v>
      </c>
      <c r="M741" s="555">
        <f ca="1" t="shared" si="388"/>
        <v>549.425073902103</v>
      </c>
      <c r="N741" s="555">
        <f ca="1" t="shared" ref="N741:N744" si="391">F741-J741</f>
        <v>451.037948932952</v>
      </c>
      <c r="O741" s="555">
        <f ca="1" t="shared" ref="O741:O744" si="392">I741-M741</f>
        <v>516.672799430373</v>
      </c>
    </row>
    <row r="742" ht="15" spans="2:15">
      <c r="B742" s="551"/>
      <c r="C742" s="552" t="s">
        <v>778</v>
      </c>
      <c r="D742" s="553"/>
      <c r="E742" s="416"/>
      <c r="F742" s="555">
        <f t="shared" si="388"/>
        <v>0</v>
      </c>
      <c r="G742" s="555">
        <f t="shared" si="388"/>
        <v>0</v>
      </c>
      <c r="H742" s="555">
        <f t="shared" si="388"/>
        <v>0</v>
      </c>
      <c r="I742" s="555">
        <f t="shared" si="388"/>
        <v>0</v>
      </c>
      <c r="J742" s="555">
        <f t="shared" si="388"/>
        <v>0</v>
      </c>
      <c r="K742" s="555">
        <f t="shared" si="388"/>
        <v>0</v>
      </c>
      <c r="L742" s="555">
        <f t="shared" si="388"/>
        <v>0</v>
      </c>
      <c r="M742" s="555">
        <f t="shared" si="388"/>
        <v>0</v>
      </c>
      <c r="N742" s="555"/>
      <c r="O742" s="555"/>
    </row>
    <row r="743" ht="15" spans="2:15">
      <c r="B743" s="551"/>
      <c r="C743" s="558" t="s">
        <v>779</v>
      </c>
      <c r="D743" s="553"/>
      <c r="E743" s="416"/>
      <c r="F743" s="555">
        <f ca="1" t="shared" si="388"/>
        <v>0</v>
      </c>
      <c r="G743" s="555">
        <f ca="1" t="shared" si="388"/>
        <v>0</v>
      </c>
      <c r="H743" s="555">
        <f ca="1" t="shared" si="388"/>
        <v>0</v>
      </c>
      <c r="I743" s="555">
        <f ca="1" t="shared" si="388"/>
        <v>0</v>
      </c>
      <c r="J743" s="555">
        <f ca="1" t="shared" si="388"/>
        <v>0</v>
      </c>
      <c r="K743" s="555">
        <f ca="1" t="shared" si="388"/>
        <v>0</v>
      </c>
      <c r="L743" s="555">
        <f ca="1" t="shared" si="388"/>
        <v>0</v>
      </c>
      <c r="M743" s="555">
        <f ca="1" t="shared" si="388"/>
        <v>0</v>
      </c>
      <c r="N743" s="555">
        <f ca="1" t="shared" si="391"/>
        <v>0</v>
      </c>
      <c r="O743" s="555">
        <f ca="1" t="shared" si="392"/>
        <v>0</v>
      </c>
    </row>
    <row r="744" ht="15" spans="2:15">
      <c r="B744" s="551"/>
      <c r="C744" s="558" t="s">
        <v>780</v>
      </c>
      <c r="D744" s="553"/>
      <c r="E744" s="416"/>
      <c r="F744" s="555">
        <f ca="1" t="shared" si="388"/>
        <v>0</v>
      </c>
      <c r="G744" s="555">
        <f ca="1" t="shared" si="388"/>
        <v>0</v>
      </c>
      <c r="H744" s="555">
        <f ca="1" t="shared" si="388"/>
        <v>0</v>
      </c>
      <c r="I744" s="555">
        <f ca="1" t="shared" si="388"/>
        <v>0</v>
      </c>
      <c r="J744" s="555">
        <f ca="1" t="shared" si="388"/>
        <v>0</v>
      </c>
      <c r="K744" s="555">
        <f ca="1" t="shared" si="388"/>
        <v>0</v>
      </c>
      <c r="L744" s="555">
        <f ca="1" t="shared" si="388"/>
        <v>0</v>
      </c>
      <c r="M744" s="555">
        <f ca="1" t="shared" si="388"/>
        <v>0</v>
      </c>
      <c r="N744" s="555">
        <f ca="1" t="shared" si="391"/>
        <v>0</v>
      </c>
      <c r="O744" s="555">
        <f ca="1" t="shared" si="392"/>
        <v>0</v>
      </c>
    </row>
    <row r="745" ht="15" spans="2:15">
      <c r="B745" s="551">
        <v>5</v>
      </c>
      <c r="C745" s="552" t="s">
        <v>781</v>
      </c>
      <c r="D745" s="553"/>
      <c r="E745" s="416"/>
      <c r="F745" s="555">
        <f t="shared" si="388"/>
        <v>0</v>
      </c>
      <c r="G745" s="555">
        <f t="shared" si="388"/>
        <v>0</v>
      </c>
      <c r="H745" s="555">
        <f t="shared" si="388"/>
        <v>0</v>
      </c>
      <c r="I745" s="555">
        <f t="shared" si="388"/>
        <v>0</v>
      </c>
      <c r="J745" s="555">
        <f t="shared" si="388"/>
        <v>0</v>
      </c>
      <c r="K745" s="555">
        <f t="shared" si="388"/>
        <v>0</v>
      </c>
      <c r="L745" s="555">
        <f t="shared" si="388"/>
        <v>0</v>
      </c>
      <c r="M745" s="555">
        <f t="shared" si="388"/>
        <v>0</v>
      </c>
      <c r="N745" s="555"/>
      <c r="O745" s="555"/>
    </row>
    <row r="746" ht="15" spans="2:15">
      <c r="B746" s="551"/>
      <c r="C746" s="558" t="s">
        <v>782</v>
      </c>
      <c r="D746" s="553"/>
      <c r="E746" s="416"/>
      <c r="F746" s="555">
        <f ca="1" t="shared" si="388"/>
        <v>0</v>
      </c>
      <c r="G746" s="555">
        <f ca="1" t="shared" si="388"/>
        <v>0</v>
      </c>
      <c r="H746" s="555">
        <f ca="1" t="shared" si="388"/>
        <v>0</v>
      </c>
      <c r="I746" s="555">
        <f ca="1" t="shared" si="388"/>
        <v>0</v>
      </c>
      <c r="J746" s="555">
        <f ca="1" t="shared" si="388"/>
        <v>0</v>
      </c>
      <c r="K746" s="555">
        <f ca="1" t="shared" si="388"/>
        <v>0</v>
      </c>
      <c r="L746" s="555">
        <f ca="1" t="shared" si="388"/>
        <v>0</v>
      </c>
      <c r="M746" s="555">
        <f ca="1" t="shared" si="388"/>
        <v>0</v>
      </c>
      <c r="N746" s="555">
        <f ca="1" t="shared" ref="N746:N751" si="393">F746-J746</f>
        <v>0</v>
      </c>
      <c r="O746" s="555">
        <f ca="1" t="shared" ref="O746:O751" si="394">I746-M746</f>
        <v>0</v>
      </c>
    </row>
    <row r="747" ht="15" spans="2:15">
      <c r="B747" s="551"/>
      <c r="C747" s="558" t="s">
        <v>783</v>
      </c>
      <c r="D747" s="553"/>
      <c r="E747" s="416"/>
      <c r="F747" s="555">
        <f ca="1" t="shared" si="388"/>
        <v>0</v>
      </c>
      <c r="G747" s="555">
        <f ca="1" t="shared" si="388"/>
        <v>0</v>
      </c>
      <c r="H747" s="555">
        <f ca="1" t="shared" si="388"/>
        <v>0</v>
      </c>
      <c r="I747" s="555">
        <f ca="1" t="shared" si="388"/>
        <v>0</v>
      </c>
      <c r="J747" s="555">
        <f ca="1" t="shared" si="388"/>
        <v>0</v>
      </c>
      <c r="K747" s="555">
        <f ca="1" t="shared" si="388"/>
        <v>0</v>
      </c>
      <c r="L747" s="555">
        <f ca="1" t="shared" si="388"/>
        <v>0</v>
      </c>
      <c r="M747" s="555">
        <f ca="1" t="shared" si="388"/>
        <v>0</v>
      </c>
      <c r="N747" s="555">
        <f ca="1" t="shared" si="393"/>
        <v>0</v>
      </c>
      <c r="O747" s="555">
        <f ca="1" t="shared" si="394"/>
        <v>0</v>
      </c>
    </row>
    <row r="748" ht="15" spans="2:15">
      <c r="B748" s="551"/>
      <c r="C748" s="558" t="s">
        <v>784</v>
      </c>
      <c r="D748" s="553"/>
      <c r="E748" s="416"/>
      <c r="F748" s="555">
        <f ca="1" t="shared" si="388"/>
        <v>0</v>
      </c>
      <c r="G748" s="555">
        <f ca="1" t="shared" si="388"/>
        <v>0</v>
      </c>
      <c r="H748" s="555">
        <f ca="1" t="shared" si="388"/>
        <v>0</v>
      </c>
      <c r="I748" s="555">
        <f ca="1" t="shared" si="388"/>
        <v>0</v>
      </c>
      <c r="J748" s="555">
        <f ca="1" t="shared" si="388"/>
        <v>0</v>
      </c>
      <c r="K748" s="555">
        <f ca="1" t="shared" si="388"/>
        <v>0</v>
      </c>
      <c r="L748" s="555">
        <f ca="1" t="shared" si="388"/>
        <v>0</v>
      </c>
      <c r="M748" s="555">
        <f ca="1" t="shared" si="388"/>
        <v>0</v>
      </c>
      <c r="N748" s="555">
        <f ca="1" t="shared" si="393"/>
        <v>0</v>
      </c>
      <c r="O748" s="555">
        <f ca="1" t="shared" si="394"/>
        <v>0</v>
      </c>
    </row>
    <row r="749" ht="15" spans="2:15">
      <c r="B749" s="551"/>
      <c r="C749" s="558" t="s">
        <v>785</v>
      </c>
      <c r="D749" s="553"/>
      <c r="E749" s="416"/>
      <c r="F749" s="555">
        <f ca="1" t="shared" ref="F749:M764" si="395">10%*F115</f>
        <v>0</v>
      </c>
      <c r="G749" s="555">
        <f ca="1" t="shared" si="395"/>
        <v>0</v>
      </c>
      <c r="H749" s="555">
        <f ca="1" t="shared" si="395"/>
        <v>0</v>
      </c>
      <c r="I749" s="555">
        <f ca="1" t="shared" si="395"/>
        <v>0</v>
      </c>
      <c r="J749" s="555">
        <f ca="1" t="shared" si="395"/>
        <v>0</v>
      </c>
      <c r="K749" s="555">
        <f ca="1" t="shared" si="395"/>
        <v>0</v>
      </c>
      <c r="L749" s="555">
        <f ca="1" t="shared" si="395"/>
        <v>0</v>
      </c>
      <c r="M749" s="555">
        <f ca="1" t="shared" si="395"/>
        <v>0</v>
      </c>
      <c r="N749" s="555">
        <f ca="1" t="shared" si="393"/>
        <v>0</v>
      </c>
      <c r="O749" s="555">
        <f ca="1" t="shared" si="394"/>
        <v>0</v>
      </c>
    </row>
    <row r="750" ht="15" spans="2:15">
      <c r="B750" s="551">
        <v>6</v>
      </c>
      <c r="C750" s="552" t="s">
        <v>786</v>
      </c>
      <c r="D750" s="553"/>
      <c r="E750" s="416"/>
      <c r="F750" s="555">
        <f ca="1" t="shared" si="395"/>
        <v>0</v>
      </c>
      <c r="G750" s="555">
        <f ca="1" t="shared" si="395"/>
        <v>0</v>
      </c>
      <c r="H750" s="555">
        <f ca="1" t="shared" si="395"/>
        <v>0</v>
      </c>
      <c r="I750" s="555">
        <f ca="1" t="shared" si="395"/>
        <v>0</v>
      </c>
      <c r="J750" s="555">
        <f ca="1" t="shared" si="395"/>
        <v>0</v>
      </c>
      <c r="K750" s="555">
        <f ca="1" t="shared" si="395"/>
        <v>0</v>
      </c>
      <c r="L750" s="555">
        <f ca="1" t="shared" si="395"/>
        <v>0</v>
      </c>
      <c r="M750" s="555">
        <f ca="1" t="shared" si="395"/>
        <v>0</v>
      </c>
      <c r="N750" s="555">
        <f ca="1" t="shared" si="393"/>
        <v>0</v>
      </c>
      <c r="O750" s="555">
        <f ca="1" t="shared" si="394"/>
        <v>0</v>
      </c>
    </row>
    <row r="751" ht="15" spans="2:15">
      <c r="B751" s="551">
        <v>7</v>
      </c>
      <c r="C751" s="552" t="s">
        <v>787</v>
      </c>
      <c r="D751" s="553"/>
      <c r="E751" s="416"/>
      <c r="F751" s="555">
        <f ca="1" t="shared" si="395"/>
        <v>0</v>
      </c>
      <c r="G751" s="555">
        <f ca="1" t="shared" si="395"/>
        <v>0</v>
      </c>
      <c r="H751" s="555">
        <f ca="1" t="shared" si="395"/>
        <v>0</v>
      </c>
      <c r="I751" s="555">
        <f ca="1" t="shared" si="395"/>
        <v>0</v>
      </c>
      <c r="J751" s="555">
        <f ca="1" t="shared" si="395"/>
        <v>0</v>
      </c>
      <c r="K751" s="555">
        <f ca="1" t="shared" si="395"/>
        <v>0</v>
      </c>
      <c r="L751" s="555">
        <f ca="1" t="shared" si="395"/>
        <v>0</v>
      </c>
      <c r="M751" s="555">
        <f ca="1" t="shared" si="395"/>
        <v>0</v>
      </c>
      <c r="N751" s="555">
        <f ca="1" t="shared" si="393"/>
        <v>0</v>
      </c>
      <c r="O751" s="555">
        <f ca="1" t="shared" si="394"/>
        <v>0</v>
      </c>
    </row>
    <row r="752" ht="15" spans="2:15">
      <c r="B752" s="551">
        <v>8</v>
      </c>
      <c r="C752" s="552" t="s">
        <v>788</v>
      </c>
      <c r="D752" s="553"/>
      <c r="E752" s="416"/>
      <c r="F752" s="555">
        <f t="shared" si="395"/>
        <v>0</v>
      </c>
      <c r="G752" s="555">
        <f t="shared" si="395"/>
        <v>0</v>
      </c>
      <c r="H752" s="555">
        <f t="shared" si="395"/>
        <v>0</v>
      </c>
      <c r="I752" s="555">
        <f t="shared" si="395"/>
        <v>0</v>
      </c>
      <c r="J752" s="555">
        <f t="shared" si="395"/>
        <v>0</v>
      </c>
      <c r="K752" s="555">
        <f t="shared" si="395"/>
        <v>0</v>
      </c>
      <c r="L752" s="555">
        <f t="shared" si="395"/>
        <v>0</v>
      </c>
      <c r="M752" s="555">
        <f t="shared" si="395"/>
        <v>0</v>
      </c>
      <c r="N752" s="555"/>
      <c r="O752" s="555"/>
    </row>
    <row r="753" ht="15" spans="2:15">
      <c r="B753" s="551"/>
      <c r="C753" s="558" t="s">
        <v>789</v>
      </c>
      <c r="D753" s="553"/>
      <c r="E753" s="416"/>
      <c r="F753" s="555">
        <f ca="1" t="shared" si="395"/>
        <v>940.004173868516</v>
      </c>
      <c r="G753" s="555">
        <f t="shared" si="395"/>
        <v>116.869450985158</v>
      </c>
      <c r="H753" s="555">
        <f ca="1" t="shared" si="395"/>
        <v>0</v>
      </c>
      <c r="I753" s="555">
        <f ca="1" t="shared" si="395"/>
        <v>1056.87362485367</v>
      </c>
      <c r="J753" s="555">
        <f ca="1" t="shared" si="395"/>
        <v>450.417831234565</v>
      </c>
      <c r="K753" s="555">
        <f t="shared" si="395"/>
        <v>37.0647904369039</v>
      </c>
      <c r="L753" s="555">
        <f ca="1" t="shared" si="395"/>
        <v>0</v>
      </c>
      <c r="M753" s="555">
        <f ca="1" t="shared" si="395"/>
        <v>487.482621671469</v>
      </c>
      <c r="N753" s="555">
        <f ca="1" t="shared" ref="N753:O757" si="396">F753-J753</f>
        <v>489.586342633951</v>
      </c>
      <c r="O753" s="555">
        <f ca="1" t="shared" ref="O753:O755" si="397">I753-M753</f>
        <v>569.391003182205</v>
      </c>
    </row>
    <row r="754" ht="15" spans="2:15">
      <c r="B754" s="551"/>
      <c r="C754" s="558" t="s">
        <v>808</v>
      </c>
      <c r="D754" s="553"/>
      <c r="E754" s="416"/>
      <c r="F754" s="555">
        <f ca="1" t="shared" si="395"/>
        <v>0</v>
      </c>
      <c r="G754" s="555">
        <f ca="1" t="shared" si="395"/>
        <v>0</v>
      </c>
      <c r="H754" s="555">
        <f ca="1" t="shared" si="395"/>
        <v>0</v>
      </c>
      <c r="I754" s="555">
        <f ca="1" t="shared" si="395"/>
        <v>0</v>
      </c>
      <c r="J754" s="555">
        <f ca="1" t="shared" si="395"/>
        <v>0</v>
      </c>
      <c r="K754" s="555">
        <f ca="1" t="shared" si="395"/>
        <v>0</v>
      </c>
      <c r="L754" s="555">
        <f ca="1" t="shared" si="395"/>
        <v>0</v>
      </c>
      <c r="M754" s="555">
        <f ca="1" t="shared" si="395"/>
        <v>0</v>
      </c>
      <c r="N754" s="555">
        <f ca="1" t="shared" si="396"/>
        <v>0</v>
      </c>
      <c r="O754" s="555">
        <f ca="1" t="shared" si="397"/>
        <v>0</v>
      </c>
    </row>
    <row r="755" ht="30" spans="2:15">
      <c r="B755" s="560">
        <v>9</v>
      </c>
      <c r="C755" s="561" t="s">
        <v>791</v>
      </c>
      <c r="D755" s="553"/>
      <c r="E755" s="416"/>
      <c r="F755" s="555">
        <f ca="1" t="shared" si="395"/>
        <v>0</v>
      </c>
      <c r="G755" s="555">
        <f ca="1" t="shared" si="395"/>
        <v>0</v>
      </c>
      <c r="H755" s="555">
        <f ca="1" t="shared" si="395"/>
        <v>0</v>
      </c>
      <c r="I755" s="555">
        <f ca="1" t="shared" si="395"/>
        <v>0</v>
      </c>
      <c r="J755" s="555">
        <f ca="1" t="shared" si="395"/>
        <v>0</v>
      </c>
      <c r="K755" s="555">
        <f ca="1" t="shared" si="395"/>
        <v>0</v>
      </c>
      <c r="L755" s="555">
        <f ca="1" t="shared" si="395"/>
        <v>0</v>
      </c>
      <c r="M755" s="555">
        <f ca="1" t="shared" si="395"/>
        <v>0</v>
      </c>
      <c r="N755" s="555">
        <f ca="1" t="shared" si="396"/>
        <v>0</v>
      </c>
      <c r="O755" s="555">
        <f ca="1" t="shared" si="397"/>
        <v>0</v>
      </c>
    </row>
    <row r="756" ht="15" spans="2:15">
      <c r="B756" s="562">
        <v>10</v>
      </c>
      <c r="C756" s="563" t="s">
        <v>792</v>
      </c>
      <c r="D756" s="564"/>
      <c r="E756" s="416"/>
      <c r="F756" s="555">
        <f ca="1" t="shared" si="395"/>
        <v>293.13708964106</v>
      </c>
      <c r="G756" s="555">
        <f t="shared" si="395"/>
        <v>179.22009933447</v>
      </c>
      <c r="H756" s="555">
        <f ca="1" t="shared" si="395"/>
        <v>0</v>
      </c>
      <c r="I756" s="555">
        <f ca="1" t="shared" si="395"/>
        <v>472.35718897553</v>
      </c>
      <c r="J756" s="555">
        <f ca="1" t="shared" si="395"/>
        <v>124.011633331006</v>
      </c>
      <c r="K756" s="555">
        <f t="shared" si="395"/>
        <v>18.8068993248026</v>
      </c>
      <c r="L756" s="555">
        <f ca="1" t="shared" si="395"/>
        <v>0</v>
      </c>
      <c r="M756" s="555">
        <f ca="1" t="shared" si="395"/>
        <v>142.818532655809</v>
      </c>
      <c r="N756" s="555">
        <f ca="1" t="shared" si="396"/>
        <v>169.125456310054</v>
      </c>
      <c r="O756" s="555">
        <f t="shared" si="396"/>
        <v>160.413200009667</v>
      </c>
    </row>
    <row r="757" ht="15" spans="2:15">
      <c r="B757" s="562">
        <v>11</v>
      </c>
      <c r="C757" s="563" t="s">
        <v>793</v>
      </c>
      <c r="D757" s="564"/>
      <c r="E757" s="416"/>
      <c r="F757" s="555">
        <f ca="1" t="shared" si="395"/>
        <v>0.708</v>
      </c>
      <c r="G757" s="555">
        <f ca="1" t="shared" si="395"/>
        <v>0</v>
      </c>
      <c r="H757" s="555">
        <f ca="1" t="shared" si="395"/>
        <v>0</v>
      </c>
      <c r="I757" s="555">
        <f ca="1" t="shared" si="395"/>
        <v>0.708</v>
      </c>
      <c r="J757" s="555">
        <f ca="1" t="shared" si="395"/>
        <v>0.6392199932</v>
      </c>
      <c r="K757" s="555">
        <f t="shared" si="395"/>
        <v>0</v>
      </c>
      <c r="L757" s="555">
        <f ca="1" t="shared" si="395"/>
        <v>0</v>
      </c>
      <c r="M757" s="555">
        <f ca="1" t="shared" si="395"/>
        <v>0.6392199932</v>
      </c>
      <c r="N757" s="555">
        <f ca="1" t="shared" si="396"/>
        <v>0.0687800068000001</v>
      </c>
      <c r="O757" s="555">
        <f ca="1" t="shared" si="396"/>
        <v>0</v>
      </c>
    </row>
    <row r="758" ht="15" spans="2:15">
      <c r="B758" s="562">
        <v>12</v>
      </c>
      <c r="C758" s="563" t="s">
        <v>794</v>
      </c>
      <c r="D758" s="564"/>
      <c r="E758" s="416"/>
      <c r="F758" s="555">
        <f t="shared" si="395"/>
        <v>0</v>
      </c>
      <c r="G758" s="555">
        <f t="shared" si="395"/>
        <v>0</v>
      </c>
      <c r="H758" s="555">
        <f t="shared" si="395"/>
        <v>0</v>
      </c>
      <c r="I758" s="555">
        <f t="shared" si="395"/>
        <v>0</v>
      </c>
      <c r="J758" s="555">
        <f t="shared" si="395"/>
        <v>0</v>
      </c>
      <c r="K758" s="555">
        <f t="shared" si="395"/>
        <v>0</v>
      </c>
      <c r="L758" s="555">
        <f t="shared" si="395"/>
        <v>0</v>
      </c>
      <c r="M758" s="555">
        <f t="shared" si="395"/>
        <v>0</v>
      </c>
      <c r="N758" s="555"/>
      <c r="O758" s="555"/>
    </row>
    <row r="759" ht="15" spans="2:15">
      <c r="B759" s="562"/>
      <c r="C759" s="565" t="s">
        <v>795</v>
      </c>
      <c r="D759" s="564"/>
      <c r="E759" s="416"/>
      <c r="F759" s="555">
        <f ca="1" t="shared" si="395"/>
        <v>0.26</v>
      </c>
      <c r="G759" s="555">
        <f ca="1" t="shared" si="395"/>
        <v>0</v>
      </c>
      <c r="H759" s="555">
        <f ca="1" t="shared" si="395"/>
        <v>0</v>
      </c>
      <c r="I759" s="555">
        <f ca="1" t="shared" si="395"/>
        <v>0.26</v>
      </c>
      <c r="J759" s="555">
        <f ca="1" t="shared" si="395"/>
        <v>0.1701644132</v>
      </c>
      <c r="K759" s="555">
        <f ca="1" t="shared" si="395"/>
        <v>0</v>
      </c>
      <c r="L759" s="555">
        <f ca="1" t="shared" si="395"/>
        <v>0</v>
      </c>
      <c r="M759" s="555">
        <f ca="1" t="shared" si="395"/>
        <v>0.1701644132</v>
      </c>
      <c r="N759" s="555">
        <f ca="1" t="shared" ref="N759:O760" si="398">F759-J759</f>
        <v>0.0898355868</v>
      </c>
      <c r="O759" s="555">
        <f ca="1" t="shared" si="398"/>
        <v>0</v>
      </c>
    </row>
    <row r="760" ht="15" spans="2:15">
      <c r="B760" s="562"/>
      <c r="C760" s="565" t="s">
        <v>796</v>
      </c>
      <c r="D760" s="564"/>
      <c r="E760" s="416"/>
      <c r="F760" s="555">
        <f ca="1" t="shared" si="395"/>
        <v>0</v>
      </c>
      <c r="G760" s="555">
        <f ca="1" t="shared" si="395"/>
        <v>0</v>
      </c>
      <c r="H760" s="555">
        <f ca="1" t="shared" si="395"/>
        <v>0</v>
      </c>
      <c r="I760" s="555">
        <f ca="1" t="shared" si="395"/>
        <v>0</v>
      </c>
      <c r="J760" s="555">
        <f ca="1" t="shared" si="395"/>
        <v>0</v>
      </c>
      <c r="K760" s="555">
        <f ca="1" t="shared" si="395"/>
        <v>0</v>
      </c>
      <c r="L760" s="555">
        <f ca="1" t="shared" si="395"/>
        <v>0</v>
      </c>
      <c r="M760" s="555">
        <f ca="1" t="shared" si="395"/>
        <v>0</v>
      </c>
      <c r="N760" s="555">
        <f ca="1" t="shared" si="398"/>
        <v>0</v>
      </c>
      <c r="O760" s="555">
        <f ca="1" t="shared" si="398"/>
        <v>0</v>
      </c>
    </row>
    <row r="761" ht="15" spans="2:15">
      <c r="B761" s="562">
        <v>13</v>
      </c>
      <c r="C761" s="565"/>
      <c r="D761" s="564"/>
      <c r="E761" s="416"/>
      <c r="F761" s="555">
        <f t="shared" si="395"/>
        <v>0</v>
      </c>
      <c r="G761" s="555">
        <f t="shared" si="395"/>
        <v>0</v>
      </c>
      <c r="H761" s="555">
        <f t="shared" si="395"/>
        <v>0</v>
      </c>
      <c r="I761" s="555">
        <f t="shared" si="395"/>
        <v>0</v>
      </c>
      <c r="J761" s="555">
        <f t="shared" si="395"/>
        <v>0</v>
      </c>
      <c r="K761" s="555">
        <f t="shared" si="395"/>
        <v>0</v>
      </c>
      <c r="L761" s="555">
        <f t="shared" si="395"/>
        <v>0</v>
      </c>
      <c r="M761" s="555">
        <f t="shared" si="395"/>
        <v>0</v>
      </c>
      <c r="N761" s="555"/>
      <c r="O761" s="555"/>
    </row>
    <row r="762" ht="15" spans="2:15">
      <c r="B762" s="562"/>
      <c r="C762" s="565" t="s">
        <v>797</v>
      </c>
      <c r="D762" s="564"/>
      <c r="E762" s="416"/>
      <c r="F762" s="555">
        <f ca="1" t="shared" si="395"/>
        <v>1.725</v>
      </c>
      <c r="G762" s="555">
        <f ca="1" t="shared" si="395"/>
        <v>0</v>
      </c>
      <c r="H762" s="555">
        <f ca="1" t="shared" si="395"/>
        <v>0</v>
      </c>
      <c r="I762" s="555">
        <f ca="1" t="shared" si="395"/>
        <v>1.725</v>
      </c>
      <c r="J762" s="555">
        <f ca="1" t="shared" si="395"/>
        <v>1.2050196043</v>
      </c>
      <c r="K762" s="555">
        <f t="shared" si="395"/>
        <v>0.0493995032</v>
      </c>
      <c r="L762" s="555">
        <f ca="1" t="shared" si="395"/>
        <v>0</v>
      </c>
      <c r="M762" s="555">
        <f ca="1" t="shared" si="395"/>
        <v>1.2544191075</v>
      </c>
      <c r="N762" s="555">
        <f ca="1" t="shared" ref="N762:O765" si="399">F762-J762</f>
        <v>0.5199803957</v>
      </c>
      <c r="O762" s="555">
        <f ca="1" t="shared" si="399"/>
        <v>-0.0493995032</v>
      </c>
    </row>
    <row r="763" ht="15" spans="2:15">
      <c r="B763" s="562"/>
      <c r="C763" s="565" t="s">
        <v>798</v>
      </c>
      <c r="D763" s="564"/>
      <c r="E763" s="416"/>
      <c r="F763" s="555">
        <f ca="1" t="shared" si="395"/>
        <v>5.14515121993505</v>
      </c>
      <c r="G763" s="555">
        <f t="shared" si="395"/>
        <v>0.0132318396842664</v>
      </c>
      <c r="H763" s="555">
        <f ca="1" t="shared" si="395"/>
        <v>0</v>
      </c>
      <c r="I763" s="555">
        <f ca="1" t="shared" si="395"/>
        <v>5.15838305961932</v>
      </c>
      <c r="J763" s="555">
        <f ca="1" t="shared" si="395"/>
        <v>3.46872214089708</v>
      </c>
      <c r="K763" s="555">
        <f t="shared" si="395"/>
        <v>0.168601268879947</v>
      </c>
      <c r="L763" s="555">
        <f ca="1" t="shared" si="395"/>
        <v>0</v>
      </c>
      <c r="M763" s="555">
        <f ca="1" t="shared" si="395"/>
        <v>3.63732340977702</v>
      </c>
      <c r="N763" s="555">
        <f ca="1" t="shared" si="399"/>
        <v>1.67642907903798</v>
      </c>
      <c r="O763" s="555">
        <f t="shared" si="399"/>
        <v>-0.155369429195681</v>
      </c>
    </row>
    <row r="764" ht="15" spans="2:15">
      <c r="B764" s="562"/>
      <c r="C764" s="565" t="s">
        <v>799</v>
      </c>
      <c r="D764" s="564"/>
      <c r="E764" s="416"/>
      <c r="F764" s="555">
        <f ca="1" t="shared" si="395"/>
        <v>0</v>
      </c>
      <c r="G764" s="555">
        <f ca="1" t="shared" si="395"/>
        <v>0</v>
      </c>
      <c r="H764" s="555">
        <f ca="1" t="shared" si="395"/>
        <v>0</v>
      </c>
      <c r="I764" s="555">
        <f ca="1" t="shared" si="395"/>
        <v>0</v>
      </c>
      <c r="J764" s="555">
        <f ca="1" t="shared" si="395"/>
        <v>0</v>
      </c>
      <c r="K764" s="555">
        <f ca="1" t="shared" si="395"/>
        <v>0</v>
      </c>
      <c r="L764" s="555">
        <f ca="1" t="shared" si="395"/>
        <v>0</v>
      </c>
      <c r="M764" s="555">
        <f ca="1" t="shared" si="395"/>
        <v>0</v>
      </c>
      <c r="N764" s="555">
        <f ca="1" t="shared" si="399"/>
        <v>0</v>
      </c>
      <c r="O764" s="555">
        <f ca="1" t="shared" si="399"/>
        <v>0</v>
      </c>
    </row>
    <row r="765" ht="15" spans="2:15">
      <c r="B765" s="562"/>
      <c r="C765" s="565" t="s">
        <v>800</v>
      </c>
      <c r="D765" s="564"/>
      <c r="E765" s="416"/>
      <c r="F765" s="555">
        <f ca="1" t="shared" ref="F765:M772" si="400">10%*F131</f>
        <v>0</v>
      </c>
      <c r="G765" s="555">
        <f ca="1" t="shared" si="400"/>
        <v>0</v>
      </c>
      <c r="H765" s="555">
        <f ca="1" t="shared" si="400"/>
        <v>0</v>
      </c>
      <c r="I765" s="555">
        <f ca="1" t="shared" si="400"/>
        <v>0</v>
      </c>
      <c r="J765" s="555">
        <f ca="1" t="shared" si="400"/>
        <v>0</v>
      </c>
      <c r="K765" s="555">
        <f ca="1" t="shared" si="400"/>
        <v>0</v>
      </c>
      <c r="L765" s="555">
        <f ca="1" t="shared" si="400"/>
        <v>0</v>
      </c>
      <c r="M765" s="555">
        <f ca="1" t="shared" si="400"/>
        <v>0</v>
      </c>
      <c r="N765" s="555">
        <f ca="1" t="shared" si="399"/>
        <v>0</v>
      </c>
      <c r="O765" s="555">
        <f ca="1" t="shared" si="399"/>
        <v>0</v>
      </c>
    </row>
    <row r="766" ht="15" spans="2:15">
      <c r="B766" s="562">
        <v>14</v>
      </c>
      <c r="C766" s="563" t="s">
        <v>801</v>
      </c>
      <c r="D766" s="564"/>
      <c r="E766" s="416"/>
      <c r="F766" s="555">
        <f t="shared" si="400"/>
        <v>0</v>
      </c>
      <c r="G766" s="555">
        <f t="shared" si="400"/>
        <v>0</v>
      </c>
      <c r="H766" s="555">
        <f t="shared" si="400"/>
        <v>0</v>
      </c>
      <c r="I766" s="555">
        <f t="shared" si="400"/>
        <v>0</v>
      </c>
      <c r="J766" s="555">
        <f t="shared" si="400"/>
        <v>0</v>
      </c>
      <c r="K766" s="555">
        <f t="shared" si="400"/>
        <v>0</v>
      </c>
      <c r="L766" s="555">
        <f t="shared" si="400"/>
        <v>0</v>
      </c>
      <c r="M766" s="555">
        <f t="shared" si="400"/>
        <v>0</v>
      </c>
      <c r="N766" s="555"/>
      <c r="O766" s="555"/>
    </row>
    <row r="767" ht="15" spans="2:15">
      <c r="B767" s="562"/>
      <c r="C767" s="565" t="s">
        <v>802</v>
      </c>
      <c r="D767" s="564"/>
      <c r="E767" s="416"/>
      <c r="F767" s="555">
        <f ca="1" t="shared" si="400"/>
        <v>0</v>
      </c>
      <c r="G767" s="555">
        <f ca="1" t="shared" si="400"/>
        <v>0</v>
      </c>
      <c r="H767" s="555">
        <f ca="1" t="shared" si="400"/>
        <v>0</v>
      </c>
      <c r="I767" s="555">
        <f ca="1" t="shared" si="400"/>
        <v>0</v>
      </c>
      <c r="J767" s="555">
        <f ca="1" t="shared" si="400"/>
        <v>0</v>
      </c>
      <c r="K767" s="555">
        <f ca="1" t="shared" si="400"/>
        <v>0</v>
      </c>
      <c r="L767" s="555">
        <f ca="1" t="shared" si="400"/>
        <v>0</v>
      </c>
      <c r="M767" s="555">
        <f ca="1" t="shared" si="400"/>
        <v>0</v>
      </c>
      <c r="N767" s="555">
        <f ca="1" t="shared" ref="N767:O772" si="401">F767-J767</f>
        <v>0</v>
      </c>
      <c r="O767" s="555">
        <f ca="1" t="shared" si="401"/>
        <v>0</v>
      </c>
    </row>
    <row r="768" ht="15" spans="2:15">
      <c r="B768" s="562"/>
      <c r="C768" s="565" t="s">
        <v>803</v>
      </c>
      <c r="D768" s="564"/>
      <c r="E768" s="416"/>
      <c r="F768" s="555">
        <f ca="1" t="shared" si="400"/>
        <v>0</v>
      </c>
      <c r="G768" s="555">
        <f ca="1" t="shared" si="400"/>
        <v>0</v>
      </c>
      <c r="H768" s="555">
        <f ca="1" t="shared" si="400"/>
        <v>0</v>
      </c>
      <c r="I768" s="555">
        <f ca="1" t="shared" si="400"/>
        <v>0</v>
      </c>
      <c r="J768" s="555">
        <f ca="1" t="shared" si="400"/>
        <v>0</v>
      </c>
      <c r="K768" s="555">
        <f ca="1" t="shared" si="400"/>
        <v>0</v>
      </c>
      <c r="L768" s="555">
        <f ca="1" t="shared" si="400"/>
        <v>0</v>
      </c>
      <c r="M768" s="555">
        <f ca="1" t="shared" si="400"/>
        <v>0</v>
      </c>
      <c r="N768" s="555">
        <f ca="1" t="shared" si="401"/>
        <v>0</v>
      </c>
      <c r="O768" s="555">
        <f ca="1" t="shared" si="401"/>
        <v>0</v>
      </c>
    </row>
    <row r="769" ht="15" spans="2:15">
      <c r="B769" s="562"/>
      <c r="C769" s="565" t="s">
        <v>804</v>
      </c>
      <c r="D769" s="564"/>
      <c r="E769" s="416"/>
      <c r="F769" s="555">
        <f ca="1" t="shared" si="400"/>
        <v>0</v>
      </c>
      <c r="G769" s="555">
        <f ca="1" t="shared" si="400"/>
        <v>0</v>
      </c>
      <c r="H769" s="555">
        <f ca="1" t="shared" si="400"/>
        <v>0</v>
      </c>
      <c r="I769" s="555">
        <f ca="1" t="shared" si="400"/>
        <v>0</v>
      </c>
      <c r="J769" s="555">
        <f ca="1" t="shared" si="400"/>
        <v>0</v>
      </c>
      <c r="K769" s="555">
        <f ca="1" t="shared" si="400"/>
        <v>0</v>
      </c>
      <c r="L769" s="555">
        <f ca="1" t="shared" si="400"/>
        <v>0</v>
      </c>
      <c r="M769" s="555">
        <f ca="1" t="shared" si="400"/>
        <v>0</v>
      </c>
      <c r="N769" s="555">
        <f ca="1" t="shared" si="401"/>
        <v>0</v>
      </c>
      <c r="O769" s="555">
        <f ca="1" t="shared" si="401"/>
        <v>0</v>
      </c>
    </row>
    <row r="770" ht="15" spans="2:15">
      <c r="B770" s="562">
        <v>15</v>
      </c>
      <c r="C770" s="563" t="s">
        <v>805</v>
      </c>
      <c r="D770" s="564"/>
      <c r="E770" s="416"/>
      <c r="F770" s="555">
        <f ca="1" t="shared" si="400"/>
        <v>19.1961531462632</v>
      </c>
      <c r="G770" s="555">
        <f t="shared" si="400"/>
        <v>1.03915780364438</v>
      </c>
      <c r="H770" s="555">
        <f ca="1" t="shared" si="400"/>
        <v>0</v>
      </c>
      <c r="I770" s="555">
        <f ca="1" t="shared" si="400"/>
        <v>20.2353109499076</v>
      </c>
      <c r="J770" s="555">
        <f ca="1" t="shared" si="400"/>
        <v>15.8628331566697</v>
      </c>
      <c r="K770" s="555">
        <f t="shared" si="400"/>
        <v>1.15532517431281</v>
      </c>
      <c r="L770" s="555">
        <f ca="1" t="shared" si="400"/>
        <v>0</v>
      </c>
      <c r="M770" s="555">
        <f ca="1" t="shared" si="400"/>
        <v>17.0181583309826</v>
      </c>
      <c r="N770" s="555">
        <f ca="1" t="shared" si="401"/>
        <v>3.33331998959346</v>
      </c>
      <c r="O770" s="555">
        <f t="shared" si="401"/>
        <v>-0.11616737066843</v>
      </c>
    </row>
    <row r="771" ht="15" spans="2:15">
      <c r="B771" s="562">
        <v>16</v>
      </c>
      <c r="C771" s="563" t="s">
        <v>806</v>
      </c>
      <c r="D771" s="553"/>
      <c r="E771" s="416"/>
      <c r="F771" s="555">
        <f ca="1" t="shared" si="400"/>
        <v>7.08</v>
      </c>
      <c r="G771" s="555">
        <f ca="1" t="shared" si="400"/>
        <v>0</v>
      </c>
      <c r="H771" s="555">
        <f ca="1" t="shared" si="400"/>
        <v>0</v>
      </c>
      <c r="I771" s="555">
        <f ca="1" t="shared" si="400"/>
        <v>7.08</v>
      </c>
      <c r="J771" s="555">
        <f ca="1" t="shared" si="400"/>
        <v>5.3905021156</v>
      </c>
      <c r="K771" s="555">
        <f t="shared" si="400"/>
        <v>0.4515921614</v>
      </c>
      <c r="L771" s="555">
        <f ca="1" t="shared" si="400"/>
        <v>0</v>
      </c>
      <c r="M771" s="555">
        <f ca="1" t="shared" si="400"/>
        <v>5.842094277</v>
      </c>
      <c r="N771" s="555">
        <f ca="1" t="shared" si="401"/>
        <v>1.6894978844</v>
      </c>
      <c r="O771" s="555">
        <f ca="1" t="shared" si="401"/>
        <v>-0.4515921614</v>
      </c>
    </row>
    <row r="772" ht="15" spans="2:15">
      <c r="B772" s="562">
        <v>17</v>
      </c>
      <c r="C772" s="563" t="s">
        <v>807</v>
      </c>
      <c r="D772" s="553"/>
      <c r="E772" s="426"/>
      <c r="F772" s="555">
        <f ca="1" t="shared" si="400"/>
        <v>0</v>
      </c>
      <c r="G772" s="555">
        <f ca="1" t="shared" si="400"/>
        <v>0</v>
      </c>
      <c r="H772" s="555">
        <f ca="1" t="shared" si="400"/>
        <v>0</v>
      </c>
      <c r="I772" s="555">
        <f ca="1" t="shared" si="400"/>
        <v>0</v>
      </c>
      <c r="J772" s="555">
        <f ca="1" t="shared" si="400"/>
        <v>0</v>
      </c>
      <c r="K772" s="555">
        <f ca="1" t="shared" si="400"/>
        <v>0</v>
      </c>
      <c r="L772" s="555">
        <f ca="1" t="shared" si="400"/>
        <v>0</v>
      </c>
      <c r="M772" s="555">
        <f ca="1" t="shared" si="400"/>
        <v>0</v>
      </c>
      <c r="N772" s="555">
        <f ca="1" t="shared" si="401"/>
        <v>0</v>
      </c>
      <c r="O772" s="555">
        <f ca="1" t="shared" si="401"/>
        <v>0</v>
      </c>
    </row>
    <row r="773" ht="15.75" spans="2:15">
      <c r="B773" s="566"/>
      <c r="C773" s="567" t="s">
        <v>97</v>
      </c>
      <c r="D773" s="567"/>
      <c r="E773" s="568"/>
      <c r="F773" s="569">
        <f ca="1">SUM(F733:F772)</f>
        <v>2295.68993108909</v>
      </c>
      <c r="G773" s="569">
        <f ca="1" t="shared" ref="G773:O773" si="402">SUM(G733:G772)</f>
        <v>409.721327965625</v>
      </c>
      <c r="H773" s="569">
        <f ca="1" t="shared" si="402"/>
        <v>0</v>
      </c>
      <c r="I773" s="569">
        <f ca="1" t="shared" si="402"/>
        <v>2705.41125905471</v>
      </c>
      <c r="J773" s="569">
        <f ca="1" t="shared" si="402"/>
        <v>1130.99972666003</v>
      </c>
      <c r="K773" s="569">
        <f ca="1" t="shared" si="402"/>
        <v>97.6900328971313</v>
      </c>
      <c r="L773" s="569">
        <f ca="1" t="shared" si="402"/>
        <v>0</v>
      </c>
      <c r="M773" s="569">
        <f ca="1" t="shared" si="402"/>
        <v>1228.68975955716</v>
      </c>
      <c r="N773" s="569">
        <f ca="1" t="shared" si="402"/>
        <v>1164.69020442905</v>
      </c>
      <c r="O773" s="569">
        <f ca="1" t="shared" si="402"/>
        <v>1300.21820024516</v>
      </c>
    </row>
    <row r="775" ht="15" spans="2:15">
      <c r="B775" s="570" t="s">
        <v>654</v>
      </c>
      <c r="C775" s="571"/>
      <c r="D775" s="571"/>
      <c r="E775" s="571"/>
      <c r="F775" s="571"/>
      <c r="G775" s="571"/>
      <c r="H775" s="571"/>
      <c r="I775" s="571"/>
      <c r="J775" s="571"/>
      <c r="K775" s="571"/>
      <c r="L775" s="571"/>
      <c r="M775" s="571"/>
      <c r="N775" s="571"/>
      <c r="O775" s="581"/>
    </row>
    <row r="776" ht="15" spans="2:15">
      <c r="B776" s="547" t="s">
        <v>564</v>
      </c>
      <c r="C776" s="978" t="s">
        <v>671</v>
      </c>
      <c r="D776" s="549" t="s">
        <v>672</v>
      </c>
      <c r="E776" s="549" t="s">
        <v>673</v>
      </c>
      <c r="F776" s="549" t="s">
        <v>674</v>
      </c>
      <c r="G776" s="549"/>
      <c r="H776" s="549"/>
      <c r="I776" s="549"/>
      <c r="J776" s="549" t="s">
        <v>675</v>
      </c>
      <c r="K776" s="549"/>
      <c r="L776" s="549"/>
      <c r="M776" s="549"/>
      <c r="N776" s="549" t="s">
        <v>676</v>
      </c>
      <c r="O776" s="579"/>
    </row>
    <row r="777" ht="60.75" spans="2:15">
      <c r="B777" s="572"/>
      <c r="C777" s="573"/>
      <c r="D777" s="574"/>
      <c r="E777" s="574"/>
      <c r="F777" s="574" t="s">
        <v>677</v>
      </c>
      <c r="G777" s="574" t="s">
        <v>678</v>
      </c>
      <c r="H777" s="574" t="s">
        <v>679</v>
      </c>
      <c r="I777" s="574" t="s">
        <v>680</v>
      </c>
      <c r="J777" s="574" t="s">
        <v>681</v>
      </c>
      <c r="K777" s="574" t="s">
        <v>678</v>
      </c>
      <c r="L777" s="574" t="s">
        <v>682</v>
      </c>
      <c r="M777" s="574" t="s">
        <v>683</v>
      </c>
      <c r="N777" s="574" t="s">
        <v>677</v>
      </c>
      <c r="O777" s="582" t="s">
        <v>680</v>
      </c>
    </row>
    <row r="778" ht="15" spans="2:15">
      <c r="B778" s="551">
        <v>1</v>
      </c>
      <c r="C778" s="552" t="s">
        <v>684</v>
      </c>
      <c r="D778" s="546"/>
      <c r="E778" s="576"/>
      <c r="F778" s="555">
        <f ca="1">10%*F144</f>
        <v>8.3809156805387</v>
      </c>
      <c r="G778" s="555">
        <f t="shared" ref="G778:M778" si="403">10%*G144</f>
        <v>6.12697022591499</v>
      </c>
      <c r="H778" s="555">
        <f ca="1" t="shared" si="403"/>
        <v>0</v>
      </c>
      <c r="I778" s="555">
        <f ca="1" t="shared" si="403"/>
        <v>14.5078859064537</v>
      </c>
      <c r="J778" s="555">
        <f ca="1" t="shared" si="403"/>
        <v>0.000489906200000156</v>
      </c>
      <c r="K778" s="555">
        <f t="shared" si="403"/>
        <v>0</v>
      </c>
      <c r="L778" s="555">
        <f ca="1" t="shared" si="403"/>
        <v>0</v>
      </c>
      <c r="M778" s="555">
        <f ca="1" t="shared" si="403"/>
        <v>0.000489906200000156</v>
      </c>
      <c r="N778" s="555">
        <f ca="1">F778-J778</f>
        <v>8.3804257743387</v>
      </c>
      <c r="O778" s="555">
        <f ca="1">I778-M778</f>
        <v>14.5073960002537</v>
      </c>
    </row>
    <row r="779" ht="15" spans="2:15">
      <c r="B779" s="551">
        <v>2</v>
      </c>
      <c r="C779" s="552" t="s">
        <v>770</v>
      </c>
      <c r="D779" s="614"/>
      <c r="E779" s="615"/>
      <c r="F779" s="555">
        <f ca="1" t="shared" ref="F779:M794" si="404">10%*F145</f>
        <v>0</v>
      </c>
      <c r="G779" s="555">
        <f ca="1" t="shared" si="404"/>
        <v>0</v>
      </c>
      <c r="H779" s="555">
        <f ca="1" t="shared" si="404"/>
        <v>0</v>
      </c>
      <c r="I779" s="555">
        <f ca="1" t="shared" si="404"/>
        <v>0</v>
      </c>
      <c r="J779" s="555">
        <f ca="1" t="shared" si="404"/>
        <v>0</v>
      </c>
      <c r="K779" s="555">
        <f ca="1" t="shared" si="404"/>
        <v>0</v>
      </c>
      <c r="L779" s="555">
        <f ca="1" t="shared" si="404"/>
        <v>0</v>
      </c>
      <c r="M779" s="555">
        <f ca="1" t="shared" si="404"/>
        <v>0</v>
      </c>
      <c r="N779" s="555">
        <f ca="1">F779-J779</f>
        <v>0</v>
      </c>
      <c r="O779" s="555">
        <f ca="1">I779-M779</f>
        <v>0</v>
      </c>
    </row>
    <row r="780" ht="15" spans="2:15">
      <c r="B780" s="551">
        <v>3</v>
      </c>
      <c r="C780" s="556" t="s">
        <v>771</v>
      </c>
      <c r="D780" s="553"/>
      <c r="E780" s="416"/>
      <c r="F780" s="555">
        <f t="shared" si="404"/>
        <v>0</v>
      </c>
      <c r="G780" s="555">
        <f t="shared" si="404"/>
        <v>0</v>
      </c>
      <c r="H780" s="555">
        <f t="shared" si="404"/>
        <v>0</v>
      </c>
      <c r="I780" s="555">
        <f t="shared" si="404"/>
        <v>0</v>
      </c>
      <c r="J780" s="555">
        <f t="shared" si="404"/>
        <v>0</v>
      </c>
      <c r="K780" s="555">
        <f t="shared" si="404"/>
        <v>0</v>
      </c>
      <c r="L780" s="555">
        <f t="shared" si="404"/>
        <v>0</v>
      </c>
      <c r="M780" s="555">
        <f t="shared" si="404"/>
        <v>0</v>
      </c>
      <c r="N780" s="555"/>
      <c r="O780" s="555"/>
    </row>
    <row r="781" ht="15" spans="2:15">
      <c r="B781" s="551"/>
      <c r="C781" s="557" t="s">
        <v>772</v>
      </c>
      <c r="D781" s="553"/>
      <c r="E781" s="416"/>
      <c r="F781" s="555">
        <f ca="1" t="shared" si="404"/>
        <v>44.426962202967</v>
      </c>
      <c r="G781" s="555">
        <f t="shared" si="404"/>
        <v>5.70968156026503</v>
      </c>
      <c r="H781" s="555">
        <f ca="1" t="shared" si="404"/>
        <v>0</v>
      </c>
      <c r="I781" s="555">
        <f ca="1" t="shared" si="404"/>
        <v>50.1366437632321</v>
      </c>
      <c r="J781" s="555">
        <f ca="1" t="shared" si="404"/>
        <v>15.9603173818233</v>
      </c>
      <c r="K781" s="555">
        <f t="shared" si="404"/>
        <v>1.96846249405875</v>
      </c>
      <c r="L781" s="555">
        <f ca="1" t="shared" si="404"/>
        <v>0</v>
      </c>
      <c r="M781" s="555">
        <f ca="1" t="shared" si="404"/>
        <v>17.9287798758821</v>
      </c>
      <c r="N781" s="555">
        <f ca="1" t="shared" ref="N781:N784" si="405">F781-J781</f>
        <v>28.4666448211437</v>
      </c>
      <c r="O781" s="555">
        <f ca="1" t="shared" ref="O781:O784" si="406">I781-M781</f>
        <v>32.20786388735</v>
      </c>
    </row>
    <row r="782" ht="28.5" spans="2:15">
      <c r="B782" s="551"/>
      <c r="C782" s="557" t="s">
        <v>773</v>
      </c>
      <c r="D782" s="553"/>
      <c r="E782" s="416"/>
      <c r="F782" s="555">
        <f ca="1" t="shared" si="404"/>
        <v>0</v>
      </c>
      <c r="G782" s="555">
        <f ca="1" t="shared" si="404"/>
        <v>0</v>
      </c>
      <c r="H782" s="555">
        <f ca="1" t="shared" si="404"/>
        <v>0</v>
      </c>
      <c r="I782" s="555">
        <f ca="1" t="shared" si="404"/>
        <v>0</v>
      </c>
      <c r="J782" s="555">
        <f ca="1" t="shared" si="404"/>
        <v>0</v>
      </c>
      <c r="K782" s="555">
        <f ca="1" t="shared" si="404"/>
        <v>0</v>
      </c>
      <c r="L782" s="555">
        <f ca="1" t="shared" si="404"/>
        <v>0</v>
      </c>
      <c r="M782" s="555">
        <f ca="1" t="shared" si="404"/>
        <v>0</v>
      </c>
      <c r="N782" s="555">
        <f ca="1" t="shared" si="405"/>
        <v>0</v>
      </c>
      <c r="O782" s="555">
        <f ca="1" t="shared" si="406"/>
        <v>0</v>
      </c>
    </row>
    <row r="783" ht="15" spans="2:15">
      <c r="B783" s="551"/>
      <c r="C783" s="557" t="s">
        <v>774</v>
      </c>
      <c r="D783" s="553"/>
      <c r="E783" s="416"/>
      <c r="F783" s="555">
        <f ca="1" t="shared" si="404"/>
        <v>0</v>
      </c>
      <c r="G783" s="555">
        <f ca="1" t="shared" si="404"/>
        <v>0</v>
      </c>
      <c r="H783" s="555">
        <f ca="1" t="shared" si="404"/>
        <v>0</v>
      </c>
      <c r="I783" s="555">
        <f ca="1" t="shared" si="404"/>
        <v>0</v>
      </c>
      <c r="J783" s="555">
        <f ca="1" t="shared" si="404"/>
        <v>0</v>
      </c>
      <c r="K783" s="555">
        <f ca="1" t="shared" si="404"/>
        <v>0</v>
      </c>
      <c r="L783" s="555">
        <f ca="1" t="shared" si="404"/>
        <v>0</v>
      </c>
      <c r="M783" s="555">
        <f ca="1" t="shared" si="404"/>
        <v>0</v>
      </c>
      <c r="N783" s="555">
        <f ca="1" t="shared" si="405"/>
        <v>0</v>
      </c>
      <c r="O783" s="555">
        <f ca="1" t="shared" si="406"/>
        <v>0</v>
      </c>
    </row>
    <row r="784" ht="15" spans="2:15">
      <c r="B784" s="551"/>
      <c r="C784" s="557" t="s">
        <v>775</v>
      </c>
      <c r="D784" s="553"/>
      <c r="E784" s="416"/>
      <c r="F784" s="555">
        <f ca="1" t="shared" si="404"/>
        <v>22.108</v>
      </c>
      <c r="G784" s="555">
        <f ca="1" t="shared" si="404"/>
        <v>0</v>
      </c>
      <c r="H784" s="555">
        <f ca="1" t="shared" si="404"/>
        <v>0</v>
      </c>
      <c r="I784" s="555">
        <f ca="1" t="shared" si="404"/>
        <v>22.108</v>
      </c>
      <c r="J784" s="555">
        <f ca="1" t="shared" si="404"/>
        <v>4.4413445081</v>
      </c>
      <c r="K784" s="555">
        <f t="shared" si="404"/>
        <v>0</v>
      </c>
      <c r="L784" s="555">
        <f ca="1" t="shared" si="404"/>
        <v>0</v>
      </c>
      <c r="M784" s="555">
        <f ca="1" t="shared" si="404"/>
        <v>4.4413445081</v>
      </c>
      <c r="N784" s="555">
        <f ca="1" t="shared" si="405"/>
        <v>17.6666554919</v>
      </c>
      <c r="O784" s="555">
        <f ca="1" t="shared" si="406"/>
        <v>17.6666554919</v>
      </c>
    </row>
    <row r="785" ht="15" spans="2:15">
      <c r="B785" s="551">
        <v>4</v>
      </c>
      <c r="C785" s="552" t="s">
        <v>776</v>
      </c>
      <c r="D785" s="553"/>
      <c r="E785" s="416"/>
      <c r="F785" s="555">
        <f t="shared" si="404"/>
        <v>0</v>
      </c>
      <c r="G785" s="555">
        <f t="shared" si="404"/>
        <v>0</v>
      </c>
      <c r="H785" s="555">
        <f t="shared" si="404"/>
        <v>0</v>
      </c>
      <c r="I785" s="555">
        <f t="shared" si="404"/>
        <v>0</v>
      </c>
      <c r="J785" s="555">
        <f t="shared" si="404"/>
        <v>0</v>
      </c>
      <c r="K785" s="555">
        <f t="shared" si="404"/>
        <v>0</v>
      </c>
      <c r="L785" s="555">
        <f t="shared" si="404"/>
        <v>0</v>
      </c>
      <c r="M785" s="555">
        <f t="shared" si="404"/>
        <v>0</v>
      </c>
      <c r="N785" s="555"/>
      <c r="O785" s="555"/>
    </row>
    <row r="786" ht="15" spans="2:15">
      <c r="B786" s="551"/>
      <c r="C786" s="558" t="s">
        <v>777</v>
      </c>
      <c r="D786" s="553"/>
      <c r="E786" s="416"/>
      <c r="F786" s="555">
        <f ca="1" t="shared" si="404"/>
        <v>1066.09787333248</v>
      </c>
      <c r="G786" s="555">
        <f t="shared" si="404"/>
        <v>136.454278992094</v>
      </c>
      <c r="H786" s="555">
        <f ca="1" t="shared" si="404"/>
        <v>0</v>
      </c>
      <c r="I786" s="555">
        <f ca="1" t="shared" si="404"/>
        <v>1202.55215232457</v>
      </c>
      <c r="J786" s="555">
        <f ca="1" t="shared" si="404"/>
        <v>549.425073902103</v>
      </c>
      <c r="K786" s="555">
        <f t="shared" si="404"/>
        <v>41.8320935263111</v>
      </c>
      <c r="L786" s="555">
        <f ca="1" t="shared" si="404"/>
        <v>0</v>
      </c>
      <c r="M786" s="555">
        <f ca="1" t="shared" si="404"/>
        <v>591.257167428414</v>
      </c>
      <c r="N786" s="555">
        <f ca="1" t="shared" ref="N786:N789" si="407">F786-J786</f>
        <v>516.672799430373</v>
      </c>
      <c r="O786" s="555">
        <f ca="1" t="shared" ref="O786:O789" si="408">I786-M786</f>
        <v>611.294984896156</v>
      </c>
    </row>
    <row r="787" ht="15" spans="2:15">
      <c r="B787" s="551"/>
      <c r="C787" s="552" t="s">
        <v>778</v>
      </c>
      <c r="D787" s="553"/>
      <c r="E787" s="416"/>
      <c r="F787" s="555">
        <f t="shared" si="404"/>
        <v>0</v>
      </c>
      <c r="G787" s="555">
        <f t="shared" si="404"/>
        <v>0</v>
      </c>
      <c r="H787" s="555">
        <f t="shared" si="404"/>
        <v>0</v>
      </c>
      <c r="I787" s="555">
        <f t="shared" si="404"/>
        <v>0</v>
      </c>
      <c r="J787" s="555">
        <f t="shared" si="404"/>
        <v>0</v>
      </c>
      <c r="K787" s="555">
        <f t="shared" si="404"/>
        <v>0</v>
      </c>
      <c r="L787" s="555">
        <f t="shared" si="404"/>
        <v>0</v>
      </c>
      <c r="M787" s="555">
        <f t="shared" si="404"/>
        <v>0</v>
      </c>
      <c r="N787" s="555"/>
      <c r="O787" s="555"/>
    </row>
    <row r="788" ht="15" spans="2:15">
      <c r="B788" s="551"/>
      <c r="C788" s="558" t="s">
        <v>779</v>
      </c>
      <c r="D788" s="553"/>
      <c r="E788" s="416"/>
      <c r="F788" s="555">
        <f ca="1" t="shared" si="404"/>
        <v>0</v>
      </c>
      <c r="G788" s="555">
        <f ca="1" t="shared" si="404"/>
        <v>0</v>
      </c>
      <c r="H788" s="555">
        <f ca="1" t="shared" si="404"/>
        <v>0</v>
      </c>
      <c r="I788" s="555">
        <f ca="1" t="shared" si="404"/>
        <v>0</v>
      </c>
      <c r="J788" s="555">
        <f ca="1" t="shared" si="404"/>
        <v>0</v>
      </c>
      <c r="K788" s="555">
        <f ca="1" t="shared" si="404"/>
        <v>0</v>
      </c>
      <c r="L788" s="555">
        <f ca="1" t="shared" si="404"/>
        <v>0</v>
      </c>
      <c r="M788" s="555">
        <f ca="1" t="shared" si="404"/>
        <v>0</v>
      </c>
      <c r="N788" s="555">
        <f ca="1" t="shared" si="407"/>
        <v>0</v>
      </c>
      <c r="O788" s="555">
        <f ca="1" t="shared" si="408"/>
        <v>0</v>
      </c>
    </row>
    <row r="789" ht="15" spans="2:15">
      <c r="B789" s="551"/>
      <c r="C789" s="558" t="s">
        <v>780</v>
      </c>
      <c r="D789" s="553"/>
      <c r="E789" s="416"/>
      <c r="F789" s="555">
        <f ca="1" t="shared" si="404"/>
        <v>0</v>
      </c>
      <c r="G789" s="555">
        <f ca="1" t="shared" si="404"/>
        <v>0</v>
      </c>
      <c r="H789" s="555">
        <f ca="1" t="shared" si="404"/>
        <v>0</v>
      </c>
      <c r="I789" s="555">
        <f ca="1" t="shared" si="404"/>
        <v>0</v>
      </c>
      <c r="J789" s="555">
        <f ca="1" t="shared" si="404"/>
        <v>0</v>
      </c>
      <c r="K789" s="555">
        <f ca="1" t="shared" si="404"/>
        <v>0</v>
      </c>
      <c r="L789" s="555">
        <f ca="1" t="shared" si="404"/>
        <v>0</v>
      </c>
      <c r="M789" s="555">
        <f ca="1" t="shared" si="404"/>
        <v>0</v>
      </c>
      <c r="N789" s="555">
        <f ca="1" t="shared" si="407"/>
        <v>0</v>
      </c>
      <c r="O789" s="555">
        <f ca="1" t="shared" si="408"/>
        <v>0</v>
      </c>
    </row>
    <row r="790" ht="15" spans="2:15">
      <c r="B790" s="551">
        <v>5</v>
      </c>
      <c r="C790" s="552" t="s">
        <v>781</v>
      </c>
      <c r="D790" s="553"/>
      <c r="E790" s="416"/>
      <c r="F790" s="555">
        <f t="shared" si="404"/>
        <v>0</v>
      </c>
      <c r="G790" s="555">
        <f t="shared" si="404"/>
        <v>0</v>
      </c>
      <c r="H790" s="555">
        <f t="shared" si="404"/>
        <v>0</v>
      </c>
      <c r="I790" s="555">
        <f t="shared" si="404"/>
        <v>0</v>
      </c>
      <c r="J790" s="555">
        <f t="shared" si="404"/>
        <v>0</v>
      </c>
      <c r="K790" s="555">
        <f t="shared" si="404"/>
        <v>0</v>
      </c>
      <c r="L790" s="555">
        <f t="shared" si="404"/>
        <v>0</v>
      </c>
      <c r="M790" s="555">
        <f t="shared" si="404"/>
        <v>0</v>
      </c>
      <c r="N790" s="555"/>
      <c r="O790" s="555"/>
    </row>
    <row r="791" ht="15" spans="2:15">
      <c r="B791" s="551"/>
      <c r="C791" s="558" t="s">
        <v>782</v>
      </c>
      <c r="D791" s="553"/>
      <c r="E791" s="416"/>
      <c r="F791" s="555">
        <f ca="1" t="shared" si="404"/>
        <v>0</v>
      </c>
      <c r="G791" s="555">
        <f ca="1" t="shared" si="404"/>
        <v>0</v>
      </c>
      <c r="H791" s="555">
        <f ca="1" t="shared" si="404"/>
        <v>0</v>
      </c>
      <c r="I791" s="555">
        <f ca="1" t="shared" si="404"/>
        <v>0</v>
      </c>
      <c r="J791" s="555">
        <f ca="1" t="shared" si="404"/>
        <v>0</v>
      </c>
      <c r="K791" s="555">
        <f ca="1" t="shared" si="404"/>
        <v>0</v>
      </c>
      <c r="L791" s="555">
        <f ca="1" t="shared" si="404"/>
        <v>0</v>
      </c>
      <c r="M791" s="555">
        <f ca="1" t="shared" si="404"/>
        <v>0</v>
      </c>
      <c r="N791" s="555">
        <f ca="1" t="shared" ref="N791:N796" si="409">F791-J791</f>
        <v>0</v>
      </c>
      <c r="O791" s="555">
        <f ca="1" t="shared" ref="O791:O796" si="410">I791-M791</f>
        <v>0</v>
      </c>
    </row>
    <row r="792" ht="15" spans="2:15">
      <c r="B792" s="551"/>
      <c r="C792" s="558" t="s">
        <v>783</v>
      </c>
      <c r="D792" s="553"/>
      <c r="E792" s="416"/>
      <c r="F792" s="555">
        <f ca="1" t="shared" si="404"/>
        <v>0</v>
      </c>
      <c r="G792" s="555">
        <f ca="1" t="shared" si="404"/>
        <v>0</v>
      </c>
      <c r="H792" s="555">
        <f ca="1" t="shared" si="404"/>
        <v>0</v>
      </c>
      <c r="I792" s="555">
        <f ca="1" t="shared" si="404"/>
        <v>0</v>
      </c>
      <c r="J792" s="555">
        <f ca="1" t="shared" si="404"/>
        <v>0</v>
      </c>
      <c r="K792" s="555">
        <f ca="1" t="shared" si="404"/>
        <v>0</v>
      </c>
      <c r="L792" s="555">
        <f ca="1" t="shared" si="404"/>
        <v>0</v>
      </c>
      <c r="M792" s="555">
        <f ca="1" t="shared" si="404"/>
        <v>0</v>
      </c>
      <c r="N792" s="555">
        <f ca="1" t="shared" si="409"/>
        <v>0</v>
      </c>
      <c r="O792" s="555">
        <f ca="1" t="shared" si="410"/>
        <v>0</v>
      </c>
    </row>
    <row r="793" ht="15" spans="2:15">
      <c r="B793" s="551"/>
      <c r="C793" s="558" t="s">
        <v>784</v>
      </c>
      <c r="D793" s="553"/>
      <c r="E793" s="416"/>
      <c r="F793" s="555">
        <f ca="1" t="shared" si="404"/>
        <v>0</v>
      </c>
      <c r="G793" s="555">
        <f ca="1" t="shared" si="404"/>
        <v>0</v>
      </c>
      <c r="H793" s="555">
        <f ca="1" t="shared" si="404"/>
        <v>0</v>
      </c>
      <c r="I793" s="555">
        <f ca="1" t="shared" si="404"/>
        <v>0</v>
      </c>
      <c r="J793" s="555">
        <f ca="1" t="shared" si="404"/>
        <v>0</v>
      </c>
      <c r="K793" s="555">
        <f ca="1" t="shared" si="404"/>
        <v>0</v>
      </c>
      <c r="L793" s="555">
        <f ca="1" t="shared" si="404"/>
        <v>0</v>
      </c>
      <c r="M793" s="555">
        <f ca="1" t="shared" si="404"/>
        <v>0</v>
      </c>
      <c r="N793" s="555">
        <f ca="1" t="shared" si="409"/>
        <v>0</v>
      </c>
      <c r="O793" s="555">
        <f ca="1" t="shared" si="410"/>
        <v>0</v>
      </c>
    </row>
    <row r="794" ht="15" spans="2:15">
      <c r="B794" s="551"/>
      <c r="C794" s="558" t="s">
        <v>785</v>
      </c>
      <c r="D794" s="553"/>
      <c r="E794" s="416"/>
      <c r="F794" s="555">
        <f ca="1" t="shared" si="404"/>
        <v>0</v>
      </c>
      <c r="G794" s="555">
        <f ca="1" t="shared" si="404"/>
        <v>0</v>
      </c>
      <c r="H794" s="555">
        <f ca="1" t="shared" si="404"/>
        <v>0</v>
      </c>
      <c r="I794" s="555">
        <f ca="1" t="shared" si="404"/>
        <v>0</v>
      </c>
      <c r="J794" s="555">
        <f ca="1" t="shared" si="404"/>
        <v>0</v>
      </c>
      <c r="K794" s="555">
        <f ca="1" t="shared" si="404"/>
        <v>0</v>
      </c>
      <c r="L794" s="555">
        <f ca="1" t="shared" si="404"/>
        <v>0</v>
      </c>
      <c r="M794" s="555">
        <f ca="1" t="shared" si="404"/>
        <v>0</v>
      </c>
      <c r="N794" s="555">
        <f ca="1" t="shared" si="409"/>
        <v>0</v>
      </c>
      <c r="O794" s="555">
        <f ca="1" t="shared" si="410"/>
        <v>0</v>
      </c>
    </row>
    <row r="795" ht="15" spans="2:15">
      <c r="B795" s="551">
        <v>6</v>
      </c>
      <c r="C795" s="552" t="s">
        <v>786</v>
      </c>
      <c r="D795" s="553"/>
      <c r="E795" s="416"/>
      <c r="F795" s="555">
        <f ca="1" t="shared" ref="F795:M810" si="411">10%*F161</f>
        <v>0</v>
      </c>
      <c r="G795" s="555">
        <f ca="1" t="shared" si="411"/>
        <v>0</v>
      </c>
      <c r="H795" s="555">
        <f ca="1" t="shared" si="411"/>
        <v>0</v>
      </c>
      <c r="I795" s="555">
        <f ca="1" t="shared" si="411"/>
        <v>0</v>
      </c>
      <c r="J795" s="555">
        <f ca="1" t="shared" si="411"/>
        <v>0</v>
      </c>
      <c r="K795" s="555">
        <f ca="1" t="shared" si="411"/>
        <v>0</v>
      </c>
      <c r="L795" s="555">
        <f ca="1" t="shared" si="411"/>
        <v>0</v>
      </c>
      <c r="M795" s="555">
        <f ca="1" t="shared" si="411"/>
        <v>0</v>
      </c>
      <c r="N795" s="555">
        <f ca="1" t="shared" si="409"/>
        <v>0</v>
      </c>
      <c r="O795" s="555">
        <f ca="1" t="shared" si="410"/>
        <v>0</v>
      </c>
    </row>
    <row r="796" ht="15" spans="2:15">
      <c r="B796" s="551">
        <v>7</v>
      </c>
      <c r="C796" s="552" t="s">
        <v>787</v>
      </c>
      <c r="D796" s="553"/>
      <c r="E796" s="416"/>
      <c r="F796" s="555">
        <f ca="1" t="shared" si="411"/>
        <v>0</v>
      </c>
      <c r="G796" s="555">
        <f ca="1" t="shared" si="411"/>
        <v>0</v>
      </c>
      <c r="H796" s="555">
        <f ca="1" t="shared" si="411"/>
        <v>0</v>
      </c>
      <c r="I796" s="555">
        <f ca="1" t="shared" si="411"/>
        <v>0</v>
      </c>
      <c r="J796" s="555">
        <f ca="1" t="shared" si="411"/>
        <v>0</v>
      </c>
      <c r="K796" s="555">
        <f ca="1" t="shared" si="411"/>
        <v>0</v>
      </c>
      <c r="L796" s="555">
        <f ca="1" t="shared" si="411"/>
        <v>0</v>
      </c>
      <c r="M796" s="555">
        <f ca="1" t="shared" si="411"/>
        <v>0</v>
      </c>
      <c r="N796" s="555">
        <f ca="1" t="shared" si="409"/>
        <v>0</v>
      </c>
      <c r="O796" s="555">
        <f ca="1" t="shared" si="410"/>
        <v>0</v>
      </c>
    </row>
    <row r="797" ht="15" spans="2:15">
      <c r="B797" s="551">
        <v>8</v>
      </c>
      <c r="C797" s="552" t="s">
        <v>788</v>
      </c>
      <c r="D797" s="553"/>
      <c r="E797" s="416"/>
      <c r="F797" s="555">
        <f t="shared" si="411"/>
        <v>0</v>
      </c>
      <c r="G797" s="555">
        <f t="shared" si="411"/>
        <v>0</v>
      </c>
      <c r="H797" s="555">
        <f t="shared" si="411"/>
        <v>0</v>
      </c>
      <c r="I797" s="555">
        <f t="shared" si="411"/>
        <v>0</v>
      </c>
      <c r="J797" s="555">
        <f t="shared" si="411"/>
        <v>0</v>
      </c>
      <c r="K797" s="555">
        <f t="shared" si="411"/>
        <v>0</v>
      </c>
      <c r="L797" s="555">
        <f t="shared" si="411"/>
        <v>0</v>
      </c>
      <c r="M797" s="555">
        <f t="shared" si="411"/>
        <v>0</v>
      </c>
      <c r="N797" s="555"/>
      <c r="O797" s="555"/>
    </row>
    <row r="798" ht="15" spans="2:15">
      <c r="B798" s="551"/>
      <c r="C798" s="558" t="s">
        <v>789</v>
      </c>
      <c r="D798" s="553"/>
      <c r="E798" s="416"/>
      <c r="F798" s="555">
        <f ca="1" t="shared" si="411"/>
        <v>1056.87362485367</v>
      </c>
      <c r="G798" s="555">
        <f t="shared" si="411"/>
        <v>153.941853598674</v>
      </c>
      <c r="H798" s="555">
        <f ca="1" t="shared" si="411"/>
        <v>0</v>
      </c>
      <c r="I798" s="555">
        <f ca="1" t="shared" si="411"/>
        <v>1210.81547845235</v>
      </c>
      <c r="J798" s="555">
        <f ca="1" t="shared" si="411"/>
        <v>487.482621671469</v>
      </c>
      <c r="K798" s="555">
        <f t="shared" si="411"/>
        <v>40.2069677729778</v>
      </c>
      <c r="L798" s="555">
        <f ca="1" t="shared" si="411"/>
        <v>0</v>
      </c>
      <c r="M798" s="555">
        <f ca="1" t="shared" si="411"/>
        <v>527.689589444447</v>
      </c>
      <c r="N798" s="555">
        <f ca="1" t="shared" ref="N798:O802" si="412">F798-J798</f>
        <v>569.391003182205</v>
      </c>
      <c r="O798" s="555">
        <f ca="1" t="shared" ref="O798:O800" si="413">I798-M798</f>
        <v>683.125889007901</v>
      </c>
    </row>
    <row r="799" ht="15" spans="2:15">
      <c r="B799" s="551"/>
      <c r="C799" s="558" t="s">
        <v>808</v>
      </c>
      <c r="D799" s="553"/>
      <c r="E799" s="416"/>
      <c r="F799" s="555">
        <f ca="1" t="shared" si="411"/>
        <v>0</v>
      </c>
      <c r="G799" s="555">
        <f ca="1" t="shared" si="411"/>
        <v>0</v>
      </c>
      <c r="H799" s="555">
        <f ca="1" t="shared" si="411"/>
        <v>0</v>
      </c>
      <c r="I799" s="555">
        <f ca="1" t="shared" si="411"/>
        <v>0</v>
      </c>
      <c r="J799" s="555">
        <f ca="1" t="shared" si="411"/>
        <v>0</v>
      </c>
      <c r="K799" s="555">
        <f ca="1" t="shared" si="411"/>
        <v>0</v>
      </c>
      <c r="L799" s="555">
        <f ca="1" t="shared" si="411"/>
        <v>0</v>
      </c>
      <c r="M799" s="555">
        <f ca="1" t="shared" si="411"/>
        <v>0</v>
      </c>
      <c r="N799" s="555">
        <f ca="1" t="shared" si="412"/>
        <v>0</v>
      </c>
      <c r="O799" s="555">
        <f ca="1" t="shared" si="413"/>
        <v>0</v>
      </c>
    </row>
    <row r="800" ht="30" spans="2:15">
      <c r="B800" s="560">
        <v>9</v>
      </c>
      <c r="C800" s="561" t="s">
        <v>791</v>
      </c>
      <c r="D800" s="553"/>
      <c r="E800" s="416"/>
      <c r="F800" s="555">
        <f ca="1" t="shared" si="411"/>
        <v>0</v>
      </c>
      <c r="G800" s="555">
        <f ca="1" t="shared" si="411"/>
        <v>0</v>
      </c>
      <c r="H800" s="555">
        <f ca="1" t="shared" si="411"/>
        <v>0</v>
      </c>
      <c r="I800" s="555">
        <f ca="1" t="shared" si="411"/>
        <v>0</v>
      </c>
      <c r="J800" s="555">
        <f ca="1" t="shared" si="411"/>
        <v>0</v>
      </c>
      <c r="K800" s="555">
        <f ca="1" t="shared" si="411"/>
        <v>0</v>
      </c>
      <c r="L800" s="555">
        <f ca="1" t="shared" si="411"/>
        <v>0</v>
      </c>
      <c r="M800" s="555">
        <f ca="1" t="shared" si="411"/>
        <v>0</v>
      </c>
      <c r="N800" s="555">
        <f ca="1" t="shared" si="412"/>
        <v>0</v>
      </c>
      <c r="O800" s="555">
        <f ca="1" t="shared" si="413"/>
        <v>0</v>
      </c>
    </row>
    <row r="801" ht="15" spans="2:15">
      <c r="B801" s="562">
        <v>10</v>
      </c>
      <c r="C801" s="563" t="s">
        <v>792</v>
      </c>
      <c r="D801" s="564"/>
      <c r="E801" s="416"/>
      <c r="F801" s="555">
        <f ca="1" t="shared" si="411"/>
        <v>472.35718897553</v>
      </c>
      <c r="G801" s="555">
        <f t="shared" si="411"/>
        <v>236.070881322019</v>
      </c>
      <c r="H801" s="555">
        <f ca="1" t="shared" si="411"/>
        <v>0</v>
      </c>
      <c r="I801" s="555">
        <f ca="1" t="shared" si="411"/>
        <v>708.428070297549</v>
      </c>
      <c r="J801" s="555">
        <f ca="1" t="shared" si="411"/>
        <v>142.818532655809</v>
      </c>
      <c r="K801" s="555">
        <f t="shared" si="411"/>
        <v>34.9705901866762</v>
      </c>
      <c r="L801" s="555">
        <f ca="1" t="shared" si="411"/>
        <v>0</v>
      </c>
      <c r="M801" s="555">
        <f ca="1" t="shared" si="411"/>
        <v>177.789122842485</v>
      </c>
      <c r="N801" s="555">
        <f ca="1" t="shared" si="412"/>
        <v>329.538656319721</v>
      </c>
      <c r="O801" s="555">
        <f t="shared" si="412"/>
        <v>201.100291135343</v>
      </c>
    </row>
    <row r="802" ht="15" spans="2:15">
      <c r="B802" s="562">
        <v>11</v>
      </c>
      <c r="C802" s="563" t="s">
        <v>793</v>
      </c>
      <c r="D802" s="564"/>
      <c r="E802" s="416"/>
      <c r="F802" s="555">
        <f ca="1" t="shared" si="411"/>
        <v>0.708</v>
      </c>
      <c r="G802" s="555">
        <f ca="1" t="shared" si="411"/>
        <v>0</v>
      </c>
      <c r="H802" s="555">
        <f ca="1" t="shared" si="411"/>
        <v>0</v>
      </c>
      <c r="I802" s="555">
        <f ca="1" t="shared" si="411"/>
        <v>0.708</v>
      </c>
      <c r="J802" s="555">
        <f ca="1" t="shared" si="411"/>
        <v>0.6392199932</v>
      </c>
      <c r="K802" s="555">
        <f t="shared" si="411"/>
        <v>0</v>
      </c>
      <c r="L802" s="555">
        <f ca="1" t="shared" si="411"/>
        <v>0</v>
      </c>
      <c r="M802" s="555">
        <f ca="1" t="shared" si="411"/>
        <v>0.6392199932</v>
      </c>
      <c r="N802" s="555">
        <f ca="1" t="shared" si="412"/>
        <v>0.0687800068000001</v>
      </c>
      <c r="O802" s="555">
        <f ca="1" t="shared" si="412"/>
        <v>0</v>
      </c>
    </row>
    <row r="803" ht="15" spans="2:15">
      <c r="B803" s="562">
        <v>12</v>
      </c>
      <c r="C803" s="563" t="s">
        <v>794</v>
      </c>
      <c r="D803" s="564"/>
      <c r="E803" s="416"/>
      <c r="F803" s="555">
        <f t="shared" si="411"/>
        <v>0</v>
      </c>
      <c r="G803" s="555">
        <f t="shared" si="411"/>
        <v>0</v>
      </c>
      <c r="H803" s="555">
        <f t="shared" si="411"/>
        <v>0</v>
      </c>
      <c r="I803" s="555">
        <f t="shared" si="411"/>
        <v>0</v>
      </c>
      <c r="J803" s="555">
        <f t="shared" si="411"/>
        <v>0</v>
      </c>
      <c r="K803" s="555">
        <f t="shared" si="411"/>
        <v>0</v>
      </c>
      <c r="L803" s="555">
        <f t="shared" si="411"/>
        <v>0</v>
      </c>
      <c r="M803" s="555">
        <f t="shared" si="411"/>
        <v>0</v>
      </c>
      <c r="N803" s="555"/>
      <c r="O803" s="555"/>
    </row>
    <row r="804" ht="15" spans="2:15">
      <c r="B804" s="562"/>
      <c r="C804" s="565" t="s">
        <v>795</v>
      </c>
      <c r="D804" s="564"/>
      <c r="E804" s="416"/>
      <c r="F804" s="555">
        <f ca="1" t="shared" si="411"/>
        <v>0.26</v>
      </c>
      <c r="G804" s="555">
        <f ca="1" t="shared" si="411"/>
        <v>0</v>
      </c>
      <c r="H804" s="555">
        <f ca="1" t="shared" si="411"/>
        <v>0</v>
      </c>
      <c r="I804" s="555">
        <f ca="1" t="shared" si="411"/>
        <v>0.26</v>
      </c>
      <c r="J804" s="555">
        <f ca="1" t="shared" si="411"/>
        <v>0.1701644132</v>
      </c>
      <c r="K804" s="555">
        <f ca="1" t="shared" si="411"/>
        <v>0</v>
      </c>
      <c r="L804" s="555">
        <f ca="1" t="shared" si="411"/>
        <v>0</v>
      </c>
      <c r="M804" s="555">
        <f ca="1" t="shared" si="411"/>
        <v>0.1701644132</v>
      </c>
      <c r="N804" s="555">
        <f ca="1" t="shared" ref="N804:O805" si="414">F804-J804</f>
        <v>0.0898355868</v>
      </c>
      <c r="O804" s="555">
        <f ca="1" t="shared" si="414"/>
        <v>0</v>
      </c>
    </row>
    <row r="805" ht="15" spans="2:15">
      <c r="B805" s="562"/>
      <c r="C805" s="565" t="s">
        <v>796</v>
      </c>
      <c r="D805" s="564"/>
      <c r="E805" s="416"/>
      <c r="F805" s="555">
        <f ca="1" t="shared" si="411"/>
        <v>0</v>
      </c>
      <c r="G805" s="555">
        <f ca="1" t="shared" si="411"/>
        <v>0</v>
      </c>
      <c r="H805" s="555">
        <f ca="1" t="shared" si="411"/>
        <v>0</v>
      </c>
      <c r="I805" s="555">
        <f ca="1" t="shared" si="411"/>
        <v>0</v>
      </c>
      <c r="J805" s="555">
        <f ca="1" t="shared" si="411"/>
        <v>0</v>
      </c>
      <c r="K805" s="555">
        <f ca="1" t="shared" si="411"/>
        <v>0</v>
      </c>
      <c r="L805" s="555">
        <f ca="1" t="shared" si="411"/>
        <v>0</v>
      </c>
      <c r="M805" s="555">
        <f ca="1" t="shared" si="411"/>
        <v>0</v>
      </c>
      <c r="N805" s="555">
        <f ca="1" t="shared" si="414"/>
        <v>0</v>
      </c>
      <c r="O805" s="555">
        <f ca="1" t="shared" si="414"/>
        <v>0</v>
      </c>
    </row>
    <row r="806" ht="15" spans="2:15">
      <c r="B806" s="562">
        <v>13</v>
      </c>
      <c r="C806" s="565"/>
      <c r="D806" s="564"/>
      <c r="E806" s="416"/>
      <c r="F806" s="555">
        <f t="shared" si="411"/>
        <v>0</v>
      </c>
      <c r="G806" s="555">
        <f t="shared" si="411"/>
        <v>0</v>
      </c>
      <c r="H806" s="555">
        <f t="shared" si="411"/>
        <v>0</v>
      </c>
      <c r="I806" s="555">
        <f t="shared" si="411"/>
        <v>0</v>
      </c>
      <c r="J806" s="555">
        <f t="shared" si="411"/>
        <v>0</v>
      </c>
      <c r="K806" s="555">
        <f t="shared" si="411"/>
        <v>0</v>
      </c>
      <c r="L806" s="555">
        <f t="shared" si="411"/>
        <v>0</v>
      </c>
      <c r="M806" s="555">
        <f t="shared" si="411"/>
        <v>0</v>
      </c>
      <c r="N806" s="555"/>
      <c r="O806" s="555"/>
    </row>
    <row r="807" ht="15" spans="2:15">
      <c r="B807" s="562"/>
      <c r="C807" s="565" t="s">
        <v>797</v>
      </c>
      <c r="D807" s="564"/>
      <c r="E807" s="416"/>
      <c r="F807" s="555">
        <f ca="1" t="shared" si="411"/>
        <v>1.725</v>
      </c>
      <c r="G807" s="555">
        <f ca="1" t="shared" si="411"/>
        <v>0</v>
      </c>
      <c r="H807" s="555">
        <f ca="1" t="shared" si="411"/>
        <v>0</v>
      </c>
      <c r="I807" s="555">
        <f ca="1" t="shared" si="411"/>
        <v>1.725</v>
      </c>
      <c r="J807" s="555">
        <f ca="1" t="shared" si="411"/>
        <v>1.2544191075</v>
      </c>
      <c r="K807" s="555">
        <f t="shared" si="411"/>
        <v>0.0472833391</v>
      </c>
      <c r="L807" s="555">
        <f ca="1" t="shared" si="411"/>
        <v>0</v>
      </c>
      <c r="M807" s="555">
        <f ca="1" t="shared" si="411"/>
        <v>1.3017024466</v>
      </c>
      <c r="N807" s="555">
        <f ca="1" t="shared" ref="N807:O810" si="415">F807-J807</f>
        <v>0.4705808925</v>
      </c>
      <c r="O807" s="555">
        <f ca="1" t="shared" si="415"/>
        <v>-0.0472833391</v>
      </c>
    </row>
    <row r="808" ht="15" spans="2:15">
      <c r="B808" s="562"/>
      <c r="C808" s="565" t="s">
        <v>798</v>
      </c>
      <c r="D808" s="564"/>
      <c r="E808" s="416"/>
      <c r="F808" s="555">
        <f ca="1" t="shared" si="411"/>
        <v>5.15838305961932</v>
      </c>
      <c r="G808" s="555">
        <f t="shared" si="411"/>
        <v>0.0174291391834736</v>
      </c>
      <c r="H808" s="555">
        <f ca="1" t="shared" si="411"/>
        <v>0</v>
      </c>
      <c r="I808" s="555">
        <f ca="1" t="shared" si="411"/>
        <v>5.17581219880279</v>
      </c>
      <c r="J808" s="555">
        <f ca="1" t="shared" si="411"/>
        <v>3.63732340977702</v>
      </c>
      <c r="K808" s="555">
        <f t="shared" si="411"/>
        <v>0.157919280728995</v>
      </c>
      <c r="L808" s="555">
        <f ca="1" t="shared" si="411"/>
        <v>0</v>
      </c>
      <c r="M808" s="555">
        <f ca="1" t="shared" si="411"/>
        <v>3.79524269050602</v>
      </c>
      <c r="N808" s="555">
        <f ca="1" t="shared" si="415"/>
        <v>1.5210596498423</v>
      </c>
      <c r="O808" s="555">
        <f t="shared" si="415"/>
        <v>-0.140490141545521</v>
      </c>
    </row>
    <row r="809" ht="15" spans="2:15">
      <c r="B809" s="562"/>
      <c r="C809" s="565" t="s">
        <v>799</v>
      </c>
      <c r="D809" s="564"/>
      <c r="E809" s="416"/>
      <c r="F809" s="555">
        <f ca="1" t="shared" si="411"/>
        <v>0</v>
      </c>
      <c r="G809" s="555">
        <f ca="1" t="shared" si="411"/>
        <v>0</v>
      </c>
      <c r="H809" s="555">
        <f ca="1" t="shared" si="411"/>
        <v>0</v>
      </c>
      <c r="I809" s="555">
        <f ca="1" t="shared" si="411"/>
        <v>0</v>
      </c>
      <c r="J809" s="555">
        <f ca="1" t="shared" si="411"/>
        <v>0</v>
      </c>
      <c r="K809" s="555">
        <f ca="1" t="shared" si="411"/>
        <v>0</v>
      </c>
      <c r="L809" s="555">
        <f ca="1" t="shared" si="411"/>
        <v>0</v>
      </c>
      <c r="M809" s="555">
        <f ca="1" t="shared" si="411"/>
        <v>0</v>
      </c>
      <c r="N809" s="555">
        <f ca="1" t="shared" si="415"/>
        <v>0</v>
      </c>
      <c r="O809" s="555">
        <f ca="1" t="shared" si="415"/>
        <v>0</v>
      </c>
    </row>
    <row r="810" ht="15" spans="2:15">
      <c r="B810" s="562"/>
      <c r="C810" s="565" t="s">
        <v>800</v>
      </c>
      <c r="D810" s="564"/>
      <c r="E810" s="416"/>
      <c r="F810" s="555">
        <f ca="1" t="shared" si="411"/>
        <v>0</v>
      </c>
      <c r="G810" s="555">
        <f ca="1" t="shared" si="411"/>
        <v>0</v>
      </c>
      <c r="H810" s="555">
        <f ca="1" t="shared" si="411"/>
        <v>0</v>
      </c>
      <c r="I810" s="555">
        <f ca="1" t="shared" si="411"/>
        <v>0</v>
      </c>
      <c r="J810" s="555">
        <f ca="1" t="shared" si="411"/>
        <v>0</v>
      </c>
      <c r="K810" s="555">
        <f ca="1" t="shared" si="411"/>
        <v>0</v>
      </c>
      <c r="L810" s="555">
        <f ca="1" t="shared" si="411"/>
        <v>0</v>
      </c>
      <c r="M810" s="555">
        <f ca="1" t="shared" si="411"/>
        <v>0</v>
      </c>
      <c r="N810" s="555">
        <f ca="1" t="shared" si="415"/>
        <v>0</v>
      </c>
      <c r="O810" s="555">
        <f ca="1" t="shared" si="415"/>
        <v>0</v>
      </c>
    </row>
    <row r="811" ht="15" spans="2:15">
      <c r="B811" s="562">
        <v>14</v>
      </c>
      <c r="C811" s="563" t="s">
        <v>801</v>
      </c>
      <c r="D811" s="564"/>
      <c r="E811" s="416"/>
      <c r="F811" s="555">
        <f t="shared" ref="F811:M817" si="416">10%*F177</f>
        <v>0</v>
      </c>
      <c r="G811" s="555">
        <f t="shared" si="416"/>
        <v>0</v>
      </c>
      <c r="H811" s="555">
        <f t="shared" si="416"/>
        <v>0</v>
      </c>
      <c r="I811" s="555">
        <f t="shared" si="416"/>
        <v>0</v>
      </c>
      <c r="J811" s="555">
        <f t="shared" si="416"/>
        <v>0</v>
      </c>
      <c r="K811" s="555">
        <f t="shared" si="416"/>
        <v>0</v>
      </c>
      <c r="L811" s="555">
        <f t="shared" si="416"/>
        <v>0</v>
      </c>
      <c r="M811" s="555">
        <f t="shared" si="416"/>
        <v>0</v>
      </c>
      <c r="N811" s="555"/>
      <c r="O811" s="555"/>
    </row>
    <row r="812" ht="15" spans="2:15">
      <c r="B812" s="562"/>
      <c r="C812" s="565" t="s">
        <v>802</v>
      </c>
      <c r="D812" s="564"/>
      <c r="E812" s="416"/>
      <c r="F812" s="555">
        <f ca="1" t="shared" si="416"/>
        <v>0</v>
      </c>
      <c r="G812" s="555">
        <f ca="1" t="shared" si="416"/>
        <v>0</v>
      </c>
      <c r="H812" s="555">
        <f ca="1" t="shared" si="416"/>
        <v>0</v>
      </c>
      <c r="I812" s="555">
        <f ca="1" t="shared" si="416"/>
        <v>0</v>
      </c>
      <c r="J812" s="555">
        <f ca="1" t="shared" si="416"/>
        <v>0</v>
      </c>
      <c r="K812" s="555">
        <f ca="1" t="shared" si="416"/>
        <v>0</v>
      </c>
      <c r="L812" s="555">
        <f ca="1" t="shared" si="416"/>
        <v>0</v>
      </c>
      <c r="M812" s="555">
        <f ca="1" t="shared" si="416"/>
        <v>0</v>
      </c>
      <c r="N812" s="555">
        <f ca="1" t="shared" ref="N812:O817" si="417">F812-J812</f>
        <v>0</v>
      </c>
      <c r="O812" s="555">
        <f ca="1" t="shared" si="417"/>
        <v>0</v>
      </c>
    </row>
    <row r="813" ht="15" spans="2:15">
      <c r="B813" s="562"/>
      <c r="C813" s="565" t="s">
        <v>803</v>
      </c>
      <c r="D813" s="564"/>
      <c r="E813" s="416"/>
      <c r="F813" s="555">
        <f ca="1" t="shared" si="416"/>
        <v>0</v>
      </c>
      <c r="G813" s="555">
        <f ca="1" t="shared" si="416"/>
        <v>0</v>
      </c>
      <c r="H813" s="555">
        <f ca="1" t="shared" si="416"/>
        <v>0</v>
      </c>
      <c r="I813" s="555">
        <f ca="1" t="shared" si="416"/>
        <v>0</v>
      </c>
      <c r="J813" s="555">
        <f ca="1" t="shared" si="416"/>
        <v>0</v>
      </c>
      <c r="K813" s="555">
        <f ca="1" t="shared" si="416"/>
        <v>0</v>
      </c>
      <c r="L813" s="555">
        <f ca="1" t="shared" si="416"/>
        <v>0</v>
      </c>
      <c r="M813" s="555">
        <f ca="1" t="shared" si="416"/>
        <v>0</v>
      </c>
      <c r="N813" s="555">
        <f ca="1" t="shared" si="417"/>
        <v>0</v>
      </c>
      <c r="O813" s="555">
        <f ca="1" t="shared" si="417"/>
        <v>0</v>
      </c>
    </row>
    <row r="814" ht="15" spans="2:15">
      <c r="B814" s="562"/>
      <c r="C814" s="565" t="s">
        <v>804</v>
      </c>
      <c r="D814" s="564"/>
      <c r="E814" s="416"/>
      <c r="F814" s="555">
        <f ca="1" t="shared" si="416"/>
        <v>0</v>
      </c>
      <c r="G814" s="555">
        <f ca="1" t="shared" si="416"/>
        <v>0</v>
      </c>
      <c r="H814" s="555">
        <f ca="1" t="shared" si="416"/>
        <v>0</v>
      </c>
      <c r="I814" s="555">
        <f ca="1" t="shared" si="416"/>
        <v>0</v>
      </c>
      <c r="J814" s="555">
        <f ca="1" t="shared" si="416"/>
        <v>0</v>
      </c>
      <c r="K814" s="555">
        <f ca="1" t="shared" si="416"/>
        <v>0</v>
      </c>
      <c r="L814" s="555">
        <f ca="1" t="shared" si="416"/>
        <v>0</v>
      </c>
      <c r="M814" s="555">
        <f ca="1" t="shared" si="416"/>
        <v>0</v>
      </c>
      <c r="N814" s="555">
        <f ca="1" t="shared" si="417"/>
        <v>0</v>
      </c>
      <c r="O814" s="555">
        <f ca="1" t="shared" si="417"/>
        <v>0</v>
      </c>
    </row>
    <row r="815" ht="15" spans="2:15">
      <c r="B815" s="562">
        <v>15</v>
      </c>
      <c r="C815" s="563" t="s">
        <v>805</v>
      </c>
      <c r="D815" s="564"/>
      <c r="E815" s="416"/>
      <c r="F815" s="555">
        <f ca="1" t="shared" si="416"/>
        <v>20.2353109499076</v>
      </c>
      <c r="G815" s="555">
        <f t="shared" si="416"/>
        <v>1.36879122068314</v>
      </c>
      <c r="H815" s="555">
        <f ca="1" t="shared" si="416"/>
        <v>0</v>
      </c>
      <c r="I815" s="555">
        <f ca="1" t="shared" si="416"/>
        <v>21.6041021705907</v>
      </c>
      <c r="J815" s="555">
        <f ca="1" t="shared" si="416"/>
        <v>17.0181583309826</v>
      </c>
      <c r="K815" s="555">
        <f t="shared" si="416"/>
        <v>0.911531378037373</v>
      </c>
      <c r="L815" s="555">
        <f ca="1" t="shared" si="416"/>
        <v>0</v>
      </c>
      <c r="M815" s="555">
        <f ca="1" t="shared" si="416"/>
        <v>17.9296897090199</v>
      </c>
      <c r="N815" s="555">
        <f ca="1" t="shared" si="417"/>
        <v>3.21715261892503</v>
      </c>
      <c r="O815" s="555">
        <f t="shared" si="417"/>
        <v>0.457259842645767</v>
      </c>
    </row>
    <row r="816" ht="15" spans="2:15">
      <c r="B816" s="562">
        <v>16</v>
      </c>
      <c r="C816" s="563" t="s">
        <v>806</v>
      </c>
      <c r="D816" s="553"/>
      <c r="E816" s="416"/>
      <c r="F816" s="555">
        <f ca="1" t="shared" si="416"/>
        <v>7.08</v>
      </c>
      <c r="G816" s="555">
        <f ca="1" t="shared" si="416"/>
        <v>0</v>
      </c>
      <c r="H816" s="555">
        <f ca="1" t="shared" si="416"/>
        <v>0</v>
      </c>
      <c r="I816" s="555">
        <f ca="1" t="shared" si="416"/>
        <v>7.08</v>
      </c>
      <c r="J816" s="555">
        <f ca="1" t="shared" si="416"/>
        <v>5.842094277</v>
      </c>
      <c r="K816" s="555">
        <f ca="1" t="shared" si="416"/>
        <v>0</v>
      </c>
      <c r="L816" s="555">
        <f ca="1" t="shared" si="416"/>
        <v>0</v>
      </c>
      <c r="M816" s="555">
        <f ca="1" t="shared" si="416"/>
        <v>5.842094277</v>
      </c>
      <c r="N816" s="555">
        <f ca="1" t="shared" si="417"/>
        <v>1.237905723</v>
      </c>
      <c r="O816" s="555">
        <f ca="1" t="shared" si="417"/>
        <v>0</v>
      </c>
    </row>
    <row r="817" ht="15" spans="2:15">
      <c r="B817" s="562">
        <v>17</v>
      </c>
      <c r="C817" s="563" t="s">
        <v>807</v>
      </c>
      <c r="D817" s="553"/>
      <c r="E817" s="426"/>
      <c r="F817" s="555">
        <f ca="1" t="shared" si="416"/>
        <v>0</v>
      </c>
      <c r="G817" s="555">
        <f ca="1" t="shared" si="416"/>
        <v>0</v>
      </c>
      <c r="H817" s="555">
        <f ca="1" t="shared" si="416"/>
        <v>0</v>
      </c>
      <c r="I817" s="555">
        <f ca="1" t="shared" si="416"/>
        <v>0</v>
      </c>
      <c r="J817" s="555">
        <f ca="1" t="shared" si="416"/>
        <v>0</v>
      </c>
      <c r="K817" s="555">
        <f t="shared" si="416"/>
        <v>0.4466468187</v>
      </c>
      <c r="L817" s="555">
        <f ca="1" t="shared" si="416"/>
        <v>0</v>
      </c>
      <c r="M817" s="555">
        <f ca="1" t="shared" si="416"/>
        <v>0.4466468187</v>
      </c>
      <c r="N817" s="555">
        <f ca="1" t="shared" si="417"/>
        <v>0</v>
      </c>
      <c r="O817" s="555">
        <f ca="1" t="shared" si="417"/>
        <v>-0.4466468187</v>
      </c>
    </row>
    <row r="818" ht="15.75" spans="2:15">
      <c r="B818" s="566"/>
      <c r="C818" s="567" t="s">
        <v>97</v>
      </c>
      <c r="D818" s="567"/>
      <c r="E818" s="568"/>
      <c r="F818" s="569">
        <f ca="1">SUM(F778:F817)</f>
        <v>2705.41125905471</v>
      </c>
      <c r="G818" s="569">
        <f ca="1" t="shared" ref="G818:O818" si="418">SUM(G778:G817)</f>
        <v>539.689886058834</v>
      </c>
      <c r="H818" s="569">
        <f ca="1" t="shared" si="418"/>
        <v>0</v>
      </c>
      <c r="I818" s="569">
        <f ca="1" t="shared" si="418"/>
        <v>3245.10114511355</v>
      </c>
      <c r="J818" s="569">
        <f ca="1" t="shared" si="418"/>
        <v>1228.68975955716</v>
      </c>
      <c r="K818" s="569">
        <f ca="1" t="shared" si="418"/>
        <v>120.54149479659</v>
      </c>
      <c r="L818" s="569">
        <f ca="1" t="shared" si="418"/>
        <v>0</v>
      </c>
      <c r="M818" s="569">
        <f ca="1" t="shared" si="418"/>
        <v>1349.23125435375</v>
      </c>
      <c r="N818" s="569">
        <f ca="1" t="shared" si="418"/>
        <v>1476.72149949755</v>
      </c>
      <c r="O818" s="569">
        <f ca="1" t="shared" si="418"/>
        <v>1559.7259199622</v>
      </c>
    </row>
    <row r="820" ht="15" spans="2:15">
      <c r="B820" s="570" t="s">
        <v>655</v>
      </c>
      <c r="C820" s="571"/>
      <c r="D820" s="571"/>
      <c r="E820" s="571"/>
      <c r="F820" s="571"/>
      <c r="G820" s="571"/>
      <c r="H820" s="571"/>
      <c r="I820" s="571"/>
      <c r="J820" s="571"/>
      <c r="K820" s="571"/>
      <c r="L820" s="571"/>
      <c r="M820" s="571"/>
      <c r="N820" s="571"/>
      <c r="O820" s="581"/>
    </row>
    <row r="821" ht="15" spans="2:15">
      <c r="B821" s="547" t="s">
        <v>564</v>
      </c>
      <c r="C821" s="978" t="s">
        <v>671</v>
      </c>
      <c r="D821" s="549" t="s">
        <v>672</v>
      </c>
      <c r="E821" s="549" t="s">
        <v>673</v>
      </c>
      <c r="F821" s="549" t="s">
        <v>674</v>
      </c>
      <c r="G821" s="549"/>
      <c r="H821" s="549"/>
      <c r="I821" s="549"/>
      <c r="J821" s="549" t="s">
        <v>675</v>
      </c>
      <c r="K821" s="549"/>
      <c r="L821" s="549"/>
      <c r="M821" s="549"/>
      <c r="N821" s="549" t="s">
        <v>676</v>
      </c>
      <c r="O821" s="579"/>
    </row>
    <row r="822" ht="60.75" spans="2:15">
      <c r="B822" s="572"/>
      <c r="C822" s="573"/>
      <c r="D822" s="574"/>
      <c r="E822" s="574"/>
      <c r="F822" s="574" t="s">
        <v>677</v>
      </c>
      <c r="G822" s="574" t="s">
        <v>678</v>
      </c>
      <c r="H822" s="574" t="s">
        <v>679</v>
      </c>
      <c r="I822" s="574" t="s">
        <v>680</v>
      </c>
      <c r="J822" s="574" t="s">
        <v>681</v>
      </c>
      <c r="K822" s="574" t="s">
        <v>678</v>
      </c>
      <c r="L822" s="574" t="s">
        <v>682</v>
      </c>
      <c r="M822" s="574" t="s">
        <v>683</v>
      </c>
      <c r="N822" s="574" t="s">
        <v>677</v>
      </c>
      <c r="O822" s="582" t="s">
        <v>680</v>
      </c>
    </row>
    <row r="823" ht="15" spans="2:15">
      <c r="B823" s="551">
        <v>1</v>
      </c>
      <c r="C823" s="552" t="s">
        <v>684</v>
      </c>
      <c r="D823" s="546"/>
      <c r="E823" s="576"/>
      <c r="F823" s="555">
        <f ca="1">10%*F189</f>
        <v>14.5078859064537</v>
      </c>
      <c r="G823" s="555">
        <f t="shared" ref="G823:M823" si="419">10%*G189</f>
        <v>7.75831741629123</v>
      </c>
      <c r="H823" s="555">
        <f ca="1" t="shared" si="419"/>
        <v>0</v>
      </c>
      <c r="I823" s="555">
        <f ca="1" t="shared" si="419"/>
        <v>22.2662033227449</v>
      </c>
      <c r="J823" s="555">
        <f ca="1" t="shared" si="419"/>
        <v>0.000489906200000156</v>
      </c>
      <c r="K823" s="555">
        <f t="shared" si="419"/>
        <v>0</v>
      </c>
      <c r="L823" s="555">
        <f ca="1" t="shared" si="419"/>
        <v>0</v>
      </c>
      <c r="M823" s="555">
        <f ca="1" t="shared" si="419"/>
        <v>0.000489906200000156</v>
      </c>
      <c r="N823" s="555">
        <f ca="1">F823-J823</f>
        <v>14.5073960002537</v>
      </c>
      <c r="O823" s="555">
        <f ca="1">I823-M823</f>
        <v>22.2657134165449</v>
      </c>
    </row>
    <row r="824" ht="15" spans="2:15">
      <c r="B824" s="551">
        <v>2</v>
      </c>
      <c r="C824" s="552" t="s">
        <v>770</v>
      </c>
      <c r="D824" s="614"/>
      <c r="E824" s="615"/>
      <c r="F824" s="555">
        <f ca="1" t="shared" ref="F824:M839" si="420">10%*F190</f>
        <v>0</v>
      </c>
      <c r="G824" s="555">
        <f ca="1" t="shared" si="420"/>
        <v>0</v>
      </c>
      <c r="H824" s="555">
        <f ca="1" t="shared" si="420"/>
        <v>0</v>
      </c>
      <c r="I824" s="555">
        <f ca="1" t="shared" si="420"/>
        <v>0</v>
      </c>
      <c r="J824" s="555">
        <f ca="1" t="shared" si="420"/>
        <v>0</v>
      </c>
      <c r="K824" s="555">
        <f ca="1" t="shared" si="420"/>
        <v>0</v>
      </c>
      <c r="L824" s="555">
        <f ca="1" t="shared" si="420"/>
        <v>0</v>
      </c>
      <c r="M824" s="555">
        <f ca="1" t="shared" si="420"/>
        <v>0</v>
      </c>
      <c r="N824" s="555">
        <f ca="1">F824-J824</f>
        <v>0</v>
      </c>
      <c r="O824" s="555">
        <f ca="1">I824-M824</f>
        <v>0</v>
      </c>
    </row>
    <row r="825" ht="15" spans="2:15">
      <c r="B825" s="551">
        <v>3</v>
      </c>
      <c r="C825" s="556" t="s">
        <v>771</v>
      </c>
      <c r="D825" s="553"/>
      <c r="E825" s="416"/>
      <c r="F825" s="555">
        <f t="shared" si="420"/>
        <v>0</v>
      </c>
      <c r="G825" s="555">
        <f t="shared" si="420"/>
        <v>0</v>
      </c>
      <c r="H825" s="555">
        <f t="shared" si="420"/>
        <v>0</v>
      </c>
      <c r="I825" s="555">
        <f t="shared" si="420"/>
        <v>0</v>
      </c>
      <c r="J825" s="555">
        <f t="shared" si="420"/>
        <v>0</v>
      </c>
      <c r="K825" s="555">
        <f t="shared" si="420"/>
        <v>0</v>
      </c>
      <c r="L825" s="555">
        <f t="shared" si="420"/>
        <v>0</v>
      </c>
      <c r="M825" s="555">
        <f t="shared" si="420"/>
        <v>0</v>
      </c>
      <c r="N825" s="555"/>
      <c r="O825" s="555"/>
    </row>
    <row r="826" ht="15" spans="2:15">
      <c r="B826" s="551"/>
      <c r="C826" s="557" t="s">
        <v>772</v>
      </c>
      <c r="D826" s="553"/>
      <c r="E826" s="416"/>
      <c r="F826" s="555">
        <f ca="1" t="shared" si="420"/>
        <v>50.1366437632321</v>
      </c>
      <c r="G826" s="555">
        <f t="shared" si="420"/>
        <v>7.22992282598627</v>
      </c>
      <c r="H826" s="555">
        <f ca="1" t="shared" si="420"/>
        <v>0</v>
      </c>
      <c r="I826" s="555">
        <f ca="1" t="shared" si="420"/>
        <v>57.3665665892183</v>
      </c>
      <c r="J826" s="555">
        <f ca="1" t="shared" si="420"/>
        <v>17.9287798758821</v>
      </c>
      <c r="K826" s="555">
        <f t="shared" si="420"/>
        <v>2.0559686600172</v>
      </c>
      <c r="L826" s="555">
        <f ca="1" t="shared" si="420"/>
        <v>0</v>
      </c>
      <c r="M826" s="555">
        <f ca="1" t="shared" si="420"/>
        <v>19.9847485358993</v>
      </c>
      <c r="N826" s="555">
        <f ca="1" t="shared" ref="N826:N829" si="421">F826-J826</f>
        <v>32.20786388735</v>
      </c>
      <c r="O826" s="555">
        <f ca="1" t="shared" ref="O826:O829" si="422">I826-M826</f>
        <v>37.3818180533191</v>
      </c>
    </row>
    <row r="827" ht="28.5" spans="2:15">
      <c r="B827" s="551"/>
      <c r="C827" s="557" t="s">
        <v>773</v>
      </c>
      <c r="D827" s="553"/>
      <c r="E827" s="416"/>
      <c r="F827" s="555">
        <f ca="1" t="shared" si="420"/>
        <v>0</v>
      </c>
      <c r="G827" s="555">
        <f ca="1" t="shared" si="420"/>
        <v>0</v>
      </c>
      <c r="H827" s="555">
        <f ca="1" t="shared" si="420"/>
        <v>0</v>
      </c>
      <c r="I827" s="555">
        <f ca="1" t="shared" si="420"/>
        <v>0</v>
      </c>
      <c r="J827" s="555">
        <f ca="1" t="shared" si="420"/>
        <v>0</v>
      </c>
      <c r="K827" s="555">
        <f ca="1" t="shared" si="420"/>
        <v>0</v>
      </c>
      <c r="L827" s="555">
        <f ca="1" t="shared" si="420"/>
        <v>0</v>
      </c>
      <c r="M827" s="555">
        <f ca="1" t="shared" si="420"/>
        <v>0</v>
      </c>
      <c r="N827" s="555">
        <f ca="1" t="shared" si="421"/>
        <v>0</v>
      </c>
      <c r="O827" s="555">
        <f ca="1" t="shared" si="422"/>
        <v>0</v>
      </c>
    </row>
    <row r="828" ht="15" spans="2:15">
      <c r="B828" s="551"/>
      <c r="C828" s="557" t="s">
        <v>774</v>
      </c>
      <c r="D828" s="553"/>
      <c r="E828" s="416"/>
      <c r="F828" s="555">
        <f ca="1" t="shared" si="420"/>
        <v>0</v>
      </c>
      <c r="G828" s="555">
        <f ca="1" t="shared" si="420"/>
        <v>0</v>
      </c>
      <c r="H828" s="555">
        <f ca="1" t="shared" si="420"/>
        <v>0</v>
      </c>
      <c r="I828" s="555">
        <f ca="1" t="shared" si="420"/>
        <v>0</v>
      </c>
      <c r="J828" s="555">
        <f ca="1" t="shared" si="420"/>
        <v>0</v>
      </c>
      <c r="K828" s="555">
        <f ca="1" t="shared" si="420"/>
        <v>0</v>
      </c>
      <c r="L828" s="555">
        <f ca="1" t="shared" si="420"/>
        <v>0</v>
      </c>
      <c r="M828" s="555">
        <f ca="1" t="shared" si="420"/>
        <v>0</v>
      </c>
      <c r="N828" s="555">
        <f ca="1" t="shared" si="421"/>
        <v>0</v>
      </c>
      <c r="O828" s="555">
        <f ca="1" t="shared" si="422"/>
        <v>0</v>
      </c>
    </row>
    <row r="829" ht="15" spans="2:15">
      <c r="B829" s="551"/>
      <c r="C829" s="557" t="s">
        <v>775</v>
      </c>
      <c r="D829" s="553"/>
      <c r="E829" s="416"/>
      <c r="F829" s="555">
        <f ca="1" t="shared" si="420"/>
        <v>22.108</v>
      </c>
      <c r="G829" s="555">
        <f ca="1" t="shared" si="420"/>
        <v>0</v>
      </c>
      <c r="H829" s="555">
        <f ca="1" t="shared" si="420"/>
        <v>0</v>
      </c>
      <c r="I829" s="555">
        <f ca="1" t="shared" si="420"/>
        <v>22.108</v>
      </c>
      <c r="J829" s="555">
        <f ca="1" t="shared" si="420"/>
        <v>4.4413445081</v>
      </c>
      <c r="K829" s="555">
        <f ca="1" t="shared" si="420"/>
        <v>0</v>
      </c>
      <c r="L829" s="555">
        <f ca="1" t="shared" si="420"/>
        <v>0</v>
      </c>
      <c r="M829" s="555">
        <f ca="1" t="shared" si="420"/>
        <v>4.4413445081</v>
      </c>
      <c r="N829" s="555">
        <f ca="1" t="shared" si="421"/>
        <v>17.6666554919</v>
      </c>
      <c r="O829" s="555">
        <f ca="1" t="shared" si="422"/>
        <v>17.6666554919</v>
      </c>
    </row>
    <row r="830" ht="15" spans="2:15">
      <c r="B830" s="551">
        <v>4</v>
      </c>
      <c r="C830" s="552" t="s">
        <v>776</v>
      </c>
      <c r="D830" s="553"/>
      <c r="E830" s="416"/>
      <c r="F830" s="555">
        <f t="shared" si="420"/>
        <v>0</v>
      </c>
      <c r="G830" s="555">
        <f t="shared" si="420"/>
        <v>0</v>
      </c>
      <c r="H830" s="555">
        <f t="shared" si="420"/>
        <v>0</v>
      </c>
      <c r="I830" s="555">
        <f t="shared" si="420"/>
        <v>0</v>
      </c>
      <c r="J830" s="555">
        <f t="shared" si="420"/>
        <v>0</v>
      </c>
      <c r="K830" s="555">
        <f t="shared" si="420"/>
        <v>0</v>
      </c>
      <c r="L830" s="555">
        <f t="shared" si="420"/>
        <v>0</v>
      </c>
      <c r="M830" s="555">
        <f t="shared" si="420"/>
        <v>0</v>
      </c>
      <c r="N830" s="555"/>
      <c r="O830" s="555"/>
    </row>
    <row r="831" ht="15" spans="2:15">
      <c r="B831" s="551"/>
      <c r="C831" s="558" t="s">
        <v>777</v>
      </c>
      <c r="D831" s="553"/>
      <c r="E831" s="416"/>
      <c r="F831" s="555">
        <f ca="1" t="shared" si="420"/>
        <v>1202.55215232457</v>
      </c>
      <c r="G831" s="555">
        <f t="shared" si="420"/>
        <v>172.786152077919</v>
      </c>
      <c r="H831" s="555">
        <f ca="1" t="shared" si="420"/>
        <v>0</v>
      </c>
      <c r="I831" s="555">
        <f ca="1" t="shared" si="420"/>
        <v>1375.33830440249</v>
      </c>
      <c r="J831" s="555">
        <f ca="1" t="shared" si="420"/>
        <v>591.257167428414</v>
      </c>
      <c r="K831" s="555">
        <f t="shared" si="420"/>
        <v>47.3576260964121</v>
      </c>
      <c r="L831" s="555">
        <f ca="1" t="shared" si="420"/>
        <v>0</v>
      </c>
      <c r="M831" s="555">
        <f ca="1" t="shared" si="420"/>
        <v>638.614793524826</v>
      </c>
      <c r="N831" s="555">
        <f ca="1" t="shared" ref="N831:N834" si="423">F831-J831</f>
        <v>611.294984896156</v>
      </c>
      <c r="O831" s="555">
        <f ca="1" t="shared" ref="O831:O834" si="424">I831-M831</f>
        <v>736.723510877663</v>
      </c>
    </row>
    <row r="832" ht="15" spans="2:15">
      <c r="B832" s="551"/>
      <c r="C832" s="552" t="s">
        <v>778</v>
      </c>
      <c r="D832" s="553"/>
      <c r="E832" s="416"/>
      <c r="F832" s="555">
        <f t="shared" si="420"/>
        <v>0</v>
      </c>
      <c r="G832" s="555">
        <f t="shared" si="420"/>
        <v>0</v>
      </c>
      <c r="H832" s="555">
        <f t="shared" si="420"/>
        <v>0</v>
      </c>
      <c r="I832" s="555">
        <f t="shared" si="420"/>
        <v>0</v>
      </c>
      <c r="J832" s="555">
        <f t="shared" si="420"/>
        <v>0</v>
      </c>
      <c r="K832" s="555">
        <f t="shared" si="420"/>
        <v>0</v>
      </c>
      <c r="L832" s="555">
        <f t="shared" si="420"/>
        <v>0</v>
      </c>
      <c r="M832" s="555">
        <f t="shared" si="420"/>
        <v>0</v>
      </c>
      <c r="N832" s="555"/>
      <c r="O832" s="555"/>
    </row>
    <row r="833" ht="15" spans="2:15">
      <c r="B833" s="551"/>
      <c r="C833" s="558" t="s">
        <v>779</v>
      </c>
      <c r="D833" s="553"/>
      <c r="E833" s="416"/>
      <c r="F833" s="555">
        <f ca="1" t="shared" si="420"/>
        <v>0</v>
      </c>
      <c r="G833" s="555">
        <f ca="1" t="shared" si="420"/>
        <v>0</v>
      </c>
      <c r="H833" s="555">
        <f ca="1" t="shared" si="420"/>
        <v>0</v>
      </c>
      <c r="I833" s="555">
        <f ca="1" t="shared" si="420"/>
        <v>0</v>
      </c>
      <c r="J833" s="555">
        <f ca="1" t="shared" si="420"/>
        <v>0</v>
      </c>
      <c r="K833" s="555">
        <f ca="1" t="shared" si="420"/>
        <v>0</v>
      </c>
      <c r="L833" s="555">
        <f ca="1" t="shared" si="420"/>
        <v>0</v>
      </c>
      <c r="M833" s="555">
        <f ca="1" t="shared" si="420"/>
        <v>0</v>
      </c>
      <c r="N833" s="555">
        <f ca="1" t="shared" si="423"/>
        <v>0</v>
      </c>
      <c r="O833" s="555">
        <f ca="1" t="shared" si="424"/>
        <v>0</v>
      </c>
    </row>
    <row r="834" ht="15" spans="2:15">
      <c r="B834" s="551"/>
      <c r="C834" s="558" t="s">
        <v>780</v>
      </c>
      <c r="D834" s="553"/>
      <c r="E834" s="416"/>
      <c r="F834" s="555">
        <f ca="1" t="shared" si="420"/>
        <v>0</v>
      </c>
      <c r="G834" s="555">
        <f ca="1" t="shared" si="420"/>
        <v>0</v>
      </c>
      <c r="H834" s="555">
        <f ca="1" t="shared" si="420"/>
        <v>0</v>
      </c>
      <c r="I834" s="555">
        <f ca="1" t="shared" si="420"/>
        <v>0</v>
      </c>
      <c r="J834" s="555">
        <f ca="1" t="shared" si="420"/>
        <v>0</v>
      </c>
      <c r="K834" s="555">
        <f ca="1" t="shared" si="420"/>
        <v>0</v>
      </c>
      <c r="L834" s="555">
        <f ca="1" t="shared" si="420"/>
        <v>0</v>
      </c>
      <c r="M834" s="555">
        <f ca="1" t="shared" si="420"/>
        <v>0</v>
      </c>
      <c r="N834" s="555">
        <f ca="1" t="shared" si="423"/>
        <v>0</v>
      </c>
      <c r="O834" s="555">
        <f ca="1" t="shared" si="424"/>
        <v>0</v>
      </c>
    </row>
    <row r="835" ht="15" spans="2:15">
      <c r="B835" s="551">
        <v>5</v>
      </c>
      <c r="C835" s="552" t="s">
        <v>781</v>
      </c>
      <c r="D835" s="553"/>
      <c r="E835" s="416"/>
      <c r="F835" s="555">
        <f t="shared" si="420"/>
        <v>0</v>
      </c>
      <c r="G835" s="555">
        <f t="shared" si="420"/>
        <v>0</v>
      </c>
      <c r="H835" s="555">
        <f t="shared" si="420"/>
        <v>0</v>
      </c>
      <c r="I835" s="555">
        <f t="shared" si="420"/>
        <v>0</v>
      </c>
      <c r="J835" s="555">
        <f t="shared" si="420"/>
        <v>0</v>
      </c>
      <c r="K835" s="555">
        <f t="shared" si="420"/>
        <v>0</v>
      </c>
      <c r="L835" s="555">
        <f t="shared" si="420"/>
        <v>0</v>
      </c>
      <c r="M835" s="555">
        <f t="shared" si="420"/>
        <v>0</v>
      </c>
      <c r="N835" s="555"/>
      <c r="O835" s="555"/>
    </row>
    <row r="836" ht="15" spans="2:15">
      <c r="B836" s="551"/>
      <c r="C836" s="558" t="s">
        <v>782</v>
      </c>
      <c r="D836" s="553"/>
      <c r="E836" s="416"/>
      <c r="F836" s="555">
        <f ca="1" t="shared" si="420"/>
        <v>0</v>
      </c>
      <c r="G836" s="555">
        <f ca="1" t="shared" si="420"/>
        <v>0</v>
      </c>
      <c r="H836" s="555">
        <f ca="1" t="shared" si="420"/>
        <v>0</v>
      </c>
      <c r="I836" s="555">
        <f ca="1" t="shared" si="420"/>
        <v>0</v>
      </c>
      <c r="J836" s="555">
        <f ca="1" t="shared" si="420"/>
        <v>0</v>
      </c>
      <c r="K836" s="555">
        <f ca="1" t="shared" si="420"/>
        <v>0</v>
      </c>
      <c r="L836" s="555">
        <f ca="1" t="shared" si="420"/>
        <v>0</v>
      </c>
      <c r="M836" s="555">
        <f ca="1" t="shared" si="420"/>
        <v>0</v>
      </c>
      <c r="N836" s="555">
        <f ca="1" t="shared" ref="N836:N841" si="425">F836-J836</f>
        <v>0</v>
      </c>
      <c r="O836" s="555">
        <f ca="1" t="shared" ref="O836:O841" si="426">I836-M836</f>
        <v>0</v>
      </c>
    </row>
    <row r="837" ht="15" spans="2:15">
      <c r="B837" s="551"/>
      <c r="C837" s="558" t="s">
        <v>783</v>
      </c>
      <c r="D837" s="553"/>
      <c r="E837" s="416"/>
      <c r="F837" s="555">
        <f ca="1" t="shared" si="420"/>
        <v>0</v>
      </c>
      <c r="G837" s="555">
        <f ca="1" t="shared" si="420"/>
        <v>0</v>
      </c>
      <c r="H837" s="555">
        <f ca="1" t="shared" si="420"/>
        <v>0</v>
      </c>
      <c r="I837" s="555">
        <f ca="1" t="shared" si="420"/>
        <v>0</v>
      </c>
      <c r="J837" s="555">
        <f ca="1" t="shared" si="420"/>
        <v>0</v>
      </c>
      <c r="K837" s="555">
        <f ca="1" t="shared" si="420"/>
        <v>0</v>
      </c>
      <c r="L837" s="555">
        <f ca="1" t="shared" si="420"/>
        <v>0</v>
      </c>
      <c r="M837" s="555">
        <f ca="1" t="shared" si="420"/>
        <v>0</v>
      </c>
      <c r="N837" s="555">
        <f ca="1" t="shared" si="425"/>
        <v>0</v>
      </c>
      <c r="O837" s="555">
        <f ca="1" t="shared" si="426"/>
        <v>0</v>
      </c>
    </row>
    <row r="838" ht="15" spans="2:15">
      <c r="B838" s="551"/>
      <c r="C838" s="558" t="s">
        <v>784</v>
      </c>
      <c r="D838" s="553"/>
      <c r="E838" s="416"/>
      <c r="F838" s="555">
        <f ca="1" t="shared" si="420"/>
        <v>0</v>
      </c>
      <c r="G838" s="555">
        <f ca="1" t="shared" si="420"/>
        <v>0</v>
      </c>
      <c r="H838" s="555">
        <f ca="1" t="shared" si="420"/>
        <v>0</v>
      </c>
      <c r="I838" s="555">
        <f ca="1" t="shared" si="420"/>
        <v>0</v>
      </c>
      <c r="J838" s="555">
        <f ca="1" t="shared" si="420"/>
        <v>0</v>
      </c>
      <c r="K838" s="555">
        <f ca="1" t="shared" si="420"/>
        <v>0</v>
      </c>
      <c r="L838" s="555">
        <f ca="1" t="shared" si="420"/>
        <v>0</v>
      </c>
      <c r="M838" s="555">
        <f ca="1" t="shared" si="420"/>
        <v>0</v>
      </c>
      <c r="N838" s="555">
        <f ca="1" t="shared" si="425"/>
        <v>0</v>
      </c>
      <c r="O838" s="555">
        <f ca="1" t="shared" si="426"/>
        <v>0</v>
      </c>
    </row>
    <row r="839" ht="15" spans="2:15">
      <c r="B839" s="551"/>
      <c r="C839" s="558" t="s">
        <v>785</v>
      </c>
      <c r="D839" s="553"/>
      <c r="E839" s="416"/>
      <c r="F839" s="555">
        <f ca="1" t="shared" si="420"/>
        <v>0</v>
      </c>
      <c r="G839" s="555">
        <f ca="1" t="shared" si="420"/>
        <v>0</v>
      </c>
      <c r="H839" s="555">
        <f ca="1" t="shared" si="420"/>
        <v>0</v>
      </c>
      <c r="I839" s="555">
        <f ca="1" t="shared" si="420"/>
        <v>0</v>
      </c>
      <c r="J839" s="555">
        <f ca="1" t="shared" si="420"/>
        <v>0</v>
      </c>
      <c r="K839" s="555">
        <f ca="1" t="shared" si="420"/>
        <v>0</v>
      </c>
      <c r="L839" s="555">
        <f ca="1" t="shared" si="420"/>
        <v>0</v>
      </c>
      <c r="M839" s="555">
        <f ca="1" t="shared" si="420"/>
        <v>0</v>
      </c>
      <c r="N839" s="555">
        <f ca="1" t="shared" si="425"/>
        <v>0</v>
      </c>
      <c r="O839" s="555">
        <f ca="1" t="shared" si="426"/>
        <v>0</v>
      </c>
    </row>
    <row r="840" ht="15" spans="2:15">
      <c r="B840" s="551">
        <v>6</v>
      </c>
      <c r="C840" s="552" t="s">
        <v>786</v>
      </c>
      <c r="D840" s="553"/>
      <c r="E840" s="416"/>
      <c r="F840" s="555">
        <f ca="1" t="shared" ref="F840:M855" si="427">10%*F206</f>
        <v>0</v>
      </c>
      <c r="G840" s="555">
        <f ca="1" t="shared" si="427"/>
        <v>0</v>
      </c>
      <c r="H840" s="555">
        <f ca="1" t="shared" si="427"/>
        <v>0</v>
      </c>
      <c r="I840" s="555">
        <f ca="1" t="shared" si="427"/>
        <v>0</v>
      </c>
      <c r="J840" s="555">
        <f ca="1" t="shared" si="427"/>
        <v>0</v>
      </c>
      <c r="K840" s="555">
        <f ca="1" t="shared" si="427"/>
        <v>0</v>
      </c>
      <c r="L840" s="555">
        <f ca="1" t="shared" si="427"/>
        <v>0</v>
      </c>
      <c r="M840" s="555">
        <f ca="1" t="shared" si="427"/>
        <v>0</v>
      </c>
      <c r="N840" s="555">
        <f ca="1" t="shared" si="425"/>
        <v>0</v>
      </c>
      <c r="O840" s="555">
        <f ca="1" t="shared" si="426"/>
        <v>0</v>
      </c>
    </row>
    <row r="841" ht="15" spans="2:15">
      <c r="B841" s="551">
        <v>7</v>
      </c>
      <c r="C841" s="552" t="s">
        <v>787</v>
      </c>
      <c r="D841" s="553"/>
      <c r="E841" s="416"/>
      <c r="F841" s="555">
        <f ca="1" t="shared" si="427"/>
        <v>0</v>
      </c>
      <c r="G841" s="555">
        <f ca="1" t="shared" si="427"/>
        <v>0</v>
      </c>
      <c r="H841" s="555">
        <f ca="1" t="shared" si="427"/>
        <v>0</v>
      </c>
      <c r="I841" s="555">
        <f ca="1" t="shared" si="427"/>
        <v>0</v>
      </c>
      <c r="J841" s="555">
        <f ca="1" t="shared" si="427"/>
        <v>0</v>
      </c>
      <c r="K841" s="555">
        <f ca="1" t="shared" si="427"/>
        <v>0</v>
      </c>
      <c r="L841" s="555">
        <f ca="1" t="shared" si="427"/>
        <v>0</v>
      </c>
      <c r="M841" s="555">
        <f ca="1" t="shared" si="427"/>
        <v>0</v>
      </c>
      <c r="N841" s="555">
        <f ca="1" t="shared" si="425"/>
        <v>0</v>
      </c>
      <c r="O841" s="555">
        <f ca="1" t="shared" si="426"/>
        <v>0</v>
      </c>
    </row>
    <row r="842" ht="15" spans="2:15">
      <c r="B842" s="551">
        <v>8</v>
      </c>
      <c r="C842" s="552" t="s">
        <v>788</v>
      </c>
      <c r="D842" s="553"/>
      <c r="E842" s="416"/>
      <c r="F842" s="555">
        <f t="shared" si="427"/>
        <v>0</v>
      </c>
      <c r="G842" s="555">
        <f t="shared" si="427"/>
        <v>0</v>
      </c>
      <c r="H842" s="555">
        <f t="shared" si="427"/>
        <v>0</v>
      </c>
      <c r="I842" s="555">
        <f t="shared" si="427"/>
        <v>0</v>
      </c>
      <c r="J842" s="555">
        <f t="shared" si="427"/>
        <v>0</v>
      </c>
      <c r="K842" s="555">
        <f t="shared" si="427"/>
        <v>0</v>
      </c>
      <c r="L842" s="555">
        <f t="shared" si="427"/>
        <v>0</v>
      </c>
      <c r="M842" s="555">
        <f t="shared" si="427"/>
        <v>0</v>
      </c>
      <c r="N842" s="555"/>
      <c r="O842" s="555"/>
    </row>
    <row r="843" ht="15" spans="2:15">
      <c r="B843" s="551"/>
      <c r="C843" s="558" t="s">
        <v>789</v>
      </c>
      <c r="D843" s="553"/>
      <c r="E843" s="416"/>
      <c r="F843" s="555">
        <f ca="1" t="shared" si="427"/>
        <v>1210.81547845235</v>
      </c>
      <c r="G843" s="555">
        <f t="shared" si="427"/>
        <v>194.929911495104</v>
      </c>
      <c r="H843" s="555">
        <f ca="1" t="shared" si="427"/>
        <v>0</v>
      </c>
      <c r="I843" s="555">
        <f ca="1" t="shared" si="427"/>
        <v>1405.74538994745</v>
      </c>
      <c r="J843" s="555">
        <f ca="1" t="shared" si="427"/>
        <v>527.689589444447</v>
      </c>
      <c r="K843" s="555">
        <f t="shared" si="427"/>
        <v>45.0019764358581</v>
      </c>
      <c r="L843" s="555">
        <f ca="1" t="shared" si="427"/>
        <v>0</v>
      </c>
      <c r="M843" s="555">
        <f ca="1" t="shared" si="427"/>
        <v>572.691565880305</v>
      </c>
      <c r="N843" s="555">
        <f ca="1" t="shared" ref="N843:O847" si="428">F843-J843</f>
        <v>683.125889007901</v>
      </c>
      <c r="O843" s="555">
        <f ca="1" t="shared" ref="O843:O845" si="429">I843-M843</f>
        <v>833.053824067148</v>
      </c>
    </row>
    <row r="844" ht="15" spans="2:15">
      <c r="B844" s="551"/>
      <c r="C844" s="558" t="s">
        <v>808</v>
      </c>
      <c r="D844" s="553"/>
      <c r="E844" s="416"/>
      <c r="F844" s="555">
        <f ca="1" t="shared" si="427"/>
        <v>0</v>
      </c>
      <c r="G844" s="555">
        <f ca="1" t="shared" si="427"/>
        <v>0</v>
      </c>
      <c r="H844" s="555">
        <f ca="1" t="shared" si="427"/>
        <v>0</v>
      </c>
      <c r="I844" s="555">
        <f ca="1" t="shared" si="427"/>
        <v>0</v>
      </c>
      <c r="J844" s="555">
        <f ca="1" t="shared" si="427"/>
        <v>0</v>
      </c>
      <c r="K844" s="555">
        <f ca="1" t="shared" si="427"/>
        <v>0</v>
      </c>
      <c r="L844" s="555">
        <f ca="1" t="shared" si="427"/>
        <v>0</v>
      </c>
      <c r="M844" s="555">
        <f ca="1" t="shared" si="427"/>
        <v>0</v>
      </c>
      <c r="N844" s="555">
        <f ca="1" t="shared" si="428"/>
        <v>0</v>
      </c>
      <c r="O844" s="555">
        <f ca="1" t="shared" si="429"/>
        <v>0</v>
      </c>
    </row>
    <row r="845" ht="30" spans="2:15">
      <c r="B845" s="560">
        <v>9</v>
      </c>
      <c r="C845" s="561" t="s">
        <v>791</v>
      </c>
      <c r="D845" s="553"/>
      <c r="E845" s="416"/>
      <c r="F845" s="555">
        <f ca="1" t="shared" si="427"/>
        <v>0</v>
      </c>
      <c r="G845" s="555">
        <f ca="1" t="shared" si="427"/>
        <v>0</v>
      </c>
      <c r="H845" s="555">
        <f ca="1" t="shared" si="427"/>
        <v>0</v>
      </c>
      <c r="I845" s="555">
        <f ca="1" t="shared" si="427"/>
        <v>0</v>
      </c>
      <c r="J845" s="555">
        <f ca="1" t="shared" si="427"/>
        <v>0</v>
      </c>
      <c r="K845" s="555">
        <f ca="1" t="shared" si="427"/>
        <v>0</v>
      </c>
      <c r="L845" s="555">
        <f ca="1" t="shared" si="427"/>
        <v>0</v>
      </c>
      <c r="M845" s="555">
        <f ca="1" t="shared" si="427"/>
        <v>0</v>
      </c>
      <c r="N845" s="555">
        <f ca="1" t="shared" si="428"/>
        <v>0</v>
      </c>
      <c r="O845" s="555">
        <f ca="1" t="shared" si="429"/>
        <v>0</v>
      </c>
    </row>
    <row r="846" ht="15" spans="2:15">
      <c r="B846" s="562">
        <v>10</v>
      </c>
      <c r="C846" s="563" t="s">
        <v>792</v>
      </c>
      <c r="D846" s="564"/>
      <c r="E846" s="416"/>
      <c r="F846" s="555">
        <f ca="1" t="shared" si="427"/>
        <v>708.428070297549</v>
      </c>
      <c r="G846" s="555">
        <f t="shared" si="427"/>
        <v>298.926347363851</v>
      </c>
      <c r="H846" s="555">
        <f ca="1" t="shared" si="427"/>
        <v>0</v>
      </c>
      <c r="I846" s="555">
        <f ca="1" t="shared" si="427"/>
        <v>1007.3544176614</v>
      </c>
      <c r="J846" s="555">
        <f ca="1" t="shared" si="427"/>
        <v>177.789122842485</v>
      </c>
      <c r="K846" s="555">
        <f t="shared" si="427"/>
        <v>56.6271770817202</v>
      </c>
      <c r="L846" s="555">
        <f ca="1" t="shared" si="427"/>
        <v>0</v>
      </c>
      <c r="M846" s="555">
        <f ca="1" t="shared" si="427"/>
        <v>234.416299924205</v>
      </c>
      <c r="N846" s="555">
        <f ca="1" t="shared" si="428"/>
        <v>530.638947455064</v>
      </c>
      <c r="O846" s="555">
        <f t="shared" si="428"/>
        <v>242.299170282131</v>
      </c>
    </row>
    <row r="847" ht="15" spans="2:15">
      <c r="B847" s="562">
        <v>11</v>
      </c>
      <c r="C847" s="563" t="s">
        <v>793</v>
      </c>
      <c r="D847" s="564"/>
      <c r="E847" s="416"/>
      <c r="F847" s="555">
        <f ca="1" t="shared" si="427"/>
        <v>0.708</v>
      </c>
      <c r="G847" s="555">
        <f ca="1" t="shared" si="427"/>
        <v>0</v>
      </c>
      <c r="H847" s="555">
        <f ca="1" t="shared" si="427"/>
        <v>0</v>
      </c>
      <c r="I847" s="555">
        <f ca="1" t="shared" si="427"/>
        <v>0.708</v>
      </c>
      <c r="J847" s="555">
        <f ca="1" t="shared" si="427"/>
        <v>0.6392199932</v>
      </c>
      <c r="K847" s="555">
        <f t="shared" si="427"/>
        <v>0.0441010919</v>
      </c>
      <c r="L847" s="555">
        <f ca="1" t="shared" si="427"/>
        <v>0</v>
      </c>
      <c r="M847" s="555">
        <f ca="1" t="shared" si="427"/>
        <v>0.6833210851</v>
      </c>
      <c r="N847" s="555">
        <f ca="1" t="shared" si="428"/>
        <v>0.0687800068000001</v>
      </c>
      <c r="O847" s="555">
        <f ca="1" t="shared" si="428"/>
        <v>-0.0441010919</v>
      </c>
    </row>
    <row r="848" ht="15" spans="2:15">
      <c r="B848" s="562">
        <v>12</v>
      </c>
      <c r="C848" s="563" t="s">
        <v>794</v>
      </c>
      <c r="D848" s="564"/>
      <c r="E848" s="416"/>
      <c r="F848" s="555">
        <f t="shared" si="427"/>
        <v>0</v>
      </c>
      <c r="G848" s="555">
        <f t="shared" si="427"/>
        <v>0</v>
      </c>
      <c r="H848" s="555">
        <f t="shared" si="427"/>
        <v>0</v>
      </c>
      <c r="I848" s="555">
        <f t="shared" si="427"/>
        <v>0</v>
      </c>
      <c r="J848" s="555">
        <f t="shared" si="427"/>
        <v>0</v>
      </c>
      <c r="K848" s="555">
        <f t="shared" si="427"/>
        <v>0</v>
      </c>
      <c r="L848" s="555">
        <f t="shared" si="427"/>
        <v>0</v>
      </c>
      <c r="M848" s="555">
        <f t="shared" si="427"/>
        <v>0</v>
      </c>
      <c r="N848" s="555"/>
      <c r="O848" s="555"/>
    </row>
    <row r="849" ht="15" spans="2:15">
      <c r="B849" s="562"/>
      <c r="C849" s="565" t="s">
        <v>795</v>
      </c>
      <c r="D849" s="564"/>
      <c r="E849" s="416"/>
      <c r="F849" s="555">
        <f ca="1" t="shared" si="427"/>
        <v>0.26</v>
      </c>
      <c r="G849" s="555">
        <f ca="1" t="shared" si="427"/>
        <v>0</v>
      </c>
      <c r="H849" s="555">
        <f ca="1" t="shared" si="427"/>
        <v>0</v>
      </c>
      <c r="I849" s="555">
        <f ca="1" t="shared" si="427"/>
        <v>0.26</v>
      </c>
      <c r="J849" s="555">
        <f ca="1" t="shared" si="427"/>
        <v>0.1701644132</v>
      </c>
      <c r="K849" s="555">
        <f ca="1" t="shared" si="427"/>
        <v>0</v>
      </c>
      <c r="L849" s="555">
        <f ca="1" t="shared" si="427"/>
        <v>0</v>
      </c>
      <c r="M849" s="555">
        <f ca="1" t="shared" si="427"/>
        <v>0.1701644132</v>
      </c>
      <c r="N849" s="555">
        <f ca="1" t="shared" ref="N849:O850" si="430">F849-J849</f>
        <v>0.0898355868</v>
      </c>
      <c r="O849" s="555">
        <f ca="1" t="shared" si="430"/>
        <v>0</v>
      </c>
    </row>
    <row r="850" ht="15" spans="2:15">
      <c r="B850" s="562"/>
      <c r="C850" s="565" t="s">
        <v>796</v>
      </c>
      <c r="D850" s="564"/>
      <c r="E850" s="416"/>
      <c r="F850" s="555">
        <f ca="1" t="shared" si="427"/>
        <v>0</v>
      </c>
      <c r="G850" s="555">
        <f ca="1" t="shared" si="427"/>
        <v>0</v>
      </c>
      <c r="H850" s="555">
        <f ca="1" t="shared" si="427"/>
        <v>0</v>
      </c>
      <c r="I850" s="555">
        <f ca="1" t="shared" si="427"/>
        <v>0</v>
      </c>
      <c r="J850" s="555">
        <f ca="1" t="shared" si="427"/>
        <v>0</v>
      </c>
      <c r="K850" s="555">
        <f ca="1" t="shared" si="427"/>
        <v>0</v>
      </c>
      <c r="L850" s="555">
        <f ca="1" t="shared" si="427"/>
        <v>0</v>
      </c>
      <c r="M850" s="555">
        <f ca="1" t="shared" si="427"/>
        <v>0</v>
      </c>
      <c r="N850" s="555">
        <f ca="1" t="shared" si="430"/>
        <v>0</v>
      </c>
      <c r="O850" s="555">
        <f ca="1" t="shared" si="430"/>
        <v>0</v>
      </c>
    </row>
    <row r="851" ht="15" spans="2:15">
      <c r="B851" s="562">
        <v>13</v>
      </c>
      <c r="C851" s="565"/>
      <c r="D851" s="564"/>
      <c r="E851" s="416"/>
      <c r="F851" s="555">
        <f t="shared" si="427"/>
        <v>0</v>
      </c>
      <c r="G851" s="555">
        <f t="shared" si="427"/>
        <v>0</v>
      </c>
      <c r="H851" s="555">
        <f t="shared" si="427"/>
        <v>0</v>
      </c>
      <c r="I851" s="555">
        <f t="shared" si="427"/>
        <v>0</v>
      </c>
      <c r="J851" s="555">
        <f t="shared" si="427"/>
        <v>0</v>
      </c>
      <c r="K851" s="555">
        <f t="shared" si="427"/>
        <v>0</v>
      </c>
      <c r="L851" s="555">
        <f t="shared" si="427"/>
        <v>0</v>
      </c>
      <c r="M851" s="555">
        <f t="shared" si="427"/>
        <v>0</v>
      </c>
      <c r="N851" s="555"/>
      <c r="O851" s="555"/>
    </row>
    <row r="852" ht="15" spans="2:15">
      <c r="B852" s="562"/>
      <c r="C852" s="565" t="s">
        <v>797</v>
      </c>
      <c r="D852" s="564"/>
      <c r="E852" s="416"/>
      <c r="F852" s="555">
        <f ca="1" t="shared" si="427"/>
        <v>1.725</v>
      </c>
      <c r="G852" s="555">
        <f ca="1" t="shared" si="427"/>
        <v>0</v>
      </c>
      <c r="H852" s="555">
        <f ca="1" t="shared" si="427"/>
        <v>0</v>
      </c>
      <c r="I852" s="555">
        <f ca="1" t="shared" si="427"/>
        <v>1.725</v>
      </c>
      <c r="J852" s="555">
        <f ca="1" t="shared" si="427"/>
        <v>1.3017024466</v>
      </c>
      <c r="K852" s="555">
        <f t="shared" si="427"/>
        <v>0.0441010919</v>
      </c>
      <c r="L852" s="555">
        <f ca="1" t="shared" si="427"/>
        <v>0</v>
      </c>
      <c r="M852" s="555">
        <f ca="1" t="shared" si="427"/>
        <v>1.3458035385</v>
      </c>
      <c r="N852" s="555">
        <f ca="1" t="shared" ref="N852:O855" si="431">F852-J852</f>
        <v>0.4232975534</v>
      </c>
      <c r="O852" s="555">
        <f ca="1" t="shared" si="431"/>
        <v>-0.0441010919</v>
      </c>
    </row>
    <row r="853" ht="15" spans="2:15">
      <c r="B853" s="562"/>
      <c r="C853" s="565" t="s">
        <v>798</v>
      </c>
      <c r="D853" s="564"/>
      <c r="E853" s="416"/>
      <c r="F853" s="555">
        <f ca="1" t="shared" si="427"/>
        <v>5.17581219880279</v>
      </c>
      <c r="G853" s="555">
        <f t="shared" si="427"/>
        <v>0.0220697651681363</v>
      </c>
      <c r="H853" s="555">
        <f ca="1" t="shared" si="427"/>
        <v>0</v>
      </c>
      <c r="I853" s="555">
        <f ca="1" t="shared" si="427"/>
        <v>5.19788196397093</v>
      </c>
      <c r="J853" s="555">
        <f ca="1" t="shared" si="427"/>
        <v>3.79524269050602</v>
      </c>
      <c r="K853" s="555">
        <f t="shared" si="427"/>
        <v>0.146376696824818</v>
      </c>
      <c r="L853" s="555">
        <f ca="1" t="shared" si="427"/>
        <v>0</v>
      </c>
      <c r="M853" s="555">
        <f ca="1" t="shared" si="427"/>
        <v>3.94161938733084</v>
      </c>
      <c r="N853" s="555">
        <f ca="1" t="shared" si="431"/>
        <v>1.38056950829677</v>
      </c>
      <c r="O853" s="555">
        <f t="shared" si="431"/>
        <v>-0.124306931656682</v>
      </c>
    </row>
    <row r="854" ht="15" spans="2:15">
      <c r="B854" s="562"/>
      <c r="C854" s="565" t="s">
        <v>799</v>
      </c>
      <c r="D854" s="564"/>
      <c r="E854" s="416"/>
      <c r="F854" s="555">
        <f ca="1" t="shared" si="427"/>
        <v>0</v>
      </c>
      <c r="G854" s="555">
        <f ca="1" t="shared" si="427"/>
        <v>0</v>
      </c>
      <c r="H854" s="555">
        <f ca="1" t="shared" si="427"/>
        <v>0</v>
      </c>
      <c r="I854" s="555">
        <f ca="1" t="shared" si="427"/>
        <v>0</v>
      </c>
      <c r="J854" s="555">
        <f ca="1" t="shared" si="427"/>
        <v>0</v>
      </c>
      <c r="K854" s="555">
        <f ca="1" t="shared" si="427"/>
        <v>0</v>
      </c>
      <c r="L854" s="555">
        <f ca="1" t="shared" si="427"/>
        <v>0</v>
      </c>
      <c r="M854" s="555">
        <f ca="1" t="shared" si="427"/>
        <v>0</v>
      </c>
      <c r="N854" s="555">
        <f ca="1" t="shared" si="431"/>
        <v>0</v>
      </c>
      <c r="O854" s="555">
        <f ca="1" t="shared" si="431"/>
        <v>0</v>
      </c>
    </row>
    <row r="855" ht="15" spans="2:15">
      <c r="B855" s="562"/>
      <c r="C855" s="565" t="s">
        <v>800</v>
      </c>
      <c r="D855" s="564"/>
      <c r="E855" s="416"/>
      <c r="F855" s="555">
        <f ca="1" t="shared" si="427"/>
        <v>0</v>
      </c>
      <c r="G855" s="555">
        <f ca="1" t="shared" si="427"/>
        <v>0</v>
      </c>
      <c r="H855" s="555">
        <f ca="1" t="shared" si="427"/>
        <v>0</v>
      </c>
      <c r="I855" s="555">
        <f ca="1" t="shared" si="427"/>
        <v>0</v>
      </c>
      <c r="J855" s="555">
        <f ca="1" t="shared" si="427"/>
        <v>0</v>
      </c>
      <c r="K855" s="555">
        <f ca="1" t="shared" si="427"/>
        <v>0</v>
      </c>
      <c r="L855" s="555">
        <f ca="1" t="shared" si="427"/>
        <v>0</v>
      </c>
      <c r="M855" s="555">
        <f ca="1" t="shared" si="427"/>
        <v>0</v>
      </c>
      <c r="N855" s="555">
        <f ca="1" t="shared" si="431"/>
        <v>0</v>
      </c>
      <c r="O855" s="555">
        <f ca="1" t="shared" si="431"/>
        <v>0</v>
      </c>
    </row>
    <row r="856" ht="15" spans="2:15">
      <c r="B856" s="562">
        <v>14</v>
      </c>
      <c r="C856" s="563" t="s">
        <v>801</v>
      </c>
      <c r="D856" s="564"/>
      <c r="E856" s="416"/>
      <c r="F856" s="555">
        <f t="shared" ref="F856:M862" si="432">10%*F222</f>
        <v>0</v>
      </c>
      <c r="G856" s="555">
        <f t="shared" si="432"/>
        <v>0</v>
      </c>
      <c r="H856" s="555">
        <f t="shared" si="432"/>
        <v>0</v>
      </c>
      <c r="I856" s="555">
        <f t="shared" si="432"/>
        <v>0</v>
      </c>
      <c r="J856" s="555">
        <f t="shared" si="432"/>
        <v>0</v>
      </c>
      <c r="K856" s="555">
        <f t="shared" si="432"/>
        <v>0</v>
      </c>
      <c r="L856" s="555">
        <f t="shared" si="432"/>
        <v>0</v>
      </c>
      <c r="M856" s="555">
        <f t="shared" si="432"/>
        <v>0</v>
      </c>
      <c r="N856" s="555"/>
      <c r="O856" s="555"/>
    </row>
    <row r="857" ht="15" spans="2:15">
      <c r="B857" s="562"/>
      <c r="C857" s="565" t="s">
        <v>802</v>
      </c>
      <c r="D857" s="564"/>
      <c r="E857" s="416"/>
      <c r="F857" s="555">
        <f ca="1" t="shared" si="432"/>
        <v>0</v>
      </c>
      <c r="G857" s="555">
        <f ca="1" t="shared" si="432"/>
        <v>0</v>
      </c>
      <c r="H857" s="555">
        <f ca="1" t="shared" si="432"/>
        <v>0</v>
      </c>
      <c r="I857" s="555">
        <f ca="1" t="shared" si="432"/>
        <v>0</v>
      </c>
      <c r="J857" s="555">
        <f ca="1" t="shared" si="432"/>
        <v>0</v>
      </c>
      <c r="K857" s="555">
        <f ca="1" t="shared" si="432"/>
        <v>0</v>
      </c>
      <c r="L857" s="555">
        <f ca="1" t="shared" si="432"/>
        <v>0</v>
      </c>
      <c r="M857" s="555">
        <f ca="1" t="shared" si="432"/>
        <v>0</v>
      </c>
      <c r="N857" s="555">
        <f ca="1" t="shared" ref="N857:O862" si="433">F857-J857</f>
        <v>0</v>
      </c>
      <c r="O857" s="555">
        <f ca="1" t="shared" si="433"/>
        <v>0</v>
      </c>
    </row>
    <row r="858" ht="15" spans="2:15">
      <c r="B858" s="562"/>
      <c r="C858" s="565" t="s">
        <v>803</v>
      </c>
      <c r="D858" s="564"/>
      <c r="E858" s="416"/>
      <c r="F858" s="555">
        <f ca="1" t="shared" si="432"/>
        <v>0</v>
      </c>
      <c r="G858" s="555">
        <f ca="1" t="shared" si="432"/>
        <v>0</v>
      </c>
      <c r="H858" s="555">
        <f ca="1" t="shared" si="432"/>
        <v>0</v>
      </c>
      <c r="I858" s="555">
        <f ca="1" t="shared" si="432"/>
        <v>0</v>
      </c>
      <c r="J858" s="555">
        <f ca="1" t="shared" si="432"/>
        <v>0</v>
      </c>
      <c r="K858" s="555">
        <f ca="1" t="shared" si="432"/>
        <v>0</v>
      </c>
      <c r="L858" s="555">
        <f ca="1" t="shared" si="432"/>
        <v>0</v>
      </c>
      <c r="M858" s="555">
        <f ca="1" t="shared" si="432"/>
        <v>0</v>
      </c>
      <c r="N858" s="555">
        <f ca="1" t="shared" si="433"/>
        <v>0</v>
      </c>
      <c r="O858" s="555">
        <f ca="1" t="shared" si="433"/>
        <v>0</v>
      </c>
    </row>
    <row r="859" ht="15" spans="2:15">
      <c r="B859" s="562"/>
      <c r="C859" s="565" t="s">
        <v>804</v>
      </c>
      <c r="D859" s="564"/>
      <c r="E859" s="416"/>
      <c r="F859" s="555">
        <f ca="1" t="shared" si="432"/>
        <v>0</v>
      </c>
      <c r="G859" s="555">
        <f ca="1" t="shared" si="432"/>
        <v>0</v>
      </c>
      <c r="H859" s="555">
        <f ca="1" t="shared" si="432"/>
        <v>0</v>
      </c>
      <c r="I859" s="555">
        <f ca="1" t="shared" si="432"/>
        <v>0</v>
      </c>
      <c r="J859" s="555">
        <f ca="1" t="shared" si="432"/>
        <v>0</v>
      </c>
      <c r="K859" s="555">
        <f ca="1" t="shared" si="432"/>
        <v>0</v>
      </c>
      <c r="L859" s="555">
        <f ca="1" t="shared" si="432"/>
        <v>0</v>
      </c>
      <c r="M859" s="555">
        <f ca="1" t="shared" si="432"/>
        <v>0</v>
      </c>
      <c r="N859" s="555">
        <f ca="1" t="shared" si="433"/>
        <v>0</v>
      </c>
      <c r="O859" s="555">
        <f ca="1" t="shared" si="433"/>
        <v>0</v>
      </c>
    </row>
    <row r="860" ht="15" spans="2:15">
      <c r="B860" s="562">
        <v>15</v>
      </c>
      <c r="C860" s="563" t="s">
        <v>805</v>
      </c>
      <c r="D860" s="564"/>
      <c r="E860" s="416"/>
      <c r="F860" s="555">
        <f ca="1" t="shared" si="432"/>
        <v>21.6041021705907</v>
      </c>
      <c r="G860" s="555">
        <f t="shared" si="432"/>
        <v>1.73324112491613</v>
      </c>
      <c r="H860" s="555">
        <f ca="1" t="shared" si="432"/>
        <v>0</v>
      </c>
      <c r="I860" s="555">
        <f ca="1" t="shared" si="432"/>
        <v>23.3373432955069</v>
      </c>
      <c r="J860" s="555">
        <f ca="1" t="shared" si="432"/>
        <v>17.9296897090199</v>
      </c>
      <c r="K860" s="555">
        <f t="shared" si="432"/>
        <v>0.922424530457317</v>
      </c>
      <c r="L860" s="555">
        <f ca="1" t="shared" si="432"/>
        <v>0</v>
      </c>
      <c r="M860" s="555">
        <f ca="1" t="shared" si="432"/>
        <v>18.8521142394772</v>
      </c>
      <c r="N860" s="555">
        <f ca="1" t="shared" si="433"/>
        <v>3.6744124615708</v>
      </c>
      <c r="O860" s="555">
        <f t="shared" si="433"/>
        <v>0.810816594458813</v>
      </c>
    </row>
    <row r="861" ht="15" spans="2:15">
      <c r="B861" s="562">
        <v>16</v>
      </c>
      <c r="C861" s="563" t="s">
        <v>806</v>
      </c>
      <c r="D861" s="553"/>
      <c r="E861" s="416"/>
      <c r="F861" s="555">
        <f ca="1" t="shared" si="432"/>
        <v>7.08</v>
      </c>
      <c r="G861" s="555">
        <f ca="1" t="shared" si="432"/>
        <v>0</v>
      </c>
      <c r="H861" s="555">
        <f ca="1" t="shared" si="432"/>
        <v>0</v>
      </c>
      <c r="I861" s="555">
        <f ca="1" t="shared" si="432"/>
        <v>7.08</v>
      </c>
      <c r="J861" s="555">
        <f ca="1" t="shared" si="432"/>
        <v>5.842094277</v>
      </c>
      <c r="K861" s="555">
        <f t="shared" si="432"/>
        <v>0.4152617751</v>
      </c>
      <c r="L861" s="555">
        <f ca="1" t="shared" si="432"/>
        <v>0</v>
      </c>
      <c r="M861" s="555">
        <f ca="1" t="shared" si="432"/>
        <v>6.2573560521</v>
      </c>
      <c r="N861" s="555">
        <f ca="1" t="shared" si="433"/>
        <v>1.237905723</v>
      </c>
      <c r="O861" s="555">
        <f ca="1" t="shared" si="433"/>
        <v>-0.4152617751</v>
      </c>
    </row>
    <row r="862" ht="15" spans="2:15">
      <c r="B862" s="562">
        <v>17</v>
      </c>
      <c r="C862" s="563" t="s">
        <v>807</v>
      </c>
      <c r="D862" s="553"/>
      <c r="E862" s="426"/>
      <c r="F862" s="555">
        <f ca="1" t="shared" si="432"/>
        <v>0</v>
      </c>
      <c r="G862" s="555">
        <f ca="1" t="shared" si="432"/>
        <v>0</v>
      </c>
      <c r="H862" s="555">
        <f ca="1" t="shared" si="432"/>
        <v>0</v>
      </c>
      <c r="I862" s="555">
        <f ca="1" t="shared" si="432"/>
        <v>0</v>
      </c>
      <c r="J862" s="555">
        <f ca="1" t="shared" si="432"/>
        <v>0.4466468187</v>
      </c>
      <c r="K862" s="555">
        <f ca="1" t="shared" si="432"/>
        <v>0</v>
      </c>
      <c r="L862" s="555">
        <f ca="1" t="shared" si="432"/>
        <v>0</v>
      </c>
      <c r="M862" s="555">
        <f ca="1" t="shared" si="432"/>
        <v>0.4466468187</v>
      </c>
      <c r="N862" s="555">
        <f ca="1" t="shared" si="433"/>
        <v>-0.4466468187</v>
      </c>
      <c r="O862" s="555">
        <f ca="1" t="shared" si="433"/>
        <v>0</v>
      </c>
    </row>
    <row r="863" ht="15.75" spans="2:15">
      <c r="B863" s="566"/>
      <c r="C863" s="567" t="s">
        <v>97</v>
      </c>
      <c r="D863" s="567"/>
      <c r="E863" s="568"/>
      <c r="F863" s="569">
        <f ca="1">SUM(F823:F862)</f>
        <v>3245.10114511355</v>
      </c>
      <c r="G863" s="569">
        <f ca="1" t="shared" ref="G863:O863" si="434">SUM(G823:G862)</f>
        <v>683.385962069236</v>
      </c>
      <c r="H863" s="569">
        <f ca="1" t="shared" si="434"/>
        <v>0</v>
      </c>
      <c r="I863" s="569">
        <f ca="1" t="shared" si="434"/>
        <v>3928.48710718278</v>
      </c>
      <c r="J863" s="569">
        <f ca="1" t="shared" si="434"/>
        <v>1349.23125435375</v>
      </c>
      <c r="K863" s="569">
        <f ca="1" t="shared" si="434"/>
        <v>152.61501346019</v>
      </c>
      <c r="L863" s="569">
        <f ca="1" t="shared" si="434"/>
        <v>0</v>
      </c>
      <c r="M863" s="569">
        <f ca="1" t="shared" si="434"/>
        <v>1501.84626781394</v>
      </c>
      <c r="N863" s="569">
        <f ca="1" t="shared" si="434"/>
        <v>1895.86989075979</v>
      </c>
      <c r="O863" s="569">
        <f ca="1" t="shared" si="434"/>
        <v>1889.57373789261</v>
      </c>
    </row>
    <row r="865" ht="15" spans="2:15">
      <c r="B865" s="570" t="s">
        <v>656</v>
      </c>
      <c r="C865" s="571"/>
      <c r="D865" s="571"/>
      <c r="E865" s="571"/>
      <c r="F865" s="571"/>
      <c r="G865" s="571"/>
      <c r="H865" s="571"/>
      <c r="I865" s="571"/>
      <c r="J865" s="571"/>
      <c r="K865" s="571"/>
      <c r="L865" s="571"/>
      <c r="M865" s="571"/>
      <c r="N865" s="571"/>
      <c r="O865" s="581"/>
    </row>
    <row r="866" ht="15" spans="2:15">
      <c r="B866" s="547" t="s">
        <v>564</v>
      </c>
      <c r="C866" s="978" t="s">
        <v>671</v>
      </c>
      <c r="D866" s="549" t="s">
        <v>672</v>
      </c>
      <c r="E866" s="549" t="s">
        <v>673</v>
      </c>
      <c r="F866" s="549" t="s">
        <v>674</v>
      </c>
      <c r="G866" s="549"/>
      <c r="H866" s="549"/>
      <c r="I866" s="549"/>
      <c r="J866" s="549" t="s">
        <v>675</v>
      </c>
      <c r="K866" s="549"/>
      <c r="L866" s="549"/>
      <c r="M866" s="549"/>
      <c r="N866" s="549" t="s">
        <v>676</v>
      </c>
      <c r="O866" s="579"/>
    </row>
    <row r="867" ht="60.75" spans="2:15">
      <c r="B867" s="572"/>
      <c r="C867" s="573"/>
      <c r="D867" s="574"/>
      <c r="E867" s="574"/>
      <c r="F867" s="574" t="s">
        <v>677</v>
      </c>
      <c r="G867" s="574" t="s">
        <v>678</v>
      </c>
      <c r="H867" s="574" t="s">
        <v>679</v>
      </c>
      <c r="I867" s="574" t="s">
        <v>680</v>
      </c>
      <c r="J867" s="574" t="s">
        <v>681</v>
      </c>
      <c r="K867" s="574" t="s">
        <v>678</v>
      </c>
      <c r="L867" s="574" t="s">
        <v>682</v>
      </c>
      <c r="M867" s="574" t="s">
        <v>683</v>
      </c>
      <c r="N867" s="574" t="s">
        <v>677</v>
      </c>
      <c r="O867" s="582" t="s">
        <v>680</v>
      </c>
    </row>
    <row r="868" ht="15" spans="2:15">
      <c r="B868" s="551">
        <v>1</v>
      </c>
      <c r="C868" s="552" t="s">
        <v>684</v>
      </c>
      <c r="D868" s="546"/>
      <c r="E868" s="576"/>
      <c r="F868" s="555">
        <f ca="1">10%*F234</f>
        <v>22.2662033227449</v>
      </c>
      <c r="G868" s="555">
        <f t="shared" ref="G868:M868" si="435">10%*G234</f>
        <v>8.41114909604901</v>
      </c>
      <c r="H868" s="555">
        <f ca="1" t="shared" si="435"/>
        <v>0</v>
      </c>
      <c r="I868" s="555">
        <f ca="1" t="shared" si="435"/>
        <v>30.6773524187939</v>
      </c>
      <c r="J868" s="555">
        <f ca="1" t="shared" si="435"/>
        <v>0.000489906200000156</v>
      </c>
      <c r="K868" s="555">
        <f t="shared" si="435"/>
        <v>0</v>
      </c>
      <c r="L868" s="555">
        <f ca="1" t="shared" si="435"/>
        <v>0</v>
      </c>
      <c r="M868" s="555">
        <f ca="1" t="shared" si="435"/>
        <v>0.000489906200000156</v>
      </c>
      <c r="N868" s="555">
        <f ca="1">F868-J868</f>
        <v>22.2657134165449</v>
      </c>
      <c r="O868" s="555">
        <f ca="1">I868-M868</f>
        <v>30.6768625125939</v>
      </c>
    </row>
    <row r="869" ht="15" spans="2:15">
      <c r="B869" s="551">
        <v>2</v>
      </c>
      <c r="C869" s="552" t="s">
        <v>770</v>
      </c>
      <c r="D869" s="614"/>
      <c r="E869" s="615"/>
      <c r="F869" s="555">
        <f ca="1" t="shared" ref="F869:M884" si="436">10%*F235</f>
        <v>0</v>
      </c>
      <c r="G869" s="555">
        <f ca="1" t="shared" si="436"/>
        <v>0</v>
      </c>
      <c r="H869" s="555">
        <f ca="1" t="shared" si="436"/>
        <v>0</v>
      </c>
      <c r="I869" s="555">
        <f ca="1" t="shared" si="436"/>
        <v>0</v>
      </c>
      <c r="J869" s="555">
        <f ca="1" t="shared" si="436"/>
        <v>0</v>
      </c>
      <c r="K869" s="555">
        <f ca="1" t="shared" si="436"/>
        <v>0</v>
      </c>
      <c r="L869" s="555">
        <f ca="1" t="shared" si="436"/>
        <v>0</v>
      </c>
      <c r="M869" s="555">
        <f ca="1" t="shared" si="436"/>
        <v>0</v>
      </c>
      <c r="N869" s="555">
        <f ca="1">F869-J869</f>
        <v>0</v>
      </c>
      <c r="O869" s="555">
        <f ca="1">I869-M869</f>
        <v>0</v>
      </c>
    </row>
    <row r="870" ht="15" spans="2:15">
      <c r="B870" s="551">
        <v>3</v>
      </c>
      <c r="C870" s="556" t="s">
        <v>771</v>
      </c>
      <c r="D870" s="553"/>
      <c r="E870" s="416"/>
      <c r="F870" s="555">
        <f t="shared" si="436"/>
        <v>0</v>
      </c>
      <c r="G870" s="555">
        <f t="shared" si="436"/>
        <v>0</v>
      </c>
      <c r="H870" s="555">
        <f t="shared" si="436"/>
        <v>0</v>
      </c>
      <c r="I870" s="555">
        <f t="shared" si="436"/>
        <v>0</v>
      </c>
      <c r="J870" s="555">
        <f t="shared" si="436"/>
        <v>0</v>
      </c>
      <c r="K870" s="555">
        <f t="shared" si="436"/>
        <v>0</v>
      </c>
      <c r="L870" s="555">
        <f t="shared" si="436"/>
        <v>0</v>
      </c>
      <c r="M870" s="555">
        <f t="shared" si="436"/>
        <v>0</v>
      </c>
      <c r="N870" s="555"/>
      <c r="O870" s="555"/>
    </row>
    <row r="871" ht="15" spans="2:15">
      <c r="B871" s="551"/>
      <c r="C871" s="557" t="s">
        <v>772</v>
      </c>
      <c r="D871" s="553"/>
      <c r="E871" s="416"/>
      <c r="F871" s="555">
        <f ca="1" t="shared" si="436"/>
        <v>57.3665665892183</v>
      </c>
      <c r="G871" s="555">
        <f t="shared" si="436"/>
        <v>7.83829219394957</v>
      </c>
      <c r="H871" s="555">
        <f ca="1" t="shared" si="436"/>
        <v>0</v>
      </c>
      <c r="I871" s="555">
        <f ca="1" t="shared" si="436"/>
        <v>65.2048587831679</v>
      </c>
      <c r="J871" s="555">
        <f ca="1" t="shared" si="436"/>
        <v>19.9847485358993</v>
      </c>
      <c r="K871" s="555">
        <f t="shared" si="436"/>
        <v>2.15798446204976</v>
      </c>
      <c r="L871" s="555">
        <f ca="1" t="shared" si="436"/>
        <v>0</v>
      </c>
      <c r="M871" s="555">
        <f ca="1" t="shared" si="436"/>
        <v>22.142732997949</v>
      </c>
      <c r="N871" s="555">
        <f ca="1" t="shared" ref="N871:N874" si="437">F871-J871</f>
        <v>37.3818180533191</v>
      </c>
      <c r="O871" s="555">
        <f ca="1" t="shared" ref="O871:O874" si="438">I871-M871</f>
        <v>43.0621257852189</v>
      </c>
    </row>
    <row r="872" ht="28.5" spans="2:15">
      <c r="B872" s="551"/>
      <c r="C872" s="557" t="s">
        <v>773</v>
      </c>
      <c r="D872" s="553"/>
      <c r="E872" s="416"/>
      <c r="F872" s="555">
        <f ca="1" t="shared" si="436"/>
        <v>0</v>
      </c>
      <c r="G872" s="555">
        <f ca="1" t="shared" si="436"/>
        <v>0</v>
      </c>
      <c r="H872" s="555">
        <f ca="1" t="shared" si="436"/>
        <v>0</v>
      </c>
      <c r="I872" s="555">
        <f ca="1" t="shared" si="436"/>
        <v>0</v>
      </c>
      <c r="J872" s="555">
        <f ca="1" t="shared" si="436"/>
        <v>0</v>
      </c>
      <c r="K872" s="555">
        <f ca="1" t="shared" si="436"/>
        <v>0</v>
      </c>
      <c r="L872" s="555">
        <f ca="1" t="shared" si="436"/>
        <v>0</v>
      </c>
      <c r="M872" s="555">
        <f ca="1" t="shared" si="436"/>
        <v>0</v>
      </c>
      <c r="N872" s="555">
        <f ca="1" t="shared" si="437"/>
        <v>0</v>
      </c>
      <c r="O872" s="555">
        <f ca="1" t="shared" si="438"/>
        <v>0</v>
      </c>
    </row>
    <row r="873" ht="15" spans="2:15">
      <c r="B873" s="551"/>
      <c r="C873" s="557" t="s">
        <v>774</v>
      </c>
      <c r="D873" s="553"/>
      <c r="E873" s="416"/>
      <c r="F873" s="555">
        <f ca="1" t="shared" si="436"/>
        <v>0</v>
      </c>
      <c r="G873" s="555">
        <f ca="1" t="shared" si="436"/>
        <v>0</v>
      </c>
      <c r="H873" s="555">
        <f ca="1" t="shared" si="436"/>
        <v>0</v>
      </c>
      <c r="I873" s="555">
        <f ca="1" t="shared" si="436"/>
        <v>0</v>
      </c>
      <c r="J873" s="555">
        <f ca="1" t="shared" si="436"/>
        <v>0</v>
      </c>
      <c r="K873" s="555">
        <f ca="1" t="shared" si="436"/>
        <v>0</v>
      </c>
      <c r="L873" s="555">
        <f ca="1" t="shared" si="436"/>
        <v>0</v>
      </c>
      <c r="M873" s="555">
        <f ca="1" t="shared" si="436"/>
        <v>0</v>
      </c>
      <c r="N873" s="555">
        <f ca="1" t="shared" si="437"/>
        <v>0</v>
      </c>
      <c r="O873" s="555">
        <f ca="1" t="shared" si="438"/>
        <v>0</v>
      </c>
    </row>
    <row r="874" ht="15" spans="2:15">
      <c r="B874" s="551"/>
      <c r="C874" s="557" t="s">
        <v>775</v>
      </c>
      <c r="D874" s="553"/>
      <c r="E874" s="416"/>
      <c r="F874" s="555">
        <f ca="1" t="shared" si="436"/>
        <v>22.108</v>
      </c>
      <c r="G874" s="555">
        <f ca="1" t="shared" si="436"/>
        <v>0</v>
      </c>
      <c r="H874" s="555">
        <f ca="1" t="shared" si="436"/>
        <v>0</v>
      </c>
      <c r="I874" s="555">
        <f ca="1" t="shared" si="436"/>
        <v>22.108</v>
      </c>
      <c r="J874" s="555">
        <f ca="1" t="shared" si="436"/>
        <v>4.4413445081</v>
      </c>
      <c r="K874" s="555">
        <f ca="1" t="shared" si="436"/>
        <v>0</v>
      </c>
      <c r="L874" s="555">
        <f ca="1" t="shared" si="436"/>
        <v>0</v>
      </c>
      <c r="M874" s="555">
        <f ca="1" t="shared" si="436"/>
        <v>4.4413445081</v>
      </c>
      <c r="N874" s="555">
        <f ca="1" t="shared" si="437"/>
        <v>17.6666554919</v>
      </c>
      <c r="O874" s="555">
        <f ca="1" t="shared" si="438"/>
        <v>17.6666554919</v>
      </c>
    </row>
    <row r="875" ht="15" spans="2:15">
      <c r="B875" s="551">
        <v>4</v>
      </c>
      <c r="C875" s="552" t="s">
        <v>776</v>
      </c>
      <c r="D875" s="553"/>
      <c r="E875" s="416"/>
      <c r="F875" s="555">
        <f t="shared" si="436"/>
        <v>0</v>
      </c>
      <c r="G875" s="555">
        <f t="shared" si="436"/>
        <v>0</v>
      </c>
      <c r="H875" s="555">
        <f t="shared" si="436"/>
        <v>0</v>
      </c>
      <c r="I875" s="555">
        <f t="shared" si="436"/>
        <v>0</v>
      </c>
      <c r="J875" s="555">
        <f t="shared" si="436"/>
        <v>0</v>
      </c>
      <c r="K875" s="555">
        <f t="shared" si="436"/>
        <v>0</v>
      </c>
      <c r="L875" s="555">
        <f t="shared" si="436"/>
        <v>0</v>
      </c>
      <c r="M875" s="555">
        <f t="shared" si="436"/>
        <v>0</v>
      </c>
      <c r="N875" s="555"/>
      <c r="O875" s="555"/>
    </row>
    <row r="876" ht="15" spans="2:15">
      <c r="B876" s="551"/>
      <c r="C876" s="558" t="s">
        <v>777</v>
      </c>
      <c r="D876" s="553"/>
      <c r="E876" s="416"/>
      <c r="F876" s="555">
        <f ca="1" t="shared" si="436"/>
        <v>1375.33830440249</v>
      </c>
      <c r="G876" s="555">
        <f t="shared" si="436"/>
        <v>187.32542236648</v>
      </c>
      <c r="H876" s="555">
        <f ca="1" t="shared" si="436"/>
        <v>0</v>
      </c>
      <c r="I876" s="555">
        <f ca="1" t="shared" si="436"/>
        <v>1562.66372676897</v>
      </c>
      <c r="J876" s="555">
        <f ca="1" t="shared" si="436"/>
        <v>638.614793524826</v>
      </c>
      <c r="K876" s="555">
        <f t="shared" si="436"/>
        <v>54.0504102006227</v>
      </c>
      <c r="L876" s="555">
        <f ca="1" t="shared" si="436"/>
        <v>0</v>
      </c>
      <c r="M876" s="555">
        <f ca="1" t="shared" si="436"/>
        <v>692.665203725449</v>
      </c>
      <c r="N876" s="555">
        <f ca="1" t="shared" ref="N876:N879" si="439">F876-J876</f>
        <v>736.723510877663</v>
      </c>
      <c r="O876" s="555">
        <f ca="1" t="shared" ref="O876:O879" si="440">I876-M876</f>
        <v>869.99852304352</v>
      </c>
    </row>
    <row r="877" ht="15" spans="2:15">
      <c r="B877" s="551"/>
      <c r="C877" s="552" t="s">
        <v>778</v>
      </c>
      <c r="D877" s="553"/>
      <c r="E877" s="416"/>
      <c r="F877" s="555">
        <f t="shared" si="436"/>
        <v>0</v>
      </c>
      <c r="G877" s="555">
        <f t="shared" si="436"/>
        <v>0</v>
      </c>
      <c r="H877" s="555">
        <f t="shared" si="436"/>
        <v>0</v>
      </c>
      <c r="I877" s="555">
        <f t="shared" si="436"/>
        <v>0</v>
      </c>
      <c r="J877" s="555">
        <f t="shared" si="436"/>
        <v>0</v>
      </c>
      <c r="K877" s="555">
        <f t="shared" si="436"/>
        <v>0</v>
      </c>
      <c r="L877" s="555">
        <f t="shared" si="436"/>
        <v>0</v>
      </c>
      <c r="M877" s="555">
        <f t="shared" si="436"/>
        <v>0</v>
      </c>
      <c r="N877" s="555"/>
      <c r="O877" s="555"/>
    </row>
    <row r="878" ht="15" spans="2:15">
      <c r="B878" s="551"/>
      <c r="C878" s="558" t="s">
        <v>779</v>
      </c>
      <c r="D878" s="553"/>
      <c r="E878" s="416"/>
      <c r="F878" s="555">
        <f ca="1" t="shared" si="436"/>
        <v>0</v>
      </c>
      <c r="G878" s="555">
        <f ca="1" t="shared" si="436"/>
        <v>0</v>
      </c>
      <c r="H878" s="555">
        <f ca="1" t="shared" si="436"/>
        <v>0</v>
      </c>
      <c r="I878" s="555">
        <f ca="1" t="shared" si="436"/>
        <v>0</v>
      </c>
      <c r="J878" s="555">
        <f ca="1" t="shared" si="436"/>
        <v>0</v>
      </c>
      <c r="K878" s="555">
        <f ca="1" t="shared" si="436"/>
        <v>0</v>
      </c>
      <c r="L878" s="555">
        <f ca="1" t="shared" si="436"/>
        <v>0</v>
      </c>
      <c r="M878" s="555">
        <f ca="1" t="shared" si="436"/>
        <v>0</v>
      </c>
      <c r="N878" s="555">
        <f ca="1" t="shared" si="439"/>
        <v>0</v>
      </c>
      <c r="O878" s="555">
        <f ca="1" t="shared" si="440"/>
        <v>0</v>
      </c>
    </row>
    <row r="879" ht="15" spans="2:15">
      <c r="B879" s="551"/>
      <c r="C879" s="558" t="s">
        <v>780</v>
      </c>
      <c r="D879" s="553"/>
      <c r="E879" s="416"/>
      <c r="F879" s="555">
        <f ca="1" t="shared" si="436"/>
        <v>0</v>
      </c>
      <c r="G879" s="555">
        <f ca="1" t="shared" si="436"/>
        <v>0</v>
      </c>
      <c r="H879" s="555">
        <f ca="1" t="shared" si="436"/>
        <v>0</v>
      </c>
      <c r="I879" s="555">
        <f ca="1" t="shared" si="436"/>
        <v>0</v>
      </c>
      <c r="J879" s="555">
        <f ca="1" t="shared" si="436"/>
        <v>0</v>
      </c>
      <c r="K879" s="555">
        <f ca="1" t="shared" si="436"/>
        <v>0</v>
      </c>
      <c r="L879" s="555">
        <f ca="1" t="shared" si="436"/>
        <v>0</v>
      </c>
      <c r="M879" s="555">
        <f ca="1" t="shared" si="436"/>
        <v>0</v>
      </c>
      <c r="N879" s="555">
        <f ca="1" t="shared" si="439"/>
        <v>0</v>
      </c>
      <c r="O879" s="555">
        <f ca="1" t="shared" si="440"/>
        <v>0</v>
      </c>
    </row>
    <row r="880" ht="15" spans="2:15">
      <c r="B880" s="551">
        <v>5</v>
      </c>
      <c r="C880" s="552" t="s">
        <v>781</v>
      </c>
      <c r="D880" s="553"/>
      <c r="E880" s="416"/>
      <c r="F880" s="555">
        <f t="shared" si="436"/>
        <v>0</v>
      </c>
      <c r="G880" s="555">
        <f t="shared" si="436"/>
        <v>0</v>
      </c>
      <c r="H880" s="555">
        <f t="shared" si="436"/>
        <v>0</v>
      </c>
      <c r="I880" s="555">
        <f t="shared" si="436"/>
        <v>0</v>
      </c>
      <c r="J880" s="555">
        <f t="shared" si="436"/>
        <v>0</v>
      </c>
      <c r="K880" s="555">
        <f t="shared" si="436"/>
        <v>0</v>
      </c>
      <c r="L880" s="555">
        <f t="shared" si="436"/>
        <v>0</v>
      </c>
      <c r="M880" s="555">
        <f t="shared" si="436"/>
        <v>0</v>
      </c>
      <c r="N880" s="555"/>
      <c r="O880" s="555"/>
    </row>
    <row r="881" ht="15" spans="2:15">
      <c r="B881" s="551"/>
      <c r="C881" s="558" t="s">
        <v>782</v>
      </c>
      <c r="D881" s="553"/>
      <c r="E881" s="416"/>
      <c r="F881" s="555">
        <f ca="1" t="shared" si="436"/>
        <v>0</v>
      </c>
      <c r="G881" s="555">
        <f ca="1" t="shared" si="436"/>
        <v>0</v>
      </c>
      <c r="H881" s="555">
        <f ca="1" t="shared" si="436"/>
        <v>0</v>
      </c>
      <c r="I881" s="555">
        <f ca="1" t="shared" si="436"/>
        <v>0</v>
      </c>
      <c r="J881" s="555">
        <f ca="1" t="shared" si="436"/>
        <v>0</v>
      </c>
      <c r="K881" s="555">
        <f ca="1" t="shared" si="436"/>
        <v>0</v>
      </c>
      <c r="L881" s="555">
        <f ca="1" t="shared" si="436"/>
        <v>0</v>
      </c>
      <c r="M881" s="555">
        <f ca="1" t="shared" si="436"/>
        <v>0</v>
      </c>
      <c r="N881" s="555">
        <f ca="1" t="shared" ref="N881:N886" si="441">F881-J881</f>
        <v>0</v>
      </c>
      <c r="O881" s="555">
        <f ca="1" t="shared" ref="O881:O886" si="442">I881-M881</f>
        <v>0</v>
      </c>
    </row>
    <row r="882" ht="15" spans="2:15">
      <c r="B882" s="551"/>
      <c r="C882" s="558" t="s">
        <v>783</v>
      </c>
      <c r="D882" s="553"/>
      <c r="E882" s="416"/>
      <c r="F882" s="555">
        <f ca="1" t="shared" si="436"/>
        <v>0</v>
      </c>
      <c r="G882" s="555">
        <f ca="1" t="shared" si="436"/>
        <v>0</v>
      </c>
      <c r="H882" s="555">
        <f ca="1" t="shared" si="436"/>
        <v>0</v>
      </c>
      <c r="I882" s="555">
        <f ca="1" t="shared" si="436"/>
        <v>0</v>
      </c>
      <c r="J882" s="555">
        <f ca="1" t="shared" si="436"/>
        <v>0</v>
      </c>
      <c r="K882" s="555">
        <f ca="1" t="shared" si="436"/>
        <v>0</v>
      </c>
      <c r="L882" s="555">
        <f ca="1" t="shared" si="436"/>
        <v>0</v>
      </c>
      <c r="M882" s="555">
        <f ca="1" t="shared" si="436"/>
        <v>0</v>
      </c>
      <c r="N882" s="555">
        <f ca="1" t="shared" si="441"/>
        <v>0</v>
      </c>
      <c r="O882" s="555">
        <f ca="1" t="shared" si="442"/>
        <v>0</v>
      </c>
    </row>
    <row r="883" ht="15" spans="2:15">
      <c r="B883" s="551"/>
      <c r="C883" s="558" t="s">
        <v>784</v>
      </c>
      <c r="D883" s="553"/>
      <c r="E883" s="416"/>
      <c r="F883" s="555">
        <f ca="1" t="shared" si="436"/>
        <v>0</v>
      </c>
      <c r="G883" s="555">
        <f ca="1" t="shared" si="436"/>
        <v>0</v>
      </c>
      <c r="H883" s="555">
        <f ca="1" t="shared" si="436"/>
        <v>0</v>
      </c>
      <c r="I883" s="555">
        <f ca="1" t="shared" si="436"/>
        <v>0</v>
      </c>
      <c r="J883" s="555">
        <f ca="1" t="shared" si="436"/>
        <v>0</v>
      </c>
      <c r="K883" s="555">
        <f ca="1" t="shared" si="436"/>
        <v>0</v>
      </c>
      <c r="L883" s="555">
        <f ca="1" t="shared" si="436"/>
        <v>0</v>
      </c>
      <c r="M883" s="555">
        <f ca="1" t="shared" si="436"/>
        <v>0</v>
      </c>
      <c r="N883" s="555">
        <f ca="1" t="shared" si="441"/>
        <v>0</v>
      </c>
      <c r="O883" s="555">
        <f ca="1" t="shared" si="442"/>
        <v>0</v>
      </c>
    </row>
    <row r="884" ht="15" spans="2:15">
      <c r="B884" s="551"/>
      <c r="C884" s="558" t="s">
        <v>785</v>
      </c>
      <c r="D884" s="553"/>
      <c r="E884" s="416"/>
      <c r="F884" s="555">
        <f ca="1" t="shared" si="436"/>
        <v>0</v>
      </c>
      <c r="G884" s="555">
        <f ca="1" t="shared" si="436"/>
        <v>0</v>
      </c>
      <c r="H884" s="555">
        <f ca="1" t="shared" si="436"/>
        <v>0</v>
      </c>
      <c r="I884" s="555">
        <f ca="1" t="shared" si="436"/>
        <v>0</v>
      </c>
      <c r="J884" s="555">
        <f ca="1" t="shared" si="436"/>
        <v>0</v>
      </c>
      <c r="K884" s="555">
        <f ca="1" t="shared" si="436"/>
        <v>0</v>
      </c>
      <c r="L884" s="555">
        <f ca="1" t="shared" si="436"/>
        <v>0</v>
      </c>
      <c r="M884" s="555">
        <f ca="1" t="shared" si="436"/>
        <v>0</v>
      </c>
      <c r="N884" s="555">
        <f ca="1" t="shared" si="441"/>
        <v>0</v>
      </c>
      <c r="O884" s="555">
        <f ca="1" t="shared" si="442"/>
        <v>0</v>
      </c>
    </row>
    <row r="885" ht="15" spans="2:15">
      <c r="B885" s="551">
        <v>6</v>
      </c>
      <c r="C885" s="552" t="s">
        <v>786</v>
      </c>
      <c r="D885" s="553"/>
      <c r="E885" s="416"/>
      <c r="F885" s="555">
        <f ca="1" t="shared" ref="F885:M900" si="443">10%*F251</f>
        <v>0</v>
      </c>
      <c r="G885" s="555">
        <f ca="1" t="shared" si="443"/>
        <v>0</v>
      </c>
      <c r="H885" s="555">
        <f ca="1" t="shared" si="443"/>
        <v>0</v>
      </c>
      <c r="I885" s="555">
        <f ca="1" t="shared" si="443"/>
        <v>0</v>
      </c>
      <c r="J885" s="555">
        <f ca="1" t="shared" si="443"/>
        <v>0</v>
      </c>
      <c r="K885" s="555">
        <f ca="1" t="shared" si="443"/>
        <v>0</v>
      </c>
      <c r="L885" s="555">
        <f ca="1" t="shared" si="443"/>
        <v>0</v>
      </c>
      <c r="M885" s="555">
        <f ca="1" t="shared" si="443"/>
        <v>0</v>
      </c>
      <c r="N885" s="555">
        <f ca="1" t="shared" si="441"/>
        <v>0</v>
      </c>
      <c r="O885" s="555">
        <f ca="1" t="shared" si="442"/>
        <v>0</v>
      </c>
    </row>
    <row r="886" ht="15" spans="2:15">
      <c r="B886" s="551">
        <v>7</v>
      </c>
      <c r="C886" s="552" t="s">
        <v>787</v>
      </c>
      <c r="D886" s="553"/>
      <c r="E886" s="416"/>
      <c r="F886" s="555">
        <f ca="1" t="shared" si="443"/>
        <v>0</v>
      </c>
      <c r="G886" s="555">
        <f ca="1" t="shared" si="443"/>
        <v>0</v>
      </c>
      <c r="H886" s="555">
        <f ca="1" t="shared" si="443"/>
        <v>0</v>
      </c>
      <c r="I886" s="555">
        <f ca="1" t="shared" si="443"/>
        <v>0</v>
      </c>
      <c r="J886" s="555">
        <f ca="1" t="shared" si="443"/>
        <v>0</v>
      </c>
      <c r="K886" s="555">
        <f ca="1" t="shared" si="443"/>
        <v>0</v>
      </c>
      <c r="L886" s="555">
        <f ca="1" t="shared" si="443"/>
        <v>0</v>
      </c>
      <c r="M886" s="555">
        <f ca="1" t="shared" si="443"/>
        <v>0</v>
      </c>
      <c r="N886" s="555">
        <f ca="1" t="shared" si="441"/>
        <v>0</v>
      </c>
      <c r="O886" s="555">
        <f ca="1" t="shared" si="442"/>
        <v>0</v>
      </c>
    </row>
    <row r="887" ht="15" spans="2:15">
      <c r="B887" s="551">
        <v>8</v>
      </c>
      <c r="C887" s="552" t="s">
        <v>788</v>
      </c>
      <c r="D887" s="553"/>
      <c r="E887" s="416"/>
      <c r="F887" s="555">
        <f t="shared" si="443"/>
        <v>0</v>
      </c>
      <c r="G887" s="555">
        <f t="shared" si="443"/>
        <v>0</v>
      </c>
      <c r="H887" s="555">
        <f t="shared" si="443"/>
        <v>0</v>
      </c>
      <c r="I887" s="555">
        <f t="shared" si="443"/>
        <v>0</v>
      </c>
      <c r="J887" s="555">
        <f t="shared" si="443"/>
        <v>0</v>
      </c>
      <c r="K887" s="555">
        <f t="shared" si="443"/>
        <v>0</v>
      </c>
      <c r="L887" s="555">
        <f t="shared" si="443"/>
        <v>0</v>
      </c>
      <c r="M887" s="555">
        <f t="shared" si="443"/>
        <v>0</v>
      </c>
      <c r="N887" s="555"/>
      <c r="O887" s="555"/>
    </row>
    <row r="888" ht="15" spans="2:15">
      <c r="B888" s="551"/>
      <c r="C888" s="558" t="s">
        <v>789</v>
      </c>
      <c r="D888" s="553"/>
      <c r="E888" s="416"/>
      <c r="F888" s="555">
        <f ca="1" t="shared" si="443"/>
        <v>1405.74538994745</v>
      </c>
      <c r="G888" s="555">
        <f t="shared" si="443"/>
        <v>211.332491426826</v>
      </c>
      <c r="H888" s="555">
        <f ca="1" t="shared" si="443"/>
        <v>0</v>
      </c>
      <c r="I888" s="555">
        <f ca="1" t="shared" si="443"/>
        <v>1617.07788137428</v>
      </c>
      <c r="J888" s="555">
        <f ca="1" t="shared" si="443"/>
        <v>572.691565880305</v>
      </c>
      <c r="K888" s="555">
        <f t="shared" si="443"/>
        <v>50.4676945252636</v>
      </c>
      <c r="L888" s="555">
        <f ca="1" t="shared" si="443"/>
        <v>0</v>
      </c>
      <c r="M888" s="555">
        <f ca="1" t="shared" si="443"/>
        <v>623.159260405568</v>
      </c>
      <c r="N888" s="555">
        <f ca="1" t="shared" ref="N888:O892" si="444">F888-J888</f>
        <v>833.053824067148</v>
      </c>
      <c r="O888" s="555">
        <f ca="1" t="shared" ref="O888:O890" si="445">I888-M888</f>
        <v>993.91862096871</v>
      </c>
    </row>
    <row r="889" ht="15" spans="2:15">
      <c r="B889" s="551"/>
      <c r="C889" s="558" t="s">
        <v>808</v>
      </c>
      <c r="D889" s="553"/>
      <c r="E889" s="416"/>
      <c r="F889" s="555">
        <f ca="1" t="shared" si="443"/>
        <v>0</v>
      </c>
      <c r="G889" s="555">
        <f ca="1" t="shared" si="443"/>
        <v>0</v>
      </c>
      <c r="H889" s="555">
        <f ca="1" t="shared" si="443"/>
        <v>0</v>
      </c>
      <c r="I889" s="555">
        <f ca="1" t="shared" si="443"/>
        <v>0</v>
      </c>
      <c r="J889" s="555">
        <f ca="1" t="shared" si="443"/>
        <v>0</v>
      </c>
      <c r="K889" s="555">
        <f ca="1" t="shared" si="443"/>
        <v>0</v>
      </c>
      <c r="L889" s="555">
        <f ca="1" t="shared" si="443"/>
        <v>0</v>
      </c>
      <c r="M889" s="555">
        <f ca="1" t="shared" si="443"/>
        <v>0</v>
      </c>
      <c r="N889" s="555">
        <f ca="1" t="shared" si="444"/>
        <v>0</v>
      </c>
      <c r="O889" s="555">
        <f ca="1" t="shared" si="445"/>
        <v>0</v>
      </c>
    </row>
    <row r="890" ht="30" spans="2:15">
      <c r="B890" s="560">
        <v>9</v>
      </c>
      <c r="C890" s="561" t="s">
        <v>791</v>
      </c>
      <c r="D890" s="553"/>
      <c r="E890" s="416"/>
      <c r="F890" s="555">
        <f ca="1" t="shared" si="443"/>
        <v>0</v>
      </c>
      <c r="G890" s="555">
        <f ca="1" t="shared" si="443"/>
        <v>0</v>
      </c>
      <c r="H890" s="555">
        <f ca="1" t="shared" si="443"/>
        <v>0</v>
      </c>
      <c r="I890" s="555">
        <f ca="1" t="shared" si="443"/>
        <v>0</v>
      </c>
      <c r="J890" s="555">
        <f ca="1" t="shared" si="443"/>
        <v>0</v>
      </c>
      <c r="K890" s="555">
        <f ca="1" t="shared" si="443"/>
        <v>0</v>
      </c>
      <c r="L890" s="555">
        <f ca="1" t="shared" si="443"/>
        <v>0</v>
      </c>
      <c r="M890" s="555">
        <f ca="1" t="shared" si="443"/>
        <v>0</v>
      </c>
      <c r="N890" s="555">
        <f ca="1" t="shared" si="444"/>
        <v>0</v>
      </c>
      <c r="O890" s="555">
        <f ca="1" t="shared" si="445"/>
        <v>0</v>
      </c>
    </row>
    <row r="891" ht="15" spans="2:15">
      <c r="B891" s="562">
        <v>10</v>
      </c>
      <c r="C891" s="563" t="s">
        <v>792</v>
      </c>
      <c r="D891" s="564"/>
      <c r="E891" s="416"/>
      <c r="F891" s="555">
        <f ca="1" t="shared" si="443"/>
        <v>1007.3544176614</v>
      </c>
      <c r="G891" s="555">
        <f t="shared" si="443"/>
        <v>324.079815442332</v>
      </c>
      <c r="H891" s="555">
        <f ca="1" t="shared" si="443"/>
        <v>0</v>
      </c>
      <c r="I891" s="555">
        <f ca="1" t="shared" si="443"/>
        <v>1331.43423310373</v>
      </c>
      <c r="J891" s="555">
        <f ca="1" t="shared" si="443"/>
        <v>234.416299924205</v>
      </c>
      <c r="K891" s="555">
        <f t="shared" si="443"/>
        <v>82.0393997164436</v>
      </c>
      <c r="L891" s="555">
        <f ca="1" t="shared" si="443"/>
        <v>0</v>
      </c>
      <c r="M891" s="555">
        <f ca="1" t="shared" si="443"/>
        <v>316.455699640649</v>
      </c>
      <c r="N891" s="555">
        <f ca="1" t="shared" si="444"/>
        <v>772.938117737195</v>
      </c>
      <c r="O891" s="555">
        <f t="shared" si="444"/>
        <v>242.040415725888</v>
      </c>
    </row>
    <row r="892" ht="15" spans="2:15">
      <c r="B892" s="562">
        <v>11</v>
      </c>
      <c r="C892" s="563" t="s">
        <v>793</v>
      </c>
      <c r="D892" s="564"/>
      <c r="E892" s="416"/>
      <c r="F892" s="555">
        <f ca="1" t="shared" si="443"/>
        <v>0.708</v>
      </c>
      <c r="G892" s="555">
        <f ca="1" t="shared" si="443"/>
        <v>0</v>
      </c>
      <c r="H892" s="555">
        <f ca="1" t="shared" si="443"/>
        <v>0</v>
      </c>
      <c r="I892" s="555">
        <f ca="1" t="shared" si="443"/>
        <v>0.708</v>
      </c>
      <c r="J892" s="555">
        <f ca="1" t="shared" si="443"/>
        <v>0.6833210851</v>
      </c>
      <c r="K892" s="555">
        <f t="shared" si="443"/>
        <v>0</v>
      </c>
      <c r="L892" s="555">
        <f ca="1" t="shared" si="443"/>
        <v>0</v>
      </c>
      <c r="M892" s="555">
        <f ca="1" t="shared" si="443"/>
        <v>0.6833210851</v>
      </c>
      <c r="N892" s="555">
        <f ca="1" t="shared" si="444"/>
        <v>0.0246789149000001</v>
      </c>
      <c r="O892" s="555">
        <f ca="1" t="shared" si="444"/>
        <v>0</v>
      </c>
    </row>
    <row r="893" ht="15" spans="2:15">
      <c r="B893" s="562">
        <v>12</v>
      </c>
      <c r="C893" s="563" t="s">
        <v>794</v>
      </c>
      <c r="D893" s="564"/>
      <c r="E893" s="416"/>
      <c r="F893" s="555">
        <f t="shared" si="443"/>
        <v>0</v>
      </c>
      <c r="G893" s="555">
        <f t="shared" si="443"/>
        <v>0</v>
      </c>
      <c r="H893" s="555">
        <f t="shared" si="443"/>
        <v>0</v>
      </c>
      <c r="I893" s="555">
        <f t="shared" si="443"/>
        <v>0</v>
      </c>
      <c r="J893" s="555">
        <f t="shared" si="443"/>
        <v>0</v>
      </c>
      <c r="K893" s="555">
        <f t="shared" si="443"/>
        <v>0</v>
      </c>
      <c r="L893" s="555">
        <f t="shared" si="443"/>
        <v>0</v>
      </c>
      <c r="M893" s="555">
        <f t="shared" si="443"/>
        <v>0</v>
      </c>
      <c r="N893" s="555"/>
      <c r="O893" s="555"/>
    </row>
    <row r="894" ht="15" spans="2:15">
      <c r="B894" s="562"/>
      <c r="C894" s="565" t="s">
        <v>795</v>
      </c>
      <c r="D894" s="564"/>
      <c r="E894" s="416"/>
      <c r="F894" s="555">
        <f ca="1" t="shared" si="443"/>
        <v>0.26</v>
      </c>
      <c r="G894" s="555">
        <f ca="1" t="shared" si="443"/>
        <v>0</v>
      </c>
      <c r="H894" s="555">
        <f ca="1" t="shared" si="443"/>
        <v>0</v>
      </c>
      <c r="I894" s="555">
        <f ca="1" t="shared" si="443"/>
        <v>0.26</v>
      </c>
      <c r="J894" s="555">
        <f ca="1" t="shared" si="443"/>
        <v>0.1701644132</v>
      </c>
      <c r="K894" s="555">
        <f ca="1" t="shared" si="443"/>
        <v>0</v>
      </c>
      <c r="L894" s="555">
        <f ca="1" t="shared" si="443"/>
        <v>0</v>
      </c>
      <c r="M894" s="555">
        <f ca="1" t="shared" si="443"/>
        <v>0.1701644132</v>
      </c>
      <c r="N894" s="555">
        <f ca="1" t="shared" ref="N894:O895" si="446">F894-J894</f>
        <v>0.0898355868</v>
      </c>
      <c r="O894" s="555">
        <f ca="1" t="shared" si="446"/>
        <v>0</v>
      </c>
    </row>
    <row r="895" ht="15" spans="2:15">
      <c r="B895" s="562"/>
      <c r="C895" s="565" t="s">
        <v>796</v>
      </c>
      <c r="D895" s="564"/>
      <c r="E895" s="416"/>
      <c r="F895" s="555">
        <f ca="1" t="shared" si="443"/>
        <v>0</v>
      </c>
      <c r="G895" s="555">
        <f ca="1" t="shared" si="443"/>
        <v>0</v>
      </c>
      <c r="H895" s="555">
        <f ca="1" t="shared" si="443"/>
        <v>0</v>
      </c>
      <c r="I895" s="555">
        <f ca="1" t="shared" si="443"/>
        <v>0</v>
      </c>
      <c r="J895" s="555">
        <f ca="1" t="shared" si="443"/>
        <v>0</v>
      </c>
      <c r="K895" s="555">
        <f ca="1" t="shared" si="443"/>
        <v>0</v>
      </c>
      <c r="L895" s="555">
        <f ca="1" t="shared" si="443"/>
        <v>0</v>
      </c>
      <c r="M895" s="555">
        <f ca="1" t="shared" si="443"/>
        <v>0</v>
      </c>
      <c r="N895" s="555">
        <f ca="1" t="shared" si="446"/>
        <v>0</v>
      </c>
      <c r="O895" s="555">
        <f ca="1" t="shared" si="446"/>
        <v>0</v>
      </c>
    </row>
    <row r="896" ht="15" spans="2:15">
      <c r="B896" s="562">
        <v>13</v>
      </c>
      <c r="C896" s="565"/>
      <c r="D896" s="564"/>
      <c r="E896" s="416"/>
      <c r="F896" s="555">
        <f t="shared" si="443"/>
        <v>0</v>
      </c>
      <c r="G896" s="555">
        <f t="shared" si="443"/>
        <v>0</v>
      </c>
      <c r="H896" s="555">
        <f t="shared" si="443"/>
        <v>0</v>
      </c>
      <c r="I896" s="555">
        <f t="shared" si="443"/>
        <v>0</v>
      </c>
      <c r="J896" s="555">
        <f t="shared" si="443"/>
        <v>0</v>
      </c>
      <c r="K896" s="555">
        <f t="shared" si="443"/>
        <v>0</v>
      </c>
      <c r="L896" s="555">
        <f t="shared" si="443"/>
        <v>0</v>
      </c>
      <c r="M896" s="555">
        <f t="shared" si="443"/>
        <v>0</v>
      </c>
      <c r="N896" s="555"/>
      <c r="O896" s="555"/>
    </row>
    <row r="897" ht="15" spans="2:15">
      <c r="B897" s="562"/>
      <c r="C897" s="565" t="s">
        <v>797</v>
      </c>
      <c r="D897" s="564"/>
      <c r="E897" s="416"/>
      <c r="F897" s="555">
        <f ca="1" t="shared" si="443"/>
        <v>1.725</v>
      </c>
      <c r="G897" s="555">
        <f ca="1" t="shared" si="443"/>
        <v>0</v>
      </c>
      <c r="H897" s="555">
        <f ca="1" t="shared" si="443"/>
        <v>0</v>
      </c>
      <c r="I897" s="555">
        <f ca="1" t="shared" si="443"/>
        <v>1.725</v>
      </c>
      <c r="J897" s="555">
        <f ca="1" t="shared" si="443"/>
        <v>1.3458035385</v>
      </c>
      <c r="K897" s="555">
        <f t="shared" si="443"/>
        <v>0.0405165171</v>
      </c>
      <c r="L897" s="555">
        <f ca="1" t="shared" si="443"/>
        <v>0</v>
      </c>
      <c r="M897" s="555">
        <f ca="1" t="shared" si="443"/>
        <v>1.3863200556</v>
      </c>
      <c r="N897" s="555">
        <f ca="1" t="shared" ref="N897:O900" si="447">F897-J897</f>
        <v>0.3791964615</v>
      </c>
      <c r="O897" s="555">
        <f ca="1" t="shared" si="447"/>
        <v>-0.0405165171</v>
      </c>
    </row>
    <row r="898" ht="15" spans="2:15">
      <c r="B898" s="562"/>
      <c r="C898" s="565" t="s">
        <v>798</v>
      </c>
      <c r="D898" s="564"/>
      <c r="E898" s="416"/>
      <c r="F898" s="555">
        <f ca="1" t="shared" si="443"/>
        <v>5.19788196397093</v>
      </c>
      <c r="G898" s="555">
        <f t="shared" si="443"/>
        <v>0.0239268484883315</v>
      </c>
      <c r="H898" s="555">
        <f ca="1" t="shared" si="443"/>
        <v>0</v>
      </c>
      <c r="I898" s="555">
        <f ca="1" t="shared" si="443"/>
        <v>5.22180881245926</v>
      </c>
      <c r="J898" s="555">
        <f ca="1" t="shared" si="443"/>
        <v>3.94161938733084</v>
      </c>
      <c r="K898" s="555">
        <f t="shared" si="443"/>
        <v>0.139702427939359</v>
      </c>
      <c r="L898" s="555">
        <f ca="1" t="shared" si="443"/>
        <v>0</v>
      </c>
      <c r="M898" s="555">
        <f ca="1" t="shared" si="443"/>
        <v>4.0813218152702</v>
      </c>
      <c r="N898" s="555">
        <f ca="1" t="shared" si="447"/>
        <v>1.25626257664009</v>
      </c>
      <c r="O898" s="555">
        <f t="shared" si="447"/>
        <v>-0.115775579451028</v>
      </c>
    </row>
    <row r="899" ht="15" spans="2:15">
      <c r="B899" s="562"/>
      <c r="C899" s="565" t="s">
        <v>799</v>
      </c>
      <c r="D899" s="564"/>
      <c r="E899" s="416"/>
      <c r="F899" s="555">
        <f ca="1" t="shared" si="443"/>
        <v>0</v>
      </c>
      <c r="G899" s="555">
        <f ca="1" t="shared" si="443"/>
        <v>0</v>
      </c>
      <c r="H899" s="555">
        <f ca="1" t="shared" si="443"/>
        <v>0</v>
      </c>
      <c r="I899" s="555">
        <f ca="1" t="shared" si="443"/>
        <v>0</v>
      </c>
      <c r="J899" s="555">
        <f ca="1" t="shared" si="443"/>
        <v>0</v>
      </c>
      <c r="K899" s="555">
        <f ca="1" t="shared" si="443"/>
        <v>0</v>
      </c>
      <c r="L899" s="555">
        <f ca="1" t="shared" si="443"/>
        <v>0</v>
      </c>
      <c r="M899" s="555">
        <f ca="1" t="shared" si="443"/>
        <v>0</v>
      </c>
      <c r="N899" s="555">
        <f ca="1" t="shared" si="447"/>
        <v>0</v>
      </c>
      <c r="O899" s="555">
        <f ca="1" t="shared" si="447"/>
        <v>0</v>
      </c>
    </row>
    <row r="900" ht="15" spans="2:15">
      <c r="B900" s="562"/>
      <c r="C900" s="565" t="s">
        <v>800</v>
      </c>
      <c r="D900" s="564"/>
      <c r="E900" s="416"/>
      <c r="F900" s="555">
        <f ca="1" t="shared" si="443"/>
        <v>0</v>
      </c>
      <c r="G900" s="555">
        <f ca="1" t="shared" si="443"/>
        <v>0</v>
      </c>
      <c r="H900" s="555">
        <f ca="1" t="shared" si="443"/>
        <v>0</v>
      </c>
      <c r="I900" s="555">
        <f ca="1" t="shared" si="443"/>
        <v>0</v>
      </c>
      <c r="J900" s="555">
        <f ca="1" t="shared" si="443"/>
        <v>0</v>
      </c>
      <c r="K900" s="555">
        <f ca="1" t="shared" si="443"/>
        <v>0</v>
      </c>
      <c r="L900" s="555">
        <f ca="1" t="shared" si="443"/>
        <v>0</v>
      </c>
      <c r="M900" s="555">
        <f ca="1" t="shared" si="443"/>
        <v>0</v>
      </c>
      <c r="N900" s="555">
        <f ca="1" t="shared" si="447"/>
        <v>0</v>
      </c>
      <c r="O900" s="555">
        <f ca="1" t="shared" si="447"/>
        <v>0</v>
      </c>
    </row>
    <row r="901" ht="15" spans="2:15">
      <c r="B901" s="562">
        <v>14</v>
      </c>
      <c r="C901" s="563" t="s">
        <v>801</v>
      </c>
      <c r="D901" s="564"/>
      <c r="E901" s="416"/>
      <c r="F901" s="555">
        <f t="shared" ref="F901:M907" si="448">10%*F267</f>
        <v>0</v>
      </c>
      <c r="G901" s="555">
        <f t="shared" si="448"/>
        <v>0</v>
      </c>
      <c r="H901" s="555">
        <f t="shared" si="448"/>
        <v>0</v>
      </c>
      <c r="I901" s="555">
        <f t="shared" si="448"/>
        <v>0</v>
      </c>
      <c r="J901" s="555">
        <f t="shared" si="448"/>
        <v>0</v>
      </c>
      <c r="K901" s="555">
        <f t="shared" si="448"/>
        <v>0</v>
      </c>
      <c r="L901" s="555">
        <f t="shared" si="448"/>
        <v>0</v>
      </c>
      <c r="M901" s="555">
        <f t="shared" si="448"/>
        <v>0</v>
      </c>
      <c r="N901" s="555"/>
      <c r="O901" s="555"/>
    </row>
    <row r="902" ht="15" spans="2:15">
      <c r="B902" s="562"/>
      <c r="C902" s="565" t="s">
        <v>802</v>
      </c>
      <c r="D902" s="564"/>
      <c r="E902" s="416"/>
      <c r="F902" s="555">
        <f ca="1" t="shared" si="448"/>
        <v>0</v>
      </c>
      <c r="G902" s="555">
        <f ca="1" t="shared" si="448"/>
        <v>0</v>
      </c>
      <c r="H902" s="555">
        <f ca="1" t="shared" si="448"/>
        <v>0</v>
      </c>
      <c r="I902" s="555">
        <f ca="1" t="shared" si="448"/>
        <v>0</v>
      </c>
      <c r="J902" s="555">
        <f ca="1" t="shared" si="448"/>
        <v>0</v>
      </c>
      <c r="K902" s="555">
        <f ca="1" t="shared" si="448"/>
        <v>0</v>
      </c>
      <c r="L902" s="555">
        <f ca="1" t="shared" si="448"/>
        <v>0</v>
      </c>
      <c r="M902" s="555">
        <f ca="1" t="shared" si="448"/>
        <v>0</v>
      </c>
      <c r="N902" s="555">
        <f ca="1" t="shared" ref="N902:O907" si="449">F902-J902</f>
        <v>0</v>
      </c>
      <c r="O902" s="555">
        <f ca="1" t="shared" si="449"/>
        <v>0</v>
      </c>
    </row>
    <row r="903" ht="15" spans="2:15">
      <c r="B903" s="562"/>
      <c r="C903" s="565" t="s">
        <v>803</v>
      </c>
      <c r="D903" s="564"/>
      <c r="E903" s="416"/>
      <c r="F903" s="555">
        <f ca="1" t="shared" si="448"/>
        <v>0</v>
      </c>
      <c r="G903" s="555">
        <f ca="1" t="shared" si="448"/>
        <v>0</v>
      </c>
      <c r="H903" s="555">
        <f ca="1" t="shared" si="448"/>
        <v>0</v>
      </c>
      <c r="I903" s="555">
        <f ca="1" t="shared" si="448"/>
        <v>0</v>
      </c>
      <c r="J903" s="555">
        <f ca="1" t="shared" si="448"/>
        <v>0</v>
      </c>
      <c r="K903" s="555">
        <f ca="1" t="shared" si="448"/>
        <v>0</v>
      </c>
      <c r="L903" s="555">
        <f ca="1" t="shared" si="448"/>
        <v>0</v>
      </c>
      <c r="M903" s="555">
        <f ca="1" t="shared" si="448"/>
        <v>0</v>
      </c>
      <c r="N903" s="555">
        <f ca="1" t="shared" si="449"/>
        <v>0</v>
      </c>
      <c r="O903" s="555">
        <f ca="1" t="shared" si="449"/>
        <v>0</v>
      </c>
    </row>
    <row r="904" ht="15" spans="2:15">
      <c r="B904" s="562"/>
      <c r="C904" s="565" t="s">
        <v>804</v>
      </c>
      <c r="D904" s="564"/>
      <c r="E904" s="416"/>
      <c r="F904" s="555">
        <f ca="1" t="shared" si="448"/>
        <v>0</v>
      </c>
      <c r="G904" s="555">
        <f ca="1" t="shared" si="448"/>
        <v>0</v>
      </c>
      <c r="H904" s="555">
        <f ca="1" t="shared" si="448"/>
        <v>0</v>
      </c>
      <c r="I904" s="555">
        <f ca="1" t="shared" si="448"/>
        <v>0</v>
      </c>
      <c r="J904" s="555">
        <f ca="1" t="shared" si="448"/>
        <v>0</v>
      </c>
      <c r="K904" s="555">
        <f ca="1" t="shared" si="448"/>
        <v>0</v>
      </c>
      <c r="L904" s="555">
        <f ca="1" t="shared" si="448"/>
        <v>0</v>
      </c>
      <c r="M904" s="555">
        <f ca="1" t="shared" si="448"/>
        <v>0</v>
      </c>
      <c r="N904" s="555">
        <f ca="1" t="shared" si="449"/>
        <v>0</v>
      </c>
      <c r="O904" s="555">
        <f ca="1" t="shared" si="449"/>
        <v>0</v>
      </c>
    </row>
    <row r="905" ht="15" spans="2:15">
      <c r="B905" s="562">
        <v>15</v>
      </c>
      <c r="C905" s="563" t="s">
        <v>805</v>
      </c>
      <c r="D905" s="564"/>
      <c r="E905" s="416"/>
      <c r="F905" s="555">
        <f ca="1" t="shared" si="448"/>
        <v>23.3373432955069</v>
      </c>
      <c r="G905" s="555">
        <f t="shared" si="448"/>
        <v>1.87908650018116</v>
      </c>
      <c r="H905" s="555">
        <f ca="1" t="shared" si="448"/>
        <v>0</v>
      </c>
      <c r="I905" s="555">
        <f ca="1" t="shared" si="448"/>
        <v>25.216429795688</v>
      </c>
      <c r="J905" s="555">
        <f ca="1" t="shared" si="448"/>
        <v>18.8521142394772</v>
      </c>
      <c r="K905" s="555">
        <f t="shared" si="448"/>
        <v>1.06476395233961</v>
      </c>
      <c r="L905" s="555">
        <f ca="1" t="shared" si="448"/>
        <v>0</v>
      </c>
      <c r="M905" s="555">
        <f ca="1" t="shared" si="448"/>
        <v>19.9168781918168</v>
      </c>
      <c r="N905" s="555">
        <f ca="1" t="shared" si="449"/>
        <v>4.48522905602961</v>
      </c>
      <c r="O905" s="555">
        <f t="shared" si="449"/>
        <v>0.81432254784155</v>
      </c>
    </row>
    <row r="906" ht="15" spans="2:15">
      <c r="B906" s="562">
        <v>16</v>
      </c>
      <c r="C906" s="563" t="s">
        <v>806</v>
      </c>
      <c r="D906" s="553"/>
      <c r="E906" s="416"/>
      <c r="F906" s="555">
        <f ca="1" t="shared" si="448"/>
        <v>7.08</v>
      </c>
      <c r="G906" s="555">
        <f ca="1" t="shared" si="448"/>
        <v>0</v>
      </c>
      <c r="H906" s="555">
        <f ca="1" t="shared" si="448"/>
        <v>0</v>
      </c>
      <c r="I906" s="555">
        <f ca="1" t="shared" si="448"/>
        <v>7.08</v>
      </c>
      <c r="J906" s="555">
        <f ca="1" t="shared" si="448"/>
        <v>6.2573560521</v>
      </c>
      <c r="K906" s="555">
        <f t="shared" si="448"/>
        <v>0.3046486616</v>
      </c>
      <c r="L906" s="555">
        <f ca="1" t="shared" si="448"/>
        <v>0</v>
      </c>
      <c r="M906" s="555">
        <f ca="1" t="shared" si="448"/>
        <v>6.5620047137</v>
      </c>
      <c r="N906" s="555">
        <f ca="1" t="shared" si="449"/>
        <v>0.8226439479</v>
      </c>
      <c r="O906" s="555">
        <f ca="1" t="shared" si="449"/>
        <v>-0.3046486616</v>
      </c>
    </row>
    <row r="907" ht="15" spans="2:15">
      <c r="B907" s="562">
        <v>17</v>
      </c>
      <c r="C907" s="563" t="s">
        <v>807</v>
      </c>
      <c r="D907" s="553"/>
      <c r="E907" s="426"/>
      <c r="F907" s="555">
        <f ca="1" t="shared" si="448"/>
        <v>0</v>
      </c>
      <c r="G907" s="555">
        <f ca="1" t="shared" si="448"/>
        <v>0</v>
      </c>
      <c r="H907" s="555">
        <f ca="1" t="shared" si="448"/>
        <v>0</v>
      </c>
      <c r="I907" s="555">
        <f ca="1" t="shared" si="448"/>
        <v>0</v>
      </c>
      <c r="J907" s="555">
        <f ca="1" t="shared" si="448"/>
        <v>0.4466468187</v>
      </c>
      <c r="K907" s="555">
        <f ca="1" t="shared" si="448"/>
        <v>0</v>
      </c>
      <c r="L907" s="555">
        <f ca="1" t="shared" si="448"/>
        <v>0</v>
      </c>
      <c r="M907" s="555">
        <f ca="1" t="shared" si="448"/>
        <v>0.4466468187</v>
      </c>
      <c r="N907" s="555">
        <f ca="1" t="shared" si="449"/>
        <v>-0.4466468187</v>
      </c>
      <c r="O907" s="555">
        <f ca="1" t="shared" si="449"/>
        <v>0</v>
      </c>
    </row>
    <row r="908" ht="15.75" spans="2:15">
      <c r="B908" s="566"/>
      <c r="C908" s="567" t="s">
        <v>97</v>
      </c>
      <c r="D908" s="567"/>
      <c r="E908" s="568"/>
      <c r="F908" s="569">
        <f ca="1">SUM(F868:F907)</f>
        <v>3928.48710718278</v>
      </c>
      <c r="G908" s="569">
        <f ca="1" t="shared" ref="G908:O908" si="450">SUM(G868:G907)</f>
        <v>740.890183874306</v>
      </c>
      <c r="H908" s="569">
        <f ca="1" t="shared" si="450"/>
        <v>0</v>
      </c>
      <c r="I908" s="569">
        <f ca="1" t="shared" si="450"/>
        <v>4669.37729105709</v>
      </c>
      <c r="J908" s="569">
        <f ca="1" t="shared" si="450"/>
        <v>1501.84626781394</v>
      </c>
      <c r="K908" s="569">
        <f ca="1" t="shared" si="450"/>
        <v>190.265120463359</v>
      </c>
      <c r="L908" s="569">
        <f ca="1" t="shared" si="450"/>
        <v>0</v>
      </c>
      <c r="M908" s="569">
        <f ca="1" t="shared" si="450"/>
        <v>1692.1113882773</v>
      </c>
      <c r="N908" s="569">
        <f ca="1" t="shared" si="450"/>
        <v>2426.64083936884</v>
      </c>
      <c r="O908" s="569">
        <f ca="1" t="shared" si="450"/>
        <v>2197.71658531752</v>
      </c>
    </row>
    <row r="910" ht="15" spans="2:15">
      <c r="B910" s="570" t="s">
        <v>657</v>
      </c>
      <c r="C910" s="571"/>
      <c r="D910" s="571"/>
      <c r="E910" s="571"/>
      <c r="F910" s="571"/>
      <c r="G910" s="571"/>
      <c r="H910" s="571"/>
      <c r="I910" s="571"/>
      <c r="J910" s="571"/>
      <c r="K910" s="571"/>
      <c r="L910" s="571"/>
      <c r="M910" s="571"/>
      <c r="N910" s="571"/>
      <c r="O910" s="581"/>
    </row>
    <row r="911" ht="15" spans="2:15">
      <c r="B911" s="547" t="s">
        <v>564</v>
      </c>
      <c r="C911" s="978" t="s">
        <v>671</v>
      </c>
      <c r="D911" s="549" t="s">
        <v>672</v>
      </c>
      <c r="E911" s="549" t="s">
        <v>673</v>
      </c>
      <c r="F911" s="549" t="s">
        <v>674</v>
      </c>
      <c r="G911" s="549"/>
      <c r="H911" s="549"/>
      <c r="I911" s="549"/>
      <c r="J911" s="549" t="s">
        <v>675</v>
      </c>
      <c r="K911" s="549"/>
      <c r="L911" s="549"/>
      <c r="M911" s="549"/>
      <c r="N911" s="549" t="s">
        <v>676</v>
      </c>
      <c r="O911" s="579"/>
    </row>
    <row r="912" ht="60.75" spans="2:15">
      <c r="B912" s="572"/>
      <c r="C912" s="573"/>
      <c r="D912" s="574"/>
      <c r="E912" s="574"/>
      <c r="F912" s="574" t="s">
        <v>677</v>
      </c>
      <c r="G912" s="574" t="s">
        <v>678</v>
      </c>
      <c r="H912" s="574" t="s">
        <v>679</v>
      </c>
      <c r="I912" s="574" t="s">
        <v>680</v>
      </c>
      <c r="J912" s="574" t="s">
        <v>681</v>
      </c>
      <c r="K912" s="574" t="s">
        <v>678</v>
      </c>
      <c r="L912" s="574" t="s">
        <v>682</v>
      </c>
      <c r="M912" s="574" t="s">
        <v>683</v>
      </c>
      <c r="N912" s="574" t="s">
        <v>677</v>
      </c>
      <c r="O912" s="582" t="s">
        <v>680</v>
      </c>
    </row>
    <row r="913" ht="15" spans="2:15">
      <c r="B913" s="551">
        <v>1</v>
      </c>
      <c r="C913" s="552" t="s">
        <v>684</v>
      </c>
      <c r="D913" s="546"/>
      <c r="E913" s="576"/>
      <c r="F913" s="555">
        <f ca="1">10%*F279</f>
        <v>30.6773524187939</v>
      </c>
      <c r="G913" s="555">
        <f t="shared" ref="G913:M913" si="451">10%*G279</f>
        <v>8.91418580044267</v>
      </c>
      <c r="H913" s="555">
        <f ca="1" t="shared" si="451"/>
        <v>0</v>
      </c>
      <c r="I913" s="555">
        <f ca="1" t="shared" si="451"/>
        <v>39.5915382192366</v>
      </c>
      <c r="J913" s="555">
        <f ca="1" t="shared" si="451"/>
        <v>0.000489906200000156</v>
      </c>
      <c r="K913" s="555">
        <f t="shared" si="451"/>
        <v>0</v>
      </c>
      <c r="L913" s="555">
        <f ca="1" t="shared" si="451"/>
        <v>0</v>
      </c>
      <c r="M913" s="555">
        <f ca="1" t="shared" si="451"/>
        <v>0.000489906200000156</v>
      </c>
      <c r="N913" s="555">
        <f ca="1">F913-J913</f>
        <v>30.6768625125939</v>
      </c>
      <c r="O913" s="555">
        <f ca="1">I913-M913</f>
        <v>39.5910483130366</v>
      </c>
    </row>
    <row r="914" ht="15" spans="2:15">
      <c r="B914" s="551">
        <v>2</v>
      </c>
      <c r="C914" s="552" t="s">
        <v>770</v>
      </c>
      <c r="D914" s="614"/>
      <c r="E914" s="615"/>
      <c r="F914" s="555">
        <f ca="1" t="shared" ref="F914:M929" si="452">10%*F280</f>
        <v>0</v>
      </c>
      <c r="G914" s="555">
        <f ca="1" t="shared" si="452"/>
        <v>0</v>
      </c>
      <c r="H914" s="555">
        <f ca="1" t="shared" si="452"/>
        <v>0</v>
      </c>
      <c r="I914" s="555">
        <f ca="1" t="shared" si="452"/>
        <v>0</v>
      </c>
      <c r="J914" s="555">
        <f ca="1" t="shared" si="452"/>
        <v>0</v>
      </c>
      <c r="K914" s="555">
        <f ca="1" t="shared" si="452"/>
        <v>0</v>
      </c>
      <c r="L914" s="555">
        <f ca="1" t="shared" si="452"/>
        <v>0</v>
      </c>
      <c r="M914" s="555">
        <f ca="1" t="shared" si="452"/>
        <v>0</v>
      </c>
      <c r="N914" s="555">
        <f ca="1">F914-J914</f>
        <v>0</v>
      </c>
      <c r="O914" s="555">
        <f ca="1">I914-M914</f>
        <v>0</v>
      </c>
    </row>
    <row r="915" ht="15" spans="2:15">
      <c r="B915" s="551">
        <v>3</v>
      </c>
      <c r="C915" s="556" t="s">
        <v>771</v>
      </c>
      <c r="D915" s="553"/>
      <c r="E915" s="416"/>
      <c r="F915" s="555">
        <f t="shared" si="452"/>
        <v>0</v>
      </c>
      <c r="G915" s="555">
        <f t="shared" si="452"/>
        <v>0</v>
      </c>
      <c r="H915" s="555">
        <f t="shared" si="452"/>
        <v>0</v>
      </c>
      <c r="I915" s="555">
        <f t="shared" si="452"/>
        <v>0</v>
      </c>
      <c r="J915" s="555">
        <f t="shared" si="452"/>
        <v>0</v>
      </c>
      <c r="K915" s="555">
        <f t="shared" si="452"/>
        <v>0</v>
      </c>
      <c r="L915" s="555">
        <f t="shared" si="452"/>
        <v>0</v>
      </c>
      <c r="M915" s="555">
        <f t="shared" si="452"/>
        <v>0</v>
      </c>
      <c r="N915" s="555"/>
      <c r="O915" s="555"/>
    </row>
    <row r="916" ht="15" spans="2:15">
      <c r="B916" s="551"/>
      <c r="C916" s="557" t="s">
        <v>772</v>
      </c>
      <c r="D916" s="553"/>
      <c r="E916" s="416"/>
      <c r="F916" s="555">
        <f ca="1" t="shared" si="452"/>
        <v>65.2048587831679</v>
      </c>
      <c r="G916" s="555">
        <f t="shared" si="452"/>
        <v>8.30706865104163</v>
      </c>
      <c r="H916" s="555">
        <f ca="1" t="shared" si="452"/>
        <v>0</v>
      </c>
      <c r="I916" s="555">
        <f ca="1" t="shared" si="452"/>
        <v>73.5119274342095</v>
      </c>
      <c r="J916" s="555">
        <f ca="1" t="shared" si="452"/>
        <v>22.142732997949</v>
      </c>
      <c r="K916" s="555">
        <f t="shared" si="452"/>
        <v>2.26979800769291</v>
      </c>
      <c r="L916" s="555">
        <f ca="1" t="shared" si="452"/>
        <v>0</v>
      </c>
      <c r="M916" s="555">
        <f ca="1" t="shared" si="452"/>
        <v>24.4125310056419</v>
      </c>
      <c r="N916" s="555">
        <f ca="1" t="shared" ref="N916:N919" si="453">F916-J916</f>
        <v>43.0621257852189</v>
      </c>
      <c r="O916" s="555">
        <f ca="1" t="shared" ref="O916:O919" si="454">I916-M916</f>
        <v>49.0993964285676</v>
      </c>
    </row>
    <row r="917" ht="28.5" spans="2:15">
      <c r="B917" s="551"/>
      <c r="C917" s="557" t="s">
        <v>773</v>
      </c>
      <c r="D917" s="553"/>
      <c r="E917" s="416"/>
      <c r="F917" s="555">
        <f ca="1" t="shared" si="452"/>
        <v>0</v>
      </c>
      <c r="G917" s="555">
        <f ca="1" t="shared" si="452"/>
        <v>0</v>
      </c>
      <c r="H917" s="555">
        <f ca="1" t="shared" si="452"/>
        <v>0</v>
      </c>
      <c r="I917" s="555">
        <f ca="1" t="shared" si="452"/>
        <v>0</v>
      </c>
      <c r="J917" s="555">
        <f ca="1" t="shared" si="452"/>
        <v>0</v>
      </c>
      <c r="K917" s="555">
        <f ca="1" t="shared" si="452"/>
        <v>0</v>
      </c>
      <c r="L917" s="555">
        <f ca="1" t="shared" si="452"/>
        <v>0</v>
      </c>
      <c r="M917" s="555">
        <f ca="1" t="shared" si="452"/>
        <v>0</v>
      </c>
      <c r="N917" s="555">
        <f ca="1" t="shared" si="453"/>
        <v>0</v>
      </c>
      <c r="O917" s="555">
        <f ca="1" t="shared" si="454"/>
        <v>0</v>
      </c>
    </row>
    <row r="918" ht="15" spans="2:15">
      <c r="B918" s="551"/>
      <c r="C918" s="557" t="s">
        <v>774</v>
      </c>
      <c r="D918" s="553"/>
      <c r="E918" s="416"/>
      <c r="F918" s="555">
        <f ca="1" t="shared" si="452"/>
        <v>0</v>
      </c>
      <c r="G918" s="555">
        <f ca="1" t="shared" si="452"/>
        <v>0</v>
      </c>
      <c r="H918" s="555">
        <f ca="1" t="shared" si="452"/>
        <v>0</v>
      </c>
      <c r="I918" s="555">
        <f ca="1" t="shared" si="452"/>
        <v>0</v>
      </c>
      <c r="J918" s="555">
        <f ca="1" t="shared" si="452"/>
        <v>0</v>
      </c>
      <c r="K918" s="555">
        <f ca="1" t="shared" si="452"/>
        <v>0</v>
      </c>
      <c r="L918" s="555">
        <f ca="1" t="shared" si="452"/>
        <v>0</v>
      </c>
      <c r="M918" s="555">
        <f ca="1" t="shared" si="452"/>
        <v>0</v>
      </c>
      <c r="N918" s="555">
        <f ca="1" t="shared" si="453"/>
        <v>0</v>
      </c>
      <c r="O918" s="555">
        <f ca="1" t="shared" si="454"/>
        <v>0</v>
      </c>
    </row>
    <row r="919" ht="15" spans="2:15">
      <c r="B919" s="551"/>
      <c r="C919" s="557" t="s">
        <v>775</v>
      </c>
      <c r="D919" s="553"/>
      <c r="E919" s="416"/>
      <c r="F919" s="555">
        <f ca="1" t="shared" si="452"/>
        <v>22.108</v>
      </c>
      <c r="G919" s="555">
        <f ca="1" t="shared" si="452"/>
        <v>0</v>
      </c>
      <c r="H919" s="555">
        <f ca="1" t="shared" si="452"/>
        <v>0</v>
      </c>
      <c r="I919" s="555">
        <f ca="1" t="shared" si="452"/>
        <v>22.108</v>
      </c>
      <c r="J919" s="555">
        <f ca="1" t="shared" si="452"/>
        <v>4.4413445081</v>
      </c>
      <c r="K919" s="555">
        <f ca="1" t="shared" si="452"/>
        <v>0</v>
      </c>
      <c r="L919" s="555">
        <f ca="1" t="shared" si="452"/>
        <v>0</v>
      </c>
      <c r="M919" s="555">
        <f ca="1" t="shared" si="452"/>
        <v>4.4413445081</v>
      </c>
      <c r="N919" s="555">
        <f ca="1" t="shared" si="453"/>
        <v>17.6666554919</v>
      </c>
      <c r="O919" s="555">
        <f ca="1" t="shared" si="454"/>
        <v>17.6666554919</v>
      </c>
    </row>
    <row r="920" ht="15" spans="2:15">
      <c r="B920" s="551">
        <v>4</v>
      </c>
      <c r="C920" s="552" t="s">
        <v>776</v>
      </c>
      <c r="D920" s="553"/>
      <c r="E920" s="416"/>
      <c r="F920" s="555">
        <f t="shared" si="452"/>
        <v>0</v>
      </c>
      <c r="G920" s="555">
        <f t="shared" si="452"/>
        <v>0</v>
      </c>
      <c r="H920" s="555">
        <f t="shared" si="452"/>
        <v>0</v>
      </c>
      <c r="I920" s="555">
        <f t="shared" si="452"/>
        <v>0</v>
      </c>
      <c r="J920" s="555">
        <f t="shared" si="452"/>
        <v>0</v>
      </c>
      <c r="K920" s="555">
        <f t="shared" si="452"/>
        <v>0</v>
      </c>
      <c r="L920" s="555">
        <f t="shared" si="452"/>
        <v>0</v>
      </c>
      <c r="M920" s="555">
        <f t="shared" si="452"/>
        <v>0</v>
      </c>
      <c r="N920" s="555"/>
      <c r="O920" s="555"/>
    </row>
    <row r="921" ht="15" spans="2:15">
      <c r="B921" s="551"/>
      <c r="C921" s="558" t="s">
        <v>777</v>
      </c>
      <c r="D921" s="553"/>
      <c r="E921" s="416"/>
      <c r="F921" s="555">
        <f ca="1" t="shared" si="452"/>
        <v>1562.66372676897</v>
      </c>
      <c r="G921" s="555">
        <f t="shared" si="452"/>
        <v>198.528595921048</v>
      </c>
      <c r="H921" s="555">
        <f ca="1" t="shared" si="452"/>
        <v>0</v>
      </c>
      <c r="I921" s="555">
        <f ca="1" t="shared" si="452"/>
        <v>1761.19232269002</v>
      </c>
      <c r="J921" s="555">
        <f ca="1" t="shared" si="452"/>
        <v>692.665203725449</v>
      </c>
      <c r="K921" s="555">
        <f t="shared" si="452"/>
        <v>61.2523301570699</v>
      </c>
      <c r="L921" s="555">
        <f ca="1" t="shared" si="452"/>
        <v>0</v>
      </c>
      <c r="M921" s="555">
        <f ca="1" t="shared" si="452"/>
        <v>753.917533882519</v>
      </c>
      <c r="N921" s="555">
        <f ca="1" t="shared" ref="N921:N924" si="455">F921-J921</f>
        <v>869.99852304352</v>
      </c>
      <c r="O921" s="555">
        <f ca="1" t="shared" ref="O921:O924" si="456">I921-M921</f>
        <v>1007.2747888075</v>
      </c>
    </row>
    <row r="922" ht="15" spans="2:15">
      <c r="B922" s="551"/>
      <c r="C922" s="552" t="s">
        <v>778</v>
      </c>
      <c r="D922" s="553"/>
      <c r="E922" s="416"/>
      <c r="F922" s="555">
        <f t="shared" si="452"/>
        <v>0</v>
      </c>
      <c r="G922" s="555">
        <f t="shared" si="452"/>
        <v>0</v>
      </c>
      <c r="H922" s="555">
        <f t="shared" si="452"/>
        <v>0</v>
      </c>
      <c r="I922" s="555">
        <f t="shared" si="452"/>
        <v>0</v>
      </c>
      <c r="J922" s="555">
        <f t="shared" si="452"/>
        <v>0</v>
      </c>
      <c r="K922" s="555">
        <f t="shared" si="452"/>
        <v>0</v>
      </c>
      <c r="L922" s="555">
        <f t="shared" si="452"/>
        <v>0</v>
      </c>
      <c r="M922" s="555">
        <f t="shared" si="452"/>
        <v>0</v>
      </c>
      <c r="N922" s="555"/>
      <c r="O922" s="555"/>
    </row>
    <row r="923" ht="15" spans="2:15">
      <c r="B923" s="551"/>
      <c r="C923" s="558" t="s">
        <v>779</v>
      </c>
      <c r="D923" s="553"/>
      <c r="E923" s="416"/>
      <c r="F923" s="555">
        <f ca="1" t="shared" si="452"/>
        <v>0</v>
      </c>
      <c r="G923" s="555">
        <f ca="1" t="shared" si="452"/>
        <v>0</v>
      </c>
      <c r="H923" s="555">
        <f ca="1" t="shared" si="452"/>
        <v>0</v>
      </c>
      <c r="I923" s="555">
        <f ca="1" t="shared" si="452"/>
        <v>0</v>
      </c>
      <c r="J923" s="555">
        <f ca="1" t="shared" si="452"/>
        <v>0</v>
      </c>
      <c r="K923" s="555">
        <f ca="1" t="shared" si="452"/>
        <v>0</v>
      </c>
      <c r="L923" s="555">
        <f ca="1" t="shared" si="452"/>
        <v>0</v>
      </c>
      <c r="M923" s="555">
        <f ca="1" t="shared" si="452"/>
        <v>0</v>
      </c>
      <c r="N923" s="555">
        <f ca="1" t="shared" si="455"/>
        <v>0</v>
      </c>
      <c r="O923" s="555">
        <f ca="1" t="shared" si="456"/>
        <v>0</v>
      </c>
    </row>
    <row r="924" ht="15" spans="2:15">
      <c r="B924" s="551"/>
      <c r="C924" s="558" t="s">
        <v>780</v>
      </c>
      <c r="D924" s="553"/>
      <c r="E924" s="416"/>
      <c r="F924" s="555">
        <f ca="1" t="shared" si="452"/>
        <v>0</v>
      </c>
      <c r="G924" s="555">
        <f ca="1" t="shared" si="452"/>
        <v>0</v>
      </c>
      <c r="H924" s="555">
        <f ca="1" t="shared" si="452"/>
        <v>0</v>
      </c>
      <c r="I924" s="555">
        <f ca="1" t="shared" si="452"/>
        <v>0</v>
      </c>
      <c r="J924" s="555">
        <f ca="1" t="shared" si="452"/>
        <v>0</v>
      </c>
      <c r="K924" s="555">
        <f ca="1" t="shared" si="452"/>
        <v>0</v>
      </c>
      <c r="L924" s="555">
        <f ca="1" t="shared" si="452"/>
        <v>0</v>
      </c>
      <c r="M924" s="555">
        <f ca="1" t="shared" si="452"/>
        <v>0</v>
      </c>
      <c r="N924" s="555">
        <f ca="1" t="shared" si="455"/>
        <v>0</v>
      </c>
      <c r="O924" s="555">
        <f ca="1" t="shared" si="456"/>
        <v>0</v>
      </c>
    </row>
    <row r="925" ht="15" spans="2:15">
      <c r="B925" s="551">
        <v>5</v>
      </c>
      <c r="C925" s="552" t="s">
        <v>781</v>
      </c>
      <c r="D925" s="553"/>
      <c r="E925" s="416"/>
      <c r="F925" s="555">
        <f t="shared" si="452"/>
        <v>0</v>
      </c>
      <c r="G925" s="555">
        <f t="shared" si="452"/>
        <v>0</v>
      </c>
      <c r="H925" s="555">
        <f t="shared" si="452"/>
        <v>0</v>
      </c>
      <c r="I925" s="555">
        <f t="shared" si="452"/>
        <v>0</v>
      </c>
      <c r="J925" s="555">
        <f t="shared" si="452"/>
        <v>0</v>
      </c>
      <c r="K925" s="555">
        <f t="shared" si="452"/>
        <v>0</v>
      </c>
      <c r="L925" s="555">
        <f t="shared" si="452"/>
        <v>0</v>
      </c>
      <c r="M925" s="555">
        <f t="shared" si="452"/>
        <v>0</v>
      </c>
      <c r="N925" s="555"/>
      <c r="O925" s="555"/>
    </row>
    <row r="926" ht="15" spans="2:15">
      <c r="B926" s="551"/>
      <c r="C926" s="558" t="s">
        <v>782</v>
      </c>
      <c r="D926" s="553"/>
      <c r="E926" s="416"/>
      <c r="F926" s="555">
        <f ca="1" t="shared" si="452"/>
        <v>0</v>
      </c>
      <c r="G926" s="555">
        <f ca="1" t="shared" si="452"/>
        <v>0</v>
      </c>
      <c r="H926" s="555">
        <f ca="1" t="shared" si="452"/>
        <v>0</v>
      </c>
      <c r="I926" s="555">
        <f ca="1" t="shared" si="452"/>
        <v>0</v>
      </c>
      <c r="J926" s="555">
        <f ca="1" t="shared" si="452"/>
        <v>0</v>
      </c>
      <c r="K926" s="555">
        <f ca="1" t="shared" si="452"/>
        <v>0</v>
      </c>
      <c r="L926" s="555">
        <f ca="1" t="shared" si="452"/>
        <v>0</v>
      </c>
      <c r="M926" s="555">
        <f ca="1" t="shared" si="452"/>
        <v>0</v>
      </c>
      <c r="N926" s="555">
        <f ca="1" t="shared" ref="N926:N931" si="457">F926-J926</f>
        <v>0</v>
      </c>
      <c r="O926" s="555">
        <f ca="1" t="shared" ref="O926:O931" si="458">I926-M926</f>
        <v>0</v>
      </c>
    </row>
    <row r="927" ht="15" spans="2:15">
      <c r="B927" s="551"/>
      <c r="C927" s="558" t="s">
        <v>783</v>
      </c>
      <c r="D927" s="553"/>
      <c r="E927" s="416"/>
      <c r="F927" s="555">
        <f ca="1" t="shared" si="452"/>
        <v>0</v>
      </c>
      <c r="G927" s="555">
        <f ca="1" t="shared" si="452"/>
        <v>0</v>
      </c>
      <c r="H927" s="555">
        <f ca="1" t="shared" si="452"/>
        <v>0</v>
      </c>
      <c r="I927" s="555">
        <f ca="1" t="shared" si="452"/>
        <v>0</v>
      </c>
      <c r="J927" s="555">
        <f ca="1" t="shared" si="452"/>
        <v>0</v>
      </c>
      <c r="K927" s="555">
        <f ca="1" t="shared" si="452"/>
        <v>0</v>
      </c>
      <c r="L927" s="555">
        <f ca="1" t="shared" si="452"/>
        <v>0</v>
      </c>
      <c r="M927" s="555">
        <f ca="1" t="shared" si="452"/>
        <v>0</v>
      </c>
      <c r="N927" s="555">
        <f ca="1" t="shared" si="457"/>
        <v>0</v>
      </c>
      <c r="O927" s="555">
        <f ca="1" t="shared" si="458"/>
        <v>0</v>
      </c>
    </row>
    <row r="928" ht="15" spans="2:15">
      <c r="B928" s="551"/>
      <c r="C928" s="558" t="s">
        <v>784</v>
      </c>
      <c r="D928" s="553"/>
      <c r="E928" s="416"/>
      <c r="F928" s="555">
        <f ca="1" t="shared" si="452"/>
        <v>0</v>
      </c>
      <c r="G928" s="555">
        <f ca="1" t="shared" si="452"/>
        <v>0</v>
      </c>
      <c r="H928" s="555">
        <f ca="1" t="shared" si="452"/>
        <v>0</v>
      </c>
      <c r="I928" s="555">
        <f ca="1" t="shared" si="452"/>
        <v>0</v>
      </c>
      <c r="J928" s="555">
        <f ca="1" t="shared" si="452"/>
        <v>0</v>
      </c>
      <c r="K928" s="555">
        <f ca="1" t="shared" si="452"/>
        <v>0</v>
      </c>
      <c r="L928" s="555">
        <f ca="1" t="shared" si="452"/>
        <v>0</v>
      </c>
      <c r="M928" s="555">
        <f ca="1" t="shared" si="452"/>
        <v>0</v>
      </c>
      <c r="N928" s="555">
        <f ca="1" t="shared" si="457"/>
        <v>0</v>
      </c>
      <c r="O928" s="555">
        <f ca="1" t="shared" si="458"/>
        <v>0</v>
      </c>
    </row>
    <row r="929" ht="15" spans="2:15">
      <c r="B929" s="551"/>
      <c r="C929" s="558" t="s">
        <v>785</v>
      </c>
      <c r="D929" s="553"/>
      <c r="E929" s="416"/>
      <c r="F929" s="555">
        <f ca="1" t="shared" si="452"/>
        <v>0</v>
      </c>
      <c r="G929" s="555">
        <f ca="1" t="shared" si="452"/>
        <v>0</v>
      </c>
      <c r="H929" s="555">
        <f ca="1" t="shared" si="452"/>
        <v>0</v>
      </c>
      <c r="I929" s="555">
        <f ca="1" t="shared" si="452"/>
        <v>0</v>
      </c>
      <c r="J929" s="555">
        <f ca="1" t="shared" si="452"/>
        <v>0</v>
      </c>
      <c r="K929" s="555">
        <f ca="1" t="shared" si="452"/>
        <v>0</v>
      </c>
      <c r="L929" s="555">
        <f ca="1" t="shared" si="452"/>
        <v>0</v>
      </c>
      <c r="M929" s="555">
        <f ca="1" t="shared" si="452"/>
        <v>0</v>
      </c>
      <c r="N929" s="555">
        <f ca="1" t="shared" si="457"/>
        <v>0</v>
      </c>
      <c r="O929" s="555">
        <f ca="1" t="shared" si="458"/>
        <v>0</v>
      </c>
    </row>
    <row r="930" ht="15" spans="2:15">
      <c r="B930" s="551">
        <v>6</v>
      </c>
      <c r="C930" s="552" t="s">
        <v>786</v>
      </c>
      <c r="D930" s="553"/>
      <c r="E930" s="416"/>
      <c r="F930" s="555">
        <f ca="1" t="shared" ref="F930:M945" si="459">10%*F296</f>
        <v>0</v>
      </c>
      <c r="G930" s="555">
        <f ca="1" t="shared" si="459"/>
        <v>0</v>
      </c>
      <c r="H930" s="555">
        <f ca="1" t="shared" si="459"/>
        <v>0</v>
      </c>
      <c r="I930" s="555">
        <f ca="1" t="shared" si="459"/>
        <v>0</v>
      </c>
      <c r="J930" s="555">
        <f ca="1" t="shared" si="459"/>
        <v>0</v>
      </c>
      <c r="K930" s="555">
        <f ca="1" t="shared" si="459"/>
        <v>0</v>
      </c>
      <c r="L930" s="555">
        <f ca="1" t="shared" si="459"/>
        <v>0</v>
      </c>
      <c r="M930" s="555">
        <f ca="1" t="shared" si="459"/>
        <v>0</v>
      </c>
      <c r="N930" s="555">
        <f ca="1" t="shared" si="457"/>
        <v>0</v>
      </c>
      <c r="O930" s="555">
        <f ca="1" t="shared" si="458"/>
        <v>0</v>
      </c>
    </row>
    <row r="931" ht="15" spans="2:15">
      <c r="B931" s="551">
        <v>7</v>
      </c>
      <c r="C931" s="552" t="s">
        <v>787</v>
      </c>
      <c r="D931" s="553"/>
      <c r="E931" s="416"/>
      <c r="F931" s="555">
        <f ca="1" t="shared" si="459"/>
        <v>0</v>
      </c>
      <c r="G931" s="555">
        <f ca="1" t="shared" si="459"/>
        <v>0</v>
      </c>
      <c r="H931" s="555">
        <f ca="1" t="shared" si="459"/>
        <v>0</v>
      </c>
      <c r="I931" s="555">
        <f ca="1" t="shared" si="459"/>
        <v>0</v>
      </c>
      <c r="J931" s="555">
        <f ca="1" t="shared" si="459"/>
        <v>0</v>
      </c>
      <c r="K931" s="555">
        <f ca="1" t="shared" si="459"/>
        <v>0</v>
      </c>
      <c r="L931" s="555">
        <f ca="1" t="shared" si="459"/>
        <v>0</v>
      </c>
      <c r="M931" s="555">
        <f ca="1" t="shared" si="459"/>
        <v>0</v>
      </c>
      <c r="N931" s="555">
        <f ca="1" t="shared" si="457"/>
        <v>0</v>
      </c>
      <c r="O931" s="555">
        <f ca="1" t="shared" si="458"/>
        <v>0</v>
      </c>
    </row>
    <row r="932" ht="15" spans="2:15">
      <c r="B932" s="551">
        <v>8</v>
      </c>
      <c r="C932" s="552" t="s">
        <v>788</v>
      </c>
      <c r="D932" s="553"/>
      <c r="E932" s="416"/>
      <c r="F932" s="555">
        <f t="shared" si="459"/>
        <v>0</v>
      </c>
      <c r="G932" s="555">
        <f t="shared" si="459"/>
        <v>0</v>
      </c>
      <c r="H932" s="555">
        <f t="shared" si="459"/>
        <v>0</v>
      </c>
      <c r="I932" s="555">
        <f t="shared" si="459"/>
        <v>0</v>
      </c>
      <c r="J932" s="555">
        <f t="shared" si="459"/>
        <v>0</v>
      </c>
      <c r="K932" s="555">
        <f t="shared" si="459"/>
        <v>0</v>
      </c>
      <c r="L932" s="555">
        <f t="shared" si="459"/>
        <v>0</v>
      </c>
      <c r="M932" s="555">
        <f t="shared" si="459"/>
        <v>0</v>
      </c>
      <c r="N932" s="555"/>
      <c r="O932" s="555"/>
    </row>
    <row r="933" ht="15" spans="2:15">
      <c r="B933" s="551"/>
      <c r="C933" s="558" t="s">
        <v>789</v>
      </c>
      <c r="D933" s="553"/>
      <c r="E933" s="416"/>
      <c r="F933" s="555">
        <f ca="1" t="shared" si="459"/>
        <v>1617.07788137428</v>
      </c>
      <c r="G933" s="555">
        <f t="shared" si="459"/>
        <v>223.971430388042</v>
      </c>
      <c r="H933" s="555">
        <f ca="1" t="shared" si="459"/>
        <v>0</v>
      </c>
      <c r="I933" s="555">
        <f ca="1" t="shared" si="459"/>
        <v>1841.04931176232</v>
      </c>
      <c r="J933" s="555">
        <f ca="1" t="shared" si="459"/>
        <v>623.159260405568</v>
      </c>
      <c r="K933" s="555">
        <f t="shared" si="459"/>
        <v>56.3782891975308</v>
      </c>
      <c r="L933" s="555">
        <f ca="1" t="shared" si="459"/>
        <v>0</v>
      </c>
      <c r="M933" s="555">
        <f ca="1" t="shared" si="459"/>
        <v>679.537549603099</v>
      </c>
      <c r="N933" s="555">
        <f ca="1" t="shared" ref="N933:O937" si="460">F933-J933</f>
        <v>993.91862096871</v>
      </c>
      <c r="O933" s="555">
        <f ca="1" t="shared" ref="O933:O935" si="461">I933-M933</f>
        <v>1161.51176215922</v>
      </c>
    </row>
    <row r="934" ht="15" spans="2:15">
      <c r="B934" s="551"/>
      <c r="C934" s="558" t="s">
        <v>808</v>
      </c>
      <c r="D934" s="553"/>
      <c r="E934" s="416"/>
      <c r="F934" s="555">
        <f ca="1" t="shared" si="459"/>
        <v>0</v>
      </c>
      <c r="G934" s="555">
        <f ca="1" t="shared" si="459"/>
        <v>0</v>
      </c>
      <c r="H934" s="555">
        <f ca="1" t="shared" si="459"/>
        <v>0</v>
      </c>
      <c r="I934" s="555">
        <f ca="1" t="shared" si="459"/>
        <v>0</v>
      </c>
      <c r="J934" s="555">
        <f ca="1" t="shared" si="459"/>
        <v>0</v>
      </c>
      <c r="K934" s="555">
        <f ca="1" t="shared" si="459"/>
        <v>0</v>
      </c>
      <c r="L934" s="555">
        <f ca="1" t="shared" si="459"/>
        <v>0</v>
      </c>
      <c r="M934" s="555">
        <f ca="1" t="shared" si="459"/>
        <v>0</v>
      </c>
      <c r="N934" s="555">
        <f ca="1" t="shared" si="460"/>
        <v>0</v>
      </c>
      <c r="O934" s="555">
        <f ca="1" t="shared" si="461"/>
        <v>0</v>
      </c>
    </row>
    <row r="935" ht="30" spans="2:15">
      <c r="B935" s="560">
        <v>9</v>
      </c>
      <c r="C935" s="561" t="s">
        <v>791</v>
      </c>
      <c r="D935" s="553"/>
      <c r="E935" s="416"/>
      <c r="F935" s="555">
        <f ca="1" t="shared" si="459"/>
        <v>0</v>
      </c>
      <c r="G935" s="555">
        <f ca="1" t="shared" si="459"/>
        <v>0</v>
      </c>
      <c r="H935" s="555">
        <f ca="1" t="shared" si="459"/>
        <v>0</v>
      </c>
      <c r="I935" s="555">
        <f ca="1" t="shared" si="459"/>
        <v>0</v>
      </c>
      <c r="J935" s="555">
        <f ca="1" t="shared" si="459"/>
        <v>0</v>
      </c>
      <c r="K935" s="555">
        <f ca="1" t="shared" si="459"/>
        <v>0</v>
      </c>
      <c r="L935" s="555">
        <f ca="1" t="shared" si="459"/>
        <v>0</v>
      </c>
      <c r="M935" s="555">
        <f ca="1" t="shared" si="459"/>
        <v>0</v>
      </c>
      <c r="N935" s="555">
        <f ca="1" t="shared" si="460"/>
        <v>0</v>
      </c>
      <c r="O935" s="555">
        <f ca="1" t="shared" si="461"/>
        <v>0</v>
      </c>
    </row>
    <row r="936" ht="15" spans="2:15">
      <c r="B936" s="562">
        <v>10</v>
      </c>
      <c r="C936" s="563" t="s">
        <v>792</v>
      </c>
      <c r="D936" s="564"/>
      <c r="E936" s="416"/>
      <c r="F936" s="555">
        <f ca="1" t="shared" si="459"/>
        <v>1331.43423310373</v>
      </c>
      <c r="G936" s="555">
        <f t="shared" si="459"/>
        <v>343.461714450303</v>
      </c>
      <c r="H936" s="555">
        <f ca="1" t="shared" si="459"/>
        <v>0</v>
      </c>
      <c r="I936" s="555">
        <f ca="1" t="shared" si="459"/>
        <v>1674.89594755404</v>
      </c>
      <c r="J936" s="555">
        <f ca="1" t="shared" si="459"/>
        <v>316.455699640649</v>
      </c>
      <c r="K936" s="555">
        <f t="shared" si="459"/>
        <v>109.513742890232</v>
      </c>
      <c r="L936" s="555">
        <f ca="1" t="shared" si="459"/>
        <v>0</v>
      </c>
      <c r="M936" s="555">
        <f ca="1" t="shared" si="459"/>
        <v>425.969442530881</v>
      </c>
      <c r="N936" s="555">
        <f ca="1" t="shared" si="460"/>
        <v>1014.97853346308</v>
      </c>
      <c r="O936" s="555">
        <f t="shared" si="460"/>
        <v>233.947971560071</v>
      </c>
    </row>
    <row r="937" ht="15" spans="2:15">
      <c r="B937" s="562">
        <v>11</v>
      </c>
      <c r="C937" s="563" t="s">
        <v>793</v>
      </c>
      <c r="D937" s="564"/>
      <c r="E937" s="416"/>
      <c r="F937" s="555">
        <f ca="1" t="shared" si="459"/>
        <v>0.708</v>
      </c>
      <c r="G937" s="555">
        <f ca="1" t="shared" si="459"/>
        <v>0</v>
      </c>
      <c r="H937" s="555">
        <f ca="1" t="shared" si="459"/>
        <v>0</v>
      </c>
      <c r="I937" s="555">
        <f ca="1" t="shared" si="459"/>
        <v>0.708</v>
      </c>
      <c r="J937" s="555">
        <f ca="1" t="shared" si="459"/>
        <v>0.6833210851</v>
      </c>
      <c r="K937" s="555">
        <f t="shared" si="459"/>
        <v>0</v>
      </c>
      <c r="L937" s="555">
        <f ca="1" t="shared" si="459"/>
        <v>0</v>
      </c>
      <c r="M937" s="555">
        <f ca="1" t="shared" si="459"/>
        <v>0.6833210851</v>
      </c>
      <c r="N937" s="555">
        <f ca="1" t="shared" si="460"/>
        <v>0.0246789149000001</v>
      </c>
      <c r="O937" s="555">
        <f ca="1" t="shared" si="460"/>
        <v>0</v>
      </c>
    </row>
    <row r="938" ht="15" spans="2:15">
      <c r="B938" s="562">
        <v>12</v>
      </c>
      <c r="C938" s="563" t="s">
        <v>794</v>
      </c>
      <c r="D938" s="564"/>
      <c r="E938" s="416"/>
      <c r="F938" s="555">
        <f t="shared" si="459"/>
        <v>0</v>
      </c>
      <c r="G938" s="555">
        <f t="shared" si="459"/>
        <v>0</v>
      </c>
      <c r="H938" s="555">
        <f t="shared" si="459"/>
        <v>0</v>
      </c>
      <c r="I938" s="555">
        <f t="shared" si="459"/>
        <v>0</v>
      </c>
      <c r="J938" s="555">
        <f t="shared" si="459"/>
        <v>0</v>
      </c>
      <c r="K938" s="555">
        <f t="shared" si="459"/>
        <v>0</v>
      </c>
      <c r="L938" s="555">
        <f t="shared" si="459"/>
        <v>0</v>
      </c>
      <c r="M938" s="555">
        <f t="shared" si="459"/>
        <v>0</v>
      </c>
      <c r="N938" s="555"/>
      <c r="O938" s="555"/>
    </row>
    <row r="939" ht="15" spans="2:15">
      <c r="B939" s="562"/>
      <c r="C939" s="565" t="s">
        <v>795</v>
      </c>
      <c r="D939" s="564"/>
      <c r="E939" s="416"/>
      <c r="F939" s="555">
        <f ca="1" t="shared" si="459"/>
        <v>0.26</v>
      </c>
      <c r="G939" s="555">
        <f ca="1" t="shared" si="459"/>
        <v>0</v>
      </c>
      <c r="H939" s="555">
        <f ca="1" t="shared" si="459"/>
        <v>0</v>
      </c>
      <c r="I939" s="555">
        <f ca="1" t="shared" si="459"/>
        <v>0.26</v>
      </c>
      <c r="J939" s="555">
        <f ca="1" t="shared" si="459"/>
        <v>0.1701644132</v>
      </c>
      <c r="K939" s="555">
        <f ca="1" t="shared" si="459"/>
        <v>0</v>
      </c>
      <c r="L939" s="555">
        <f ca="1" t="shared" si="459"/>
        <v>0</v>
      </c>
      <c r="M939" s="555">
        <f ca="1" t="shared" si="459"/>
        <v>0.1701644132</v>
      </c>
      <c r="N939" s="555">
        <f ca="1" t="shared" ref="N939:O940" si="462">F939-J939</f>
        <v>0.0898355868</v>
      </c>
      <c r="O939" s="555">
        <f ca="1" t="shared" si="462"/>
        <v>0</v>
      </c>
    </row>
    <row r="940" ht="15" spans="2:15">
      <c r="B940" s="562"/>
      <c r="C940" s="565" t="s">
        <v>796</v>
      </c>
      <c r="D940" s="564"/>
      <c r="E940" s="416"/>
      <c r="F940" s="555">
        <f ca="1" t="shared" si="459"/>
        <v>0</v>
      </c>
      <c r="G940" s="555">
        <f ca="1" t="shared" si="459"/>
        <v>0</v>
      </c>
      <c r="H940" s="555">
        <f ca="1" t="shared" si="459"/>
        <v>0</v>
      </c>
      <c r="I940" s="555">
        <f ca="1" t="shared" si="459"/>
        <v>0</v>
      </c>
      <c r="J940" s="555">
        <f ca="1" t="shared" si="459"/>
        <v>0</v>
      </c>
      <c r="K940" s="555">
        <f ca="1" t="shared" si="459"/>
        <v>0</v>
      </c>
      <c r="L940" s="555">
        <f ca="1" t="shared" si="459"/>
        <v>0</v>
      </c>
      <c r="M940" s="555">
        <f ca="1" t="shared" si="459"/>
        <v>0</v>
      </c>
      <c r="N940" s="555">
        <f ca="1" t="shared" si="462"/>
        <v>0</v>
      </c>
      <c r="O940" s="555">
        <f ca="1" t="shared" si="462"/>
        <v>0</v>
      </c>
    </row>
    <row r="941" ht="15" spans="2:15">
      <c r="B941" s="562">
        <v>13</v>
      </c>
      <c r="C941" s="565"/>
      <c r="D941" s="564"/>
      <c r="E941" s="416"/>
      <c r="F941" s="555">
        <f t="shared" si="459"/>
        <v>0</v>
      </c>
      <c r="G941" s="555">
        <f t="shared" si="459"/>
        <v>0</v>
      </c>
      <c r="H941" s="555">
        <f t="shared" si="459"/>
        <v>0</v>
      </c>
      <c r="I941" s="555">
        <f t="shared" si="459"/>
        <v>0</v>
      </c>
      <c r="J941" s="555">
        <f t="shared" si="459"/>
        <v>0</v>
      </c>
      <c r="K941" s="555">
        <f t="shared" si="459"/>
        <v>0</v>
      </c>
      <c r="L941" s="555">
        <f t="shared" si="459"/>
        <v>0</v>
      </c>
      <c r="M941" s="555">
        <f t="shared" si="459"/>
        <v>0</v>
      </c>
      <c r="N941" s="555"/>
      <c r="O941" s="555"/>
    </row>
    <row r="942" ht="15" spans="2:15">
      <c r="B942" s="562"/>
      <c r="C942" s="565" t="s">
        <v>797</v>
      </c>
      <c r="D942" s="564"/>
      <c r="E942" s="416"/>
      <c r="F942" s="555">
        <f ca="1" t="shared" si="459"/>
        <v>1.725</v>
      </c>
      <c r="G942" s="555">
        <f ca="1" t="shared" si="459"/>
        <v>0</v>
      </c>
      <c r="H942" s="555">
        <f ca="1" t="shared" si="459"/>
        <v>0</v>
      </c>
      <c r="I942" s="555">
        <f ca="1" t="shared" si="459"/>
        <v>1.725</v>
      </c>
      <c r="J942" s="555">
        <f ca="1" t="shared" si="459"/>
        <v>1.3863200556</v>
      </c>
      <c r="K942" s="555">
        <f t="shared" si="459"/>
        <v>0.0332381284</v>
      </c>
      <c r="L942" s="555">
        <f ca="1" t="shared" si="459"/>
        <v>0</v>
      </c>
      <c r="M942" s="555">
        <f ca="1" t="shared" si="459"/>
        <v>1.419558184</v>
      </c>
      <c r="N942" s="555">
        <f ca="1" t="shared" ref="N942:O945" si="463">F942-J942</f>
        <v>0.3386799444</v>
      </c>
      <c r="O942" s="555">
        <f ca="1" t="shared" si="463"/>
        <v>-0.0332381284</v>
      </c>
    </row>
    <row r="943" ht="15" spans="2:15">
      <c r="B943" s="562"/>
      <c r="C943" s="565" t="s">
        <v>798</v>
      </c>
      <c r="D943" s="564"/>
      <c r="E943" s="416"/>
      <c r="F943" s="555">
        <f ca="1" t="shared" si="459"/>
        <v>5.22180881245926</v>
      </c>
      <c r="G943" s="555">
        <f t="shared" si="459"/>
        <v>0.0253578162280129</v>
      </c>
      <c r="H943" s="555">
        <f ca="1" t="shared" si="459"/>
        <v>0</v>
      </c>
      <c r="I943" s="555">
        <f ca="1" t="shared" si="459"/>
        <v>5.24716662868727</v>
      </c>
      <c r="J943" s="555">
        <f ca="1" t="shared" si="459"/>
        <v>4.0813218152702</v>
      </c>
      <c r="K943" s="555">
        <f t="shared" si="459"/>
        <v>0.135265748651594</v>
      </c>
      <c r="L943" s="555">
        <f ca="1" t="shared" si="459"/>
        <v>0</v>
      </c>
      <c r="M943" s="555">
        <f ca="1" t="shared" si="459"/>
        <v>4.21658756392179</v>
      </c>
      <c r="N943" s="555">
        <f ca="1" t="shared" si="463"/>
        <v>1.14048699718907</v>
      </c>
      <c r="O943" s="555">
        <f t="shared" si="463"/>
        <v>-0.109907932423581</v>
      </c>
    </row>
    <row r="944" ht="15" spans="2:15">
      <c r="B944" s="562"/>
      <c r="C944" s="565" t="s">
        <v>799</v>
      </c>
      <c r="D944" s="564"/>
      <c r="E944" s="416"/>
      <c r="F944" s="555">
        <f ca="1" t="shared" si="459"/>
        <v>0</v>
      </c>
      <c r="G944" s="555">
        <f ca="1" t="shared" si="459"/>
        <v>0</v>
      </c>
      <c r="H944" s="555">
        <f ca="1" t="shared" si="459"/>
        <v>0</v>
      </c>
      <c r="I944" s="555">
        <f ca="1" t="shared" si="459"/>
        <v>0</v>
      </c>
      <c r="J944" s="555">
        <f ca="1" t="shared" si="459"/>
        <v>0</v>
      </c>
      <c r="K944" s="555">
        <f ca="1" t="shared" si="459"/>
        <v>0</v>
      </c>
      <c r="L944" s="555">
        <f ca="1" t="shared" si="459"/>
        <v>0</v>
      </c>
      <c r="M944" s="555">
        <f ca="1" t="shared" si="459"/>
        <v>0</v>
      </c>
      <c r="N944" s="555">
        <f ca="1" t="shared" si="463"/>
        <v>0</v>
      </c>
      <c r="O944" s="555">
        <f ca="1" t="shared" si="463"/>
        <v>0</v>
      </c>
    </row>
    <row r="945" ht="15" spans="2:15">
      <c r="B945" s="562"/>
      <c r="C945" s="565" t="s">
        <v>800</v>
      </c>
      <c r="D945" s="564"/>
      <c r="E945" s="416"/>
      <c r="F945" s="555">
        <f ca="1" t="shared" si="459"/>
        <v>0</v>
      </c>
      <c r="G945" s="555">
        <f ca="1" t="shared" si="459"/>
        <v>0</v>
      </c>
      <c r="H945" s="555">
        <f ca="1" t="shared" si="459"/>
        <v>0</v>
      </c>
      <c r="I945" s="555">
        <f ca="1" t="shared" si="459"/>
        <v>0</v>
      </c>
      <c r="J945" s="555">
        <f ca="1" t="shared" si="459"/>
        <v>0</v>
      </c>
      <c r="K945" s="555">
        <f ca="1" t="shared" si="459"/>
        <v>0</v>
      </c>
      <c r="L945" s="555">
        <f ca="1" t="shared" si="459"/>
        <v>0</v>
      </c>
      <c r="M945" s="555">
        <f ca="1" t="shared" si="459"/>
        <v>0</v>
      </c>
      <c r="N945" s="555">
        <f ca="1" t="shared" si="463"/>
        <v>0</v>
      </c>
      <c r="O945" s="555">
        <f ca="1" t="shared" si="463"/>
        <v>0</v>
      </c>
    </row>
    <row r="946" ht="15" spans="2:15">
      <c r="B946" s="562">
        <v>14</v>
      </c>
      <c r="C946" s="563" t="s">
        <v>801</v>
      </c>
      <c r="D946" s="564"/>
      <c r="E946" s="416"/>
      <c r="F946" s="555">
        <f t="shared" ref="F946:M952" si="464">10%*F312</f>
        <v>0</v>
      </c>
      <c r="G946" s="555">
        <f t="shared" si="464"/>
        <v>0</v>
      </c>
      <c r="H946" s="555">
        <f t="shared" si="464"/>
        <v>0</v>
      </c>
      <c r="I946" s="555">
        <f t="shared" si="464"/>
        <v>0</v>
      </c>
      <c r="J946" s="555">
        <f t="shared" si="464"/>
        <v>0</v>
      </c>
      <c r="K946" s="555">
        <f t="shared" si="464"/>
        <v>0</v>
      </c>
      <c r="L946" s="555">
        <f t="shared" si="464"/>
        <v>0</v>
      </c>
      <c r="M946" s="555">
        <f t="shared" si="464"/>
        <v>0</v>
      </c>
      <c r="N946" s="555"/>
      <c r="O946" s="555"/>
    </row>
    <row r="947" ht="15" spans="2:15">
      <c r="B947" s="562"/>
      <c r="C947" s="565" t="s">
        <v>802</v>
      </c>
      <c r="D947" s="564"/>
      <c r="E947" s="416"/>
      <c r="F947" s="555">
        <f ca="1" t="shared" si="464"/>
        <v>0</v>
      </c>
      <c r="G947" s="555">
        <f ca="1" t="shared" si="464"/>
        <v>0</v>
      </c>
      <c r="H947" s="555">
        <f ca="1" t="shared" si="464"/>
        <v>0</v>
      </c>
      <c r="I947" s="555">
        <f ca="1" t="shared" si="464"/>
        <v>0</v>
      </c>
      <c r="J947" s="555">
        <f ca="1" t="shared" si="464"/>
        <v>0</v>
      </c>
      <c r="K947" s="555">
        <f ca="1" t="shared" si="464"/>
        <v>0</v>
      </c>
      <c r="L947" s="555">
        <f ca="1" t="shared" si="464"/>
        <v>0</v>
      </c>
      <c r="M947" s="555">
        <f ca="1" t="shared" si="464"/>
        <v>0</v>
      </c>
      <c r="N947" s="555">
        <f ca="1" t="shared" ref="N947:O952" si="465">F947-J947</f>
        <v>0</v>
      </c>
      <c r="O947" s="555">
        <f ca="1" t="shared" si="465"/>
        <v>0</v>
      </c>
    </row>
    <row r="948" ht="15" spans="2:15">
      <c r="B948" s="562"/>
      <c r="C948" s="565" t="s">
        <v>803</v>
      </c>
      <c r="D948" s="564"/>
      <c r="E948" s="416"/>
      <c r="F948" s="555">
        <f ca="1" t="shared" si="464"/>
        <v>0</v>
      </c>
      <c r="G948" s="555">
        <f ca="1" t="shared" si="464"/>
        <v>0</v>
      </c>
      <c r="H948" s="555">
        <f ca="1" t="shared" si="464"/>
        <v>0</v>
      </c>
      <c r="I948" s="555">
        <f ca="1" t="shared" si="464"/>
        <v>0</v>
      </c>
      <c r="J948" s="555">
        <f ca="1" t="shared" si="464"/>
        <v>0</v>
      </c>
      <c r="K948" s="555">
        <f ca="1" t="shared" si="464"/>
        <v>0</v>
      </c>
      <c r="L948" s="555">
        <f ca="1" t="shared" si="464"/>
        <v>0</v>
      </c>
      <c r="M948" s="555">
        <f ca="1" t="shared" si="464"/>
        <v>0</v>
      </c>
      <c r="N948" s="555">
        <f ca="1" t="shared" si="465"/>
        <v>0</v>
      </c>
      <c r="O948" s="555">
        <f ca="1" t="shared" si="465"/>
        <v>0</v>
      </c>
    </row>
    <row r="949" ht="15" spans="2:15">
      <c r="B949" s="562"/>
      <c r="C949" s="565" t="s">
        <v>804</v>
      </c>
      <c r="D949" s="564"/>
      <c r="E949" s="416"/>
      <c r="F949" s="555">
        <f ca="1" t="shared" si="464"/>
        <v>0</v>
      </c>
      <c r="G949" s="555">
        <f ca="1" t="shared" si="464"/>
        <v>0</v>
      </c>
      <c r="H949" s="555">
        <f ca="1" t="shared" si="464"/>
        <v>0</v>
      </c>
      <c r="I949" s="555">
        <f ca="1" t="shared" si="464"/>
        <v>0</v>
      </c>
      <c r="J949" s="555">
        <f ca="1" t="shared" si="464"/>
        <v>0</v>
      </c>
      <c r="K949" s="555">
        <f ca="1" t="shared" si="464"/>
        <v>0</v>
      </c>
      <c r="L949" s="555">
        <f ca="1" t="shared" si="464"/>
        <v>0</v>
      </c>
      <c r="M949" s="555">
        <f ca="1" t="shared" si="464"/>
        <v>0</v>
      </c>
      <c r="N949" s="555">
        <f ca="1" t="shared" si="465"/>
        <v>0</v>
      </c>
      <c r="O949" s="555">
        <f ca="1" t="shared" si="465"/>
        <v>0</v>
      </c>
    </row>
    <row r="950" ht="15" spans="2:15">
      <c r="B950" s="562">
        <v>15</v>
      </c>
      <c r="C950" s="563" t="s">
        <v>805</v>
      </c>
      <c r="D950" s="564"/>
      <c r="E950" s="416"/>
      <c r="F950" s="555">
        <f ca="1" t="shared" si="464"/>
        <v>25.216429795688</v>
      </c>
      <c r="G950" s="555">
        <f t="shared" si="464"/>
        <v>1.99146704052443</v>
      </c>
      <c r="H950" s="555">
        <f ca="1" t="shared" si="464"/>
        <v>0</v>
      </c>
      <c r="I950" s="555">
        <f ca="1" t="shared" si="464"/>
        <v>27.2078968362124</v>
      </c>
      <c r="J950" s="555">
        <f ca="1" t="shared" si="464"/>
        <v>19.9168781918168</v>
      </c>
      <c r="K950" s="555">
        <f t="shared" si="464"/>
        <v>1.32031315483186</v>
      </c>
      <c r="L950" s="555">
        <f ca="1" t="shared" si="464"/>
        <v>0</v>
      </c>
      <c r="M950" s="555">
        <f ca="1" t="shared" si="464"/>
        <v>21.2371913466487</v>
      </c>
      <c r="N950" s="555">
        <f ca="1" t="shared" si="465"/>
        <v>5.29955160387117</v>
      </c>
      <c r="O950" s="555">
        <f t="shared" si="465"/>
        <v>0.67115388569257</v>
      </c>
    </row>
    <row r="951" ht="15" spans="2:15">
      <c r="B951" s="562">
        <v>16</v>
      </c>
      <c r="C951" s="563" t="s">
        <v>806</v>
      </c>
      <c r="D951" s="553"/>
      <c r="E951" s="416"/>
      <c r="F951" s="555">
        <f ca="1" t="shared" si="464"/>
        <v>7.08</v>
      </c>
      <c r="G951" s="555">
        <f ca="1" t="shared" si="464"/>
        <v>0</v>
      </c>
      <c r="H951" s="555">
        <f ca="1" t="shared" si="464"/>
        <v>0</v>
      </c>
      <c r="I951" s="555">
        <f ca="1" t="shared" si="464"/>
        <v>7.08</v>
      </c>
      <c r="J951" s="555">
        <f ca="1" t="shared" si="464"/>
        <v>6.5620047137</v>
      </c>
      <c r="K951" s="555">
        <f ca="1" t="shared" si="464"/>
        <v>0</v>
      </c>
      <c r="L951" s="555">
        <f ca="1" t="shared" si="464"/>
        <v>0</v>
      </c>
      <c r="M951" s="555">
        <f ca="1" t="shared" si="464"/>
        <v>6.5620047137</v>
      </c>
      <c r="N951" s="555">
        <f ca="1" t="shared" si="465"/>
        <v>0.5179952863</v>
      </c>
      <c r="O951" s="555">
        <f ca="1" t="shared" si="465"/>
        <v>0</v>
      </c>
    </row>
    <row r="952" ht="15" spans="2:15">
      <c r="B952" s="562">
        <v>17</v>
      </c>
      <c r="C952" s="563" t="s">
        <v>807</v>
      </c>
      <c r="D952" s="553"/>
      <c r="E952" s="426"/>
      <c r="F952" s="555">
        <f ca="1" t="shared" si="464"/>
        <v>0</v>
      </c>
      <c r="G952" s="555">
        <f ca="1" t="shared" si="464"/>
        <v>0</v>
      </c>
      <c r="H952" s="555">
        <f ca="1" t="shared" si="464"/>
        <v>0</v>
      </c>
      <c r="I952" s="555">
        <f ca="1" t="shared" si="464"/>
        <v>0</v>
      </c>
      <c r="J952" s="555">
        <f ca="1" t="shared" si="464"/>
        <v>0.4466468187</v>
      </c>
      <c r="K952" s="555">
        <f ca="1" t="shared" si="464"/>
        <v>0</v>
      </c>
      <c r="L952" s="555">
        <f ca="1" t="shared" si="464"/>
        <v>0</v>
      </c>
      <c r="M952" s="555">
        <f ca="1" t="shared" si="464"/>
        <v>0.4466468187</v>
      </c>
      <c r="N952" s="555">
        <f ca="1" t="shared" si="465"/>
        <v>-0.4466468187</v>
      </c>
      <c r="O952" s="555">
        <f ca="1" t="shared" si="465"/>
        <v>0</v>
      </c>
    </row>
    <row r="953" ht="15.75" spans="2:15">
      <c r="B953" s="566"/>
      <c r="C953" s="567" t="s">
        <v>97</v>
      </c>
      <c r="D953" s="567"/>
      <c r="E953" s="568"/>
      <c r="F953" s="569">
        <f ca="1">SUM(F913:F952)</f>
        <v>4669.37729105709</v>
      </c>
      <c r="G953" s="569">
        <f ca="1" t="shared" ref="G953:O953" si="466">SUM(G913:G952)</f>
        <v>785.19982006763</v>
      </c>
      <c r="H953" s="569">
        <f ca="1" t="shared" si="466"/>
        <v>0</v>
      </c>
      <c r="I953" s="569">
        <f ca="1" t="shared" si="466"/>
        <v>5454.57711112472</v>
      </c>
      <c r="J953" s="569">
        <f ca="1" t="shared" si="466"/>
        <v>1692.1113882773</v>
      </c>
      <c r="K953" s="569">
        <f ca="1" t="shared" si="466"/>
        <v>230.902977284409</v>
      </c>
      <c r="L953" s="569">
        <f ca="1" t="shared" si="466"/>
        <v>0</v>
      </c>
      <c r="M953" s="569">
        <f ca="1" t="shared" si="466"/>
        <v>1923.01436556171</v>
      </c>
      <c r="N953" s="569">
        <f ca="1" t="shared" si="466"/>
        <v>2977.26590277979</v>
      </c>
      <c r="O953" s="569">
        <f ca="1" t="shared" si="466"/>
        <v>2509.61963058516</v>
      </c>
    </row>
  </sheetData>
  <mergeCells count="168">
    <mergeCell ref="B6:O6"/>
    <mergeCell ref="F7:I7"/>
    <mergeCell ref="J7:M7"/>
    <mergeCell ref="N7:O7"/>
    <mergeCell ref="B51:O51"/>
    <mergeCell ref="F52:I52"/>
    <mergeCell ref="J52:M52"/>
    <mergeCell ref="N52:O52"/>
    <mergeCell ref="B96:O96"/>
    <mergeCell ref="F97:I97"/>
    <mergeCell ref="J97:M97"/>
    <mergeCell ref="N97:O97"/>
    <mergeCell ref="B141:O141"/>
    <mergeCell ref="F142:I142"/>
    <mergeCell ref="J142:M142"/>
    <mergeCell ref="N142:O142"/>
    <mergeCell ref="B186:O186"/>
    <mergeCell ref="F187:I187"/>
    <mergeCell ref="J187:M187"/>
    <mergeCell ref="N187:O187"/>
    <mergeCell ref="B231:O231"/>
    <mergeCell ref="F232:I232"/>
    <mergeCell ref="J232:M232"/>
    <mergeCell ref="N232:O232"/>
    <mergeCell ref="B276:O276"/>
    <mergeCell ref="F277:I277"/>
    <mergeCell ref="J277:M277"/>
    <mergeCell ref="N277:O277"/>
    <mergeCell ref="B323:O323"/>
    <mergeCell ref="F324:I324"/>
    <mergeCell ref="J324:M324"/>
    <mergeCell ref="N324:O324"/>
    <mergeCell ref="B368:O368"/>
    <mergeCell ref="F369:I369"/>
    <mergeCell ref="J369:M369"/>
    <mergeCell ref="N369:O369"/>
    <mergeCell ref="B413:O413"/>
    <mergeCell ref="F414:I414"/>
    <mergeCell ref="J414:M414"/>
    <mergeCell ref="N414:O414"/>
    <mergeCell ref="B458:O458"/>
    <mergeCell ref="F459:I459"/>
    <mergeCell ref="J459:M459"/>
    <mergeCell ref="N459:O459"/>
    <mergeCell ref="B503:O503"/>
    <mergeCell ref="F504:I504"/>
    <mergeCell ref="J504:M504"/>
    <mergeCell ref="N504:O504"/>
    <mergeCell ref="B548:O548"/>
    <mergeCell ref="F549:I549"/>
    <mergeCell ref="J549:M549"/>
    <mergeCell ref="N549:O549"/>
    <mergeCell ref="B593:O593"/>
    <mergeCell ref="F594:I594"/>
    <mergeCell ref="J594:M594"/>
    <mergeCell ref="N594:O594"/>
    <mergeCell ref="B640:O640"/>
    <mergeCell ref="F641:I641"/>
    <mergeCell ref="J641:M641"/>
    <mergeCell ref="N641:O641"/>
    <mergeCell ref="B685:O685"/>
    <mergeCell ref="F686:I686"/>
    <mergeCell ref="J686:M686"/>
    <mergeCell ref="N686:O686"/>
    <mergeCell ref="B730:O730"/>
    <mergeCell ref="F731:I731"/>
    <mergeCell ref="J731:M731"/>
    <mergeCell ref="N731:O731"/>
    <mergeCell ref="B775:O775"/>
    <mergeCell ref="F776:I776"/>
    <mergeCell ref="J776:M776"/>
    <mergeCell ref="N776:O776"/>
    <mergeCell ref="B820:O820"/>
    <mergeCell ref="F821:I821"/>
    <mergeCell ref="J821:M821"/>
    <mergeCell ref="N821:O821"/>
    <mergeCell ref="B865:O865"/>
    <mergeCell ref="F866:I866"/>
    <mergeCell ref="J866:M866"/>
    <mergeCell ref="N866:O866"/>
    <mergeCell ref="B910:O910"/>
    <mergeCell ref="F911:I911"/>
    <mergeCell ref="J911:M911"/>
    <mergeCell ref="N911:O911"/>
    <mergeCell ref="B7:B8"/>
    <mergeCell ref="B52:B53"/>
    <mergeCell ref="B97:B98"/>
    <mergeCell ref="B142:B143"/>
    <mergeCell ref="B187:B188"/>
    <mergeCell ref="B232:B233"/>
    <mergeCell ref="B277:B278"/>
    <mergeCell ref="B324:B325"/>
    <mergeCell ref="B369:B370"/>
    <mergeCell ref="B414:B415"/>
    <mergeCell ref="B459:B460"/>
    <mergeCell ref="B504:B505"/>
    <mergeCell ref="B549:B550"/>
    <mergeCell ref="B594:B595"/>
    <mergeCell ref="B641:B642"/>
    <mergeCell ref="B686:B687"/>
    <mergeCell ref="B731:B732"/>
    <mergeCell ref="B776:B777"/>
    <mergeCell ref="B821:B822"/>
    <mergeCell ref="B866:B867"/>
    <mergeCell ref="B911:B912"/>
    <mergeCell ref="C7:C8"/>
    <mergeCell ref="C52:C53"/>
    <mergeCell ref="C97:C98"/>
    <mergeCell ref="C142:C143"/>
    <mergeCell ref="C187:C188"/>
    <mergeCell ref="C232:C233"/>
    <mergeCell ref="C277:C278"/>
    <mergeCell ref="C324:C325"/>
    <mergeCell ref="C369:C370"/>
    <mergeCell ref="C414:C415"/>
    <mergeCell ref="C459:C460"/>
    <mergeCell ref="C504:C505"/>
    <mergeCell ref="C549:C550"/>
    <mergeCell ref="C594:C595"/>
    <mergeCell ref="C641:C642"/>
    <mergeCell ref="C686:C687"/>
    <mergeCell ref="C731:C732"/>
    <mergeCell ref="C776:C777"/>
    <mergeCell ref="C821:C822"/>
    <mergeCell ref="C866:C867"/>
    <mergeCell ref="C911:C912"/>
    <mergeCell ref="D7:D8"/>
    <mergeCell ref="D52:D53"/>
    <mergeCell ref="D97:D98"/>
    <mergeCell ref="D142:D143"/>
    <mergeCell ref="D187:D188"/>
    <mergeCell ref="D232:D233"/>
    <mergeCell ref="D277:D278"/>
    <mergeCell ref="D324:D325"/>
    <mergeCell ref="D369:D370"/>
    <mergeCell ref="D414:D415"/>
    <mergeCell ref="D459:D460"/>
    <mergeCell ref="D504:D505"/>
    <mergeCell ref="D549:D550"/>
    <mergeCell ref="D594:D595"/>
    <mergeCell ref="D641:D642"/>
    <mergeCell ref="D686:D687"/>
    <mergeCell ref="D731:D732"/>
    <mergeCell ref="D776:D777"/>
    <mergeCell ref="D821:D822"/>
    <mergeCell ref="D866:D867"/>
    <mergeCell ref="D911:D912"/>
    <mergeCell ref="E7:E8"/>
    <mergeCell ref="E52:E53"/>
    <mergeCell ref="E97:E98"/>
    <mergeCell ref="E142:E143"/>
    <mergeCell ref="E187:E188"/>
    <mergeCell ref="E232:E233"/>
    <mergeCell ref="E277:E278"/>
    <mergeCell ref="E324:E325"/>
    <mergeCell ref="E369:E370"/>
    <mergeCell ref="E414:E415"/>
    <mergeCell ref="E459:E460"/>
    <mergeCell ref="E504:E505"/>
    <mergeCell ref="E549:E550"/>
    <mergeCell ref="E594:E595"/>
    <mergeCell ref="E641:E642"/>
    <mergeCell ref="E686:E687"/>
    <mergeCell ref="E731:E732"/>
    <mergeCell ref="E776:E777"/>
    <mergeCell ref="E821:E822"/>
    <mergeCell ref="E866:E867"/>
    <mergeCell ref="E911:E912"/>
  </mergeCells>
  <printOptions horizontalCentered="1"/>
  <pageMargins left="0.52" right="0.5" top="0.5" bottom="0.5" header="0.25" footer="0.25"/>
  <pageSetup paperSize="9" scale="60" orientation="landscape"/>
  <headerFooter alignWithMargins="0">
    <oddHeader>&amp;C&amp;F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  <pageSetUpPr fitToPage="1"/>
  </sheetPr>
  <dimension ref="B1:O278"/>
  <sheetViews>
    <sheetView showGridLines="0" zoomScale="51" zoomScaleNormal="51" zoomScaleSheetLayoutView="90" topLeftCell="A72" workbookViewId="0">
      <selection activeCell="R21" sqref="R21"/>
    </sheetView>
  </sheetViews>
  <sheetFormatPr defaultColWidth="9.14285714285714" defaultRowHeight="14.25"/>
  <cols>
    <col min="1" max="1" width="4.14285714285714" style="12" customWidth="1"/>
    <col min="2" max="2" width="6.14285714285714" style="12" customWidth="1"/>
    <col min="3" max="3" width="39.8571428571429" style="12" customWidth="1"/>
    <col min="4" max="4" width="13.8571428571429" style="12" customWidth="1"/>
    <col min="5" max="5" width="12.5714285714286" style="12" customWidth="1"/>
    <col min="6" max="6" width="13.4285714285714" style="12" customWidth="1"/>
    <col min="7" max="7" width="13.8571428571429" style="12" customWidth="1"/>
    <col min="8" max="8" width="12.5714285714286" style="12" customWidth="1"/>
    <col min="9" max="9" width="13.1428571428571" style="12" customWidth="1"/>
    <col min="10" max="10" width="12.5714285714286" style="12" customWidth="1"/>
    <col min="11" max="11" width="11.8571428571429" style="12" customWidth="1"/>
    <col min="12" max="12" width="13.8571428571429" style="12" customWidth="1"/>
    <col min="13" max="18" width="11.8571428571429" style="12" customWidth="1"/>
    <col min="19" max="16384" width="9.14285714285714" style="12"/>
  </cols>
  <sheetData>
    <row r="1" ht="15" spans="2:2">
      <c r="B1" s="14"/>
    </row>
    <row r="2" ht="15" spans="8:8">
      <c r="H2" s="2" t="s">
        <v>758</v>
      </c>
    </row>
    <row r="3" ht="15" spans="8:8">
      <c r="H3" s="3" t="s">
        <v>686</v>
      </c>
    </row>
    <row r="4" ht="15" spans="2:8">
      <c r="B4" s="11" t="s">
        <v>811</v>
      </c>
      <c r="H4" s="3"/>
    </row>
    <row r="5" ht="15" spans="2:12">
      <c r="B5" s="2" t="s">
        <v>687</v>
      </c>
      <c r="C5" s="14" t="s">
        <v>688</v>
      </c>
      <c r="D5" s="117"/>
      <c r="E5" s="117"/>
      <c r="F5" s="117"/>
      <c r="G5" s="117"/>
      <c r="H5" s="117"/>
      <c r="I5" s="117"/>
      <c r="J5" s="117"/>
      <c r="K5" s="117"/>
      <c r="L5" s="117"/>
    </row>
    <row r="6" ht="15" spans="15:15">
      <c r="O6" s="33" t="s">
        <v>109</v>
      </c>
    </row>
    <row r="7" s="15" customFormat="1" ht="15" customHeight="1" spans="2:15">
      <c r="B7" s="16" t="s">
        <v>3</v>
      </c>
      <c r="C7" s="17" t="s">
        <v>110</v>
      </c>
      <c r="D7" s="306" t="s">
        <v>112</v>
      </c>
      <c r="E7" s="307"/>
      <c r="F7" s="308"/>
      <c r="G7" s="306" t="s">
        <v>760</v>
      </c>
      <c r="H7" s="307"/>
      <c r="I7" s="307"/>
      <c r="J7" s="308"/>
      <c r="K7" s="537" t="s">
        <v>114</v>
      </c>
      <c r="L7" s="539"/>
      <c r="M7" s="539"/>
      <c r="N7" s="539"/>
      <c r="O7" s="540"/>
    </row>
    <row r="8" s="15" customFormat="1" ht="30" spans="2:15">
      <c r="B8" s="309"/>
      <c r="C8" s="534"/>
      <c r="D8" s="5" t="s">
        <v>116</v>
      </c>
      <c r="E8" s="5" t="s">
        <v>237</v>
      </c>
      <c r="F8" s="5" t="s">
        <v>118</v>
      </c>
      <c r="G8" s="5" t="s">
        <v>116</v>
      </c>
      <c r="H8" s="5" t="s">
        <v>119</v>
      </c>
      <c r="I8" s="5" t="s">
        <v>120</v>
      </c>
      <c r="J8" s="5" t="s">
        <v>238</v>
      </c>
      <c r="K8" s="5" t="s">
        <v>514</v>
      </c>
      <c r="L8" s="5" t="s">
        <v>515</v>
      </c>
      <c r="M8" s="5" t="s">
        <v>516</v>
      </c>
      <c r="N8" s="5" t="s">
        <v>517</v>
      </c>
      <c r="O8" s="5" t="s">
        <v>518</v>
      </c>
    </row>
    <row r="9" s="15" customFormat="1" ht="15" spans="2:15">
      <c r="B9" s="535"/>
      <c r="C9" s="536"/>
      <c r="D9" s="5" t="s">
        <v>127</v>
      </c>
      <c r="E9" s="5" t="s">
        <v>128</v>
      </c>
      <c r="F9" s="5" t="s">
        <v>129</v>
      </c>
      <c r="G9" s="5" t="s">
        <v>127</v>
      </c>
      <c r="H9" s="5" t="s">
        <v>130</v>
      </c>
      <c r="I9" s="5" t="s">
        <v>131</v>
      </c>
      <c r="J9" s="5" t="s">
        <v>131</v>
      </c>
      <c r="K9" s="5" t="s">
        <v>132</v>
      </c>
      <c r="L9" s="5" t="s">
        <v>132</v>
      </c>
      <c r="M9" s="5" t="s">
        <v>132</v>
      </c>
      <c r="N9" s="5" t="s">
        <v>132</v>
      </c>
      <c r="O9" s="5" t="s">
        <v>132</v>
      </c>
    </row>
    <row r="10" spans="2:15">
      <c r="B10" s="311">
        <v>1</v>
      </c>
      <c r="C10" s="55" t="s">
        <v>689</v>
      </c>
      <c r="D10" s="20"/>
      <c r="E10" s="147">
        <f t="shared" ref="E10:E18" si="0">E114+E171</f>
        <v>0</v>
      </c>
      <c r="F10" s="341">
        <f>E10-D10</f>
        <v>0</v>
      </c>
      <c r="G10" s="208"/>
      <c r="H10" s="147">
        <f t="shared" ref="H10:I22" si="1">H114+H171</f>
        <v>0</v>
      </c>
      <c r="I10" s="147">
        <f t="shared" si="1"/>
        <v>0</v>
      </c>
      <c r="J10" s="541">
        <f>'[6]Interest cost'!D5</f>
        <v>4336.63357910525</v>
      </c>
      <c r="K10" s="541">
        <f>'[6]Interest cost'!E5</f>
        <v>4480.09722804268</v>
      </c>
      <c r="L10" s="541">
        <f>'[6]Interest cost'!F5</f>
        <v>5989.0544699363</v>
      </c>
      <c r="M10" s="541">
        <f>'[6]Interest cost'!G5</f>
        <v>8238.71187971843</v>
      </c>
      <c r="N10" s="541">
        <f>'[6]Interest cost'!H5</f>
        <v>11243.2810486707</v>
      </c>
      <c r="O10" s="541">
        <f>'[6]Interest cost'!I5</f>
        <v>14297.4253274807</v>
      </c>
    </row>
    <row r="11" spans="2:15">
      <c r="B11" s="100">
        <f>B10+1</f>
        <v>2</v>
      </c>
      <c r="C11" s="55" t="s">
        <v>690</v>
      </c>
      <c r="D11" s="20"/>
      <c r="E11" s="147">
        <f t="shared" si="0"/>
        <v>0</v>
      </c>
      <c r="F11" s="341">
        <f t="shared" ref="F11:F22" si="2">E11-D11</f>
        <v>0</v>
      </c>
      <c r="G11" s="208"/>
      <c r="H11" s="147">
        <f t="shared" si="1"/>
        <v>0</v>
      </c>
      <c r="I11" s="147">
        <f t="shared" si="1"/>
        <v>0</v>
      </c>
      <c r="J11" s="541">
        <f t="shared" ref="J11:J21" si="3">H11+I11</f>
        <v>0</v>
      </c>
      <c r="K11" s="153">
        <f t="shared" ref="K11:O13" si="4">K115+K172</f>
        <v>0</v>
      </c>
      <c r="L11" s="153">
        <f t="shared" si="4"/>
        <v>0</v>
      </c>
      <c r="M11" s="153">
        <f t="shared" si="4"/>
        <v>0</v>
      </c>
      <c r="N11" s="153">
        <f t="shared" si="4"/>
        <v>0</v>
      </c>
      <c r="O11" s="153">
        <f t="shared" si="4"/>
        <v>0</v>
      </c>
    </row>
    <row r="12" spans="2:15">
      <c r="B12" s="100">
        <f t="shared" ref="B12:B22" si="5">B11+1</f>
        <v>3</v>
      </c>
      <c r="C12" s="334" t="s">
        <v>691</v>
      </c>
      <c r="D12" s="20"/>
      <c r="E12" s="147">
        <f t="shared" si="0"/>
        <v>0</v>
      </c>
      <c r="F12" s="341">
        <f t="shared" si="2"/>
        <v>0</v>
      </c>
      <c r="G12" s="208"/>
      <c r="H12" s="147">
        <f t="shared" si="1"/>
        <v>0</v>
      </c>
      <c r="I12" s="147">
        <f t="shared" si="1"/>
        <v>0</v>
      </c>
      <c r="J12" s="541">
        <f t="shared" si="3"/>
        <v>0</v>
      </c>
      <c r="K12" s="153">
        <f t="shared" si="4"/>
        <v>0</v>
      </c>
      <c r="L12" s="153">
        <f t="shared" si="4"/>
        <v>0</v>
      </c>
      <c r="M12" s="153">
        <f t="shared" si="4"/>
        <v>0</v>
      </c>
      <c r="N12" s="153">
        <f t="shared" si="4"/>
        <v>0</v>
      </c>
      <c r="O12" s="153">
        <f t="shared" si="4"/>
        <v>0</v>
      </c>
    </row>
    <row r="13" ht="28.5" spans="2:15">
      <c r="B13" s="100">
        <f t="shared" si="5"/>
        <v>4</v>
      </c>
      <c r="C13" s="312" t="s">
        <v>692</v>
      </c>
      <c r="D13" s="333"/>
      <c r="E13" s="147">
        <f t="shared" si="0"/>
        <v>0</v>
      </c>
      <c r="F13" s="341">
        <f t="shared" si="2"/>
        <v>0</v>
      </c>
      <c r="G13" s="334"/>
      <c r="H13" s="147">
        <f t="shared" si="1"/>
        <v>0</v>
      </c>
      <c r="I13" s="147">
        <f t="shared" si="1"/>
        <v>0</v>
      </c>
      <c r="J13" s="541">
        <f t="shared" si="3"/>
        <v>0</v>
      </c>
      <c r="K13" s="153">
        <f t="shared" si="4"/>
        <v>0</v>
      </c>
      <c r="L13" s="153">
        <f t="shared" si="4"/>
        <v>0</v>
      </c>
      <c r="M13" s="153">
        <f t="shared" si="4"/>
        <v>0</v>
      </c>
      <c r="N13" s="153">
        <f t="shared" si="4"/>
        <v>0</v>
      </c>
      <c r="O13" s="153">
        <f t="shared" si="4"/>
        <v>0</v>
      </c>
    </row>
    <row r="14" s="11" customFormat="1" ht="28.5" spans="2:15">
      <c r="B14" s="100">
        <f t="shared" si="5"/>
        <v>5</v>
      </c>
      <c r="C14" s="342" t="s">
        <v>693</v>
      </c>
      <c r="D14" s="333"/>
      <c r="E14" s="147">
        <f t="shared" si="0"/>
        <v>0</v>
      </c>
      <c r="F14" s="341">
        <f t="shared" si="2"/>
        <v>0</v>
      </c>
      <c r="G14" s="334"/>
      <c r="H14" s="147">
        <f t="shared" si="1"/>
        <v>0</v>
      </c>
      <c r="I14" s="147">
        <f t="shared" si="1"/>
        <v>0</v>
      </c>
      <c r="J14" s="541">
        <f>'[6]Interest cost'!D6</f>
        <v>1024.65698316815</v>
      </c>
      <c r="K14" s="541">
        <f>'[6]Interest cost'!E6</f>
        <v>2476.34227291471</v>
      </c>
      <c r="L14" s="541">
        <f>'[6]Interest cost'!F6</f>
        <v>3448.9178733365</v>
      </c>
      <c r="M14" s="541">
        <f>'[6]Interest cost'!G6</f>
        <v>4522.69879691027</v>
      </c>
      <c r="N14" s="541">
        <f>'[6]Interest cost'!H6</f>
        <v>4949.51658001482</v>
      </c>
      <c r="O14" s="541">
        <f>'[6]Interest cost'!I6</f>
        <v>5275.19109387078</v>
      </c>
    </row>
    <row r="15" ht="28.5" spans="2:15">
      <c r="B15" s="100">
        <f t="shared" si="5"/>
        <v>6</v>
      </c>
      <c r="C15" s="312" t="s">
        <v>694</v>
      </c>
      <c r="D15" s="333"/>
      <c r="E15" s="147">
        <f t="shared" si="0"/>
        <v>0</v>
      </c>
      <c r="F15" s="341">
        <f t="shared" si="2"/>
        <v>0</v>
      </c>
      <c r="G15" s="334"/>
      <c r="H15" s="147">
        <f t="shared" si="1"/>
        <v>0</v>
      </c>
      <c r="I15" s="147">
        <f t="shared" si="1"/>
        <v>0</v>
      </c>
      <c r="J15" s="541">
        <f>'[6]Interest cost'!D7</f>
        <v>886.315905937322</v>
      </c>
      <c r="K15" s="541">
        <f>'[6]Interest cost'!E7</f>
        <v>975.587554955341</v>
      </c>
      <c r="L15" s="541">
        <f>'[6]Interest cost'!F7</f>
        <v>1205.4149479659</v>
      </c>
      <c r="M15" s="541">
        <f>'[6]Interest cost'!G7</f>
        <v>1525.7091236829</v>
      </c>
      <c r="N15" s="541">
        <f>'[6]Interest cost'!H7</f>
        <v>1902.65120463359</v>
      </c>
      <c r="O15" s="541">
        <f>'[6]Interest cost'!I7</f>
        <v>2309.75030443809</v>
      </c>
    </row>
    <row r="16" spans="2:15">
      <c r="B16" s="100">
        <f t="shared" si="5"/>
        <v>7</v>
      </c>
      <c r="C16" s="55" t="s">
        <v>695</v>
      </c>
      <c r="D16" s="333"/>
      <c r="E16" s="147">
        <f t="shared" si="0"/>
        <v>0</v>
      </c>
      <c r="F16" s="341">
        <f t="shared" si="2"/>
        <v>0</v>
      </c>
      <c r="G16" s="334"/>
      <c r="H16" s="147">
        <f t="shared" si="1"/>
        <v>0</v>
      </c>
      <c r="I16" s="147">
        <f t="shared" si="1"/>
        <v>0</v>
      </c>
      <c r="J16" s="541">
        <f>'[6]Interest cost'!D9</f>
        <v>4480.09722804268</v>
      </c>
      <c r="K16" s="541">
        <f>'[6]Interest cost'!E9</f>
        <v>5989.0544699363</v>
      </c>
      <c r="L16" s="541">
        <f>'[6]Interest cost'!F9</f>
        <v>8238.71187971843</v>
      </c>
      <c r="M16" s="541">
        <f>'[6]Interest cost'!G9</f>
        <v>11243.2810486707</v>
      </c>
      <c r="N16" s="541">
        <f>'[6]Interest cost'!H9</f>
        <v>14297.4253274807</v>
      </c>
      <c r="O16" s="541">
        <f>'[6]Interest cost'!I9</f>
        <v>17273.967287185</v>
      </c>
    </row>
    <row r="17" spans="2:15">
      <c r="B17" s="100">
        <f t="shared" si="5"/>
        <v>8</v>
      </c>
      <c r="C17" s="55" t="s">
        <v>696</v>
      </c>
      <c r="D17" s="333"/>
      <c r="E17" s="147">
        <f t="shared" si="0"/>
        <v>0</v>
      </c>
      <c r="F17" s="341">
        <f t="shared" si="2"/>
        <v>0</v>
      </c>
      <c r="G17" s="334"/>
      <c r="H17" s="147">
        <f t="shared" si="1"/>
        <v>0</v>
      </c>
      <c r="I17" s="147">
        <f t="shared" si="1"/>
        <v>0</v>
      </c>
      <c r="J17" s="541">
        <f t="shared" si="3"/>
        <v>0</v>
      </c>
      <c r="K17" s="153">
        <f t="shared" ref="K17:O18" si="6">K121+K178</f>
        <v>0</v>
      </c>
      <c r="L17" s="153">
        <f t="shared" si="6"/>
        <v>0</v>
      </c>
      <c r="M17" s="153">
        <f t="shared" si="6"/>
        <v>0</v>
      </c>
      <c r="N17" s="153">
        <f t="shared" si="6"/>
        <v>0</v>
      </c>
      <c r="O17" s="153">
        <f t="shared" si="6"/>
        <v>0</v>
      </c>
    </row>
    <row r="18" spans="2:15">
      <c r="B18" s="100">
        <f t="shared" si="5"/>
        <v>9</v>
      </c>
      <c r="C18" s="55" t="s">
        <v>697</v>
      </c>
      <c r="D18" s="333"/>
      <c r="E18" s="147">
        <f t="shared" si="0"/>
        <v>0</v>
      </c>
      <c r="F18" s="341">
        <f t="shared" si="2"/>
        <v>0</v>
      </c>
      <c r="G18" s="334"/>
      <c r="H18" s="147">
        <f t="shared" si="1"/>
        <v>0</v>
      </c>
      <c r="I18" s="147">
        <f t="shared" si="1"/>
        <v>0</v>
      </c>
      <c r="J18" s="541">
        <f t="shared" si="3"/>
        <v>0</v>
      </c>
      <c r="K18" s="153">
        <f t="shared" si="6"/>
        <v>0</v>
      </c>
      <c r="L18" s="153">
        <f t="shared" si="6"/>
        <v>0</v>
      </c>
      <c r="M18" s="153">
        <f t="shared" si="6"/>
        <v>0</v>
      </c>
      <c r="N18" s="153">
        <f t="shared" si="6"/>
        <v>0</v>
      </c>
      <c r="O18" s="153">
        <f t="shared" si="6"/>
        <v>0</v>
      </c>
    </row>
    <row r="19" ht="28.5" spans="2:15">
      <c r="B19" s="100">
        <f t="shared" si="5"/>
        <v>10</v>
      </c>
      <c r="C19" s="312" t="s">
        <v>698</v>
      </c>
      <c r="D19" s="333"/>
      <c r="E19" s="147"/>
      <c r="F19" s="341">
        <f t="shared" si="2"/>
        <v>0</v>
      </c>
      <c r="G19" s="334"/>
      <c r="H19" s="147"/>
      <c r="I19" s="147"/>
      <c r="J19" s="542">
        <f>'[6]Interest cost'!D12</f>
        <v>0.102788696309569</v>
      </c>
      <c r="K19" s="542">
        <f>'[6]Interest cost'!E12</f>
        <v>0.102189425887538</v>
      </c>
      <c r="L19" s="542">
        <f>'[6]Interest cost'!F12</f>
        <v>0.0997458570704077</v>
      </c>
      <c r="M19" s="542">
        <f>'[6]Interest cost'!G12</f>
        <v>0.099763744116817</v>
      </c>
      <c r="N19" s="542">
        <f>'[6]Interest cost'!H12</f>
        <v>0.0996497716822462</v>
      </c>
      <c r="O19" s="542">
        <f>'[6]Interest cost'!I12</f>
        <v>0.0999029608712046</v>
      </c>
    </row>
    <row r="20" spans="2:15">
      <c r="B20" s="100">
        <f t="shared" si="5"/>
        <v>11</v>
      </c>
      <c r="C20" s="55" t="s">
        <v>699</v>
      </c>
      <c r="D20" s="333"/>
      <c r="E20" s="147">
        <f>E124+E181</f>
        <v>0</v>
      </c>
      <c r="F20" s="341">
        <f t="shared" si="2"/>
        <v>0</v>
      </c>
      <c r="G20" s="334"/>
      <c r="H20" s="147">
        <f t="shared" si="1"/>
        <v>0</v>
      </c>
      <c r="I20" s="147">
        <f t="shared" si="1"/>
        <v>0</v>
      </c>
      <c r="J20" s="541">
        <f>'[6]Interest cost'!D14</f>
        <v>453.130132689575</v>
      </c>
      <c r="K20" s="541">
        <f>'[6]Interest cost'!E14</f>
        <v>534.918300773007</v>
      </c>
      <c r="L20" s="541">
        <f>'[6]Interest cost'!F14</f>
        <v>709.580374371908</v>
      </c>
      <c r="M20" s="541">
        <f>'[6]Interest cost'!G14</f>
        <v>971.798278696725</v>
      </c>
      <c r="N20" s="541">
        <f>'[6]Interest cost'!H14</f>
        <v>1272.56277949339</v>
      </c>
      <c r="O20" s="541">
        <f>'[6]Interest cost'!I14</f>
        <v>1577.03780051619</v>
      </c>
    </row>
    <row r="21" spans="2:15">
      <c r="B21" s="100">
        <f t="shared" si="5"/>
        <v>12</v>
      </c>
      <c r="C21" s="55" t="s">
        <v>700</v>
      </c>
      <c r="D21" s="333"/>
      <c r="E21" s="147">
        <f>E125+E182</f>
        <v>0</v>
      </c>
      <c r="F21" s="341">
        <f t="shared" si="2"/>
        <v>0</v>
      </c>
      <c r="G21" s="334"/>
      <c r="H21" s="147">
        <f t="shared" si="1"/>
        <v>0</v>
      </c>
      <c r="I21" s="147">
        <f t="shared" si="1"/>
        <v>0</v>
      </c>
      <c r="J21" s="541">
        <f t="shared" si="3"/>
        <v>0</v>
      </c>
      <c r="K21" s="153">
        <f>K125+K182</f>
        <v>0</v>
      </c>
      <c r="L21" s="153">
        <f>L125+L182</f>
        <v>0</v>
      </c>
      <c r="M21" s="153">
        <f>M125+M182</f>
        <v>0</v>
      </c>
      <c r="N21" s="153">
        <f>N125+N182</f>
        <v>0</v>
      </c>
      <c r="O21" s="153">
        <f>O125+O182</f>
        <v>0</v>
      </c>
    </row>
    <row r="22" spans="2:15">
      <c r="B22" s="100">
        <f t="shared" si="5"/>
        <v>13</v>
      </c>
      <c r="C22" s="55" t="s">
        <v>701</v>
      </c>
      <c r="D22" s="333"/>
      <c r="E22" s="147">
        <f>E126+E183</f>
        <v>0</v>
      </c>
      <c r="F22" s="341">
        <f t="shared" si="2"/>
        <v>0</v>
      </c>
      <c r="G22" s="334"/>
      <c r="H22" s="147">
        <f t="shared" si="1"/>
        <v>0</v>
      </c>
      <c r="I22" s="147">
        <f t="shared" si="1"/>
        <v>0</v>
      </c>
      <c r="J22" s="541">
        <f>J20+J21</f>
        <v>453.130132689575</v>
      </c>
      <c r="K22" s="541">
        <f t="shared" ref="K22:O22" si="7">K20+K21</f>
        <v>534.918300773007</v>
      </c>
      <c r="L22" s="541">
        <f t="shared" si="7"/>
        <v>709.580374371908</v>
      </c>
      <c r="M22" s="541">
        <f t="shared" si="7"/>
        <v>971.798278696725</v>
      </c>
      <c r="N22" s="541">
        <f t="shared" si="7"/>
        <v>1272.56277949339</v>
      </c>
      <c r="O22" s="541">
        <f t="shared" si="7"/>
        <v>1577.03780051619</v>
      </c>
    </row>
    <row r="24" ht="15" spans="2:3">
      <c r="B24" s="2" t="s">
        <v>702</v>
      </c>
      <c r="C24" s="14" t="s">
        <v>703</v>
      </c>
    </row>
    <row r="25" ht="15" spans="12:12">
      <c r="L25" s="33" t="s">
        <v>109</v>
      </c>
    </row>
    <row r="26" ht="15" customHeight="1" spans="2:12">
      <c r="B26" s="16" t="s">
        <v>3</v>
      </c>
      <c r="C26" s="17" t="s">
        <v>110</v>
      </c>
      <c r="D26" s="306" t="s">
        <v>112</v>
      </c>
      <c r="E26" s="306" t="s">
        <v>760</v>
      </c>
      <c r="F26" s="307"/>
      <c r="G26" s="308"/>
      <c r="H26" s="537" t="s">
        <v>114</v>
      </c>
      <c r="I26" s="539"/>
      <c r="J26" s="539"/>
      <c r="K26" s="539"/>
      <c r="L26" s="540"/>
    </row>
    <row r="27" ht="15" spans="2:12">
      <c r="B27" s="309"/>
      <c r="C27" s="534"/>
      <c r="D27" s="5" t="s">
        <v>237</v>
      </c>
      <c r="E27" s="5" t="s">
        <v>119</v>
      </c>
      <c r="F27" s="5" t="s">
        <v>120</v>
      </c>
      <c r="G27" s="5" t="s">
        <v>238</v>
      </c>
      <c r="H27" s="5" t="s">
        <v>514</v>
      </c>
      <c r="I27" s="5" t="s">
        <v>515</v>
      </c>
      <c r="J27" s="5" t="s">
        <v>516</v>
      </c>
      <c r="K27" s="5" t="s">
        <v>517</v>
      </c>
      <c r="L27" s="5" t="s">
        <v>518</v>
      </c>
    </row>
    <row r="28" ht="15" spans="2:12">
      <c r="B28" s="535"/>
      <c r="C28" s="536"/>
      <c r="D28" s="5" t="s">
        <v>128</v>
      </c>
      <c r="E28" s="5" t="s">
        <v>130</v>
      </c>
      <c r="F28" s="5" t="s">
        <v>131</v>
      </c>
      <c r="G28" s="5" t="s">
        <v>131</v>
      </c>
      <c r="H28" s="5" t="s">
        <v>132</v>
      </c>
      <c r="I28" s="5" t="s">
        <v>132</v>
      </c>
      <c r="J28" s="5" t="s">
        <v>132</v>
      </c>
      <c r="K28" s="5" t="s">
        <v>132</v>
      </c>
      <c r="L28" s="5" t="s">
        <v>132</v>
      </c>
    </row>
    <row r="29" ht="15" spans="2:12">
      <c r="B29" s="100">
        <v>1</v>
      </c>
      <c r="C29" s="54" t="s">
        <v>812</v>
      </c>
      <c r="D29" s="55"/>
      <c r="E29" s="55"/>
      <c r="F29" s="55"/>
      <c r="G29" s="55"/>
      <c r="H29" s="55"/>
      <c r="I29" s="55"/>
      <c r="J29" s="55"/>
      <c r="K29" s="55"/>
      <c r="L29" s="55"/>
    </row>
    <row r="30" spans="2:12">
      <c r="B30" s="55"/>
      <c r="C30" s="55" t="s">
        <v>704</v>
      </c>
      <c r="D30" s="55"/>
      <c r="E30" s="55"/>
      <c r="F30" s="55"/>
      <c r="G30" s="538">
        <f>'[6]Loan Portfolio'!$C$13</f>
        <v>5187.68</v>
      </c>
      <c r="H30" s="147">
        <f>G33</f>
        <v>6836.0349916</v>
      </c>
      <c r="I30" s="147">
        <f t="shared" ref="I30:L30" si="8">H33</f>
        <v>6695.0149576</v>
      </c>
      <c r="J30" s="147">
        <f t="shared" si="8"/>
        <v>6299.9549576</v>
      </c>
      <c r="K30" s="147">
        <f t="shared" si="8"/>
        <v>5342.8449576</v>
      </c>
      <c r="L30" s="147">
        <f t="shared" si="8"/>
        <v>4385.7349576</v>
      </c>
    </row>
    <row r="31" spans="2:12">
      <c r="B31" s="55"/>
      <c r="C31" s="55" t="s">
        <v>705</v>
      </c>
      <c r="D31" s="55"/>
      <c r="E31" s="55"/>
      <c r="F31" s="55"/>
      <c r="G31" s="538">
        <f>'[6]Loan Portfolio'!$D$13</f>
        <v>2069.45</v>
      </c>
      <c r="H31" s="538">
        <f>'[6]Loan Portfolio'!$K$13</f>
        <v>465.6228228</v>
      </c>
      <c r="I31" s="538">
        <f>'[6]Loan Portfolio'!$Q$13</f>
        <v>328.4</v>
      </c>
      <c r="J31" s="55">
        <v>0</v>
      </c>
      <c r="K31" s="55">
        <v>0</v>
      </c>
      <c r="L31" s="55">
        <v>0</v>
      </c>
    </row>
    <row r="32" spans="2:12">
      <c r="B32" s="55"/>
      <c r="C32" s="55" t="s">
        <v>706</v>
      </c>
      <c r="D32" s="55"/>
      <c r="E32" s="55"/>
      <c r="F32" s="55"/>
      <c r="G32" s="538">
        <f>'[6]Loan Portfolio'!$E$13</f>
        <v>421.0952378</v>
      </c>
      <c r="H32" s="538">
        <f>'[6]Loan Portfolio'!$J$13</f>
        <v>606.6428568</v>
      </c>
      <c r="I32" s="538">
        <f>'[6]Loan Portfolio'!$P$13</f>
        <v>723.46</v>
      </c>
      <c r="J32" s="538">
        <f>'[6]Loan Portfolio'!$V$13</f>
        <v>957.11</v>
      </c>
      <c r="K32" s="538">
        <f>'[6]Loan Portfolio'!$AA$13</f>
        <v>957.11</v>
      </c>
      <c r="L32" s="538">
        <f>'[6]Loan Portfolio'!$AF$13</f>
        <v>957.11</v>
      </c>
    </row>
    <row r="33" spans="2:12">
      <c r="B33" s="55"/>
      <c r="C33" s="55" t="s">
        <v>707</v>
      </c>
      <c r="D33" s="341">
        <f>D137+D194</f>
        <v>0</v>
      </c>
      <c r="E33" s="341">
        <f t="shared" ref="E33:F34" si="9">E137+E194</f>
        <v>0</v>
      </c>
      <c r="F33" s="341">
        <f t="shared" si="9"/>
        <v>0</v>
      </c>
      <c r="G33" s="341">
        <f>'[6]Loan Portfolio'!$G$13</f>
        <v>6836.0349916</v>
      </c>
      <c r="H33" s="341">
        <f>'[6]Loan Portfolio'!$M$13</f>
        <v>6695.0149576</v>
      </c>
      <c r="I33" s="341">
        <f>'[6]Loan Portfolio'!$S$13</f>
        <v>6299.9549576</v>
      </c>
      <c r="J33" s="341">
        <f>'[6]Loan Portfolio'!$X$13</f>
        <v>5342.8449576</v>
      </c>
      <c r="K33" s="341">
        <f>'[6]Loan Portfolio'!$AC$13</f>
        <v>4385.7349576</v>
      </c>
      <c r="L33" s="341">
        <f>'[6]Loan Portfolio'!$AH$13</f>
        <v>3428.6249576</v>
      </c>
    </row>
    <row r="34" spans="2:12">
      <c r="B34" s="55"/>
      <c r="C34" s="55" t="s">
        <v>708</v>
      </c>
      <c r="D34" s="341">
        <f>D138+D195</f>
        <v>0</v>
      </c>
      <c r="E34" s="341">
        <f t="shared" si="9"/>
        <v>0</v>
      </c>
      <c r="F34" s="341">
        <f t="shared" si="9"/>
        <v>0</v>
      </c>
      <c r="G34" s="341">
        <f>'[6]Loan Portfolio'!$H$13</f>
        <v>6011.8574958</v>
      </c>
      <c r="H34" s="341">
        <f>'[6]Loan Portfolio'!$N$13</f>
        <v>6353.4362267</v>
      </c>
      <c r="I34" s="341">
        <f>'[6]Loan Portfolio'!$T$13</f>
        <v>6497.4849576</v>
      </c>
      <c r="J34" s="341">
        <f>'[6]Loan Portfolio'!$Y$13</f>
        <v>5821.3999576</v>
      </c>
      <c r="K34" s="341">
        <f>'[6]Loan Portfolio'!$AD$13</f>
        <v>4864.2899576</v>
      </c>
      <c r="L34" s="341">
        <f>'[6]Loan Portfolio'!$AI$13</f>
        <v>3907.1799576</v>
      </c>
    </row>
    <row r="35" spans="2:12">
      <c r="B35" s="55"/>
      <c r="C35" s="55" t="s">
        <v>709</v>
      </c>
      <c r="D35" s="55"/>
      <c r="E35" s="55"/>
      <c r="F35" s="55"/>
      <c r="G35" s="346">
        <f>'[6]Loan Portfolio'!$I$13</f>
        <v>0.105696315330815</v>
      </c>
      <c r="H35" s="346">
        <f>'[6]Loan Portfolio'!$O$13</f>
        <v>0.104721284083083</v>
      </c>
      <c r="I35" s="346">
        <f>'[6]Loan Portfolio'!$U$13</f>
        <v>0.0990521723712809</v>
      </c>
      <c r="J35" s="346">
        <f>'[6]Loan Portfolio'!$Z$13</f>
        <v>0.0992665001904868</v>
      </c>
      <c r="K35" s="346">
        <f>'[6]Loan Portfolio'!$AE$13</f>
        <v>0.099484201027926</v>
      </c>
      <c r="L35" s="346">
        <f>'[6]Loan Portfolio'!$AJ$13</f>
        <v>0.0998111180524039</v>
      </c>
    </row>
    <row r="36" spans="2:12">
      <c r="B36" s="55"/>
      <c r="C36" s="55" t="s">
        <v>699</v>
      </c>
      <c r="D36" s="341">
        <f t="shared" ref="D36:F36" si="10">D140+D197</f>
        <v>0</v>
      </c>
      <c r="E36" s="341">
        <f t="shared" si="10"/>
        <v>0</v>
      </c>
      <c r="F36" s="341">
        <f t="shared" si="10"/>
        <v>0</v>
      </c>
      <c r="G36" s="341">
        <f>'[6]Loan Portfolio'!$F$13</f>
        <v>635.4311856</v>
      </c>
      <c r="H36" s="341">
        <f>'[6]Loan Portfolio'!$L$13</f>
        <v>665.34</v>
      </c>
      <c r="I36" s="341">
        <f>'[6]Loan Portfolio'!$R$13</f>
        <v>643.59</v>
      </c>
      <c r="J36" s="341">
        <f>'[6]Loan Portfolio'!$W$13</f>
        <v>577.87</v>
      </c>
      <c r="K36" s="341">
        <f>'[6]Loan Portfolio'!$AB$13</f>
        <v>483.92</v>
      </c>
      <c r="L36" s="341">
        <f>'[6]Loan Portfolio'!$AG$13</f>
        <v>389.98</v>
      </c>
    </row>
    <row r="37" spans="2:12">
      <c r="B37" s="55"/>
      <c r="C37" s="55" t="s">
        <v>700</v>
      </c>
      <c r="D37" s="55"/>
      <c r="E37" s="55"/>
      <c r="F37" s="55"/>
      <c r="G37" s="55">
        <v>0</v>
      </c>
      <c r="H37" s="55">
        <v>0</v>
      </c>
      <c r="I37" s="55">
        <v>0</v>
      </c>
      <c r="J37" s="55">
        <v>0</v>
      </c>
      <c r="K37" s="55">
        <v>0</v>
      </c>
      <c r="L37" s="55">
        <v>0</v>
      </c>
    </row>
    <row r="38" spans="2:12">
      <c r="B38" s="55"/>
      <c r="C38" s="55" t="s">
        <v>701</v>
      </c>
      <c r="D38" s="341">
        <f t="shared" ref="D38:F38" si="11">D142+D199</f>
        <v>0</v>
      </c>
      <c r="E38" s="341">
        <f t="shared" si="11"/>
        <v>0</v>
      </c>
      <c r="F38" s="341">
        <f t="shared" si="11"/>
        <v>0</v>
      </c>
      <c r="G38" s="341">
        <f>G36+G37</f>
        <v>635.4311856</v>
      </c>
      <c r="H38" s="341">
        <f t="shared" ref="H38:L38" si="12">H36+H37</f>
        <v>665.34</v>
      </c>
      <c r="I38" s="341">
        <f t="shared" si="12"/>
        <v>643.59</v>
      </c>
      <c r="J38" s="341">
        <f t="shared" si="12"/>
        <v>577.87</v>
      </c>
      <c r="K38" s="341">
        <f t="shared" si="12"/>
        <v>483.92</v>
      </c>
      <c r="L38" s="341">
        <f t="shared" si="12"/>
        <v>389.98</v>
      </c>
    </row>
    <row r="39" ht="15" spans="2:12">
      <c r="B39" s="100">
        <v>2</v>
      </c>
      <c r="C39" s="54" t="s">
        <v>813</v>
      </c>
      <c r="D39" s="55"/>
      <c r="E39" s="55"/>
      <c r="F39" s="55"/>
      <c r="G39" s="55"/>
      <c r="H39" s="55"/>
      <c r="I39" s="55"/>
      <c r="J39" s="55"/>
      <c r="K39" s="55"/>
      <c r="L39" s="55"/>
    </row>
    <row r="40" spans="2:12">
      <c r="B40" s="55"/>
      <c r="C40" s="55" t="s">
        <v>704</v>
      </c>
      <c r="D40" s="55"/>
      <c r="E40" s="55"/>
      <c r="F40" s="55"/>
      <c r="G40" s="538">
        <f>'[6]Loan Portfolio'!$C$14</f>
        <v>5361.25</v>
      </c>
      <c r="H40" s="147">
        <f>G43</f>
        <v>6017.520044</v>
      </c>
      <c r="I40" s="147">
        <f t="shared" ref="I40:L40" si="13">H43</f>
        <v>6100.0076416</v>
      </c>
      <c r="J40" s="147">
        <f t="shared" si="13"/>
        <v>5928.4476416</v>
      </c>
      <c r="K40" s="147">
        <f t="shared" si="13"/>
        <v>5194.8476416</v>
      </c>
      <c r="L40" s="147">
        <f t="shared" si="13"/>
        <v>4461.2476416</v>
      </c>
    </row>
    <row r="41" spans="2:12">
      <c r="B41" s="55"/>
      <c r="C41" s="55" t="s">
        <v>705</v>
      </c>
      <c r="D41" s="55"/>
      <c r="E41" s="55"/>
      <c r="F41" s="55"/>
      <c r="G41" s="538">
        <f>'[6]Loan Portfolio'!$D$14</f>
        <v>934.82</v>
      </c>
      <c r="H41" s="538">
        <f>'[6]Loan Portfolio'!$K$14</f>
        <v>465.62</v>
      </c>
      <c r="I41" s="55">
        <v>0</v>
      </c>
      <c r="J41" s="55">
        <v>0</v>
      </c>
      <c r="K41" s="55">
        <v>0</v>
      </c>
      <c r="L41" s="55">
        <v>0</v>
      </c>
    </row>
    <row r="42" spans="2:12">
      <c r="B42" s="55"/>
      <c r="C42" s="55" t="s">
        <v>706</v>
      </c>
      <c r="D42" s="55"/>
      <c r="E42" s="55"/>
      <c r="F42" s="55"/>
      <c r="G42" s="538">
        <f>'[6]Loan Portfolio'!$E$14</f>
        <v>278.5471516</v>
      </c>
      <c r="H42" s="538">
        <f>'[6]Loan Portfolio'!$J$14</f>
        <v>383.1324024</v>
      </c>
      <c r="I42" s="538">
        <f>'[6]Loan Portfolio'!$P$14</f>
        <v>499.95</v>
      </c>
      <c r="J42" s="538">
        <f>'[6]Loan Portfolio'!$V$14</f>
        <v>733.6</v>
      </c>
      <c r="K42" s="538">
        <f>'[6]Loan Portfolio'!$AA$14</f>
        <v>733.6</v>
      </c>
      <c r="L42" s="538">
        <f>'[6]Loan Portfolio'!$AF$14</f>
        <v>733.6</v>
      </c>
    </row>
    <row r="43" spans="2:12">
      <c r="B43" s="55"/>
      <c r="C43" s="55" t="s">
        <v>707</v>
      </c>
      <c r="D43" s="341">
        <f t="shared" ref="D43:F44" si="14">D147+D204</f>
        <v>0</v>
      </c>
      <c r="E43" s="341">
        <f t="shared" si="14"/>
        <v>0</v>
      </c>
      <c r="F43" s="341">
        <f t="shared" si="14"/>
        <v>0</v>
      </c>
      <c r="G43" s="341">
        <f>'[6]Loan Portfolio'!$G$14</f>
        <v>6017.520044</v>
      </c>
      <c r="H43" s="341">
        <f>'[6]Loan Portfolio'!$M$14</f>
        <v>6100.0076416</v>
      </c>
      <c r="I43" s="341">
        <f>'[6]Loan Portfolio'!$S$14</f>
        <v>5928.4476416</v>
      </c>
      <c r="J43" s="341">
        <f>'[6]Loan Portfolio'!$X$14</f>
        <v>5194.8476416</v>
      </c>
      <c r="K43" s="341">
        <f>'[6]Loan Portfolio'!$AC$14</f>
        <v>4461.2476416</v>
      </c>
      <c r="L43" s="341">
        <f>'[6]Loan Portfolio'!$AH$14</f>
        <v>3727.6476416</v>
      </c>
    </row>
    <row r="44" spans="2:12">
      <c r="B44" s="55"/>
      <c r="C44" s="55" t="s">
        <v>708</v>
      </c>
      <c r="D44" s="341">
        <f t="shared" si="14"/>
        <v>0</v>
      </c>
      <c r="E44" s="341">
        <f t="shared" si="14"/>
        <v>0</v>
      </c>
      <c r="F44" s="341">
        <f t="shared" si="14"/>
        <v>0</v>
      </c>
      <c r="G44" s="341">
        <f>'[6]Loan Portfolio'!$H$14</f>
        <v>5689.385022</v>
      </c>
      <c r="H44" s="341">
        <f>'[6]Loan Portfolio'!$N$14</f>
        <v>5894.6963318</v>
      </c>
      <c r="I44" s="341">
        <f>'[6]Loan Portfolio'!$T$14</f>
        <v>6014.2276416</v>
      </c>
      <c r="J44" s="341">
        <f>'[6]Loan Portfolio'!$Y$14</f>
        <v>5561.6476416</v>
      </c>
      <c r="K44" s="341">
        <f>'[6]Loan Portfolio'!$AD$14</f>
        <v>4828.0476416</v>
      </c>
      <c r="L44" s="341">
        <f>'[6]Loan Portfolio'!$AI$14</f>
        <v>4094.4476416</v>
      </c>
    </row>
    <row r="45" spans="2:12">
      <c r="B45" s="55"/>
      <c r="C45" s="55" t="s">
        <v>709</v>
      </c>
      <c r="D45" s="55"/>
      <c r="E45" s="55"/>
      <c r="F45" s="55"/>
      <c r="G45" s="346">
        <f>'[6]Loan Portfolio'!$I$14</f>
        <v>0.0987805239277758</v>
      </c>
      <c r="H45" s="346">
        <f>'[6]Loan Portfolio'!$O$14</f>
        <v>0.101396232537985</v>
      </c>
      <c r="I45" s="346">
        <f>'[6]Loan Portfolio'!$U$14</f>
        <v>0.0993460899064084</v>
      </c>
      <c r="J45" s="346">
        <f>'[6]Loan Portfolio'!$Z$14</f>
        <v>0.0994867053175669</v>
      </c>
      <c r="K45" s="346">
        <f>'[6]Loan Portfolio'!$AE$14</f>
        <v>0.0996075506497338</v>
      </c>
      <c r="L45" s="346">
        <f>'[6]Loan Portfolio'!$AJ$14</f>
        <v>0.0997716995693137</v>
      </c>
    </row>
    <row r="46" spans="2:12">
      <c r="B46" s="55"/>
      <c r="C46" s="55" t="s">
        <v>699</v>
      </c>
      <c r="D46" s="341">
        <f t="shared" ref="D46:F46" si="15">D150+D207</f>
        <v>0</v>
      </c>
      <c r="E46" s="341">
        <f t="shared" si="15"/>
        <v>0</v>
      </c>
      <c r="F46" s="341">
        <f t="shared" si="15"/>
        <v>0</v>
      </c>
      <c r="G46" s="341">
        <f>'[6]Loan Portfolio'!$F$14</f>
        <v>562.0004333</v>
      </c>
      <c r="H46" s="341">
        <f>'[6]Loan Portfolio'!$L$14</f>
        <v>597.7</v>
      </c>
      <c r="I46" s="341">
        <f>'[6]Loan Portfolio'!$R$14</f>
        <v>597.49</v>
      </c>
      <c r="J46" s="341">
        <f>'[6]Loan Portfolio'!$W$14</f>
        <v>553.31</v>
      </c>
      <c r="K46" s="341">
        <f>'[6]Loan Portfolio'!$AB$14</f>
        <v>480.91</v>
      </c>
      <c r="L46" s="341">
        <f>'[6]Loan Portfolio'!$AG$14</f>
        <v>408.51</v>
      </c>
    </row>
    <row r="47" spans="2:12">
      <c r="B47" s="55"/>
      <c r="C47" s="55" t="s">
        <v>700</v>
      </c>
      <c r="D47" s="55"/>
      <c r="E47" s="55"/>
      <c r="F47" s="55"/>
      <c r="G47" s="55">
        <v>0</v>
      </c>
      <c r="H47" s="55">
        <v>0</v>
      </c>
      <c r="I47" s="55">
        <v>0</v>
      </c>
      <c r="J47" s="55">
        <v>0</v>
      </c>
      <c r="K47" s="55">
        <v>0</v>
      </c>
      <c r="L47" s="55">
        <v>0</v>
      </c>
    </row>
    <row r="48" spans="2:12">
      <c r="B48" s="55"/>
      <c r="C48" s="55" t="s">
        <v>701</v>
      </c>
      <c r="D48" s="341">
        <f t="shared" ref="D48:F48" si="16">D152+D209</f>
        <v>0</v>
      </c>
      <c r="E48" s="341">
        <f t="shared" si="16"/>
        <v>0</v>
      </c>
      <c r="F48" s="341">
        <f t="shared" si="16"/>
        <v>0</v>
      </c>
      <c r="G48" s="341">
        <f>SUM(G46:G47)</f>
        <v>562.0004333</v>
      </c>
      <c r="H48" s="341">
        <f t="shared" ref="H48:L48" si="17">SUM(H46:H47)</f>
        <v>597.7</v>
      </c>
      <c r="I48" s="341">
        <f t="shared" si="17"/>
        <v>597.49</v>
      </c>
      <c r="J48" s="341">
        <f t="shared" si="17"/>
        <v>553.31</v>
      </c>
      <c r="K48" s="341">
        <f t="shared" si="17"/>
        <v>480.91</v>
      </c>
      <c r="L48" s="341">
        <f t="shared" si="17"/>
        <v>408.51</v>
      </c>
    </row>
    <row r="49" spans="2:12">
      <c r="B49" s="55"/>
      <c r="C49" s="55"/>
      <c r="D49" s="147"/>
      <c r="E49" s="147"/>
      <c r="F49" s="147"/>
      <c r="G49" s="147"/>
      <c r="H49" s="147"/>
      <c r="I49" s="147"/>
      <c r="J49" s="147"/>
      <c r="K49" s="147"/>
      <c r="L49" s="147"/>
    </row>
    <row r="50" ht="15" spans="2:12">
      <c r="B50" s="100">
        <v>3</v>
      </c>
      <c r="C50" s="54" t="s">
        <v>814</v>
      </c>
      <c r="D50" s="147"/>
      <c r="E50" s="147"/>
      <c r="F50" s="147"/>
      <c r="G50" s="147"/>
      <c r="H50" s="147"/>
      <c r="I50" s="147"/>
      <c r="J50" s="147"/>
      <c r="K50" s="147"/>
      <c r="L50" s="147"/>
    </row>
    <row r="51" spans="2:12">
      <c r="B51" s="55"/>
      <c r="C51" s="55" t="s">
        <v>704</v>
      </c>
      <c r="D51" s="147"/>
      <c r="E51" s="147"/>
      <c r="F51" s="147"/>
      <c r="G51" s="147">
        <f>'[6]Loan Portfolio'!$C$15</f>
        <v>1318.82</v>
      </c>
      <c r="H51" s="147">
        <f>G54</f>
        <v>871.5563477</v>
      </c>
      <c r="I51" s="147">
        <f t="shared" ref="I51:L51" si="18">H54</f>
        <v>457.9294445</v>
      </c>
      <c r="J51" s="147">
        <f t="shared" si="18"/>
        <v>138.3692061</v>
      </c>
      <c r="K51" s="147">
        <f t="shared" si="18"/>
        <v>14.4064920999999</v>
      </c>
      <c r="L51" s="147">
        <f t="shared" si="18"/>
        <v>-7.63833440942108e-14</v>
      </c>
    </row>
    <row r="52" spans="2:12">
      <c r="B52" s="55"/>
      <c r="C52" s="55" t="s">
        <v>705</v>
      </c>
      <c r="D52" s="147"/>
      <c r="E52" s="147"/>
      <c r="F52" s="147"/>
      <c r="G52" s="147">
        <f>'[6]Loan Portfolio'!$D$15</f>
        <v>0</v>
      </c>
      <c r="H52" s="147">
        <v>0</v>
      </c>
      <c r="I52" s="147">
        <v>0</v>
      </c>
      <c r="J52" s="147">
        <v>0</v>
      </c>
      <c r="K52" s="147">
        <v>0</v>
      </c>
      <c r="L52" s="147">
        <v>0</v>
      </c>
    </row>
    <row r="53" spans="2:12">
      <c r="B53" s="55"/>
      <c r="C53" s="55" t="s">
        <v>706</v>
      </c>
      <c r="D53" s="147"/>
      <c r="E53" s="147"/>
      <c r="F53" s="147"/>
      <c r="G53" s="147">
        <f>'[6]Loan Portfolio'!$E$15</f>
        <v>447.26</v>
      </c>
      <c r="H53" s="147">
        <f>'[6]Loan Portfolio'!$J$15</f>
        <v>413.6269032</v>
      </c>
      <c r="I53" s="147">
        <f>'[6]Loan Portfolio'!$P$15</f>
        <v>319.5602384</v>
      </c>
      <c r="J53" s="147">
        <f>'[6]Loan Portfolio'!$V$15</f>
        <v>123.962714</v>
      </c>
      <c r="K53" s="147">
        <f>'[6]Loan Portfolio'!$AA$15</f>
        <v>14.4064921</v>
      </c>
      <c r="L53" s="147">
        <f>'[6]Loan Portfolio'!$AF$15</f>
        <v>0</v>
      </c>
    </row>
    <row r="54" spans="2:12">
      <c r="B54" s="55"/>
      <c r="C54" s="55" t="s">
        <v>707</v>
      </c>
      <c r="D54" s="341"/>
      <c r="E54" s="341"/>
      <c r="F54" s="341"/>
      <c r="G54" s="341">
        <f>'[6]Loan Portfolio'!$G$15</f>
        <v>871.5563477</v>
      </c>
      <c r="H54" s="341">
        <f>'[6]Loan Portfolio'!$M$15</f>
        <v>457.9294445</v>
      </c>
      <c r="I54" s="341">
        <f>'[6]Loan Portfolio'!$S$15</f>
        <v>138.3692061</v>
      </c>
      <c r="J54" s="341">
        <f>'[6]Loan Portfolio'!$X$15</f>
        <v>14.4064920999999</v>
      </c>
      <c r="K54" s="341">
        <f>'[6]Loan Portfolio'!$AC$15</f>
        <v>-7.63833440942108e-14</v>
      </c>
      <c r="L54" s="341">
        <f>'[6]Loan Portfolio'!$AH$15</f>
        <v>-7.63833440942108e-14</v>
      </c>
    </row>
    <row r="55" spans="2:12">
      <c r="B55" s="55"/>
      <c r="C55" s="55" t="s">
        <v>708</v>
      </c>
      <c r="D55" s="341"/>
      <c r="E55" s="341"/>
      <c r="F55" s="341"/>
      <c r="G55" s="341">
        <f>'[6]Loan Portfolio'!$H$15</f>
        <v>1095.18817385</v>
      </c>
      <c r="H55" s="341">
        <f>'[6]Loan Portfolio'!$N$15</f>
        <v>776.558809175</v>
      </c>
      <c r="I55" s="341">
        <f>'[6]Loan Portfolio'!$T$15</f>
        <v>298.1493253</v>
      </c>
      <c r="J55" s="341">
        <f>'[6]Loan Portfolio'!$Y$15</f>
        <v>76.3878490999999</v>
      </c>
      <c r="K55" s="341">
        <f>'[6]Loan Portfolio'!$AD$15</f>
        <v>7.20324604999992</v>
      </c>
      <c r="L55" s="341">
        <f>'[6]Loan Portfolio'!$AI$15</f>
        <v>-7.63833440942108e-14</v>
      </c>
    </row>
    <row r="56" spans="2:12">
      <c r="B56" s="55"/>
      <c r="C56" s="55" t="s">
        <v>709</v>
      </c>
      <c r="D56" s="55"/>
      <c r="E56" s="55"/>
      <c r="F56" s="55"/>
      <c r="G56" s="346">
        <f>'[6]Loan Portfolio'!$I$15</f>
        <v>0.106883431902391</v>
      </c>
      <c r="H56" s="346">
        <f>'[6]Loan Portfolio'!$O$15</f>
        <v>0.100356980140493</v>
      </c>
      <c r="I56" s="346">
        <f>'[6]Loan Portfolio'!$U$15</f>
        <v>0.107132359552808</v>
      </c>
      <c r="J56" s="346">
        <f>'[6]Loan Portfolio'!$Z$15</f>
        <v>0.117012983506038</v>
      </c>
      <c r="K56" s="346">
        <f>'[6]Loan Portfolio'!$AE$15</f>
        <v>0.0491761000236836</v>
      </c>
      <c r="L56" s="346">
        <f>'[6]Loan Portfolio'!$AJ$15</f>
        <v>0</v>
      </c>
    </row>
    <row r="57" spans="2:12">
      <c r="B57" s="55"/>
      <c r="C57" s="55" t="s">
        <v>699</v>
      </c>
      <c r="D57" s="341"/>
      <c r="E57" s="341"/>
      <c r="F57" s="341"/>
      <c r="G57" s="341">
        <f>'[6]Loan Portfolio'!$F$15</f>
        <v>117.0574706</v>
      </c>
      <c r="H57" s="341">
        <f>'[6]Loan Portfolio'!$L$15</f>
        <v>77.9330969903</v>
      </c>
      <c r="I57" s="341">
        <f>'[6]Loan Portfolio'!$R$15</f>
        <v>31.9414407184667</v>
      </c>
      <c r="J57" s="341">
        <f>'[6]Loan Portfolio'!$W$15</f>
        <v>8.9383701268</v>
      </c>
      <c r="K57" s="341">
        <f>'[6]Loan Portfolio'!$AB$15</f>
        <v>0.35422754825</v>
      </c>
      <c r="L57" s="341">
        <f>'[6]Loan Portfolio'!$AG$15</f>
        <v>0</v>
      </c>
    </row>
    <row r="58" spans="2:12">
      <c r="B58" s="55"/>
      <c r="C58" s="55" t="s">
        <v>700</v>
      </c>
      <c r="D58" s="55"/>
      <c r="E58" s="55"/>
      <c r="F58" s="55"/>
      <c r="G58" s="55">
        <v>0</v>
      </c>
      <c r="H58" s="55">
        <v>0</v>
      </c>
      <c r="I58" s="55">
        <v>0</v>
      </c>
      <c r="J58" s="55">
        <v>0</v>
      </c>
      <c r="K58" s="55">
        <v>0</v>
      </c>
      <c r="L58" s="55">
        <v>0</v>
      </c>
    </row>
    <row r="59" spans="2:12">
      <c r="B59" s="55"/>
      <c r="C59" s="55" t="s">
        <v>701</v>
      </c>
      <c r="D59" s="341"/>
      <c r="E59" s="341"/>
      <c r="F59" s="341"/>
      <c r="G59" s="341">
        <f>G58+G57</f>
        <v>117.0574706</v>
      </c>
      <c r="H59" s="341">
        <f t="shared" ref="H59:L59" si="19">H58+H57</f>
        <v>77.9330969903</v>
      </c>
      <c r="I59" s="341">
        <f t="shared" si="19"/>
        <v>31.9414407184667</v>
      </c>
      <c r="J59" s="341">
        <f t="shared" si="19"/>
        <v>8.9383701268</v>
      </c>
      <c r="K59" s="341">
        <f t="shared" si="19"/>
        <v>0.35422754825</v>
      </c>
      <c r="L59" s="341">
        <f t="shared" si="19"/>
        <v>0</v>
      </c>
    </row>
    <row r="60" spans="2:12">
      <c r="B60" s="55"/>
      <c r="C60" s="55"/>
      <c r="D60" s="147"/>
      <c r="E60" s="147"/>
      <c r="F60" s="147"/>
      <c r="G60" s="147"/>
      <c r="H60" s="147"/>
      <c r="I60" s="147"/>
      <c r="J60" s="147"/>
      <c r="K60" s="147"/>
      <c r="L60" s="147"/>
    </row>
    <row r="61" ht="15" spans="2:12">
      <c r="B61" s="100">
        <v>4</v>
      </c>
      <c r="C61" s="54" t="s">
        <v>815</v>
      </c>
      <c r="D61" s="147"/>
      <c r="E61" s="147"/>
      <c r="F61" s="147"/>
      <c r="G61" s="147"/>
      <c r="H61" s="147"/>
      <c r="I61" s="147"/>
      <c r="J61" s="147"/>
      <c r="K61" s="147"/>
      <c r="L61" s="147"/>
    </row>
    <row r="62" spans="2:12">
      <c r="B62" s="55"/>
      <c r="C62" s="55" t="s">
        <v>704</v>
      </c>
      <c r="D62" s="147"/>
      <c r="E62" s="147"/>
      <c r="F62" s="147"/>
      <c r="G62" s="147">
        <f>'[6]Loan Portfolio'!$C$16</f>
        <v>425.34</v>
      </c>
      <c r="H62" s="147">
        <f>G65</f>
        <v>360.4716994</v>
      </c>
      <c r="I62" s="147">
        <f t="shared" ref="I62:L62" si="20">H65</f>
        <v>279.977701</v>
      </c>
      <c r="J62" s="147">
        <f t="shared" si="20"/>
        <v>199.4837026</v>
      </c>
      <c r="K62" s="147">
        <f t="shared" si="20"/>
        <v>118.9897042</v>
      </c>
      <c r="L62" s="147">
        <f t="shared" si="20"/>
        <v>60.3432058</v>
      </c>
    </row>
    <row r="63" spans="2:12">
      <c r="B63" s="55"/>
      <c r="C63" s="55" t="s">
        <v>705</v>
      </c>
      <c r="D63" s="147"/>
      <c r="E63" s="147"/>
      <c r="F63" s="147"/>
      <c r="G63" s="147">
        <f>'[6]Loan Portfolio'!$D$16</f>
        <v>0.00319780000000947</v>
      </c>
      <c r="H63" s="147">
        <v>0</v>
      </c>
      <c r="I63" s="147">
        <v>0</v>
      </c>
      <c r="J63" s="147">
        <v>0</v>
      </c>
      <c r="K63" s="147">
        <v>0</v>
      </c>
      <c r="L63" s="147">
        <v>0</v>
      </c>
    </row>
    <row r="64" spans="2:12">
      <c r="B64" s="55"/>
      <c r="C64" s="55" t="s">
        <v>706</v>
      </c>
      <c r="D64" s="147"/>
      <c r="E64" s="147"/>
      <c r="F64" s="147"/>
      <c r="G64" s="147">
        <f>'[6]Loan Portfolio'!$E$16</f>
        <v>64.8714984</v>
      </c>
      <c r="H64" s="147">
        <f>'[6]Loan Portfolio'!$J$16</f>
        <v>80.4939984</v>
      </c>
      <c r="I64" s="147">
        <f>'[6]Loan Portfolio'!$P$16</f>
        <v>80.4939984</v>
      </c>
      <c r="J64" s="147">
        <f>'[6]Loan Portfolio'!$V$16</f>
        <v>80.4939984</v>
      </c>
      <c r="K64" s="147">
        <f>'[6]Loan Portfolio'!$AA$16</f>
        <v>58.6464984</v>
      </c>
      <c r="L64" s="147">
        <f>'[6]Loan Portfolio'!$AF$16</f>
        <v>42.9999984</v>
      </c>
    </row>
    <row r="65" spans="2:12">
      <c r="B65" s="55"/>
      <c r="C65" s="55" t="s">
        <v>707</v>
      </c>
      <c r="D65" s="341"/>
      <c r="E65" s="341"/>
      <c r="F65" s="341"/>
      <c r="G65" s="341">
        <f>'[6]Loan Portfolio'!$G$16</f>
        <v>360.4716994</v>
      </c>
      <c r="H65" s="341">
        <f>'[6]Loan Portfolio'!$M$16</f>
        <v>279.977701</v>
      </c>
      <c r="I65" s="341">
        <f>'[6]Loan Portfolio'!$S$16</f>
        <v>199.4837026</v>
      </c>
      <c r="J65" s="341">
        <f>'[6]Loan Portfolio'!$X$16</f>
        <v>118.9897042</v>
      </c>
      <c r="K65" s="341">
        <f>'[6]Loan Portfolio'!$AC$16</f>
        <v>60.3432058</v>
      </c>
      <c r="L65" s="341">
        <f>'[6]Loan Portfolio'!$AH$16</f>
        <v>17.3432074</v>
      </c>
    </row>
    <row r="66" spans="2:12">
      <c r="B66" s="55"/>
      <c r="C66" s="55" t="s">
        <v>708</v>
      </c>
      <c r="D66" s="341"/>
      <c r="E66" s="341"/>
      <c r="F66" s="341"/>
      <c r="G66" s="341">
        <f>'[6]Loan Portfolio'!$H$16</f>
        <v>392.9058497</v>
      </c>
      <c r="H66" s="341">
        <f>'[6]Loan Portfolio'!$N$16</f>
        <v>336.44177535</v>
      </c>
      <c r="I66" s="341">
        <f>'[6]Loan Portfolio'!$T$16</f>
        <v>239.7307018</v>
      </c>
      <c r="J66" s="341">
        <f>'[6]Loan Portfolio'!$Y$16</f>
        <v>159.2367034</v>
      </c>
      <c r="K66" s="341">
        <f>'[6]Loan Portfolio'!$AD$16</f>
        <v>89.666455</v>
      </c>
      <c r="L66" s="341">
        <f>'[6]Loan Portfolio'!$AI$16</f>
        <v>38.8432066</v>
      </c>
    </row>
    <row r="67" spans="2:12">
      <c r="B67" s="55"/>
      <c r="C67" s="55" t="s">
        <v>709</v>
      </c>
      <c r="D67" s="55"/>
      <c r="E67" s="55"/>
      <c r="F67" s="55"/>
      <c r="G67" s="346">
        <f>'[6]Loan Portfolio'!$I$16</f>
        <v>0.120037412871331</v>
      </c>
      <c r="H67" s="346">
        <f>'[6]Loan Portfolio'!$O$16</f>
        <v>0.114189415091315</v>
      </c>
      <c r="I67" s="346">
        <f>'[6]Loan Portfolio'!$U$16</f>
        <v>0.120288346517909</v>
      </c>
      <c r="J67" s="346">
        <f>'[6]Loan Portfolio'!$Z$16</f>
        <v>0.120923942204018</v>
      </c>
      <c r="K67" s="346">
        <f>'[6]Loan Portfolio'!$AE$16</f>
        <v>0.115193079823441</v>
      </c>
      <c r="L67" s="346">
        <f>'[6]Loan Portfolio'!$AJ$16</f>
        <v>0.122977496350675</v>
      </c>
    </row>
    <row r="68" spans="2:12">
      <c r="B68" s="55"/>
      <c r="C68" s="55" t="s">
        <v>699</v>
      </c>
      <c r="D68" s="341"/>
      <c r="E68" s="341"/>
      <c r="F68" s="341"/>
      <c r="G68" s="341">
        <f>'[6]Loan Portfolio'!$F$16</f>
        <v>47.1634017</v>
      </c>
      <c r="H68" s="341">
        <f>'[6]Loan Portfolio'!$L$16</f>
        <v>38.4180895395</v>
      </c>
      <c r="I68" s="341">
        <f>'[6]Loan Portfolio'!$R$16</f>
        <v>28.8368097291</v>
      </c>
      <c r="J68" s="341">
        <f>'[6]Loan Portfolio'!$W$16</f>
        <v>19.2555299187</v>
      </c>
      <c r="K68" s="341">
        <f>'[6]Loan Portfolio'!$AB$16</f>
        <v>10.3289551083</v>
      </c>
      <c r="L68" s="341">
        <f>'[6]Loan Portfolio'!$AG$16</f>
        <v>4.7768402979</v>
      </c>
    </row>
    <row r="69" spans="2:12">
      <c r="B69" s="55"/>
      <c r="C69" s="55" t="s">
        <v>700</v>
      </c>
      <c r="D69" s="55"/>
      <c r="E69" s="55"/>
      <c r="F69" s="55"/>
      <c r="G69" s="55">
        <v>0</v>
      </c>
      <c r="H69" s="55">
        <v>0</v>
      </c>
      <c r="I69" s="55">
        <v>0</v>
      </c>
      <c r="J69" s="55">
        <v>0</v>
      </c>
      <c r="K69" s="55">
        <v>0</v>
      </c>
      <c r="L69" s="55">
        <v>0</v>
      </c>
    </row>
    <row r="70" spans="2:12">
      <c r="B70" s="55"/>
      <c r="C70" s="55" t="s">
        <v>701</v>
      </c>
      <c r="D70" s="341"/>
      <c r="E70" s="341"/>
      <c r="F70" s="341"/>
      <c r="G70" s="341">
        <f>G69+G68</f>
        <v>47.1634017</v>
      </c>
      <c r="H70" s="341">
        <f t="shared" ref="H70:L70" si="21">H69+H68</f>
        <v>38.4180895395</v>
      </c>
      <c r="I70" s="341">
        <f t="shared" si="21"/>
        <v>28.8368097291</v>
      </c>
      <c r="J70" s="341">
        <f t="shared" si="21"/>
        <v>19.2555299187</v>
      </c>
      <c r="K70" s="341">
        <f t="shared" si="21"/>
        <v>10.3289551083</v>
      </c>
      <c r="L70" s="341">
        <f t="shared" si="21"/>
        <v>4.7768402979</v>
      </c>
    </row>
    <row r="71" spans="2:12">
      <c r="B71" s="55"/>
      <c r="C71" s="55"/>
      <c r="D71" s="147"/>
      <c r="E71" s="147"/>
      <c r="F71" s="147"/>
      <c r="G71" s="147"/>
      <c r="H71" s="147"/>
      <c r="I71" s="147"/>
      <c r="J71" s="147"/>
      <c r="K71" s="147"/>
      <c r="L71" s="147"/>
    </row>
    <row r="72" ht="15" spans="2:12">
      <c r="B72" s="100">
        <v>5</v>
      </c>
      <c r="C72" s="54" t="s">
        <v>816</v>
      </c>
      <c r="D72" s="147"/>
      <c r="E72" s="147"/>
      <c r="F72" s="147"/>
      <c r="G72" s="147"/>
      <c r="H72" s="147"/>
      <c r="I72" s="147"/>
      <c r="J72" s="147"/>
      <c r="K72" s="147"/>
      <c r="L72" s="147"/>
    </row>
    <row r="73" spans="2:12">
      <c r="B73" s="55"/>
      <c r="C73" s="55" t="s">
        <v>704</v>
      </c>
      <c r="D73" s="147"/>
      <c r="E73" s="147"/>
      <c r="F73" s="147"/>
      <c r="G73" s="147">
        <f>'[6]Loan Portfolio'!$C$17</f>
        <v>698.67</v>
      </c>
      <c r="H73" s="147">
        <f>G76</f>
        <v>264.0000001</v>
      </c>
      <c r="I73" s="147">
        <f t="shared" ref="I73:L73" si="22">H76</f>
        <v>0</v>
      </c>
      <c r="J73" s="147">
        <f t="shared" si="22"/>
        <v>0</v>
      </c>
      <c r="K73" s="147">
        <f t="shared" si="22"/>
        <v>0</v>
      </c>
      <c r="L73" s="147">
        <f t="shared" si="22"/>
        <v>0</v>
      </c>
    </row>
    <row r="74" spans="2:12">
      <c r="B74" s="55"/>
      <c r="C74" s="55" t="s">
        <v>705</v>
      </c>
      <c r="D74" s="147"/>
      <c r="E74" s="147"/>
      <c r="F74" s="147"/>
      <c r="G74" s="147">
        <v>0</v>
      </c>
      <c r="H74" s="147">
        <v>0</v>
      </c>
      <c r="I74" s="147">
        <v>0</v>
      </c>
      <c r="J74" s="147">
        <v>0</v>
      </c>
      <c r="K74" s="147">
        <v>0</v>
      </c>
      <c r="L74" s="147">
        <v>0</v>
      </c>
    </row>
    <row r="75" spans="2:12">
      <c r="B75" s="55"/>
      <c r="C75" s="55" t="s">
        <v>706</v>
      </c>
      <c r="D75" s="147"/>
      <c r="E75" s="147"/>
      <c r="F75" s="147"/>
      <c r="G75" s="147">
        <f>'[6]Loan Portfolio'!$E$17</f>
        <v>434.69</v>
      </c>
      <c r="H75" s="147">
        <f>'[6]Loan Portfolio'!$J$17</f>
        <v>264.0000001</v>
      </c>
      <c r="I75" s="147">
        <v>0</v>
      </c>
      <c r="J75" s="147">
        <v>0</v>
      </c>
      <c r="K75" s="147">
        <v>0</v>
      </c>
      <c r="L75" s="147">
        <v>0</v>
      </c>
    </row>
    <row r="76" spans="2:12">
      <c r="B76" s="55"/>
      <c r="C76" s="55" t="s">
        <v>707</v>
      </c>
      <c r="D76" s="341"/>
      <c r="E76" s="341"/>
      <c r="F76" s="341"/>
      <c r="G76" s="341">
        <f>'[6]Loan Portfolio'!$G$17</f>
        <v>264.0000001</v>
      </c>
      <c r="H76" s="341">
        <f>'[6]Loan Portfolio'!$M$17</f>
        <v>0</v>
      </c>
      <c r="I76" s="341">
        <v>0</v>
      </c>
      <c r="J76" s="341">
        <v>0</v>
      </c>
      <c r="K76" s="341">
        <v>0</v>
      </c>
      <c r="L76" s="341">
        <v>0</v>
      </c>
    </row>
    <row r="77" spans="2:12">
      <c r="B77" s="55"/>
      <c r="C77" s="55" t="s">
        <v>708</v>
      </c>
      <c r="D77" s="341"/>
      <c r="E77" s="341"/>
      <c r="F77" s="341"/>
      <c r="G77" s="341">
        <f>'[6]Loan Portfolio'!$H$17</f>
        <v>481.33500005</v>
      </c>
      <c r="H77" s="341">
        <f>'[6]Loan Portfolio'!$N$17</f>
        <v>240.667500025</v>
      </c>
      <c r="I77" s="341">
        <v>0</v>
      </c>
      <c r="J77" s="341">
        <v>0</v>
      </c>
      <c r="K77" s="341">
        <v>0</v>
      </c>
      <c r="L77" s="341">
        <v>0</v>
      </c>
    </row>
    <row r="78" spans="2:12">
      <c r="B78" s="55"/>
      <c r="C78" s="55" t="s">
        <v>709</v>
      </c>
      <c r="D78" s="55"/>
      <c r="E78" s="55"/>
      <c r="F78" s="55"/>
      <c r="G78" s="346">
        <f>'[6]Loan Portfolio'!$I$17</f>
        <v>0.103699394797418</v>
      </c>
      <c r="H78" s="346">
        <f>'[6]Loan Portfolio'!$O$17</f>
        <v>0.0653675022252346</v>
      </c>
      <c r="I78" s="346">
        <v>0</v>
      </c>
      <c r="J78" s="346">
        <v>0</v>
      </c>
      <c r="K78" s="346">
        <v>0</v>
      </c>
      <c r="L78" s="346">
        <v>0</v>
      </c>
    </row>
    <row r="79" spans="2:12">
      <c r="B79" s="55"/>
      <c r="C79" s="55" t="s">
        <v>699</v>
      </c>
      <c r="D79" s="341"/>
      <c r="E79" s="341"/>
      <c r="F79" s="341"/>
      <c r="G79" s="341">
        <f>'[6]Loan Portfolio'!$F$17</f>
        <v>49.9141482</v>
      </c>
      <c r="H79" s="341">
        <f>'[6]Loan Portfolio'!$L$17</f>
        <v>15.7318333434258</v>
      </c>
      <c r="I79" s="341">
        <v>0</v>
      </c>
      <c r="J79" s="341">
        <v>0</v>
      </c>
      <c r="K79" s="341">
        <v>0</v>
      </c>
      <c r="L79" s="341">
        <v>0</v>
      </c>
    </row>
    <row r="80" spans="2:12">
      <c r="B80" s="55"/>
      <c r="C80" s="55" t="s">
        <v>700</v>
      </c>
      <c r="D80" s="55"/>
      <c r="E80" s="55"/>
      <c r="F80" s="55"/>
      <c r="G80" s="55">
        <v>0</v>
      </c>
      <c r="H80" s="55">
        <v>0</v>
      </c>
      <c r="I80" s="55">
        <v>0</v>
      </c>
      <c r="J80" s="55">
        <v>0</v>
      </c>
      <c r="K80" s="55">
        <v>0</v>
      </c>
      <c r="L80" s="55">
        <v>0</v>
      </c>
    </row>
    <row r="81" spans="2:12">
      <c r="B81" s="55"/>
      <c r="C81" s="55" t="s">
        <v>701</v>
      </c>
      <c r="D81" s="341"/>
      <c r="E81" s="341"/>
      <c r="F81" s="341"/>
      <c r="G81" s="341">
        <f>G80+G79</f>
        <v>49.9141482</v>
      </c>
      <c r="H81" s="341">
        <f t="shared" ref="H81:L81" si="23">H80+H79</f>
        <v>15.7318333434258</v>
      </c>
      <c r="I81" s="341">
        <f t="shared" si="23"/>
        <v>0</v>
      </c>
      <c r="J81" s="341">
        <f t="shared" si="23"/>
        <v>0</v>
      </c>
      <c r="K81" s="341">
        <f t="shared" si="23"/>
        <v>0</v>
      </c>
      <c r="L81" s="341">
        <f t="shared" si="23"/>
        <v>0</v>
      </c>
    </row>
    <row r="82" spans="2:12">
      <c r="B82" s="55"/>
      <c r="C82" s="55"/>
      <c r="D82" s="147"/>
      <c r="E82" s="147"/>
      <c r="F82" s="147"/>
      <c r="G82" s="147"/>
      <c r="H82" s="147"/>
      <c r="I82" s="147"/>
      <c r="J82" s="147"/>
      <c r="K82" s="147"/>
      <c r="L82" s="147"/>
    </row>
    <row r="83" ht="15" spans="2:12">
      <c r="B83" s="100">
        <v>6</v>
      </c>
      <c r="C83" s="54" t="s">
        <v>817</v>
      </c>
      <c r="D83" s="147"/>
      <c r="E83" s="147"/>
      <c r="F83" s="147"/>
      <c r="G83" s="147"/>
      <c r="H83" s="147"/>
      <c r="I83" s="147"/>
      <c r="J83" s="147"/>
      <c r="K83" s="147"/>
      <c r="L83" s="147"/>
    </row>
    <row r="84" spans="2:12">
      <c r="B84" s="55"/>
      <c r="C84" s="55" t="s">
        <v>704</v>
      </c>
      <c r="D84" s="147"/>
      <c r="E84" s="147"/>
      <c r="F84" s="147"/>
      <c r="G84" s="147">
        <f>'[6]Loan Portfolio'!$C$18</f>
        <v>2024.65</v>
      </c>
      <c r="H84" s="147">
        <f>G87</f>
        <v>2024.65</v>
      </c>
      <c r="I84" s="147">
        <f t="shared" ref="I84:L84" si="24">H87</f>
        <v>2024.65</v>
      </c>
      <c r="J84" s="147">
        <f t="shared" si="24"/>
        <v>2024.65</v>
      </c>
      <c r="K84" s="147">
        <f t="shared" si="24"/>
        <v>2024.65</v>
      </c>
      <c r="L84" s="147">
        <f t="shared" si="24"/>
        <v>2024.65</v>
      </c>
    </row>
    <row r="85" spans="2:12">
      <c r="B85" s="55"/>
      <c r="C85" s="55" t="s">
        <v>705</v>
      </c>
      <c r="D85" s="147"/>
      <c r="E85" s="147"/>
      <c r="F85" s="147"/>
      <c r="G85" s="147">
        <v>0</v>
      </c>
      <c r="H85" s="147">
        <v>0</v>
      </c>
      <c r="I85" s="147">
        <v>0</v>
      </c>
      <c r="J85" s="147">
        <v>0</v>
      </c>
      <c r="K85" s="147">
        <v>0</v>
      </c>
      <c r="L85" s="147">
        <v>0</v>
      </c>
    </row>
    <row r="86" spans="2:12">
      <c r="B86" s="55"/>
      <c r="C86" s="55" t="s">
        <v>706</v>
      </c>
      <c r="D86" s="147"/>
      <c r="E86" s="147"/>
      <c r="F86" s="147"/>
      <c r="G86" s="147">
        <f>'[6]Loan Portfolio'!$E$18</f>
        <v>0</v>
      </c>
      <c r="H86" s="147">
        <f>'[6]Loan Portfolio'!$J$18</f>
        <v>0</v>
      </c>
      <c r="I86" s="147">
        <f>'[6]Loan Portfolio'!$P$18</f>
        <v>0</v>
      </c>
      <c r="J86" s="147">
        <f>'[6]Loan Portfolio'!$V$18</f>
        <v>0</v>
      </c>
      <c r="K86" s="147">
        <f>'[6]Loan Portfolio'!$AA$18</f>
        <v>0</v>
      </c>
      <c r="L86" s="147">
        <f>'[6]Loan Portfolio'!$AF$18</f>
        <v>2024.65</v>
      </c>
    </row>
    <row r="87" spans="2:12">
      <c r="B87" s="55"/>
      <c r="C87" s="55" t="s">
        <v>707</v>
      </c>
      <c r="D87" s="341"/>
      <c r="E87" s="341"/>
      <c r="F87" s="341"/>
      <c r="G87" s="341">
        <f>'[6]Loan Portfolio'!$G$18</f>
        <v>2024.65</v>
      </c>
      <c r="H87" s="341">
        <f>'[6]Loan Portfolio'!$M$18</f>
        <v>2024.65</v>
      </c>
      <c r="I87" s="341">
        <f>'[6]Loan Portfolio'!$S$18</f>
        <v>2024.65</v>
      </c>
      <c r="J87" s="341">
        <f>'[6]Loan Portfolio'!$X$18</f>
        <v>2024.65</v>
      </c>
      <c r="K87" s="341">
        <f>'[6]Loan Portfolio'!$AC$18</f>
        <v>2024.65</v>
      </c>
      <c r="L87" s="341">
        <f>'[6]Loan Portfolio'!$AH$18</f>
        <v>0</v>
      </c>
    </row>
    <row r="88" spans="2:12">
      <c r="B88" s="55"/>
      <c r="C88" s="55" t="s">
        <v>708</v>
      </c>
      <c r="D88" s="341"/>
      <c r="E88" s="341"/>
      <c r="F88" s="341"/>
      <c r="G88" s="341">
        <f>'[6]Loan Portfolio'!$H$18</f>
        <v>2024.65</v>
      </c>
      <c r="H88" s="341">
        <f>'[6]Loan Portfolio'!$N$18</f>
        <v>2024.65</v>
      </c>
      <c r="I88" s="341">
        <f>'[6]Loan Portfolio'!$T$18</f>
        <v>2024.65</v>
      </c>
      <c r="J88" s="341">
        <f>'[6]Loan Portfolio'!$Y$18</f>
        <v>2024.65</v>
      </c>
      <c r="K88" s="341">
        <f>'[6]Loan Portfolio'!$AD$18</f>
        <v>2024.65</v>
      </c>
      <c r="L88" s="341">
        <f>'[6]Loan Portfolio'!$AI$18</f>
        <v>0</v>
      </c>
    </row>
    <row r="89" spans="2:12">
      <c r="B89" s="55"/>
      <c r="C89" s="55" t="s">
        <v>709</v>
      </c>
      <c r="D89" s="55"/>
      <c r="E89" s="55"/>
      <c r="F89" s="55"/>
      <c r="G89" s="346">
        <f>'[6]Loan Portfolio'!$I$18</f>
        <v>0.0996394438544934</v>
      </c>
      <c r="H89" s="346">
        <f>'[6]Loan Portfolio'!$O$18</f>
        <v>0.0996394438544934</v>
      </c>
      <c r="I89" s="346">
        <f>'[6]Loan Portfolio'!$U$18</f>
        <v>0.0996394438544934</v>
      </c>
      <c r="J89" s="346">
        <f>'[6]Loan Portfolio'!$Z$18</f>
        <v>0.0996394438544934</v>
      </c>
      <c r="K89" s="346">
        <f>'[6]Loan Portfolio'!$AE$18</f>
        <v>0.0996394438544934</v>
      </c>
      <c r="L89" s="346">
        <f>'[6]Loan Portfolio'!$AJ$18</f>
        <v>0</v>
      </c>
    </row>
    <row r="90" spans="2:12">
      <c r="B90" s="55"/>
      <c r="C90" s="55" t="s">
        <v>699</v>
      </c>
      <c r="D90" s="341"/>
      <c r="E90" s="341"/>
      <c r="F90" s="341"/>
      <c r="G90" s="341">
        <f>'[6]Loan Portfolio'!$F$18</f>
        <v>201.735</v>
      </c>
      <c r="H90" s="341">
        <f>'[6]Loan Portfolio'!$L$18</f>
        <v>201.735</v>
      </c>
      <c r="I90" s="341">
        <f>'[6]Loan Portfolio'!$R$18</f>
        <v>201.735</v>
      </c>
      <c r="J90" s="341">
        <f>'[6]Loan Portfolio'!$W$18</f>
        <v>201.735</v>
      </c>
      <c r="K90" s="341">
        <f>'[6]Loan Portfolio'!$AB$18</f>
        <v>201.735</v>
      </c>
      <c r="L90" s="341">
        <f>'[6]Loan Portfolio'!$AG$18</f>
        <v>201.735</v>
      </c>
    </row>
    <row r="91" spans="2:12">
      <c r="B91" s="55"/>
      <c r="C91" s="55" t="s">
        <v>700</v>
      </c>
      <c r="D91" s="55"/>
      <c r="E91" s="55"/>
      <c r="F91" s="55"/>
      <c r="G91" s="55">
        <v>0</v>
      </c>
      <c r="H91" s="55">
        <v>0</v>
      </c>
      <c r="I91" s="55">
        <v>0</v>
      </c>
      <c r="J91" s="55">
        <v>0</v>
      </c>
      <c r="K91" s="55">
        <v>0</v>
      </c>
      <c r="L91" s="55">
        <v>0</v>
      </c>
    </row>
    <row r="92" spans="2:12">
      <c r="B92" s="55"/>
      <c r="C92" s="55" t="s">
        <v>701</v>
      </c>
      <c r="D92" s="341"/>
      <c r="E92" s="341"/>
      <c r="F92" s="341"/>
      <c r="G92" s="341">
        <f>G91+G90</f>
        <v>201.735</v>
      </c>
      <c r="H92" s="341">
        <f t="shared" ref="H92:L92" si="25">H91+H90</f>
        <v>201.735</v>
      </c>
      <c r="I92" s="341">
        <f t="shared" si="25"/>
        <v>201.735</v>
      </c>
      <c r="J92" s="341">
        <f t="shared" si="25"/>
        <v>201.735</v>
      </c>
      <c r="K92" s="341">
        <f t="shared" si="25"/>
        <v>201.735</v>
      </c>
      <c r="L92" s="341">
        <f t="shared" si="25"/>
        <v>201.735</v>
      </c>
    </row>
    <row r="93" spans="2:12">
      <c r="B93" s="55"/>
      <c r="C93" s="55"/>
      <c r="D93" s="147"/>
      <c r="E93" s="147"/>
      <c r="F93" s="147"/>
      <c r="G93" s="147"/>
      <c r="H93" s="147"/>
      <c r="I93" s="147"/>
      <c r="J93" s="147"/>
      <c r="K93" s="147"/>
      <c r="L93" s="147"/>
    </row>
    <row r="94" spans="2:12">
      <c r="B94" s="55"/>
      <c r="C94" s="55"/>
      <c r="D94" s="147"/>
      <c r="E94" s="147"/>
      <c r="F94" s="147"/>
      <c r="G94" s="147"/>
      <c r="H94" s="147"/>
      <c r="I94" s="147"/>
      <c r="J94" s="147"/>
      <c r="K94" s="147"/>
      <c r="L94" s="147"/>
    </row>
    <row r="95" spans="2:12">
      <c r="B95" s="55"/>
      <c r="C95" s="55"/>
      <c r="D95" s="147"/>
      <c r="E95" s="147"/>
      <c r="F95" s="147"/>
      <c r="G95" s="147"/>
      <c r="H95" s="147"/>
      <c r="I95" s="147"/>
      <c r="J95" s="147"/>
      <c r="K95" s="147"/>
      <c r="L95" s="147"/>
    </row>
    <row r="96" spans="2:12">
      <c r="B96" s="55"/>
      <c r="C96" s="55" t="s">
        <v>710</v>
      </c>
      <c r="D96" s="55"/>
      <c r="E96" s="55"/>
      <c r="F96" s="55"/>
      <c r="G96" s="55"/>
      <c r="H96" s="55"/>
      <c r="I96" s="55"/>
      <c r="J96" s="55"/>
      <c r="K96" s="55"/>
      <c r="L96" s="55"/>
    </row>
    <row r="97" ht="15" spans="2:12">
      <c r="B97" s="100"/>
      <c r="C97" s="54" t="s">
        <v>97</v>
      </c>
      <c r="D97" s="55"/>
      <c r="E97" s="55"/>
      <c r="F97" s="55"/>
      <c r="G97" s="55"/>
      <c r="H97" s="55"/>
      <c r="I97" s="55"/>
      <c r="J97" s="55"/>
      <c r="K97" s="55"/>
      <c r="L97" s="55"/>
    </row>
    <row r="98" spans="2:12">
      <c r="B98" s="55"/>
      <c r="C98" s="55" t="s">
        <v>704</v>
      </c>
      <c r="D98" s="55"/>
      <c r="E98" s="55"/>
      <c r="F98" s="55"/>
      <c r="G98" s="538">
        <f>G30+G40+G51+G62+G73+G84</f>
        <v>15016.41</v>
      </c>
      <c r="H98" s="538">
        <f t="shared" ref="H98:L101" si="26">H30+H40+H51+H62+H73+H84</f>
        <v>16374.2330828</v>
      </c>
      <c r="I98" s="538">
        <f t="shared" si="26"/>
        <v>15557.5797447</v>
      </c>
      <c r="J98" s="538">
        <f t="shared" si="26"/>
        <v>14590.9055079</v>
      </c>
      <c r="K98" s="538">
        <f t="shared" si="26"/>
        <v>12695.7387955</v>
      </c>
      <c r="L98" s="538">
        <f t="shared" si="26"/>
        <v>10931.975805</v>
      </c>
    </row>
    <row r="99" spans="2:12">
      <c r="B99" s="55"/>
      <c r="C99" s="55" t="s">
        <v>705</v>
      </c>
      <c r="D99" s="55"/>
      <c r="E99" s="55"/>
      <c r="F99" s="55"/>
      <c r="G99" s="538">
        <f>G31+G41+G52+G63+G74+G85</f>
        <v>3004.2731978</v>
      </c>
      <c r="H99" s="538">
        <f t="shared" si="26"/>
        <v>931.2428228</v>
      </c>
      <c r="I99" s="538">
        <f t="shared" si="26"/>
        <v>328.4</v>
      </c>
      <c r="J99" s="538">
        <f t="shared" si="26"/>
        <v>0</v>
      </c>
      <c r="K99" s="538">
        <f t="shared" si="26"/>
        <v>0</v>
      </c>
      <c r="L99" s="538">
        <f t="shared" si="26"/>
        <v>0</v>
      </c>
    </row>
    <row r="100" spans="2:12">
      <c r="B100" s="55"/>
      <c r="C100" s="55" t="s">
        <v>706</v>
      </c>
      <c r="D100" s="55"/>
      <c r="E100" s="55"/>
      <c r="F100" s="55"/>
      <c r="G100" s="538">
        <f>G32+G42+G53+G64+G75+G86</f>
        <v>1646.4638878</v>
      </c>
      <c r="H100" s="538">
        <f t="shared" si="26"/>
        <v>1747.8961609</v>
      </c>
      <c r="I100" s="538">
        <f t="shared" si="26"/>
        <v>1623.4642368</v>
      </c>
      <c r="J100" s="538">
        <f t="shared" si="26"/>
        <v>1895.1667124</v>
      </c>
      <c r="K100" s="538">
        <f t="shared" si="26"/>
        <v>1763.7629905</v>
      </c>
      <c r="L100" s="538">
        <f t="shared" si="26"/>
        <v>3758.3599984</v>
      </c>
    </row>
    <row r="101" spans="2:12">
      <c r="B101" s="55"/>
      <c r="C101" s="55" t="s">
        <v>707</v>
      </c>
      <c r="D101" s="341">
        <f t="shared" ref="D101:F102" si="27">D158+D215</f>
        <v>0</v>
      </c>
      <c r="E101" s="341">
        <f t="shared" si="27"/>
        <v>0</v>
      </c>
      <c r="F101" s="341">
        <f t="shared" si="27"/>
        <v>0</v>
      </c>
      <c r="G101" s="341">
        <f>G33+G43+G54+G65+G76+G87</f>
        <v>16374.2330828</v>
      </c>
      <c r="H101" s="341">
        <f t="shared" si="26"/>
        <v>15557.5797447</v>
      </c>
      <c r="I101" s="341">
        <f t="shared" si="26"/>
        <v>14590.9055079</v>
      </c>
      <c r="J101" s="341">
        <f t="shared" si="26"/>
        <v>12695.7387955</v>
      </c>
      <c r="K101" s="341">
        <f t="shared" si="26"/>
        <v>10931.975805</v>
      </c>
      <c r="L101" s="341">
        <f t="shared" si="26"/>
        <v>7173.6158066</v>
      </c>
    </row>
    <row r="102" spans="2:12">
      <c r="B102" s="55"/>
      <c r="C102" s="55" t="s">
        <v>708</v>
      </c>
      <c r="D102" s="341">
        <f t="shared" si="27"/>
        <v>0</v>
      </c>
      <c r="E102" s="341">
        <f t="shared" si="27"/>
        <v>0</v>
      </c>
      <c r="F102" s="341">
        <f t="shared" si="27"/>
        <v>0</v>
      </c>
      <c r="G102" s="341">
        <f>AVERAGE(G98,G101)</f>
        <v>15695.3215414</v>
      </c>
      <c r="H102" s="341">
        <f t="shared" ref="H102:L102" si="28">AVERAGE(H98,H101)</f>
        <v>15965.90641375</v>
      </c>
      <c r="I102" s="341">
        <f t="shared" si="28"/>
        <v>15074.2426263</v>
      </c>
      <c r="J102" s="341">
        <f t="shared" si="28"/>
        <v>13643.3221517</v>
      </c>
      <c r="K102" s="341">
        <f t="shared" si="28"/>
        <v>11813.85730025</v>
      </c>
      <c r="L102" s="341">
        <f t="shared" si="28"/>
        <v>9052.7958058</v>
      </c>
    </row>
    <row r="103" spans="2:12">
      <c r="B103" s="55"/>
      <c r="C103" s="55" t="s">
        <v>709</v>
      </c>
      <c r="D103" s="55"/>
      <c r="E103" s="55"/>
      <c r="F103" s="55"/>
      <c r="G103" s="346">
        <f>AVERAGE(G35,G45,G56,G67,G78,G89)</f>
        <v>0.105789420447371</v>
      </c>
      <c r="H103" s="346">
        <f t="shared" ref="H103:L103" si="29">AVERAGE(H35,H45,H56,H67,H78,H89)</f>
        <v>0.097611809655434</v>
      </c>
      <c r="I103" s="346">
        <f t="shared" si="29"/>
        <v>0.0875764020338166</v>
      </c>
      <c r="J103" s="346">
        <f t="shared" si="29"/>
        <v>0.0893882625121005</v>
      </c>
      <c r="K103" s="346">
        <f t="shared" si="29"/>
        <v>0.0771833958965463</v>
      </c>
      <c r="L103" s="346">
        <f t="shared" si="29"/>
        <v>0.0537600523287321</v>
      </c>
    </row>
    <row r="104" spans="2:12">
      <c r="B104" s="55"/>
      <c r="C104" s="55" t="s">
        <v>699</v>
      </c>
      <c r="D104" s="341">
        <f t="shared" ref="D104:F104" si="30">D161+D218</f>
        <v>0</v>
      </c>
      <c r="E104" s="341">
        <f t="shared" si="30"/>
        <v>0</v>
      </c>
      <c r="F104" s="341">
        <f t="shared" si="30"/>
        <v>0</v>
      </c>
      <c r="G104" s="341">
        <f>G103*G102</f>
        <v>1660.39896959984</v>
      </c>
      <c r="H104" s="341">
        <f t="shared" ref="H104:L104" si="31">H103*H102</f>
        <v>1558.46101783544</v>
      </c>
      <c r="I104" s="341">
        <f t="shared" si="31"/>
        <v>1320.14793259614</v>
      </c>
      <c r="J104" s="341">
        <f t="shared" si="31"/>
        <v>1219.55286203332</v>
      </c>
      <c r="K104" s="341">
        <f t="shared" si="31"/>
        <v>911.833625070499</v>
      </c>
      <c r="L104" s="341">
        <f t="shared" si="31"/>
        <v>486.678776241134</v>
      </c>
    </row>
    <row r="105" spans="2:12">
      <c r="B105" s="55"/>
      <c r="C105" s="55" t="s">
        <v>700</v>
      </c>
      <c r="D105" s="55"/>
      <c r="E105" s="55"/>
      <c r="F105" s="55"/>
      <c r="G105" s="55">
        <v>0</v>
      </c>
      <c r="H105" s="55">
        <v>0</v>
      </c>
      <c r="I105" s="55">
        <v>0</v>
      </c>
      <c r="J105" s="55">
        <v>0</v>
      </c>
      <c r="K105" s="55">
        <v>0</v>
      </c>
      <c r="L105" s="55">
        <v>0</v>
      </c>
    </row>
    <row r="106" spans="2:12">
      <c r="B106" s="55"/>
      <c r="C106" s="55" t="s">
        <v>701</v>
      </c>
      <c r="D106" s="341">
        <f t="shared" ref="D106:F106" si="32">D163+D220</f>
        <v>0</v>
      </c>
      <c r="E106" s="341">
        <f t="shared" si="32"/>
        <v>0</v>
      </c>
      <c r="F106" s="341">
        <f t="shared" si="32"/>
        <v>0</v>
      </c>
      <c r="G106" s="341">
        <f>G104+G105</f>
        <v>1660.39896959984</v>
      </c>
      <c r="H106" s="341">
        <f t="shared" ref="H106:L106" si="33">H104+H105</f>
        <v>1558.46101783544</v>
      </c>
      <c r="I106" s="341">
        <f t="shared" si="33"/>
        <v>1320.14793259614</v>
      </c>
      <c r="J106" s="341">
        <f t="shared" si="33"/>
        <v>1219.55286203332</v>
      </c>
      <c r="K106" s="341">
        <f t="shared" si="33"/>
        <v>911.833625070499</v>
      </c>
      <c r="L106" s="341">
        <f t="shared" si="33"/>
        <v>486.678776241134</v>
      </c>
    </row>
    <row r="108" ht="15" hidden="1" spans="2:8">
      <c r="B108" s="11" t="s">
        <v>764</v>
      </c>
      <c r="H108" s="3"/>
    </row>
    <row r="109" ht="15" hidden="1" spans="2:12">
      <c r="B109" s="2" t="s">
        <v>687</v>
      </c>
      <c r="C109" s="14" t="s">
        <v>688</v>
      </c>
      <c r="D109" s="117"/>
      <c r="E109" s="117"/>
      <c r="F109" s="117"/>
      <c r="G109" s="117"/>
      <c r="H109" s="117"/>
      <c r="I109" s="117"/>
      <c r="J109" s="117"/>
      <c r="K109" s="117"/>
      <c r="L109" s="117"/>
    </row>
    <row r="110" ht="15" hidden="1" spans="15:15">
      <c r="O110" s="33" t="s">
        <v>109</v>
      </c>
    </row>
    <row r="111" s="15" customFormat="1" ht="15" hidden="1" customHeight="1" spans="2:15">
      <c r="B111" s="16" t="s">
        <v>3</v>
      </c>
      <c r="C111" s="17" t="s">
        <v>110</v>
      </c>
      <c r="D111" s="306" t="s">
        <v>112</v>
      </c>
      <c r="E111" s="307"/>
      <c r="F111" s="308"/>
      <c r="G111" s="306" t="s">
        <v>760</v>
      </c>
      <c r="H111" s="307"/>
      <c r="I111" s="307"/>
      <c r="J111" s="308"/>
      <c r="K111" s="537" t="s">
        <v>114</v>
      </c>
      <c r="L111" s="539"/>
      <c r="M111" s="539"/>
      <c r="N111" s="539"/>
      <c r="O111" s="540"/>
    </row>
    <row r="112" s="15" customFormat="1" ht="30" hidden="1" spans="2:15">
      <c r="B112" s="309"/>
      <c r="C112" s="534"/>
      <c r="D112" s="5" t="s">
        <v>116</v>
      </c>
      <c r="E112" s="5" t="s">
        <v>237</v>
      </c>
      <c r="F112" s="5" t="s">
        <v>118</v>
      </c>
      <c r="G112" s="5" t="s">
        <v>116</v>
      </c>
      <c r="H112" s="5" t="s">
        <v>119</v>
      </c>
      <c r="I112" s="5" t="s">
        <v>120</v>
      </c>
      <c r="J112" s="5" t="s">
        <v>238</v>
      </c>
      <c r="K112" s="5" t="s">
        <v>514</v>
      </c>
      <c r="L112" s="5" t="s">
        <v>515</v>
      </c>
      <c r="M112" s="5" t="s">
        <v>516</v>
      </c>
      <c r="N112" s="5" t="s">
        <v>517</v>
      </c>
      <c r="O112" s="5" t="s">
        <v>518</v>
      </c>
    </row>
    <row r="113" s="15" customFormat="1" ht="15" hidden="1" spans="2:15">
      <c r="B113" s="535"/>
      <c r="C113" s="536"/>
      <c r="D113" s="5" t="s">
        <v>127</v>
      </c>
      <c r="E113" s="5" t="s">
        <v>128</v>
      </c>
      <c r="F113" s="5" t="s">
        <v>129</v>
      </c>
      <c r="G113" s="5" t="s">
        <v>127</v>
      </c>
      <c r="H113" s="5" t="s">
        <v>130</v>
      </c>
      <c r="I113" s="5" t="s">
        <v>131</v>
      </c>
      <c r="J113" s="5" t="s">
        <v>131</v>
      </c>
      <c r="K113" s="5" t="s">
        <v>132</v>
      </c>
      <c r="L113" s="5" t="s">
        <v>132</v>
      </c>
      <c r="M113" s="5" t="s">
        <v>132</v>
      </c>
      <c r="N113" s="5" t="s">
        <v>132</v>
      </c>
      <c r="O113" s="5" t="s">
        <v>132</v>
      </c>
    </row>
    <row r="114" hidden="1" spans="2:15">
      <c r="B114" s="311">
        <v>1</v>
      </c>
      <c r="C114" s="55" t="s">
        <v>689</v>
      </c>
      <c r="D114" s="20"/>
      <c r="E114" s="147"/>
      <c r="F114" s="341">
        <f>E114</f>
        <v>0</v>
      </c>
      <c r="G114" s="208"/>
      <c r="H114" s="147"/>
      <c r="I114" s="147"/>
      <c r="J114" s="544">
        <f>F121</f>
        <v>0</v>
      </c>
      <c r="K114" s="147">
        <f>J121</f>
        <v>0</v>
      </c>
      <c r="L114" s="147">
        <f>K121</f>
        <v>0</v>
      </c>
      <c r="M114" s="147">
        <f>L121</f>
        <v>0</v>
      </c>
      <c r="N114" s="147">
        <f>M121</f>
        <v>0</v>
      </c>
      <c r="O114" s="147">
        <f>N121</f>
        <v>0</v>
      </c>
    </row>
    <row r="115" hidden="1" spans="2:15">
      <c r="B115" s="100">
        <f>B114+1</f>
        <v>2</v>
      </c>
      <c r="C115" s="55" t="s">
        <v>690</v>
      </c>
      <c r="D115" s="20"/>
      <c r="E115" s="147"/>
      <c r="F115" s="341">
        <f t="shared" ref="F115:F120" si="34">E115</f>
        <v>0</v>
      </c>
      <c r="G115" s="208"/>
      <c r="H115" s="147"/>
      <c r="I115" s="147"/>
      <c r="J115" s="544">
        <f t="shared" ref="J115:J126" si="35">H115+I115</f>
        <v>0</v>
      </c>
      <c r="K115" s="147"/>
      <c r="L115" s="147"/>
      <c r="M115" s="147"/>
      <c r="N115" s="147"/>
      <c r="O115" s="147"/>
    </row>
    <row r="116" hidden="1" spans="2:15">
      <c r="B116" s="100">
        <f t="shared" ref="B116:B126" si="36">B115+1</f>
        <v>3</v>
      </c>
      <c r="C116" s="334" t="s">
        <v>691</v>
      </c>
      <c r="D116" s="20"/>
      <c r="E116" s="147">
        <f>E114-E115</f>
        <v>0</v>
      </c>
      <c r="F116" s="341">
        <f t="shared" si="34"/>
        <v>0</v>
      </c>
      <c r="G116" s="208"/>
      <c r="H116" s="147">
        <f>H114-H115</f>
        <v>0</v>
      </c>
      <c r="I116" s="147">
        <f>I114-I115</f>
        <v>0</v>
      </c>
      <c r="J116" s="544">
        <f t="shared" si="35"/>
        <v>0</v>
      </c>
      <c r="K116" s="147">
        <f>K114-K115</f>
        <v>0</v>
      </c>
      <c r="L116" s="147">
        <f>L114-L115</f>
        <v>0</v>
      </c>
      <c r="M116" s="147">
        <f>M114-M115</f>
        <v>0</v>
      </c>
      <c r="N116" s="147">
        <f>N114-N115</f>
        <v>0</v>
      </c>
      <c r="O116" s="147">
        <f>O114-O115</f>
        <v>0</v>
      </c>
    </row>
    <row r="117" ht="28.5" hidden="1" spans="2:15">
      <c r="B117" s="100">
        <f t="shared" si="36"/>
        <v>4</v>
      </c>
      <c r="C117" s="312" t="s">
        <v>692</v>
      </c>
      <c r="D117" s="333"/>
      <c r="E117" s="543"/>
      <c r="F117" s="341">
        <f t="shared" si="34"/>
        <v>0</v>
      </c>
      <c r="G117" s="334"/>
      <c r="H117" s="543"/>
      <c r="I117" s="543"/>
      <c r="J117" s="544">
        <f t="shared" si="35"/>
        <v>0</v>
      </c>
      <c r="K117" s="543"/>
      <c r="L117" s="543"/>
      <c r="M117" s="543"/>
      <c r="N117" s="543"/>
      <c r="O117" s="543"/>
    </row>
    <row r="118" s="11" customFormat="1" ht="28.5" hidden="1" spans="2:15">
      <c r="B118" s="100">
        <f t="shared" si="36"/>
        <v>5</v>
      </c>
      <c r="C118" s="342" t="s">
        <v>693</v>
      </c>
      <c r="D118" s="333"/>
      <c r="E118" s="147"/>
      <c r="F118" s="341">
        <f t="shared" si="34"/>
        <v>0</v>
      </c>
      <c r="G118" s="334"/>
      <c r="H118" s="147"/>
      <c r="I118" s="147"/>
      <c r="J118" s="544">
        <f t="shared" si="35"/>
        <v>0</v>
      </c>
      <c r="K118" s="147"/>
      <c r="L118" s="147"/>
      <c r="M118" s="147"/>
      <c r="N118" s="147"/>
      <c r="O118" s="147"/>
    </row>
    <row r="119" ht="28.5" hidden="1" spans="2:15">
      <c r="B119" s="100">
        <f t="shared" si="36"/>
        <v>6</v>
      </c>
      <c r="C119" s="312" t="s">
        <v>694</v>
      </c>
      <c r="D119" s="333"/>
      <c r="E119" s="147"/>
      <c r="F119" s="341">
        <f t="shared" si="34"/>
        <v>0</v>
      </c>
      <c r="G119" s="334"/>
      <c r="H119" s="147"/>
      <c r="I119" s="147"/>
      <c r="J119" s="544">
        <f t="shared" si="35"/>
        <v>0</v>
      </c>
      <c r="K119" s="147"/>
      <c r="L119" s="147"/>
      <c r="M119" s="147"/>
      <c r="N119" s="147"/>
      <c r="O119" s="147"/>
    </row>
    <row r="120" hidden="1" spans="2:15">
      <c r="B120" s="100">
        <f t="shared" si="36"/>
        <v>7</v>
      </c>
      <c r="C120" s="55" t="s">
        <v>695</v>
      </c>
      <c r="D120" s="333"/>
      <c r="E120" s="147">
        <f>E116-E117+E118-E119</f>
        <v>0</v>
      </c>
      <c r="F120" s="341">
        <f t="shared" si="34"/>
        <v>0</v>
      </c>
      <c r="G120" s="334"/>
      <c r="H120" s="147">
        <f>H116-H117+H118-H119</f>
        <v>0</v>
      </c>
      <c r="I120" s="147">
        <f>I116-I117+I118-I119</f>
        <v>0</v>
      </c>
      <c r="J120" s="544">
        <f t="shared" si="35"/>
        <v>0</v>
      </c>
      <c r="K120" s="147">
        <f>K116-K117+K118-K119</f>
        <v>0</v>
      </c>
      <c r="L120" s="147">
        <f>L116-L117+L118-L119</f>
        <v>0</v>
      </c>
      <c r="M120" s="147">
        <f>M116-M117+M118-M119</f>
        <v>0</v>
      </c>
      <c r="N120" s="147">
        <f>N116-N117+N118-N119</f>
        <v>0</v>
      </c>
      <c r="O120" s="147">
        <f>O116-O117+O118-O119</f>
        <v>0</v>
      </c>
    </row>
    <row r="121" hidden="1" spans="2:15">
      <c r="B121" s="100">
        <f t="shared" si="36"/>
        <v>8</v>
      </c>
      <c r="C121" s="55" t="s">
        <v>696</v>
      </c>
      <c r="D121" s="333"/>
      <c r="E121" s="147">
        <f>E114-E117+E118-E119</f>
        <v>0</v>
      </c>
      <c r="F121" s="341">
        <f t="shared" ref="F121:F126" si="37">E121</f>
        <v>0</v>
      </c>
      <c r="G121" s="334"/>
      <c r="H121" s="147">
        <f>H114-H117+H118-H119</f>
        <v>0</v>
      </c>
      <c r="I121" s="147">
        <f>I114-I117+I118-I119</f>
        <v>0</v>
      </c>
      <c r="J121" s="544">
        <f t="shared" si="35"/>
        <v>0</v>
      </c>
      <c r="K121" s="147">
        <f>K114-K117+K118-K119</f>
        <v>0</v>
      </c>
      <c r="L121" s="147">
        <f>L114-L117+L118-L119</f>
        <v>0</v>
      </c>
      <c r="M121" s="147">
        <f>M114-M117+M118-M119</f>
        <v>0</v>
      </c>
      <c r="N121" s="147">
        <f>N114-N117+N118-N119</f>
        <v>0</v>
      </c>
      <c r="O121" s="147">
        <f>O114-O117+O118-O119</f>
        <v>0</v>
      </c>
    </row>
    <row r="122" hidden="1" spans="2:15">
      <c r="B122" s="100">
        <f t="shared" si="36"/>
        <v>9</v>
      </c>
      <c r="C122" s="55" t="s">
        <v>697</v>
      </c>
      <c r="D122" s="333"/>
      <c r="E122" s="147">
        <f>AVERAGE(E116,E120)</f>
        <v>0</v>
      </c>
      <c r="F122" s="341">
        <f t="shared" si="37"/>
        <v>0</v>
      </c>
      <c r="G122" s="334"/>
      <c r="H122" s="147">
        <f>AVERAGE(H116,H120)</f>
        <v>0</v>
      </c>
      <c r="I122" s="147">
        <f>AVERAGE(I116,I120)</f>
        <v>0</v>
      </c>
      <c r="J122" s="544">
        <f t="shared" si="35"/>
        <v>0</v>
      </c>
      <c r="K122" s="147">
        <f>AVERAGE(K116,K120)</f>
        <v>0</v>
      </c>
      <c r="L122" s="147">
        <f>AVERAGE(L116,L120)</f>
        <v>0</v>
      </c>
      <c r="M122" s="147">
        <f>AVERAGE(M116,M120)</f>
        <v>0</v>
      </c>
      <c r="N122" s="147">
        <f>AVERAGE(N116,N120)</f>
        <v>0</v>
      </c>
      <c r="O122" s="147">
        <f>AVERAGE(O116,O120)</f>
        <v>0</v>
      </c>
    </row>
    <row r="123" ht="28.5" hidden="1" spans="2:15">
      <c r="B123" s="100">
        <f t="shared" si="36"/>
        <v>10</v>
      </c>
      <c r="C123" s="312" t="s">
        <v>698</v>
      </c>
      <c r="D123" s="333"/>
      <c r="E123" s="147"/>
      <c r="F123" s="341">
        <f t="shared" si="37"/>
        <v>0</v>
      </c>
      <c r="G123" s="334"/>
      <c r="H123" s="147"/>
      <c r="I123" s="147"/>
      <c r="J123" s="544">
        <f t="shared" si="35"/>
        <v>0</v>
      </c>
      <c r="K123" s="147"/>
      <c r="L123" s="147"/>
      <c r="M123" s="147"/>
      <c r="N123" s="147"/>
      <c r="O123" s="147"/>
    </row>
    <row r="124" hidden="1" spans="2:15">
      <c r="B124" s="100">
        <f t="shared" si="36"/>
        <v>11</v>
      </c>
      <c r="C124" s="55" t="s">
        <v>699</v>
      </c>
      <c r="D124" s="333"/>
      <c r="E124" s="147">
        <f>E122*E123</f>
        <v>0</v>
      </c>
      <c r="F124" s="341">
        <f t="shared" si="37"/>
        <v>0</v>
      </c>
      <c r="G124" s="334"/>
      <c r="H124" s="147">
        <f>H122*H123</f>
        <v>0</v>
      </c>
      <c r="I124" s="147">
        <f>I122*I123</f>
        <v>0</v>
      </c>
      <c r="J124" s="544">
        <f t="shared" si="35"/>
        <v>0</v>
      </c>
      <c r="K124" s="147">
        <f>K122*K123</f>
        <v>0</v>
      </c>
      <c r="L124" s="147">
        <f>L122*L123</f>
        <v>0</v>
      </c>
      <c r="M124" s="147">
        <f>M122*M123</f>
        <v>0</v>
      </c>
      <c r="N124" s="147">
        <f>N122*N123</f>
        <v>0</v>
      </c>
      <c r="O124" s="147">
        <f>O122*O123</f>
        <v>0</v>
      </c>
    </row>
    <row r="125" hidden="1" spans="2:15">
      <c r="B125" s="100">
        <f t="shared" si="36"/>
        <v>12</v>
      </c>
      <c r="C125" s="55" t="s">
        <v>700</v>
      </c>
      <c r="D125" s="333"/>
      <c r="E125" s="147"/>
      <c r="F125" s="341">
        <f t="shared" si="37"/>
        <v>0</v>
      </c>
      <c r="G125" s="334"/>
      <c r="H125" s="147"/>
      <c r="I125" s="147"/>
      <c r="J125" s="544">
        <f t="shared" si="35"/>
        <v>0</v>
      </c>
      <c r="K125" s="147"/>
      <c r="L125" s="147"/>
      <c r="M125" s="147"/>
      <c r="N125" s="147"/>
      <c r="O125" s="147"/>
    </row>
    <row r="126" hidden="1" spans="2:15">
      <c r="B126" s="100">
        <f t="shared" si="36"/>
        <v>13</v>
      </c>
      <c r="C126" s="55" t="s">
        <v>701</v>
      </c>
      <c r="D126" s="333"/>
      <c r="E126" s="147">
        <f>E124+E125</f>
        <v>0</v>
      </c>
      <c r="F126" s="341">
        <f t="shared" si="37"/>
        <v>0</v>
      </c>
      <c r="G126" s="334"/>
      <c r="H126" s="147">
        <f>H124+H125</f>
        <v>0</v>
      </c>
      <c r="I126" s="147">
        <f>I124+I125</f>
        <v>0</v>
      </c>
      <c r="J126" s="544">
        <f t="shared" si="35"/>
        <v>0</v>
      </c>
      <c r="K126" s="147">
        <f>K124+K125</f>
        <v>0</v>
      </c>
      <c r="L126" s="147">
        <f>L124+L125</f>
        <v>0</v>
      </c>
      <c r="M126" s="147">
        <f>M124+M125</f>
        <v>0</v>
      </c>
      <c r="N126" s="147">
        <f>N124+N125</f>
        <v>0</v>
      </c>
      <c r="O126" s="147">
        <f>O124+O125</f>
        <v>0</v>
      </c>
    </row>
    <row r="127" hidden="1"/>
    <row r="128" ht="15" hidden="1" spans="2:3">
      <c r="B128" s="2" t="s">
        <v>702</v>
      </c>
      <c r="C128" s="14" t="s">
        <v>703</v>
      </c>
    </row>
    <row r="129" ht="15" hidden="1" spans="12:12">
      <c r="L129" s="33" t="s">
        <v>109</v>
      </c>
    </row>
    <row r="130" ht="15" hidden="1" customHeight="1" spans="2:12">
      <c r="B130" s="16" t="s">
        <v>3</v>
      </c>
      <c r="C130" s="17" t="s">
        <v>110</v>
      </c>
      <c r="D130" s="306" t="s">
        <v>112</v>
      </c>
      <c r="E130" s="306" t="s">
        <v>760</v>
      </c>
      <c r="F130" s="307"/>
      <c r="G130" s="308"/>
      <c r="H130" s="537" t="s">
        <v>114</v>
      </c>
      <c r="I130" s="539"/>
      <c r="J130" s="539"/>
      <c r="K130" s="539"/>
      <c r="L130" s="540"/>
    </row>
    <row r="131" ht="15" hidden="1" spans="2:12">
      <c r="B131" s="309"/>
      <c r="C131" s="534"/>
      <c r="D131" s="5" t="s">
        <v>237</v>
      </c>
      <c r="E131" s="5" t="s">
        <v>119</v>
      </c>
      <c r="F131" s="5" t="s">
        <v>120</v>
      </c>
      <c r="G131" s="5" t="s">
        <v>238</v>
      </c>
      <c r="H131" s="5" t="s">
        <v>514</v>
      </c>
      <c r="I131" s="5" t="s">
        <v>515</v>
      </c>
      <c r="J131" s="5" t="s">
        <v>516</v>
      </c>
      <c r="K131" s="5" t="s">
        <v>517</v>
      </c>
      <c r="L131" s="5" t="s">
        <v>518</v>
      </c>
    </row>
    <row r="132" ht="15" hidden="1" spans="2:12">
      <c r="B132" s="535"/>
      <c r="C132" s="536"/>
      <c r="D132" s="5" t="s">
        <v>128</v>
      </c>
      <c r="E132" s="5" t="s">
        <v>130</v>
      </c>
      <c r="F132" s="5" t="s">
        <v>131</v>
      </c>
      <c r="G132" s="5" t="s">
        <v>131</v>
      </c>
      <c r="H132" s="5" t="s">
        <v>132</v>
      </c>
      <c r="I132" s="5" t="s">
        <v>132</v>
      </c>
      <c r="J132" s="5" t="s">
        <v>132</v>
      </c>
      <c r="K132" s="5" t="s">
        <v>132</v>
      </c>
      <c r="L132" s="5" t="s">
        <v>132</v>
      </c>
    </row>
    <row r="133" ht="15" hidden="1" spans="2:12">
      <c r="B133" s="100">
        <v>1</v>
      </c>
      <c r="C133" s="54" t="s">
        <v>663</v>
      </c>
      <c r="D133" s="55"/>
      <c r="E133" s="55"/>
      <c r="F133" s="55"/>
      <c r="G133" s="55"/>
      <c r="H133" s="55"/>
      <c r="I133" s="55"/>
      <c r="J133" s="55"/>
      <c r="K133" s="55"/>
      <c r="L133" s="55"/>
    </row>
    <row r="134" hidden="1" spans="2:12">
      <c r="B134" s="55"/>
      <c r="C134" s="55" t="s">
        <v>704</v>
      </c>
      <c r="D134" s="55"/>
      <c r="E134" s="55"/>
      <c r="F134" s="55"/>
      <c r="G134" s="55"/>
      <c r="H134" s="55"/>
      <c r="I134" s="55"/>
      <c r="J134" s="55"/>
      <c r="K134" s="55"/>
      <c r="L134" s="55"/>
    </row>
    <row r="135" hidden="1" spans="2:12">
      <c r="B135" s="55"/>
      <c r="C135" s="55" t="s">
        <v>705</v>
      </c>
      <c r="D135" s="55"/>
      <c r="E135" s="55"/>
      <c r="F135" s="55"/>
      <c r="G135" s="55"/>
      <c r="H135" s="55"/>
      <c r="I135" s="55"/>
      <c r="J135" s="55"/>
      <c r="K135" s="55"/>
      <c r="L135" s="55"/>
    </row>
    <row r="136" hidden="1" spans="2:12">
      <c r="B136" s="55"/>
      <c r="C136" s="55" t="s">
        <v>706</v>
      </c>
      <c r="D136" s="55"/>
      <c r="E136" s="55"/>
      <c r="F136" s="55"/>
      <c r="G136" s="55"/>
      <c r="H136" s="55"/>
      <c r="I136" s="55"/>
      <c r="J136" s="55"/>
      <c r="K136" s="55"/>
      <c r="L136" s="55"/>
    </row>
    <row r="137" hidden="1" spans="2:12">
      <c r="B137" s="55"/>
      <c r="C137" s="55" t="s">
        <v>707</v>
      </c>
      <c r="D137" s="341">
        <f>D134+D135-D136</f>
        <v>0</v>
      </c>
      <c r="E137" s="341">
        <f t="shared" ref="E137:L137" si="38">E134+E135-E136</f>
        <v>0</v>
      </c>
      <c r="F137" s="341">
        <f t="shared" si="38"/>
        <v>0</v>
      </c>
      <c r="G137" s="341">
        <f t="shared" si="38"/>
        <v>0</v>
      </c>
      <c r="H137" s="341">
        <f t="shared" si="38"/>
        <v>0</v>
      </c>
      <c r="I137" s="341">
        <f t="shared" si="38"/>
        <v>0</v>
      </c>
      <c r="J137" s="341">
        <f t="shared" si="38"/>
        <v>0</v>
      </c>
      <c r="K137" s="341">
        <f t="shared" si="38"/>
        <v>0</v>
      </c>
      <c r="L137" s="341">
        <f t="shared" si="38"/>
        <v>0</v>
      </c>
    </row>
    <row r="138" hidden="1" spans="2:12">
      <c r="B138" s="55"/>
      <c r="C138" s="55" t="s">
        <v>708</v>
      </c>
      <c r="D138" s="341">
        <f t="shared" ref="D138:L138" si="39">AVERAGE(D137,D134)</f>
        <v>0</v>
      </c>
      <c r="E138" s="341">
        <f t="shared" si="39"/>
        <v>0</v>
      </c>
      <c r="F138" s="341">
        <f t="shared" si="39"/>
        <v>0</v>
      </c>
      <c r="G138" s="341">
        <f t="shared" si="39"/>
        <v>0</v>
      </c>
      <c r="H138" s="341">
        <f t="shared" si="39"/>
        <v>0</v>
      </c>
      <c r="I138" s="341">
        <f t="shared" si="39"/>
        <v>0</v>
      </c>
      <c r="J138" s="341">
        <f t="shared" si="39"/>
        <v>0</v>
      </c>
      <c r="K138" s="341">
        <f t="shared" si="39"/>
        <v>0</v>
      </c>
      <c r="L138" s="341">
        <f t="shared" si="39"/>
        <v>0</v>
      </c>
    </row>
    <row r="139" hidden="1" spans="2:12">
      <c r="B139" s="55"/>
      <c r="C139" s="55" t="s">
        <v>709</v>
      </c>
      <c r="D139" s="55"/>
      <c r="E139" s="55"/>
      <c r="F139" s="55"/>
      <c r="G139" s="55"/>
      <c r="H139" s="55"/>
      <c r="I139" s="55"/>
      <c r="J139" s="55"/>
      <c r="K139" s="55"/>
      <c r="L139" s="55"/>
    </row>
    <row r="140" hidden="1" spans="2:12">
      <c r="B140" s="55"/>
      <c r="C140" s="55" t="s">
        <v>699</v>
      </c>
      <c r="D140" s="341">
        <f>D138*D139</f>
        <v>0</v>
      </c>
      <c r="E140" s="341">
        <f t="shared" ref="E140:L140" si="40">E138*E139</f>
        <v>0</v>
      </c>
      <c r="F140" s="341">
        <f t="shared" si="40"/>
        <v>0</v>
      </c>
      <c r="G140" s="341">
        <f t="shared" si="40"/>
        <v>0</v>
      </c>
      <c r="H140" s="341">
        <f t="shared" si="40"/>
        <v>0</v>
      </c>
      <c r="I140" s="341">
        <f t="shared" si="40"/>
        <v>0</v>
      </c>
      <c r="J140" s="341">
        <f t="shared" si="40"/>
        <v>0</v>
      </c>
      <c r="K140" s="341">
        <f t="shared" si="40"/>
        <v>0</v>
      </c>
      <c r="L140" s="341">
        <f t="shared" si="40"/>
        <v>0</v>
      </c>
    </row>
    <row r="141" hidden="1" spans="2:12">
      <c r="B141" s="55"/>
      <c r="C141" s="55" t="s">
        <v>700</v>
      </c>
      <c r="D141" s="55"/>
      <c r="E141" s="55"/>
      <c r="F141" s="55"/>
      <c r="G141" s="55"/>
      <c r="H141" s="55"/>
      <c r="I141" s="55"/>
      <c r="J141" s="55"/>
      <c r="K141" s="55"/>
      <c r="L141" s="55"/>
    </row>
    <row r="142" hidden="1" spans="2:12">
      <c r="B142" s="55"/>
      <c r="C142" s="55" t="s">
        <v>701</v>
      </c>
      <c r="D142" s="341">
        <f>D140+D141</f>
        <v>0</v>
      </c>
      <c r="E142" s="341">
        <f t="shared" ref="E142:L142" si="41">E140+E141</f>
        <v>0</v>
      </c>
      <c r="F142" s="341">
        <f t="shared" si="41"/>
        <v>0</v>
      </c>
      <c r="G142" s="341">
        <f t="shared" si="41"/>
        <v>0</v>
      </c>
      <c r="H142" s="341">
        <f t="shared" si="41"/>
        <v>0</v>
      </c>
      <c r="I142" s="341">
        <f t="shared" si="41"/>
        <v>0</v>
      </c>
      <c r="J142" s="341">
        <f t="shared" si="41"/>
        <v>0</v>
      </c>
      <c r="K142" s="341">
        <f t="shared" si="41"/>
        <v>0</v>
      </c>
      <c r="L142" s="341">
        <f t="shared" si="41"/>
        <v>0</v>
      </c>
    </row>
    <row r="143" ht="15" hidden="1" spans="2:12">
      <c r="B143" s="100">
        <v>2</v>
      </c>
      <c r="C143" s="54" t="s">
        <v>664</v>
      </c>
      <c r="D143" s="55"/>
      <c r="E143" s="55"/>
      <c r="F143" s="55"/>
      <c r="G143" s="55"/>
      <c r="H143" s="55"/>
      <c r="I143" s="55"/>
      <c r="J143" s="55"/>
      <c r="K143" s="55"/>
      <c r="L143" s="55"/>
    </row>
    <row r="144" hidden="1" spans="2:12">
      <c r="B144" s="55"/>
      <c r="C144" s="55" t="s">
        <v>704</v>
      </c>
      <c r="D144" s="55"/>
      <c r="E144" s="55"/>
      <c r="F144" s="55"/>
      <c r="G144" s="55"/>
      <c r="H144" s="55"/>
      <c r="I144" s="55"/>
      <c r="J144" s="55"/>
      <c r="K144" s="55"/>
      <c r="L144" s="55"/>
    </row>
    <row r="145" hidden="1" spans="2:12">
      <c r="B145" s="55"/>
      <c r="C145" s="55" t="s">
        <v>705</v>
      </c>
      <c r="D145" s="55"/>
      <c r="E145" s="55"/>
      <c r="F145" s="55"/>
      <c r="G145" s="55"/>
      <c r="H145" s="55"/>
      <c r="I145" s="55"/>
      <c r="J145" s="55"/>
      <c r="K145" s="55"/>
      <c r="L145" s="55"/>
    </row>
    <row r="146" hidden="1" spans="2:12">
      <c r="B146" s="55"/>
      <c r="C146" s="55" t="s">
        <v>706</v>
      </c>
      <c r="D146" s="55"/>
      <c r="E146" s="55"/>
      <c r="F146" s="55"/>
      <c r="G146" s="55"/>
      <c r="H146" s="55"/>
      <c r="I146" s="55"/>
      <c r="J146" s="55"/>
      <c r="K146" s="55"/>
      <c r="L146" s="55"/>
    </row>
    <row r="147" hidden="1" spans="2:12">
      <c r="B147" s="55"/>
      <c r="C147" s="55" t="s">
        <v>707</v>
      </c>
      <c r="D147" s="341">
        <f>D144+D145-D146</f>
        <v>0</v>
      </c>
      <c r="E147" s="341">
        <f t="shared" ref="E147:L147" si="42">E144+E145-E146</f>
        <v>0</v>
      </c>
      <c r="F147" s="341">
        <f t="shared" si="42"/>
        <v>0</v>
      </c>
      <c r="G147" s="341">
        <f t="shared" si="42"/>
        <v>0</v>
      </c>
      <c r="H147" s="341">
        <f t="shared" si="42"/>
        <v>0</v>
      </c>
      <c r="I147" s="341">
        <f t="shared" si="42"/>
        <v>0</v>
      </c>
      <c r="J147" s="341">
        <f t="shared" si="42"/>
        <v>0</v>
      </c>
      <c r="K147" s="341">
        <f t="shared" si="42"/>
        <v>0</v>
      </c>
      <c r="L147" s="341">
        <f t="shared" si="42"/>
        <v>0</v>
      </c>
    </row>
    <row r="148" hidden="1" spans="2:12">
      <c r="B148" s="55"/>
      <c r="C148" s="55" t="s">
        <v>708</v>
      </c>
      <c r="D148" s="341">
        <f t="shared" ref="D148:L148" si="43">AVERAGE(D147,D144)</f>
        <v>0</v>
      </c>
      <c r="E148" s="341">
        <f t="shared" si="43"/>
        <v>0</v>
      </c>
      <c r="F148" s="341">
        <f t="shared" si="43"/>
        <v>0</v>
      </c>
      <c r="G148" s="341">
        <f t="shared" si="43"/>
        <v>0</v>
      </c>
      <c r="H148" s="341">
        <f t="shared" si="43"/>
        <v>0</v>
      </c>
      <c r="I148" s="341">
        <f t="shared" si="43"/>
        <v>0</v>
      </c>
      <c r="J148" s="341">
        <f t="shared" si="43"/>
        <v>0</v>
      </c>
      <c r="K148" s="341">
        <f t="shared" si="43"/>
        <v>0</v>
      </c>
      <c r="L148" s="341">
        <f t="shared" si="43"/>
        <v>0</v>
      </c>
    </row>
    <row r="149" hidden="1" spans="2:12">
      <c r="B149" s="55"/>
      <c r="C149" s="55" t="s">
        <v>709</v>
      </c>
      <c r="D149" s="55"/>
      <c r="E149" s="55"/>
      <c r="F149" s="55"/>
      <c r="G149" s="55"/>
      <c r="H149" s="55"/>
      <c r="I149" s="55"/>
      <c r="J149" s="55"/>
      <c r="K149" s="55"/>
      <c r="L149" s="55"/>
    </row>
    <row r="150" hidden="1" spans="2:12">
      <c r="B150" s="55"/>
      <c r="C150" s="55" t="s">
        <v>699</v>
      </c>
      <c r="D150" s="341">
        <f>D148*D149</f>
        <v>0</v>
      </c>
      <c r="E150" s="341">
        <f t="shared" ref="E150:L150" si="44">E148*E149</f>
        <v>0</v>
      </c>
      <c r="F150" s="341">
        <f t="shared" si="44"/>
        <v>0</v>
      </c>
      <c r="G150" s="341">
        <f t="shared" si="44"/>
        <v>0</v>
      </c>
      <c r="H150" s="341">
        <f t="shared" si="44"/>
        <v>0</v>
      </c>
      <c r="I150" s="341">
        <f t="shared" si="44"/>
        <v>0</v>
      </c>
      <c r="J150" s="341">
        <f t="shared" si="44"/>
        <v>0</v>
      </c>
      <c r="K150" s="341">
        <f t="shared" si="44"/>
        <v>0</v>
      </c>
      <c r="L150" s="341">
        <f t="shared" si="44"/>
        <v>0</v>
      </c>
    </row>
    <row r="151" hidden="1" spans="2:12">
      <c r="B151" s="55"/>
      <c r="C151" s="55" t="s">
        <v>700</v>
      </c>
      <c r="D151" s="55"/>
      <c r="E151" s="55"/>
      <c r="F151" s="55"/>
      <c r="G151" s="55"/>
      <c r="H151" s="55"/>
      <c r="I151" s="55"/>
      <c r="J151" s="55"/>
      <c r="K151" s="55"/>
      <c r="L151" s="55"/>
    </row>
    <row r="152" hidden="1" spans="2:12">
      <c r="B152" s="55"/>
      <c r="C152" s="55" t="s">
        <v>701</v>
      </c>
      <c r="D152" s="341">
        <f>D150+D151</f>
        <v>0</v>
      </c>
      <c r="E152" s="341">
        <f t="shared" ref="E152:L152" si="45">E150+E151</f>
        <v>0</v>
      </c>
      <c r="F152" s="341">
        <f t="shared" si="45"/>
        <v>0</v>
      </c>
      <c r="G152" s="341">
        <f t="shared" si="45"/>
        <v>0</v>
      </c>
      <c r="H152" s="341">
        <f t="shared" si="45"/>
        <v>0</v>
      </c>
      <c r="I152" s="341">
        <f t="shared" si="45"/>
        <v>0</v>
      </c>
      <c r="J152" s="341">
        <f t="shared" si="45"/>
        <v>0</v>
      </c>
      <c r="K152" s="341">
        <f t="shared" si="45"/>
        <v>0</v>
      </c>
      <c r="L152" s="341">
        <f t="shared" si="45"/>
        <v>0</v>
      </c>
    </row>
    <row r="153" hidden="1" spans="2:12">
      <c r="B153" s="55"/>
      <c r="C153" s="55" t="s">
        <v>710</v>
      </c>
      <c r="D153" s="55"/>
      <c r="E153" s="55"/>
      <c r="F153" s="55"/>
      <c r="G153" s="55"/>
      <c r="H153" s="55"/>
      <c r="I153" s="55"/>
      <c r="J153" s="55"/>
      <c r="K153" s="55"/>
      <c r="L153" s="55"/>
    </row>
    <row r="154" ht="15" hidden="1" spans="2:12">
      <c r="B154" s="100"/>
      <c r="C154" s="54" t="s">
        <v>97</v>
      </c>
      <c r="D154" s="55"/>
      <c r="E154" s="55"/>
      <c r="F154" s="55"/>
      <c r="G154" s="55"/>
      <c r="H154" s="55"/>
      <c r="I154" s="55"/>
      <c r="J154" s="55"/>
      <c r="K154" s="55"/>
      <c r="L154" s="55"/>
    </row>
    <row r="155" hidden="1" spans="2:12">
      <c r="B155" s="55"/>
      <c r="C155" s="55" t="s">
        <v>704</v>
      </c>
      <c r="D155" s="55">
        <f>D134+D144</f>
        <v>0</v>
      </c>
      <c r="E155" s="55">
        <f t="shared" ref="E155:L157" si="46">E134+E144</f>
        <v>0</v>
      </c>
      <c r="F155" s="55">
        <f t="shared" si="46"/>
        <v>0</v>
      </c>
      <c r="G155" s="55">
        <f t="shared" si="46"/>
        <v>0</v>
      </c>
      <c r="H155" s="55">
        <f t="shared" si="46"/>
        <v>0</v>
      </c>
      <c r="I155" s="55">
        <f t="shared" si="46"/>
        <v>0</v>
      </c>
      <c r="J155" s="55">
        <f t="shared" si="46"/>
        <v>0</v>
      </c>
      <c r="K155" s="55">
        <f t="shared" si="46"/>
        <v>0</v>
      </c>
      <c r="L155" s="55">
        <f t="shared" si="46"/>
        <v>0</v>
      </c>
    </row>
    <row r="156" hidden="1" spans="2:12">
      <c r="B156" s="55"/>
      <c r="C156" s="55" t="s">
        <v>705</v>
      </c>
      <c r="D156" s="55">
        <f>D135+D145</f>
        <v>0</v>
      </c>
      <c r="E156" s="55">
        <f t="shared" si="46"/>
        <v>0</v>
      </c>
      <c r="F156" s="55">
        <f t="shared" si="46"/>
        <v>0</v>
      </c>
      <c r="G156" s="55">
        <f t="shared" si="46"/>
        <v>0</v>
      </c>
      <c r="H156" s="55">
        <f t="shared" si="46"/>
        <v>0</v>
      </c>
      <c r="I156" s="55">
        <f t="shared" si="46"/>
        <v>0</v>
      </c>
      <c r="J156" s="55">
        <f t="shared" si="46"/>
        <v>0</v>
      </c>
      <c r="K156" s="55">
        <f t="shared" si="46"/>
        <v>0</v>
      </c>
      <c r="L156" s="55">
        <f t="shared" si="46"/>
        <v>0</v>
      </c>
    </row>
    <row r="157" hidden="1" spans="2:12">
      <c r="B157" s="55"/>
      <c r="C157" s="55" t="s">
        <v>706</v>
      </c>
      <c r="D157" s="55">
        <f>D136+D146</f>
        <v>0</v>
      </c>
      <c r="E157" s="55">
        <f t="shared" si="46"/>
        <v>0</v>
      </c>
      <c r="F157" s="55">
        <f t="shared" si="46"/>
        <v>0</v>
      </c>
      <c r="G157" s="55">
        <f t="shared" si="46"/>
        <v>0</v>
      </c>
      <c r="H157" s="55">
        <f t="shared" si="46"/>
        <v>0</v>
      </c>
      <c r="I157" s="55">
        <f t="shared" si="46"/>
        <v>0</v>
      </c>
      <c r="J157" s="55">
        <f t="shared" si="46"/>
        <v>0</v>
      </c>
      <c r="K157" s="55">
        <f t="shared" si="46"/>
        <v>0</v>
      </c>
      <c r="L157" s="55">
        <f t="shared" si="46"/>
        <v>0</v>
      </c>
    </row>
    <row r="158" hidden="1" spans="2:12">
      <c r="B158" s="55"/>
      <c r="C158" s="55" t="s">
        <v>707</v>
      </c>
      <c r="D158" s="341">
        <f>D155+D156-D157</f>
        <v>0</v>
      </c>
      <c r="E158" s="341">
        <f t="shared" ref="E158:L158" si="47">E155+E156-E157</f>
        <v>0</v>
      </c>
      <c r="F158" s="341">
        <f t="shared" si="47"/>
        <v>0</v>
      </c>
      <c r="G158" s="341">
        <f t="shared" si="47"/>
        <v>0</v>
      </c>
      <c r="H158" s="341">
        <f t="shared" si="47"/>
        <v>0</v>
      </c>
      <c r="I158" s="341">
        <f t="shared" si="47"/>
        <v>0</v>
      </c>
      <c r="J158" s="341">
        <f t="shared" si="47"/>
        <v>0</v>
      </c>
      <c r="K158" s="341">
        <f t="shared" si="47"/>
        <v>0</v>
      </c>
      <c r="L158" s="341">
        <f t="shared" si="47"/>
        <v>0</v>
      </c>
    </row>
    <row r="159" hidden="1" spans="2:12">
      <c r="B159" s="55"/>
      <c r="C159" s="55" t="s">
        <v>708</v>
      </c>
      <c r="D159" s="341">
        <f t="shared" ref="D159:L159" si="48">AVERAGE(D158,D155)</f>
        <v>0</v>
      </c>
      <c r="E159" s="341">
        <f t="shared" si="48"/>
        <v>0</v>
      </c>
      <c r="F159" s="341">
        <f t="shared" si="48"/>
        <v>0</v>
      </c>
      <c r="G159" s="341">
        <f t="shared" si="48"/>
        <v>0</v>
      </c>
      <c r="H159" s="341">
        <f t="shared" si="48"/>
        <v>0</v>
      </c>
      <c r="I159" s="341">
        <f t="shared" si="48"/>
        <v>0</v>
      </c>
      <c r="J159" s="341">
        <f t="shared" si="48"/>
        <v>0</v>
      </c>
      <c r="K159" s="341">
        <f t="shared" si="48"/>
        <v>0</v>
      </c>
      <c r="L159" s="341">
        <f t="shared" si="48"/>
        <v>0</v>
      </c>
    </row>
    <row r="160" hidden="1" spans="2:12">
      <c r="B160" s="55"/>
      <c r="C160" s="55" t="s">
        <v>709</v>
      </c>
      <c r="D160" s="55"/>
      <c r="E160" s="55"/>
      <c r="F160" s="55"/>
      <c r="G160" s="55"/>
      <c r="H160" s="55"/>
      <c r="I160" s="55"/>
      <c r="J160" s="55"/>
      <c r="K160" s="55"/>
      <c r="L160" s="55"/>
    </row>
    <row r="161" hidden="1" spans="2:12">
      <c r="B161" s="55"/>
      <c r="C161" s="55" t="s">
        <v>699</v>
      </c>
      <c r="D161" s="341">
        <f>D159*D160</f>
        <v>0</v>
      </c>
      <c r="E161" s="341">
        <f t="shared" ref="E161:L161" si="49">E159*E160</f>
        <v>0</v>
      </c>
      <c r="F161" s="341">
        <f t="shared" si="49"/>
        <v>0</v>
      </c>
      <c r="G161" s="341">
        <f t="shared" si="49"/>
        <v>0</v>
      </c>
      <c r="H161" s="341">
        <f t="shared" si="49"/>
        <v>0</v>
      </c>
      <c r="I161" s="341">
        <f t="shared" si="49"/>
        <v>0</v>
      </c>
      <c r="J161" s="341">
        <f t="shared" si="49"/>
        <v>0</v>
      </c>
      <c r="K161" s="341">
        <f t="shared" si="49"/>
        <v>0</v>
      </c>
      <c r="L161" s="341">
        <f t="shared" si="49"/>
        <v>0</v>
      </c>
    </row>
    <row r="162" hidden="1" spans="2:12">
      <c r="B162" s="55"/>
      <c r="C162" s="55" t="s">
        <v>700</v>
      </c>
      <c r="D162" s="55"/>
      <c r="E162" s="55"/>
      <c r="F162" s="55"/>
      <c r="G162" s="55"/>
      <c r="H162" s="55"/>
      <c r="I162" s="55"/>
      <c r="J162" s="55"/>
      <c r="K162" s="55"/>
      <c r="L162" s="55"/>
    </row>
    <row r="163" hidden="1" spans="2:12">
      <c r="B163" s="55"/>
      <c r="C163" s="55" t="s">
        <v>701</v>
      </c>
      <c r="D163" s="341">
        <f>D161+D162</f>
        <v>0</v>
      </c>
      <c r="E163" s="341">
        <f t="shared" ref="E163:L163" si="50">E161+E162</f>
        <v>0</v>
      </c>
      <c r="F163" s="341">
        <f t="shared" si="50"/>
        <v>0</v>
      </c>
      <c r="G163" s="341">
        <f t="shared" si="50"/>
        <v>0</v>
      </c>
      <c r="H163" s="341">
        <f t="shared" si="50"/>
        <v>0</v>
      </c>
      <c r="I163" s="341">
        <f t="shared" si="50"/>
        <v>0</v>
      </c>
      <c r="J163" s="341">
        <f t="shared" si="50"/>
        <v>0</v>
      </c>
      <c r="K163" s="341">
        <f t="shared" si="50"/>
        <v>0</v>
      </c>
      <c r="L163" s="341">
        <f t="shared" si="50"/>
        <v>0</v>
      </c>
    </row>
    <row r="164" hidden="1"/>
    <row r="165" ht="15" hidden="1" spans="2:8">
      <c r="B165" s="11" t="s">
        <v>153</v>
      </c>
      <c r="H165" s="3"/>
    </row>
    <row r="166" ht="15" hidden="1" spans="2:12">
      <c r="B166" s="2" t="s">
        <v>687</v>
      </c>
      <c r="C166" s="14" t="s">
        <v>688</v>
      </c>
      <c r="D166" s="117"/>
      <c r="E166" s="117"/>
      <c r="F166" s="117"/>
      <c r="G166" s="117"/>
      <c r="H166" s="117"/>
      <c r="I166" s="117"/>
      <c r="J166" s="117"/>
      <c r="K166" s="117"/>
      <c r="L166" s="117"/>
    </row>
    <row r="167" ht="15" hidden="1" spans="15:15">
      <c r="O167" s="33" t="s">
        <v>109</v>
      </c>
    </row>
    <row r="168" s="15" customFormat="1" ht="15" hidden="1" customHeight="1" spans="2:15">
      <c r="B168" s="16" t="s">
        <v>3</v>
      </c>
      <c r="C168" s="17" t="s">
        <v>110</v>
      </c>
      <c r="D168" s="306" t="s">
        <v>112</v>
      </c>
      <c r="E168" s="307"/>
      <c r="F168" s="308"/>
      <c r="G168" s="306" t="s">
        <v>760</v>
      </c>
      <c r="H168" s="307"/>
      <c r="I168" s="307"/>
      <c r="J168" s="308"/>
      <c r="K168" s="537" t="s">
        <v>114</v>
      </c>
      <c r="L168" s="539"/>
      <c r="M168" s="539"/>
      <c r="N168" s="539"/>
      <c r="O168" s="540"/>
    </row>
    <row r="169" s="15" customFormat="1" ht="30" hidden="1" spans="2:15">
      <c r="B169" s="309"/>
      <c r="C169" s="534"/>
      <c r="D169" s="5" t="s">
        <v>116</v>
      </c>
      <c r="E169" s="5" t="s">
        <v>237</v>
      </c>
      <c r="F169" s="5" t="s">
        <v>118</v>
      </c>
      <c r="G169" s="5" t="s">
        <v>116</v>
      </c>
      <c r="H169" s="5" t="s">
        <v>119</v>
      </c>
      <c r="I169" s="5" t="s">
        <v>120</v>
      </c>
      <c r="J169" s="5" t="s">
        <v>238</v>
      </c>
      <c r="K169" s="5" t="s">
        <v>514</v>
      </c>
      <c r="L169" s="5" t="s">
        <v>515</v>
      </c>
      <c r="M169" s="5" t="s">
        <v>516</v>
      </c>
      <c r="N169" s="5" t="s">
        <v>517</v>
      </c>
      <c r="O169" s="5" t="s">
        <v>518</v>
      </c>
    </row>
    <row r="170" s="15" customFormat="1" ht="15" hidden="1" spans="2:15">
      <c r="B170" s="535"/>
      <c r="C170" s="536"/>
      <c r="D170" s="5" t="s">
        <v>127</v>
      </c>
      <c r="E170" s="5" t="s">
        <v>128</v>
      </c>
      <c r="F170" s="5" t="s">
        <v>129</v>
      </c>
      <c r="G170" s="5" t="s">
        <v>127</v>
      </c>
      <c r="H170" s="5" t="s">
        <v>130</v>
      </c>
      <c r="I170" s="5" t="s">
        <v>131</v>
      </c>
      <c r="J170" s="5" t="s">
        <v>131</v>
      </c>
      <c r="K170" s="5" t="s">
        <v>132</v>
      </c>
      <c r="L170" s="5" t="s">
        <v>132</v>
      </c>
      <c r="M170" s="5" t="s">
        <v>132</v>
      </c>
      <c r="N170" s="5" t="s">
        <v>132</v>
      </c>
      <c r="O170" s="5" t="s">
        <v>132</v>
      </c>
    </row>
    <row r="171" hidden="1" spans="2:15">
      <c r="B171" s="311">
        <v>1</v>
      </c>
      <c r="C171" s="55" t="s">
        <v>689</v>
      </c>
      <c r="D171" s="20"/>
      <c r="E171" s="147"/>
      <c r="F171" s="341">
        <f>E171</f>
        <v>0</v>
      </c>
      <c r="G171" s="208"/>
      <c r="H171" s="147"/>
      <c r="I171" s="147"/>
      <c r="J171" s="544">
        <f>F178</f>
        <v>0</v>
      </c>
      <c r="K171" s="147">
        <f>J178</f>
        <v>0</v>
      </c>
      <c r="L171" s="147">
        <f>K178</f>
        <v>0</v>
      </c>
      <c r="M171" s="147">
        <f>L178</f>
        <v>0</v>
      </c>
      <c r="N171" s="147">
        <f>M178</f>
        <v>0</v>
      </c>
      <c r="O171" s="147">
        <f>N178</f>
        <v>0</v>
      </c>
    </row>
    <row r="172" hidden="1" spans="2:15">
      <c r="B172" s="100">
        <f>B171+1</f>
        <v>2</v>
      </c>
      <c r="C172" s="55" t="s">
        <v>690</v>
      </c>
      <c r="D172" s="20"/>
      <c r="E172" s="147"/>
      <c r="F172" s="341">
        <f t="shared" ref="F172:F183" si="51">E172</f>
        <v>0</v>
      </c>
      <c r="G172" s="208"/>
      <c r="H172" s="147"/>
      <c r="I172" s="147"/>
      <c r="J172" s="544">
        <f t="shared" ref="J172:J183" si="52">H172+I172</f>
        <v>0</v>
      </c>
      <c r="K172" s="147"/>
      <c r="L172" s="147"/>
      <c r="M172" s="147"/>
      <c r="N172" s="147"/>
      <c r="O172" s="147"/>
    </row>
    <row r="173" hidden="1" spans="2:15">
      <c r="B173" s="100">
        <f t="shared" ref="B173:B183" si="53">B172+1</f>
        <v>3</v>
      </c>
      <c r="C173" s="334" t="s">
        <v>691</v>
      </c>
      <c r="D173" s="20"/>
      <c r="E173" s="147">
        <f>E171-E172</f>
        <v>0</v>
      </c>
      <c r="F173" s="341">
        <f t="shared" si="51"/>
        <v>0</v>
      </c>
      <c r="G173" s="208"/>
      <c r="H173" s="147">
        <f>H171-H172</f>
        <v>0</v>
      </c>
      <c r="I173" s="147">
        <f>I171-I172</f>
        <v>0</v>
      </c>
      <c r="J173" s="544">
        <f t="shared" si="52"/>
        <v>0</v>
      </c>
      <c r="K173" s="147">
        <f>K171-K172</f>
        <v>0</v>
      </c>
      <c r="L173" s="147">
        <f>L171-L172</f>
        <v>0</v>
      </c>
      <c r="M173" s="147">
        <f>M171-M172</f>
        <v>0</v>
      </c>
      <c r="N173" s="147">
        <f>N171-N172</f>
        <v>0</v>
      </c>
      <c r="O173" s="147">
        <f>O171-O172</f>
        <v>0</v>
      </c>
    </row>
    <row r="174" ht="28.5" hidden="1" spans="2:15">
      <c r="B174" s="100">
        <f t="shared" si="53"/>
        <v>4</v>
      </c>
      <c r="C174" s="312" t="s">
        <v>692</v>
      </c>
      <c r="D174" s="333"/>
      <c r="E174" s="543"/>
      <c r="F174" s="341">
        <f t="shared" si="51"/>
        <v>0</v>
      </c>
      <c r="G174" s="334"/>
      <c r="H174" s="543"/>
      <c r="I174" s="543"/>
      <c r="J174" s="544">
        <f t="shared" si="52"/>
        <v>0</v>
      </c>
      <c r="K174" s="543"/>
      <c r="L174" s="543"/>
      <c r="M174" s="543"/>
      <c r="N174" s="543"/>
      <c r="O174" s="543"/>
    </row>
    <row r="175" s="11" customFormat="1" ht="28.5" hidden="1" spans="2:15">
      <c r="B175" s="100">
        <f t="shared" si="53"/>
        <v>5</v>
      </c>
      <c r="C175" s="342" t="s">
        <v>693</v>
      </c>
      <c r="D175" s="333"/>
      <c r="E175" s="147"/>
      <c r="F175" s="341">
        <f t="shared" si="51"/>
        <v>0</v>
      </c>
      <c r="G175" s="334"/>
      <c r="H175" s="147"/>
      <c r="I175" s="147"/>
      <c r="J175" s="544">
        <f t="shared" si="52"/>
        <v>0</v>
      </c>
      <c r="K175" s="147"/>
      <c r="L175" s="147"/>
      <c r="M175" s="147"/>
      <c r="N175" s="147"/>
      <c r="O175" s="147"/>
    </row>
    <row r="176" ht="28.5" hidden="1" spans="2:15">
      <c r="B176" s="100">
        <f t="shared" si="53"/>
        <v>6</v>
      </c>
      <c r="C176" s="312" t="s">
        <v>694</v>
      </c>
      <c r="D176" s="333"/>
      <c r="E176" s="147"/>
      <c r="F176" s="341">
        <f t="shared" si="51"/>
        <v>0</v>
      </c>
      <c r="G176" s="334"/>
      <c r="H176" s="147"/>
      <c r="I176" s="147"/>
      <c r="J176" s="544">
        <f t="shared" si="52"/>
        <v>0</v>
      </c>
      <c r="K176" s="147"/>
      <c r="L176" s="147"/>
      <c r="M176" s="147"/>
      <c r="N176" s="147"/>
      <c r="O176" s="147"/>
    </row>
    <row r="177" hidden="1" spans="2:15">
      <c r="B177" s="100">
        <f t="shared" si="53"/>
        <v>7</v>
      </c>
      <c r="C177" s="55" t="s">
        <v>695</v>
      </c>
      <c r="D177" s="333"/>
      <c r="E177" s="147">
        <f>E173-E174+E175-E176</f>
        <v>0</v>
      </c>
      <c r="F177" s="341">
        <f t="shared" si="51"/>
        <v>0</v>
      </c>
      <c r="G177" s="334"/>
      <c r="H177" s="147">
        <f>H173-H174+H175-H176</f>
        <v>0</v>
      </c>
      <c r="I177" s="147">
        <f>I173-I174+I175-I176</f>
        <v>0</v>
      </c>
      <c r="J177" s="544">
        <f t="shared" si="52"/>
        <v>0</v>
      </c>
      <c r="K177" s="147">
        <f>K173-K174+K175-K176</f>
        <v>0</v>
      </c>
      <c r="L177" s="147">
        <f>L173-L174+L175-L176</f>
        <v>0</v>
      </c>
      <c r="M177" s="147">
        <f>M173-M174+M175-M176</f>
        <v>0</v>
      </c>
      <c r="N177" s="147">
        <f>N173-N174+N175-N176</f>
        <v>0</v>
      </c>
      <c r="O177" s="147">
        <f>O173-O174+O175-O176</f>
        <v>0</v>
      </c>
    </row>
    <row r="178" hidden="1" spans="2:15">
      <c r="B178" s="100">
        <f t="shared" si="53"/>
        <v>8</v>
      </c>
      <c r="C178" s="55" t="s">
        <v>696</v>
      </c>
      <c r="D178" s="333"/>
      <c r="E178" s="147">
        <f>E171-E174+E175-E176</f>
        <v>0</v>
      </c>
      <c r="F178" s="341">
        <f t="shared" si="51"/>
        <v>0</v>
      </c>
      <c r="G178" s="334"/>
      <c r="H178" s="147">
        <f>H171-H174+H175-H176</f>
        <v>0</v>
      </c>
      <c r="I178" s="147">
        <f>I171-I174+I175-I176</f>
        <v>0</v>
      </c>
      <c r="J178" s="544">
        <f t="shared" si="52"/>
        <v>0</v>
      </c>
      <c r="K178" s="147">
        <f>K171-K174+K175-K176</f>
        <v>0</v>
      </c>
      <c r="L178" s="147">
        <f>L171-L174+L175-L176</f>
        <v>0</v>
      </c>
      <c r="M178" s="147">
        <f>M171-M174+M175-M176</f>
        <v>0</v>
      </c>
      <c r="N178" s="147">
        <f>N171-N174+N175-N176</f>
        <v>0</v>
      </c>
      <c r="O178" s="147">
        <f>O171-O174+O175-O176</f>
        <v>0</v>
      </c>
    </row>
    <row r="179" hidden="1" spans="2:15">
      <c r="B179" s="100">
        <f t="shared" si="53"/>
        <v>9</v>
      </c>
      <c r="C179" s="55" t="s">
        <v>697</v>
      </c>
      <c r="D179" s="333"/>
      <c r="E179" s="147">
        <f>AVERAGE(E173,E177)</f>
        <v>0</v>
      </c>
      <c r="F179" s="341">
        <f t="shared" si="51"/>
        <v>0</v>
      </c>
      <c r="G179" s="334"/>
      <c r="H179" s="147">
        <f>AVERAGE(H173,H177)</f>
        <v>0</v>
      </c>
      <c r="I179" s="147">
        <f>AVERAGE(I173,I177)</f>
        <v>0</v>
      </c>
      <c r="J179" s="544">
        <f t="shared" si="52"/>
        <v>0</v>
      </c>
      <c r="K179" s="147">
        <f>AVERAGE(K173,K177)</f>
        <v>0</v>
      </c>
      <c r="L179" s="147">
        <f>AVERAGE(L173,L177)</f>
        <v>0</v>
      </c>
      <c r="M179" s="147">
        <f>AVERAGE(M173,M177)</f>
        <v>0</v>
      </c>
      <c r="N179" s="147">
        <f>AVERAGE(N173,N177)</f>
        <v>0</v>
      </c>
      <c r="O179" s="147">
        <f>AVERAGE(O173,O177)</f>
        <v>0</v>
      </c>
    </row>
    <row r="180" ht="28.5" hidden="1" spans="2:15">
      <c r="B180" s="100">
        <f t="shared" si="53"/>
        <v>10</v>
      </c>
      <c r="C180" s="312" t="s">
        <v>698</v>
      </c>
      <c r="D180" s="333"/>
      <c r="E180" s="147"/>
      <c r="F180" s="341">
        <f t="shared" si="51"/>
        <v>0</v>
      </c>
      <c r="G180" s="334"/>
      <c r="H180" s="147"/>
      <c r="I180" s="147"/>
      <c r="J180" s="544">
        <f t="shared" si="52"/>
        <v>0</v>
      </c>
      <c r="K180" s="147"/>
      <c r="L180" s="147"/>
      <c r="M180" s="147"/>
      <c r="N180" s="147"/>
      <c r="O180" s="147"/>
    </row>
    <row r="181" hidden="1" spans="2:15">
      <c r="B181" s="100">
        <f t="shared" si="53"/>
        <v>11</v>
      </c>
      <c r="C181" s="55" t="s">
        <v>699</v>
      </c>
      <c r="D181" s="333"/>
      <c r="E181" s="147">
        <f>E179*E180</f>
        <v>0</v>
      </c>
      <c r="F181" s="341">
        <f t="shared" si="51"/>
        <v>0</v>
      </c>
      <c r="G181" s="334"/>
      <c r="H181" s="147">
        <f>H179*H180</f>
        <v>0</v>
      </c>
      <c r="I181" s="147">
        <f>I179*I180</f>
        <v>0</v>
      </c>
      <c r="J181" s="544">
        <f t="shared" si="52"/>
        <v>0</v>
      </c>
      <c r="K181" s="147">
        <f>K179*K180</f>
        <v>0</v>
      </c>
      <c r="L181" s="147">
        <f>L179*L180</f>
        <v>0</v>
      </c>
      <c r="M181" s="147">
        <f>M179*M180</f>
        <v>0</v>
      </c>
      <c r="N181" s="147">
        <f>N179*N180</f>
        <v>0</v>
      </c>
      <c r="O181" s="147">
        <f>O179*O180</f>
        <v>0</v>
      </c>
    </row>
    <row r="182" hidden="1" spans="2:15">
      <c r="B182" s="100">
        <f t="shared" si="53"/>
        <v>12</v>
      </c>
      <c r="C182" s="55" t="s">
        <v>700</v>
      </c>
      <c r="D182" s="333"/>
      <c r="E182" s="147"/>
      <c r="F182" s="341">
        <f t="shared" si="51"/>
        <v>0</v>
      </c>
      <c r="G182" s="334"/>
      <c r="H182" s="147"/>
      <c r="I182" s="147"/>
      <c r="J182" s="544">
        <f t="shared" si="52"/>
        <v>0</v>
      </c>
      <c r="K182" s="147"/>
      <c r="L182" s="147"/>
      <c r="M182" s="147"/>
      <c r="N182" s="147"/>
      <c r="O182" s="147"/>
    </row>
    <row r="183" hidden="1" spans="2:15">
      <c r="B183" s="100">
        <f t="shared" si="53"/>
        <v>13</v>
      </c>
      <c r="C183" s="55" t="s">
        <v>701</v>
      </c>
      <c r="D183" s="333"/>
      <c r="E183" s="147">
        <f>E181+E182</f>
        <v>0</v>
      </c>
      <c r="F183" s="341">
        <f t="shared" si="51"/>
        <v>0</v>
      </c>
      <c r="G183" s="334"/>
      <c r="H183" s="147">
        <f>H181+H182</f>
        <v>0</v>
      </c>
      <c r="I183" s="147">
        <f>I181+I182</f>
        <v>0</v>
      </c>
      <c r="J183" s="544">
        <f t="shared" si="52"/>
        <v>0</v>
      </c>
      <c r="K183" s="147">
        <f>K181+K182</f>
        <v>0</v>
      </c>
      <c r="L183" s="147">
        <f>L181+L182</f>
        <v>0</v>
      </c>
      <c r="M183" s="147">
        <f>M181+M182</f>
        <v>0</v>
      </c>
      <c r="N183" s="147">
        <f>N181+N182</f>
        <v>0</v>
      </c>
      <c r="O183" s="147">
        <f>O181+O182</f>
        <v>0</v>
      </c>
    </row>
    <row r="184" hidden="1"/>
    <row r="185" ht="15" hidden="1" spans="2:3">
      <c r="B185" s="2" t="s">
        <v>702</v>
      </c>
      <c r="C185" s="14" t="s">
        <v>703</v>
      </c>
    </row>
    <row r="186" ht="15" hidden="1" spans="12:12">
      <c r="L186" s="33" t="s">
        <v>109</v>
      </c>
    </row>
    <row r="187" ht="15" hidden="1" customHeight="1" spans="2:12">
      <c r="B187" s="16" t="s">
        <v>3</v>
      </c>
      <c r="C187" s="17" t="s">
        <v>110</v>
      </c>
      <c r="D187" s="306" t="s">
        <v>112</v>
      </c>
      <c r="E187" s="306" t="s">
        <v>760</v>
      </c>
      <c r="F187" s="307"/>
      <c r="G187" s="308"/>
      <c r="H187" s="537" t="s">
        <v>114</v>
      </c>
      <c r="I187" s="539"/>
      <c r="J187" s="539"/>
      <c r="K187" s="539"/>
      <c r="L187" s="540"/>
    </row>
    <row r="188" ht="15" hidden="1" spans="2:12">
      <c r="B188" s="309"/>
      <c r="C188" s="534"/>
      <c r="D188" s="5" t="s">
        <v>237</v>
      </c>
      <c r="E188" s="5" t="s">
        <v>119</v>
      </c>
      <c r="F188" s="5" t="s">
        <v>120</v>
      </c>
      <c r="G188" s="5" t="s">
        <v>238</v>
      </c>
      <c r="H188" s="5" t="s">
        <v>514</v>
      </c>
      <c r="I188" s="5" t="s">
        <v>515</v>
      </c>
      <c r="J188" s="5" t="s">
        <v>516</v>
      </c>
      <c r="K188" s="5" t="s">
        <v>517</v>
      </c>
      <c r="L188" s="5" t="s">
        <v>518</v>
      </c>
    </row>
    <row r="189" ht="15" hidden="1" spans="2:12">
      <c r="B189" s="535"/>
      <c r="C189" s="536"/>
      <c r="D189" s="5" t="s">
        <v>128</v>
      </c>
      <c r="E189" s="5" t="s">
        <v>130</v>
      </c>
      <c r="F189" s="5" t="s">
        <v>131</v>
      </c>
      <c r="G189" s="5" t="s">
        <v>131</v>
      </c>
      <c r="H189" s="5" t="s">
        <v>132</v>
      </c>
      <c r="I189" s="5" t="s">
        <v>132</v>
      </c>
      <c r="J189" s="5" t="s">
        <v>132</v>
      </c>
      <c r="K189" s="5" t="s">
        <v>132</v>
      </c>
      <c r="L189" s="5" t="s">
        <v>132</v>
      </c>
    </row>
    <row r="190" ht="15" hidden="1" spans="2:12">
      <c r="B190" s="100">
        <v>1</v>
      </c>
      <c r="C190" s="54" t="s">
        <v>663</v>
      </c>
      <c r="D190" s="55"/>
      <c r="E190" s="55"/>
      <c r="F190" s="55"/>
      <c r="G190" s="55"/>
      <c r="H190" s="55"/>
      <c r="I190" s="55"/>
      <c r="J190" s="55"/>
      <c r="K190" s="55"/>
      <c r="L190" s="55"/>
    </row>
    <row r="191" hidden="1" spans="2:12">
      <c r="B191" s="55"/>
      <c r="C191" s="55" t="s">
        <v>704</v>
      </c>
      <c r="D191" s="55"/>
      <c r="E191" s="55"/>
      <c r="F191" s="55"/>
      <c r="G191" s="55"/>
      <c r="H191" s="55"/>
      <c r="I191" s="55"/>
      <c r="J191" s="55"/>
      <c r="K191" s="55"/>
      <c r="L191" s="55"/>
    </row>
    <row r="192" hidden="1" spans="2:12">
      <c r="B192" s="55"/>
      <c r="C192" s="55" t="s">
        <v>705</v>
      </c>
      <c r="D192" s="55"/>
      <c r="E192" s="55"/>
      <c r="F192" s="55"/>
      <c r="G192" s="55"/>
      <c r="H192" s="55"/>
      <c r="I192" s="55"/>
      <c r="J192" s="55"/>
      <c r="K192" s="55"/>
      <c r="L192" s="55"/>
    </row>
    <row r="193" hidden="1" spans="2:12">
      <c r="B193" s="55"/>
      <c r="C193" s="55" t="s">
        <v>706</v>
      </c>
      <c r="D193" s="55"/>
      <c r="E193" s="55"/>
      <c r="F193" s="55"/>
      <c r="G193" s="55"/>
      <c r="H193" s="55"/>
      <c r="I193" s="55"/>
      <c r="J193" s="55"/>
      <c r="K193" s="55"/>
      <c r="L193" s="55"/>
    </row>
    <row r="194" hidden="1" spans="2:12">
      <c r="B194" s="55"/>
      <c r="C194" s="55" t="s">
        <v>707</v>
      </c>
      <c r="D194" s="341">
        <f>D191+D192-D193</f>
        <v>0</v>
      </c>
      <c r="E194" s="341">
        <f t="shared" ref="E194:L194" si="54">E191+E192-E193</f>
        <v>0</v>
      </c>
      <c r="F194" s="341">
        <f t="shared" si="54"/>
        <v>0</v>
      </c>
      <c r="G194" s="341">
        <f t="shared" si="54"/>
        <v>0</v>
      </c>
      <c r="H194" s="341">
        <f t="shared" si="54"/>
        <v>0</v>
      </c>
      <c r="I194" s="341">
        <f t="shared" si="54"/>
        <v>0</v>
      </c>
      <c r="J194" s="341">
        <f t="shared" si="54"/>
        <v>0</v>
      </c>
      <c r="K194" s="341">
        <f t="shared" si="54"/>
        <v>0</v>
      </c>
      <c r="L194" s="341">
        <f t="shared" si="54"/>
        <v>0</v>
      </c>
    </row>
    <row r="195" hidden="1" spans="2:12">
      <c r="B195" s="55"/>
      <c r="C195" s="55" t="s">
        <v>708</v>
      </c>
      <c r="D195" s="341">
        <f t="shared" ref="D195:L195" si="55">AVERAGE(D194,D191)</f>
        <v>0</v>
      </c>
      <c r="E195" s="341">
        <f t="shared" si="55"/>
        <v>0</v>
      </c>
      <c r="F195" s="341">
        <f t="shared" si="55"/>
        <v>0</v>
      </c>
      <c r="G195" s="341">
        <f t="shared" si="55"/>
        <v>0</v>
      </c>
      <c r="H195" s="341">
        <f t="shared" si="55"/>
        <v>0</v>
      </c>
      <c r="I195" s="341">
        <f t="shared" si="55"/>
        <v>0</v>
      </c>
      <c r="J195" s="341">
        <f t="shared" si="55"/>
        <v>0</v>
      </c>
      <c r="K195" s="341">
        <f t="shared" si="55"/>
        <v>0</v>
      </c>
      <c r="L195" s="341">
        <f t="shared" si="55"/>
        <v>0</v>
      </c>
    </row>
    <row r="196" hidden="1" spans="2:12">
      <c r="B196" s="55"/>
      <c r="C196" s="55" t="s">
        <v>709</v>
      </c>
      <c r="D196" s="55"/>
      <c r="E196" s="55"/>
      <c r="F196" s="55"/>
      <c r="G196" s="55"/>
      <c r="H196" s="55"/>
      <c r="I196" s="55"/>
      <c r="J196" s="55"/>
      <c r="K196" s="55"/>
      <c r="L196" s="55"/>
    </row>
    <row r="197" hidden="1" spans="2:12">
      <c r="B197" s="55"/>
      <c r="C197" s="55" t="s">
        <v>699</v>
      </c>
      <c r="D197" s="341">
        <f>D195*D196</f>
        <v>0</v>
      </c>
      <c r="E197" s="341">
        <f t="shared" ref="E197:L197" si="56">E195*E196</f>
        <v>0</v>
      </c>
      <c r="F197" s="341">
        <f t="shared" si="56"/>
        <v>0</v>
      </c>
      <c r="G197" s="341">
        <f t="shared" si="56"/>
        <v>0</v>
      </c>
      <c r="H197" s="341">
        <f t="shared" si="56"/>
        <v>0</v>
      </c>
      <c r="I197" s="341">
        <f t="shared" si="56"/>
        <v>0</v>
      </c>
      <c r="J197" s="341">
        <f t="shared" si="56"/>
        <v>0</v>
      </c>
      <c r="K197" s="341">
        <f t="shared" si="56"/>
        <v>0</v>
      </c>
      <c r="L197" s="341">
        <f t="shared" si="56"/>
        <v>0</v>
      </c>
    </row>
    <row r="198" hidden="1" spans="2:12">
      <c r="B198" s="55"/>
      <c r="C198" s="55" t="s">
        <v>700</v>
      </c>
      <c r="D198" s="55"/>
      <c r="E198" s="55"/>
      <c r="F198" s="55"/>
      <c r="G198" s="55"/>
      <c r="H198" s="55"/>
      <c r="I198" s="55"/>
      <c r="J198" s="55"/>
      <c r="K198" s="55"/>
      <c r="L198" s="55"/>
    </row>
    <row r="199" hidden="1" spans="2:12">
      <c r="B199" s="55"/>
      <c r="C199" s="55" t="s">
        <v>701</v>
      </c>
      <c r="D199" s="341">
        <f>D197+D198</f>
        <v>0</v>
      </c>
      <c r="E199" s="341">
        <f t="shared" ref="E199:L199" si="57">E197+E198</f>
        <v>0</v>
      </c>
      <c r="F199" s="341">
        <f t="shared" si="57"/>
        <v>0</v>
      </c>
      <c r="G199" s="341">
        <f t="shared" si="57"/>
        <v>0</v>
      </c>
      <c r="H199" s="341">
        <f t="shared" si="57"/>
        <v>0</v>
      </c>
      <c r="I199" s="341">
        <f t="shared" si="57"/>
        <v>0</v>
      </c>
      <c r="J199" s="341">
        <f t="shared" si="57"/>
        <v>0</v>
      </c>
      <c r="K199" s="341">
        <f t="shared" si="57"/>
        <v>0</v>
      </c>
      <c r="L199" s="341">
        <f t="shared" si="57"/>
        <v>0</v>
      </c>
    </row>
    <row r="200" ht="15" hidden="1" spans="2:12">
      <c r="B200" s="100">
        <v>2</v>
      </c>
      <c r="C200" s="54" t="s">
        <v>664</v>
      </c>
      <c r="D200" s="55"/>
      <c r="E200" s="55"/>
      <c r="F200" s="55"/>
      <c r="G200" s="55"/>
      <c r="H200" s="55"/>
      <c r="I200" s="55"/>
      <c r="J200" s="55"/>
      <c r="K200" s="55"/>
      <c r="L200" s="55"/>
    </row>
    <row r="201" hidden="1" spans="2:12">
      <c r="B201" s="55"/>
      <c r="C201" s="55" t="s">
        <v>704</v>
      </c>
      <c r="D201" s="55"/>
      <c r="E201" s="55"/>
      <c r="F201" s="55"/>
      <c r="G201" s="55"/>
      <c r="H201" s="55"/>
      <c r="I201" s="55"/>
      <c r="J201" s="55"/>
      <c r="K201" s="55"/>
      <c r="L201" s="55"/>
    </row>
    <row r="202" hidden="1" spans="2:12">
      <c r="B202" s="55"/>
      <c r="C202" s="55" t="s">
        <v>705</v>
      </c>
      <c r="D202" s="55"/>
      <c r="E202" s="55"/>
      <c r="F202" s="55"/>
      <c r="G202" s="55"/>
      <c r="H202" s="55"/>
      <c r="I202" s="55"/>
      <c r="J202" s="55"/>
      <c r="K202" s="55"/>
      <c r="L202" s="55"/>
    </row>
    <row r="203" hidden="1" spans="2:12">
      <c r="B203" s="55"/>
      <c r="C203" s="55" t="s">
        <v>706</v>
      </c>
      <c r="D203" s="55"/>
      <c r="E203" s="55"/>
      <c r="F203" s="55"/>
      <c r="G203" s="55"/>
      <c r="H203" s="55"/>
      <c r="I203" s="55"/>
      <c r="J203" s="55"/>
      <c r="K203" s="55"/>
      <c r="L203" s="55"/>
    </row>
    <row r="204" hidden="1" spans="2:12">
      <c r="B204" s="55"/>
      <c r="C204" s="55" t="s">
        <v>707</v>
      </c>
      <c r="D204" s="341">
        <f>D201+D202-D203</f>
        <v>0</v>
      </c>
      <c r="E204" s="341">
        <f t="shared" ref="E204:L204" si="58">E201+E202-E203</f>
        <v>0</v>
      </c>
      <c r="F204" s="341">
        <f t="shared" si="58"/>
        <v>0</v>
      </c>
      <c r="G204" s="341">
        <f t="shared" si="58"/>
        <v>0</v>
      </c>
      <c r="H204" s="341">
        <f t="shared" si="58"/>
        <v>0</v>
      </c>
      <c r="I204" s="341">
        <f t="shared" si="58"/>
        <v>0</v>
      </c>
      <c r="J204" s="341">
        <f t="shared" si="58"/>
        <v>0</v>
      </c>
      <c r="K204" s="341">
        <f t="shared" si="58"/>
        <v>0</v>
      </c>
      <c r="L204" s="341">
        <f t="shared" si="58"/>
        <v>0</v>
      </c>
    </row>
    <row r="205" hidden="1" spans="2:12">
      <c r="B205" s="55"/>
      <c r="C205" s="55" t="s">
        <v>708</v>
      </c>
      <c r="D205" s="341">
        <f t="shared" ref="D205:L205" si="59">AVERAGE(D204,D201)</f>
        <v>0</v>
      </c>
      <c r="E205" s="341">
        <f t="shared" si="59"/>
        <v>0</v>
      </c>
      <c r="F205" s="341">
        <f t="shared" si="59"/>
        <v>0</v>
      </c>
      <c r="G205" s="341">
        <f t="shared" si="59"/>
        <v>0</v>
      </c>
      <c r="H205" s="341">
        <f t="shared" si="59"/>
        <v>0</v>
      </c>
      <c r="I205" s="341">
        <f t="shared" si="59"/>
        <v>0</v>
      </c>
      <c r="J205" s="341">
        <f t="shared" si="59"/>
        <v>0</v>
      </c>
      <c r="K205" s="341">
        <f t="shared" si="59"/>
        <v>0</v>
      </c>
      <c r="L205" s="341">
        <f t="shared" si="59"/>
        <v>0</v>
      </c>
    </row>
    <row r="206" hidden="1" spans="2:12">
      <c r="B206" s="55"/>
      <c r="C206" s="55" t="s">
        <v>709</v>
      </c>
      <c r="D206" s="55"/>
      <c r="E206" s="55"/>
      <c r="F206" s="55"/>
      <c r="G206" s="55"/>
      <c r="H206" s="55"/>
      <c r="I206" s="55"/>
      <c r="J206" s="55"/>
      <c r="K206" s="55"/>
      <c r="L206" s="55"/>
    </row>
    <row r="207" hidden="1" spans="2:12">
      <c r="B207" s="55"/>
      <c r="C207" s="55" t="s">
        <v>699</v>
      </c>
      <c r="D207" s="341">
        <f>D205*D206</f>
        <v>0</v>
      </c>
      <c r="E207" s="341">
        <f t="shared" ref="E207:L207" si="60">E205*E206</f>
        <v>0</v>
      </c>
      <c r="F207" s="341">
        <f t="shared" si="60"/>
        <v>0</v>
      </c>
      <c r="G207" s="341">
        <f t="shared" si="60"/>
        <v>0</v>
      </c>
      <c r="H207" s="341">
        <f t="shared" si="60"/>
        <v>0</v>
      </c>
      <c r="I207" s="341">
        <f t="shared" si="60"/>
        <v>0</v>
      </c>
      <c r="J207" s="341">
        <f t="shared" si="60"/>
        <v>0</v>
      </c>
      <c r="K207" s="341">
        <f t="shared" si="60"/>
        <v>0</v>
      </c>
      <c r="L207" s="341">
        <f t="shared" si="60"/>
        <v>0</v>
      </c>
    </row>
    <row r="208" hidden="1" spans="2:12">
      <c r="B208" s="55"/>
      <c r="C208" s="55" t="s">
        <v>700</v>
      </c>
      <c r="D208" s="55"/>
      <c r="E208" s="55"/>
      <c r="F208" s="55"/>
      <c r="G208" s="55"/>
      <c r="H208" s="55"/>
      <c r="I208" s="55"/>
      <c r="J208" s="55"/>
      <c r="K208" s="55"/>
      <c r="L208" s="55"/>
    </row>
    <row r="209" hidden="1" spans="2:12">
      <c r="B209" s="55"/>
      <c r="C209" s="55" t="s">
        <v>701</v>
      </c>
      <c r="D209" s="341">
        <f>D207+D208</f>
        <v>0</v>
      </c>
      <c r="E209" s="341">
        <f t="shared" ref="E209:L209" si="61">E207+E208</f>
        <v>0</v>
      </c>
      <c r="F209" s="341">
        <f t="shared" si="61"/>
        <v>0</v>
      </c>
      <c r="G209" s="341">
        <f t="shared" si="61"/>
        <v>0</v>
      </c>
      <c r="H209" s="341">
        <f t="shared" si="61"/>
        <v>0</v>
      </c>
      <c r="I209" s="341">
        <f t="shared" si="61"/>
        <v>0</v>
      </c>
      <c r="J209" s="341">
        <f t="shared" si="61"/>
        <v>0</v>
      </c>
      <c r="K209" s="341">
        <f t="shared" si="61"/>
        <v>0</v>
      </c>
      <c r="L209" s="341">
        <f t="shared" si="61"/>
        <v>0</v>
      </c>
    </row>
    <row r="210" hidden="1" spans="2:12">
      <c r="B210" s="55"/>
      <c r="C210" s="55" t="s">
        <v>710</v>
      </c>
      <c r="D210" s="55"/>
      <c r="E210" s="55"/>
      <c r="F210" s="55"/>
      <c r="G210" s="55"/>
      <c r="H210" s="55"/>
      <c r="I210" s="55"/>
      <c r="J210" s="55"/>
      <c r="K210" s="55"/>
      <c r="L210" s="55"/>
    </row>
    <row r="211" ht="15" hidden="1" spans="2:12">
      <c r="B211" s="100"/>
      <c r="C211" s="54" t="s">
        <v>97</v>
      </c>
      <c r="D211" s="55"/>
      <c r="E211" s="55"/>
      <c r="F211" s="55"/>
      <c r="G211" s="55"/>
      <c r="H211" s="55"/>
      <c r="I211" s="55"/>
      <c r="J211" s="55"/>
      <c r="K211" s="55"/>
      <c r="L211" s="55"/>
    </row>
    <row r="212" hidden="1" spans="2:12">
      <c r="B212" s="55"/>
      <c r="C212" s="55" t="s">
        <v>704</v>
      </c>
      <c r="D212" s="55"/>
      <c r="E212" s="55"/>
      <c r="F212" s="55"/>
      <c r="G212" s="55"/>
      <c r="H212" s="55"/>
      <c r="I212" s="55"/>
      <c r="J212" s="55"/>
      <c r="K212" s="55"/>
      <c r="L212" s="55"/>
    </row>
    <row r="213" hidden="1" spans="2:12">
      <c r="B213" s="55"/>
      <c r="C213" s="55" t="s">
        <v>705</v>
      </c>
      <c r="D213" s="55"/>
      <c r="E213" s="55"/>
      <c r="F213" s="55"/>
      <c r="G213" s="55"/>
      <c r="H213" s="55"/>
      <c r="I213" s="55"/>
      <c r="J213" s="55"/>
      <c r="K213" s="55"/>
      <c r="L213" s="55"/>
    </row>
    <row r="214" hidden="1" spans="2:12">
      <c r="B214" s="55"/>
      <c r="C214" s="55" t="s">
        <v>706</v>
      </c>
      <c r="D214" s="55"/>
      <c r="E214" s="55"/>
      <c r="F214" s="55"/>
      <c r="G214" s="55"/>
      <c r="H214" s="55"/>
      <c r="I214" s="55"/>
      <c r="J214" s="55"/>
      <c r="K214" s="55"/>
      <c r="L214" s="55"/>
    </row>
    <row r="215" hidden="1" spans="2:12">
      <c r="B215" s="55"/>
      <c r="C215" s="55" t="s">
        <v>707</v>
      </c>
      <c r="D215" s="341">
        <f>D212+D213-D214</f>
        <v>0</v>
      </c>
      <c r="E215" s="341">
        <f t="shared" ref="E215:L215" si="62">E212+E213-E214</f>
        <v>0</v>
      </c>
      <c r="F215" s="341">
        <f t="shared" si="62"/>
        <v>0</v>
      </c>
      <c r="G215" s="341">
        <f t="shared" si="62"/>
        <v>0</v>
      </c>
      <c r="H215" s="341">
        <f t="shared" si="62"/>
        <v>0</v>
      </c>
      <c r="I215" s="341">
        <f t="shared" si="62"/>
        <v>0</v>
      </c>
      <c r="J215" s="341">
        <f t="shared" si="62"/>
        <v>0</v>
      </c>
      <c r="K215" s="341">
        <f t="shared" si="62"/>
        <v>0</v>
      </c>
      <c r="L215" s="341">
        <f t="shared" si="62"/>
        <v>0</v>
      </c>
    </row>
    <row r="216" hidden="1" spans="2:12">
      <c r="B216" s="55"/>
      <c r="C216" s="55" t="s">
        <v>708</v>
      </c>
      <c r="D216" s="341">
        <f t="shared" ref="D216:L216" si="63">AVERAGE(D215,D212)</f>
        <v>0</v>
      </c>
      <c r="E216" s="341">
        <f t="shared" si="63"/>
        <v>0</v>
      </c>
      <c r="F216" s="341">
        <f t="shared" si="63"/>
        <v>0</v>
      </c>
      <c r="G216" s="341">
        <f t="shared" si="63"/>
        <v>0</v>
      </c>
      <c r="H216" s="341">
        <f t="shared" si="63"/>
        <v>0</v>
      </c>
      <c r="I216" s="341">
        <f t="shared" si="63"/>
        <v>0</v>
      </c>
      <c r="J216" s="341">
        <f t="shared" si="63"/>
        <v>0</v>
      </c>
      <c r="K216" s="341">
        <f t="shared" si="63"/>
        <v>0</v>
      </c>
      <c r="L216" s="341">
        <f t="shared" si="63"/>
        <v>0</v>
      </c>
    </row>
    <row r="217" hidden="1" spans="2:12">
      <c r="B217" s="55"/>
      <c r="C217" s="55" t="s">
        <v>709</v>
      </c>
      <c r="D217" s="55"/>
      <c r="E217" s="55"/>
      <c r="F217" s="55"/>
      <c r="G217" s="55"/>
      <c r="H217" s="55"/>
      <c r="I217" s="55"/>
      <c r="J217" s="55"/>
      <c r="K217" s="55"/>
      <c r="L217" s="55"/>
    </row>
    <row r="218" hidden="1" spans="2:12">
      <c r="B218" s="55"/>
      <c r="C218" s="55" t="s">
        <v>699</v>
      </c>
      <c r="D218" s="341">
        <f>D216*D217</f>
        <v>0</v>
      </c>
      <c r="E218" s="341">
        <f t="shared" ref="E218:L218" si="64">E216*E217</f>
        <v>0</v>
      </c>
      <c r="F218" s="341">
        <f t="shared" si="64"/>
        <v>0</v>
      </c>
      <c r="G218" s="341">
        <f t="shared" si="64"/>
        <v>0</v>
      </c>
      <c r="H218" s="341">
        <f t="shared" si="64"/>
        <v>0</v>
      </c>
      <c r="I218" s="341">
        <f t="shared" si="64"/>
        <v>0</v>
      </c>
      <c r="J218" s="341">
        <f t="shared" si="64"/>
        <v>0</v>
      </c>
      <c r="K218" s="341">
        <f t="shared" si="64"/>
        <v>0</v>
      </c>
      <c r="L218" s="341">
        <f t="shared" si="64"/>
        <v>0</v>
      </c>
    </row>
    <row r="219" hidden="1" spans="2:12">
      <c r="B219" s="55"/>
      <c r="C219" s="55" t="s">
        <v>700</v>
      </c>
      <c r="D219" s="55"/>
      <c r="E219" s="55"/>
      <c r="F219" s="55"/>
      <c r="G219" s="55"/>
      <c r="H219" s="55"/>
      <c r="I219" s="55"/>
      <c r="J219" s="55"/>
      <c r="K219" s="55"/>
      <c r="L219" s="55"/>
    </row>
    <row r="220" hidden="1" spans="2:12">
      <c r="B220" s="55"/>
      <c r="C220" s="55" t="s">
        <v>701</v>
      </c>
      <c r="D220" s="341">
        <f>D218+D219</f>
        <v>0</v>
      </c>
      <c r="E220" s="341">
        <f t="shared" ref="E220:L220" si="65">E218+E219</f>
        <v>0</v>
      </c>
      <c r="F220" s="341">
        <f t="shared" si="65"/>
        <v>0</v>
      </c>
      <c r="G220" s="341">
        <f t="shared" si="65"/>
        <v>0</v>
      </c>
      <c r="H220" s="341">
        <f t="shared" si="65"/>
        <v>0</v>
      </c>
      <c r="I220" s="341">
        <f t="shared" si="65"/>
        <v>0</v>
      </c>
      <c r="J220" s="341">
        <f t="shared" si="65"/>
        <v>0</v>
      </c>
      <c r="K220" s="341">
        <f t="shared" si="65"/>
        <v>0</v>
      </c>
      <c r="L220" s="341">
        <f t="shared" si="65"/>
        <v>0</v>
      </c>
    </row>
    <row r="221" hidden="1"/>
    <row r="222" ht="15" hidden="1" spans="2:8">
      <c r="B222" s="11" t="s">
        <v>764</v>
      </c>
      <c r="H222" s="3"/>
    </row>
    <row r="223" ht="15" hidden="1" spans="2:12">
      <c r="B223" s="2" t="s">
        <v>687</v>
      </c>
      <c r="C223" s="14" t="s">
        <v>688</v>
      </c>
      <c r="D223" s="117"/>
      <c r="E223" s="117"/>
      <c r="F223" s="117"/>
      <c r="G223" s="117"/>
      <c r="H223" s="117"/>
      <c r="I223" s="117"/>
      <c r="J223" s="117"/>
      <c r="K223" s="117"/>
      <c r="L223" s="117"/>
    </row>
    <row r="224" ht="15" hidden="1" spans="15:15">
      <c r="O224" s="33" t="s">
        <v>109</v>
      </c>
    </row>
    <row r="225" s="15" customFormat="1" ht="15" hidden="1" customHeight="1" spans="2:15">
      <c r="B225" s="16" t="s">
        <v>3</v>
      </c>
      <c r="C225" s="6" t="s">
        <v>110</v>
      </c>
      <c r="D225" s="306" t="s">
        <v>112</v>
      </c>
      <c r="E225" s="307"/>
      <c r="F225" s="308"/>
      <c r="G225" s="306" t="s">
        <v>760</v>
      </c>
      <c r="H225" s="307"/>
      <c r="I225" s="307"/>
      <c r="J225" s="308"/>
      <c r="K225" s="135" t="s">
        <v>114</v>
      </c>
      <c r="L225" s="135"/>
      <c r="M225" s="135"/>
      <c r="N225" s="135"/>
      <c r="O225" s="135"/>
    </row>
    <row r="226" s="15" customFormat="1" ht="30" hidden="1" spans="2:15">
      <c r="B226" s="309"/>
      <c r="C226" s="6"/>
      <c r="D226" s="5" t="s">
        <v>116</v>
      </c>
      <c r="E226" s="5" t="s">
        <v>237</v>
      </c>
      <c r="F226" s="5" t="s">
        <v>118</v>
      </c>
      <c r="G226" s="5" t="s">
        <v>116</v>
      </c>
      <c r="H226" s="5" t="s">
        <v>119</v>
      </c>
      <c r="I226" s="5" t="s">
        <v>120</v>
      </c>
      <c r="J226" s="5" t="s">
        <v>238</v>
      </c>
      <c r="K226" s="5" t="s">
        <v>514</v>
      </c>
      <c r="L226" s="5" t="s">
        <v>515</v>
      </c>
      <c r="M226" s="5" t="s">
        <v>516</v>
      </c>
      <c r="N226" s="5" t="s">
        <v>517</v>
      </c>
      <c r="O226" s="5" t="s">
        <v>518</v>
      </c>
    </row>
    <row r="227" s="15" customFormat="1" ht="15" hidden="1" spans="2:15">
      <c r="B227" s="310"/>
      <c r="C227" s="100"/>
      <c r="D227" s="5" t="s">
        <v>127</v>
      </c>
      <c r="E227" s="5" t="s">
        <v>128</v>
      </c>
      <c r="F227" s="5" t="s">
        <v>129</v>
      </c>
      <c r="G227" s="5" t="s">
        <v>127</v>
      </c>
      <c r="H227" s="5" t="s">
        <v>130</v>
      </c>
      <c r="I227" s="5" t="s">
        <v>131</v>
      </c>
      <c r="J227" s="5" t="s">
        <v>131</v>
      </c>
      <c r="K227" s="5" t="s">
        <v>132</v>
      </c>
      <c r="L227" s="5" t="s">
        <v>132</v>
      </c>
      <c r="M227" s="5" t="s">
        <v>132</v>
      </c>
      <c r="N227" s="5" t="s">
        <v>132</v>
      </c>
      <c r="O227" s="5" t="s">
        <v>132</v>
      </c>
    </row>
    <row r="228" hidden="1" spans="2:15">
      <c r="B228" s="311">
        <v>1</v>
      </c>
      <c r="C228" s="55" t="s">
        <v>689</v>
      </c>
      <c r="D228" s="20"/>
      <c r="E228" s="147"/>
      <c r="F228" s="341">
        <f>E228-D228</f>
        <v>0</v>
      </c>
      <c r="G228" s="208"/>
      <c r="H228" s="147"/>
      <c r="I228" s="147"/>
      <c r="J228" s="544">
        <f>F235</f>
        <v>0</v>
      </c>
      <c r="K228" s="147">
        <f>J235</f>
        <v>0</v>
      </c>
      <c r="L228" s="147">
        <f>K235</f>
        <v>0</v>
      </c>
      <c r="M228" s="147">
        <f>L235</f>
        <v>0</v>
      </c>
      <c r="N228" s="147">
        <f>M235</f>
        <v>0</v>
      </c>
      <c r="O228" s="147">
        <f>N235</f>
        <v>0</v>
      </c>
    </row>
    <row r="229" hidden="1" spans="2:15">
      <c r="B229" s="100">
        <f>B228+1</f>
        <v>2</v>
      </c>
      <c r="C229" s="55" t="s">
        <v>690</v>
      </c>
      <c r="D229" s="20"/>
      <c r="E229" s="147"/>
      <c r="F229" s="341">
        <f t="shared" ref="F229:F240" si="66">E229-D229</f>
        <v>0</v>
      </c>
      <c r="G229" s="208"/>
      <c r="H229" s="147"/>
      <c r="I229" s="147"/>
      <c r="J229" s="544">
        <f t="shared" ref="J229:J240" si="67">H229+I229</f>
        <v>0</v>
      </c>
      <c r="K229" s="147"/>
      <c r="L229" s="147"/>
      <c r="M229" s="147"/>
      <c r="N229" s="147"/>
      <c r="O229" s="147"/>
    </row>
    <row r="230" hidden="1" spans="2:15">
      <c r="B230" s="100">
        <f t="shared" ref="B230:B240" si="68">B229+1</f>
        <v>3</v>
      </c>
      <c r="C230" s="334" t="s">
        <v>691</v>
      </c>
      <c r="D230" s="20"/>
      <c r="E230" s="147">
        <f>E228-E229</f>
        <v>0</v>
      </c>
      <c r="F230" s="341">
        <f t="shared" si="66"/>
        <v>0</v>
      </c>
      <c r="G230" s="208"/>
      <c r="H230" s="147">
        <f>H228-H229</f>
        <v>0</v>
      </c>
      <c r="I230" s="147">
        <f>I228-I229</f>
        <v>0</v>
      </c>
      <c r="J230" s="544">
        <f t="shared" si="67"/>
        <v>0</v>
      </c>
      <c r="K230" s="147">
        <f>K228-K229</f>
        <v>0</v>
      </c>
      <c r="L230" s="147">
        <f>L228-L229</f>
        <v>0</v>
      </c>
      <c r="M230" s="147">
        <f>M228-M229</f>
        <v>0</v>
      </c>
      <c r="N230" s="147">
        <f>N228-N229</f>
        <v>0</v>
      </c>
      <c r="O230" s="147">
        <f>O228-O229</f>
        <v>0</v>
      </c>
    </row>
    <row r="231" ht="28.5" hidden="1" spans="2:15">
      <c r="B231" s="100">
        <f t="shared" si="68"/>
        <v>4</v>
      </c>
      <c r="C231" s="312" t="s">
        <v>692</v>
      </c>
      <c r="D231" s="333"/>
      <c r="E231" s="543"/>
      <c r="F231" s="341">
        <f t="shared" si="66"/>
        <v>0</v>
      </c>
      <c r="G231" s="334"/>
      <c r="H231" s="543"/>
      <c r="I231" s="543"/>
      <c r="J231" s="544">
        <f t="shared" si="67"/>
        <v>0</v>
      </c>
      <c r="K231" s="543"/>
      <c r="L231" s="543"/>
      <c r="M231" s="543"/>
      <c r="N231" s="543"/>
      <c r="O231" s="543"/>
    </row>
    <row r="232" s="11" customFormat="1" ht="28.5" hidden="1" spans="2:15">
      <c r="B232" s="100">
        <f t="shared" si="68"/>
        <v>5</v>
      </c>
      <c r="C232" s="342" t="s">
        <v>693</v>
      </c>
      <c r="D232" s="333"/>
      <c r="E232" s="147"/>
      <c r="F232" s="341">
        <f t="shared" si="66"/>
        <v>0</v>
      </c>
      <c r="G232" s="334"/>
      <c r="H232" s="147"/>
      <c r="I232" s="147"/>
      <c r="J232" s="544">
        <f t="shared" si="67"/>
        <v>0</v>
      </c>
      <c r="K232" s="147"/>
      <c r="L232" s="147"/>
      <c r="M232" s="147"/>
      <c r="N232" s="147"/>
      <c r="O232" s="147"/>
    </row>
    <row r="233" ht="28.5" hidden="1" spans="2:15">
      <c r="B233" s="100">
        <f t="shared" si="68"/>
        <v>6</v>
      </c>
      <c r="C233" s="312" t="s">
        <v>694</v>
      </c>
      <c r="D233" s="333"/>
      <c r="E233" s="147"/>
      <c r="F233" s="341">
        <f t="shared" si="66"/>
        <v>0</v>
      </c>
      <c r="G233" s="334"/>
      <c r="H233" s="147"/>
      <c r="I233" s="147"/>
      <c r="J233" s="544">
        <f t="shared" si="67"/>
        <v>0</v>
      </c>
      <c r="K233" s="147"/>
      <c r="L233" s="147"/>
      <c r="M233" s="147"/>
      <c r="N233" s="147"/>
      <c r="O233" s="147"/>
    </row>
    <row r="234" hidden="1" spans="2:15">
      <c r="B234" s="100">
        <f t="shared" si="68"/>
        <v>7</v>
      </c>
      <c r="C234" s="55" t="s">
        <v>695</v>
      </c>
      <c r="D234" s="333"/>
      <c r="E234" s="147">
        <f>E230-E231+E232-E233</f>
        <v>0</v>
      </c>
      <c r="F234" s="341">
        <f t="shared" si="66"/>
        <v>0</v>
      </c>
      <c r="G234" s="334"/>
      <c r="H234" s="147">
        <f>H230-H231+H232-H233</f>
        <v>0</v>
      </c>
      <c r="I234" s="147">
        <f>I230-I231+I232-I233</f>
        <v>0</v>
      </c>
      <c r="J234" s="544">
        <f t="shared" si="67"/>
        <v>0</v>
      </c>
      <c r="K234" s="147">
        <f>K230-K231+K232-K233</f>
        <v>0</v>
      </c>
      <c r="L234" s="147">
        <f>L230-L231+L232-L233</f>
        <v>0</v>
      </c>
      <c r="M234" s="147">
        <f>M230-M231+M232-M233</f>
        <v>0</v>
      </c>
      <c r="N234" s="147">
        <f>N230-N231+N232-N233</f>
        <v>0</v>
      </c>
      <c r="O234" s="147">
        <f>O230-O231+O232-O233</f>
        <v>0</v>
      </c>
    </row>
    <row r="235" hidden="1" spans="2:15">
      <c r="B235" s="100">
        <f t="shared" si="68"/>
        <v>8</v>
      </c>
      <c r="C235" s="55" t="s">
        <v>696</v>
      </c>
      <c r="D235" s="333"/>
      <c r="E235" s="147">
        <f>E228-E231+E232-E233</f>
        <v>0</v>
      </c>
      <c r="F235" s="341">
        <f t="shared" si="66"/>
        <v>0</v>
      </c>
      <c r="G235" s="334"/>
      <c r="H235" s="147">
        <f>H228-H231+H232-H233</f>
        <v>0</v>
      </c>
      <c r="I235" s="147">
        <f>I228-I231+I232-I233</f>
        <v>0</v>
      </c>
      <c r="J235" s="544">
        <f t="shared" si="67"/>
        <v>0</v>
      </c>
      <c r="K235" s="147">
        <f>K228-K231+K232-K233</f>
        <v>0</v>
      </c>
      <c r="L235" s="147">
        <f>L228-L231+L232-L233</f>
        <v>0</v>
      </c>
      <c r="M235" s="147">
        <f>M228-M231+M232-M233</f>
        <v>0</v>
      </c>
      <c r="N235" s="147">
        <f>N228-N231+N232-N233</f>
        <v>0</v>
      </c>
      <c r="O235" s="147">
        <f>O228-O231+O232-O233</f>
        <v>0</v>
      </c>
    </row>
    <row r="236" hidden="1" spans="2:15">
      <c r="B236" s="100">
        <f t="shared" si="68"/>
        <v>9</v>
      </c>
      <c r="C236" s="55" t="s">
        <v>697</v>
      </c>
      <c r="D236" s="333"/>
      <c r="E236" s="147">
        <f>AVERAGE(E230,E234)</f>
        <v>0</v>
      </c>
      <c r="F236" s="341">
        <f t="shared" si="66"/>
        <v>0</v>
      </c>
      <c r="G236" s="334"/>
      <c r="H236" s="147">
        <f>AVERAGE(H230,H234)</f>
        <v>0</v>
      </c>
      <c r="I236" s="147">
        <f>AVERAGE(I230,I234)</f>
        <v>0</v>
      </c>
      <c r="J236" s="544">
        <f t="shared" si="67"/>
        <v>0</v>
      </c>
      <c r="K236" s="147">
        <f>AVERAGE(K230,K234)</f>
        <v>0</v>
      </c>
      <c r="L236" s="147">
        <f>AVERAGE(L230,L234)</f>
        <v>0</v>
      </c>
      <c r="M236" s="147">
        <f>AVERAGE(M230,M234)</f>
        <v>0</v>
      </c>
      <c r="N236" s="147">
        <f>AVERAGE(N230,N234)</f>
        <v>0</v>
      </c>
      <c r="O236" s="147">
        <f>AVERAGE(O230,O234)</f>
        <v>0</v>
      </c>
    </row>
    <row r="237" ht="28.5" hidden="1" spans="2:15">
      <c r="B237" s="100">
        <f t="shared" si="68"/>
        <v>10</v>
      </c>
      <c r="C237" s="312" t="s">
        <v>698</v>
      </c>
      <c r="D237" s="333"/>
      <c r="E237" s="147"/>
      <c r="F237" s="341">
        <f t="shared" si="66"/>
        <v>0</v>
      </c>
      <c r="G237" s="334"/>
      <c r="H237" s="147"/>
      <c r="I237" s="147"/>
      <c r="J237" s="544">
        <f t="shared" si="67"/>
        <v>0</v>
      </c>
      <c r="K237" s="147"/>
      <c r="L237" s="147"/>
      <c r="M237" s="147"/>
      <c r="N237" s="147"/>
      <c r="O237" s="147"/>
    </row>
    <row r="238" hidden="1" spans="2:15">
      <c r="B238" s="100">
        <f t="shared" si="68"/>
        <v>11</v>
      </c>
      <c r="C238" s="55" t="s">
        <v>699</v>
      </c>
      <c r="D238" s="333"/>
      <c r="E238" s="147">
        <f>E236*E237</f>
        <v>0</v>
      </c>
      <c r="F238" s="341">
        <f t="shared" si="66"/>
        <v>0</v>
      </c>
      <c r="G238" s="334"/>
      <c r="H238" s="147">
        <f>H236*H237</f>
        <v>0</v>
      </c>
      <c r="I238" s="147">
        <f>I236*I237</f>
        <v>0</v>
      </c>
      <c r="J238" s="544">
        <f t="shared" si="67"/>
        <v>0</v>
      </c>
      <c r="K238" s="147">
        <f>K236*K237</f>
        <v>0</v>
      </c>
      <c r="L238" s="147">
        <f>L236*L237</f>
        <v>0</v>
      </c>
      <c r="M238" s="147">
        <f>M236*M237</f>
        <v>0</v>
      </c>
      <c r="N238" s="147">
        <f>N236*N237</f>
        <v>0</v>
      </c>
      <c r="O238" s="147">
        <f>O236*O237</f>
        <v>0</v>
      </c>
    </row>
    <row r="239" hidden="1" spans="2:15">
      <c r="B239" s="100">
        <f t="shared" si="68"/>
        <v>12</v>
      </c>
      <c r="C239" s="55" t="s">
        <v>700</v>
      </c>
      <c r="D239" s="333"/>
      <c r="E239" s="147"/>
      <c r="F239" s="341">
        <f t="shared" si="66"/>
        <v>0</v>
      </c>
      <c r="G239" s="334"/>
      <c r="H239" s="147"/>
      <c r="I239" s="147"/>
      <c r="J239" s="544">
        <f t="shared" si="67"/>
        <v>0</v>
      </c>
      <c r="K239" s="147"/>
      <c r="L239" s="147"/>
      <c r="M239" s="147"/>
      <c r="N239" s="147"/>
      <c r="O239" s="147"/>
    </row>
    <row r="240" hidden="1" spans="2:15">
      <c r="B240" s="100">
        <f t="shared" si="68"/>
        <v>13</v>
      </c>
      <c r="C240" s="55" t="s">
        <v>701</v>
      </c>
      <c r="D240" s="333"/>
      <c r="E240" s="147">
        <f>E238+E239</f>
        <v>0</v>
      </c>
      <c r="F240" s="341">
        <f t="shared" si="66"/>
        <v>0</v>
      </c>
      <c r="G240" s="334"/>
      <c r="H240" s="147">
        <f>H238+H239</f>
        <v>0</v>
      </c>
      <c r="I240" s="147">
        <f>I238+I239</f>
        <v>0</v>
      </c>
      <c r="J240" s="544">
        <f t="shared" si="67"/>
        <v>0</v>
      </c>
      <c r="K240" s="147">
        <f>K238+K239</f>
        <v>0</v>
      </c>
      <c r="L240" s="147">
        <f>L238+L239</f>
        <v>0</v>
      </c>
      <c r="M240" s="147">
        <f>M238+M239</f>
        <v>0</v>
      </c>
      <c r="N240" s="147">
        <f>N238+N239</f>
        <v>0</v>
      </c>
      <c r="O240" s="147">
        <f>O238+O239</f>
        <v>0</v>
      </c>
    </row>
    <row r="241" hidden="1"/>
    <row r="242" ht="15" hidden="1" spans="2:3">
      <c r="B242" s="2" t="s">
        <v>702</v>
      </c>
      <c r="C242" s="14" t="s">
        <v>703</v>
      </c>
    </row>
    <row r="243" ht="15" hidden="1" spans="12:12">
      <c r="L243" s="33" t="s">
        <v>109</v>
      </c>
    </row>
    <row r="244" ht="15" hidden="1" customHeight="1" spans="2:12">
      <c r="B244" s="16" t="s">
        <v>3</v>
      </c>
      <c r="C244" s="6" t="s">
        <v>110</v>
      </c>
      <c r="D244" s="306" t="s">
        <v>112</v>
      </c>
      <c r="E244" s="306" t="s">
        <v>760</v>
      </c>
      <c r="F244" s="307"/>
      <c r="G244" s="308"/>
      <c r="H244" s="537" t="s">
        <v>114</v>
      </c>
      <c r="I244" s="539"/>
      <c r="J244" s="539"/>
      <c r="K244" s="539"/>
      <c r="L244" s="540"/>
    </row>
    <row r="245" ht="15" hidden="1" spans="2:12">
      <c r="B245" s="309"/>
      <c r="C245" s="6"/>
      <c r="D245" s="5" t="s">
        <v>237</v>
      </c>
      <c r="E245" s="5" t="s">
        <v>119</v>
      </c>
      <c r="F245" s="5" t="s">
        <v>120</v>
      </c>
      <c r="G245" s="5" t="s">
        <v>238</v>
      </c>
      <c r="H245" s="5" t="s">
        <v>514</v>
      </c>
      <c r="I245" s="5" t="s">
        <v>515</v>
      </c>
      <c r="J245" s="5" t="s">
        <v>516</v>
      </c>
      <c r="K245" s="5" t="s">
        <v>517</v>
      </c>
      <c r="L245" s="5" t="s">
        <v>518</v>
      </c>
    </row>
    <row r="246" ht="15" hidden="1" spans="2:12">
      <c r="B246" s="310"/>
      <c r="C246" s="100"/>
      <c r="D246" s="5" t="s">
        <v>128</v>
      </c>
      <c r="E246" s="5" t="s">
        <v>130</v>
      </c>
      <c r="F246" s="5" t="s">
        <v>131</v>
      </c>
      <c r="G246" s="5" t="s">
        <v>131</v>
      </c>
      <c r="H246" s="5" t="s">
        <v>132</v>
      </c>
      <c r="I246" s="5" t="s">
        <v>132</v>
      </c>
      <c r="J246" s="5" t="s">
        <v>132</v>
      </c>
      <c r="K246" s="5" t="s">
        <v>132</v>
      </c>
      <c r="L246" s="5" t="s">
        <v>132</v>
      </c>
    </row>
    <row r="247" ht="15" hidden="1" spans="2:12">
      <c r="B247" s="100">
        <v>1</v>
      </c>
      <c r="C247" s="54" t="s">
        <v>663</v>
      </c>
      <c r="D247" s="55"/>
      <c r="E247" s="55"/>
      <c r="F247" s="55"/>
      <c r="G247" s="55"/>
      <c r="H247" s="55"/>
      <c r="I247" s="55"/>
      <c r="J247" s="55"/>
      <c r="K247" s="55"/>
      <c r="L247" s="55"/>
    </row>
    <row r="248" hidden="1" spans="2:12">
      <c r="B248" s="55"/>
      <c r="C248" s="55" t="s">
        <v>704</v>
      </c>
      <c r="D248" s="55"/>
      <c r="E248" s="55"/>
      <c r="F248" s="55"/>
      <c r="G248" s="55"/>
      <c r="H248" s="55"/>
      <c r="I248" s="55"/>
      <c r="J248" s="55"/>
      <c r="K248" s="55"/>
      <c r="L248" s="55"/>
    </row>
    <row r="249" hidden="1" spans="2:12">
      <c r="B249" s="55"/>
      <c r="C249" s="55" t="s">
        <v>705</v>
      </c>
      <c r="D249" s="55"/>
      <c r="E249" s="55"/>
      <c r="F249" s="55"/>
      <c r="G249" s="55"/>
      <c r="H249" s="55"/>
      <c r="I249" s="55"/>
      <c r="J249" s="55"/>
      <c r="K249" s="55"/>
      <c r="L249" s="55"/>
    </row>
    <row r="250" hidden="1" spans="2:12">
      <c r="B250" s="55"/>
      <c r="C250" s="55" t="s">
        <v>706</v>
      </c>
      <c r="D250" s="55"/>
      <c r="E250" s="55"/>
      <c r="F250" s="55"/>
      <c r="G250" s="55"/>
      <c r="H250" s="55"/>
      <c r="I250" s="55"/>
      <c r="J250" s="55"/>
      <c r="K250" s="55"/>
      <c r="L250" s="55"/>
    </row>
    <row r="251" hidden="1" spans="2:12">
      <c r="B251" s="55"/>
      <c r="C251" s="55" t="s">
        <v>707</v>
      </c>
      <c r="D251" s="341">
        <f t="shared" ref="D251:L251" si="69">D248+D249-D250</f>
        <v>0</v>
      </c>
      <c r="E251" s="341">
        <f t="shared" si="69"/>
        <v>0</v>
      </c>
      <c r="F251" s="341">
        <f t="shared" si="69"/>
        <v>0</v>
      </c>
      <c r="G251" s="341">
        <f t="shared" si="69"/>
        <v>0</v>
      </c>
      <c r="H251" s="341">
        <f t="shared" si="69"/>
        <v>0</v>
      </c>
      <c r="I251" s="341">
        <f t="shared" si="69"/>
        <v>0</v>
      </c>
      <c r="J251" s="341">
        <f t="shared" si="69"/>
        <v>0</v>
      </c>
      <c r="K251" s="341">
        <f t="shared" si="69"/>
        <v>0</v>
      </c>
      <c r="L251" s="341">
        <f t="shared" si="69"/>
        <v>0</v>
      </c>
    </row>
    <row r="252" hidden="1" spans="2:12">
      <c r="B252" s="55"/>
      <c r="C252" s="55" t="s">
        <v>708</v>
      </c>
      <c r="D252" s="341">
        <f>AVERAGE(D251,D248)</f>
        <v>0</v>
      </c>
      <c r="E252" s="341">
        <f t="shared" ref="E252:L252" si="70">AVERAGE(E251,E248)</f>
        <v>0</v>
      </c>
      <c r="F252" s="341">
        <f t="shared" si="70"/>
        <v>0</v>
      </c>
      <c r="G252" s="341">
        <f t="shared" si="70"/>
        <v>0</v>
      </c>
      <c r="H252" s="341">
        <f t="shared" si="70"/>
        <v>0</v>
      </c>
      <c r="I252" s="341">
        <f t="shared" si="70"/>
        <v>0</v>
      </c>
      <c r="J252" s="341">
        <f t="shared" si="70"/>
        <v>0</v>
      </c>
      <c r="K252" s="341">
        <f t="shared" si="70"/>
        <v>0</v>
      </c>
      <c r="L252" s="341">
        <f t="shared" si="70"/>
        <v>0</v>
      </c>
    </row>
    <row r="253" hidden="1" spans="2:12">
      <c r="B253" s="55"/>
      <c r="C253" s="55" t="s">
        <v>709</v>
      </c>
      <c r="D253" s="55"/>
      <c r="E253" s="55"/>
      <c r="F253" s="55"/>
      <c r="G253" s="55"/>
      <c r="H253" s="55"/>
      <c r="I253" s="55"/>
      <c r="J253" s="55"/>
      <c r="K253" s="55"/>
      <c r="L253" s="55"/>
    </row>
    <row r="254" hidden="1" spans="2:12">
      <c r="B254" s="55"/>
      <c r="C254" s="55" t="s">
        <v>699</v>
      </c>
      <c r="D254" s="341">
        <f t="shared" ref="D254:L254" si="71">D252*D253</f>
        <v>0</v>
      </c>
      <c r="E254" s="341">
        <f t="shared" si="71"/>
        <v>0</v>
      </c>
      <c r="F254" s="341">
        <f t="shared" si="71"/>
        <v>0</v>
      </c>
      <c r="G254" s="341">
        <f t="shared" si="71"/>
        <v>0</v>
      </c>
      <c r="H254" s="341">
        <f t="shared" si="71"/>
        <v>0</v>
      </c>
      <c r="I254" s="341">
        <f t="shared" si="71"/>
        <v>0</v>
      </c>
      <c r="J254" s="341">
        <f t="shared" si="71"/>
        <v>0</v>
      </c>
      <c r="K254" s="341">
        <f t="shared" si="71"/>
        <v>0</v>
      </c>
      <c r="L254" s="341">
        <f t="shared" si="71"/>
        <v>0</v>
      </c>
    </row>
    <row r="255" hidden="1" spans="2:12">
      <c r="B255" s="55"/>
      <c r="C255" s="55" t="s">
        <v>700</v>
      </c>
      <c r="D255" s="55"/>
      <c r="E255" s="55"/>
      <c r="F255" s="55"/>
      <c r="G255" s="55"/>
      <c r="H255" s="55"/>
      <c r="I255" s="55"/>
      <c r="J255" s="55"/>
      <c r="K255" s="55"/>
      <c r="L255" s="55"/>
    </row>
    <row r="256" hidden="1" spans="2:12">
      <c r="B256" s="55"/>
      <c r="C256" s="55" t="s">
        <v>701</v>
      </c>
      <c r="D256" s="341">
        <f t="shared" ref="D256:L256" si="72">D254+D255</f>
        <v>0</v>
      </c>
      <c r="E256" s="341">
        <f t="shared" si="72"/>
        <v>0</v>
      </c>
      <c r="F256" s="341">
        <f t="shared" si="72"/>
        <v>0</v>
      </c>
      <c r="G256" s="341">
        <f t="shared" si="72"/>
        <v>0</v>
      </c>
      <c r="H256" s="341">
        <f t="shared" si="72"/>
        <v>0</v>
      </c>
      <c r="I256" s="341">
        <f t="shared" si="72"/>
        <v>0</v>
      </c>
      <c r="J256" s="341">
        <f t="shared" si="72"/>
        <v>0</v>
      </c>
      <c r="K256" s="341">
        <f t="shared" si="72"/>
        <v>0</v>
      </c>
      <c r="L256" s="341">
        <f t="shared" si="72"/>
        <v>0</v>
      </c>
    </row>
    <row r="257" ht="15" hidden="1" spans="2:12">
      <c r="B257" s="100">
        <v>2</v>
      </c>
      <c r="C257" s="54" t="s">
        <v>664</v>
      </c>
      <c r="D257" s="55"/>
      <c r="E257" s="55"/>
      <c r="F257" s="55"/>
      <c r="G257" s="55"/>
      <c r="H257" s="55"/>
      <c r="I257" s="55"/>
      <c r="J257" s="55"/>
      <c r="K257" s="55"/>
      <c r="L257" s="55"/>
    </row>
    <row r="258" hidden="1" spans="2:12">
      <c r="B258" s="55"/>
      <c r="C258" s="55" t="s">
        <v>704</v>
      </c>
      <c r="D258" s="55"/>
      <c r="E258" s="55"/>
      <c r="F258" s="55"/>
      <c r="G258" s="55"/>
      <c r="H258" s="55"/>
      <c r="I258" s="55"/>
      <c r="J258" s="55"/>
      <c r="K258" s="55"/>
      <c r="L258" s="55"/>
    </row>
    <row r="259" hidden="1" spans="2:12">
      <c r="B259" s="55"/>
      <c r="C259" s="55" t="s">
        <v>705</v>
      </c>
      <c r="D259" s="55"/>
      <c r="E259" s="55"/>
      <c r="F259" s="55"/>
      <c r="G259" s="55"/>
      <c r="H259" s="55"/>
      <c r="I259" s="55"/>
      <c r="J259" s="55"/>
      <c r="K259" s="55"/>
      <c r="L259" s="55"/>
    </row>
    <row r="260" hidden="1" spans="2:12">
      <c r="B260" s="55"/>
      <c r="C260" s="55" t="s">
        <v>706</v>
      </c>
      <c r="D260" s="55"/>
      <c r="E260" s="55"/>
      <c r="F260" s="55"/>
      <c r="G260" s="55"/>
      <c r="H260" s="55"/>
      <c r="I260" s="55"/>
      <c r="J260" s="55"/>
      <c r="K260" s="55"/>
      <c r="L260" s="55"/>
    </row>
    <row r="261" hidden="1" spans="2:12">
      <c r="B261" s="55"/>
      <c r="C261" s="55" t="s">
        <v>707</v>
      </c>
      <c r="D261" s="341">
        <f t="shared" ref="D261:L261" si="73">D258+D259-D260</f>
        <v>0</v>
      </c>
      <c r="E261" s="341">
        <f t="shared" si="73"/>
        <v>0</v>
      </c>
      <c r="F261" s="341">
        <f t="shared" si="73"/>
        <v>0</v>
      </c>
      <c r="G261" s="341">
        <f t="shared" si="73"/>
        <v>0</v>
      </c>
      <c r="H261" s="341">
        <f t="shared" si="73"/>
        <v>0</v>
      </c>
      <c r="I261" s="341">
        <f t="shared" si="73"/>
        <v>0</v>
      </c>
      <c r="J261" s="341">
        <f t="shared" si="73"/>
        <v>0</v>
      </c>
      <c r="K261" s="341">
        <f t="shared" si="73"/>
        <v>0</v>
      </c>
      <c r="L261" s="341">
        <f t="shared" si="73"/>
        <v>0</v>
      </c>
    </row>
    <row r="262" hidden="1" spans="2:12">
      <c r="B262" s="55"/>
      <c r="C262" s="55" t="s">
        <v>708</v>
      </c>
      <c r="D262" s="341">
        <f>AVERAGE(D261,D258)</f>
        <v>0</v>
      </c>
      <c r="E262" s="341">
        <f t="shared" ref="E262:L262" si="74">AVERAGE(E261,E258)</f>
        <v>0</v>
      </c>
      <c r="F262" s="341">
        <f t="shared" si="74"/>
        <v>0</v>
      </c>
      <c r="G262" s="341">
        <f t="shared" si="74"/>
        <v>0</v>
      </c>
      <c r="H262" s="341">
        <f t="shared" si="74"/>
        <v>0</v>
      </c>
      <c r="I262" s="341">
        <f t="shared" si="74"/>
        <v>0</v>
      </c>
      <c r="J262" s="341">
        <f t="shared" si="74"/>
        <v>0</v>
      </c>
      <c r="K262" s="341">
        <f t="shared" si="74"/>
        <v>0</v>
      </c>
      <c r="L262" s="341">
        <f t="shared" si="74"/>
        <v>0</v>
      </c>
    </row>
    <row r="263" hidden="1" spans="2:12">
      <c r="B263" s="55"/>
      <c r="C263" s="55" t="s">
        <v>709</v>
      </c>
      <c r="D263" s="55"/>
      <c r="E263" s="55"/>
      <c r="F263" s="55"/>
      <c r="G263" s="55"/>
      <c r="H263" s="55"/>
      <c r="I263" s="55"/>
      <c r="J263" s="55"/>
      <c r="K263" s="55"/>
      <c r="L263" s="55"/>
    </row>
    <row r="264" hidden="1" spans="2:12">
      <c r="B264" s="55"/>
      <c r="C264" s="55" t="s">
        <v>699</v>
      </c>
      <c r="D264" s="341">
        <f t="shared" ref="D264:L264" si="75">D262*D263</f>
        <v>0</v>
      </c>
      <c r="E264" s="341">
        <f t="shared" si="75"/>
        <v>0</v>
      </c>
      <c r="F264" s="341">
        <f t="shared" si="75"/>
        <v>0</v>
      </c>
      <c r="G264" s="341">
        <f t="shared" si="75"/>
        <v>0</v>
      </c>
      <c r="H264" s="341">
        <f t="shared" si="75"/>
        <v>0</v>
      </c>
      <c r="I264" s="341">
        <f t="shared" si="75"/>
        <v>0</v>
      </c>
      <c r="J264" s="341">
        <f t="shared" si="75"/>
        <v>0</v>
      </c>
      <c r="K264" s="341">
        <f t="shared" si="75"/>
        <v>0</v>
      </c>
      <c r="L264" s="341">
        <f t="shared" si="75"/>
        <v>0</v>
      </c>
    </row>
    <row r="265" hidden="1" spans="2:12">
      <c r="B265" s="55"/>
      <c r="C265" s="55" t="s">
        <v>700</v>
      </c>
      <c r="D265" s="55"/>
      <c r="E265" s="55"/>
      <c r="F265" s="55"/>
      <c r="G265" s="55"/>
      <c r="H265" s="55"/>
      <c r="I265" s="55"/>
      <c r="J265" s="55"/>
      <c r="K265" s="55"/>
      <c r="L265" s="55"/>
    </row>
    <row r="266" hidden="1" spans="2:12">
      <c r="B266" s="55"/>
      <c r="C266" s="55" t="s">
        <v>701</v>
      </c>
      <c r="D266" s="341">
        <f t="shared" ref="D266:L266" si="76">D264+D265</f>
        <v>0</v>
      </c>
      <c r="E266" s="341">
        <f t="shared" si="76"/>
        <v>0</v>
      </c>
      <c r="F266" s="341">
        <f t="shared" si="76"/>
        <v>0</v>
      </c>
      <c r="G266" s="341">
        <f t="shared" si="76"/>
        <v>0</v>
      </c>
      <c r="H266" s="341">
        <f t="shared" si="76"/>
        <v>0</v>
      </c>
      <c r="I266" s="341">
        <f t="shared" si="76"/>
        <v>0</v>
      </c>
      <c r="J266" s="341">
        <f t="shared" si="76"/>
        <v>0</v>
      </c>
      <c r="K266" s="341">
        <f t="shared" si="76"/>
        <v>0</v>
      </c>
      <c r="L266" s="341">
        <f t="shared" si="76"/>
        <v>0</v>
      </c>
    </row>
    <row r="267" hidden="1" spans="2:12">
      <c r="B267" s="55"/>
      <c r="C267" s="55" t="s">
        <v>710</v>
      </c>
      <c r="D267" s="55"/>
      <c r="E267" s="55"/>
      <c r="F267" s="55"/>
      <c r="G267" s="55"/>
      <c r="H267" s="55"/>
      <c r="I267" s="55"/>
      <c r="J267" s="55"/>
      <c r="K267" s="55"/>
      <c r="L267" s="55"/>
    </row>
    <row r="268" ht="15" hidden="1" spans="2:12">
      <c r="B268" s="100"/>
      <c r="C268" s="54" t="s">
        <v>97</v>
      </c>
      <c r="D268" s="55"/>
      <c r="E268" s="55"/>
      <c r="F268" s="55"/>
      <c r="G268" s="55"/>
      <c r="H268" s="55"/>
      <c r="I268" s="55"/>
      <c r="J268" s="55"/>
      <c r="K268" s="55"/>
      <c r="L268" s="55"/>
    </row>
    <row r="269" hidden="1" spans="2:12">
      <c r="B269" s="55"/>
      <c r="C269" s="55" t="s">
        <v>704</v>
      </c>
      <c r="D269" s="55"/>
      <c r="E269" s="55"/>
      <c r="F269" s="55"/>
      <c r="G269" s="55"/>
      <c r="H269" s="55"/>
      <c r="I269" s="55"/>
      <c r="J269" s="55"/>
      <c r="K269" s="55"/>
      <c r="L269" s="55"/>
    </row>
    <row r="270" hidden="1" spans="2:12">
      <c r="B270" s="55"/>
      <c r="C270" s="55" t="s">
        <v>705</v>
      </c>
      <c r="D270" s="55"/>
      <c r="E270" s="55"/>
      <c r="F270" s="55"/>
      <c r="G270" s="55"/>
      <c r="H270" s="55"/>
      <c r="I270" s="55"/>
      <c r="J270" s="55"/>
      <c r="K270" s="55"/>
      <c r="L270" s="55"/>
    </row>
    <row r="271" hidden="1" spans="2:12">
      <c r="B271" s="55"/>
      <c r="C271" s="55" t="s">
        <v>706</v>
      </c>
      <c r="D271" s="55"/>
      <c r="E271" s="55"/>
      <c r="F271" s="55"/>
      <c r="G271" s="55"/>
      <c r="H271" s="55"/>
      <c r="I271" s="55"/>
      <c r="J271" s="55"/>
      <c r="K271" s="55"/>
      <c r="L271" s="55"/>
    </row>
    <row r="272" hidden="1" spans="2:12">
      <c r="B272" s="55"/>
      <c r="C272" s="55" t="s">
        <v>707</v>
      </c>
      <c r="D272" s="341">
        <f>D269+D270-D271</f>
        <v>0</v>
      </c>
      <c r="E272" s="341">
        <f t="shared" ref="E272:L272" si="77">E269+E270-E271</f>
        <v>0</v>
      </c>
      <c r="F272" s="341">
        <f t="shared" si="77"/>
        <v>0</v>
      </c>
      <c r="G272" s="341">
        <f t="shared" si="77"/>
        <v>0</v>
      </c>
      <c r="H272" s="341">
        <f t="shared" si="77"/>
        <v>0</v>
      </c>
      <c r="I272" s="341">
        <f t="shared" si="77"/>
        <v>0</v>
      </c>
      <c r="J272" s="341">
        <f t="shared" si="77"/>
        <v>0</v>
      </c>
      <c r="K272" s="341">
        <f t="shared" si="77"/>
        <v>0</v>
      </c>
      <c r="L272" s="341">
        <f t="shared" si="77"/>
        <v>0</v>
      </c>
    </row>
    <row r="273" hidden="1" spans="2:12">
      <c r="B273" s="55"/>
      <c r="C273" s="55" t="s">
        <v>708</v>
      </c>
      <c r="D273" s="341">
        <f>AVERAGE(D272,D269)</f>
        <v>0</v>
      </c>
      <c r="E273" s="341">
        <f t="shared" ref="E273:L273" si="78">AVERAGE(E272,E269)</f>
        <v>0</v>
      </c>
      <c r="F273" s="341">
        <f t="shared" si="78"/>
        <v>0</v>
      </c>
      <c r="G273" s="341">
        <f t="shared" si="78"/>
        <v>0</v>
      </c>
      <c r="H273" s="341">
        <f t="shared" si="78"/>
        <v>0</v>
      </c>
      <c r="I273" s="341">
        <f t="shared" si="78"/>
        <v>0</v>
      </c>
      <c r="J273" s="341">
        <f t="shared" si="78"/>
        <v>0</v>
      </c>
      <c r="K273" s="341">
        <f t="shared" si="78"/>
        <v>0</v>
      </c>
      <c r="L273" s="341">
        <f t="shared" si="78"/>
        <v>0</v>
      </c>
    </row>
    <row r="274" hidden="1" spans="2:12">
      <c r="B274" s="55"/>
      <c r="C274" s="55" t="s">
        <v>709</v>
      </c>
      <c r="D274" s="55"/>
      <c r="E274" s="55"/>
      <c r="F274" s="55"/>
      <c r="G274" s="55"/>
      <c r="H274" s="55"/>
      <c r="I274" s="55"/>
      <c r="J274" s="55"/>
      <c r="K274" s="55"/>
      <c r="L274" s="55"/>
    </row>
    <row r="275" hidden="1" spans="2:12">
      <c r="B275" s="55"/>
      <c r="C275" s="55" t="s">
        <v>699</v>
      </c>
      <c r="D275" s="341">
        <f>D273*D274</f>
        <v>0</v>
      </c>
      <c r="E275" s="341">
        <f t="shared" ref="E275:L275" si="79">E273*E274</f>
        <v>0</v>
      </c>
      <c r="F275" s="341">
        <f t="shared" si="79"/>
        <v>0</v>
      </c>
      <c r="G275" s="341">
        <f t="shared" si="79"/>
        <v>0</v>
      </c>
      <c r="H275" s="341">
        <f t="shared" si="79"/>
        <v>0</v>
      </c>
      <c r="I275" s="341">
        <f t="shared" si="79"/>
        <v>0</v>
      </c>
      <c r="J275" s="341">
        <f t="shared" si="79"/>
        <v>0</v>
      </c>
      <c r="K275" s="341">
        <f t="shared" si="79"/>
        <v>0</v>
      </c>
      <c r="L275" s="341">
        <f t="shared" si="79"/>
        <v>0</v>
      </c>
    </row>
    <row r="276" hidden="1" spans="2:12">
      <c r="B276" s="55"/>
      <c r="C276" s="55" t="s">
        <v>700</v>
      </c>
      <c r="D276" s="55"/>
      <c r="E276" s="55"/>
      <c r="F276" s="55"/>
      <c r="G276" s="55"/>
      <c r="H276" s="55"/>
      <c r="I276" s="55"/>
      <c r="J276" s="55"/>
      <c r="K276" s="55"/>
      <c r="L276" s="55"/>
    </row>
    <row r="277" hidden="1" spans="2:12">
      <c r="B277" s="55"/>
      <c r="C277" s="55" t="s">
        <v>701</v>
      </c>
      <c r="D277" s="341">
        <f>D275+D276</f>
        <v>0</v>
      </c>
      <c r="E277" s="341">
        <f t="shared" ref="E277:L277" si="80">E275+E276</f>
        <v>0</v>
      </c>
      <c r="F277" s="341">
        <f t="shared" si="80"/>
        <v>0</v>
      </c>
      <c r="G277" s="341">
        <f t="shared" si="80"/>
        <v>0</v>
      </c>
      <c r="H277" s="341">
        <f t="shared" si="80"/>
        <v>0</v>
      </c>
      <c r="I277" s="341">
        <f t="shared" si="80"/>
        <v>0</v>
      </c>
      <c r="J277" s="341">
        <f t="shared" si="80"/>
        <v>0</v>
      </c>
      <c r="K277" s="341">
        <f t="shared" si="80"/>
        <v>0</v>
      </c>
      <c r="L277" s="341">
        <f t="shared" si="80"/>
        <v>0</v>
      </c>
    </row>
    <row r="278" hidden="1"/>
  </sheetData>
  <mergeCells count="36">
    <mergeCell ref="D7:F7"/>
    <mergeCell ref="G7:J7"/>
    <mergeCell ref="K7:O7"/>
    <mergeCell ref="E26:G26"/>
    <mergeCell ref="H26:L26"/>
    <mergeCell ref="D111:F111"/>
    <mergeCell ref="G111:J111"/>
    <mergeCell ref="K111:O111"/>
    <mergeCell ref="E130:G130"/>
    <mergeCell ref="H130:L130"/>
    <mergeCell ref="D168:F168"/>
    <mergeCell ref="G168:J168"/>
    <mergeCell ref="K168:O168"/>
    <mergeCell ref="E187:G187"/>
    <mergeCell ref="H187:L187"/>
    <mergeCell ref="D225:F225"/>
    <mergeCell ref="G225:J225"/>
    <mergeCell ref="K225:O225"/>
    <mergeCell ref="E244:G244"/>
    <mergeCell ref="H244:L244"/>
    <mergeCell ref="B7:B9"/>
    <mergeCell ref="B26:B28"/>
    <mergeCell ref="B111:B113"/>
    <mergeCell ref="B130:B132"/>
    <mergeCell ref="B168:B170"/>
    <mergeCell ref="B187:B189"/>
    <mergeCell ref="B225:B227"/>
    <mergeCell ref="B244:B246"/>
    <mergeCell ref="C7:C9"/>
    <mergeCell ref="C26:C28"/>
    <mergeCell ref="C111:C113"/>
    <mergeCell ref="C130:C132"/>
    <mergeCell ref="C168:C170"/>
    <mergeCell ref="C187:C189"/>
    <mergeCell ref="C225:C227"/>
    <mergeCell ref="C244:C246"/>
  </mergeCells>
  <pageMargins left="1.02" right="0.25" top="1" bottom="1" header="0.25" footer="0.25"/>
  <pageSetup paperSize="9" scale="17" orientation="landscape"/>
  <headerFooter alignWithMargins="0">
    <oddHeader>&amp;C&amp;F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  <pageSetUpPr fitToPage="1"/>
  </sheetPr>
  <dimension ref="B1:P58"/>
  <sheetViews>
    <sheetView showGridLines="0" zoomScale="53" zoomScaleNormal="53" zoomScaleSheetLayoutView="90" topLeftCell="A32" workbookViewId="0">
      <selection activeCell="R21" sqref="R21"/>
    </sheetView>
  </sheetViews>
  <sheetFormatPr defaultColWidth="9.14285714285714" defaultRowHeight="14.25"/>
  <cols>
    <col min="1" max="1" width="4.14285714285714" style="12" customWidth="1"/>
    <col min="2" max="2" width="6.14285714285714" style="12" customWidth="1"/>
    <col min="3" max="3" width="41" style="12" customWidth="1"/>
    <col min="4" max="4" width="16.4285714285714" style="12" customWidth="1"/>
    <col min="5" max="5" width="14.5714285714286" style="12" customWidth="1"/>
    <col min="6" max="6" width="15.4285714285714" style="12" customWidth="1"/>
    <col min="7" max="7" width="17.8571428571429" style="12" customWidth="1"/>
    <col min="8" max="8" width="15.5714285714286" style="12" customWidth="1"/>
    <col min="9" max="9" width="17.1428571428571" style="12" customWidth="1"/>
    <col min="10" max="10" width="12.5714285714286" style="12" customWidth="1"/>
    <col min="11" max="11" width="11.8571428571429" style="12" customWidth="1"/>
    <col min="12" max="12" width="13.8571428571429" style="12" customWidth="1"/>
    <col min="13" max="15" width="11.8571428571429" style="12" customWidth="1"/>
    <col min="16" max="16" width="17.1428571428571" style="12" customWidth="1"/>
    <col min="17" max="18" width="11.8571428571429" style="12" customWidth="1"/>
    <col min="19" max="16384" width="9.14285714285714" style="12"/>
  </cols>
  <sheetData>
    <row r="1" ht="15" spans="2:2">
      <c r="B1" s="14"/>
    </row>
    <row r="2" ht="15" spans="8:8">
      <c r="H2" s="2" t="s">
        <v>758</v>
      </c>
    </row>
    <row r="3" ht="15" spans="8:8">
      <c r="H3" s="3" t="s">
        <v>711</v>
      </c>
    </row>
    <row r="4" ht="15" hidden="1" spans="2:12">
      <c r="B4" s="322" t="s">
        <v>763</v>
      </c>
      <c r="C4" s="14"/>
      <c r="D4" s="117"/>
      <c r="E4" s="117"/>
      <c r="F4" s="117"/>
      <c r="G4" s="117"/>
      <c r="H4" s="117"/>
      <c r="I4" s="117"/>
      <c r="J4" s="117"/>
      <c r="K4" s="117"/>
      <c r="L4" s="117"/>
    </row>
    <row r="5" ht="15" hidden="1" spans="15:15">
      <c r="O5" s="33" t="s">
        <v>109</v>
      </c>
    </row>
    <row r="6" s="15" customFormat="1" ht="15" hidden="1" spans="2:15">
      <c r="B6" s="16" t="s">
        <v>3</v>
      </c>
      <c r="C6" s="6" t="s">
        <v>110</v>
      </c>
      <c r="D6" s="306" t="s">
        <v>112</v>
      </c>
      <c r="E6" s="307"/>
      <c r="F6" s="308"/>
      <c r="G6" s="306" t="s">
        <v>760</v>
      </c>
      <c r="H6" s="307"/>
      <c r="I6" s="307"/>
      <c r="J6" s="307"/>
      <c r="K6" s="135" t="s">
        <v>114</v>
      </c>
      <c r="L6" s="135"/>
      <c r="M6" s="135"/>
      <c r="N6" s="135"/>
      <c r="O6" s="135"/>
    </row>
    <row r="7" s="15" customFormat="1" ht="30" hidden="1" spans="2:15">
      <c r="B7" s="309"/>
      <c r="C7" s="6"/>
      <c r="D7" s="5" t="s">
        <v>116</v>
      </c>
      <c r="E7" s="5" t="s">
        <v>237</v>
      </c>
      <c r="F7" s="5" t="s">
        <v>118</v>
      </c>
      <c r="G7" s="5" t="s">
        <v>116</v>
      </c>
      <c r="H7" s="5" t="s">
        <v>119</v>
      </c>
      <c r="I7" s="5" t="s">
        <v>120</v>
      </c>
      <c r="J7" s="5" t="s">
        <v>238</v>
      </c>
      <c r="K7" s="5" t="s">
        <v>514</v>
      </c>
      <c r="L7" s="5" t="s">
        <v>515</v>
      </c>
      <c r="M7" s="5" t="s">
        <v>516</v>
      </c>
      <c r="N7" s="5" t="s">
        <v>517</v>
      </c>
      <c r="O7" s="5" t="s">
        <v>518</v>
      </c>
    </row>
    <row r="8" s="15" customFormat="1" ht="15" hidden="1" spans="2:15">
      <c r="B8" s="310"/>
      <c r="C8" s="100"/>
      <c r="D8" s="5" t="s">
        <v>127</v>
      </c>
      <c r="E8" s="5" t="s">
        <v>128</v>
      </c>
      <c r="F8" s="5" t="s">
        <v>129</v>
      </c>
      <c r="G8" s="5" t="s">
        <v>127</v>
      </c>
      <c r="H8" s="5" t="s">
        <v>130</v>
      </c>
      <c r="I8" s="5" t="s">
        <v>131</v>
      </c>
      <c r="J8" s="5" t="s">
        <v>131</v>
      </c>
      <c r="K8" s="5" t="s">
        <v>132</v>
      </c>
      <c r="L8" s="5" t="s">
        <v>132</v>
      </c>
      <c r="M8" s="5" t="s">
        <v>132</v>
      </c>
      <c r="N8" s="5" t="s">
        <v>132</v>
      </c>
      <c r="O8" s="5" t="s">
        <v>132</v>
      </c>
    </row>
    <row r="9" hidden="1" spans="2:15">
      <c r="B9" s="100">
        <v>1</v>
      </c>
      <c r="C9" s="312" t="s">
        <v>712</v>
      </c>
      <c r="D9" s="333"/>
      <c r="E9" s="351">
        <f>E24+E39</f>
        <v>0</v>
      </c>
      <c r="F9" s="352">
        <f>E9-D9</f>
        <v>0</v>
      </c>
      <c r="G9" s="334"/>
      <c r="H9" s="351">
        <f t="shared" ref="H9:I11" si="0">H24+H39</f>
        <v>0</v>
      </c>
      <c r="I9" s="351">
        <f t="shared" si="0"/>
        <v>0</v>
      </c>
      <c r="J9" s="352">
        <f>H9+I9</f>
        <v>0</v>
      </c>
      <c r="K9" s="360">
        <f>'[6]Int on Working cap'!E4</f>
        <v>293.392469560136</v>
      </c>
      <c r="L9" s="360">
        <f>'[6]Int on Working cap'!F4</f>
        <v>316.215326581069</v>
      </c>
      <c r="M9" s="360">
        <f>'[6]Int on Working cap'!G4</f>
        <v>397.740904734591</v>
      </c>
      <c r="N9" s="360">
        <f>'[6]Int on Working cap'!H4</f>
        <v>428.72103206114</v>
      </c>
      <c r="O9" s="360">
        <f>'[6]Int on Working cap'!I4</f>
        <v>461.866143287922</v>
      </c>
    </row>
    <row r="10" s="11" customFormat="1" ht="15" hidden="1" spans="2:15">
      <c r="B10" s="100">
        <f t="shared" ref="B10:B17" si="1">B9+1</f>
        <v>2</v>
      </c>
      <c r="C10" s="342" t="s">
        <v>713</v>
      </c>
      <c r="D10" s="333"/>
      <c r="E10" s="351">
        <f>E25+E40</f>
        <v>0</v>
      </c>
      <c r="F10" s="352">
        <f t="shared" ref="F10:F17" si="2">E10-D10</f>
        <v>0</v>
      </c>
      <c r="G10" s="334"/>
      <c r="H10" s="351">
        <f t="shared" si="0"/>
        <v>0</v>
      </c>
      <c r="I10" s="351">
        <f t="shared" si="0"/>
        <v>0</v>
      </c>
      <c r="J10" s="352">
        <f>H10+I10</f>
        <v>0</v>
      </c>
      <c r="K10" s="360">
        <f>'[6]Int on Working cap'!E5</f>
        <v>270.537512298841</v>
      </c>
      <c r="L10" s="360">
        <f>'[6]Int on Working cap'!F5</f>
        <v>324.506500904725</v>
      </c>
      <c r="M10" s="360">
        <f>'[6]Int on Working cap'!G5</f>
        <v>392.845097111648</v>
      </c>
      <c r="N10" s="360">
        <f>'[6]Int on Working cap'!H5</f>
        <v>466.934115499079</v>
      </c>
      <c r="O10" s="360">
        <f>'[6]Int on Working cap'!I5</f>
        <v>545.454097505842</v>
      </c>
    </row>
    <row r="11" hidden="1" spans="2:15">
      <c r="B11" s="100">
        <f t="shared" si="1"/>
        <v>3</v>
      </c>
      <c r="C11" s="312" t="s">
        <v>714</v>
      </c>
      <c r="D11" s="333"/>
      <c r="E11" s="351">
        <f>E26+E41</f>
        <v>0</v>
      </c>
      <c r="F11" s="352">
        <f t="shared" si="2"/>
        <v>0</v>
      </c>
      <c r="G11" s="334"/>
      <c r="H11" s="351">
        <f t="shared" si="0"/>
        <v>0</v>
      </c>
      <c r="I11" s="351">
        <f t="shared" si="0"/>
        <v>0</v>
      </c>
      <c r="J11" s="352">
        <f>H11+I11</f>
        <v>0</v>
      </c>
      <c r="K11" s="360">
        <f>'[6]Int on Working cap'!E6</f>
        <v>628.812030552137</v>
      </c>
      <c r="L11" s="360">
        <f>'[6]Int on Working cap'!F6</f>
        <v>724.299733061859</v>
      </c>
      <c r="M11" s="360">
        <f>'[6]Int on Working cap'!G6</f>
        <v>934.24179080191</v>
      </c>
      <c r="N11" s="360">
        <f>'[6]Int on Working cap'!H6</f>
        <v>1082.48099401274</v>
      </c>
      <c r="O11" s="360">
        <f>'[6]Int on Working cap'!I6</f>
        <v>1239.8276738066</v>
      </c>
    </row>
    <row r="12" hidden="1" spans="2:15">
      <c r="B12" s="100"/>
      <c r="C12" s="312" t="s">
        <v>147</v>
      </c>
      <c r="D12" s="333"/>
      <c r="E12" s="351"/>
      <c r="F12" s="352">
        <f t="shared" si="2"/>
        <v>0</v>
      </c>
      <c r="G12" s="334"/>
      <c r="H12" s="351"/>
      <c r="I12" s="351"/>
      <c r="J12" s="352"/>
      <c r="K12" s="361"/>
      <c r="L12" s="361"/>
      <c r="M12" s="361"/>
      <c r="N12" s="361"/>
      <c r="O12" s="361"/>
    </row>
    <row r="13" hidden="1" spans="2:15">
      <c r="B13" s="100">
        <f>B11+1</f>
        <v>4</v>
      </c>
      <c r="C13" s="55" t="s">
        <v>715</v>
      </c>
      <c r="D13" s="333"/>
      <c r="E13" s="351"/>
      <c r="F13" s="352">
        <f t="shared" si="2"/>
        <v>0</v>
      </c>
      <c r="G13" s="334"/>
      <c r="H13" s="351"/>
      <c r="I13" s="351"/>
      <c r="J13" s="352">
        <f>H13+I13</f>
        <v>0</v>
      </c>
      <c r="K13" s="361"/>
      <c r="L13" s="361"/>
      <c r="M13" s="361"/>
      <c r="N13" s="361"/>
      <c r="O13" s="361"/>
    </row>
    <row r="14" ht="28.5" hidden="1" spans="2:15">
      <c r="B14" s="100">
        <f>B13+1</f>
        <v>5</v>
      </c>
      <c r="C14" s="312" t="s">
        <v>716</v>
      </c>
      <c r="D14" s="333"/>
      <c r="E14" s="351">
        <f>E29+E44</f>
        <v>0</v>
      </c>
      <c r="F14" s="352">
        <f t="shared" si="2"/>
        <v>0</v>
      </c>
      <c r="G14" s="334"/>
      <c r="H14" s="351">
        <f>H29+H44</f>
        <v>0</v>
      </c>
      <c r="I14" s="351">
        <f>I29+I44</f>
        <v>0</v>
      </c>
      <c r="J14" s="352">
        <f>H14+I14</f>
        <v>0</v>
      </c>
      <c r="K14" s="360">
        <f>K29+K44</f>
        <v>4290.55737564023</v>
      </c>
      <c r="L14" s="360">
        <f t="shared" ref="L14:O14" si="3">L29+L44</f>
        <v>5192.65323210032</v>
      </c>
      <c r="M14" s="360">
        <f t="shared" si="3"/>
        <v>5676.58072271561</v>
      </c>
      <c r="N14" s="360">
        <f t="shared" si="3"/>
        <v>6372.34429836509</v>
      </c>
      <c r="O14" s="360">
        <f t="shared" si="3"/>
        <v>6992.44117818403</v>
      </c>
    </row>
    <row r="15" hidden="1" spans="2:15">
      <c r="B15" s="100">
        <f>B14+1</f>
        <v>6</v>
      </c>
      <c r="C15" s="55" t="s">
        <v>717</v>
      </c>
      <c r="D15" s="333"/>
      <c r="E15" s="351">
        <f>E30+E45</f>
        <v>0</v>
      </c>
      <c r="F15" s="352">
        <f t="shared" si="2"/>
        <v>0</v>
      </c>
      <c r="G15" s="334"/>
      <c r="H15" s="351">
        <f>H30+H45</f>
        <v>0</v>
      </c>
      <c r="I15" s="351">
        <f>I30+I45</f>
        <v>0</v>
      </c>
      <c r="J15" s="352">
        <f>H15+I15</f>
        <v>0</v>
      </c>
      <c r="K15" s="360">
        <f>'[6]Int on Working cap'!E9</f>
        <v>1192.74201241111</v>
      </c>
      <c r="L15" s="360">
        <f>'[6]Int on Working cap'!F9</f>
        <v>1365.02156054765</v>
      </c>
      <c r="M15" s="360">
        <f>'[6]Int on Working cap'!G9</f>
        <v>1724.82779264815</v>
      </c>
      <c r="N15" s="360">
        <f>'[6]Int on Working cap'!H9</f>
        <v>1978.13614157296</v>
      </c>
      <c r="O15" s="360">
        <f>'[6]Int on Working cap'!I9</f>
        <v>2247.14791460037</v>
      </c>
    </row>
    <row r="16" hidden="1" spans="2:15">
      <c r="B16" s="100">
        <f t="shared" si="1"/>
        <v>7</v>
      </c>
      <c r="C16" s="55" t="s">
        <v>718</v>
      </c>
      <c r="D16" s="333"/>
      <c r="E16" s="351"/>
      <c r="F16" s="352">
        <f t="shared" si="2"/>
        <v>0</v>
      </c>
      <c r="G16" s="334"/>
      <c r="H16" s="351"/>
      <c r="I16" s="351"/>
      <c r="J16" s="352">
        <f>H16+I16</f>
        <v>0</v>
      </c>
      <c r="K16" s="362">
        <f>'[6]Int on Working cap'!E10</f>
        <v>0.1015</v>
      </c>
      <c r="L16" s="362">
        <f>'[6]Int on Working cap'!F10</f>
        <v>0.1015</v>
      </c>
      <c r="M16" s="362">
        <f>'[6]Int on Working cap'!G10</f>
        <v>0.1015</v>
      </c>
      <c r="N16" s="362">
        <f>'[6]Int on Working cap'!H10</f>
        <v>0.1015</v>
      </c>
      <c r="O16" s="362">
        <f>'[6]Int on Working cap'!I10</f>
        <v>0.1015</v>
      </c>
    </row>
    <row r="17" hidden="1" spans="2:15">
      <c r="B17" s="100">
        <f t="shared" si="1"/>
        <v>8</v>
      </c>
      <c r="C17" s="312" t="s">
        <v>58</v>
      </c>
      <c r="D17" s="333"/>
      <c r="E17" s="352">
        <f>E15*E16</f>
        <v>0</v>
      </c>
      <c r="F17" s="352">
        <f t="shared" si="2"/>
        <v>0</v>
      </c>
      <c r="G17" s="334"/>
      <c r="H17" s="352">
        <f>H15*H16</f>
        <v>0</v>
      </c>
      <c r="I17" s="352">
        <f>I15*I16</f>
        <v>0</v>
      </c>
      <c r="J17" s="352">
        <f>H17+I17</f>
        <v>0</v>
      </c>
      <c r="K17" s="363">
        <f>K15*K16</f>
        <v>121.063314259728</v>
      </c>
      <c r="L17" s="363">
        <f t="shared" ref="L17:O17" si="4">L15*L16</f>
        <v>138.549688395586</v>
      </c>
      <c r="M17" s="363">
        <f t="shared" si="4"/>
        <v>175.070020953787</v>
      </c>
      <c r="N17" s="363">
        <f t="shared" si="4"/>
        <v>200.780818369655</v>
      </c>
      <c r="O17" s="363">
        <f t="shared" si="4"/>
        <v>228.085513331938</v>
      </c>
    </row>
    <row r="19" ht="15" spans="2:12">
      <c r="B19" s="322" t="s">
        <v>809</v>
      </c>
      <c r="C19" s="14"/>
      <c r="D19" s="117"/>
      <c r="E19" s="117"/>
      <c r="F19" s="117"/>
      <c r="G19" s="117"/>
      <c r="H19" s="117"/>
      <c r="I19" s="117"/>
      <c r="J19" s="117"/>
      <c r="K19" s="117"/>
      <c r="L19" s="117"/>
    </row>
    <row r="20" ht="15" spans="15:15">
      <c r="O20" s="33" t="s">
        <v>109</v>
      </c>
    </row>
    <row r="21" ht="14.1" customHeight="1" spans="2:15">
      <c r="B21" s="16" t="s">
        <v>3</v>
      </c>
      <c r="C21" s="6" t="s">
        <v>110</v>
      </c>
      <c r="D21" s="306" t="s">
        <v>112</v>
      </c>
      <c r="E21" s="307"/>
      <c r="F21" s="308"/>
      <c r="G21" s="306" t="s">
        <v>760</v>
      </c>
      <c r="H21" s="307"/>
      <c r="I21" s="307"/>
      <c r="J21" s="307"/>
      <c r="K21" s="135" t="s">
        <v>114</v>
      </c>
      <c r="L21" s="135"/>
      <c r="M21" s="135"/>
      <c r="N21" s="135"/>
      <c r="O21" s="135"/>
    </row>
    <row r="22" ht="30" spans="2:16">
      <c r="B22" s="309"/>
      <c r="C22" s="6"/>
      <c r="D22" s="5" t="s">
        <v>116</v>
      </c>
      <c r="E22" s="5" t="s">
        <v>237</v>
      </c>
      <c r="F22" s="5" t="s">
        <v>118</v>
      </c>
      <c r="G22" s="5" t="s">
        <v>116</v>
      </c>
      <c r="H22" s="5" t="s">
        <v>119</v>
      </c>
      <c r="I22" s="5" t="s">
        <v>120</v>
      </c>
      <c r="J22" s="5" t="s">
        <v>238</v>
      </c>
      <c r="K22" s="5" t="s">
        <v>514</v>
      </c>
      <c r="L22" s="5" t="s">
        <v>515</v>
      </c>
      <c r="M22" s="5" t="s">
        <v>516</v>
      </c>
      <c r="N22" s="5" t="s">
        <v>517</v>
      </c>
      <c r="O22" s="5" t="s">
        <v>518</v>
      </c>
      <c r="P22" s="532"/>
    </row>
    <row r="23" ht="15" spans="2:16">
      <c r="B23" s="310"/>
      <c r="C23" s="100"/>
      <c r="D23" s="5" t="s">
        <v>127</v>
      </c>
      <c r="E23" s="5" t="s">
        <v>128</v>
      </c>
      <c r="F23" s="5" t="s">
        <v>129</v>
      </c>
      <c r="G23" s="5" t="s">
        <v>127</v>
      </c>
      <c r="H23" s="5" t="s">
        <v>130</v>
      </c>
      <c r="I23" s="5" t="s">
        <v>131</v>
      </c>
      <c r="J23" s="5" t="s">
        <v>131</v>
      </c>
      <c r="K23" s="5" t="s">
        <v>132</v>
      </c>
      <c r="L23" s="5" t="s">
        <v>132</v>
      </c>
      <c r="M23" s="5" t="s">
        <v>132</v>
      </c>
      <c r="N23" s="5" t="s">
        <v>132</v>
      </c>
      <c r="O23" s="5" t="s">
        <v>132</v>
      </c>
      <c r="P23" s="532"/>
    </row>
    <row r="24" spans="2:16">
      <c r="B24" s="100">
        <v>1</v>
      </c>
      <c r="C24" s="312" t="s">
        <v>712</v>
      </c>
      <c r="D24" s="333"/>
      <c r="E24" s="351"/>
      <c r="F24" s="352"/>
      <c r="G24" s="334"/>
      <c r="H24" s="351"/>
      <c r="I24" s="351"/>
      <c r="J24" s="352"/>
      <c r="K24" s="351">
        <f>'[6]Int on Working cap'!E65</f>
        <v>293.392469560136</v>
      </c>
      <c r="L24" s="351">
        <f>'[6]Int on Working cap'!F65</f>
        <v>316.215326581069</v>
      </c>
      <c r="M24" s="351">
        <f>'[6]Int on Working cap'!G65</f>
        <v>397.740904734591</v>
      </c>
      <c r="N24" s="351">
        <f>'[6]Int on Working cap'!H65</f>
        <v>428.72103206114</v>
      </c>
      <c r="O24" s="351">
        <f>'[6]Int on Working cap'!I65</f>
        <v>461.866143287922</v>
      </c>
      <c r="P24" s="532"/>
    </row>
    <row r="25" spans="2:16">
      <c r="B25" s="100">
        <f t="shared" ref="B25:B32" si="5">B24+1</f>
        <v>2</v>
      </c>
      <c r="C25" s="342" t="s">
        <v>713</v>
      </c>
      <c r="D25" s="333"/>
      <c r="E25" s="351"/>
      <c r="F25" s="352"/>
      <c r="G25" s="334"/>
      <c r="H25" s="351"/>
      <c r="I25" s="351"/>
      <c r="J25" s="352"/>
      <c r="K25" s="351">
        <f>'[6]Int on Working cap'!E66</f>
        <v>206.608841552051</v>
      </c>
      <c r="L25" s="351">
        <f>'[6]Int on Working cap'!F66</f>
        <v>243.483761068957</v>
      </c>
      <c r="M25" s="351">
        <f>'[6]Int on Working cap'!G66</f>
        <v>292.055850814252</v>
      </c>
      <c r="N25" s="351">
        <f>'[6]Int on Working cap'!H66</f>
        <v>353.560587400483</v>
      </c>
      <c r="O25" s="351">
        <f>'[6]Int on Working cap'!I66</f>
        <v>420.240703949171</v>
      </c>
      <c r="P25" s="532"/>
    </row>
    <row r="26" spans="2:16">
      <c r="B26" s="100">
        <f t="shared" si="5"/>
        <v>3</v>
      </c>
      <c r="C26" s="312" t="s">
        <v>714</v>
      </c>
      <c r="D26" s="333"/>
      <c r="E26" s="351"/>
      <c r="F26" s="352"/>
      <c r="G26" s="334"/>
      <c r="H26" s="351"/>
      <c r="I26" s="351"/>
      <c r="J26" s="352"/>
      <c r="K26" s="351">
        <f>'[6]Int on Working cap'!E67</f>
        <v>698.922212702711</v>
      </c>
      <c r="L26" s="351">
        <f>'[6]Int on Working cap'!F67</f>
        <v>804.833834832004</v>
      </c>
      <c r="M26" s="351">
        <f>'[6]Int on Working cap'!G67</f>
        <v>1037.63156755944</v>
      </c>
      <c r="N26" s="351">
        <f>'[6]Int on Working cap'!H67</f>
        <v>1202.02381058523</v>
      </c>
      <c r="O26" s="351">
        <f>'[6]Int on Working cap'!I67</f>
        <v>1376.5118160326</v>
      </c>
      <c r="P26" s="532"/>
    </row>
    <row r="27" spans="2:16">
      <c r="B27" s="100"/>
      <c r="C27" s="312" t="s">
        <v>147</v>
      </c>
      <c r="D27" s="333"/>
      <c r="E27" s="351"/>
      <c r="F27" s="352"/>
      <c r="G27" s="334"/>
      <c r="H27" s="351"/>
      <c r="I27" s="351"/>
      <c r="J27" s="352"/>
      <c r="K27" s="55"/>
      <c r="L27" s="55"/>
      <c r="M27" s="55"/>
      <c r="N27" s="55"/>
      <c r="O27" s="55"/>
      <c r="P27" s="532"/>
    </row>
    <row r="28" spans="2:16">
      <c r="B28" s="100">
        <f>B26+1</f>
        <v>4</v>
      </c>
      <c r="C28" s="55" t="s">
        <v>715</v>
      </c>
      <c r="D28" s="333"/>
      <c r="E28" s="351"/>
      <c r="F28" s="352"/>
      <c r="G28" s="334"/>
      <c r="H28" s="351"/>
      <c r="I28" s="351"/>
      <c r="J28" s="352"/>
      <c r="K28" s="55"/>
      <c r="L28" s="55"/>
      <c r="M28" s="55"/>
      <c r="N28" s="55"/>
      <c r="O28" s="55"/>
      <c r="P28" s="532"/>
    </row>
    <row r="29" ht="28.5" spans="2:16">
      <c r="B29" s="100">
        <f>B28+1</f>
        <v>5</v>
      </c>
      <c r="C29" s="312" t="s">
        <v>716</v>
      </c>
      <c r="D29" s="333"/>
      <c r="E29" s="351"/>
      <c r="F29" s="352"/>
      <c r="G29" s="334"/>
      <c r="H29" s="351"/>
      <c r="I29" s="351"/>
      <c r="J29" s="352"/>
      <c r="K29" s="351"/>
      <c r="L29" s="351"/>
      <c r="M29" s="351"/>
      <c r="N29" s="351"/>
      <c r="O29" s="351"/>
      <c r="P29" s="532"/>
    </row>
    <row r="30" spans="2:16">
      <c r="B30" s="100">
        <f>B29+1</f>
        <v>6</v>
      </c>
      <c r="C30" s="55" t="s">
        <v>717</v>
      </c>
      <c r="D30" s="333"/>
      <c r="E30" s="351"/>
      <c r="F30" s="352"/>
      <c r="G30" s="334"/>
      <c r="H30" s="351"/>
      <c r="I30" s="351"/>
      <c r="J30" s="352"/>
      <c r="K30" s="351">
        <f>'[6]Int on Working cap'!E70</f>
        <v>1198.9235238149</v>
      </c>
      <c r="L30" s="351">
        <f>'[6]Int on Working cap'!F70</f>
        <v>1364.53292248203</v>
      </c>
      <c r="M30" s="351">
        <f>'[6]Int on Working cap'!G70</f>
        <v>1727.42832310828</v>
      </c>
      <c r="N30" s="351">
        <f>'[6]Int on Working cap'!H70</f>
        <v>1984.30543004685</v>
      </c>
      <c r="O30" s="351">
        <f>'[6]Int on Working cap'!I70</f>
        <v>2258.6186632697</v>
      </c>
      <c r="P30" s="532"/>
    </row>
    <row r="31" spans="2:16">
      <c r="B31" s="100">
        <f t="shared" si="5"/>
        <v>7</v>
      </c>
      <c r="C31" s="55" t="s">
        <v>718</v>
      </c>
      <c r="D31" s="333"/>
      <c r="E31" s="351"/>
      <c r="F31" s="352"/>
      <c r="G31" s="334"/>
      <c r="H31" s="351"/>
      <c r="I31" s="351"/>
      <c r="J31" s="352"/>
      <c r="K31" s="364">
        <f>'[6]Int on Working cap'!E71</f>
        <v>0.1015</v>
      </c>
      <c r="L31" s="364">
        <f>'[6]Int on Working cap'!F71</f>
        <v>0.1015</v>
      </c>
      <c r="M31" s="364">
        <f>'[6]Int on Working cap'!G71</f>
        <v>0.1015</v>
      </c>
      <c r="N31" s="364">
        <f>'[6]Int on Working cap'!H71</f>
        <v>0.1015</v>
      </c>
      <c r="O31" s="364">
        <f>'[6]Int on Working cap'!I71</f>
        <v>0.1015</v>
      </c>
      <c r="P31" s="532"/>
    </row>
    <row r="32" spans="2:16">
      <c r="B32" s="100">
        <f t="shared" si="5"/>
        <v>8</v>
      </c>
      <c r="C32" s="312" t="s">
        <v>58</v>
      </c>
      <c r="D32" s="333"/>
      <c r="E32" s="352"/>
      <c r="F32" s="352"/>
      <c r="G32" s="334"/>
      <c r="H32" s="352"/>
      <c r="I32" s="352"/>
      <c r="J32" s="352"/>
      <c r="K32" s="352">
        <f>'[6]Int on Working cap'!E72</f>
        <v>121.690737667212</v>
      </c>
      <c r="L32" s="352">
        <f>'[6]Int on Working cap'!F72</f>
        <v>138</v>
      </c>
      <c r="M32" s="352">
        <f>'[6]Int on Working cap'!G72</f>
        <v>175.33397479549</v>
      </c>
      <c r="N32" s="352">
        <f>'[6]Int on Working cap'!H72</f>
        <v>201.407001149755</v>
      </c>
      <c r="O32" s="352">
        <f>'[6]Int on Working cap'!I72</f>
        <v>229.249794321874</v>
      </c>
      <c r="P32" s="532"/>
    </row>
    <row r="34" ht="15" spans="2:12">
      <c r="B34" s="322" t="s">
        <v>818</v>
      </c>
      <c r="C34" s="14"/>
      <c r="D34" s="117"/>
      <c r="E34" s="117"/>
      <c r="F34" s="117"/>
      <c r="G34" s="117"/>
      <c r="H34" s="117"/>
      <c r="I34" s="117"/>
      <c r="J34" s="117"/>
      <c r="K34" s="117"/>
      <c r="L34" s="117"/>
    </row>
    <row r="35" ht="15" spans="15:15">
      <c r="O35" s="33" t="s">
        <v>109</v>
      </c>
    </row>
    <row r="36" ht="14.1" customHeight="1" spans="2:15">
      <c r="B36" s="16" t="s">
        <v>3</v>
      </c>
      <c r="C36" s="6" t="s">
        <v>110</v>
      </c>
      <c r="D36" s="306" t="s">
        <v>112</v>
      </c>
      <c r="E36" s="307"/>
      <c r="F36" s="308"/>
      <c r="G36" s="306" t="s">
        <v>760</v>
      </c>
      <c r="H36" s="307"/>
      <c r="I36" s="307"/>
      <c r="J36" s="307"/>
      <c r="K36" s="135" t="s">
        <v>114</v>
      </c>
      <c r="L36" s="135"/>
      <c r="M36" s="135"/>
      <c r="N36" s="135"/>
      <c r="O36" s="135"/>
    </row>
    <row r="37" ht="30" spans="2:16">
      <c r="B37" s="309"/>
      <c r="C37" s="6"/>
      <c r="D37" s="5" t="s">
        <v>116</v>
      </c>
      <c r="E37" s="5" t="s">
        <v>237</v>
      </c>
      <c r="F37" s="5" t="s">
        <v>118</v>
      </c>
      <c r="G37" s="5" t="s">
        <v>116</v>
      </c>
      <c r="H37" s="5" t="s">
        <v>119</v>
      </c>
      <c r="I37" s="5" t="s">
        <v>120</v>
      </c>
      <c r="J37" s="5" t="s">
        <v>238</v>
      </c>
      <c r="K37" s="5" t="s">
        <v>514</v>
      </c>
      <c r="L37" s="5" t="s">
        <v>515</v>
      </c>
      <c r="M37" s="5" t="s">
        <v>516</v>
      </c>
      <c r="N37" s="5" t="s">
        <v>517</v>
      </c>
      <c r="O37" s="5" t="s">
        <v>518</v>
      </c>
      <c r="P37" s="533"/>
    </row>
    <row r="38" ht="15" spans="2:16">
      <c r="B38" s="310"/>
      <c r="C38" s="100"/>
      <c r="D38" s="5" t="s">
        <v>127</v>
      </c>
      <c r="E38" s="5" t="s">
        <v>128</v>
      </c>
      <c r="F38" s="5" t="s">
        <v>129</v>
      </c>
      <c r="G38" s="5" t="s">
        <v>127</v>
      </c>
      <c r="H38" s="5" t="s">
        <v>130</v>
      </c>
      <c r="I38" s="5" t="s">
        <v>131</v>
      </c>
      <c r="J38" s="5" t="s">
        <v>131</v>
      </c>
      <c r="K38" s="5" t="s">
        <v>132</v>
      </c>
      <c r="L38" s="5" t="s">
        <v>132</v>
      </c>
      <c r="M38" s="5" t="s">
        <v>132</v>
      </c>
      <c r="N38" s="5" t="s">
        <v>132</v>
      </c>
      <c r="O38" s="5" t="s">
        <v>132</v>
      </c>
      <c r="P38" s="533"/>
    </row>
    <row r="39" spans="2:16">
      <c r="B39" s="100">
        <v>1</v>
      </c>
      <c r="C39" s="312" t="s">
        <v>712</v>
      </c>
      <c r="D39" s="333"/>
      <c r="E39" s="351"/>
      <c r="F39" s="352"/>
      <c r="G39" s="334"/>
      <c r="H39" s="351"/>
      <c r="I39" s="351"/>
      <c r="J39" s="352"/>
      <c r="K39" s="360">
        <f>[53]IOWC_SP!C3</f>
        <v>32.5991632844595</v>
      </c>
      <c r="L39" s="360">
        <f>[53]IOWC_SP!D3</f>
        <v>35.1350362867854</v>
      </c>
      <c r="M39" s="360">
        <f>[53]IOWC_SP!E3</f>
        <v>44.193433859399</v>
      </c>
      <c r="N39" s="360">
        <f>[53]IOWC_SP!F3</f>
        <v>47.6356702290156</v>
      </c>
      <c r="O39" s="360">
        <f>[53]IOWC_SP!G3</f>
        <v>51.3184603653247</v>
      </c>
      <c r="P39" s="533"/>
    </row>
    <row r="40" spans="2:16">
      <c r="B40" s="100">
        <f t="shared" ref="B40:B47" si="6">B39+1</f>
        <v>2</v>
      </c>
      <c r="C40" s="342" t="s">
        <v>713</v>
      </c>
      <c r="D40" s="333"/>
      <c r="E40" s="351"/>
      <c r="F40" s="352"/>
      <c r="G40" s="334"/>
      <c r="H40" s="351"/>
      <c r="I40" s="351"/>
      <c r="J40" s="352"/>
      <c r="K40" s="360">
        <f>[53]IOWC_SP!C4</f>
        <v>22.9565379502279</v>
      </c>
      <c r="L40" s="360">
        <f>[53]IOWC_SP!D4</f>
        <v>27.0537512298841</v>
      </c>
      <c r="M40" s="360">
        <f>[53]IOWC_SP!E4</f>
        <v>32.4506500904725</v>
      </c>
      <c r="N40" s="360">
        <f>[53]IOWC_SP!F4</f>
        <v>39.2845097111648</v>
      </c>
      <c r="O40" s="360">
        <f>[53]IOWC_SP!G4</f>
        <v>46.6934115499079</v>
      </c>
      <c r="P40" s="533"/>
    </row>
    <row r="41" spans="2:16">
      <c r="B41" s="100">
        <f t="shared" si="6"/>
        <v>3</v>
      </c>
      <c r="C41" s="312" t="s">
        <v>714</v>
      </c>
      <c r="D41" s="333"/>
      <c r="E41" s="351"/>
      <c r="F41" s="352"/>
      <c r="G41" s="334"/>
      <c r="H41" s="351"/>
      <c r="I41" s="351"/>
      <c r="J41" s="352"/>
      <c r="K41" s="360">
        <f>[53]IOWC_SP!C5</f>
        <v>6705.77436854548</v>
      </c>
      <c r="L41" s="360">
        <f>[53]IOWC_SP!D5</f>
        <v>8051.15825866891</v>
      </c>
      <c r="M41" s="360">
        <f>[53]IOWC_SP!E5</f>
        <v>9008.05267624204</v>
      </c>
      <c r="N41" s="360">
        <f>[53]IOWC_SP!F5</f>
        <v>10156.3189662563</v>
      </c>
      <c r="O41" s="360">
        <f>[53]IOWC_SP!G5</f>
        <v>11217.2097358269</v>
      </c>
      <c r="P41" s="533"/>
    </row>
    <row r="42" spans="2:16">
      <c r="B42" s="100"/>
      <c r="C42" s="312" t="s">
        <v>147</v>
      </c>
      <c r="D42" s="333"/>
      <c r="E42" s="351"/>
      <c r="F42" s="352"/>
      <c r="G42" s="334"/>
      <c r="H42" s="351"/>
      <c r="I42" s="351"/>
      <c r="J42" s="352"/>
      <c r="K42" s="345"/>
      <c r="L42" s="345"/>
      <c r="M42" s="345"/>
      <c r="N42" s="345"/>
      <c r="O42" s="345"/>
      <c r="P42" s="533"/>
    </row>
    <row r="43" spans="2:16">
      <c r="B43" s="100">
        <f>B41+1</f>
        <v>4</v>
      </c>
      <c r="C43" s="55" t="s">
        <v>715</v>
      </c>
      <c r="D43" s="333"/>
      <c r="E43" s="351"/>
      <c r="F43" s="352"/>
      <c r="G43" s="334"/>
      <c r="H43" s="351"/>
      <c r="I43" s="351"/>
      <c r="J43" s="352"/>
      <c r="K43" s="524">
        <f>[53]IOWC_SP!C7</f>
        <v>4790.83632204228</v>
      </c>
      <c r="L43" s="524">
        <f>[53]IOWC_SP!D7</f>
        <v>4902.07623104599</v>
      </c>
      <c r="M43" s="524">
        <f>[53]IOWC_SP!E7</f>
        <v>5022.61062304584</v>
      </c>
      <c r="N43" s="524">
        <f>[53]IOWC_SP!F7</f>
        <v>5151.89334325817</v>
      </c>
      <c r="O43" s="524">
        <f>[53]IOWC_SP!G7</f>
        <v>5291.79272078446</v>
      </c>
      <c r="P43" s="533"/>
    </row>
    <row r="44" ht="28.5" spans="2:16">
      <c r="B44" s="100">
        <f>B43+1</f>
        <v>5</v>
      </c>
      <c r="C44" s="312" t="s">
        <v>716</v>
      </c>
      <c r="D44" s="333"/>
      <c r="E44" s="351"/>
      <c r="F44" s="352"/>
      <c r="G44" s="334"/>
      <c r="H44" s="351"/>
      <c r="I44" s="351"/>
      <c r="J44" s="352"/>
      <c r="K44" s="337">
        <f>[53]IOWC_SP!C8</f>
        <v>4290.55737564023</v>
      </c>
      <c r="L44" s="337">
        <f>[53]IOWC_SP!D8</f>
        <v>5192.65323210032</v>
      </c>
      <c r="M44" s="337">
        <f>[53]IOWC_SP!E8</f>
        <v>5676.58072271561</v>
      </c>
      <c r="N44" s="337">
        <f>[53]IOWC_SP!F8</f>
        <v>6372.34429836509</v>
      </c>
      <c r="O44" s="337">
        <f>[53]IOWC_SP!G8</f>
        <v>6992.44117818403</v>
      </c>
      <c r="P44" s="533"/>
    </row>
    <row r="45" spans="2:16">
      <c r="B45" s="100">
        <f>B44+1</f>
        <v>6</v>
      </c>
      <c r="C45" s="55" t="s">
        <v>717</v>
      </c>
      <c r="D45" s="333"/>
      <c r="E45" s="351"/>
      <c r="F45" s="352"/>
      <c r="G45" s="334"/>
      <c r="H45" s="351"/>
      <c r="I45" s="351"/>
      <c r="J45" s="352"/>
      <c r="K45" s="337">
        <f>SUM(K39:K41)-SUM(K43:K44)</f>
        <v>-2320.06362790234</v>
      </c>
      <c r="L45" s="337">
        <f t="shared" ref="L45:O45" si="7">SUM(L39:L41)-SUM(L43:L44)</f>
        <v>-1981.38241696073</v>
      </c>
      <c r="M45" s="337">
        <f t="shared" si="7"/>
        <v>-1614.49458556954</v>
      </c>
      <c r="N45" s="337">
        <f t="shared" si="7"/>
        <v>-1280.99849542678</v>
      </c>
      <c r="O45" s="337">
        <f t="shared" si="7"/>
        <v>-969.012291226358</v>
      </c>
      <c r="P45" s="533"/>
    </row>
    <row r="46" spans="2:16">
      <c r="B46" s="100">
        <f t="shared" si="6"/>
        <v>7</v>
      </c>
      <c r="C46" s="55" t="s">
        <v>718</v>
      </c>
      <c r="D46" s="333"/>
      <c r="E46" s="351"/>
      <c r="F46" s="352"/>
      <c r="G46" s="334"/>
      <c r="H46" s="351"/>
      <c r="I46" s="351"/>
      <c r="J46" s="352"/>
      <c r="K46" s="362">
        <f>K31</f>
        <v>0.1015</v>
      </c>
      <c r="L46" s="362">
        <f t="shared" ref="L46:O46" si="8">L31</f>
        <v>0.1015</v>
      </c>
      <c r="M46" s="362">
        <f t="shared" si="8"/>
        <v>0.1015</v>
      </c>
      <c r="N46" s="362">
        <f t="shared" si="8"/>
        <v>0.1015</v>
      </c>
      <c r="O46" s="362">
        <f t="shared" si="8"/>
        <v>0.1015</v>
      </c>
      <c r="P46" s="533"/>
    </row>
    <row r="47" spans="2:16">
      <c r="B47" s="100">
        <f t="shared" si="6"/>
        <v>8</v>
      </c>
      <c r="C47" s="312" t="s">
        <v>58</v>
      </c>
      <c r="D47" s="333"/>
      <c r="E47" s="352"/>
      <c r="F47" s="352"/>
      <c r="G47" s="334"/>
      <c r="H47" s="352"/>
      <c r="I47" s="352"/>
      <c r="J47" s="352"/>
      <c r="K47" s="365">
        <f>IF(K45&lt;0,0,K45*K46)</f>
        <v>0</v>
      </c>
      <c r="L47" s="365">
        <f t="shared" ref="L47:O47" si="9">IF(L45&lt;0,0,L45*L46)</f>
        <v>0</v>
      </c>
      <c r="M47" s="365">
        <f t="shared" si="9"/>
        <v>0</v>
      </c>
      <c r="N47" s="365">
        <f t="shared" si="9"/>
        <v>0</v>
      </c>
      <c r="O47" s="365">
        <f t="shared" si="9"/>
        <v>0</v>
      </c>
      <c r="P47" s="533"/>
    </row>
    <row r="50" ht="15" spans="2:2">
      <c r="B50" s="11" t="s">
        <v>819</v>
      </c>
    </row>
    <row r="52" ht="15" spans="2:9">
      <c r="B52" s="55"/>
      <c r="C52" s="55"/>
      <c r="D52" s="135" t="s">
        <v>820</v>
      </c>
      <c r="E52" s="135" t="s">
        <v>821</v>
      </c>
      <c r="F52" s="135" t="s">
        <v>822</v>
      </c>
      <c r="G52" s="135" t="s">
        <v>823</v>
      </c>
      <c r="H52" s="135" t="s">
        <v>824</v>
      </c>
      <c r="I52" s="135" t="s">
        <v>825</v>
      </c>
    </row>
    <row r="53" spans="2:9">
      <c r="B53" s="353" t="s">
        <v>283</v>
      </c>
      <c r="C53" s="354" t="s">
        <v>826</v>
      </c>
      <c r="D53" s="355">
        <f>'[58]TSSPDCL_Int on CSD_13k GAP'!F8</f>
        <v>4581</v>
      </c>
      <c r="E53" s="355">
        <f>'[58]TSSPDCL_Int on CSD_13k GAP'!G8</f>
        <v>4663</v>
      </c>
      <c r="F53" s="355"/>
      <c r="G53" s="355"/>
      <c r="H53" s="355"/>
      <c r="I53" s="355"/>
    </row>
    <row r="54" spans="2:9">
      <c r="B54" s="353" t="s">
        <v>285</v>
      </c>
      <c r="C54" s="354" t="s">
        <v>827</v>
      </c>
      <c r="D54" s="355">
        <f>'[58]TSSPDCL_Int on CSD_13k GAP'!F9</f>
        <v>82</v>
      </c>
      <c r="E54" s="355">
        <f>'[58]TSSPDCL_Int on CSD_13k GAP'!G9</f>
        <v>633.586474452158</v>
      </c>
      <c r="F54" s="355"/>
      <c r="G54" s="355"/>
      <c r="H54" s="355"/>
      <c r="I54" s="355"/>
    </row>
    <row r="55" spans="2:9">
      <c r="B55" s="353" t="s">
        <v>828</v>
      </c>
      <c r="C55" s="354" t="s">
        <v>829</v>
      </c>
      <c r="D55" s="355">
        <f>'[58]TSSPDCL_Int on CSD_13k GAP'!F10</f>
        <v>4663</v>
      </c>
      <c r="E55" s="355">
        <f>'[58]TSSPDCL_Int on CSD_13k GAP'!G10</f>
        <v>5296.58647445216</v>
      </c>
      <c r="F55" s="355"/>
      <c r="G55" s="355"/>
      <c r="H55" s="355"/>
      <c r="I55" s="355"/>
    </row>
    <row r="56" spans="2:9">
      <c r="B56" s="353" t="s">
        <v>830</v>
      </c>
      <c r="C56" s="354" t="s">
        <v>831</v>
      </c>
      <c r="D56" s="355">
        <f>'[58]TSSPDCL_Int on CSD_13k GAP'!F11</f>
        <v>4622</v>
      </c>
      <c r="E56" s="355">
        <f>'[58]TSSPDCL_Int on CSD_13k GAP'!G11</f>
        <v>4979.79323722608</v>
      </c>
      <c r="F56" s="355"/>
      <c r="G56" s="355"/>
      <c r="H56" s="355"/>
      <c r="I56" s="355"/>
    </row>
    <row r="57" ht="15" spans="2:9">
      <c r="B57" s="353" t="s">
        <v>832</v>
      </c>
      <c r="C57" s="354" t="s">
        <v>833</v>
      </c>
      <c r="D57" s="530">
        <f>'[58]TSSPDCL_Int on CSD_13k GAP'!F12</f>
        <v>0.0675</v>
      </c>
      <c r="E57" s="530">
        <f>'[58]TSSPDCL_Int on CSD_13k GAP'!G12</f>
        <v>0.065</v>
      </c>
      <c r="F57" s="356"/>
      <c r="G57" s="356"/>
      <c r="H57" s="356"/>
      <c r="I57" s="356"/>
    </row>
    <row r="58" ht="15" spans="2:9">
      <c r="B58" s="357" t="s">
        <v>834</v>
      </c>
      <c r="C58" s="358" t="s">
        <v>835</v>
      </c>
      <c r="D58" s="531">
        <f>'[58]TSSPDCL_Int on CSD_13k GAP'!F13</f>
        <v>311.985</v>
      </c>
      <c r="E58" s="531">
        <f>'[58]TSSPDCL_Int on CSD_13k GAP'!G13</f>
        <v>323.686560419695</v>
      </c>
      <c r="F58" s="531">
        <f>'[58]TSSPDCL_Int on CSD_13k GAP'!H15</f>
        <v>333.397157232286</v>
      </c>
      <c r="G58" s="531">
        <f>'[58]TSSPDCL_Int on CSD_13k GAP'!I15</f>
        <v>343.399071949255</v>
      </c>
      <c r="H58" s="531">
        <f>'[58]TSSPDCL_Int on CSD_13k GAP'!J15</f>
        <v>353.701044107732</v>
      </c>
      <c r="I58" s="531">
        <f>'[58]TSSPDCL_Int on CSD_13k GAP'!K15</f>
        <v>364.312075430964</v>
      </c>
    </row>
  </sheetData>
  <mergeCells count="17">
    <mergeCell ref="D6:F6"/>
    <mergeCell ref="G6:J6"/>
    <mergeCell ref="K6:O6"/>
    <mergeCell ref="D21:F21"/>
    <mergeCell ref="G21:J21"/>
    <mergeCell ref="K21:O21"/>
    <mergeCell ref="D36:F36"/>
    <mergeCell ref="G36:J36"/>
    <mergeCell ref="K36:O36"/>
    <mergeCell ref="B6:B8"/>
    <mergeCell ref="B21:B23"/>
    <mergeCell ref="B36:B38"/>
    <mergeCell ref="C6:C8"/>
    <mergeCell ref="C21:C23"/>
    <mergeCell ref="C36:C38"/>
    <mergeCell ref="P22:P32"/>
    <mergeCell ref="P37:P47"/>
  </mergeCells>
  <pageMargins left="1.02" right="0.25" top="1" bottom="1" header="0.25" footer="0.25"/>
  <pageSetup paperSize="9" scale="61" orientation="landscape"/>
  <headerFooter alignWithMargins="0">
    <oddHeader>&amp;C&amp;F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  <pageSetUpPr fitToPage="1"/>
  </sheetPr>
  <dimension ref="B1:O59"/>
  <sheetViews>
    <sheetView showGridLines="0" zoomScale="69" zoomScaleNormal="69" zoomScaleSheetLayoutView="90" topLeftCell="B21" workbookViewId="0">
      <selection activeCell="R21" sqref="R21"/>
    </sheetView>
  </sheetViews>
  <sheetFormatPr defaultColWidth="9.14285714285714" defaultRowHeight="14.25"/>
  <cols>
    <col min="1" max="1" width="4.14285714285714" style="12" customWidth="1"/>
    <col min="2" max="2" width="6.14285714285714" style="12" customWidth="1"/>
    <col min="3" max="3" width="51.1428571428571" style="12" customWidth="1"/>
    <col min="4" max="4" width="13.8571428571429" style="12" customWidth="1"/>
    <col min="5" max="5" width="12.5714285714286" style="12" customWidth="1"/>
    <col min="6" max="6" width="13.4285714285714" style="12" customWidth="1"/>
    <col min="7" max="7" width="13.8571428571429" style="12" customWidth="1"/>
    <col min="8" max="8" width="12.5714285714286" style="12" customWidth="1"/>
    <col min="9" max="9" width="13.1428571428571" style="12" customWidth="1"/>
    <col min="10" max="10" width="12.5714285714286" style="12" customWidth="1"/>
    <col min="11" max="11" width="13.5714285714286" style="12" customWidth="1"/>
    <col min="12" max="12" width="13.8571428571429" style="12" customWidth="1"/>
    <col min="13" max="18" width="11.8571428571429" style="12" customWidth="1"/>
    <col min="19" max="16384" width="9.14285714285714" style="12"/>
  </cols>
  <sheetData>
    <row r="1" ht="15" spans="2:2">
      <c r="B1" s="14"/>
    </row>
    <row r="2" ht="15" spans="8:8">
      <c r="H2" s="2" t="s">
        <v>758</v>
      </c>
    </row>
    <row r="3" ht="15" spans="8:8">
      <c r="H3" s="3" t="s">
        <v>719</v>
      </c>
    </row>
    <row r="4" ht="15" spans="2:12">
      <c r="B4" s="322" t="s">
        <v>763</v>
      </c>
      <c r="C4" s="14"/>
      <c r="D4" s="117"/>
      <c r="E4" s="117"/>
      <c r="F4" s="117"/>
      <c r="G4" s="117"/>
      <c r="H4" s="117"/>
      <c r="I4" s="117"/>
      <c r="J4" s="117"/>
      <c r="K4" s="117"/>
      <c r="L4" s="117"/>
    </row>
    <row r="5" ht="15" spans="15:15">
      <c r="O5" s="33" t="s">
        <v>109</v>
      </c>
    </row>
    <row r="6" s="15" customFormat="1" ht="15" customHeight="1" spans="2:15">
      <c r="B6" s="16" t="s">
        <v>3</v>
      </c>
      <c r="C6" s="6" t="s">
        <v>110</v>
      </c>
      <c r="D6" s="306" t="s">
        <v>112</v>
      </c>
      <c r="E6" s="307"/>
      <c r="F6" s="308"/>
      <c r="G6" s="306" t="s">
        <v>760</v>
      </c>
      <c r="H6" s="307"/>
      <c r="I6" s="307"/>
      <c r="J6" s="307"/>
      <c r="K6" s="135" t="s">
        <v>114</v>
      </c>
      <c r="L6" s="135"/>
      <c r="M6" s="135"/>
      <c r="N6" s="135"/>
      <c r="O6" s="135"/>
    </row>
    <row r="7" s="15" customFormat="1" ht="30" spans="2:15">
      <c r="B7" s="309"/>
      <c r="C7" s="6"/>
      <c r="D7" s="5" t="s">
        <v>116</v>
      </c>
      <c r="E7" s="5" t="s">
        <v>237</v>
      </c>
      <c r="F7" s="5" t="s">
        <v>118</v>
      </c>
      <c r="G7" s="5" t="s">
        <v>116</v>
      </c>
      <c r="H7" s="5" t="s">
        <v>119</v>
      </c>
      <c r="I7" s="5" t="s">
        <v>120</v>
      </c>
      <c r="J7" s="5" t="s">
        <v>238</v>
      </c>
      <c r="K7" s="5" t="s">
        <v>514</v>
      </c>
      <c r="L7" s="5" t="s">
        <v>515</v>
      </c>
      <c r="M7" s="5" t="s">
        <v>516</v>
      </c>
      <c r="N7" s="5" t="s">
        <v>517</v>
      </c>
      <c r="O7" s="5" t="s">
        <v>518</v>
      </c>
    </row>
    <row r="8" s="15" customFormat="1" ht="15" spans="2:15">
      <c r="B8" s="310"/>
      <c r="C8" s="100"/>
      <c r="D8" s="5" t="s">
        <v>127</v>
      </c>
      <c r="E8" s="5" t="s">
        <v>128</v>
      </c>
      <c r="F8" s="5" t="s">
        <v>129</v>
      </c>
      <c r="G8" s="5" t="s">
        <v>127</v>
      </c>
      <c r="H8" s="5" t="s">
        <v>130</v>
      </c>
      <c r="I8" s="5" t="s">
        <v>131</v>
      </c>
      <c r="J8" s="5" t="s">
        <v>131</v>
      </c>
      <c r="K8" s="5" t="s">
        <v>132</v>
      </c>
      <c r="L8" s="5" t="s">
        <v>132</v>
      </c>
      <c r="M8" s="5" t="s">
        <v>132</v>
      </c>
      <c r="N8" s="5" t="s">
        <v>132</v>
      </c>
      <c r="O8" s="5" t="s">
        <v>132</v>
      </c>
    </row>
    <row r="9" spans="2:15">
      <c r="B9" s="311">
        <v>1</v>
      </c>
      <c r="C9" s="55" t="s">
        <v>720</v>
      </c>
      <c r="D9" s="20"/>
      <c r="E9" s="147">
        <f>E28+E47</f>
        <v>0</v>
      </c>
      <c r="F9" s="147">
        <f>E9-D9</f>
        <v>0</v>
      </c>
      <c r="G9" s="208"/>
      <c r="H9" s="147">
        <f t="shared" ref="H9:I13" si="0">H28+H47</f>
        <v>0</v>
      </c>
      <c r="I9" s="147">
        <f t="shared" si="0"/>
        <v>0</v>
      </c>
      <c r="J9" s="344">
        <f>H9+I9</f>
        <v>0</v>
      </c>
      <c r="K9" s="147">
        <f>[6]RoE!E4</f>
        <v>1479.46884454543</v>
      </c>
      <c r="L9" s="147">
        <f>[6]RoE!F4</f>
        <v>2296.37864933933</v>
      </c>
      <c r="M9" s="147">
        <f>[6]RoE!G4</f>
        <v>3432.34706722775</v>
      </c>
      <c r="N9" s="147">
        <f>[6]RoE!H4</f>
        <v>4929.65585884528</v>
      </c>
      <c r="O9" s="147">
        <f>[6]RoE!I4</f>
        <v>6566.86222597544</v>
      </c>
    </row>
    <row r="10" spans="2:15">
      <c r="B10" s="100">
        <f>B9+1</f>
        <v>2</v>
      </c>
      <c r="C10" s="55" t="s">
        <v>639</v>
      </c>
      <c r="D10" s="20"/>
      <c r="E10" s="147">
        <f>E29+E48</f>
        <v>0</v>
      </c>
      <c r="F10" s="147">
        <f t="shared" ref="F10:F21" si="1">E10-D10</f>
        <v>0</v>
      </c>
      <c r="G10" s="208"/>
      <c r="H10" s="147">
        <f t="shared" si="0"/>
        <v>0</v>
      </c>
      <c r="I10" s="147">
        <f t="shared" si="0"/>
        <v>0</v>
      </c>
      <c r="J10" s="344">
        <f>[56]F16.1!H17</f>
        <v>0</v>
      </c>
      <c r="K10" s="147">
        <f>[6]RoE!E5</f>
        <v>3301.78969721961</v>
      </c>
      <c r="L10" s="147">
        <f>[6]RoE!F5</f>
        <v>4598.55716444867</v>
      </c>
      <c r="M10" s="147">
        <f>[6]RoE!G5</f>
        <v>6030.26506254703</v>
      </c>
      <c r="N10" s="147">
        <f>[6]RoE!H5</f>
        <v>6599.35544001976</v>
      </c>
      <c r="O10" s="147">
        <f>[6]RoE!I5</f>
        <v>7033.58812516103</v>
      </c>
    </row>
    <row r="11" spans="2:15">
      <c r="B11" s="100">
        <f t="shared" ref="B11:B21" si="2">B10+1</f>
        <v>3</v>
      </c>
      <c r="C11" s="334" t="s">
        <v>721</v>
      </c>
      <c r="D11" s="20"/>
      <c r="E11" s="341">
        <f>E30+E49</f>
        <v>0</v>
      </c>
      <c r="F11" s="147">
        <f t="shared" si="1"/>
        <v>0</v>
      </c>
      <c r="G11" s="208"/>
      <c r="H11" s="341">
        <f t="shared" si="0"/>
        <v>0</v>
      </c>
      <c r="I11" s="341">
        <f t="shared" si="0"/>
        <v>0</v>
      </c>
      <c r="J11" s="344">
        <f>J10*30%</f>
        <v>0</v>
      </c>
      <c r="K11" s="147">
        <f>[6]RoE!E6</f>
        <v>825.447424304902</v>
      </c>
      <c r="L11" s="147">
        <f>[6]RoE!F6</f>
        <v>1149.63929111217</v>
      </c>
      <c r="M11" s="147">
        <f>[6]RoE!G6</f>
        <v>1507.56626563676</v>
      </c>
      <c r="N11" s="147">
        <f>[6]RoE!H6</f>
        <v>1649.83886000494</v>
      </c>
      <c r="O11" s="147">
        <f>[6]RoE!I6</f>
        <v>1758.39703129026</v>
      </c>
    </row>
    <row r="12" ht="28.5" spans="2:15">
      <c r="B12" s="100">
        <f t="shared" si="2"/>
        <v>4</v>
      </c>
      <c r="C12" s="312" t="s">
        <v>722</v>
      </c>
      <c r="D12" s="333"/>
      <c r="E12" s="341">
        <f t="shared" ref="E12:E13" si="3">E31+E50</f>
        <v>0</v>
      </c>
      <c r="F12" s="147">
        <f t="shared" si="1"/>
        <v>0</v>
      </c>
      <c r="G12" s="334"/>
      <c r="H12" s="341">
        <f t="shared" si="0"/>
        <v>0</v>
      </c>
      <c r="I12" s="341">
        <f t="shared" si="0"/>
        <v>0</v>
      </c>
      <c r="J12" s="344">
        <f>H12+I12</f>
        <v>0</v>
      </c>
      <c r="K12" s="147">
        <f>[6]RoE!E8</f>
        <v>0</v>
      </c>
      <c r="L12" s="147">
        <f>[6]RoE!F8</f>
        <v>0</v>
      </c>
      <c r="M12" s="147">
        <f>[6]RoE!G8</f>
        <v>0</v>
      </c>
      <c r="N12" s="147">
        <f>[6]RoE!H8</f>
        <v>0</v>
      </c>
      <c r="O12" s="147">
        <f>[6]RoE!I8</f>
        <v>0</v>
      </c>
    </row>
    <row r="13" s="11" customFormat="1" ht="15" spans="2:15">
      <c r="B13" s="100">
        <f t="shared" si="2"/>
        <v>5</v>
      </c>
      <c r="C13" s="342" t="s">
        <v>723</v>
      </c>
      <c r="D13" s="333"/>
      <c r="E13" s="341">
        <f t="shared" si="3"/>
        <v>0</v>
      </c>
      <c r="F13" s="147">
        <f t="shared" si="1"/>
        <v>0</v>
      </c>
      <c r="G13" s="334"/>
      <c r="H13" s="341">
        <f t="shared" si="0"/>
        <v>0</v>
      </c>
      <c r="I13" s="341">
        <f t="shared" si="0"/>
        <v>0</v>
      </c>
      <c r="J13" s="344">
        <f>H13+I13</f>
        <v>0</v>
      </c>
      <c r="K13" s="147">
        <f>[6]RoE!E9</f>
        <v>2296.37864933933</v>
      </c>
      <c r="L13" s="147">
        <f>[6]RoE!F9</f>
        <v>3432.34706722775</v>
      </c>
      <c r="M13" s="147">
        <f>[6]RoE!G9</f>
        <v>4929.65585884528</v>
      </c>
      <c r="N13" s="147">
        <f>[6]RoE!H9</f>
        <v>6566.86222597544</v>
      </c>
      <c r="O13" s="147">
        <f>[6]RoE!I9</f>
        <v>8313.12775155105</v>
      </c>
    </row>
    <row r="14" s="11" customFormat="1" ht="15" spans="2:15">
      <c r="B14" s="100"/>
      <c r="C14" s="211" t="s">
        <v>724</v>
      </c>
      <c r="D14" s="333"/>
      <c r="E14" s="334"/>
      <c r="F14" s="55"/>
      <c r="G14" s="334"/>
      <c r="H14" s="334"/>
      <c r="I14" s="334"/>
      <c r="J14" s="345"/>
      <c r="K14" s="55"/>
      <c r="L14" s="55"/>
      <c r="M14" s="55"/>
      <c r="N14" s="55"/>
      <c r="O14" s="55"/>
    </row>
    <row r="15" s="11" customFormat="1" ht="15" spans="2:15">
      <c r="B15" s="100">
        <f>B13+1</f>
        <v>6</v>
      </c>
      <c r="C15" s="342" t="s">
        <v>725</v>
      </c>
      <c r="D15" s="333"/>
      <c r="E15" s="334"/>
      <c r="F15" s="147">
        <f t="shared" si="1"/>
        <v>0</v>
      </c>
      <c r="G15" s="334"/>
      <c r="H15" s="334"/>
      <c r="I15" s="334"/>
      <c r="J15" s="344"/>
      <c r="K15" s="346">
        <f>[6]RoE!E11</f>
        <v>0.14</v>
      </c>
      <c r="L15" s="346">
        <f>[6]RoE!F11</f>
        <v>0.14</v>
      </c>
      <c r="M15" s="346">
        <f>[6]RoE!G11</f>
        <v>0.14</v>
      </c>
      <c r="N15" s="346">
        <f>[6]RoE!H11</f>
        <v>0.14</v>
      </c>
      <c r="O15" s="346">
        <f>[6]RoE!I11</f>
        <v>0.14</v>
      </c>
    </row>
    <row r="16" s="11" customFormat="1" ht="15" spans="2:15">
      <c r="B16" s="100">
        <f>B15+1</f>
        <v>7</v>
      </c>
      <c r="C16" s="342" t="s">
        <v>726</v>
      </c>
      <c r="D16" s="333"/>
      <c r="E16" s="334"/>
      <c r="F16" s="147">
        <f t="shared" si="1"/>
        <v>0</v>
      </c>
      <c r="G16" s="334"/>
      <c r="H16" s="334"/>
      <c r="I16" s="334"/>
      <c r="J16" s="344"/>
      <c r="K16" s="346">
        <f>[6]RoE!E12</f>
        <v>1</v>
      </c>
      <c r="L16" s="346">
        <f>[6]RoE!F12</f>
        <v>1</v>
      </c>
      <c r="M16" s="346">
        <f>[6]RoE!G12</f>
        <v>1</v>
      </c>
      <c r="N16" s="346">
        <f>[6]RoE!H12</f>
        <v>1</v>
      </c>
      <c r="O16" s="346">
        <f>[6]RoE!I12</f>
        <v>1</v>
      </c>
    </row>
    <row r="17" s="11" customFormat="1" ht="15" spans="2:15">
      <c r="B17" s="100">
        <f>B16+1</f>
        <v>8</v>
      </c>
      <c r="C17" s="343" t="s">
        <v>724</v>
      </c>
      <c r="D17" s="333"/>
      <c r="E17" s="341">
        <f>E15/(1-E16)</f>
        <v>0</v>
      </c>
      <c r="F17" s="147">
        <f t="shared" si="1"/>
        <v>0</v>
      </c>
      <c r="G17" s="334"/>
      <c r="H17" s="341">
        <f>H15/(1-H16)</f>
        <v>0</v>
      </c>
      <c r="I17" s="341">
        <f>I15/(1-I16)</f>
        <v>0</v>
      </c>
      <c r="J17" s="347">
        <f t="shared" ref="J17" si="4">J15/(1-J16)</f>
        <v>0</v>
      </c>
      <c r="K17" s="346">
        <f>[6]RoE!E13</f>
        <v>0.14</v>
      </c>
      <c r="L17" s="346">
        <f>[6]RoE!F13</f>
        <v>0.14</v>
      </c>
      <c r="M17" s="346">
        <f>[6]RoE!G13</f>
        <v>0.14</v>
      </c>
      <c r="N17" s="346">
        <f>[6]RoE!H13</f>
        <v>0.14</v>
      </c>
      <c r="O17" s="346">
        <f>[6]RoE!I13</f>
        <v>0.14</v>
      </c>
    </row>
    <row r="18" ht="15" spans="2:15">
      <c r="B18" s="100"/>
      <c r="C18" s="211" t="s">
        <v>727</v>
      </c>
      <c r="D18" s="333"/>
      <c r="E18" s="334"/>
      <c r="F18" s="55"/>
      <c r="G18" s="334"/>
      <c r="H18" s="334"/>
      <c r="I18" s="334"/>
      <c r="J18" s="345"/>
      <c r="K18" s="55"/>
      <c r="L18" s="55"/>
      <c r="M18" s="55"/>
      <c r="N18" s="55"/>
      <c r="O18" s="55"/>
    </row>
    <row r="19" ht="28.5" spans="2:15">
      <c r="B19" s="100">
        <f>B17+1</f>
        <v>9</v>
      </c>
      <c r="C19" s="312" t="s">
        <v>728</v>
      </c>
      <c r="D19" s="333"/>
      <c r="E19" s="341">
        <f>E38+E57</f>
        <v>0</v>
      </c>
      <c r="F19" s="147">
        <f t="shared" si="1"/>
        <v>0</v>
      </c>
      <c r="G19" s="334"/>
      <c r="H19" s="341">
        <f t="shared" ref="H19:J20" si="5">H38+H57</f>
        <v>0</v>
      </c>
      <c r="I19" s="341">
        <f t="shared" si="5"/>
        <v>0</v>
      </c>
      <c r="J19" s="347">
        <f t="shared" si="5"/>
        <v>0</v>
      </c>
      <c r="K19" s="147">
        <f>[6]RoE!E15</f>
        <v>207.12563823636</v>
      </c>
      <c r="L19" s="147">
        <f>[6]RoE!F15</f>
        <v>321.493010907506</v>
      </c>
      <c r="M19" s="147">
        <f>[6]RoE!G15</f>
        <v>480.528589411885</v>
      </c>
      <c r="N19" s="147">
        <f>[6]RoE!H15</f>
        <v>690.151820238339</v>
      </c>
      <c r="O19" s="147">
        <f>[6]RoE!I15</f>
        <v>919.360711636562</v>
      </c>
    </row>
    <row r="20" spans="2:15">
      <c r="B20" s="100">
        <f t="shared" si="2"/>
        <v>10</v>
      </c>
      <c r="C20" s="312" t="s">
        <v>729</v>
      </c>
      <c r="D20" s="333"/>
      <c r="E20" s="341">
        <f>E39+E58</f>
        <v>0</v>
      </c>
      <c r="F20" s="147">
        <f t="shared" si="1"/>
        <v>0</v>
      </c>
      <c r="G20" s="334"/>
      <c r="H20" s="341">
        <f t="shared" si="5"/>
        <v>0</v>
      </c>
      <c r="I20" s="341">
        <f t="shared" si="5"/>
        <v>0</v>
      </c>
      <c r="J20" s="347">
        <f t="shared" si="5"/>
        <v>0</v>
      </c>
      <c r="K20" s="147">
        <f>[6]RoE!E16</f>
        <v>57.7813197013432</v>
      </c>
      <c r="L20" s="147">
        <f>[6]RoE!F16</f>
        <v>80.4747503778517</v>
      </c>
      <c r="M20" s="147">
        <f>[6]RoE!G16</f>
        <v>105.529638594573</v>
      </c>
      <c r="N20" s="147">
        <f>[6]RoE!H16</f>
        <v>115.488720200346</v>
      </c>
      <c r="O20" s="147">
        <f>[6]RoE!I16</f>
        <v>123.087792190318</v>
      </c>
    </row>
    <row r="21" ht="15" spans="2:15">
      <c r="B21" s="100">
        <f t="shared" si="2"/>
        <v>11</v>
      </c>
      <c r="C21" s="54" t="s">
        <v>730</v>
      </c>
      <c r="D21" s="333"/>
      <c r="E21" s="147">
        <f>E19+E20</f>
        <v>0</v>
      </c>
      <c r="F21" s="147">
        <f t="shared" si="1"/>
        <v>0</v>
      </c>
      <c r="G21" s="334"/>
      <c r="H21" s="147">
        <f>H19+H20</f>
        <v>0</v>
      </c>
      <c r="I21" s="147">
        <f>I19+I20</f>
        <v>0</v>
      </c>
      <c r="J21" s="344">
        <f>H21+I21</f>
        <v>0</v>
      </c>
      <c r="K21" s="147">
        <f>K19+K20</f>
        <v>264.906957937703</v>
      </c>
      <c r="L21" s="147">
        <f>L19+L20</f>
        <v>401.967761285358</v>
      </c>
      <c r="M21" s="147">
        <f>M19+M20</f>
        <v>586.058228006458</v>
      </c>
      <c r="N21" s="147">
        <f>N19+N20</f>
        <v>805.640540438685</v>
      </c>
      <c r="O21" s="147">
        <f>O19+O20</f>
        <v>1042.44850382688</v>
      </c>
    </row>
    <row r="23" ht="15" spans="2:12">
      <c r="B23" s="322" t="s">
        <v>768</v>
      </c>
      <c r="C23" s="14"/>
      <c r="D23" s="117"/>
      <c r="E23" s="117"/>
      <c r="F23" s="117"/>
      <c r="G23" s="117"/>
      <c r="H23" s="117"/>
      <c r="I23" s="117"/>
      <c r="J23" s="117"/>
      <c r="K23" s="117"/>
      <c r="L23" s="117"/>
    </row>
    <row r="24" ht="15" spans="15:15">
      <c r="O24" s="33" t="s">
        <v>109</v>
      </c>
    </row>
    <row r="25" ht="14.1" customHeight="1" spans="2:15">
      <c r="B25" s="16" t="s">
        <v>3</v>
      </c>
      <c r="C25" s="6" t="s">
        <v>110</v>
      </c>
      <c r="D25" s="306" t="s">
        <v>112</v>
      </c>
      <c r="E25" s="307"/>
      <c r="F25" s="308"/>
      <c r="G25" s="306" t="s">
        <v>760</v>
      </c>
      <c r="H25" s="307"/>
      <c r="I25" s="307"/>
      <c r="J25" s="307"/>
      <c r="K25" s="135" t="s">
        <v>114</v>
      </c>
      <c r="L25" s="135"/>
      <c r="M25" s="135"/>
      <c r="N25" s="135"/>
      <c r="O25" s="135"/>
    </row>
    <row r="26" ht="30" spans="2:15">
      <c r="B26" s="309"/>
      <c r="C26" s="6"/>
      <c r="D26" s="5" t="s">
        <v>116</v>
      </c>
      <c r="E26" s="5" t="s">
        <v>237</v>
      </c>
      <c r="F26" s="5" t="s">
        <v>118</v>
      </c>
      <c r="G26" s="5" t="s">
        <v>116</v>
      </c>
      <c r="H26" s="5" t="s">
        <v>119</v>
      </c>
      <c r="I26" s="5" t="s">
        <v>120</v>
      </c>
      <c r="J26" s="5" t="s">
        <v>238</v>
      </c>
      <c r="K26" s="5" t="s">
        <v>514</v>
      </c>
      <c r="L26" s="5" t="s">
        <v>515</v>
      </c>
      <c r="M26" s="5" t="s">
        <v>516</v>
      </c>
      <c r="N26" s="5" t="s">
        <v>517</v>
      </c>
      <c r="O26" s="5" t="s">
        <v>518</v>
      </c>
    </row>
    <row r="27" ht="15" spans="2:15">
      <c r="B27" s="310"/>
      <c r="C27" s="100"/>
      <c r="D27" s="5" t="s">
        <v>127</v>
      </c>
      <c r="E27" s="5" t="s">
        <v>128</v>
      </c>
      <c r="F27" s="5" t="s">
        <v>129</v>
      </c>
      <c r="G27" s="5" t="s">
        <v>127</v>
      </c>
      <c r="H27" s="5" t="s">
        <v>130</v>
      </c>
      <c r="I27" s="5" t="s">
        <v>131</v>
      </c>
      <c r="J27" s="5" t="s">
        <v>131</v>
      </c>
      <c r="K27" s="5" t="s">
        <v>132</v>
      </c>
      <c r="L27" s="5" t="s">
        <v>132</v>
      </c>
      <c r="M27" s="5" t="s">
        <v>132</v>
      </c>
      <c r="N27" s="5" t="s">
        <v>132</v>
      </c>
      <c r="O27" s="5" t="s">
        <v>132</v>
      </c>
    </row>
    <row r="28" spans="2:15">
      <c r="B28" s="311">
        <v>1</v>
      </c>
      <c r="C28" s="55" t="s">
        <v>720</v>
      </c>
      <c r="D28" s="20"/>
      <c r="E28" s="55"/>
      <c r="F28" s="147">
        <f>E28</f>
        <v>0</v>
      </c>
      <c r="G28" s="208"/>
      <c r="H28" s="208"/>
      <c r="I28" s="208"/>
      <c r="J28" s="344">
        <f>H28+I28</f>
        <v>0</v>
      </c>
      <c r="K28" s="348">
        <f>90%*K9</f>
        <v>1331.52196009089</v>
      </c>
      <c r="L28" s="348">
        <f t="shared" ref="L28:O28" si="6">90%*L9</f>
        <v>2066.7407844054</v>
      </c>
      <c r="M28" s="348">
        <f t="shared" si="6"/>
        <v>3089.11236050498</v>
      </c>
      <c r="N28" s="348">
        <f t="shared" si="6"/>
        <v>4436.69027296075</v>
      </c>
      <c r="O28" s="348">
        <f t="shared" si="6"/>
        <v>5910.1760033779</v>
      </c>
    </row>
    <row r="29" spans="2:15">
      <c r="B29" s="100">
        <f>B28+1</f>
        <v>2</v>
      </c>
      <c r="C29" s="55" t="s">
        <v>639</v>
      </c>
      <c r="D29" s="20"/>
      <c r="E29" s="147">
        <f>[56]F16.1!H11</f>
        <v>0</v>
      </c>
      <c r="F29" s="147">
        <f t="shared" ref="F29:F40" si="7">E29</f>
        <v>0</v>
      </c>
      <c r="G29" s="208"/>
      <c r="H29" s="147"/>
      <c r="I29" s="147"/>
      <c r="J29" s="344">
        <f>[56]F16.1!H17</f>
        <v>0</v>
      </c>
      <c r="K29" s="348">
        <f t="shared" ref="K29:O32" si="8">90%*K10</f>
        <v>2971.61072749765</v>
      </c>
      <c r="L29" s="348">
        <f t="shared" si="8"/>
        <v>4138.7014480038</v>
      </c>
      <c r="M29" s="348">
        <f t="shared" si="8"/>
        <v>5427.23855629233</v>
      </c>
      <c r="N29" s="348">
        <f t="shared" si="8"/>
        <v>5939.41989601778</v>
      </c>
      <c r="O29" s="348">
        <f t="shared" si="8"/>
        <v>6330.22931264493</v>
      </c>
    </row>
    <row r="30" spans="2:15">
      <c r="B30" s="100">
        <f t="shared" ref="B30:B40" si="9">B29+1</f>
        <v>3</v>
      </c>
      <c r="C30" s="334" t="s">
        <v>721</v>
      </c>
      <c r="D30" s="20"/>
      <c r="E30" s="341">
        <f>E29*25%</f>
        <v>0</v>
      </c>
      <c r="F30" s="147">
        <f t="shared" si="7"/>
        <v>0</v>
      </c>
      <c r="G30" s="208"/>
      <c r="H30" s="341">
        <f>H29*25%</f>
        <v>0</v>
      </c>
      <c r="I30" s="341">
        <f>I29*25%</f>
        <v>0</v>
      </c>
      <c r="J30" s="344">
        <f>H30+I30</f>
        <v>0</v>
      </c>
      <c r="K30" s="348">
        <f t="shared" si="8"/>
        <v>742.902681874412</v>
      </c>
      <c r="L30" s="348">
        <f t="shared" si="8"/>
        <v>1034.67536200095</v>
      </c>
      <c r="M30" s="348">
        <f t="shared" si="8"/>
        <v>1356.80963907308</v>
      </c>
      <c r="N30" s="348">
        <f t="shared" si="8"/>
        <v>1484.85497400445</v>
      </c>
      <c r="O30" s="348">
        <f t="shared" si="8"/>
        <v>1582.55732816123</v>
      </c>
    </row>
    <row r="31" ht="28.5" spans="2:15">
      <c r="B31" s="100">
        <f t="shared" si="9"/>
        <v>4</v>
      </c>
      <c r="C31" s="312" t="s">
        <v>722</v>
      </c>
      <c r="D31" s="333"/>
      <c r="E31" s="341"/>
      <c r="F31" s="147">
        <f t="shared" si="7"/>
        <v>0</v>
      </c>
      <c r="G31" s="334"/>
      <c r="H31" s="341"/>
      <c r="I31" s="341"/>
      <c r="J31" s="344"/>
      <c r="K31" s="348">
        <f t="shared" si="8"/>
        <v>0</v>
      </c>
      <c r="L31" s="348">
        <f t="shared" si="8"/>
        <v>0</v>
      </c>
      <c r="M31" s="348">
        <f t="shared" si="8"/>
        <v>0</v>
      </c>
      <c r="N31" s="348">
        <f t="shared" si="8"/>
        <v>0</v>
      </c>
      <c r="O31" s="348">
        <f t="shared" si="8"/>
        <v>0</v>
      </c>
    </row>
    <row r="32" spans="2:15">
      <c r="B32" s="100">
        <f t="shared" si="9"/>
        <v>5</v>
      </c>
      <c r="C32" s="342" t="s">
        <v>723</v>
      </c>
      <c r="D32" s="333"/>
      <c r="E32" s="341">
        <f>E28+E30-E31</f>
        <v>0</v>
      </c>
      <c r="F32" s="147">
        <f t="shared" si="7"/>
        <v>0</v>
      </c>
      <c r="G32" s="334"/>
      <c r="H32" s="341">
        <f>H28+H30-H31</f>
        <v>0</v>
      </c>
      <c r="I32" s="341">
        <f>I28+I30-I31</f>
        <v>0</v>
      </c>
      <c r="J32" s="344">
        <f>H32+I32</f>
        <v>0</v>
      </c>
      <c r="K32" s="348">
        <f t="shared" si="8"/>
        <v>2066.7407844054</v>
      </c>
      <c r="L32" s="348">
        <f t="shared" si="8"/>
        <v>3089.11236050498</v>
      </c>
      <c r="M32" s="348">
        <f t="shared" si="8"/>
        <v>4436.69027296075</v>
      </c>
      <c r="N32" s="348">
        <f t="shared" si="8"/>
        <v>5910.1760033779</v>
      </c>
      <c r="O32" s="348">
        <f t="shared" si="8"/>
        <v>7481.81497639595</v>
      </c>
    </row>
    <row r="33" ht="15" spans="2:15">
      <c r="B33" s="100"/>
      <c r="C33" s="211" t="s">
        <v>724</v>
      </c>
      <c r="D33" s="333"/>
      <c r="E33" s="334"/>
      <c r="F33" s="147">
        <f t="shared" si="7"/>
        <v>0</v>
      </c>
      <c r="G33" s="334"/>
      <c r="H33" s="334"/>
      <c r="I33" s="334"/>
      <c r="J33" s="345"/>
      <c r="K33" s="345"/>
      <c r="L33" s="345"/>
      <c r="M33" s="345"/>
      <c r="N33" s="345"/>
      <c r="O33" s="345"/>
    </row>
    <row r="34" spans="2:15">
      <c r="B34" s="100">
        <f>B32+1</f>
        <v>6</v>
      </c>
      <c r="C34" s="342" t="s">
        <v>725</v>
      </c>
      <c r="D34" s="333"/>
      <c r="E34" s="334"/>
      <c r="F34" s="147">
        <f t="shared" si="7"/>
        <v>0</v>
      </c>
      <c r="G34" s="334"/>
      <c r="H34" s="334"/>
      <c r="I34" s="334"/>
      <c r="J34" s="344"/>
      <c r="K34" s="349">
        <f>K15</f>
        <v>0.14</v>
      </c>
      <c r="L34" s="349">
        <f t="shared" ref="L34:O34" si="10">L15</f>
        <v>0.14</v>
      </c>
      <c r="M34" s="349">
        <f t="shared" si="10"/>
        <v>0.14</v>
      </c>
      <c r="N34" s="349">
        <f t="shared" si="10"/>
        <v>0.14</v>
      </c>
      <c r="O34" s="349">
        <f t="shared" si="10"/>
        <v>0.14</v>
      </c>
    </row>
    <row r="35" spans="2:15">
      <c r="B35" s="100">
        <f>B34+1</f>
        <v>7</v>
      </c>
      <c r="C35" s="342" t="s">
        <v>726</v>
      </c>
      <c r="D35" s="333"/>
      <c r="E35" s="334"/>
      <c r="F35" s="147">
        <f t="shared" si="7"/>
        <v>0</v>
      </c>
      <c r="G35" s="334"/>
      <c r="H35" s="334"/>
      <c r="I35" s="334"/>
      <c r="J35" s="344"/>
      <c r="K35" s="349">
        <f t="shared" ref="K35:O36" si="11">K16</f>
        <v>1</v>
      </c>
      <c r="L35" s="349">
        <f t="shared" si="11"/>
        <v>1</v>
      </c>
      <c r="M35" s="349">
        <f t="shared" si="11"/>
        <v>1</v>
      </c>
      <c r="N35" s="349">
        <f t="shared" si="11"/>
        <v>1</v>
      </c>
      <c r="O35" s="349">
        <f t="shared" si="11"/>
        <v>1</v>
      </c>
    </row>
    <row r="36" ht="15" spans="2:15">
      <c r="B36" s="100">
        <f>B35+1</f>
        <v>8</v>
      </c>
      <c r="C36" s="343" t="s">
        <v>724</v>
      </c>
      <c r="D36" s="333"/>
      <c r="E36" s="341">
        <f>E34/(1-E35)</f>
        <v>0</v>
      </c>
      <c r="F36" s="147">
        <f t="shared" si="7"/>
        <v>0</v>
      </c>
      <c r="G36" s="334"/>
      <c r="H36" s="341">
        <f>H34/(1-H35)</f>
        <v>0</v>
      </c>
      <c r="I36" s="341">
        <f>I34/(1-I35)</f>
        <v>0</v>
      </c>
      <c r="J36" s="347">
        <f t="shared" ref="J36" si="12">J34/(1-J35)</f>
        <v>0</v>
      </c>
      <c r="K36" s="349">
        <f t="shared" si="11"/>
        <v>0.14</v>
      </c>
      <c r="L36" s="349">
        <f t="shared" si="11"/>
        <v>0.14</v>
      </c>
      <c r="M36" s="349">
        <f t="shared" si="11"/>
        <v>0.14</v>
      </c>
      <c r="N36" s="349">
        <f t="shared" si="11"/>
        <v>0.14</v>
      </c>
      <c r="O36" s="349">
        <f t="shared" si="11"/>
        <v>0.14</v>
      </c>
    </row>
    <row r="37" ht="15" spans="2:15">
      <c r="B37" s="100"/>
      <c r="C37" s="211" t="s">
        <v>727</v>
      </c>
      <c r="D37" s="333"/>
      <c r="E37" s="334"/>
      <c r="F37" s="147">
        <f t="shared" si="7"/>
        <v>0</v>
      </c>
      <c r="G37" s="334"/>
      <c r="H37" s="334"/>
      <c r="I37" s="334"/>
      <c r="J37" s="345"/>
      <c r="K37" s="345"/>
      <c r="L37" s="345"/>
      <c r="M37" s="345"/>
      <c r="N37" s="345"/>
      <c r="O37" s="345"/>
    </row>
    <row r="38" ht="28.5" spans="2:15">
      <c r="B38" s="100">
        <f>B36+1</f>
        <v>9</v>
      </c>
      <c r="C38" s="312" t="s">
        <v>728</v>
      </c>
      <c r="D38" s="333"/>
      <c r="E38" s="341">
        <f>E28*E36</f>
        <v>0</v>
      </c>
      <c r="F38" s="147">
        <f t="shared" si="7"/>
        <v>0</v>
      </c>
      <c r="G38" s="334"/>
      <c r="H38" s="341">
        <f>H28*H36</f>
        <v>0</v>
      </c>
      <c r="I38" s="341">
        <f>I28*I36</f>
        <v>0</v>
      </c>
      <c r="J38" s="344">
        <f>H38+I38</f>
        <v>0</v>
      </c>
      <c r="K38" s="350">
        <f>K19*90%</f>
        <v>186.413074412724</v>
      </c>
      <c r="L38" s="350">
        <f t="shared" ref="L38:O39" si="13">L19*90%</f>
        <v>289.343709816755</v>
      </c>
      <c r="M38" s="350">
        <f t="shared" si="13"/>
        <v>432.475730470696</v>
      </c>
      <c r="N38" s="350">
        <f t="shared" si="13"/>
        <v>621.136638214505</v>
      </c>
      <c r="O38" s="350">
        <f t="shared" si="13"/>
        <v>827.424640472906</v>
      </c>
    </row>
    <row r="39" spans="2:15">
      <c r="B39" s="100">
        <f t="shared" si="9"/>
        <v>10</v>
      </c>
      <c r="C39" s="312" t="s">
        <v>729</v>
      </c>
      <c r="D39" s="333"/>
      <c r="E39" s="341">
        <f>(E30+E31)*E36/2</f>
        <v>0</v>
      </c>
      <c r="F39" s="147">
        <f t="shared" si="7"/>
        <v>0</v>
      </c>
      <c r="G39" s="334"/>
      <c r="H39" s="341">
        <f>(H30+H31)*H36/2</f>
        <v>0</v>
      </c>
      <c r="I39" s="341">
        <f>(I30+I31)*I36/2</f>
        <v>0</v>
      </c>
      <c r="J39" s="341">
        <f>(J30+J31)*J36/2</f>
        <v>0</v>
      </c>
      <c r="K39" s="350">
        <f>K20*90%</f>
        <v>52.0031877312089</v>
      </c>
      <c r="L39" s="350">
        <f t="shared" si="13"/>
        <v>72.4272753400665</v>
      </c>
      <c r="M39" s="350">
        <f t="shared" si="13"/>
        <v>94.9766747351157</v>
      </c>
      <c r="N39" s="350">
        <f t="shared" si="13"/>
        <v>103.939848180311</v>
      </c>
      <c r="O39" s="350">
        <f t="shared" si="13"/>
        <v>110.779012971286</v>
      </c>
    </row>
    <row r="40" ht="15" spans="2:15">
      <c r="B40" s="100">
        <f t="shared" si="9"/>
        <v>11</v>
      </c>
      <c r="C40" s="54" t="s">
        <v>730</v>
      </c>
      <c r="D40" s="333"/>
      <c r="E40" s="147">
        <f>E38+E39</f>
        <v>0</v>
      </c>
      <c r="F40" s="147">
        <f t="shared" si="7"/>
        <v>0</v>
      </c>
      <c r="G40" s="334"/>
      <c r="H40" s="147">
        <f>H38+H39</f>
        <v>0</v>
      </c>
      <c r="I40" s="147">
        <f>I38+I39</f>
        <v>0</v>
      </c>
      <c r="J40" s="344">
        <f>H40+I40</f>
        <v>0</v>
      </c>
      <c r="K40" s="350">
        <f>K38+K39</f>
        <v>238.416262143933</v>
      </c>
      <c r="L40" s="350">
        <f>L38+L39</f>
        <v>361.770985156822</v>
      </c>
      <c r="M40" s="350">
        <f>M38+M39</f>
        <v>527.452405205812</v>
      </c>
      <c r="N40" s="350">
        <f>N38+N39</f>
        <v>725.076486394817</v>
      </c>
      <c r="O40" s="350">
        <f>O38+O39</f>
        <v>938.203653444192</v>
      </c>
    </row>
    <row r="42" ht="15" spans="2:12">
      <c r="B42" s="322" t="s">
        <v>769</v>
      </c>
      <c r="C42" s="14"/>
      <c r="D42" s="117"/>
      <c r="E42" s="117"/>
      <c r="F42" s="117"/>
      <c r="G42" s="117"/>
      <c r="H42" s="117"/>
      <c r="I42" s="117"/>
      <c r="J42" s="117"/>
      <c r="K42" s="117"/>
      <c r="L42" s="117"/>
    </row>
    <row r="43" ht="15" spans="15:15">
      <c r="O43" s="33" t="s">
        <v>109</v>
      </c>
    </row>
    <row r="44" ht="14.1" customHeight="1" spans="2:15">
      <c r="B44" s="16" t="s">
        <v>3</v>
      </c>
      <c r="C44" s="6" t="s">
        <v>110</v>
      </c>
      <c r="D44" s="306" t="s">
        <v>112</v>
      </c>
      <c r="E44" s="307"/>
      <c r="F44" s="308"/>
      <c r="G44" s="306" t="s">
        <v>760</v>
      </c>
      <c r="H44" s="307"/>
      <c r="I44" s="307"/>
      <c r="J44" s="307"/>
      <c r="K44" s="135" t="s">
        <v>114</v>
      </c>
      <c r="L44" s="135"/>
      <c r="M44" s="135"/>
      <c r="N44" s="135"/>
      <c r="O44" s="135"/>
    </row>
    <row r="45" ht="30" spans="2:15">
      <c r="B45" s="309"/>
      <c r="C45" s="6"/>
      <c r="D45" s="5" t="s">
        <v>116</v>
      </c>
      <c r="E45" s="5" t="s">
        <v>237</v>
      </c>
      <c r="F45" s="5" t="s">
        <v>118</v>
      </c>
      <c r="G45" s="5" t="s">
        <v>116</v>
      </c>
      <c r="H45" s="5" t="s">
        <v>119</v>
      </c>
      <c r="I45" s="5" t="s">
        <v>120</v>
      </c>
      <c r="J45" s="5" t="s">
        <v>238</v>
      </c>
      <c r="K45" s="5" t="s">
        <v>514</v>
      </c>
      <c r="L45" s="5" t="s">
        <v>515</v>
      </c>
      <c r="M45" s="5" t="s">
        <v>516</v>
      </c>
      <c r="N45" s="5" t="s">
        <v>517</v>
      </c>
      <c r="O45" s="5" t="s">
        <v>518</v>
      </c>
    </row>
    <row r="46" ht="15" spans="2:15">
      <c r="B46" s="310"/>
      <c r="C46" s="100"/>
      <c r="D46" s="5" t="s">
        <v>127</v>
      </c>
      <c r="E46" s="5" t="s">
        <v>128</v>
      </c>
      <c r="F46" s="5" t="s">
        <v>129</v>
      </c>
      <c r="G46" s="5" t="s">
        <v>127</v>
      </c>
      <c r="H46" s="5" t="s">
        <v>130</v>
      </c>
      <c r="I46" s="5" t="s">
        <v>131</v>
      </c>
      <c r="J46" s="5" t="s">
        <v>131</v>
      </c>
      <c r="K46" s="5" t="s">
        <v>132</v>
      </c>
      <c r="L46" s="5" t="s">
        <v>132</v>
      </c>
      <c r="M46" s="5" t="s">
        <v>132</v>
      </c>
      <c r="N46" s="5" t="s">
        <v>132</v>
      </c>
      <c r="O46" s="5" t="s">
        <v>132</v>
      </c>
    </row>
    <row r="47" spans="2:15">
      <c r="B47" s="311">
        <v>1</v>
      </c>
      <c r="C47" s="55" t="s">
        <v>720</v>
      </c>
      <c r="D47" s="20"/>
      <c r="E47" s="55"/>
      <c r="F47" s="147">
        <f>E47</f>
        <v>0</v>
      </c>
      <c r="G47" s="208"/>
      <c r="H47" s="208"/>
      <c r="I47" s="208"/>
      <c r="J47" s="344">
        <f>H47+I47</f>
        <v>0</v>
      </c>
      <c r="K47" s="348">
        <f t="shared" ref="K47:O51" si="14">10%*K9</f>
        <v>147.946884454543</v>
      </c>
      <c r="L47" s="348">
        <f t="shared" si="14"/>
        <v>229.637864933933</v>
      </c>
      <c r="M47" s="348">
        <f t="shared" si="14"/>
        <v>343.234706722775</v>
      </c>
      <c r="N47" s="348">
        <f t="shared" si="14"/>
        <v>492.965585884528</v>
      </c>
      <c r="O47" s="348">
        <f t="shared" si="14"/>
        <v>656.686222597544</v>
      </c>
    </row>
    <row r="48" spans="2:15">
      <c r="B48" s="100">
        <f>B47+1</f>
        <v>2</v>
      </c>
      <c r="C48" s="55" t="s">
        <v>639</v>
      </c>
      <c r="D48" s="20"/>
      <c r="E48" s="147">
        <f>[56]F16.1!H11</f>
        <v>0</v>
      </c>
      <c r="F48" s="147">
        <f t="shared" ref="F48:F58" si="15">E48</f>
        <v>0</v>
      </c>
      <c r="G48" s="208"/>
      <c r="H48" s="147"/>
      <c r="I48" s="147"/>
      <c r="J48" s="344">
        <f>[56]F16.1!H55</f>
        <v>0</v>
      </c>
      <c r="K48" s="348">
        <f t="shared" si="14"/>
        <v>330.178969721961</v>
      </c>
      <c r="L48" s="348">
        <f t="shared" si="14"/>
        <v>459.855716444867</v>
      </c>
      <c r="M48" s="348">
        <f t="shared" si="14"/>
        <v>603.026506254703</v>
      </c>
      <c r="N48" s="348">
        <f t="shared" si="14"/>
        <v>659.935544001976</v>
      </c>
      <c r="O48" s="348">
        <f t="shared" si="14"/>
        <v>703.358812516103</v>
      </c>
    </row>
    <row r="49" spans="2:15">
      <c r="B49" s="100">
        <f t="shared" ref="B49:B59" si="16">B48+1</f>
        <v>3</v>
      </c>
      <c r="C49" s="334" t="s">
        <v>721</v>
      </c>
      <c r="D49" s="20"/>
      <c r="E49" s="341">
        <f>E48*25%</f>
        <v>0</v>
      </c>
      <c r="F49" s="147">
        <f t="shared" si="15"/>
        <v>0</v>
      </c>
      <c r="G49" s="208"/>
      <c r="H49" s="341">
        <f>H48*25%</f>
        <v>0</v>
      </c>
      <c r="I49" s="341">
        <f>I48*25%</f>
        <v>0</v>
      </c>
      <c r="J49" s="344">
        <f>H49+I49</f>
        <v>0</v>
      </c>
      <c r="K49" s="348">
        <f t="shared" si="14"/>
        <v>82.5447424304902</v>
      </c>
      <c r="L49" s="348">
        <f t="shared" si="14"/>
        <v>114.963929111217</v>
      </c>
      <c r="M49" s="348">
        <f t="shared" si="14"/>
        <v>150.756626563676</v>
      </c>
      <c r="N49" s="348">
        <f t="shared" si="14"/>
        <v>164.983886000494</v>
      </c>
      <c r="O49" s="348">
        <f t="shared" si="14"/>
        <v>175.839703129026</v>
      </c>
    </row>
    <row r="50" ht="28.5" spans="2:15">
      <c r="B50" s="100">
        <f t="shared" si="16"/>
        <v>4</v>
      </c>
      <c r="C50" s="312" t="s">
        <v>722</v>
      </c>
      <c r="D50" s="333"/>
      <c r="E50" s="341"/>
      <c r="F50" s="147"/>
      <c r="G50" s="334"/>
      <c r="H50" s="341"/>
      <c r="I50" s="341"/>
      <c r="J50" s="344"/>
      <c r="K50" s="348">
        <f t="shared" si="14"/>
        <v>0</v>
      </c>
      <c r="L50" s="348">
        <f t="shared" si="14"/>
        <v>0</v>
      </c>
      <c r="M50" s="348">
        <f t="shared" si="14"/>
        <v>0</v>
      </c>
      <c r="N50" s="348">
        <f t="shared" si="14"/>
        <v>0</v>
      </c>
      <c r="O50" s="348">
        <f t="shared" si="14"/>
        <v>0</v>
      </c>
    </row>
    <row r="51" spans="2:15">
      <c r="B51" s="100">
        <f t="shared" si="16"/>
        <v>5</v>
      </c>
      <c r="C51" s="342" t="s">
        <v>723</v>
      </c>
      <c r="D51" s="333"/>
      <c r="E51" s="341">
        <f>E47+E49-E50</f>
        <v>0</v>
      </c>
      <c r="F51" s="147">
        <f t="shared" si="15"/>
        <v>0</v>
      </c>
      <c r="G51" s="334"/>
      <c r="H51" s="341">
        <f>H47+H49-H50</f>
        <v>0</v>
      </c>
      <c r="I51" s="341">
        <f>I47+I49-I50</f>
        <v>0</v>
      </c>
      <c r="J51" s="344">
        <f>H51+I51</f>
        <v>0</v>
      </c>
      <c r="K51" s="348">
        <f t="shared" si="14"/>
        <v>229.637864933933</v>
      </c>
      <c r="L51" s="348">
        <f t="shared" si="14"/>
        <v>343.234706722775</v>
      </c>
      <c r="M51" s="348">
        <f t="shared" si="14"/>
        <v>492.965585884528</v>
      </c>
      <c r="N51" s="348">
        <f t="shared" si="14"/>
        <v>656.686222597544</v>
      </c>
      <c r="O51" s="348">
        <f t="shared" si="14"/>
        <v>831.312775155105</v>
      </c>
    </row>
    <row r="52" ht="15" spans="2:15">
      <c r="B52" s="100"/>
      <c r="C52" s="211" t="s">
        <v>724</v>
      </c>
      <c r="D52" s="333"/>
      <c r="E52" s="334"/>
      <c r="F52" s="147">
        <f t="shared" si="15"/>
        <v>0</v>
      </c>
      <c r="G52" s="334"/>
      <c r="H52" s="334"/>
      <c r="I52" s="334"/>
      <c r="J52" s="345"/>
      <c r="K52" s="345"/>
      <c r="L52" s="345"/>
      <c r="M52" s="345"/>
      <c r="N52" s="345"/>
      <c r="O52" s="345"/>
    </row>
    <row r="53" spans="2:15">
      <c r="B53" s="100">
        <f>B51+1</f>
        <v>6</v>
      </c>
      <c r="C53" s="342" t="s">
        <v>725</v>
      </c>
      <c r="D53" s="333"/>
      <c r="E53" s="334"/>
      <c r="F53" s="147">
        <f t="shared" si="15"/>
        <v>0</v>
      </c>
      <c r="G53" s="334"/>
      <c r="H53" s="334"/>
      <c r="I53" s="334"/>
      <c r="J53" s="344"/>
      <c r="K53" s="349">
        <f t="shared" ref="K53:O55" si="17">K34</f>
        <v>0.14</v>
      </c>
      <c r="L53" s="349">
        <f t="shared" si="17"/>
        <v>0.14</v>
      </c>
      <c r="M53" s="349">
        <f t="shared" si="17"/>
        <v>0.14</v>
      </c>
      <c r="N53" s="349">
        <f t="shared" si="17"/>
        <v>0.14</v>
      </c>
      <c r="O53" s="349">
        <f t="shared" si="17"/>
        <v>0.14</v>
      </c>
    </row>
    <row r="54" spans="2:15">
      <c r="B54" s="100">
        <f>B53+1</f>
        <v>7</v>
      </c>
      <c r="C54" s="342" t="s">
        <v>726</v>
      </c>
      <c r="D54" s="333"/>
      <c r="E54" s="334"/>
      <c r="F54" s="147">
        <f t="shared" si="15"/>
        <v>0</v>
      </c>
      <c r="G54" s="334"/>
      <c r="H54" s="334"/>
      <c r="I54" s="334"/>
      <c r="J54" s="344"/>
      <c r="K54" s="349">
        <v>0</v>
      </c>
      <c r="L54" s="349">
        <v>0</v>
      </c>
      <c r="M54" s="349">
        <v>0</v>
      </c>
      <c r="N54" s="349">
        <v>0</v>
      </c>
      <c r="O54" s="349">
        <v>0</v>
      </c>
    </row>
    <row r="55" ht="15" spans="2:15">
      <c r="B55" s="100">
        <f>B54+1</f>
        <v>8</v>
      </c>
      <c r="C55" s="343" t="s">
        <v>724</v>
      </c>
      <c r="D55" s="333"/>
      <c r="E55" s="341">
        <f>E53/(1-E54)</f>
        <v>0</v>
      </c>
      <c r="F55" s="147">
        <f t="shared" si="15"/>
        <v>0</v>
      </c>
      <c r="G55" s="334"/>
      <c r="H55" s="341">
        <f>H53/(1-H54)</f>
        <v>0</v>
      </c>
      <c r="I55" s="341">
        <f>I53/(1-I54)</f>
        <v>0</v>
      </c>
      <c r="J55" s="347">
        <f t="shared" ref="J55" si="18">J53/(1-J54)</f>
        <v>0</v>
      </c>
      <c r="K55" s="349">
        <f>K36</f>
        <v>0.14</v>
      </c>
      <c r="L55" s="349">
        <f>L36</f>
        <v>0.14</v>
      </c>
      <c r="M55" s="349">
        <f t="shared" si="17"/>
        <v>0.14</v>
      </c>
      <c r="N55" s="349">
        <f>N36</f>
        <v>0.14</v>
      </c>
      <c r="O55" s="349">
        <f>O36</f>
        <v>0.14</v>
      </c>
    </row>
    <row r="56" ht="15" spans="2:15">
      <c r="B56" s="100"/>
      <c r="C56" s="211" t="s">
        <v>727</v>
      </c>
      <c r="D56" s="333"/>
      <c r="E56" s="334"/>
      <c r="F56" s="147">
        <f t="shared" si="15"/>
        <v>0</v>
      </c>
      <c r="G56" s="334"/>
      <c r="H56" s="334"/>
      <c r="I56" s="334"/>
      <c r="J56" s="345"/>
      <c r="K56" s="345"/>
      <c r="L56" s="345"/>
      <c r="M56" s="345"/>
      <c r="N56" s="345"/>
      <c r="O56" s="345"/>
    </row>
    <row r="57" ht="28.5" spans="2:15">
      <c r="B57" s="100">
        <f>B55+1</f>
        <v>9</v>
      </c>
      <c r="C57" s="312" t="s">
        <v>728</v>
      </c>
      <c r="D57" s="333"/>
      <c r="E57" s="341">
        <f>E47*E55</f>
        <v>0</v>
      </c>
      <c r="F57" s="147">
        <f t="shared" si="15"/>
        <v>0</v>
      </c>
      <c r="G57" s="334"/>
      <c r="H57" s="341">
        <f>H47*H55</f>
        <v>0</v>
      </c>
      <c r="I57" s="341">
        <f>I47*I55</f>
        <v>0</v>
      </c>
      <c r="J57" s="344">
        <f>H57+I57</f>
        <v>0</v>
      </c>
      <c r="K57" s="350">
        <f t="shared" ref="K57:O58" si="19">K19*10%</f>
        <v>20.712563823636</v>
      </c>
      <c r="L57" s="350">
        <f t="shared" si="19"/>
        <v>32.1493010907506</v>
      </c>
      <c r="M57" s="350">
        <f t="shared" si="19"/>
        <v>48.0528589411885</v>
      </c>
      <c r="N57" s="350">
        <f t="shared" si="19"/>
        <v>69.0151820238339</v>
      </c>
      <c r="O57" s="350">
        <f t="shared" si="19"/>
        <v>91.9360711636562</v>
      </c>
    </row>
    <row r="58" spans="2:15">
      <c r="B58" s="100">
        <f t="shared" si="16"/>
        <v>10</v>
      </c>
      <c r="C58" s="312" t="s">
        <v>729</v>
      </c>
      <c r="D58" s="333"/>
      <c r="E58" s="341">
        <f>(E49+E50)*E55/2</f>
        <v>0</v>
      </c>
      <c r="F58" s="147">
        <f t="shared" si="15"/>
        <v>0</v>
      </c>
      <c r="G58" s="334"/>
      <c r="H58" s="341">
        <f>(H49+H50)*H55/2</f>
        <v>0</v>
      </c>
      <c r="I58" s="341">
        <f>(I49+I50)*I55/2</f>
        <v>0</v>
      </c>
      <c r="J58" s="341">
        <f>(J49+J50)*J55/2</f>
        <v>0</v>
      </c>
      <c r="K58" s="350">
        <f t="shared" si="19"/>
        <v>5.77813197013432</v>
      </c>
      <c r="L58" s="350">
        <f t="shared" si="19"/>
        <v>8.04747503778517</v>
      </c>
      <c r="M58" s="350">
        <f t="shared" si="19"/>
        <v>10.5529638594573</v>
      </c>
      <c r="N58" s="350">
        <f t="shared" si="19"/>
        <v>11.5488720200346</v>
      </c>
      <c r="O58" s="350">
        <f t="shared" si="19"/>
        <v>12.3087792190318</v>
      </c>
    </row>
    <row r="59" ht="15" spans="2:15">
      <c r="B59" s="100">
        <f t="shared" si="16"/>
        <v>11</v>
      </c>
      <c r="C59" s="54" t="s">
        <v>730</v>
      </c>
      <c r="D59" s="333"/>
      <c r="E59" s="147">
        <f>E57+E58</f>
        <v>0</v>
      </c>
      <c r="F59" s="147">
        <f>F57+F58</f>
        <v>0</v>
      </c>
      <c r="G59" s="334"/>
      <c r="H59" s="147">
        <f>H57+H58</f>
        <v>0</v>
      </c>
      <c r="I59" s="147">
        <f>I57+I58</f>
        <v>0</v>
      </c>
      <c r="J59" s="344">
        <f>H59+I59</f>
        <v>0</v>
      </c>
      <c r="K59" s="147">
        <f>K57+K58</f>
        <v>26.4906957937703</v>
      </c>
      <c r="L59" s="147">
        <f>L57+L58</f>
        <v>40.1967761285358</v>
      </c>
      <c r="M59" s="147">
        <f>M57+M58</f>
        <v>58.6058228006458</v>
      </c>
      <c r="N59" s="147">
        <f>N57+N58</f>
        <v>80.5640540438685</v>
      </c>
      <c r="O59" s="147">
        <f>O57+O58</f>
        <v>104.244850382688</v>
      </c>
    </row>
  </sheetData>
  <mergeCells count="15">
    <mergeCell ref="D6:F6"/>
    <mergeCell ref="G6:J6"/>
    <mergeCell ref="K6:O6"/>
    <mergeCell ref="D25:F25"/>
    <mergeCell ref="G25:J25"/>
    <mergeCell ref="K25:O25"/>
    <mergeCell ref="D44:F44"/>
    <mergeCell ref="G44:J44"/>
    <mergeCell ref="K44:O44"/>
    <mergeCell ref="B6:B8"/>
    <mergeCell ref="B25:B27"/>
    <mergeCell ref="B44:B46"/>
    <mergeCell ref="C6:C8"/>
    <mergeCell ref="C25:C27"/>
    <mergeCell ref="C44:C46"/>
  </mergeCells>
  <pageMargins left="1.02" right="0.25" top="1" bottom="1" header="0.25" footer="0.25"/>
  <pageSetup paperSize="9" scale="45" orientation="landscape"/>
  <headerFooter alignWithMargins="0">
    <oddHeader>&amp;C&amp;F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  <pageSetUpPr fitToPage="1"/>
  </sheetPr>
  <dimension ref="B1:Q48"/>
  <sheetViews>
    <sheetView showGridLines="0" zoomScale="60" zoomScaleNormal="60" zoomScaleSheetLayoutView="90" workbookViewId="0">
      <selection activeCell="R21" sqref="R21"/>
    </sheetView>
  </sheetViews>
  <sheetFormatPr defaultColWidth="9.14285714285714" defaultRowHeight="14.25"/>
  <cols>
    <col min="1" max="1" width="4.14285714285714" style="12" customWidth="1"/>
    <col min="2" max="2" width="6.14285714285714" style="12" customWidth="1"/>
    <col min="3" max="3" width="43.5714285714286" style="12" customWidth="1"/>
    <col min="4" max="4" width="13.8571428571429" style="12" customWidth="1"/>
    <col min="5" max="5" width="12.5714285714286" style="12" customWidth="1"/>
    <col min="6" max="6" width="13.4285714285714" style="12" customWidth="1"/>
    <col min="7" max="7" width="13.8571428571429" style="12" customWidth="1"/>
    <col min="8" max="8" width="12.5714285714286" style="12" customWidth="1"/>
    <col min="9" max="9" width="13.1428571428571" style="12" customWidth="1"/>
    <col min="10" max="10" width="12.5714285714286" style="12" customWidth="1"/>
    <col min="11" max="11" width="11.8571428571429" style="12" customWidth="1"/>
    <col min="12" max="12" width="13.8571428571429" style="12" customWidth="1"/>
    <col min="13" max="18" width="11.8571428571429" style="12" customWidth="1"/>
    <col min="19" max="16384" width="9.14285714285714" style="12"/>
  </cols>
  <sheetData>
    <row r="1" ht="15" spans="2:2">
      <c r="B1" s="14"/>
    </row>
    <row r="2" ht="15" spans="8:8">
      <c r="H2" s="2" t="s">
        <v>758</v>
      </c>
    </row>
    <row r="3" ht="15" spans="8:8">
      <c r="H3" s="3" t="s">
        <v>731</v>
      </c>
    </row>
    <row r="4" ht="15" spans="2:12">
      <c r="B4" s="322" t="s">
        <v>763</v>
      </c>
      <c r="C4" s="14"/>
      <c r="D4" s="117"/>
      <c r="E4" s="117"/>
      <c r="F4" s="117"/>
      <c r="G4" s="117"/>
      <c r="H4" s="117"/>
      <c r="I4" s="117"/>
      <c r="J4" s="117"/>
      <c r="K4" s="117"/>
      <c r="L4" s="117"/>
    </row>
    <row r="5" ht="15" spans="15:15">
      <c r="O5" s="33" t="s">
        <v>109</v>
      </c>
    </row>
    <row r="6" s="15" customFormat="1" ht="15" customHeight="1" spans="2:15">
      <c r="B6" s="16" t="s">
        <v>3</v>
      </c>
      <c r="C6" s="6" t="s">
        <v>110</v>
      </c>
      <c r="D6" s="306" t="s">
        <v>112</v>
      </c>
      <c r="E6" s="307"/>
      <c r="F6" s="308"/>
      <c r="G6" s="306" t="s">
        <v>760</v>
      </c>
      <c r="H6" s="307"/>
      <c r="I6" s="307"/>
      <c r="J6" s="307"/>
      <c r="K6" s="135" t="s">
        <v>114</v>
      </c>
      <c r="L6" s="135"/>
      <c r="M6" s="135"/>
      <c r="N6" s="135"/>
      <c r="O6" s="135"/>
    </row>
    <row r="7" s="15" customFormat="1" ht="30" spans="2:15">
      <c r="B7" s="309"/>
      <c r="C7" s="6"/>
      <c r="D7" s="5" t="s">
        <v>116</v>
      </c>
      <c r="E7" s="5" t="s">
        <v>237</v>
      </c>
      <c r="F7" s="5" t="s">
        <v>118</v>
      </c>
      <c r="G7" s="5" t="s">
        <v>116</v>
      </c>
      <c r="H7" s="5" t="s">
        <v>119</v>
      </c>
      <c r="I7" s="5" t="s">
        <v>120</v>
      </c>
      <c r="J7" s="5" t="s">
        <v>238</v>
      </c>
      <c r="K7" s="5" t="s">
        <v>514</v>
      </c>
      <c r="L7" s="5" t="s">
        <v>515</v>
      </c>
      <c r="M7" s="5" t="s">
        <v>516</v>
      </c>
      <c r="N7" s="5" t="s">
        <v>517</v>
      </c>
      <c r="O7" s="5" t="s">
        <v>518</v>
      </c>
    </row>
    <row r="8" s="15" customFormat="1" ht="15" spans="2:15">
      <c r="B8" s="310"/>
      <c r="C8" s="100"/>
      <c r="D8" s="5" t="s">
        <v>127</v>
      </c>
      <c r="E8" s="5" t="s">
        <v>128</v>
      </c>
      <c r="F8" s="5" t="s">
        <v>129</v>
      </c>
      <c r="G8" s="5" t="s">
        <v>127</v>
      </c>
      <c r="H8" s="5" t="s">
        <v>130</v>
      </c>
      <c r="I8" s="5" t="s">
        <v>131</v>
      </c>
      <c r="J8" s="5" t="s">
        <v>131</v>
      </c>
      <c r="K8" s="5" t="s">
        <v>132</v>
      </c>
      <c r="L8" s="5" t="s">
        <v>132</v>
      </c>
      <c r="M8" s="5" t="s">
        <v>132</v>
      </c>
      <c r="N8" s="5" t="s">
        <v>132</v>
      </c>
      <c r="O8" s="5" t="s">
        <v>132</v>
      </c>
    </row>
    <row r="9" spans="2:15">
      <c r="B9" s="311">
        <v>1</v>
      </c>
      <c r="C9" s="527" t="s">
        <v>836</v>
      </c>
      <c r="D9" s="337">
        <f t="shared" ref="D9:I9" si="0">D28+D47</f>
        <v>0</v>
      </c>
      <c r="E9" s="337">
        <f t="shared" si="0"/>
        <v>0</v>
      </c>
      <c r="F9" s="337">
        <f t="shared" si="0"/>
        <v>0</v>
      </c>
      <c r="G9" s="337">
        <f t="shared" si="0"/>
        <v>28.18</v>
      </c>
      <c r="H9" s="337">
        <f t="shared" si="0"/>
        <v>0</v>
      </c>
      <c r="I9" s="337">
        <f t="shared" si="0"/>
        <v>0</v>
      </c>
      <c r="J9" s="337">
        <f>'[6]NTI proj'!J6</f>
        <v>116.21</v>
      </c>
      <c r="K9" s="337">
        <f>'[6]NTI proj'!K6</f>
        <v>118.5342</v>
      </c>
      <c r="L9" s="337">
        <f>'[6]NTI proj'!L6</f>
        <v>120.904884</v>
      </c>
      <c r="M9" s="337">
        <f>'[6]NTI proj'!M6</f>
        <v>123.32298168</v>
      </c>
      <c r="N9" s="337">
        <f>'[6]NTI proj'!N6</f>
        <v>125.7894413136</v>
      </c>
      <c r="O9" s="337">
        <f>'[6]NTI proj'!O6</f>
        <v>128.305230139872</v>
      </c>
    </row>
    <row r="10" spans="2:15">
      <c r="B10" s="311">
        <f>B9+1</f>
        <v>2</v>
      </c>
      <c r="C10" s="527" t="s">
        <v>837</v>
      </c>
      <c r="D10" s="337"/>
      <c r="E10" s="337"/>
      <c r="F10" s="337"/>
      <c r="G10" s="337"/>
      <c r="H10" s="337"/>
      <c r="I10" s="337"/>
      <c r="J10" s="337">
        <f>'[6]NTI proj'!J7</f>
        <v>0.02</v>
      </c>
      <c r="K10" s="337">
        <f>'[6]NTI proj'!K7</f>
        <v>0.0204</v>
      </c>
      <c r="L10" s="337">
        <f>'[6]NTI proj'!L7</f>
        <v>0.020808</v>
      </c>
      <c r="M10" s="337">
        <f>'[6]NTI proj'!M7</f>
        <v>0.02122416</v>
      </c>
      <c r="N10" s="337">
        <f>'[6]NTI proj'!N7</f>
        <v>0.0216486432</v>
      </c>
      <c r="O10" s="337">
        <f>'[6]NTI proj'!O7</f>
        <v>0.022081616064</v>
      </c>
    </row>
    <row r="11" spans="2:15">
      <c r="B11" s="311">
        <f>B10+1</f>
        <v>3</v>
      </c>
      <c r="C11" s="527" t="s">
        <v>838</v>
      </c>
      <c r="D11" s="337"/>
      <c r="E11" s="337"/>
      <c r="F11" s="337"/>
      <c r="G11" s="337"/>
      <c r="H11" s="337"/>
      <c r="I11" s="337"/>
      <c r="J11" s="337">
        <f>'[6]NTI proj'!J8</f>
        <v>6.89</v>
      </c>
      <c r="K11" s="337">
        <f>'[6]NTI proj'!K8</f>
        <v>7.0278</v>
      </c>
      <c r="L11" s="337">
        <f>'[6]NTI proj'!L8</f>
        <v>7.168356</v>
      </c>
      <c r="M11" s="337">
        <f>'[6]NTI proj'!M8</f>
        <v>7.31172312</v>
      </c>
      <c r="N11" s="337">
        <f>'[6]NTI proj'!N8</f>
        <v>7.4579575824</v>
      </c>
      <c r="O11" s="337">
        <f>'[6]NTI proj'!O8</f>
        <v>7.607116734048</v>
      </c>
    </row>
    <row r="12" spans="2:15">
      <c r="B12" s="100">
        <f t="shared" ref="B12:B20" si="1">B11+1</f>
        <v>4</v>
      </c>
      <c r="C12" s="527" t="s">
        <v>839</v>
      </c>
      <c r="D12" s="337"/>
      <c r="E12" s="337"/>
      <c r="F12" s="337"/>
      <c r="G12" s="337"/>
      <c r="H12" s="337"/>
      <c r="I12" s="337"/>
      <c r="J12" s="337">
        <f>'[6]NTI proj'!J9</f>
        <v>11.46</v>
      </c>
      <c r="K12" s="337">
        <f>'[6]NTI proj'!K9</f>
        <v>11.6892</v>
      </c>
      <c r="L12" s="337">
        <f>'[6]NTI proj'!L9</f>
        <v>11.922984</v>
      </c>
      <c r="M12" s="337">
        <f>'[6]NTI proj'!M9</f>
        <v>12.16144368</v>
      </c>
      <c r="N12" s="337">
        <f>'[6]NTI proj'!N9</f>
        <v>12.4046725536</v>
      </c>
      <c r="O12" s="337">
        <f>'[6]NTI proj'!O9</f>
        <v>12.652766004672</v>
      </c>
    </row>
    <row r="13" spans="2:15">
      <c r="B13" s="100">
        <f t="shared" si="1"/>
        <v>5</v>
      </c>
      <c r="C13" s="527" t="s">
        <v>840</v>
      </c>
      <c r="D13" s="337"/>
      <c r="E13" s="337"/>
      <c r="F13" s="337"/>
      <c r="G13" s="337"/>
      <c r="H13" s="337"/>
      <c r="I13" s="337"/>
      <c r="J13" s="337">
        <f>'[6]NTI proj'!J10</f>
        <v>9.41</v>
      </c>
      <c r="K13" s="337">
        <f>'[6]NTI proj'!K10</f>
        <v>9.5982</v>
      </c>
      <c r="L13" s="337">
        <f>'[6]NTI proj'!L10</f>
        <v>9.790164</v>
      </c>
      <c r="M13" s="337">
        <f>'[6]NTI proj'!M10</f>
        <v>9.98596728</v>
      </c>
      <c r="N13" s="337">
        <f>'[6]NTI proj'!N10</f>
        <v>10.1856866256</v>
      </c>
      <c r="O13" s="337">
        <f>'[6]NTI proj'!O10</f>
        <v>10.389400358112</v>
      </c>
    </row>
    <row r="14" s="11" customFormat="1" ht="15" spans="2:15">
      <c r="B14" s="100">
        <f t="shared" si="1"/>
        <v>6</v>
      </c>
      <c r="C14" s="527" t="s">
        <v>841</v>
      </c>
      <c r="D14" s="337"/>
      <c r="E14" s="337"/>
      <c r="F14" s="337"/>
      <c r="G14" s="337"/>
      <c r="H14" s="337"/>
      <c r="I14" s="337"/>
      <c r="J14" s="337">
        <f>'[6]NTI proj'!J11</f>
        <v>0.29</v>
      </c>
      <c r="K14" s="337">
        <f>'[6]NTI proj'!K11</f>
        <v>0.2958</v>
      </c>
      <c r="L14" s="337">
        <f>'[6]NTI proj'!L11</f>
        <v>0.301716</v>
      </c>
      <c r="M14" s="337">
        <f>'[6]NTI proj'!M11</f>
        <v>0.30775032</v>
      </c>
      <c r="N14" s="337">
        <f>'[6]NTI proj'!N11</f>
        <v>0.3139053264</v>
      </c>
      <c r="O14" s="337">
        <f>'[6]NTI proj'!O11</f>
        <v>0.320183432928</v>
      </c>
    </row>
    <row r="15" s="11" customFormat="1" ht="15" spans="2:15">
      <c r="B15" s="100">
        <f t="shared" si="1"/>
        <v>7</v>
      </c>
      <c r="C15" s="527" t="s">
        <v>842</v>
      </c>
      <c r="D15" s="337"/>
      <c r="E15" s="337"/>
      <c r="F15" s="337"/>
      <c r="G15" s="337"/>
      <c r="H15" s="337"/>
      <c r="I15" s="337"/>
      <c r="J15" s="337">
        <f>'[6]NTI proj'!J12</f>
        <v>0.4</v>
      </c>
      <c r="K15" s="337">
        <f>'[6]NTI proj'!K12</f>
        <v>0.408</v>
      </c>
      <c r="L15" s="337">
        <f>'[6]NTI proj'!L12</f>
        <v>0.41616</v>
      </c>
      <c r="M15" s="337">
        <f>'[6]NTI proj'!M12</f>
        <v>0.4244832</v>
      </c>
      <c r="N15" s="337">
        <f>'[6]NTI proj'!N12</f>
        <v>0.432972864</v>
      </c>
      <c r="O15" s="337">
        <f>'[6]NTI proj'!O12</f>
        <v>0.44163232128</v>
      </c>
    </row>
    <row r="16" s="11" customFormat="1" ht="15" spans="2:15">
      <c r="B16" s="100">
        <f t="shared" si="1"/>
        <v>8</v>
      </c>
      <c r="C16" s="527" t="s">
        <v>843</v>
      </c>
      <c r="D16" s="337"/>
      <c r="E16" s="337"/>
      <c r="F16" s="337"/>
      <c r="G16" s="337"/>
      <c r="H16" s="337"/>
      <c r="I16" s="337"/>
      <c r="J16" s="337">
        <f>'[6]NTI proj'!J13</f>
        <v>0.5</v>
      </c>
      <c r="K16" s="337">
        <f>'[6]NTI proj'!K13</f>
        <v>0.51</v>
      </c>
      <c r="L16" s="337">
        <f>'[6]NTI proj'!L13</f>
        <v>0.5202</v>
      </c>
      <c r="M16" s="337">
        <f>'[6]NTI proj'!M13</f>
        <v>0.530604</v>
      </c>
      <c r="N16" s="337">
        <f>'[6]NTI proj'!N13</f>
        <v>0.54121608</v>
      </c>
      <c r="O16" s="337">
        <f>'[6]NTI proj'!O13</f>
        <v>0.5520404016</v>
      </c>
    </row>
    <row r="17" s="11" customFormat="1" ht="15" spans="2:15">
      <c r="B17" s="100">
        <f t="shared" si="1"/>
        <v>9</v>
      </c>
      <c r="C17" s="527" t="s">
        <v>844</v>
      </c>
      <c r="D17" s="337"/>
      <c r="E17" s="337"/>
      <c r="F17" s="337"/>
      <c r="G17" s="337"/>
      <c r="H17" s="337"/>
      <c r="I17" s="337"/>
      <c r="J17" s="337">
        <f>'[6]NTI proj'!J14</f>
        <v>5.19</v>
      </c>
      <c r="K17" s="337">
        <f>'[6]NTI proj'!K14</f>
        <v>5.2938</v>
      </c>
      <c r="L17" s="337">
        <f>'[6]NTI proj'!L14</f>
        <v>5.399676</v>
      </c>
      <c r="M17" s="337">
        <f>'[6]NTI proj'!M14</f>
        <v>5.50766952</v>
      </c>
      <c r="N17" s="337">
        <f>'[6]NTI proj'!N14</f>
        <v>5.6178229104</v>
      </c>
      <c r="O17" s="337">
        <f>'[6]NTI proj'!O14</f>
        <v>5.730179368608</v>
      </c>
    </row>
    <row r="18" s="11" customFormat="1" ht="15" spans="2:15">
      <c r="B18" s="100">
        <f t="shared" si="1"/>
        <v>10</v>
      </c>
      <c r="C18" s="527" t="s">
        <v>845</v>
      </c>
      <c r="D18" s="337"/>
      <c r="E18" s="337"/>
      <c r="F18" s="337"/>
      <c r="G18" s="337"/>
      <c r="H18" s="337"/>
      <c r="I18" s="337"/>
      <c r="J18" s="337">
        <f>'[6]NTI proj'!J15</f>
        <v>0.12</v>
      </c>
      <c r="K18" s="337">
        <f>'[6]NTI proj'!K15</f>
        <v>0.1224</v>
      </c>
      <c r="L18" s="337">
        <f>'[6]NTI proj'!L15</f>
        <v>0.124848</v>
      </c>
      <c r="M18" s="337">
        <f>'[6]NTI proj'!M15</f>
        <v>0.12734496</v>
      </c>
      <c r="N18" s="337">
        <f>'[6]NTI proj'!N15</f>
        <v>0.1298918592</v>
      </c>
      <c r="O18" s="337">
        <f>'[6]NTI proj'!O15</f>
        <v>0.132489696384</v>
      </c>
    </row>
    <row r="19" s="11" customFormat="1" ht="15" spans="2:15">
      <c r="B19" s="100">
        <f t="shared" si="1"/>
        <v>11</v>
      </c>
      <c r="C19" s="527" t="s">
        <v>846</v>
      </c>
      <c r="D19" s="337"/>
      <c r="E19" s="337"/>
      <c r="F19" s="337"/>
      <c r="G19" s="337"/>
      <c r="H19" s="337"/>
      <c r="I19" s="337"/>
      <c r="J19" s="337">
        <f>'[6]NTI proj'!J16</f>
        <v>0.05</v>
      </c>
      <c r="K19" s="337">
        <f>'[6]NTI proj'!K16</f>
        <v>0.051</v>
      </c>
      <c r="L19" s="337">
        <f>'[6]NTI proj'!L16</f>
        <v>0.05202</v>
      </c>
      <c r="M19" s="337">
        <f>'[6]NTI proj'!M16</f>
        <v>0.0530604</v>
      </c>
      <c r="N19" s="337">
        <f>'[6]NTI proj'!N16</f>
        <v>0.054121608</v>
      </c>
      <c r="O19" s="337">
        <f>'[6]NTI proj'!O16</f>
        <v>0.05520404016</v>
      </c>
    </row>
    <row r="20" s="11" customFormat="1" ht="15" spans="2:15">
      <c r="B20" s="100">
        <f t="shared" si="1"/>
        <v>12</v>
      </c>
      <c r="C20" s="527" t="s">
        <v>440</v>
      </c>
      <c r="D20" s="337">
        <f t="shared" ref="D20:O20" si="2">D39+D47</f>
        <v>0</v>
      </c>
      <c r="E20" s="337">
        <f t="shared" si="2"/>
        <v>0</v>
      </c>
      <c r="F20" s="337">
        <f t="shared" si="2"/>
        <v>0</v>
      </c>
      <c r="G20" s="337">
        <f t="shared" si="2"/>
        <v>28.18</v>
      </c>
      <c r="H20" s="337">
        <f t="shared" si="2"/>
        <v>0</v>
      </c>
      <c r="I20" s="337">
        <f t="shared" si="2"/>
        <v>0</v>
      </c>
      <c r="J20" s="337">
        <f t="shared" si="2"/>
        <v>78.24</v>
      </c>
      <c r="K20" s="337">
        <f t="shared" si="2"/>
        <v>79.8048</v>
      </c>
      <c r="L20" s="337">
        <f ca="1" t="shared" si="2"/>
        <v>0</v>
      </c>
      <c r="M20" s="337">
        <f ca="1" t="shared" si="2"/>
        <v>0</v>
      </c>
      <c r="N20" s="337">
        <f ca="1" t="shared" si="2"/>
        <v>0</v>
      </c>
      <c r="O20" s="337">
        <f ca="1" t="shared" si="2"/>
        <v>0</v>
      </c>
    </row>
    <row r="21" ht="15" spans="2:15">
      <c r="B21" s="100"/>
      <c r="C21" s="175" t="s">
        <v>97</v>
      </c>
      <c r="D21" s="324">
        <f>SUM(D9:D20)</f>
        <v>0</v>
      </c>
      <c r="E21" s="324">
        <f>SUM(E9:E20)</f>
        <v>0</v>
      </c>
      <c r="F21" s="324">
        <f>E21-D21</f>
        <v>0</v>
      </c>
      <c r="G21" s="324">
        <f t="shared" ref="G21:O21" si="3">SUM(G9:G20)</f>
        <v>56.36</v>
      </c>
      <c r="H21" s="324">
        <f t="shared" si="3"/>
        <v>0</v>
      </c>
      <c r="I21" s="324">
        <f t="shared" si="3"/>
        <v>0</v>
      </c>
      <c r="J21" s="324">
        <f t="shared" si="3"/>
        <v>228.78</v>
      </c>
      <c r="K21" s="324">
        <f t="shared" si="3"/>
        <v>233.3556</v>
      </c>
      <c r="L21" s="324">
        <f ca="1" t="shared" si="3"/>
        <v>156.621816</v>
      </c>
      <c r="M21" s="324">
        <f ca="1" t="shared" si="3"/>
        <v>159.75425232</v>
      </c>
      <c r="N21" s="324">
        <f ca="1" t="shared" si="3"/>
        <v>162.9493373664</v>
      </c>
      <c r="O21" s="324">
        <f ca="1" t="shared" si="3"/>
        <v>166.208324113728</v>
      </c>
    </row>
    <row r="23" ht="15" spans="2:12">
      <c r="B23" s="322" t="s">
        <v>768</v>
      </c>
      <c r="C23" s="14"/>
      <c r="D23" s="117"/>
      <c r="E23" s="117"/>
      <c r="F23" s="117"/>
      <c r="G23" s="117"/>
      <c r="H23" s="117"/>
      <c r="I23" s="117"/>
      <c r="J23" s="117"/>
      <c r="K23" s="117"/>
      <c r="L23" s="117"/>
    </row>
    <row r="24" ht="15" spans="15:15">
      <c r="O24" s="33" t="s">
        <v>109</v>
      </c>
    </row>
    <row r="25" ht="14.1" customHeight="1" spans="2:15">
      <c r="B25" s="16" t="s">
        <v>3</v>
      </c>
      <c r="C25" s="6" t="s">
        <v>110</v>
      </c>
      <c r="D25" s="306" t="s">
        <v>112</v>
      </c>
      <c r="E25" s="307"/>
      <c r="F25" s="308"/>
      <c r="G25" s="306" t="s">
        <v>760</v>
      </c>
      <c r="H25" s="307"/>
      <c r="I25" s="307"/>
      <c r="J25" s="307"/>
      <c r="K25" s="135" t="s">
        <v>114</v>
      </c>
      <c r="L25" s="135"/>
      <c r="M25" s="135"/>
      <c r="N25" s="135"/>
      <c r="O25" s="135"/>
    </row>
    <row r="26" ht="30" spans="2:15">
      <c r="B26" s="309"/>
      <c r="C26" s="6"/>
      <c r="D26" s="5" t="s">
        <v>116</v>
      </c>
      <c r="E26" s="5" t="s">
        <v>237</v>
      </c>
      <c r="F26" s="5" t="s">
        <v>118</v>
      </c>
      <c r="G26" s="5" t="s">
        <v>116</v>
      </c>
      <c r="H26" s="5" t="s">
        <v>119</v>
      </c>
      <c r="I26" s="5" t="s">
        <v>120</v>
      </c>
      <c r="J26" s="5" t="s">
        <v>238</v>
      </c>
      <c r="K26" s="5" t="s">
        <v>514</v>
      </c>
      <c r="L26" s="5" t="s">
        <v>515</v>
      </c>
      <c r="M26" s="5" t="s">
        <v>516</v>
      </c>
      <c r="N26" s="5" t="s">
        <v>517</v>
      </c>
      <c r="O26" s="5" t="s">
        <v>518</v>
      </c>
    </row>
    <row r="27" ht="15" spans="2:15">
      <c r="B27" s="310"/>
      <c r="C27" s="100"/>
      <c r="D27" s="5" t="s">
        <v>127</v>
      </c>
      <c r="E27" s="5" t="s">
        <v>128</v>
      </c>
      <c r="F27" s="5" t="s">
        <v>129</v>
      </c>
      <c r="G27" s="5" t="s">
        <v>127</v>
      </c>
      <c r="H27" s="5" t="s">
        <v>130</v>
      </c>
      <c r="I27" s="5" t="s">
        <v>131</v>
      </c>
      <c r="J27" s="5" t="s">
        <v>131</v>
      </c>
      <c r="K27" s="5" t="s">
        <v>132</v>
      </c>
      <c r="L27" s="5" t="s">
        <v>132</v>
      </c>
      <c r="M27" s="5" t="s">
        <v>132</v>
      </c>
      <c r="N27" s="5" t="s">
        <v>132</v>
      </c>
      <c r="O27" s="5" t="s">
        <v>132</v>
      </c>
    </row>
    <row r="28" spans="2:15">
      <c r="B28" s="311">
        <v>1</v>
      </c>
      <c r="C28" s="527" t="s">
        <v>836</v>
      </c>
      <c r="D28" s="20"/>
      <c r="E28" s="55"/>
      <c r="F28" s="55"/>
      <c r="G28" s="208"/>
      <c r="H28" s="208"/>
      <c r="I28" s="208"/>
      <c r="J28" s="340">
        <f t="shared" ref="J28:J38" si="4">J9</f>
        <v>116.21</v>
      </c>
      <c r="K28" s="340">
        <f>K9*90%</f>
        <v>106.68078</v>
      </c>
      <c r="L28" s="340">
        <f t="shared" ref="L28:O28" si="5">L9*90%</f>
        <v>108.8143956</v>
      </c>
      <c r="M28" s="340">
        <f t="shared" si="5"/>
        <v>110.990683512</v>
      </c>
      <c r="N28" s="340">
        <f t="shared" si="5"/>
        <v>113.21049718224</v>
      </c>
      <c r="O28" s="340">
        <f t="shared" si="5"/>
        <v>115.474707125885</v>
      </c>
    </row>
    <row r="29" spans="2:15">
      <c r="B29" s="311">
        <f>B28+1</f>
        <v>2</v>
      </c>
      <c r="C29" s="527" t="s">
        <v>837</v>
      </c>
      <c r="D29" s="20"/>
      <c r="E29" s="55"/>
      <c r="F29" s="55"/>
      <c r="G29" s="208"/>
      <c r="H29" s="208"/>
      <c r="I29" s="208"/>
      <c r="J29" s="340">
        <f t="shared" si="4"/>
        <v>0.02</v>
      </c>
      <c r="K29" s="340">
        <f t="shared" ref="K29:O39" si="6">K10*90%</f>
        <v>0.01836</v>
      </c>
      <c r="L29" s="340">
        <f t="shared" si="6"/>
        <v>0.0187272</v>
      </c>
      <c r="M29" s="340">
        <f t="shared" si="6"/>
        <v>0.019101744</v>
      </c>
      <c r="N29" s="340">
        <f t="shared" si="6"/>
        <v>0.01948377888</v>
      </c>
      <c r="O29" s="340">
        <f t="shared" si="6"/>
        <v>0.0198734544576</v>
      </c>
    </row>
    <row r="30" spans="2:15">
      <c r="B30" s="311">
        <f>B29+1</f>
        <v>3</v>
      </c>
      <c r="C30" s="527" t="s">
        <v>838</v>
      </c>
      <c r="D30" s="20"/>
      <c r="E30" s="55"/>
      <c r="F30" s="55"/>
      <c r="G30" s="208"/>
      <c r="H30" s="208"/>
      <c r="I30" s="208"/>
      <c r="J30" s="340">
        <f t="shared" si="4"/>
        <v>6.89</v>
      </c>
      <c r="K30" s="340">
        <f t="shared" si="6"/>
        <v>6.32502</v>
      </c>
      <c r="L30" s="340">
        <f t="shared" si="6"/>
        <v>6.4515204</v>
      </c>
      <c r="M30" s="340">
        <f t="shared" si="6"/>
        <v>6.580550808</v>
      </c>
      <c r="N30" s="340">
        <f t="shared" si="6"/>
        <v>6.71216182416</v>
      </c>
      <c r="O30" s="340">
        <f t="shared" si="6"/>
        <v>6.8464050606432</v>
      </c>
    </row>
    <row r="31" spans="2:15">
      <c r="B31" s="100">
        <f t="shared" ref="B31:B39" si="7">B30+1</f>
        <v>4</v>
      </c>
      <c r="C31" s="527" t="s">
        <v>839</v>
      </c>
      <c r="D31" s="20"/>
      <c r="E31" s="55"/>
      <c r="F31" s="55"/>
      <c r="G31" s="208"/>
      <c r="H31" s="208"/>
      <c r="I31" s="208"/>
      <c r="J31" s="340">
        <f t="shared" si="4"/>
        <v>11.46</v>
      </c>
      <c r="K31" s="340">
        <f t="shared" si="6"/>
        <v>10.52028</v>
      </c>
      <c r="L31" s="340">
        <f t="shared" si="6"/>
        <v>10.7306856</v>
      </c>
      <c r="M31" s="340">
        <f t="shared" si="6"/>
        <v>10.945299312</v>
      </c>
      <c r="N31" s="340">
        <f t="shared" si="6"/>
        <v>11.16420529824</v>
      </c>
      <c r="O31" s="340">
        <f t="shared" si="6"/>
        <v>11.3874894042048</v>
      </c>
    </row>
    <row r="32" spans="2:15">
      <c r="B32" s="100">
        <f t="shared" si="7"/>
        <v>5</v>
      </c>
      <c r="C32" s="527" t="s">
        <v>840</v>
      </c>
      <c r="D32" s="333"/>
      <c r="E32" s="334"/>
      <c r="F32" s="21"/>
      <c r="G32" s="334"/>
      <c r="H32" s="334"/>
      <c r="I32" s="334"/>
      <c r="J32" s="340">
        <f t="shared" si="4"/>
        <v>9.41</v>
      </c>
      <c r="K32" s="340">
        <f t="shared" si="6"/>
        <v>8.63838</v>
      </c>
      <c r="L32" s="340">
        <f t="shared" si="6"/>
        <v>8.8111476</v>
      </c>
      <c r="M32" s="340">
        <f t="shared" si="6"/>
        <v>8.987370552</v>
      </c>
      <c r="N32" s="340">
        <f t="shared" si="6"/>
        <v>9.16711796304</v>
      </c>
      <c r="O32" s="340">
        <f t="shared" si="6"/>
        <v>9.3504603223008</v>
      </c>
    </row>
    <row r="33" spans="2:15">
      <c r="B33" s="100">
        <f t="shared" si="7"/>
        <v>6</v>
      </c>
      <c r="C33" s="527" t="s">
        <v>841</v>
      </c>
      <c r="D33" s="333"/>
      <c r="E33" s="334"/>
      <c r="F33" s="21"/>
      <c r="G33" s="334"/>
      <c r="H33" s="334"/>
      <c r="I33" s="334"/>
      <c r="J33" s="340">
        <f t="shared" si="4"/>
        <v>0.29</v>
      </c>
      <c r="K33" s="340">
        <f t="shared" si="6"/>
        <v>0.26622</v>
      </c>
      <c r="L33" s="340">
        <f t="shared" si="6"/>
        <v>0.2715444</v>
      </c>
      <c r="M33" s="340">
        <f t="shared" si="6"/>
        <v>0.276975288</v>
      </c>
      <c r="N33" s="340">
        <f t="shared" si="6"/>
        <v>0.28251479376</v>
      </c>
      <c r="O33" s="340">
        <f t="shared" si="6"/>
        <v>0.2881650896352</v>
      </c>
    </row>
    <row r="34" spans="2:15">
      <c r="B34" s="100">
        <f t="shared" si="7"/>
        <v>7</v>
      </c>
      <c r="C34" s="527" t="s">
        <v>842</v>
      </c>
      <c r="D34" s="333"/>
      <c r="E34" s="334"/>
      <c r="F34" s="21"/>
      <c r="G34" s="334"/>
      <c r="H34" s="334"/>
      <c r="I34" s="334"/>
      <c r="J34" s="340">
        <f t="shared" si="4"/>
        <v>0.4</v>
      </c>
      <c r="K34" s="340">
        <f t="shared" si="6"/>
        <v>0.3672</v>
      </c>
      <c r="L34" s="340">
        <f t="shared" si="6"/>
        <v>0.374544</v>
      </c>
      <c r="M34" s="340">
        <f t="shared" si="6"/>
        <v>0.38203488</v>
      </c>
      <c r="N34" s="340">
        <f t="shared" si="6"/>
        <v>0.3896755776</v>
      </c>
      <c r="O34" s="340">
        <f t="shared" si="6"/>
        <v>0.397469089152</v>
      </c>
    </row>
    <row r="35" spans="2:15">
      <c r="B35" s="100">
        <f t="shared" si="7"/>
        <v>8</v>
      </c>
      <c r="C35" s="527" t="s">
        <v>843</v>
      </c>
      <c r="D35" s="333"/>
      <c r="E35" s="334"/>
      <c r="F35" s="21"/>
      <c r="G35" s="334"/>
      <c r="H35" s="334"/>
      <c r="I35" s="334"/>
      <c r="J35" s="340">
        <f t="shared" si="4"/>
        <v>0.5</v>
      </c>
      <c r="K35" s="340">
        <f t="shared" si="6"/>
        <v>0.459</v>
      </c>
      <c r="L35" s="340">
        <f t="shared" si="6"/>
        <v>0.46818</v>
      </c>
      <c r="M35" s="340">
        <f t="shared" si="6"/>
        <v>0.4775436</v>
      </c>
      <c r="N35" s="340">
        <f t="shared" si="6"/>
        <v>0.487094472</v>
      </c>
      <c r="O35" s="340">
        <f t="shared" si="6"/>
        <v>0.49683636144</v>
      </c>
    </row>
    <row r="36" spans="2:15">
      <c r="B36" s="100">
        <f t="shared" si="7"/>
        <v>9</v>
      </c>
      <c r="C36" s="527" t="s">
        <v>844</v>
      </c>
      <c r="D36" s="333"/>
      <c r="E36" s="334"/>
      <c r="F36" s="21"/>
      <c r="G36" s="334"/>
      <c r="H36" s="334"/>
      <c r="I36" s="334"/>
      <c r="J36" s="340">
        <f t="shared" si="4"/>
        <v>5.19</v>
      </c>
      <c r="K36" s="340">
        <f t="shared" si="6"/>
        <v>4.76442</v>
      </c>
      <c r="L36" s="340">
        <f t="shared" si="6"/>
        <v>4.8597084</v>
      </c>
      <c r="M36" s="340">
        <f t="shared" si="6"/>
        <v>4.956902568</v>
      </c>
      <c r="N36" s="340">
        <f t="shared" si="6"/>
        <v>5.05604061936</v>
      </c>
      <c r="O36" s="340">
        <f t="shared" si="6"/>
        <v>5.1571614317472</v>
      </c>
    </row>
    <row r="37" spans="2:15">
      <c r="B37" s="100">
        <f t="shared" si="7"/>
        <v>10</v>
      </c>
      <c r="C37" s="527" t="s">
        <v>845</v>
      </c>
      <c r="D37" s="333"/>
      <c r="E37" s="334"/>
      <c r="F37" s="21"/>
      <c r="G37" s="334"/>
      <c r="H37" s="334"/>
      <c r="I37" s="334"/>
      <c r="J37" s="340">
        <f t="shared" si="4"/>
        <v>0.12</v>
      </c>
      <c r="K37" s="340">
        <f t="shared" si="6"/>
        <v>0.11016</v>
      </c>
      <c r="L37" s="340">
        <f t="shared" si="6"/>
        <v>0.1123632</v>
      </c>
      <c r="M37" s="340">
        <f t="shared" si="6"/>
        <v>0.114610464</v>
      </c>
      <c r="N37" s="340">
        <f t="shared" si="6"/>
        <v>0.11690267328</v>
      </c>
      <c r="O37" s="340">
        <f t="shared" si="6"/>
        <v>0.1192407267456</v>
      </c>
    </row>
    <row r="38" ht="12.6" customHeight="1" spans="2:15">
      <c r="B38" s="100">
        <f t="shared" si="7"/>
        <v>11</v>
      </c>
      <c r="C38" s="527" t="s">
        <v>846</v>
      </c>
      <c r="D38" s="333"/>
      <c r="E38" s="334"/>
      <c r="F38" s="21"/>
      <c r="G38" s="334"/>
      <c r="H38" s="334"/>
      <c r="I38" s="334"/>
      <c r="J38" s="340">
        <f t="shared" si="4"/>
        <v>0.05</v>
      </c>
      <c r="K38" s="340">
        <f t="shared" si="6"/>
        <v>0.0459</v>
      </c>
      <c r="L38" s="340">
        <f t="shared" si="6"/>
        <v>0.046818</v>
      </c>
      <c r="M38" s="340">
        <f t="shared" si="6"/>
        <v>0.04775436</v>
      </c>
      <c r="N38" s="340">
        <f t="shared" si="6"/>
        <v>0.0487094472</v>
      </c>
      <c r="O38" s="340">
        <f t="shared" si="6"/>
        <v>0.049683636144</v>
      </c>
    </row>
    <row r="39" spans="2:15">
      <c r="B39" s="100">
        <f t="shared" si="7"/>
        <v>12</v>
      </c>
      <c r="C39" s="527" t="s">
        <v>440</v>
      </c>
      <c r="D39" s="333"/>
      <c r="E39" s="334"/>
      <c r="F39" s="21"/>
      <c r="G39" s="334"/>
      <c r="H39" s="334"/>
      <c r="I39" s="334"/>
      <c r="J39" s="318">
        <v>0</v>
      </c>
      <c r="K39" s="340">
        <v>0</v>
      </c>
      <c r="L39" s="340">
        <f ca="1" t="shared" si="6"/>
        <v>0</v>
      </c>
      <c r="M39" s="340">
        <f ca="1" t="shared" si="6"/>
        <v>0</v>
      </c>
      <c r="N39" s="340">
        <f ca="1" t="shared" si="6"/>
        <v>0</v>
      </c>
      <c r="O39" s="340">
        <f ca="1" t="shared" si="6"/>
        <v>0</v>
      </c>
    </row>
    <row r="40" ht="15" spans="2:15">
      <c r="B40" s="100"/>
      <c r="C40" s="175" t="s">
        <v>97</v>
      </c>
      <c r="D40" s="324">
        <f>SUM(D28:D39)</f>
        <v>0</v>
      </c>
      <c r="E40" s="324">
        <f>SUM(E28:E39)</f>
        <v>0</v>
      </c>
      <c r="F40" s="324">
        <f>E40</f>
        <v>0</v>
      </c>
      <c r="G40" s="324">
        <f t="shared" ref="G40:O40" si="8">SUM(G28:G39)</f>
        <v>0</v>
      </c>
      <c r="H40" s="324">
        <f t="shared" si="8"/>
        <v>0</v>
      </c>
      <c r="I40" s="324">
        <f t="shared" si="8"/>
        <v>0</v>
      </c>
      <c r="J40" s="323">
        <f t="shared" si="8"/>
        <v>150.54</v>
      </c>
      <c r="K40" s="323">
        <f t="shared" si="8"/>
        <v>138.19572</v>
      </c>
      <c r="L40" s="323">
        <f ca="1" t="shared" si="8"/>
        <v>140.9596344</v>
      </c>
      <c r="M40" s="323">
        <f ca="1" t="shared" si="8"/>
        <v>143.778827088</v>
      </c>
      <c r="N40" s="323">
        <f ca="1" t="shared" si="8"/>
        <v>146.65440362976</v>
      </c>
      <c r="O40" s="323">
        <f ca="1" t="shared" si="8"/>
        <v>149.587491702355</v>
      </c>
    </row>
    <row r="42" ht="15" spans="2:12">
      <c r="B42" s="322" t="s">
        <v>847</v>
      </c>
      <c r="C42" s="14"/>
      <c r="D42" s="117"/>
      <c r="E42" s="117"/>
      <c r="F42" s="117"/>
      <c r="G42" s="117"/>
      <c r="H42" s="117"/>
      <c r="I42" s="117"/>
      <c r="J42" s="117"/>
      <c r="K42" s="117"/>
      <c r="L42" s="117"/>
    </row>
    <row r="43" ht="15" spans="15:15">
      <c r="O43" s="33" t="s">
        <v>109</v>
      </c>
    </row>
    <row r="44" ht="14.1" customHeight="1" spans="2:15">
      <c r="B44" s="16" t="s">
        <v>3</v>
      </c>
      <c r="C44" s="6" t="s">
        <v>110</v>
      </c>
      <c r="D44" s="306" t="s">
        <v>163</v>
      </c>
      <c r="E44" s="307"/>
      <c r="F44" s="308"/>
      <c r="G44" s="306" t="s">
        <v>848</v>
      </c>
      <c r="H44" s="307"/>
      <c r="I44" s="307"/>
      <c r="J44" s="307"/>
      <c r="K44" s="135" t="s">
        <v>114</v>
      </c>
      <c r="L44" s="135"/>
      <c r="M44" s="135"/>
      <c r="N44" s="135"/>
      <c r="O44" s="135"/>
    </row>
    <row r="45" ht="30" spans="2:17">
      <c r="B45" s="309"/>
      <c r="C45" s="6"/>
      <c r="D45" s="5" t="s">
        <v>116</v>
      </c>
      <c r="E45" s="5" t="s">
        <v>237</v>
      </c>
      <c r="F45" s="5" t="s">
        <v>118</v>
      </c>
      <c r="G45" s="5" t="s">
        <v>116</v>
      </c>
      <c r="H45" s="5" t="s">
        <v>119</v>
      </c>
      <c r="I45" s="5" t="s">
        <v>120</v>
      </c>
      <c r="J45" s="5" t="s">
        <v>238</v>
      </c>
      <c r="K45" s="5" t="s">
        <v>514</v>
      </c>
      <c r="L45" s="5" t="s">
        <v>515</v>
      </c>
      <c r="M45" s="5" t="s">
        <v>516</v>
      </c>
      <c r="N45" s="5" t="s">
        <v>517</v>
      </c>
      <c r="O45" s="5" t="s">
        <v>518</v>
      </c>
      <c r="P45" s="529"/>
      <c r="Q45" s="529"/>
    </row>
    <row r="46" ht="15" spans="2:17">
      <c r="B46" s="310"/>
      <c r="C46" s="100"/>
      <c r="D46" s="5" t="s">
        <v>127</v>
      </c>
      <c r="E46" s="5" t="s">
        <v>128</v>
      </c>
      <c r="F46" s="5" t="s">
        <v>129</v>
      </c>
      <c r="G46" s="5" t="s">
        <v>127</v>
      </c>
      <c r="H46" s="5" t="s">
        <v>130</v>
      </c>
      <c r="I46" s="5" t="s">
        <v>130</v>
      </c>
      <c r="J46" s="5" t="s">
        <v>130</v>
      </c>
      <c r="K46" s="5" t="s">
        <v>132</v>
      </c>
      <c r="L46" s="5" t="s">
        <v>132</v>
      </c>
      <c r="M46" s="5" t="s">
        <v>132</v>
      </c>
      <c r="N46" s="5" t="s">
        <v>132</v>
      </c>
      <c r="O46" s="5" t="s">
        <v>132</v>
      </c>
      <c r="P46" s="529"/>
      <c r="Q46" s="529"/>
    </row>
    <row r="47" spans="2:17">
      <c r="B47" s="311">
        <v>1</v>
      </c>
      <c r="C47" s="528" t="s">
        <v>849</v>
      </c>
      <c r="D47" s="20"/>
      <c r="E47" s="55"/>
      <c r="F47" s="55"/>
      <c r="G47" s="208">
        <v>28.18</v>
      </c>
      <c r="H47" s="208"/>
      <c r="I47" s="208"/>
      <c r="J47" s="208">
        <f>'[17]Rev_SP-12me'!$BG$2</f>
        <v>78.24</v>
      </c>
      <c r="K47" s="340">
        <f>'[17]Rev_SP-12me'!$BG$3</f>
        <v>79.8048</v>
      </c>
      <c r="L47" s="208"/>
      <c r="M47" s="208"/>
      <c r="N47" s="208"/>
      <c r="O47" s="208"/>
      <c r="P47" s="529"/>
      <c r="Q47" s="529"/>
    </row>
    <row r="48" ht="15" spans="2:17">
      <c r="B48" s="100"/>
      <c r="C48" s="175" t="s">
        <v>97</v>
      </c>
      <c r="D48" s="324">
        <f>SUM(D47:D47)</f>
        <v>0</v>
      </c>
      <c r="E48" s="324">
        <f>SUM(E47:E47)</f>
        <v>0</v>
      </c>
      <c r="F48" s="324">
        <f>E48</f>
        <v>0</v>
      </c>
      <c r="G48" s="324">
        <f t="shared" ref="G48:O48" si="9">SUM(G47:G47)</f>
        <v>28.18</v>
      </c>
      <c r="H48" s="324">
        <f t="shared" si="9"/>
        <v>0</v>
      </c>
      <c r="I48" s="324">
        <f t="shared" si="9"/>
        <v>0</v>
      </c>
      <c r="J48" s="324">
        <f t="shared" si="9"/>
        <v>78.24</v>
      </c>
      <c r="K48" s="30">
        <f t="shared" si="9"/>
        <v>79.8048</v>
      </c>
      <c r="L48" s="30">
        <f t="shared" si="9"/>
        <v>0</v>
      </c>
      <c r="M48" s="30">
        <f t="shared" si="9"/>
        <v>0</v>
      </c>
      <c r="N48" s="30">
        <f t="shared" si="9"/>
        <v>0</v>
      </c>
      <c r="O48" s="30">
        <f t="shared" si="9"/>
        <v>0</v>
      </c>
      <c r="P48" s="529"/>
      <c r="Q48" s="529"/>
    </row>
  </sheetData>
  <mergeCells count="16">
    <mergeCell ref="D6:F6"/>
    <mergeCell ref="G6:J6"/>
    <mergeCell ref="K6:O6"/>
    <mergeCell ref="D25:F25"/>
    <mergeCell ref="G25:J25"/>
    <mergeCell ref="K25:O25"/>
    <mergeCell ref="D44:F44"/>
    <mergeCell ref="G44:J44"/>
    <mergeCell ref="K44:O44"/>
    <mergeCell ref="B6:B8"/>
    <mergeCell ref="B25:B27"/>
    <mergeCell ref="B44:B46"/>
    <mergeCell ref="C6:C8"/>
    <mergeCell ref="C25:C27"/>
    <mergeCell ref="C44:C46"/>
    <mergeCell ref="P45:Q48"/>
  </mergeCells>
  <pageMargins left="1.02" right="0.25" top="1" bottom="1" header="0.25" footer="0.25"/>
  <pageSetup paperSize="9" scale="42" orientation="landscape"/>
  <headerFooter alignWithMargins="0">
    <oddHeader>&amp;C&amp;F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  <pageSetUpPr fitToPage="1"/>
  </sheetPr>
  <dimension ref="B1:O26"/>
  <sheetViews>
    <sheetView showGridLines="0" zoomScale="70" zoomScaleNormal="70" zoomScaleSheetLayoutView="90" topLeftCell="B1" workbookViewId="0">
      <selection activeCell="R21" sqref="R21"/>
    </sheetView>
  </sheetViews>
  <sheetFormatPr defaultColWidth="9.14285714285714" defaultRowHeight="14.25"/>
  <cols>
    <col min="1" max="1" width="4.14285714285714" style="12" customWidth="1"/>
    <col min="2" max="2" width="6.14285714285714" style="12" customWidth="1"/>
    <col min="3" max="3" width="43.5714285714286" style="12" customWidth="1"/>
    <col min="4" max="4" width="13.8571428571429" style="12" customWidth="1"/>
    <col min="5" max="5" width="12.5714285714286" style="12" customWidth="1"/>
    <col min="6" max="6" width="13.4285714285714" style="12" customWidth="1"/>
    <col min="7" max="7" width="13.8571428571429" style="12" customWidth="1"/>
    <col min="8" max="8" width="12.5714285714286" style="12" customWidth="1"/>
    <col min="9" max="9" width="13.1428571428571" style="12" customWidth="1"/>
    <col min="10" max="10" width="12.5714285714286" style="12" customWidth="1"/>
    <col min="11" max="11" width="11.8571428571429" style="12" customWidth="1"/>
    <col min="12" max="12" width="13.8571428571429" style="12" customWidth="1"/>
    <col min="13" max="18" width="11.8571428571429" style="12" customWidth="1"/>
    <col min="19" max="16384" width="9.14285714285714" style="12"/>
  </cols>
  <sheetData>
    <row r="1" ht="15" spans="2:2">
      <c r="B1" s="14"/>
    </row>
    <row r="2" ht="15" spans="8:8">
      <c r="H2" s="2" t="s">
        <v>758</v>
      </c>
    </row>
    <row r="3" ht="15" spans="8:8">
      <c r="H3" s="3" t="s">
        <v>744</v>
      </c>
    </row>
    <row r="4" ht="15" spans="2:12">
      <c r="B4" s="322" t="s">
        <v>763</v>
      </c>
      <c r="C4" s="14"/>
      <c r="D4" s="117"/>
      <c r="E4" s="117"/>
      <c r="F4" s="117"/>
      <c r="G4" s="117"/>
      <c r="H4" s="117"/>
      <c r="I4" s="117"/>
      <c r="J4" s="117"/>
      <c r="K4" s="117"/>
      <c r="L4" s="117"/>
    </row>
    <row r="5" ht="15" spans="15:15">
      <c r="O5" s="33" t="s">
        <v>109</v>
      </c>
    </row>
    <row r="6" s="15" customFormat="1" ht="15" customHeight="1" spans="2:15">
      <c r="B6" s="16" t="s">
        <v>3</v>
      </c>
      <c r="C6" s="6" t="s">
        <v>110</v>
      </c>
      <c r="D6" s="306" t="s">
        <v>112</v>
      </c>
      <c r="E6" s="307"/>
      <c r="F6" s="308"/>
      <c r="G6" s="306" t="s">
        <v>760</v>
      </c>
      <c r="H6" s="307"/>
      <c r="I6" s="307"/>
      <c r="J6" s="307"/>
      <c r="K6" s="135" t="s">
        <v>114</v>
      </c>
      <c r="L6" s="135"/>
      <c r="M6" s="135"/>
      <c r="N6" s="135"/>
      <c r="O6" s="135"/>
    </row>
    <row r="7" s="15" customFormat="1" ht="30" spans="2:15">
      <c r="B7" s="309"/>
      <c r="C7" s="6"/>
      <c r="D7" s="5" t="s">
        <v>116</v>
      </c>
      <c r="E7" s="5" t="s">
        <v>237</v>
      </c>
      <c r="F7" s="5" t="s">
        <v>118</v>
      </c>
      <c r="G7" s="5" t="s">
        <v>116</v>
      </c>
      <c r="H7" s="5" t="s">
        <v>119</v>
      </c>
      <c r="I7" s="5" t="s">
        <v>120</v>
      </c>
      <c r="J7" s="5" t="s">
        <v>238</v>
      </c>
      <c r="K7" s="5" t="s">
        <v>514</v>
      </c>
      <c r="L7" s="5" t="s">
        <v>515</v>
      </c>
      <c r="M7" s="5" t="s">
        <v>516</v>
      </c>
      <c r="N7" s="5" t="s">
        <v>517</v>
      </c>
      <c r="O7" s="5" t="s">
        <v>518</v>
      </c>
    </row>
    <row r="8" s="15" customFormat="1" ht="15" spans="2:15">
      <c r="B8" s="310"/>
      <c r="C8" s="100"/>
      <c r="D8" s="5" t="s">
        <v>127</v>
      </c>
      <c r="E8" s="5" t="s">
        <v>128</v>
      </c>
      <c r="F8" s="5" t="s">
        <v>129</v>
      </c>
      <c r="G8" s="5" t="s">
        <v>127</v>
      </c>
      <c r="H8" s="5" t="s">
        <v>130</v>
      </c>
      <c r="I8" s="5" t="s">
        <v>131</v>
      </c>
      <c r="J8" s="5" t="s">
        <v>131</v>
      </c>
      <c r="K8" s="5" t="s">
        <v>132</v>
      </c>
      <c r="L8" s="5" t="s">
        <v>132</v>
      </c>
      <c r="M8" s="5" t="s">
        <v>132</v>
      </c>
      <c r="N8" s="5" t="s">
        <v>132</v>
      </c>
      <c r="O8" s="5" t="s">
        <v>132</v>
      </c>
    </row>
    <row r="9" spans="2:15">
      <c r="B9" s="311">
        <v>1</v>
      </c>
      <c r="C9" s="55" t="s">
        <v>850</v>
      </c>
      <c r="D9" s="20"/>
      <c r="E9" s="55"/>
      <c r="F9" s="55"/>
      <c r="G9" s="208"/>
      <c r="H9" s="208"/>
      <c r="I9" s="208"/>
      <c r="J9" s="325">
        <v>0</v>
      </c>
      <c r="K9" s="325">
        <v>0</v>
      </c>
      <c r="L9" s="325">
        <v>0</v>
      </c>
      <c r="M9" s="325">
        <v>0</v>
      </c>
      <c r="N9" s="325">
        <v>0</v>
      </c>
      <c r="O9" s="325">
        <v>0</v>
      </c>
    </row>
    <row r="10" ht="15" spans="2:15">
      <c r="B10" s="100"/>
      <c r="C10" s="175" t="s">
        <v>97</v>
      </c>
      <c r="D10" s="323">
        <f>SUM(D9:D9)</f>
        <v>0</v>
      </c>
      <c r="E10" s="323">
        <f>SUM(E9:E9)</f>
        <v>0</v>
      </c>
      <c r="F10" s="323">
        <f>E10</f>
        <v>0</v>
      </c>
      <c r="G10" s="323">
        <f t="shared" ref="G10:O10" si="0">SUM(G9:G9)</f>
        <v>0</v>
      </c>
      <c r="H10" s="323">
        <f t="shared" si="0"/>
        <v>0</v>
      </c>
      <c r="I10" s="323">
        <f t="shared" si="0"/>
        <v>0</v>
      </c>
      <c r="J10" s="323">
        <f t="shared" si="0"/>
        <v>0</v>
      </c>
      <c r="K10" s="323">
        <f t="shared" si="0"/>
        <v>0</v>
      </c>
      <c r="L10" s="323">
        <f t="shared" si="0"/>
        <v>0</v>
      </c>
      <c r="M10" s="323">
        <f t="shared" si="0"/>
        <v>0</v>
      </c>
      <c r="N10" s="323">
        <f t="shared" si="0"/>
        <v>0</v>
      </c>
      <c r="O10" s="323">
        <f t="shared" si="0"/>
        <v>0</v>
      </c>
    </row>
    <row r="12" ht="15" spans="2:12">
      <c r="B12" s="322" t="s">
        <v>768</v>
      </c>
      <c r="C12" s="14"/>
      <c r="D12" s="117"/>
      <c r="E12" s="117"/>
      <c r="F12" s="117"/>
      <c r="G12" s="117"/>
      <c r="H12" s="117"/>
      <c r="I12" s="117"/>
      <c r="J12" s="117"/>
      <c r="K12" s="117"/>
      <c r="L12" s="117"/>
    </row>
    <row r="13" ht="15" spans="15:15">
      <c r="O13" s="33" t="s">
        <v>109</v>
      </c>
    </row>
    <row r="14" ht="14.1" customHeight="1" spans="2:15">
      <c r="B14" s="16" t="s">
        <v>3</v>
      </c>
      <c r="C14" s="6" t="s">
        <v>110</v>
      </c>
      <c r="D14" s="306" t="s">
        <v>112</v>
      </c>
      <c r="E14" s="307"/>
      <c r="F14" s="308"/>
      <c r="G14" s="306" t="s">
        <v>760</v>
      </c>
      <c r="H14" s="307"/>
      <c r="I14" s="307"/>
      <c r="J14" s="307"/>
      <c r="K14" s="135" t="s">
        <v>114</v>
      </c>
      <c r="L14" s="135"/>
      <c r="M14" s="135"/>
      <c r="N14" s="135"/>
      <c r="O14" s="135"/>
    </row>
    <row r="15" ht="30" spans="2:15">
      <c r="B15" s="309"/>
      <c r="C15" s="6"/>
      <c r="D15" s="5" t="s">
        <v>116</v>
      </c>
      <c r="E15" s="5" t="s">
        <v>237</v>
      </c>
      <c r="F15" s="5" t="s">
        <v>118</v>
      </c>
      <c r="G15" s="5" t="s">
        <v>116</v>
      </c>
      <c r="H15" s="5" t="s">
        <v>119</v>
      </c>
      <c r="I15" s="5" t="s">
        <v>120</v>
      </c>
      <c r="J15" s="5" t="s">
        <v>238</v>
      </c>
      <c r="K15" s="5" t="s">
        <v>514</v>
      </c>
      <c r="L15" s="5" t="s">
        <v>515</v>
      </c>
      <c r="M15" s="5" t="s">
        <v>516</v>
      </c>
      <c r="N15" s="5" t="s">
        <v>517</v>
      </c>
      <c r="O15" s="5" t="s">
        <v>518</v>
      </c>
    </row>
    <row r="16" ht="15" spans="2:15">
      <c r="B16" s="310"/>
      <c r="C16" s="100"/>
      <c r="D16" s="5" t="s">
        <v>127</v>
      </c>
      <c r="E16" s="5" t="s">
        <v>128</v>
      </c>
      <c r="F16" s="5" t="s">
        <v>129</v>
      </c>
      <c r="G16" s="5" t="s">
        <v>127</v>
      </c>
      <c r="H16" s="5" t="s">
        <v>130</v>
      </c>
      <c r="I16" s="5" t="s">
        <v>131</v>
      </c>
      <c r="J16" s="5" t="s">
        <v>131</v>
      </c>
      <c r="K16" s="5" t="s">
        <v>132</v>
      </c>
      <c r="L16" s="5" t="s">
        <v>132</v>
      </c>
      <c r="M16" s="5" t="s">
        <v>132</v>
      </c>
      <c r="N16" s="5" t="s">
        <v>132</v>
      </c>
      <c r="O16" s="5" t="s">
        <v>132</v>
      </c>
    </row>
    <row r="17" spans="2:15">
      <c r="B17" s="311">
        <v>1</v>
      </c>
      <c r="C17" s="55" t="s">
        <v>850</v>
      </c>
      <c r="D17" s="20"/>
      <c r="E17" s="55"/>
      <c r="F17" s="55"/>
      <c r="G17" s="208"/>
      <c r="H17" s="208"/>
      <c r="I17" s="208"/>
      <c r="J17" s="325">
        <v>0</v>
      </c>
      <c r="K17" s="325">
        <v>0</v>
      </c>
      <c r="L17" s="325">
        <v>0</v>
      </c>
      <c r="M17" s="325">
        <v>0</v>
      </c>
      <c r="N17" s="325">
        <v>0</v>
      </c>
      <c r="O17" s="325">
        <v>0</v>
      </c>
    </row>
    <row r="18" ht="15" spans="2:15">
      <c r="B18" s="100"/>
      <c r="C18" s="175" t="s">
        <v>97</v>
      </c>
      <c r="D18" s="324">
        <f>SUM(D17:D17)</f>
        <v>0</v>
      </c>
      <c r="E18" s="324">
        <f>SUM(E17:E17)</f>
        <v>0</v>
      </c>
      <c r="F18" s="324">
        <f>E18</f>
        <v>0</v>
      </c>
      <c r="G18" s="324">
        <f t="shared" ref="G18:O18" si="1">SUM(G17:G17)</f>
        <v>0</v>
      </c>
      <c r="H18" s="324">
        <f t="shared" si="1"/>
        <v>0</v>
      </c>
      <c r="I18" s="324">
        <f t="shared" si="1"/>
        <v>0</v>
      </c>
      <c r="J18" s="326">
        <f t="shared" si="1"/>
        <v>0</v>
      </c>
      <c r="K18" s="326">
        <f t="shared" si="1"/>
        <v>0</v>
      </c>
      <c r="L18" s="326">
        <f t="shared" si="1"/>
        <v>0</v>
      </c>
      <c r="M18" s="326">
        <f t="shared" si="1"/>
        <v>0</v>
      </c>
      <c r="N18" s="326">
        <f t="shared" si="1"/>
        <v>0</v>
      </c>
      <c r="O18" s="326">
        <f t="shared" si="1"/>
        <v>0</v>
      </c>
    </row>
    <row r="20" ht="15" spans="2:12">
      <c r="B20" s="322" t="s">
        <v>769</v>
      </c>
      <c r="C20" s="14"/>
      <c r="D20" s="117"/>
      <c r="E20" s="117"/>
      <c r="F20" s="117"/>
      <c r="G20" s="117"/>
      <c r="H20" s="117"/>
      <c r="I20" s="117"/>
      <c r="J20" s="117"/>
      <c r="K20" s="117"/>
      <c r="L20" s="117"/>
    </row>
    <row r="21" ht="15" spans="15:15">
      <c r="O21" s="33" t="s">
        <v>109</v>
      </c>
    </row>
    <row r="22" ht="14.1" customHeight="1" spans="2:15">
      <c r="B22" s="16" t="s">
        <v>3</v>
      </c>
      <c r="C22" s="6" t="s">
        <v>110</v>
      </c>
      <c r="D22" s="306" t="s">
        <v>112</v>
      </c>
      <c r="E22" s="307"/>
      <c r="F22" s="308"/>
      <c r="G22" s="306" t="s">
        <v>760</v>
      </c>
      <c r="H22" s="307"/>
      <c r="I22" s="307"/>
      <c r="J22" s="307"/>
      <c r="K22" s="135" t="s">
        <v>114</v>
      </c>
      <c r="L22" s="135"/>
      <c r="M22" s="135"/>
      <c r="N22" s="135"/>
      <c r="O22" s="135"/>
    </row>
    <row r="23" ht="30" spans="2:15">
      <c r="B23" s="309"/>
      <c r="C23" s="6"/>
      <c r="D23" s="5" t="s">
        <v>116</v>
      </c>
      <c r="E23" s="5" t="s">
        <v>237</v>
      </c>
      <c r="F23" s="5" t="s">
        <v>118</v>
      </c>
      <c r="G23" s="5" t="s">
        <v>116</v>
      </c>
      <c r="H23" s="5" t="s">
        <v>119</v>
      </c>
      <c r="I23" s="5" t="s">
        <v>120</v>
      </c>
      <c r="J23" s="5" t="s">
        <v>238</v>
      </c>
      <c r="K23" s="5" t="s">
        <v>514</v>
      </c>
      <c r="L23" s="5" t="s">
        <v>515</v>
      </c>
      <c r="M23" s="5" t="s">
        <v>516</v>
      </c>
      <c r="N23" s="5" t="s">
        <v>517</v>
      </c>
      <c r="O23" s="5" t="s">
        <v>518</v>
      </c>
    </row>
    <row r="24" ht="15" spans="2:15">
      <c r="B24" s="310"/>
      <c r="C24" s="100"/>
      <c r="D24" s="5" t="s">
        <v>127</v>
      </c>
      <c r="E24" s="5" t="s">
        <v>128</v>
      </c>
      <c r="F24" s="5" t="s">
        <v>129</v>
      </c>
      <c r="G24" s="5" t="s">
        <v>127</v>
      </c>
      <c r="H24" s="5" t="s">
        <v>130</v>
      </c>
      <c r="I24" s="5" t="s">
        <v>131</v>
      </c>
      <c r="J24" s="5" t="s">
        <v>131</v>
      </c>
      <c r="K24" s="5" t="s">
        <v>132</v>
      </c>
      <c r="L24" s="5" t="s">
        <v>132</v>
      </c>
      <c r="M24" s="5" t="s">
        <v>132</v>
      </c>
      <c r="N24" s="5" t="s">
        <v>132</v>
      </c>
      <c r="O24" s="5" t="s">
        <v>132</v>
      </c>
    </row>
    <row r="25" spans="2:15">
      <c r="B25" s="311">
        <v>1</v>
      </c>
      <c r="C25" s="55" t="s">
        <v>850</v>
      </c>
      <c r="D25" s="20"/>
      <c r="E25" s="55"/>
      <c r="F25" s="55"/>
      <c r="G25" s="208"/>
      <c r="H25" s="208"/>
      <c r="I25" s="208"/>
      <c r="J25" s="208">
        <v>0</v>
      </c>
      <c r="K25" s="208">
        <v>0</v>
      </c>
      <c r="L25" s="208">
        <v>0</v>
      </c>
      <c r="M25" s="208">
        <v>0</v>
      </c>
      <c r="N25" s="208">
        <v>0</v>
      </c>
      <c r="O25" s="208">
        <v>0</v>
      </c>
    </row>
    <row r="26" ht="15" spans="2:15">
      <c r="B26" s="100"/>
      <c r="C26" s="175" t="s">
        <v>97</v>
      </c>
      <c r="D26" s="324">
        <f>SUM(D25:D25)</f>
        <v>0</v>
      </c>
      <c r="E26" s="324">
        <f>SUM(E25:E25)</f>
        <v>0</v>
      </c>
      <c r="F26" s="324">
        <f>E26</f>
        <v>0</v>
      </c>
      <c r="G26" s="324">
        <f t="shared" ref="G26:O26" si="2">SUM(G25:G25)</f>
        <v>0</v>
      </c>
      <c r="H26" s="324">
        <f t="shared" si="2"/>
        <v>0</v>
      </c>
      <c r="I26" s="324">
        <f t="shared" si="2"/>
        <v>0</v>
      </c>
      <c r="J26" s="323">
        <f t="shared" si="2"/>
        <v>0</v>
      </c>
      <c r="K26" s="323">
        <f t="shared" si="2"/>
        <v>0</v>
      </c>
      <c r="L26" s="323">
        <f t="shared" si="2"/>
        <v>0</v>
      </c>
      <c r="M26" s="323">
        <f t="shared" si="2"/>
        <v>0</v>
      </c>
      <c r="N26" s="323">
        <f t="shared" si="2"/>
        <v>0</v>
      </c>
      <c r="O26" s="323">
        <f t="shared" si="2"/>
        <v>0</v>
      </c>
    </row>
  </sheetData>
  <mergeCells count="15">
    <mergeCell ref="D6:F6"/>
    <mergeCell ref="G6:J6"/>
    <mergeCell ref="K6:O6"/>
    <mergeCell ref="D14:F14"/>
    <mergeCell ref="G14:J14"/>
    <mergeCell ref="K14:O14"/>
    <mergeCell ref="D22:F22"/>
    <mergeCell ref="G22:J22"/>
    <mergeCell ref="K22:O22"/>
    <mergeCell ref="B6:B8"/>
    <mergeCell ref="B14:B16"/>
    <mergeCell ref="B22:B24"/>
    <mergeCell ref="C6:C8"/>
    <mergeCell ref="C14:C16"/>
    <mergeCell ref="C22:C24"/>
  </mergeCells>
  <pageMargins left="1.02" right="0.25" top="1" bottom="1" header="0.25" footer="0.25"/>
  <pageSetup paperSize="9" scale="58" orientation="landscape"/>
  <headerFooter alignWithMargins="0">
    <oddHeader>&amp;C&amp;F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S825"/>
  <sheetViews>
    <sheetView showGridLines="0" zoomScale="40" zoomScaleNormal="40" zoomScaleSheetLayoutView="70" topLeftCell="C1" workbookViewId="0">
      <pane xSplit="2" ySplit="7" topLeftCell="E293" activePane="bottomRight" state="frozen"/>
      <selection/>
      <selection pane="topRight"/>
      <selection pane="bottomLeft"/>
      <selection pane="bottomRight" activeCell="J307" sqref="J307"/>
    </sheetView>
  </sheetViews>
  <sheetFormatPr defaultColWidth="9.14285714285714" defaultRowHeight="14.25"/>
  <cols>
    <col min="1" max="1" width="3.14285714285714" style="12" customWidth="1"/>
    <col min="2" max="2" width="8.42857142857143" style="12" customWidth="1"/>
    <col min="3" max="3" width="21.5714285714286" style="12" customWidth="1"/>
    <col min="4" max="4" width="45.8571428571429" style="12" customWidth="1"/>
    <col min="5" max="5" width="13.5714285714286" style="12" customWidth="1"/>
    <col min="6" max="6" width="12.5714285714286" style="12" customWidth="1"/>
    <col min="7" max="7" width="13.4285714285714" style="12" customWidth="1"/>
    <col min="8" max="8" width="13.5714285714286" style="12" customWidth="1"/>
    <col min="9" max="9" width="12.5714285714286" style="12" customWidth="1"/>
    <col min="10" max="10" width="14.5714285714286" style="12" customWidth="1"/>
    <col min="11" max="11" width="12.5714285714286" style="12" customWidth="1"/>
    <col min="12" max="12" width="11.8571428571429" style="12" customWidth="1"/>
    <col min="13" max="13" width="13.8571428571429" style="12" customWidth="1"/>
    <col min="14" max="16" width="11.8571428571429" style="12" customWidth="1"/>
    <col min="17" max="17" width="11.4285714285714" style="12" customWidth="1"/>
    <col min="18" max="18" width="12.4285714285714" style="12" customWidth="1"/>
    <col min="19" max="19" width="12.5714285714286" style="12" customWidth="1"/>
    <col min="20" max="16384" width="9.14285714285714" style="12"/>
  </cols>
  <sheetData>
    <row r="2" ht="15" spans="5:10">
      <c r="E2" s="913"/>
      <c r="J2" s="2" t="s">
        <v>156</v>
      </c>
    </row>
    <row r="3" ht="15" spans="6:10">
      <c r="F3" s="913"/>
      <c r="J3" s="3" t="s">
        <v>268</v>
      </c>
    </row>
    <row r="4" ht="15" spans="2:19">
      <c r="B4" s="14"/>
      <c r="C4" s="14" t="s">
        <v>235</v>
      </c>
      <c r="D4" s="655"/>
      <c r="E4" s="655"/>
      <c r="F4" s="655"/>
      <c r="G4" s="655"/>
      <c r="S4" s="3" t="s">
        <v>236</v>
      </c>
    </row>
    <row r="5" ht="15" customHeight="1" spans="2:19">
      <c r="B5" s="656"/>
      <c r="C5" s="658" t="s">
        <v>159</v>
      </c>
      <c r="D5" s="873"/>
      <c r="E5" s="16" t="s">
        <v>160</v>
      </c>
      <c r="F5" s="16" t="s">
        <v>161</v>
      </c>
      <c r="G5" s="16" t="s">
        <v>162</v>
      </c>
      <c r="H5" s="306" t="s">
        <v>163</v>
      </c>
      <c r="I5" s="307"/>
      <c r="J5" s="308"/>
      <c r="K5" s="306" t="s">
        <v>164</v>
      </c>
      <c r="L5" s="307"/>
      <c r="M5" s="307"/>
      <c r="N5" s="307"/>
      <c r="O5" s="135" t="s">
        <v>114</v>
      </c>
      <c r="P5" s="135"/>
      <c r="Q5" s="135"/>
      <c r="R5" s="135"/>
      <c r="S5" s="135"/>
    </row>
    <row r="6" ht="45" spans="2:19">
      <c r="B6" s="656"/>
      <c r="C6" s="660"/>
      <c r="D6" s="874"/>
      <c r="E6" s="535"/>
      <c r="F6" s="535"/>
      <c r="G6" s="535"/>
      <c r="H6" s="5" t="s">
        <v>116</v>
      </c>
      <c r="I6" s="5" t="s">
        <v>237</v>
      </c>
      <c r="J6" s="5" t="s">
        <v>118</v>
      </c>
      <c r="K6" s="5" t="s">
        <v>116</v>
      </c>
      <c r="L6" s="5" t="s">
        <v>119</v>
      </c>
      <c r="M6" s="5" t="s">
        <v>120</v>
      </c>
      <c r="N6" s="5" t="s">
        <v>238</v>
      </c>
      <c r="O6" s="5" t="s">
        <v>165</v>
      </c>
      <c r="P6" s="5" t="s">
        <v>166</v>
      </c>
      <c r="Q6" s="5" t="s">
        <v>167</v>
      </c>
      <c r="R6" s="5" t="s">
        <v>168</v>
      </c>
      <c r="S6" s="5" t="s">
        <v>169</v>
      </c>
    </row>
    <row r="7" ht="15" spans="2:19">
      <c r="B7" s="656"/>
      <c r="C7" s="662"/>
      <c r="D7" s="875"/>
      <c r="E7" s="5" t="s">
        <v>128</v>
      </c>
      <c r="F7" s="5" t="s">
        <v>128</v>
      </c>
      <c r="G7" s="5" t="s">
        <v>128</v>
      </c>
      <c r="H7" s="5" t="s">
        <v>127</v>
      </c>
      <c r="I7" s="5" t="s">
        <v>128</v>
      </c>
      <c r="J7" s="5" t="s">
        <v>129</v>
      </c>
      <c r="K7" s="5" t="s">
        <v>127</v>
      </c>
      <c r="L7" s="5" t="s">
        <v>130</v>
      </c>
      <c r="M7" s="5" t="s">
        <v>131</v>
      </c>
      <c r="N7" s="5" t="s">
        <v>131</v>
      </c>
      <c r="O7" s="5" t="s">
        <v>132</v>
      </c>
      <c r="P7" s="5" t="s">
        <v>132</v>
      </c>
      <c r="Q7" s="5" t="s">
        <v>132</v>
      </c>
      <c r="R7" s="5" t="s">
        <v>132</v>
      </c>
      <c r="S7" s="5" t="s">
        <v>132</v>
      </c>
    </row>
    <row r="8" ht="15" spans="2:19">
      <c r="B8" s="656"/>
      <c r="C8" s="44" t="s">
        <v>170</v>
      </c>
      <c r="D8" s="45"/>
      <c r="E8" s="880"/>
      <c r="F8" s="45"/>
      <c r="G8" s="45"/>
      <c r="H8" s="47"/>
      <c r="I8" s="47"/>
      <c r="J8" s="749"/>
      <c r="K8" s="47"/>
      <c r="L8" s="55"/>
      <c r="M8" s="55"/>
      <c r="N8" s="55"/>
      <c r="O8" s="55"/>
      <c r="P8" s="55"/>
      <c r="Q8" s="55"/>
      <c r="R8" s="55"/>
      <c r="S8" s="55"/>
    </row>
    <row r="9" ht="15" spans="2:19">
      <c r="B9" s="656"/>
      <c r="C9" s="47" t="s">
        <v>171</v>
      </c>
      <c r="D9" s="47" t="s">
        <v>172</v>
      </c>
      <c r="E9" s="914">
        <f t="shared" ref="E9:E17" si="0">Q86</f>
        <v>8709.647634</v>
      </c>
      <c r="F9" s="914">
        <f t="shared" ref="F9:F17" si="1">Q160</f>
        <v>8911.84365781</v>
      </c>
      <c r="G9" s="914">
        <f t="shared" ref="G9:G17" si="2">Q233</f>
        <v>9335.21218323</v>
      </c>
      <c r="H9" s="914">
        <v>10722.4</v>
      </c>
      <c r="I9" s="914">
        <f t="shared" ref="I9:I17" si="3">Q306</f>
        <v>9952.10895307</v>
      </c>
      <c r="J9" s="882">
        <f t="shared" ref="J9:J17" si="4">I9-H9</f>
        <v>-770.29104693</v>
      </c>
      <c r="K9" s="914">
        <v>11346.06</v>
      </c>
      <c r="L9" s="146">
        <f t="shared" ref="L9:L17" si="5">E456+F456+G456+H456+I456+J456</f>
        <v>6049.98</v>
      </c>
      <c r="M9" s="915">
        <f t="shared" ref="M9:M17" si="6">K456+L456+M456+N456+O456+P456</f>
        <v>5059.34</v>
      </c>
      <c r="N9" s="146">
        <f t="shared" ref="N9:N17" si="7">L9+M9</f>
        <v>11109.32</v>
      </c>
      <c r="O9" s="146">
        <f t="shared" ref="O9:O17" si="8">Q456</f>
        <v>11109.32</v>
      </c>
      <c r="P9" s="146">
        <f t="shared" ref="P9:P17" si="9">Q530</f>
        <v>0</v>
      </c>
      <c r="Q9" s="146">
        <f t="shared" ref="Q9:Q17" si="10">Q604</f>
        <v>0</v>
      </c>
      <c r="R9" s="146">
        <f t="shared" ref="R9:R17" si="11">Q678</f>
        <v>0</v>
      </c>
      <c r="S9" s="146">
        <f t="shared" ref="S9:S17" si="12">Q752</f>
        <v>0</v>
      </c>
    </row>
    <row r="10" ht="15" spans="3:19">
      <c r="C10" s="55" t="s">
        <v>173</v>
      </c>
      <c r="D10" s="55" t="s">
        <v>174</v>
      </c>
      <c r="E10" s="914">
        <f t="shared" si="0"/>
        <v>2582.086421</v>
      </c>
      <c r="F10" s="914">
        <f t="shared" si="1"/>
        <v>2160.57243333</v>
      </c>
      <c r="G10" s="914">
        <f t="shared" si="2"/>
        <v>2468.33932908</v>
      </c>
      <c r="H10" s="914">
        <v>3110.72</v>
      </c>
      <c r="I10" s="914">
        <f t="shared" si="3"/>
        <v>3076.96768843</v>
      </c>
      <c r="J10" s="882">
        <f t="shared" si="4"/>
        <v>-33.7523115699996</v>
      </c>
      <c r="K10" s="914">
        <v>2974.84</v>
      </c>
      <c r="L10" s="146">
        <f t="shared" si="5"/>
        <v>1703.42</v>
      </c>
      <c r="M10" s="915">
        <f t="shared" si="6"/>
        <v>1707.36</v>
      </c>
      <c r="N10" s="146">
        <f t="shared" si="7"/>
        <v>3410.78</v>
      </c>
      <c r="O10" s="146">
        <f t="shared" si="8"/>
        <v>3410.78</v>
      </c>
      <c r="P10" s="146">
        <f t="shared" si="9"/>
        <v>0</v>
      </c>
      <c r="Q10" s="146">
        <f t="shared" si="10"/>
        <v>0</v>
      </c>
      <c r="R10" s="146">
        <f t="shared" si="11"/>
        <v>0</v>
      </c>
      <c r="S10" s="146">
        <f t="shared" si="12"/>
        <v>0</v>
      </c>
    </row>
    <row r="11" ht="15" spans="3:19">
      <c r="C11" s="55" t="s">
        <v>175</v>
      </c>
      <c r="D11" s="55" t="s">
        <v>176</v>
      </c>
      <c r="E11" s="914">
        <f t="shared" si="0"/>
        <v>846.820004</v>
      </c>
      <c r="F11" s="914">
        <f t="shared" si="1"/>
        <v>880.0070935</v>
      </c>
      <c r="G11" s="914">
        <f t="shared" si="2"/>
        <v>892.181106</v>
      </c>
      <c r="H11" s="914">
        <v>905.51</v>
      </c>
      <c r="I11" s="914">
        <f t="shared" si="3"/>
        <v>933.0692865</v>
      </c>
      <c r="J11" s="882">
        <f t="shared" si="4"/>
        <v>27.5592865</v>
      </c>
      <c r="K11" s="914">
        <v>847.17</v>
      </c>
      <c r="L11" s="146">
        <f t="shared" si="5"/>
        <v>487.45</v>
      </c>
      <c r="M11" s="915">
        <f t="shared" si="6"/>
        <v>541.25</v>
      </c>
      <c r="N11" s="146">
        <f t="shared" si="7"/>
        <v>1028.7</v>
      </c>
      <c r="O11" s="146">
        <f t="shared" si="8"/>
        <v>1028.7</v>
      </c>
      <c r="P11" s="146">
        <f t="shared" si="9"/>
        <v>0</v>
      </c>
      <c r="Q11" s="146">
        <f t="shared" si="10"/>
        <v>0</v>
      </c>
      <c r="R11" s="146">
        <f t="shared" si="11"/>
        <v>0</v>
      </c>
      <c r="S11" s="146">
        <f t="shared" si="12"/>
        <v>0</v>
      </c>
    </row>
    <row r="12" ht="15" spans="3:19">
      <c r="C12" s="55" t="s">
        <v>177</v>
      </c>
      <c r="D12" s="55" t="s">
        <v>178</v>
      </c>
      <c r="E12" s="914">
        <f t="shared" si="0"/>
        <v>9.077129</v>
      </c>
      <c r="F12" s="914">
        <f t="shared" si="1"/>
        <v>9.579231</v>
      </c>
      <c r="G12" s="914">
        <f t="shared" si="2"/>
        <v>8.981455</v>
      </c>
      <c r="H12" s="914">
        <v>9.17</v>
      </c>
      <c r="I12" s="914">
        <f t="shared" si="3"/>
        <v>9.52599</v>
      </c>
      <c r="J12" s="882">
        <f t="shared" si="4"/>
        <v>0.355990000000002</v>
      </c>
      <c r="K12" s="914">
        <v>9.5</v>
      </c>
      <c r="L12" s="146">
        <f t="shared" si="5"/>
        <v>5.2</v>
      </c>
      <c r="M12" s="915">
        <f t="shared" si="6"/>
        <v>5.28</v>
      </c>
      <c r="N12" s="146">
        <f t="shared" si="7"/>
        <v>10.48</v>
      </c>
      <c r="O12" s="146">
        <f t="shared" si="8"/>
        <v>10.48</v>
      </c>
      <c r="P12" s="146">
        <f t="shared" si="9"/>
        <v>0</v>
      </c>
      <c r="Q12" s="146">
        <f t="shared" si="10"/>
        <v>0</v>
      </c>
      <c r="R12" s="146">
        <f t="shared" si="11"/>
        <v>0</v>
      </c>
      <c r="S12" s="146">
        <f t="shared" si="12"/>
        <v>0</v>
      </c>
    </row>
    <row r="13" ht="15" spans="3:19">
      <c r="C13" s="55" t="s">
        <v>179</v>
      </c>
      <c r="D13" s="55" t="s">
        <v>180</v>
      </c>
      <c r="E13" s="914">
        <f t="shared" si="0"/>
        <v>6.64124805323412</v>
      </c>
      <c r="F13" s="914">
        <f t="shared" si="1"/>
        <v>22.671296</v>
      </c>
      <c r="G13" s="914">
        <f t="shared" si="2"/>
        <v>29.503857</v>
      </c>
      <c r="H13" s="914"/>
      <c r="I13" s="914">
        <f t="shared" si="3"/>
        <v>37.0822154</v>
      </c>
      <c r="J13" s="882">
        <f t="shared" si="4"/>
        <v>37.0822154</v>
      </c>
      <c r="K13" s="914"/>
      <c r="L13" s="146">
        <f t="shared" si="5"/>
        <v>17.595836</v>
      </c>
      <c r="M13" s="915">
        <f t="shared" si="6"/>
        <v>19.4863794</v>
      </c>
      <c r="N13" s="146">
        <f t="shared" si="7"/>
        <v>37.0822154</v>
      </c>
      <c r="O13" s="146">
        <f t="shared" si="8"/>
        <v>37.0822154</v>
      </c>
      <c r="P13" s="146">
        <f t="shared" si="9"/>
        <v>0</v>
      </c>
      <c r="Q13" s="146">
        <f t="shared" si="10"/>
        <v>0</v>
      </c>
      <c r="R13" s="146">
        <f t="shared" si="11"/>
        <v>0</v>
      </c>
      <c r="S13" s="146">
        <f t="shared" si="12"/>
        <v>0</v>
      </c>
    </row>
    <row r="14" ht="15" spans="3:19">
      <c r="C14" s="55" t="s">
        <v>181</v>
      </c>
      <c r="D14" s="55" t="s">
        <v>182</v>
      </c>
      <c r="E14" s="914">
        <f t="shared" si="0"/>
        <v>484.0302154</v>
      </c>
      <c r="F14" s="914">
        <f t="shared" si="1"/>
        <v>478.21771542</v>
      </c>
      <c r="G14" s="914">
        <f t="shared" si="2"/>
        <v>462.1855846</v>
      </c>
      <c r="H14" s="914">
        <v>484.03</v>
      </c>
      <c r="I14" s="914">
        <f t="shared" si="3"/>
        <v>466.66695525</v>
      </c>
      <c r="J14" s="882">
        <f t="shared" si="4"/>
        <v>-17.36304475</v>
      </c>
      <c r="K14" s="914">
        <v>454.29</v>
      </c>
      <c r="L14" s="146">
        <f t="shared" si="5"/>
        <v>232.26</v>
      </c>
      <c r="M14" s="915">
        <f t="shared" si="6"/>
        <v>253.25</v>
      </c>
      <c r="N14" s="146">
        <f t="shared" si="7"/>
        <v>485.51</v>
      </c>
      <c r="O14" s="146">
        <f t="shared" si="8"/>
        <v>485.51</v>
      </c>
      <c r="P14" s="146">
        <f t="shared" si="9"/>
        <v>0</v>
      </c>
      <c r="Q14" s="146">
        <f t="shared" si="10"/>
        <v>0</v>
      </c>
      <c r="R14" s="146">
        <f t="shared" si="11"/>
        <v>0</v>
      </c>
      <c r="S14" s="146">
        <f t="shared" si="12"/>
        <v>0</v>
      </c>
    </row>
    <row r="15" customHeight="1" spans="3:19">
      <c r="C15" s="55" t="s">
        <v>183</v>
      </c>
      <c r="D15" s="55" t="s">
        <v>184</v>
      </c>
      <c r="E15" s="914">
        <f t="shared" si="0"/>
        <v>76.52737232</v>
      </c>
      <c r="F15" s="914">
        <f t="shared" si="1"/>
        <v>47.7098197</v>
      </c>
      <c r="G15" s="914">
        <f t="shared" si="2"/>
        <v>61.3140215</v>
      </c>
      <c r="H15" s="914">
        <v>93.61</v>
      </c>
      <c r="I15" s="914">
        <f t="shared" si="3"/>
        <v>88.07401945</v>
      </c>
      <c r="J15" s="882">
        <f t="shared" si="4"/>
        <v>-5.53598055</v>
      </c>
      <c r="K15" s="914">
        <v>103.75</v>
      </c>
      <c r="L15" s="146">
        <f t="shared" si="5"/>
        <v>46.15</v>
      </c>
      <c r="M15" s="915">
        <f t="shared" si="6"/>
        <v>50.08</v>
      </c>
      <c r="N15" s="146">
        <f t="shared" si="7"/>
        <v>96.23</v>
      </c>
      <c r="O15" s="146">
        <f t="shared" si="8"/>
        <v>96.23</v>
      </c>
      <c r="P15" s="146">
        <f t="shared" si="9"/>
        <v>0</v>
      </c>
      <c r="Q15" s="146">
        <f t="shared" si="10"/>
        <v>0</v>
      </c>
      <c r="R15" s="146">
        <f t="shared" si="11"/>
        <v>0</v>
      </c>
      <c r="S15" s="146">
        <f t="shared" si="12"/>
        <v>0</v>
      </c>
    </row>
    <row r="16" ht="15" spans="3:19">
      <c r="C16" s="55" t="s">
        <v>185</v>
      </c>
      <c r="D16" s="55" t="s">
        <v>186</v>
      </c>
      <c r="E16" s="914">
        <f t="shared" si="0"/>
        <v>42.86933842</v>
      </c>
      <c r="F16" s="914">
        <f t="shared" si="1"/>
        <v>53.42929032</v>
      </c>
      <c r="G16" s="914">
        <f t="shared" si="2"/>
        <v>82.287986</v>
      </c>
      <c r="H16" s="914">
        <v>70.84</v>
      </c>
      <c r="I16" s="914">
        <f t="shared" si="3"/>
        <v>96.3381664</v>
      </c>
      <c r="J16" s="882">
        <f t="shared" si="4"/>
        <v>25.4981664</v>
      </c>
      <c r="K16" s="914">
        <v>100.49</v>
      </c>
      <c r="L16" s="146">
        <f t="shared" si="5"/>
        <v>55.45</v>
      </c>
      <c r="M16" s="915">
        <f t="shared" si="6"/>
        <v>50.77</v>
      </c>
      <c r="N16" s="146">
        <f t="shared" si="7"/>
        <v>106.22</v>
      </c>
      <c r="O16" s="146">
        <f t="shared" si="8"/>
        <v>106.22</v>
      </c>
      <c r="P16" s="146">
        <f t="shared" si="9"/>
        <v>0</v>
      </c>
      <c r="Q16" s="146">
        <f t="shared" si="10"/>
        <v>0</v>
      </c>
      <c r="R16" s="146">
        <f t="shared" si="11"/>
        <v>0</v>
      </c>
      <c r="S16" s="146">
        <f t="shared" si="12"/>
        <v>0</v>
      </c>
    </row>
    <row r="17" ht="15" spans="3:19">
      <c r="C17" s="55" t="s">
        <v>187</v>
      </c>
      <c r="D17" s="55" t="s">
        <v>188</v>
      </c>
      <c r="E17" s="914">
        <f t="shared" si="0"/>
        <v>0.000108</v>
      </c>
      <c r="F17" s="914">
        <f t="shared" si="1"/>
        <v>0.0195023</v>
      </c>
      <c r="G17" s="914">
        <f t="shared" si="2"/>
        <v>0.130377</v>
      </c>
      <c r="H17" s="914">
        <v>1.74</v>
      </c>
      <c r="I17" s="914">
        <f t="shared" si="3"/>
        <v>0.532207</v>
      </c>
      <c r="J17" s="882">
        <f t="shared" si="4"/>
        <v>-1.207793</v>
      </c>
      <c r="K17" s="914">
        <v>1.64</v>
      </c>
      <c r="L17" s="146">
        <f t="shared" si="5"/>
        <v>0.86</v>
      </c>
      <c r="M17" s="915">
        <f t="shared" si="6"/>
        <v>1.34</v>
      </c>
      <c r="N17" s="146">
        <f t="shared" si="7"/>
        <v>2.2</v>
      </c>
      <c r="O17" s="146">
        <f t="shared" si="8"/>
        <v>2.2</v>
      </c>
      <c r="P17" s="146">
        <f t="shared" si="9"/>
        <v>0</v>
      </c>
      <c r="Q17" s="146">
        <f t="shared" si="10"/>
        <v>0</v>
      </c>
      <c r="R17" s="146">
        <f t="shared" si="11"/>
        <v>0</v>
      </c>
      <c r="S17" s="146">
        <f t="shared" si="12"/>
        <v>0</v>
      </c>
    </row>
    <row r="18" ht="15" spans="3:19">
      <c r="C18" s="55"/>
      <c r="D18" s="55"/>
      <c r="E18" s="914"/>
      <c r="F18" s="914"/>
      <c r="G18" s="914"/>
      <c r="H18" s="146"/>
      <c r="I18" s="914"/>
      <c r="J18" s="146"/>
      <c r="K18" s="914"/>
      <c r="L18" s="146"/>
      <c r="M18" s="915"/>
      <c r="N18" s="146"/>
      <c r="O18" s="146"/>
      <c r="P18" s="146"/>
      <c r="Q18" s="146"/>
      <c r="R18" s="146"/>
      <c r="S18" s="146"/>
    </row>
    <row r="19" ht="15" spans="3:19">
      <c r="C19" s="55"/>
      <c r="D19" s="55"/>
      <c r="E19" s="914"/>
      <c r="F19" s="914"/>
      <c r="G19" s="914"/>
      <c r="H19" s="146"/>
      <c r="I19" s="914"/>
      <c r="J19" s="146"/>
      <c r="K19" s="146"/>
      <c r="L19" s="146"/>
      <c r="M19" s="915"/>
      <c r="N19" s="146"/>
      <c r="O19" s="146"/>
      <c r="P19" s="146"/>
      <c r="Q19" s="146"/>
      <c r="R19" s="146"/>
      <c r="S19" s="146"/>
    </row>
    <row r="20" ht="15" spans="3:19">
      <c r="C20" s="55"/>
      <c r="D20" s="55"/>
      <c r="E20" s="914"/>
      <c r="F20" s="914"/>
      <c r="G20" s="914"/>
      <c r="H20" s="146"/>
      <c r="I20" s="914"/>
      <c r="J20" s="146"/>
      <c r="K20" s="146"/>
      <c r="L20" s="146"/>
      <c r="M20" s="915"/>
      <c r="N20" s="146"/>
      <c r="O20" s="146"/>
      <c r="P20" s="146"/>
      <c r="Q20" s="146"/>
      <c r="R20" s="146"/>
      <c r="S20" s="146"/>
    </row>
    <row r="21" ht="15" spans="3:19">
      <c r="C21" s="55"/>
      <c r="D21" s="55"/>
      <c r="E21" s="914"/>
      <c r="F21" s="914"/>
      <c r="G21" s="914"/>
      <c r="H21" s="146"/>
      <c r="I21" s="914"/>
      <c r="J21" s="146"/>
      <c r="K21" s="146"/>
      <c r="L21" s="146"/>
      <c r="M21" s="915"/>
      <c r="N21" s="146"/>
      <c r="O21" s="146"/>
      <c r="P21" s="146"/>
      <c r="Q21" s="146"/>
      <c r="R21" s="146"/>
      <c r="S21" s="146"/>
    </row>
    <row r="22" ht="15" spans="3:19">
      <c r="C22" s="537" t="s">
        <v>189</v>
      </c>
      <c r="D22" s="540"/>
      <c r="E22" s="877">
        <f>Q99</f>
        <v>12757.6994701932</v>
      </c>
      <c r="F22" s="877">
        <f>Q173</f>
        <v>12564.05003938</v>
      </c>
      <c r="G22" s="877">
        <f>Q246</f>
        <v>13340.13589941</v>
      </c>
      <c r="H22" s="877">
        <f>SUM(H9:H21)</f>
        <v>15398.02</v>
      </c>
      <c r="I22" s="877">
        <f>Q319</f>
        <v>14660.3654815</v>
      </c>
      <c r="J22" s="877">
        <f>I22-H22</f>
        <v>-737.654518500001</v>
      </c>
      <c r="K22" s="877">
        <f>SUM(K9:K21)</f>
        <v>15837.74</v>
      </c>
      <c r="L22" s="877">
        <f>SUM(E395:J395)</f>
        <v>8520.98659957</v>
      </c>
      <c r="M22" s="877">
        <f>SUM(K395:P395)</f>
        <v>7181.8849036718</v>
      </c>
      <c r="N22" s="877">
        <f>L22+M22</f>
        <v>15702.8715032418</v>
      </c>
      <c r="O22" s="877">
        <f>Q469</f>
        <v>16286.5222154</v>
      </c>
      <c r="P22" s="877">
        <f>Q543</f>
        <v>0</v>
      </c>
      <c r="Q22" s="877">
        <f>Q617</f>
        <v>0</v>
      </c>
      <c r="R22" s="877">
        <f>Q691</f>
        <v>0</v>
      </c>
      <c r="S22" s="877">
        <f>Q765</f>
        <v>0</v>
      </c>
    </row>
    <row r="23" ht="15" spans="3:19">
      <c r="C23" s="44" t="s">
        <v>190</v>
      </c>
      <c r="D23" s="45"/>
      <c r="E23" s="876"/>
      <c r="F23" s="876"/>
      <c r="G23" s="87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</row>
    <row r="24" ht="15" spans="3:19">
      <c r="C24" s="55" t="s">
        <v>191</v>
      </c>
      <c r="D24" s="55" t="s">
        <v>192</v>
      </c>
      <c r="E24" s="914">
        <f t="shared" ref="E24:E34" si="13">Q101</f>
        <v>3661.12433634736</v>
      </c>
      <c r="F24" s="914">
        <f t="shared" ref="F24:F34" si="14">Q175</f>
        <v>3460.2168271</v>
      </c>
      <c r="G24" s="914">
        <f t="shared" ref="G24:G34" si="15">Q248</f>
        <v>3860.71856804</v>
      </c>
      <c r="H24" s="146">
        <v>4440.71</v>
      </c>
      <c r="I24" s="914">
        <f t="shared" ref="I24:I34" si="16">Q321</f>
        <v>4197.4817069</v>
      </c>
      <c r="J24" s="882">
        <f t="shared" ref="J24:J34" si="17">I24-H24</f>
        <v>-243.2282931</v>
      </c>
      <c r="K24" s="146">
        <v>4401.71</v>
      </c>
      <c r="L24" s="146">
        <f t="shared" ref="L24:L34" si="18">E471+F471+G471+H471+I471+J471</f>
        <v>2117.18</v>
      </c>
      <c r="M24" s="915">
        <f t="shared" ref="M24:M34" si="19">K471+L471+M471+N471+O471+P471</f>
        <v>2374.24</v>
      </c>
      <c r="N24" s="146">
        <f t="shared" ref="N24:N34" si="20">L24+M24</f>
        <v>4491.42</v>
      </c>
      <c r="O24" s="146">
        <f t="shared" ref="O24:O34" si="21">Q471</f>
        <v>4491.42</v>
      </c>
      <c r="P24" s="146">
        <f t="shared" ref="P24:P34" si="22">Q545</f>
        <v>0</v>
      </c>
      <c r="Q24" s="146">
        <f t="shared" ref="Q24:Q34" si="23">Q619</f>
        <v>0</v>
      </c>
      <c r="R24" s="146">
        <f t="shared" ref="R24:R34" si="24">Q693</f>
        <v>0</v>
      </c>
      <c r="S24" s="146">
        <f t="shared" ref="S24:S34" si="25">Q767</f>
        <v>0</v>
      </c>
    </row>
    <row r="25" ht="15" spans="3:19">
      <c r="C25" s="55" t="s">
        <v>193</v>
      </c>
      <c r="D25" s="55" t="s">
        <v>194</v>
      </c>
      <c r="E25" s="914">
        <f t="shared" si="13"/>
        <v>0</v>
      </c>
      <c r="F25" s="914">
        <f t="shared" si="14"/>
        <v>0</v>
      </c>
      <c r="G25" s="914">
        <f t="shared" si="15"/>
        <v>0</v>
      </c>
      <c r="H25" s="146">
        <f>[12]Sales_NP!N16</f>
        <v>0</v>
      </c>
      <c r="I25" s="914">
        <f t="shared" si="16"/>
        <v>0.413403</v>
      </c>
      <c r="J25" s="882">
        <f t="shared" si="17"/>
        <v>0.413403</v>
      </c>
      <c r="K25" s="146">
        <v>0.41</v>
      </c>
      <c r="L25" s="146">
        <f t="shared" si="18"/>
        <v>0.07</v>
      </c>
      <c r="M25" s="915">
        <f t="shared" si="19"/>
        <v>0.07</v>
      </c>
      <c r="N25" s="146">
        <f t="shared" si="20"/>
        <v>0.14</v>
      </c>
      <c r="O25" s="146">
        <f t="shared" si="21"/>
        <v>0.14</v>
      </c>
      <c r="P25" s="146">
        <f t="shared" si="22"/>
        <v>0</v>
      </c>
      <c r="Q25" s="146">
        <f t="shared" si="23"/>
        <v>0</v>
      </c>
      <c r="R25" s="146">
        <f t="shared" si="24"/>
        <v>0</v>
      </c>
      <c r="S25" s="146">
        <f t="shared" si="25"/>
        <v>0</v>
      </c>
    </row>
    <row r="26" ht="15" spans="3:19">
      <c r="C26" s="55" t="s">
        <v>239</v>
      </c>
      <c r="D26" s="55" t="s">
        <v>196</v>
      </c>
      <c r="E26" s="914">
        <f t="shared" si="13"/>
        <v>1664.12308595</v>
      </c>
      <c r="F26" s="914">
        <f t="shared" si="14"/>
        <v>1181.77761811</v>
      </c>
      <c r="G26" s="914">
        <f t="shared" si="15"/>
        <v>1451.62618627</v>
      </c>
      <c r="H26" s="146">
        <v>2024.94</v>
      </c>
      <c r="I26" s="914">
        <f t="shared" si="16"/>
        <v>1890.23215567</v>
      </c>
      <c r="J26" s="882">
        <f t="shared" si="17"/>
        <v>-134.70784433</v>
      </c>
      <c r="K26" s="146">
        <v>1884.74</v>
      </c>
      <c r="L26" s="146">
        <f t="shared" si="18"/>
        <v>1214.29304462376</v>
      </c>
      <c r="M26" s="915">
        <f t="shared" si="19"/>
        <v>1119.9329973473</v>
      </c>
      <c r="N26" s="146">
        <f t="shared" si="20"/>
        <v>2334.22604197106</v>
      </c>
      <c r="O26" s="146">
        <f t="shared" si="21"/>
        <v>2334.22604197106</v>
      </c>
      <c r="P26" s="146">
        <f t="shared" si="22"/>
        <v>0</v>
      </c>
      <c r="Q26" s="146">
        <f t="shared" si="23"/>
        <v>0</v>
      </c>
      <c r="R26" s="146">
        <f t="shared" si="24"/>
        <v>0</v>
      </c>
      <c r="S26" s="146">
        <f t="shared" si="25"/>
        <v>0</v>
      </c>
    </row>
    <row r="27" ht="15" spans="3:19">
      <c r="C27" s="55" t="s">
        <v>197</v>
      </c>
      <c r="D27" s="55" t="s">
        <v>198</v>
      </c>
      <c r="E27" s="914">
        <f t="shared" si="13"/>
        <v>0</v>
      </c>
      <c r="F27" s="914">
        <f t="shared" si="14"/>
        <v>0</v>
      </c>
      <c r="G27" s="914">
        <f t="shared" si="15"/>
        <v>0</v>
      </c>
      <c r="H27" s="146"/>
      <c r="I27" s="914">
        <f t="shared" si="16"/>
        <v>0.243296</v>
      </c>
      <c r="J27" s="882">
        <f t="shared" si="17"/>
        <v>0.243296</v>
      </c>
      <c r="K27" s="146">
        <v>1</v>
      </c>
      <c r="L27" s="146">
        <f t="shared" si="18"/>
        <v>0.126627528047789</v>
      </c>
      <c r="M27" s="915">
        <f t="shared" si="19"/>
        <v>0.137551216298677</v>
      </c>
      <c r="N27" s="146">
        <f t="shared" si="20"/>
        <v>0.264178744346466</v>
      </c>
      <c r="O27" s="146">
        <f t="shared" si="21"/>
        <v>0.264178744346466</v>
      </c>
      <c r="P27" s="146">
        <f t="shared" si="22"/>
        <v>0</v>
      </c>
      <c r="Q27" s="146">
        <f t="shared" si="23"/>
        <v>0</v>
      </c>
      <c r="R27" s="146">
        <f t="shared" si="24"/>
        <v>0</v>
      </c>
      <c r="S27" s="146">
        <f t="shared" si="25"/>
        <v>0</v>
      </c>
    </row>
    <row r="28" ht="15" spans="3:19">
      <c r="C28" s="55" t="s">
        <v>199</v>
      </c>
      <c r="D28" s="55" t="s">
        <v>200</v>
      </c>
      <c r="E28" s="914">
        <f t="shared" si="13"/>
        <v>4.335629</v>
      </c>
      <c r="F28" s="914">
        <f t="shared" si="14"/>
        <v>2.345433</v>
      </c>
      <c r="G28" s="914">
        <f t="shared" si="15"/>
        <v>3.3875608</v>
      </c>
      <c r="H28" s="146">
        <v>3.84</v>
      </c>
      <c r="I28" s="914">
        <f t="shared" si="16"/>
        <v>4.348109</v>
      </c>
      <c r="J28" s="882">
        <f t="shared" si="17"/>
        <v>0.508109</v>
      </c>
      <c r="K28" s="146">
        <v>4.05</v>
      </c>
      <c r="L28" s="146">
        <f t="shared" si="18"/>
        <v>1.63</v>
      </c>
      <c r="M28" s="915">
        <f t="shared" si="19"/>
        <v>3.64</v>
      </c>
      <c r="N28" s="146">
        <f t="shared" si="20"/>
        <v>5.27</v>
      </c>
      <c r="O28" s="146">
        <f t="shared" si="21"/>
        <v>5.27</v>
      </c>
      <c r="P28" s="146">
        <f t="shared" si="22"/>
        <v>0</v>
      </c>
      <c r="Q28" s="146">
        <f t="shared" si="23"/>
        <v>0</v>
      </c>
      <c r="R28" s="146">
        <f t="shared" si="24"/>
        <v>0</v>
      </c>
      <c r="S28" s="146">
        <f t="shared" si="25"/>
        <v>0</v>
      </c>
    </row>
    <row r="29" ht="15" spans="3:19">
      <c r="C29" s="55" t="s">
        <v>201</v>
      </c>
      <c r="D29" s="55" t="s">
        <v>202</v>
      </c>
      <c r="E29" s="914">
        <f t="shared" si="13"/>
        <v>41.89</v>
      </c>
      <c r="F29" s="914">
        <f t="shared" si="14"/>
        <v>42.12</v>
      </c>
      <c r="G29" s="914">
        <f t="shared" si="15"/>
        <v>41.676726</v>
      </c>
      <c r="H29" s="146">
        <v>57.51</v>
      </c>
      <c r="I29" s="914">
        <f t="shared" si="16"/>
        <v>47.07831532</v>
      </c>
      <c r="J29" s="882">
        <f t="shared" si="17"/>
        <v>-10.43168468</v>
      </c>
      <c r="K29" s="146">
        <v>38.83</v>
      </c>
      <c r="L29" s="146">
        <f t="shared" si="18"/>
        <v>33.7129158035</v>
      </c>
      <c r="M29" s="915">
        <f t="shared" si="19"/>
        <v>43.334597151</v>
      </c>
      <c r="N29" s="146">
        <f t="shared" si="20"/>
        <v>77.0475129545</v>
      </c>
      <c r="O29" s="146">
        <f t="shared" si="21"/>
        <v>77.0475129545</v>
      </c>
      <c r="P29" s="146">
        <f t="shared" si="22"/>
        <v>0</v>
      </c>
      <c r="Q29" s="146">
        <f t="shared" si="23"/>
        <v>0</v>
      </c>
      <c r="R29" s="146">
        <f t="shared" si="24"/>
        <v>0</v>
      </c>
      <c r="S29" s="146">
        <f t="shared" si="25"/>
        <v>0</v>
      </c>
    </row>
    <row r="30" ht="15" spans="3:19">
      <c r="C30" s="55" t="s">
        <v>203</v>
      </c>
      <c r="D30" s="55" t="s">
        <v>204</v>
      </c>
      <c r="E30" s="914">
        <f t="shared" si="13"/>
        <v>95.48</v>
      </c>
      <c r="F30" s="914">
        <f t="shared" si="14"/>
        <v>112.56</v>
      </c>
      <c r="G30" s="914">
        <f t="shared" si="15"/>
        <v>130.22228</v>
      </c>
      <c r="H30" s="146">
        <v>154.57</v>
      </c>
      <c r="I30" s="914">
        <f t="shared" si="16"/>
        <v>137.65589982</v>
      </c>
      <c r="J30" s="882">
        <f t="shared" si="17"/>
        <v>-16.91410018</v>
      </c>
      <c r="K30" s="146">
        <v>155.21</v>
      </c>
      <c r="L30" s="146">
        <f t="shared" si="18"/>
        <v>66.8670841965</v>
      </c>
      <c r="M30" s="915">
        <f t="shared" si="19"/>
        <v>79.605402849</v>
      </c>
      <c r="N30" s="146">
        <f t="shared" si="20"/>
        <v>146.4724870455</v>
      </c>
      <c r="O30" s="146">
        <f t="shared" si="21"/>
        <v>146.4724870455</v>
      </c>
      <c r="P30" s="146">
        <f t="shared" si="22"/>
        <v>0</v>
      </c>
      <c r="Q30" s="146">
        <f t="shared" si="23"/>
        <v>0</v>
      </c>
      <c r="R30" s="146">
        <f t="shared" si="24"/>
        <v>0</v>
      </c>
      <c r="S30" s="146">
        <f t="shared" si="25"/>
        <v>0</v>
      </c>
    </row>
    <row r="31" ht="15" spans="3:19">
      <c r="C31" s="55" t="s">
        <v>205</v>
      </c>
      <c r="D31" s="55" t="s">
        <v>206</v>
      </c>
      <c r="E31" s="914">
        <f t="shared" si="13"/>
        <v>118.49</v>
      </c>
      <c r="F31" s="914">
        <f t="shared" si="14"/>
        <v>127.59</v>
      </c>
      <c r="G31" s="914">
        <f t="shared" si="15"/>
        <v>146.68270205</v>
      </c>
      <c r="H31" s="146">
        <v>154.67</v>
      </c>
      <c r="I31" s="914">
        <f t="shared" si="16"/>
        <v>183.9896945</v>
      </c>
      <c r="J31" s="882">
        <f t="shared" si="17"/>
        <v>29.3196945</v>
      </c>
      <c r="K31" s="146">
        <v>202.26</v>
      </c>
      <c r="L31" s="146">
        <f t="shared" si="18"/>
        <v>118.24</v>
      </c>
      <c r="M31" s="915">
        <f t="shared" si="19"/>
        <v>104.4</v>
      </c>
      <c r="N31" s="146">
        <f t="shared" si="20"/>
        <v>222.64</v>
      </c>
      <c r="O31" s="146">
        <f t="shared" si="21"/>
        <v>222.64</v>
      </c>
      <c r="P31" s="146">
        <f t="shared" si="22"/>
        <v>0</v>
      </c>
      <c r="Q31" s="146">
        <f t="shared" si="23"/>
        <v>0</v>
      </c>
      <c r="R31" s="146">
        <f t="shared" si="24"/>
        <v>0</v>
      </c>
      <c r="S31" s="146">
        <f t="shared" si="25"/>
        <v>0</v>
      </c>
    </row>
    <row r="32" ht="15" spans="3:19">
      <c r="C32" s="55" t="s">
        <v>207</v>
      </c>
      <c r="D32" s="55" t="s">
        <v>186</v>
      </c>
      <c r="E32" s="914">
        <f t="shared" si="13"/>
        <v>91.83</v>
      </c>
      <c r="F32" s="914">
        <f t="shared" si="14"/>
        <v>85.4</v>
      </c>
      <c r="G32" s="914">
        <f t="shared" si="15"/>
        <v>112.48471693</v>
      </c>
      <c r="H32" s="146">
        <v>124.57</v>
      </c>
      <c r="I32" s="914">
        <f t="shared" si="16"/>
        <v>153.938916</v>
      </c>
      <c r="J32" s="882">
        <f t="shared" si="17"/>
        <v>29.368916</v>
      </c>
      <c r="K32" s="146">
        <v>170.56</v>
      </c>
      <c r="L32" s="146">
        <f t="shared" si="18"/>
        <v>80.83</v>
      </c>
      <c r="M32" s="915">
        <f t="shared" si="19"/>
        <v>88.89</v>
      </c>
      <c r="N32" s="146">
        <f t="shared" si="20"/>
        <v>169.72</v>
      </c>
      <c r="O32" s="146">
        <f t="shared" si="21"/>
        <v>169.72</v>
      </c>
      <c r="P32" s="146">
        <f t="shared" si="22"/>
        <v>0</v>
      </c>
      <c r="Q32" s="146">
        <f t="shared" si="23"/>
        <v>0</v>
      </c>
      <c r="R32" s="146">
        <f t="shared" si="24"/>
        <v>0</v>
      </c>
      <c r="S32" s="146">
        <f t="shared" si="25"/>
        <v>0</v>
      </c>
    </row>
    <row r="33" ht="15" spans="3:19">
      <c r="C33" s="55" t="s">
        <v>208</v>
      </c>
      <c r="D33" s="55" t="s">
        <v>209</v>
      </c>
      <c r="E33" s="914">
        <f t="shared" si="13"/>
        <v>0</v>
      </c>
      <c r="F33" s="914">
        <f t="shared" si="14"/>
        <v>0</v>
      </c>
      <c r="G33" s="914">
        <f t="shared" si="15"/>
        <v>0</v>
      </c>
      <c r="H33" s="146">
        <v>0</v>
      </c>
      <c r="I33" s="914">
        <f t="shared" si="16"/>
        <v>0</v>
      </c>
      <c r="J33" s="882">
        <f t="shared" si="17"/>
        <v>0</v>
      </c>
      <c r="K33" s="146">
        <v>0</v>
      </c>
      <c r="L33" s="146">
        <f t="shared" si="18"/>
        <v>0</v>
      </c>
      <c r="M33" s="915">
        <f t="shared" si="19"/>
        <v>0</v>
      </c>
      <c r="N33" s="146">
        <f t="shared" si="20"/>
        <v>0</v>
      </c>
      <c r="O33" s="146">
        <f t="shared" si="21"/>
        <v>0</v>
      </c>
      <c r="P33" s="146">
        <f t="shared" si="22"/>
        <v>0</v>
      </c>
      <c r="Q33" s="146">
        <f t="shared" si="23"/>
        <v>0</v>
      </c>
      <c r="R33" s="146">
        <f t="shared" si="24"/>
        <v>0</v>
      </c>
      <c r="S33" s="146">
        <f t="shared" si="25"/>
        <v>0</v>
      </c>
    </row>
    <row r="34" ht="15" spans="3:19">
      <c r="C34" s="55" t="s">
        <v>210</v>
      </c>
      <c r="D34" s="55" t="s">
        <v>188</v>
      </c>
      <c r="E34" s="914">
        <f t="shared" si="13"/>
        <v>2.43</v>
      </c>
      <c r="F34" s="914">
        <f t="shared" si="14"/>
        <v>1.6</v>
      </c>
      <c r="G34" s="914">
        <f t="shared" si="15"/>
        <v>3.428271</v>
      </c>
      <c r="H34" s="146">
        <v>14.02</v>
      </c>
      <c r="I34" s="914">
        <f t="shared" si="16"/>
        <v>5.539859</v>
      </c>
      <c r="J34" s="882">
        <f t="shared" si="17"/>
        <v>-8.480141</v>
      </c>
      <c r="K34" s="146">
        <v>6.55</v>
      </c>
      <c r="L34" s="146">
        <f t="shared" si="18"/>
        <v>2.96</v>
      </c>
      <c r="M34" s="915">
        <f t="shared" si="19"/>
        <v>3.75</v>
      </c>
      <c r="N34" s="146">
        <f t="shared" si="20"/>
        <v>6.71</v>
      </c>
      <c r="O34" s="146">
        <f t="shared" si="21"/>
        <v>6.71</v>
      </c>
      <c r="P34" s="146">
        <f t="shared" si="22"/>
        <v>0</v>
      </c>
      <c r="Q34" s="146">
        <f t="shared" si="23"/>
        <v>0</v>
      </c>
      <c r="R34" s="146">
        <f t="shared" si="24"/>
        <v>0</v>
      </c>
      <c r="S34" s="146">
        <f t="shared" si="25"/>
        <v>0</v>
      </c>
    </row>
    <row r="35" ht="15" spans="3:19">
      <c r="C35" s="55"/>
      <c r="D35" s="55"/>
      <c r="E35" s="914"/>
      <c r="F35" s="914"/>
      <c r="G35" s="914"/>
      <c r="H35" s="146"/>
      <c r="I35" s="914"/>
      <c r="J35" s="146"/>
      <c r="K35" s="146"/>
      <c r="L35" s="146"/>
      <c r="M35" s="915"/>
      <c r="N35" s="146"/>
      <c r="O35" s="146"/>
      <c r="P35" s="146"/>
      <c r="Q35" s="146"/>
      <c r="R35" s="146"/>
      <c r="S35" s="146"/>
    </row>
    <row r="36" ht="15" spans="3:19">
      <c r="C36" s="55"/>
      <c r="D36" s="55"/>
      <c r="E36" s="914"/>
      <c r="F36" s="914"/>
      <c r="G36" s="914"/>
      <c r="H36" s="146"/>
      <c r="I36" s="914"/>
      <c r="J36" s="146"/>
      <c r="K36" s="146"/>
      <c r="L36" s="146"/>
      <c r="M36" s="915"/>
      <c r="N36" s="146"/>
      <c r="O36" s="146"/>
      <c r="P36" s="146"/>
      <c r="Q36" s="146"/>
      <c r="R36" s="146"/>
      <c r="S36" s="146"/>
    </row>
    <row r="37" ht="15" spans="3:19">
      <c r="C37" s="55"/>
      <c r="D37" s="55"/>
      <c r="E37" s="914"/>
      <c r="F37" s="914"/>
      <c r="G37" s="914"/>
      <c r="H37" s="146"/>
      <c r="I37" s="914"/>
      <c r="J37" s="146"/>
      <c r="K37" s="146"/>
      <c r="L37" s="146"/>
      <c r="M37" s="915"/>
      <c r="N37" s="146"/>
      <c r="O37" s="146"/>
      <c r="P37" s="146"/>
      <c r="Q37" s="146"/>
      <c r="R37" s="146"/>
      <c r="S37" s="146"/>
    </row>
    <row r="38" ht="15" spans="3:19">
      <c r="C38" s="55"/>
      <c r="D38" s="55"/>
      <c r="E38" s="914"/>
      <c r="F38" s="914"/>
      <c r="G38" s="914"/>
      <c r="H38" s="146"/>
      <c r="I38" s="914"/>
      <c r="J38" s="146"/>
      <c r="K38" s="146"/>
      <c r="L38" s="146"/>
      <c r="M38" s="915"/>
      <c r="N38" s="146"/>
      <c r="O38" s="146"/>
      <c r="P38" s="146"/>
      <c r="Q38" s="146"/>
      <c r="R38" s="146"/>
      <c r="S38" s="146"/>
    </row>
    <row r="39" ht="15" spans="3:19">
      <c r="C39" s="537" t="s">
        <v>211</v>
      </c>
      <c r="D39" s="540"/>
      <c r="E39" s="877">
        <f>Q116</f>
        <v>5679.70305129736</v>
      </c>
      <c r="F39" s="877">
        <f>Q190</f>
        <v>5013.60987821</v>
      </c>
      <c r="G39" s="877">
        <f>Q263</f>
        <v>5750.22701109</v>
      </c>
      <c r="H39" s="877">
        <f>SUM(H24:H38)</f>
        <v>6974.83</v>
      </c>
      <c r="I39" s="877">
        <f>Q336</f>
        <v>6620.92135521</v>
      </c>
      <c r="J39" s="877">
        <f>I39-H39</f>
        <v>-353.908644789999</v>
      </c>
      <c r="K39" s="877">
        <f>SUM(K24:K38)</f>
        <v>6865.32</v>
      </c>
      <c r="L39" s="877">
        <f>SUM(E412:J412)</f>
        <v>3385.247875645</v>
      </c>
      <c r="M39" s="877">
        <f>SUM(K412:P412)</f>
        <v>3603.704055326</v>
      </c>
      <c r="N39" s="877">
        <f>L39+M39</f>
        <v>6988.951930971</v>
      </c>
      <c r="O39" s="877">
        <f>Q486</f>
        <v>7453.9102207154</v>
      </c>
      <c r="P39" s="877">
        <f>Q560</f>
        <v>0</v>
      </c>
      <c r="Q39" s="877">
        <f>Q634</f>
        <v>0</v>
      </c>
      <c r="R39" s="877">
        <f>Q708</f>
        <v>0</v>
      </c>
      <c r="S39" s="877">
        <f>Q782</f>
        <v>0</v>
      </c>
    </row>
    <row r="40" ht="15" spans="3:19">
      <c r="C40" s="44" t="s">
        <v>212</v>
      </c>
      <c r="D40" s="45"/>
      <c r="E40" s="876"/>
      <c r="F40" s="876"/>
      <c r="G40" s="87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</row>
    <row r="41" ht="15" spans="3:19">
      <c r="C41" s="55" t="s">
        <v>191</v>
      </c>
      <c r="D41" s="55" t="s">
        <v>192</v>
      </c>
      <c r="E41" s="914">
        <f t="shared" ref="E41:E47" si="26">Q118</f>
        <v>4218.92397782</v>
      </c>
      <c r="F41" s="914">
        <f t="shared" ref="F41:F47" si="27">Q192</f>
        <v>3575.85890144</v>
      </c>
      <c r="G41" s="914">
        <f t="shared" ref="G41:G47" si="28">Q265</f>
        <v>4590.39422317</v>
      </c>
      <c r="H41" s="146">
        <v>5721.31</v>
      </c>
      <c r="I41" s="914">
        <f t="shared" ref="I41:I52" si="29">Q338</f>
        <v>5498.74110573</v>
      </c>
      <c r="J41" s="882">
        <f t="shared" ref="J41:J52" si="30">I41-H41</f>
        <v>-222.568894270001</v>
      </c>
      <c r="K41" s="146">
        <v>6733.34</v>
      </c>
      <c r="L41" s="146">
        <f t="shared" ref="L41:L47" si="31">E488+F488+G488+H488+I488+J488</f>
        <v>2737.7397821201</v>
      </c>
      <c r="M41" s="915">
        <f t="shared" ref="M41:M47" si="32">K488+L488+M488+N488+O488+P488</f>
        <v>3334.3997821201</v>
      </c>
      <c r="N41" s="146">
        <f t="shared" ref="N41:N52" si="33">L41+M41</f>
        <v>6072.1395642402</v>
      </c>
      <c r="O41" s="146">
        <f t="shared" ref="O41:O47" si="34">Q488</f>
        <v>6072.1395642402</v>
      </c>
      <c r="P41" s="146">
        <f t="shared" ref="P41:P47" si="35">Q562</f>
        <v>0</v>
      </c>
      <c r="Q41" s="146">
        <f t="shared" ref="Q41:Q47" si="36">Q636</f>
        <v>0</v>
      </c>
      <c r="R41" s="146">
        <f t="shared" ref="R41:R47" si="37">Q710</f>
        <v>0</v>
      </c>
      <c r="S41" s="146">
        <f t="shared" ref="S41:S47" si="38">Q784</f>
        <v>0</v>
      </c>
    </row>
    <row r="42" ht="15" spans="3:19">
      <c r="C42" s="55" t="s">
        <v>193</v>
      </c>
      <c r="D42" s="55" t="s">
        <v>194</v>
      </c>
      <c r="E42" s="914">
        <f t="shared" si="26"/>
        <v>44.0475</v>
      </c>
      <c r="F42" s="914">
        <f t="shared" si="27"/>
        <v>25.4862</v>
      </c>
      <c r="G42" s="914">
        <f t="shared" si="28"/>
        <v>37.0829</v>
      </c>
      <c r="H42" s="146">
        <v>44.05</v>
      </c>
      <c r="I42" s="914">
        <f t="shared" si="29"/>
        <v>43.282</v>
      </c>
      <c r="J42" s="882">
        <f t="shared" si="30"/>
        <v>-0.767999999999994</v>
      </c>
      <c r="K42" s="146">
        <v>37.08</v>
      </c>
      <c r="L42" s="146">
        <f t="shared" si="31"/>
        <v>0</v>
      </c>
      <c r="M42" s="915">
        <f t="shared" si="32"/>
        <v>0</v>
      </c>
      <c r="N42" s="146">
        <f t="shared" si="33"/>
        <v>0</v>
      </c>
      <c r="O42" s="146">
        <f t="shared" si="34"/>
        <v>0</v>
      </c>
      <c r="P42" s="146">
        <f t="shared" si="35"/>
        <v>0</v>
      </c>
      <c r="Q42" s="146">
        <f t="shared" si="36"/>
        <v>0</v>
      </c>
      <c r="R42" s="146">
        <f t="shared" si="37"/>
        <v>0</v>
      </c>
      <c r="S42" s="146">
        <f t="shared" si="38"/>
        <v>0</v>
      </c>
    </row>
    <row r="43" ht="15" spans="3:19">
      <c r="C43" s="55" t="s">
        <v>239</v>
      </c>
      <c r="D43" s="55" t="s">
        <v>196</v>
      </c>
      <c r="E43" s="914">
        <f t="shared" si="26"/>
        <v>867.96008174</v>
      </c>
      <c r="F43" s="914">
        <f t="shared" si="27"/>
        <v>626.180324</v>
      </c>
      <c r="G43" s="914">
        <f t="shared" si="28"/>
        <v>772.70093215</v>
      </c>
      <c r="H43" s="146">
        <v>1183.43</v>
      </c>
      <c r="I43" s="914">
        <f t="shared" si="29"/>
        <v>1197.782522</v>
      </c>
      <c r="J43" s="882">
        <f t="shared" si="30"/>
        <v>14.3525219999999</v>
      </c>
      <c r="K43" s="146">
        <v>1302.04</v>
      </c>
      <c r="L43" s="146">
        <f t="shared" si="31"/>
        <v>821.909428307358</v>
      </c>
      <c r="M43" s="915">
        <f t="shared" si="32"/>
        <v>796.050262982964</v>
      </c>
      <c r="N43" s="146">
        <f t="shared" si="33"/>
        <v>1617.95969129032</v>
      </c>
      <c r="O43" s="146">
        <f t="shared" si="34"/>
        <v>1617.95969129032</v>
      </c>
      <c r="P43" s="146">
        <f t="shared" si="35"/>
        <v>0</v>
      </c>
      <c r="Q43" s="146">
        <f t="shared" si="36"/>
        <v>0</v>
      </c>
      <c r="R43" s="146">
        <f t="shared" si="37"/>
        <v>0</v>
      </c>
      <c r="S43" s="146">
        <f t="shared" si="38"/>
        <v>0</v>
      </c>
    </row>
    <row r="44" ht="15" spans="3:19">
      <c r="C44" s="55" t="s">
        <v>197</v>
      </c>
      <c r="D44" s="55" t="s">
        <v>198</v>
      </c>
      <c r="E44" s="914">
        <f t="shared" si="26"/>
        <v>0</v>
      </c>
      <c r="F44" s="914">
        <f t="shared" si="27"/>
        <v>0</v>
      </c>
      <c r="G44" s="914">
        <f t="shared" si="28"/>
        <v>0</v>
      </c>
      <c r="H44" s="146"/>
      <c r="I44" s="914">
        <f t="shared" si="29"/>
        <v>1.8433</v>
      </c>
      <c r="J44" s="882">
        <f t="shared" si="30"/>
        <v>1.8433</v>
      </c>
      <c r="K44" s="146">
        <f>[13]Sales_NP!N31</f>
        <v>0</v>
      </c>
      <c r="L44" s="146">
        <f t="shared" si="31"/>
        <v>1.22247372481117</v>
      </c>
      <c r="M44" s="915">
        <f t="shared" si="32"/>
        <v>0.994908824995266</v>
      </c>
      <c r="N44" s="146">
        <f t="shared" si="33"/>
        <v>2.21738254980644</v>
      </c>
      <c r="O44" s="146">
        <f t="shared" si="34"/>
        <v>2.21738254980644</v>
      </c>
      <c r="P44" s="146">
        <f t="shared" si="35"/>
        <v>0</v>
      </c>
      <c r="Q44" s="146">
        <f t="shared" si="36"/>
        <v>0</v>
      </c>
      <c r="R44" s="146">
        <f t="shared" si="37"/>
        <v>0</v>
      </c>
      <c r="S44" s="146">
        <f t="shared" si="38"/>
        <v>0</v>
      </c>
    </row>
    <row r="45" ht="15" spans="3:19">
      <c r="C45" s="55" t="s">
        <v>199</v>
      </c>
      <c r="D45" s="55" t="s">
        <v>200</v>
      </c>
      <c r="E45" s="914">
        <f t="shared" si="26"/>
        <v>0</v>
      </c>
      <c r="F45" s="914">
        <f t="shared" si="27"/>
        <v>0</v>
      </c>
      <c r="G45" s="914">
        <f t="shared" si="28"/>
        <v>0</v>
      </c>
      <c r="H45" s="146">
        <f>[12]Sales_NP!N30</f>
        <v>0</v>
      </c>
      <c r="I45" s="914">
        <f t="shared" si="29"/>
        <v>0</v>
      </c>
      <c r="J45" s="882">
        <f t="shared" si="30"/>
        <v>0</v>
      </c>
      <c r="K45" s="146">
        <v>0</v>
      </c>
      <c r="L45" s="146">
        <f t="shared" si="31"/>
        <v>0</v>
      </c>
      <c r="M45" s="915">
        <f t="shared" si="32"/>
        <v>0</v>
      </c>
      <c r="N45" s="146">
        <f t="shared" si="33"/>
        <v>0</v>
      </c>
      <c r="O45" s="146">
        <f t="shared" si="34"/>
        <v>0</v>
      </c>
      <c r="P45" s="146">
        <f t="shared" si="35"/>
        <v>0</v>
      </c>
      <c r="Q45" s="146">
        <f t="shared" si="36"/>
        <v>0</v>
      </c>
      <c r="R45" s="146">
        <f t="shared" si="37"/>
        <v>0</v>
      </c>
      <c r="S45" s="146">
        <f t="shared" si="38"/>
        <v>0</v>
      </c>
    </row>
    <row r="46" ht="15" spans="3:19">
      <c r="C46" s="55" t="s">
        <v>201</v>
      </c>
      <c r="D46" s="55" t="s">
        <v>202</v>
      </c>
      <c r="E46" s="914">
        <f t="shared" si="26"/>
        <v>17.59</v>
      </c>
      <c r="F46" s="914">
        <f t="shared" si="27"/>
        <v>14.51</v>
      </c>
      <c r="G46" s="914">
        <f t="shared" si="28"/>
        <v>15.38839</v>
      </c>
      <c r="H46" s="146">
        <v>20.26</v>
      </c>
      <c r="I46" s="914">
        <f t="shared" si="29"/>
        <v>17.04318</v>
      </c>
      <c r="J46" s="882">
        <f t="shared" si="30"/>
        <v>-3.21682</v>
      </c>
      <c r="K46" s="146">
        <v>15.48</v>
      </c>
      <c r="L46" s="146">
        <f t="shared" si="31"/>
        <v>28.6986758684329</v>
      </c>
      <c r="M46" s="915">
        <f t="shared" si="32"/>
        <v>25.295830999789</v>
      </c>
      <c r="N46" s="146">
        <f t="shared" si="33"/>
        <v>53.9945068682218</v>
      </c>
      <c r="O46" s="146">
        <f t="shared" si="34"/>
        <v>53.9945068682218</v>
      </c>
      <c r="P46" s="146">
        <f t="shared" si="35"/>
        <v>0</v>
      </c>
      <c r="Q46" s="146">
        <f t="shared" si="36"/>
        <v>0</v>
      </c>
      <c r="R46" s="146">
        <f t="shared" si="37"/>
        <v>0</v>
      </c>
      <c r="S46" s="146">
        <f t="shared" si="38"/>
        <v>0</v>
      </c>
    </row>
    <row r="47" ht="15" spans="3:19">
      <c r="C47" s="55" t="s">
        <v>203</v>
      </c>
      <c r="D47" s="55" t="s">
        <v>204</v>
      </c>
      <c r="E47" s="914">
        <f t="shared" si="26"/>
        <v>158.72</v>
      </c>
      <c r="F47" s="914">
        <f t="shared" si="27"/>
        <v>191.4</v>
      </c>
      <c r="G47" s="914">
        <f t="shared" si="28"/>
        <v>229.68429</v>
      </c>
      <c r="H47" s="146">
        <v>233.67</v>
      </c>
      <c r="I47" s="914">
        <f t="shared" si="29"/>
        <v>247.927045</v>
      </c>
      <c r="J47" s="882">
        <f t="shared" si="30"/>
        <v>14.257045</v>
      </c>
      <c r="K47" s="146">
        <v>277.08</v>
      </c>
      <c r="L47" s="146">
        <f t="shared" si="31"/>
        <v>128.981324131567</v>
      </c>
      <c r="M47" s="915">
        <f t="shared" si="32"/>
        <v>137.644169000211</v>
      </c>
      <c r="N47" s="146">
        <f t="shared" si="33"/>
        <v>266.625493131778</v>
      </c>
      <c r="O47" s="146">
        <f t="shared" si="34"/>
        <v>266.625493131778</v>
      </c>
      <c r="P47" s="146">
        <f t="shared" si="35"/>
        <v>0</v>
      </c>
      <c r="Q47" s="146">
        <f t="shared" si="36"/>
        <v>0</v>
      </c>
      <c r="R47" s="146">
        <f t="shared" si="37"/>
        <v>0</v>
      </c>
      <c r="S47" s="146">
        <f t="shared" si="38"/>
        <v>0</v>
      </c>
    </row>
    <row r="48" ht="15" spans="3:19">
      <c r="C48" s="55" t="s">
        <v>269</v>
      </c>
      <c r="D48" s="55" t="s">
        <v>229</v>
      </c>
      <c r="E48" s="914">
        <v>0</v>
      </c>
      <c r="F48" s="914">
        <v>0</v>
      </c>
      <c r="G48" s="914">
        <v>0</v>
      </c>
      <c r="H48" s="146">
        <v>0</v>
      </c>
      <c r="I48" s="914">
        <f t="shared" si="29"/>
        <v>2.9508</v>
      </c>
      <c r="J48" s="882">
        <f t="shared" si="30"/>
        <v>2.9508</v>
      </c>
      <c r="K48" s="146"/>
      <c r="L48" s="146">
        <v>0</v>
      </c>
      <c r="M48" s="915">
        <v>0</v>
      </c>
      <c r="N48" s="146">
        <f t="shared" si="33"/>
        <v>0</v>
      </c>
      <c r="O48" s="146">
        <v>0</v>
      </c>
      <c r="P48" s="146">
        <v>0</v>
      </c>
      <c r="Q48" s="146">
        <v>0</v>
      </c>
      <c r="R48" s="146">
        <v>0</v>
      </c>
      <c r="S48" s="146">
        <v>0</v>
      </c>
    </row>
    <row r="49" ht="15" spans="3:19">
      <c r="C49" s="55" t="s">
        <v>205</v>
      </c>
      <c r="D49" s="55" t="s">
        <v>206</v>
      </c>
      <c r="E49" s="914">
        <f>Q125</f>
        <v>76.6</v>
      </c>
      <c r="F49" s="914">
        <f>Q199</f>
        <v>85.16</v>
      </c>
      <c r="G49" s="914">
        <f>Q272</f>
        <v>99.584716</v>
      </c>
      <c r="H49" s="146">
        <v>121.07</v>
      </c>
      <c r="I49" s="914">
        <f t="shared" si="29"/>
        <v>124.072753</v>
      </c>
      <c r="J49" s="882">
        <f t="shared" si="30"/>
        <v>3.00275300000001</v>
      </c>
      <c r="K49" s="146">
        <v>145.97</v>
      </c>
      <c r="L49" s="146">
        <f>E495+F495+G495+H495+I495+J495</f>
        <v>86.03</v>
      </c>
      <c r="M49" s="915">
        <f>K495+L495+M495+N495+O495+P495</f>
        <v>64.09</v>
      </c>
      <c r="N49" s="146">
        <f t="shared" si="33"/>
        <v>150.12</v>
      </c>
      <c r="O49" s="146">
        <f>Q495</f>
        <v>150.12</v>
      </c>
      <c r="P49" s="146">
        <f>Q569</f>
        <v>0</v>
      </c>
      <c r="Q49" s="146">
        <f>Q643</f>
        <v>0</v>
      </c>
      <c r="R49" s="146">
        <f>Q717</f>
        <v>0</v>
      </c>
      <c r="S49" s="146">
        <f>Q791</f>
        <v>0</v>
      </c>
    </row>
    <row r="50" ht="15" spans="3:19">
      <c r="C50" s="55" t="s">
        <v>218</v>
      </c>
      <c r="D50" s="55" t="s">
        <v>186</v>
      </c>
      <c r="E50" s="914">
        <f>Q126</f>
        <v>44.13</v>
      </c>
      <c r="F50" s="914">
        <f>Q200</f>
        <v>18.45</v>
      </c>
      <c r="G50" s="914">
        <f>Q273</f>
        <v>41.242005</v>
      </c>
      <c r="H50" s="146">
        <v>26.65</v>
      </c>
      <c r="I50" s="914">
        <f t="shared" si="29"/>
        <v>40.313566</v>
      </c>
      <c r="J50" s="882">
        <f t="shared" si="30"/>
        <v>13.663566</v>
      </c>
      <c r="K50" s="146">
        <v>43.08</v>
      </c>
      <c r="L50" s="146">
        <f>E496+F496+G496+H496+I496+J496</f>
        <v>18.54</v>
      </c>
      <c r="M50" s="915">
        <f>K496+L496+M496+N496+O496+P496</f>
        <v>25.92</v>
      </c>
      <c r="N50" s="146">
        <f t="shared" si="33"/>
        <v>44.46</v>
      </c>
      <c r="O50" s="146">
        <f>Q496</f>
        <v>44.46</v>
      </c>
      <c r="P50" s="146">
        <f>Q570</f>
        <v>0</v>
      </c>
      <c r="Q50" s="146">
        <f>Q644</f>
        <v>0</v>
      </c>
      <c r="R50" s="146">
        <f>Q718</f>
        <v>0</v>
      </c>
      <c r="S50" s="146">
        <f>Q792</f>
        <v>0</v>
      </c>
    </row>
    <row r="51" ht="15" spans="3:19">
      <c r="C51" s="55" t="s">
        <v>208</v>
      </c>
      <c r="D51" s="55" t="s">
        <v>209</v>
      </c>
      <c r="E51" s="914">
        <f>Q127</f>
        <v>0</v>
      </c>
      <c r="F51" s="914">
        <f>Q201</f>
        <v>0</v>
      </c>
      <c r="G51" s="914">
        <f>Q274</f>
        <v>0</v>
      </c>
      <c r="H51" s="146">
        <f>[12]Sales_NP!N35</f>
        <v>0</v>
      </c>
      <c r="I51" s="914">
        <f t="shared" si="29"/>
        <v>0</v>
      </c>
      <c r="J51" s="882">
        <f t="shared" si="30"/>
        <v>0</v>
      </c>
      <c r="K51" s="146">
        <f>[13]Sales_NP!N37</f>
        <v>0</v>
      </c>
      <c r="L51" s="146">
        <f>E497+F497+G497+H497+I497+J497</f>
        <v>0</v>
      </c>
      <c r="M51" s="915">
        <f>K497+L497+M497+N497+O497+P497</f>
        <v>0</v>
      </c>
      <c r="N51" s="146">
        <f t="shared" si="33"/>
        <v>0</v>
      </c>
      <c r="O51" s="146">
        <f>Q497</f>
        <v>0</v>
      </c>
      <c r="P51" s="146">
        <f>Q571</f>
        <v>0</v>
      </c>
      <c r="Q51" s="146">
        <f>Q645</f>
        <v>0</v>
      </c>
      <c r="R51" s="146">
        <f>Q719</f>
        <v>0</v>
      </c>
      <c r="S51" s="146">
        <f>Q793</f>
        <v>0</v>
      </c>
    </row>
    <row r="52" ht="15" spans="3:19">
      <c r="C52" s="55" t="s">
        <v>210</v>
      </c>
      <c r="D52" s="55" t="s">
        <v>188</v>
      </c>
      <c r="E52" s="914">
        <f>Q128</f>
        <v>0</v>
      </c>
      <c r="F52" s="914">
        <f>Q202</f>
        <v>0</v>
      </c>
      <c r="G52" s="914">
        <f>Q275</f>
        <v>0</v>
      </c>
      <c r="H52" s="146">
        <f>[12]Sales_NP!N36</f>
        <v>0</v>
      </c>
      <c r="I52" s="914">
        <f t="shared" si="29"/>
        <v>0</v>
      </c>
      <c r="J52" s="882">
        <f t="shared" si="30"/>
        <v>0</v>
      </c>
      <c r="K52" s="146">
        <f>[13]Sales_NP!N38</f>
        <v>0</v>
      </c>
      <c r="L52" s="146">
        <f>E498+F498+G498+H498+I498+J498</f>
        <v>0</v>
      </c>
      <c r="M52" s="915">
        <f>K498+L498+M498+N498+O498+P498</f>
        <v>0</v>
      </c>
      <c r="N52" s="146">
        <f t="shared" si="33"/>
        <v>0</v>
      </c>
      <c r="O52" s="146">
        <f>Q498</f>
        <v>0</v>
      </c>
      <c r="P52" s="146">
        <f>Q572</f>
        <v>0</v>
      </c>
      <c r="Q52" s="146">
        <f>Q646</f>
        <v>0</v>
      </c>
      <c r="R52" s="146">
        <f>Q720</f>
        <v>0</v>
      </c>
      <c r="S52" s="146">
        <f>Q794</f>
        <v>0</v>
      </c>
    </row>
    <row r="53" ht="15" spans="3:19">
      <c r="C53" s="55"/>
      <c r="D53" s="55"/>
      <c r="E53" s="914"/>
      <c r="F53" s="914"/>
      <c r="G53" s="914"/>
      <c r="H53" s="146"/>
      <c r="I53" s="914"/>
      <c r="J53" s="146"/>
      <c r="K53" s="146"/>
      <c r="L53" s="146"/>
      <c r="M53" s="915"/>
      <c r="N53" s="146"/>
      <c r="O53" s="146"/>
      <c r="P53" s="146"/>
      <c r="Q53" s="146"/>
      <c r="R53" s="146"/>
      <c r="S53" s="146"/>
    </row>
    <row r="54" ht="15" spans="3:19">
      <c r="C54" s="55"/>
      <c r="D54" s="55"/>
      <c r="E54" s="914"/>
      <c r="F54" s="914"/>
      <c r="G54" s="914"/>
      <c r="H54" s="146"/>
      <c r="I54" s="914"/>
      <c r="J54" s="146"/>
      <c r="K54" s="146"/>
      <c r="L54" s="146"/>
      <c r="M54" s="915"/>
      <c r="N54" s="146"/>
      <c r="O54" s="146"/>
      <c r="P54" s="146"/>
      <c r="Q54" s="146"/>
      <c r="R54" s="146"/>
      <c r="S54" s="146"/>
    </row>
    <row r="55" ht="15" spans="3:19">
      <c r="C55" s="55"/>
      <c r="D55" s="55"/>
      <c r="E55" s="914"/>
      <c r="F55" s="914"/>
      <c r="G55" s="914"/>
      <c r="H55" s="146"/>
      <c r="I55" s="914"/>
      <c r="J55" s="146"/>
      <c r="K55" s="146"/>
      <c r="L55" s="146"/>
      <c r="M55" s="915"/>
      <c r="N55" s="146"/>
      <c r="O55" s="146"/>
      <c r="P55" s="146"/>
      <c r="Q55" s="146"/>
      <c r="R55" s="146"/>
      <c r="S55" s="146"/>
    </row>
    <row r="56" ht="15" spans="3:19">
      <c r="C56" s="55"/>
      <c r="D56" s="55"/>
      <c r="E56" s="914"/>
      <c r="F56" s="914"/>
      <c r="G56" s="914"/>
      <c r="H56" s="146"/>
      <c r="I56" s="914"/>
      <c r="J56" s="146"/>
      <c r="K56" s="146"/>
      <c r="L56" s="146"/>
      <c r="M56" s="915"/>
      <c r="N56" s="146"/>
      <c r="O56" s="146"/>
      <c r="P56" s="146"/>
      <c r="Q56" s="146"/>
      <c r="R56" s="146"/>
      <c r="S56" s="146"/>
    </row>
    <row r="57" ht="15" spans="3:19">
      <c r="C57" s="537" t="s">
        <v>211</v>
      </c>
      <c r="D57" s="540"/>
      <c r="E57" s="877">
        <f>Q133</f>
        <v>5427.97155956</v>
      </c>
      <c r="F57" s="877">
        <f>Q207</f>
        <v>4537.04542544</v>
      </c>
      <c r="G57" s="877">
        <f>Q280</f>
        <v>5786.07745632</v>
      </c>
      <c r="H57" s="877">
        <f>SUM(H41:H56)</f>
        <v>7350.44</v>
      </c>
      <c r="I57" s="877">
        <f>Q354</f>
        <v>7173.95627173</v>
      </c>
      <c r="J57" s="877">
        <f>I57-H57</f>
        <v>-176.483728270001</v>
      </c>
      <c r="K57" s="877">
        <f>SUM(K41:K56)</f>
        <v>8554.07</v>
      </c>
      <c r="L57" s="877">
        <f>SUM(E429:J429)</f>
        <v>3785.738015213</v>
      </c>
      <c r="M57" s="877">
        <f>SUM(K429:P429)</f>
        <v>4034.08937694922</v>
      </c>
      <c r="N57" s="877">
        <f>L57+M57</f>
        <v>7819.82739216222</v>
      </c>
      <c r="O57" s="877">
        <f>Q503</f>
        <v>8207.51663808033</v>
      </c>
      <c r="P57" s="877">
        <f>Q577</f>
        <v>0</v>
      </c>
      <c r="Q57" s="877">
        <f>Q651</f>
        <v>0</v>
      </c>
      <c r="R57" s="877">
        <f>Q725</f>
        <v>0</v>
      </c>
      <c r="S57" s="877">
        <f>Q799</f>
        <v>0</v>
      </c>
    </row>
    <row r="58" ht="15" spans="3:19">
      <c r="C58" s="44" t="s">
        <v>219</v>
      </c>
      <c r="D58" s="45"/>
      <c r="E58" s="876"/>
      <c r="F58" s="876"/>
      <c r="G58" s="87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</row>
    <row r="59" ht="15" spans="3:19">
      <c r="C59" s="55" t="s">
        <v>191</v>
      </c>
      <c r="D59" s="55" t="s">
        <v>192</v>
      </c>
      <c r="E59" s="914">
        <f t="shared" ref="E59:E71" si="39">Q135</f>
        <v>2503.92938901</v>
      </c>
      <c r="F59" s="914">
        <f t="shared" ref="F59:F71" si="40">Q209</f>
        <v>2237.72151054</v>
      </c>
      <c r="G59" s="914">
        <f>Q282</f>
        <v>3160.693707</v>
      </c>
      <c r="H59" s="146">
        <v>3534.58</v>
      </c>
      <c r="I59" s="914">
        <f t="shared" ref="I59:I71" si="41">Q356</f>
        <v>4311.075245</v>
      </c>
      <c r="J59" s="882">
        <f t="shared" ref="J59:J71" si="42">I59-H59</f>
        <v>776.495245</v>
      </c>
      <c r="K59" s="146">
        <v>5214.14</v>
      </c>
      <c r="L59" s="146">
        <f t="shared" ref="L59:L71" si="43">E505+F505+G505+H505+I505+J505</f>
        <v>2995.31170742926</v>
      </c>
      <c r="M59" s="915">
        <f t="shared" ref="M59:M71" si="44">K505+L505+M505+N505+O505+P505</f>
        <v>3145.56520742926</v>
      </c>
      <c r="N59" s="146">
        <f t="shared" ref="N59:N71" si="45">L59+M59</f>
        <v>6140.87691485852</v>
      </c>
      <c r="O59" s="146">
        <f t="shared" ref="O59:O71" si="46">Q505</f>
        <v>6140.87691485852</v>
      </c>
      <c r="P59" s="146">
        <f t="shared" ref="P59:P71" si="47">Q579</f>
        <v>0</v>
      </c>
      <c r="Q59" s="146">
        <f t="shared" ref="Q59:Q71" si="48">Q653</f>
        <v>0</v>
      </c>
      <c r="R59" s="146">
        <f t="shared" ref="R59:R71" si="49">Q727</f>
        <v>0</v>
      </c>
      <c r="S59" s="146">
        <f t="shared" ref="S59:S71" si="50">Q801</f>
        <v>0</v>
      </c>
    </row>
    <row r="60" ht="15" spans="3:19">
      <c r="C60" s="55" t="s">
        <v>193</v>
      </c>
      <c r="D60" s="55" t="s">
        <v>194</v>
      </c>
      <c r="E60" s="914">
        <f t="shared" si="39"/>
        <v>193.954</v>
      </c>
      <c r="F60" s="914">
        <f t="shared" si="40"/>
        <v>104.53</v>
      </c>
      <c r="G60" s="914">
        <f>Q283</f>
        <v>211.2313</v>
      </c>
      <c r="H60" s="146">
        <v>193.95</v>
      </c>
      <c r="I60" s="914">
        <f t="shared" si="41"/>
        <v>209.4758</v>
      </c>
      <c r="J60" s="882">
        <f t="shared" si="42"/>
        <v>15.5258</v>
      </c>
      <c r="K60" s="146">
        <v>211.23</v>
      </c>
      <c r="L60" s="146">
        <f t="shared" si="43"/>
        <v>76.91</v>
      </c>
      <c r="M60" s="915">
        <f t="shared" si="44"/>
        <v>104.2965</v>
      </c>
      <c r="N60" s="146">
        <f t="shared" si="45"/>
        <v>181.2065</v>
      </c>
      <c r="O60" s="146">
        <f t="shared" si="46"/>
        <v>181.2065</v>
      </c>
      <c r="P60" s="146">
        <f t="shared" si="47"/>
        <v>0</v>
      </c>
      <c r="Q60" s="146">
        <f t="shared" si="48"/>
        <v>0</v>
      </c>
      <c r="R60" s="146">
        <f t="shared" si="49"/>
        <v>0</v>
      </c>
      <c r="S60" s="146">
        <f t="shared" si="50"/>
        <v>0</v>
      </c>
    </row>
    <row r="61" ht="15" spans="3:19">
      <c r="C61" s="55" t="s">
        <v>239</v>
      </c>
      <c r="D61" s="55" t="s">
        <v>196</v>
      </c>
      <c r="E61" s="914">
        <f t="shared" si="39"/>
        <v>50.823967</v>
      </c>
      <c r="F61" s="914">
        <f t="shared" si="40"/>
        <v>37.02036</v>
      </c>
      <c r="G61" s="914">
        <f>Q284</f>
        <v>40.808457</v>
      </c>
      <c r="H61" s="146">
        <v>53.02</v>
      </c>
      <c r="I61" s="914">
        <f t="shared" si="41"/>
        <v>46.242353</v>
      </c>
      <c r="J61" s="882">
        <f t="shared" si="42"/>
        <v>-6.77764700000001</v>
      </c>
      <c r="K61" s="146">
        <v>40.39</v>
      </c>
      <c r="L61" s="146">
        <f t="shared" si="43"/>
        <v>35.955005895817</v>
      </c>
      <c r="M61" s="915">
        <f t="shared" si="44"/>
        <v>25.4204867882948</v>
      </c>
      <c r="N61" s="146">
        <f t="shared" si="45"/>
        <v>61.3754926841118</v>
      </c>
      <c r="O61" s="146">
        <f t="shared" si="46"/>
        <v>61.3754926841118</v>
      </c>
      <c r="P61" s="146">
        <f t="shared" si="47"/>
        <v>0</v>
      </c>
      <c r="Q61" s="146">
        <f t="shared" si="48"/>
        <v>0</v>
      </c>
      <c r="R61" s="146">
        <f t="shared" si="49"/>
        <v>0</v>
      </c>
      <c r="S61" s="146">
        <f t="shared" si="50"/>
        <v>0</v>
      </c>
    </row>
    <row r="62" ht="15" spans="3:19">
      <c r="C62" s="55" t="s">
        <v>197</v>
      </c>
      <c r="D62" s="55" t="s">
        <v>198</v>
      </c>
      <c r="E62" s="914">
        <f t="shared" si="39"/>
        <v>0</v>
      </c>
      <c r="F62" s="914">
        <f t="shared" si="40"/>
        <v>0</v>
      </c>
      <c r="G62" s="914">
        <f>Q285</f>
        <v>0</v>
      </c>
      <c r="H62" s="146"/>
      <c r="I62" s="914">
        <f t="shared" si="41"/>
        <v>0</v>
      </c>
      <c r="J62" s="882">
        <f t="shared" si="42"/>
        <v>0</v>
      </c>
      <c r="K62" s="146">
        <f>[13]Sales_NP!N43</f>
        <v>0</v>
      </c>
      <c r="L62" s="146">
        <f t="shared" si="43"/>
        <v>0</v>
      </c>
      <c r="M62" s="915">
        <f t="shared" si="44"/>
        <v>0</v>
      </c>
      <c r="N62" s="146">
        <f t="shared" si="45"/>
        <v>0</v>
      </c>
      <c r="O62" s="146">
        <f t="shared" si="46"/>
        <v>0</v>
      </c>
      <c r="P62" s="146">
        <f t="shared" si="47"/>
        <v>0</v>
      </c>
      <c r="Q62" s="146">
        <f t="shared" si="48"/>
        <v>0</v>
      </c>
      <c r="R62" s="146">
        <f t="shared" si="49"/>
        <v>0</v>
      </c>
      <c r="S62" s="146">
        <f t="shared" si="50"/>
        <v>0</v>
      </c>
    </row>
    <row r="63" ht="15" spans="3:19">
      <c r="C63" s="55" t="s">
        <v>199</v>
      </c>
      <c r="D63" s="55" t="s">
        <v>200</v>
      </c>
      <c r="E63" s="914">
        <f t="shared" si="39"/>
        <v>86.414</v>
      </c>
      <c r="F63" s="914">
        <f t="shared" si="40"/>
        <v>50.366</v>
      </c>
      <c r="G63" s="914">
        <f>Q285</f>
        <v>0</v>
      </c>
      <c r="H63" s="146">
        <v>109.79</v>
      </c>
      <c r="I63" s="914">
        <f t="shared" si="41"/>
        <v>60.93195</v>
      </c>
      <c r="J63" s="882">
        <f t="shared" si="42"/>
        <v>-48.85805</v>
      </c>
      <c r="K63" s="146">
        <v>55.76</v>
      </c>
      <c r="L63" s="146">
        <f t="shared" si="43"/>
        <v>30.35</v>
      </c>
      <c r="M63" s="915">
        <f t="shared" si="44"/>
        <v>43.38</v>
      </c>
      <c r="N63" s="146">
        <f t="shared" si="45"/>
        <v>73.73</v>
      </c>
      <c r="O63" s="146">
        <f t="shared" si="46"/>
        <v>73.73</v>
      </c>
      <c r="P63" s="146">
        <f t="shared" si="47"/>
        <v>0</v>
      </c>
      <c r="Q63" s="146">
        <f t="shared" si="48"/>
        <v>0</v>
      </c>
      <c r="R63" s="146">
        <f t="shared" si="49"/>
        <v>0</v>
      </c>
      <c r="S63" s="146">
        <f t="shared" si="50"/>
        <v>0</v>
      </c>
    </row>
    <row r="64" ht="15" spans="3:19">
      <c r="C64" s="55" t="s">
        <v>201</v>
      </c>
      <c r="D64" s="55" t="s">
        <v>240</v>
      </c>
      <c r="E64" s="914">
        <f t="shared" si="39"/>
        <v>1861.57</v>
      </c>
      <c r="F64" s="914">
        <f t="shared" si="40"/>
        <v>1560.78</v>
      </c>
      <c r="G64" s="914">
        <f t="shared" ref="G64:G71" si="51">Q287</f>
        <v>1877.73325733</v>
      </c>
      <c r="H64" s="146">
        <v>3161.75</v>
      </c>
      <c r="I64" s="914">
        <f t="shared" si="41"/>
        <v>1642.35012187</v>
      </c>
      <c r="J64" s="882">
        <f t="shared" si="42"/>
        <v>-1519.39987813</v>
      </c>
      <c r="K64" s="146">
        <v>3790.35</v>
      </c>
      <c r="L64" s="146">
        <f t="shared" si="43"/>
        <v>995.428513552285</v>
      </c>
      <c r="M64" s="915">
        <f t="shared" si="44"/>
        <v>991.811912232724</v>
      </c>
      <c r="N64" s="146">
        <f t="shared" si="45"/>
        <v>1987.24042578501</v>
      </c>
      <c r="O64" s="146">
        <f t="shared" si="46"/>
        <v>1987.24042578501</v>
      </c>
      <c r="P64" s="146">
        <f t="shared" si="47"/>
        <v>0</v>
      </c>
      <c r="Q64" s="146">
        <f t="shared" si="48"/>
        <v>0</v>
      </c>
      <c r="R64" s="146">
        <f t="shared" si="49"/>
        <v>0</v>
      </c>
      <c r="S64" s="146">
        <f t="shared" si="50"/>
        <v>0</v>
      </c>
    </row>
    <row r="65" ht="15" spans="3:19">
      <c r="C65" s="55" t="s">
        <v>203</v>
      </c>
      <c r="D65" s="55" t="s">
        <v>220</v>
      </c>
      <c r="E65" s="914">
        <f t="shared" si="39"/>
        <v>204.79</v>
      </c>
      <c r="F65" s="914">
        <f t="shared" si="40"/>
        <v>208.01</v>
      </c>
      <c r="G65" s="914">
        <f t="shared" si="51"/>
        <v>238.748</v>
      </c>
      <c r="H65" s="146">
        <v>234.54</v>
      </c>
      <c r="I65" s="914">
        <f t="shared" si="41"/>
        <v>260.3885</v>
      </c>
      <c r="J65" s="882">
        <f t="shared" si="42"/>
        <v>25.8485</v>
      </c>
      <c r="K65" s="146">
        <v>282.28</v>
      </c>
      <c r="L65" s="146">
        <f t="shared" si="43"/>
        <v>157.821486447715</v>
      </c>
      <c r="M65" s="915">
        <f t="shared" si="44"/>
        <v>157.248087767276</v>
      </c>
      <c r="N65" s="146">
        <f t="shared" si="45"/>
        <v>315.069574214991</v>
      </c>
      <c r="O65" s="146">
        <f t="shared" si="46"/>
        <v>315.069574214991</v>
      </c>
      <c r="P65" s="146">
        <f t="shared" si="47"/>
        <v>0</v>
      </c>
      <c r="Q65" s="146">
        <f t="shared" si="48"/>
        <v>0</v>
      </c>
      <c r="R65" s="146">
        <f t="shared" si="49"/>
        <v>0</v>
      </c>
      <c r="S65" s="146">
        <f t="shared" si="50"/>
        <v>0</v>
      </c>
    </row>
    <row r="66" ht="15" spans="3:19">
      <c r="C66" s="55" t="s">
        <v>241</v>
      </c>
      <c r="D66" s="55" t="s">
        <v>229</v>
      </c>
      <c r="E66" s="914">
        <f t="shared" si="39"/>
        <v>250</v>
      </c>
      <c r="F66" s="914">
        <f t="shared" si="40"/>
        <v>192.31</v>
      </c>
      <c r="G66" s="914">
        <f t="shared" si="51"/>
        <v>298.610028</v>
      </c>
      <c r="H66" s="146">
        <v>862.64</v>
      </c>
      <c r="I66" s="914">
        <f t="shared" si="41"/>
        <v>386.274181</v>
      </c>
      <c r="J66" s="882">
        <f t="shared" si="42"/>
        <v>-476.365819</v>
      </c>
      <c r="K66" s="146">
        <v>566.31</v>
      </c>
      <c r="L66" s="146">
        <f t="shared" si="43"/>
        <v>230.909656744452</v>
      </c>
      <c r="M66" s="915">
        <f t="shared" si="44"/>
        <v>239.385943023876</v>
      </c>
      <c r="N66" s="146">
        <f t="shared" si="45"/>
        <v>470.295599768328</v>
      </c>
      <c r="O66" s="146">
        <f t="shared" si="46"/>
        <v>470.295599768328</v>
      </c>
      <c r="P66" s="146">
        <f t="shared" si="47"/>
        <v>0</v>
      </c>
      <c r="Q66" s="146">
        <f t="shared" si="48"/>
        <v>0</v>
      </c>
      <c r="R66" s="146">
        <f t="shared" si="49"/>
        <v>0</v>
      </c>
      <c r="S66" s="146">
        <f t="shared" si="50"/>
        <v>0</v>
      </c>
    </row>
    <row r="67" ht="13.5" customHeight="1" spans="3:19">
      <c r="C67" s="55" t="s">
        <v>242</v>
      </c>
      <c r="D67" s="55" t="s">
        <v>243</v>
      </c>
      <c r="E67" s="914">
        <f t="shared" si="39"/>
        <v>81.01</v>
      </c>
      <c r="F67" s="914">
        <f t="shared" si="40"/>
        <v>47.06</v>
      </c>
      <c r="G67" s="914">
        <f t="shared" si="51"/>
        <v>65.583331</v>
      </c>
      <c r="H67" s="146">
        <v>276.72</v>
      </c>
      <c r="I67" s="914">
        <f t="shared" si="41"/>
        <v>88.577285</v>
      </c>
      <c r="J67" s="882">
        <f t="shared" si="42"/>
        <v>-188.142715</v>
      </c>
      <c r="K67" s="146">
        <v>110</v>
      </c>
      <c r="L67" s="146">
        <f t="shared" si="43"/>
        <v>52.9503432555476</v>
      </c>
      <c r="M67" s="915">
        <f t="shared" si="44"/>
        <v>54.894056976124</v>
      </c>
      <c r="N67" s="146">
        <f t="shared" si="45"/>
        <v>107.844400231672</v>
      </c>
      <c r="O67" s="146">
        <f t="shared" si="46"/>
        <v>107.844400231672</v>
      </c>
      <c r="P67" s="146">
        <f t="shared" si="47"/>
        <v>0</v>
      </c>
      <c r="Q67" s="146">
        <f t="shared" si="48"/>
        <v>0</v>
      </c>
      <c r="R67" s="146">
        <f t="shared" si="49"/>
        <v>0</v>
      </c>
      <c r="S67" s="146">
        <f t="shared" si="50"/>
        <v>0</v>
      </c>
    </row>
    <row r="68" ht="15" spans="3:19">
      <c r="C68" s="55" t="s">
        <v>205</v>
      </c>
      <c r="D68" s="55" t="s">
        <v>206</v>
      </c>
      <c r="E68" s="914">
        <f t="shared" si="39"/>
        <v>0</v>
      </c>
      <c r="F68" s="914">
        <f t="shared" si="40"/>
        <v>0</v>
      </c>
      <c r="G68" s="914">
        <f t="shared" si="51"/>
        <v>0</v>
      </c>
      <c r="H68" s="146">
        <v>0</v>
      </c>
      <c r="I68" s="914">
        <f t="shared" si="41"/>
        <v>0</v>
      </c>
      <c r="J68" s="882">
        <f t="shared" si="42"/>
        <v>0</v>
      </c>
      <c r="K68" s="146">
        <v>0</v>
      </c>
      <c r="L68" s="146">
        <f t="shared" si="43"/>
        <v>0</v>
      </c>
      <c r="M68" s="915">
        <f t="shared" si="44"/>
        <v>0</v>
      </c>
      <c r="N68" s="146">
        <f t="shared" si="45"/>
        <v>0</v>
      </c>
      <c r="O68" s="146">
        <f t="shared" si="46"/>
        <v>0</v>
      </c>
      <c r="P68" s="146">
        <f t="shared" si="47"/>
        <v>0</v>
      </c>
      <c r="Q68" s="146">
        <f t="shared" si="48"/>
        <v>0</v>
      </c>
      <c r="R68" s="146">
        <f t="shared" si="49"/>
        <v>0</v>
      </c>
      <c r="S68" s="146">
        <f t="shared" si="50"/>
        <v>0</v>
      </c>
    </row>
    <row r="69" ht="15" spans="3:19">
      <c r="C69" s="55" t="s">
        <v>207</v>
      </c>
      <c r="D69" s="55" t="s">
        <v>186</v>
      </c>
      <c r="E69" s="914">
        <f t="shared" si="39"/>
        <v>0</v>
      </c>
      <c r="F69" s="914">
        <f t="shared" si="40"/>
        <v>0</v>
      </c>
      <c r="G69" s="914">
        <f t="shared" si="51"/>
        <v>0</v>
      </c>
      <c r="H69" s="146">
        <f>[12]Sales_NP!N47</f>
        <v>0</v>
      </c>
      <c r="I69" s="914">
        <f t="shared" si="41"/>
        <v>0</v>
      </c>
      <c r="J69" s="882">
        <f t="shared" si="42"/>
        <v>0</v>
      </c>
      <c r="K69" s="146">
        <f>[13]Sales_NP!N50</f>
        <v>0</v>
      </c>
      <c r="L69" s="146">
        <f t="shared" si="43"/>
        <v>0</v>
      </c>
      <c r="M69" s="915">
        <f t="shared" si="44"/>
        <v>0</v>
      </c>
      <c r="N69" s="146">
        <f t="shared" si="45"/>
        <v>0</v>
      </c>
      <c r="O69" s="146">
        <f t="shared" si="46"/>
        <v>0</v>
      </c>
      <c r="P69" s="146">
        <f t="shared" si="47"/>
        <v>0</v>
      </c>
      <c r="Q69" s="146">
        <f t="shared" si="48"/>
        <v>0</v>
      </c>
      <c r="R69" s="146">
        <f t="shared" si="49"/>
        <v>0</v>
      </c>
      <c r="S69" s="146">
        <f t="shared" si="50"/>
        <v>0</v>
      </c>
    </row>
    <row r="70" ht="15" spans="3:19">
      <c r="C70" s="55" t="s">
        <v>208</v>
      </c>
      <c r="D70" s="55" t="s">
        <v>209</v>
      </c>
      <c r="E70" s="914">
        <f t="shared" si="39"/>
        <v>0</v>
      </c>
      <c r="F70" s="914">
        <f t="shared" si="40"/>
        <v>0</v>
      </c>
      <c r="G70" s="914">
        <f t="shared" si="51"/>
        <v>0</v>
      </c>
      <c r="H70" s="146"/>
      <c r="I70" s="914">
        <f t="shared" si="41"/>
        <v>0</v>
      </c>
      <c r="J70" s="882">
        <f t="shared" si="42"/>
        <v>0</v>
      </c>
      <c r="K70" s="146">
        <v>0</v>
      </c>
      <c r="L70" s="146">
        <f t="shared" si="43"/>
        <v>0</v>
      </c>
      <c r="M70" s="915">
        <f t="shared" si="44"/>
        <v>0</v>
      </c>
      <c r="N70" s="146">
        <f t="shared" si="45"/>
        <v>0</v>
      </c>
      <c r="O70" s="146">
        <f t="shared" si="46"/>
        <v>0</v>
      </c>
      <c r="P70" s="146">
        <f t="shared" si="47"/>
        <v>0</v>
      </c>
      <c r="Q70" s="146">
        <f t="shared" si="48"/>
        <v>0</v>
      </c>
      <c r="R70" s="146">
        <f t="shared" si="49"/>
        <v>0</v>
      </c>
      <c r="S70" s="146">
        <f t="shared" si="50"/>
        <v>0</v>
      </c>
    </row>
    <row r="71" ht="15" spans="3:19">
      <c r="C71" s="55" t="s">
        <v>210</v>
      </c>
      <c r="D71" s="55" t="s">
        <v>188</v>
      </c>
      <c r="E71" s="914">
        <f t="shared" si="39"/>
        <v>0</v>
      </c>
      <c r="F71" s="914">
        <f t="shared" si="40"/>
        <v>0</v>
      </c>
      <c r="G71" s="914">
        <f t="shared" si="51"/>
        <v>0</v>
      </c>
      <c r="H71" s="146"/>
      <c r="I71" s="914">
        <f t="shared" si="41"/>
        <v>0</v>
      </c>
      <c r="J71" s="882">
        <f t="shared" si="42"/>
        <v>0</v>
      </c>
      <c r="K71" s="146">
        <f>[13]Sales_NP!$N$51</f>
        <v>0</v>
      </c>
      <c r="L71" s="146">
        <f t="shared" si="43"/>
        <v>0</v>
      </c>
      <c r="M71" s="915">
        <f t="shared" si="44"/>
        <v>0</v>
      </c>
      <c r="N71" s="146">
        <f t="shared" si="45"/>
        <v>0</v>
      </c>
      <c r="O71" s="146">
        <f t="shared" si="46"/>
        <v>0</v>
      </c>
      <c r="P71" s="146">
        <f t="shared" si="47"/>
        <v>0</v>
      </c>
      <c r="Q71" s="146">
        <f t="shared" si="48"/>
        <v>0</v>
      </c>
      <c r="R71" s="146">
        <f t="shared" si="49"/>
        <v>0</v>
      </c>
      <c r="S71" s="146">
        <f t="shared" si="50"/>
        <v>0</v>
      </c>
    </row>
    <row r="72" ht="15" spans="3:19">
      <c r="C72" s="55"/>
      <c r="D72" s="55"/>
      <c r="E72" s="914"/>
      <c r="F72" s="914"/>
      <c r="G72" s="914"/>
      <c r="H72" s="146"/>
      <c r="I72" s="914"/>
      <c r="J72" s="146"/>
      <c r="K72" s="146"/>
      <c r="L72" s="146"/>
      <c r="M72" s="915"/>
      <c r="N72" s="146"/>
      <c r="O72" s="146"/>
      <c r="P72" s="146"/>
      <c r="Q72" s="146"/>
      <c r="R72" s="146"/>
      <c r="S72" s="146"/>
    </row>
    <row r="73" ht="15" spans="3:19">
      <c r="C73" s="55"/>
      <c r="D73" s="55"/>
      <c r="E73" s="914"/>
      <c r="F73" s="914"/>
      <c r="G73" s="914"/>
      <c r="H73" s="146"/>
      <c r="I73" s="914"/>
      <c r="J73" s="146"/>
      <c r="K73" s="146"/>
      <c r="L73" s="146"/>
      <c r="M73" s="915"/>
      <c r="N73" s="146"/>
      <c r="O73" s="146"/>
      <c r="P73" s="146"/>
      <c r="Q73" s="146"/>
      <c r="R73" s="146"/>
      <c r="S73" s="146"/>
    </row>
    <row r="74" ht="15" spans="3:19">
      <c r="C74" s="55"/>
      <c r="D74" s="55"/>
      <c r="E74" s="914"/>
      <c r="F74" s="914"/>
      <c r="G74" s="914"/>
      <c r="H74" s="146"/>
      <c r="I74" s="914"/>
      <c r="J74" s="146"/>
      <c r="K74" s="146"/>
      <c r="L74" s="146"/>
      <c r="M74" s="915"/>
      <c r="N74" s="146"/>
      <c r="O74" s="146"/>
      <c r="P74" s="146"/>
      <c r="Q74" s="146"/>
      <c r="R74" s="146"/>
      <c r="S74" s="146"/>
    </row>
    <row r="75" ht="15" spans="3:19">
      <c r="C75" s="55"/>
      <c r="D75" s="55"/>
      <c r="E75" s="914"/>
      <c r="F75" s="914"/>
      <c r="G75" s="914"/>
      <c r="H75" s="146"/>
      <c r="I75" s="914"/>
      <c r="J75" s="146"/>
      <c r="K75" s="146"/>
      <c r="L75" s="146"/>
      <c r="M75" s="915"/>
      <c r="N75" s="146"/>
      <c r="O75" s="146"/>
      <c r="P75" s="146"/>
      <c r="Q75" s="146"/>
      <c r="R75" s="146"/>
      <c r="S75" s="146"/>
    </row>
    <row r="76" ht="15" spans="3:19">
      <c r="C76" s="537" t="s">
        <v>211</v>
      </c>
      <c r="D76" s="540"/>
      <c r="E76" s="877">
        <f>Q152</f>
        <v>5232.49135601</v>
      </c>
      <c r="F76" s="877">
        <f>Q225</f>
        <v>4437.79787054</v>
      </c>
      <c r="G76" s="877">
        <f>Q299</f>
        <v>5940.81574433</v>
      </c>
      <c r="H76" s="877">
        <f>SUM(H59:H75)</f>
        <v>8426.99</v>
      </c>
      <c r="I76" s="877">
        <f>Q373</f>
        <v>7005.31543587</v>
      </c>
      <c r="J76" s="877">
        <f>I76-H76</f>
        <v>-1421.67456413</v>
      </c>
      <c r="K76" s="877">
        <f>SUM(K59:K75)</f>
        <v>10270.46</v>
      </c>
      <c r="L76" s="877">
        <f>SUM(E448:J448)</f>
        <v>3322.92591676</v>
      </c>
      <c r="M76" s="877">
        <f>SUM(K448:P448)</f>
        <v>4302.92772929445</v>
      </c>
      <c r="N76" s="877">
        <f>L76+M76</f>
        <v>7625.85364605445</v>
      </c>
      <c r="O76" s="877">
        <f>Q522</f>
        <v>9337.63890754263</v>
      </c>
      <c r="P76" s="877">
        <f>Q596</f>
        <v>0</v>
      </c>
      <c r="Q76" s="877">
        <f>Q670</f>
        <v>0</v>
      </c>
      <c r="R76" s="877">
        <f>Q744</f>
        <v>0</v>
      </c>
      <c r="S76" s="877">
        <f>Q818</f>
        <v>0</v>
      </c>
    </row>
    <row r="77" ht="15" spans="3:19">
      <c r="C77" s="537" t="s">
        <v>223</v>
      </c>
      <c r="D77" s="540"/>
      <c r="E77" s="877">
        <f>Q153</f>
        <v>16340.1659668674</v>
      </c>
      <c r="F77" s="877">
        <f>Q226</f>
        <v>13988.45317419</v>
      </c>
      <c r="G77" s="877">
        <f>Q300</f>
        <v>17477.12021174</v>
      </c>
      <c r="H77" s="877">
        <f>SUM(H39,H57,H76)</f>
        <v>22752.26</v>
      </c>
      <c r="I77" s="877">
        <f>Q374</f>
        <v>20800.19306281</v>
      </c>
      <c r="J77" s="877">
        <f>I77-H77</f>
        <v>-1952.06693719</v>
      </c>
      <c r="K77" s="877">
        <f>SUM(K39,K57,K76)</f>
        <v>25689.85</v>
      </c>
      <c r="L77" s="877">
        <f>SUM(E449:J449)</f>
        <v>10493.911807618</v>
      </c>
      <c r="M77" s="877">
        <f>SUM(K449:P449)</f>
        <v>11940.7211615697</v>
      </c>
      <c r="N77" s="877">
        <f>L77+M77</f>
        <v>22434.6329691877</v>
      </c>
      <c r="O77" s="877">
        <f>Q523</f>
        <v>24999.0657663384</v>
      </c>
      <c r="P77" s="877">
        <f>Q597</f>
        <v>0</v>
      </c>
      <c r="Q77" s="877">
        <f>Q671</f>
        <v>0</v>
      </c>
      <c r="R77" s="877">
        <f>Q745</f>
        <v>0</v>
      </c>
      <c r="S77" s="877">
        <f>Q819</f>
        <v>0</v>
      </c>
    </row>
    <row r="78" ht="15" spans="3:19">
      <c r="C78" s="537" t="s">
        <v>224</v>
      </c>
      <c r="D78" s="540"/>
      <c r="E78" s="877">
        <f>Q154</f>
        <v>29097.8654370606</v>
      </c>
      <c r="F78" s="877">
        <f>Q227</f>
        <v>26552.50321357</v>
      </c>
      <c r="G78" s="877">
        <f>Q301</f>
        <v>30817.25611115</v>
      </c>
      <c r="H78" s="877">
        <f>SUM(H22,H77)</f>
        <v>38150.28</v>
      </c>
      <c r="I78" s="903">
        <f>Q375</f>
        <v>35460.55854431</v>
      </c>
      <c r="J78" s="877">
        <f>I78-H78</f>
        <v>-2689.72145569</v>
      </c>
      <c r="K78" s="877">
        <f>SUM(K22,K77)</f>
        <v>41527.59</v>
      </c>
      <c r="L78" s="877">
        <f>SUM(E450:J450)</f>
        <v>19014.898407188</v>
      </c>
      <c r="M78" s="877">
        <f>SUM(K450:P450)</f>
        <v>19122.6060652415</v>
      </c>
      <c r="N78" s="877">
        <f>L78+M78</f>
        <v>38137.5044724295</v>
      </c>
      <c r="O78" s="877">
        <f>Q524</f>
        <v>41285.5879817384</v>
      </c>
      <c r="P78" s="877">
        <f>Q598</f>
        <v>0</v>
      </c>
      <c r="Q78" s="877">
        <f>Q672</f>
        <v>0</v>
      </c>
      <c r="R78" s="877">
        <f>Q746</f>
        <v>0</v>
      </c>
      <c r="S78" s="877">
        <f>Q820</f>
        <v>0</v>
      </c>
    </row>
    <row r="79" spans="5:19">
      <c r="E79" s="887"/>
      <c r="F79" s="887"/>
      <c r="G79" s="887"/>
      <c r="H79" s="887"/>
      <c r="I79" s="887"/>
      <c r="J79" s="887"/>
      <c r="K79" s="887"/>
      <c r="L79" s="887"/>
      <c r="M79" s="887"/>
      <c r="N79" s="887"/>
      <c r="O79" s="887"/>
      <c r="P79" s="887"/>
      <c r="Q79" s="887"/>
      <c r="R79" s="887"/>
      <c r="S79" s="887"/>
    </row>
    <row r="80" spans="5:19">
      <c r="E80" s="887"/>
      <c r="F80" s="887"/>
      <c r="G80" s="887"/>
      <c r="H80" s="887"/>
      <c r="I80" s="887"/>
      <c r="J80" s="887"/>
      <c r="K80" s="887"/>
      <c r="L80" s="887"/>
      <c r="M80" s="887"/>
      <c r="N80" s="887"/>
      <c r="O80" s="887"/>
      <c r="P80" s="917"/>
      <c r="Q80" s="887"/>
      <c r="R80" s="887"/>
      <c r="S80" s="887"/>
    </row>
    <row r="81" ht="15" spans="3:19">
      <c r="C81" s="14" t="s">
        <v>244</v>
      </c>
      <c r="E81" s="887"/>
      <c r="F81" s="887"/>
      <c r="G81" s="887"/>
      <c r="H81" s="887"/>
      <c r="I81" s="887"/>
      <c r="J81" s="887"/>
      <c r="K81" s="887"/>
      <c r="L81" s="215"/>
      <c r="M81" s="887"/>
      <c r="N81" s="696"/>
      <c r="O81" s="696"/>
      <c r="P81" s="887"/>
      <c r="Q81" s="887"/>
      <c r="R81" s="887"/>
      <c r="S81" s="887"/>
    </row>
    <row r="82" ht="15" spans="3:19">
      <c r="C82" s="14"/>
      <c r="E82" s="887"/>
      <c r="F82" s="887"/>
      <c r="G82" s="887"/>
      <c r="H82" s="887"/>
      <c r="I82" s="887"/>
      <c r="J82" s="887"/>
      <c r="K82" s="887"/>
      <c r="L82" s="887"/>
      <c r="M82" s="887"/>
      <c r="N82" s="887"/>
      <c r="O82" s="887"/>
      <c r="P82" s="887"/>
      <c r="Q82" s="918" t="s">
        <v>236</v>
      </c>
      <c r="R82" s="887"/>
      <c r="S82" s="887"/>
    </row>
    <row r="83" ht="15" spans="3:19">
      <c r="C83" s="6" t="s">
        <v>159</v>
      </c>
      <c r="D83" s="6"/>
      <c r="E83" s="150" t="s">
        <v>245</v>
      </c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  <c r="R83" s="887"/>
      <c r="S83" s="887"/>
    </row>
    <row r="84" ht="15" spans="3:19">
      <c r="C84" s="6"/>
      <c r="D84" s="6"/>
      <c r="E84" s="150" t="s">
        <v>246</v>
      </c>
      <c r="F84" s="150" t="s">
        <v>247</v>
      </c>
      <c r="G84" s="150" t="s">
        <v>248</v>
      </c>
      <c r="H84" s="150" t="s">
        <v>249</v>
      </c>
      <c r="I84" s="150" t="s">
        <v>250</v>
      </c>
      <c r="J84" s="150" t="s">
        <v>251</v>
      </c>
      <c r="K84" s="150" t="s">
        <v>252</v>
      </c>
      <c r="L84" s="150" t="s">
        <v>253</v>
      </c>
      <c r="M84" s="150" t="s">
        <v>254</v>
      </c>
      <c r="N84" s="150" t="s">
        <v>255</v>
      </c>
      <c r="O84" s="150" t="s">
        <v>256</v>
      </c>
      <c r="P84" s="150" t="s">
        <v>257</v>
      </c>
      <c r="Q84" s="150" t="s">
        <v>97</v>
      </c>
      <c r="R84" s="887"/>
      <c r="S84" s="887"/>
    </row>
    <row r="85" ht="15" spans="3:19">
      <c r="C85" s="44" t="s">
        <v>170</v>
      </c>
      <c r="D85" s="45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58"/>
      <c r="R85" s="887"/>
      <c r="S85" s="887"/>
    </row>
    <row r="86" ht="15" spans="3:19">
      <c r="C86" s="47" t="s">
        <v>171</v>
      </c>
      <c r="D86" s="47" t="s">
        <v>172</v>
      </c>
      <c r="E86" s="146">
        <f>[10]Sales_SP!CG10</f>
        <v>884.884793</v>
      </c>
      <c r="F86" s="146">
        <f>[10]Sales_SP!CH10</f>
        <v>1043.906337</v>
      </c>
      <c r="G86" s="146">
        <f>[10]Sales_SP!CI10</f>
        <v>792.471829</v>
      </c>
      <c r="H86" s="146">
        <f>[10]Sales_SP!CJ10</f>
        <v>709.51629</v>
      </c>
      <c r="I86" s="146">
        <f>[10]Sales_SP!CK10</f>
        <v>712.021638</v>
      </c>
      <c r="J86" s="146">
        <f>[10]Sales_SP!CL10</f>
        <v>683.041211</v>
      </c>
      <c r="K86" s="146">
        <f>[10]Sales_SP!CM10</f>
        <v>670.673864</v>
      </c>
      <c r="L86" s="146">
        <f>[10]Sales_SP!CN10</f>
        <v>623.023792</v>
      </c>
      <c r="M86" s="146">
        <f>[10]Sales_SP!CO10</f>
        <v>587.786236</v>
      </c>
      <c r="N86" s="146">
        <f>[10]Sales_SP!CP10</f>
        <v>604.0984</v>
      </c>
      <c r="O86" s="146">
        <f>[10]Sales_SP!CQ10</f>
        <v>620.276841</v>
      </c>
      <c r="P86" s="146">
        <f>[10]Sales_SP!CR10</f>
        <v>777.946403</v>
      </c>
      <c r="Q86" s="916">
        <f t="shared" ref="Q86:Q99" si="52">SUM(E86:P86)</f>
        <v>8709.647634</v>
      </c>
      <c r="R86" s="887"/>
      <c r="S86" s="887"/>
    </row>
    <row r="87" ht="15" spans="3:19">
      <c r="C87" s="55" t="s">
        <v>173</v>
      </c>
      <c r="D87" s="55" t="s">
        <v>174</v>
      </c>
      <c r="E87" s="146">
        <f>[10]Sales_SP!CG23</f>
        <v>256.562792</v>
      </c>
      <c r="F87" s="146">
        <f>[10]Sales_SP!CH23</f>
        <v>285.334947</v>
      </c>
      <c r="G87" s="146">
        <f>[10]Sales_SP!CI23</f>
        <v>241.302582</v>
      </c>
      <c r="H87" s="146">
        <f>[10]Sales_SP!CJ23</f>
        <v>229.495392</v>
      </c>
      <c r="I87" s="146">
        <f>[10]Sales_SP!CK23</f>
        <v>218.639599</v>
      </c>
      <c r="J87" s="146">
        <f>[10]Sales_SP!CL23</f>
        <v>213.824873</v>
      </c>
      <c r="K87" s="146">
        <f>[10]Sales_SP!CM23</f>
        <v>209.363924</v>
      </c>
      <c r="L87" s="146">
        <f>[10]Sales_SP!CN23</f>
        <v>206.508438</v>
      </c>
      <c r="M87" s="146">
        <f>[10]Sales_SP!CO23</f>
        <v>194.340244</v>
      </c>
      <c r="N87" s="146">
        <f>[10]Sales_SP!CP23</f>
        <v>196.372163</v>
      </c>
      <c r="O87" s="146">
        <f>[10]Sales_SP!CQ23</f>
        <v>205.114459</v>
      </c>
      <c r="P87" s="146">
        <f>[10]Sales_SP!CR23</f>
        <v>125.227008</v>
      </c>
      <c r="Q87" s="916">
        <f t="shared" si="52"/>
        <v>2582.086421</v>
      </c>
      <c r="R87" s="887"/>
      <c r="S87" s="887"/>
    </row>
    <row r="88" ht="15" spans="3:19">
      <c r="C88" s="55" t="s">
        <v>175</v>
      </c>
      <c r="D88" s="55" t="s">
        <v>176</v>
      </c>
      <c r="E88" s="146">
        <f>[10]Sales_SP!CG36</f>
        <v>76.251569</v>
      </c>
      <c r="F88" s="146">
        <f>[10]Sales_SP!CH36</f>
        <v>79.648053</v>
      </c>
      <c r="G88" s="146">
        <f>[10]Sales_SP!CI36</f>
        <v>71.291729</v>
      </c>
      <c r="H88" s="146">
        <f>[10]Sales_SP!CJ36</f>
        <v>75.360349</v>
      </c>
      <c r="I88" s="146">
        <f>[10]Sales_SP!CK36</f>
        <v>68.289691</v>
      </c>
      <c r="J88" s="146">
        <f>[10]Sales_SP!CL36</f>
        <v>65.419105</v>
      </c>
      <c r="K88" s="146">
        <f>[10]Sales_SP!CM36</f>
        <v>63.78829</v>
      </c>
      <c r="L88" s="146">
        <f>[10]Sales_SP!CN36</f>
        <v>74.435213</v>
      </c>
      <c r="M88" s="146">
        <f>[10]Sales_SP!CO36</f>
        <v>81.513021</v>
      </c>
      <c r="N88" s="146">
        <f>[10]Sales_SP!CP36</f>
        <v>76.33141</v>
      </c>
      <c r="O88" s="146">
        <f>[10]Sales_SP!CQ36</f>
        <v>74.669941</v>
      </c>
      <c r="P88" s="146">
        <f>[10]Sales_SP!CR36</f>
        <v>39.821633</v>
      </c>
      <c r="Q88" s="916">
        <f t="shared" si="52"/>
        <v>846.820004</v>
      </c>
      <c r="R88" s="887"/>
      <c r="S88" s="887"/>
    </row>
    <row r="89" ht="15" spans="3:19">
      <c r="C89" s="55" t="s">
        <v>177</v>
      </c>
      <c r="D89" s="55" t="s">
        <v>178</v>
      </c>
      <c r="E89" s="146">
        <f>[10]Sales_SP!CG43</f>
        <v>0.850626</v>
      </c>
      <c r="F89" s="146">
        <f>[10]Sales_SP!CH43</f>
        <v>0.84115</v>
      </c>
      <c r="G89" s="146">
        <f>[10]Sales_SP!CI43</f>
        <v>0.808885</v>
      </c>
      <c r="H89" s="146">
        <f>[10]Sales_SP!CJ43</f>
        <v>0.811432</v>
      </c>
      <c r="I89" s="146">
        <f>[10]Sales_SP!CK43</f>
        <v>0.772806</v>
      </c>
      <c r="J89" s="146">
        <f>[10]Sales_SP!CL43</f>
        <v>0.781606</v>
      </c>
      <c r="K89" s="146">
        <f>[10]Sales_SP!CM43</f>
        <v>0.766743</v>
      </c>
      <c r="L89" s="146">
        <f>[10]Sales_SP!CN43</f>
        <v>0.78723</v>
      </c>
      <c r="M89" s="146">
        <f>[10]Sales_SP!CO43</f>
        <v>0.822177</v>
      </c>
      <c r="N89" s="146">
        <f>[10]Sales_SP!CP43</f>
        <v>0.653015</v>
      </c>
      <c r="O89" s="146">
        <f>[10]Sales_SP!CQ43</f>
        <v>0.764459</v>
      </c>
      <c r="P89" s="146">
        <f>[10]Sales_SP!CR43</f>
        <v>0.417</v>
      </c>
      <c r="Q89" s="916">
        <f t="shared" si="52"/>
        <v>9.077129</v>
      </c>
      <c r="R89" s="887"/>
      <c r="S89" s="887"/>
    </row>
    <row r="90" ht="15" spans="3:19">
      <c r="C90" s="55" t="s">
        <v>179</v>
      </c>
      <c r="D90" s="55" t="s">
        <v>180</v>
      </c>
      <c r="E90" s="146">
        <f>[10]Sales_SP!CG48+[10]Sales_SP!CG52</f>
        <v>0.625229</v>
      </c>
      <c r="F90" s="146">
        <f>[10]Sales_SP!CH48+[10]Sales_SP!CH52</f>
        <v>0.575468</v>
      </c>
      <c r="G90" s="146">
        <f>[10]Sales_SP!CI48+[10]Sales_SP!CI52</f>
        <v>0.460593</v>
      </c>
      <c r="H90" s="146">
        <f>[10]Sales_SP!CJ48+[10]Sales_SP!CJ52</f>
        <v>0.457025</v>
      </c>
      <c r="I90" s="146">
        <f>[10]Sales_SP!CK48+[10]Sales_SP!CK52</f>
        <v>0.509844</v>
      </c>
      <c r="J90" s="146">
        <f>[10]Sales_SP!CL48+[10]Sales_SP!CL52</f>
        <v>0.555316053234124</v>
      </c>
      <c r="K90" s="146">
        <f>[10]Sales_SP!CM48+[10]Sales_SP!CM52</f>
        <v>0.499483</v>
      </c>
      <c r="L90" s="146">
        <f>[10]Sales_SP!CN48+[10]Sales_SP!CN52</f>
        <v>0.537481</v>
      </c>
      <c r="M90" s="146">
        <f>[10]Sales_SP!CO48+[10]Sales_SP!CO52</f>
        <v>0.46</v>
      </c>
      <c r="N90" s="146">
        <f>[10]Sales_SP!CP48+[10]Sales_SP!CP52</f>
        <v>0.51</v>
      </c>
      <c r="O90" s="146">
        <f>[10]Sales_SP!CQ48+[10]Sales_SP!CQ52</f>
        <v>0.57</v>
      </c>
      <c r="P90" s="146">
        <f>[10]Sales_SP!CR48+[10]Sales_SP!CR52</f>
        <v>0.880809</v>
      </c>
      <c r="Q90" s="916">
        <f t="shared" si="52"/>
        <v>6.64124805323412</v>
      </c>
      <c r="R90" s="887"/>
      <c r="S90" s="887"/>
    </row>
    <row r="91" ht="15" spans="3:19">
      <c r="C91" s="55" t="s">
        <v>181</v>
      </c>
      <c r="D91" s="55" t="s">
        <v>182</v>
      </c>
      <c r="E91" s="146">
        <f>[10]Sales_SP!CG54</f>
        <v>39.596774</v>
      </c>
      <c r="F91" s="146">
        <f>[10]Sales_SP!CH54</f>
        <v>40.309135</v>
      </c>
      <c r="G91" s="146">
        <f>[10]Sales_SP!CI54</f>
        <v>38.952576</v>
      </c>
      <c r="H91" s="146">
        <f>[10]Sales_SP!CJ54</f>
        <v>39.0937444</v>
      </c>
      <c r="I91" s="146">
        <f>[10]Sales_SP!CK54</f>
        <v>40.184036</v>
      </c>
      <c r="J91" s="146">
        <f>[10]Sales_SP!CL54</f>
        <v>39.51</v>
      </c>
      <c r="K91" s="146">
        <f>[10]Sales_SP!CM54</f>
        <v>42.541449</v>
      </c>
      <c r="L91" s="146">
        <f>[10]Sales_SP!CN54</f>
        <v>41.050427</v>
      </c>
      <c r="M91" s="146">
        <f>[10]Sales_SP!CO54</f>
        <v>41.551359</v>
      </c>
      <c r="N91" s="146">
        <f>[10]Sales_SP!CP54</f>
        <v>43.003093</v>
      </c>
      <c r="O91" s="146">
        <f>[10]Sales_SP!CQ54</f>
        <v>41.037552</v>
      </c>
      <c r="P91" s="146">
        <f>[10]Sales_SP!CR54</f>
        <v>37.20007</v>
      </c>
      <c r="Q91" s="916">
        <f t="shared" si="52"/>
        <v>484.0302154</v>
      </c>
      <c r="R91" s="887"/>
      <c r="S91" s="887"/>
    </row>
    <row r="92" ht="15" spans="3:19">
      <c r="C92" s="55" t="s">
        <v>183</v>
      </c>
      <c r="D92" s="55" t="s">
        <v>184</v>
      </c>
      <c r="E92" s="146">
        <f>[10]Sales_SP!CG64</f>
        <v>6.699668</v>
      </c>
      <c r="F92" s="146">
        <f>[10]Sales_SP!CH64</f>
        <v>7.455792</v>
      </c>
      <c r="G92" s="146">
        <f>[10]Sales_SP!CI64</f>
        <v>6.460264</v>
      </c>
      <c r="H92" s="146">
        <f>[10]Sales_SP!CJ64</f>
        <v>7.08003</v>
      </c>
      <c r="I92" s="146">
        <f>[10]Sales_SP!CK64</f>
        <v>6.986888</v>
      </c>
      <c r="J92" s="146">
        <f>[10]Sales_SP!CL64</f>
        <v>6.41</v>
      </c>
      <c r="K92" s="146">
        <f>[10]Sales_SP!CM64</f>
        <v>5.88161</v>
      </c>
      <c r="L92" s="146">
        <f>[10]Sales_SP!CN64</f>
        <v>6.689935</v>
      </c>
      <c r="M92" s="146">
        <f>[10]Sales_SP!CO64</f>
        <v>6.17857472</v>
      </c>
      <c r="N92" s="146">
        <f>[10]Sales_SP!CP64</f>
        <v>5.9845786</v>
      </c>
      <c r="O92" s="146">
        <f>[10]Sales_SP!CQ64</f>
        <v>6.680032</v>
      </c>
      <c r="P92" s="146">
        <f>[10]Sales_SP!CR64</f>
        <v>4.02</v>
      </c>
      <c r="Q92" s="916">
        <f t="shared" si="52"/>
        <v>76.52737232</v>
      </c>
      <c r="R92" s="887"/>
      <c r="S92" s="887"/>
    </row>
    <row r="93" ht="15" spans="3:19">
      <c r="C93" s="55" t="s">
        <v>185</v>
      </c>
      <c r="D93" s="55" t="s">
        <v>186</v>
      </c>
      <c r="E93" s="146">
        <f>[10]Sales_SP!CG69</f>
        <v>3.306331</v>
      </c>
      <c r="F93" s="146">
        <f>[10]Sales_SP!CH69</f>
        <v>3.702237</v>
      </c>
      <c r="G93" s="146">
        <f>[10]Sales_SP!CI69</f>
        <v>3.389874</v>
      </c>
      <c r="H93" s="146">
        <f>[10]Sales_SP!CJ69</f>
        <v>3.622246</v>
      </c>
      <c r="I93" s="146">
        <f>[10]Sales_SP!CK69</f>
        <v>3.36</v>
      </c>
      <c r="J93" s="146">
        <f>[10]Sales_SP!CL69</f>
        <v>3.57</v>
      </c>
      <c r="K93" s="146">
        <f>[10]Sales_SP!CM69</f>
        <v>3.481424</v>
      </c>
      <c r="L93" s="146">
        <f>[10]Sales_SP!CN69</f>
        <v>3.64040799</v>
      </c>
      <c r="M93" s="146">
        <f>[10]Sales_SP!CO69</f>
        <v>3.87637443</v>
      </c>
      <c r="N93" s="146">
        <f>[10]Sales_SP!CP69</f>
        <v>4.161525</v>
      </c>
      <c r="O93" s="146">
        <f>[10]Sales_SP!CQ69</f>
        <v>4.474799</v>
      </c>
      <c r="P93" s="146">
        <f>[10]Sales_SP!CR69</f>
        <v>2.28412</v>
      </c>
      <c r="Q93" s="916">
        <f t="shared" si="52"/>
        <v>42.86933842</v>
      </c>
      <c r="R93" s="887"/>
      <c r="S93" s="887"/>
    </row>
    <row r="94" ht="15" spans="3:19">
      <c r="C94" s="55" t="s">
        <v>187</v>
      </c>
      <c r="D94" s="55" t="s">
        <v>188</v>
      </c>
      <c r="E94" s="146">
        <f>[10]Sales_SP!CG70</f>
        <v>0</v>
      </c>
      <c r="F94" s="146">
        <f>[10]Sales_SP!CH70</f>
        <v>0</v>
      </c>
      <c r="G94" s="146">
        <f>[10]Sales_SP!CI70</f>
        <v>0</v>
      </c>
      <c r="H94" s="146">
        <f>[10]Sales_SP!CJ70</f>
        <v>0</v>
      </c>
      <c r="I94" s="146">
        <f>[10]Sales_SP!CK70</f>
        <v>0</v>
      </c>
      <c r="J94" s="146">
        <f>[10]Sales_SP!CL70</f>
        <v>0</v>
      </c>
      <c r="K94" s="146">
        <f>[10]Sales_SP!CM70</f>
        <v>0</v>
      </c>
      <c r="L94" s="146">
        <f>[10]Sales_SP!CN70</f>
        <v>0</v>
      </c>
      <c r="M94" s="146">
        <f>[10]Sales_SP!CO70</f>
        <v>2.5e-5</v>
      </c>
      <c r="N94" s="146">
        <f>[10]Sales_SP!CP70</f>
        <v>8.3e-5</v>
      </c>
      <c r="O94" s="146">
        <f>[10]Sales_SP!CQ70</f>
        <v>0</v>
      </c>
      <c r="P94" s="146">
        <f>[10]Sales_SP!CR70</f>
        <v>0</v>
      </c>
      <c r="Q94" s="916">
        <f t="shared" si="52"/>
        <v>0.000108</v>
      </c>
      <c r="R94" s="887"/>
      <c r="S94" s="887"/>
    </row>
    <row r="95" ht="15" spans="3:19">
      <c r="C95" s="55"/>
      <c r="D95" s="55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916">
        <f t="shared" si="52"/>
        <v>0</v>
      </c>
      <c r="R95" s="887"/>
      <c r="S95" s="887"/>
    </row>
    <row r="96" ht="15" spans="3:19">
      <c r="C96" s="55"/>
      <c r="D96" s="55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916">
        <f t="shared" si="52"/>
        <v>0</v>
      </c>
      <c r="R96" s="887"/>
      <c r="S96" s="887"/>
    </row>
    <row r="97" ht="15" spans="3:19">
      <c r="C97" s="55"/>
      <c r="D97" s="55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916">
        <f t="shared" si="52"/>
        <v>0</v>
      </c>
      <c r="R97" s="887"/>
      <c r="S97" s="887"/>
    </row>
    <row r="98" ht="15" spans="3:19">
      <c r="C98" s="55" t="s">
        <v>258</v>
      </c>
      <c r="D98" s="55" t="s">
        <v>258</v>
      </c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916">
        <f t="shared" si="52"/>
        <v>0</v>
      </c>
      <c r="R98" s="887"/>
      <c r="S98" s="887"/>
    </row>
    <row r="99" ht="15" spans="3:19">
      <c r="C99" s="537" t="s">
        <v>189</v>
      </c>
      <c r="D99" s="540"/>
      <c r="E99" s="916">
        <f t="shared" ref="E99:P99" si="53">SUM(E86:E98)</f>
        <v>1268.777782</v>
      </c>
      <c r="F99" s="916">
        <f t="shared" si="53"/>
        <v>1461.773119</v>
      </c>
      <c r="G99" s="916">
        <f t="shared" si="53"/>
        <v>1155.138332</v>
      </c>
      <c r="H99" s="916">
        <f t="shared" si="53"/>
        <v>1065.4365084</v>
      </c>
      <c r="I99" s="916">
        <f t="shared" si="53"/>
        <v>1050.764502</v>
      </c>
      <c r="J99" s="916">
        <f t="shared" si="53"/>
        <v>1013.11211105323</v>
      </c>
      <c r="K99" s="916">
        <f t="shared" si="53"/>
        <v>996.996787</v>
      </c>
      <c r="L99" s="916">
        <f t="shared" si="53"/>
        <v>956.67292399</v>
      </c>
      <c r="M99" s="916">
        <f t="shared" si="53"/>
        <v>916.52801115</v>
      </c>
      <c r="N99" s="916">
        <f t="shared" si="53"/>
        <v>931.1142676</v>
      </c>
      <c r="O99" s="916">
        <f t="shared" si="53"/>
        <v>953.588083</v>
      </c>
      <c r="P99" s="916">
        <f t="shared" si="53"/>
        <v>987.797043</v>
      </c>
      <c r="Q99" s="916">
        <f t="shared" si="52"/>
        <v>12757.6994701932</v>
      </c>
      <c r="R99" s="887"/>
      <c r="S99" s="887"/>
    </row>
    <row r="100" ht="15" spans="3:19">
      <c r="C100" s="44" t="s">
        <v>190</v>
      </c>
      <c r="D100" s="45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58"/>
      <c r="R100" s="887"/>
      <c r="S100" s="887"/>
    </row>
    <row r="101" ht="15" spans="3:19">
      <c r="C101" s="55" t="s">
        <v>191</v>
      </c>
      <c r="D101" s="55" t="s">
        <v>192</v>
      </c>
      <c r="E101" s="146">
        <f>[10]Sales_SP!CG89</f>
        <v>306.4062041324</v>
      </c>
      <c r="F101" s="146">
        <f>[10]Sales_SP!CH89</f>
        <v>303.426912033253</v>
      </c>
      <c r="G101" s="146">
        <f>[10]Sales_SP!CI89</f>
        <v>313.617830779067</v>
      </c>
      <c r="H101" s="146">
        <f>[10]Sales_SP!CJ89</f>
        <v>302.286195540025</v>
      </c>
      <c r="I101" s="146">
        <f>[10]Sales_SP!CK89</f>
        <v>300.537060824971</v>
      </c>
      <c r="J101" s="146">
        <f>[10]Sales_SP!CL89</f>
        <v>298.376113303519</v>
      </c>
      <c r="K101" s="146">
        <f>[10]Sales_SP!CM89</f>
        <v>270.034982081941</v>
      </c>
      <c r="L101" s="146">
        <f>[10]Sales_SP!CN89</f>
        <v>302.381370717692</v>
      </c>
      <c r="M101" s="146">
        <f>[10]Sales_SP!CO89</f>
        <v>311.846913116749</v>
      </c>
      <c r="N101" s="146">
        <f>[10]Sales_SP!CP89</f>
        <v>316.216871389554</v>
      </c>
      <c r="O101" s="146">
        <f>[10]Sales_SP!CQ89</f>
        <v>328.230280838616</v>
      </c>
      <c r="P101" s="146">
        <f>[10]Sales_SP!CR89</f>
        <v>307.763601589577</v>
      </c>
      <c r="Q101" s="916">
        <f t="shared" ref="Q101:Q116" si="54">SUM(E101:P101)</f>
        <v>3661.12433634736</v>
      </c>
      <c r="R101" s="887"/>
      <c r="S101" s="887"/>
    </row>
    <row r="102" ht="15" spans="3:19">
      <c r="C102" s="55" t="s">
        <v>193</v>
      </c>
      <c r="D102" s="55" t="s">
        <v>194</v>
      </c>
      <c r="E102" s="146">
        <f>[10]Sales_SP!CG104</f>
        <v>0</v>
      </c>
      <c r="F102" s="146">
        <f>[10]Sales_SP!CH104</f>
        <v>0</v>
      </c>
      <c r="G102" s="146">
        <f>[10]Sales_SP!CI104</f>
        <v>0</v>
      </c>
      <c r="H102" s="146">
        <f>[10]Sales_SP!CJ104</f>
        <v>0</v>
      </c>
      <c r="I102" s="146">
        <f>[10]Sales_SP!CK104</f>
        <v>0</v>
      </c>
      <c r="J102" s="146">
        <f>[10]Sales_SP!CL104</f>
        <v>0</v>
      </c>
      <c r="K102" s="146">
        <f>[10]Sales_SP!CM104</f>
        <v>0</v>
      </c>
      <c r="L102" s="146">
        <f>[10]Sales_SP!CN104</f>
        <v>0</v>
      </c>
      <c r="M102" s="146">
        <f>[10]Sales_SP!CO104</f>
        <v>0</v>
      </c>
      <c r="N102" s="146">
        <f>[10]Sales_SP!CP104</f>
        <v>0</v>
      </c>
      <c r="O102" s="146">
        <f>[10]Sales_SP!CQ104</f>
        <v>0</v>
      </c>
      <c r="P102" s="146">
        <f>[10]Sales_SP!CR104</f>
        <v>0</v>
      </c>
      <c r="Q102" s="916">
        <f t="shared" si="54"/>
        <v>0</v>
      </c>
      <c r="R102" s="887"/>
      <c r="S102" s="887"/>
    </row>
    <row r="103" ht="15" spans="3:19">
      <c r="C103" s="55" t="s">
        <v>239</v>
      </c>
      <c r="D103" s="55" t="s">
        <v>196</v>
      </c>
      <c r="E103" s="146">
        <f>[10]Sales_SP!CG110</f>
        <v>153.17</v>
      </c>
      <c r="F103" s="146">
        <f>[10]Sales_SP!CH110</f>
        <v>160.67</v>
      </c>
      <c r="G103" s="146">
        <f>[10]Sales_SP!CI110</f>
        <v>171.93</v>
      </c>
      <c r="H103" s="146">
        <f>[10]Sales_SP!CJ110</f>
        <v>143.08</v>
      </c>
      <c r="I103" s="146">
        <f>[10]Sales_SP!CK110</f>
        <v>138.64</v>
      </c>
      <c r="J103" s="146">
        <f>[10]Sales_SP!CL110</f>
        <v>136.23</v>
      </c>
      <c r="K103" s="146">
        <f>[10]Sales_SP!CM110</f>
        <v>128.39563286</v>
      </c>
      <c r="L103" s="146">
        <f>[10]Sales_SP!CN110</f>
        <v>136.43721588</v>
      </c>
      <c r="M103" s="146">
        <f>[10]Sales_SP!CO110</f>
        <v>122.81</v>
      </c>
      <c r="N103" s="146">
        <f>[10]Sales_SP!CP110</f>
        <v>117.4</v>
      </c>
      <c r="O103" s="146">
        <f>[10]Sales_SP!CQ110</f>
        <v>128.05227648</v>
      </c>
      <c r="P103" s="146">
        <f>[10]Sales_SP!CR110</f>
        <v>127.30796073</v>
      </c>
      <c r="Q103" s="916">
        <f t="shared" si="54"/>
        <v>1664.12308595</v>
      </c>
      <c r="R103" s="887"/>
      <c r="S103" s="887"/>
    </row>
    <row r="104" ht="15" spans="3:19">
      <c r="C104" s="55" t="s">
        <v>197</v>
      </c>
      <c r="D104" s="55" t="s">
        <v>198</v>
      </c>
      <c r="E104" s="146">
        <f>[10]Sales_SP!CG115</f>
        <v>0</v>
      </c>
      <c r="F104" s="146">
        <f>[10]Sales_SP!CH115</f>
        <v>0</v>
      </c>
      <c r="G104" s="146">
        <f>[10]Sales_SP!CI115</f>
        <v>0</v>
      </c>
      <c r="H104" s="146">
        <f>[10]Sales_SP!CJ115</f>
        <v>0</v>
      </c>
      <c r="I104" s="146">
        <f>[10]Sales_SP!CK115</f>
        <v>0</v>
      </c>
      <c r="J104" s="146">
        <f>[10]Sales_SP!CL115</f>
        <v>0</v>
      </c>
      <c r="K104" s="146">
        <f>[10]Sales_SP!CM115</f>
        <v>0</v>
      </c>
      <c r="L104" s="146">
        <f>[10]Sales_SP!CN115</f>
        <v>0</v>
      </c>
      <c r="M104" s="146">
        <f>[10]Sales_SP!CO115</f>
        <v>0</v>
      </c>
      <c r="N104" s="146">
        <f>[10]Sales_SP!CP115</f>
        <v>0</v>
      </c>
      <c r="O104" s="146">
        <f>[10]Sales_SP!CQ115</f>
        <v>0</v>
      </c>
      <c r="P104" s="146">
        <f>[10]Sales_SP!CR115</f>
        <v>0</v>
      </c>
      <c r="Q104" s="916">
        <f t="shared" si="54"/>
        <v>0</v>
      </c>
      <c r="R104" s="887"/>
      <c r="S104" s="887"/>
    </row>
    <row r="105" ht="15" spans="3:19">
      <c r="C105" s="55" t="s">
        <v>199</v>
      </c>
      <c r="D105" s="55" t="s">
        <v>200</v>
      </c>
      <c r="E105" s="146">
        <f>[10]Sales_SP!CG120</f>
        <v>0.41</v>
      </c>
      <c r="F105" s="146">
        <f>[10]Sales_SP!CH120</f>
        <v>0.45</v>
      </c>
      <c r="G105" s="146">
        <f>[10]Sales_SP!CI120</f>
        <v>0.47</v>
      </c>
      <c r="H105" s="146">
        <f>[10]Sales_SP!CJ120</f>
        <v>0.39</v>
      </c>
      <c r="I105" s="146">
        <f>[10]Sales_SP!CK120</f>
        <v>0.36</v>
      </c>
      <c r="J105" s="146">
        <f>[10]Sales_SP!CL120</f>
        <v>0.36</v>
      </c>
      <c r="K105" s="146">
        <f>[10]Sales_SP!CM120</f>
        <v>0.332443</v>
      </c>
      <c r="L105" s="146">
        <f>[10]Sales_SP!CN120</f>
        <v>0.332566</v>
      </c>
      <c r="M105" s="146">
        <f>[10]Sales_SP!CO120</f>
        <v>0.302489</v>
      </c>
      <c r="N105" s="146">
        <f>[10]Sales_SP!CP120</f>
        <v>0.304442</v>
      </c>
      <c r="O105" s="146">
        <f>[10]Sales_SP!CQ120</f>
        <v>0.317742</v>
      </c>
      <c r="P105" s="146">
        <f>[10]Sales_SP!CR120</f>
        <v>0.305947</v>
      </c>
      <c r="Q105" s="916">
        <f t="shared" si="54"/>
        <v>4.335629</v>
      </c>
      <c r="R105" s="887"/>
      <c r="S105" s="887"/>
    </row>
    <row r="106" ht="15" spans="3:19">
      <c r="C106" s="55" t="s">
        <v>201</v>
      </c>
      <c r="D106" s="55" t="s">
        <v>202</v>
      </c>
      <c r="E106" s="146">
        <f>[10]Sales_SP!CG126</f>
        <v>3.71</v>
      </c>
      <c r="F106" s="146">
        <f>[10]Sales_SP!CH126</f>
        <v>0.84</v>
      </c>
      <c r="G106" s="146">
        <f>[10]Sales_SP!CI126</f>
        <v>0.76</v>
      </c>
      <c r="H106" s="146">
        <f>[10]Sales_SP!CJ126</f>
        <v>0.74</v>
      </c>
      <c r="I106" s="146">
        <f>[10]Sales_SP!CK126</f>
        <v>1.63</v>
      </c>
      <c r="J106" s="146">
        <f>[10]Sales_SP!CL126</f>
        <v>5.26</v>
      </c>
      <c r="K106" s="146">
        <f>[10]Sales_SP!CM126</f>
        <v>4.03</v>
      </c>
      <c r="L106" s="146">
        <f>[10]Sales_SP!CN126</f>
        <v>4.24</v>
      </c>
      <c r="M106" s="146">
        <f>[10]Sales_SP!CO126</f>
        <v>2.29</v>
      </c>
      <c r="N106" s="146">
        <f>[10]Sales_SP!CP126</f>
        <v>5.98</v>
      </c>
      <c r="O106" s="146">
        <f>[10]Sales_SP!CQ126</f>
        <v>5.99</v>
      </c>
      <c r="P106" s="146">
        <f>[10]Sales_SP!CR126</f>
        <v>6.42</v>
      </c>
      <c r="Q106" s="916">
        <f t="shared" si="54"/>
        <v>41.89</v>
      </c>
      <c r="R106" s="887"/>
      <c r="S106" s="887"/>
    </row>
    <row r="107" ht="15" spans="3:19">
      <c r="C107" s="55" t="s">
        <v>203</v>
      </c>
      <c r="D107" s="55" t="s">
        <v>204</v>
      </c>
      <c r="E107" s="146">
        <f>[10]Sales_SP!CG127</f>
        <v>8.63</v>
      </c>
      <c r="F107" s="146">
        <f>[10]Sales_SP!CH127</f>
        <v>7.57</v>
      </c>
      <c r="G107" s="146">
        <f>[10]Sales_SP!CI127</f>
        <v>7.77</v>
      </c>
      <c r="H107" s="146">
        <f>[10]Sales_SP!CJ127</f>
        <v>8.25</v>
      </c>
      <c r="I107" s="146">
        <f>[10]Sales_SP!CK127</f>
        <v>7.21</v>
      </c>
      <c r="J107" s="146">
        <f>[10]Sales_SP!CL127</f>
        <v>7.25</v>
      </c>
      <c r="K107" s="146">
        <f>[10]Sales_SP!CM127</f>
        <v>7.04</v>
      </c>
      <c r="L107" s="146">
        <f>[10]Sales_SP!CN127</f>
        <v>8.16</v>
      </c>
      <c r="M107" s="146">
        <f>[10]Sales_SP!CO127</f>
        <v>8.35</v>
      </c>
      <c r="N107" s="146">
        <f>[10]Sales_SP!CP127</f>
        <v>8.5</v>
      </c>
      <c r="O107" s="146">
        <f>[10]Sales_SP!CQ127</f>
        <v>8.5</v>
      </c>
      <c r="P107" s="146">
        <f>[10]Sales_SP!CR127</f>
        <v>8.25</v>
      </c>
      <c r="Q107" s="916">
        <f t="shared" si="54"/>
        <v>95.48</v>
      </c>
      <c r="R107" s="887"/>
      <c r="S107" s="887"/>
    </row>
    <row r="108" ht="15" spans="3:19">
      <c r="C108" s="55" t="s">
        <v>205</v>
      </c>
      <c r="D108" s="55" t="s">
        <v>206</v>
      </c>
      <c r="E108" s="146">
        <f>[10]Sales_SP!CG131</f>
        <v>11.59</v>
      </c>
      <c r="F108" s="146">
        <f>[10]Sales_SP!CH131</f>
        <v>12.5</v>
      </c>
      <c r="G108" s="146">
        <f>[10]Sales_SP!CI131</f>
        <v>13.82</v>
      </c>
      <c r="H108" s="146">
        <f>[10]Sales_SP!CJ131</f>
        <v>9.76</v>
      </c>
      <c r="I108" s="146">
        <f>[10]Sales_SP!CK131</f>
        <v>9.09</v>
      </c>
      <c r="J108" s="146">
        <f>[10]Sales_SP!CL131</f>
        <v>8.85</v>
      </c>
      <c r="K108" s="146">
        <f>[10]Sales_SP!CM131</f>
        <v>8.74</v>
      </c>
      <c r="L108" s="146">
        <f>[10]Sales_SP!CN131</f>
        <v>9.1</v>
      </c>
      <c r="M108" s="146">
        <f>[10]Sales_SP!CO131</f>
        <v>8.32</v>
      </c>
      <c r="N108" s="146">
        <f>[10]Sales_SP!CP131</f>
        <v>8.49</v>
      </c>
      <c r="O108" s="146">
        <f>[10]Sales_SP!CQ131</f>
        <v>8.76</v>
      </c>
      <c r="P108" s="146">
        <f>[10]Sales_SP!CR131</f>
        <v>9.47</v>
      </c>
      <c r="Q108" s="916">
        <f t="shared" si="54"/>
        <v>118.49</v>
      </c>
      <c r="R108" s="887"/>
      <c r="S108" s="887"/>
    </row>
    <row r="109" ht="15" spans="3:19">
      <c r="C109" s="55" t="s">
        <v>207</v>
      </c>
      <c r="D109" s="55" t="s">
        <v>186</v>
      </c>
      <c r="E109" s="146">
        <f>[10]Sales_SP!CG132</f>
        <v>7.52</v>
      </c>
      <c r="F109" s="146">
        <f>[10]Sales_SP!CH132</f>
        <v>7.25</v>
      </c>
      <c r="G109" s="146">
        <f>[10]Sales_SP!CI132</f>
        <v>7.44</v>
      </c>
      <c r="H109" s="146">
        <f>[10]Sales_SP!CJ132</f>
        <v>7.2</v>
      </c>
      <c r="I109" s="146">
        <f>[10]Sales_SP!CK132</f>
        <v>6.97</v>
      </c>
      <c r="J109" s="146">
        <f>[10]Sales_SP!CL132</f>
        <v>8</v>
      </c>
      <c r="K109" s="146">
        <f>[10]Sales_SP!CM132</f>
        <v>7.91</v>
      </c>
      <c r="L109" s="146">
        <f>[10]Sales_SP!CN132</f>
        <v>8.53</v>
      </c>
      <c r="M109" s="146">
        <f>[10]Sales_SP!CO132</f>
        <v>7.71</v>
      </c>
      <c r="N109" s="146">
        <f>[10]Sales_SP!CP132</f>
        <v>7.85</v>
      </c>
      <c r="O109" s="146">
        <f>[10]Sales_SP!CQ132</f>
        <v>8.03</v>
      </c>
      <c r="P109" s="146">
        <f>[10]Sales_SP!CR132</f>
        <v>7.42</v>
      </c>
      <c r="Q109" s="916">
        <f t="shared" si="54"/>
        <v>91.83</v>
      </c>
      <c r="R109" s="887"/>
      <c r="S109" s="887"/>
    </row>
    <row r="110" ht="15" spans="3:19">
      <c r="C110" s="55" t="s">
        <v>208</v>
      </c>
      <c r="D110" s="55" t="s">
        <v>209</v>
      </c>
      <c r="E110" s="146">
        <f>[10]Sales_SP!CG133</f>
        <v>0</v>
      </c>
      <c r="F110" s="146">
        <f>[10]Sales_SP!CH133</f>
        <v>0</v>
      </c>
      <c r="G110" s="146">
        <f>[10]Sales_SP!CI133</f>
        <v>0</v>
      </c>
      <c r="H110" s="146">
        <f>[10]Sales_SP!CJ133</f>
        <v>0</v>
      </c>
      <c r="I110" s="146">
        <f>[10]Sales_SP!CK133</f>
        <v>0</v>
      </c>
      <c r="J110" s="146">
        <f>[10]Sales_SP!CL133</f>
        <v>0</v>
      </c>
      <c r="K110" s="146">
        <f>[10]Sales_SP!CM133</f>
        <v>0</v>
      </c>
      <c r="L110" s="146">
        <f>[10]Sales_SP!CN133</f>
        <v>0</v>
      </c>
      <c r="M110" s="146">
        <f>[10]Sales_SP!CO133</f>
        <v>0</v>
      </c>
      <c r="N110" s="146">
        <f>[10]Sales_SP!CP133</f>
        <v>0</v>
      </c>
      <c r="O110" s="146">
        <f>[10]Sales_SP!CQ133</f>
        <v>0</v>
      </c>
      <c r="P110" s="146">
        <f>[10]Sales_SP!CR133</f>
        <v>0</v>
      </c>
      <c r="Q110" s="916">
        <f t="shared" si="54"/>
        <v>0</v>
      </c>
      <c r="R110" s="887"/>
      <c r="S110" s="887"/>
    </row>
    <row r="111" ht="15" spans="3:19">
      <c r="C111" s="55" t="s">
        <v>210</v>
      </c>
      <c r="D111" s="55" t="s">
        <v>188</v>
      </c>
      <c r="E111" s="146">
        <f>[10]Sales_SP!CG134</f>
        <v>0</v>
      </c>
      <c r="F111" s="146">
        <f>[10]Sales_SP!CH134</f>
        <v>0</v>
      </c>
      <c r="G111" s="146">
        <f>[10]Sales_SP!CI134</f>
        <v>0</v>
      </c>
      <c r="H111" s="146">
        <f>[10]Sales_SP!CJ134</f>
        <v>0</v>
      </c>
      <c r="I111" s="146">
        <f>[10]Sales_SP!CK134</f>
        <v>0</v>
      </c>
      <c r="J111" s="146">
        <f>[10]Sales_SP!CL134</f>
        <v>0.19</v>
      </c>
      <c r="K111" s="146">
        <f>[10]Sales_SP!CM134</f>
        <v>0.36</v>
      </c>
      <c r="L111" s="146">
        <f>[10]Sales_SP!CN134</f>
        <v>0.33</v>
      </c>
      <c r="M111" s="146">
        <f>[10]Sales_SP!CO134</f>
        <v>0.37</v>
      </c>
      <c r="N111" s="146">
        <f>[10]Sales_SP!CP134</f>
        <v>0.39</v>
      </c>
      <c r="O111" s="146">
        <f>[10]Sales_SP!CQ134</f>
        <v>0.4</v>
      </c>
      <c r="P111" s="146">
        <f>[10]Sales_SP!CR134</f>
        <v>0.39</v>
      </c>
      <c r="Q111" s="916">
        <f t="shared" si="54"/>
        <v>2.43</v>
      </c>
      <c r="R111" s="887"/>
      <c r="S111" s="887"/>
    </row>
    <row r="112" ht="15" spans="3:19">
      <c r="C112" s="55"/>
      <c r="D112" s="55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916">
        <f t="shared" si="54"/>
        <v>0</v>
      </c>
      <c r="R112" s="887"/>
      <c r="S112" s="887"/>
    </row>
    <row r="113" ht="15" spans="3:19">
      <c r="C113" s="55"/>
      <c r="D113" s="55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916">
        <f t="shared" si="54"/>
        <v>0</v>
      </c>
      <c r="R113" s="887"/>
      <c r="S113" s="887"/>
    </row>
    <row r="114" ht="15" spans="3:19">
      <c r="C114" s="55"/>
      <c r="D114" s="55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916">
        <f t="shared" si="54"/>
        <v>0</v>
      </c>
      <c r="R114" s="887"/>
      <c r="S114" s="887"/>
    </row>
    <row r="115" ht="15" spans="3:19">
      <c r="C115" s="55" t="s">
        <v>258</v>
      </c>
      <c r="D115" s="55" t="s">
        <v>258</v>
      </c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916">
        <f t="shared" si="54"/>
        <v>0</v>
      </c>
      <c r="R115" s="887"/>
      <c r="S115" s="887"/>
    </row>
    <row r="116" ht="15" spans="3:19">
      <c r="C116" s="537" t="s">
        <v>211</v>
      </c>
      <c r="D116" s="540"/>
      <c r="E116" s="916">
        <f t="shared" ref="E116:P116" si="55">SUM(E101:E115)</f>
        <v>491.4362041324</v>
      </c>
      <c r="F116" s="916">
        <f t="shared" si="55"/>
        <v>492.706912033253</v>
      </c>
      <c r="G116" s="916">
        <f t="shared" si="55"/>
        <v>515.807830779067</v>
      </c>
      <c r="H116" s="916">
        <f t="shared" si="55"/>
        <v>471.706195540025</v>
      </c>
      <c r="I116" s="916">
        <f t="shared" si="55"/>
        <v>464.437060824971</v>
      </c>
      <c r="J116" s="916">
        <f t="shared" si="55"/>
        <v>464.516113303519</v>
      </c>
      <c r="K116" s="916">
        <f t="shared" si="55"/>
        <v>426.843057941941</v>
      </c>
      <c r="L116" s="916">
        <f t="shared" si="55"/>
        <v>469.511152597692</v>
      </c>
      <c r="M116" s="916">
        <f t="shared" si="55"/>
        <v>461.999402116749</v>
      </c>
      <c r="N116" s="916">
        <f t="shared" si="55"/>
        <v>465.131313389554</v>
      </c>
      <c r="O116" s="916">
        <f t="shared" si="55"/>
        <v>488.280299318616</v>
      </c>
      <c r="P116" s="916">
        <f t="shared" si="55"/>
        <v>467.327509319577</v>
      </c>
      <c r="Q116" s="916">
        <f t="shared" si="54"/>
        <v>5679.70305129736</v>
      </c>
      <c r="R116" s="887"/>
      <c r="S116" s="887"/>
    </row>
    <row r="117" ht="15" spans="3:19">
      <c r="C117" s="44" t="s">
        <v>212</v>
      </c>
      <c r="D117" s="45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58"/>
      <c r="R117" s="887"/>
      <c r="S117" s="887"/>
    </row>
    <row r="118" ht="15" spans="3:19">
      <c r="C118" s="55" t="s">
        <v>191</v>
      </c>
      <c r="D118" s="55" t="s">
        <v>192</v>
      </c>
      <c r="E118" s="146">
        <f>[10]Sales_SP!CG152</f>
        <v>392.07</v>
      </c>
      <c r="F118" s="146">
        <f>[10]Sales_SP!CH152</f>
        <v>360.78</v>
      </c>
      <c r="G118" s="146">
        <f>[10]Sales_SP!CI152</f>
        <v>401.21</v>
      </c>
      <c r="H118" s="146">
        <f>[10]Sales_SP!CJ152</f>
        <v>381.48</v>
      </c>
      <c r="I118" s="146">
        <f>[10]Sales_SP!CK152</f>
        <v>367.95</v>
      </c>
      <c r="J118" s="146">
        <f>[10]Sales_SP!CL152</f>
        <v>359.49</v>
      </c>
      <c r="K118" s="146">
        <f>[10]Sales_SP!CM152</f>
        <v>315.49885033</v>
      </c>
      <c r="L118" s="146">
        <f>[10]Sales_SP!CN152</f>
        <v>329.63431352</v>
      </c>
      <c r="M118" s="146">
        <f>[10]Sales_SP!CO152</f>
        <v>322.74</v>
      </c>
      <c r="N118" s="146">
        <f>[10]Sales_SP!CP152</f>
        <v>327.06</v>
      </c>
      <c r="O118" s="146">
        <f>[10]Sales_SP!CQ152</f>
        <v>339.78558844</v>
      </c>
      <c r="P118" s="146">
        <f>[10]Sales_SP!CR152</f>
        <v>321.22522553</v>
      </c>
      <c r="Q118" s="916">
        <f t="shared" ref="Q118:Q133" si="56">SUM(E118:P118)</f>
        <v>4218.92397782</v>
      </c>
      <c r="R118" s="887"/>
      <c r="S118" s="887"/>
    </row>
    <row r="119" ht="15" spans="3:19">
      <c r="C119" s="55" t="s">
        <v>193</v>
      </c>
      <c r="D119" s="55" t="s">
        <v>194</v>
      </c>
      <c r="E119" s="146">
        <f>[10]Sales_SP!CG168</f>
        <v>4.55</v>
      </c>
      <c r="F119" s="146">
        <f>[10]Sales_SP!CH168</f>
        <v>4.88</v>
      </c>
      <c r="G119" s="146">
        <f>[10]Sales_SP!CI168</f>
        <v>4.47</v>
      </c>
      <c r="H119" s="146">
        <f>[10]Sales_SP!CJ168</f>
        <v>4.65</v>
      </c>
      <c r="I119" s="146">
        <f>[10]Sales_SP!CK168</f>
        <v>4.91</v>
      </c>
      <c r="J119" s="146">
        <f>[10]Sales_SP!CL168</f>
        <v>4.04</v>
      </c>
      <c r="K119" s="146">
        <f>[10]Sales_SP!CM168</f>
        <v>3.85</v>
      </c>
      <c r="L119" s="146">
        <f>[10]Sales_SP!CN168</f>
        <v>2.92</v>
      </c>
      <c r="M119" s="146">
        <f>[10]Sales_SP!CO168</f>
        <v>2.46</v>
      </c>
      <c r="N119" s="146">
        <f>[10]Sales_SP!CP168</f>
        <v>2.58</v>
      </c>
      <c r="O119" s="146">
        <f>[10]Sales_SP!CQ168</f>
        <v>2.3955</v>
      </c>
      <c r="P119" s="146">
        <f>[10]Sales_SP!CR168</f>
        <v>2.342</v>
      </c>
      <c r="Q119" s="916">
        <f t="shared" si="56"/>
        <v>44.0475</v>
      </c>
      <c r="R119" s="887"/>
      <c r="S119" s="887"/>
    </row>
    <row r="120" ht="15" spans="3:19">
      <c r="C120" s="55" t="s">
        <v>239</v>
      </c>
      <c r="D120" s="55" t="s">
        <v>196</v>
      </c>
      <c r="E120" s="146">
        <f>[10]Sales_SP!CG174</f>
        <v>71.36</v>
      </c>
      <c r="F120" s="146">
        <f>[10]Sales_SP!CH174</f>
        <v>74.91</v>
      </c>
      <c r="G120" s="146">
        <f>[10]Sales_SP!CI174</f>
        <v>83.57</v>
      </c>
      <c r="H120" s="146">
        <f>[10]Sales_SP!CJ174</f>
        <v>73.96</v>
      </c>
      <c r="I120" s="146">
        <f>[10]Sales_SP!CK174</f>
        <v>73.49</v>
      </c>
      <c r="J120" s="146">
        <f>[10]Sales_SP!CL174</f>
        <v>75.21</v>
      </c>
      <c r="K120" s="146">
        <f>[10]Sales_SP!CM174</f>
        <v>71.14057271</v>
      </c>
      <c r="L120" s="146">
        <f>[10]Sales_SP!CN174</f>
        <v>74.09192839</v>
      </c>
      <c r="M120" s="146">
        <f>[10]Sales_SP!CO174</f>
        <v>66.06916142</v>
      </c>
      <c r="N120" s="146">
        <f>[10]Sales_SP!CP174</f>
        <v>64.17145726</v>
      </c>
      <c r="O120" s="146">
        <f>[10]Sales_SP!CQ174</f>
        <v>70.43499459</v>
      </c>
      <c r="P120" s="146">
        <f>[10]Sales_SP!CR174</f>
        <v>69.55196737</v>
      </c>
      <c r="Q120" s="916">
        <f t="shared" si="56"/>
        <v>867.96008174</v>
      </c>
      <c r="R120" s="887"/>
      <c r="S120" s="887"/>
    </row>
    <row r="121" ht="15" spans="3:19">
      <c r="C121" s="55" t="s">
        <v>197</v>
      </c>
      <c r="D121" s="55" t="s">
        <v>198</v>
      </c>
      <c r="E121" s="146">
        <f>[10]Sales_SP!CG180</f>
        <v>0</v>
      </c>
      <c r="F121" s="146">
        <f>[10]Sales_SP!CH180</f>
        <v>0</v>
      </c>
      <c r="G121" s="146">
        <f>[10]Sales_SP!CI180</f>
        <v>0</v>
      </c>
      <c r="H121" s="146">
        <f>[10]Sales_SP!CJ180</f>
        <v>0</v>
      </c>
      <c r="I121" s="146">
        <f>[10]Sales_SP!CK180</f>
        <v>0</v>
      </c>
      <c r="J121" s="146">
        <f>[10]Sales_SP!CL180</f>
        <v>0</v>
      </c>
      <c r="K121" s="146">
        <f>[10]Sales_SP!CM180</f>
        <v>0</v>
      </c>
      <c r="L121" s="146">
        <f>[10]Sales_SP!CN180</f>
        <v>0</v>
      </c>
      <c r="M121" s="146">
        <f>[10]Sales_SP!CO180</f>
        <v>0</v>
      </c>
      <c r="N121" s="146">
        <f>[10]Sales_SP!CP180</f>
        <v>0</v>
      </c>
      <c r="O121" s="146">
        <f>[10]Sales_SP!CQ180</f>
        <v>0</v>
      </c>
      <c r="P121" s="146">
        <f>[10]Sales_SP!CR180</f>
        <v>0</v>
      </c>
      <c r="Q121" s="916">
        <f t="shared" si="56"/>
        <v>0</v>
      </c>
      <c r="R121" s="887"/>
      <c r="S121" s="887"/>
    </row>
    <row r="122" ht="15" spans="3:19">
      <c r="C122" s="55" t="s">
        <v>199</v>
      </c>
      <c r="D122" s="55" t="s">
        <v>200</v>
      </c>
      <c r="E122" s="146">
        <f>[10]Sales_SP!CG185</f>
        <v>0</v>
      </c>
      <c r="F122" s="146">
        <f>[10]Sales_SP!CH185</f>
        <v>0</v>
      </c>
      <c r="G122" s="146">
        <f>[10]Sales_SP!CI185</f>
        <v>0</v>
      </c>
      <c r="H122" s="146">
        <f>[10]Sales_SP!CJ185</f>
        <v>0</v>
      </c>
      <c r="I122" s="146">
        <f>[10]Sales_SP!CK185</f>
        <v>0</v>
      </c>
      <c r="J122" s="146">
        <f>[10]Sales_SP!CL185</f>
        <v>0</v>
      </c>
      <c r="K122" s="146">
        <f>[10]Sales_SP!CM185</f>
        <v>0</v>
      </c>
      <c r="L122" s="146">
        <f>[10]Sales_SP!CN185</f>
        <v>0</v>
      </c>
      <c r="M122" s="146">
        <f>[10]Sales_SP!CO185</f>
        <v>0</v>
      </c>
      <c r="N122" s="146">
        <f>[10]Sales_SP!CP185</f>
        <v>0</v>
      </c>
      <c r="O122" s="146">
        <f>[10]Sales_SP!CQ185</f>
        <v>0</v>
      </c>
      <c r="P122" s="146">
        <f>[10]Sales_SP!CR185</f>
        <v>0</v>
      </c>
      <c r="Q122" s="916">
        <f t="shared" si="56"/>
        <v>0</v>
      </c>
      <c r="R122" s="887"/>
      <c r="S122" s="887"/>
    </row>
    <row r="123" ht="15" spans="3:19">
      <c r="C123" s="55" t="s">
        <v>201</v>
      </c>
      <c r="D123" s="55" t="s">
        <v>202</v>
      </c>
      <c r="E123" s="146">
        <f>[10]Sales_SP!CG191</f>
        <v>0.94</v>
      </c>
      <c r="F123" s="146">
        <f>[10]Sales_SP!CH191</f>
        <v>0.59</v>
      </c>
      <c r="G123" s="146">
        <f>[10]Sales_SP!CI191</f>
        <v>0.19</v>
      </c>
      <c r="H123" s="146">
        <f>[10]Sales_SP!CJ191</f>
        <v>0.22</v>
      </c>
      <c r="I123" s="146">
        <f>[10]Sales_SP!CK191</f>
        <v>0.93</v>
      </c>
      <c r="J123" s="146">
        <f>[10]Sales_SP!CL191</f>
        <v>2.2</v>
      </c>
      <c r="K123" s="146">
        <f>[10]Sales_SP!CM191</f>
        <v>1.64</v>
      </c>
      <c r="L123" s="146">
        <f>[10]Sales_SP!CN191</f>
        <v>1.47</v>
      </c>
      <c r="M123" s="146">
        <f>[10]Sales_SP!CO191</f>
        <v>1.63</v>
      </c>
      <c r="N123" s="146">
        <f>[10]Sales_SP!CP191</f>
        <v>2.47</v>
      </c>
      <c r="O123" s="146">
        <f>[10]Sales_SP!CQ191</f>
        <v>2.97</v>
      </c>
      <c r="P123" s="146">
        <f>[10]Sales_SP!CR191</f>
        <v>2.34</v>
      </c>
      <c r="Q123" s="916">
        <f t="shared" si="56"/>
        <v>17.59</v>
      </c>
      <c r="R123" s="887"/>
      <c r="S123" s="887"/>
    </row>
    <row r="124" ht="15" spans="3:19">
      <c r="C124" s="55" t="s">
        <v>203</v>
      </c>
      <c r="D124" s="55" t="s">
        <v>204</v>
      </c>
      <c r="E124" s="146">
        <f>[10]Sales_SP!CG192</f>
        <v>14.27</v>
      </c>
      <c r="F124" s="146">
        <f>[10]Sales_SP!CH192</f>
        <v>13.8</v>
      </c>
      <c r="G124" s="146">
        <f>[10]Sales_SP!CI192</f>
        <v>13.72</v>
      </c>
      <c r="H124" s="146">
        <f>[10]Sales_SP!CJ192</f>
        <v>11.95</v>
      </c>
      <c r="I124" s="146">
        <f>[10]Sales_SP!CK192</f>
        <v>12.4</v>
      </c>
      <c r="J124" s="146">
        <f>[10]Sales_SP!CL192</f>
        <v>12.75</v>
      </c>
      <c r="K124" s="146">
        <f>[10]Sales_SP!CM192</f>
        <v>12.18</v>
      </c>
      <c r="L124" s="146">
        <f>[10]Sales_SP!CN192</f>
        <v>13.12</v>
      </c>
      <c r="M124" s="146">
        <f>[10]Sales_SP!CO192</f>
        <v>13.06</v>
      </c>
      <c r="N124" s="146">
        <f>[10]Sales_SP!CP192</f>
        <v>13.79</v>
      </c>
      <c r="O124" s="146">
        <f>[10]Sales_SP!CQ192</f>
        <v>13.73</v>
      </c>
      <c r="P124" s="146">
        <f>[10]Sales_SP!CR192</f>
        <v>13.95</v>
      </c>
      <c r="Q124" s="916">
        <f t="shared" si="56"/>
        <v>158.72</v>
      </c>
      <c r="R124" s="887"/>
      <c r="S124" s="887"/>
    </row>
    <row r="125" ht="15" spans="3:19">
      <c r="C125" s="55" t="s">
        <v>205</v>
      </c>
      <c r="D125" s="55" t="s">
        <v>206</v>
      </c>
      <c r="E125" s="146">
        <f>[10]Sales_SP!CG196</f>
        <v>7.54</v>
      </c>
      <c r="F125" s="146">
        <f>[10]Sales_SP!CH196</f>
        <v>8.99</v>
      </c>
      <c r="G125" s="146">
        <f>[10]Sales_SP!CI196</f>
        <v>9.43</v>
      </c>
      <c r="H125" s="146">
        <f>[10]Sales_SP!CJ196</f>
        <v>5.96</v>
      </c>
      <c r="I125" s="146">
        <f>[10]Sales_SP!CK196</f>
        <v>5.81</v>
      </c>
      <c r="J125" s="146">
        <f>[10]Sales_SP!CL196</f>
        <v>5.8</v>
      </c>
      <c r="K125" s="146">
        <f>[10]Sales_SP!CM196</f>
        <v>5.29</v>
      </c>
      <c r="L125" s="146">
        <f>[10]Sales_SP!CN196</f>
        <v>5.58</v>
      </c>
      <c r="M125" s="146">
        <f>[10]Sales_SP!CO196</f>
        <v>5.26</v>
      </c>
      <c r="N125" s="146">
        <f>[10]Sales_SP!CP196</f>
        <v>5.38</v>
      </c>
      <c r="O125" s="146">
        <f>[10]Sales_SP!CQ196</f>
        <v>5.58</v>
      </c>
      <c r="P125" s="146">
        <f>[10]Sales_SP!CR196</f>
        <v>5.98</v>
      </c>
      <c r="Q125" s="916">
        <f t="shared" si="56"/>
        <v>76.6</v>
      </c>
      <c r="R125" s="887"/>
      <c r="S125" s="887"/>
    </row>
    <row r="126" ht="15" spans="3:19">
      <c r="C126" s="55" t="s">
        <v>231</v>
      </c>
      <c r="D126" s="55" t="s">
        <v>186</v>
      </c>
      <c r="E126" s="146">
        <f>[10]Sales_SP!CG197</f>
        <v>2.36</v>
      </c>
      <c r="F126" s="146">
        <f>[10]Sales_SP!CH197</f>
        <v>2.99</v>
      </c>
      <c r="G126" s="146">
        <f>[10]Sales_SP!CI197</f>
        <v>4.03</v>
      </c>
      <c r="H126" s="146">
        <f>[10]Sales_SP!CJ197</f>
        <v>4.12</v>
      </c>
      <c r="I126" s="146">
        <f>[10]Sales_SP!CK197</f>
        <v>4.58</v>
      </c>
      <c r="J126" s="146">
        <f>[10]Sales_SP!CL197</f>
        <v>4.27</v>
      </c>
      <c r="K126" s="146">
        <f>[10]Sales_SP!CM197</f>
        <v>3.27</v>
      </c>
      <c r="L126" s="146">
        <f>[10]Sales_SP!CN197</f>
        <v>3.72</v>
      </c>
      <c r="M126" s="146">
        <f>[10]Sales_SP!CO197</f>
        <v>4.74</v>
      </c>
      <c r="N126" s="146">
        <f>[10]Sales_SP!CP197</f>
        <v>4.9</v>
      </c>
      <c r="O126" s="146">
        <f>[10]Sales_SP!CQ197</f>
        <v>2.85</v>
      </c>
      <c r="P126" s="146">
        <f>[10]Sales_SP!CR197</f>
        <v>2.3</v>
      </c>
      <c r="Q126" s="916">
        <f t="shared" si="56"/>
        <v>44.13</v>
      </c>
      <c r="R126" s="887"/>
      <c r="S126" s="887"/>
    </row>
    <row r="127" ht="15" spans="3:19">
      <c r="C127" s="55" t="s">
        <v>208</v>
      </c>
      <c r="D127" s="55" t="s">
        <v>209</v>
      </c>
      <c r="E127" s="146">
        <v>0</v>
      </c>
      <c r="F127" s="146">
        <v>0</v>
      </c>
      <c r="G127" s="146">
        <v>0</v>
      </c>
      <c r="H127" s="146">
        <v>0</v>
      </c>
      <c r="I127" s="146">
        <v>0</v>
      </c>
      <c r="J127" s="146">
        <v>0</v>
      </c>
      <c r="K127" s="146">
        <v>0</v>
      </c>
      <c r="L127" s="146">
        <v>0</v>
      </c>
      <c r="M127" s="146">
        <v>0</v>
      </c>
      <c r="N127" s="146">
        <v>0</v>
      </c>
      <c r="O127" s="146">
        <v>0</v>
      </c>
      <c r="P127" s="146">
        <v>0</v>
      </c>
      <c r="Q127" s="916">
        <f t="shared" si="56"/>
        <v>0</v>
      </c>
      <c r="R127" s="887"/>
      <c r="S127" s="887"/>
    </row>
    <row r="128" ht="15" spans="3:19">
      <c r="C128" s="55" t="s">
        <v>210</v>
      </c>
      <c r="D128" s="55" t="s">
        <v>188</v>
      </c>
      <c r="E128" s="146">
        <v>0</v>
      </c>
      <c r="F128" s="146">
        <v>0</v>
      </c>
      <c r="G128" s="146">
        <v>0</v>
      </c>
      <c r="H128" s="146">
        <v>0</v>
      </c>
      <c r="I128" s="146">
        <v>0</v>
      </c>
      <c r="J128" s="146">
        <v>0</v>
      </c>
      <c r="K128" s="146">
        <v>0</v>
      </c>
      <c r="L128" s="146">
        <v>0</v>
      </c>
      <c r="M128" s="146">
        <v>0</v>
      </c>
      <c r="N128" s="146">
        <v>0</v>
      </c>
      <c r="O128" s="146">
        <v>0</v>
      </c>
      <c r="P128" s="146">
        <v>0</v>
      </c>
      <c r="Q128" s="916">
        <f t="shared" si="56"/>
        <v>0</v>
      </c>
      <c r="R128" s="887"/>
      <c r="S128" s="887"/>
    </row>
    <row r="129" ht="15" spans="3:19">
      <c r="C129" s="55"/>
      <c r="D129" s="55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916">
        <f t="shared" si="56"/>
        <v>0</v>
      </c>
      <c r="R129" s="887"/>
      <c r="S129" s="887"/>
    </row>
    <row r="130" ht="15" spans="3:19">
      <c r="C130" s="55"/>
      <c r="D130" s="55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916">
        <f t="shared" si="56"/>
        <v>0</v>
      </c>
      <c r="R130" s="887"/>
      <c r="S130" s="887"/>
    </row>
    <row r="131" ht="15" spans="3:19">
      <c r="C131" s="55"/>
      <c r="D131" s="55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916">
        <f t="shared" si="56"/>
        <v>0</v>
      </c>
      <c r="R131" s="887"/>
      <c r="S131" s="887"/>
    </row>
    <row r="132" ht="15" spans="3:19">
      <c r="C132" s="55" t="s">
        <v>258</v>
      </c>
      <c r="D132" s="55" t="s">
        <v>258</v>
      </c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916">
        <f t="shared" si="56"/>
        <v>0</v>
      </c>
      <c r="R132" s="887"/>
      <c r="S132" s="887"/>
    </row>
    <row r="133" ht="15" spans="3:19">
      <c r="C133" s="537" t="s">
        <v>211</v>
      </c>
      <c r="D133" s="540"/>
      <c r="E133" s="916">
        <f t="shared" ref="E133:P133" si="57">SUM(E118:E132)</f>
        <v>493.09</v>
      </c>
      <c r="F133" s="916">
        <f t="shared" si="57"/>
        <v>466.94</v>
      </c>
      <c r="G133" s="916">
        <f t="shared" si="57"/>
        <v>516.62</v>
      </c>
      <c r="H133" s="916">
        <f t="shared" si="57"/>
        <v>482.34</v>
      </c>
      <c r="I133" s="916">
        <f t="shared" si="57"/>
        <v>470.07</v>
      </c>
      <c r="J133" s="916">
        <f t="shared" si="57"/>
        <v>463.76</v>
      </c>
      <c r="K133" s="916">
        <f t="shared" si="57"/>
        <v>412.86942304</v>
      </c>
      <c r="L133" s="916">
        <f t="shared" si="57"/>
        <v>430.53624191</v>
      </c>
      <c r="M133" s="916">
        <f t="shared" si="57"/>
        <v>415.95916142</v>
      </c>
      <c r="N133" s="916">
        <f t="shared" si="57"/>
        <v>420.35145726</v>
      </c>
      <c r="O133" s="916">
        <f t="shared" si="57"/>
        <v>437.74608303</v>
      </c>
      <c r="P133" s="916">
        <f t="shared" si="57"/>
        <v>417.6891929</v>
      </c>
      <c r="Q133" s="916">
        <f t="shared" si="56"/>
        <v>5427.97155956</v>
      </c>
      <c r="R133" s="887"/>
      <c r="S133" s="887"/>
    </row>
    <row r="134" ht="15" spans="3:19">
      <c r="C134" s="44" t="s">
        <v>219</v>
      </c>
      <c r="D134" s="45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58"/>
      <c r="R134" s="887"/>
      <c r="S134" s="887"/>
    </row>
    <row r="135" ht="15" spans="3:19">
      <c r="C135" s="55" t="s">
        <v>191</v>
      </c>
      <c r="D135" s="55" t="s">
        <v>192</v>
      </c>
      <c r="E135" s="146">
        <f>[10]Sales_SP!CG212</f>
        <v>232.58</v>
      </c>
      <c r="F135" s="146">
        <f>[10]Sales_SP!CH212</f>
        <v>211.74</v>
      </c>
      <c r="G135" s="146">
        <f>[10]Sales_SP!CI212</f>
        <v>225.03</v>
      </c>
      <c r="H135" s="146">
        <f>[10]Sales_SP!CJ212</f>
        <v>213.29</v>
      </c>
      <c r="I135" s="146">
        <f>[10]Sales_SP!CK212</f>
        <v>211.73</v>
      </c>
      <c r="J135" s="146">
        <f>[10]Sales_SP!CL212</f>
        <v>195.46</v>
      </c>
      <c r="K135" s="146">
        <f>[10]Sales_SP!CM212</f>
        <v>189.71196556</v>
      </c>
      <c r="L135" s="146">
        <f>[10]Sales_SP!CN212</f>
        <v>208.85335118</v>
      </c>
      <c r="M135" s="146">
        <f>[10]Sales_SP!CO212</f>
        <v>209.16</v>
      </c>
      <c r="N135" s="146">
        <f>[10]Sales_SP!CP212</f>
        <v>201.8</v>
      </c>
      <c r="O135" s="146">
        <f>[10]Sales_SP!CQ212</f>
        <v>209.46616522</v>
      </c>
      <c r="P135" s="146">
        <f>[10]Sales_SP!CR212</f>
        <v>195.10790705</v>
      </c>
      <c r="Q135" s="916">
        <f t="shared" ref="Q135:Q154" si="58">SUM(E135:P135)</f>
        <v>2503.92938901</v>
      </c>
      <c r="R135" s="887"/>
      <c r="S135" s="887"/>
    </row>
    <row r="136" ht="15" spans="3:19">
      <c r="C136" s="55" t="s">
        <v>193</v>
      </c>
      <c r="D136" s="55" t="s">
        <v>194</v>
      </c>
      <c r="E136" s="146">
        <f>[10]Sales_SP!CG222</f>
        <v>26.34</v>
      </c>
      <c r="F136" s="146">
        <f>[10]Sales_SP!CH222</f>
        <v>20.22</v>
      </c>
      <c r="G136" s="146">
        <f>[10]Sales_SP!CI222</f>
        <v>23.21</v>
      </c>
      <c r="H136" s="146">
        <f>[10]Sales_SP!CJ222</f>
        <v>21.26</v>
      </c>
      <c r="I136" s="146">
        <f>[10]Sales_SP!CK222</f>
        <v>17.96</v>
      </c>
      <c r="J136" s="146">
        <f>[10]Sales_SP!CL222</f>
        <v>13.3</v>
      </c>
      <c r="K136" s="146">
        <f>[10]Sales_SP!CM222</f>
        <v>13.13</v>
      </c>
      <c r="L136" s="146">
        <f>[10]Sales_SP!CN222</f>
        <v>10.95</v>
      </c>
      <c r="M136" s="146">
        <f>[10]Sales_SP!CO222</f>
        <v>6.61</v>
      </c>
      <c r="N136" s="146">
        <f>[10]Sales_SP!CP222</f>
        <v>9.99</v>
      </c>
      <c r="O136" s="146">
        <f>[10]Sales_SP!CQ222</f>
        <v>14.964</v>
      </c>
      <c r="P136" s="146">
        <f>[10]Sales_SP!CR222</f>
        <v>16.02</v>
      </c>
      <c r="Q136" s="916">
        <f t="shared" si="58"/>
        <v>193.954</v>
      </c>
      <c r="R136" s="887"/>
      <c r="S136" s="887"/>
    </row>
    <row r="137" ht="15" spans="3:19">
      <c r="C137" s="55" t="s">
        <v>239</v>
      </c>
      <c r="D137" s="55" t="s">
        <v>196</v>
      </c>
      <c r="E137" s="146">
        <f>[10]Sales_SP!CG228</f>
        <v>4.83</v>
      </c>
      <c r="F137" s="146">
        <f>[10]Sales_SP!CH228</f>
        <v>5.09</v>
      </c>
      <c r="G137" s="146">
        <f>[10]Sales_SP!CI228</f>
        <v>5.51</v>
      </c>
      <c r="H137" s="146">
        <f>[10]Sales_SP!CJ228</f>
        <v>4.76</v>
      </c>
      <c r="I137" s="146">
        <f>[10]Sales_SP!CK228</f>
        <v>4.06</v>
      </c>
      <c r="J137" s="146">
        <f>[10]Sales_SP!CL228</f>
        <v>4.23</v>
      </c>
      <c r="K137" s="146">
        <f>[10]Sales_SP!CM228</f>
        <v>3.826916</v>
      </c>
      <c r="L137" s="146">
        <f>[10]Sales_SP!CN228</f>
        <v>4.24071</v>
      </c>
      <c r="M137" s="146">
        <f>[10]Sales_SP!CO228</f>
        <v>3.455934</v>
      </c>
      <c r="N137" s="146">
        <f>[10]Sales_SP!CP228</f>
        <v>3.31506</v>
      </c>
      <c r="O137" s="146">
        <f>[10]Sales_SP!CQ228</f>
        <v>3.781275</v>
      </c>
      <c r="P137" s="146">
        <f>[10]Sales_SP!CR228</f>
        <v>3.724072</v>
      </c>
      <c r="Q137" s="916">
        <f t="shared" si="58"/>
        <v>50.823967</v>
      </c>
      <c r="R137" s="887"/>
      <c r="S137" s="887"/>
    </row>
    <row r="138" ht="15" spans="3:19">
      <c r="C138" s="55" t="s">
        <v>197</v>
      </c>
      <c r="D138" s="55" t="s">
        <v>198</v>
      </c>
      <c r="E138" s="146">
        <f>[10]Sales_SP!CG233</f>
        <v>0</v>
      </c>
      <c r="F138" s="146">
        <f>[10]Sales_SP!CH233</f>
        <v>0</v>
      </c>
      <c r="G138" s="146">
        <f>[10]Sales_SP!CI233</f>
        <v>0</v>
      </c>
      <c r="H138" s="146">
        <f>[10]Sales_SP!CJ233</f>
        <v>0</v>
      </c>
      <c r="I138" s="146">
        <f>[10]Sales_SP!CK233</f>
        <v>0</v>
      </c>
      <c r="J138" s="146">
        <f>[10]Sales_SP!CL233</f>
        <v>0</v>
      </c>
      <c r="K138" s="146">
        <f>[10]Sales_SP!CM233</f>
        <v>0</v>
      </c>
      <c r="L138" s="146">
        <f>[10]Sales_SP!CN233</f>
        <v>0</v>
      </c>
      <c r="M138" s="146">
        <f>[10]Sales_SP!CO233</f>
        <v>0</v>
      </c>
      <c r="N138" s="146">
        <f>[10]Sales_SP!CP233</f>
        <v>0</v>
      </c>
      <c r="O138" s="146">
        <f>[10]Sales_SP!CQ233</f>
        <v>0</v>
      </c>
      <c r="P138" s="146">
        <f>[10]Sales_SP!CR233</f>
        <v>0</v>
      </c>
      <c r="Q138" s="916">
        <f t="shared" si="58"/>
        <v>0</v>
      </c>
      <c r="R138" s="887"/>
      <c r="S138" s="887"/>
    </row>
    <row r="139" ht="15" spans="3:19">
      <c r="C139" s="55" t="s">
        <v>199</v>
      </c>
      <c r="D139" s="55" t="s">
        <v>200</v>
      </c>
      <c r="E139" s="146">
        <f>[10]Sales_SP!CG238</f>
        <v>7.01</v>
      </c>
      <c r="F139" s="146">
        <f>[10]Sales_SP!CH238</f>
        <v>7.37</v>
      </c>
      <c r="G139" s="146">
        <f>[10]Sales_SP!CI238</f>
        <v>8.5</v>
      </c>
      <c r="H139" s="146">
        <f>[10]Sales_SP!CJ238</f>
        <v>7.68</v>
      </c>
      <c r="I139" s="146">
        <f>[10]Sales_SP!CK238</f>
        <v>7.11</v>
      </c>
      <c r="J139" s="146">
        <f>[10]Sales_SP!CL238</f>
        <v>7.46</v>
      </c>
      <c r="K139" s="146">
        <f>[10]Sales_SP!CM238</f>
        <v>7.354</v>
      </c>
      <c r="L139" s="146">
        <f>[10]Sales_SP!CN238</f>
        <v>7.307</v>
      </c>
      <c r="M139" s="146">
        <f>[10]Sales_SP!CO238</f>
        <v>6.691</v>
      </c>
      <c r="N139" s="146">
        <f>[10]Sales_SP!CP238</f>
        <v>6.449</v>
      </c>
      <c r="O139" s="146">
        <f>[10]Sales_SP!CQ238</f>
        <v>7.028</v>
      </c>
      <c r="P139" s="146">
        <f>[10]Sales_SP!CR238</f>
        <v>6.455</v>
      </c>
      <c r="Q139" s="916">
        <f t="shared" si="58"/>
        <v>86.414</v>
      </c>
      <c r="R139" s="887"/>
      <c r="S139" s="887"/>
    </row>
    <row r="140" ht="15" spans="3:19">
      <c r="C140" s="55" t="s">
        <v>201</v>
      </c>
      <c r="D140" s="55" t="s">
        <v>240</v>
      </c>
      <c r="E140" s="146">
        <f>[10]Sales_SP!CG244</f>
        <v>50.56</v>
      </c>
      <c r="F140" s="146">
        <f>[10]Sales_SP!CH244</f>
        <v>24.21</v>
      </c>
      <c r="G140" s="146">
        <f>[10]Sales_SP!CI244</f>
        <v>34.28</v>
      </c>
      <c r="H140" s="146">
        <f>[10]Sales_SP!CJ244</f>
        <v>24.28</v>
      </c>
      <c r="I140" s="146">
        <f>[10]Sales_SP!CK244</f>
        <v>130.01</v>
      </c>
      <c r="J140" s="146">
        <f>[10]Sales_SP!CL244</f>
        <v>301.46</v>
      </c>
      <c r="K140" s="146">
        <f>[10]Sales_SP!CM244</f>
        <v>226.43</v>
      </c>
      <c r="L140" s="146">
        <f>[10]Sales_SP!CN244</f>
        <v>224.67</v>
      </c>
      <c r="M140" s="146">
        <f>[10]Sales_SP!CO244</f>
        <v>192.1</v>
      </c>
      <c r="N140" s="146">
        <f>[10]Sales_SP!CP244</f>
        <v>207.44</v>
      </c>
      <c r="O140" s="146">
        <f>[10]Sales_SP!CQ244</f>
        <v>231.59</v>
      </c>
      <c r="P140" s="146">
        <f>[10]Sales_SP!CR244</f>
        <v>214.54</v>
      </c>
      <c r="Q140" s="916">
        <f t="shared" si="58"/>
        <v>1861.57</v>
      </c>
      <c r="R140" s="887"/>
      <c r="S140" s="887"/>
    </row>
    <row r="141" ht="15" spans="3:19">
      <c r="C141" s="55" t="s">
        <v>203</v>
      </c>
      <c r="D141" s="55" t="s">
        <v>220</v>
      </c>
      <c r="E141" s="146">
        <f>[10]Sales_SP!CG246</f>
        <v>15.33</v>
      </c>
      <c r="F141" s="146">
        <f>[10]Sales_SP!CH246</f>
        <v>16.25</v>
      </c>
      <c r="G141" s="146">
        <f>[10]Sales_SP!CI246</f>
        <v>16.82</v>
      </c>
      <c r="H141" s="146">
        <f>[10]Sales_SP!CJ246</f>
        <v>15.02</v>
      </c>
      <c r="I141" s="146">
        <f>[10]Sales_SP!CK246</f>
        <v>17.5</v>
      </c>
      <c r="J141" s="146">
        <f>[10]Sales_SP!CL246</f>
        <v>16.47</v>
      </c>
      <c r="K141" s="146">
        <f>[10]Sales_SP!CM246</f>
        <v>18.22</v>
      </c>
      <c r="L141" s="146">
        <f>[10]Sales_SP!CN246</f>
        <v>17.79</v>
      </c>
      <c r="M141" s="146">
        <f>[10]Sales_SP!CO246</f>
        <v>17.12</v>
      </c>
      <c r="N141" s="146">
        <f>[10]Sales_SP!CP246</f>
        <v>18.2</v>
      </c>
      <c r="O141" s="146">
        <f>[10]Sales_SP!CQ246</f>
        <v>17.93</v>
      </c>
      <c r="P141" s="146">
        <f>[10]Sales_SP!CR246</f>
        <v>18.14</v>
      </c>
      <c r="Q141" s="916">
        <f t="shared" si="58"/>
        <v>204.79</v>
      </c>
      <c r="R141" s="887"/>
      <c r="S141" s="887"/>
    </row>
    <row r="142" ht="15" spans="3:19">
      <c r="C142" s="55" t="s">
        <v>241</v>
      </c>
      <c r="D142" s="55" t="s">
        <v>229</v>
      </c>
      <c r="E142" s="146">
        <f>[10]Sales_SP!CG249</f>
        <v>18.49</v>
      </c>
      <c r="F142" s="146">
        <f>[10]Sales_SP!CH249</f>
        <v>18.61</v>
      </c>
      <c r="G142" s="146">
        <f>[10]Sales_SP!CI249</f>
        <v>18.85</v>
      </c>
      <c r="H142" s="146">
        <f>[10]Sales_SP!CJ249</f>
        <v>20.85</v>
      </c>
      <c r="I142" s="146">
        <f>[10]Sales_SP!CK249</f>
        <v>18.32</v>
      </c>
      <c r="J142" s="146">
        <f>[10]Sales_SP!CL249</f>
        <v>20.49</v>
      </c>
      <c r="K142" s="146">
        <f>[10]Sales_SP!CM249</f>
        <v>18.43</v>
      </c>
      <c r="L142" s="146">
        <f>[10]Sales_SP!CN249</f>
        <v>19.86</v>
      </c>
      <c r="M142" s="146">
        <f>[10]Sales_SP!CO249</f>
        <v>25.18</v>
      </c>
      <c r="N142" s="146">
        <f>[10]Sales_SP!CP249</f>
        <v>23.59</v>
      </c>
      <c r="O142" s="146">
        <f>[10]Sales_SP!CQ249</f>
        <v>24.66</v>
      </c>
      <c r="P142" s="146">
        <f>[10]Sales_SP!CR249</f>
        <v>22.67</v>
      </c>
      <c r="Q142" s="916">
        <f t="shared" si="58"/>
        <v>250</v>
      </c>
      <c r="R142" s="887"/>
      <c r="S142" s="887"/>
    </row>
    <row r="143" ht="15" spans="3:19">
      <c r="C143" s="55" t="s">
        <v>259</v>
      </c>
      <c r="D143" s="55" t="s">
        <v>243</v>
      </c>
      <c r="E143" s="146">
        <f>[10]Sales_SP!CG251</f>
        <v>6.79</v>
      </c>
      <c r="F143" s="146">
        <f>[10]Sales_SP!CH251</f>
        <v>7.17</v>
      </c>
      <c r="G143" s="146">
        <f>[10]Sales_SP!CI251</f>
        <v>6.92</v>
      </c>
      <c r="H143" s="146">
        <f>[10]Sales_SP!CJ251</f>
        <v>6.32</v>
      </c>
      <c r="I143" s="146">
        <f>[10]Sales_SP!CK251</f>
        <v>6.4</v>
      </c>
      <c r="J143" s="146">
        <f>[10]Sales_SP!CL251</f>
        <v>6.52</v>
      </c>
      <c r="K143" s="146">
        <f>[10]Sales_SP!CM251</f>
        <v>6.65</v>
      </c>
      <c r="L143" s="146">
        <f>[10]Sales_SP!CN251</f>
        <v>6.95</v>
      </c>
      <c r="M143" s="146">
        <f>[10]Sales_SP!CO251</f>
        <v>6.53</v>
      </c>
      <c r="N143" s="146">
        <f>[10]Sales_SP!CP251</f>
        <v>6.69</v>
      </c>
      <c r="O143" s="146">
        <f>[10]Sales_SP!CQ251</f>
        <v>7.19</v>
      </c>
      <c r="P143" s="146">
        <f>[10]Sales_SP!CR251</f>
        <v>6.88</v>
      </c>
      <c r="Q143" s="916">
        <f t="shared" si="58"/>
        <v>81.01</v>
      </c>
      <c r="R143" s="887"/>
      <c r="S143" s="887"/>
    </row>
    <row r="144" ht="15" spans="3:19">
      <c r="C144" s="55" t="s">
        <v>205</v>
      </c>
      <c r="D144" s="55" t="s">
        <v>206</v>
      </c>
      <c r="E144" s="146">
        <f>[10]Sales_SP!CG253</f>
        <v>0</v>
      </c>
      <c r="F144" s="146">
        <f>[10]Sales_SP!CH253</f>
        <v>0</v>
      </c>
      <c r="G144" s="146">
        <f>[10]Sales_SP!CI253</f>
        <v>0</v>
      </c>
      <c r="H144" s="146">
        <f>[10]Sales_SP!CJ253</f>
        <v>0</v>
      </c>
      <c r="I144" s="146">
        <f>[10]Sales_SP!CK253</f>
        <v>0</v>
      </c>
      <c r="J144" s="146">
        <f>[10]Sales_SP!CL253</f>
        <v>0</v>
      </c>
      <c r="K144" s="146">
        <f>[10]Sales_SP!CM253</f>
        <v>0</v>
      </c>
      <c r="L144" s="146">
        <f>[10]Sales_SP!CN253</f>
        <v>0</v>
      </c>
      <c r="M144" s="146">
        <f>[10]Sales_SP!CO253</f>
        <v>0</v>
      </c>
      <c r="N144" s="146">
        <f>[10]Sales_SP!CP253</f>
        <v>0</v>
      </c>
      <c r="O144" s="146">
        <f>[10]Sales_SP!CQ253</f>
        <v>0</v>
      </c>
      <c r="P144" s="146">
        <f>[10]Sales_SP!CR253</f>
        <v>0</v>
      </c>
      <c r="Q144" s="916">
        <f t="shared" si="58"/>
        <v>0</v>
      </c>
      <c r="R144" s="887"/>
      <c r="S144" s="887"/>
    </row>
    <row r="145" ht="15" spans="3:19">
      <c r="C145" s="55" t="s">
        <v>207</v>
      </c>
      <c r="D145" s="55" t="s">
        <v>186</v>
      </c>
      <c r="E145" s="146">
        <f>[10]Sales_SP!CG254</f>
        <v>0</v>
      </c>
      <c r="F145" s="146">
        <f>[10]Sales_SP!CH254</f>
        <v>0</v>
      </c>
      <c r="G145" s="146">
        <f>[10]Sales_SP!CI254</f>
        <v>0</v>
      </c>
      <c r="H145" s="146">
        <f>[10]Sales_SP!CJ254</f>
        <v>0</v>
      </c>
      <c r="I145" s="146">
        <f>[10]Sales_SP!CK254</f>
        <v>0</v>
      </c>
      <c r="J145" s="146">
        <f>[10]Sales_SP!CL254</f>
        <v>0</v>
      </c>
      <c r="K145" s="146">
        <f>[10]Sales_SP!CM254</f>
        <v>0</v>
      </c>
      <c r="L145" s="146">
        <f>[10]Sales_SP!CN254</f>
        <v>0</v>
      </c>
      <c r="M145" s="146">
        <f>[10]Sales_SP!CO254</f>
        <v>0</v>
      </c>
      <c r="N145" s="146">
        <f>[10]Sales_SP!CP254</f>
        <v>0</v>
      </c>
      <c r="O145" s="146">
        <f>[10]Sales_SP!CQ254</f>
        <v>0</v>
      </c>
      <c r="P145" s="146">
        <f>[10]Sales_SP!CR254</f>
        <v>0</v>
      </c>
      <c r="Q145" s="916">
        <f t="shared" si="58"/>
        <v>0</v>
      </c>
      <c r="R145" s="887"/>
      <c r="S145" s="887"/>
    </row>
    <row r="146" ht="15" spans="3:19">
      <c r="C146" s="55" t="s">
        <v>208</v>
      </c>
      <c r="D146" s="55" t="s">
        <v>209</v>
      </c>
      <c r="E146" s="146">
        <v>0</v>
      </c>
      <c r="F146" s="146">
        <v>0</v>
      </c>
      <c r="G146" s="146">
        <v>0</v>
      </c>
      <c r="H146" s="146">
        <v>0</v>
      </c>
      <c r="I146" s="146">
        <v>0</v>
      </c>
      <c r="J146" s="146">
        <v>0</v>
      </c>
      <c r="K146" s="146">
        <v>0</v>
      </c>
      <c r="L146" s="146">
        <v>0</v>
      </c>
      <c r="M146" s="146">
        <v>0</v>
      </c>
      <c r="N146" s="146">
        <v>0</v>
      </c>
      <c r="O146" s="146">
        <v>0</v>
      </c>
      <c r="P146" s="146">
        <v>0</v>
      </c>
      <c r="Q146" s="916">
        <f t="shared" si="58"/>
        <v>0</v>
      </c>
      <c r="R146" s="887"/>
      <c r="S146" s="887"/>
    </row>
    <row r="147" ht="15" spans="3:19">
      <c r="C147" s="55" t="s">
        <v>210</v>
      </c>
      <c r="D147" s="55" t="s">
        <v>188</v>
      </c>
      <c r="E147" s="146">
        <v>0</v>
      </c>
      <c r="F147" s="146">
        <v>0</v>
      </c>
      <c r="G147" s="146">
        <v>0</v>
      </c>
      <c r="H147" s="146">
        <v>0</v>
      </c>
      <c r="I147" s="146">
        <v>0</v>
      </c>
      <c r="J147" s="146">
        <v>0</v>
      </c>
      <c r="K147" s="146">
        <v>0</v>
      </c>
      <c r="L147" s="146">
        <v>0</v>
      </c>
      <c r="M147" s="146">
        <v>0</v>
      </c>
      <c r="N147" s="146">
        <v>0</v>
      </c>
      <c r="O147" s="146">
        <v>0</v>
      </c>
      <c r="P147" s="146">
        <v>0</v>
      </c>
      <c r="Q147" s="916">
        <f t="shared" si="58"/>
        <v>0</v>
      </c>
      <c r="R147" s="887"/>
      <c r="S147" s="887"/>
    </row>
    <row r="148" ht="15" spans="3:19">
      <c r="C148" s="55"/>
      <c r="D148" s="55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916">
        <f t="shared" si="58"/>
        <v>0</v>
      </c>
      <c r="R148" s="887"/>
      <c r="S148" s="887"/>
    </row>
    <row r="149" ht="15" spans="3:19">
      <c r="C149" s="55"/>
      <c r="D149" s="55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916">
        <f t="shared" si="58"/>
        <v>0</v>
      </c>
      <c r="R149" s="887"/>
      <c r="S149" s="887"/>
    </row>
    <row r="150" ht="15" spans="3:19">
      <c r="C150" s="55"/>
      <c r="D150" s="55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916">
        <f t="shared" si="58"/>
        <v>0</v>
      </c>
      <c r="R150" s="887"/>
      <c r="S150" s="887"/>
    </row>
    <row r="151" ht="15" spans="3:19">
      <c r="C151" s="55" t="s">
        <v>258</v>
      </c>
      <c r="D151" s="55" t="s">
        <v>258</v>
      </c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916">
        <f t="shared" si="58"/>
        <v>0</v>
      </c>
      <c r="R151" s="887"/>
      <c r="S151" s="887"/>
    </row>
    <row r="152" ht="15" spans="3:19">
      <c r="C152" s="537" t="s">
        <v>211</v>
      </c>
      <c r="D152" s="540"/>
      <c r="E152" s="916">
        <f t="shared" ref="E152:P152" si="59">SUM(E135:E151)</f>
        <v>361.93</v>
      </c>
      <c r="F152" s="916">
        <f t="shared" si="59"/>
        <v>310.66</v>
      </c>
      <c r="G152" s="916">
        <f t="shared" si="59"/>
        <v>339.12</v>
      </c>
      <c r="H152" s="916">
        <f t="shared" si="59"/>
        <v>313.46</v>
      </c>
      <c r="I152" s="916">
        <f t="shared" si="59"/>
        <v>413.09</v>
      </c>
      <c r="J152" s="916">
        <f t="shared" si="59"/>
        <v>565.39</v>
      </c>
      <c r="K152" s="916">
        <f t="shared" si="59"/>
        <v>483.75288156</v>
      </c>
      <c r="L152" s="916">
        <f t="shared" si="59"/>
        <v>500.62106118</v>
      </c>
      <c r="M152" s="916">
        <f t="shared" si="59"/>
        <v>466.846934</v>
      </c>
      <c r="N152" s="916">
        <f t="shared" si="59"/>
        <v>477.47406</v>
      </c>
      <c r="O152" s="916">
        <f t="shared" si="59"/>
        <v>516.60944022</v>
      </c>
      <c r="P152" s="916">
        <f t="shared" si="59"/>
        <v>483.53697905</v>
      </c>
      <c r="Q152" s="916">
        <f t="shared" si="58"/>
        <v>5232.49135601</v>
      </c>
      <c r="R152" s="887"/>
      <c r="S152" s="887"/>
    </row>
    <row r="153" ht="15" spans="3:19">
      <c r="C153" s="537" t="s">
        <v>223</v>
      </c>
      <c r="D153" s="540"/>
      <c r="E153" s="916">
        <f t="shared" ref="E153:P153" si="60">E116+E133+E152</f>
        <v>1346.4562041324</v>
      </c>
      <c r="F153" s="916">
        <f t="shared" si="60"/>
        <v>1270.30691203325</v>
      </c>
      <c r="G153" s="916">
        <f t="shared" si="60"/>
        <v>1371.54783077907</v>
      </c>
      <c r="H153" s="916">
        <f t="shared" si="60"/>
        <v>1267.50619554002</v>
      </c>
      <c r="I153" s="916">
        <f t="shared" si="60"/>
        <v>1347.59706082497</v>
      </c>
      <c r="J153" s="916">
        <f t="shared" si="60"/>
        <v>1493.66611330352</v>
      </c>
      <c r="K153" s="916">
        <f t="shared" si="60"/>
        <v>1323.46536254194</v>
      </c>
      <c r="L153" s="916">
        <f t="shared" si="60"/>
        <v>1400.66845568769</v>
      </c>
      <c r="M153" s="916">
        <f t="shared" si="60"/>
        <v>1344.80549753675</v>
      </c>
      <c r="N153" s="916">
        <f t="shared" si="60"/>
        <v>1362.95683064955</v>
      </c>
      <c r="O153" s="916">
        <f t="shared" si="60"/>
        <v>1442.63582256862</v>
      </c>
      <c r="P153" s="916">
        <f t="shared" si="60"/>
        <v>1368.55368126958</v>
      </c>
      <c r="Q153" s="916">
        <f t="shared" si="58"/>
        <v>16340.1659668674</v>
      </c>
      <c r="R153" s="887"/>
      <c r="S153" s="887"/>
    </row>
    <row r="154" ht="15" spans="3:19">
      <c r="C154" s="537" t="s">
        <v>224</v>
      </c>
      <c r="D154" s="540"/>
      <c r="E154" s="916">
        <f t="shared" ref="E154:P154" si="61">E153+E99</f>
        <v>2615.2339861324</v>
      </c>
      <c r="F154" s="916">
        <f t="shared" si="61"/>
        <v>2732.08003103325</v>
      </c>
      <c r="G154" s="916">
        <f t="shared" si="61"/>
        <v>2526.68616277907</v>
      </c>
      <c r="H154" s="916">
        <f t="shared" si="61"/>
        <v>2332.94270394003</v>
      </c>
      <c r="I154" s="916">
        <f t="shared" si="61"/>
        <v>2398.36156282497</v>
      </c>
      <c r="J154" s="916">
        <f t="shared" si="61"/>
        <v>2506.77822435675</v>
      </c>
      <c r="K154" s="916">
        <f t="shared" si="61"/>
        <v>2320.46214954194</v>
      </c>
      <c r="L154" s="916">
        <f t="shared" si="61"/>
        <v>2357.34137967769</v>
      </c>
      <c r="M154" s="916">
        <f t="shared" si="61"/>
        <v>2261.33350868675</v>
      </c>
      <c r="N154" s="916">
        <f t="shared" si="61"/>
        <v>2294.07109824955</v>
      </c>
      <c r="O154" s="916">
        <f t="shared" si="61"/>
        <v>2396.22390556862</v>
      </c>
      <c r="P154" s="916">
        <f t="shared" si="61"/>
        <v>2356.35072426958</v>
      </c>
      <c r="Q154" s="916">
        <f t="shared" si="58"/>
        <v>29097.8654370606</v>
      </c>
      <c r="R154" s="887"/>
      <c r="S154" s="887"/>
    </row>
    <row r="155" ht="15" spans="3:19">
      <c r="C155" s="3"/>
      <c r="D155" s="3"/>
      <c r="E155" s="887"/>
      <c r="F155" s="887"/>
      <c r="G155" s="887"/>
      <c r="H155" s="887"/>
      <c r="I155" s="887"/>
      <c r="J155" s="887"/>
      <c r="K155" s="887"/>
      <c r="L155" s="887"/>
      <c r="M155" s="887"/>
      <c r="N155" s="887"/>
      <c r="O155" s="887"/>
      <c r="P155" s="887"/>
      <c r="Q155" s="887"/>
      <c r="R155" s="887"/>
      <c r="S155" s="887"/>
    </row>
    <row r="156" ht="15" spans="3:19">
      <c r="C156" s="14"/>
      <c r="E156" s="887"/>
      <c r="F156" s="887"/>
      <c r="G156" s="887"/>
      <c r="H156" s="887"/>
      <c r="I156" s="887"/>
      <c r="J156" s="887"/>
      <c r="K156" s="887"/>
      <c r="L156" s="887"/>
      <c r="M156" s="887"/>
      <c r="N156" s="887"/>
      <c r="O156" s="887"/>
      <c r="P156" s="887"/>
      <c r="Q156" s="918" t="s">
        <v>236</v>
      </c>
      <c r="R156" s="887"/>
      <c r="S156" s="887"/>
    </row>
    <row r="157" ht="15" spans="3:19">
      <c r="C157" s="6" t="s">
        <v>159</v>
      </c>
      <c r="D157" s="6"/>
      <c r="E157" s="150" t="s">
        <v>260</v>
      </c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887"/>
      <c r="S157" s="887"/>
    </row>
    <row r="158" ht="15" spans="3:19">
      <c r="C158" s="6"/>
      <c r="D158" s="6"/>
      <c r="E158" s="150" t="s">
        <v>246</v>
      </c>
      <c r="F158" s="150" t="s">
        <v>247</v>
      </c>
      <c r="G158" s="150" t="s">
        <v>248</v>
      </c>
      <c r="H158" s="150" t="s">
        <v>249</v>
      </c>
      <c r="I158" s="150" t="s">
        <v>250</v>
      </c>
      <c r="J158" s="150" t="s">
        <v>251</v>
      </c>
      <c r="K158" s="150" t="s">
        <v>252</v>
      </c>
      <c r="L158" s="150" t="s">
        <v>253</v>
      </c>
      <c r="M158" s="150" t="s">
        <v>254</v>
      </c>
      <c r="N158" s="150" t="s">
        <v>255</v>
      </c>
      <c r="O158" s="150" t="s">
        <v>256</v>
      </c>
      <c r="P158" s="150" t="s">
        <v>257</v>
      </c>
      <c r="Q158" s="150" t="s">
        <v>97</v>
      </c>
      <c r="R158" s="887"/>
      <c r="S158" s="887"/>
    </row>
    <row r="159" ht="15" spans="3:19">
      <c r="C159" s="44" t="s">
        <v>170</v>
      </c>
      <c r="D159" s="45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58"/>
      <c r="R159" s="887"/>
      <c r="S159" s="887"/>
    </row>
    <row r="160" ht="15" spans="3:19">
      <c r="C160" s="47" t="s">
        <v>171</v>
      </c>
      <c r="D160" s="47" t="s">
        <v>172</v>
      </c>
      <c r="E160" s="146">
        <f>[10]Sales_SP!CT10</f>
        <v>889.482661</v>
      </c>
      <c r="F160" s="146">
        <f>[10]Sales_SP!CU10</f>
        <v>1007.1437855</v>
      </c>
      <c r="G160" s="146">
        <f>[10]Sales_SP!CV10</f>
        <v>774.11618395</v>
      </c>
      <c r="H160" s="146">
        <f>[10]Sales_SP!CW10</f>
        <v>787.64137773</v>
      </c>
      <c r="I160" s="146">
        <f>[10]Sales_SP!CX10</f>
        <v>711.48126579</v>
      </c>
      <c r="J160" s="146">
        <f>[10]Sales_SP!CY10</f>
        <v>733.62959309</v>
      </c>
      <c r="K160" s="146">
        <f>[10]Sales_SP!CZ10</f>
        <v>716.03611939</v>
      </c>
      <c r="L160" s="146">
        <f>[10]Sales_SP!DA10</f>
        <v>619.75025767</v>
      </c>
      <c r="M160" s="146">
        <f>[10]Sales_SP!DB10</f>
        <v>597.95278521</v>
      </c>
      <c r="N160" s="146">
        <f>[10]Sales_SP!DC10</f>
        <v>616.09748825</v>
      </c>
      <c r="O160" s="146">
        <f>[10]Sales_SP!DD10</f>
        <v>615.98324113</v>
      </c>
      <c r="P160" s="146">
        <f>[10]Sales_SP!DE10</f>
        <v>842.5288991</v>
      </c>
      <c r="Q160" s="916">
        <f t="shared" ref="Q160:Q173" si="62">SUM(E160:P160)</f>
        <v>8911.84365781</v>
      </c>
      <c r="R160" s="887"/>
      <c r="S160" s="887"/>
    </row>
    <row r="161" ht="15" spans="3:19">
      <c r="C161" s="55" t="s">
        <v>173</v>
      </c>
      <c r="D161" s="55" t="s">
        <v>174</v>
      </c>
      <c r="E161" s="146">
        <f>[10]Sales_SP!CT23</f>
        <v>157.241375</v>
      </c>
      <c r="F161" s="146">
        <f>[10]Sales_SP!CU23</f>
        <v>245.755592</v>
      </c>
      <c r="G161" s="146">
        <f>[10]Sales_SP!CV23</f>
        <v>166.2556645</v>
      </c>
      <c r="H161" s="146">
        <f>[10]Sales_SP!CW23</f>
        <v>165.3770375</v>
      </c>
      <c r="I161" s="146">
        <f>[10]Sales_SP!CX23</f>
        <v>155.674095</v>
      </c>
      <c r="J161" s="146">
        <f>[10]Sales_SP!CY23</f>
        <v>171.68024801</v>
      </c>
      <c r="K161" s="146">
        <f>[10]Sales_SP!CZ23</f>
        <v>177.68252325</v>
      </c>
      <c r="L161" s="146">
        <f>[10]Sales_SP!DA23</f>
        <v>167.36727319</v>
      </c>
      <c r="M161" s="146">
        <f>[10]Sales_SP!DB23</f>
        <v>169.94316952</v>
      </c>
      <c r="N161" s="146">
        <f>[10]Sales_SP!DC23</f>
        <v>173.3462431</v>
      </c>
      <c r="O161" s="146">
        <f>[10]Sales_SP!DD23</f>
        <v>180.2769248</v>
      </c>
      <c r="P161" s="146">
        <f>[10]Sales_SP!DE23</f>
        <v>229.97228746</v>
      </c>
      <c r="Q161" s="916">
        <f t="shared" si="62"/>
        <v>2160.57243333</v>
      </c>
      <c r="R161" s="887"/>
      <c r="S161" s="887"/>
    </row>
    <row r="162" ht="15" spans="3:19">
      <c r="C162" s="55" t="s">
        <v>175</v>
      </c>
      <c r="D162" s="55" t="s">
        <v>176</v>
      </c>
      <c r="E162" s="146">
        <f>[10]Sales_SP!CT36</f>
        <v>81.518555</v>
      </c>
      <c r="F162" s="146">
        <f>[10]Sales_SP!CU36</f>
        <v>63.440446</v>
      </c>
      <c r="G162" s="146">
        <f>[10]Sales_SP!CV36</f>
        <v>63.1360545</v>
      </c>
      <c r="H162" s="146">
        <f>[10]Sales_SP!CW36</f>
        <v>66.772574</v>
      </c>
      <c r="I162" s="146">
        <f>[10]Sales_SP!CX36</f>
        <v>64.056426</v>
      </c>
      <c r="J162" s="146">
        <f>[10]Sales_SP!CY36</f>
        <v>70.532176</v>
      </c>
      <c r="K162" s="146">
        <f>[10]Sales_SP!CZ36</f>
        <v>69.908382</v>
      </c>
      <c r="L162" s="146">
        <f>[10]Sales_SP!DA36</f>
        <v>77.5692</v>
      </c>
      <c r="M162" s="146">
        <f>[10]Sales_SP!DB36</f>
        <v>87.046812</v>
      </c>
      <c r="N162" s="146">
        <f>[10]Sales_SP!DC36</f>
        <v>78.657146</v>
      </c>
      <c r="O162" s="146">
        <f>[10]Sales_SP!DD36</f>
        <v>76.932426</v>
      </c>
      <c r="P162" s="146">
        <f>[10]Sales_SP!DE36</f>
        <v>80.436896</v>
      </c>
      <c r="Q162" s="916">
        <f t="shared" si="62"/>
        <v>880.0070935</v>
      </c>
      <c r="R162" s="887"/>
      <c r="S162" s="887"/>
    </row>
    <row r="163" ht="15" spans="3:19">
      <c r="C163" s="55" t="s">
        <v>177</v>
      </c>
      <c r="D163" s="55" t="s">
        <v>178</v>
      </c>
      <c r="E163" s="146">
        <f>[10]Sales_SP!CT43</f>
        <v>1.115069</v>
      </c>
      <c r="F163" s="146">
        <f>[10]Sales_SP!CU43</f>
        <v>0.815745</v>
      </c>
      <c r="G163" s="146">
        <f>[10]Sales_SP!CV43</f>
        <v>0.760655</v>
      </c>
      <c r="H163" s="146">
        <f>[10]Sales_SP!CW43</f>
        <v>0.807323</v>
      </c>
      <c r="I163" s="146">
        <f>[10]Sales_SP!CX43</f>
        <v>0.67538</v>
      </c>
      <c r="J163" s="146">
        <f>[10]Sales_SP!CY43</f>
        <v>0.80567</v>
      </c>
      <c r="K163" s="146">
        <f>[10]Sales_SP!CZ43</f>
        <v>0.767763</v>
      </c>
      <c r="L163" s="146">
        <f>[10]Sales_SP!DA43</f>
        <v>0.727058</v>
      </c>
      <c r="M163" s="146">
        <f>[10]Sales_SP!DB43</f>
        <v>0.813521</v>
      </c>
      <c r="N163" s="146">
        <f>[10]Sales_SP!DC43</f>
        <v>0.735393</v>
      </c>
      <c r="O163" s="146">
        <f>[10]Sales_SP!DD43</f>
        <v>0.738009</v>
      </c>
      <c r="P163" s="146">
        <f>[10]Sales_SP!DE43</f>
        <v>0.817645</v>
      </c>
      <c r="Q163" s="916">
        <f t="shared" si="62"/>
        <v>9.579231</v>
      </c>
      <c r="R163" s="887"/>
      <c r="S163" s="887"/>
    </row>
    <row r="164" ht="15" spans="3:19">
      <c r="C164" s="55" t="s">
        <v>179</v>
      </c>
      <c r="D164" s="55" t="s">
        <v>180</v>
      </c>
      <c r="E164" s="146">
        <f>[10]Sales_SP!CT48+[10]Sales_SP!CT53</f>
        <v>2.490611</v>
      </c>
      <c r="F164" s="146">
        <f>[10]Sales_SP!CU48+[10]Sales_SP!CU53</f>
        <v>2.58671</v>
      </c>
      <c r="G164" s="146">
        <f>[10]Sales_SP!CV48+[10]Sales_SP!CV53</f>
        <v>1.883749</v>
      </c>
      <c r="H164" s="146">
        <f>[10]Sales_SP!CW48+[10]Sales_SP!CW53</f>
        <v>1.930226</v>
      </c>
      <c r="I164" s="146">
        <f>[10]Sales_SP!CX48+[10]Sales_SP!CX53</f>
        <v>1.84</v>
      </c>
      <c r="J164" s="146">
        <f>[10]Sales_SP!CY48+[10]Sales_SP!CY53</f>
        <v>1.81</v>
      </c>
      <c r="K164" s="146">
        <f>[10]Sales_SP!CZ48+[10]Sales_SP!CZ53</f>
        <v>1.87</v>
      </c>
      <c r="L164" s="146">
        <f>[10]Sales_SP!DA48+[10]Sales_SP!DA53</f>
        <v>1.88</v>
      </c>
      <c r="M164" s="146">
        <f>[10]Sales_SP!DB48+[10]Sales_SP!DB53</f>
        <v>1.91</v>
      </c>
      <c r="N164" s="146">
        <f>[10]Sales_SP!DC48+[10]Sales_SP!DC53</f>
        <v>2.37</v>
      </c>
      <c r="O164" s="146">
        <f>[10]Sales_SP!DD48+[10]Sales_SP!DD53</f>
        <v>2.1</v>
      </c>
      <c r="P164" s="146">
        <f>[10]Sales_SP!DE48+[10]Sales_SP!DE53</f>
        <v>0</v>
      </c>
      <c r="Q164" s="916">
        <f t="shared" si="62"/>
        <v>22.671296</v>
      </c>
      <c r="R164" s="887"/>
      <c r="S164" s="887"/>
    </row>
    <row r="165" ht="15" spans="3:19">
      <c r="C165" s="55" t="s">
        <v>181</v>
      </c>
      <c r="D165" s="55" t="s">
        <v>182</v>
      </c>
      <c r="E165" s="146">
        <f>[10]Sales_SP!CT54</f>
        <v>45.4151409</v>
      </c>
      <c r="F165" s="146">
        <f>[10]Sales_SP!CU54</f>
        <v>41.22368106</v>
      </c>
      <c r="G165" s="146">
        <f>[10]Sales_SP!CV54</f>
        <v>40.33599186</v>
      </c>
      <c r="H165" s="146">
        <f>[10]Sales_SP!CW54</f>
        <v>44.05345225</v>
      </c>
      <c r="I165" s="146">
        <f>[10]Sales_SP!CX54</f>
        <v>36.911133</v>
      </c>
      <c r="J165" s="146">
        <f>[10]Sales_SP!CY54</f>
        <v>36.38</v>
      </c>
      <c r="K165" s="146">
        <f>[10]Sales_SP!CZ54</f>
        <v>38.78735625</v>
      </c>
      <c r="L165" s="146">
        <f>[10]Sales_SP!DA54</f>
        <v>39.129566</v>
      </c>
      <c r="M165" s="146">
        <f>[10]Sales_SP!DB54</f>
        <v>39.831662</v>
      </c>
      <c r="N165" s="146">
        <f>[10]Sales_SP!DC54</f>
        <v>38.81545775</v>
      </c>
      <c r="O165" s="146">
        <f>[10]Sales_SP!DD54</f>
        <v>36.45786175</v>
      </c>
      <c r="P165" s="146">
        <f>[10]Sales_SP!DE54</f>
        <v>40.8764126</v>
      </c>
      <c r="Q165" s="916">
        <f t="shared" si="62"/>
        <v>478.21771542</v>
      </c>
      <c r="R165" s="887"/>
      <c r="S165" s="887"/>
    </row>
    <row r="166" ht="15" spans="3:19">
      <c r="C166" s="55" t="s">
        <v>183</v>
      </c>
      <c r="D166" s="55" t="s">
        <v>184</v>
      </c>
      <c r="E166" s="146">
        <f>[10]Sales_SP!CT64</f>
        <v>2.141105</v>
      </c>
      <c r="F166" s="146">
        <f>[10]Sales_SP!CU64</f>
        <v>6.077554</v>
      </c>
      <c r="G166" s="146">
        <f>[10]Sales_SP!CV64</f>
        <v>3.59016925</v>
      </c>
      <c r="H166" s="146">
        <f>[10]Sales_SP!CW64</f>
        <v>3.49083375</v>
      </c>
      <c r="I166" s="146">
        <f>[10]Sales_SP!CX64</f>
        <v>3.271898</v>
      </c>
      <c r="J166" s="146">
        <f>[10]Sales_SP!CY64</f>
        <v>3.65</v>
      </c>
      <c r="K166" s="146">
        <f>[10]Sales_SP!CZ64</f>
        <v>3.649295</v>
      </c>
      <c r="L166" s="146">
        <f>[10]Sales_SP!DA64</f>
        <v>3.419242</v>
      </c>
      <c r="M166" s="146">
        <f>[10]Sales_SP!DB64</f>
        <v>3.638594</v>
      </c>
      <c r="N166" s="146">
        <f>[10]Sales_SP!DC64</f>
        <v>3.606449</v>
      </c>
      <c r="O166" s="146">
        <f>[10]Sales_SP!DD64</f>
        <v>4.993773</v>
      </c>
      <c r="P166" s="146">
        <f>[10]Sales_SP!DE64</f>
        <v>6.1809067</v>
      </c>
      <c r="Q166" s="916">
        <f t="shared" si="62"/>
        <v>47.7098197</v>
      </c>
      <c r="R166" s="887"/>
      <c r="S166" s="887"/>
    </row>
    <row r="167" ht="15" spans="3:19">
      <c r="C167" s="55" t="s">
        <v>185</v>
      </c>
      <c r="D167" s="55" t="s">
        <v>186</v>
      </c>
      <c r="E167" s="146">
        <f>[10]Sales_SP!CT69</f>
        <v>3.94086732</v>
      </c>
      <c r="F167" s="146">
        <f>[10]Sales_SP!CU69</f>
        <v>4.516936</v>
      </c>
      <c r="G167" s="146">
        <f>[10]Sales_SP!CV69</f>
        <v>3.017399</v>
      </c>
      <c r="H167" s="146">
        <f>[10]Sales_SP!CW69</f>
        <v>3.306336</v>
      </c>
      <c r="I167" s="146">
        <f>[10]Sales_SP!CX69</f>
        <v>3.423059</v>
      </c>
      <c r="J167" s="146">
        <f>[10]Sales_SP!CY69</f>
        <v>3.922136</v>
      </c>
      <c r="K167" s="146">
        <f>[10]Sales_SP!CZ69</f>
        <v>4.317746</v>
      </c>
      <c r="L167" s="146">
        <f>[10]Sales_SP!DA69</f>
        <v>4.214107</v>
      </c>
      <c r="M167" s="146">
        <f>[10]Sales_SP!DB69</f>
        <v>5.094679</v>
      </c>
      <c r="N167" s="146">
        <f>[10]Sales_SP!DC69</f>
        <v>5.290805</v>
      </c>
      <c r="O167" s="146">
        <f>[10]Sales_SP!DD69</f>
        <v>5.583481</v>
      </c>
      <c r="P167" s="146">
        <f>[10]Sales_SP!DE69</f>
        <v>6.801739</v>
      </c>
      <c r="Q167" s="916">
        <f t="shared" si="62"/>
        <v>53.42929032</v>
      </c>
      <c r="R167" s="887"/>
      <c r="S167" s="887"/>
    </row>
    <row r="168" ht="15" spans="3:19">
      <c r="C168" s="55" t="s">
        <v>187</v>
      </c>
      <c r="D168" s="55" t="s">
        <v>188</v>
      </c>
      <c r="E168" s="146">
        <f>[10]Sales_SP!CT70</f>
        <v>5.2e-5</v>
      </c>
      <c r="F168" s="146">
        <f>[10]Sales_SP!CU70</f>
        <v>0.000643</v>
      </c>
      <c r="G168" s="146">
        <f>[10]Sales_SP!CV70</f>
        <v>0.0004393</v>
      </c>
      <c r="H168" s="146">
        <f>[10]Sales_SP!CW70</f>
        <v>0.000616</v>
      </c>
      <c r="I168" s="146">
        <f>[10]Sales_SP!CX70</f>
        <v>0.00096</v>
      </c>
      <c r="J168" s="146">
        <f>[10]Sales_SP!CY70</f>
        <v>0.00159</v>
      </c>
      <c r="K168" s="146">
        <f>[10]Sales_SP!CZ70</f>
        <v>0.000971</v>
      </c>
      <c r="L168" s="146">
        <f>[10]Sales_SP!DA70</f>
        <v>0.006312</v>
      </c>
      <c r="M168" s="146">
        <f>[10]Sales_SP!DB70</f>
        <v>0.002167</v>
      </c>
      <c r="N168" s="146">
        <f>[10]Sales_SP!DC70</f>
        <v>0.001029</v>
      </c>
      <c r="O168" s="146">
        <f>[10]Sales_SP!DD70</f>
        <v>0.003907</v>
      </c>
      <c r="P168" s="146">
        <f>[10]Sales_SP!DE70</f>
        <v>0.000816</v>
      </c>
      <c r="Q168" s="916">
        <f t="shared" si="62"/>
        <v>0.0195023</v>
      </c>
      <c r="R168" s="887"/>
      <c r="S168" s="887"/>
    </row>
    <row r="169" ht="15" spans="3:19">
      <c r="C169" s="55"/>
      <c r="D169" s="55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916">
        <f t="shared" si="62"/>
        <v>0</v>
      </c>
      <c r="R169" s="887"/>
      <c r="S169" s="887"/>
    </row>
    <row r="170" ht="15" spans="3:19">
      <c r="C170" s="55"/>
      <c r="D170" s="55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916">
        <f t="shared" si="62"/>
        <v>0</v>
      </c>
      <c r="R170" s="887"/>
      <c r="S170" s="887"/>
    </row>
    <row r="171" ht="15" spans="3:19">
      <c r="C171" s="55"/>
      <c r="D171" s="55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916">
        <f t="shared" si="62"/>
        <v>0</v>
      </c>
      <c r="R171" s="887"/>
      <c r="S171" s="887"/>
    </row>
    <row r="172" ht="15" spans="3:19">
      <c r="C172" s="55" t="s">
        <v>258</v>
      </c>
      <c r="D172" s="55" t="s">
        <v>258</v>
      </c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916">
        <f t="shared" si="62"/>
        <v>0</v>
      </c>
      <c r="R172" s="887"/>
      <c r="S172" s="887"/>
    </row>
    <row r="173" ht="15" spans="3:19">
      <c r="C173" s="537" t="s">
        <v>189</v>
      </c>
      <c r="D173" s="540"/>
      <c r="E173" s="916">
        <f t="shared" ref="E173:P173" si="63">SUM(E160:E172)</f>
        <v>1183.34543622</v>
      </c>
      <c r="F173" s="916">
        <f t="shared" si="63"/>
        <v>1371.56109256</v>
      </c>
      <c r="G173" s="916">
        <f t="shared" si="63"/>
        <v>1053.09630636</v>
      </c>
      <c r="H173" s="916">
        <f t="shared" si="63"/>
        <v>1073.37977623</v>
      </c>
      <c r="I173" s="916">
        <f t="shared" si="63"/>
        <v>977.33421679</v>
      </c>
      <c r="J173" s="916">
        <f t="shared" si="63"/>
        <v>1022.4114131</v>
      </c>
      <c r="K173" s="916">
        <f t="shared" si="63"/>
        <v>1013.02015589</v>
      </c>
      <c r="L173" s="916">
        <f t="shared" si="63"/>
        <v>914.06301586</v>
      </c>
      <c r="M173" s="916">
        <f t="shared" si="63"/>
        <v>906.23338973</v>
      </c>
      <c r="N173" s="916">
        <f t="shared" si="63"/>
        <v>918.9200111</v>
      </c>
      <c r="O173" s="916">
        <f t="shared" si="63"/>
        <v>923.06962368</v>
      </c>
      <c r="P173" s="916">
        <f t="shared" si="63"/>
        <v>1207.61560186</v>
      </c>
      <c r="Q173" s="916">
        <f t="shared" si="62"/>
        <v>12564.05003938</v>
      </c>
      <c r="R173" s="887"/>
      <c r="S173" s="887"/>
    </row>
    <row r="174" ht="15" spans="3:19">
      <c r="C174" s="44" t="s">
        <v>190</v>
      </c>
      <c r="D174" s="45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58"/>
      <c r="R174" s="887"/>
      <c r="S174" s="887"/>
    </row>
    <row r="175" ht="15" spans="3:19">
      <c r="C175" s="55" t="s">
        <v>191</v>
      </c>
      <c r="D175" s="55" t="s">
        <v>192</v>
      </c>
      <c r="E175" s="146">
        <f>[10]Sales_SP!CT89</f>
        <v>179.85</v>
      </c>
      <c r="F175" s="146">
        <f>[10]Sales_SP!CU89</f>
        <v>226.56</v>
      </c>
      <c r="G175" s="146">
        <f>[10]Sales_SP!CV89</f>
        <v>284.68</v>
      </c>
      <c r="H175" s="146">
        <f>[10]Sales_SP!CW89</f>
        <v>284.77</v>
      </c>
      <c r="I175" s="146">
        <f>[10]Sales_SP!CX89</f>
        <v>286.1</v>
      </c>
      <c r="J175" s="146">
        <f>[10]Sales_SP!CY89</f>
        <v>302.35</v>
      </c>
      <c r="K175" s="146">
        <f>[10]Sales_SP!CZ89</f>
        <v>296.49</v>
      </c>
      <c r="L175" s="146">
        <f>[10]Sales_SP!DA89</f>
        <v>312.36</v>
      </c>
      <c r="M175" s="146">
        <f>[10]Sales_SP!DB89</f>
        <v>321.46</v>
      </c>
      <c r="N175" s="146">
        <f>[10]Sales_SP!DC89</f>
        <v>328.87</v>
      </c>
      <c r="O175" s="146">
        <f>[10]Sales_SP!DD89</f>
        <v>328.01</v>
      </c>
      <c r="P175" s="146">
        <f>[10]Sales_SP!DE89</f>
        <v>308.7168271</v>
      </c>
      <c r="Q175" s="916">
        <f t="shared" ref="Q175:Q190" si="64">SUM(E175:P175)</f>
        <v>3460.2168271</v>
      </c>
      <c r="R175" s="887"/>
      <c r="S175" s="887"/>
    </row>
    <row r="176" ht="15" spans="3:19">
      <c r="C176" s="55" t="s">
        <v>193</v>
      </c>
      <c r="D176" s="55" t="s">
        <v>194</v>
      </c>
      <c r="E176" s="146">
        <f>[10]Sales_SP!$CT$104</f>
        <v>0</v>
      </c>
      <c r="F176" s="146">
        <f>[10]Sales_SP!$CT$104</f>
        <v>0</v>
      </c>
      <c r="G176" s="146">
        <f>[10]Sales_SP!$CT$104</f>
        <v>0</v>
      </c>
      <c r="H176" s="146">
        <f>[10]Sales_SP!$CT$104</f>
        <v>0</v>
      </c>
      <c r="I176" s="146">
        <f>[10]Sales_SP!$CT$104</f>
        <v>0</v>
      </c>
      <c r="J176" s="146">
        <f>[10]Sales_SP!$CT$104</f>
        <v>0</v>
      </c>
      <c r="K176" s="146">
        <f>[10]Sales_SP!$CT$104</f>
        <v>0</v>
      </c>
      <c r="L176" s="146">
        <f>[10]Sales_SP!$CT$104</f>
        <v>0</v>
      </c>
      <c r="M176" s="146">
        <f>[10]Sales_SP!$CT$104</f>
        <v>0</v>
      </c>
      <c r="N176" s="146">
        <f>[10]Sales_SP!$CT$104</f>
        <v>0</v>
      </c>
      <c r="O176" s="146">
        <f>[10]Sales_SP!$CT$104</f>
        <v>0</v>
      </c>
      <c r="P176" s="146">
        <f>[10]Sales_SP!$CT$104</f>
        <v>0</v>
      </c>
      <c r="Q176" s="916">
        <f t="shared" si="64"/>
        <v>0</v>
      </c>
      <c r="R176" s="887"/>
      <c r="S176" s="887"/>
    </row>
    <row r="177" ht="15" spans="3:19">
      <c r="C177" s="55" t="s">
        <v>239</v>
      </c>
      <c r="D177" s="55" t="s">
        <v>196</v>
      </c>
      <c r="E177" s="146">
        <f>[10]Sales_SP!CT110</f>
        <v>82.26</v>
      </c>
      <c r="F177" s="146">
        <f>[10]Sales_SP!CU110</f>
        <v>85.21</v>
      </c>
      <c r="G177" s="146">
        <f>[10]Sales_SP!CV110</f>
        <v>106.06</v>
      </c>
      <c r="H177" s="146">
        <f>[10]Sales_SP!CW110</f>
        <v>96.06</v>
      </c>
      <c r="I177" s="146">
        <f>[10]Sales_SP!CX110</f>
        <v>97.93</v>
      </c>
      <c r="J177" s="146">
        <f>[10]Sales_SP!CY110</f>
        <v>100.08</v>
      </c>
      <c r="K177" s="146">
        <f>[10]Sales_SP!CZ110</f>
        <v>101.43</v>
      </c>
      <c r="L177" s="146">
        <f>[10]Sales_SP!DA110</f>
        <v>102.75</v>
      </c>
      <c r="M177" s="146">
        <f>[10]Sales_SP!DB110</f>
        <v>96.2</v>
      </c>
      <c r="N177" s="146">
        <f>[10]Sales_SP!DC110</f>
        <v>98.12473311</v>
      </c>
      <c r="O177" s="146">
        <f>[10]Sales_SP!DD110</f>
        <v>105.462729</v>
      </c>
      <c r="P177" s="146">
        <f>[10]Sales_SP!DE110</f>
        <v>110.210156</v>
      </c>
      <c r="Q177" s="916">
        <f t="shared" si="64"/>
        <v>1181.77761811</v>
      </c>
      <c r="R177" s="887"/>
      <c r="S177" s="887"/>
    </row>
    <row r="178" ht="15" spans="3:19">
      <c r="C178" s="55" t="s">
        <v>197</v>
      </c>
      <c r="D178" s="55" t="s">
        <v>198</v>
      </c>
      <c r="E178" s="146">
        <f>[10]Sales_SP!CT115</f>
        <v>0</v>
      </c>
      <c r="F178" s="146">
        <f>[10]Sales_SP!CU115</f>
        <v>0</v>
      </c>
      <c r="G178" s="146">
        <f>[10]Sales_SP!CV115</f>
        <v>0</v>
      </c>
      <c r="H178" s="146">
        <f>[10]Sales_SP!CW115</f>
        <v>0</v>
      </c>
      <c r="I178" s="146">
        <f>[10]Sales_SP!CX115</f>
        <v>0</v>
      </c>
      <c r="J178" s="146">
        <f>[10]Sales_SP!CY115</f>
        <v>0</v>
      </c>
      <c r="K178" s="146">
        <f>[10]Sales_SP!CZ115</f>
        <v>0</v>
      </c>
      <c r="L178" s="146">
        <f>[10]Sales_SP!DA115</f>
        <v>0</v>
      </c>
      <c r="M178" s="146">
        <f>[10]Sales_SP!DB115</f>
        <v>0</v>
      </c>
      <c r="N178" s="146">
        <f>[10]Sales_SP!DC115</f>
        <v>0</v>
      </c>
      <c r="O178" s="146">
        <f>[10]Sales_SP!DD115</f>
        <v>0</v>
      </c>
      <c r="P178" s="146">
        <f>[10]Sales_SP!DE115</f>
        <v>0</v>
      </c>
      <c r="Q178" s="916">
        <f t="shared" si="64"/>
        <v>0</v>
      </c>
      <c r="R178" s="887"/>
      <c r="S178" s="887"/>
    </row>
    <row r="179" ht="15" spans="3:19">
      <c r="C179" s="55" t="s">
        <v>199</v>
      </c>
      <c r="D179" s="55" t="s">
        <v>200</v>
      </c>
      <c r="E179" s="146">
        <f>[10]Sales_SP!CT120</f>
        <v>0.16</v>
      </c>
      <c r="F179" s="146">
        <f>[10]Sales_SP!CU120</f>
        <v>0.13</v>
      </c>
      <c r="G179" s="146">
        <f>[10]Sales_SP!CV120</f>
        <v>0.18</v>
      </c>
      <c r="H179" s="146">
        <f>[10]Sales_SP!CW120</f>
        <v>0.19</v>
      </c>
      <c r="I179" s="146">
        <f>[10]Sales_SP!CX120</f>
        <v>0.19</v>
      </c>
      <c r="J179" s="146">
        <f>[10]Sales_SP!CY120</f>
        <v>0.18</v>
      </c>
      <c r="K179" s="146">
        <f>[10]Sales_SP!CZ120</f>
        <v>0.2</v>
      </c>
      <c r="L179" s="146">
        <f>[10]Sales_SP!DA120</f>
        <v>0.22</v>
      </c>
      <c r="M179" s="146">
        <f>[10]Sales_SP!DB120</f>
        <v>0.22</v>
      </c>
      <c r="N179" s="146">
        <f>[10]Sales_SP!DC120</f>
        <v>0.215848</v>
      </c>
      <c r="O179" s="146">
        <f>[10]Sales_SP!DD120</f>
        <v>0.218184</v>
      </c>
      <c r="P179" s="146">
        <f>[10]Sales_SP!DE120</f>
        <v>0.241401</v>
      </c>
      <c r="Q179" s="916">
        <f t="shared" si="64"/>
        <v>2.345433</v>
      </c>
      <c r="R179" s="887"/>
      <c r="S179" s="887"/>
    </row>
    <row r="180" ht="15" spans="3:19">
      <c r="C180" s="55" t="s">
        <v>201</v>
      </c>
      <c r="D180" s="55" t="s">
        <v>202</v>
      </c>
      <c r="E180" s="146">
        <f>[10]Sales_SP!CT126</f>
        <v>3.91</v>
      </c>
      <c r="F180" s="146">
        <f>[10]Sales_SP!CU126</f>
        <v>1.12</v>
      </c>
      <c r="G180" s="146">
        <f>[10]Sales_SP!CV126</f>
        <v>1.39</v>
      </c>
      <c r="H180" s="146">
        <f>[10]Sales_SP!CW126</f>
        <v>1.09</v>
      </c>
      <c r="I180" s="146">
        <f>[10]Sales_SP!CX126</f>
        <v>1.49</v>
      </c>
      <c r="J180" s="146">
        <f>[10]Sales_SP!CY126</f>
        <v>3.87</v>
      </c>
      <c r="K180" s="146">
        <f>[10]Sales_SP!CZ126</f>
        <v>3.19</v>
      </c>
      <c r="L180" s="146">
        <f>[10]Sales_SP!DA126</f>
        <v>4.29</v>
      </c>
      <c r="M180" s="146">
        <f>[10]Sales_SP!DB126</f>
        <v>2.37</v>
      </c>
      <c r="N180" s="146">
        <f>[10]Sales_SP!DC126</f>
        <v>5.82</v>
      </c>
      <c r="O180" s="146">
        <f>[10]Sales_SP!DD126</f>
        <v>6.69</v>
      </c>
      <c r="P180" s="146">
        <f>[10]Sales_SP!DE126</f>
        <v>6.89</v>
      </c>
      <c r="Q180" s="916">
        <f t="shared" si="64"/>
        <v>42.12</v>
      </c>
      <c r="R180" s="887"/>
      <c r="S180" s="887"/>
    </row>
    <row r="181" ht="15" spans="3:19">
      <c r="C181" s="55" t="s">
        <v>203</v>
      </c>
      <c r="D181" s="55" t="s">
        <v>204</v>
      </c>
      <c r="E181" s="146">
        <f>[10]Sales_SP!CT127</f>
        <v>9.29</v>
      </c>
      <c r="F181" s="146">
        <f>[10]Sales_SP!CU127</f>
        <v>9.21</v>
      </c>
      <c r="G181" s="146">
        <f>[10]Sales_SP!CV127</f>
        <v>8.94</v>
      </c>
      <c r="H181" s="146">
        <f>[10]Sales_SP!CW127</f>
        <v>8.9</v>
      </c>
      <c r="I181" s="146">
        <f>[10]Sales_SP!CX127</f>
        <v>8.82</v>
      </c>
      <c r="J181" s="146">
        <f>[10]Sales_SP!CY127</f>
        <v>9.34</v>
      </c>
      <c r="K181" s="146">
        <f>[10]Sales_SP!CZ127</f>
        <v>8.56</v>
      </c>
      <c r="L181" s="146">
        <f>[10]Sales_SP!DA127</f>
        <v>8.18</v>
      </c>
      <c r="M181" s="146">
        <f>[10]Sales_SP!DB127</f>
        <v>10.08</v>
      </c>
      <c r="N181" s="146">
        <f>[10]Sales_SP!DC127</f>
        <v>10.47</v>
      </c>
      <c r="O181" s="146">
        <f>[10]Sales_SP!DD127</f>
        <v>10.72</v>
      </c>
      <c r="P181" s="146">
        <f>[10]Sales_SP!DE127</f>
        <v>10.05</v>
      </c>
      <c r="Q181" s="916">
        <f t="shared" si="64"/>
        <v>112.56</v>
      </c>
      <c r="R181" s="887"/>
      <c r="S181" s="887"/>
    </row>
    <row r="182" ht="15" spans="3:19">
      <c r="C182" s="55" t="s">
        <v>205</v>
      </c>
      <c r="D182" s="55" t="s">
        <v>206</v>
      </c>
      <c r="E182" s="146">
        <f>[10]Sales_SP!CT131</f>
        <v>11.64</v>
      </c>
      <c r="F182" s="146">
        <f>[10]Sales_SP!CU131</f>
        <v>13.6</v>
      </c>
      <c r="G182" s="146">
        <f>[10]Sales_SP!CV131</f>
        <v>13.89</v>
      </c>
      <c r="H182" s="146">
        <f>[10]Sales_SP!CW131</f>
        <v>10.1</v>
      </c>
      <c r="I182" s="146">
        <f>[10]Sales_SP!CX131</f>
        <v>10.44</v>
      </c>
      <c r="J182" s="146">
        <f>[10]Sales_SP!CY131</f>
        <v>10.38</v>
      </c>
      <c r="K182" s="146">
        <f>[10]Sales_SP!CZ131</f>
        <v>10.01</v>
      </c>
      <c r="L182" s="146">
        <f>[10]Sales_SP!DA131</f>
        <v>9.76</v>
      </c>
      <c r="M182" s="146">
        <f>[10]Sales_SP!DB131</f>
        <v>9.04</v>
      </c>
      <c r="N182" s="146">
        <f>[10]Sales_SP!DC131</f>
        <v>9.14</v>
      </c>
      <c r="O182" s="146">
        <f>[10]Sales_SP!DD131</f>
        <v>9.49</v>
      </c>
      <c r="P182" s="146">
        <f>[10]Sales_SP!DE131</f>
        <v>10.1</v>
      </c>
      <c r="Q182" s="916">
        <f t="shared" si="64"/>
        <v>127.59</v>
      </c>
      <c r="R182" s="887"/>
      <c r="S182" s="887"/>
    </row>
    <row r="183" ht="15" spans="3:19">
      <c r="C183" s="55" t="s">
        <v>207</v>
      </c>
      <c r="D183" s="55" t="s">
        <v>186</v>
      </c>
      <c r="E183" s="146">
        <f>[10]Sales_SP!CT132</f>
        <v>4.92</v>
      </c>
      <c r="F183" s="146">
        <f>[10]Sales_SP!CU132</f>
        <v>5.26</v>
      </c>
      <c r="G183" s="146">
        <f>[10]Sales_SP!CV132</f>
        <v>5.93</v>
      </c>
      <c r="H183" s="146">
        <f>[10]Sales_SP!CW132</f>
        <v>5.85</v>
      </c>
      <c r="I183" s="146">
        <f>[10]Sales_SP!CX132</f>
        <v>6.77</v>
      </c>
      <c r="J183" s="146">
        <f>[10]Sales_SP!CY132</f>
        <v>7.14</v>
      </c>
      <c r="K183" s="146">
        <f>[10]Sales_SP!CZ132</f>
        <v>7.73</v>
      </c>
      <c r="L183" s="146">
        <f>[10]Sales_SP!DA132</f>
        <v>8.32</v>
      </c>
      <c r="M183" s="146">
        <f>[10]Sales_SP!DB132</f>
        <v>8.04</v>
      </c>
      <c r="N183" s="146">
        <f>[10]Sales_SP!DC132</f>
        <v>8.59</v>
      </c>
      <c r="O183" s="146">
        <f>[10]Sales_SP!DD132</f>
        <v>8.93</v>
      </c>
      <c r="P183" s="146">
        <f>[10]Sales_SP!DE132</f>
        <v>7.92</v>
      </c>
      <c r="Q183" s="916">
        <f t="shared" si="64"/>
        <v>85.4</v>
      </c>
      <c r="R183" s="887"/>
      <c r="S183" s="887"/>
    </row>
    <row r="184" ht="15" spans="3:19">
      <c r="C184" s="55" t="s">
        <v>208</v>
      </c>
      <c r="D184" s="55" t="s">
        <v>209</v>
      </c>
      <c r="E184" s="146">
        <f>[10]Sales_SP!CT133</f>
        <v>0</v>
      </c>
      <c r="F184" s="146">
        <f>[10]Sales_SP!CU133</f>
        <v>0</v>
      </c>
      <c r="G184" s="146">
        <f>[10]Sales_SP!CV133</f>
        <v>0</v>
      </c>
      <c r="H184" s="146">
        <f>[10]Sales_SP!CW133</f>
        <v>0</v>
      </c>
      <c r="I184" s="146">
        <f>[10]Sales_SP!CX133</f>
        <v>0</v>
      </c>
      <c r="J184" s="146">
        <f>[10]Sales_SP!CY133</f>
        <v>0</v>
      </c>
      <c r="K184" s="146">
        <f>[10]Sales_SP!CZ133</f>
        <v>0</v>
      </c>
      <c r="L184" s="146">
        <f>[10]Sales_SP!DA133</f>
        <v>0</v>
      </c>
      <c r="M184" s="146">
        <f>[10]Sales_SP!DB133</f>
        <v>0</v>
      </c>
      <c r="N184" s="146">
        <f>[10]Sales_SP!DC133</f>
        <v>0</v>
      </c>
      <c r="O184" s="146">
        <f>[10]Sales_SP!DD133</f>
        <v>0</v>
      </c>
      <c r="P184" s="146">
        <f>[10]Sales_SP!DE133</f>
        <v>0</v>
      </c>
      <c r="Q184" s="916">
        <f t="shared" si="64"/>
        <v>0</v>
      </c>
      <c r="R184" s="887"/>
      <c r="S184" s="887"/>
    </row>
    <row r="185" ht="15" spans="3:19">
      <c r="C185" s="55" t="s">
        <v>210</v>
      </c>
      <c r="D185" s="55" t="s">
        <v>188</v>
      </c>
      <c r="E185" s="146">
        <f>[10]Sales_SP!CT134</f>
        <v>0.03</v>
      </c>
      <c r="F185" s="146">
        <f>[10]Sales_SP!CU134</f>
        <v>0</v>
      </c>
      <c r="G185" s="146">
        <f>[10]Sales_SP!CV134</f>
        <v>0</v>
      </c>
      <c r="H185" s="146">
        <f>[10]Sales_SP!CW134</f>
        <v>0</v>
      </c>
      <c r="I185" s="146">
        <f>[10]Sales_SP!CX134</f>
        <v>0</v>
      </c>
      <c r="J185" s="146">
        <f>[10]Sales_SP!CY134</f>
        <v>0</v>
      </c>
      <c r="K185" s="146">
        <f>[10]Sales_SP!CZ134</f>
        <v>0.11</v>
      </c>
      <c r="L185" s="146">
        <f>[10]Sales_SP!DA134</f>
        <v>0.17</v>
      </c>
      <c r="M185" s="146">
        <f>[10]Sales_SP!DB134</f>
        <v>0.3</v>
      </c>
      <c r="N185" s="146">
        <f>[10]Sales_SP!DC134</f>
        <v>0.32</v>
      </c>
      <c r="O185" s="146">
        <f>[10]Sales_SP!DD134</f>
        <v>0.33</v>
      </c>
      <c r="P185" s="146">
        <f>[10]Sales_SP!DE134</f>
        <v>0.34</v>
      </c>
      <c r="Q185" s="916">
        <f t="shared" si="64"/>
        <v>1.6</v>
      </c>
      <c r="R185" s="887"/>
      <c r="S185" s="887"/>
    </row>
    <row r="186" ht="15" spans="3:19">
      <c r="C186" s="55"/>
      <c r="D186" s="55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916">
        <f t="shared" si="64"/>
        <v>0</v>
      </c>
      <c r="R186" s="887"/>
      <c r="S186" s="887"/>
    </row>
    <row r="187" ht="15" spans="3:19">
      <c r="C187" s="55"/>
      <c r="D187" s="55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916">
        <f t="shared" si="64"/>
        <v>0</v>
      </c>
      <c r="R187" s="887"/>
      <c r="S187" s="887"/>
    </row>
    <row r="188" ht="15" spans="3:19">
      <c r="C188" s="55"/>
      <c r="D188" s="55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916">
        <f t="shared" si="64"/>
        <v>0</v>
      </c>
      <c r="R188" s="887"/>
      <c r="S188" s="887"/>
    </row>
    <row r="189" ht="15" spans="3:19">
      <c r="C189" s="55" t="s">
        <v>258</v>
      </c>
      <c r="D189" s="55" t="s">
        <v>258</v>
      </c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916">
        <f t="shared" si="64"/>
        <v>0</v>
      </c>
      <c r="R189" s="887"/>
      <c r="S189" s="887"/>
    </row>
    <row r="190" ht="15" spans="3:19">
      <c r="C190" s="537" t="s">
        <v>211</v>
      </c>
      <c r="D190" s="540"/>
      <c r="E190" s="916">
        <f t="shared" ref="E190:P190" si="65">SUM(E175:E189)</f>
        <v>292.06</v>
      </c>
      <c r="F190" s="916">
        <f t="shared" si="65"/>
        <v>341.09</v>
      </c>
      <c r="G190" s="916">
        <f t="shared" si="65"/>
        <v>421.07</v>
      </c>
      <c r="H190" s="916">
        <f t="shared" si="65"/>
        <v>406.96</v>
      </c>
      <c r="I190" s="916">
        <f t="shared" si="65"/>
        <v>411.74</v>
      </c>
      <c r="J190" s="916">
        <f t="shared" si="65"/>
        <v>433.34</v>
      </c>
      <c r="K190" s="916">
        <f t="shared" si="65"/>
        <v>427.72</v>
      </c>
      <c r="L190" s="916">
        <f t="shared" si="65"/>
        <v>446.05</v>
      </c>
      <c r="M190" s="916">
        <f t="shared" si="65"/>
        <v>447.71</v>
      </c>
      <c r="N190" s="916">
        <f t="shared" si="65"/>
        <v>461.55058111</v>
      </c>
      <c r="O190" s="916">
        <f t="shared" si="65"/>
        <v>469.850913</v>
      </c>
      <c r="P190" s="916">
        <f t="shared" si="65"/>
        <v>454.4683841</v>
      </c>
      <c r="Q190" s="916">
        <f t="shared" si="64"/>
        <v>5013.60987821</v>
      </c>
      <c r="R190" s="887"/>
      <c r="S190" s="887"/>
    </row>
    <row r="191" ht="15" spans="3:19">
      <c r="C191" s="44" t="s">
        <v>212</v>
      </c>
      <c r="D191" s="45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58"/>
      <c r="R191" s="887"/>
      <c r="S191" s="887"/>
    </row>
    <row r="192" ht="15" spans="3:19">
      <c r="C192" s="55" t="s">
        <v>191</v>
      </c>
      <c r="D192" s="55" t="s">
        <v>192</v>
      </c>
      <c r="E192" s="146">
        <f>[10]Sales_SP!CT152</f>
        <v>174.4</v>
      </c>
      <c r="F192" s="146">
        <f>[10]Sales_SP!CU152</f>
        <v>221.27</v>
      </c>
      <c r="G192" s="146">
        <f>[10]Sales_SP!CV152</f>
        <v>284.78</v>
      </c>
      <c r="H192" s="146">
        <f>[10]Sales_SP!CW152</f>
        <v>280.18</v>
      </c>
      <c r="I192" s="146">
        <f>[10]Sales_SP!CX152</f>
        <v>287.25</v>
      </c>
      <c r="J192" s="146">
        <f>[10]Sales_SP!CY152</f>
        <v>307.8</v>
      </c>
      <c r="K192" s="146">
        <f>[10]Sales_SP!CZ152</f>
        <v>311.07</v>
      </c>
      <c r="L192" s="146">
        <f>[10]Sales_SP!DA152</f>
        <v>319.32</v>
      </c>
      <c r="M192" s="146">
        <f>[10]Sales_SP!DB152</f>
        <v>312.07</v>
      </c>
      <c r="N192" s="146">
        <f>[10]Sales_SP!DC152</f>
        <v>339.89907744</v>
      </c>
      <c r="O192" s="146">
        <f>[10]Sales_SP!DD152</f>
        <v>367.04454</v>
      </c>
      <c r="P192" s="146">
        <f>[10]Sales_SP!DE152</f>
        <v>370.775284</v>
      </c>
      <c r="Q192" s="916">
        <f t="shared" ref="Q192:Q207" si="66">SUM(E192:P192)</f>
        <v>3575.85890144</v>
      </c>
      <c r="R192" s="887"/>
      <c r="S192" s="887"/>
    </row>
    <row r="193" ht="15" spans="3:19">
      <c r="C193" s="55" t="s">
        <v>193</v>
      </c>
      <c r="D193" s="55" t="s">
        <v>194</v>
      </c>
      <c r="E193" s="146">
        <f>[10]Sales_SP!CT168</f>
        <v>0.26</v>
      </c>
      <c r="F193" s="146">
        <f>[10]Sales_SP!CU168</f>
        <v>1.42</v>
      </c>
      <c r="G193" s="146">
        <f>[10]Sales_SP!CV168</f>
        <v>2.36</v>
      </c>
      <c r="H193" s="146">
        <f>[10]Sales_SP!CW168</f>
        <v>2.55</v>
      </c>
      <c r="I193" s="146">
        <f>[10]Sales_SP!CX168</f>
        <v>2.36</v>
      </c>
      <c r="J193" s="146">
        <f>[10]Sales_SP!CY168</f>
        <v>1.72</v>
      </c>
      <c r="K193" s="146">
        <f>[10]Sales_SP!CZ168</f>
        <v>2.3</v>
      </c>
      <c r="L193" s="146">
        <f>[10]Sales_SP!DA168</f>
        <v>2.58</v>
      </c>
      <c r="M193" s="146">
        <f>[10]Sales_SP!DB168</f>
        <v>2.38</v>
      </c>
      <c r="N193" s="146">
        <f>[10]Sales_SP!DC168</f>
        <v>2.6814</v>
      </c>
      <c r="O193" s="146">
        <f>[10]Sales_SP!DD168</f>
        <v>2.5048</v>
      </c>
      <c r="P193" s="146">
        <f>[10]Sales_SP!DE168</f>
        <v>2.37</v>
      </c>
      <c r="Q193" s="916">
        <f t="shared" si="66"/>
        <v>25.4862</v>
      </c>
      <c r="R193" s="887"/>
      <c r="S193" s="887"/>
    </row>
    <row r="194" ht="15" spans="3:19">
      <c r="C194" s="55" t="s">
        <v>239</v>
      </c>
      <c r="D194" s="55" t="s">
        <v>196</v>
      </c>
      <c r="E194" s="146">
        <f>[10]Sales_SP!CT174</f>
        <v>45.01</v>
      </c>
      <c r="F194" s="146">
        <f>[10]Sales_SP!CU174</f>
        <v>45.26</v>
      </c>
      <c r="G194" s="146">
        <f>[10]Sales_SP!CV174</f>
        <v>54.52</v>
      </c>
      <c r="H194" s="146">
        <f>[10]Sales_SP!CW174</f>
        <v>51.01</v>
      </c>
      <c r="I194" s="146">
        <f>[10]Sales_SP!CX174</f>
        <v>50.42</v>
      </c>
      <c r="J194" s="146">
        <f>[10]Sales_SP!CY174</f>
        <v>53.13</v>
      </c>
      <c r="K194" s="146">
        <f>[10]Sales_SP!CZ174</f>
        <v>53.19</v>
      </c>
      <c r="L194" s="146">
        <f>[10]Sales_SP!DA174</f>
        <v>53.73</v>
      </c>
      <c r="M194" s="146">
        <f>[10]Sales_SP!DB174</f>
        <v>51.79</v>
      </c>
      <c r="N194" s="146">
        <f>[10]Sales_SP!DC174</f>
        <v>54.133897</v>
      </c>
      <c r="O194" s="146">
        <f>[10]Sales_SP!DD174</f>
        <v>56.294178</v>
      </c>
      <c r="P194" s="146">
        <f>[10]Sales_SP!DE174</f>
        <v>57.692249</v>
      </c>
      <c r="Q194" s="916">
        <f t="shared" si="66"/>
        <v>626.180324</v>
      </c>
      <c r="R194" s="887"/>
      <c r="S194" s="887"/>
    </row>
    <row r="195" ht="15" spans="3:19">
      <c r="C195" s="55" t="s">
        <v>197</v>
      </c>
      <c r="D195" s="55" t="s">
        <v>198</v>
      </c>
      <c r="E195" s="146">
        <f>[10]Sales_SP!CT180</f>
        <v>0</v>
      </c>
      <c r="F195" s="146">
        <f>[10]Sales_SP!CU180</f>
        <v>0</v>
      </c>
      <c r="G195" s="146">
        <f>[10]Sales_SP!CV180</f>
        <v>0</v>
      </c>
      <c r="H195" s="146">
        <f>[10]Sales_SP!CW180</f>
        <v>0</v>
      </c>
      <c r="I195" s="146">
        <f>[10]Sales_SP!CX180</f>
        <v>0</v>
      </c>
      <c r="J195" s="146">
        <f>[10]Sales_SP!CY180</f>
        <v>0</v>
      </c>
      <c r="K195" s="146">
        <f>[10]Sales_SP!CZ180</f>
        <v>0</v>
      </c>
      <c r="L195" s="146">
        <f>[10]Sales_SP!DA180</f>
        <v>0</v>
      </c>
      <c r="M195" s="146">
        <f>[10]Sales_SP!DB180</f>
        <v>0</v>
      </c>
      <c r="N195" s="146">
        <f>[10]Sales_SP!DC180</f>
        <v>0</v>
      </c>
      <c r="O195" s="146">
        <f>[10]Sales_SP!DD180</f>
        <v>0</v>
      </c>
      <c r="P195" s="146">
        <f>[10]Sales_SP!DE180</f>
        <v>0</v>
      </c>
      <c r="Q195" s="916">
        <f t="shared" si="66"/>
        <v>0</v>
      </c>
      <c r="R195" s="887"/>
      <c r="S195" s="887"/>
    </row>
    <row r="196" ht="15" spans="3:19">
      <c r="C196" s="55" t="s">
        <v>199</v>
      </c>
      <c r="D196" s="55" t="s">
        <v>200</v>
      </c>
      <c r="E196" s="146">
        <f>[10]Sales_SP!CT185</f>
        <v>0</v>
      </c>
      <c r="F196" s="146">
        <f>[10]Sales_SP!CU185</f>
        <v>0</v>
      </c>
      <c r="G196" s="146">
        <f>[10]Sales_SP!CV185</f>
        <v>0</v>
      </c>
      <c r="H196" s="146">
        <f>[10]Sales_SP!CW185</f>
        <v>0</v>
      </c>
      <c r="I196" s="146">
        <f>[10]Sales_SP!CX185</f>
        <v>0</v>
      </c>
      <c r="J196" s="146">
        <f>[10]Sales_SP!CY185</f>
        <v>0</v>
      </c>
      <c r="K196" s="146">
        <f>[10]Sales_SP!CZ185</f>
        <v>0</v>
      </c>
      <c r="L196" s="146">
        <f>[10]Sales_SP!DA185</f>
        <v>0</v>
      </c>
      <c r="M196" s="146">
        <f>[10]Sales_SP!DB185</f>
        <v>0</v>
      </c>
      <c r="N196" s="146">
        <f>[10]Sales_SP!DC185</f>
        <v>0</v>
      </c>
      <c r="O196" s="146">
        <f>[10]Sales_SP!DD185</f>
        <v>0</v>
      </c>
      <c r="P196" s="146">
        <f>[10]Sales_SP!DE185</f>
        <v>0</v>
      </c>
      <c r="Q196" s="916">
        <f t="shared" si="66"/>
        <v>0</v>
      </c>
      <c r="R196" s="887"/>
      <c r="S196" s="887"/>
    </row>
    <row r="197" ht="15" spans="3:19">
      <c r="C197" s="55" t="s">
        <v>201</v>
      </c>
      <c r="D197" s="55" t="s">
        <v>202</v>
      </c>
      <c r="E197" s="146">
        <f>[10]Sales_SP!CT191</f>
        <v>1.96</v>
      </c>
      <c r="F197" s="146">
        <f>[10]Sales_SP!CU191</f>
        <v>0.23</v>
      </c>
      <c r="G197" s="146">
        <f>[10]Sales_SP!CV191</f>
        <v>0.07</v>
      </c>
      <c r="H197" s="146">
        <f>[10]Sales_SP!CW191</f>
        <v>0.08</v>
      </c>
      <c r="I197" s="146">
        <f>[10]Sales_SP!CX191</f>
        <v>0.41</v>
      </c>
      <c r="J197" s="146">
        <f>[10]Sales_SP!CY191</f>
        <v>0.84</v>
      </c>
      <c r="K197" s="146">
        <f>[10]Sales_SP!CZ191</f>
        <v>0.69</v>
      </c>
      <c r="L197" s="146">
        <f>[10]Sales_SP!DA191</f>
        <v>1.36</v>
      </c>
      <c r="M197" s="146">
        <f>[10]Sales_SP!DB191</f>
        <v>0.82</v>
      </c>
      <c r="N197" s="146">
        <f>[10]Sales_SP!DC191</f>
        <v>1.39</v>
      </c>
      <c r="O197" s="146">
        <f>[10]Sales_SP!DD191</f>
        <v>2.93</v>
      </c>
      <c r="P197" s="146">
        <f>[10]Sales_SP!DE191</f>
        <v>3.73</v>
      </c>
      <c r="Q197" s="916">
        <f t="shared" si="66"/>
        <v>14.51</v>
      </c>
      <c r="R197" s="887"/>
      <c r="S197" s="887"/>
    </row>
    <row r="198" ht="15" spans="3:19">
      <c r="C198" s="55" t="s">
        <v>203</v>
      </c>
      <c r="D198" s="55" t="s">
        <v>204</v>
      </c>
      <c r="E198" s="146">
        <f>[10]Sales_SP!CT192</f>
        <v>16.08</v>
      </c>
      <c r="F198" s="146">
        <f>[10]Sales_SP!CU192</f>
        <v>15.72</v>
      </c>
      <c r="G198" s="146">
        <f>[10]Sales_SP!CV192</f>
        <v>15.83</v>
      </c>
      <c r="H198" s="146">
        <f>[10]Sales_SP!CW192</f>
        <v>15.79</v>
      </c>
      <c r="I198" s="146">
        <f>[10]Sales_SP!CX192</f>
        <v>16.24</v>
      </c>
      <c r="J198" s="146">
        <f>[10]Sales_SP!CY192</f>
        <v>17.09</v>
      </c>
      <c r="K198" s="146">
        <f>[10]Sales_SP!CZ192</f>
        <v>16.09</v>
      </c>
      <c r="L198" s="146">
        <f>[10]Sales_SP!DA192</f>
        <v>9.85</v>
      </c>
      <c r="M198" s="146">
        <f>[10]Sales_SP!DB192</f>
        <v>15.23</v>
      </c>
      <c r="N198" s="146">
        <f>[10]Sales_SP!DC192</f>
        <v>18.59</v>
      </c>
      <c r="O198" s="146">
        <f>[10]Sales_SP!DD192</f>
        <v>18.31</v>
      </c>
      <c r="P198" s="146">
        <f>[10]Sales_SP!DE192</f>
        <v>16.58</v>
      </c>
      <c r="Q198" s="916">
        <f t="shared" si="66"/>
        <v>191.4</v>
      </c>
      <c r="R198" s="887"/>
      <c r="S198" s="887"/>
    </row>
    <row r="199" ht="15" spans="3:19">
      <c r="C199" s="55" t="s">
        <v>205</v>
      </c>
      <c r="D199" s="55" t="s">
        <v>206</v>
      </c>
      <c r="E199" s="146">
        <f>[10]Sales_SP!CT196</f>
        <v>7.42</v>
      </c>
      <c r="F199" s="146">
        <f>[10]Sales_SP!CU196</f>
        <v>8.82</v>
      </c>
      <c r="G199" s="146">
        <f>[10]Sales_SP!CV196</f>
        <v>9.12</v>
      </c>
      <c r="H199" s="146">
        <f>[10]Sales_SP!CW196</f>
        <v>6.89</v>
      </c>
      <c r="I199" s="146">
        <f>[10]Sales_SP!CX196</f>
        <v>6.47</v>
      </c>
      <c r="J199" s="146">
        <f>[10]Sales_SP!CY196</f>
        <v>6.75</v>
      </c>
      <c r="K199" s="146">
        <f>[10]Sales_SP!CZ196</f>
        <v>6.51</v>
      </c>
      <c r="L199" s="146">
        <f>[10]Sales_SP!DA196</f>
        <v>6.49</v>
      </c>
      <c r="M199" s="146">
        <f>[10]Sales_SP!DB196</f>
        <v>6.26</v>
      </c>
      <c r="N199" s="146">
        <f>[10]Sales_SP!DC196</f>
        <v>6.47</v>
      </c>
      <c r="O199" s="146">
        <f>[10]Sales_SP!DD196</f>
        <v>6.63</v>
      </c>
      <c r="P199" s="146">
        <f>[10]Sales_SP!DE196</f>
        <v>7.33</v>
      </c>
      <c r="Q199" s="916">
        <f t="shared" si="66"/>
        <v>85.16</v>
      </c>
      <c r="R199" s="887"/>
      <c r="S199" s="887"/>
    </row>
    <row r="200" ht="15" spans="3:19">
      <c r="C200" s="55" t="s">
        <v>218</v>
      </c>
      <c r="D200" s="55" t="s">
        <v>186</v>
      </c>
      <c r="E200" s="146">
        <f>[10]Sales_SP!CT197</f>
        <v>2.09</v>
      </c>
      <c r="F200" s="146">
        <f>[10]Sales_SP!CU197</f>
        <v>2.1</v>
      </c>
      <c r="G200" s="146">
        <f>[10]Sales_SP!CV197</f>
        <v>1.6</v>
      </c>
      <c r="H200" s="146">
        <f>[10]Sales_SP!CW197</f>
        <v>1.56</v>
      </c>
      <c r="I200" s="146">
        <f>[10]Sales_SP!CX197</f>
        <v>1.77</v>
      </c>
      <c r="J200" s="146">
        <f>[10]Sales_SP!CY197</f>
        <v>1.95</v>
      </c>
      <c r="K200" s="146">
        <f>[10]Sales_SP!CZ197</f>
        <v>1.79</v>
      </c>
      <c r="L200" s="146">
        <f>[10]Sales_SP!DA197</f>
        <v>1.09</v>
      </c>
      <c r="M200" s="146">
        <f>[10]Sales_SP!DB197</f>
        <v>1.23</v>
      </c>
      <c r="N200" s="146">
        <f>[10]Sales_SP!DC197</f>
        <v>1.15</v>
      </c>
      <c r="O200" s="146">
        <f>[10]Sales_SP!DD197</f>
        <v>0.98</v>
      </c>
      <c r="P200" s="146">
        <f>[10]Sales_SP!DE197</f>
        <v>1.14</v>
      </c>
      <c r="Q200" s="916">
        <f t="shared" si="66"/>
        <v>18.45</v>
      </c>
      <c r="R200" s="887"/>
      <c r="S200" s="887"/>
    </row>
    <row r="201" ht="15" spans="3:19">
      <c r="C201" s="55" t="s">
        <v>208</v>
      </c>
      <c r="D201" s="55" t="s">
        <v>209</v>
      </c>
      <c r="E201" s="146">
        <f>[10]Sales_SP!CT198</f>
        <v>0</v>
      </c>
      <c r="F201" s="146">
        <f>[10]Sales_SP!CU198</f>
        <v>0</v>
      </c>
      <c r="G201" s="146">
        <f>[10]Sales_SP!CV198</f>
        <v>0</v>
      </c>
      <c r="H201" s="146">
        <f>[10]Sales_SP!CW198</f>
        <v>0</v>
      </c>
      <c r="I201" s="146">
        <f>[10]Sales_SP!CX198</f>
        <v>0</v>
      </c>
      <c r="J201" s="146">
        <f>[10]Sales_SP!CY198</f>
        <v>0</v>
      </c>
      <c r="K201" s="146">
        <f>[10]Sales_SP!CZ198</f>
        <v>0</v>
      </c>
      <c r="L201" s="146">
        <f>[10]Sales_SP!DA198</f>
        <v>0</v>
      </c>
      <c r="M201" s="146">
        <f>[10]Sales_SP!DB198</f>
        <v>0</v>
      </c>
      <c r="N201" s="146">
        <f>[10]Sales_SP!DC198</f>
        <v>0</v>
      </c>
      <c r="O201" s="146">
        <f>[10]Sales_SP!DD198</f>
        <v>0</v>
      </c>
      <c r="P201" s="146">
        <f>[10]Sales_SP!DE198</f>
        <v>0</v>
      </c>
      <c r="Q201" s="916">
        <f t="shared" si="66"/>
        <v>0</v>
      </c>
      <c r="R201" s="887"/>
      <c r="S201" s="887"/>
    </row>
    <row r="202" ht="15" spans="3:19">
      <c r="C202" s="55" t="s">
        <v>210</v>
      </c>
      <c r="D202" s="55" t="s">
        <v>188</v>
      </c>
      <c r="E202" s="146">
        <f>[10]Sales_SP!CT198</f>
        <v>0</v>
      </c>
      <c r="F202" s="146">
        <f>[10]Sales_SP!CU198</f>
        <v>0</v>
      </c>
      <c r="G202" s="146">
        <f>[10]Sales_SP!CV198</f>
        <v>0</v>
      </c>
      <c r="H202" s="146">
        <f>[10]Sales_SP!CW198</f>
        <v>0</v>
      </c>
      <c r="I202" s="146">
        <f>[10]Sales_SP!CX198</f>
        <v>0</v>
      </c>
      <c r="J202" s="146">
        <f>[10]Sales_SP!CY198</f>
        <v>0</v>
      </c>
      <c r="K202" s="146">
        <f>[10]Sales_SP!CZ198</f>
        <v>0</v>
      </c>
      <c r="L202" s="146">
        <f>[10]Sales_SP!DA198</f>
        <v>0</v>
      </c>
      <c r="M202" s="146">
        <f>[10]Sales_SP!DB198</f>
        <v>0</v>
      </c>
      <c r="N202" s="146">
        <f>[10]Sales_SP!DC198</f>
        <v>0</v>
      </c>
      <c r="O202" s="146">
        <f>[10]Sales_SP!DD198</f>
        <v>0</v>
      </c>
      <c r="P202" s="146">
        <f>[10]Sales_SP!DE198</f>
        <v>0</v>
      </c>
      <c r="Q202" s="916">
        <f t="shared" si="66"/>
        <v>0</v>
      </c>
      <c r="R202" s="887"/>
      <c r="S202" s="887"/>
    </row>
    <row r="203" ht="15" spans="3:19">
      <c r="C203" s="55"/>
      <c r="D203" s="55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916">
        <f t="shared" si="66"/>
        <v>0</v>
      </c>
      <c r="R203" s="887"/>
      <c r="S203" s="887"/>
    </row>
    <row r="204" ht="15" spans="3:19">
      <c r="C204" s="55"/>
      <c r="D204" s="55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916">
        <f t="shared" si="66"/>
        <v>0</v>
      </c>
      <c r="R204" s="887"/>
      <c r="S204" s="887"/>
    </row>
    <row r="205" ht="15" spans="3:19">
      <c r="C205" s="55"/>
      <c r="D205" s="55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916">
        <f t="shared" si="66"/>
        <v>0</v>
      </c>
      <c r="R205" s="887"/>
      <c r="S205" s="887"/>
    </row>
    <row r="206" ht="15" spans="3:19">
      <c r="C206" s="55" t="s">
        <v>258</v>
      </c>
      <c r="D206" s="55" t="s">
        <v>258</v>
      </c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916">
        <f t="shared" si="66"/>
        <v>0</v>
      </c>
      <c r="R206" s="887"/>
      <c r="S206" s="887"/>
    </row>
    <row r="207" ht="15" spans="3:19">
      <c r="C207" s="537" t="s">
        <v>211</v>
      </c>
      <c r="D207" s="540"/>
      <c r="E207" s="916">
        <f t="shared" ref="E207:P207" si="67">SUM(E192:E206)</f>
        <v>247.22</v>
      </c>
      <c r="F207" s="916">
        <f t="shared" si="67"/>
        <v>294.82</v>
      </c>
      <c r="G207" s="916">
        <f t="shared" si="67"/>
        <v>368.28</v>
      </c>
      <c r="H207" s="916">
        <f t="shared" si="67"/>
        <v>358.06</v>
      </c>
      <c r="I207" s="916">
        <f t="shared" si="67"/>
        <v>364.92</v>
      </c>
      <c r="J207" s="916">
        <f t="shared" si="67"/>
        <v>389.28</v>
      </c>
      <c r="K207" s="916">
        <f t="shared" si="67"/>
        <v>391.64</v>
      </c>
      <c r="L207" s="916">
        <f t="shared" si="67"/>
        <v>394.42</v>
      </c>
      <c r="M207" s="916">
        <f t="shared" si="67"/>
        <v>389.78</v>
      </c>
      <c r="N207" s="916">
        <f t="shared" si="67"/>
        <v>424.31437444</v>
      </c>
      <c r="O207" s="916">
        <f t="shared" si="67"/>
        <v>454.693518</v>
      </c>
      <c r="P207" s="916">
        <f t="shared" si="67"/>
        <v>459.617533</v>
      </c>
      <c r="Q207" s="916">
        <f t="shared" si="66"/>
        <v>4537.04542544</v>
      </c>
      <c r="R207" s="887"/>
      <c r="S207" s="887"/>
    </row>
    <row r="208" ht="15" spans="3:19">
      <c r="C208" s="44" t="s">
        <v>219</v>
      </c>
      <c r="D208" s="45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58"/>
      <c r="R208" s="887"/>
      <c r="S208" s="887"/>
    </row>
    <row r="209" ht="15" spans="3:19">
      <c r="C209" s="55" t="s">
        <v>191</v>
      </c>
      <c r="D209" s="55" t="s">
        <v>192</v>
      </c>
      <c r="E209" s="146">
        <f>[10]Sales_SP!CT212</f>
        <v>130.49</v>
      </c>
      <c r="F209" s="146">
        <f>[10]Sales_SP!CU212</f>
        <v>165.04</v>
      </c>
      <c r="G209" s="146">
        <f>[10]Sales_SP!CV212</f>
        <v>166.32</v>
      </c>
      <c r="H209" s="146">
        <f>[10]Sales_SP!CW212</f>
        <v>166.16</v>
      </c>
      <c r="I209" s="146">
        <f>[10]Sales_SP!CX212</f>
        <v>165.1</v>
      </c>
      <c r="J209" s="146">
        <f>[10]Sales_SP!CY212</f>
        <v>177.75</v>
      </c>
      <c r="K209" s="146">
        <f>[10]Sales_SP!CZ212</f>
        <v>196.87</v>
      </c>
      <c r="L209" s="146">
        <f>[10]Sales_SP!DA212</f>
        <v>187.39</v>
      </c>
      <c r="M209" s="146">
        <f>[10]Sales_SP!DB212</f>
        <v>200.39</v>
      </c>
      <c r="N209" s="146">
        <f>[10]Sales_SP!DC212</f>
        <v>213.25353935</v>
      </c>
      <c r="O209" s="146">
        <f>[10]Sales_SP!DD212</f>
        <v>223.17034719</v>
      </c>
      <c r="P209" s="146">
        <f>[10]Sales_SP!DE212</f>
        <v>245.787624</v>
      </c>
      <c r="Q209" s="916">
        <f t="shared" ref="Q209:Q227" si="68">SUM(E209:P209)</f>
        <v>2237.72151054</v>
      </c>
      <c r="R209" s="887"/>
      <c r="S209" s="887"/>
    </row>
    <row r="210" ht="15" spans="3:19">
      <c r="C210" s="55" t="s">
        <v>193</v>
      </c>
      <c r="D210" s="55" t="s">
        <v>194</v>
      </c>
      <c r="E210" s="146">
        <f>[10]Sales_SP!CT222</f>
        <v>1.38</v>
      </c>
      <c r="F210" s="146">
        <f>[10]Sales_SP!CU222</f>
        <v>5.99</v>
      </c>
      <c r="G210" s="146">
        <f>[10]Sales_SP!CV222</f>
        <v>9.52</v>
      </c>
      <c r="H210" s="146">
        <f>[10]Sales_SP!CW222</f>
        <v>4.83</v>
      </c>
      <c r="I210" s="146">
        <f>[10]Sales_SP!CX222</f>
        <v>2.41</v>
      </c>
      <c r="J210" s="146">
        <f>[10]Sales_SP!CY222</f>
        <v>3.92</v>
      </c>
      <c r="K210" s="146">
        <f>[10]Sales_SP!CZ222</f>
        <v>11.11</v>
      </c>
      <c r="L210" s="146">
        <f>[10]Sales_SP!DA222</f>
        <v>13.99</v>
      </c>
      <c r="M210" s="146">
        <f>[10]Sales_SP!DB222</f>
        <v>14.54</v>
      </c>
      <c r="N210" s="146">
        <f>[10]Sales_SP!DC222</f>
        <v>14.26</v>
      </c>
      <c r="O210" s="146">
        <f>[10]Sales_SP!DD222</f>
        <v>11.71</v>
      </c>
      <c r="P210" s="146">
        <f>[10]Sales_SP!DE222</f>
        <v>10.87</v>
      </c>
      <c r="Q210" s="916">
        <f t="shared" si="68"/>
        <v>104.53</v>
      </c>
      <c r="R210" s="887"/>
      <c r="S210" s="887"/>
    </row>
    <row r="211" ht="15" spans="3:19">
      <c r="C211" s="55" t="s">
        <v>239</v>
      </c>
      <c r="D211" s="55" t="s">
        <v>196</v>
      </c>
      <c r="E211" s="146">
        <f>[10]Sales_SP!CT228</f>
        <v>1.88</v>
      </c>
      <c r="F211" s="146">
        <f>[10]Sales_SP!CU228</f>
        <v>2.51</v>
      </c>
      <c r="G211" s="146">
        <f>[10]Sales_SP!CV228</f>
        <v>3.66</v>
      </c>
      <c r="H211" s="146">
        <f>[10]Sales_SP!CW228</f>
        <v>3.29</v>
      </c>
      <c r="I211" s="146">
        <f>[10]Sales_SP!CX228</f>
        <v>3.34</v>
      </c>
      <c r="J211" s="146">
        <f>[10]Sales_SP!CY228</f>
        <v>3.46</v>
      </c>
      <c r="K211" s="146">
        <f>[10]Sales_SP!CZ228</f>
        <v>3.39</v>
      </c>
      <c r="L211" s="146">
        <f>[10]Sales_SP!DA228</f>
        <v>3.19</v>
      </c>
      <c r="M211" s="146">
        <f>[10]Sales_SP!DB228</f>
        <v>2.97</v>
      </c>
      <c r="N211" s="146">
        <f>[10]Sales_SP!DC228</f>
        <v>2.95766</v>
      </c>
      <c r="O211" s="146">
        <f>[10]Sales_SP!DD228</f>
        <v>3.088329</v>
      </c>
      <c r="P211" s="146">
        <f>[10]Sales_SP!DE228</f>
        <v>3.284371</v>
      </c>
      <c r="Q211" s="916">
        <f t="shared" si="68"/>
        <v>37.02036</v>
      </c>
      <c r="R211" s="887"/>
      <c r="S211" s="887"/>
    </row>
    <row r="212" ht="15" spans="3:19">
      <c r="C212" s="55" t="s">
        <v>197</v>
      </c>
      <c r="D212" s="55" t="s">
        <v>198</v>
      </c>
      <c r="E212" s="146">
        <f>[10]Sales_SP!CT233</f>
        <v>0</v>
      </c>
      <c r="F212" s="146">
        <f>[10]Sales_SP!CU233</f>
        <v>0</v>
      </c>
      <c r="G212" s="146">
        <f>[10]Sales_SP!CV233</f>
        <v>0</v>
      </c>
      <c r="H212" s="146">
        <f>[10]Sales_SP!CW233</f>
        <v>0</v>
      </c>
      <c r="I212" s="146">
        <f>[10]Sales_SP!CX233</f>
        <v>0</v>
      </c>
      <c r="J212" s="146">
        <f>[10]Sales_SP!CY233</f>
        <v>0</v>
      </c>
      <c r="K212" s="146">
        <f>[10]Sales_SP!CZ233</f>
        <v>0</v>
      </c>
      <c r="L212" s="146">
        <f>[10]Sales_SP!DA233</f>
        <v>0</v>
      </c>
      <c r="M212" s="146">
        <f>[10]Sales_SP!DB233</f>
        <v>0</v>
      </c>
      <c r="N212" s="146">
        <f>[10]Sales_SP!DC233</f>
        <v>0</v>
      </c>
      <c r="O212" s="146">
        <f>[10]Sales_SP!DD233</f>
        <v>0</v>
      </c>
      <c r="P212" s="146">
        <f>[10]Sales_SP!DE233</f>
        <v>0</v>
      </c>
      <c r="Q212" s="916">
        <f t="shared" si="68"/>
        <v>0</v>
      </c>
      <c r="R212" s="887"/>
      <c r="S212" s="887"/>
    </row>
    <row r="213" ht="15" spans="3:19">
      <c r="C213" s="55" t="s">
        <v>199</v>
      </c>
      <c r="D213" s="55" t="s">
        <v>200</v>
      </c>
      <c r="E213" s="146">
        <f>[10]Sales_SP!CT238</f>
        <v>3.49</v>
      </c>
      <c r="F213" s="146">
        <f>[10]Sales_SP!CU238</f>
        <v>4.01</v>
      </c>
      <c r="G213" s="146">
        <f>[10]Sales_SP!CV238</f>
        <v>6.41</v>
      </c>
      <c r="H213" s="146">
        <f>[10]Sales_SP!CW238</f>
        <v>5.7</v>
      </c>
      <c r="I213" s="146">
        <f>[10]Sales_SP!CX238</f>
        <v>4.09</v>
      </c>
      <c r="J213" s="146">
        <f>[10]Sales_SP!CY238</f>
        <v>4.11</v>
      </c>
      <c r="K213" s="146">
        <f>[10]Sales_SP!CZ238</f>
        <v>4.05</v>
      </c>
      <c r="L213" s="146">
        <f>[10]Sales_SP!DA238</f>
        <v>3.99</v>
      </c>
      <c r="M213" s="146">
        <f>[10]Sales_SP!DB238</f>
        <v>3.47</v>
      </c>
      <c r="N213" s="146">
        <f>[10]Sales_SP!DC238</f>
        <v>3.525</v>
      </c>
      <c r="O213" s="146">
        <f>[10]Sales_SP!DD238</f>
        <v>3.846</v>
      </c>
      <c r="P213" s="146">
        <f>[10]Sales_SP!DE238</f>
        <v>3.675</v>
      </c>
      <c r="Q213" s="916">
        <f t="shared" si="68"/>
        <v>50.366</v>
      </c>
      <c r="R213" s="887"/>
      <c r="S213" s="887"/>
    </row>
    <row r="214" ht="15" spans="3:19">
      <c r="C214" s="55" t="s">
        <v>201</v>
      </c>
      <c r="D214" s="55" t="s">
        <v>240</v>
      </c>
      <c r="E214" s="146">
        <f>[10]Sales_SP!CT244</f>
        <v>185.9</v>
      </c>
      <c r="F214" s="146">
        <f>[10]Sales_SP!CU244</f>
        <v>56.15</v>
      </c>
      <c r="G214" s="146">
        <f>[10]Sales_SP!CV244</f>
        <v>122.98</v>
      </c>
      <c r="H214" s="146">
        <f>[10]Sales_SP!CW244</f>
        <v>86.59</v>
      </c>
      <c r="I214" s="146">
        <f>[10]Sales_SP!CX244</f>
        <v>144.21</v>
      </c>
      <c r="J214" s="146">
        <f>[10]Sales_SP!CY244</f>
        <v>189.87</v>
      </c>
      <c r="K214" s="146">
        <f>[10]Sales_SP!CZ244</f>
        <v>54</v>
      </c>
      <c r="L214" s="146">
        <f>[10]Sales_SP!DA244</f>
        <v>47.46</v>
      </c>
      <c r="M214" s="146">
        <f>[10]Sales_SP!DB244</f>
        <v>95.07</v>
      </c>
      <c r="N214" s="146">
        <f>[10]Sales_SP!DC244</f>
        <v>163.05</v>
      </c>
      <c r="O214" s="146">
        <f>[10]Sales_SP!DD244</f>
        <v>211.66</v>
      </c>
      <c r="P214" s="146">
        <f>[10]Sales_SP!DE244</f>
        <v>203.84</v>
      </c>
      <c r="Q214" s="916">
        <f t="shared" si="68"/>
        <v>1560.78</v>
      </c>
      <c r="R214" s="887"/>
      <c r="S214" s="887"/>
    </row>
    <row r="215" ht="15" spans="3:19">
      <c r="C215" s="55" t="s">
        <v>203</v>
      </c>
      <c r="D215" s="55" t="s">
        <v>220</v>
      </c>
      <c r="E215" s="146">
        <f>[10]Sales_SP!CT246</f>
        <v>20.34</v>
      </c>
      <c r="F215" s="146">
        <f>[10]Sales_SP!CU246</f>
        <v>19.3</v>
      </c>
      <c r="G215" s="146">
        <f>[10]Sales_SP!CV246</f>
        <v>20.1</v>
      </c>
      <c r="H215" s="146">
        <f>[10]Sales_SP!CW246</f>
        <v>18.29</v>
      </c>
      <c r="I215" s="146">
        <f>[10]Sales_SP!CX246</f>
        <v>20.23</v>
      </c>
      <c r="J215" s="146">
        <f>[10]Sales_SP!CY246</f>
        <v>19.57</v>
      </c>
      <c r="K215" s="146">
        <f>[10]Sales_SP!CZ246</f>
        <v>18.35</v>
      </c>
      <c r="L215" s="146">
        <f>[10]Sales_SP!DA246</f>
        <v>0.74</v>
      </c>
      <c r="M215" s="146">
        <f>[10]Sales_SP!DB246</f>
        <v>14.76</v>
      </c>
      <c r="N215" s="146">
        <f>[10]Sales_SP!DC246</f>
        <v>18.29</v>
      </c>
      <c r="O215" s="146">
        <f>[10]Sales_SP!DD246</f>
        <v>20.54</v>
      </c>
      <c r="P215" s="146">
        <f>[10]Sales_SP!DE246</f>
        <v>17.5</v>
      </c>
      <c r="Q215" s="916">
        <f t="shared" si="68"/>
        <v>208.01</v>
      </c>
      <c r="R215" s="887"/>
      <c r="S215" s="887"/>
    </row>
    <row r="216" ht="15" spans="3:19">
      <c r="C216" s="55" t="s">
        <v>241</v>
      </c>
      <c r="D216" s="55" t="s">
        <v>229</v>
      </c>
      <c r="E216" s="146">
        <f>[10]Sales_SP!CT249</f>
        <v>13.32</v>
      </c>
      <c r="F216" s="146">
        <f>[10]Sales_SP!CU249</f>
        <v>12.71</v>
      </c>
      <c r="G216" s="146">
        <f>[10]Sales_SP!CV249</f>
        <v>15.97</v>
      </c>
      <c r="H216" s="146">
        <f>[10]Sales_SP!CW249</f>
        <v>13.3</v>
      </c>
      <c r="I216" s="146">
        <f>[10]Sales_SP!CX249</f>
        <v>13.76</v>
      </c>
      <c r="J216" s="146">
        <f>[10]Sales_SP!CY249</f>
        <v>14.21</v>
      </c>
      <c r="K216" s="146">
        <f>[10]Sales_SP!CZ249</f>
        <v>13.86</v>
      </c>
      <c r="L216" s="146">
        <f>[10]Sales_SP!DA249</f>
        <v>15.4</v>
      </c>
      <c r="M216" s="146">
        <f>[10]Sales_SP!DB249</f>
        <v>16.67</v>
      </c>
      <c r="N216" s="146">
        <f>[10]Sales_SP!DC249</f>
        <v>19.74</v>
      </c>
      <c r="O216" s="146">
        <f>[10]Sales_SP!DD249</f>
        <v>22.96</v>
      </c>
      <c r="P216" s="146">
        <f>[10]Sales_SP!DE249</f>
        <v>20.41</v>
      </c>
      <c r="Q216" s="916">
        <f t="shared" si="68"/>
        <v>192.31</v>
      </c>
      <c r="R216" s="887"/>
      <c r="S216" s="887"/>
    </row>
    <row r="217" ht="15" spans="3:19">
      <c r="C217" s="55" t="s">
        <v>259</v>
      </c>
      <c r="D217" s="55" t="s">
        <v>243</v>
      </c>
      <c r="E217" s="146">
        <f>[10]Sales_SP!CT251</f>
        <v>1.76</v>
      </c>
      <c r="F217" s="146">
        <f>[10]Sales_SP!CU251</f>
        <v>1.69</v>
      </c>
      <c r="G217" s="146">
        <f>[10]Sales_SP!CV251</f>
        <v>2</v>
      </c>
      <c r="H217" s="146">
        <f>[10]Sales_SP!CW251</f>
        <v>1.77</v>
      </c>
      <c r="I217" s="146">
        <f>[10]Sales_SP!CX251</f>
        <v>1.74</v>
      </c>
      <c r="J217" s="146">
        <f>[10]Sales_SP!CY251</f>
        <v>3.57</v>
      </c>
      <c r="K217" s="146">
        <f>[10]Sales_SP!CZ251</f>
        <v>5.66</v>
      </c>
      <c r="L217" s="146">
        <f>[10]Sales_SP!DA251</f>
        <v>5.88</v>
      </c>
      <c r="M217" s="146">
        <f>[10]Sales_SP!DB251</f>
        <v>5.78</v>
      </c>
      <c r="N217" s="146">
        <f>[10]Sales_SP!DC251</f>
        <v>5.82</v>
      </c>
      <c r="O217" s="146">
        <f>[10]Sales_SP!DD251</f>
        <v>5.89</v>
      </c>
      <c r="P217" s="146">
        <f>[10]Sales_SP!DE251</f>
        <v>5.5</v>
      </c>
      <c r="Q217" s="916">
        <f t="shared" si="68"/>
        <v>47.06</v>
      </c>
      <c r="R217" s="887"/>
      <c r="S217" s="887"/>
    </row>
    <row r="218" ht="15" spans="3:19">
      <c r="C218" s="55" t="s">
        <v>205</v>
      </c>
      <c r="D218" s="55" t="s">
        <v>206</v>
      </c>
      <c r="E218" s="146">
        <f>[10]Sales_SP!CT253</f>
        <v>0</v>
      </c>
      <c r="F218" s="146">
        <f>[10]Sales_SP!CU253</f>
        <v>0</v>
      </c>
      <c r="G218" s="146">
        <f>[10]Sales_SP!CV253</f>
        <v>0</v>
      </c>
      <c r="H218" s="146">
        <f>[10]Sales_SP!CW253</f>
        <v>0</v>
      </c>
      <c r="I218" s="146">
        <f>[10]Sales_SP!CX253</f>
        <v>0</v>
      </c>
      <c r="J218" s="146">
        <f>[10]Sales_SP!CY253</f>
        <v>0</v>
      </c>
      <c r="K218" s="146">
        <f>[10]Sales_SP!CZ253</f>
        <v>0</v>
      </c>
      <c r="L218" s="146">
        <f>[10]Sales_SP!DA253</f>
        <v>0</v>
      </c>
      <c r="M218" s="146">
        <f>[10]Sales_SP!DB253</f>
        <v>0</v>
      </c>
      <c r="N218" s="146">
        <f>[10]Sales_SP!DC253</f>
        <v>0</v>
      </c>
      <c r="O218" s="146">
        <f>[10]Sales_SP!DD253</f>
        <v>0</v>
      </c>
      <c r="P218" s="146">
        <f>[10]Sales_SP!DE253</f>
        <v>0</v>
      </c>
      <c r="Q218" s="916">
        <f t="shared" si="68"/>
        <v>0</v>
      </c>
      <c r="R218" s="887"/>
      <c r="S218" s="887"/>
    </row>
    <row r="219" ht="15" spans="3:19">
      <c r="C219" s="55" t="s">
        <v>207</v>
      </c>
      <c r="D219" s="55" t="s">
        <v>186</v>
      </c>
      <c r="E219" s="146">
        <f>[10]Sales_SP!CT254</f>
        <v>0</v>
      </c>
      <c r="F219" s="146">
        <f>[10]Sales_SP!CU254</f>
        <v>0</v>
      </c>
      <c r="G219" s="146">
        <f>[10]Sales_SP!CV254</f>
        <v>0</v>
      </c>
      <c r="H219" s="146">
        <f>[10]Sales_SP!CW254</f>
        <v>0</v>
      </c>
      <c r="I219" s="146">
        <f>[10]Sales_SP!CX254</f>
        <v>0</v>
      </c>
      <c r="J219" s="146">
        <f>[10]Sales_SP!CY254</f>
        <v>0</v>
      </c>
      <c r="K219" s="146">
        <f>[10]Sales_SP!CZ254</f>
        <v>0</v>
      </c>
      <c r="L219" s="146">
        <f>[10]Sales_SP!DA254</f>
        <v>0</v>
      </c>
      <c r="M219" s="146">
        <f>[10]Sales_SP!DB254</f>
        <v>0</v>
      </c>
      <c r="N219" s="146">
        <f>[10]Sales_SP!DC254</f>
        <v>0</v>
      </c>
      <c r="O219" s="146">
        <f>[10]Sales_SP!DD254</f>
        <v>0</v>
      </c>
      <c r="P219" s="146">
        <f>[10]Sales_SP!DE254</f>
        <v>0</v>
      </c>
      <c r="Q219" s="916">
        <f t="shared" si="68"/>
        <v>0</v>
      </c>
      <c r="R219" s="887"/>
      <c r="S219" s="887"/>
    </row>
    <row r="220" ht="15" spans="3:19">
      <c r="C220" s="55" t="s">
        <v>208</v>
      </c>
      <c r="D220" s="55" t="s">
        <v>209</v>
      </c>
      <c r="E220" s="146">
        <v>0</v>
      </c>
      <c r="F220" s="146">
        <v>0</v>
      </c>
      <c r="G220" s="146">
        <v>0</v>
      </c>
      <c r="H220" s="146">
        <v>0</v>
      </c>
      <c r="I220" s="146">
        <v>0</v>
      </c>
      <c r="J220" s="146">
        <v>0</v>
      </c>
      <c r="K220" s="146">
        <v>0</v>
      </c>
      <c r="L220" s="146">
        <v>0</v>
      </c>
      <c r="M220" s="146">
        <v>0</v>
      </c>
      <c r="N220" s="146">
        <v>0</v>
      </c>
      <c r="O220" s="146">
        <v>0</v>
      </c>
      <c r="P220" s="146">
        <v>0</v>
      </c>
      <c r="Q220" s="916">
        <f t="shared" si="68"/>
        <v>0</v>
      </c>
      <c r="R220" s="887"/>
      <c r="S220" s="887"/>
    </row>
    <row r="221" ht="15" spans="3:19">
      <c r="C221" s="55" t="s">
        <v>210</v>
      </c>
      <c r="D221" s="55" t="s">
        <v>188</v>
      </c>
      <c r="E221" s="146">
        <f t="shared" ref="E221:P221" si="69">0</f>
        <v>0</v>
      </c>
      <c r="F221" s="146">
        <f t="shared" si="69"/>
        <v>0</v>
      </c>
      <c r="G221" s="146">
        <f t="shared" si="69"/>
        <v>0</v>
      </c>
      <c r="H221" s="146">
        <f t="shared" si="69"/>
        <v>0</v>
      </c>
      <c r="I221" s="146">
        <f t="shared" si="69"/>
        <v>0</v>
      </c>
      <c r="J221" s="146">
        <f t="shared" si="69"/>
        <v>0</v>
      </c>
      <c r="K221" s="146">
        <f t="shared" si="69"/>
        <v>0</v>
      </c>
      <c r="L221" s="146">
        <f t="shared" si="69"/>
        <v>0</v>
      </c>
      <c r="M221" s="146">
        <f t="shared" si="69"/>
        <v>0</v>
      </c>
      <c r="N221" s="146">
        <f t="shared" si="69"/>
        <v>0</v>
      </c>
      <c r="O221" s="146">
        <f t="shared" si="69"/>
        <v>0</v>
      </c>
      <c r="P221" s="146">
        <f t="shared" si="69"/>
        <v>0</v>
      </c>
      <c r="Q221" s="916">
        <f t="shared" si="68"/>
        <v>0</v>
      </c>
      <c r="R221" s="887"/>
      <c r="S221" s="887"/>
    </row>
    <row r="222" ht="15" spans="3:19">
      <c r="C222" s="55"/>
      <c r="D222" s="55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916">
        <f t="shared" si="68"/>
        <v>0</v>
      </c>
      <c r="R222" s="887"/>
      <c r="S222" s="887"/>
    </row>
    <row r="223" ht="15" spans="3:19">
      <c r="C223" s="55"/>
      <c r="D223" s="55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916">
        <f t="shared" si="68"/>
        <v>0</v>
      </c>
      <c r="R223" s="887"/>
      <c r="S223" s="887"/>
    </row>
    <row r="224" ht="15" spans="3:19">
      <c r="C224" s="55" t="s">
        <v>258</v>
      </c>
      <c r="D224" s="55" t="s">
        <v>258</v>
      </c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916">
        <f t="shared" si="68"/>
        <v>0</v>
      </c>
      <c r="R224" s="887"/>
      <c r="S224" s="887"/>
    </row>
    <row r="225" ht="15" spans="3:19">
      <c r="C225" s="537" t="s">
        <v>211</v>
      </c>
      <c r="D225" s="540"/>
      <c r="E225" s="916">
        <f t="shared" ref="E225:P225" si="70">SUM(E209:E224)</f>
        <v>358.56</v>
      </c>
      <c r="F225" s="916">
        <f t="shared" si="70"/>
        <v>267.4</v>
      </c>
      <c r="G225" s="916">
        <f t="shared" si="70"/>
        <v>346.96</v>
      </c>
      <c r="H225" s="916">
        <f t="shared" si="70"/>
        <v>299.93</v>
      </c>
      <c r="I225" s="916">
        <f t="shared" si="70"/>
        <v>354.88</v>
      </c>
      <c r="J225" s="916">
        <f t="shared" si="70"/>
        <v>416.46</v>
      </c>
      <c r="K225" s="916">
        <f t="shared" si="70"/>
        <v>307.29</v>
      </c>
      <c r="L225" s="916">
        <f t="shared" si="70"/>
        <v>278.04</v>
      </c>
      <c r="M225" s="916">
        <f t="shared" si="70"/>
        <v>353.65</v>
      </c>
      <c r="N225" s="916">
        <f t="shared" si="70"/>
        <v>440.89619935</v>
      </c>
      <c r="O225" s="916">
        <f t="shared" si="70"/>
        <v>502.86467619</v>
      </c>
      <c r="P225" s="916">
        <f t="shared" si="70"/>
        <v>510.866995</v>
      </c>
      <c r="Q225" s="916">
        <f t="shared" si="68"/>
        <v>4437.79787054</v>
      </c>
      <c r="R225" s="887"/>
      <c r="S225" s="887"/>
    </row>
    <row r="226" ht="15" spans="3:19">
      <c r="C226" s="537" t="s">
        <v>223</v>
      </c>
      <c r="D226" s="540"/>
      <c r="E226" s="916">
        <f t="shared" ref="E226:P226" si="71">E225+E207+E190</f>
        <v>897.84</v>
      </c>
      <c r="F226" s="916">
        <f t="shared" si="71"/>
        <v>903.31</v>
      </c>
      <c r="G226" s="916">
        <f t="shared" si="71"/>
        <v>1136.31</v>
      </c>
      <c r="H226" s="916">
        <f t="shared" si="71"/>
        <v>1064.95</v>
      </c>
      <c r="I226" s="916">
        <f t="shared" si="71"/>
        <v>1131.54</v>
      </c>
      <c r="J226" s="916">
        <f t="shared" si="71"/>
        <v>1239.08</v>
      </c>
      <c r="K226" s="916">
        <f t="shared" si="71"/>
        <v>1126.65</v>
      </c>
      <c r="L226" s="916">
        <f t="shared" si="71"/>
        <v>1118.51</v>
      </c>
      <c r="M226" s="916">
        <f t="shared" si="71"/>
        <v>1191.14</v>
      </c>
      <c r="N226" s="916">
        <f t="shared" si="71"/>
        <v>1326.7611549</v>
      </c>
      <c r="O226" s="916">
        <f t="shared" si="71"/>
        <v>1427.40910719</v>
      </c>
      <c r="P226" s="916">
        <f t="shared" si="71"/>
        <v>1424.9529121</v>
      </c>
      <c r="Q226" s="916">
        <f t="shared" si="68"/>
        <v>13988.45317419</v>
      </c>
      <c r="R226" s="887"/>
      <c r="S226" s="887"/>
    </row>
    <row r="227" ht="15" spans="3:19">
      <c r="C227" s="537" t="s">
        <v>224</v>
      </c>
      <c r="D227" s="540"/>
      <c r="E227" s="916">
        <f t="shared" ref="E227:P227" si="72">E226+E173</f>
        <v>2081.18543622</v>
      </c>
      <c r="F227" s="916">
        <f t="shared" si="72"/>
        <v>2274.87109256</v>
      </c>
      <c r="G227" s="916">
        <f t="shared" si="72"/>
        <v>2189.40630636</v>
      </c>
      <c r="H227" s="916">
        <f t="shared" si="72"/>
        <v>2138.32977623</v>
      </c>
      <c r="I227" s="916">
        <f t="shared" si="72"/>
        <v>2108.87421679</v>
      </c>
      <c r="J227" s="916">
        <f t="shared" si="72"/>
        <v>2261.4914131</v>
      </c>
      <c r="K227" s="916">
        <f t="shared" si="72"/>
        <v>2139.67015589</v>
      </c>
      <c r="L227" s="916">
        <f t="shared" si="72"/>
        <v>2032.57301586</v>
      </c>
      <c r="M227" s="916">
        <f t="shared" si="72"/>
        <v>2097.37338973</v>
      </c>
      <c r="N227" s="916">
        <f t="shared" si="72"/>
        <v>2245.681166</v>
      </c>
      <c r="O227" s="916">
        <f t="shared" si="72"/>
        <v>2350.47873087</v>
      </c>
      <c r="P227" s="916">
        <f t="shared" si="72"/>
        <v>2632.56851396</v>
      </c>
      <c r="Q227" s="916">
        <f t="shared" si="68"/>
        <v>26552.50321357</v>
      </c>
      <c r="R227" s="887"/>
      <c r="S227" s="887"/>
    </row>
    <row r="228" ht="15" spans="3:19">
      <c r="C228" s="3"/>
      <c r="D228" s="3"/>
      <c r="E228" s="887"/>
      <c r="F228" s="887"/>
      <c r="G228" s="887"/>
      <c r="H228" s="887"/>
      <c r="I228" s="887"/>
      <c r="J228" s="887"/>
      <c r="K228" s="887"/>
      <c r="L228" s="887"/>
      <c r="M228" s="887"/>
      <c r="N228" s="887"/>
      <c r="O228" s="887"/>
      <c r="P228" s="887"/>
      <c r="Q228" s="887"/>
      <c r="R228" s="887"/>
      <c r="S228" s="887"/>
    </row>
    <row r="229" ht="15" spans="3:19">
      <c r="C229" s="14"/>
      <c r="E229" s="887"/>
      <c r="F229" s="887"/>
      <c r="G229" s="887"/>
      <c r="H229" s="887"/>
      <c r="I229" s="887"/>
      <c r="J229" s="887"/>
      <c r="K229" s="887"/>
      <c r="L229" s="887"/>
      <c r="M229" s="887"/>
      <c r="N229" s="887"/>
      <c r="O229" s="887"/>
      <c r="P229" s="887"/>
      <c r="Q229" s="918" t="s">
        <v>236</v>
      </c>
      <c r="R229" s="887"/>
      <c r="S229" s="887"/>
    </row>
    <row r="230" ht="15" spans="3:19">
      <c r="C230" s="6" t="s">
        <v>159</v>
      </c>
      <c r="D230" s="6"/>
      <c r="E230" s="150" t="s">
        <v>261</v>
      </c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887"/>
      <c r="S230" s="887"/>
    </row>
    <row r="231" ht="15" spans="3:19">
      <c r="C231" s="6"/>
      <c r="D231" s="6"/>
      <c r="E231" s="150" t="s">
        <v>246</v>
      </c>
      <c r="F231" s="150" t="s">
        <v>247</v>
      </c>
      <c r="G231" s="150" t="s">
        <v>248</v>
      </c>
      <c r="H231" s="150" t="s">
        <v>249</v>
      </c>
      <c r="I231" s="150" t="s">
        <v>250</v>
      </c>
      <c r="J231" s="150" t="s">
        <v>251</v>
      </c>
      <c r="K231" s="150" t="s">
        <v>252</v>
      </c>
      <c r="L231" s="150" t="s">
        <v>253</v>
      </c>
      <c r="M231" s="150" t="s">
        <v>254</v>
      </c>
      <c r="N231" s="150" t="s">
        <v>255</v>
      </c>
      <c r="O231" s="150" t="s">
        <v>256</v>
      </c>
      <c r="P231" s="150" t="s">
        <v>257</v>
      </c>
      <c r="Q231" s="150" t="s">
        <v>97</v>
      </c>
      <c r="R231" s="887"/>
      <c r="S231" s="887"/>
    </row>
    <row r="232" ht="15" spans="3:19">
      <c r="C232" s="44" t="s">
        <v>170</v>
      </c>
      <c r="D232" s="45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58"/>
      <c r="R232" s="887"/>
      <c r="S232" s="887"/>
    </row>
    <row r="233" ht="15" spans="3:19">
      <c r="C233" s="47" t="s">
        <v>171</v>
      </c>
      <c r="D233" s="47" t="s">
        <v>172</v>
      </c>
      <c r="E233" s="146">
        <f>[10]Sales_SP!DG10</f>
        <v>958.6312096</v>
      </c>
      <c r="F233" s="146">
        <f>[10]Sales_SP!DH10</f>
        <v>947.77734622</v>
      </c>
      <c r="G233" s="146">
        <f>[10]Sales_SP!DI10</f>
        <v>817.066939</v>
      </c>
      <c r="H233" s="146">
        <f>[10]Sales_SP!DJ10</f>
        <v>781.51773</v>
      </c>
      <c r="I233" s="146">
        <f>[10]Sales_SP!DK10</f>
        <v>783.46889321</v>
      </c>
      <c r="J233" s="146">
        <f>[10]Sales_SP!DL10</f>
        <v>744.23774119</v>
      </c>
      <c r="K233" s="146">
        <f>[10]Sales_SP!DM10</f>
        <v>770.82084596</v>
      </c>
      <c r="L233" s="146">
        <f>[10]Sales_SP!DN10</f>
        <v>678.15063825</v>
      </c>
      <c r="M233" s="146">
        <f>[10]Sales_SP!DO10</f>
        <v>642.3749949</v>
      </c>
      <c r="N233" s="146">
        <f>[10]Sales_SP!DP10</f>
        <v>634.498739</v>
      </c>
      <c r="O233" s="146">
        <f>[10]Sales_SP!DQ10</f>
        <v>652.04275759</v>
      </c>
      <c r="P233" s="146">
        <f>[10]Sales_SP!DR10</f>
        <v>924.62434831</v>
      </c>
      <c r="Q233" s="916">
        <f t="shared" ref="Q233:Q246" si="73">SUM(E233:P233)</f>
        <v>9335.21218323</v>
      </c>
      <c r="R233" s="887"/>
      <c r="S233" s="887"/>
    </row>
    <row r="234" ht="15" spans="3:19">
      <c r="C234" s="55" t="s">
        <v>173</v>
      </c>
      <c r="D234" s="55" t="s">
        <v>174</v>
      </c>
      <c r="E234" s="146">
        <f>[10]Sales_SP!DG23</f>
        <v>216.622602</v>
      </c>
      <c r="F234" s="146">
        <f>[10]Sales_SP!DH23</f>
        <v>164.782805</v>
      </c>
      <c r="G234" s="146">
        <f>[10]Sales_SP!DI23</f>
        <v>187.96645104</v>
      </c>
      <c r="H234" s="146">
        <f>[10]Sales_SP!DJ23</f>
        <v>203.2554</v>
      </c>
      <c r="I234" s="146">
        <f>[10]Sales_SP!DK23</f>
        <v>208.33792147</v>
      </c>
      <c r="J234" s="146">
        <f>[10]Sales_SP!DL23</f>
        <v>202.38050946</v>
      </c>
      <c r="K234" s="146">
        <f>[10]Sales_SP!DM23</f>
        <v>219.36207261</v>
      </c>
      <c r="L234" s="146">
        <f>[10]Sales_SP!DN23</f>
        <v>206.03346725</v>
      </c>
      <c r="M234" s="146">
        <f>[10]Sales_SP!DO23</f>
        <v>200.8110605</v>
      </c>
      <c r="N234" s="146">
        <f>[10]Sales_SP!DP23</f>
        <v>188.034485</v>
      </c>
      <c r="O234" s="146">
        <f>[10]Sales_SP!DQ23</f>
        <v>203.62566825</v>
      </c>
      <c r="P234" s="146">
        <f>[10]Sales_SP!DR23</f>
        <v>267.1268865</v>
      </c>
      <c r="Q234" s="916">
        <f t="shared" si="73"/>
        <v>2468.33932908</v>
      </c>
      <c r="R234" s="887"/>
      <c r="S234" s="887"/>
    </row>
    <row r="235" ht="15" spans="3:19">
      <c r="C235" s="55" t="s">
        <v>175</v>
      </c>
      <c r="D235" s="55" t="s">
        <v>176</v>
      </c>
      <c r="E235" s="146">
        <f>[10]Sales_SP!DG36</f>
        <v>72.129595</v>
      </c>
      <c r="F235" s="146">
        <f>[10]Sales_SP!DH36</f>
        <v>62.519583</v>
      </c>
      <c r="G235" s="146">
        <f>[10]Sales_SP!DI36</f>
        <v>70.313388</v>
      </c>
      <c r="H235" s="146">
        <f>[10]Sales_SP!DJ36</f>
        <v>75.565589</v>
      </c>
      <c r="I235" s="146">
        <f>[10]Sales_SP!DK36</f>
        <v>74.327884</v>
      </c>
      <c r="J235" s="146">
        <f>[10]Sales_SP!DL36</f>
        <v>69.495636</v>
      </c>
      <c r="K235" s="146">
        <f>[10]Sales_SP!DM36</f>
        <v>71.286587</v>
      </c>
      <c r="L235" s="146">
        <f>[10]Sales_SP!DN36</f>
        <v>75.917098</v>
      </c>
      <c r="M235" s="146">
        <f>[10]Sales_SP!DO36</f>
        <v>85.897062</v>
      </c>
      <c r="N235" s="146">
        <f>[10]Sales_SP!DP36</f>
        <v>79.088023</v>
      </c>
      <c r="O235" s="146">
        <f>[10]Sales_SP!DQ36</f>
        <v>76.008109</v>
      </c>
      <c r="P235" s="146">
        <f>[10]Sales_SP!DR36</f>
        <v>79.632552</v>
      </c>
      <c r="Q235" s="916">
        <f t="shared" si="73"/>
        <v>892.181106</v>
      </c>
      <c r="R235" s="887"/>
      <c r="S235" s="887"/>
    </row>
    <row r="236" ht="15" spans="3:19">
      <c r="C236" s="55" t="s">
        <v>177</v>
      </c>
      <c r="D236" s="55" t="s">
        <v>178</v>
      </c>
      <c r="E236" s="146">
        <f>[10]Sales_SP!DG43</f>
        <v>0.811382</v>
      </c>
      <c r="F236" s="146">
        <f>[10]Sales_SP!DH43</f>
        <v>0.687753</v>
      </c>
      <c r="G236" s="146">
        <f>[10]Sales_SP!DI43</f>
        <v>0.782228</v>
      </c>
      <c r="H236" s="146">
        <f>[10]Sales_SP!DJ43</f>
        <v>0.806994</v>
      </c>
      <c r="I236" s="146">
        <f>[10]Sales_SP!DK43</f>
        <v>0.767551</v>
      </c>
      <c r="J236" s="146">
        <f>[10]Sales_SP!DL43</f>
        <v>0.730633</v>
      </c>
      <c r="K236" s="146">
        <f>[10]Sales_SP!DM43</f>
        <v>0.782965</v>
      </c>
      <c r="L236" s="146">
        <f>[10]Sales_SP!DN43</f>
        <v>0.753787</v>
      </c>
      <c r="M236" s="146">
        <f>[10]Sales_SP!DO43</f>
        <v>0.764057</v>
      </c>
      <c r="N236" s="146">
        <f>[10]Sales_SP!DP43</f>
        <v>0.648226</v>
      </c>
      <c r="O236" s="146">
        <f>[10]Sales_SP!DQ43</f>
        <v>0.627256</v>
      </c>
      <c r="P236" s="146">
        <f>[10]Sales_SP!DR43</f>
        <v>0.818623</v>
      </c>
      <c r="Q236" s="916">
        <f t="shared" si="73"/>
        <v>8.981455</v>
      </c>
      <c r="R236" s="887"/>
      <c r="S236" s="887"/>
    </row>
    <row r="237" ht="15" spans="3:19">
      <c r="C237" s="55" t="s">
        <v>179</v>
      </c>
      <c r="D237" s="55" t="s">
        <v>180</v>
      </c>
      <c r="E237" s="146">
        <f>[10]Sales_SP!DG48+[10]Sales_SP!DG52</f>
        <v>2.268113</v>
      </c>
      <c r="F237" s="146">
        <f>[10]Sales_SP!DH48+[10]Sales_SP!DH52</f>
        <v>2.185864</v>
      </c>
      <c r="G237" s="146">
        <f>[10]Sales_SP!DI48+[10]Sales_SP!DI52</f>
        <v>2.094385</v>
      </c>
      <c r="H237" s="146">
        <f>[10]Sales_SP!DJ48+[10]Sales_SP!DJ52</f>
        <v>2.202114</v>
      </c>
      <c r="I237" s="146">
        <f>[10]Sales_SP!DK48+[10]Sales_SP!DK52</f>
        <v>2.210416</v>
      </c>
      <c r="J237" s="146">
        <f>[10]Sales_SP!DL48+[10]Sales_SP!DL52</f>
        <v>2.250792</v>
      </c>
      <c r="K237" s="146">
        <f>[10]Sales_SP!DM48+[10]Sales_SP!DM52</f>
        <v>2.360061</v>
      </c>
      <c r="L237" s="146">
        <f>[10]Sales_SP!DN48+[10]Sales_SP!DN52</f>
        <v>2.398524</v>
      </c>
      <c r="M237" s="146">
        <f>[10]Sales_SP!DO48+[10]Sales_SP!DO52</f>
        <v>2.625053</v>
      </c>
      <c r="N237" s="146">
        <f>[10]Sales_SP!DP48+[10]Sales_SP!DP52</f>
        <v>2.750208</v>
      </c>
      <c r="O237" s="146">
        <f>[10]Sales_SP!DQ48+[10]Sales_SP!DQ52</f>
        <v>2.87468</v>
      </c>
      <c r="P237" s="146">
        <f>[10]Sales_SP!DR48+[10]Sales_SP!DR52</f>
        <v>3.283647</v>
      </c>
      <c r="Q237" s="916">
        <f t="shared" si="73"/>
        <v>29.503857</v>
      </c>
      <c r="R237" s="887"/>
      <c r="S237" s="887"/>
    </row>
    <row r="238" ht="15" spans="3:19">
      <c r="C238" s="55" t="s">
        <v>181</v>
      </c>
      <c r="D238" s="55" t="s">
        <v>182</v>
      </c>
      <c r="E238" s="146">
        <f>[10]Sales_SP!DG54</f>
        <v>39.974317</v>
      </c>
      <c r="F238" s="146">
        <f>[10]Sales_SP!DH54</f>
        <v>37.89918</v>
      </c>
      <c r="G238" s="146">
        <f>[10]Sales_SP!DI54</f>
        <v>36.7185941</v>
      </c>
      <c r="H238" s="146">
        <f>[10]Sales_SP!DJ54</f>
        <v>37.23527875</v>
      </c>
      <c r="I238" s="146">
        <f>[10]Sales_SP!DK54</f>
        <v>37.20049</v>
      </c>
      <c r="J238" s="146">
        <f>[10]Sales_SP!DL54</f>
        <v>36.156446</v>
      </c>
      <c r="K238" s="146">
        <f>[10]Sales_SP!DM54</f>
        <v>39.504069</v>
      </c>
      <c r="L238" s="146">
        <f>[10]Sales_SP!DN54</f>
        <v>37.812615</v>
      </c>
      <c r="M238" s="146">
        <f>[10]Sales_SP!DO54</f>
        <v>39.7390975</v>
      </c>
      <c r="N238" s="146">
        <f>[10]Sales_SP!DP54</f>
        <v>38.91495325</v>
      </c>
      <c r="O238" s="146">
        <f>[10]Sales_SP!DQ54</f>
        <v>38.393703</v>
      </c>
      <c r="P238" s="146">
        <f>[10]Sales_SP!DR54</f>
        <v>42.636841</v>
      </c>
      <c r="Q238" s="916">
        <f t="shared" si="73"/>
        <v>462.1855846</v>
      </c>
      <c r="R238" s="887"/>
      <c r="S238" s="887"/>
    </row>
    <row r="239" ht="15" spans="3:19">
      <c r="C239" s="55" t="s">
        <v>183</v>
      </c>
      <c r="D239" s="55" t="s">
        <v>184</v>
      </c>
      <c r="E239" s="146">
        <f>[10]Sales_SP!DG64</f>
        <v>4.9724112</v>
      </c>
      <c r="F239" s="146">
        <f>[10]Sales_SP!DH64</f>
        <v>3.9698763</v>
      </c>
      <c r="G239" s="146">
        <f>[10]Sales_SP!DI64</f>
        <v>3.8782</v>
      </c>
      <c r="H239" s="146">
        <f>[10]Sales_SP!DJ64</f>
        <v>4.268814</v>
      </c>
      <c r="I239" s="146">
        <f>[10]Sales_SP!DK64</f>
        <v>4.424712</v>
      </c>
      <c r="J239" s="146">
        <f>[10]Sales_SP!DL64</f>
        <v>4.478792</v>
      </c>
      <c r="K239" s="146">
        <f>[10]Sales_SP!DM64</f>
        <v>5.1390957</v>
      </c>
      <c r="L239" s="146">
        <f>[10]Sales_SP!DN64</f>
        <v>6.1701034</v>
      </c>
      <c r="M239" s="146">
        <f>[10]Sales_SP!DO64</f>
        <v>5.851374</v>
      </c>
      <c r="N239" s="146">
        <f>[10]Sales_SP!DP64</f>
        <v>4.0501452</v>
      </c>
      <c r="O239" s="146">
        <f>[10]Sales_SP!DQ64</f>
        <v>5.9031316</v>
      </c>
      <c r="P239" s="146">
        <f>[10]Sales_SP!DR64</f>
        <v>8.2073661</v>
      </c>
      <c r="Q239" s="916">
        <f t="shared" si="73"/>
        <v>61.3140215</v>
      </c>
      <c r="R239" s="887"/>
      <c r="S239" s="887"/>
    </row>
    <row r="240" ht="15" spans="3:19">
      <c r="C240" s="55" t="s">
        <v>185</v>
      </c>
      <c r="D240" s="55" t="s">
        <v>186</v>
      </c>
      <c r="E240" s="146">
        <f>[10]Sales_SP!DG69</f>
        <v>6.329285</v>
      </c>
      <c r="F240" s="146">
        <f>[10]Sales_SP!DH69</f>
        <v>5.696465</v>
      </c>
      <c r="G240" s="146">
        <f>[10]Sales_SP!DI69</f>
        <v>5.892033</v>
      </c>
      <c r="H240" s="146">
        <f>[10]Sales_SP!DJ69</f>
        <v>6.324905</v>
      </c>
      <c r="I240" s="146">
        <f>[10]Sales_SP!DK69</f>
        <v>6.69901</v>
      </c>
      <c r="J240" s="146">
        <f>[10]Sales_SP!DL69</f>
        <v>6.614965</v>
      </c>
      <c r="K240" s="146">
        <f>[10]Sales_SP!DM69</f>
        <v>7.313747</v>
      </c>
      <c r="L240" s="146">
        <f>[10]Sales_SP!DN69</f>
        <v>6.741851</v>
      </c>
      <c r="M240" s="146">
        <f>[10]Sales_SP!DO69</f>
        <v>7.121061</v>
      </c>
      <c r="N240" s="146">
        <f>[10]Sales_SP!DP69</f>
        <v>7.045018</v>
      </c>
      <c r="O240" s="146">
        <f>[10]Sales_SP!DQ69</f>
        <v>7.455261</v>
      </c>
      <c r="P240" s="146">
        <f>[10]Sales_SP!DR69</f>
        <v>9.054385</v>
      </c>
      <c r="Q240" s="916">
        <f t="shared" si="73"/>
        <v>82.287986</v>
      </c>
      <c r="R240" s="887"/>
      <c r="S240" s="887"/>
    </row>
    <row r="241" ht="15" spans="3:19">
      <c r="C241" s="55" t="s">
        <v>187</v>
      </c>
      <c r="D241" s="55" t="s">
        <v>188</v>
      </c>
      <c r="E241" s="146">
        <f>[10]Sales_SP!DG70</f>
        <v>0.002711</v>
      </c>
      <c r="F241" s="146">
        <f>[10]Sales_SP!DH70</f>
        <v>0.001399</v>
      </c>
      <c r="G241" s="146">
        <f>[10]Sales_SP!DI70</f>
        <v>0.002161</v>
      </c>
      <c r="H241" s="146">
        <f>[10]Sales_SP!DJ70</f>
        <v>0.004707</v>
      </c>
      <c r="I241" s="146">
        <f>[10]Sales_SP!DK70</f>
        <v>0.0063</v>
      </c>
      <c r="J241" s="146">
        <f>[10]Sales_SP!DL70</f>
        <v>0.009721</v>
      </c>
      <c r="K241" s="146">
        <f>[10]Sales_SP!DM70</f>
        <v>0.012039</v>
      </c>
      <c r="L241" s="146">
        <f>[10]Sales_SP!DN70</f>
        <v>0.012754</v>
      </c>
      <c r="M241" s="146">
        <f>[10]Sales_SP!DO70</f>
        <v>0.01836</v>
      </c>
      <c r="N241" s="146">
        <f>[10]Sales_SP!DP70</f>
        <v>0.017074</v>
      </c>
      <c r="O241" s="146">
        <f>[10]Sales_SP!DQ70</f>
        <v>0.020971</v>
      </c>
      <c r="P241" s="146">
        <f>[10]Sales_SP!DR70</f>
        <v>0.02218</v>
      </c>
      <c r="Q241" s="916">
        <f t="shared" si="73"/>
        <v>0.130377</v>
      </c>
      <c r="R241" s="887"/>
      <c r="S241" s="887"/>
    </row>
    <row r="242" ht="15" spans="3:19">
      <c r="C242" s="55"/>
      <c r="D242" s="55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916">
        <f t="shared" si="73"/>
        <v>0</v>
      </c>
      <c r="R242" s="887"/>
      <c r="S242" s="887"/>
    </row>
    <row r="243" ht="15" spans="3:19">
      <c r="C243" s="55"/>
      <c r="D243" s="55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916">
        <f t="shared" si="73"/>
        <v>0</v>
      </c>
      <c r="R243" s="887"/>
      <c r="S243" s="887"/>
    </row>
    <row r="244" ht="15" spans="3:19">
      <c r="C244" s="55"/>
      <c r="D244" s="55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916">
        <f t="shared" si="73"/>
        <v>0</v>
      </c>
      <c r="R244" s="887"/>
      <c r="S244" s="887"/>
    </row>
    <row r="245" ht="15" spans="3:19">
      <c r="C245" s="55" t="s">
        <v>258</v>
      </c>
      <c r="D245" s="55" t="s">
        <v>258</v>
      </c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916">
        <f t="shared" si="73"/>
        <v>0</v>
      </c>
      <c r="R245" s="887"/>
      <c r="S245" s="887"/>
    </row>
    <row r="246" ht="15" spans="3:19">
      <c r="C246" s="537" t="s">
        <v>189</v>
      </c>
      <c r="D246" s="540"/>
      <c r="E246" s="916">
        <f t="shared" ref="E246:P246" si="74">SUM(E233:E245)</f>
        <v>1301.7416258</v>
      </c>
      <c r="F246" s="916">
        <f t="shared" si="74"/>
        <v>1225.52027152</v>
      </c>
      <c r="G246" s="916">
        <f t="shared" si="74"/>
        <v>1124.71437914</v>
      </c>
      <c r="H246" s="916">
        <f t="shared" si="74"/>
        <v>1111.18153175</v>
      </c>
      <c r="I246" s="916">
        <f t="shared" si="74"/>
        <v>1117.44317768</v>
      </c>
      <c r="J246" s="916">
        <f t="shared" si="74"/>
        <v>1066.35523565</v>
      </c>
      <c r="K246" s="916">
        <f t="shared" si="74"/>
        <v>1116.58148227</v>
      </c>
      <c r="L246" s="916">
        <f t="shared" si="74"/>
        <v>1013.9908379</v>
      </c>
      <c r="M246" s="916">
        <f t="shared" si="74"/>
        <v>985.2021199</v>
      </c>
      <c r="N246" s="916">
        <f t="shared" si="74"/>
        <v>955.04687145</v>
      </c>
      <c r="O246" s="916">
        <f t="shared" si="74"/>
        <v>986.95153744</v>
      </c>
      <c r="P246" s="916">
        <f t="shared" si="74"/>
        <v>1335.40682891</v>
      </c>
      <c r="Q246" s="916">
        <f t="shared" si="73"/>
        <v>13340.13589941</v>
      </c>
      <c r="R246" s="887"/>
      <c r="S246" s="887"/>
    </row>
    <row r="247" ht="15" spans="3:19">
      <c r="C247" s="44" t="s">
        <v>190</v>
      </c>
      <c r="D247" s="45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58"/>
      <c r="R247" s="887"/>
      <c r="S247" s="887"/>
    </row>
    <row r="248" ht="15" spans="3:19">
      <c r="C248" s="55" t="s">
        <v>191</v>
      </c>
      <c r="D248" s="55" t="s">
        <v>192</v>
      </c>
      <c r="E248" s="146">
        <f>[10]Sales_SP!DG89</f>
        <v>332.544070280001</v>
      </c>
      <c r="F248" s="146">
        <f>[10]Sales_SP!DH89</f>
        <v>296.7444354</v>
      </c>
      <c r="G248" s="146">
        <f>[10]Sales_SP!DI89</f>
        <v>301.99576105</v>
      </c>
      <c r="H248" s="146">
        <f>[10]Sales_SP!DJ89</f>
        <v>321.228852779999</v>
      </c>
      <c r="I248" s="146">
        <f>[10]Sales_SP!DK89</f>
        <v>326.266262549999</v>
      </c>
      <c r="J248" s="146">
        <f>[10]Sales_SP!DL89</f>
        <v>320.032160720001</v>
      </c>
      <c r="K248" s="146">
        <f>[10]Sales_SP!DM89</f>
        <v>309.161398929999</v>
      </c>
      <c r="L248" s="146">
        <f>[10]Sales_SP!DN89</f>
        <v>330.646328459999</v>
      </c>
      <c r="M248" s="146">
        <f>[10]Sales_SP!DO89</f>
        <v>334.94531104</v>
      </c>
      <c r="N248" s="146">
        <f>[10]Sales_SP!DP89</f>
        <v>337.16304669</v>
      </c>
      <c r="O248" s="146">
        <f>[10]Sales_SP!DQ89</f>
        <v>334.920558119999</v>
      </c>
      <c r="P248" s="146">
        <f>[10]Sales_SP!DR89</f>
        <v>315.07038202</v>
      </c>
      <c r="Q248" s="916">
        <f t="shared" ref="Q248:Q263" si="75">SUM(E248:P248)</f>
        <v>3860.71856804</v>
      </c>
      <c r="R248" s="887"/>
      <c r="S248" s="887"/>
    </row>
    <row r="249" ht="15" spans="3:19">
      <c r="C249" s="55" t="s">
        <v>193</v>
      </c>
      <c r="D249" s="55" t="s">
        <v>194</v>
      </c>
      <c r="E249" s="146">
        <f>[10]Sales_SP!DG104</f>
        <v>0</v>
      </c>
      <c r="F249" s="146">
        <f>[10]Sales_SP!DH104</f>
        <v>0</v>
      </c>
      <c r="G249" s="146">
        <f>[10]Sales_SP!DI104</f>
        <v>0</v>
      </c>
      <c r="H249" s="146">
        <f>[10]Sales_SP!DJ104</f>
        <v>0</v>
      </c>
      <c r="I249" s="146">
        <f>[10]Sales_SP!DK104</f>
        <v>0</v>
      </c>
      <c r="J249" s="146">
        <f>[10]Sales_SP!DL104</f>
        <v>0</v>
      </c>
      <c r="K249" s="146">
        <f>[10]Sales_SP!DM104</f>
        <v>0</v>
      </c>
      <c r="L249" s="146">
        <f>[10]Sales_SP!DN104</f>
        <v>0</v>
      </c>
      <c r="M249" s="146">
        <f>[10]Sales_SP!DO104</f>
        <v>0</v>
      </c>
      <c r="N249" s="146">
        <f>[10]Sales_SP!DP104</f>
        <v>0</v>
      </c>
      <c r="O249" s="146">
        <f>[10]Sales_SP!DQ104</f>
        <v>0</v>
      </c>
      <c r="P249" s="146">
        <f>[10]Sales_SP!DR104</f>
        <v>0</v>
      </c>
      <c r="Q249" s="916">
        <f t="shared" si="75"/>
        <v>0</v>
      </c>
      <c r="R249" s="887"/>
      <c r="S249" s="887"/>
    </row>
    <row r="250" ht="15" spans="3:19">
      <c r="C250" s="55" t="s">
        <v>239</v>
      </c>
      <c r="D250" s="55" t="s">
        <v>196</v>
      </c>
      <c r="E250" s="146">
        <f>[10]Sales_SP!DG110</f>
        <v>135.33931926</v>
      </c>
      <c r="F250" s="146">
        <f>SUM('[14]FY21-22 Actual Sales '!H93:H96)</f>
        <v>116.92400986</v>
      </c>
      <c r="G250" s="146">
        <f>SUM('[14]FY21-22 Actual Sales '!I93:I96)</f>
        <v>105.71268346</v>
      </c>
      <c r="H250" s="146">
        <f>SUM('[14]FY21-22 Actual Sales '!J93:J96)</f>
        <v>118.80580985</v>
      </c>
      <c r="I250" s="146">
        <f>SUM('[14]FY21-22 Actual Sales '!K93:K96)</f>
        <v>124.65938299</v>
      </c>
      <c r="J250" s="146">
        <f>SUM('[14]FY21-22 Actual Sales '!L93:L96)</f>
        <v>122.62340804</v>
      </c>
      <c r="K250" s="146">
        <f>SUM('[14]FY21-22 Actual Sales '!M93:M96)</f>
        <v>131.27630043</v>
      </c>
      <c r="L250" s="146">
        <f>SUM('[14]FY21-22 Actual Sales '!N93:N96)</f>
        <v>125.499898209999</v>
      </c>
      <c r="M250" s="146">
        <f>SUM('[14]FY21-22 Actual Sales '!O93:O96)</f>
        <v>122.17824065</v>
      </c>
      <c r="N250" s="146">
        <f>SUM('[14]FY21-22 Actual Sales '!P93:P96)</f>
        <v>113.94841667</v>
      </c>
      <c r="O250" s="146">
        <f>SUM('[14]FY21-22 Actual Sales '!Q93:Q96)</f>
        <v>109.91896391</v>
      </c>
      <c r="P250" s="146">
        <f>SUM('[14]FY21-22 Actual Sales '!R93:R96)</f>
        <v>124.73975294</v>
      </c>
      <c r="Q250" s="916">
        <f t="shared" si="75"/>
        <v>1451.62618627</v>
      </c>
      <c r="R250" s="887"/>
      <c r="S250" s="887"/>
    </row>
    <row r="251" ht="15" spans="3:19">
      <c r="C251" s="55" t="s">
        <v>197</v>
      </c>
      <c r="D251" s="55" t="s">
        <v>198</v>
      </c>
      <c r="E251" s="146">
        <f>[10]Sales_SP!DG115</f>
        <v>0</v>
      </c>
      <c r="F251" s="146">
        <f>[10]Sales_SP!DH115</f>
        <v>0</v>
      </c>
      <c r="G251" s="146">
        <f>[10]Sales_SP!DI115</f>
        <v>0</v>
      </c>
      <c r="H251" s="146">
        <f>[10]Sales_SP!DJ115</f>
        <v>0</v>
      </c>
      <c r="I251" s="146">
        <f>[10]Sales_SP!DK115</f>
        <v>0</v>
      </c>
      <c r="J251" s="146">
        <f>[10]Sales_SP!DL115</f>
        <v>0</v>
      </c>
      <c r="K251" s="146">
        <f>[10]Sales_SP!DM115</f>
        <v>0</v>
      </c>
      <c r="L251" s="146">
        <f>[10]Sales_SP!DN115</f>
        <v>0</v>
      </c>
      <c r="M251" s="146">
        <f>[10]Sales_SP!DO115</f>
        <v>0</v>
      </c>
      <c r="N251" s="146">
        <f>[10]Sales_SP!DP115</f>
        <v>0</v>
      </c>
      <c r="O251" s="146">
        <f>[10]Sales_SP!DQ115</f>
        <v>0</v>
      </c>
      <c r="P251" s="146">
        <f>[10]Sales_SP!DR115</f>
        <v>0</v>
      </c>
      <c r="Q251" s="916">
        <f t="shared" si="75"/>
        <v>0</v>
      </c>
      <c r="R251" s="887"/>
      <c r="S251" s="887"/>
    </row>
    <row r="252" ht="15" spans="3:19">
      <c r="C252" s="55" t="s">
        <v>199</v>
      </c>
      <c r="D252" s="55" t="s">
        <v>200</v>
      </c>
      <c r="E252" s="146">
        <f>[10]Sales_SP!DG120</f>
        <v>0.292469</v>
      </c>
      <c r="F252" s="146">
        <f>[10]Sales_SP!DH120</f>
        <v>0.270392</v>
      </c>
      <c r="G252" s="146">
        <f>[10]Sales_SP!DI120</f>
        <v>0.234387</v>
      </c>
      <c r="H252" s="146">
        <f>[10]Sales_SP!DJ120</f>
        <v>0.262396</v>
      </c>
      <c r="I252" s="146">
        <f>[10]Sales_SP!DK120</f>
        <v>0.285778</v>
      </c>
      <c r="J252" s="146">
        <f>[10]Sales_SP!DL120</f>
        <v>0.295408</v>
      </c>
      <c r="K252" s="146">
        <f>[10]Sales_SP!DM120</f>
        <v>0.300113</v>
      </c>
      <c r="L252" s="146">
        <f>[10]Sales_SP!DN120</f>
        <v>0.305227</v>
      </c>
      <c r="M252" s="146">
        <f>[10]Sales_SP!DO120</f>
        <v>0.305084</v>
      </c>
      <c r="N252" s="146">
        <f>[10]Sales_SP!DP120</f>
        <v>0.2911648</v>
      </c>
      <c r="O252" s="146">
        <f>[10]Sales_SP!DQ120</f>
        <v>0.269018</v>
      </c>
      <c r="P252" s="146">
        <f>[10]Sales_SP!DR120</f>
        <v>0.276124</v>
      </c>
      <c r="Q252" s="916">
        <f t="shared" si="75"/>
        <v>3.3875608</v>
      </c>
      <c r="R252" s="887"/>
      <c r="S252" s="887"/>
    </row>
    <row r="253" ht="15" spans="3:19">
      <c r="C253" s="55" t="s">
        <v>201</v>
      </c>
      <c r="D253" s="55" t="s">
        <v>202</v>
      </c>
      <c r="E253" s="146">
        <f>[10]Sales_SP!DG126</f>
        <v>5.098911</v>
      </c>
      <c r="F253" s="146">
        <f>[10]Sales_SP!DH126</f>
        <v>1.125737</v>
      </c>
      <c r="G253" s="146">
        <f>[10]Sales_SP!DI126</f>
        <v>0.655789</v>
      </c>
      <c r="H253" s="146">
        <f>[10]Sales_SP!DJ126</f>
        <v>0.850232</v>
      </c>
      <c r="I253" s="146">
        <f>[10]Sales_SP!DK126</f>
        <v>2.978438</v>
      </c>
      <c r="J253" s="146">
        <f>[10]Sales_SP!DL126</f>
        <v>4.169779</v>
      </c>
      <c r="K253" s="146">
        <f>[10]Sales_SP!DM126</f>
        <v>5.090822</v>
      </c>
      <c r="L253" s="146">
        <f>[10]Sales_SP!DN126</f>
        <v>3.925507</v>
      </c>
      <c r="M253" s="146">
        <f>[10]Sales_SP!DO126</f>
        <v>1.892511</v>
      </c>
      <c r="N253" s="146">
        <f>[10]Sales_SP!DP126</f>
        <v>4.936936</v>
      </c>
      <c r="O253" s="146">
        <f>[10]Sales_SP!DQ126</f>
        <v>5.117686</v>
      </c>
      <c r="P253" s="146">
        <f>[10]Sales_SP!DR126</f>
        <v>5.834378</v>
      </c>
      <c r="Q253" s="916">
        <f t="shared" si="75"/>
        <v>41.676726</v>
      </c>
      <c r="R253" s="887"/>
      <c r="S253" s="887"/>
    </row>
    <row r="254" ht="15" spans="3:19">
      <c r="C254" s="55" t="s">
        <v>203</v>
      </c>
      <c r="D254" s="55" t="s">
        <v>204</v>
      </c>
      <c r="E254" s="146">
        <f>[10]Sales_SP!DG127</f>
        <v>11.473512</v>
      </c>
      <c r="F254" s="146">
        <f>[10]Sales_SP!DH127</f>
        <v>10.681545</v>
      </c>
      <c r="G254" s="146">
        <f>[10]Sales_SP!DI127</f>
        <v>10.455111</v>
      </c>
      <c r="H254" s="146">
        <f>[10]Sales_SP!DJ127</f>
        <v>10.456347</v>
      </c>
      <c r="I254" s="146">
        <f>[10]Sales_SP!DK127</f>
        <v>10.8146315</v>
      </c>
      <c r="J254" s="146">
        <f>[10]Sales_SP!DL127</f>
        <v>10.613011</v>
      </c>
      <c r="K254" s="146">
        <f>[10]Sales_SP!DM127</f>
        <v>10.948582</v>
      </c>
      <c r="L254" s="146">
        <f>[10]Sales_SP!DN127</f>
        <v>11.269684</v>
      </c>
      <c r="M254" s="146">
        <f>[10]Sales_SP!DO127</f>
        <v>10.916776</v>
      </c>
      <c r="N254" s="146">
        <f>[10]Sales_SP!DP127</f>
        <v>11.1741985</v>
      </c>
      <c r="O254" s="146">
        <f>[10]Sales_SP!DQ127</f>
        <v>10.960835</v>
      </c>
      <c r="P254" s="146">
        <f>[10]Sales_SP!DR127</f>
        <v>10.458047</v>
      </c>
      <c r="Q254" s="916">
        <f t="shared" si="75"/>
        <v>130.22228</v>
      </c>
      <c r="R254" s="887"/>
      <c r="S254" s="887"/>
    </row>
    <row r="255" ht="15" spans="3:19">
      <c r="C255" s="55" t="s">
        <v>205</v>
      </c>
      <c r="D255" s="55" t="s">
        <v>206</v>
      </c>
      <c r="E255" s="146">
        <f>[10]Sales_SP!DG131</f>
        <v>14.581323</v>
      </c>
      <c r="F255" s="146">
        <f>[10]Sales_SP!DH131</f>
        <v>14.678289</v>
      </c>
      <c r="G255" s="146">
        <f>[10]Sales_SP!DI131</f>
        <v>14.124176</v>
      </c>
      <c r="H255" s="146">
        <f>[10]Sales_SP!DJ131</f>
        <v>12.035335</v>
      </c>
      <c r="I255" s="146">
        <f>[10]Sales_SP!DK131</f>
        <v>12.083102</v>
      </c>
      <c r="J255" s="146">
        <f>[10]Sales_SP!DL131</f>
        <v>11.7113118</v>
      </c>
      <c r="K255" s="146">
        <f>[10]Sales_SP!DM131</f>
        <v>11.8348675</v>
      </c>
      <c r="L255" s="146">
        <f>[10]Sales_SP!DN131</f>
        <v>11.489955</v>
      </c>
      <c r="M255" s="146">
        <f>[10]Sales_SP!DO131</f>
        <v>10.88195575</v>
      </c>
      <c r="N255" s="146">
        <f>[10]Sales_SP!DP131</f>
        <v>11.005298</v>
      </c>
      <c r="O255" s="146">
        <f>[10]Sales_SP!DQ131</f>
        <v>10.857859</v>
      </c>
      <c r="P255" s="146">
        <f>[10]Sales_SP!DR131</f>
        <v>11.39923</v>
      </c>
      <c r="Q255" s="916">
        <f t="shared" si="75"/>
        <v>146.68270205</v>
      </c>
      <c r="R255" s="887"/>
      <c r="S255" s="887"/>
    </row>
    <row r="256" ht="15" spans="3:19">
      <c r="C256" s="55" t="s">
        <v>207</v>
      </c>
      <c r="D256" s="55" t="s">
        <v>186</v>
      </c>
      <c r="E256" s="146">
        <f>[10]Sales_SP!DG132</f>
        <v>8.710615</v>
      </c>
      <c r="F256" s="146">
        <f>[10]Sales_SP!DH132</f>
        <v>7.95727</v>
      </c>
      <c r="G256" s="146">
        <f>[10]Sales_SP!DI132</f>
        <v>8.22206250000001</v>
      </c>
      <c r="H256" s="146">
        <f>[10]Sales_SP!DJ132</f>
        <v>8.76820200000001</v>
      </c>
      <c r="I256" s="146">
        <f>[10]Sales_SP!DK132</f>
        <v>9.743914</v>
      </c>
      <c r="J256" s="146">
        <f>[10]Sales_SP!DL132</f>
        <v>9.652652</v>
      </c>
      <c r="K256" s="146">
        <f>[10]Sales_SP!DM132</f>
        <v>10.108731</v>
      </c>
      <c r="L256" s="146">
        <f>[10]Sales_SP!DN132</f>
        <v>9.71765939</v>
      </c>
      <c r="M256" s="146">
        <f>[10]Sales_SP!DO132</f>
        <v>9.73335603999999</v>
      </c>
      <c r="N256" s="146">
        <f>[10]Sales_SP!DP132</f>
        <v>10.3633035</v>
      </c>
      <c r="O256" s="146">
        <f>[10]Sales_SP!DQ132</f>
        <v>9.914018</v>
      </c>
      <c r="P256" s="146">
        <f>[10]Sales_SP!DR132</f>
        <v>9.59293350000001</v>
      </c>
      <c r="Q256" s="916">
        <f t="shared" si="75"/>
        <v>112.48471693</v>
      </c>
      <c r="R256" s="887"/>
      <c r="S256" s="887"/>
    </row>
    <row r="257" ht="15" spans="3:19">
      <c r="C257" s="55" t="s">
        <v>208</v>
      </c>
      <c r="D257" s="55" t="s">
        <v>209</v>
      </c>
      <c r="E257" s="146">
        <f>[10]Sales_SP!DG133</f>
        <v>0</v>
      </c>
      <c r="F257" s="146">
        <f>[10]Sales_SP!DH133</f>
        <v>0</v>
      </c>
      <c r="G257" s="146">
        <f>[10]Sales_SP!DI133</f>
        <v>0</v>
      </c>
      <c r="H257" s="146">
        <f>[10]Sales_SP!DJ133</f>
        <v>0</v>
      </c>
      <c r="I257" s="146">
        <f>[10]Sales_SP!DK133</f>
        <v>0</v>
      </c>
      <c r="J257" s="146">
        <f>[10]Sales_SP!DL133</f>
        <v>0</v>
      </c>
      <c r="K257" s="146">
        <f>[10]Sales_SP!DM133</f>
        <v>0</v>
      </c>
      <c r="L257" s="146">
        <f>[10]Sales_SP!DN133</f>
        <v>0</v>
      </c>
      <c r="M257" s="146">
        <f>[10]Sales_SP!DO133</f>
        <v>0</v>
      </c>
      <c r="N257" s="146">
        <f>[10]Sales_SP!DP133</f>
        <v>0</v>
      </c>
      <c r="O257" s="146">
        <f>[10]Sales_SP!DQ133</f>
        <v>0</v>
      </c>
      <c r="P257" s="146">
        <f>[10]Sales_SP!DR133</f>
        <v>0</v>
      </c>
      <c r="Q257" s="916">
        <f t="shared" si="75"/>
        <v>0</v>
      </c>
      <c r="R257" s="887"/>
      <c r="S257" s="887"/>
    </row>
    <row r="258" ht="15" spans="3:19">
      <c r="C258" s="55" t="s">
        <v>210</v>
      </c>
      <c r="D258" s="55" t="s">
        <v>188</v>
      </c>
      <c r="E258" s="146">
        <f>[10]Sales_SP!DG134</f>
        <v>0.368187</v>
      </c>
      <c r="F258" s="146">
        <f>[10]Sales_SP!DH134</f>
        <v>0.131025</v>
      </c>
      <c r="G258" s="146">
        <f>[10]Sales_SP!DI134</f>
        <v>0.026748</v>
      </c>
      <c r="H258" s="146">
        <f>[10]Sales_SP!DJ134</f>
        <v>0.186214</v>
      </c>
      <c r="I258" s="146">
        <f>[10]Sales_SP!DK134</f>
        <v>0.254198</v>
      </c>
      <c r="J258" s="146">
        <f>[10]Sales_SP!DL134</f>
        <v>0.288007</v>
      </c>
      <c r="K258" s="146">
        <f>[10]Sales_SP!DM134</f>
        <v>0.35733</v>
      </c>
      <c r="L258" s="146">
        <f>[10]Sales_SP!DN134</f>
        <v>0.383213</v>
      </c>
      <c r="M258" s="146">
        <f>[10]Sales_SP!DO134</f>
        <v>0.385307</v>
      </c>
      <c r="N258" s="146">
        <f>[10]Sales_SP!DP134</f>
        <v>0.361173</v>
      </c>
      <c r="O258" s="146">
        <f>[10]Sales_SP!DQ134</f>
        <v>0.336359</v>
      </c>
      <c r="P258" s="146">
        <f>[10]Sales_SP!DR134</f>
        <v>0.35051</v>
      </c>
      <c r="Q258" s="916">
        <f t="shared" si="75"/>
        <v>3.428271</v>
      </c>
      <c r="R258" s="887"/>
      <c r="S258" s="887"/>
    </row>
    <row r="259" ht="15" spans="3:19">
      <c r="C259" s="55"/>
      <c r="D259" s="55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916">
        <f t="shared" si="75"/>
        <v>0</v>
      </c>
      <c r="R259" s="887"/>
      <c r="S259" s="887"/>
    </row>
    <row r="260" ht="15" spans="3:19">
      <c r="C260" s="55"/>
      <c r="D260" s="55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916">
        <f t="shared" si="75"/>
        <v>0</v>
      </c>
      <c r="R260" s="887"/>
      <c r="S260" s="887"/>
    </row>
    <row r="261" ht="15" spans="3:19">
      <c r="C261" s="55"/>
      <c r="D261" s="55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916">
        <f t="shared" si="75"/>
        <v>0</v>
      </c>
      <c r="R261" s="887"/>
      <c r="S261" s="887"/>
    </row>
    <row r="262" ht="15" spans="3:19">
      <c r="C262" s="55" t="s">
        <v>258</v>
      </c>
      <c r="D262" s="55" t="s">
        <v>258</v>
      </c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916">
        <f t="shared" si="75"/>
        <v>0</v>
      </c>
      <c r="R262" s="887"/>
      <c r="S262" s="887"/>
    </row>
    <row r="263" ht="15" spans="3:19">
      <c r="C263" s="537" t="s">
        <v>211</v>
      </c>
      <c r="D263" s="540"/>
      <c r="E263" s="916">
        <f t="shared" ref="E263:P263" si="76">SUM(E248:E262)</f>
        <v>508.408406540001</v>
      </c>
      <c r="F263" s="916">
        <f t="shared" si="76"/>
        <v>448.51270326</v>
      </c>
      <c r="G263" s="916">
        <f t="shared" si="76"/>
        <v>441.42671801</v>
      </c>
      <c r="H263" s="916">
        <f t="shared" si="76"/>
        <v>472.593388629999</v>
      </c>
      <c r="I263" s="916">
        <f t="shared" si="76"/>
        <v>487.085707039999</v>
      </c>
      <c r="J263" s="916">
        <f t="shared" si="76"/>
        <v>479.385737560001</v>
      </c>
      <c r="K263" s="916">
        <f t="shared" si="76"/>
        <v>479.078144859999</v>
      </c>
      <c r="L263" s="916">
        <f t="shared" si="76"/>
        <v>493.237472059998</v>
      </c>
      <c r="M263" s="916">
        <f t="shared" si="76"/>
        <v>491.23854148</v>
      </c>
      <c r="N263" s="916">
        <f t="shared" si="76"/>
        <v>489.24353716</v>
      </c>
      <c r="O263" s="916">
        <f t="shared" si="76"/>
        <v>482.295297029999</v>
      </c>
      <c r="P263" s="916">
        <f t="shared" si="76"/>
        <v>477.72135746</v>
      </c>
      <c r="Q263" s="916">
        <f t="shared" si="75"/>
        <v>5750.22701109</v>
      </c>
      <c r="R263" s="887"/>
      <c r="S263" s="887"/>
    </row>
    <row r="264" ht="15" spans="3:19">
      <c r="C264" s="44" t="s">
        <v>212</v>
      </c>
      <c r="D264" s="45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58"/>
      <c r="R264" s="887"/>
      <c r="S264" s="887"/>
    </row>
    <row r="265" ht="15" spans="3:19">
      <c r="C265" s="55" t="s">
        <v>191</v>
      </c>
      <c r="D265" s="55" t="s">
        <v>192</v>
      </c>
      <c r="E265" s="146">
        <f>[10]Sales_SP!DG152</f>
        <v>405.53433667</v>
      </c>
      <c r="F265" s="146">
        <f>[10]Sales_SP!DH152</f>
        <v>340.25796541</v>
      </c>
      <c r="G265" s="146">
        <f>[10]Sales_SP!DI152</f>
        <v>340.75413179</v>
      </c>
      <c r="H265" s="146">
        <f>[10]Sales_SP!DJ152</f>
        <v>358.81999154</v>
      </c>
      <c r="I265" s="146">
        <f>[10]Sales_SP!DK152</f>
        <v>375.50052967</v>
      </c>
      <c r="J265" s="146">
        <f>[10]Sales_SP!DL152</f>
        <v>417.45251747</v>
      </c>
      <c r="K265" s="146">
        <f>[10]Sales_SP!DM152</f>
        <v>419.33088867</v>
      </c>
      <c r="L265" s="146">
        <f>[10]Sales_SP!DN152</f>
        <v>374.86296477</v>
      </c>
      <c r="M265" s="146">
        <f>[10]Sales_SP!DO152</f>
        <v>381.64778267</v>
      </c>
      <c r="N265" s="146">
        <f>[10]Sales_SP!DP152</f>
        <v>384.62622567</v>
      </c>
      <c r="O265" s="146">
        <f>[10]Sales_SP!DQ152</f>
        <v>400.06796117</v>
      </c>
      <c r="P265" s="146">
        <f>[10]Sales_SP!DR152</f>
        <v>391.53892767</v>
      </c>
      <c r="Q265" s="916">
        <f t="shared" ref="Q265:Q280" si="77">SUM(E265:P265)</f>
        <v>4590.39422317</v>
      </c>
      <c r="R265" s="887"/>
      <c r="S265" s="887"/>
    </row>
    <row r="266" ht="15" spans="3:19">
      <c r="C266" s="55" t="s">
        <v>193</v>
      </c>
      <c r="D266" s="55" t="s">
        <v>194</v>
      </c>
      <c r="E266" s="146">
        <f>[10]Sales_SP!DG168</f>
        <v>2.7233</v>
      </c>
      <c r="F266" s="146">
        <f>[10]Sales_SP!DH168</f>
        <v>2.0101</v>
      </c>
      <c r="G266" s="146">
        <f>[10]Sales_SP!DI168</f>
        <v>2.51</v>
      </c>
      <c r="H266" s="146">
        <f>[10]Sales_SP!DJ168</f>
        <v>2.4058</v>
      </c>
      <c r="I266" s="146">
        <f>[10]Sales_SP!DK168</f>
        <v>2.3152</v>
      </c>
      <c r="J266" s="146">
        <f>[10]Sales_SP!DL168</f>
        <v>2.4022</v>
      </c>
      <c r="K266" s="146">
        <f>[10]Sales_SP!DM168</f>
        <v>2.213</v>
      </c>
      <c r="L266" s="146">
        <f>[10]Sales_SP!DN168</f>
        <v>2.3597</v>
      </c>
      <c r="M266" s="146">
        <f>[10]Sales_SP!DO168</f>
        <v>3.812</v>
      </c>
      <c r="N266" s="146">
        <f>[10]Sales_SP!DP168</f>
        <v>5.0228</v>
      </c>
      <c r="O266" s="146">
        <f>[10]Sales_SP!DQ168</f>
        <v>4.4858</v>
      </c>
      <c r="P266" s="146">
        <f>[10]Sales_SP!DR168</f>
        <v>4.823</v>
      </c>
      <c r="Q266" s="916">
        <f t="shared" si="77"/>
        <v>37.0829</v>
      </c>
      <c r="R266" s="887"/>
      <c r="S266" s="887"/>
    </row>
    <row r="267" ht="15" spans="3:19">
      <c r="C267" s="55" t="s">
        <v>239</v>
      </c>
      <c r="D267" s="55" t="s">
        <v>196</v>
      </c>
      <c r="E267" s="146">
        <f>[10]Sales_SP!DG174</f>
        <v>67.697895</v>
      </c>
      <c r="F267" s="146">
        <f>[10]Sales_SP!DH174</f>
        <v>60.464027</v>
      </c>
      <c r="G267" s="146">
        <f>[10]Sales_SP!DI174</f>
        <v>58.28261515</v>
      </c>
      <c r="H267" s="146">
        <f>[10]Sales_SP!DJ174</f>
        <v>62.643967</v>
      </c>
      <c r="I267" s="146">
        <f>[10]Sales_SP!DK174</f>
        <v>63.271288</v>
      </c>
      <c r="J267" s="146">
        <f>[10]Sales_SP!DL174</f>
        <v>66.10577</v>
      </c>
      <c r="K267" s="146">
        <f>[10]Sales_SP!DM174</f>
        <v>69.941145</v>
      </c>
      <c r="L267" s="146">
        <f>[10]Sales_SP!DN174</f>
        <v>68.049809</v>
      </c>
      <c r="M267" s="146">
        <f>[10]Sales_SP!DO174</f>
        <v>66.49284</v>
      </c>
      <c r="N267" s="146">
        <f>[10]Sales_SP!DP174</f>
        <v>64.091723</v>
      </c>
      <c r="O267" s="146">
        <f>[10]Sales_SP!DQ174</f>
        <v>62.346976</v>
      </c>
      <c r="P267" s="146">
        <f>[10]Sales_SP!DR174</f>
        <v>63.312877</v>
      </c>
      <c r="Q267" s="916">
        <f t="shared" si="77"/>
        <v>772.70093215</v>
      </c>
      <c r="R267" s="887"/>
      <c r="S267" s="887"/>
    </row>
    <row r="268" ht="15" spans="3:19">
      <c r="C268" s="55" t="s">
        <v>197</v>
      </c>
      <c r="D268" s="55" t="s">
        <v>198</v>
      </c>
      <c r="E268" s="146">
        <f>[10]Sales_SP!DG180</f>
        <v>0</v>
      </c>
      <c r="F268" s="146">
        <f>[10]Sales_SP!DH180</f>
        <v>0</v>
      </c>
      <c r="G268" s="146">
        <f>[10]Sales_SP!DI180</f>
        <v>0</v>
      </c>
      <c r="H268" s="146">
        <f>[10]Sales_SP!DJ180</f>
        <v>0</v>
      </c>
      <c r="I268" s="146">
        <f>[10]Sales_SP!DK180</f>
        <v>0</v>
      </c>
      <c r="J268" s="146">
        <f>[10]Sales_SP!DL180</f>
        <v>0</v>
      </c>
      <c r="K268" s="146">
        <f>[10]Sales_SP!DM180</f>
        <v>0</v>
      </c>
      <c r="L268" s="146">
        <f>[10]Sales_SP!DN180</f>
        <v>0</v>
      </c>
      <c r="M268" s="146">
        <f>[10]Sales_SP!DO180</f>
        <v>0</v>
      </c>
      <c r="N268" s="146">
        <f>[10]Sales_SP!DP180</f>
        <v>0</v>
      </c>
      <c r="O268" s="146">
        <f>[10]Sales_SP!DQ180</f>
        <v>0</v>
      </c>
      <c r="P268" s="146">
        <f>[10]Sales_SP!DR180</f>
        <v>0</v>
      </c>
      <c r="Q268" s="916">
        <f t="shared" si="77"/>
        <v>0</v>
      </c>
      <c r="R268" s="887"/>
      <c r="S268" s="887"/>
    </row>
    <row r="269" ht="15" spans="3:19">
      <c r="C269" s="55" t="s">
        <v>199</v>
      </c>
      <c r="D269" s="55" t="s">
        <v>200</v>
      </c>
      <c r="E269" s="146">
        <f>[10]Sales_SP!DG185</f>
        <v>0</v>
      </c>
      <c r="F269" s="146">
        <f>[10]Sales_SP!DH185</f>
        <v>0</v>
      </c>
      <c r="G269" s="146">
        <f>[10]Sales_SP!DI185</f>
        <v>0</v>
      </c>
      <c r="H269" s="146">
        <f>[10]Sales_SP!DJ185</f>
        <v>0</v>
      </c>
      <c r="I269" s="146">
        <f>[10]Sales_SP!DK185</f>
        <v>0</v>
      </c>
      <c r="J269" s="146">
        <f>[10]Sales_SP!DL185</f>
        <v>0</v>
      </c>
      <c r="K269" s="146">
        <f>[10]Sales_SP!DM185</f>
        <v>0</v>
      </c>
      <c r="L269" s="146">
        <f>[10]Sales_SP!DN185</f>
        <v>0</v>
      </c>
      <c r="M269" s="146">
        <f>[10]Sales_SP!DO185</f>
        <v>0</v>
      </c>
      <c r="N269" s="146">
        <f>[10]Sales_SP!DP185</f>
        <v>0</v>
      </c>
      <c r="O269" s="146">
        <f>[10]Sales_SP!DQ185</f>
        <v>0</v>
      </c>
      <c r="P269" s="146">
        <f>[10]Sales_SP!DR185</f>
        <v>0</v>
      </c>
      <c r="Q269" s="916">
        <f t="shared" si="77"/>
        <v>0</v>
      </c>
      <c r="R269" s="887"/>
      <c r="S269" s="887"/>
    </row>
    <row r="270" ht="15" spans="3:19">
      <c r="C270" s="55" t="s">
        <v>201</v>
      </c>
      <c r="D270" s="55" t="s">
        <v>202</v>
      </c>
      <c r="E270" s="146">
        <f>[10]Sales_SP!DG191</f>
        <v>2.00429</v>
      </c>
      <c r="F270" s="146">
        <f>[10]Sales_SP!DH191</f>
        <v>0.41722</v>
      </c>
      <c r="G270" s="146">
        <f>[10]Sales_SP!DI191</f>
        <v>0.06461</v>
      </c>
      <c r="H270" s="146">
        <f>[10]Sales_SP!DJ191</f>
        <v>0.22211</v>
      </c>
      <c r="I270" s="146">
        <f>[10]Sales_SP!DK191</f>
        <v>0.96775</v>
      </c>
      <c r="J270" s="146">
        <f>[10]Sales_SP!DL191</f>
        <v>1.50842</v>
      </c>
      <c r="K270" s="146">
        <f>[10]Sales_SP!DM191</f>
        <v>1.69882</v>
      </c>
      <c r="L270" s="146">
        <f>[10]Sales_SP!DN191</f>
        <v>1.70025</v>
      </c>
      <c r="M270" s="146">
        <f>[10]Sales_SP!DO191</f>
        <v>1.41856</v>
      </c>
      <c r="N270" s="146">
        <f>[10]Sales_SP!DP191</f>
        <v>1.8518</v>
      </c>
      <c r="O270" s="146">
        <f>[10]Sales_SP!DQ191</f>
        <v>1.69385</v>
      </c>
      <c r="P270" s="146">
        <f>[10]Sales_SP!DR191</f>
        <v>1.84071</v>
      </c>
      <c r="Q270" s="916">
        <f t="shared" si="77"/>
        <v>15.38839</v>
      </c>
      <c r="R270" s="887"/>
      <c r="S270" s="887"/>
    </row>
    <row r="271" ht="15" spans="3:19">
      <c r="C271" s="55" t="s">
        <v>203</v>
      </c>
      <c r="D271" s="55" t="s">
        <v>204</v>
      </c>
      <c r="E271" s="146">
        <f>[10]Sales_SP!DG192</f>
        <v>19.86252</v>
      </c>
      <c r="F271" s="146">
        <f>[10]Sales_SP!DH192</f>
        <v>18.37851</v>
      </c>
      <c r="G271" s="146">
        <f>[10]Sales_SP!DI192</f>
        <v>17.73945</v>
      </c>
      <c r="H271" s="146">
        <f>[10]Sales_SP!DJ192</f>
        <v>18.48545</v>
      </c>
      <c r="I271" s="146">
        <f>[10]Sales_SP!DK192</f>
        <v>18.04961</v>
      </c>
      <c r="J271" s="146">
        <f>[10]Sales_SP!DL192</f>
        <v>19.54697</v>
      </c>
      <c r="K271" s="146">
        <f>[10]Sales_SP!DM192</f>
        <v>19.29402</v>
      </c>
      <c r="L271" s="146">
        <f>[10]Sales_SP!DN192</f>
        <v>20.541525</v>
      </c>
      <c r="M271" s="146">
        <f>[10]Sales_SP!DO192</f>
        <v>19.324575</v>
      </c>
      <c r="N271" s="146">
        <f>[10]Sales_SP!DP192</f>
        <v>19.159135</v>
      </c>
      <c r="O271" s="146">
        <f>[10]Sales_SP!DQ192</f>
        <v>19.925975</v>
      </c>
      <c r="P271" s="146">
        <f>[10]Sales_SP!DR192</f>
        <v>19.37655</v>
      </c>
      <c r="Q271" s="916">
        <f t="shared" si="77"/>
        <v>229.68429</v>
      </c>
      <c r="R271" s="887"/>
      <c r="S271" s="887"/>
    </row>
    <row r="272" ht="15" spans="3:19">
      <c r="C272" s="55" t="s">
        <v>205</v>
      </c>
      <c r="D272" s="55" t="s">
        <v>206</v>
      </c>
      <c r="E272" s="146">
        <f>[10]Sales_SP!DG196</f>
        <v>9.878352</v>
      </c>
      <c r="F272" s="146">
        <f>[10]Sales_SP!DH196</f>
        <v>9.848847</v>
      </c>
      <c r="G272" s="146">
        <f>[10]Sales_SP!DI196</f>
        <v>9.124203</v>
      </c>
      <c r="H272" s="146">
        <f>[10]Sales_SP!DJ196</f>
        <v>8.125513</v>
      </c>
      <c r="I272" s="146">
        <f>[10]Sales_SP!DK196</f>
        <v>8.1839</v>
      </c>
      <c r="J272" s="146">
        <f>[10]Sales_SP!DL196</f>
        <v>8.074923</v>
      </c>
      <c r="K272" s="146">
        <f>[10]Sales_SP!DM196</f>
        <v>7.995032</v>
      </c>
      <c r="L272" s="146">
        <f>[10]Sales_SP!DN196</f>
        <v>7.964878</v>
      </c>
      <c r="M272" s="146">
        <f>[10]Sales_SP!DO196</f>
        <v>7.558957</v>
      </c>
      <c r="N272" s="146">
        <f>[10]Sales_SP!DP196</f>
        <v>7.39315</v>
      </c>
      <c r="O272" s="146">
        <f>[10]Sales_SP!DQ196</f>
        <v>7.478686</v>
      </c>
      <c r="P272" s="146">
        <f>[10]Sales_SP!DR196</f>
        <v>7.958275</v>
      </c>
      <c r="Q272" s="916">
        <f t="shared" si="77"/>
        <v>99.584716</v>
      </c>
      <c r="R272" s="887"/>
      <c r="S272" s="887"/>
    </row>
    <row r="273" ht="15" spans="3:19">
      <c r="C273" s="55" t="s">
        <v>218</v>
      </c>
      <c r="D273" s="55" t="s">
        <v>186</v>
      </c>
      <c r="E273" s="146">
        <f>[10]Sales_SP!DG197</f>
        <v>2.072329</v>
      </c>
      <c r="F273" s="146">
        <f>[10]Sales_SP!DH197</f>
        <v>2.074251</v>
      </c>
      <c r="G273" s="146">
        <f>[10]Sales_SP!DI197</f>
        <v>2.907319</v>
      </c>
      <c r="H273" s="146">
        <f>[10]Sales_SP!DJ197</f>
        <v>3.338448</v>
      </c>
      <c r="I273" s="146">
        <f>[10]Sales_SP!DK197</f>
        <v>3.765689</v>
      </c>
      <c r="J273" s="146">
        <f>[10]Sales_SP!DL197</f>
        <v>4.298725</v>
      </c>
      <c r="K273" s="146">
        <f>[10]Sales_SP!DM197</f>
        <v>4.023692</v>
      </c>
      <c r="L273" s="146">
        <f>[10]Sales_SP!DN197</f>
        <v>3.825091</v>
      </c>
      <c r="M273" s="146">
        <f>[10]Sales_SP!DO197</f>
        <v>4.259647</v>
      </c>
      <c r="N273" s="146">
        <f>[10]Sales_SP!DP197</f>
        <v>3.945143</v>
      </c>
      <c r="O273" s="146">
        <f>[10]Sales_SP!DQ197</f>
        <v>3.627512</v>
      </c>
      <c r="P273" s="146">
        <f>[10]Sales_SP!DR197</f>
        <v>3.104159</v>
      </c>
      <c r="Q273" s="916">
        <f t="shared" si="77"/>
        <v>41.242005</v>
      </c>
      <c r="R273" s="887"/>
      <c r="S273" s="887"/>
    </row>
    <row r="274" ht="15" spans="3:19">
      <c r="C274" s="55" t="s">
        <v>208</v>
      </c>
      <c r="D274" s="55" t="s">
        <v>209</v>
      </c>
      <c r="E274" s="146">
        <v>0</v>
      </c>
      <c r="F274" s="146">
        <v>0</v>
      </c>
      <c r="G274" s="146">
        <v>0</v>
      </c>
      <c r="H274" s="146">
        <v>0</v>
      </c>
      <c r="I274" s="146">
        <v>0</v>
      </c>
      <c r="J274" s="146">
        <v>0</v>
      </c>
      <c r="K274" s="146">
        <v>0</v>
      </c>
      <c r="L274" s="146">
        <v>0</v>
      </c>
      <c r="M274" s="146">
        <v>0</v>
      </c>
      <c r="N274" s="146">
        <v>0</v>
      </c>
      <c r="O274" s="146">
        <v>0</v>
      </c>
      <c r="P274" s="146">
        <v>0</v>
      </c>
      <c r="Q274" s="916">
        <f t="shared" si="77"/>
        <v>0</v>
      </c>
      <c r="R274" s="887"/>
      <c r="S274" s="887"/>
    </row>
    <row r="275" ht="15" spans="3:19">
      <c r="C275" s="55" t="s">
        <v>210</v>
      </c>
      <c r="D275" s="55" t="s">
        <v>188</v>
      </c>
      <c r="E275" s="146">
        <v>0</v>
      </c>
      <c r="F275" s="146">
        <v>0</v>
      </c>
      <c r="G275" s="146">
        <v>0</v>
      </c>
      <c r="H275" s="146">
        <v>0</v>
      </c>
      <c r="I275" s="146">
        <v>0</v>
      </c>
      <c r="J275" s="146">
        <v>0</v>
      </c>
      <c r="K275" s="146">
        <v>0</v>
      </c>
      <c r="L275" s="146">
        <v>0</v>
      </c>
      <c r="M275" s="146">
        <v>0</v>
      </c>
      <c r="N275" s="146">
        <v>0</v>
      </c>
      <c r="O275" s="146">
        <v>0</v>
      </c>
      <c r="P275" s="146">
        <v>0</v>
      </c>
      <c r="Q275" s="916">
        <f t="shared" si="77"/>
        <v>0</v>
      </c>
      <c r="R275" s="887"/>
      <c r="S275" s="887"/>
    </row>
    <row r="276" ht="15" spans="3:19">
      <c r="C276" s="55"/>
      <c r="D276" s="55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916">
        <f t="shared" si="77"/>
        <v>0</v>
      </c>
      <c r="R276" s="887"/>
      <c r="S276" s="887"/>
    </row>
    <row r="277" ht="15" spans="3:19">
      <c r="C277" s="55"/>
      <c r="D277" s="55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916">
        <f t="shared" si="77"/>
        <v>0</v>
      </c>
      <c r="R277" s="887"/>
      <c r="S277" s="887"/>
    </row>
    <row r="278" ht="15" spans="3:19">
      <c r="C278" s="55"/>
      <c r="D278" s="55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916">
        <f t="shared" si="77"/>
        <v>0</v>
      </c>
      <c r="R278" s="887"/>
      <c r="S278" s="887"/>
    </row>
    <row r="279" ht="15" spans="3:19">
      <c r="C279" s="55" t="s">
        <v>258</v>
      </c>
      <c r="D279" s="55" t="s">
        <v>258</v>
      </c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916">
        <f t="shared" si="77"/>
        <v>0</v>
      </c>
      <c r="R279" s="887"/>
      <c r="S279" s="887"/>
    </row>
    <row r="280" ht="15" spans="3:19">
      <c r="C280" s="537" t="s">
        <v>211</v>
      </c>
      <c r="D280" s="540"/>
      <c r="E280" s="916">
        <f t="shared" ref="E280:P280" si="78">SUM(E265:E279)</f>
        <v>509.77302267</v>
      </c>
      <c r="F280" s="916">
        <f t="shared" si="78"/>
        <v>433.45092041</v>
      </c>
      <c r="G280" s="916">
        <f t="shared" si="78"/>
        <v>431.38232894</v>
      </c>
      <c r="H280" s="916">
        <f t="shared" si="78"/>
        <v>454.04127954</v>
      </c>
      <c r="I280" s="916">
        <f t="shared" si="78"/>
        <v>472.05396667</v>
      </c>
      <c r="J280" s="916">
        <f t="shared" si="78"/>
        <v>519.38952547</v>
      </c>
      <c r="K280" s="916">
        <f t="shared" si="78"/>
        <v>524.49659767</v>
      </c>
      <c r="L280" s="916">
        <f t="shared" si="78"/>
        <v>479.30421777</v>
      </c>
      <c r="M280" s="916">
        <f t="shared" si="78"/>
        <v>484.51436167</v>
      </c>
      <c r="N280" s="916">
        <f t="shared" si="78"/>
        <v>486.08997667</v>
      </c>
      <c r="O280" s="916">
        <f t="shared" si="78"/>
        <v>499.62676017</v>
      </c>
      <c r="P280" s="916">
        <f t="shared" si="78"/>
        <v>491.95449867</v>
      </c>
      <c r="Q280" s="916">
        <f t="shared" si="77"/>
        <v>5786.07745632</v>
      </c>
      <c r="R280" s="887"/>
      <c r="S280" s="887"/>
    </row>
    <row r="281" ht="15" spans="3:19">
      <c r="C281" s="44" t="s">
        <v>219</v>
      </c>
      <c r="D281" s="45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58"/>
      <c r="R281" s="887"/>
      <c r="S281" s="887"/>
    </row>
    <row r="282" ht="15" spans="3:19">
      <c r="C282" s="55" t="s">
        <v>191</v>
      </c>
      <c r="D282" s="55" t="s">
        <v>192</v>
      </c>
      <c r="E282" s="146">
        <f>[10]Sales_SP!DG212</f>
        <v>246.88802</v>
      </c>
      <c r="F282" s="146">
        <f>[10]Sales_SP!DH212</f>
        <v>219.117628</v>
      </c>
      <c r="G282" s="146">
        <f>[10]Sales_SP!DI212</f>
        <v>214.363429</v>
      </c>
      <c r="H282" s="146">
        <f>[10]Sales_SP!DJ212</f>
        <v>234.271289</v>
      </c>
      <c r="I282" s="146">
        <f>[10]Sales_SP!DK212</f>
        <v>235.319246</v>
      </c>
      <c r="J282" s="146">
        <f>[10]Sales_SP!DL212</f>
        <v>266.180269</v>
      </c>
      <c r="K282" s="146">
        <f>[10]Sales_SP!DM212</f>
        <v>277.71949</v>
      </c>
      <c r="L282" s="146">
        <f>[10]Sales_SP!DN212</f>
        <v>269.053504</v>
      </c>
      <c r="M282" s="146">
        <f>[10]Sales_SP!DO212</f>
        <v>279.214718</v>
      </c>
      <c r="N282" s="146">
        <f>[10]Sales_SP!DP212</f>
        <v>285.376775</v>
      </c>
      <c r="O282" s="146">
        <f>[10]Sales_SP!DQ212</f>
        <v>311.642486</v>
      </c>
      <c r="P282" s="146">
        <f>[10]Sales_SP!DR212</f>
        <v>321.546853</v>
      </c>
      <c r="Q282" s="916">
        <f t="shared" ref="Q282:Q301" si="79">SUM(E282:P282)</f>
        <v>3160.693707</v>
      </c>
      <c r="R282" s="887"/>
      <c r="S282" s="887"/>
    </row>
    <row r="283" ht="15" spans="3:19">
      <c r="C283" s="55" t="s">
        <v>193</v>
      </c>
      <c r="D283" s="55" t="s">
        <v>194</v>
      </c>
      <c r="E283" s="146">
        <f>[10]Sales_SP!DG222</f>
        <v>12.909</v>
      </c>
      <c r="F283" s="146">
        <f>[10]Sales_SP!DH222</f>
        <v>8.193</v>
      </c>
      <c r="G283" s="146">
        <f>[10]Sales_SP!DI222</f>
        <v>14.817</v>
      </c>
      <c r="H283" s="146">
        <f>[10]Sales_SP!DJ222</f>
        <v>15.5985</v>
      </c>
      <c r="I283" s="146">
        <f>[10]Sales_SP!DK222</f>
        <v>12.1635</v>
      </c>
      <c r="J283" s="146">
        <f>[10]Sales_SP!DL222</f>
        <v>14.256</v>
      </c>
      <c r="K283" s="146">
        <f>[10]Sales_SP!DM222</f>
        <v>15.2805</v>
      </c>
      <c r="L283" s="146">
        <f>[10]Sales_SP!DN222</f>
        <v>18.7237</v>
      </c>
      <c r="M283" s="146">
        <f>[10]Sales_SP!DO222</f>
        <v>17.944</v>
      </c>
      <c r="N283" s="146">
        <f>[10]Sales_SP!DP222</f>
        <v>25.1596</v>
      </c>
      <c r="O283" s="146">
        <f>[10]Sales_SP!DQ222</f>
        <v>29.5004</v>
      </c>
      <c r="P283" s="146">
        <f>[10]Sales_SP!DR222</f>
        <v>26.6861</v>
      </c>
      <c r="Q283" s="916">
        <f t="shared" si="79"/>
        <v>211.2313</v>
      </c>
      <c r="R283" s="887"/>
      <c r="S283" s="887"/>
    </row>
    <row r="284" ht="15" spans="3:19">
      <c r="C284" s="55" t="s">
        <v>239</v>
      </c>
      <c r="D284" s="55" t="s">
        <v>196</v>
      </c>
      <c r="E284" s="146">
        <f>[10]Sales_SP!DG228</f>
        <v>3.909173</v>
      </c>
      <c r="F284" s="146">
        <f>[10]Sales_SP!DH228</f>
        <v>3.285101</v>
      </c>
      <c r="G284" s="146">
        <f>[10]Sales_SP!DI228</f>
        <v>3.560676</v>
      </c>
      <c r="H284" s="146">
        <f>[10]Sales_SP!DJ228</f>
        <v>3.938138</v>
      </c>
      <c r="I284" s="146">
        <f>[10]Sales_SP!DK228</f>
        <v>3.593856</v>
      </c>
      <c r="J284" s="146">
        <f>[10]Sales_SP!DL228</f>
        <v>3.650065</v>
      </c>
      <c r="K284" s="146">
        <f>[10]Sales_SP!DM228</f>
        <v>3.6716</v>
      </c>
      <c r="L284" s="146">
        <f>[10]Sales_SP!DN228</f>
        <v>3.307266</v>
      </c>
      <c r="M284" s="146">
        <f>[10]Sales_SP!DO228</f>
        <v>3.122177</v>
      </c>
      <c r="N284" s="146">
        <f>[10]Sales_SP!DP228</f>
        <v>2.854174</v>
      </c>
      <c r="O284" s="146">
        <f>[10]Sales_SP!DQ228</f>
        <v>2.76787</v>
      </c>
      <c r="P284" s="146">
        <f>[10]Sales_SP!DR228</f>
        <v>3.148361</v>
      </c>
      <c r="Q284" s="916">
        <f t="shared" si="79"/>
        <v>40.808457</v>
      </c>
      <c r="R284" s="887"/>
      <c r="S284" s="887"/>
    </row>
    <row r="285" ht="15" spans="3:19">
      <c r="C285" s="55" t="s">
        <v>197</v>
      </c>
      <c r="D285" s="55" t="s">
        <v>198</v>
      </c>
      <c r="E285" s="146">
        <f>[10]Sales_SP!DG233</f>
        <v>0</v>
      </c>
      <c r="F285" s="146">
        <f>[10]Sales_SP!DH233</f>
        <v>0</v>
      </c>
      <c r="G285" s="146">
        <f>[10]Sales_SP!DI233</f>
        <v>0</v>
      </c>
      <c r="H285" s="146">
        <f>[10]Sales_SP!DJ233</f>
        <v>0</v>
      </c>
      <c r="I285" s="146">
        <f>[10]Sales_SP!DK233</f>
        <v>0</v>
      </c>
      <c r="J285" s="146">
        <f>[10]Sales_SP!DL233</f>
        <v>0</v>
      </c>
      <c r="K285" s="146">
        <f>[10]Sales_SP!DM233</f>
        <v>0</v>
      </c>
      <c r="L285" s="146">
        <f>[10]Sales_SP!DN233</f>
        <v>0</v>
      </c>
      <c r="M285" s="146">
        <f>[10]Sales_SP!DO233</f>
        <v>0</v>
      </c>
      <c r="N285" s="146">
        <f>[10]Sales_SP!DP233</f>
        <v>0</v>
      </c>
      <c r="O285" s="146">
        <f>[10]Sales_SP!DQ233</f>
        <v>0</v>
      </c>
      <c r="P285" s="146">
        <f>[10]Sales_SP!DR233</f>
        <v>0</v>
      </c>
      <c r="Q285" s="916">
        <f t="shared" si="79"/>
        <v>0</v>
      </c>
      <c r="R285" s="887"/>
      <c r="S285" s="887"/>
    </row>
    <row r="286" ht="15" spans="3:19">
      <c r="C286" s="55" t="s">
        <v>199</v>
      </c>
      <c r="D286" s="55" t="s">
        <v>200</v>
      </c>
      <c r="E286" s="146">
        <f>[10]Sales_SP!DG238</f>
        <v>4.783</v>
      </c>
      <c r="F286" s="146">
        <f>[10]Sales_SP!DH238</f>
        <v>4.198</v>
      </c>
      <c r="G286" s="146">
        <f>[10]Sales_SP!DI238</f>
        <v>4.096</v>
      </c>
      <c r="H286" s="146">
        <f>[10]Sales_SP!DJ238</f>
        <v>4.265</v>
      </c>
      <c r="I286" s="146">
        <f>[10]Sales_SP!DK238</f>
        <v>3.896</v>
      </c>
      <c r="J286" s="146">
        <f>[10]Sales_SP!DL238</f>
        <v>4.037</v>
      </c>
      <c r="K286" s="146">
        <f>[10]Sales_SP!DM238</f>
        <v>4.089</v>
      </c>
      <c r="L286" s="146">
        <f>[10]Sales_SP!DN238</f>
        <v>4.066</v>
      </c>
      <c r="M286" s="146">
        <f>[10]Sales_SP!DO238</f>
        <v>3.77</v>
      </c>
      <c r="N286" s="146">
        <f>[10]Sales_SP!DP238</f>
        <v>3.490574</v>
      </c>
      <c r="O286" s="146">
        <f>[10]Sales_SP!DQ238</f>
        <v>3.33</v>
      </c>
      <c r="P286" s="146">
        <f>[10]Sales_SP!DR238</f>
        <v>3.38709</v>
      </c>
      <c r="Q286" s="916">
        <f t="shared" si="79"/>
        <v>47.407664</v>
      </c>
      <c r="R286" s="887"/>
      <c r="S286" s="887"/>
    </row>
    <row r="287" ht="15" spans="3:19">
      <c r="C287" s="55" t="s">
        <v>201</v>
      </c>
      <c r="D287" s="55" t="s">
        <v>240</v>
      </c>
      <c r="E287" s="146">
        <f>[10]Sales_SP!DG244</f>
        <v>265.57071494</v>
      </c>
      <c r="F287" s="146">
        <f>[10]Sales_SP!DH244</f>
        <v>46.37728272</v>
      </c>
      <c r="G287" s="146">
        <f>[10]Sales_SP!DI244</f>
        <v>44.59254952</v>
      </c>
      <c r="H287" s="146">
        <f>[10]Sales_SP!DJ244</f>
        <v>132.90736653</v>
      </c>
      <c r="I287" s="146">
        <f>[10]Sales_SP!DK244</f>
        <v>115.38506575</v>
      </c>
      <c r="J287" s="146">
        <f>[10]Sales_SP!DL244</f>
        <v>227.75544887</v>
      </c>
      <c r="K287" s="146">
        <f>[10]Sales_SP!DM244</f>
        <v>246.0922826</v>
      </c>
      <c r="L287" s="146">
        <f>[10]Sales_SP!DN244</f>
        <v>173.78894969</v>
      </c>
      <c r="M287" s="146">
        <f>[10]Sales_SP!DO244</f>
        <v>118.1355829</v>
      </c>
      <c r="N287" s="146">
        <f>[10]Sales_SP!DP244</f>
        <v>175.08176514</v>
      </c>
      <c r="O287" s="146">
        <f>[10]Sales_SP!DQ244</f>
        <v>164.23623184</v>
      </c>
      <c r="P287" s="146">
        <f>[10]Sales_SP!DR244</f>
        <v>167.81001683</v>
      </c>
      <c r="Q287" s="916">
        <f t="shared" si="79"/>
        <v>1877.73325733</v>
      </c>
      <c r="R287" s="887"/>
      <c r="S287" s="887"/>
    </row>
    <row r="288" ht="15" spans="3:19">
      <c r="C288" s="55" t="s">
        <v>203</v>
      </c>
      <c r="D288" s="55" t="s">
        <v>220</v>
      </c>
      <c r="E288" s="146">
        <f>[10]Sales_SP!DG246</f>
        <v>21.048</v>
      </c>
      <c r="F288" s="146">
        <f>[10]Sales_SP!DH246</f>
        <v>20.058</v>
      </c>
      <c r="G288" s="146">
        <f>[10]Sales_SP!DI246</f>
        <v>14.568</v>
      </c>
      <c r="H288" s="146">
        <f>[10]Sales_SP!DJ246</f>
        <v>19.296</v>
      </c>
      <c r="I288" s="146">
        <f>[10]Sales_SP!DK246</f>
        <v>20.226</v>
      </c>
      <c r="J288" s="146">
        <f>[10]Sales_SP!DL246</f>
        <v>19.962</v>
      </c>
      <c r="K288" s="146">
        <f>[10]Sales_SP!DM246</f>
        <v>21.72</v>
      </c>
      <c r="L288" s="146">
        <f>[10]Sales_SP!DN246</f>
        <v>19.58</v>
      </c>
      <c r="M288" s="146">
        <f>[10]Sales_SP!DO246</f>
        <v>20.538</v>
      </c>
      <c r="N288" s="146">
        <f>[10]Sales_SP!DP246</f>
        <v>19.658</v>
      </c>
      <c r="O288" s="146">
        <f>[10]Sales_SP!DQ246</f>
        <v>21.082</v>
      </c>
      <c r="P288" s="146">
        <f>[10]Sales_SP!DR246</f>
        <v>21.012</v>
      </c>
      <c r="Q288" s="916">
        <f t="shared" si="79"/>
        <v>238.748</v>
      </c>
      <c r="R288" s="887"/>
      <c r="S288" s="887"/>
    </row>
    <row r="289" ht="15" spans="3:19">
      <c r="C289" s="55" t="s">
        <v>241</v>
      </c>
      <c r="D289" s="55" t="s">
        <v>229</v>
      </c>
      <c r="E289" s="146">
        <f>[10]Sales_SP!DG249</f>
        <v>23.554072</v>
      </c>
      <c r="F289" s="146">
        <f>[10]Sales_SP!DH249</f>
        <v>21.396363</v>
      </c>
      <c r="G289" s="146">
        <f>[10]Sales_SP!DI249</f>
        <v>21.488154</v>
      </c>
      <c r="H289" s="146">
        <f>[10]Sales_SP!DJ249</f>
        <v>21.570796</v>
      </c>
      <c r="I289" s="146">
        <f>[10]Sales_SP!DK249</f>
        <v>24.503117</v>
      </c>
      <c r="J289" s="146">
        <f>[10]Sales_SP!DL249</f>
        <v>25.06973</v>
      </c>
      <c r="K289" s="146">
        <f>[10]Sales_SP!DM249</f>
        <v>25.336347</v>
      </c>
      <c r="L289" s="146">
        <f>[10]Sales_SP!DN249</f>
        <v>26.244343</v>
      </c>
      <c r="M289" s="146">
        <f>[10]Sales_SP!DO249</f>
        <v>26.003648</v>
      </c>
      <c r="N289" s="146">
        <f>[10]Sales_SP!DP249</f>
        <v>28.885992</v>
      </c>
      <c r="O289" s="146">
        <f>[10]Sales_SP!DQ249</f>
        <v>27.529892</v>
      </c>
      <c r="P289" s="146">
        <f>[10]Sales_SP!DR249</f>
        <v>27.027574</v>
      </c>
      <c r="Q289" s="916">
        <f t="shared" si="79"/>
        <v>298.610028</v>
      </c>
      <c r="R289" s="887"/>
      <c r="S289" s="887"/>
    </row>
    <row r="290" ht="15" spans="3:19">
      <c r="C290" s="55" t="s">
        <v>259</v>
      </c>
      <c r="D290" s="55" t="s">
        <v>243</v>
      </c>
      <c r="E290" s="146">
        <f>[10]Sales_SP!DG251</f>
        <v>6.285889</v>
      </c>
      <c r="F290" s="146">
        <f>[10]Sales_SP!DH251</f>
        <v>3.958795</v>
      </c>
      <c r="G290" s="146">
        <f>[10]Sales_SP!DI251</f>
        <v>3.15885</v>
      </c>
      <c r="H290" s="146">
        <f>[10]Sales_SP!DJ251</f>
        <v>5.271632</v>
      </c>
      <c r="I290" s="146">
        <f>[10]Sales_SP!DK251</f>
        <v>5.673988</v>
      </c>
      <c r="J290" s="146">
        <f>[10]Sales_SP!DL251</f>
        <v>5.871838</v>
      </c>
      <c r="K290" s="146">
        <f>[10]Sales_SP!DM251</f>
        <v>6.053575</v>
      </c>
      <c r="L290" s="146">
        <f>[10]Sales_SP!DN251</f>
        <v>6.110538</v>
      </c>
      <c r="M290" s="146">
        <f>[10]Sales_SP!DO251</f>
        <v>6.256292</v>
      </c>
      <c r="N290" s="146">
        <f>[10]Sales_SP!DP251</f>
        <v>5.786496</v>
      </c>
      <c r="O290" s="146">
        <f>[10]Sales_SP!DQ251</f>
        <v>5.533106</v>
      </c>
      <c r="P290" s="146">
        <f>[10]Sales_SP!DR251</f>
        <v>5.622332</v>
      </c>
      <c r="Q290" s="916">
        <f t="shared" si="79"/>
        <v>65.583331</v>
      </c>
      <c r="R290" s="887"/>
      <c r="S290" s="887"/>
    </row>
    <row r="291" ht="15" spans="3:19">
      <c r="C291" s="55" t="s">
        <v>205</v>
      </c>
      <c r="D291" s="55" t="s">
        <v>206</v>
      </c>
      <c r="E291" s="146">
        <f>'[14]FY21-22 Actual Sales '!G162</f>
        <v>0</v>
      </c>
      <c r="F291" s="146">
        <f>'[14]FY21-22 Actual Sales '!H162</f>
        <v>0</v>
      </c>
      <c r="G291" s="146">
        <f>'[14]FY21-22 Actual Sales '!I162</f>
        <v>0</v>
      </c>
      <c r="H291" s="146">
        <f>'[14]FY21-22 Actual Sales '!J162</f>
        <v>0</v>
      </c>
      <c r="I291" s="146">
        <f>'[14]FY21-22 Actual Sales '!K162</f>
        <v>0</v>
      </c>
      <c r="J291" s="146">
        <f>'[14]FY21-22 Actual Sales '!L162</f>
        <v>0</v>
      </c>
      <c r="K291" s="146">
        <f>'[14]FY21-22 Actual Sales '!M162</f>
        <v>0</v>
      </c>
      <c r="L291" s="146">
        <f>'[14]FY21-22 Actual Sales '!N162</f>
        <v>0</v>
      </c>
      <c r="M291" s="146">
        <f>'[14]FY21-22 Actual Sales '!O162</f>
        <v>0</v>
      </c>
      <c r="N291" s="146">
        <f>'[14]FY21-22 Actual Sales '!P162</f>
        <v>0</v>
      </c>
      <c r="O291" s="146">
        <f>'[14]FY21-22 Actual Sales '!Q162</f>
        <v>0</v>
      </c>
      <c r="P291" s="146">
        <f>'[14]FY21-22 Actual Sales '!R162</f>
        <v>0</v>
      </c>
      <c r="Q291" s="916">
        <f t="shared" si="79"/>
        <v>0</v>
      </c>
      <c r="R291" s="887"/>
      <c r="S291" s="887"/>
    </row>
    <row r="292" ht="15" spans="3:19">
      <c r="C292" s="55" t="s">
        <v>207</v>
      </c>
      <c r="D292" s="55" t="s">
        <v>186</v>
      </c>
      <c r="E292" s="146">
        <f>'[14]FY21-22 Actual Sales '!G163</f>
        <v>0</v>
      </c>
      <c r="F292" s="146">
        <f>'[14]FY21-22 Actual Sales '!H163</f>
        <v>0</v>
      </c>
      <c r="G292" s="146">
        <f>'[14]FY21-22 Actual Sales '!I163</f>
        <v>0</v>
      </c>
      <c r="H292" s="146">
        <f>'[14]FY21-22 Actual Sales '!J163</f>
        <v>0</v>
      </c>
      <c r="I292" s="146">
        <f>'[14]FY21-22 Actual Sales '!K163</f>
        <v>0</v>
      </c>
      <c r="J292" s="146">
        <f>'[14]FY21-22 Actual Sales '!L163</f>
        <v>0</v>
      </c>
      <c r="K292" s="146">
        <f>'[14]FY21-22 Actual Sales '!M163</f>
        <v>0</v>
      </c>
      <c r="L292" s="146">
        <f>'[14]FY21-22 Actual Sales '!N163</f>
        <v>0</v>
      </c>
      <c r="M292" s="146">
        <f>'[14]FY21-22 Actual Sales '!O163</f>
        <v>0</v>
      </c>
      <c r="N292" s="146">
        <f>'[14]FY21-22 Actual Sales '!P163</f>
        <v>0</v>
      </c>
      <c r="O292" s="146">
        <f>'[14]FY21-22 Actual Sales '!Q163</f>
        <v>0</v>
      </c>
      <c r="P292" s="146">
        <f>'[14]FY21-22 Actual Sales '!R163</f>
        <v>0</v>
      </c>
      <c r="Q292" s="916">
        <f t="shared" si="79"/>
        <v>0</v>
      </c>
      <c r="R292" s="887"/>
      <c r="S292" s="887"/>
    </row>
    <row r="293" ht="15" spans="3:19">
      <c r="C293" s="55" t="s">
        <v>208</v>
      </c>
      <c r="D293" s="55" t="s">
        <v>209</v>
      </c>
      <c r="E293" s="146">
        <v>0</v>
      </c>
      <c r="F293" s="146">
        <v>0</v>
      </c>
      <c r="G293" s="146">
        <v>0</v>
      </c>
      <c r="H293" s="146">
        <v>0</v>
      </c>
      <c r="I293" s="146">
        <v>0</v>
      </c>
      <c r="J293" s="146">
        <v>0</v>
      </c>
      <c r="K293" s="146">
        <v>0</v>
      </c>
      <c r="L293" s="146">
        <v>0</v>
      </c>
      <c r="M293" s="146">
        <v>0</v>
      </c>
      <c r="N293" s="146">
        <v>0</v>
      </c>
      <c r="O293" s="146">
        <v>0</v>
      </c>
      <c r="P293" s="146">
        <v>0</v>
      </c>
      <c r="Q293" s="916">
        <f t="shared" si="79"/>
        <v>0</v>
      </c>
      <c r="R293" s="887"/>
      <c r="S293" s="887"/>
    </row>
    <row r="294" ht="15" spans="3:19">
      <c r="C294" s="55" t="s">
        <v>210</v>
      </c>
      <c r="D294" s="55" t="s">
        <v>188</v>
      </c>
      <c r="E294" s="146">
        <v>0</v>
      </c>
      <c r="F294" s="146">
        <v>0</v>
      </c>
      <c r="G294" s="146">
        <v>0</v>
      </c>
      <c r="H294" s="146">
        <v>0</v>
      </c>
      <c r="I294" s="146">
        <v>0</v>
      </c>
      <c r="J294" s="146">
        <v>0</v>
      </c>
      <c r="K294" s="146">
        <v>0</v>
      </c>
      <c r="L294" s="146">
        <v>0</v>
      </c>
      <c r="M294" s="146">
        <v>0</v>
      </c>
      <c r="N294" s="146">
        <v>0</v>
      </c>
      <c r="O294" s="146">
        <v>0</v>
      </c>
      <c r="P294" s="146">
        <v>0</v>
      </c>
      <c r="Q294" s="916">
        <f t="shared" si="79"/>
        <v>0</v>
      </c>
      <c r="R294" s="887"/>
      <c r="S294" s="887"/>
    </row>
    <row r="295" ht="15" spans="3:19">
      <c r="C295" s="55"/>
      <c r="D295" s="55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916">
        <f t="shared" si="79"/>
        <v>0</v>
      </c>
      <c r="R295" s="887"/>
      <c r="S295" s="887"/>
    </row>
    <row r="296" ht="15" spans="3:19">
      <c r="C296" s="55"/>
      <c r="D296" s="55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916">
        <f t="shared" si="79"/>
        <v>0</v>
      </c>
      <c r="R296" s="887"/>
      <c r="S296" s="887"/>
    </row>
    <row r="297" ht="15" spans="3:19">
      <c r="C297" s="55"/>
      <c r="D297" s="55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916">
        <f t="shared" si="79"/>
        <v>0</v>
      </c>
      <c r="R297" s="887"/>
      <c r="S297" s="887"/>
    </row>
    <row r="298" ht="15" spans="3:19">
      <c r="C298" s="55" t="s">
        <v>258</v>
      </c>
      <c r="D298" s="55" t="s">
        <v>258</v>
      </c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916">
        <f t="shared" si="79"/>
        <v>0</v>
      </c>
      <c r="R298" s="887"/>
      <c r="S298" s="887"/>
    </row>
    <row r="299" ht="15" spans="3:19">
      <c r="C299" s="537" t="s">
        <v>211</v>
      </c>
      <c r="D299" s="540"/>
      <c r="E299" s="916">
        <f t="shared" ref="E299:P299" si="80">SUM(E282:E298)</f>
        <v>584.94786894</v>
      </c>
      <c r="F299" s="916">
        <f t="shared" si="80"/>
        <v>326.58416972</v>
      </c>
      <c r="G299" s="916">
        <f t="shared" si="80"/>
        <v>320.64465852</v>
      </c>
      <c r="H299" s="916">
        <f t="shared" si="80"/>
        <v>437.11872153</v>
      </c>
      <c r="I299" s="916">
        <f t="shared" si="80"/>
        <v>420.76077275</v>
      </c>
      <c r="J299" s="916">
        <f t="shared" si="80"/>
        <v>566.78235087</v>
      </c>
      <c r="K299" s="916">
        <f t="shared" si="80"/>
        <v>599.9627946</v>
      </c>
      <c r="L299" s="916">
        <f t="shared" si="80"/>
        <v>520.87430069</v>
      </c>
      <c r="M299" s="916">
        <f t="shared" si="80"/>
        <v>474.9844179</v>
      </c>
      <c r="N299" s="916">
        <f t="shared" si="80"/>
        <v>546.29337614</v>
      </c>
      <c r="O299" s="916">
        <f t="shared" si="80"/>
        <v>565.62198584</v>
      </c>
      <c r="P299" s="916">
        <f t="shared" si="80"/>
        <v>576.24032683</v>
      </c>
      <c r="Q299" s="916">
        <f t="shared" si="79"/>
        <v>5940.81574433</v>
      </c>
      <c r="R299" s="887"/>
      <c r="S299" s="887"/>
    </row>
    <row r="300" ht="15" spans="3:19">
      <c r="C300" s="537" t="s">
        <v>223</v>
      </c>
      <c r="D300" s="540"/>
      <c r="E300" s="916">
        <f t="shared" ref="E300:P300" si="81">E299+E280+E263</f>
        <v>1603.12929815</v>
      </c>
      <c r="F300" s="916">
        <f t="shared" si="81"/>
        <v>1208.54779339</v>
      </c>
      <c r="G300" s="916">
        <f t="shared" si="81"/>
        <v>1193.45370547</v>
      </c>
      <c r="H300" s="916">
        <f t="shared" si="81"/>
        <v>1363.7533897</v>
      </c>
      <c r="I300" s="916">
        <f t="shared" si="81"/>
        <v>1379.90044646</v>
      </c>
      <c r="J300" s="916">
        <f t="shared" si="81"/>
        <v>1565.5576139</v>
      </c>
      <c r="K300" s="916">
        <f t="shared" si="81"/>
        <v>1603.53753713</v>
      </c>
      <c r="L300" s="916">
        <f t="shared" si="81"/>
        <v>1493.41599052</v>
      </c>
      <c r="M300" s="916">
        <f t="shared" si="81"/>
        <v>1450.73732105</v>
      </c>
      <c r="N300" s="916">
        <f t="shared" si="81"/>
        <v>1521.62688997</v>
      </c>
      <c r="O300" s="916">
        <f t="shared" si="81"/>
        <v>1547.54404304</v>
      </c>
      <c r="P300" s="916">
        <f t="shared" si="81"/>
        <v>1545.91618296</v>
      </c>
      <c r="Q300" s="916">
        <f t="shared" si="79"/>
        <v>17477.12021174</v>
      </c>
      <c r="R300" s="887"/>
      <c r="S300" s="887"/>
    </row>
    <row r="301" ht="15" spans="3:19">
      <c r="C301" s="537" t="s">
        <v>224</v>
      </c>
      <c r="D301" s="540"/>
      <c r="E301" s="916">
        <f t="shared" ref="E301:P301" si="82">E300+E246</f>
        <v>2904.87092395</v>
      </c>
      <c r="F301" s="916">
        <f t="shared" si="82"/>
        <v>2434.06806491</v>
      </c>
      <c r="G301" s="916">
        <f t="shared" si="82"/>
        <v>2318.16808461</v>
      </c>
      <c r="H301" s="916">
        <f t="shared" si="82"/>
        <v>2474.93492145</v>
      </c>
      <c r="I301" s="916">
        <f t="shared" si="82"/>
        <v>2497.34362414</v>
      </c>
      <c r="J301" s="916">
        <f t="shared" si="82"/>
        <v>2631.91284955</v>
      </c>
      <c r="K301" s="916">
        <f t="shared" si="82"/>
        <v>2720.1190194</v>
      </c>
      <c r="L301" s="916">
        <f t="shared" si="82"/>
        <v>2507.40682842</v>
      </c>
      <c r="M301" s="916">
        <f t="shared" si="82"/>
        <v>2435.93944095</v>
      </c>
      <c r="N301" s="916">
        <f t="shared" si="82"/>
        <v>2476.67376142</v>
      </c>
      <c r="O301" s="916">
        <f t="shared" si="82"/>
        <v>2534.49558048</v>
      </c>
      <c r="P301" s="916">
        <f t="shared" si="82"/>
        <v>2881.32301187</v>
      </c>
      <c r="Q301" s="916">
        <f t="shared" si="79"/>
        <v>30817.25611115</v>
      </c>
      <c r="R301" s="887"/>
      <c r="S301" s="887"/>
    </row>
    <row r="302" ht="15" spans="3:19">
      <c r="C302" s="14"/>
      <c r="E302" s="887"/>
      <c r="F302" s="887"/>
      <c r="G302" s="887"/>
      <c r="H302" s="887"/>
      <c r="I302" s="887"/>
      <c r="J302" s="887"/>
      <c r="K302" s="887"/>
      <c r="L302" s="887"/>
      <c r="M302" s="887"/>
      <c r="N302" s="887"/>
      <c r="O302" s="887"/>
      <c r="P302" s="887"/>
      <c r="Q302" s="918" t="s">
        <v>236</v>
      </c>
      <c r="R302" s="887"/>
      <c r="S302" s="887"/>
    </row>
    <row r="303" ht="15" spans="3:19">
      <c r="C303" s="6" t="s">
        <v>159</v>
      </c>
      <c r="D303" s="6"/>
      <c r="E303" s="150" t="s">
        <v>262</v>
      </c>
      <c r="F303" s="150"/>
      <c r="G303" s="150"/>
      <c r="H303" s="150"/>
      <c r="I303" s="150"/>
      <c r="J303" s="150"/>
      <c r="K303" s="150"/>
      <c r="L303" s="150"/>
      <c r="M303" s="150"/>
      <c r="N303" s="150"/>
      <c r="O303" s="150"/>
      <c r="P303" s="150"/>
      <c r="Q303" s="150"/>
      <c r="R303" s="887"/>
      <c r="S303" s="887"/>
    </row>
    <row r="304" ht="15" spans="3:19">
      <c r="C304" s="6"/>
      <c r="D304" s="6"/>
      <c r="E304" s="150" t="s">
        <v>246</v>
      </c>
      <c r="F304" s="150" t="s">
        <v>247</v>
      </c>
      <c r="G304" s="150" t="s">
        <v>248</v>
      </c>
      <c r="H304" s="150" t="s">
        <v>249</v>
      </c>
      <c r="I304" s="150" t="s">
        <v>250</v>
      </c>
      <c r="J304" s="150" t="s">
        <v>251</v>
      </c>
      <c r="K304" s="150" t="s">
        <v>252</v>
      </c>
      <c r="L304" s="150" t="s">
        <v>253</v>
      </c>
      <c r="M304" s="150" t="s">
        <v>254</v>
      </c>
      <c r="N304" s="150" t="s">
        <v>255</v>
      </c>
      <c r="O304" s="150" t="s">
        <v>256</v>
      </c>
      <c r="P304" s="150" t="s">
        <v>257</v>
      </c>
      <c r="Q304" s="150" t="s">
        <v>97</v>
      </c>
      <c r="R304" s="887"/>
      <c r="S304" s="887"/>
    </row>
    <row r="305" ht="15" spans="3:19">
      <c r="C305" s="44" t="s">
        <v>170</v>
      </c>
      <c r="D305" s="45"/>
      <c r="E305" s="146"/>
      <c r="F305" s="146"/>
      <c r="G305" s="146"/>
      <c r="H305" s="146"/>
      <c r="I305" s="146"/>
      <c r="J305" s="146"/>
      <c r="K305" s="146"/>
      <c r="L305" s="146"/>
      <c r="M305" s="146"/>
      <c r="N305" s="146"/>
      <c r="O305" s="146"/>
      <c r="P305" s="146"/>
      <c r="Q305" s="158"/>
      <c r="R305" s="887"/>
      <c r="S305" s="887"/>
    </row>
    <row r="306" ht="15" spans="3:19">
      <c r="C306" s="47" t="s">
        <v>171</v>
      </c>
      <c r="D306" s="47" t="s">
        <v>172</v>
      </c>
      <c r="E306" s="146">
        <f>[10]Sales_SP!DV10</f>
        <v>1054.49917709</v>
      </c>
      <c r="F306" s="146">
        <f>[10]Sales_SP!DW10</f>
        <v>1071.68560656</v>
      </c>
      <c r="G306" s="146">
        <f>[10]Sales_SP!DX10</f>
        <v>919.87931851</v>
      </c>
      <c r="H306" s="146">
        <f>[10]Sales_SP!DY10</f>
        <v>782.42434202</v>
      </c>
      <c r="I306" s="146">
        <f>[10]Sales_SP!DZ10</f>
        <v>835.5457414</v>
      </c>
      <c r="J306" s="146">
        <f>[10]Sales_SP!EA10</f>
        <v>808.12435736</v>
      </c>
      <c r="K306" s="146">
        <f>[10]Sales_SP!EB10</f>
        <v>747.661322</v>
      </c>
      <c r="L306" s="146">
        <f>[10]Sales_SP!EC10</f>
        <v>713.3555715</v>
      </c>
      <c r="M306" s="146">
        <f>[10]Sales_SP!ED10</f>
        <v>720.93670168</v>
      </c>
      <c r="N306" s="146">
        <f>[10]Sales_SP!EE10</f>
        <v>682.8638952</v>
      </c>
      <c r="O306" s="146">
        <f>[10]Sales_SP!EF10</f>
        <v>721.0716355</v>
      </c>
      <c r="P306" s="146">
        <f>[10]Sales_SP!EG10</f>
        <v>894.06128425</v>
      </c>
      <c r="Q306" s="916">
        <f t="shared" ref="Q306:Q319" si="83">SUM(E306:P306)</f>
        <v>9952.10895307</v>
      </c>
      <c r="R306" s="887"/>
      <c r="S306" s="887"/>
    </row>
    <row r="307" ht="15" spans="3:19">
      <c r="C307" s="55" t="s">
        <v>173</v>
      </c>
      <c r="D307" s="55" t="s">
        <v>174</v>
      </c>
      <c r="E307" s="146">
        <f>[10]Sales_SP!DV23</f>
        <v>287.3821605</v>
      </c>
      <c r="F307" s="146">
        <f>[10]Sales_SP!DW23</f>
        <v>294.66361475</v>
      </c>
      <c r="G307" s="146">
        <f>[10]Sales_SP!DX23</f>
        <v>268.698341</v>
      </c>
      <c r="H307" s="146">
        <f>[10]Sales_SP!DY23</f>
        <v>231.91902975</v>
      </c>
      <c r="I307" s="146">
        <f>[10]Sales_SP!DZ23</f>
        <v>252.08797125</v>
      </c>
      <c r="J307" s="146">
        <f>[10]Sales_SP!EA23</f>
        <v>251.81102075</v>
      </c>
      <c r="K307" s="146">
        <f>[10]Sales_SP!EB23</f>
        <v>239.37629918</v>
      </c>
      <c r="L307" s="146">
        <f>[10]Sales_SP!EC23</f>
        <v>240.630599</v>
      </c>
      <c r="M307" s="146">
        <f>[10]Sales_SP!ED23</f>
        <v>244.72922025</v>
      </c>
      <c r="N307" s="146">
        <f>[10]Sales_SP!EE23</f>
        <v>231.475063</v>
      </c>
      <c r="O307" s="146">
        <f>[10]Sales_SP!EF23</f>
        <v>247.637579</v>
      </c>
      <c r="P307" s="146">
        <f>[10]Sales_SP!EG23</f>
        <v>286.55679</v>
      </c>
      <c r="Q307" s="916">
        <f t="shared" si="83"/>
        <v>3076.96768843</v>
      </c>
      <c r="R307" s="887"/>
      <c r="S307" s="887"/>
    </row>
    <row r="308" ht="15" spans="3:19">
      <c r="C308" s="55" t="s">
        <v>175</v>
      </c>
      <c r="D308" s="55" t="s">
        <v>176</v>
      </c>
      <c r="E308" s="146">
        <f>[10]Sales_SP!DV36</f>
        <v>80.540946</v>
      </c>
      <c r="F308" s="146">
        <f>[10]Sales_SP!DW36</f>
        <v>80.615591</v>
      </c>
      <c r="G308" s="146">
        <f>[10]Sales_SP!DX36</f>
        <v>77.60986</v>
      </c>
      <c r="H308" s="146">
        <f>[10]Sales_SP!DY36</f>
        <v>71.092956</v>
      </c>
      <c r="I308" s="146">
        <f>[10]Sales_SP!DZ36</f>
        <v>73.4384755</v>
      </c>
      <c r="J308" s="146">
        <f>[10]Sales_SP!EA36</f>
        <v>73.916187</v>
      </c>
      <c r="K308" s="146">
        <f>[10]Sales_SP!EB36</f>
        <v>69.627046</v>
      </c>
      <c r="L308" s="146">
        <f>[10]Sales_SP!EC36</f>
        <v>83.492833</v>
      </c>
      <c r="M308" s="146">
        <f>[10]Sales_SP!ED36</f>
        <v>84.7954</v>
      </c>
      <c r="N308" s="146">
        <f>[10]Sales_SP!EE36</f>
        <v>78.695625</v>
      </c>
      <c r="O308" s="146">
        <f>[10]Sales_SP!EF36</f>
        <v>78.388408</v>
      </c>
      <c r="P308" s="146">
        <f>[10]Sales_SP!EG36</f>
        <v>80.8559589999999</v>
      </c>
      <c r="Q308" s="916">
        <f t="shared" si="83"/>
        <v>933.0692865</v>
      </c>
      <c r="R308" s="887"/>
      <c r="S308" s="887"/>
    </row>
    <row r="309" ht="15" spans="3:19">
      <c r="C309" s="55" t="s">
        <v>177</v>
      </c>
      <c r="D309" s="55" t="s">
        <v>178</v>
      </c>
      <c r="E309" s="146">
        <f>[10]Sales_SP!DV43</f>
        <v>0.879329</v>
      </c>
      <c r="F309" s="146">
        <f>[10]Sales_SP!DW43</f>
        <v>0.879206</v>
      </c>
      <c r="G309" s="146">
        <f>[10]Sales_SP!DX43</f>
        <v>0.813468</v>
      </c>
      <c r="H309" s="146">
        <f>[10]Sales_SP!DY43</f>
        <v>0.740623</v>
      </c>
      <c r="I309" s="146">
        <f>[10]Sales_SP!DZ43</f>
        <v>0.756743</v>
      </c>
      <c r="J309" s="146">
        <f>[10]Sales_SP!EA43</f>
        <v>0.790529</v>
      </c>
      <c r="K309" s="146">
        <f>[10]Sales_SP!EB43</f>
        <v>0.736981</v>
      </c>
      <c r="L309" s="146">
        <f>[10]Sales_SP!EC43</f>
        <v>0.80415</v>
      </c>
      <c r="M309" s="146">
        <f>[10]Sales_SP!ED43</f>
        <v>0.844049</v>
      </c>
      <c r="N309" s="146">
        <f>[10]Sales_SP!EE43</f>
        <v>0.746537</v>
      </c>
      <c r="O309" s="146">
        <f>[10]Sales_SP!EF43</f>
        <v>0.71819</v>
      </c>
      <c r="P309" s="146">
        <f>[10]Sales_SP!EG43</f>
        <v>0.816185</v>
      </c>
      <c r="Q309" s="916">
        <f t="shared" si="83"/>
        <v>9.52599</v>
      </c>
      <c r="R309" s="887"/>
      <c r="S309" s="887"/>
    </row>
    <row r="310" ht="15" spans="3:19">
      <c r="C310" s="55" t="s">
        <v>179</v>
      </c>
      <c r="D310" s="55" t="s">
        <v>180</v>
      </c>
      <c r="E310" s="146">
        <f>[10]Sales_SP!DV48+[10]Sales_SP!DV52</f>
        <v>3.021473</v>
      </c>
      <c r="F310" s="146">
        <f>[10]Sales_SP!DW48+[10]Sales_SP!DW52</f>
        <v>2.942122</v>
      </c>
      <c r="G310" s="146">
        <f>[10]Sales_SP!DX48+[10]Sales_SP!DX52</f>
        <v>2.883576</v>
      </c>
      <c r="H310" s="146">
        <f>[10]Sales_SP!DY48+[10]Sales_SP!DY52</f>
        <v>2.800345</v>
      </c>
      <c r="I310" s="146">
        <f>[10]Sales_SP!DZ48+[10]Sales_SP!DZ52</f>
        <v>2.910209</v>
      </c>
      <c r="J310" s="146">
        <f>[10]Sales_SP!EA48+[10]Sales_SP!EA52</f>
        <v>3.038111</v>
      </c>
      <c r="K310" s="146">
        <f>[10]Sales_SP!EB48+[10]Sales_SP!EB52</f>
        <v>3.011939</v>
      </c>
      <c r="L310" s="146">
        <f>[10]Sales_SP!EC48+[10]Sales_SP!EC52</f>
        <v>3.313599</v>
      </c>
      <c r="M310" s="146">
        <f>[10]Sales_SP!ED48+[10]Sales_SP!ED52</f>
        <v>3.259304</v>
      </c>
      <c r="N310" s="146">
        <f>[10]Sales_SP!EE48+[10]Sales_SP!EE52</f>
        <v>3.273915</v>
      </c>
      <c r="O310" s="146">
        <f>[10]Sales_SP!EF48+[10]Sales_SP!EF52</f>
        <v>3.3059284</v>
      </c>
      <c r="P310" s="146">
        <f>[10]Sales_SP!EG48+[10]Sales_SP!EG52</f>
        <v>3.321694</v>
      </c>
      <c r="Q310" s="916">
        <f t="shared" si="83"/>
        <v>37.0822154</v>
      </c>
      <c r="R310" s="887"/>
      <c r="S310" s="887"/>
    </row>
    <row r="311" ht="15" spans="3:19">
      <c r="C311" s="55" t="s">
        <v>181</v>
      </c>
      <c r="D311" s="55" t="s">
        <v>182</v>
      </c>
      <c r="E311" s="146">
        <f>[10]Sales_SP!DV54</f>
        <v>40.484487</v>
      </c>
      <c r="F311" s="146">
        <f>[10]Sales_SP!DW54</f>
        <v>39.110261</v>
      </c>
      <c r="G311" s="146">
        <f>[10]Sales_SP!DX54</f>
        <v>36.011614</v>
      </c>
      <c r="H311" s="146">
        <f>[10]Sales_SP!DY54</f>
        <v>33.568339</v>
      </c>
      <c r="I311" s="146">
        <f>[10]Sales_SP!DZ54</f>
        <v>36.34499075</v>
      </c>
      <c r="J311" s="146">
        <f>[10]Sales_SP!EA54</f>
        <v>37.490599</v>
      </c>
      <c r="K311" s="146">
        <f>[10]Sales_SP!EB54</f>
        <v>39.630035</v>
      </c>
      <c r="L311" s="146">
        <f>[10]Sales_SP!EC54</f>
        <v>39.282273</v>
      </c>
      <c r="M311" s="146">
        <f>[10]Sales_SP!ED54</f>
        <v>41.373676</v>
      </c>
      <c r="N311" s="146">
        <f>[10]Sales_SP!EE54</f>
        <v>41.1030005</v>
      </c>
      <c r="O311" s="146">
        <f>[10]Sales_SP!EF54</f>
        <v>39.504416</v>
      </c>
      <c r="P311" s="146">
        <f>[10]Sales_SP!EG54</f>
        <v>42.763264</v>
      </c>
      <c r="Q311" s="916">
        <f t="shared" si="83"/>
        <v>466.66695525</v>
      </c>
      <c r="R311" s="887"/>
      <c r="S311" s="887"/>
    </row>
    <row r="312" ht="15" spans="3:19">
      <c r="C312" s="55" t="s">
        <v>183</v>
      </c>
      <c r="D312" s="55" t="s">
        <v>184</v>
      </c>
      <c r="E312" s="146">
        <f>[10]Sales_SP!DV64</f>
        <v>9.374641</v>
      </c>
      <c r="F312" s="146">
        <f>[10]Sales_SP!DW64</f>
        <v>7.187622</v>
      </c>
      <c r="G312" s="146">
        <f>[10]Sales_SP!DX64</f>
        <v>6.765159</v>
      </c>
      <c r="H312" s="146">
        <f>[10]Sales_SP!DY64</f>
        <v>6.72374275</v>
      </c>
      <c r="I312" s="146">
        <f>[10]Sales_SP!DZ64</f>
        <v>7.564866</v>
      </c>
      <c r="J312" s="146">
        <f>[10]Sales_SP!EA64</f>
        <v>6.704741</v>
      </c>
      <c r="K312" s="146">
        <f>[10]Sales_SP!EB64</f>
        <v>7.054721</v>
      </c>
      <c r="L312" s="146">
        <f>[10]Sales_SP!EC64</f>
        <v>7.1476982</v>
      </c>
      <c r="M312" s="146">
        <f>[10]Sales_SP!ED64</f>
        <v>7.117874</v>
      </c>
      <c r="N312" s="146">
        <f>[10]Sales_SP!EE64</f>
        <v>6.315293</v>
      </c>
      <c r="O312" s="146">
        <f>[10]Sales_SP!EF64</f>
        <v>7.218932</v>
      </c>
      <c r="P312" s="146">
        <f>[10]Sales_SP!EG64</f>
        <v>8.8987295</v>
      </c>
      <c r="Q312" s="916">
        <f t="shared" si="83"/>
        <v>88.07401945</v>
      </c>
      <c r="R312" s="887"/>
      <c r="S312" s="887"/>
    </row>
    <row r="313" ht="15" spans="3:19">
      <c r="C313" s="55" t="s">
        <v>185</v>
      </c>
      <c r="D313" s="55" t="s">
        <v>186</v>
      </c>
      <c r="E313" s="146">
        <f>[10]Sales_SP!DV69</f>
        <v>9.1814284</v>
      </c>
      <c r="F313" s="146">
        <f>[10]Sales_SP!DW69</f>
        <v>8.863599</v>
      </c>
      <c r="G313" s="146">
        <f>[10]Sales_SP!DX69</f>
        <v>8.21191</v>
      </c>
      <c r="H313" s="146">
        <f>[10]Sales_SP!DY69</f>
        <v>7.270117</v>
      </c>
      <c r="I313" s="146">
        <f>[10]Sales_SP!DZ69</f>
        <v>7.527117</v>
      </c>
      <c r="J313" s="146">
        <f>[10]Sales_SP!EA69</f>
        <v>7.597726</v>
      </c>
      <c r="K313" s="146">
        <f>[10]Sales_SP!EB69</f>
        <v>7.181891</v>
      </c>
      <c r="L313" s="146">
        <f>[10]Sales_SP!EC69</f>
        <v>7.709997</v>
      </c>
      <c r="M313" s="146">
        <f>[10]Sales_SP!ED69</f>
        <v>8.04304</v>
      </c>
      <c r="N313" s="146">
        <f>[10]Sales_SP!EE69</f>
        <v>7.992419</v>
      </c>
      <c r="O313" s="146">
        <f>[10]Sales_SP!EF69</f>
        <v>8.073885</v>
      </c>
      <c r="P313" s="146">
        <f>[10]Sales_SP!EG69</f>
        <v>8.685037</v>
      </c>
      <c r="Q313" s="916">
        <f t="shared" si="83"/>
        <v>96.3381664</v>
      </c>
      <c r="R313" s="887"/>
      <c r="S313" s="887"/>
    </row>
    <row r="314" ht="15" spans="3:19">
      <c r="C314" s="55" t="s">
        <v>187</v>
      </c>
      <c r="D314" s="55" t="s">
        <v>188</v>
      </c>
      <c r="E314" s="146">
        <f>[10]Sales_SP!DV70</f>
        <v>0.025866</v>
      </c>
      <c r="F314" s="146">
        <f>[10]Sales_SP!DW70</f>
        <v>0.027789</v>
      </c>
      <c r="G314" s="146">
        <f>[10]Sales_SP!DX70</f>
        <v>0.030726</v>
      </c>
      <c r="H314" s="146">
        <f>[10]Sales_SP!DY70</f>
        <v>0.030687</v>
      </c>
      <c r="I314" s="146">
        <f>[10]Sales_SP!DZ70</f>
        <v>0.033495</v>
      </c>
      <c r="J314" s="146">
        <f>[10]Sales_SP!EA70</f>
        <v>0.043436</v>
      </c>
      <c r="K314" s="146">
        <f>[10]Sales_SP!EB70</f>
        <v>0.043189</v>
      </c>
      <c r="L314" s="146">
        <f>[10]Sales_SP!EC70</f>
        <v>0.053362</v>
      </c>
      <c r="M314" s="146">
        <f>[10]Sales_SP!ED70</f>
        <v>0.056037</v>
      </c>
      <c r="N314" s="146">
        <f>[10]Sales_SP!EE70</f>
        <v>0.05953</v>
      </c>
      <c r="O314" s="146">
        <f>[10]Sales_SP!EF70</f>
        <v>0.059889</v>
      </c>
      <c r="P314" s="146">
        <f>[10]Sales_SP!EG70</f>
        <v>0.068201</v>
      </c>
      <c r="Q314" s="916">
        <f t="shared" si="83"/>
        <v>0.532207</v>
      </c>
      <c r="R314" s="887"/>
      <c r="S314" s="887"/>
    </row>
    <row r="315" ht="15" spans="3:19">
      <c r="C315" s="55"/>
      <c r="D315" s="55"/>
      <c r="E315" s="146"/>
      <c r="F315" s="146"/>
      <c r="G315" s="146"/>
      <c r="H315" s="146"/>
      <c r="I315" s="146"/>
      <c r="J315" s="146"/>
      <c r="K315" s="146"/>
      <c r="L315" s="146"/>
      <c r="M315" s="146"/>
      <c r="N315" s="146"/>
      <c r="O315" s="146"/>
      <c r="P315" s="146"/>
      <c r="Q315" s="916">
        <f t="shared" si="83"/>
        <v>0</v>
      </c>
      <c r="R315" s="887"/>
      <c r="S315" s="887"/>
    </row>
    <row r="316" ht="15" spans="3:19">
      <c r="C316" s="55"/>
      <c r="D316" s="55"/>
      <c r="E316" s="146"/>
      <c r="F316" s="146"/>
      <c r="G316" s="146"/>
      <c r="H316" s="146"/>
      <c r="I316" s="146"/>
      <c r="J316" s="146"/>
      <c r="K316" s="146"/>
      <c r="L316" s="146"/>
      <c r="M316" s="146"/>
      <c r="N316" s="146"/>
      <c r="O316" s="146"/>
      <c r="P316" s="146"/>
      <c r="Q316" s="916">
        <f t="shared" si="83"/>
        <v>0</v>
      </c>
      <c r="R316" s="887"/>
      <c r="S316" s="887"/>
    </row>
    <row r="317" ht="15" spans="3:19">
      <c r="C317" s="55"/>
      <c r="D317" s="55"/>
      <c r="E317" s="146"/>
      <c r="F317" s="146"/>
      <c r="G317" s="146"/>
      <c r="H317" s="146"/>
      <c r="I317" s="146"/>
      <c r="J317" s="146"/>
      <c r="K317" s="146"/>
      <c r="L317" s="146"/>
      <c r="M317" s="146"/>
      <c r="N317" s="146"/>
      <c r="O317" s="146"/>
      <c r="P317" s="146"/>
      <c r="Q317" s="916">
        <f t="shared" si="83"/>
        <v>0</v>
      </c>
      <c r="R317" s="887"/>
      <c r="S317" s="887"/>
    </row>
    <row r="318" ht="15" spans="3:19">
      <c r="C318" s="55" t="s">
        <v>258</v>
      </c>
      <c r="D318" s="55" t="s">
        <v>258</v>
      </c>
      <c r="E318" s="146"/>
      <c r="F318" s="146"/>
      <c r="G318" s="146"/>
      <c r="H318" s="146"/>
      <c r="I318" s="146"/>
      <c r="J318" s="146"/>
      <c r="K318" s="146"/>
      <c r="L318" s="146"/>
      <c r="M318" s="146"/>
      <c r="N318" s="146"/>
      <c r="O318" s="146"/>
      <c r="P318" s="146"/>
      <c r="Q318" s="916">
        <f t="shared" si="83"/>
        <v>0</v>
      </c>
      <c r="R318" s="887"/>
      <c r="S318" s="887"/>
    </row>
    <row r="319" ht="15" spans="3:19">
      <c r="C319" s="537" t="s">
        <v>189</v>
      </c>
      <c r="D319" s="540"/>
      <c r="E319" s="916">
        <f t="shared" ref="E319:P319" si="84">SUM(E306:E318)</f>
        <v>1485.38950799</v>
      </c>
      <c r="F319" s="916">
        <f t="shared" si="84"/>
        <v>1505.97541131</v>
      </c>
      <c r="G319" s="916">
        <f t="shared" si="84"/>
        <v>1320.90397251</v>
      </c>
      <c r="H319" s="916">
        <f t="shared" si="84"/>
        <v>1136.57018152</v>
      </c>
      <c r="I319" s="916">
        <f t="shared" si="84"/>
        <v>1216.2096089</v>
      </c>
      <c r="J319" s="916">
        <f t="shared" si="84"/>
        <v>1189.51670711</v>
      </c>
      <c r="K319" s="916">
        <f t="shared" si="84"/>
        <v>1114.32342318</v>
      </c>
      <c r="L319" s="916">
        <f t="shared" si="84"/>
        <v>1095.7900827</v>
      </c>
      <c r="M319" s="916">
        <f t="shared" si="84"/>
        <v>1111.15530193</v>
      </c>
      <c r="N319" s="916">
        <f t="shared" si="84"/>
        <v>1052.5252777</v>
      </c>
      <c r="O319" s="916">
        <f t="shared" si="84"/>
        <v>1105.9788629</v>
      </c>
      <c r="P319" s="916">
        <f t="shared" si="84"/>
        <v>1326.02714375</v>
      </c>
      <c r="Q319" s="916">
        <f t="shared" si="83"/>
        <v>14660.3654815</v>
      </c>
      <c r="R319" s="887"/>
      <c r="S319" s="887"/>
    </row>
    <row r="320" ht="15" spans="3:19">
      <c r="C320" s="44" t="s">
        <v>190</v>
      </c>
      <c r="D320" s="45"/>
      <c r="E320" s="146"/>
      <c r="F320" s="146"/>
      <c r="G320" s="146"/>
      <c r="H320" s="146"/>
      <c r="I320" s="146"/>
      <c r="J320" s="146"/>
      <c r="K320" s="146"/>
      <c r="L320" s="146"/>
      <c r="M320" s="146"/>
      <c r="N320" s="146"/>
      <c r="O320" s="146"/>
      <c r="P320" s="146"/>
      <c r="Q320" s="158"/>
      <c r="R320" s="887"/>
      <c r="S320" s="887"/>
    </row>
    <row r="321" ht="15" spans="3:19">
      <c r="C321" s="55" t="s">
        <v>191</v>
      </c>
      <c r="D321" s="55" t="s">
        <v>192</v>
      </c>
      <c r="E321" s="146">
        <f>[10]Sales_SP!DV89</f>
        <v>357.57</v>
      </c>
      <c r="F321" s="146">
        <f>[10]Sales_SP!DW89</f>
        <v>327.5</v>
      </c>
      <c r="G321" s="146">
        <f>[10]Sales_SP!DX89</f>
        <v>348.82</v>
      </c>
      <c r="H321" s="146">
        <f>[10]Sales_SP!DY89</f>
        <v>312.31955297</v>
      </c>
      <c r="I321" s="146">
        <f>[10]Sales_SP!DZ89</f>
        <v>327.19917946</v>
      </c>
      <c r="J321" s="146">
        <f>[10]Sales_SP!EA89</f>
        <v>333.60409199</v>
      </c>
      <c r="K321" s="146">
        <f>[10]Sales_SP!EB89</f>
        <v>317.66043277</v>
      </c>
      <c r="L321" s="146">
        <f>[10]Sales_SP!EC89</f>
        <v>339.20359666</v>
      </c>
      <c r="M321" s="146">
        <f>[10]Sales_SP!ED89</f>
        <v>342.10168914</v>
      </c>
      <c r="N321" s="146">
        <f>[10]Sales_SP!EE89</f>
        <v>353.62049077</v>
      </c>
      <c r="O321" s="146">
        <f>[10]Sales_SP!EF89</f>
        <v>353.18132207</v>
      </c>
      <c r="P321" s="146">
        <f>[10]Sales_SP!EG89</f>
        <v>484.70135107</v>
      </c>
      <c r="Q321" s="916">
        <f t="shared" ref="Q321:Q336" si="85">SUM(E321:P321)</f>
        <v>4197.4817069</v>
      </c>
      <c r="R321" s="887"/>
      <c r="S321" s="887"/>
    </row>
    <row r="322" ht="15" spans="3:19">
      <c r="C322" s="55" t="s">
        <v>193</v>
      </c>
      <c r="D322" s="55" t="s">
        <v>194</v>
      </c>
      <c r="E322" s="146">
        <f>[10]Sales_SP!DV104</f>
        <v>0</v>
      </c>
      <c r="F322" s="146">
        <f>[10]Sales_SP!DW104</f>
        <v>0</v>
      </c>
      <c r="G322" s="146">
        <f>[10]Sales_SP!DX104</f>
        <v>0</v>
      </c>
      <c r="H322" s="146">
        <f>[10]Sales_SP!DY104</f>
        <v>0</v>
      </c>
      <c r="I322" s="146">
        <f>[10]Sales_SP!DZ104</f>
        <v>0.4101</v>
      </c>
      <c r="J322" s="146">
        <f>[10]Sales_SP!EA104</f>
        <v>0.0015</v>
      </c>
      <c r="K322" s="146">
        <f>[10]Sales_SP!EB104</f>
        <v>0</v>
      </c>
      <c r="L322" s="146">
        <f>[10]Sales_SP!EC104</f>
        <v>0</v>
      </c>
      <c r="M322" s="146">
        <f>[10]Sales_SP!ED104</f>
        <v>0</v>
      </c>
      <c r="N322" s="146">
        <f>[10]Sales_SP!EE104</f>
        <v>0</v>
      </c>
      <c r="O322" s="146">
        <f>[10]Sales_SP!EF104</f>
        <v>0</v>
      </c>
      <c r="P322" s="146">
        <f>[10]Sales_SP!EG104</f>
        <v>0.001803</v>
      </c>
      <c r="Q322" s="916">
        <f t="shared" si="85"/>
        <v>0.413403</v>
      </c>
      <c r="R322" s="887"/>
      <c r="S322" s="887"/>
    </row>
    <row r="323" ht="15" spans="3:19">
      <c r="C323" s="55" t="s">
        <v>239</v>
      </c>
      <c r="D323" s="55" t="s">
        <v>196</v>
      </c>
      <c r="E323" s="146">
        <f>[10]Sales_SP!DV110</f>
        <v>171.84</v>
      </c>
      <c r="F323" s="146">
        <f>[10]Sales_SP!DW110</f>
        <v>174.25</v>
      </c>
      <c r="G323" s="146">
        <f>[10]Sales_SP!DX110</f>
        <v>179.79</v>
      </c>
      <c r="H323" s="146">
        <f>[10]Sales_SP!DY110</f>
        <v>144.86727249</v>
      </c>
      <c r="I323" s="146">
        <f>[10]Sales_SP!DZ110</f>
        <v>147.16457658</v>
      </c>
      <c r="J323" s="146">
        <f>[10]Sales_SP!EA110</f>
        <v>156.13046103</v>
      </c>
      <c r="K323" s="146">
        <f>[10]Sales_SP!EB110</f>
        <v>146.79458573</v>
      </c>
      <c r="L323" s="146">
        <f>[10]Sales_SP!EC110</f>
        <v>138.89520262</v>
      </c>
      <c r="M323" s="146">
        <f>[10]Sales_SP!ED110</f>
        <v>135.99557205</v>
      </c>
      <c r="N323" s="146">
        <f>[10]Sales_SP!EE110</f>
        <v>138.72055816</v>
      </c>
      <c r="O323" s="146">
        <f>[10]Sales_SP!EF110</f>
        <v>140.38698099</v>
      </c>
      <c r="P323" s="146">
        <f>[10]Sales_SP!EG110</f>
        <v>215.39694602</v>
      </c>
      <c r="Q323" s="916">
        <f t="shared" si="85"/>
        <v>1890.23215567</v>
      </c>
      <c r="R323" s="887"/>
      <c r="S323" s="887"/>
    </row>
    <row r="324" ht="15" spans="3:19">
      <c r="C324" s="55" t="s">
        <v>197</v>
      </c>
      <c r="D324" s="55" t="s">
        <v>198</v>
      </c>
      <c r="E324" s="146">
        <f>[10]Sales_SP!DV115</f>
        <v>0.032178</v>
      </c>
      <c r="F324" s="146">
        <f>[10]Sales_SP!DW115</f>
        <v>0.074464</v>
      </c>
      <c r="G324" s="146">
        <f>[10]Sales_SP!DX115</f>
        <v>0.00743</v>
      </c>
      <c r="H324" s="146">
        <f>[10]Sales_SP!DY115</f>
        <v>0</v>
      </c>
      <c r="I324" s="146">
        <f>[10]Sales_SP!DZ115</f>
        <v>0</v>
      </c>
      <c r="J324" s="146">
        <f>[10]Sales_SP!EA115</f>
        <v>0</v>
      </c>
      <c r="K324" s="146">
        <f>[10]Sales_SP!EB115</f>
        <v>0</v>
      </c>
      <c r="L324" s="146">
        <f>[10]Sales_SP!EC115</f>
        <v>0</v>
      </c>
      <c r="M324" s="146">
        <f>[10]Sales_SP!ED115</f>
        <v>0.032196</v>
      </c>
      <c r="N324" s="146">
        <f>[10]Sales_SP!EE115</f>
        <v>0.028971</v>
      </c>
      <c r="O324" s="146">
        <f>[10]Sales_SP!EF115</f>
        <v>0.033588</v>
      </c>
      <c r="P324" s="146">
        <f>[10]Sales_SP!EG115</f>
        <v>0.034469</v>
      </c>
      <c r="Q324" s="916">
        <f t="shared" si="85"/>
        <v>0.243296</v>
      </c>
      <c r="R324" s="887"/>
      <c r="S324" s="887"/>
    </row>
    <row r="325" ht="15" spans="3:19">
      <c r="C325" s="55" t="s">
        <v>199</v>
      </c>
      <c r="D325" s="55" t="s">
        <v>200</v>
      </c>
      <c r="E325" s="146">
        <f>[10]Sales_SP!DV120</f>
        <v>0.37</v>
      </c>
      <c r="F325" s="146">
        <f>[10]Sales_SP!DW120</f>
        <v>0.36</v>
      </c>
      <c r="G325" s="146">
        <f>[10]Sales_SP!DX120</f>
        <v>0.38</v>
      </c>
      <c r="H325" s="146">
        <f>[10]Sales_SP!DY120</f>
        <v>0.322311</v>
      </c>
      <c r="I325" s="146">
        <f>[10]Sales_SP!DZ120</f>
        <v>0.347776</v>
      </c>
      <c r="J325" s="146">
        <f>[10]Sales_SP!EA120</f>
        <v>0.361763</v>
      </c>
      <c r="K325" s="146">
        <f>[10]Sales_SP!EB120</f>
        <v>0.353814</v>
      </c>
      <c r="L325" s="146">
        <f>[10]Sales_SP!EC120</f>
        <v>0.346308</v>
      </c>
      <c r="M325" s="146">
        <f>[10]Sales_SP!ED120</f>
        <v>0.334942</v>
      </c>
      <c r="N325" s="146">
        <f>[10]Sales_SP!EE120</f>
        <v>0.343065</v>
      </c>
      <c r="O325" s="146">
        <f>[10]Sales_SP!EF120</f>
        <v>0.335306</v>
      </c>
      <c r="P325" s="146">
        <f>[10]Sales_SP!EG120</f>
        <v>0.492824</v>
      </c>
      <c r="Q325" s="916">
        <f t="shared" si="85"/>
        <v>4.348109</v>
      </c>
      <c r="R325" s="887"/>
      <c r="S325" s="887"/>
    </row>
    <row r="326" ht="15" spans="3:19">
      <c r="C326" s="55" t="s">
        <v>201</v>
      </c>
      <c r="D326" s="55" t="s">
        <v>202</v>
      </c>
      <c r="E326" s="146">
        <f>[10]Sales_SP!DV126</f>
        <v>4.08</v>
      </c>
      <c r="F326" s="146">
        <f>[10]Sales_SP!DW126</f>
        <v>0.78</v>
      </c>
      <c r="G326" s="146">
        <f>[10]Sales_SP!DX126</f>
        <v>0.69</v>
      </c>
      <c r="H326" s="146">
        <f>[10]Sales_SP!DY126</f>
        <v>1.062505</v>
      </c>
      <c r="I326" s="146">
        <f>[10]Sales_SP!DZ126</f>
        <v>2.095463</v>
      </c>
      <c r="J326" s="146">
        <f>[10]Sales_SP!EA126</f>
        <v>4.22927425</v>
      </c>
      <c r="K326" s="146">
        <f>[10]Sales_SP!EB126</f>
        <v>3.46676966</v>
      </c>
      <c r="L326" s="146">
        <f>[10]Sales_SP!EC126</f>
        <v>4.40827641</v>
      </c>
      <c r="M326" s="146">
        <f>[10]Sales_SP!ED126</f>
        <v>6.371162</v>
      </c>
      <c r="N326" s="146">
        <f>[10]Sales_SP!EE126</f>
        <v>5.678977</v>
      </c>
      <c r="O326" s="146">
        <f>[10]Sales_SP!EF126</f>
        <v>5.911532</v>
      </c>
      <c r="P326" s="146">
        <f>[10]Sales_SP!EG126</f>
        <v>8.304356</v>
      </c>
      <c r="Q326" s="916">
        <f t="shared" si="85"/>
        <v>47.07831532</v>
      </c>
      <c r="R326" s="887"/>
      <c r="S326" s="887"/>
    </row>
    <row r="327" ht="15" spans="3:19">
      <c r="C327" s="55" t="s">
        <v>203</v>
      </c>
      <c r="D327" s="55" t="s">
        <v>204</v>
      </c>
      <c r="E327" s="146">
        <f>[10]Sales_SP!DV127</f>
        <v>11.07</v>
      </c>
      <c r="F327" s="146">
        <f>[10]Sales_SP!DW127</f>
        <v>11.09</v>
      </c>
      <c r="G327" s="146">
        <f>[10]Sales_SP!DX127</f>
        <v>11.15</v>
      </c>
      <c r="H327" s="146">
        <f>[10]Sales_SP!DY127</f>
        <v>10.38198541</v>
      </c>
      <c r="I327" s="146">
        <f>[10]Sales_SP!DZ127</f>
        <v>10.94462091</v>
      </c>
      <c r="J327" s="146">
        <f>[10]Sales_SP!EA127</f>
        <v>11.4960205</v>
      </c>
      <c r="K327" s="146">
        <f>[10]Sales_SP!EB127</f>
        <v>10.825784</v>
      </c>
      <c r="L327" s="146">
        <f>[10]Sales_SP!EC127</f>
        <v>11.524172</v>
      </c>
      <c r="M327" s="146">
        <f>[10]Sales_SP!ED127</f>
        <v>11.066141</v>
      </c>
      <c r="N327" s="146">
        <f>[10]Sales_SP!EE127</f>
        <v>11.445718</v>
      </c>
      <c r="O327" s="146">
        <f>[10]Sales_SP!EF127</f>
        <v>11.37224</v>
      </c>
      <c r="P327" s="146">
        <f>[10]Sales_SP!EG127</f>
        <v>15.289218</v>
      </c>
      <c r="Q327" s="916">
        <f t="shared" si="85"/>
        <v>137.65589982</v>
      </c>
      <c r="R327" s="887"/>
      <c r="S327" s="887"/>
    </row>
    <row r="328" ht="15" spans="3:19">
      <c r="C328" s="55" t="s">
        <v>205</v>
      </c>
      <c r="D328" s="55" t="s">
        <v>206</v>
      </c>
      <c r="E328" s="146">
        <f>[10]Sales_SP!DV131</f>
        <v>18.59</v>
      </c>
      <c r="F328" s="146">
        <f>[10]Sales_SP!DW131</f>
        <v>19.69</v>
      </c>
      <c r="G328" s="146">
        <f>[10]Sales_SP!DX131</f>
        <v>18.81</v>
      </c>
      <c r="H328" s="146">
        <f>[10]Sales_SP!DY131</f>
        <v>13.691047</v>
      </c>
      <c r="I328" s="146">
        <f>[10]Sales_SP!DZ131</f>
        <v>13.597374</v>
      </c>
      <c r="J328" s="146">
        <f>[10]Sales_SP!EA131</f>
        <v>14.135622</v>
      </c>
      <c r="K328" s="146">
        <f>[10]Sales_SP!EB131</f>
        <v>13.1151365</v>
      </c>
      <c r="L328" s="146">
        <f>[10]Sales_SP!EC131</f>
        <v>12.810408</v>
      </c>
      <c r="M328" s="146">
        <f>[10]Sales_SP!ED131</f>
        <v>12.637645</v>
      </c>
      <c r="N328" s="146">
        <f>[10]Sales_SP!EE131</f>
        <v>12.884047</v>
      </c>
      <c r="O328" s="146">
        <f>[10]Sales_SP!EF131</f>
        <v>13.51772</v>
      </c>
      <c r="P328" s="146">
        <f>[10]Sales_SP!EG131</f>
        <v>20.510695</v>
      </c>
      <c r="Q328" s="916">
        <f t="shared" si="85"/>
        <v>183.9896945</v>
      </c>
      <c r="R328" s="887"/>
      <c r="S328" s="887"/>
    </row>
    <row r="329" ht="15" spans="3:19">
      <c r="C329" s="55" t="s">
        <v>207</v>
      </c>
      <c r="D329" s="55" t="s">
        <v>186</v>
      </c>
      <c r="E329" s="146">
        <f>[10]Sales_SP!DV132</f>
        <v>11.76</v>
      </c>
      <c r="F329" s="146">
        <f>[10]Sales_SP!DW132</f>
        <v>11.23</v>
      </c>
      <c r="G329" s="146">
        <f>[10]Sales_SP!DX132</f>
        <v>11.95</v>
      </c>
      <c r="H329" s="146">
        <f>[10]Sales_SP!DY132</f>
        <v>10.432735</v>
      </c>
      <c r="I329" s="146">
        <f>[10]Sales_SP!DZ132</f>
        <v>11.5848855</v>
      </c>
      <c r="J329" s="146">
        <f>[10]Sales_SP!EA132</f>
        <v>12.576347</v>
      </c>
      <c r="K329" s="146">
        <f>[10]Sales_SP!EB132</f>
        <v>12.446289</v>
      </c>
      <c r="L329" s="146">
        <f>[10]Sales_SP!EC132</f>
        <v>14.1603415</v>
      </c>
      <c r="M329" s="146">
        <f>[10]Sales_SP!ED132</f>
        <v>13.573868</v>
      </c>
      <c r="N329" s="146">
        <f>[10]Sales_SP!EE132</f>
        <v>13.565659</v>
      </c>
      <c r="O329" s="146">
        <f>[10]Sales_SP!EF132</f>
        <v>13.264512</v>
      </c>
      <c r="P329" s="146">
        <f>[10]Sales_SP!EG132</f>
        <v>17.394279</v>
      </c>
      <c r="Q329" s="916">
        <f t="shared" si="85"/>
        <v>153.938916</v>
      </c>
      <c r="R329" s="887"/>
      <c r="S329" s="887"/>
    </row>
    <row r="330" ht="15" spans="3:19">
      <c r="C330" s="55" t="s">
        <v>208</v>
      </c>
      <c r="D330" s="55" t="s">
        <v>209</v>
      </c>
      <c r="E330" s="146">
        <f>[10]Sales_SP!DV133</f>
        <v>0</v>
      </c>
      <c r="F330" s="146">
        <f>[10]Sales_SP!DW133</f>
        <v>0</v>
      </c>
      <c r="G330" s="146">
        <f>[10]Sales_SP!DX133</f>
        <v>0</v>
      </c>
      <c r="H330" s="146">
        <f>[10]Sales_SP!DY133</f>
        <v>0</v>
      </c>
      <c r="I330" s="146">
        <f>[10]Sales_SP!DZ133</f>
        <v>0</v>
      </c>
      <c r="J330" s="146">
        <f>[10]Sales_SP!EA133</f>
        <v>0</v>
      </c>
      <c r="K330" s="146">
        <f>[10]Sales_SP!EB133</f>
        <v>0</v>
      </c>
      <c r="L330" s="146">
        <f>[10]Sales_SP!EC133</f>
        <v>0</v>
      </c>
      <c r="M330" s="146">
        <f>[10]Sales_SP!ED133</f>
        <v>0</v>
      </c>
      <c r="N330" s="146">
        <f>[10]Sales_SP!EE133</f>
        <v>0</v>
      </c>
      <c r="O330" s="146">
        <f>[10]Sales_SP!EF133</f>
        <v>0</v>
      </c>
      <c r="P330" s="146">
        <f>[10]Sales_SP!EG133</f>
        <v>0</v>
      </c>
      <c r="Q330" s="916">
        <f t="shared" si="85"/>
        <v>0</v>
      </c>
      <c r="R330" s="887"/>
      <c r="S330" s="887"/>
    </row>
    <row r="331" ht="15" spans="3:19">
      <c r="C331" s="55" t="s">
        <v>210</v>
      </c>
      <c r="D331" s="55" t="s">
        <v>188</v>
      </c>
      <c r="E331" s="146">
        <f>[10]Sales_SP!DV134</f>
        <v>0.45</v>
      </c>
      <c r="F331" s="146">
        <f>[10]Sales_SP!DW134</f>
        <v>0.44</v>
      </c>
      <c r="G331" s="146">
        <f>[10]Sales_SP!DX134</f>
        <v>0.47</v>
      </c>
      <c r="H331" s="146">
        <f>[10]Sales_SP!DY134</f>
        <v>0.416371</v>
      </c>
      <c r="I331" s="146">
        <f>[10]Sales_SP!DZ134</f>
        <v>0.40566</v>
      </c>
      <c r="J331" s="146">
        <f>[10]Sales_SP!EA134</f>
        <v>0.43609</v>
      </c>
      <c r="K331" s="146">
        <f>[10]Sales_SP!EB134</f>
        <v>0.426135</v>
      </c>
      <c r="L331" s="146">
        <f>[10]Sales_SP!EC134</f>
        <v>0.436821</v>
      </c>
      <c r="M331" s="146">
        <f>[10]Sales_SP!ED134</f>
        <v>0.432815</v>
      </c>
      <c r="N331" s="146">
        <f>[10]Sales_SP!EE134</f>
        <v>0.441702</v>
      </c>
      <c r="O331" s="146">
        <f>[10]Sales_SP!EF134</f>
        <v>0.478036</v>
      </c>
      <c r="P331" s="146">
        <f>[10]Sales_SP!EG134</f>
        <v>0.706229</v>
      </c>
      <c r="Q331" s="916">
        <f t="shared" si="85"/>
        <v>5.539859</v>
      </c>
      <c r="R331" s="887"/>
      <c r="S331" s="887"/>
    </row>
    <row r="332" ht="15" spans="3:19">
      <c r="C332" s="55"/>
      <c r="D332" s="55"/>
      <c r="E332" s="146"/>
      <c r="F332" s="146"/>
      <c r="G332" s="146"/>
      <c r="H332" s="146"/>
      <c r="I332" s="146"/>
      <c r="J332" s="146"/>
      <c r="K332" s="146"/>
      <c r="L332" s="146"/>
      <c r="M332" s="146"/>
      <c r="N332" s="146"/>
      <c r="O332" s="146"/>
      <c r="P332" s="146"/>
      <c r="Q332" s="916">
        <f t="shared" si="85"/>
        <v>0</v>
      </c>
      <c r="R332" s="887"/>
      <c r="S332" s="887"/>
    </row>
    <row r="333" ht="15" spans="3:19">
      <c r="C333" s="55"/>
      <c r="D333" s="55"/>
      <c r="E333" s="146"/>
      <c r="F333" s="146"/>
      <c r="G333" s="146"/>
      <c r="H333" s="146"/>
      <c r="I333" s="146"/>
      <c r="J333" s="146"/>
      <c r="K333" s="146"/>
      <c r="L333" s="146"/>
      <c r="M333" s="146"/>
      <c r="N333" s="146"/>
      <c r="O333" s="146"/>
      <c r="P333" s="146"/>
      <c r="Q333" s="916">
        <f t="shared" si="85"/>
        <v>0</v>
      </c>
      <c r="R333" s="887"/>
      <c r="S333" s="887"/>
    </row>
    <row r="334" ht="15" spans="3:19">
      <c r="C334" s="55"/>
      <c r="D334" s="55"/>
      <c r="E334" s="146"/>
      <c r="F334" s="146"/>
      <c r="G334" s="146"/>
      <c r="H334" s="146"/>
      <c r="I334" s="146"/>
      <c r="J334" s="146"/>
      <c r="K334" s="146"/>
      <c r="L334" s="146"/>
      <c r="M334" s="146"/>
      <c r="N334" s="146"/>
      <c r="O334" s="146"/>
      <c r="P334" s="146"/>
      <c r="Q334" s="916">
        <f t="shared" si="85"/>
        <v>0</v>
      </c>
      <c r="R334" s="887"/>
      <c r="S334" s="887"/>
    </row>
    <row r="335" ht="15" spans="3:19">
      <c r="C335" s="55" t="s">
        <v>258</v>
      </c>
      <c r="D335" s="55" t="s">
        <v>258</v>
      </c>
      <c r="E335" s="146"/>
      <c r="F335" s="146"/>
      <c r="G335" s="146"/>
      <c r="H335" s="146"/>
      <c r="I335" s="146"/>
      <c r="J335" s="146"/>
      <c r="K335" s="146"/>
      <c r="L335" s="146"/>
      <c r="M335" s="146"/>
      <c r="N335" s="146"/>
      <c r="O335" s="146"/>
      <c r="P335" s="146"/>
      <c r="Q335" s="916">
        <f t="shared" si="85"/>
        <v>0</v>
      </c>
      <c r="R335" s="887"/>
      <c r="S335" s="887"/>
    </row>
    <row r="336" ht="15" spans="3:19">
      <c r="C336" s="537" t="s">
        <v>211</v>
      </c>
      <c r="D336" s="540"/>
      <c r="E336" s="916">
        <f t="shared" ref="E336:P336" si="86">SUM(E321:E335)</f>
        <v>575.762178</v>
      </c>
      <c r="F336" s="916">
        <f t="shared" si="86"/>
        <v>545.414464</v>
      </c>
      <c r="G336" s="916">
        <f t="shared" si="86"/>
        <v>572.06743</v>
      </c>
      <c r="H336" s="916">
        <f t="shared" si="86"/>
        <v>493.49377987</v>
      </c>
      <c r="I336" s="916">
        <f t="shared" si="86"/>
        <v>513.74963545</v>
      </c>
      <c r="J336" s="916">
        <f t="shared" si="86"/>
        <v>532.97116977</v>
      </c>
      <c r="K336" s="916">
        <f t="shared" si="86"/>
        <v>505.08894666</v>
      </c>
      <c r="L336" s="916">
        <f t="shared" si="86"/>
        <v>521.78512619</v>
      </c>
      <c r="M336" s="916">
        <f t="shared" si="86"/>
        <v>522.54603019</v>
      </c>
      <c r="N336" s="916">
        <f t="shared" si="86"/>
        <v>536.72918793</v>
      </c>
      <c r="O336" s="916">
        <f t="shared" si="86"/>
        <v>538.48123706</v>
      </c>
      <c r="P336" s="916">
        <f t="shared" si="86"/>
        <v>762.83217009</v>
      </c>
      <c r="Q336" s="916">
        <f t="shared" si="85"/>
        <v>6620.92135521</v>
      </c>
      <c r="R336" s="887"/>
      <c r="S336" s="887"/>
    </row>
    <row r="337" ht="15" spans="3:19">
      <c r="C337" s="44" t="s">
        <v>212</v>
      </c>
      <c r="D337" s="45"/>
      <c r="E337" s="146"/>
      <c r="F337" s="146"/>
      <c r="G337" s="146"/>
      <c r="H337" s="146"/>
      <c r="I337" s="146"/>
      <c r="J337" s="146"/>
      <c r="K337" s="146"/>
      <c r="L337" s="146"/>
      <c r="M337" s="146"/>
      <c r="N337" s="146"/>
      <c r="O337" s="146"/>
      <c r="P337" s="146"/>
      <c r="Q337" s="158"/>
      <c r="R337" s="887"/>
      <c r="S337" s="887"/>
    </row>
    <row r="338" ht="15" spans="3:19">
      <c r="C338" s="55" t="s">
        <v>191</v>
      </c>
      <c r="D338" s="55" t="s">
        <v>192</v>
      </c>
      <c r="E338" s="146">
        <f>[10]Sales_SP!DV152</f>
        <v>462.3</v>
      </c>
      <c r="F338" s="146">
        <f>[10]Sales_SP!DW152</f>
        <v>443.32</v>
      </c>
      <c r="G338" s="146">
        <f>[10]Sales_SP!DX152</f>
        <v>456.09</v>
      </c>
      <c r="H338" s="146">
        <f>[10]Sales_SP!DY152</f>
        <v>435.480396</v>
      </c>
      <c r="I338" s="146">
        <f>[10]Sales_SP!DZ152</f>
        <v>436.032314</v>
      </c>
      <c r="J338" s="146">
        <f>[10]Sales_SP!EA152</f>
        <v>443.44037523</v>
      </c>
      <c r="K338" s="146">
        <f>[10]Sales_SP!EB152</f>
        <v>422.064112</v>
      </c>
      <c r="L338" s="146">
        <f>[10]Sales_SP!EC152</f>
        <v>438.8500435</v>
      </c>
      <c r="M338" s="146">
        <f>[10]Sales_SP!ED152</f>
        <v>440.6811815</v>
      </c>
      <c r="N338" s="146">
        <f>[10]Sales_SP!EE152</f>
        <v>443.1017745</v>
      </c>
      <c r="O338" s="146">
        <f>[10]Sales_SP!EF152</f>
        <v>447.9502955</v>
      </c>
      <c r="P338" s="146">
        <f>[10]Sales_SP!EG152</f>
        <v>629.4306135</v>
      </c>
      <c r="Q338" s="916">
        <f t="shared" ref="Q338:Q354" si="87">SUM(E338:P338)</f>
        <v>5498.74110573</v>
      </c>
      <c r="R338" s="887"/>
      <c r="S338" s="887"/>
    </row>
    <row r="339" ht="15" spans="3:19">
      <c r="C339" s="55" t="s">
        <v>193</v>
      </c>
      <c r="D339" s="55" t="s">
        <v>194</v>
      </c>
      <c r="E339" s="146">
        <f>[10]Sales_SP!DV168</f>
        <v>6.85</v>
      </c>
      <c r="F339" s="146">
        <f>[10]Sales_SP!DW168</f>
        <v>6.48</v>
      </c>
      <c r="G339" s="146">
        <f>[10]Sales_SP!DX168</f>
        <v>6.48</v>
      </c>
      <c r="H339" s="146">
        <f>[10]Sales_SP!DY168</f>
        <v>4.8932</v>
      </c>
      <c r="I339" s="146">
        <f>[10]Sales_SP!DZ168</f>
        <v>2.7269</v>
      </c>
      <c r="J339" s="146">
        <f>[10]Sales_SP!EA168</f>
        <v>2.4399</v>
      </c>
      <c r="K339" s="146">
        <f>[10]Sales_SP!EB168</f>
        <v>1.3661</v>
      </c>
      <c r="L339" s="146">
        <f>[10]Sales_SP!EC168</f>
        <v>1.5926</v>
      </c>
      <c r="M339" s="146">
        <f>[10]Sales_SP!ED168</f>
        <v>3.4797</v>
      </c>
      <c r="N339" s="146">
        <f>[10]Sales_SP!EE168</f>
        <v>4.5297</v>
      </c>
      <c r="O339" s="146">
        <f>[10]Sales_SP!EF168</f>
        <v>2.4428</v>
      </c>
      <c r="P339" s="146">
        <f>[10]Sales_SP!EG168</f>
        <v>0.0011</v>
      </c>
      <c r="Q339" s="916">
        <f t="shared" si="87"/>
        <v>43.282</v>
      </c>
      <c r="R339" s="887"/>
      <c r="S339" s="887"/>
    </row>
    <row r="340" ht="15" spans="3:19">
      <c r="C340" s="55" t="s">
        <v>239</v>
      </c>
      <c r="D340" s="55" t="s">
        <v>196</v>
      </c>
      <c r="E340" s="146">
        <f>[10]Sales_SP!DV174</f>
        <v>88.62</v>
      </c>
      <c r="F340" s="146">
        <f>[10]Sales_SP!DW174</f>
        <v>95.12</v>
      </c>
      <c r="G340" s="146">
        <f>[10]Sales_SP!DX174</f>
        <v>102.2</v>
      </c>
      <c r="H340" s="146">
        <f>[10]Sales_SP!DY174</f>
        <v>91.70565</v>
      </c>
      <c r="I340" s="146">
        <f>[10]Sales_SP!DZ174</f>
        <v>95.851009</v>
      </c>
      <c r="J340" s="146">
        <f>[10]Sales_SP!EA174</f>
        <v>100.436035</v>
      </c>
      <c r="K340" s="146">
        <f>[10]Sales_SP!EB174</f>
        <v>97.008417</v>
      </c>
      <c r="L340" s="146">
        <f>[10]Sales_SP!EC174</f>
        <v>95.453312</v>
      </c>
      <c r="M340" s="146">
        <f>[10]Sales_SP!ED174</f>
        <v>92.87741</v>
      </c>
      <c r="N340" s="146">
        <f>[10]Sales_SP!EE174</f>
        <v>95.297907</v>
      </c>
      <c r="O340" s="146">
        <f>[10]Sales_SP!EF174</f>
        <v>97.874269</v>
      </c>
      <c r="P340" s="146">
        <f>[10]Sales_SP!EG174</f>
        <v>145.338513</v>
      </c>
      <c r="Q340" s="916">
        <f t="shared" si="87"/>
        <v>1197.782522</v>
      </c>
      <c r="R340" s="887"/>
      <c r="S340" s="887"/>
    </row>
    <row r="341" ht="15" spans="3:19">
      <c r="C341" s="55" t="s">
        <v>197</v>
      </c>
      <c r="D341" s="55" t="s">
        <v>198</v>
      </c>
      <c r="E341" s="146">
        <f>[10]Sales_SP!DV180</f>
        <v>0</v>
      </c>
      <c r="F341" s="146">
        <f>[10]Sales_SP!DW180</f>
        <v>0</v>
      </c>
      <c r="G341" s="146">
        <f>[10]Sales_SP!DX180</f>
        <v>0</v>
      </c>
      <c r="H341" s="146">
        <f>[10]Sales_SP!DY180</f>
        <v>0</v>
      </c>
      <c r="I341" s="146">
        <f>[10]Sales_SP!DZ180</f>
        <v>0</v>
      </c>
      <c r="J341" s="146">
        <f>[10]Sales_SP!EA180</f>
        <v>0.2272</v>
      </c>
      <c r="K341" s="146">
        <f>[10]Sales_SP!EB180</f>
        <v>0.2887</v>
      </c>
      <c r="L341" s="146">
        <f>[10]Sales_SP!EC180</f>
        <v>0.2863</v>
      </c>
      <c r="M341" s="146">
        <f>[10]Sales_SP!ED180</f>
        <v>0.2918</v>
      </c>
      <c r="N341" s="146">
        <f>[10]Sales_SP!EE180</f>
        <v>0.251</v>
      </c>
      <c r="O341" s="146">
        <f>[10]Sales_SP!EF180</f>
        <v>0.2549</v>
      </c>
      <c r="P341" s="146">
        <f>[10]Sales_SP!EG180</f>
        <v>0.2434</v>
      </c>
      <c r="Q341" s="916">
        <f t="shared" si="87"/>
        <v>1.8433</v>
      </c>
      <c r="R341" s="887"/>
      <c r="S341" s="887"/>
    </row>
    <row r="342" ht="15" spans="3:19">
      <c r="C342" s="55" t="s">
        <v>199</v>
      </c>
      <c r="D342" s="55" t="s">
        <v>200</v>
      </c>
      <c r="E342" s="146">
        <f>[10]Sales_SP!DV185</f>
        <v>0</v>
      </c>
      <c r="F342" s="146">
        <f>[10]Sales_SP!DW185</f>
        <v>0</v>
      </c>
      <c r="G342" s="146">
        <f>[10]Sales_SP!DX185</f>
        <v>0</v>
      </c>
      <c r="H342" s="146">
        <f>[10]Sales_SP!DY185</f>
        <v>0</v>
      </c>
      <c r="I342" s="146">
        <f>[10]Sales_SP!DZ185</f>
        <v>0</v>
      </c>
      <c r="J342" s="146">
        <f>[10]Sales_SP!EA185</f>
        <v>0</v>
      </c>
      <c r="K342" s="146">
        <f>[10]Sales_SP!EB185</f>
        <v>0</v>
      </c>
      <c r="L342" s="146">
        <f>[10]Sales_SP!EC185</f>
        <v>0</v>
      </c>
      <c r="M342" s="146">
        <f>[10]Sales_SP!ED185</f>
        <v>0</v>
      </c>
      <c r="N342" s="146">
        <f>[10]Sales_SP!EE185</f>
        <v>0</v>
      </c>
      <c r="O342" s="146">
        <f>[10]Sales_SP!EF185</f>
        <v>0</v>
      </c>
      <c r="P342" s="146">
        <f>[10]Sales_SP!EG185</f>
        <v>0</v>
      </c>
      <c r="Q342" s="916">
        <f t="shared" si="87"/>
        <v>0</v>
      </c>
      <c r="R342" s="887"/>
      <c r="S342" s="887"/>
    </row>
    <row r="343" ht="15" spans="3:19">
      <c r="C343" s="55" t="s">
        <v>201</v>
      </c>
      <c r="D343" s="55" t="s">
        <v>202</v>
      </c>
      <c r="E343" s="146">
        <f>[10]Sales_SP!DV191</f>
        <v>0.84</v>
      </c>
      <c r="F343" s="146">
        <f>[10]Sales_SP!DW191</f>
        <v>0.39</v>
      </c>
      <c r="G343" s="146">
        <f>[10]Sales_SP!DX191</f>
        <v>0.07</v>
      </c>
      <c r="H343" s="146">
        <f>[10]Sales_SP!DY191</f>
        <v>0.53411</v>
      </c>
      <c r="I343" s="146">
        <f>[10]Sales_SP!DZ191</f>
        <v>1.15526</v>
      </c>
      <c r="J343" s="146">
        <f>[10]Sales_SP!EA191</f>
        <v>1.76723</v>
      </c>
      <c r="K343" s="146">
        <f>[10]Sales_SP!EB191</f>
        <v>1.29062</v>
      </c>
      <c r="L343" s="146">
        <f>[10]Sales_SP!EC191</f>
        <v>1.64535</v>
      </c>
      <c r="M343" s="146">
        <f>[10]Sales_SP!ED191</f>
        <v>1.27887</v>
      </c>
      <c r="N343" s="146">
        <f>[10]Sales_SP!EE191</f>
        <v>2.62074</v>
      </c>
      <c r="O343" s="146">
        <f>[10]Sales_SP!EF191</f>
        <v>2.2689</v>
      </c>
      <c r="P343" s="146">
        <f>[10]Sales_SP!EG191</f>
        <v>3.1821</v>
      </c>
      <c r="Q343" s="916">
        <f t="shared" si="87"/>
        <v>17.04318</v>
      </c>
      <c r="R343" s="887"/>
      <c r="S343" s="887"/>
    </row>
    <row r="344" ht="15" spans="3:19">
      <c r="C344" s="55" t="s">
        <v>203</v>
      </c>
      <c r="D344" s="55" t="s">
        <v>204</v>
      </c>
      <c r="E344" s="146">
        <f>[10]Sales_SP!DV192</f>
        <v>19.47</v>
      </c>
      <c r="F344" s="146">
        <f>[10]Sales_SP!DW192</f>
        <v>20.99</v>
      </c>
      <c r="G344" s="146">
        <f>[10]Sales_SP!DX192</f>
        <v>21.1</v>
      </c>
      <c r="H344" s="146">
        <f>[10]Sales_SP!DY192</f>
        <v>20.4317</v>
      </c>
      <c r="I344" s="146">
        <f>[10]Sales_SP!DZ192</f>
        <v>20.10299</v>
      </c>
      <c r="J344" s="146">
        <f>[10]Sales_SP!EA192</f>
        <v>20.61542</v>
      </c>
      <c r="K344" s="146">
        <f>[10]Sales_SP!EB192</f>
        <v>19.67954</v>
      </c>
      <c r="L344" s="146">
        <f>[10]Sales_SP!EC192</f>
        <v>20.0456</v>
      </c>
      <c r="M344" s="146">
        <f>[10]Sales_SP!ED192</f>
        <v>19.76087</v>
      </c>
      <c r="N344" s="146">
        <f>[10]Sales_SP!EE192</f>
        <v>18.31444</v>
      </c>
      <c r="O344" s="146">
        <f>[10]Sales_SP!EF192</f>
        <v>20.85805</v>
      </c>
      <c r="P344" s="146">
        <f>[10]Sales_SP!EG192</f>
        <v>26.558435</v>
      </c>
      <c r="Q344" s="916">
        <f t="shared" si="87"/>
        <v>247.927045</v>
      </c>
      <c r="R344" s="887"/>
      <c r="S344" s="887"/>
    </row>
    <row r="345" ht="15" spans="3:19">
      <c r="C345" s="55" t="s">
        <v>269</v>
      </c>
      <c r="D345" s="55" t="s">
        <v>229</v>
      </c>
      <c r="E345" s="146">
        <f>[10]Sales_SP!DV194</f>
        <v>0</v>
      </c>
      <c r="F345" s="146">
        <f>[10]Sales_SP!DW194</f>
        <v>0</v>
      </c>
      <c r="G345" s="146">
        <f>[10]Sales_SP!DX194</f>
        <v>0</v>
      </c>
      <c r="H345" s="146">
        <f>[10]Sales_SP!DY194</f>
        <v>0</v>
      </c>
      <c r="I345" s="146">
        <f>[10]Sales_SP!DZ194</f>
        <v>0</v>
      </c>
      <c r="J345" s="146">
        <f>[10]Sales_SP!EA194</f>
        <v>0</v>
      </c>
      <c r="K345" s="146">
        <f>[10]Sales_SP!EB194</f>
        <v>0</v>
      </c>
      <c r="L345" s="146">
        <f>[10]Sales_SP!EC194</f>
        <v>0.2742</v>
      </c>
      <c r="M345" s="146">
        <f>[10]Sales_SP!ED194</f>
        <v>0.30885</v>
      </c>
      <c r="N345" s="146">
        <f>[10]Sales_SP!EE194</f>
        <v>0.4818</v>
      </c>
      <c r="O345" s="146">
        <f>[10]Sales_SP!EF194</f>
        <v>0.45825</v>
      </c>
      <c r="P345" s="146">
        <f>[10]Sales_SP!EG194</f>
        <v>1.4277</v>
      </c>
      <c r="Q345" s="916">
        <f t="shared" si="87"/>
        <v>2.9508</v>
      </c>
      <c r="R345" s="887"/>
      <c r="S345" s="887"/>
    </row>
    <row r="346" ht="15" spans="3:19">
      <c r="C346" s="55" t="s">
        <v>205</v>
      </c>
      <c r="D346" s="55" t="s">
        <v>206</v>
      </c>
      <c r="E346" s="146">
        <f>[10]Sales_SP!DV196</f>
        <v>12.56</v>
      </c>
      <c r="F346" s="146">
        <f>[10]Sales_SP!DW196</f>
        <v>13.27</v>
      </c>
      <c r="G346" s="146">
        <f>[10]Sales_SP!DX196</f>
        <v>12.7</v>
      </c>
      <c r="H346" s="146">
        <f>[10]Sales_SP!DY196</f>
        <v>9.095474</v>
      </c>
      <c r="I346" s="146">
        <f>[10]Sales_SP!DZ196</f>
        <v>9.241715</v>
      </c>
      <c r="J346" s="146">
        <f>[10]Sales_SP!EA196</f>
        <v>9.654017</v>
      </c>
      <c r="K346" s="146">
        <f>[10]Sales_SP!EB196</f>
        <v>8.91257</v>
      </c>
      <c r="L346" s="146">
        <f>[10]Sales_SP!EC196</f>
        <v>8.87118</v>
      </c>
      <c r="M346" s="146">
        <f>[10]Sales_SP!ED196</f>
        <v>8.849315</v>
      </c>
      <c r="N346" s="146">
        <f>[10]Sales_SP!EE196</f>
        <v>8.862205</v>
      </c>
      <c r="O346" s="146">
        <f>[10]Sales_SP!EF196</f>
        <v>9.168395</v>
      </c>
      <c r="P346" s="146">
        <f>[10]Sales_SP!EG196</f>
        <v>12.887882</v>
      </c>
      <c r="Q346" s="916">
        <f t="shared" si="87"/>
        <v>124.072753</v>
      </c>
      <c r="R346" s="887"/>
      <c r="S346" s="887"/>
    </row>
    <row r="347" ht="15" spans="3:19">
      <c r="C347" s="55" t="s">
        <v>218</v>
      </c>
      <c r="D347" s="55" t="s">
        <v>186</v>
      </c>
      <c r="E347" s="146">
        <f>[10]Sales_SP!DV197</f>
        <v>3.15</v>
      </c>
      <c r="F347" s="146">
        <f>[10]Sales_SP!DW197</f>
        <v>2.06</v>
      </c>
      <c r="G347" s="146">
        <f>[10]Sales_SP!DX197</f>
        <v>2.31</v>
      </c>
      <c r="H347" s="146">
        <f>[10]Sales_SP!DY197</f>
        <v>2.8021</v>
      </c>
      <c r="I347" s="146">
        <f>[10]Sales_SP!DZ197</f>
        <v>3.0558</v>
      </c>
      <c r="J347" s="146">
        <f>[10]Sales_SP!EA197</f>
        <v>3.727714</v>
      </c>
      <c r="K347" s="146">
        <f>[10]Sales_SP!EB197</f>
        <v>3.933598</v>
      </c>
      <c r="L347" s="146">
        <f>[10]Sales_SP!EC197</f>
        <v>3.694535</v>
      </c>
      <c r="M347" s="146">
        <f>[10]Sales_SP!ED197</f>
        <v>3.718147</v>
      </c>
      <c r="N347" s="146">
        <f>[10]Sales_SP!EE197</f>
        <v>3.890713</v>
      </c>
      <c r="O347" s="146">
        <f>[10]Sales_SP!EF197</f>
        <v>3.335858</v>
      </c>
      <c r="P347" s="146">
        <f>[10]Sales_SP!EG197</f>
        <v>4.635101</v>
      </c>
      <c r="Q347" s="916">
        <f t="shared" si="87"/>
        <v>40.313566</v>
      </c>
      <c r="R347" s="887"/>
      <c r="S347" s="887"/>
    </row>
    <row r="348" ht="15" spans="3:19">
      <c r="C348" s="55" t="s">
        <v>208</v>
      </c>
      <c r="D348" s="55" t="s">
        <v>209</v>
      </c>
      <c r="E348" s="146">
        <f>[10]Sales_SP!DV198</f>
        <v>0</v>
      </c>
      <c r="F348" s="146">
        <f>[10]Sales_SP!DW198</f>
        <v>0</v>
      </c>
      <c r="G348" s="146">
        <f>[10]Sales_SP!DX198</f>
        <v>0</v>
      </c>
      <c r="H348" s="146">
        <f>[10]Sales_SP!DY198</f>
        <v>0</v>
      </c>
      <c r="I348" s="146">
        <f>[10]Sales_SP!DZ198</f>
        <v>0</v>
      </c>
      <c r="J348" s="146">
        <f>[10]Sales_SP!EA198</f>
        <v>0</v>
      </c>
      <c r="K348" s="146">
        <f>[10]Sales_SP!EB198</f>
        <v>0</v>
      </c>
      <c r="L348" s="146">
        <f>[10]Sales_SP!EC198</f>
        <v>0</v>
      </c>
      <c r="M348" s="146">
        <f>[10]Sales_SP!ED198</f>
        <v>0</v>
      </c>
      <c r="N348" s="146">
        <f>[10]Sales_SP!EE198</f>
        <v>0</v>
      </c>
      <c r="O348" s="146">
        <f>[10]Sales_SP!EF198</f>
        <v>0</v>
      </c>
      <c r="P348" s="146">
        <f>[10]Sales_SP!EG198</f>
        <v>0</v>
      </c>
      <c r="Q348" s="916">
        <f t="shared" si="87"/>
        <v>0</v>
      </c>
      <c r="R348" s="887"/>
      <c r="S348" s="887"/>
    </row>
    <row r="349" ht="15" spans="3:19">
      <c r="C349" s="55" t="s">
        <v>210</v>
      </c>
      <c r="D349" s="55" t="s">
        <v>188</v>
      </c>
      <c r="E349" s="146">
        <v>0</v>
      </c>
      <c r="F349" s="146">
        <v>0</v>
      </c>
      <c r="G349" s="146">
        <v>0</v>
      </c>
      <c r="H349" s="146">
        <v>0</v>
      </c>
      <c r="I349" s="146">
        <v>0</v>
      </c>
      <c r="J349" s="146">
        <v>0</v>
      </c>
      <c r="K349" s="146">
        <v>0</v>
      </c>
      <c r="L349" s="146">
        <v>0</v>
      </c>
      <c r="M349" s="146">
        <v>0</v>
      </c>
      <c r="N349" s="146">
        <v>0</v>
      </c>
      <c r="O349" s="146">
        <v>0</v>
      </c>
      <c r="P349" s="146">
        <v>0</v>
      </c>
      <c r="Q349" s="916">
        <f t="shared" si="87"/>
        <v>0</v>
      </c>
      <c r="R349" s="887"/>
      <c r="S349" s="887"/>
    </row>
    <row r="350" ht="15" spans="3:19">
      <c r="C350" s="55"/>
      <c r="D350" s="55"/>
      <c r="E350" s="146"/>
      <c r="F350" s="146"/>
      <c r="G350" s="146"/>
      <c r="H350" s="146"/>
      <c r="I350" s="146"/>
      <c r="J350" s="146"/>
      <c r="K350" s="146"/>
      <c r="L350" s="146"/>
      <c r="M350" s="146"/>
      <c r="N350" s="146"/>
      <c r="O350" s="146"/>
      <c r="P350" s="146"/>
      <c r="Q350" s="916">
        <f t="shared" si="87"/>
        <v>0</v>
      </c>
      <c r="R350" s="887"/>
      <c r="S350" s="887"/>
    </row>
    <row r="351" ht="15" spans="3:19">
      <c r="C351" s="55"/>
      <c r="D351" s="55"/>
      <c r="E351" s="146"/>
      <c r="F351" s="146"/>
      <c r="G351" s="146"/>
      <c r="H351" s="146"/>
      <c r="I351" s="146"/>
      <c r="J351" s="146"/>
      <c r="K351" s="146"/>
      <c r="L351" s="146"/>
      <c r="M351" s="146"/>
      <c r="N351" s="146"/>
      <c r="O351" s="146"/>
      <c r="P351" s="146"/>
      <c r="Q351" s="916">
        <f t="shared" si="87"/>
        <v>0</v>
      </c>
      <c r="R351" s="887"/>
      <c r="S351" s="887"/>
    </row>
    <row r="352" ht="15" spans="3:19">
      <c r="C352" s="55"/>
      <c r="D352" s="55"/>
      <c r="E352" s="146"/>
      <c r="F352" s="146"/>
      <c r="G352" s="146"/>
      <c r="H352" s="146"/>
      <c r="I352" s="146"/>
      <c r="J352" s="146"/>
      <c r="K352" s="146"/>
      <c r="L352" s="146"/>
      <c r="M352" s="146"/>
      <c r="N352" s="146"/>
      <c r="O352" s="146"/>
      <c r="P352" s="146"/>
      <c r="Q352" s="916">
        <f t="shared" si="87"/>
        <v>0</v>
      </c>
      <c r="R352" s="887"/>
      <c r="S352" s="887"/>
    </row>
    <row r="353" ht="15" spans="3:19">
      <c r="C353" s="55" t="s">
        <v>258</v>
      </c>
      <c r="D353" s="55" t="s">
        <v>258</v>
      </c>
      <c r="E353" s="146"/>
      <c r="F353" s="146"/>
      <c r="G353" s="146"/>
      <c r="H353" s="146"/>
      <c r="I353" s="146"/>
      <c r="J353" s="146"/>
      <c r="K353" s="146"/>
      <c r="L353" s="146"/>
      <c r="M353" s="146"/>
      <c r="N353" s="146"/>
      <c r="O353" s="146"/>
      <c r="P353" s="146"/>
      <c r="Q353" s="916">
        <f t="shared" si="87"/>
        <v>0</v>
      </c>
      <c r="R353" s="887"/>
      <c r="S353" s="887"/>
    </row>
    <row r="354" ht="15" spans="3:19">
      <c r="C354" s="537" t="s">
        <v>211</v>
      </c>
      <c r="D354" s="540"/>
      <c r="E354" s="916">
        <f t="shared" ref="E354:P354" si="88">SUM(E338:E353)</f>
        <v>593.79</v>
      </c>
      <c r="F354" s="916">
        <f t="shared" si="88"/>
        <v>581.63</v>
      </c>
      <c r="G354" s="916">
        <f t="shared" si="88"/>
        <v>600.95</v>
      </c>
      <c r="H354" s="916">
        <f t="shared" si="88"/>
        <v>564.94263</v>
      </c>
      <c r="I354" s="916">
        <f t="shared" si="88"/>
        <v>568.165988</v>
      </c>
      <c r="J354" s="916">
        <f t="shared" si="88"/>
        <v>582.30789123</v>
      </c>
      <c r="K354" s="916">
        <f t="shared" si="88"/>
        <v>554.543657</v>
      </c>
      <c r="L354" s="916">
        <f t="shared" si="88"/>
        <v>570.7131205</v>
      </c>
      <c r="M354" s="916">
        <f t="shared" si="88"/>
        <v>571.2461435</v>
      </c>
      <c r="N354" s="916">
        <f t="shared" si="88"/>
        <v>577.3502795</v>
      </c>
      <c r="O354" s="916">
        <f t="shared" si="88"/>
        <v>584.6117175</v>
      </c>
      <c r="P354" s="916">
        <f t="shared" si="88"/>
        <v>823.7048445</v>
      </c>
      <c r="Q354" s="916">
        <f t="shared" si="87"/>
        <v>7173.95627173</v>
      </c>
      <c r="R354" s="887"/>
      <c r="S354" s="887"/>
    </row>
    <row r="355" ht="15" spans="3:19">
      <c r="C355" s="44" t="s">
        <v>219</v>
      </c>
      <c r="D355" s="45"/>
      <c r="E355" s="146"/>
      <c r="F355" s="146"/>
      <c r="G355" s="146"/>
      <c r="H355" s="146"/>
      <c r="I355" s="146"/>
      <c r="J355" s="146"/>
      <c r="K355" s="146"/>
      <c r="L355" s="146"/>
      <c r="M355" s="146"/>
      <c r="N355" s="146"/>
      <c r="O355" s="146"/>
      <c r="P355" s="146"/>
      <c r="Q355" s="158"/>
      <c r="R355" s="887"/>
      <c r="S355" s="887"/>
    </row>
    <row r="356" ht="15" spans="3:19">
      <c r="C356" s="55" t="s">
        <v>191</v>
      </c>
      <c r="D356" s="55" t="s">
        <v>192</v>
      </c>
      <c r="E356" s="146">
        <f>[10]Sales_SP!DV212</f>
        <v>355.61</v>
      </c>
      <c r="F356" s="146">
        <f>[10]Sales_SP!DW212</f>
        <v>344.54</v>
      </c>
      <c r="G356" s="146">
        <f>[10]Sales_SP!DX212</f>
        <v>351.58</v>
      </c>
      <c r="H356" s="146">
        <f>[10]Sales_SP!DY212</f>
        <v>334.120885</v>
      </c>
      <c r="I356" s="146">
        <f>[10]Sales_SP!DZ212</f>
        <v>318.724166</v>
      </c>
      <c r="J356" s="146">
        <f>[10]Sales_SP!EA212</f>
        <v>332.409625</v>
      </c>
      <c r="K356" s="146">
        <f>[10]Sales_SP!EB212</f>
        <v>321.745552</v>
      </c>
      <c r="L356" s="146">
        <f>[10]Sales_SP!EC212</f>
        <v>344.509495</v>
      </c>
      <c r="M356" s="146">
        <f>[10]Sales_SP!ED212</f>
        <v>371.668269</v>
      </c>
      <c r="N356" s="146">
        <f>[10]Sales_SP!EE212</f>
        <v>377.86533</v>
      </c>
      <c r="O356" s="146">
        <f>[10]Sales_SP!EF212</f>
        <v>369.931735</v>
      </c>
      <c r="P356" s="146">
        <f>[10]Sales_SP!EG212</f>
        <v>488.370188</v>
      </c>
      <c r="Q356" s="916">
        <f t="shared" ref="Q356:Q375" si="89">SUM(E356:P356)</f>
        <v>4311.075245</v>
      </c>
      <c r="R356" s="887"/>
      <c r="S356" s="887"/>
    </row>
    <row r="357" ht="15" spans="3:19">
      <c r="C357" s="55" t="s">
        <v>193</v>
      </c>
      <c r="D357" s="55" t="s">
        <v>194</v>
      </c>
      <c r="E357" s="146">
        <f>[10]Sales_SP!DV222</f>
        <v>23.48</v>
      </c>
      <c r="F357" s="146">
        <f>[10]Sales_SP!DW222</f>
        <v>21.87</v>
      </c>
      <c r="G357" s="146">
        <f>[10]Sales_SP!DX222</f>
        <v>4.11</v>
      </c>
      <c r="H357" s="146">
        <f>[10]Sales_SP!DY222</f>
        <v>9.1813</v>
      </c>
      <c r="I357" s="146">
        <f>[10]Sales_SP!DZ222</f>
        <v>13.3907</v>
      </c>
      <c r="J357" s="146">
        <f>[10]Sales_SP!EA222</f>
        <v>21.5588</v>
      </c>
      <c r="K357" s="146">
        <f>[10]Sales_SP!EB222</f>
        <v>16.9256</v>
      </c>
      <c r="L357" s="146">
        <f>[10]Sales_SP!EC222</f>
        <v>11.7192</v>
      </c>
      <c r="M357" s="146">
        <f>[10]Sales_SP!ED222</f>
        <v>15.059</v>
      </c>
      <c r="N357" s="146">
        <f>[10]Sales_SP!EE222</f>
        <v>21.8133</v>
      </c>
      <c r="O357" s="146">
        <f>[10]Sales_SP!EF222</f>
        <v>22.0713</v>
      </c>
      <c r="P357" s="146">
        <f>[10]Sales_SP!EG222</f>
        <v>28.2966</v>
      </c>
      <c r="Q357" s="916">
        <f t="shared" si="89"/>
        <v>209.4758</v>
      </c>
      <c r="R357" s="887"/>
      <c r="S357" s="887"/>
    </row>
    <row r="358" ht="15" spans="3:19">
      <c r="C358" s="55" t="s">
        <v>239</v>
      </c>
      <c r="D358" s="55" t="s">
        <v>196</v>
      </c>
      <c r="E358" s="146">
        <f>[10]Sales_SP!DV228</f>
        <v>4.44</v>
      </c>
      <c r="F358" s="146">
        <f>[10]Sales_SP!DW228</f>
        <v>4.5</v>
      </c>
      <c r="G358" s="146">
        <f>[10]Sales_SP!DX228</f>
        <v>4.76</v>
      </c>
      <c r="H358" s="146">
        <f>[10]Sales_SP!DY228</f>
        <v>3.749087</v>
      </c>
      <c r="I358" s="146">
        <f>[10]Sales_SP!DZ228</f>
        <v>3.763473</v>
      </c>
      <c r="J358" s="146">
        <f>[10]Sales_SP!EA228</f>
        <v>3.895418</v>
      </c>
      <c r="K358" s="146">
        <f>[10]Sales_SP!EB228</f>
        <v>3.525431</v>
      </c>
      <c r="L358" s="146">
        <f>[10]Sales_SP!EC228</f>
        <v>3.251987</v>
      </c>
      <c r="M358" s="146">
        <f>[10]Sales_SP!ED228</f>
        <v>3.171337</v>
      </c>
      <c r="N358" s="146">
        <f>[10]Sales_SP!EE228</f>
        <v>3.256324</v>
      </c>
      <c r="O358" s="146">
        <f>[10]Sales_SP!EF228</f>
        <v>3.282163</v>
      </c>
      <c r="P358" s="146">
        <f>[10]Sales_SP!EG228</f>
        <v>4.647133</v>
      </c>
      <c r="Q358" s="916">
        <f t="shared" si="89"/>
        <v>46.242353</v>
      </c>
      <c r="R358" s="887"/>
      <c r="S358" s="887"/>
    </row>
    <row r="359" ht="15" spans="3:19">
      <c r="C359" s="55" t="s">
        <v>197</v>
      </c>
      <c r="D359" s="55" t="s">
        <v>198</v>
      </c>
      <c r="E359" s="146">
        <f>[10]Sales_SP!DV233</f>
        <v>0</v>
      </c>
      <c r="F359" s="146">
        <f>[10]Sales_SP!DW233</f>
        <v>0</v>
      </c>
      <c r="G359" s="146">
        <f>[10]Sales_SP!DX233</f>
        <v>0</v>
      </c>
      <c r="H359" s="146">
        <f>[10]Sales_SP!DY233</f>
        <v>0</v>
      </c>
      <c r="I359" s="146">
        <f>[10]Sales_SP!DZ233</f>
        <v>0</v>
      </c>
      <c r="J359" s="146">
        <f>[10]Sales_SP!EA233</f>
        <v>0</v>
      </c>
      <c r="K359" s="146">
        <f>[10]Sales_SP!EB233</f>
        <v>0</v>
      </c>
      <c r="L359" s="146">
        <f>[10]Sales_SP!EC233</f>
        <v>0</v>
      </c>
      <c r="M359" s="146">
        <f>[10]Sales_SP!ED233</f>
        <v>0</v>
      </c>
      <c r="N359" s="146">
        <f>[10]Sales_SP!EE233</f>
        <v>0</v>
      </c>
      <c r="O359" s="146">
        <f>[10]Sales_SP!EF233</f>
        <v>0</v>
      </c>
      <c r="P359" s="146">
        <f>[10]Sales_SP!EG233</f>
        <v>0</v>
      </c>
      <c r="Q359" s="916">
        <f t="shared" si="89"/>
        <v>0</v>
      </c>
      <c r="R359" s="887"/>
      <c r="S359" s="887"/>
    </row>
    <row r="360" ht="15" spans="3:19">
      <c r="C360" s="55" t="s">
        <v>199</v>
      </c>
      <c r="D360" s="55" t="s">
        <v>200</v>
      </c>
      <c r="E360" s="146">
        <f>[10]Sales_SP!DV238</f>
        <v>3.57</v>
      </c>
      <c r="F360" s="146">
        <f>[10]Sales_SP!DW238</f>
        <v>5.83</v>
      </c>
      <c r="G360" s="146">
        <f>[10]Sales_SP!DX238</f>
        <v>5.74</v>
      </c>
      <c r="H360" s="146">
        <f>[10]Sales_SP!DY238</f>
        <v>5.25716</v>
      </c>
      <c r="I360" s="146">
        <f>[10]Sales_SP!DZ238</f>
        <v>5.4137</v>
      </c>
      <c r="J360" s="146">
        <f>[10]Sales_SP!EA238</f>
        <v>5.14825</v>
      </c>
      <c r="K360" s="146">
        <f>[10]Sales_SP!EB238</f>
        <v>5.00233</v>
      </c>
      <c r="L360" s="146">
        <f>[10]Sales_SP!EC238</f>
        <v>4.48875</v>
      </c>
      <c r="M360" s="146">
        <f>[10]Sales_SP!ED238</f>
        <v>4.48381</v>
      </c>
      <c r="N360" s="146">
        <f>[10]Sales_SP!EE238</f>
        <v>4.56061</v>
      </c>
      <c r="O360" s="146">
        <f>[10]Sales_SP!EF238</f>
        <v>4.524071</v>
      </c>
      <c r="P360" s="146">
        <f>[10]Sales_SP!EG238</f>
        <v>6.913269</v>
      </c>
      <c r="Q360" s="916">
        <f t="shared" si="89"/>
        <v>60.93195</v>
      </c>
      <c r="R360" s="887"/>
      <c r="S360" s="887"/>
    </row>
    <row r="361" ht="15" spans="3:19">
      <c r="C361" s="55" t="s">
        <v>201</v>
      </c>
      <c r="D361" s="55" t="s">
        <v>240</v>
      </c>
      <c r="E361" s="146">
        <f>[10]Sales_SP!DV244</f>
        <v>58.74</v>
      </c>
      <c r="F361" s="146">
        <f>[10]Sales_SP!DW244</f>
        <v>42.43</v>
      </c>
      <c r="G361" s="146">
        <f>[10]Sales_SP!DX244</f>
        <v>27.15</v>
      </c>
      <c r="H361" s="146">
        <f>[10]Sales_SP!DY244</f>
        <v>32.4930164</v>
      </c>
      <c r="I361" s="146">
        <f>[10]Sales_SP!DZ244</f>
        <v>257.61023215</v>
      </c>
      <c r="J361" s="146">
        <f>[10]Sales_SP!EA244</f>
        <v>145.6663161</v>
      </c>
      <c r="K361" s="146">
        <f>[10]Sales_SP!EB244</f>
        <v>165.33804903</v>
      </c>
      <c r="L361" s="146">
        <f>[10]Sales_SP!EC244</f>
        <v>143.7146327</v>
      </c>
      <c r="M361" s="146">
        <f>[10]Sales_SP!ED244</f>
        <v>135.38569923</v>
      </c>
      <c r="N361" s="146">
        <f>[10]Sales_SP!EE244</f>
        <v>199.60889899</v>
      </c>
      <c r="O361" s="146">
        <f>[10]Sales_SP!EF244</f>
        <v>202.17613159</v>
      </c>
      <c r="P361" s="146">
        <f>[10]Sales_SP!EG244</f>
        <v>232.03714568</v>
      </c>
      <c r="Q361" s="916">
        <f t="shared" si="89"/>
        <v>1642.35012187</v>
      </c>
      <c r="R361" s="887"/>
      <c r="S361" s="887"/>
    </row>
    <row r="362" ht="15" spans="3:19">
      <c r="C362" s="55" t="s">
        <v>203</v>
      </c>
      <c r="D362" s="55" t="s">
        <v>220</v>
      </c>
      <c r="E362" s="146">
        <f>[10]Sales_SP!DV246</f>
        <v>20.48</v>
      </c>
      <c r="F362" s="146">
        <f>[10]Sales_SP!DW246</f>
        <v>19.62</v>
      </c>
      <c r="G362" s="146">
        <f>[10]Sales_SP!DX246</f>
        <v>22.14</v>
      </c>
      <c r="H362" s="146">
        <f>[10]Sales_SP!DY246</f>
        <v>20.938</v>
      </c>
      <c r="I362" s="146">
        <f>[10]Sales_SP!DZ246</f>
        <v>21.114</v>
      </c>
      <c r="J362" s="146">
        <f>[10]Sales_SP!EA246</f>
        <v>22.678</v>
      </c>
      <c r="K362" s="146">
        <f>[10]Sales_SP!EB246</f>
        <v>20.778</v>
      </c>
      <c r="L362" s="146">
        <f>[10]Sales_SP!EC246</f>
        <v>22.356</v>
      </c>
      <c r="M362" s="146">
        <f>[10]Sales_SP!ED246</f>
        <v>20.248</v>
      </c>
      <c r="N362" s="146">
        <f>[10]Sales_SP!EE246</f>
        <v>18.81</v>
      </c>
      <c r="O362" s="146">
        <f>[10]Sales_SP!EF246</f>
        <v>20.632</v>
      </c>
      <c r="P362" s="146">
        <f>[10]Sales_SP!EG246</f>
        <v>30.5945</v>
      </c>
      <c r="Q362" s="916">
        <f t="shared" si="89"/>
        <v>260.3885</v>
      </c>
      <c r="R362" s="887"/>
      <c r="S362" s="887"/>
    </row>
    <row r="363" ht="15" spans="3:19">
      <c r="C363" s="55" t="s">
        <v>241</v>
      </c>
      <c r="D363" s="55" t="s">
        <v>229</v>
      </c>
      <c r="E363" s="146">
        <f>[10]Sales_SP!DV249</f>
        <v>29.55</v>
      </c>
      <c r="F363" s="146">
        <f>[10]Sales_SP!DW249</f>
        <v>30.79</v>
      </c>
      <c r="G363" s="146">
        <f>[10]Sales_SP!DX249</f>
        <v>31.11</v>
      </c>
      <c r="H363" s="146">
        <f>[10]Sales_SP!DY249</f>
        <v>27.46177</v>
      </c>
      <c r="I363" s="146">
        <f>[10]Sales_SP!DZ249</f>
        <v>28.1507</v>
      </c>
      <c r="J363" s="146">
        <f>[10]Sales_SP!EA249</f>
        <v>32.712257</v>
      </c>
      <c r="K363" s="146">
        <f>[10]Sales_SP!EB249</f>
        <v>29.063232</v>
      </c>
      <c r="L363" s="146">
        <f>[10]Sales_SP!EC249</f>
        <v>30.706796</v>
      </c>
      <c r="M363" s="146">
        <f>[10]Sales_SP!ED249</f>
        <v>31.742884</v>
      </c>
      <c r="N363" s="146">
        <f>[10]Sales_SP!EE249</f>
        <v>33.435977</v>
      </c>
      <c r="O363" s="146">
        <f>[10]Sales_SP!EF249</f>
        <v>33.870729</v>
      </c>
      <c r="P363" s="146">
        <f>[10]Sales_SP!EG249</f>
        <v>47.679836</v>
      </c>
      <c r="Q363" s="916">
        <f t="shared" si="89"/>
        <v>386.274181</v>
      </c>
      <c r="R363" s="887"/>
      <c r="S363" s="887"/>
    </row>
    <row r="364" ht="15" spans="3:19">
      <c r="C364" s="55" t="s">
        <v>259</v>
      </c>
      <c r="D364" s="55" t="s">
        <v>243</v>
      </c>
      <c r="E364" s="146">
        <f>[10]Sales_SP!DV251</f>
        <v>7.07</v>
      </c>
      <c r="F364" s="146">
        <f>[10]Sales_SP!DW251</f>
        <v>6.94</v>
      </c>
      <c r="G364" s="146">
        <f>[10]Sales_SP!DX251</f>
        <v>7.36</v>
      </c>
      <c r="H364" s="146">
        <f>[10]Sales_SP!DY251</f>
        <v>6.929584</v>
      </c>
      <c r="I364" s="146">
        <f>[10]Sales_SP!DZ251</f>
        <v>7.084346</v>
      </c>
      <c r="J364" s="146">
        <f>[10]Sales_SP!EA251</f>
        <v>7.562948</v>
      </c>
      <c r="K364" s="146">
        <f>[10]Sales_SP!EB251</f>
        <v>7.142887</v>
      </c>
      <c r="L364" s="146">
        <f>[10]Sales_SP!EC251</f>
        <v>7.093945</v>
      </c>
      <c r="M364" s="146">
        <f>[10]Sales_SP!ED251</f>
        <v>7.170892</v>
      </c>
      <c r="N364" s="146">
        <f>[10]Sales_SP!EE251</f>
        <v>7.373449</v>
      </c>
      <c r="O364" s="146">
        <f>[10]Sales_SP!EF251</f>
        <v>7.508761</v>
      </c>
      <c r="P364" s="146">
        <f>[10]Sales_SP!EG251</f>
        <v>9.340473</v>
      </c>
      <c r="Q364" s="916">
        <f t="shared" si="89"/>
        <v>88.577285</v>
      </c>
      <c r="R364" s="887"/>
      <c r="S364" s="887"/>
    </row>
    <row r="365" ht="15" spans="3:19">
      <c r="C365" s="55" t="s">
        <v>205</v>
      </c>
      <c r="D365" s="55" t="s">
        <v>206</v>
      </c>
      <c r="E365" s="146">
        <f>[10]Sales_SP!DV253</f>
        <v>0</v>
      </c>
      <c r="F365" s="146">
        <f>[10]Sales_SP!DW253</f>
        <v>0</v>
      </c>
      <c r="G365" s="146">
        <f>[10]Sales_SP!DX253</f>
        <v>0</v>
      </c>
      <c r="H365" s="146">
        <f>[10]Sales_SP!DY253</f>
        <v>0</v>
      </c>
      <c r="I365" s="146">
        <f>[10]Sales_SP!DZ253</f>
        <v>0</v>
      </c>
      <c r="J365" s="146">
        <f>[10]Sales_SP!EA253</f>
        <v>0</v>
      </c>
      <c r="K365" s="146">
        <f>[10]Sales_SP!EB253</f>
        <v>0</v>
      </c>
      <c r="L365" s="146">
        <f>[10]Sales_SP!EC253</f>
        <v>0</v>
      </c>
      <c r="M365" s="146">
        <f>[10]Sales_SP!ED253</f>
        <v>0</v>
      </c>
      <c r="N365" s="146">
        <f>[10]Sales_SP!EE253</f>
        <v>0</v>
      </c>
      <c r="O365" s="146">
        <f>[10]Sales_SP!EF253</f>
        <v>0</v>
      </c>
      <c r="P365" s="146">
        <f>[10]Sales_SP!EG253</f>
        <v>0</v>
      </c>
      <c r="Q365" s="916">
        <f t="shared" si="89"/>
        <v>0</v>
      </c>
      <c r="R365" s="887"/>
      <c r="S365" s="887"/>
    </row>
    <row r="366" ht="15" spans="3:19">
      <c r="C366" s="55" t="s">
        <v>207</v>
      </c>
      <c r="D366" s="55" t="s">
        <v>186</v>
      </c>
      <c r="E366" s="146">
        <f>[10]Sales_SP!DV254</f>
        <v>0</v>
      </c>
      <c r="F366" s="146">
        <f>[10]Sales_SP!DW254</f>
        <v>0</v>
      </c>
      <c r="G366" s="146">
        <f>[10]Sales_SP!DX254</f>
        <v>0</v>
      </c>
      <c r="H366" s="146">
        <f>[10]Sales_SP!DY254</f>
        <v>0</v>
      </c>
      <c r="I366" s="146">
        <f>[10]Sales_SP!DZ254</f>
        <v>0</v>
      </c>
      <c r="J366" s="146">
        <f>[10]Sales_SP!EA254</f>
        <v>0</v>
      </c>
      <c r="K366" s="146">
        <f>[10]Sales_SP!EB254</f>
        <v>0</v>
      </c>
      <c r="L366" s="146">
        <f>[10]Sales_SP!EC254</f>
        <v>0</v>
      </c>
      <c r="M366" s="146">
        <f>[10]Sales_SP!ED254</f>
        <v>0</v>
      </c>
      <c r="N366" s="146">
        <f>[10]Sales_SP!EE254</f>
        <v>0</v>
      </c>
      <c r="O366" s="146">
        <f>[10]Sales_SP!EF254</f>
        <v>0</v>
      </c>
      <c r="P366" s="146">
        <f>[10]Sales_SP!EG254</f>
        <v>0</v>
      </c>
      <c r="Q366" s="916">
        <f t="shared" si="89"/>
        <v>0</v>
      </c>
      <c r="R366" s="887"/>
      <c r="S366" s="887"/>
    </row>
    <row r="367" ht="15" spans="3:19">
      <c r="C367" s="55" t="s">
        <v>208</v>
      </c>
      <c r="D367" s="55" t="s">
        <v>209</v>
      </c>
      <c r="E367" s="146">
        <v>0</v>
      </c>
      <c r="F367" s="146">
        <v>0</v>
      </c>
      <c r="G367" s="146">
        <v>0</v>
      </c>
      <c r="H367" s="146">
        <v>0</v>
      </c>
      <c r="I367" s="146">
        <v>0</v>
      </c>
      <c r="J367" s="146">
        <v>0</v>
      </c>
      <c r="K367" s="146">
        <v>0</v>
      </c>
      <c r="L367" s="146">
        <v>0</v>
      </c>
      <c r="M367" s="146">
        <v>0</v>
      </c>
      <c r="N367" s="146">
        <v>0</v>
      </c>
      <c r="O367" s="146">
        <v>0</v>
      </c>
      <c r="P367" s="146">
        <v>0</v>
      </c>
      <c r="Q367" s="916">
        <f t="shared" si="89"/>
        <v>0</v>
      </c>
      <c r="R367" s="887"/>
      <c r="S367" s="887"/>
    </row>
    <row r="368" ht="15" spans="3:19">
      <c r="C368" s="55" t="s">
        <v>210</v>
      </c>
      <c r="D368" s="55" t="s">
        <v>188</v>
      </c>
      <c r="E368" s="146">
        <v>0</v>
      </c>
      <c r="F368" s="146">
        <v>0</v>
      </c>
      <c r="G368" s="146">
        <v>0</v>
      </c>
      <c r="H368" s="146">
        <v>0</v>
      </c>
      <c r="I368" s="146">
        <v>0</v>
      </c>
      <c r="J368" s="146">
        <v>0</v>
      </c>
      <c r="K368" s="146">
        <v>0</v>
      </c>
      <c r="L368" s="146">
        <v>0</v>
      </c>
      <c r="M368" s="146">
        <v>0</v>
      </c>
      <c r="N368" s="146">
        <v>0</v>
      </c>
      <c r="O368" s="146">
        <v>0</v>
      </c>
      <c r="P368" s="146">
        <v>0</v>
      </c>
      <c r="Q368" s="916">
        <f t="shared" si="89"/>
        <v>0</v>
      </c>
      <c r="R368" s="887"/>
      <c r="S368" s="887"/>
    </row>
    <row r="369" ht="15" spans="3:19">
      <c r="C369" s="55"/>
      <c r="D369" s="55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916">
        <f t="shared" si="89"/>
        <v>0</v>
      </c>
      <c r="R369" s="887"/>
      <c r="S369" s="887"/>
    </row>
    <row r="370" ht="15" spans="3:19">
      <c r="C370" s="55"/>
      <c r="D370" s="55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916">
        <f t="shared" si="89"/>
        <v>0</v>
      </c>
      <c r="R370" s="887"/>
      <c r="S370" s="887"/>
    </row>
    <row r="371" ht="15" spans="3:19">
      <c r="C371" s="55"/>
      <c r="D371" s="55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916">
        <f t="shared" si="89"/>
        <v>0</v>
      </c>
      <c r="R371" s="887"/>
      <c r="S371" s="887"/>
    </row>
    <row r="372" ht="15" spans="3:19">
      <c r="C372" s="55" t="s">
        <v>258</v>
      </c>
      <c r="D372" s="55" t="s">
        <v>258</v>
      </c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916">
        <f t="shared" si="89"/>
        <v>0</v>
      </c>
      <c r="R372" s="887"/>
      <c r="S372" s="887"/>
    </row>
    <row r="373" ht="15" spans="3:19">
      <c r="C373" s="537" t="s">
        <v>211</v>
      </c>
      <c r="D373" s="540"/>
      <c r="E373" s="916">
        <f t="shared" ref="E373:P373" si="90">SUM(E356:E372)</f>
        <v>502.94</v>
      </c>
      <c r="F373" s="916">
        <f t="shared" si="90"/>
        <v>476.52</v>
      </c>
      <c r="G373" s="916">
        <f t="shared" si="90"/>
        <v>453.95</v>
      </c>
      <c r="H373" s="916">
        <f t="shared" si="90"/>
        <v>440.1308024</v>
      </c>
      <c r="I373" s="916">
        <f t="shared" si="90"/>
        <v>655.25131715</v>
      </c>
      <c r="J373" s="916">
        <f t="shared" si="90"/>
        <v>571.6316141</v>
      </c>
      <c r="K373" s="916">
        <f t="shared" si="90"/>
        <v>569.52108103</v>
      </c>
      <c r="L373" s="916">
        <f t="shared" si="90"/>
        <v>567.8408057</v>
      </c>
      <c r="M373" s="916">
        <f t="shared" si="90"/>
        <v>588.92989123</v>
      </c>
      <c r="N373" s="916">
        <f t="shared" si="90"/>
        <v>666.72388899</v>
      </c>
      <c r="O373" s="916">
        <f t="shared" si="90"/>
        <v>663.99689059</v>
      </c>
      <c r="P373" s="916">
        <f t="shared" si="90"/>
        <v>847.87914468</v>
      </c>
      <c r="Q373" s="916">
        <f t="shared" si="89"/>
        <v>7005.31543587</v>
      </c>
      <c r="R373" s="887"/>
      <c r="S373" s="887"/>
    </row>
    <row r="374" ht="15" spans="3:19">
      <c r="C374" s="537" t="s">
        <v>223</v>
      </c>
      <c r="D374" s="540"/>
      <c r="E374" s="916">
        <f t="shared" ref="E374:P374" si="91">E373+E354+E336</f>
        <v>1672.492178</v>
      </c>
      <c r="F374" s="916">
        <f t="shared" si="91"/>
        <v>1603.564464</v>
      </c>
      <c r="G374" s="916">
        <f t="shared" si="91"/>
        <v>1626.96743</v>
      </c>
      <c r="H374" s="916">
        <f t="shared" si="91"/>
        <v>1498.56721227</v>
      </c>
      <c r="I374" s="916">
        <f t="shared" si="91"/>
        <v>1737.1669406</v>
      </c>
      <c r="J374" s="916">
        <f t="shared" si="91"/>
        <v>1686.9106751</v>
      </c>
      <c r="K374" s="916">
        <f t="shared" si="91"/>
        <v>1629.15368469</v>
      </c>
      <c r="L374" s="916">
        <f t="shared" si="91"/>
        <v>1660.33905239</v>
      </c>
      <c r="M374" s="916">
        <f t="shared" si="91"/>
        <v>1682.72206492</v>
      </c>
      <c r="N374" s="916">
        <f t="shared" si="91"/>
        <v>1780.80335642</v>
      </c>
      <c r="O374" s="916">
        <f t="shared" si="91"/>
        <v>1787.08984515</v>
      </c>
      <c r="P374" s="916">
        <f t="shared" si="91"/>
        <v>2434.41615927</v>
      </c>
      <c r="Q374" s="916">
        <f t="shared" si="89"/>
        <v>20800.19306281</v>
      </c>
      <c r="R374" s="887"/>
      <c r="S374" s="887"/>
    </row>
    <row r="375" ht="15" spans="3:19">
      <c r="C375" s="537" t="s">
        <v>224</v>
      </c>
      <c r="D375" s="540"/>
      <c r="E375" s="916">
        <f t="shared" ref="E375:P375" si="92">E374+E319</f>
        <v>3157.88168599</v>
      </c>
      <c r="F375" s="916">
        <f t="shared" si="92"/>
        <v>3109.53987531</v>
      </c>
      <c r="G375" s="916">
        <f t="shared" si="92"/>
        <v>2947.87140251</v>
      </c>
      <c r="H375" s="916">
        <f t="shared" si="92"/>
        <v>2635.13739379</v>
      </c>
      <c r="I375" s="916">
        <f t="shared" si="92"/>
        <v>2953.3765495</v>
      </c>
      <c r="J375" s="916">
        <f t="shared" si="92"/>
        <v>2876.42738221</v>
      </c>
      <c r="K375" s="916">
        <f t="shared" si="92"/>
        <v>2743.47710787</v>
      </c>
      <c r="L375" s="916">
        <f t="shared" si="92"/>
        <v>2756.12913509</v>
      </c>
      <c r="M375" s="916">
        <f t="shared" si="92"/>
        <v>2793.87736685</v>
      </c>
      <c r="N375" s="916">
        <f t="shared" si="92"/>
        <v>2833.32863412</v>
      </c>
      <c r="O375" s="916">
        <f t="shared" si="92"/>
        <v>2893.06870805</v>
      </c>
      <c r="P375" s="916">
        <f t="shared" si="92"/>
        <v>3760.44330302</v>
      </c>
      <c r="Q375" s="916">
        <f t="shared" si="89"/>
        <v>35460.55854431</v>
      </c>
      <c r="R375" s="887"/>
      <c r="S375" s="887"/>
    </row>
    <row r="376" ht="15" spans="3:19">
      <c r="C376" s="3"/>
      <c r="D376" s="3">
        <f>[15]Sales_NP!$FF$11</f>
        <v>159.085776787338</v>
      </c>
      <c r="E376" s="887"/>
      <c r="F376" s="887"/>
      <c r="G376" s="887"/>
      <c r="H376" s="887"/>
      <c r="I376" s="887"/>
      <c r="J376" s="887"/>
      <c r="K376" s="887"/>
      <c r="L376" s="887"/>
      <c r="M376" s="887"/>
      <c r="N376" s="887"/>
      <c r="O376" s="887"/>
      <c r="P376" s="887"/>
      <c r="Q376" s="887"/>
      <c r="R376" s="887"/>
      <c r="S376" s="887"/>
    </row>
    <row r="377" ht="15" spans="3:19">
      <c r="C377" s="14"/>
      <c r="E377" s="887"/>
      <c r="F377" s="887"/>
      <c r="G377" s="887"/>
      <c r="H377" s="887"/>
      <c r="I377" s="887"/>
      <c r="J377" s="887"/>
      <c r="K377" s="887"/>
      <c r="L377" s="887"/>
      <c r="M377" s="887"/>
      <c r="N377" s="887"/>
      <c r="O377" s="887"/>
      <c r="P377" s="887"/>
      <c r="Q377" s="918" t="s">
        <v>236</v>
      </c>
      <c r="R377" s="887"/>
      <c r="S377" s="887"/>
    </row>
    <row r="378" ht="15" spans="3:19">
      <c r="C378" s="658" t="s">
        <v>159</v>
      </c>
      <c r="D378" s="873"/>
      <c r="E378" s="150" t="s">
        <v>164</v>
      </c>
      <c r="F378" s="150"/>
      <c r="G378" s="150"/>
      <c r="H378" s="150"/>
      <c r="I378" s="150"/>
      <c r="J378" s="150"/>
      <c r="K378" s="150"/>
      <c r="L378" s="150"/>
      <c r="M378" s="150"/>
      <c r="N378" s="150"/>
      <c r="O378" s="150"/>
      <c r="P378" s="150"/>
      <c r="Q378" s="150"/>
      <c r="R378" s="887"/>
      <c r="S378" s="887"/>
    </row>
    <row r="379" ht="15" spans="3:19">
      <c r="C379" s="660"/>
      <c r="D379" s="874"/>
      <c r="E379" s="150" t="s">
        <v>246</v>
      </c>
      <c r="F379" s="150" t="s">
        <v>247</v>
      </c>
      <c r="G379" s="150" t="s">
        <v>248</v>
      </c>
      <c r="H379" s="150" t="s">
        <v>249</v>
      </c>
      <c r="I379" s="150" t="s">
        <v>250</v>
      </c>
      <c r="J379" s="150" t="s">
        <v>251</v>
      </c>
      <c r="K379" s="150" t="s">
        <v>252</v>
      </c>
      <c r="L379" s="150" t="s">
        <v>253</v>
      </c>
      <c r="M379" s="150" t="s">
        <v>254</v>
      </c>
      <c r="N379" s="150" t="s">
        <v>255</v>
      </c>
      <c r="O379" s="150" t="s">
        <v>256</v>
      </c>
      <c r="P379" s="150" t="s">
        <v>257</v>
      </c>
      <c r="Q379" s="150" t="s">
        <v>97</v>
      </c>
      <c r="R379" s="887"/>
      <c r="S379" s="887"/>
    </row>
    <row r="380" ht="15" spans="3:19">
      <c r="C380" s="662"/>
      <c r="D380" s="875"/>
      <c r="E380" s="150" t="s">
        <v>130</v>
      </c>
      <c r="F380" s="150" t="s">
        <v>130</v>
      </c>
      <c r="G380" s="150" t="s">
        <v>130</v>
      </c>
      <c r="H380" s="150" t="s">
        <v>130</v>
      </c>
      <c r="I380" s="150" t="s">
        <v>130</v>
      </c>
      <c r="J380" s="150" t="s">
        <v>130</v>
      </c>
      <c r="K380" s="150" t="s">
        <v>131</v>
      </c>
      <c r="L380" s="150" t="s">
        <v>131</v>
      </c>
      <c r="M380" s="150" t="s">
        <v>131</v>
      </c>
      <c r="N380" s="150" t="s">
        <v>131</v>
      </c>
      <c r="O380" s="150" t="s">
        <v>131</v>
      </c>
      <c r="P380" s="150" t="s">
        <v>131</v>
      </c>
      <c r="Q380" s="150" t="s">
        <v>131</v>
      </c>
      <c r="R380" s="887"/>
      <c r="S380" s="887"/>
    </row>
    <row r="381" ht="15" spans="3:19">
      <c r="C381" s="44" t="s">
        <v>170</v>
      </c>
      <c r="D381" s="45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0"/>
      <c r="R381" s="887"/>
      <c r="S381" s="887"/>
    </row>
    <row r="382" ht="15" spans="3:19">
      <c r="C382" s="47" t="s">
        <v>171</v>
      </c>
      <c r="D382" s="47" t="s">
        <v>172</v>
      </c>
      <c r="E382" s="153">
        <f>[10]Sales_SP!FE10</f>
        <v>979.833323</v>
      </c>
      <c r="F382" s="153">
        <f>[10]Sales_SP!FF10</f>
        <v>1179.125271</v>
      </c>
      <c r="G382" s="153">
        <f>[10]Sales_SP!FG10</f>
        <v>1050.9543275</v>
      </c>
      <c r="H382" s="153">
        <f>[10]Sales_SP!FH10</f>
        <v>823.852195</v>
      </c>
      <c r="I382" s="153">
        <f>[10]Sales_SP!FI10</f>
        <v>942.718718</v>
      </c>
      <c r="J382" s="153">
        <f>[10]Sales_SP!FJ10</f>
        <v>873.6558675</v>
      </c>
      <c r="K382" s="153">
        <f>[10]Sales_SP!FK10</f>
        <v>789.934703276466</v>
      </c>
      <c r="L382" s="153">
        <f>[10]Sales_SP!FL10</f>
        <v>753.689277647917</v>
      </c>
      <c r="M382" s="153">
        <f>[10]Sales_SP!FM10</f>
        <v>761.699051114891</v>
      </c>
      <c r="N382" s="153">
        <f>[10]Sales_SP!FN10</f>
        <v>721.473577087118</v>
      </c>
      <c r="O382" s="153">
        <f>[10]Sales_SP!FO10</f>
        <v>761.841614203187</v>
      </c>
      <c r="P382" s="153">
        <f>[10]Sales_SP!FP10</f>
        <v>944.612238862077</v>
      </c>
      <c r="Q382" s="187">
        <f t="shared" ref="Q382:Q395" si="93">SUM(E382:P382)</f>
        <v>10583.3901641917</v>
      </c>
      <c r="R382" s="887"/>
      <c r="S382" s="887"/>
    </row>
    <row r="383" ht="15" spans="3:19">
      <c r="C383" s="55" t="s">
        <v>173</v>
      </c>
      <c r="D383" s="55" t="s">
        <v>174</v>
      </c>
      <c r="E383" s="153">
        <f>[10]Sales_SP!FE23</f>
        <v>299.95327925</v>
      </c>
      <c r="F383" s="153">
        <f>[10]Sales_SP!FF23</f>
        <v>344.29363547</v>
      </c>
      <c r="G383" s="153">
        <f>[10]Sales_SP!FG23</f>
        <v>316.5308635</v>
      </c>
      <c r="H383" s="153">
        <f>[10]Sales_SP!FH23</f>
        <v>269.099578</v>
      </c>
      <c r="I383" s="153">
        <f>[10]Sales_SP!FI23</f>
        <v>304.82621735</v>
      </c>
      <c r="J383" s="153">
        <f>[10]Sales_SP!FJ23</f>
        <v>282.151531</v>
      </c>
      <c r="K383" s="153">
        <f>[10]Sales_SP!FK23</f>
        <v>253.784563417527</v>
      </c>
      <c r="L383" s="153">
        <f>[10]Sales_SP!FL23</f>
        <v>255.114360616764</v>
      </c>
      <c r="M383" s="153">
        <f>[10]Sales_SP!FM23</f>
        <v>259.459681386232</v>
      </c>
      <c r="N383" s="153">
        <f>[10]Sales_SP!FN23</f>
        <v>245.407745072231</v>
      </c>
      <c r="O383" s="153">
        <f>[10]Sales_SP!FO23</f>
        <v>262.543096737537</v>
      </c>
      <c r="P383" s="153">
        <f>[10]Sales_SP!FP23</f>
        <v>303.804888343574</v>
      </c>
      <c r="Q383" s="187">
        <f t="shared" si="93"/>
        <v>3396.96944014387</v>
      </c>
      <c r="R383" s="887"/>
      <c r="S383" s="887"/>
    </row>
    <row r="384" ht="15" spans="3:19">
      <c r="C384" s="55" t="s">
        <v>175</v>
      </c>
      <c r="D384" s="55" t="s">
        <v>176</v>
      </c>
      <c r="E384" s="153">
        <f>[10]Sales_SP!FE36</f>
        <v>79.7589609999999</v>
      </c>
      <c r="F384" s="153">
        <f>[10]Sales_SP!FF36</f>
        <v>86.3580349999999</v>
      </c>
      <c r="G384" s="153">
        <f>[10]Sales_SP!FG36</f>
        <v>81.628037</v>
      </c>
      <c r="H384" s="153">
        <f>[10]Sales_SP!FH36</f>
        <v>76.706924</v>
      </c>
      <c r="I384" s="153">
        <f>[10]Sales_SP!FI36</f>
        <v>82.06121</v>
      </c>
      <c r="J384" s="153">
        <f>[10]Sales_SP!FJ36</f>
        <v>76.1152520000001</v>
      </c>
      <c r="K384" s="153">
        <f>[10]Sales_SP!FK36</f>
        <v>71.91490294798</v>
      </c>
      <c r="L384" s="153">
        <f>[10]Sales_SP!FL36</f>
        <v>86.2363022272538</v>
      </c>
      <c r="M384" s="153">
        <f>[10]Sales_SP!FM36</f>
        <v>87.5816699366385</v>
      </c>
      <c r="N384" s="153">
        <f>[10]Sales_SP!FN36</f>
        <v>81.2814640205421</v>
      </c>
      <c r="O384" s="153">
        <f>[10]Sales_SP!FO36</f>
        <v>80.9641522572516</v>
      </c>
      <c r="P384" s="153">
        <f>[10]Sales_SP!FP36</f>
        <v>83.5127838721011</v>
      </c>
      <c r="Q384" s="187">
        <f t="shared" si="93"/>
        <v>974.119694261767</v>
      </c>
      <c r="R384" s="887"/>
      <c r="S384" s="887"/>
    </row>
    <row r="385" ht="15" spans="3:19">
      <c r="C385" s="55" t="s">
        <v>177</v>
      </c>
      <c r="D385" s="55" t="s">
        <v>178</v>
      </c>
      <c r="E385" s="153">
        <f>[10]Sales_SP!FE43</f>
        <v>0.848615</v>
      </c>
      <c r="F385" s="153">
        <f>[10]Sales_SP!FF43</f>
        <v>0.886062</v>
      </c>
      <c r="G385" s="153">
        <f>[10]Sales_SP!FG43</f>
        <v>0.782066</v>
      </c>
      <c r="H385" s="153">
        <f>[10]Sales_SP!FH43</f>
        <v>0.757177</v>
      </c>
      <c r="I385" s="153">
        <f>[10]Sales_SP!FI43</f>
        <v>0.804778</v>
      </c>
      <c r="J385" s="153">
        <f>[10]Sales_SP!FJ43</f>
        <v>0.754882</v>
      </c>
      <c r="K385" s="153">
        <f>[10]Sales_SP!FK43</f>
        <v>0.744512991342507</v>
      </c>
      <c r="L385" s="153">
        <f>[10]Sales_SP!FL43</f>
        <v>0.812368462671462</v>
      </c>
      <c r="M385" s="153">
        <f>[10]Sales_SP!FM43</f>
        <v>0.85267523291598</v>
      </c>
      <c r="N385" s="153">
        <f>[10]Sales_SP!FN43</f>
        <v>0.754166654252771</v>
      </c>
      <c r="O385" s="153">
        <f>[10]Sales_SP!FO43</f>
        <v>0.725529946161808</v>
      </c>
      <c r="P385" s="153">
        <f>[10]Sales_SP!FP43</f>
        <v>0.824526461114851</v>
      </c>
      <c r="Q385" s="187">
        <f t="shared" si="93"/>
        <v>9.54735974845938</v>
      </c>
      <c r="R385" s="887"/>
      <c r="S385" s="887"/>
    </row>
    <row r="386" ht="15" spans="3:19">
      <c r="C386" s="55" t="s">
        <v>179</v>
      </c>
      <c r="D386" s="55" t="s">
        <v>180</v>
      </c>
      <c r="E386" s="153">
        <f>[10]Sales_SP!FE48+[10]Sales_SP!FE52</f>
        <v>3.194665</v>
      </c>
      <c r="F386" s="153">
        <f>[10]Sales_SP!FF48+[10]Sales_SP!FF52</f>
        <v>3.193455</v>
      </c>
      <c r="G386" s="153">
        <f>[10]Sales_SP!FG48+[10]Sales_SP!FG52</f>
        <v>3.187294</v>
      </c>
      <c r="H386" s="153">
        <f>[10]Sales_SP!FH48+[10]Sales_SP!FH52</f>
        <v>3.119965</v>
      </c>
      <c r="I386" s="153">
        <f>[10]Sales_SP!FI48+[10]Sales_SP!FI52</f>
        <v>3.183893</v>
      </c>
      <c r="J386" s="153">
        <f>[10]Sales_SP!FJ48+[10]Sales_SP!FJ52</f>
        <v>3.259202</v>
      </c>
      <c r="K386" s="153">
        <f>[10]Sales_SP!FK48+[10]Sales_SP!FK52</f>
        <v>3.11543379758119</v>
      </c>
      <c r="L386" s="153">
        <f>[10]Sales_SP!FL48+[10]Sales_SP!FL52</f>
        <v>3.42745929324307</v>
      </c>
      <c r="M386" s="153">
        <f>[10]Sales_SP!FM48+[10]Sales_SP!FM52</f>
        <v>3.3712986345977</v>
      </c>
      <c r="N386" s="153">
        <f>[10]Sales_SP!FN48+[10]Sales_SP!FN52</f>
        <v>3.38641169074408</v>
      </c>
      <c r="O386" s="153">
        <f>[10]Sales_SP!FO48+[10]Sales_SP!FO52</f>
        <v>3.41952511977949</v>
      </c>
      <c r="P386" s="153">
        <f>[10]Sales_SP!FP48+[10]Sales_SP!FP52</f>
        <v>3.43583244973509</v>
      </c>
      <c r="Q386" s="187">
        <f t="shared" si="93"/>
        <v>39.2944349856806</v>
      </c>
      <c r="R386" s="887"/>
      <c r="S386" s="887"/>
    </row>
    <row r="387" ht="15" spans="3:19">
      <c r="C387" s="55" t="s">
        <v>181</v>
      </c>
      <c r="D387" s="55" t="s">
        <v>182</v>
      </c>
      <c r="E387" s="153">
        <f>[10]Sales_SP!FE54</f>
        <v>40.720597</v>
      </c>
      <c r="F387" s="153">
        <f>[10]Sales_SP!FF54</f>
        <v>42.393444</v>
      </c>
      <c r="G387" s="153">
        <f>[10]Sales_SP!FG54</f>
        <v>39.64402</v>
      </c>
      <c r="H387" s="153">
        <f>[10]Sales_SP!FH54</f>
        <v>39.430268</v>
      </c>
      <c r="I387" s="153">
        <f>[10]Sales_SP!FI54</f>
        <v>41.998558</v>
      </c>
      <c r="J387" s="153">
        <f>[10]Sales_SP!FJ54</f>
        <v>40.215241</v>
      </c>
      <c r="K387" s="153">
        <f>[10]Sales_SP!FK54</f>
        <v>41.61153675</v>
      </c>
      <c r="L387" s="153">
        <f>[10]Sales_SP!FL54</f>
        <v>41.24638665</v>
      </c>
      <c r="M387" s="153">
        <f>[10]Sales_SP!FM54</f>
        <v>43.4423598</v>
      </c>
      <c r="N387" s="153">
        <f>[10]Sales_SP!FN54</f>
        <v>43.158150525</v>
      </c>
      <c r="O387" s="153">
        <f>[10]Sales_SP!FO54</f>
        <v>41.4796368</v>
      </c>
      <c r="P387" s="153">
        <f>[10]Sales_SP!FP54</f>
        <v>44.9014272</v>
      </c>
      <c r="Q387" s="187">
        <f t="shared" si="93"/>
        <v>500.241625725</v>
      </c>
      <c r="R387" s="887"/>
      <c r="S387" s="887"/>
    </row>
    <row r="388" ht="15" spans="3:19">
      <c r="C388" s="55" t="s">
        <v>183</v>
      </c>
      <c r="D388" s="55" t="s">
        <v>184</v>
      </c>
      <c r="E388" s="153">
        <f>[10]Sales_SP!FE64</f>
        <v>7.871618</v>
      </c>
      <c r="F388" s="153">
        <f>[10]Sales_SP!FF64</f>
        <v>6.438644</v>
      </c>
      <c r="G388" s="153">
        <f>[10]Sales_SP!FG64</f>
        <v>7.633369</v>
      </c>
      <c r="H388" s="153">
        <f>[10]Sales_SP!FH64</f>
        <v>7.744419</v>
      </c>
      <c r="I388" s="153">
        <f>[10]Sales_SP!FI64</f>
        <v>8.981126</v>
      </c>
      <c r="J388" s="153">
        <f>[10]Sales_SP!FJ64</f>
        <v>8.335953</v>
      </c>
      <c r="K388" s="153">
        <f>[10]Sales_SP!FK64</f>
        <v>7.37461911968932</v>
      </c>
      <c r="L388" s="153">
        <f>[10]Sales_SP!FL64</f>
        <v>7.47181239449284</v>
      </c>
      <c r="M388" s="153">
        <f>[10]Sales_SP!FM64</f>
        <v>7.44063580855139</v>
      </c>
      <c r="N388" s="153">
        <f>[10]Sales_SP!FN64</f>
        <v>6.60166156879062</v>
      </c>
      <c r="O388" s="153">
        <f>[10]Sales_SP!FO64</f>
        <v>7.54627630928807</v>
      </c>
      <c r="P388" s="153">
        <f>[10]Sales_SP!FP64</f>
        <v>9.30224465455733</v>
      </c>
      <c r="Q388" s="187">
        <f t="shared" si="93"/>
        <v>92.7423788553696</v>
      </c>
      <c r="R388" s="887"/>
      <c r="S388" s="887"/>
    </row>
    <row r="389" ht="15" spans="3:19">
      <c r="C389" s="55" t="s">
        <v>185</v>
      </c>
      <c r="D389" s="55" t="s">
        <v>186</v>
      </c>
      <c r="E389" s="153">
        <f>[10]Sales_SP!FE69</f>
        <v>8.949712</v>
      </c>
      <c r="F389" s="153">
        <f>[10]Sales_SP!FF69</f>
        <v>10.139776</v>
      </c>
      <c r="G389" s="153">
        <f>[10]Sales_SP!FG69</f>
        <v>9.548661</v>
      </c>
      <c r="H389" s="153">
        <f>[10]Sales_SP!FH69</f>
        <v>8.274876</v>
      </c>
      <c r="I389" s="153">
        <f>[10]Sales_SP!FI69</f>
        <v>9.496726</v>
      </c>
      <c r="J389" s="153">
        <f>[10]Sales_SP!FJ69</f>
        <v>8.88412</v>
      </c>
      <c r="K389" s="153">
        <f>[10]Sales_SP!FK69</f>
        <v>7.54098555</v>
      </c>
      <c r="L389" s="153">
        <f>[10]Sales_SP!FL69</f>
        <v>8.09549685</v>
      </c>
      <c r="M389" s="153">
        <f>[10]Sales_SP!FM69</f>
        <v>8.445192</v>
      </c>
      <c r="N389" s="153">
        <f>[10]Sales_SP!FN69</f>
        <v>8.39203995</v>
      </c>
      <c r="O389" s="153">
        <f>[10]Sales_SP!FO69</f>
        <v>8.47757925</v>
      </c>
      <c r="P389" s="153">
        <f>[10]Sales_SP!FP69</f>
        <v>9.11928885</v>
      </c>
      <c r="Q389" s="187">
        <f t="shared" si="93"/>
        <v>105.36445345</v>
      </c>
      <c r="R389" s="887"/>
      <c r="S389" s="887"/>
    </row>
    <row r="390" ht="15" spans="3:19">
      <c r="C390" s="55" t="s">
        <v>187</v>
      </c>
      <c r="D390" s="55" t="s">
        <v>188</v>
      </c>
      <c r="E390" s="153">
        <f>[10]Sales_SP!FE$70</f>
        <v>0.075772</v>
      </c>
      <c r="F390" s="153">
        <f>[10]Sales_SP!FF$70</f>
        <v>0.091755</v>
      </c>
      <c r="G390" s="153">
        <f>[10]Sales_SP!FG$70</f>
        <v>0.094195</v>
      </c>
      <c r="H390" s="153">
        <f>[10]Sales_SP!FH$70</f>
        <v>0.127181</v>
      </c>
      <c r="I390" s="153">
        <f>[10]Sales_SP!FI$70</f>
        <v>0.152761</v>
      </c>
      <c r="J390" s="153">
        <f>[10]Sales_SP!FJ$70</f>
        <v>0.148528</v>
      </c>
      <c r="K390" s="153">
        <f>[10]Sales_SP!FK$70</f>
        <v>0.07097024</v>
      </c>
      <c r="L390" s="153">
        <f>[10]Sales_SP!FL$70</f>
        <v>0.08175362</v>
      </c>
      <c r="M390" s="153">
        <f>[10]Sales_SP!FM$70</f>
        <v>0.08458912</v>
      </c>
      <c r="N390" s="153">
        <f>[10]Sales_SP!FN$70</f>
        <v>0.0882917</v>
      </c>
      <c r="O390" s="153">
        <f>[10]Sales_SP!FO$70</f>
        <v>0.08867224</v>
      </c>
      <c r="P390" s="153">
        <f>[10]Sales_SP!FP$70</f>
        <v>0.09748296</v>
      </c>
      <c r="Q390" s="187">
        <f t="shared" si="93"/>
        <v>1.20195188</v>
      </c>
      <c r="R390" s="887"/>
      <c r="S390" s="887"/>
    </row>
    <row r="391" ht="15" spans="3:19">
      <c r="C391" s="55"/>
      <c r="D391" s="55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87">
        <f t="shared" si="93"/>
        <v>0</v>
      </c>
      <c r="R391" s="887"/>
      <c r="S391" s="887"/>
    </row>
    <row r="392" ht="15" spans="3:19">
      <c r="C392" s="55"/>
      <c r="D392" s="55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87">
        <f t="shared" si="93"/>
        <v>0</v>
      </c>
      <c r="R392" s="887"/>
      <c r="S392" s="887"/>
    </row>
    <row r="393" ht="15" spans="3:19">
      <c r="C393" s="55"/>
      <c r="D393" s="55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87">
        <f t="shared" si="93"/>
        <v>0</v>
      </c>
      <c r="R393" s="887"/>
      <c r="S393" s="887"/>
    </row>
    <row r="394" ht="15" spans="3:19">
      <c r="C394" s="55" t="s">
        <v>258</v>
      </c>
      <c r="D394" s="55" t="s">
        <v>258</v>
      </c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87">
        <f t="shared" si="93"/>
        <v>0</v>
      </c>
      <c r="R394" s="887"/>
      <c r="S394" s="887"/>
    </row>
    <row r="395" ht="15" spans="3:19">
      <c r="C395" s="537" t="s">
        <v>189</v>
      </c>
      <c r="D395" s="540"/>
      <c r="E395" s="187">
        <f t="shared" ref="E395:P395" si="94">SUM(E382:E394)</f>
        <v>1421.20654225</v>
      </c>
      <c r="F395" s="187">
        <f t="shared" si="94"/>
        <v>1672.92007747</v>
      </c>
      <c r="G395" s="187">
        <f t="shared" si="94"/>
        <v>1510.002833</v>
      </c>
      <c r="H395" s="187">
        <f t="shared" si="94"/>
        <v>1229.112583</v>
      </c>
      <c r="I395" s="187">
        <f t="shared" si="94"/>
        <v>1394.22398735</v>
      </c>
      <c r="J395" s="187">
        <f t="shared" si="94"/>
        <v>1293.5205765</v>
      </c>
      <c r="K395" s="187">
        <f t="shared" si="94"/>
        <v>1176.09222809059</v>
      </c>
      <c r="L395" s="187">
        <f t="shared" si="94"/>
        <v>1156.17521776234</v>
      </c>
      <c r="M395" s="187">
        <f t="shared" si="94"/>
        <v>1172.37715303383</v>
      </c>
      <c r="N395" s="187">
        <f t="shared" si="94"/>
        <v>1110.54350826868</v>
      </c>
      <c r="O395" s="187">
        <f t="shared" si="94"/>
        <v>1167.0860828632</v>
      </c>
      <c r="P395" s="187">
        <f t="shared" si="94"/>
        <v>1399.61071365316</v>
      </c>
      <c r="Q395" s="187">
        <f t="shared" si="93"/>
        <v>15702.8715032418</v>
      </c>
      <c r="R395" s="887"/>
      <c r="S395" s="887"/>
    </row>
    <row r="396" ht="15" spans="3:19">
      <c r="C396" s="44" t="s">
        <v>190</v>
      </c>
      <c r="D396" s="45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0"/>
      <c r="R396" s="887"/>
      <c r="S396" s="887"/>
    </row>
    <row r="397" ht="15" spans="3:19">
      <c r="C397" s="55" t="s">
        <v>191</v>
      </c>
      <c r="D397" s="55" t="s">
        <v>192</v>
      </c>
      <c r="E397" s="153">
        <f>[10]Sales_SP!FE89</f>
        <v>357.79890948</v>
      </c>
      <c r="F397" s="153">
        <f>[10]Sales_SP!FF89</f>
        <v>328.15855754</v>
      </c>
      <c r="G397" s="153">
        <f>[10]Sales_SP!FG89</f>
        <v>349.37869325</v>
      </c>
      <c r="H397" s="153">
        <f>[10]Sales_SP!FH89</f>
        <v>312.61987757</v>
      </c>
      <c r="I397" s="153">
        <f>[10]Sales_SP!FI89</f>
        <v>327.34099446</v>
      </c>
      <c r="J397" s="153">
        <f>[10]Sales_SP!FJ89</f>
        <v>333.82003499</v>
      </c>
      <c r="K397" s="153">
        <f>[10]Sales_SP!FK89</f>
        <v>333.118946261743</v>
      </c>
      <c r="L397" s="153">
        <f>[10]Sales_SP!FL89</f>
        <v>355.706881043454</v>
      </c>
      <c r="M397" s="153">
        <f>[10]Sales_SP!FM89</f>
        <v>358.747961046979</v>
      </c>
      <c r="N397" s="153">
        <f>[10]Sales_SP!FN89</f>
        <v>370.825016901845</v>
      </c>
      <c r="O397" s="153">
        <f>[10]Sales_SP!FO89</f>
        <v>370.366777739465</v>
      </c>
      <c r="P397" s="153">
        <f>[10]Sales_SP!FP89</f>
        <v>508.26995089411</v>
      </c>
      <c r="Q397" s="187">
        <f t="shared" ref="Q397:Q412" si="95">SUM(E397:P397)</f>
        <v>4306.1526011776</v>
      </c>
      <c r="R397" s="887"/>
      <c r="S397" s="887"/>
    </row>
    <row r="398" ht="15" spans="3:19">
      <c r="C398" s="55" t="s">
        <v>193</v>
      </c>
      <c r="D398" s="55" t="s">
        <v>194</v>
      </c>
      <c r="E398" s="153">
        <f>[10]Sales_SP!FE104</f>
        <v>0.02</v>
      </c>
      <c r="F398" s="153">
        <f>[10]Sales_SP!FF104</f>
        <v>0.01</v>
      </c>
      <c r="G398" s="153">
        <f>[10]Sales_SP!FG104</f>
        <v>0</v>
      </c>
      <c r="H398" s="153">
        <f>[10]Sales_SP!FH104</f>
        <v>0</v>
      </c>
      <c r="I398" s="153">
        <f>[10]Sales_SP!FI104</f>
        <v>0.01</v>
      </c>
      <c r="J398" s="153">
        <f>[10]Sales_SP!FJ104</f>
        <v>0.03</v>
      </c>
      <c r="K398" s="153">
        <f>[10]Sales_SP!FK104</f>
        <v>0.02</v>
      </c>
      <c r="L398" s="153">
        <f>[10]Sales_SP!FL104</f>
        <v>0.01</v>
      </c>
      <c r="M398" s="153">
        <f>[10]Sales_SP!FM104</f>
        <v>0</v>
      </c>
      <c r="N398" s="153">
        <f>[10]Sales_SP!FN104</f>
        <v>0</v>
      </c>
      <c r="O398" s="153">
        <f>[10]Sales_SP!FO104</f>
        <v>0.01</v>
      </c>
      <c r="P398" s="153">
        <f>[10]Sales_SP!FP104</f>
        <v>0.03</v>
      </c>
      <c r="Q398" s="187">
        <f t="shared" si="95"/>
        <v>0.14</v>
      </c>
      <c r="R398" s="887"/>
      <c r="S398" s="887"/>
    </row>
    <row r="399" ht="15" spans="3:19">
      <c r="C399" s="55" t="s">
        <v>239</v>
      </c>
      <c r="D399" s="55" t="s">
        <v>196</v>
      </c>
      <c r="E399" s="153">
        <f>[10]Sales_SP!FE110</f>
        <v>178.14854454</v>
      </c>
      <c r="F399" s="153">
        <f>[10]Sales_SP!FF110</f>
        <v>196.79013864</v>
      </c>
      <c r="G399" s="153">
        <f>[10]Sales_SP!FG110</f>
        <v>197.6070147</v>
      </c>
      <c r="H399" s="153">
        <f>[10]Sales_SP!FH110</f>
        <v>168.573436515</v>
      </c>
      <c r="I399" s="153">
        <f>[10]Sales_SP!FI110</f>
        <v>181.96917251</v>
      </c>
      <c r="J399" s="153">
        <f>[10]Sales_SP!FJ110</f>
        <v>169.63353952</v>
      </c>
      <c r="K399" s="153">
        <f>[10]Sales_SP!FK110</f>
        <v>161.474044303</v>
      </c>
      <c r="L399" s="153">
        <f>[10]Sales_SP!FL110</f>
        <v>152.784722882</v>
      </c>
      <c r="M399" s="153">
        <f>[10]Sales_SP!FM110</f>
        <v>149.595129255</v>
      </c>
      <c r="N399" s="153">
        <f>[10]Sales_SP!FN110</f>
        <v>152.592613976</v>
      </c>
      <c r="O399" s="153">
        <f>[10]Sales_SP!FO110</f>
        <v>154.425679089</v>
      </c>
      <c r="P399" s="153">
        <f>[10]Sales_SP!FP110</f>
        <v>236.936640622</v>
      </c>
      <c r="Q399" s="187">
        <f t="shared" si="95"/>
        <v>2100.530676552</v>
      </c>
      <c r="R399" s="887"/>
      <c r="S399" s="887"/>
    </row>
    <row r="400" ht="15" spans="3:19">
      <c r="C400" s="55" t="s">
        <v>197</v>
      </c>
      <c r="D400" s="55" t="s">
        <v>198</v>
      </c>
      <c r="E400" s="153">
        <f>[10]Sales_SP!FE115</f>
        <v>0</v>
      </c>
      <c r="F400" s="153">
        <f>[10]Sales_SP!FF115</f>
        <v>0.047229</v>
      </c>
      <c r="G400" s="153">
        <f>[10]Sales_SP!FG115</f>
        <v>0.036666</v>
      </c>
      <c r="H400" s="153">
        <f>[10]Sales_SP!FH115</f>
        <v>0.027436</v>
      </c>
      <c r="I400" s="153">
        <f>[10]Sales_SP!FI115</f>
        <v>0.024931</v>
      </c>
      <c r="J400" s="153">
        <f>[10]Sales_SP!FJ115</f>
        <v>0.029947</v>
      </c>
      <c r="K400" s="153">
        <f>[10]Sales_SP!FK115</f>
        <v>0</v>
      </c>
      <c r="L400" s="153">
        <f>[10]Sales_SP!FL115</f>
        <v>0</v>
      </c>
      <c r="M400" s="153">
        <f>[10]Sales_SP!FM115</f>
        <v>0.03283992</v>
      </c>
      <c r="N400" s="153">
        <f>[10]Sales_SP!FN115</f>
        <v>0.02955042</v>
      </c>
      <c r="O400" s="153">
        <f>[10]Sales_SP!FO115</f>
        <v>0.03425976</v>
      </c>
      <c r="P400" s="153">
        <f>[10]Sales_SP!FP115</f>
        <v>0.03515838</v>
      </c>
      <c r="Q400" s="187">
        <f t="shared" si="95"/>
        <v>0.29801748</v>
      </c>
      <c r="R400" s="887"/>
      <c r="S400" s="887"/>
    </row>
    <row r="401" ht="15" spans="3:19">
      <c r="C401" s="55" t="s">
        <v>199</v>
      </c>
      <c r="D401" s="55" t="s">
        <v>200</v>
      </c>
      <c r="E401" s="153">
        <f>[10]Sales_SP!FE120</f>
        <v>0.381373</v>
      </c>
      <c r="F401" s="153">
        <f>[10]Sales_SP!FF120</f>
        <v>0.438194</v>
      </c>
      <c r="G401" s="153">
        <f>[10]Sales_SP!FG120</f>
        <v>0.444743</v>
      </c>
      <c r="H401" s="153">
        <f>[10]Sales_SP!FH120</f>
        <v>0.400546</v>
      </c>
      <c r="I401" s="153">
        <f>[10]Sales_SP!FI120</f>
        <v>0.396768</v>
      </c>
      <c r="J401" s="153">
        <f>[10]Sales_SP!FJ120</f>
        <v>0.395706</v>
      </c>
      <c r="K401" s="153">
        <f>[10]Sales_SP!FK120</f>
        <v>0.37504284</v>
      </c>
      <c r="L401" s="153">
        <f>[10]Sales_SP!FL120</f>
        <v>0.36708648</v>
      </c>
      <c r="M401" s="153">
        <f>[10]Sales_SP!FM120</f>
        <v>0.35503852</v>
      </c>
      <c r="N401" s="153">
        <f>[10]Sales_SP!FN120</f>
        <v>0.3636489</v>
      </c>
      <c r="O401" s="153">
        <f>[10]Sales_SP!FO120</f>
        <v>0.35542436</v>
      </c>
      <c r="P401" s="153">
        <f>[10]Sales_SP!FP120</f>
        <v>0.52239344</v>
      </c>
      <c r="Q401" s="187">
        <f t="shared" si="95"/>
        <v>4.79596454</v>
      </c>
      <c r="R401" s="887"/>
      <c r="S401" s="887"/>
    </row>
    <row r="402" ht="15" spans="3:19">
      <c r="C402" s="55" t="s">
        <v>201</v>
      </c>
      <c r="D402" s="55" t="s">
        <v>202</v>
      </c>
      <c r="E402" s="153">
        <f>[10]Sales_SP!FE126</f>
        <v>2.107807</v>
      </c>
      <c r="F402" s="153">
        <f>[10]Sales_SP!FF126</f>
        <v>0.385051</v>
      </c>
      <c r="G402" s="153">
        <f>[10]Sales_SP!FG126</f>
        <v>0.628657</v>
      </c>
      <c r="H402" s="153">
        <f>[10]Sales_SP!FH126</f>
        <v>1.04366312</v>
      </c>
      <c r="I402" s="153">
        <f>[10]Sales_SP!FI126</f>
        <v>1.80848832</v>
      </c>
      <c r="J402" s="153">
        <f>[10]Sales_SP!FJ126</f>
        <v>1.690687</v>
      </c>
      <c r="K402" s="153">
        <f>[10]Sales_SP!FK126</f>
        <v>3.5361050532</v>
      </c>
      <c r="L402" s="153">
        <f>[10]Sales_SP!FL126</f>
        <v>4.4964419382</v>
      </c>
      <c r="M402" s="153">
        <f>[10]Sales_SP!FM126</f>
        <v>6.49858524</v>
      </c>
      <c r="N402" s="153">
        <f>[10]Sales_SP!FN126</f>
        <v>5.79255654</v>
      </c>
      <c r="O402" s="153">
        <f>[10]Sales_SP!FO126</f>
        <v>6.02976264</v>
      </c>
      <c r="P402" s="153">
        <f>[10]Sales_SP!FP126</f>
        <v>8.47044312</v>
      </c>
      <c r="Q402" s="187">
        <f t="shared" si="95"/>
        <v>42.4882479714</v>
      </c>
      <c r="R402" s="887"/>
      <c r="S402" s="887"/>
    </row>
    <row r="403" ht="15" spans="3:19">
      <c r="C403" s="55" t="s">
        <v>203</v>
      </c>
      <c r="D403" s="55" t="s">
        <v>204</v>
      </c>
      <c r="E403" s="153">
        <f>[10]Sales_SP!FE127</f>
        <v>11.145113</v>
      </c>
      <c r="F403" s="153">
        <f>[10]Sales_SP!FF127</f>
        <v>10.677982</v>
      </c>
      <c r="G403" s="153">
        <f>[10]Sales_SP!FG127</f>
        <v>10.63566033</v>
      </c>
      <c r="H403" s="153">
        <f>[10]Sales_SP!FH127</f>
        <v>10.51083</v>
      </c>
      <c r="I403" s="153">
        <f>[10]Sales_SP!FI127</f>
        <v>10.583741</v>
      </c>
      <c r="J403" s="153">
        <f>[10]Sales_SP!FJ127</f>
        <v>10.129611</v>
      </c>
      <c r="K403" s="153">
        <f>[10]Sales_SP!FK127</f>
        <v>11.47533104</v>
      </c>
      <c r="L403" s="153">
        <f>[10]Sales_SP!FL127</f>
        <v>12.21562232</v>
      </c>
      <c r="M403" s="153">
        <f>[10]Sales_SP!FM127</f>
        <v>11.73010946</v>
      </c>
      <c r="N403" s="153">
        <f>[10]Sales_SP!FN127</f>
        <v>12.13246108</v>
      </c>
      <c r="O403" s="153">
        <f>[10]Sales_SP!FO127</f>
        <v>12.0545744</v>
      </c>
      <c r="P403" s="153">
        <f>[10]Sales_SP!FP127</f>
        <v>16.20657108</v>
      </c>
      <c r="Q403" s="187">
        <f t="shared" si="95"/>
        <v>139.49760671</v>
      </c>
      <c r="R403" s="887"/>
      <c r="S403" s="887"/>
    </row>
    <row r="404" ht="15" spans="3:19">
      <c r="C404" s="55" t="s">
        <v>205</v>
      </c>
      <c r="D404" s="55" t="s">
        <v>206</v>
      </c>
      <c r="E404" s="153">
        <f>[10]Sales_SP!FE131</f>
        <v>19.40127</v>
      </c>
      <c r="F404" s="153">
        <f>[10]Sales_SP!FF131</f>
        <v>22.259069</v>
      </c>
      <c r="G404" s="153">
        <f>[10]Sales_SP!FG131</f>
        <v>22.27492</v>
      </c>
      <c r="H404" s="153">
        <f>[10]Sales_SP!FH131</f>
        <v>17.129661</v>
      </c>
      <c r="I404" s="153">
        <f>[10]Sales_SP!FI131</f>
        <v>17.85232084</v>
      </c>
      <c r="J404" s="153">
        <f>[10]Sales_SP!FJ131</f>
        <v>16.918639</v>
      </c>
      <c r="K404" s="153">
        <f>[10]Sales_SP!FK131</f>
        <v>13.90204469</v>
      </c>
      <c r="L404" s="153">
        <f>[10]Sales_SP!FL131</f>
        <v>13.57903248</v>
      </c>
      <c r="M404" s="153">
        <f>[10]Sales_SP!FM131</f>
        <v>13.3959037</v>
      </c>
      <c r="N404" s="153">
        <f>[10]Sales_SP!FN131</f>
        <v>13.65708982</v>
      </c>
      <c r="O404" s="153">
        <f>[10]Sales_SP!FO131</f>
        <v>14.3287832</v>
      </c>
      <c r="P404" s="153">
        <f>[10]Sales_SP!FP131</f>
        <v>21.7413367</v>
      </c>
      <c r="Q404" s="187">
        <f t="shared" si="95"/>
        <v>206.44007043</v>
      </c>
      <c r="R404" s="887"/>
      <c r="S404" s="887"/>
    </row>
    <row r="405" ht="15" spans="3:19">
      <c r="C405" s="55" t="s">
        <v>207</v>
      </c>
      <c r="D405" s="55" t="s">
        <v>186</v>
      </c>
      <c r="E405" s="153">
        <f>[10]Sales_SP!FE132</f>
        <v>13.721471</v>
      </c>
      <c r="F405" s="153">
        <f>[10]Sales_SP!FF132</f>
        <v>14.987717</v>
      </c>
      <c r="G405" s="153">
        <f>[10]Sales_SP!FG132</f>
        <v>14.88942761</v>
      </c>
      <c r="H405" s="153">
        <f>[10]Sales_SP!FH132</f>
        <v>14.0200989</v>
      </c>
      <c r="I405" s="153">
        <f>[10]Sales_SP!FI132</f>
        <v>15.85269281</v>
      </c>
      <c r="J405" s="153">
        <f>[10]Sales_SP!FJ132</f>
        <v>15.430845</v>
      </c>
      <c r="K405" s="153">
        <f>[10]Sales_SP!FK132</f>
        <v>13.19306634</v>
      </c>
      <c r="L405" s="153">
        <f>[10]Sales_SP!FL132</f>
        <v>15.00996199</v>
      </c>
      <c r="M405" s="153">
        <f>[10]Sales_SP!FM132</f>
        <v>14.38830008</v>
      </c>
      <c r="N405" s="153">
        <f>[10]Sales_SP!FN132</f>
        <v>14.37959854</v>
      </c>
      <c r="O405" s="153">
        <f>[10]Sales_SP!FO132</f>
        <v>14.06038272</v>
      </c>
      <c r="P405" s="153">
        <f>[10]Sales_SP!FP132</f>
        <v>18.43793574</v>
      </c>
      <c r="Q405" s="187">
        <f t="shared" si="95"/>
        <v>178.37149773</v>
      </c>
      <c r="R405" s="887"/>
      <c r="S405" s="887"/>
    </row>
    <row r="406" ht="15" spans="3:19">
      <c r="C406" s="55" t="s">
        <v>208</v>
      </c>
      <c r="D406" s="55" t="s">
        <v>209</v>
      </c>
      <c r="E406" s="153">
        <f>[10]Sales_SP!FE133</f>
        <v>0</v>
      </c>
      <c r="F406" s="153">
        <f>[10]Sales_SP!FF133</f>
        <v>0</v>
      </c>
      <c r="G406" s="153">
        <f>[10]Sales_SP!FG133</f>
        <v>0</v>
      </c>
      <c r="H406" s="153">
        <f>[10]Sales_SP!FH133</f>
        <v>0</v>
      </c>
      <c r="I406" s="153">
        <f>[10]Sales_SP!FI133</f>
        <v>0</v>
      </c>
      <c r="J406" s="153">
        <f>[10]Sales_SP!FJ133</f>
        <v>0</v>
      </c>
      <c r="K406" s="153">
        <f>[10]Sales_SP!FK133</f>
        <v>0</v>
      </c>
      <c r="L406" s="153">
        <f>[10]Sales_SP!FL133</f>
        <v>0</v>
      </c>
      <c r="M406" s="153">
        <f>[10]Sales_SP!FM133</f>
        <v>0</v>
      </c>
      <c r="N406" s="153">
        <f>[10]Sales_SP!FN133</f>
        <v>0</v>
      </c>
      <c r="O406" s="153">
        <f>[10]Sales_SP!FO133</f>
        <v>0</v>
      </c>
      <c r="P406" s="153">
        <f>[10]Sales_SP!FP133</f>
        <v>0</v>
      </c>
      <c r="Q406" s="187">
        <f t="shared" si="95"/>
        <v>0</v>
      </c>
      <c r="R406" s="887"/>
      <c r="S406" s="887"/>
    </row>
    <row r="407" ht="15" spans="3:19">
      <c r="C407" s="55" t="s">
        <v>210</v>
      </c>
      <c r="D407" s="55" t="s">
        <v>188</v>
      </c>
      <c r="E407" s="153">
        <f>[10]Sales_SP!FE134</f>
        <v>0.6</v>
      </c>
      <c r="F407" s="153">
        <f>[10]Sales_SP!FF134</f>
        <v>0.74</v>
      </c>
      <c r="G407" s="153">
        <f>[10]Sales_SP!FG134</f>
        <v>0.8</v>
      </c>
      <c r="H407" s="153">
        <f>[10]Sales_SP!FH134</f>
        <v>0.76</v>
      </c>
      <c r="I407" s="153">
        <f>[10]Sales_SP!FI134</f>
        <v>0.8</v>
      </c>
      <c r="J407" s="153">
        <f>[10]Sales_SP!FJ134</f>
        <v>0.93</v>
      </c>
      <c r="K407" s="153">
        <f>[10]Sales_SP!FK134</f>
        <v>0.870070783333333</v>
      </c>
      <c r="L407" s="153">
        <f>[10]Sales_SP!FL134</f>
        <v>0.881397943333333</v>
      </c>
      <c r="M407" s="153">
        <f>[16]Sales_SP!FM$134</f>
        <v>0.877151583333333</v>
      </c>
      <c r="N407" s="153">
        <f>[16]Sales_SP!FN$134</f>
        <v>0.886571803333333</v>
      </c>
      <c r="O407" s="153">
        <f>[16]Sales_SP!FO$134</f>
        <v>0.925085843333334</v>
      </c>
      <c r="P407" s="153">
        <f>[16]Sales_SP!FP$134</f>
        <v>1.16697042333333</v>
      </c>
      <c r="Q407" s="187">
        <f t="shared" si="95"/>
        <v>10.23724838</v>
      </c>
      <c r="R407" s="887"/>
      <c r="S407" s="887"/>
    </row>
    <row r="408" ht="15" spans="3:19">
      <c r="C408" s="55"/>
      <c r="D408" s="55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87">
        <f t="shared" si="95"/>
        <v>0</v>
      </c>
      <c r="R408" s="887"/>
      <c r="S408" s="887"/>
    </row>
    <row r="409" ht="15" spans="3:19">
      <c r="C409" s="55"/>
      <c r="D409" s="55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87">
        <f t="shared" si="95"/>
        <v>0</v>
      </c>
      <c r="R409" s="887"/>
      <c r="S409" s="887"/>
    </row>
    <row r="410" ht="15" spans="3:19">
      <c r="C410" s="55"/>
      <c r="D410" s="55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87">
        <f t="shared" si="95"/>
        <v>0</v>
      </c>
      <c r="R410" s="887"/>
      <c r="S410" s="887"/>
    </row>
    <row r="411" ht="15" spans="3:19">
      <c r="C411" s="55" t="s">
        <v>258</v>
      </c>
      <c r="D411" s="55" t="s">
        <v>258</v>
      </c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87">
        <f t="shared" si="95"/>
        <v>0</v>
      </c>
      <c r="R411" s="887"/>
      <c r="S411" s="887"/>
    </row>
    <row r="412" ht="15" spans="3:19">
      <c r="C412" s="537" t="s">
        <v>211</v>
      </c>
      <c r="D412" s="540"/>
      <c r="E412" s="187">
        <f t="shared" ref="E412:P412" si="96">SUM(E397:E411)</f>
        <v>583.32448802</v>
      </c>
      <c r="F412" s="187">
        <f t="shared" si="96"/>
        <v>574.49393818</v>
      </c>
      <c r="G412" s="187">
        <f t="shared" si="96"/>
        <v>596.69578189</v>
      </c>
      <c r="H412" s="187">
        <f t="shared" si="96"/>
        <v>525.085549105</v>
      </c>
      <c r="I412" s="187">
        <f t="shared" si="96"/>
        <v>556.63910894</v>
      </c>
      <c r="J412" s="187">
        <f t="shared" si="96"/>
        <v>549.00900951</v>
      </c>
      <c r="K412" s="187">
        <f t="shared" si="96"/>
        <v>537.964651311276</v>
      </c>
      <c r="L412" s="187">
        <f t="shared" si="96"/>
        <v>555.051147076987</v>
      </c>
      <c r="M412" s="187">
        <f t="shared" si="96"/>
        <v>555.621018805312</v>
      </c>
      <c r="N412" s="187">
        <f t="shared" si="96"/>
        <v>570.659107981178</v>
      </c>
      <c r="O412" s="187">
        <f t="shared" si="96"/>
        <v>572.590729751798</v>
      </c>
      <c r="P412" s="187">
        <f t="shared" si="96"/>
        <v>811.817400399443</v>
      </c>
      <c r="Q412" s="187">
        <f t="shared" si="95"/>
        <v>6988.951930971</v>
      </c>
      <c r="R412" s="887"/>
      <c r="S412" s="887"/>
    </row>
    <row r="413" ht="15" spans="3:19">
      <c r="C413" s="44" t="s">
        <v>212</v>
      </c>
      <c r="D413" s="45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0"/>
      <c r="R413" s="887"/>
      <c r="S413" s="887"/>
    </row>
    <row r="414" ht="15" spans="3:19">
      <c r="C414" s="55" t="s">
        <v>191</v>
      </c>
      <c r="D414" s="55" t="s">
        <v>192</v>
      </c>
      <c r="E414" s="153">
        <f>[10]Sales_SP!FE152</f>
        <v>446.8735394</v>
      </c>
      <c r="F414" s="153">
        <f>[10]Sales_SP!FF152</f>
        <v>478.19689172</v>
      </c>
      <c r="G414" s="153">
        <f>[10]Sales_SP!FG152</f>
        <v>465.79658126</v>
      </c>
      <c r="H414" s="153">
        <f>[10]Sales_SP!FH152</f>
        <v>468.67898969</v>
      </c>
      <c r="I414" s="153">
        <f>[10]Sales_SP!FI152</f>
        <v>480.15873</v>
      </c>
      <c r="J414" s="153">
        <f>[10]Sales_SP!FJ152</f>
        <v>474.035000388</v>
      </c>
      <c r="K414" s="153">
        <f>[10]Sales_SP!FK152</f>
        <v>463.369662211213</v>
      </c>
      <c r="L414" s="153">
        <f>[10]Sales_SP!FL152</f>
        <v>481.627199894214</v>
      </c>
      <c r="M414" s="153">
        <f>[10]Sales_SP!FM152</f>
        <v>483.612075018539</v>
      </c>
      <c r="N414" s="153">
        <f>[10]Sales_SP!FN152</f>
        <v>486.253746414662</v>
      </c>
      <c r="O414" s="153">
        <f>[10]Sales_SP!FO152</f>
        <v>491.521394378129</v>
      </c>
      <c r="P414" s="153">
        <f>[10]Sales_SP!FP152</f>
        <v>688.977799601793</v>
      </c>
      <c r="Q414" s="187">
        <f t="shared" ref="Q414:Q429" si="97">SUM(E414:P414)</f>
        <v>5909.10160997655</v>
      </c>
      <c r="R414" s="887"/>
      <c r="S414" s="887"/>
    </row>
    <row r="415" ht="15" spans="3:19">
      <c r="C415" s="55" t="s">
        <v>193</v>
      </c>
      <c r="D415" s="55" t="s">
        <v>194</v>
      </c>
      <c r="E415" s="153">
        <f>[10]Sales_SP!FE168</f>
        <v>0</v>
      </c>
      <c r="F415" s="153">
        <f>[10]Sales_SP!FF168</f>
        <v>0</v>
      </c>
      <c r="G415" s="153">
        <f>[10]Sales_SP!FG168</f>
        <v>0</v>
      </c>
      <c r="H415" s="153">
        <f>[10]Sales_SP!FH168</f>
        <v>0</v>
      </c>
      <c r="I415" s="153">
        <f>[10]Sales_SP!FI168</f>
        <v>0</v>
      </c>
      <c r="J415" s="153">
        <f>[10]Sales_SP!FJ168</f>
        <v>0</v>
      </c>
      <c r="K415" s="153">
        <f>[10]Sales_SP!FK168</f>
        <v>0</v>
      </c>
      <c r="L415" s="153">
        <f>[10]Sales_SP!FL168</f>
        <v>0</v>
      </c>
      <c r="M415" s="153">
        <f>[10]Sales_SP!FM168</f>
        <v>0</v>
      </c>
      <c r="N415" s="153">
        <f>[10]Sales_SP!FN168</f>
        <v>0</v>
      </c>
      <c r="O415" s="153">
        <f>[10]Sales_SP!FO168</f>
        <v>0</v>
      </c>
      <c r="P415" s="153">
        <f>[10]Sales_SP!FP168</f>
        <v>0</v>
      </c>
      <c r="Q415" s="187">
        <f t="shared" si="97"/>
        <v>0</v>
      </c>
      <c r="R415" s="887"/>
      <c r="S415" s="887"/>
    </row>
    <row r="416" ht="15" spans="3:19">
      <c r="C416" s="55" t="s">
        <v>239</v>
      </c>
      <c r="D416" s="55" t="s">
        <v>196</v>
      </c>
      <c r="E416" s="153">
        <f>[10]Sales_SP!FE174</f>
        <v>118.556838</v>
      </c>
      <c r="F416" s="153">
        <f>[10]Sales_SP!FF174</f>
        <v>127.87955064</v>
      </c>
      <c r="G416" s="153">
        <f>[10]Sales_SP!FG174</f>
        <v>127.2081355</v>
      </c>
      <c r="H416" s="153">
        <f>[10]Sales_SP!FH174</f>
        <v>118.45971402</v>
      </c>
      <c r="I416" s="153">
        <f>[10]Sales_SP!FI174</f>
        <v>120.0907365</v>
      </c>
      <c r="J416" s="153">
        <f>[10]Sales_SP!FJ174</f>
        <v>113.460328095</v>
      </c>
      <c r="K416" s="153">
        <f>[10]Sales_SP!FK174</f>
        <v>109.288951415196</v>
      </c>
      <c r="L416" s="153">
        <f>[10]Sales_SP!FL174</f>
        <v>107.536981843417</v>
      </c>
      <c r="M416" s="153">
        <f>[10]Sales_SP!FM174</f>
        <v>104.634990065442</v>
      </c>
      <c r="N416" s="153">
        <f>[10]Sales_SP!FN174</f>
        <v>107.361903741743</v>
      </c>
      <c r="O416" s="153">
        <f>[10]Sales_SP!FO174</f>
        <v>110.264413752251</v>
      </c>
      <c r="P416" s="153">
        <f>[10]Sales_SP!FP174</f>
        <v>163.737273292625</v>
      </c>
      <c r="Q416" s="187">
        <f t="shared" si="97"/>
        <v>1428.47981686567</v>
      </c>
      <c r="R416" s="887"/>
      <c r="S416" s="887"/>
    </row>
    <row r="417" ht="15" spans="3:19">
      <c r="C417" s="55" t="s">
        <v>197</v>
      </c>
      <c r="D417" s="55" t="s">
        <v>198</v>
      </c>
      <c r="E417" s="153">
        <f>[10]Sales_SP!FE180</f>
        <v>0</v>
      </c>
      <c r="F417" s="153">
        <f>[10]Sales_SP!FF180</f>
        <v>0.4269</v>
      </c>
      <c r="G417" s="153">
        <f>[10]Sales_SP!FG180</f>
        <v>0.41395</v>
      </c>
      <c r="H417" s="153">
        <f>[10]Sales_SP!FH180</f>
        <v>0.34735</v>
      </c>
      <c r="I417" s="153">
        <f>[10]Sales_SP!FI180</f>
        <v>0.36855</v>
      </c>
      <c r="J417" s="153">
        <f>[10]Sales_SP!FJ180</f>
        <v>0.33543</v>
      </c>
      <c r="K417" s="153">
        <f>[10]Sales_SP!FK180</f>
        <v>0.294474</v>
      </c>
      <c r="L417" s="153">
        <f>[10]Sales_SP!FL180</f>
        <v>0.292026</v>
      </c>
      <c r="M417" s="153">
        <f>[10]Sales_SP!FM180</f>
        <v>0.297636</v>
      </c>
      <c r="N417" s="153">
        <f>[10]Sales_SP!FN180</f>
        <v>0.25602</v>
      </c>
      <c r="O417" s="153">
        <f>[10]Sales_SP!FO180</f>
        <v>0.259998</v>
      </c>
      <c r="P417" s="153">
        <f>[10]Sales_SP!FP180</f>
        <v>0.248268</v>
      </c>
      <c r="Q417" s="187">
        <f t="shared" si="97"/>
        <v>3.540602</v>
      </c>
      <c r="R417" s="887"/>
      <c r="S417" s="887"/>
    </row>
    <row r="418" ht="15" spans="3:19">
      <c r="C418" s="55" t="s">
        <v>199</v>
      </c>
      <c r="D418" s="55" t="s">
        <v>200</v>
      </c>
      <c r="E418" s="153">
        <f>[10]Sales_SP!FE185</f>
        <v>0</v>
      </c>
      <c r="F418" s="153">
        <f>[10]Sales_SP!FF185</f>
        <v>0</v>
      </c>
      <c r="G418" s="153">
        <f>[10]Sales_SP!FG185</f>
        <v>0</v>
      </c>
      <c r="H418" s="153">
        <f>[10]Sales_SP!FH185</f>
        <v>0</v>
      </c>
      <c r="I418" s="153">
        <f>[10]Sales_SP!FI185</f>
        <v>0</v>
      </c>
      <c r="J418" s="153">
        <f>[10]Sales_SP!FJ185</f>
        <v>0</v>
      </c>
      <c r="K418" s="153">
        <f>[10]Sales_SP!FK185</f>
        <v>0</v>
      </c>
      <c r="L418" s="153">
        <f>[10]Sales_SP!FL185</f>
        <v>0</v>
      </c>
      <c r="M418" s="153">
        <f>[10]Sales_SP!FM185</f>
        <v>0</v>
      </c>
      <c r="N418" s="153">
        <f>[10]Sales_SP!FN185</f>
        <v>0</v>
      </c>
      <c r="O418" s="153">
        <f>[10]Sales_SP!FO185</f>
        <v>0</v>
      </c>
      <c r="P418" s="153">
        <f>[10]Sales_SP!FP185</f>
        <v>0</v>
      </c>
      <c r="Q418" s="187">
        <f t="shared" si="97"/>
        <v>0</v>
      </c>
      <c r="R418" s="887"/>
      <c r="S418" s="887"/>
    </row>
    <row r="419" ht="15" spans="3:19">
      <c r="C419" s="55" t="s">
        <v>201</v>
      </c>
      <c r="D419" s="55" t="s">
        <v>202</v>
      </c>
      <c r="E419" s="153">
        <f>[10]Sales_SP!FE191</f>
        <v>1.30048</v>
      </c>
      <c r="F419" s="153">
        <f>[10]Sales_SP!FF191</f>
        <v>2.080615</v>
      </c>
      <c r="G419" s="153">
        <f>[10]Sales_SP!FG191</f>
        <v>1.95454</v>
      </c>
      <c r="H419" s="153">
        <f>[10]Sales_SP!FH191</f>
        <v>2.213195</v>
      </c>
      <c r="I419" s="153">
        <f>[10]Sales_SP!FI191</f>
        <v>3.7451</v>
      </c>
      <c r="J419" s="153">
        <f>[10]Sales_SP!FJ191</f>
        <v>3.529655</v>
      </c>
      <c r="K419" s="153">
        <f>[10]Sales_SP!FK191</f>
        <v>1.3680572</v>
      </c>
      <c r="L419" s="153">
        <f>[10]Sales_SP!FL191</f>
        <v>1.744071</v>
      </c>
      <c r="M419" s="153">
        <f>[10]Sales_SP!FM191</f>
        <v>1.3556022</v>
      </c>
      <c r="N419" s="153">
        <f>[10]Sales_SP!FN191</f>
        <v>2.7779844</v>
      </c>
      <c r="O419" s="153">
        <f>[10]Sales_SP!FO191</f>
        <v>2.405034</v>
      </c>
      <c r="P419" s="153">
        <f>[10]Sales_SP!FP191</f>
        <v>3.373026</v>
      </c>
      <c r="Q419" s="187">
        <f t="shared" si="97"/>
        <v>27.8473598</v>
      </c>
      <c r="R419" s="887"/>
      <c r="S419" s="887"/>
    </row>
    <row r="420" ht="15" spans="3:19">
      <c r="C420" s="55" t="s">
        <v>203</v>
      </c>
      <c r="D420" s="55" t="s">
        <v>204</v>
      </c>
      <c r="E420" s="153">
        <f>[10]Sales_SP!FE192</f>
        <v>20.413735</v>
      </c>
      <c r="F420" s="153">
        <f>[10]Sales_SP!FF192</f>
        <v>21.165235</v>
      </c>
      <c r="G420" s="153">
        <f>[10]Sales_SP!FG192</f>
        <v>20.078425</v>
      </c>
      <c r="H420" s="153">
        <f>[10]Sales_SP!FH192</f>
        <v>20.20959</v>
      </c>
      <c r="I420" s="153">
        <f>[10]Sales_SP!FI192</f>
        <v>21.91816</v>
      </c>
      <c r="J420" s="153">
        <f>[10]Sales_SP!FJ192</f>
        <v>20.591245</v>
      </c>
      <c r="K420" s="153">
        <f>[10]Sales_SP!FK192</f>
        <v>20.8603124</v>
      </c>
      <c r="L420" s="153">
        <f>[10]Sales_SP!FL192</f>
        <v>21.248336</v>
      </c>
      <c r="M420" s="153">
        <f>[10]Sales_SP!FM192</f>
        <v>20.9465222</v>
      </c>
      <c r="N420" s="153">
        <f>[10]Sales_SP!FN192</f>
        <v>19.4133064</v>
      </c>
      <c r="O420" s="153">
        <f>[10]Sales_SP!FO192</f>
        <v>22.109533</v>
      </c>
      <c r="P420" s="153">
        <f>[10]Sales_SP!FP192</f>
        <v>28.1519411</v>
      </c>
      <c r="Q420" s="187">
        <f t="shared" si="97"/>
        <v>257.1063411</v>
      </c>
      <c r="R420" s="887"/>
      <c r="S420" s="887"/>
    </row>
    <row r="421" ht="15" spans="3:19">
      <c r="C421" s="55" t="s">
        <v>221</v>
      </c>
      <c r="D421" s="55" t="s">
        <v>270</v>
      </c>
      <c r="E421" s="153">
        <f>[10]Sales_SP!FE194</f>
        <v>0.88884</v>
      </c>
      <c r="F421" s="153">
        <f>[10]Sales_SP!FF194</f>
        <v>1.564635</v>
      </c>
      <c r="G421" s="153">
        <f>[10]Sales_SP!FG194</f>
        <v>1.47231</v>
      </c>
      <c r="H421" s="153">
        <f>[10]Sales_SP!FH194</f>
        <v>1.735515</v>
      </c>
      <c r="I421" s="153">
        <f>[10]Sales_SP!FI194</f>
        <v>1.8249</v>
      </c>
      <c r="J421" s="153">
        <f>[10]Sales_SP!FJ194</f>
        <v>1.6791</v>
      </c>
      <c r="K421" s="153">
        <f>[10]Sales_SP!FK194</f>
        <v>0</v>
      </c>
      <c r="L421" s="153">
        <f>[10]Sales_SP!FL194</f>
        <v>0.290652</v>
      </c>
      <c r="M421" s="153">
        <f>[10]Sales_SP!FM194</f>
        <v>0.327381</v>
      </c>
      <c r="N421" s="153">
        <f>[10]Sales_SP!FN194</f>
        <v>0.510708</v>
      </c>
      <c r="O421" s="153">
        <f>[10]Sales_SP!FO194</f>
        <v>0.485745</v>
      </c>
      <c r="P421" s="153">
        <f>[10]Sales_SP!FP194</f>
        <v>1.513362</v>
      </c>
      <c r="Q421" s="187">
        <f t="shared" si="97"/>
        <v>12.293148</v>
      </c>
      <c r="R421" s="887"/>
      <c r="S421" s="887"/>
    </row>
    <row r="422" ht="15" spans="3:19">
      <c r="C422" s="55" t="s">
        <v>205</v>
      </c>
      <c r="D422" s="55" t="s">
        <v>206</v>
      </c>
      <c r="E422" s="153">
        <f>[10]Sales_SP!FE196</f>
        <v>12.783713</v>
      </c>
      <c r="F422" s="153">
        <f>[10]Sales_SP!FF196</f>
        <v>14.111778</v>
      </c>
      <c r="G422" s="153">
        <f>[10]Sales_SP!FG196</f>
        <v>14.555582</v>
      </c>
      <c r="H422" s="153">
        <f>[10]Sales_SP!FH196</f>
        <v>10.694777</v>
      </c>
      <c r="I422" s="153">
        <f>[10]Sales_SP!FI196</f>
        <v>11.019239</v>
      </c>
      <c r="J422" s="153">
        <f>[10]Sales_SP!FJ196</f>
        <v>10.064751</v>
      </c>
      <c r="K422" s="153">
        <f>[10]Sales_SP!FK196</f>
        <v>9.4473242</v>
      </c>
      <c r="L422" s="153">
        <f>[10]Sales_SP!FL196</f>
        <v>9.4034508</v>
      </c>
      <c r="M422" s="153">
        <f>[10]Sales_SP!FM196</f>
        <v>9.3802739</v>
      </c>
      <c r="N422" s="153">
        <f>[10]Sales_SP!FN196</f>
        <v>9.3939373</v>
      </c>
      <c r="O422" s="153">
        <f>[10]Sales_SP!FO196</f>
        <v>9.7184987</v>
      </c>
      <c r="P422" s="153">
        <f>[10]Sales_SP!FP196</f>
        <v>13.66115492</v>
      </c>
      <c r="Q422" s="187">
        <f t="shared" si="97"/>
        <v>134.23447982</v>
      </c>
      <c r="R422" s="887"/>
      <c r="S422" s="887"/>
    </row>
    <row r="423" ht="15" spans="3:19">
      <c r="C423" s="55" t="s">
        <v>218</v>
      </c>
      <c r="D423" s="55" t="s">
        <v>186</v>
      </c>
      <c r="E423" s="153">
        <f>[10]Sales_SP!FE197</f>
        <v>3.632685</v>
      </c>
      <c r="F423" s="153">
        <f>[10]Sales_SP!FF197</f>
        <v>3.6248</v>
      </c>
      <c r="G423" s="153">
        <f>[10]Sales_SP!FG197</f>
        <v>3.567235</v>
      </c>
      <c r="H423" s="153">
        <f>[10]Sales_SP!FH197</f>
        <v>3.836725</v>
      </c>
      <c r="I423" s="153">
        <f>[10]Sales_SP!FI197</f>
        <v>4.10413</v>
      </c>
      <c r="J423" s="153">
        <f>[10]Sales_SP!FJ197</f>
        <v>4.09011</v>
      </c>
      <c r="K423" s="153">
        <f>[10]Sales_SP!FK197</f>
        <v>4.1302779</v>
      </c>
      <c r="L423" s="153">
        <f>[10]Sales_SP!FL197</f>
        <v>3.87926175</v>
      </c>
      <c r="M423" s="153">
        <f>[10]Sales_SP!FM197</f>
        <v>3.90405435</v>
      </c>
      <c r="N423" s="153">
        <f>[10]Sales_SP!FN197</f>
        <v>4.08524865</v>
      </c>
      <c r="O423" s="153">
        <f>[10]Sales_SP!FO197</f>
        <v>3.5026509</v>
      </c>
      <c r="P423" s="153">
        <f>[10]Sales_SP!FP197</f>
        <v>4.86685605</v>
      </c>
      <c r="Q423" s="187">
        <f t="shared" si="97"/>
        <v>47.2240346</v>
      </c>
      <c r="R423" s="887"/>
      <c r="S423" s="887"/>
    </row>
    <row r="424" ht="15" spans="3:19">
      <c r="C424" s="55" t="s">
        <v>210</v>
      </c>
      <c r="D424" s="55" t="s">
        <v>188</v>
      </c>
      <c r="E424" s="153">
        <v>0</v>
      </c>
      <c r="F424" s="153">
        <v>0</v>
      </c>
      <c r="G424" s="153">
        <v>0</v>
      </c>
      <c r="H424" s="153">
        <v>0</v>
      </c>
      <c r="I424" s="153">
        <v>0</v>
      </c>
      <c r="J424" s="153">
        <v>0</v>
      </c>
      <c r="K424" s="153">
        <v>0</v>
      </c>
      <c r="L424" s="153">
        <v>0</v>
      </c>
      <c r="M424" s="153">
        <v>0</v>
      </c>
      <c r="N424" s="153">
        <v>0</v>
      </c>
      <c r="O424" s="153">
        <v>0</v>
      </c>
      <c r="P424" s="153">
        <v>0</v>
      </c>
      <c r="Q424" s="187">
        <f t="shared" si="97"/>
        <v>0</v>
      </c>
      <c r="R424" s="887"/>
      <c r="S424" s="887"/>
    </row>
    <row r="425" ht="15" spans="3:19">
      <c r="C425" s="55"/>
      <c r="D425" s="55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87">
        <f t="shared" si="97"/>
        <v>0</v>
      </c>
      <c r="R425" s="887"/>
      <c r="S425" s="887"/>
    </row>
    <row r="426" ht="15" spans="3:19">
      <c r="C426" s="55"/>
      <c r="D426" s="55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87">
        <f t="shared" si="97"/>
        <v>0</v>
      </c>
      <c r="R426" s="887"/>
      <c r="S426" s="887"/>
    </row>
    <row r="427" ht="15" spans="3:19">
      <c r="C427" s="55"/>
      <c r="D427" s="55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87">
        <f t="shared" si="97"/>
        <v>0</v>
      </c>
      <c r="R427" s="887"/>
      <c r="S427" s="887"/>
    </row>
    <row r="428" ht="15" spans="3:19">
      <c r="C428" s="55" t="s">
        <v>258</v>
      </c>
      <c r="D428" s="55" t="s">
        <v>258</v>
      </c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87">
        <f t="shared" si="97"/>
        <v>0</v>
      </c>
      <c r="R428" s="887"/>
      <c r="S428" s="887"/>
    </row>
    <row r="429" ht="15" spans="3:19">
      <c r="C429" s="537" t="s">
        <v>211</v>
      </c>
      <c r="D429" s="540"/>
      <c r="E429" s="187">
        <f t="shared" ref="E429:P429" si="98">SUM(E414:E428)</f>
        <v>604.4498304</v>
      </c>
      <c r="F429" s="187">
        <f t="shared" si="98"/>
        <v>649.05040536</v>
      </c>
      <c r="G429" s="187">
        <f t="shared" si="98"/>
        <v>635.04675876</v>
      </c>
      <c r="H429" s="187">
        <f t="shared" si="98"/>
        <v>626.17585571</v>
      </c>
      <c r="I429" s="187">
        <f t="shared" si="98"/>
        <v>643.2295455</v>
      </c>
      <c r="J429" s="187">
        <f t="shared" si="98"/>
        <v>627.785619483</v>
      </c>
      <c r="K429" s="187">
        <f t="shared" si="98"/>
        <v>608.759059326409</v>
      </c>
      <c r="L429" s="187">
        <f t="shared" si="98"/>
        <v>626.021979287631</v>
      </c>
      <c r="M429" s="187">
        <f t="shared" si="98"/>
        <v>624.458534733981</v>
      </c>
      <c r="N429" s="187">
        <f t="shared" si="98"/>
        <v>630.052854906405</v>
      </c>
      <c r="O429" s="187">
        <f t="shared" si="98"/>
        <v>640.26726773038</v>
      </c>
      <c r="P429" s="187">
        <f t="shared" si="98"/>
        <v>904.529680964418</v>
      </c>
      <c r="Q429" s="187">
        <f t="shared" si="97"/>
        <v>7819.82739216222</v>
      </c>
      <c r="R429" s="887"/>
      <c r="S429" s="887"/>
    </row>
    <row r="430" ht="15" spans="3:19">
      <c r="C430" s="44" t="s">
        <v>219</v>
      </c>
      <c r="D430" s="45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0"/>
      <c r="R430" s="887"/>
      <c r="S430" s="887"/>
    </row>
    <row r="431" ht="15" spans="3:19">
      <c r="C431" s="55" t="s">
        <v>191</v>
      </c>
      <c r="D431" s="55" t="s">
        <v>192</v>
      </c>
      <c r="E431" s="153">
        <f>[10]Sales_SP!FE212</f>
        <v>353.248623</v>
      </c>
      <c r="F431" s="153">
        <f>[10]Sales_SP!FF212</f>
        <v>342.816285</v>
      </c>
      <c r="G431" s="153">
        <f>[10]Sales_SP!FG212</f>
        <v>354.392897</v>
      </c>
      <c r="H431" s="153">
        <f>[10]Sales_SP!FH212</f>
        <v>343.430364</v>
      </c>
      <c r="I431" s="153">
        <f>[10]Sales_SP!FI212</f>
        <v>370.206155</v>
      </c>
      <c r="J431" s="153">
        <f>[10]Sales_SP!FJ212</f>
        <v>368.659577</v>
      </c>
      <c r="K431" s="153">
        <f>[10]Sales_SP!FK212</f>
        <v>377.589284862308</v>
      </c>
      <c r="L431" s="153">
        <f>[10]Sales_SP!FL212</f>
        <v>401.704933312308</v>
      </c>
      <c r="M431" s="153">
        <f>[10]Sales_SP!FM212</f>
        <v>430.481533752308</v>
      </c>
      <c r="N431" s="153">
        <f>[10]Sales_SP!FN212</f>
        <v>437.017671612308</v>
      </c>
      <c r="O431" s="153">
        <f>[10]Sales_SP!FO212</f>
        <v>428.647659312308</v>
      </c>
      <c r="P431" s="153">
        <f>[10]Sales_SP!FP212</f>
        <v>554.257254692308</v>
      </c>
      <c r="Q431" s="187">
        <f t="shared" ref="Q431:Q450" si="99">SUM(E431:P431)</f>
        <v>4762.45223854385</v>
      </c>
      <c r="R431" s="887"/>
      <c r="S431" s="887"/>
    </row>
    <row r="432" ht="15" spans="3:19">
      <c r="C432" s="55" t="s">
        <v>193</v>
      </c>
      <c r="D432" s="55" t="s">
        <v>194</v>
      </c>
      <c r="E432" s="153">
        <f>[10]Sales_SP!FE222</f>
        <v>14.86</v>
      </c>
      <c r="F432" s="153">
        <f>[10]Sales_SP!FF222</f>
        <v>16.88</v>
      </c>
      <c r="G432" s="153">
        <f>[10]Sales_SP!FG222</f>
        <v>8.17</v>
      </c>
      <c r="H432" s="153">
        <f>[10]Sales_SP!FH222</f>
        <v>9.31</v>
      </c>
      <c r="I432" s="153">
        <f>[10]Sales_SP!FI222</f>
        <v>14.86</v>
      </c>
      <c r="J432" s="153">
        <f>[10]Sales_SP!FJ222</f>
        <v>12.83</v>
      </c>
      <c r="K432" s="153">
        <f>[10]Sales_SP!FK222</f>
        <v>15.23304</v>
      </c>
      <c r="L432" s="153">
        <f>[10]Sales_SP!FL222</f>
        <v>10.54728</v>
      </c>
      <c r="M432" s="153">
        <f>[10]Sales_SP!FM222</f>
        <v>13.5531</v>
      </c>
      <c r="N432" s="153">
        <f>[10]Sales_SP!FN222</f>
        <v>19.63197</v>
      </c>
      <c r="O432" s="153">
        <f>[10]Sales_SP!FO222</f>
        <v>19.86417</v>
      </c>
      <c r="P432" s="153">
        <f>[10]Sales_SP!FP222</f>
        <v>25.46694</v>
      </c>
      <c r="Q432" s="187">
        <f t="shared" si="99"/>
        <v>181.2065</v>
      </c>
      <c r="R432" s="887"/>
      <c r="S432" s="887"/>
    </row>
    <row r="433" ht="15" spans="3:19">
      <c r="C433" s="55" t="s">
        <v>239</v>
      </c>
      <c r="D433" s="55" t="s">
        <v>196</v>
      </c>
      <c r="E433" s="153">
        <f>[10]Sales_SP!FE228</f>
        <v>4.175645</v>
      </c>
      <c r="F433" s="153">
        <f>[10]Sales_SP!FF228</f>
        <v>4.948725</v>
      </c>
      <c r="G433" s="153">
        <f>[10]Sales_SP!FG228</f>
        <v>5.0636</v>
      </c>
      <c r="H433" s="153">
        <f>[10]Sales_SP!FH228</f>
        <v>4.392</v>
      </c>
      <c r="I433" s="153">
        <f>[10]Sales_SP!FI228</f>
        <v>6.144615</v>
      </c>
      <c r="J433" s="153">
        <f>[10]Sales_SP!FJ228</f>
        <v>6.96166</v>
      </c>
      <c r="K433" s="153">
        <f>[10]Sales_SP!FK228</f>
        <v>3.73695686</v>
      </c>
      <c r="L433" s="153">
        <f>[10]Sales_SP!FL228</f>
        <v>3.44710622</v>
      </c>
      <c r="M433" s="153">
        <f>[10]Sales_SP!FM228</f>
        <v>3.36161722</v>
      </c>
      <c r="N433" s="153">
        <f>[10]Sales_SP!FN228</f>
        <v>3.45170344</v>
      </c>
      <c r="O433" s="153">
        <f>[10]Sales_SP!FO228</f>
        <v>3.47909278</v>
      </c>
      <c r="P433" s="153">
        <f>[10]Sales_SP!FP228</f>
        <v>4.92596098</v>
      </c>
      <c r="Q433" s="187">
        <f t="shared" si="99"/>
        <v>54.0886825</v>
      </c>
      <c r="R433" s="887"/>
      <c r="S433" s="887"/>
    </row>
    <row r="434" ht="15" spans="3:19">
      <c r="C434" s="55" t="s">
        <v>197</v>
      </c>
      <c r="D434" s="55" t="s">
        <v>198</v>
      </c>
      <c r="E434" s="153">
        <f>[10]Sales_SP!FE233</f>
        <v>0</v>
      </c>
      <c r="F434" s="153">
        <f>[10]Sales_SP!FF233</f>
        <v>0</v>
      </c>
      <c r="G434" s="153">
        <f>[10]Sales_SP!FG233</f>
        <v>0</v>
      </c>
      <c r="H434" s="153">
        <f>[10]Sales_SP!FH233</f>
        <v>0</v>
      </c>
      <c r="I434" s="153">
        <f>[10]Sales_SP!FI233</f>
        <v>0</v>
      </c>
      <c r="J434" s="153">
        <f>[10]Sales_SP!FJ233</f>
        <v>0</v>
      </c>
      <c r="K434" s="153">
        <f>[10]Sales_SP!FK233</f>
        <v>0</v>
      </c>
      <c r="L434" s="153">
        <f>[10]Sales_SP!FL233</f>
        <v>0</v>
      </c>
      <c r="M434" s="153">
        <f>[10]Sales_SP!FM233</f>
        <v>0</v>
      </c>
      <c r="N434" s="153">
        <f>[10]Sales_SP!FN233</f>
        <v>0</v>
      </c>
      <c r="O434" s="153">
        <f>[10]Sales_SP!FO233</f>
        <v>0</v>
      </c>
      <c r="P434" s="153">
        <f>[10]Sales_SP!FP233</f>
        <v>0</v>
      </c>
      <c r="Q434" s="187">
        <f t="shared" si="99"/>
        <v>0</v>
      </c>
      <c r="R434" s="887"/>
      <c r="S434" s="887"/>
    </row>
    <row r="435" ht="15" spans="3:19">
      <c r="C435" s="55" t="s">
        <v>199</v>
      </c>
      <c r="D435" s="55" t="s">
        <v>200</v>
      </c>
      <c r="E435" s="153">
        <f>[10]Sales_SP!FE238</f>
        <v>6.46275</v>
      </c>
      <c r="F435" s="153">
        <f>[10]Sales_SP!FF238</f>
        <v>7.64446</v>
      </c>
      <c r="G435" s="153">
        <f>[10]Sales_SP!FG238</f>
        <v>7.34827</v>
      </c>
      <c r="H435" s="153">
        <f>[10]Sales_SP!FH238</f>
        <v>7.04593</v>
      </c>
      <c r="I435" s="153">
        <f>[10]Sales_SP!FI238</f>
        <v>7.2425</v>
      </c>
      <c r="J435" s="153">
        <f>[10]Sales_SP!FJ238</f>
        <v>7.24163</v>
      </c>
      <c r="K435" s="153">
        <f>[10]Sales_SP!FK238</f>
        <v>5.3024698</v>
      </c>
      <c r="L435" s="153">
        <f>[10]Sales_SP!FL238</f>
        <v>4.758075</v>
      </c>
      <c r="M435" s="153">
        <f>[10]Sales_SP!FM238</f>
        <v>4.7528386</v>
      </c>
      <c r="N435" s="153">
        <f>[10]Sales_SP!FN238</f>
        <v>4.8342466</v>
      </c>
      <c r="O435" s="153">
        <f>[10]Sales_SP!FO238</f>
        <v>4.79551526</v>
      </c>
      <c r="P435" s="153">
        <f>[10]Sales_SP!FP238</f>
        <v>7.32806514</v>
      </c>
      <c r="Q435" s="187">
        <f t="shared" si="99"/>
        <v>74.7567504</v>
      </c>
      <c r="R435" s="887"/>
      <c r="S435" s="887"/>
    </row>
    <row r="436" ht="15" spans="3:19">
      <c r="C436" s="55" t="s">
        <v>201</v>
      </c>
      <c r="D436" s="55" t="s">
        <v>240</v>
      </c>
      <c r="E436" s="153">
        <f>[10]Sales_SP!FE244</f>
        <v>51.47840647</v>
      </c>
      <c r="F436" s="153">
        <f>[10]Sales_SP!FF244</f>
        <v>29.94577976</v>
      </c>
      <c r="G436" s="153">
        <f>[10]Sales_SP!FG244</f>
        <v>50.68736743</v>
      </c>
      <c r="H436" s="153">
        <f>[10]Sales_SP!FH244</f>
        <v>71.81653812</v>
      </c>
      <c r="I436" s="153">
        <f>[10]Sales_SP!FI244</f>
        <v>182.16534286</v>
      </c>
      <c r="J436" s="153">
        <f>[10]Sales_SP!FJ244</f>
        <v>241.63227312</v>
      </c>
      <c r="K436" s="153">
        <f>[10]Sales_SP!FK244</f>
        <v>169.603510265268</v>
      </c>
      <c r="L436" s="153">
        <f>[10]Sales_SP!FL244</f>
        <v>147.422243853748</v>
      </c>
      <c r="M436" s="153">
        <f>[10]Sales_SP!FM244</f>
        <v>138.878437019414</v>
      </c>
      <c r="N436" s="153">
        <f>[10]Sales_SP!FN244</f>
        <v>204.758494173029</v>
      </c>
      <c r="O436" s="153">
        <f>[10]Sales_SP!FO244</f>
        <v>207.391957330372</v>
      </c>
      <c r="P436" s="153">
        <f>[10]Sales_SP!FP244</f>
        <v>238.023338548773</v>
      </c>
      <c r="Q436" s="187">
        <f t="shared" si="99"/>
        <v>1733.8036889506</v>
      </c>
      <c r="R436" s="887"/>
      <c r="S436" s="887"/>
    </row>
    <row r="437" ht="15" spans="3:19">
      <c r="C437" s="55" t="s">
        <v>203</v>
      </c>
      <c r="D437" s="55" t="s">
        <v>220</v>
      </c>
      <c r="E437" s="153">
        <f>[10]Sales_SP!FE246</f>
        <v>21.2335</v>
      </c>
      <c r="F437" s="153">
        <f>[10]Sales_SP!FF246</f>
        <v>23.23506</v>
      </c>
      <c r="G437" s="153">
        <f>[10]Sales_SP!FG246</f>
        <v>21.48016</v>
      </c>
      <c r="H437" s="153">
        <f>[10]Sales_SP!FH246</f>
        <v>20.95078</v>
      </c>
      <c r="I437" s="153">
        <f>[10]Sales_SP!FI246</f>
        <v>23.5218</v>
      </c>
      <c r="J437" s="153">
        <f>[10]Sales_SP!FJ246</f>
        <v>22.61348</v>
      </c>
      <c r="K437" s="153">
        <f>[10]Sales_SP!FK246</f>
        <v>22.02468</v>
      </c>
      <c r="L437" s="153">
        <f>[10]Sales_SP!FL246</f>
        <v>23.69736</v>
      </c>
      <c r="M437" s="153">
        <f>[10]Sales_SP!FM246</f>
        <v>21.46288</v>
      </c>
      <c r="N437" s="153">
        <f>[10]Sales_SP!FN246</f>
        <v>19.9386</v>
      </c>
      <c r="O437" s="153">
        <f>[10]Sales_SP!FO246</f>
        <v>21.86992</v>
      </c>
      <c r="P437" s="153">
        <f>[10]Sales_SP!FP246</f>
        <v>32.43017</v>
      </c>
      <c r="Q437" s="187">
        <f t="shared" si="99"/>
        <v>274.45839</v>
      </c>
      <c r="R437" s="887"/>
      <c r="S437" s="887"/>
    </row>
    <row r="438" ht="15" spans="3:19">
      <c r="C438" s="55" t="s">
        <v>241</v>
      </c>
      <c r="D438" s="55" t="s">
        <v>229</v>
      </c>
      <c r="E438" s="153">
        <f>[10]Sales_SP!FE249</f>
        <v>35.659178</v>
      </c>
      <c r="F438" s="153">
        <f>[10]Sales_SP!FF249</f>
        <v>38.505745</v>
      </c>
      <c r="G438" s="153">
        <f>[10]Sales_SP!FG249</f>
        <v>36.94497</v>
      </c>
      <c r="H438" s="153">
        <f>[10]Sales_SP!FH249</f>
        <v>38.45358</v>
      </c>
      <c r="I438" s="153">
        <f>[10]Sales_SP!FI249</f>
        <v>40.649315</v>
      </c>
      <c r="J438" s="153">
        <f>[10]Sales_SP!FJ249</f>
        <v>40.313665</v>
      </c>
      <c r="K438" s="153">
        <f>[10]Sales_SP!FK249</f>
        <v>30.80702592</v>
      </c>
      <c r="L438" s="153">
        <f>[10]Sales_SP!FL249</f>
        <v>32.54920376</v>
      </c>
      <c r="M438" s="153">
        <f>[10]Sales_SP!FM249</f>
        <v>33.64745704</v>
      </c>
      <c r="N438" s="153">
        <f>[10]Sales_SP!FN249</f>
        <v>35.44213562</v>
      </c>
      <c r="O438" s="153">
        <f>[10]Sales_SP!FO249</f>
        <v>35.90297274</v>
      </c>
      <c r="P438" s="153">
        <f>[10]Sales_SP!FP249</f>
        <v>50.54062616</v>
      </c>
      <c r="Q438" s="187">
        <f t="shared" si="99"/>
        <v>449.41587424</v>
      </c>
      <c r="R438" s="887"/>
      <c r="S438" s="887"/>
    </row>
    <row r="439" ht="15" spans="3:19">
      <c r="C439" s="55" t="s">
        <v>259</v>
      </c>
      <c r="D439" s="55" t="s">
        <v>243</v>
      </c>
      <c r="E439" s="153">
        <f>[10]Sales_SP!FE251</f>
        <v>7.640682</v>
      </c>
      <c r="F439" s="153">
        <f>[10]Sales_SP!FF251</f>
        <v>8.254045</v>
      </c>
      <c r="G439" s="153">
        <f>[10]Sales_SP!FG251</f>
        <v>8.191949</v>
      </c>
      <c r="H439" s="153">
        <f>[10]Sales_SP!FH251</f>
        <v>8.098411</v>
      </c>
      <c r="I439" s="153">
        <f>[10]Sales_SP!FI251</f>
        <v>7.530217</v>
      </c>
      <c r="J439" s="153">
        <f>[10]Sales_SP!FJ251</f>
        <v>7.587986</v>
      </c>
      <c r="K439" s="153">
        <f>[10]Sales_SP!FK251</f>
        <v>7.57146022</v>
      </c>
      <c r="L439" s="153">
        <f>[10]Sales_SP!FL251</f>
        <v>7.5195817</v>
      </c>
      <c r="M439" s="153">
        <f>[10]Sales_SP!FM251</f>
        <v>7.60114552</v>
      </c>
      <c r="N439" s="153">
        <f>[10]Sales_SP!FN251</f>
        <v>7.81585594</v>
      </c>
      <c r="O439" s="153">
        <f>[10]Sales_SP!FO251</f>
        <v>7.95928666</v>
      </c>
      <c r="P439" s="153">
        <f>[10]Sales_SP!FP251</f>
        <v>9.90090138</v>
      </c>
      <c r="Q439" s="187">
        <f t="shared" si="99"/>
        <v>95.67152142</v>
      </c>
      <c r="R439" s="887"/>
      <c r="S439" s="887"/>
    </row>
    <row r="440" ht="15" spans="3:19">
      <c r="C440" s="55" t="s">
        <v>205</v>
      </c>
      <c r="D440" s="55" t="s">
        <v>206</v>
      </c>
      <c r="E440" s="153">
        <f>[10]Sales_SP!FE253</f>
        <v>0</v>
      </c>
      <c r="F440" s="153">
        <f>[10]Sales_SP!FF253</f>
        <v>0</v>
      </c>
      <c r="G440" s="153">
        <f>[10]Sales_SP!FG253</f>
        <v>0</v>
      </c>
      <c r="H440" s="153">
        <f>[10]Sales_SP!FH253</f>
        <v>0</v>
      </c>
      <c r="I440" s="153">
        <f>[10]Sales_SP!FI253</f>
        <v>0</v>
      </c>
      <c r="J440" s="153">
        <f>[10]Sales_SP!FJ253</f>
        <v>0</v>
      </c>
      <c r="K440" s="153">
        <f>[10]Sales_SP!FK253</f>
        <v>0</v>
      </c>
      <c r="L440" s="153">
        <f>[10]Sales_SP!FL253</f>
        <v>0</v>
      </c>
      <c r="M440" s="153">
        <f>[10]Sales_SP!FM253</f>
        <v>0</v>
      </c>
      <c r="N440" s="153">
        <f>[10]Sales_SP!FN253</f>
        <v>0</v>
      </c>
      <c r="O440" s="153">
        <f>[10]Sales_SP!FO253</f>
        <v>0</v>
      </c>
      <c r="P440" s="153">
        <f>[10]Sales_SP!FP253</f>
        <v>0</v>
      </c>
      <c r="Q440" s="187">
        <f t="shared" si="99"/>
        <v>0</v>
      </c>
      <c r="R440" s="887"/>
      <c r="S440" s="887"/>
    </row>
    <row r="441" ht="15" spans="3:19">
      <c r="C441" s="55" t="s">
        <v>207</v>
      </c>
      <c r="D441" s="55" t="s">
        <v>186</v>
      </c>
      <c r="E441" s="153">
        <f>[10]Sales_SP!FE254</f>
        <v>0</v>
      </c>
      <c r="F441" s="153">
        <f>[10]Sales_SP!FF254</f>
        <v>0</v>
      </c>
      <c r="G441" s="153">
        <f>[10]Sales_SP!FG254</f>
        <v>0</v>
      </c>
      <c r="H441" s="153">
        <f>[10]Sales_SP!FH254</f>
        <v>0</v>
      </c>
      <c r="I441" s="153">
        <f>[10]Sales_SP!FI254</f>
        <v>0</v>
      </c>
      <c r="J441" s="153">
        <f>[10]Sales_SP!FJ254</f>
        <v>0</v>
      </c>
      <c r="K441" s="153">
        <f>[10]Sales_SP!FK254</f>
        <v>0</v>
      </c>
      <c r="L441" s="153">
        <f>[10]Sales_SP!FL254</f>
        <v>0</v>
      </c>
      <c r="M441" s="153">
        <f>[10]Sales_SP!FM254</f>
        <v>0</v>
      </c>
      <c r="N441" s="153">
        <f>[10]Sales_SP!FN254</f>
        <v>0</v>
      </c>
      <c r="O441" s="153">
        <f>[10]Sales_SP!FO254</f>
        <v>0</v>
      </c>
      <c r="P441" s="153">
        <f>[10]Sales_SP!FP254</f>
        <v>0</v>
      </c>
      <c r="Q441" s="187">
        <f t="shared" si="99"/>
        <v>0</v>
      </c>
      <c r="R441" s="887"/>
      <c r="S441" s="887"/>
    </row>
    <row r="442" ht="15" spans="3:19">
      <c r="C442" s="55" t="s">
        <v>208</v>
      </c>
      <c r="D442" s="55" t="s">
        <v>209</v>
      </c>
      <c r="E442" s="153">
        <v>0</v>
      </c>
      <c r="F442" s="153">
        <v>0</v>
      </c>
      <c r="G442" s="153">
        <v>0</v>
      </c>
      <c r="H442" s="153">
        <v>0</v>
      </c>
      <c r="I442" s="153">
        <v>0</v>
      </c>
      <c r="J442" s="153">
        <v>0</v>
      </c>
      <c r="K442" s="153">
        <v>0</v>
      </c>
      <c r="L442" s="153">
        <v>0</v>
      </c>
      <c r="M442" s="153">
        <v>0</v>
      </c>
      <c r="N442" s="153">
        <v>0</v>
      </c>
      <c r="O442" s="153">
        <v>0</v>
      </c>
      <c r="P442" s="153">
        <v>0</v>
      </c>
      <c r="Q442" s="187">
        <f t="shared" si="99"/>
        <v>0</v>
      </c>
      <c r="R442" s="887"/>
      <c r="S442" s="887"/>
    </row>
    <row r="443" ht="15" spans="3:19">
      <c r="C443" s="55" t="s">
        <v>210</v>
      </c>
      <c r="D443" s="55" t="s">
        <v>188</v>
      </c>
      <c r="E443" s="153">
        <v>0</v>
      </c>
      <c r="F443" s="153">
        <v>0</v>
      </c>
      <c r="G443" s="153">
        <v>0</v>
      </c>
      <c r="H443" s="153">
        <v>0</v>
      </c>
      <c r="I443" s="153">
        <v>0</v>
      </c>
      <c r="J443" s="153">
        <v>0</v>
      </c>
      <c r="K443" s="153">
        <v>0</v>
      </c>
      <c r="L443" s="153">
        <v>0</v>
      </c>
      <c r="M443" s="153">
        <v>0</v>
      </c>
      <c r="N443" s="153">
        <v>0</v>
      </c>
      <c r="O443" s="153">
        <v>0</v>
      </c>
      <c r="P443" s="153">
        <v>0</v>
      </c>
      <c r="Q443" s="187">
        <f t="shared" si="99"/>
        <v>0</v>
      </c>
      <c r="R443" s="887"/>
      <c r="S443" s="887"/>
    </row>
    <row r="444" ht="15" spans="3:19">
      <c r="C444" s="55"/>
      <c r="D444" s="55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87">
        <f t="shared" si="99"/>
        <v>0</v>
      </c>
      <c r="R444" s="887"/>
      <c r="S444" s="887"/>
    </row>
    <row r="445" ht="15" spans="3:19">
      <c r="C445" s="55"/>
      <c r="D445" s="55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87">
        <f t="shared" si="99"/>
        <v>0</v>
      </c>
      <c r="R445" s="887"/>
      <c r="S445" s="887"/>
    </row>
    <row r="446" ht="15" spans="3:19">
      <c r="C446" s="55"/>
      <c r="D446" s="55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87">
        <f t="shared" si="99"/>
        <v>0</v>
      </c>
      <c r="R446" s="887"/>
      <c r="S446" s="887"/>
    </row>
    <row r="447" ht="15" spans="3:19">
      <c r="C447" s="55" t="s">
        <v>258</v>
      </c>
      <c r="D447" s="55" t="s">
        <v>258</v>
      </c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87">
        <f t="shared" si="99"/>
        <v>0</v>
      </c>
      <c r="R447" s="887"/>
      <c r="S447" s="887"/>
    </row>
    <row r="448" ht="15" spans="3:19">
      <c r="C448" s="537" t="s">
        <v>211</v>
      </c>
      <c r="D448" s="540"/>
      <c r="E448" s="187">
        <f t="shared" ref="E448:P448" si="100">SUM(E431:E447)</f>
        <v>494.75878447</v>
      </c>
      <c r="F448" s="187">
        <f t="shared" si="100"/>
        <v>472.23009976</v>
      </c>
      <c r="G448" s="187">
        <f t="shared" si="100"/>
        <v>492.27921343</v>
      </c>
      <c r="H448" s="187">
        <f t="shared" si="100"/>
        <v>503.49760312</v>
      </c>
      <c r="I448" s="187">
        <f t="shared" si="100"/>
        <v>652.31994486</v>
      </c>
      <c r="J448" s="187">
        <f t="shared" si="100"/>
        <v>707.84027112</v>
      </c>
      <c r="K448" s="187">
        <f t="shared" si="100"/>
        <v>631.868427927576</v>
      </c>
      <c r="L448" s="187">
        <f t="shared" si="100"/>
        <v>631.645783846056</v>
      </c>
      <c r="M448" s="187">
        <f t="shared" si="100"/>
        <v>653.739009151722</v>
      </c>
      <c r="N448" s="187">
        <f t="shared" si="100"/>
        <v>732.890677385337</v>
      </c>
      <c r="O448" s="187">
        <f t="shared" si="100"/>
        <v>729.91057408268</v>
      </c>
      <c r="P448" s="187">
        <f t="shared" si="100"/>
        <v>922.873256901081</v>
      </c>
      <c r="Q448" s="187">
        <f t="shared" si="99"/>
        <v>7625.85364605445</v>
      </c>
      <c r="R448" s="887"/>
      <c r="S448" s="887"/>
    </row>
    <row r="449" ht="15" spans="3:19">
      <c r="C449" s="537" t="s">
        <v>223</v>
      </c>
      <c r="D449" s="540"/>
      <c r="E449" s="187">
        <f t="shared" ref="E449:P449" si="101">E448+E429+E412</f>
        <v>1682.53310289</v>
      </c>
      <c r="F449" s="187">
        <f t="shared" si="101"/>
        <v>1695.7744433</v>
      </c>
      <c r="G449" s="187">
        <f t="shared" si="101"/>
        <v>1724.02175408</v>
      </c>
      <c r="H449" s="187">
        <f t="shared" si="101"/>
        <v>1654.759007935</v>
      </c>
      <c r="I449" s="187">
        <f t="shared" si="101"/>
        <v>1852.1885993</v>
      </c>
      <c r="J449" s="187">
        <f t="shared" si="101"/>
        <v>1884.634900113</v>
      </c>
      <c r="K449" s="187">
        <f t="shared" si="101"/>
        <v>1778.59213856526</v>
      </c>
      <c r="L449" s="187">
        <f t="shared" si="101"/>
        <v>1812.71891021067</v>
      </c>
      <c r="M449" s="187">
        <f t="shared" si="101"/>
        <v>1833.81856269102</v>
      </c>
      <c r="N449" s="187">
        <f t="shared" si="101"/>
        <v>1933.60264027292</v>
      </c>
      <c r="O449" s="187">
        <f t="shared" si="101"/>
        <v>1942.76857156486</v>
      </c>
      <c r="P449" s="187">
        <f t="shared" si="101"/>
        <v>2639.22033826494</v>
      </c>
      <c r="Q449" s="187">
        <f t="shared" si="99"/>
        <v>22434.6329691877</v>
      </c>
      <c r="R449" s="887"/>
      <c r="S449" s="887"/>
    </row>
    <row r="450" ht="15" spans="3:19">
      <c r="C450" s="537" t="s">
        <v>224</v>
      </c>
      <c r="D450" s="540"/>
      <c r="E450" s="187">
        <f t="shared" ref="E450:P450" si="102">E449+E395</f>
        <v>3103.73964514</v>
      </c>
      <c r="F450" s="187">
        <f t="shared" si="102"/>
        <v>3368.69452077</v>
      </c>
      <c r="G450" s="187">
        <f t="shared" si="102"/>
        <v>3234.02458708</v>
      </c>
      <c r="H450" s="187">
        <f t="shared" si="102"/>
        <v>2883.871590935</v>
      </c>
      <c r="I450" s="187">
        <f t="shared" si="102"/>
        <v>3246.41258665</v>
      </c>
      <c r="J450" s="187">
        <f t="shared" si="102"/>
        <v>3178.155476613</v>
      </c>
      <c r="K450" s="187">
        <f t="shared" si="102"/>
        <v>2954.68436665585</v>
      </c>
      <c r="L450" s="187">
        <f t="shared" si="102"/>
        <v>2968.89412797302</v>
      </c>
      <c r="M450" s="187">
        <f t="shared" si="102"/>
        <v>3006.19571572484</v>
      </c>
      <c r="N450" s="187">
        <f t="shared" si="102"/>
        <v>3044.1461485416</v>
      </c>
      <c r="O450" s="187">
        <f t="shared" si="102"/>
        <v>3109.85465442806</v>
      </c>
      <c r="P450" s="187">
        <f t="shared" si="102"/>
        <v>4038.8310519181</v>
      </c>
      <c r="Q450" s="187">
        <f t="shared" si="99"/>
        <v>38137.5044724295</v>
      </c>
      <c r="R450" s="887"/>
      <c r="S450" s="887"/>
    </row>
    <row r="451" spans="5:19">
      <c r="E451" s="887"/>
      <c r="F451" s="887"/>
      <c r="G451" s="887"/>
      <c r="H451" s="887"/>
      <c r="I451" s="887"/>
      <c r="J451" s="887"/>
      <c r="K451" s="887"/>
      <c r="L451" s="887"/>
      <c r="M451" s="887"/>
      <c r="N451" s="887"/>
      <c r="O451" s="887"/>
      <c r="P451" s="887"/>
      <c r="Q451" s="887"/>
      <c r="R451" s="887"/>
      <c r="S451" s="887"/>
    </row>
    <row r="452" ht="15" spans="3:19">
      <c r="C452" s="14"/>
      <c r="E452" s="887"/>
      <c r="F452" s="887"/>
      <c r="G452" s="887"/>
      <c r="H452" s="887"/>
      <c r="I452" s="887"/>
      <c r="J452" s="887"/>
      <c r="K452" s="887"/>
      <c r="L452" s="887"/>
      <c r="M452" s="887"/>
      <c r="N452" s="887"/>
      <c r="O452" s="887"/>
      <c r="P452" s="887"/>
      <c r="Q452" s="918" t="s">
        <v>236</v>
      </c>
      <c r="R452" s="887"/>
      <c r="S452" s="887"/>
    </row>
    <row r="453" ht="15" spans="3:19">
      <c r="C453" s="6" t="s">
        <v>159</v>
      </c>
      <c r="D453" s="6"/>
      <c r="E453" s="150" t="s">
        <v>263</v>
      </c>
      <c r="F453" s="150"/>
      <c r="G453" s="150"/>
      <c r="H453" s="150"/>
      <c r="I453" s="150"/>
      <c r="J453" s="150"/>
      <c r="K453" s="150"/>
      <c r="L453" s="150"/>
      <c r="M453" s="150"/>
      <c r="N453" s="150"/>
      <c r="O453" s="150"/>
      <c r="P453" s="150"/>
      <c r="Q453" s="150"/>
      <c r="R453" s="887"/>
      <c r="S453" s="887"/>
    </row>
    <row r="454" ht="15" spans="3:19">
      <c r="C454" s="6"/>
      <c r="D454" s="6"/>
      <c r="E454" s="150" t="s">
        <v>246</v>
      </c>
      <c r="F454" s="150" t="s">
        <v>247</v>
      </c>
      <c r="G454" s="150" t="s">
        <v>248</v>
      </c>
      <c r="H454" s="150" t="s">
        <v>249</v>
      </c>
      <c r="I454" s="150" t="s">
        <v>250</v>
      </c>
      <c r="J454" s="150" t="s">
        <v>251</v>
      </c>
      <c r="K454" s="150" t="s">
        <v>252</v>
      </c>
      <c r="L454" s="150" t="s">
        <v>253</v>
      </c>
      <c r="M454" s="150" t="s">
        <v>254</v>
      </c>
      <c r="N454" s="150" t="s">
        <v>255</v>
      </c>
      <c r="O454" s="150" t="s">
        <v>256</v>
      </c>
      <c r="P454" s="150" t="s">
        <v>257</v>
      </c>
      <c r="Q454" s="150" t="s">
        <v>97</v>
      </c>
      <c r="R454" s="887"/>
      <c r="S454" s="887"/>
    </row>
    <row r="455" ht="15" spans="3:19">
      <c r="C455" s="44" t="s">
        <v>170</v>
      </c>
      <c r="D455" s="45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58"/>
      <c r="R455" s="887"/>
      <c r="S455" s="887"/>
    </row>
    <row r="456" ht="15" spans="3:19">
      <c r="C456" s="47" t="s">
        <v>171</v>
      </c>
      <c r="D456" s="47" t="s">
        <v>172</v>
      </c>
      <c r="E456" s="146">
        <f>[10]Sales_SP!FZ10</f>
        <v>1163.81</v>
      </c>
      <c r="F456" s="146">
        <f>[10]Sales_SP!GA10</f>
        <v>1167.31</v>
      </c>
      <c r="G456" s="146">
        <f>[10]Sales_SP!GB10</f>
        <v>1004.03</v>
      </c>
      <c r="H456" s="146">
        <f>[10]Sales_SP!GC10</f>
        <v>904.57</v>
      </c>
      <c r="I456" s="146">
        <f>[10]Sales_SP!GD10</f>
        <v>936.12</v>
      </c>
      <c r="J456" s="146">
        <f>[10]Sales_SP!GE10</f>
        <v>874.14</v>
      </c>
      <c r="K456" s="146">
        <f>[10]Sales_SP!GF10</f>
        <v>905.14</v>
      </c>
      <c r="L456" s="146">
        <f>[10]Sales_SP!GG10</f>
        <v>790.06</v>
      </c>
      <c r="M456" s="146">
        <f>[10]Sales_SP!GH10</f>
        <v>755.06</v>
      </c>
      <c r="N456" s="146">
        <f>[10]Sales_SP!GI10</f>
        <v>761.42</v>
      </c>
      <c r="O456" s="146">
        <f>[10]Sales_SP!GJ10</f>
        <v>771.96</v>
      </c>
      <c r="P456" s="146">
        <f>[10]Sales_SP!GK10</f>
        <v>1075.7</v>
      </c>
      <c r="Q456" s="916">
        <f t="shared" ref="Q456:Q469" si="103">SUM(E456:P456)</f>
        <v>11109.32</v>
      </c>
      <c r="R456" s="887"/>
      <c r="S456" s="887"/>
    </row>
    <row r="457" ht="15" spans="3:19">
      <c r="C457" s="55" t="s">
        <v>173</v>
      </c>
      <c r="D457" s="55" t="s">
        <v>174</v>
      </c>
      <c r="E457" s="146">
        <f>[10]Sales_SP!FZ23</f>
        <v>309.37</v>
      </c>
      <c r="F457" s="146">
        <f>[10]Sales_SP!GA23</f>
        <v>276.9</v>
      </c>
      <c r="G457" s="146">
        <f>[10]Sales_SP!GB23</f>
        <v>279.01</v>
      </c>
      <c r="H457" s="146">
        <f>[10]Sales_SP!GC23</f>
        <v>269.66</v>
      </c>
      <c r="I457" s="146">
        <f>[10]Sales_SP!GD23</f>
        <v>284.25</v>
      </c>
      <c r="J457" s="146">
        <f>[10]Sales_SP!GE23</f>
        <v>284.23</v>
      </c>
      <c r="K457" s="146">
        <f>[10]Sales_SP!GF23</f>
        <v>303.63</v>
      </c>
      <c r="L457" s="146">
        <f>[10]Sales_SP!GG23</f>
        <v>293.03</v>
      </c>
      <c r="M457" s="146">
        <f>[10]Sales_SP!GH23</f>
        <v>280.08</v>
      </c>
      <c r="N457" s="146">
        <f>[10]Sales_SP!GI23</f>
        <v>273.72</v>
      </c>
      <c r="O457" s="146">
        <f>[10]Sales_SP!GJ23</f>
        <v>290.42</v>
      </c>
      <c r="P457" s="146">
        <f>[10]Sales_SP!GK23</f>
        <v>266.48</v>
      </c>
      <c r="Q457" s="916">
        <f t="shared" si="103"/>
        <v>3410.78</v>
      </c>
      <c r="R457" s="887"/>
      <c r="S457" s="887"/>
    </row>
    <row r="458" ht="15" spans="3:19">
      <c r="C458" s="55" t="s">
        <v>175</v>
      </c>
      <c r="D458" s="55" t="s">
        <v>176</v>
      </c>
      <c r="E458" s="146">
        <f>[10]Sales_SP!FZ36</f>
        <v>85.07</v>
      </c>
      <c r="F458" s="146">
        <f>[10]Sales_SP!GA36</f>
        <v>79.49</v>
      </c>
      <c r="G458" s="146">
        <f>[10]Sales_SP!GB36</f>
        <v>82.44</v>
      </c>
      <c r="H458" s="146">
        <f>[10]Sales_SP!GC36</f>
        <v>82.04</v>
      </c>
      <c r="I458" s="146">
        <f>[10]Sales_SP!GD36</f>
        <v>82.57</v>
      </c>
      <c r="J458" s="146">
        <f>[10]Sales_SP!GE36</f>
        <v>75.84</v>
      </c>
      <c r="K458" s="146">
        <f>[10]Sales_SP!GF36</f>
        <v>81.68</v>
      </c>
      <c r="L458" s="146">
        <f>[10]Sales_SP!GG36</f>
        <v>88.75</v>
      </c>
      <c r="M458" s="146">
        <f>[10]Sales_SP!GH36</f>
        <v>99.94</v>
      </c>
      <c r="N458" s="146">
        <f>[10]Sales_SP!GI36</f>
        <v>91.3</v>
      </c>
      <c r="O458" s="146">
        <f>[10]Sales_SP!GJ36</f>
        <v>88.45</v>
      </c>
      <c r="P458" s="146">
        <f>[10]Sales_SP!GK36</f>
        <v>91.13</v>
      </c>
      <c r="Q458" s="916">
        <f t="shared" si="103"/>
        <v>1028.7</v>
      </c>
      <c r="R458" s="887"/>
      <c r="S458" s="887"/>
    </row>
    <row r="459" ht="15" spans="3:19">
      <c r="C459" s="55" t="s">
        <v>177</v>
      </c>
      <c r="D459" s="55" t="s">
        <v>178</v>
      </c>
      <c r="E459" s="146">
        <f>[10]Sales_SP!FZ43</f>
        <v>0.93</v>
      </c>
      <c r="F459" s="146">
        <f>[10]Sales_SP!GA43</f>
        <v>0.87</v>
      </c>
      <c r="G459" s="146">
        <f>[10]Sales_SP!GB43</f>
        <v>0.88</v>
      </c>
      <c r="H459" s="146">
        <f>[10]Sales_SP!GC43</f>
        <v>0.85</v>
      </c>
      <c r="I459" s="146">
        <f>[10]Sales_SP!GD43</f>
        <v>0.84</v>
      </c>
      <c r="J459" s="146">
        <f>[10]Sales_SP!GE43</f>
        <v>0.83</v>
      </c>
      <c r="K459" s="146">
        <f>[10]Sales_SP!GF43</f>
        <v>0.91</v>
      </c>
      <c r="L459" s="146">
        <f>[10]Sales_SP!GG43</f>
        <v>0.87</v>
      </c>
      <c r="M459" s="146">
        <f>[10]Sales_SP!GH43</f>
        <v>0.93</v>
      </c>
      <c r="N459" s="146">
        <f>[10]Sales_SP!GI43</f>
        <v>0.81</v>
      </c>
      <c r="O459" s="146">
        <f>[10]Sales_SP!GJ43</f>
        <v>0.8</v>
      </c>
      <c r="P459" s="146">
        <f>[10]Sales_SP!GK43</f>
        <v>0.96</v>
      </c>
      <c r="Q459" s="916">
        <f t="shared" si="103"/>
        <v>10.48</v>
      </c>
      <c r="R459" s="887"/>
      <c r="S459" s="887"/>
    </row>
    <row r="460" ht="15" spans="3:19">
      <c r="C460" s="55" t="s">
        <v>179</v>
      </c>
      <c r="D460" s="55" t="s">
        <v>180</v>
      </c>
      <c r="E460" s="146">
        <f>[10]Sales_SP!FZ48+[10]Sales_SP!FZ53</f>
        <v>3.021473</v>
      </c>
      <c r="F460" s="146">
        <f>[10]Sales_SP!GA48+[10]Sales_SP!GA53</f>
        <v>2.942122</v>
      </c>
      <c r="G460" s="146">
        <f>[10]Sales_SP!GB48+[10]Sales_SP!GB53</f>
        <v>2.883576</v>
      </c>
      <c r="H460" s="146">
        <f>[10]Sales_SP!GC48+[10]Sales_SP!GC53</f>
        <v>2.800345</v>
      </c>
      <c r="I460" s="146">
        <f>[10]Sales_SP!GD48+[10]Sales_SP!GD53</f>
        <v>2.910209</v>
      </c>
      <c r="J460" s="146">
        <f>[10]Sales_SP!GE48+[10]Sales_SP!GE53</f>
        <v>3.038111</v>
      </c>
      <c r="K460" s="146">
        <f>[10]Sales_SP!GF48+[10]Sales_SP!GF53</f>
        <v>3.011939</v>
      </c>
      <c r="L460" s="146">
        <f>[10]Sales_SP!GG48+[10]Sales_SP!GG53</f>
        <v>3.313599</v>
      </c>
      <c r="M460" s="146">
        <f>[10]Sales_SP!GH48+[10]Sales_SP!GH53</f>
        <v>3.259304</v>
      </c>
      <c r="N460" s="146">
        <f>[10]Sales_SP!GI48+[10]Sales_SP!GI53</f>
        <v>3.273915</v>
      </c>
      <c r="O460" s="146">
        <f>[10]Sales_SP!GJ48+[10]Sales_SP!GJ53</f>
        <v>3.3059284</v>
      </c>
      <c r="P460" s="146">
        <f>[10]Sales_SP!GK48+[10]Sales_SP!GK53</f>
        <v>3.321694</v>
      </c>
      <c r="Q460" s="916">
        <f t="shared" si="103"/>
        <v>37.0822154</v>
      </c>
      <c r="R460" s="887"/>
      <c r="S460" s="887"/>
    </row>
    <row r="461" ht="15" spans="3:19">
      <c r="C461" s="55" t="s">
        <v>181</v>
      </c>
      <c r="D461" s="55" t="s">
        <v>182</v>
      </c>
      <c r="E461" s="146">
        <f>[10]Sales_SP!FZ54</f>
        <v>41.83</v>
      </c>
      <c r="F461" s="146">
        <f>[10]Sales_SP!GA54</f>
        <v>40.02</v>
      </c>
      <c r="G461" s="146">
        <f>[10]Sales_SP!GB54</f>
        <v>37.83</v>
      </c>
      <c r="H461" s="146">
        <f>[10]Sales_SP!GC54</f>
        <v>36.89</v>
      </c>
      <c r="I461" s="146">
        <f>[10]Sales_SP!GD54</f>
        <v>38.26</v>
      </c>
      <c r="J461" s="146">
        <f>[10]Sales_SP!GE54</f>
        <v>37.43</v>
      </c>
      <c r="K461" s="146">
        <f>[10]Sales_SP!GF54</f>
        <v>42.1</v>
      </c>
      <c r="L461" s="146">
        <f>[10]Sales_SP!GG54</f>
        <v>41.4</v>
      </c>
      <c r="M461" s="146">
        <f>[10]Sales_SP!GH54</f>
        <v>42.8</v>
      </c>
      <c r="N461" s="146">
        <f>[10]Sales_SP!GI54</f>
        <v>41.81</v>
      </c>
      <c r="O461" s="146">
        <f>[10]Sales_SP!GJ54</f>
        <v>40.24</v>
      </c>
      <c r="P461" s="146">
        <f>[10]Sales_SP!GK54</f>
        <v>44.9</v>
      </c>
      <c r="Q461" s="916">
        <f t="shared" si="103"/>
        <v>485.51</v>
      </c>
      <c r="R461" s="887"/>
      <c r="S461" s="887"/>
    </row>
    <row r="462" ht="15" spans="3:19">
      <c r="C462" s="55" t="s">
        <v>183</v>
      </c>
      <c r="D462" s="55" t="s">
        <v>184</v>
      </c>
      <c r="E462" s="146">
        <f>[10]Sales_SP!FZ64</f>
        <v>9.37</v>
      </c>
      <c r="F462" s="146">
        <f>[10]Sales_SP!GA64</f>
        <v>7.32</v>
      </c>
      <c r="G462" s="146">
        <f>[10]Sales_SP!GB64</f>
        <v>7</v>
      </c>
      <c r="H462" s="146">
        <f>[10]Sales_SP!GC64</f>
        <v>7.3</v>
      </c>
      <c r="I462" s="146">
        <f>[10]Sales_SP!GD64</f>
        <v>7.9</v>
      </c>
      <c r="J462" s="146">
        <f>[10]Sales_SP!GE64</f>
        <v>7.26</v>
      </c>
      <c r="K462" s="146">
        <f>[10]Sales_SP!GF64</f>
        <v>7.23</v>
      </c>
      <c r="L462" s="146">
        <f>[10]Sales_SP!GG64</f>
        <v>7.76</v>
      </c>
      <c r="M462" s="146">
        <f>[10]Sales_SP!GH64</f>
        <v>7.74</v>
      </c>
      <c r="N462" s="146">
        <f>[10]Sales_SP!GI64</f>
        <v>6.4</v>
      </c>
      <c r="O462" s="146">
        <f>[10]Sales_SP!GJ64</f>
        <v>9.07</v>
      </c>
      <c r="P462" s="146">
        <f>[10]Sales_SP!GK64</f>
        <v>11.88</v>
      </c>
      <c r="Q462" s="916">
        <f t="shared" si="103"/>
        <v>96.23</v>
      </c>
      <c r="R462" s="887"/>
      <c r="S462" s="887"/>
    </row>
    <row r="463" ht="15" spans="3:19">
      <c r="C463" s="55" t="s">
        <v>185</v>
      </c>
      <c r="D463" s="55" t="s">
        <v>186</v>
      </c>
      <c r="E463" s="146">
        <f>[10]Sales_SP!FZ69</f>
        <v>9.98</v>
      </c>
      <c r="F463" s="146">
        <f>[10]Sales_SP!GA69</f>
        <v>9.37</v>
      </c>
      <c r="G463" s="146">
        <f>[10]Sales_SP!GB69</f>
        <v>9.07</v>
      </c>
      <c r="H463" s="146">
        <f>[10]Sales_SP!GC69</f>
        <v>8.73</v>
      </c>
      <c r="I463" s="146">
        <f>[10]Sales_SP!GD69</f>
        <v>9.14</v>
      </c>
      <c r="J463" s="146">
        <f>[10]Sales_SP!GE69</f>
        <v>9.16</v>
      </c>
      <c r="K463" s="146">
        <f>[10]Sales_SP!GF69</f>
        <v>7.78</v>
      </c>
      <c r="L463" s="146">
        <f>[10]Sales_SP!GG69</f>
        <v>7.33</v>
      </c>
      <c r="M463" s="146">
        <f>[10]Sales_SP!GH69</f>
        <v>8.15</v>
      </c>
      <c r="N463" s="146">
        <f>[10]Sales_SP!GI69</f>
        <v>8.23</v>
      </c>
      <c r="O463" s="146">
        <f>[10]Sales_SP!GJ69</f>
        <v>8.7</v>
      </c>
      <c r="P463" s="146">
        <f>[10]Sales_SP!GK69</f>
        <v>10.58</v>
      </c>
      <c r="Q463" s="916">
        <f t="shared" si="103"/>
        <v>106.22</v>
      </c>
      <c r="R463" s="887"/>
      <c r="S463" s="887"/>
    </row>
    <row r="464" ht="15" spans="3:19">
      <c r="C464" s="55" t="s">
        <v>187</v>
      </c>
      <c r="D464" s="55" t="s">
        <v>188</v>
      </c>
      <c r="E464" s="146">
        <f>[10]Sales_SP!FZ70</f>
        <v>0.13</v>
      </c>
      <c r="F464" s="146">
        <f>[10]Sales_SP!GA70</f>
        <v>0.13</v>
      </c>
      <c r="G464" s="146">
        <f>[10]Sales_SP!GB70</f>
        <v>0.13</v>
      </c>
      <c r="H464" s="146">
        <f>[10]Sales_SP!GC70</f>
        <v>0.14</v>
      </c>
      <c r="I464" s="146">
        <f>[10]Sales_SP!GD70</f>
        <v>0.16</v>
      </c>
      <c r="J464" s="146">
        <f>[10]Sales_SP!GE70</f>
        <v>0.17</v>
      </c>
      <c r="K464" s="146">
        <f>[10]Sales_SP!GF70</f>
        <v>0.14</v>
      </c>
      <c r="L464" s="146">
        <f>[10]Sales_SP!GG70</f>
        <v>0.19</v>
      </c>
      <c r="M464" s="146">
        <f>[10]Sales_SP!GH70</f>
        <v>0.19</v>
      </c>
      <c r="N464" s="146">
        <f>[10]Sales_SP!GI70</f>
        <v>0.23</v>
      </c>
      <c r="O464" s="146">
        <f>[10]Sales_SP!GJ70</f>
        <v>0.28</v>
      </c>
      <c r="P464" s="146">
        <f>[10]Sales_SP!GK70</f>
        <v>0.31</v>
      </c>
      <c r="Q464" s="916">
        <f t="shared" si="103"/>
        <v>2.2</v>
      </c>
      <c r="R464" s="887"/>
      <c r="S464" s="887"/>
    </row>
    <row r="465" ht="15" spans="3:19">
      <c r="C465" s="55"/>
      <c r="D465" s="55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916">
        <f t="shared" si="103"/>
        <v>0</v>
      </c>
      <c r="R465" s="887"/>
      <c r="S465" s="887"/>
    </row>
    <row r="466" ht="15" spans="3:19">
      <c r="C466" s="55"/>
      <c r="D466" s="55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916">
        <f t="shared" si="103"/>
        <v>0</v>
      </c>
      <c r="R466" s="887"/>
      <c r="S466" s="887"/>
    </row>
    <row r="467" ht="15" spans="3:19">
      <c r="C467" s="55"/>
      <c r="D467" s="55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916">
        <f t="shared" si="103"/>
        <v>0</v>
      </c>
      <c r="R467" s="887"/>
      <c r="S467" s="887"/>
    </row>
    <row r="468" ht="15" spans="3:19">
      <c r="C468" s="55" t="s">
        <v>258</v>
      </c>
      <c r="D468" s="55" t="s">
        <v>258</v>
      </c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916">
        <f t="shared" si="103"/>
        <v>0</v>
      </c>
      <c r="R468" s="887"/>
      <c r="S468" s="887"/>
    </row>
    <row r="469" ht="15" spans="3:19">
      <c r="C469" s="537" t="s">
        <v>189</v>
      </c>
      <c r="D469" s="540"/>
      <c r="E469" s="916">
        <f t="shared" ref="E469:P469" si="104">SUM(E456:E468)</f>
        <v>1623.511473</v>
      </c>
      <c r="F469" s="916">
        <f t="shared" si="104"/>
        <v>1584.352122</v>
      </c>
      <c r="G469" s="916">
        <f t="shared" si="104"/>
        <v>1423.273576</v>
      </c>
      <c r="H469" s="916">
        <f t="shared" si="104"/>
        <v>1312.980345</v>
      </c>
      <c r="I469" s="916">
        <f t="shared" si="104"/>
        <v>1362.150209</v>
      </c>
      <c r="J469" s="916">
        <f t="shared" si="104"/>
        <v>1292.098111</v>
      </c>
      <c r="K469" s="916">
        <f t="shared" si="104"/>
        <v>1351.621939</v>
      </c>
      <c r="L469" s="916">
        <f t="shared" si="104"/>
        <v>1232.703599</v>
      </c>
      <c r="M469" s="916">
        <f t="shared" si="104"/>
        <v>1198.149304</v>
      </c>
      <c r="N469" s="916">
        <f t="shared" si="104"/>
        <v>1187.193915</v>
      </c>
      <c r="O469" s="916">
        <f t="shared" si="104"/>
        <v>1213.2259284</v>
      </c>
      <c r="P469" s="916">
        <f t="shared" si="104"/>
        <v>1505.261694</v>
      </c>
      <c r="Q469" s="916">
        <f t="shared" si="103"/>
        <v>16286.5222154</v>
      </c>
      <c r="R469" s="887"/>
      <c r="S469" s="887"/>
    </row>
    <row r="470" ht="15" spans="3:19">
      <c r="C470" s="44" t="s">
        <v>190</v>
      </c>
      <c r="D470" s="45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58"/>
      <c r="R470" s="887"/>
      <c r="S470" s="887"/>
    </row>
    <row r="471" ht="15" spans="3:19">
      <c r="C471" s="55" t="s">
        <v>191</v>
      </c>
      <c r="D471" s="55" t="s">
        <v>192</v>
      </c>
      <c r="E471" s="146">
        <f>[10]Sales_SP!FZ89</f>
        <v>373.6</v>
      </c>
      <c r="F471" s="146">
        <f>[10]Sales_SP!GA89</f>
        <v>338.39</v>
      </c>
      <c r="G471" s="146">
        <f>[10]Sales_SP!GB89</f>
        <v>352.73</v>
      </c>
      <c r="H471" s="146">
        <f>[10]Sales_SP!GC89</f>
        <v>343.59</v>
      </c>
      <c r="I471" s="146">
        <f>[10]Sales_SP!GD89</f>
        <v>354.56</v>
      </c>
      <c r="J471" s="146">
        <f>[10]Sales_SP!GE89</f>
        <v>354.31</v>
      </c>
      <c r="K471" s="146">
        <f>[10]Sales_SP!GF89</f>
        <v>361.34</v>
      </c>
      <c r="L471" s="146">
        <f>[10]Sales_SP!GG89</f>
        <v>395.43</v>
      </c>
      <c r="M471" s="146">
        <f>[10]Sales_SP!GH89</f>
        <v>404.25</v>
      </c>
      <c r="N471" s="146">
        <f>[10]Sales_SP!GI89</f>
        <v>408.44</v>
      </c>
      <c r="O471" s="146">
        <f>[10]Sales_SP!GJ89</f>
        <v>415.03</v>
      </c>
      <c r="P471" s="146">
        <f>[10]Sales_SP!GK89</f>
        <v>389.75</v>
      </c>
      <c r="Q471" s="916">
        <f t="shared" ref="Q471:Q486" si="105">SUM(E471:P471)</f>
        <v>4491.42</v>
      </c>
      <c r="R471" s="887"/>
      <c r="S471" s="887"/>
    </row>
    <row r="472" ht="15" spans="3:19">
      <c r="C472" s="55" t="s">
        <v>193</v>
      </c>
      <c r="D472" s="55" t="s">
        <v>194</v>
      </c>
      <c r="E472" s="146">
        <f>[10]Sales_SP!FZ104</f>
        <v>0.02</v>
      </c>
      <c r="F472" s="146">
        <f>[10]Sales_SP!GA104</f>
        <v>0.01</v>
      </c>
      <c r="G472" s="146">
        <f>[10]Sales_SP!GB104</f>
        <v>0</v>
      </c>
      <c r="H472" s="146">
        <f>[10]Sales_SP!GC104</f>
        <v>0</v>
      </c>
      <c r="I472" s="146">
        <f>[10]Sales_SP!GD104</f>
        <v>0.01</v>
      </c>
      <c r="J472" s="146">
        <f>[10]Sales_SP!GE104</f>
        <v>0.03</v>
      </c>
      <c r="K472" s="146">
        <f>[10]Sales_SP!GF104</f>
        <v>0.02</v>
      </c>
      <c r="L472" s="146">
        <f>[10]Sales_SP!GG104</f>
        <v>0.01</v>
      </c>
      <c r="M472" s="146">
        <f>[10]Sales_SP!GH104</f>
        <v>0</v>
      </c>
      <c r="N472" s="146">
        <f>[10]Sales_SP!GI104</f>
        <v>0</v>
      </c>
      <c r="O472" s="146">
        <f>[10]Sales_SP!GJ104</f>
        <v>0.01</v>
      </c>
      <c r="P472" s="146">
        <f>[10]Sales_SP!GK104</f>
        <v>0.03</v>
      </c>
      <c r="Q472" s="916">
        <f t="shared" si="105"/>
        <v>0.14</v>
      </c>
      <c r="R472" s="887"/>
      <c r="S472" s="887"/>
    </row>
    <row r="473" ht="15" spans="3:19">
      <c r="C473" s="55" t="s">
        <v>239</v>
      </c>
      <c r="D473" s="55" t="s">
        <v>196</v>
      </c>
      <c r="E473" s="146">
        <f>[10]Sales_SP!FZ110</f>
        <v>197.968530831982</v>
      </c>
      <c r="F473" s="146">
        <f>[10]Sales_SP!GA110</f>
        <v>218.684102805204</v>
      </c>
      <c r="G473" s="146">
        <f>[10]Sales_SP!GB110</f>
        <v>219.591860732094</v>
      </c>
      <c r="H473" s="146">
        <f>[10]Sales_SP!GC110</f>
        <v>187.328140402965</v>
      </c>
      <c r="I473" s="146">
        <f>[10]Sales_SP!GD110</f>
        <v>202.214224267365</v>
      </c>
      <c r="J473" s="146">
        <f>[10]Sales_SP!GE110</f>
        <v>188.50618558415</v>
      </c>
      <c r="K473" s="146">
        <f>[10]Sales_SP!GF110</f>
        <v>179.438902522079</v>
      </c>
      <c r="L473" s="146">
        <f>[10]Sales_SP!GG110</f>
        <v>169.782847233589</v>
      </c>
      <c r="M473" s="146">
        <f>[10]Sales_SP!GH110</f>
        <v>166.23839411488</v>
      </c>
      <c r="N473" s="146">
        <f>[10]Sales_SP!GI110</f>
        <v>169.5693651758</v>
      </c>
      <c r="O473" s="146">
        <f>[10]Sales_SP!GJ110</f>
        <v>171.606368667897</v>
      </c>
      <c r="P473" s="146">
        <f>[10]Sales_SP!GK110</f>
        <v>263.297119633053</v>
      </c>
      <c r="Q473" s="916">
        <f t="shared" si="105"/>
        <v>2334.22604197106</v>
      </c>
      <c r="R473" s="887"/>
      <c r="S473" s="887"/>
    </row>
    <row r="474" ht="15" spans="3:19">
      <c r="C474" s="55" t="s">
        <v>197</v>
      </c>
      <c r="D474" s="55" t="s">
        <v>198</v>
      </c>
      <c r="E474" s="146">
        <f>[10]Sales_SP!FZ115</f>
        <v>0.0229412896748741</v>
      </c>
      <c r="F474" s="146">
        <f>[10]Sales_SP!GA115</f>
        <v>0.0215886982102555</v>
      </c>
      <c r="G474" s="146">
        <f>[10]Sales_SP!GB115</f>
        <v>0.0210520372771004</v>
      </c>
      <c r="H474" s="146">
        <f>[10]Sales_SP!GC115</f>
        <v>0.0197792371262841</v>
      </c>
      <c r="I474" s="146">
        <f>[10]Sales_SP!GD115</f>
        <v>0.0203995502432643</v>
      </c>
      <c r="J474" s="146">
        <f>[10]Sales_SP!GE115</f>
        <v>0.0208667155160108</v>
      </c>
      <c r="K474" s="146">
        <f>[10]Sales_SP!GF115</f>
        <v>0.0239309593573592</v>
      </c>
      <c r="L474" s="146">
        <f>[10]Sales_SP!GG115</f>
        <v>0.0242578463526143</v>
      </c>
      <c r="M474" s="146">
        <f>[10]Sales_SP!GH115</f>
        <v>0.0226066809395736</v>
      </c>
      <c r="N474" s="146">
        <f>[10]Sales_SP!GI115</f>
        <v>0.0213724894889843</v>
      </c>
      <c r="O474" s="146">
        <f>[10]Sales_SP!GJ115</f>
        <v>0.0221086287066455</v>
      </c>
      <c r="P474" s="146">
        <f>[10]Sales_SP!GK115</f>
        <v>0.0232746114535004</v>
      </c>
      <c r="Q474" s="916">
        <f t="shared" si="105"/>
        <v>0.264178744346466</v>
      </c>
      <c r="R474" s="887"/>
      <c r="S474" s="887"/>
    </row>
    <row r="475" ht="15" spans="3:19">
      <c r="C475" s="55" t="s">
        <v>199</v>
      </c>
      <c r="D475" s="55" t="s">
        <v>200</v>
      </c>
      <c r="E475" s="146">
        <f>[10]Sales_SP!FZ120</f>
        <v>0.53</v>
      </c>
      <c r="F475" s="146">
        <f>[10]Sales_SP!GA120</f>
        <v>0.14</v>
      </c>
      <c r="G475" s="146">
        <f>[10]Sales_SP!GB120</f>
        <v>0.09</v>
      </c>
      <c r="H475" s="146">
        <f>[10]Sales_SP!GC120</f>
        <v>0.11</v>
      </c>
      <c r="I475" s="146">
        <f>[10]Sales_SP!GD120</f>
        <v>0.32</v>
      </c>
      <c r="J475" s="146">
        <f>[10]Sales_SP!GE120</f>
        <v>0.44</v>
      </c>
      <c r="K475" s="146">
        <f>[10]Sales_SP!GF120</f>
        <v>0.41</v>
      </c>
      <c r="L475" s="146">
        <f>[10]Sales_SP!GG120</f>
        <v>0.54</v>
      </c>
      <c r="M475" s="146">
        <f>[10]Sales_SP!GH120</f>
        <v>0.31</v>
      </c>
      <c r="N475" s="146">
        <f>[10]Sales_SP!GI120</f>
        <v>0.72</v>
      </c>
      <c r="O475" s="146">
        <f>[10]Sales_SP!GJ120</f>
        <v>0.82</v>
      </c>
      <c r="P475" s="146">
        <f>[10]Sales_SP!GK120</f>
        <v>0.84</v>
      </c>
      <c r="Q475" s="916">
        <f t="shared" si="105"/>
        <v>5.27</v>
      </c>
      <c r="R475" s="887"/>
      <c r="S475" s="887"/>
    </row>
    <row r="476" ht="15" spans="3:19">
      <c r="C476" s="55" t="s">
        <v>201</v>
      </c>
      <c r="D476" s="55" t="s">
        <v>202</v>
      </c>
      <c r="E476" s="146">
        <f>[10]Sales_SP!FZ126</f>
        <v>8.16763135</v>
      </c>
      <c r="F476" s="146">
        <f>[10]Sales_SP!GA126</f>
        <v>3.9381189</v>
      </c>
      <c r="G476" s="146">
        <f>[10]Sales_SP!GB126</f>
        <v>3.5725566535</v>
      </c>
      <c r="H476" s="146">
        <f>[10]Sales_SP!GC126</f>
        <v>4.1136285</v>
      </c>
      <c r="I476" s="146">
        <f>[10]Sales_SP!GD126</f>
        <v>5.66707195</v>
      </c>
      <c r="J476" s="146">
        <f>[10]Sales_SP!GE126</f>
        <v>8.25390845</v>
      </c>
      <c r="K476" s="146">
        <f>[10]Sales_SP!GF126</f>
        <v>7.370902408</v>
      </c>
      <c r="L476" s="146">
        <f>[10]Sales_SP!GG126</f>
        <v>4.66359656399999</v>
      </c>
      <c r="M476" s="146">
        <f>[10]Sales_SP!GH126</f>
        <v>5.893385067</v>
      </c>
      <c r="N476" s="146">
        <f>[10]Sales_SP!GI126</f>
        <v>9.550915866</v>
      </c>
      <c r="O476" s="146">
        <f>[10]Sales_SP!GJ126</f>
        <v>10.23269688</v>
      </c>
      <c r="P476" s="146">
        <f>[10]Sales_SP!GK126</f>
        <v>5.623100366</v>
      </c>
      <c r="Q476" s="916">
        <f t="shared" si="105"/>
        <v>77.0475129545</v>
      </c>
      <c r="R476" s="887"/>
      <c r="S476" s="887"/>
    </row>
    <row r="477" ht="15" spans="3:19">
      <c r="C477" s="55" t="s">
        <v>203</v>
      </c>
      <c r="D477" s="55" t="s">
        <v>204</v>
      </c>
      <c r="E477" s="146">
        <f>[10]Sales_SP!FZ127</f>
        <v>11.70236865</v>
      </c>
      <c r="F477" s="146">
        <f>[10]Sales_SP!GA127</f>
        <v>11.2118811</v>
      </c>
      <c r="G477" s="146">
        <f>[10]Sales_SP!GB127</f>
        <v>11.1674433465</v>
      </c>
      <c r="H477" s="146">
        <f>[10]Sales_SP!GC127</f>
        <v>11.0363715</v>
      </c>
      <c r="I477" s="146">
        <f>[10]Sales_SP!GD127</f>
        <v>11.11292805</v>
      </c>
      <c r="J477" s="146">
        <f>[10]Sales_SP!GE127</f>
        <v>10.63609155</v>
      </c>
      <c r="K477" s="146">
        <f>[10]Sales_SP!GF127</f>
        <v>12.049097592</v>
      </c>
      <c r="L477" s="146">
        <f>[10]Sales_SP!GG127</f>
        <v>12.826403436</v>
      </c>
      <c r="M477" s="146">
        <f>[10]Sales_SP!GH127</f>
        <v>12.316614933</v>
      </c>
      <c r="N477" s="146">
        <f>[10]Sales_SP!GI127</f>
        <v>12.739084134</v>
      </c>
      <c r="O477" s="146">
        <f>[10]Sales_SP!GJ127</f>
        <v>12.65730312</v>
      </c>
      <c r="P477" s="146">
        <f>[10]Sales_SP!GK127</f>
        <v>17.016899634</v>
      </c>
      <c r="Q477" s="916">
        <f t="shared" si="105"/>
        <v>146.4724870455</v>
      </c>
      <c r="R477" s="887"/>
      <c r="S477" s="887"/>
    </row>
    <row r="478" ht="15" spans="3:19">
      <c r="C478" s="55" t="s">
        <v>205</v>
      </c>
      <c r="D478" s="55" t="s">
        <v>206</v>
      </c>
      <c r="E478" s="146">
        <f>[10]Sales_SP!FZ131</f>
        <v>21.31</v>
      </c>
      <c r="F478" s="146">
        <f>[10]Sales_SP!GA131</f>
        <v>21.63</v>
      </c>
      <c r="G478" s="146">
        <f>[10]Sales_SP!GB131</f>
        <v>21.15</v>
      </c>
      <c r="H478" s="146">
        <f>[10]Sales_SP!GC131</f>
        <v>17.51</v>
      </c>
      <c r="I478" s="146">
        <f>[10]Sales_SP!GD131</f>
        <v>18.13</v>
      </c>
      <c r="J478" s="146">
        <f>[10]Sales_SP!GE131</f>
        <v>18.51</v>
      </c>
      <c r="K478" s="146">
        <f>[10]Sales_SP!GF131</f>
        <v>17.45</v>
      </c>
      <c r="L478" s="146">
        <f>[10]Sales_SP!GG131</f>
        <v>17.68</v>
      </c>
      <c r="M478" s="146">
        <f>[10]Sales_SP!GH131</f>
        <v>16.88</v>
      </c>
      <c r="N478" s="146">
        <f>[10]Sales_SP!GI131</f>
        <v>17.49</v>
      </c>
      <c r="O478" s="146">
        <f>[10]Sales_SP!GJ131</f>
        <v>17.66</v>
      </c>
      <c r="P478" s="146">
        <f>[10]Sales_SP!GK131</f>
        <v>17.24</v>
      </c>
      <c r="Q478" s="916">
        <f t="shared" si="105"/>
        <v>222.64</v>
      </c>
      <c r="R478" s="887"/>
      <c r="S478" s="887"/>
    </row>
    <row r="479" ht="15" spans="3:19">
      <c r="C479" s="55" t="s">
        <v>207</v>
      </c>
      <c r="D479" s="55" t="s">
        <v>186</v>
      </c>
      <c r="E479" s="146">
        <f>[10]Sales_SP!FZ132</f>
        <v>13.65</v>
      </c>
      <c r="F479" s="146">
        <f>[10]Sales_SP!GA132</f>
        <v>13.09</v>
      </c>
      <c r="G479" s="146">
        <f>[10]Sales_SP!GB132</f>
        <v>13.9</v>
      </c>
      <c r="H479" s="146">
        <f>[10]Sales_SP!GC132</f>
        <v>12.12</v>
      </c>
      <c r="I479" s="146">
        <f>[10]Sales_SP!GD132</f>
        <v>13.46</v>
      </c>
      <c r="J479" s="146">
        <f>[10]Sales_SP!GE132</f>
        <v>14.61</v>
      </c>
      <c r="K479" s="146">
        <f>[10]Sales_SP!GF132</f>
        <v>15.12</v>
      </c>
      <c r="L479" s="146">
        <f>[10]Sales_SP!GG132</f>
        <v>14.53</v>
      </c>
      <c r="M479" s="146">
        <f>[10]Sales_SP!GH132</f>
        <v>14.56</v>
      </c>
      <c r="N479" s="146">
        <f>[10]Sales_SP!GI132</f>
        <v>15.5</v>
      </c>
      <c r="O479" s="146">
        <f>[10]Sales_SP!GJ132</f>
        <v>14.83</v>
      </c>
      <c r="P479" s="146">
        <f>[10]Sales_SP!GK132</f>
        <v>14.35</v>
      </c>
      <c r="Q479" s="916">
        <f t="shared" si="105"/>
        <v>169.72</v>
      </c>
      <c r="R479" s="887"/>
      <c r="S479" s="887"/>
    </row>
    <row r="480" ht="15" spans="3:19">
      <c r="C480" s="55" t="s">
        <v>208</v>
      </c>
      <c r="D480" s="55" t="s">
        <v>209</v>
      </c>
      <c r="E480" s="146">
        <f>[10]Sales_SP!FZ133</f>
        <v>0</v>
      </c>
      <c r="F480" s="146">
        <f>[10]Sales_SP!GA133</f>
        <v>0</v>
      </c>
      <c r="G480" s="146">
        <f>[10]Sales_SP!GB133</f>
        <v>0</v>
      </c>
      <c r="H480" s="146">
        <f>[10]Sales_SP!GC133</f>
        <v>0</v>
      </c>
      <c r="I480" s="146">
        <f>[10]Sales_SP!GD133</f>
        <v>0</v>
      </c>
      <c r="J480" s="146">
        <f>[10]Sales_SP!GE133</f>
        <v>0</v>
      </c>
      <c r="K480" s="146">
        <f>[10]Sales_SP!GF133</f>
        <v>0</v>
      </c>
      <c r="L480" s="146">
        <f>[10]Sales_SP!GG133</f>
        <v>0</v>
      </c>
      <c r="M480" s="146">
        <f>[10]Sales_SP!GH133</f>
        <v>0</v>
      </c>
      <c r="N480" s="146">
        <f>[10]Sales_SP!GI133</f>
        <v>0</v>
      </c>
      <c r="O480" s="146">
        <f>[10]Sales_SP!GJ133</f>
        <v>0</v>
      </c>
      <c r="P480" s="146">
        <f>[10]Sales_SP!GK133</f>
        <v>0</v>
      </c>
      <c r="Q480" s="916">
        <f t="shared" si="105"/>
        <v>0</v>
      </c>
      <c r="R480" s="887"/>
      <c r="S480" s="887"/>
    </row>
    <row r="481" ht="15" spans="3:19">
      <c r="C481" s="55" t="s">
        <v>210</v>
      </c>
      <c r="D481" s="55" t="s">
        <v>188</v>
      </c>
      <c r="E481" s="146">
        <f>[10]Sales_SP!FZ134</f>
        <v>0.51</v>
      </c>
      <c r="F481" s="146">
        <f>[10]Sales_SP!GA134</f>
        <v>0.5</v>
      </c>
      <c r="G481" s="146">
        <f>[10]Sales_SP!GB134</f>
        <v>0.53</v>
      </c>
      <c r="H481" s="146">
        <f>[10]Sales_SP!GC134</f>
        <v>0.47</v>
      </c>
      <c r="I481" s="146">
        <f>[10]Sales_SP!GD134</f>
        <v>0.46</v>
      </c>
      <c r="J481" s="146">
        <f>[10]Sales_SP!GE134</f>
        <v>0.49</v>
      </c>
      <c r="K481" s="146">
        <f>[10]Sales_SP!GF134</f>
        <v>1.5</v>
      </c>
      <c r="L481" s="146">
        <f>[10]Sales_SP!GG134</f>
        <v>0.47</v>
      </c>
      <c r="M481" s="146">
        <f>[10]Sales_SP!GH134</f>
        <v>0.48</v>
      </c>
      <c r="N481" s="146">
        <f>[10]Sales_SP!GI134</f>
        <v>0.45</v>
      </c>
      <c r="O481" s="146">
        <f>[10]Sales_SP!GJ134</f>
        <v>0.42</v>
      </c>
      <c r="P481" s="146">
        <f>[10]Sales_SP!GK134</f>
        <v>0.43</v>
      </c>
      <c r="Q481" s="916">
        <f t="shared" si="105"/>
        <v>6.71</v>
      </c>
      <c r="R481" s="887"/>
      <c r="S481" s="887"/>
    </row>
    <row r="482" ht="15" spans="3:19">
      <c r="C482" s="55"/>
      <c r="D482" s="55"/>
      <c r="E482" s="146"/>
      <c r="F482" s="146"/>
      <c r="G482" s="146"/>
      <c r="H482" s="146"/>
      <c r="I482" s="146"/>
      <c r="J482" s="146"/>
      <c r="K482" s="146"/>
      <c r="L482" s="146"/>
      <c r="M482" s="146"/>
      <c r="N482" s="146"/>
      <c r="O482" s="146"/>
      <c r="P482" s="146"/>
      <c r="Q482" s="916">
        <f t="shared" si="105"/>
        <v>0</v>
      </c>
      <c r="R482" s="887"/>
      <c r="S482" s="887"/>
    </row>
    <row r="483" ht="15" spans="3:19">
      <c r="C483" s="55"/>
      <c r="D483" s="55"/>
      <c r="E483" s="146"/>
      <c r="F483" s="146"/>
      <c r="G483" s="146"/>
      <c r="H483" s="146"/>
      <c r="I483" s="146"/>
      <c r="J483" s="146"/>
      <c r="K483" s="146"/>
      <c r="L483" s="146"/>
      <c r="M483" s="146"/>
      <c r="N483" s="146"/>
      <c r="O483" s="146"/>
      <c r="P483" s="146"/>
      <c r="Q483" s="916">
        <f t="shared" si="105"/>
        <v>0</v>
      </c>
      <c r="R483" s="887"/>
      <c r="S483" s="887"/>
    </row>
    <row r="484" ht="15" spans="3:19">
      <c r="C484" s="55"/>
      <c r="D484" s="55"/>
      <c r="E484" s="146"/>
      <c r="F484" s="146"/>
      <c r="G484" s="146"/>
      <c r="H484" s="146"/>
      <c r="I484" s="146"/>
      <c r="J484" s="146"/>
      <c r="K484" s="146"/>
      <c r="L484" s="146"/>
      <c r="M484" s="146"/>
      <c r="N484" s="146"/>
      <c r="O484" s="146"/>
      <c r="P484" s="146"/>
      <c r="Q484" s="916">
        <f t="shared" si="105"/>
        <v>0</v>
      </c>
      <c r="R484" s="887"/>
      <c r="S484" s="887"/>
    </row>
    <row r="485" ht="15" spans="3:19">
      <c r="C485" s="55" t="s">
        <v>258</v>
      </c>
      <c r="D485" s="55" t="s">
        <v>258</v>
      </c>
      <c r="E485" s="146"/>
      <c r="F485" s="146"/>
      <c r="G485" s="146"/>
      <c r="H485" s="146"/>
      <c r="I485" s="146"/>
      <c r="J485" s="146"/>
      <c r="K485" s="146"/>
      <c r="L485" s="146"/>
      <c r="M485" s="146"/>
      <c r="N485" s="146"/>
      <c r="O485" s="146"/>
      <c r="P485" s="146"/>
      <c r="Q485" s="916">
        <f t="shared" si="105"/>
        <v>0</v>
      </c>
      <c r="R485" s="887"/>
      <c r="S485" s="887"/>
    </row>
    <row r="486" ht="15" spans="3:19">
      <c r="C486" s="537" t="s">
        <v>211</v>
      </c>
      <c r="D486" s="540"/>
      <c r="E486" s="916">
        <f t="shared" ref="E486:P486" si="106">SUM(E471:E485)</f>
        <v>627.481472121657</v>
      </c>
      <c r="F486" s="916">
        <f t="shared" si="106"/>
        <v>607.615691503414</v>
      </c>
      <c r="G486" s="916">
        <f t="shared" si="106"/>
        <v>622.752912769371</v>
      </c>
      <c r="H486" s="916">
        <f t="shared" si="106"/>
        <v>576.297919640091</v>
      </c>
      <c r="I486" s="916">
        <f t="shared" si="106"/>
        <v>605.954623817609</v>
      </c>
      <c r="J486" s="916">
        <f t="shared" si="106"/>
        <v>595.807052299666</v>
      </c>
      <c r="K486" s="916">
        <f t="shared" si="106"/>
        <v>594.722833481436</v>
      </c>
      <c r="L486" s="916">
        <f t="shared" si="106"/>
        <v>615.957105079941</v>
      </c>
      <c r="M486" s="916">
        <f t="shared" si="106"/>
        <v>620.95100079582</v>
      </c>
      <c r="N486" s="916">
        <f t="shared" si="106"/>
        <v>634.480737665289</v>
      </c>
      <c r="O486" s="916">
        <f t="shared" si="106"/>
        <v>643.288477296604</v>
      </c>
      <c r="P486" s="916">
        <f t="shared" si="106"/>
        <v>708.600394244506</v>
      </c>
      <c r="Q486" s="916">
        <f t="shared" si="105"/>
        <v>7453.9102207154</v>
      </c>
      <c r="R486" s="887"/>
      <c r="S486" s="887"/>
    </row>
    <row r="487" ht="15" spans="3:19">
      <c r="C487" s="44" t="s">
        <v>212</v>
      </c>
      <c r="D487" s="45"/>
      <c r="E487" s="146"/>
      <c r="F487" s="146"/>
      <c r="G487" s="146"/>
      <c r="H487" s="146"/>
      <c r="I487" s="146"/>
      <c r="J487" s="146"/>
      <c r="K487" s="146"/>
      <c r="L487" s="146"/>
      <c r="M487" s="146"/>
      <c r="N487" s="146"/>
      <c r="O487" s="146"/>
      <c r="P487" s="146"/>
      <c r="Q487" s="158"/>
      <c r="R487" s="887"/>
      <c r="S487" s="887"/>
    </row>
    <row r="488" ht="15" spans="3:19">
      <c r="C488" s="55" t="s">
        <v>191</v>
      </c>
      <c r="D488" s="55" t="s">
        <v>192</v>
      </c>
      <c r="E488" s="146">
        <f>[10]Sales_SP!FZ152</f>
        <v>471.139963686684</v>
      </c>
      <c r="F488" s="146">
        <f>[10]Sales_SP!GA152</f>
        <v>451.049963686684</v>
      </c>
      <c r="G488" s="146">
        <f>[10]Sales_SP!GB152</f>
        <v>464.319963686683</v>
      </c>
      <c r="H488" s="146">
        <f>[10]Sales_SP!GC152</f>
        <v>444.329963686683</v>
      </c>
      <c r="I488" s="146">
        <f>[10]Sales_SP!GD152</f>
        <v>444.819963686684</v>
      </c>
      <c r="J488" s="146">
        <f>[10]Sales_SP!GE152</f>
        <v>462.079963686683</v>
      </c>
      <c r="K488" s="146">
        <f>[10]Sales_SP!GF152</f>
        <v>587.269963686683</v>
      </c>
      <c r="L488" s="146">
        <f>[10]Sales_SP!GG152</f>
        <v>537.399963686684</v>
      </c>
      <c r="M488" s="146">
        <f>[10]Sales_SP!GH152</f>
        <v>543.759963686683</v>
      </c>
      <c r="N488" s="146">
        <f>[10]Sales_SP!GI152</f>
        <v>547.099963686684</v>
      </c>
      <c r="O488" s="146">
        <f>[10]Sales_SP!GJ152</f>
        <v>564.129963686683</v>
      </c>
      <c r="P488" s="146">
        <f>[10]Sales_SP!GK152</f>
        <v>554.739963686683</v>
      </c>
      <c r="Q488" s="916">
        <f t="shared" ref="Q488:Q503" si="107">SUM(E488:P488)</f>
        <v>6072.1395642402</v>
      </c>
      <c r="R488" s="887"/>
      <c r="S488" s="887"/>
    </row>
    <row r="489" ht="15" spans="3:19">
      <c r="C489" s="55" t="s">
        <v>193</v>
      </c>
      <c r="D489" s="55" t="s">
        <v>194</v>
      </c>
      <c r="E489" s="146">
        <f>[10]Sales_SP!FZ168</f>
        <v>0</v>
      </c>
      <c r="F489" s="146">
        <f>[10]Sales_SP!GA168</f>
        <v>0</v>
      </c>
      <c r="G489" s="146">
        <f>[10]Sales_SP!GB168</f>
        <v>0</v>
      </c>
      <c r="H489" s="146">
        <f>[10]Sales_SP!GC168</f>
        <v>0</v>
      </c>
      <c r="I489" s="146">
        <f>[10]Sales_SP!GD168</f>
        <v>0</v>
      </c>
      <c r="J489" s="146">
        <f>[10]Sales_SP!GE168</f>
        <v>0</v>
      </c>
      <c r="K489" s="146">
        <f>[10]Sales_SP!GF168</f>
        <v>0</v>
      </c>
      <c r="L489" s="146">
        <f>[10]Sales_SP!GG168</f>
        <v>0</v>
      </c>
      <c r="M489" s="146">
        <f>[10]Sales_SP!GH168</f>
        <v>0</v>
      </c>
      <c r="N489" s="146">
        <f>[10]Sales_SP!GI168</f>
        <v>0</v>
      </c>
      <c r="O489" s="146">
        <f>[10]Sales_SP!GJ168</f>
        <v>0</v>
      </c>
      <c r="P489" s="146">
        <f>[10]Sales_SP!GK168</f>
        <v>0</v>
      </c>
      <c r="Q489" s="916">
        <f t="shared" si="107"/>
        <v>0</v>
      </c>
      <c r="R489" s="887"/>
      <c r="S489" s="887"/>
    </row>
    <row r="490" ht="15" spans="3:19">
      <c r="C490" s="55" t="s">
        <v>239</v>
      </c>
      <c r="D490" s="55" t="s">
        <v>196</v>
      </c>
      <c r="E490" s="146">
        <f>[10]Sales_SP!FZ174</f>
        <v>134.282740817244</v>
      </c>
      <c r="F490" s="146">
        <f>[10]Sales_SP!GA174</f>
        <v>144.842059252767</v>
      </c>
      <c r="G490" s="146">
        <f>[10]Sales_SP!GB174</f>
        <v>144.081584642054</v>
      </c>
      <c r="H490" s="146">
        <f>[10]Sales_SP!GC174</f>
        <v>134.172733883409</v>
      </c>
      <c r="I490" s="146">
        <f>[10]Sales_SP!GD174</f>
        <v>136.020102391575</v>
      </c>
      <c r="J490" s="146">
        <f>[10]Sales_SP!GE174</f>
        <v>128.510207320309</v>
      </c>
      <c r="K490" s="146">
        <f>[10]Sales_SP!GF174</f>
        <v>123.785520807118</v>
      </c>
      <c r="L490" s="146">
        <f>[10]Sales_SP!GG174</f>
        <v>121.801162250533</v>
      </c>
      <c r="M490" s="146">
        <f>[10]Sales_SP!GH174</f>
        <v>118.514237461129</v>
      </c>
      <c r="N490" s="146">
        <f>[10]Sales_SP!GI174</f>
        <v>121.602861015898</v>
      </c>
      <c r="O490" s="146">
        <f>[10]Sales_SP!GJ174</f>
        <v>124.890372778488</v>
      </c>
      <c r="P490" s="146">
        <f>[10]Sales_SP!GK174</f>
        <v>185.456108669798</v>
      </c>
      <c r="Q490" s="916">
        <f t="shared" si="107"/>
        <v>1617.95969129032</v>
      </c>
      <c r="R490" s="887"/>
      <c r="S490" s="887"/>
    </row>
    <row r="491" ht="15" spans="3:19">
      <c r="C491" s="55" t="s">
        <v>197</v>
      </c>
      <c r="D491" s="55" t="s">
        <v>198</v>
      </c>
      <c r="E491" s="146">
        <f>[10]Sales_SP!FZ180</f>
        <v>0.188444019671994</v>
      </c>
      <c r="F491" s="146">
        <f>[10]Sales_SP!GA180</f>
        <v>0.201919672415988</v>
      </c>
      <c r="G491" s="146">
        <f>[10]Sales_SP!GB180</f>
        <v>0.216670671998923</v>
      </c>
      <c r="H491" s="146">
        <f>[10]Sales_SP!GC180</f>
        <v>0.1948207538667</v>
      </c>
      <c r="I491" s="146">
        <f>[10]Sales_SP!GD180</f>
        <v>0.203425503623412</v>
      </c>
      <c r="J491" s="146">
        <f>[10]Sales_SP!GE180</f>
        <v>0.217193103234152</v>
      </c>
      <c r="K491" s="146">
        <f>[10]Sales_SP!GF180</f>
        <v>0.175921035651065</v>
      </c>
      <c r="L491" s="146">
        <f>[10]Sales_SP!GG180</f>
        <v>0.171403542028791</v>
      </c>
      <c r="M491" s="146">
        <f>[10]Sales_SP!GH180</f>
        <v>0.167700426508492</v>
      </c>
      <c r="N491" s="146">
        <f>[10]Sales_SP!GI180</f>
        <v>0.161969048545539</v>
      </c>
      <c r="O491" s="146">
        <f>[10]Sales_SP!GJ180</f>
        <v>0.157804964288273</v>
      </c>
      <c r="P491" s="146">
        <f>[10]Sales_SP!GK180</f>
        <v>0.160109807973106</v>
      </c>
      <c r="Q491" s="916">
        <f t="shared" si="107"/>
        <v>2.21738254980644</v>
      </c>
      <c r="R491" s="887"/>
      <c r="S491" s="887"/>
    </row>
    <row r="492" ht="15" spans="3:19">
      <c r="C492" s="55" t="s">
        <v>199</v>
      </c>
      <c r="D492" s="55" t="s">
        <v>200</v>
      </c>
      <c r="E492" s="146">
        <f>[10]Sales_SP!FZ185</f>
        <v>0</v>
      </c>
      <c r="F492" s="146">
        <f>[10]Sales_SP!GA185</f>
        <v>0</v>
      </c>
      <c r="G492" s="146">
        <f>[10]Sales_SP!GB185</f>
        <v>0</v>
      </c>
      <c r="H492" s="146">
        <f>[10]Sales_SP!GC185</f>
        <v>0</v>
      </c>
      <c r="I492" s="146">
        <f>[10]Sales_SP!GD185</f>
        <v>0</v>
      </c>
      <c r="J492" s="146">
        <f>[10]Sales_SP!GE185</f>
        <v>0</v>
      </c>
      <c r="K492" s="146">
        <f>[10]Sales_SP!GF185</f>
        <v>0</v>
      </c>
      <c r="L492" s="146">
        <f>[10]Sales_SP!GG185</f>
        <v>0</v>
      </c>
      <c r="M492" s="146">
        <f>[10]Sales_SP!GH185</f>
        <v>0</v>
      </c>
      <c r="N492" s="146">
        <f>[10]Sales_SP!GI185</f>
        <v>0</v>
      </c>
      <c r="O492" s="146">
        <f>[10]Sales_SP!GJ185</f>
        <v>0</v>
      </c>
      <c r="P492" s="146">
        <f>[10]Sales_SP!GK185</f>
        <v>0</v>
      </c>
      <c r="Q492" s="916">
        <f t="shared" si="107"/>
        <v>0</v>
      </c>
      <c r="R492" s="887"/>
      <c r="S492" s="887"/>
    </row>
    <row r="493" ht="15" spans="3:19">
      <c r="C493" s="55" t="s">
        <v>201</v>
      </c>
      <c r="D493" s="55" t="s">
        <v>202</v>
      </c>
      <c r="E493" s="146">
        <f>[10]Sales_SP!FZ191</f>
        <v>6.79046315485667</v>
      </c>
      <c r="F493" s="146">
        <f>[10]Sales_SP!GA191</f>
        <v>3.40113948189211</v>
      </c>
      <c r="G493" s="146">
        <f>[10]Sales_SP!GB191</f>
        <v>3.23818773340856</v>
      </c>
      <c r="H493" s="146">
        <f>[10]Sales_SP!GC191</f>
        <v>4.7221664565431</v>
      </c>
      <c r="I493" s="146">
        <f>[10]Sales_SP!GD191</f>
        <v>3.17033804946783</v>
      </c>
      <c r="J493" s="146">
        <f>[10]Sales_SP!GE191</f>
        <v>7.3763809922646</v>
      </c>
      <c r="K493" s="146">
        <f>[10]Sales_SP!GF191</f>
        <v>6.01735159180814</v>
      </c>
      <c r="L493" s="146">
        <f>[10]Sales_SP!GG191</f>
        <v>-4.22503826467746</v>
      </c>
      <c r="M493" s="146">
        <f>[10]Sales_SP!GH191</f>
        <v>4.19794994446079</v>
      </c>
      <c r="N493" s="146">
        <f>[10]Sales_SP!GI191</f>
        <v>11.6679318056761</v>
      </c>
      <c r="O493" s="146">
        <f>[10]Sales_SP!GJ191</f>
        <v>8.22187962063716</v>
      </c>
      <c r="P493" s="146">
        <f>[10]Sales_SP!GK191</f>
        <v>-0.584243698115751</v>
      </c>
      <c r="Q493" s="916">
        <f t="shared" si="107"/>
        <v>53.9945068682218</v>
      </c>
      <c r="R493" s="887"/>
      <c r="S493" s="887"/>
    </row>
    <row r="494" ht="15" spans="3:19">
      <c r="C494" s="55" t="s">
        <v>203</v>
      </c>
      <c r="D494" s="55" t="s">
        <v>204</v>
      </c>
      <c r="E494" s="146">
        <f>[10]Sales_SP!FZ192</f>
        <v>21.1695368451433</v>
      </c>
      <c r="F494" s="146">
        <f>[10]Sales_SP!GA192</f>
        <v>21.9488605181079</v>
      </c>
      <c r="G494" s="146">
        <f>[10]Sales_SP!GB192</f>
        <v>20.8218122665914</v>
      </c>
      <c r="H494" s="146">
        <f>[10]Sales_SP!GC192</f>
        <v>20.9578335434569</v>
      </c>
      <c r="I494" s="146">
        <f>[10]Sales_SP!GD192</f>
        <v>22.7296619505322</v>
      </c>
      <c r="J494" s="146">
        <f>[10]Sales_SP!GE192</f>
        <v>21.3536190077354</v>
      </c>
      <c r="K494" s="146">
        <f>[10]Sales_SP!GF192</f>
        <v>21.6326484081919</v>
      </c>
      <c r="L494" s="146">
        <f>[10]Sales_SP!GG192</f>
        <v>22.0350382646775</v>
      </c>
      <c r="M494" s="146">
        <f>[10]Sales_SP!GH192</f>
        <v>21.7220500555392</v>
      </c>
      <c r="N494" s="146">
        <f>[10]Sales_SP!GI192</f>
        <v>20.1320681943239</v>
      </c>
      <c r="O494" s="146">
        <f>[10]Sales_SP!GJ192</f>
        <v>22.9281203793628</v>
      </c>
      <c r="P494" s="146">
        <f>[10]Sales_SP!GK192</f>
        <v>29.1942436981157</v>
      </c>
      <c r="Q494" s="916">
        <f t="shared" si="107"/>
        <v>266.625493131778</v>
      </c>
      <c r="R494" s="887"/>
      <c r="S494" s="887"/>
    </row>
    <row r="495" ht="15" spans="3:19">
      <c r="C495" s="55" t="s">
        <v>205</v>
      </c>
      <c r="D495" s="55" t="s">
        <v>206</v>
      </c>
      <c r="E495" s="146">
        <f>[10]Sales_SP!FZ196</f>
        <v>15.1</v>
      </c>
      <c r="F495" s="146">
        <f>[10]Sales_SP!GA196</f>
        <v>15.71</v>
      </c>
      <c r="G495" s="146">
        <f>[10]Sales_SP!GB196</f>
        <v>15.85</v>
      </c>
      <c r="H495" s="146">
        <f>[10]Sales_SP!GC196</f>
        <v>12.47</v>
      </c>
      <c r="I495" s="146">
        <f>[10]Sales_SP!GD196</f>
        <v>13</v>
      </c>
      <c r="J495" s="146">
        <f>[10]Sales_SP!GE196</f>
        <v>13.9</v>
      </c>
      <c r="K495" s="146">
        <f>[10]Sales_SP!GF196</f>
        <v>11.52</v>
      </c>
      <c r="L495" s="146">
        <f>[10]Sales_SP!GG196</f>
        <v>10.85</v>
      </c>
      <c r="M495" s="146">
        <f>[10]Sales_SP!GH196</f>
        <v>10.48</v>
      </c>
      <c r="N495" s="146">
        <f>[10]Sales_SP!GI196</f>
        <v>10.2</v>
      </c>
      <c r="O495" s="146">
        <f>[10]Sales_SP!GJ196</f>
        <v>10.15</v>
      </c>
      <c r="P495" s="146">
        <f>[10]Sales_SP!GK196</f>
        <v>10.89</v>
      </c>
      <c r="Q495" s="916">
        <f t="shared" si="107"/>
        <v>150.12</v>
      </c>
      <c r="R495" s="887"/>
      <c r="S495" s="887"/>
    </row>
    <row r="496" ht="15" spans="3:19">
      <c r="C496" s="55" t="s">
        <v>218</v>
      </c>
      <c r="D496" s="55" t="s">
        <v>186</v>
      </c>
      <c r="E496" s="146">
        <f>[10]Sales_SP!FZ197</f>
        <v>3.41</v>
      </c>
      <c r="F496" s="146">
        <f>[10]Sales_SP!GA197</f>
        <v>2.23</v>
      </c>
      <c r="G496" s="146">
        <f>[10]Sales_SP!GB197</f>
        <v>2.51</v>
      </c>
      <c r="H496" s="146">
        <f>[10]Sales_SP!GC197</f>
        <v>3.04</v>
      </c>
      <c r="I496" s="146">
        <f>[10]Sales_SP!GD197</f>
        <v>3.31</v>
      </c>
      <c r="J496" s="146">
        <f>[10]Sales_SP!GE197</f>
        <v>4.04</v>
      </c>
      <c r="K496" s="146">
        <f>[10]Sales_SP!GF197</f>
        <v>4.58</v>
      </c>
      <c r="L496" s="146">
        <f>[10]Sales_SP!GG197</f>
        <v>4.35</v>
      </c>
      <c r="M496" s="146">
        <f>[10]Sales_SP!GH197</f>
        <v>4.84</v>
      </c>
      <c r="N496" s="146">
        <f>[10]Sales_SP!GI197</f>
        <v>4.49</v>
      </c>
      <c r="O496" s="146">
        <f>[10]Sales_SP!GJ197</f>
        <v>4.13</v>
      </c>
      <c r="P496" s="146">
        <f>[10]Sales_SP!GK197</f>
        <v>3.53</v>
      </c>
      <c r="Q496" s="916">
        <f t="shared" si="107"/>
        <v>44.46</v>
      </c>
      <c r="R496" s="887"/>
      <c r="S496" s="887"/>
    </row>
    <row r="497" ht="15" spans="3:19">
      <c r="C497" s="55" t="s">
        <v>208</v>
      </c>
      <c r="D497" s="55" t="s">
        <v>209</v>
      </c>
      <c r="E497" s="146">
        <v>0</v>
      </c>
      <c r="F497" s="146">
        <v>0</v>
      </c>
      <c r="G497" s="146">
        <v>0</v>
      </c>
      <c r="H497" s="146">
        <v>0</v>
      </c>
      <c r="I497" s="146">
        <v>0</v>
      </c>
      <c r="J497" s="146">
        <v>0</v>
      </c>
      <c r="K497" s="146">
        <v>0</v>
      </c>
      <c r="L497" s="146">
        <v>0</v>
      </c>
      <c r="M497" s="146">
        <v>0</v>
      </c>
      <c r="N497" s="146">
        <v>0</v>
      </c>
      <c r="O497" s="146">
        <v>0</v>
      </c>
      <c r="P497" s="146">
        <v>0</v>
      </c>
      <c r="Q497" s="916">
        <f t="shared" si="107"/>
        <v>0</v>
      </c>
      <c r="R497" s="887"/>
      <c r="S497" s="887"/>
    </row>
    <row r="498" ht="15" spans="3:19">
      <c r="C498" s="55" t="s">
        <v>210</v>
      </c>
      <c r="D498" s="55" t="s">
        <v>188</v>
      </c>
      <c r="E498" s="146">
        <f t="shared" ref="E498:P498" si="108">0</f>
        <v>0</v>
      </c>
      <c r="F498" s="146">
        <f t="shared" si="108"/>
        <v>0</v>
      </c>
      <c r="G498" s="146">
        <f t="shared" si="108"/>
        <v>0</v>
      </c>
      <c r="H498" s="146">
        <f t="shared" si="108"/>
        <v>0</v>
      </c>
      <c r="I498" s="146">
        <f t="shared" si="108"/>
        <v>0</v>
      </c>
      <c r="J498" s="146">
        <f t="shared" si="108"/>
        <v>0</v>
      </c>
      <c r="K498" s="146">
        <f t="shared" si="108"/>
        <v>0</v>
      </c>
      <c r="L498" s="146">
        <f t="shared" si="108"/>
        <v>0</v>
      </c>
      <c r="M498" s="146">
        <f t="shared" si="108"/>
        <v>0</v>
      </c>
      <c r="N498" s="146">
        <f t="shared" si="108"/>
        <v>0</v>
      </c>
      <c r="O498" s="146">
        <f t="shared" si="108"/>
        <v>0</v>
      </c>
      <c r="P498" s="146">
        <f t="shared" si="108"/>
        <v>0</v>
      </c>
      <c r="Q498" s="916">
        <f t="shared" si="107"/>
        <v>0</v>
      </c>
      <c r="R498" s="887"/>
      <c r="S498" s="887"/>
    </row>
    <row r="499" ht="15" spans="3:19">
      <c r="C499" s="55"/>
      <c r="D499" s="55"/>
      <c r="E499" s="146"/>
      <c r="F499" s="146"/>
      <c r="G499" s="146"/>
      <c r="H499" s="146"/>
      <c r="I499" s="146"/>
      <c r="J499" s="146"/>
      <c r="K499" s="146"/>
      <c r="L499" s="146"/>
      <c r="M499" s="146"/>
      <c r="N499" s="146"/>
      <c r="O499" s="146"/>
      <c r="P499" s="146"/>
      <c r="Q499" s="916">
        <f t="shared" si="107"/>
        <v>0</v>
      </c>
      <c r="R499" s="887"/>
      <c r="S499" s="887"/>
    </row>
    <row r="500" ht="15" spans="3:19">
      <c r="C500" s="55"/>
      <c r="D500" s="55"/>
      <c r="E500" s="146"/>
      <c r="F500" s="146"/>
      <c r="G500" s="146"/>
      <c r="H500" s="146"/>
      <c r="I500" s="146"/>
      <c r="J500" s="146"/>
      <c r="K500" s="146"/>
      <c r="L500" s="146"/>
      <c r="M500" s="146"/>
      <c r="N500" s="146"/>
      <c r="O500" s="146"/>
      <c r="P500" s="146"/>
      <c r="Q500" s="916">
        <f t="shared" si="107"/>
        <v>0</v>
      </c>
      <c r="R500" s="887"/>
      <c r="S500" s="887"/>
    </row>
    <row r="501" ht="15" spans="3:19">
      <c r="C501" s="55"/>
      <c r="D501" s="55"/>
      <c r="E501" s="146"/>
      <c r="F501" s="146"/>
      <c r="G501" s="146"/>
      <c r="H501" s="146"/>
      <c r="I501" s="146"/>
      <c r="J501" s="146"/>
      <c r="K501" s="146"/>
      <c r="L501" s="146"/>
      <c r="M501" s="146"/>
      <c r="N501" s="146"/>
      <c r="O501" s="146"/>
      <c r="P501" s="146"/>
      <c r="Q501" s="916">
        <f t="shared" si="107"/>
        <v>0</v>
      </c>
      <c r="R501" s="887"/>
      <c r="S501" s="887"/>
    </row>
    <row r="502" ht="15" spans="3:19">
      <c r="C502" s="55" t="s">
        <v>258</v>
      </c>
      <c r="D502" s="55" t="s">
        <v>258</v>
      </c>
      <c r="E502" s="146"/>
      <c r="F502" s="146"/>
      <c r="G502" s="146"/>
      <c r="H502" s="146"/>
      <c r="I502" s="146"/>
      <c r="J502" s="146"/>
      <c r="K502" s="146"/>
      <c r="L502" s="146"/>
      <c r="M502" s="146"/>
      <c r="N502" s="146"/>
      <c r="O502" s="146"/>
      <c r="P502" s="146"/>
      <c r="Q502" s="916">
        <f t="shared" si="107"/>
        <v>0</v>
      </c>
      <c r="R502" s="887"/>
      <c r="S502" s="887"/>
    </row>
    <row r="503" ht="15" spans="3:19">
      <c r="C503" s="537" t="s">
        <v>211</v>
      </c>
      <c r="D503" s="540"/>
      <c r="E503" s="916">
        <f t="shared" ref="E503:P503" si="109">SUM(E488:E502)</f>
        <v>652.0811485236</v>
      </c>
      <c r="F503" s="916">
        <f t="shared" si="109"/>
        <v>639.383942611867</v>
      </c>
      <c r="G503" s="916">
        <f t="shared" si="109"/>
        <v>651.038219000736</v>
      </c>
      <c r="H503" s="916">
        <f t="shared" si="109"/>
        <v>619.887518323959</v>
      </c>
      <c r="I503" s="916">
        <f t="shared" si="109"/>
        <v>623.253491581882</v>
      </c>
      <c r="J503" s="916">
        <f t="shared" si="109"/>
        <v>637.477364110226</v>
      </c>
      <c r="K503" s="916">
        <f t="shared" si="109"/>
        <v>754.981405529452</v>
      </c>
      <c r="L503" s="916">
        <f t="shared" si="109"/>
        <v>692.382529479246</v>
      </c>
      <c r="M503" s="916">
        <f t="shared" si="109"/>
        <v>703.681901574321</v>
      </c>
      <c r="N503" s="916">
        <f t="shared" si="109"/>
        <v>715.354793751128</v>
      </c>
      <c r="O503" s="916">
        <f t="shared" si="109"/>
        <v>734.608141429459</v>
      </c>
      <c r="P503" s="916">
        <f t="shared" si="109"/>
        <v>783.386182164454</v>
      </c>
      <c r="Q503" s="916">
        <f t="shared" si="107"/>
        <v>8207.51663808033</v>
      </c>
      <c r="R503" s="887"/>
      <c r="S503" s="887"/>
    </row>
    <row r="504" ht="15" spans="3:19">
      <c r="C504" s="44" t="s">
        <v>219</v>
      </c>
      <c r="D504" s="45"/>
      <c r="E504" s="146"/>
      <c r="F504" s="146"/>
      <c r="G504" s="146"/>
      <c r="H504" s="146"/>
      <c r="I504" s="146"/>
      <c r="J504" s="146"/>
      <c r="K504" s="146"/>
      <c r="L504" s="146"/>
      <c r="M504" s="146"/>
      <c r="N504" s="146"/>
      <c r="O504" s="146"/>
      <c r="P504" s="146"/>
      <c r="Q504" s="158"/>
      <c r="R504" s="887"/>
      <c r="S504" s="887"/>
    </row>
    <row r="505" ht="15" spans="3:19">
      <c r="C505" s="55" t="s">
        <v>191</v>
      </c>
      <c r="D505" s="55" t="s">
        <v>192</v>
      </c>
      <c r="E505" s="146">
        <f>[10]Sales_SP!FZ212</f>
        <v>520.51195123821</v>
      </c>
      <c r="F505" s="146">
        <f>[10]Sales_SP!GA212</f>
        <v>499.25195123821</v>
      </c>
      <c r="G505" s="146">
        <f>[10]Sales_SP!GB212</f>
        <v>509.90195123821</v>
      </c>
      <c r="H505" s="146">
        <f>[10]Sales_SP!GC212</f>
        <v>495.29195123821</v>
      </c>
      <c r="I505" s="146">
        <f>[10]Sales_SP!GD212</f>
        <v>472.47195123821</v>
      </c>
      <c r="J505" s="146">
        <f>[10]Sales_SP!GE212</f>
        <v>497.88195123821</v>
      </c>
      <c r="K505" s="146">
        <f>[10]Sales_SP!GF212</f>
        <v>505.60891123821</v>
      </c>
      <c r="L505" s="146">
        <f>[10]Sales_SP!GG212</f>
        <v>499.47467123821</v>
      </c>
      <c r="M505" s="146">
        <f>[10]Sales_SP!GH212</f>
        <v>501.59885123821</v>
      </c>
      <c r="N505" s="146">
        <f>[10]Sales_SP!GI212</f>
        <v>514.13998123821</v>
      </c>
      <c r="O505" s="146">
        <f>[10]Sales_SP!GJ212</f>
        <v>559.29778123821</v>
      </c>
      <c r="P505" s="146">
        <f>[10]Sales_SP!GK212</f>
        <v>565.44501123821</v>
      </c>
      <c r="Q505" s="916">
        <f t="shared" ref="Q505:Q524" si="110">SUM(E505:P505)</f>
        <v>6140.87691485852</v>
      </c>
      <c r="R505" s="887"/>
      <c r="S505" s="887"/>
    </row>
    <row r="506" ht="15" spans="3:19">
      <c r="C506" s="55" t="s">
        <v>193</v>
      </c>
      <c r="D506" s="55" t="s">
        <v>194</v>
      </c>
      <c r="E506" s="146">
        <f>[10]Sales_SP!FZ222</f>
        <v>14.86</v>
      </c>
      <c r="F506" s="146">
        <f>[10]Sales_SP!GA222</f>
        <v>16.88</v>
      </c>
      <c r="G506" s="146">
        <f>[10]Sales_SP!GB222</f>
        <v>8.17</v>
      </c>
      <c r="H506" s="146">
        <f>[10]Sales_SP!GC222</f>
        <v>9.31</v>
      </c>
      <c r="I506" s="146">
        <f>[10]Sales_SP!GD222</f>
        <v>14.86</v>
      </c>
      <c r="J506" s="146">
        <f>[10]Sales_SP!GE222</f>
        <v>12.83</v>
      </c>
      <c r="K506" s="146">
        <f>[10]Sales_SP!GF222</f>
        <v>15.23304</v>
      </c>
      <c r="L506" s="146">
        <f>[10]Sales_SP!GG222</f>
        <v>10.54728</v>
      </c>
      <c r="M506" s="146">
        <f>[10]Sales_SP!GH222</f>
        <v>13.5531</v>
      </c>
      <c r="N506" s="146">
        <f>[10]Sales_SP!GI222</f>
        <v>19.63197</v>
      </c>
      <c r="O506" s="146">
        <f>[10]Sales_SP!GJ222</f>
        <v>19.86417</v>
      </c>
      <c r="P506" s="146">
        <f>[10]Sales_SP!GK222</f>
        <v>25.46694</v>
      </c>
      <c r="Q506" s="916">
        <f t="shared" si="110"/>
        <v>181.2065</v>
      </c>
      <c r="R506" s="887"/>
      <c r="S506" s="887"/>
    </row>
    <row r="507" ht="15" spans="3:19">
      <c r="C507" s="55" t="s">
        <v>239</v>
      </c>
      <c r="D507" s="55" t="s">
        <v>196</v>
      </c>
      <c r="E507" s="146">
        <f>[10]Sales_SP!FZ228</f>
        <v>4.73818657255976</v>
      </c>
      <c r="F507" s="146">
        <f>[10]Sales_SP!GA228</f>
        <v>5.61541566543391</v>
      </c>
      <c r="G507" s="146">
        <f>[10]Sales_SP!GB228</f>
        <v>5.74576658906914</v>
      </c>
      <c r="H507" s="146">
        <f>[10]Sales_SP!GC228</f>
        <v>4.98368884967052</v>
      </c>
      <c r="I507" s="146">
        <f>[10]Sales_SP!GD228</f>
        <v>6.97241558766353</v>
      </c>
      <c r="J507" s="146">
        <f>[10]Sales_SP!GE228</f>
        <v>7.89953263142014</v>
      </c>
      <c r="K507" s="146">
        <f>[10]Sales_SP!GF228</f>
        <v>4.24039850520987</v>
      </c>
      <c r="L507" s="146">
        <f>[10]Sales_SP!GG228</f>
        <v>3.91149927874406</v>
      </c>
      <c r="M507" s="146">
        <f>[10]Sales_SP!GH228</f>
        <v>3.81449322772641</v>
      </c>
      <c r="N507" s="146">
        <f>[10]Sales_SP!GI228</f>
        <v>3.91671583476716</v>
      </c>
      <c r="O507" s="146">
        <f>[10]Sales_SP!GJ228</f>
        <v>3.94779505798161</v>
      </c>
      <c r="P507" s="146">
        <f>[10]Sales_SP!GK228</f>
        <v>5.58958488386568</v>
      </c>
      <c r="Q507" s="916">
        <f t="shared" si="110"/>
        <v>61.3754926841118</v>
      </c>
      <c r="R507" s="887"/>
      <c r="S507" s="887"/>
    </row>
    <row r="508" ht="15" spans="3:19">
      <c r="C508" s="55" t="s">
        <v>197</v>
      </c>
      <c r="D508" s="55" t="s">
        <v>198</v>
      </c>
      <c r="E508" s="146">
        <f>[10]Sales_SP!FZ233</f>
        <v>0</v>
      </c>
      <c r="F508" s="146">
        <f>[10]Sales_SP!GA233</f>
        <v>0</v>
      </c>
      <c r="G508" s="146">
        <f>[10]Sales_SP!GB233</f>
        <v>0</v>
      </c>
      <c r="H508" s="146">
        <f>[10]Sales_SP!GC233</f>
        <v>0</v>
      </c>
      <c r="I508" s="146">
        <f>[10]Sales_SP!GD233</f>
        <v>0</v>
      </c>
      <c r="J508" s="146">
        <f>[10]Sales_SP!GE233</f>
        <v>0</v>
      </c>
      <c r="K508" s="146">
        <f>[10]Sales_SP!GF233</f>
        <v>0</v>
      </c>
      <c r="L508" s="146">
        <f>[10]Sales_SP!GG233</f>
        <v>0</v>
      </c>
      <c r="M508" s="146">
        <f>[10]Sales_SP!GH233</f>
        <v>0</v>
      </c>
      <c r="N508" s="146">
        <f>[10]Sales_SP!GI233</f>
        <v>0</v>
      </c>
      <c r="O508" s="146">
        <f>[10]Sales_SP!GJ233</f>
        <v>0</v>
      </c>
      <c r="P508" s="146">
        <f>[10]Sales_SP!GK233</f>
        <v>0</v>
      </c>
      <c r="Q508" s="916">
        <f t="shared" si="110"/>
        <v>0</v>
      </c>
      <c r="R508" s="887"/>
      <c r="S508" s="887"/>
    </row>
    <row r="509" ht="15" spans="3:19">
      <c r="C509" s="55" t="s">
        <v>199</v>
      </c>
      <c r="D509" s="55" t="s">
        <v>200</v>
      </c>
      <c r="E509" s="146">
        <f>[10]Sales_SP!FZ238</f>
        <v>2.15</v>
      </c>
      <c r="F509" s="146">
        <f>[10]Sales_SP!GA238</f>
        <v>3.54</v>
      </c>
      <c r="G509" s="146">
        <f>[10]Sales_SP!GB238</f>
        <v>2.94</v>
      </c>
      <c r="H509" s="146">
        <f>[10]Sales_SP!GC238</f>
        <v>4.45</v>
      </c>
      <c r="I509" s="146">
        <f>[10]Sales_SP!GD238</f>
        <v>7.13</v>
      </c>
      <c r="J509" s="146">
        <f>[10]Sales_SP!GE238</f>
        <v>10.14</v>
      </c>
      <c r="K509" s="146">
        <f>[10]Sales_SP!GF238</f>
        <v>9.08</v>
      </c>
      <c r="L509" s="146">
        <f>[10]Sales_SP!GG238</f>
        <v>9.48</v>
      </c>
      <c r="M509" s="146">
        <f>[10]Sales_SP!GH238</f>
        <v>11.37</v>
      </c>
      <c r="N509" s="146">
        <f>[10]Sales_SP!GI238</f>
        <v>8.04</v>
      </c>
      <c r="O509" s="146">
        <f>[10]Sales_SP!GJ238</f>
        <v>2.79</v>
      </c>
      <c r="P509" s="146">
        <f>[10]Sales_SP!GK238</f>
        <v>2.62</v>
      </c>
      <c r="Q509" s="916">
        <f t="shared" si="110"/>
        <v>73.73</v>
      </c>
      <c r="R509" s="887"/>
      <c r="S509" s="887"/>
    </row>
    <row r="510" ht="15" spans="3:19">
      <c r="C510" s="55" t="s">
        <v>201</v>
      </c>
      <c r="D510" s="55" t="s">
        <v>240</v>
      </c>
      <c r="E510" s="146">
        <f>[10]Sales_SP!FZ244</f>
        <v>166.864288090117</v>
      </c>
      <c r="F510" s="146">
        <f>[10]Sales_SP!GA244</f>
        <v>166.355029193091</v>
      </c>
      <c r="G510" s="146">
        <f>[10]Sales_SP!GB244</f>
        <v>163.506631972434</v>
      </c>
      <c r="H510" s="146">
        <f>[10]Sales_SP!GC244</f>
        <v>165.957979883545</v>
      </c>
      <c r="I510" s="146">
        <f>[10]Sales_SP!GD244</f>
        <v>166.441344260383</v>
      </c>
      <c r="J510" s="146">
        <f>[10]Sales_SP!GE244</f>
        <v>166.303240152715</v>
      </c>
      <c r="K510" s="146">
        <f>[10]Sales_SP!GF244</f>
        <v>167.364915480415</v>
      </c>
      <c r="L510" s="146">
        <f>[10]Sales_SP!GG244</f>
        <v>156.411533440979</v>
      </c>
      <c r="M510" s="146">
        <f>[10]Sales_SP!GH244</f>
        <v>165.137986744265</v>
      </c>
      <c r="N510" s="146">
        <f>[10]Sales_SP!GI244</f>
        <v>167.330389453498</v>
      </c>
      <c r="O510" s="146">
        <f>[10]Sales_SP!GJ244</f>
        <v>168.728693543638</v>
      </c>
      <c r="P510" s="146">
        <f>[10]Sales_SP!GK244</f>
        <v>166.838393569929</v>
      </c>
      <c r="Q510" s="916">
        <f t="shared" si="110"/>
        <v>1987.24042578501</v>
      </c>
      <c r="R510" s="887"/>
      <c r="S510" s="887"/>
    </row>
    <row r="511" ht="15" spans="3:19">
      <c r="C511" s="55" t="s">
        <v>203</v>
      </c>
      <c r="D511" s="55" t="s">
        <v>220</v>
      </c>
      <c r="E511" s="146">
        <f>[10]Sales_SP!FZ246</f>
        <v>26.4557119098827</v>
      </c>
      <c r="F511" s="146">
        <f>[10]Sales_SP!GA246</f>
        <v>26.3749708069092</v>
      </c>
      <c r="G511" s="146">
        <f>[10]Sales_SP!GB246</f>
        <v>25.9233680275661</v>
      </c>
      <c r="H511" s="146">
        <f>[10]Sales_SP!GC246</f>
        <v>26.3120201164554</v>
      </c>
      <c r="I511" s="146">
        <f>[10]Sales_SP!GD246</f>
        <v>26.3886557396166</v>
      </c>
      <c r="J511" s="146">
        <f>[10]Sales_SP!GE246</f>
        <v>26.3667598472848</v>
      </c>
      <c r="K511" s="146">
        <f>[10]Sales_SP!GF246</f>
        <v>26.5350845195854</v>
      </c>
      <c r="L511" s="146">
        <f>[10]Sales_SP!GG246</f>
        <v>24.7984665590205</v>
      </c>
      <c r="M511" s="146">
        <f>[10]Sales_SP!GH246</f>
        <v>26.1820132557354</v>
      </c>
      <c r="N511" s="146">
        <f>[10]Sales_SP!GI246</f>
        <v>26.5296105465025</v>
      </c>
      <c r="O511" s="146">
        <f>[10]Sales_SP!GJ246</f>
        <v>26.7513064563619</v>
      </c>
      <c r="P511" s="146">
        <f>[10]Sales_SP!GK246</f>
        <v>26.4516064300705</v>
      </c>
      <c r="Q511" s="916">
        <f t="shared" si="110"/>
        <v>315.069574214991</v>
      </c>
      <c r="R511" s="887"/>
      <c r="S511" s="887"/>
    </row>
    <row r="512" ht="15" spans="3:19">
      <c r="C512" s="55" t="s">
        <v>241</v>
      </c>
      <c r="D512" s="55" t="s">
        <v>229</v>
      </c>
      <c r="E512" s="146">
        <f>[10]Sales_SP!FZ249</f>
        <v>39.8434262923387</v>
      </c>
      <c r="F512" s="146">
        <f>[10]Sales_SP!GA249</f>
        <v>37.3135558193054</v>
      </c>
      <c r="G512" s="146">
        <f>[10]Sales_SP!GB249</f>
        <v>36.443150222474</v>
      </c>
      <c r="H512" s="146">
        <f>[10]Sales_SP!GC249</f>
        <v>38.7371163748708</v>
      </c>
      <c r="I512" s="146">
        <f>[10]Sales_SP!GD249</f>
        <v>39.1763864891595</v>
      </c>
      <c r="J512" s="146">
        <f>[10]Sales_SP!GE249</f>
        <v>39.3960215463039</v>
      </c>
      <c r="K512" s="146">
        <f>[10]Sales_SP!GF249</f>
        <v>39.7864838701161</v>
      </c>
      <c r="L512" s="146">
        <f>[10]Sales_SP!GG249</f>
        <v>40.046792085991</v>
      </c>
      <c r="M512" s="146">
        <f>[10]Sales_SP!GH249</f>
        <v>39.9247726097996</v>
      </c>
      <c r="N512" s="146">
        <f>[10]Sales_SP!GI249</f>
        <v>39.9735804002762</v>
      </c>
      <c r="O512" s="146">
        <f>[10]Sales_SP!GJ249</f>
        <v>40.0630613494831</v>
      </c>
      <c r="P512" s="146">
        <f>[10]Sales_SP!GK249</f>
        <v>39.59125270821</v>
      </c>
      <c r="Q512" s="916">
        <f t="shared" si="110"/>
        <v>470.295599768328</v>
      </c>
      <c r="R512" s="887"/>
      <c r="S512" s="887"/>
    </row>
    <row r="513" ht="15" spans="3:19">
      <c r="C513" s="55" t="s">
        <v>259</v>
      </c>
      <c r="D513" s="55" t="s">
        <v>243</v>
      </c>
      <c r="E513" s="146">
        <f>[10]Sales_SP!FZ251</f>
        <v>9.13657370766125</v>
      </c>
      <c r="F513" s="146">
        <f>[10]Sales_SP!GA251</f>
        <v>8.5564441806946</v>
      </c>
      <c r="G513" s="146">
        <f>[10]Sales_SP!GB251</f>
        <v>8.35684977752601</v>
      </c>
      <c r="H513" s="146">
        <f>[10]Sales_SP!GC251</f>
        <v>8.88288362512921</v>
      </c>
      <c r="I513" s="146">
        <f>[10]Sales_SP!GD251</f>
        <v>8.98361351084046</v>
      </c>
      <c r="J513" s="146">
        <f>[10]Sales_SP!GE251</f>
        <v>9.03397845369609</v>
      </c>
      <c r="K513" s="146">
        <f>[10]Sales_SP!GF251</f>
        <v>9.12351612988386</v>
      </c>
      <c r="L513" s="146">
        <f>[10]Sales_SP!GG251</f>
        <v>9.18320791400905</v>
      </c>
      <c r="M513" s="146">
        <f>[10]Sales_SP!GH251</f>
        <v>9.15522739020037</v>
      </c>
      <c r="N513" s="146">
        <f>[10]Sales_SP!GI251</f>
        <v>9.16641959972384</v>
      </c>
      <c r="O513" s="146">
        <f>[10]Sales_SP!GJ251</f>
        <v>9.18693865051688</v>
      </c>
      <c r="P513" s="146">
        <f>[10]Sales_SP!GK251</f>
        <v>9.07874729178998</v>
      </c>
      <c r="Q513" s="916">
        <f t="shared" si="110"/>
        <v>107.844400231672</v>
      </c>
      <c r="R513" s="887"/>
      <c r="S513" s="887"/>
    </row>
    <row r="514" ht="15" spans="3:19">
      <c r="C514" s="55" t="s">
        <v>205</v>
      </c>
      <c r="D514" s="55" t="s">
        <v>206</v>
      </c>
      <c r="E514" s="146">
        <f>[10]Sales_SP!FZ253</f>
        <v>0</v>
      </c>
      <c r="F514" s="146">
        <f>[10]Sales_SP!GA253</f>
        <v>0</v>
      </c>
      <c r="G514" s="146">
        <f>[10]Sales_SP!GB253</f>
        <v>0</v>
      </c>
      <c r="H514" s="146">
        <f>[10]Sales_SP!GC253</f>
        <v>0</v>
      </c>
      <c r="I514" s="146">
        <f>[10]Sales_SP!GD253</f>
        <v>0</v>
      </c>
      <c r="J514" s="146">
        <f>[10]Sales_SP!GE253</f>
        <v>0</v>
      </c>
      <c r="K514" s="146">
        <f>[10]Sales_SP!GF253</f>
        <v>0</v>
      </c>
      <c r="L514" s="146">
        <f>[10]Sales_SP!GG253</f>
        <v>0</v>
      </c>
      <c r="M514" s="146">
        <f>[10]Sales_SP!GH253</f>
        <v>0</v>
      </c>
      <c r="N514" s="146">
        <f>[10]Sales_SP!GI253</f>
        <v>0</v>
      </c>
      <c r="O514" s="146">
        <f>[10]Sales_SP!GJ253</f>
        <v>0</v>
      </c>
      <c r="P514" s="146">
        <f>[10]Sales_SP!GK253</f>
        <v>0</v>
      </c>
      <c r="Q514" s="916">
        <f t="shared" si="110"/>
        <v>0</v>
      </c>
      <c r="R514" s="887"/>
      <c r="S514" s="887"/>
    </row>
    <row r="515" ht="15" spans="3:19">
      <c r="C515" s="55" t="s">
        <v>207</v>
      </c>
      <c r="D515" s="55" t="s">
        <v>186</v>
      </c>
      <c r="E515" s="146">
        <f>[10]Sales_SP!FZ254</f>
        <v>0</v>
      </c>
      <c r="F515" s="146">
        <f>[10]Sales_SP!GA254</f>
        <v>0</v>
      </c>
      <c r="G515" s="146">
        <f>[10]Sales_SP!GB254</f>
        <v>0</v>
      </c>
      <c r="H515" s="146">
        <f>[10]Sales_SP!GC254</f>
        <v>0</v>
      </c>
      <c r="I515" s="146">
        <f>[10]Sales_SP!GD254</f>
        <v>0</v>
      </c>
      <c r="J515" s="146">
        <f>[10]Sales_SP!GE254</f>
        <v>0</v>
      </c>
      <c r="K515" s="146">
        <f>[10]Sales_SP!GF254</f>
        <v>0</v>
      </c>
      <c r="L515" s="146">
        <f>[10]Sales_SP!GG254</f>
        <v>0</v>
      </c>
      <c r="M515" s="146">
        <f>[10]Sales_SP!GH254</f>
        <v>0</v>
      </c>
      <c r="N515" s="146">
        <f>[10]Sales_SP!GI254</f>
        <v>0</v>
      </c>
      <c r="O515" s="146">
        <f>[10]Sales_SP!GJ254</f>
        <v>0</v>
      </c>
      <c r="P515" s="146">
        <f>[10]Sales_SP!GK254</f>
        <v>0</v>
      </c>
      <c r="Q515" s="916">
        <f t="shared" si="110"/>
        <v>0</v>
      </c>
      <c r="R515" s="887"/>
      <c r="S515" s="887"/>
    </row>
    <row r="516" ht="15" spans="3:19">
      <c r="C516" s="55" t="s">
        <v>208</v>
      </c>
      <c r="D516" s="55" t="s">
        <v>209</v>
      </c>
      <c r="E516" s="146">
        <v>0</v>
      </c>
      <c r="F516" s="146">
        <v>0</v>
      </c>
      <c r="G516" s="146">
        <v>0</v>
      </c>
      <c r="H516" s="146">
        <v>0</v>
      </c>
      <c r="I516" s="146">
        <v>0</v>
      </c>
      <c r="J516" s="146">
        <v>0</v>
      </c>
      <c r="K516" s="146">
        <v>0</v>
      </c>
      <c r="L516" s="146">
        <v>0</v>
      </c>
      <c r="M516" s="146">
        <v>0</v>
      </c>
      <c r="N516" s="146">
        <v>0</v>
      </c>
      <c r="O516" s="146">
        <v>0</v>
      </c>
      <c r="P516" s="146">
        <v>0</v>
      </c>
      <c r="Q516" s="916">
        <f t="shared" si="110"/>
        <v>0</v>
      </c>
      <c r="R516" s="887"/>
      <c r="S516" s="887"/>
    </row>
    <row r="517" ht="15" spans="3:19">
      <c r="C517" s="55" t="s">
        <v>210</v>
      </c>
      <c r="D517" s="55" t="s">
        <v>188</v>
      </c>
      <c r="E517" s="146">
        <v>0</v>
      </c>
      <c r="F517" s="146">
        <v>0</v>
      </c>
      <c r="G517" s="146">
        <v>0</v>
      </c>
      <c r="H517" s="146">
        <v>0</v>
      </c>
      <c r="I517" s="146">
        <v>0</v>
      </c>
      <c r="J517" s="146">
        <v>0</v>
      </c>
      <c r="K517" s="146">
        <v>0</v>
      </c>
      <c r="L517" s="146">
        <v>0</v>
      </c>
      <c r="M517" s="146">
        <v>0</v>
      </c>
      <c r="N517" s="146">
        <v>0</v>
      </c>
      <c r="O517" s="146">
        <v>0</v>
      </c>
      <c r="P517" s="146">
        <v>0</v>
      </c>
      <c r="Q517" s="916">
        <f t="shared" si="110"/>
        <v>0</v>
      </c>
      <c r="R517" s="887"/>
      <c r="S517" s="887"/>
    </row>
    <row r="518" ht="15" spans="3:19">
      <c r="C518" s="55"/>
      <c r="D518" s="55"/>
      <c r="E518" s="146"/>
      <c r="F518" s="146"/>
      <c r="G518" s="146"/>
      <c r="H518" s="146"/>
      <c r="I518" s="146"/>
      <c r="J518" s="146"/>
      <c r="K518" s="146"/>
      <c r="L518" s="146"/>
      <c r="M518" s="146"/>
      <c r="N518" s="146"/>
      <c r="O518" s="146"/>
      <c r="P518" s="146"/>
      <c r="Q518" s="916">
        <f t="shared" si="110"/>
        <v>0</v>
      </c>
      <c r="R518" s="887"/>
      <c r="S518" s="887"/>
    </row>
    <row r="519" ht="15" spans="3:19">
      <c r="C519" s="55"/>
      <c r="D519" s="55"/>
      <c r="E519" s="146"/>
      <c r="F519" s="146"/>
      <c r="G519" s="146"/>
      <c r="H519" s="146"/>
      <c r="I519" s="146"/>
      <c r="J519" s="146"/>
      <c r="K519" s="146"/>
      <c r="L519" s="146"/>
      <c r="M519" s="146"/>
      <c r="N519" s="146"/>
      <c r="O519" s="146"/>
      <c r="P519" s="146"/>
      <c r="Q519" s="916">
        <f t="shared" si="110"/>
        <v>0</v>
      </c>
      <c r="R519" s="887"/>
      <c r="S519" s="887"/>
    </row>
    <row r="520" ht="15" spans="3:19">
      <c r="C520" s="55"/>
      <c r="D520" s="55"/>
      <c r="E520" s="146"/>
      <c r="F520" s="146"/>
      <c r="G520" s="146"/>
      <c r="H520" s="146"/>
      <c r="I520" s="146"/>
      <c r="J520" s="146"/>
      <c r="K520" s="146"/>
      <c r="L520" s="146"/>
      <c r="M520" s="146"/>
      <c r="N520" s="146"/>
      <c r="O520" s="146"/>
      <c r="P520" s="146"/>
      <c r="Q520" s="916">
        <f t="shared" si="110"/>
        <v>0</v>
      </c>
      <c r="R520" s="887"/>
      <c r="S520" s="887"/>
    </row>
    <row r="521" ht="15" spans="3:19">
      <c r="C521" s="55" t="s">
        <v>258</v>
      </c>
      <c r="D521" s="55" t="s">
        <v>258</v>
      </c>
      <c r="E521" s="146"/>
      <c r="F521" s="146"/>
      <c r="G521" s="146"/>
      <c r="H521" s="146"/>
      <c r="I521" s="146"/>
      <c r="J521" s="146"/>
      <c r="K521" s="146"/>
      <c r="L521" s="146"/>
      <c r="M521" s="146"/>
      <c r="N521" s="146"/>
      <c r="O521" s="146"/>
      <c r="P521" s="146"/>
      <c r="Q521" s="916">
        <f t="shared" si="110"/>
        <v>0</v>
      </c>
      <c r="R521" s="887"/>
      <c r="S521" s="887"/>
    </row>
    <row r="522" ht="15" spans="3:19">
      <c r="C522" s="537" t="s">
        <v>211</v>
      </c>
      <c r="D522" s="540"/>
      <c r="E522" s="916">
        <f t="shared" ref="E522:P522" si="111">SUM(E505:E521)</f>
        <v>784.560137810769</v>
      </c>
      <c r="F522" s="916">
        <f t="shared" si="111"/>
        <v>763.887366903644</v>
      </c>
      <c r="G522" s="916">
        <f t="shared" si="111"/>
        <v>760.987717827279</v>
      </c>
      <c r="H522" s="916">
        <f t="shared" si="111"/>
        <v>753.925640087881</v>
      </c>
      <c r="I522" s="916">
        <f t="shared" si="111"/>
        <v>742.424366825873</v>
      </c>
      <c r="J522" s="916">
        <f t="shared" si="111"/>
        <v>769.85148386963</v>
      </c>
      <c r="K522" s="916">
        <f t="shared" si="111"/>
        <v>776.97234974342</v>
      </c>
      <c r="L522" s="916">
        <f t="shared" si="111"/>
        <v>753.853450516954</v>
      </c>
      <c r="M522" s="916">
        <f t="shared" si="111"/>
        <v>770.736444465937</v>
      </c>
      <c r="N522" s="916">
        <f t="shared" si="111"/>
        <v>788.728667072978</v>
      </c>
      <c r="O522" s="916">
        <f t="shared" si="111"/>
        <v>830.629746296191</v>
      </c>
      <c r="P522" s="916">
        <f t="shared" si="111"/>
        <v>841.081536122075</v>
      </c>
      <c r="Q522" s="916">
        <f t="shared" si="110"/>
        <v>9337.63890754263</v>
      </c>
      <c r="R522" s="887"/>
      <c r="S522" s="887"/>
    </row>
    <row r="523" ht="15" spans="3:19">
      <c r="C523" s="537" t="s">
        <v>223</v>
      </c>
      <c r="D523" s="540"/>
      <c r="E523" s="916">
        <f t="shared" ref="E523:P523" si="112">E522+E503+E486</f>
        <v>2064.12275845603</v>
      </c>
      <c r="F523" s="916">
        <f t="shared" si="112"/>
        <v>2010.88700101893</v>
      </c>
      <c r="G523" s="916">
        <f t="shared" si="112"/>
        <v>2034.77884959739</v>
      </c>
      <c r="H523" s="916">
        <f t="shared" si="112"/>
        <v>1950.11107805193</v>
      </c>
      <c r="I523" s="916">
        <f t="shared" si="112"/>
        <v>1971.63248222536</v>
      </c>
      <c r="J523" s="916">
        <f t="shared" si="112"/>
        <v>2003.13590027952</v>
      </c>
      <c r="K523" s="916">
        <f t="shared" si="112"/>
        <v>2126.67658875431</v>
      </c>
      <c r="L523" s="916">
        <f t="shared" si="112"/>
        <v>2062.19308507614</v>
      </c>
      <c r="M523" s="916">
        <f t="shared" si="112"/>
        <v>2095.36934683608</v>
      </c>
      <c r="N523" s="916">
        <f t="shared" si="112"/>
        <v>2138.56419848939</v>
      </c>
      <c r="O523" s="916">
        <f t="shared" si="112"/>
        <v>2208.52636502225</v>
      </c>
      <c r="P523" s="916">
        <f t="shared" si="112"/>
        <v>2333.06811253104</v>
      </c>
      <c r="Q523" s="916">
        <f t="shared" si="110"/>
        <v>24999.0657663384</v>
      </c>
      <c r="R523" s="887"/>
      <c r="S523" s="887"/>
    </row>
    <row r="524" ht="15" spans="3:19">
      <c r="C524" s="537" t="s">
        <v>224</v>
      </c>
      <c r="D524" s="540"/>
      <c r="E524" s="916">
        <f t="shared" ref="E524:P524" si="113">E523+E469</f>
        <v>3687.63423145603</v>
      </c>
      <c r="F524" s="916">
        <f t="shared" si="113"/>
        <v>3595.23912301893</v>
      </c>
      <c r="G524" s="916">
        <f t="shared" si="113"/>
        <v>3458.05242559739</v>
      </c>
      <c r="H524" s="916">
        <f t="shared" si="113"/>
        <v>3263.09142305193</v>
      </c>
      <c r="I524" s="916">
        <f t="shared" si="113"/>
        <v>3333.78269122536</v>
      </c>
      <c r="J524" s="916">
        <f t="shared" si="113"/>
        <v>3295.23401127952</v>
      </c>
      <c r="K524" s="916">
        <f t="shared" si="113"/>
        <v>3478.29852775431</v>
      </c>
      <c r="L524" s="916">
        <f t="shared" si="113"/>
        <v>3294.89668407614</v>
      </c>
      <c r="M524" s="916">
        <f t="shared" si="113"/>
        <v>3293.51865083608</v>
      </c>
      <c r="N524" s="916">
        <f t="shared" si="113"/>
        <v>3325.75811348939</v>
      </c>
      <c r="O524" s="916">
        <f t="shared" si="113"/>
        <v>3421.75229342225</v>
      </c>
      <c r="P524" s="916">
        <f t="shared" si="113"/>
        <v>3838.32980653104</v>
      </c>
      <c r="Q524" s="916">
        <f t="shared" si="110"/>
        <v>41285.5879817384</v>
      </c>
      <c r="R524" s="887"/>
      <c r="S524" s="887"/>
    </row>
    <row r="525" spans="5:19">
      <c r="E525" s="887"/>
      <c r="F525" s="887"/>
      <c r="G525" s="887"/>
      <c r="H525" s="887"/>
      <c r="I525" s="887"/>
      <c r="J525" s="887"/>
      <c r="K525" s="887"/>
      <c r="L525" s="887"/>
      <c r="M525" s="887"/>
      <c r="N525" s="887"/>
      <c r="O525" s="887"/>
      <c r="P525" s="887"/>
      <c r="Q525" s="887"/>
      <c r="R525" s="887"/>
      <c r="S525" s="887"/>
    </row>
    <row r="526" ht="15" spans="3:19">
      <c r="C526" s="14"/>
      <c r="E526" s="887"/>
      <c r="F526" s="887"/>
      <c r="G526" s="887"/>
      <c r="H526" s="887"/>
      <c r="I526" s="887"/>
      <c r="J526" s="887"/>
      <c r="K526" s="887"/>
      <c r="L526" s="887"/>
      <c r="M526" s="887"/>
      <c r="N526" s="887"/>
      <c r="O526" s="887"/>
      <c r="P526" s="887"/>
      <c r="Q526" s="918" t="s">
        <v>236</v>
      </c>
      <c r="R526" s="887"/>
      <c r="S526" s="887"/>
    </row>
    <row r="527" ht="15" spans="3:19">
      <c r="C527" s="6" t="s">
        <v>159</v>
      </c>
      <c r="D527" s="6"/>
      <c r="E527" s="150" t="s">
        <v>264</v>
      </c>
      <c r="F527" s="150"/>
      <c r="G527" s="150"/>
      <c r="H527" s="150"/>
      <c r="I527" s="150"/>
      <c r="J527" s="150"/>
      <c r="K527" s="150"/>
      <c r="L527" s="150"/>
      <c r="M527" s="150"/>
      <c r="N527" s="150"/>
      <c r="O527" s="150"/>
      <c r="P527" s="150"/>
      <c r="Q527" s="150"/>
      <c r="R527" s="887"/>
      <c r="S527" s="887"/>
    </row>
    <row r="528" ht="15" spans="3:19">
      <c r="C528" s="6"/>
      <c r="D528" s="6"/>
      <c r="E528" s="150" t="s">
        <v>246</v>
      </c>
      <c r="F528" s="150" t="s">
        <v>247</v>
      </c>
      <c r="G528" s="150" t="s">
        <v>248</v>
      </c>
      <c r="H528" s="150" t="s">
        <v>249</v>
      </c>
      <c r="I528" s="150" t="s">
        <v>250</v>
      </c>
      <c r="J528" s="150" t="s">
        <v>251</v>
      </c>
      <c r="K528" s="150" t="s">
        <v>252</v>
      </c>
      <c r="L528" s="150" t="s">
        <v>253</v>
      </c>
      <c r="M528" s="150" t="s">
        <v>254</v>
      </c>
      <c r="N528" s="150" t="s">
        <v>255</v>
      </c>
      <c r="O528" s="150" t="s">
        <v>256</v>
      </c>
      <c r="P528" s="150" t="s">
        <v>257</v>
      </c>
      <c r="Q528" s="150" t="s">
        <v>97</v>
      </c>
      <c r="R528" s="887"/>
      <c r="S528" s="887"/>
    </row>
    <row r="529" ht="15" spans="3:19">
      <c r="C529" s="44" t="s">
        <v>170</v>
      </c>
      <c r="D529" s="45"/>
      <c r="E529" s="146"/>
      <c r="F529" s="146"/>
      <c r="G529" s="146"/>
      <c r="H529" s="146"/>
      <c r="I529" s="146"/>
      <c r="J529" s="146"/>
      <c r="K529" s="146"/>
      <c r="L529" s="146"/>
      <c r="M529" s="146"/>
      <c r="N529" s="146"/>
      <c r="O529" s="146"/>
      <c r="P529" s="146"/>
      <c r="Q529" s="158"/>
      <c r="R529" s="887"/>
      <c r="S529" s="887"/>
    </row>
    <row r="530" ht="15" spans="3:19">
      <c r="C530" s="47" t="s">
        <v>171</v>
      </c>
      <c r="D530" s="47" t="s">
        <v>172</v>
      </c>
      <c r="E530" s="146"/>
      <c r="F530" s="146"/>
      <c r="G530" s="146"/>
      <c r="H530" s="146"/>
      <c r="I530" s="146"/>
      <c r="J530" s="146"/>
      <c r="K530" s="146"/>
      <c r="L530" s="146"/>
      <c r="M530" s="146"/>
      <c r="N530" s="146"/>
      <c r="O530" s="146"/>
      <c r="P530" s="146"/>
      <c r="Q530" s="916">
        <f t="shared" ref="Q530:Q543" si="114">SUM(E530:P530)</f>
        <v>0</v>
      </c>
      <c r="R530" s="887"/>
      <c r="S530" s="887"/>
    </row>
    <row r="531" ht="15" spans="3:19">
      <c r="C531" s="55" t="s">
        <v>173</v>
      </c>
      <c r="D531" s="55" t="s">
        <v>174</v>
      </c>
      <c r="E531" s="146"/>
      <c r="F531" s="146"/>
      <c r="G531" s="146"/>
      <c r="H531" s="146"/>
      <c r="I531" s="146"/>
      <c r="J531" s="146"/>
      <c r="K531" s="146"/>
      <c r="L531" s="146"/>
      <c r="M531" s="146"/>
      <c r="N531" s="146"/>
      <c r="O531" s="146"/>
      <c r="P531" s="146"/>
      <c r="Q531" s="916">
        <f t="shared" si="114"/>
        <v>0</v>
      </c>
      <c r="R531" s="887"/>
      <c r="S531" s="887"/>
    </row>
    <row r="532" ht="15" spans="3:19">
      <c r="C532" s="55" t="s">
        <v>175</v>
      </c>
      <c r="D532" s="55" t="s">
        <v>176</v>
      </c>
      <c r="E532" s="146"/>
      <c r="F532" s="146"/>
      <c r="G532" s="146"/>
      <c r="H532" s="146"/>
      <c r="I532" s="146"/>
      <c r="J532" s="146"/>
      <c r="K532" s="146"/>
      <c r="L532" s="146"/>
      <c r="M532" s="146"/>
      <c r="N532" s="146"/>
      <c r="O532" s="146"/>
      <c r="P532" s="146"/>
      <c r="Q532" s="916">
        <f t="shared" si="114"/>
        <v>0</v>
      </c>
      <c r="R532" s="887"/>
      <c r="S532" s="887"/>
    </row>
    <row r="533" ht="15" spans="3:19">
      <c r="C533" s="55" t="s">
        <v>177</v>
      </c>
      <c r="D533" s="55" t="s">
        <v>178</v>
      </c>
      <c r="E533" s="146"/>
      <c r="F533" s="146"/>
      <c r="G533" s="146"/>
      <c r="H533" s="146"/>
      <c r="I533" s="146"/>
      <c r="J533" s="146"/>
      <c r="K533" s="146"/>
      <c r="L533" s="146"/>
      <c r="M533" s="146"/>
      <c r="N533" s="146"/>
      <c r="O533" s="146"/>
      <c r="P533" s="146"/>
      <c r="Q533" s="916">
        <f t="shared" si="114"/>
        <v>0</v>
      </c>
      <c r="R533" s="887"/>
      <c r="S533" s="887"/>
    </row>
    <row r="534" ht="15" spans="3:19">
      <c r="C534" s="55" t="s">
        <v>179</v>
      </c>
      <c r="D534" s="55" t="s">
        <v>180</v>
      </c>
      <c r="E534" s="146"/>
      <c r="F534" s="146"/>
      <c r="G534" s="146"/>
      <c r="H534" s="146"/>
      <c r="I534" s="146"/>
      <c r="J534" s="146"/>
      <c r="K534" s="146"/>
      <c r="L534" s="146"/>
      <c r="M534" s="146"/>
      <c r="N534" s="146"/>
      <c r="O534" s="146"/>
      <c r="P534" s="146"/>
      <c r="Q534" s="916">
        <f t="shared" si="114"/>
        <v>0</v>
      </c>
      <c r="R534" s="887"/>
      <c r="S534" s="887"/>
    </row>
    <row r="535" ht="15" spans="3:19">
      <c r="C535" s="55" t="s">
        <v>181</v>
      </c>
      <c r="D535" s="55" t="s">
        <v>182</v>
      </c>
      <c r="E535" s="146"/>
      <c r="F535" s="146"/>
      <c r="G535" s="146"/>
      <c r="H535" s="146"/>
      <c r="I535" s="146"/>
      <c r="J535" s="146"/>
      <c r="K535" s="146"/>
      <c r="L535" s="146"/>
      <c r="M535" s="146"/>
      <c r="N535" s="146"/>
      <c r="O535" s="146"/>
      <c r="P535" s="146"/>
      <c r="Q535" s="916">
        <f t="shared" si="114"/>
        <v>0</v>
      </c>
      <c r="R535" s="887"/>
      <c r="S535" s="887"/>
    </row>
    <row r="536" ht="15" spans="3:19">
      <c r="C536" s="55" t="s">
        <v>183</v>
      </c>
      <c r="D536" s="55" t="s">
        <v>184</v>
      </c>
      <c r="E536" s="146"/>
      <c r="F536" s="146"/>
      <c r="G536" s="146"/>
      <c r="H536" s="146"/>
      <c r="I536" s="146"/>
      <c r="J536" s="146"/>
      <c r="K536" s="146"/>
      <c r="L536" s="146"/>
      <c r="M536" s="146"/>
      <c r="N536" s="146"/>
      <c r="O536" s="146"/>
      <c r="P536" s="146"/>
      <c r="Q536" s="916">
        <f t="shared" si="114"/>
        <v>0</v>
      </c>
      <c r="R536" s="887"/>
      <c r="S536" s="887"/>
    </row>
    <row r="537" ht="15" spans="3:19">
      <c r="C537" s="55" t="s">
        <v>185</v>
      </c>
      <c r="D537" s="55" t="s">
        <v>186</v>
      </c>
      <c r="E537" s="146"/>
      <c r="F537" s="146"/>
      <c r="G537" s="146"/>
      <c r="H537" s="146"/>
      <c r="I537" s="146"/>
      <c r="J537" s="146"/>
      <c r="K537" s="146"/>
      <c r="L537" s="146"/>
      <c r="M537" s="146"/>
      <c r="N537" s="146"/>
      <c r="O537" s="146"/>
      <c r="P537" s="146"/>
      <c r="Q537" s="916">
        <f t="shared" si="114"/>
        <v>0</v>
      </c>
      <c r="R537" s="887"/>
      <c r="S537" s="887"/>
    </row>
    <row r="538" ht="15" spans="3:19">
      <c r="C538" s="55" t="s">
        <v>187</v>
      </c>
      <c r="D538" s="55" t="s">
        <v>188</v>
      </c>
      <c r="E538" s="146"/>
      <c r="F538" s="146"/>
      <c r="G538" s="146"/>
      <c r="H538" s="146"/>
      <c r="I538" s="146"/>
      <c r="J538" s="146"/>
      <c r="K538" s="146"/>
      <c r="L538" s="146"/>
      <c r="M538" s="146"/>
      <c r="N538" s="146"/>
      <c r="O538" s="146"/>
      <c r="P538" s="146"/>
      <c r="Q538" s="916">
        <f t="shared" si="114"/>
        <v>0</v>
      </c>
      <c r="R538" s="887"/>
      <c r="S538" s="887"/>
    </row>
    <row r="539" ht="15" spans="3:19">
      <c r="C539" s="55"/>
      <c r="D539" s="55"/>
      <c r="E539" s="146"/>
      <c r="F539" s="146"/>
      <c r="G539" s="146"/>
      <c r="H539" s="146"/>
      <c r="I539" s="146"/>
      <c r="J539" s="146"/>
      <c r="K539" s="146"/>
      <c r="L539" s="146"/>
      <c r="M539" s="146"/>
      <c r="N539" s="146"/>
      <c r="O539" s="146"/>
      <c r="P539" s="146"/>
      <c r="Q539" s="916">
        <f t="shared" si="114"/>
        <v>0</v>
      </c>
      <c r="R539" s="887"/>
      <c r="S539" s="887"/>
    </row>
    <row r="540" ht="15" spans="3:19">
      <c r="C540" s="55"/>
      <c r="D540" s="55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916">
        <f t="shared" si="114"/>
        <v>0</v>
      </c>
      <c r="R540" s="887"/>
      <c r="S540" s="887"/>
    </row>
    <row r="541" ht="15" spans="3:19">
      <c r="C541" s="55"/>
      <c r="D541" s="55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916">
        <f t="shared" si="114"/>
        <v>0</v>
      </c>
      <c r="R541" s="887"/>
      <c r="S541" s="887"/>
    </row>
    <row r="542" ht="15" spans="3:19">
      <c r="C542" s="55" t="s">
        <v>258</v>
      </c>
      <c r="D542" s="55" t="s">
        <v>258</v>
      </c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916">
        <f t="shared" si="114"/>
        <v>0</v>
      </c>
      <c r="R542" s="887"/>
      <c r="S542" s="887"/>
    </row>
    <row r="543" ht="15" spans="3:19">
      <c r="C543" s="537" t="s">
        <v>189</v>
      </c>
      <c r="D543" s="540"/>
      <c r="E543" s="916">
        <f t="shared" ref="E543:P543" si="115">SUM(E530:E542)</f>
        <v>0</v>
      </c>
      <c r="F543" s="916">
        <f t="shared" si="115"/>
        <v>0</v>
      </c>
      <c r="G543" s="916">
        <f t="shared" si="115"/>
        <v>0</v>
      </c>
      <c r="H543" s="916">
        <f t="shared" si="115"/>
        <v>0</v>
      </c>
      <c r="I543" s="916">
        <f t="shared" si="115"/>
        <v>0</v>
      </c>
      <c r="J543" s="916">
        <f t="shared" si="115"/>
        <v>0</v>
      </c>
      <c r="K543" s="916">
        <f t="shared" si="115"/>
        <v>0</v>
      </c>
      <c r="L543" s="916">
        <f t="shared" si="115"/>
        <v>0</v>
      </c>
      <c r="M543" s="916">
        <f t="shared" si="115"/>
        <v>0</v>
      </c>
      <c r="N543" s="916">
        <f t="shared" si="115"/>
        <v>0</v>
      </c>
      <c r="O543" s="916">
        <f t="shared" si="115"/>
        <v>0</v>
      </c>
      <c r="P543" s="916">
        <f t="shared" si="115"/>
        <v>0</v>
      </c>
      <c r="Q543" s="916">
        <f t="shared" si="114"/>
        <v>0</v>
      </c>
      <c r="R543" s="887"/>
      <c r="S543" s="887"/>
    </row>
    <row r="544" ht="15" spans="3:19">
      <c r="C544" s="44" t="s">
        <v>190</v>
      </c>
      <c r="D544" s="45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58"/>
      <c r="R544" s="887"/>
      <c r="S544" s="887"/>
    </row>
    <row r="545" ht="15" spans="3:19">
      <c r="C545" s="55" t="s">
        <v>191</v>
      </c>
      <c r="D545" s="55" t="s">
        <v>192</v>
      </c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916">
        <f t="shared" ref="Q545:Q560" si="116">SUM(E545:P545)</f>
        <v>0</v>
      </c>
      <c r="R545" s="887"/>
      <c r="S545" s="887"/>
    </row>
    <row r="546" ht="15" spans="3:19">
      <c r="C546" s="55" t="s">
        <v>193</v>
      </c>
      <c r="D546" s="55" t="s">
        <v>194</v>
      </c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916">
        <f t="shared" si="116"/>
        <v>0</v>
      </c>
      <c r="R546" s="887"/>
      <c r="S546" s="887"/>
    </row>
    <row r="547" ht="15" spans="3:19">
      <c r="C547" s="55" t="s">
        <v>239</v>
      </c>
      <c r="D547" s="55" t="s">
        <v>196</v>
      </c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916">
        <f t="shared" si="116"/>
        <v>0</v>
      </c>
      <c r="R547" s="887"/>
      <c r="S547" s="887"/>
    </row>
    <row r="548" ht="15" spans="3:19">
      <c r="C548" s="55" t="s">
        <v>197</v>
      </c>
      <c r="D548" s="55" t="s">
        <v>198</v>
      </c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916">
        <f t="shared" si="116"/>
        <v>0</v>
      </c>
      <c r="R548" s="887"/>
      <c r="S548" s="887"/>
    </row>
    <row r="549" ht="15" spans="3:19">
      <c r="C549" s="55" t="s">
        <v>199</v>
      </c>
      <c r="D549" s="55" t="s">
        <v>200</v>
      </c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916">
        <f t="shared" si="116"/>
        <v>0</v>
      </c>
      <c r="R549" s="887"/>
      <c r="S549" s="887"/>
    </row>
    <row r="550" ht="15" spans="3:19">
      <c r="C550" s="55" t="s">
        <v>201</v>
      </c>
      <c r="D550" s="55" t="s">
        <v>202</v>
      </c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916">
        <f t="shared" si="116"/>
        <v>0</v>
      </c>
      <c r="R550" s="887"/>
      <c r="S550" s="887"/>
    </row>
    <row r="551" ht="15" spans="3:19">
      <c r="C551" s="55" t="s">
        <v>203</v>
      </c>
      <c r="D551" s="55" t="s">
        <v>204</v>
      </c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916">
        <f t="shared" si="116"/>
        <v>0</v>
      </c>
      <c r="R551" s="887"/>
      <c r="S551" s="887"/>
    </row>
    <row r="552" ht="15" spans="3:19">
      <c r="C552" s="55" t="s">
        <v>205</v>
      </c>
      <c r="D552" s="55" t="s">
        <v>206</v>
      </c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916">
        <f t="shared" si="116"/>
        <v>0</v>
      </c>
      <c r="R552" s="887"/>
      <c r="S552" s="887"/>
    </row>
    <row r="553" ht="15" spans="3:19">
      <c r="C553" s="55" t="s">
        <v>207</v>
      </c>
      <c r="D553" s="55" t="s">
        <v>186</v>
      </c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916">
        <f t="shared" si="116"/>
        <v>0</v>
      </c>
      <c r="R553" s="887"/>
      <c r="S553" s="887"/>
    </row>
    <row r="554" ht="15" spans="3:19">
      <c r="C554" s="55" t="s">
        <v>208</v>
      </c>
      <c r="D554" s="55" t="s">
        <v>209</v>
      </c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916">
        <f t="shared" si="116"/>
        <v>0</v>
      </c>
      <c r="R554" s="887"/>
      <c r="S554" s="887"/>
    </row>
    <row r="555" ht="15" spans="3:19">
      <c r="C555" s="55" t="s">
        <v>210</v>
      </c>
      <c r="D555" s="55" t="s">
        <v>188</v>
      </c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916">
        <f t="shared" si="116"/>
        <v>0</v>
      </c>
      <c r="R555" s="887"/>
      <c r="S555" s="887"/>
    </row>
    <row r="556" ht="15" spans="3:19">
      <c r="C556" s="55"/>
      <c r="D556" s="55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916">
        <f t="shared" si="116"/>
        <v>0</v>
      </c>
      <c r="R556" s="887"/>
      <c r="S556" s="887"/>
    </row>
    <row r="557" ht="15" spans="3:19">
      <c r="C557" s="55"/>
      <c r="D557" s="55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916">
        <f t="shared" si="116"/>
        <v>0</v>
      </c>
      <c r="R557" s="887"/>
      <c r="S557" s="887"/>
    </row>
    <row r="558" ht="15" spans="3:19">
      <c r="C558" s="55"/>
      <c r="D558" s="55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916">
        <f t="shared" si="116"/>
        <v>0</v>
      </c>
      <c r="R558" s="887"/>
      <c r="S558" s="887"/>
    </row>
    <row r="559" ht="15" spans="3:19">
      <c r="C559" s="55" t="s">
        <v>258</v>
      </c>
      <c r="D559" s="55" t="s">
        <v>258</v>
      </c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916">
        <f t="shared" si="116"/>
        <v>0</v>
      </c>
      <c r="R559" s="887"/>
      <c r="S559" s="887"/>
    </row>
    <row r="560" ht="15" spans="3:19">
      <c r="C560" s="537" t="s">
        <v>211</v>
      </c>
      <c r="D560" s="540"/>
      <c r="E560" s="916">
        <f t="shared" ref="E560:P560" si="117">SUM(E545:E559)</f>
        <v>0</v>
      </c>
      <c r="F560" s="916">
        <f t="shared" si="117"/>
        <v>0</v>
      </c>
      <c r="G560" s="916">
        <f t="shared" si="117"/>
        <v>0</v>
      </c>
      <c r="H560" s="916">
        <f t="shared" si="117"/>
        <v>0</v>
      </c>
      <c r="I560" s="916">
        <f t="shared" si="117"/>
        <v>0</v>
      </c>
      <c r="J560" s="916">
        <f t="shared" si="117"/>
        <v>0</v>
      </c>
      <c r="K560" s="916">
        <f t="shared" si="117"/>
        <v>0</v>
      </c>
      <c r="L560" s="916">
        <f t="shared" si="117"/>
        <v>0</v>
      </c>
      <c r="M560" s="916">
        <f t="shared" si="117"/>
        <v>0</v>
      </c>
      <c r="N560" s="916">
        <f t="shared" si="117"/>
        <v>0</v>
      </c>
      <c r="O560" s="916">
        <f t="shared" si="117"/>
        <v>0</v>
      </c>
      <c r="P560" s="916">
        <f t="shared" si="117"/>
        <v>0</v>
      </c>
      <c r="Q560" s="916">
        <f t="shared" si="116"/>
        <v>0</v>
      </c>
      <c r="R560" s="887"/>
      <c r="S560" s="887"/>
    </row>
    <row r="561" ht="15" spans="3:19">
      <c r="C561" s="44" t="s">
        <v>212</v>
      </c>
      <c r="D561" s="45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58"/>
      <c r="R561" s="887"/>
      <c r="S561" s="887"/>
    </row>
    <row r="562" ht="15" spans="3:19">
      <c r="C562" s="55" t="s">
        <v>191</v>
      </c>
      <c r="D562" s="55" t="s">
        <v>192</v>
      </c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916">
        <f t="shared" ref="Q562:Q577" si="118">SUM(E562:P562)</f>
        <v>0</v>
      </c>
      <c r="R562" s="887"/>
      <c r="S562" s="887"/>
    </row>
    <row r="563" ht="15" spans="3:19">
      <c r="C563" s="55" t="s">
        <v>193</v>
      </c>
      <c r="D563" s="55" t="s">
        <v>194</v>
      </c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916">
        <f t="shared" si="118"/>
        <v>0</v>
      </c>
      <c r="R563" s="887"/>
      <c r="S563" s="887"/>
    </row>
    <row r="564" ht="15" spans="3:19">
      <c r="C564" s="55" t="s">
        <v>239</v>
      </c>
      <c r="D564" s="55" t="s">
        <v>196</v>
      </c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916">
        <f t="shared" si="118"/>
        <v>0</v>
      </c>
      <c r="R564" s="887"/>
      <c r="S564" s="887"/>
    </row>
    <row r="565" ht="15" spans="3:19">
      <c r="C565" s="55" t="s">
        <v>197</v>
      </c>
      <c r="D565" s="55" t="s">
        <v>198</v>
      </c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916">
        <f t="shared" si="118"/>
        <v>0</v>
      </c>
      <c r="R565" s="887"/>
      <c r="S565" s="887"/>
    </row>
    <row r="566" ht="15" spans="3:19">
      <c r="C566" s="55" t="s">
        <v>199</v>
      </c>
      <c r="D566" s="55" t="s">
        <v>200</v>
      </c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916">
        <f t="shared" si="118"/>
        <v>0</v>
      </c>
      <c r="R566" s="887"/>
      <c r="S566" s="887"/>
    </row>
    <row r="567" ht="15" spans="3:19">
      <c r="C567" s="55" t="s">
        <v>201</v>
      </c>
      <c r="D567" s="55" t="s">
        <v>202</v>
      </c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916">
        <f t="shared" si="118"/>
        <v>0</v>
      </c>
      <c r="R567" s="887"/>
      <c r="S567" s="887"/>
    </row>
    <row r="568" ht="15" spans="3:19">
      <c r="C568" s="55" t="s">
        <v>203</v>
      </c>
      <c r="D568" s="55" t="s">
        <v>204</v>
      </c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916">
        <f t="shared" si="118"/>
        <v>0</v>
      </c>
      <c r="R568" s="887"/>
      <c r="S568" s="887"/>
    </row>
    <row r="569" ht="15" spans="3:19">
      <c r="C569" s="55" t="s">
        <v>205</v>
      </c>
      <c r="D569" s="55" t="s">
        <v>206</v>
      </c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916">
        <f t="shared" si="118"/>
        <v>0</v>
      </c>
      <c r="R569" s="887"/>
      <c r="S569" s="887"/>
    </row>
    <row r="570" ht="15" spans="3:19">
      <c r="C570" s="55" t="s">
        <v>231</v>
      </c>
      <c r="D570" s="55" t="s">
        <v>186</v>
      </c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916">
        <f t="shared" si="118"/>
        <v>0</v>
      </c>
      <c r="R570" s="887"/>
      <c r="S570" s="887"/>
    </row>
    <row r="571" ht="15" spans="3:19">
      <c r="C571" s="55" t="s">
        <v>208</v>
      </c>
      <c r="D571" s="55" t="s">
        <v>209</v>
      </c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916">
        <f t="shared" si="118"/>
        <v>0</v>
      </c>
      <c r="R571" s="887"/>
      <c r="S571" s="887"/>
    </row>
    <row r="572" ht="15" spans="3:19">
      <c r="C572" s="55" t="s">
        <v>210</v>
      </c>
      <c r="D572" s="55" t="s">
        <v>188</v>
      </c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916">
        <f t="shared" si="118"/>
        <v>0</v>
      </c>
      <c r="R572" s="887"/>
      <c r="S572" s="887"/>
    </row>
    <row r="573" ht="15" spans="3:19">
      <c r="C573" s="55"/>
      <c r="D573" s="55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916">
        <f t="shared" si="118"/>
        <v>0</v>
      </c>
      <c r="R573" s="887"/>
      <c r="S573" s="887"/>
    </row>
    <row r="574" ht="15" spans="3:19">
      <c r="C574" s="55"/>
      <c r="D574" s="55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916">
        <f t="shared" si="118"/>
        <v>0</v>
      </c>
      <c r="R574" s="887"/>
      <c r="S574" s="887"/>
    </row>
    <row r="575" ht="15" spans="3:19">
      <c r="C575" s="55"/>
      <c r="D575" s="55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916">
        <f t="shared" si="118"/>
        <v>0</v>
      </c>
      <c r="R575" s="887"/>
      <c r="S575" s="887"/>
    </row>
    <row r="576" ht="15" spans="3:19">
      <c r="C576" s="55" t="s">
        <v>258</v>
      </c>
      <c r="D576" s="55" t="s">
        <v>258</v>
      </c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916">
        <f t="shared" si="118"/>
        <v>0</v>
      </c>
      <c r="R576" s="887"/>
      <c r="S576" s="887"/>
    </row>
    <row r="577" ht="15" spans="3:19">
      <c r="C577" s="537" t="s">
        <v>211</v>
      </c>
      <c r="D577" s="540"/>
      <c r="E577" s="916">
        <f t="shared" ref="E577:P577" si="119">SUM(E562:E576)</f>
        <v>0</v>
      </c>
      <c r="F577" s="916">
        <f t="shared" si="119"/>
        <v>0</v>
      </c>
      <c r="G577" s="916">
        <f t="shared" si="119"/>
        <v>0</v>
      </c>
      <c r="H577" s="916">
        <f t="shared" si="119"/>
        <v>0</v>
      </c>
      <c r="I577" s="916">
        <f t="shared" si="119"/>
        <v>0</v>
      </c>
      <c r="J577" s="916">
        <f t="shared" si="119"/>
        <v>0</v>
      </c>
      <c r="K577" s="916">
        <f t="shared" si="119"/>
        <v>0</v>
      </c>
      <c r="L577" s="916">
        <f t="shared" si="119"/>
        <v>0</v>
      </c>
      <c r="M577" s="916">
        <f t="shared" si="119"/>
        <v>0</v>
      </c>
      <c r="N577" s="916">
        <f t="shared" si="119"/>
        <v>0</v>
      </c>
      <c r="O577" s="916">
        <f t="shared" si="119"/>
        <v>0</v>
      </c>
      <c r="P577" s="916">
        <f t="shared" si="119"/>
        <v>0</v>
      </c>
      <c r="Q577" s="916">
        <f t="shared" si="118"/>
        <v>0</v>
      </c>
      <c r="R577" s="887"/>
      <c r="S577" s="887"/>
    </row>
    <row r="578" ht="15" spans="3:19">
      <c r="C578" s="44" t="s">
        <v>219</v>
      </c>
      <c r="D578" s="45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58"/>
      <c r="R578" s="887"/>
      <c r="S578" s="887"/>
    </row>
    <row r="579" ht="15" spans="3:19">
      <c r="C579" s="55" t="s">
        <v>191</v>
      </c>
      <c r="D579" s="55" t="s">
        <v>192</v>
      </c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916">
        <f t="shared" ref="Q579:Q598" si="120">SUM(E579:P579)</f>
        <v>0</v>
      </c>
      <c r="R579" s="887"/>
      <c r="S579" s="887"/>
    </row>
    <row r="580" ht="15" spans="3:19">
      <c r="C580" s="55" t="s">
        <v>193</v>
      </c>
      <c r="D580" s="55" t="s">
        <v>194</v>
      </c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916">
        <f t="shared" si="120"/>
        <v>0</v>
      </c>
      <c r="R580" s="887"/>
      <c r="S580" s="887"/>
    </row>
    <row r="581" ht="15" spans="3:19">
      <c r="C581" s="55" t="s">
        <v>239</v>
      </c>
      <c r="D581" s="55" t="s">
        <v>196</v>
      </c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916">
        <f t="shared" si="120"/>
        <v>0</v>
      </c>
      <c r="R581" s="887"/>
      <c r="S581" s="887"/>
    </row>
    <row r="582" ht="15" spans="3:19">
      <c r="C582" s="55" t="s">
        <v>197</v>
      </c>
      <c r="D582" s="55" t="s">
        <v>198</v>
      </c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916">
        <f t="shared" si="120"/>
        <v>0</v>
      </c>
      <c r="R582" s="887"/>
      <c r="S582" s="887"/>
    </row>
    <row r="583" ht="15" spans="3:19">
      <c r="C583" s="55" t="s">
        <v>199</v>
      </c>
      <c r="D583" s="55" t="s">
        <v>200</v>
      </c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916">
        <f t="shared" si="120"/>
        <v>0</v>
      </c>
      <c r="R583" s="887"/>
      <c r="S583" s="887"/>
    </row>
    <row r="584" ht="15" spans="3:19">
      <c r="C584" s="55" t="s">
        <v>201</v>
      </c>
      <c r="D584" s="55" t="s">
        <v>240</v>
      </c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916">
        <f t="shared" si="120"/>
        <v>0</v>
      </c>
      <c r="R584" s="887"/>
      <c r="S584" s="887"/>
    </row>
    <row r="585" ht="15" spans="3:19">
      <c r="C585" s="55" t="s">
        <v>203</v>
      </c>
      <c r="D585" s="55" t="s">
        <v>220</v>
      </c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916">
        <f t="shared" si="120"/>
        <v>0</v>
      </c>
      <c r="R585" s="887"/>
      <c r="S585" s="887"/>
    </row>
    <row r="586" ht="15" spans="3:19">
      <c r="C586" s="55" t="s">
        <v>241</v>
      </c>
      <c r="D586" s="55" t="s">
        <v>229</v>
      </c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916">
        <f t="shared" si="120"/>
        <v>0</v>
      </c>
      <c r="R586" s="887"/>
      <c r="S586" s="887"/>
    </row>
    <row r="587" ht="15" spans="3:19">
      <c r="C587" s="55" t="s">
        <v>259</v>
      </c>
      <c r="D587" s="55" t="s">
        <v>243</v>
      </c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916">
        <f t="shared" si="120"/>
        <v>0</v>
      </c>
      <c r="R587" s="887"/>
      <c r="S587" s="887"/>
    </row>
    <row r="588" ht="15" spans="3:19">
      <c r="C588" s="55" t="s">
        <v>205</v>
      </c>
      <c r="D588" s="55" t="s">
        <v>206</v>
      </c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916">
        <f t="shared" si="120"/>
        <v>0</v>
      </c>
      <c r="R588" s="887"/>
      <c r="S588" s="887"/>
    </row>
    <row r="589" ht="15" spans="3:19">
      <c r="C589" s="55" t="s">
        <v>207</v>
      </c>
      <c r="D589" s="55" t="s">
        <v>186</v>
      </c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916">
        <f t="shared" si="120"/>
        <v>0</v>
      </c>
      <c r="R589" s="887"/>
      <c r="S589" s="887"/>
    </row>
    <row r="590" ht="15" spans="3:19">
      <c r="C590" s="55" t="s">
        <v>208</v>
      </c>
      <c r="D590" s="55" t="s">
        <v>209</v>
      </c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916">
        <f t="shared" si="120"/>
        <v>0</v>
      </c>
      <c r="R590" s="887"/>
      <c r="S590" s="887"/>
    </row>
    <row r="591" ht="15" spans="3:19">
      <c r="C591" s="55" t="s">
        <v>210</v>
      </c>
      <c r="D591" s="55" t="s">
        <v>188</v>
      </c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916">
        <f t="shared" si="120"/>
        <v>0</v>
      </c>
      <c r="R591" s="887"/>
      <c r="S591" s="887"/>
    </row>
    <row r="592" ht="15" spans="3:19">
      <c r="C592" s="55"/>
      <c r="D592" s="55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916">
        <f t="shared" si="120"/>
        <v>0</v>
      </c>
      <c r="R592" s="887"/>
      <c r="S592" s="887"/>
    </row>
    <row r="593" ht="15" spans="3:19">
      <c r="C593" s="55"/>
      <c r="D593" s="55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916">
        <f t="shared" si="120"/>
        <v>0</v>
      </c>
      <c r="R593" s="887"/>
      <c r="S593" s="887"/>
    </row>
    <row r="594" ht="15" spans="3:19">
      <c r="C594" s="55"/>
      <c r="D594" s="55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916">
        <f t="shared" si="120"/>
        <v>0</v>
      </c>
      <c r="R594" s="887"/>
      <c r="S594" s="887"/>
    </row>
    <row r="595" ht="15" spans="3:19">
      <c r="C595" s="55" t="s">
        <v>258</v>
      </c>
      <c r="D595" s="55" t="s">
        <v>258</v>
      </c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916">
        <f t="shared" si="120"/>
        <v>0</v>
      </c>
      <c r="R595" s="887"/>
      <c r="S595" s="887"/>
    </row>
    <row r="596" ht="15" spans="3:19">
      <c r="C596" s="537" t="s">
        <v>211</v>
      </c>
      <c r="D596" s="540"/>
      <c r="E596" s="916">
        <f t="shared" ref="E596:P596" si="121">SUM(E579:E595)</f>
        <v>0</v>
      </c>
      <c r="F596" s="916">
        <f t="shared" si="121"/>
        <v>0</v>
      </c>
      <c r="G596" s="916">
        <f t="shared" si="121"/>
        <v>0</v>
      </c>
      <c r="H596" s="916">
        <f t="shared" si="121"/>
        <v>0</v>
      </c>
      <c r="I596" s="916">
        <f t="shared" si="121"/>
        <v>0</v>
      </c>
      <c r="J596" s="916">
        <f t="shared" si="121"/>
        <v>0</v>
      </c>
      <c r="K596" s="916">
        <f t="shared" si="121"/>
        <v>0</v>
      </c>
      <c r="L596" s="916">
        <f t="shared" si="121"/>
        <v>0</v>
      </c>
      <c r="M596" s="916">
        <f t="shared" si="121"/>
        <v>0</v>
      </c>
      <c r="N596" s="916">
        <f t="shared" si="121"/>
        <v>0</v>
      </c>
      <c r="O596" s="916">
        <f t="shared" si="121"/>
        <v>0</v>
      </c>
      <c r="P596" s="916">
        <f t="shared" si="121"/>
        <v>0</v>
      </c>
      <c r="Q596" s="916">
        <f t="shared" si="120"/>
        <v>0</v>
      </c>
      <c r="R596" s="887"/>
      <c r="S596" s="887"/>
    </row>
    <row r="597" ht="15" spans="3:19">
      <c r="C597" s="537" t="s">
        <v>223</v>
      </c>
      <c r="D597" s="540"/>
      <c r="E597" s="916">
        <f t="shared" ref="E597:P597" si="122">E596+E577+E560</f>
        <v>0</v>
      </c>
      <c r="F597" s="916">
        <f t="shared" si="122"/>
        <v>0</v>
      </c>
      <c r="G597" s="916">
        <f t="shared" si="122"/>
        <v>0</v>
      </c>
      <c r="H597" s="916">
        <f t="shared" si="122"/>
        <v>0</v>
      </c>
      <c r="I597" s="916">
        <f t="shared" si="122"/>
        <v>0</v>
      </c>
      <c r="J597" s="916">
        <f t="shared" si="122"/>
        <v>0</v>
      </c>
      <c r="K597" s="916">
        <f t="shared" si="122"/>
        <v>0</v>
      </c>
      <c r="L597" s="916">
        <f t="shared" si="122"/>
        <v>0</v>
      </c>
      <c r="M597" s="916">
        <f t="shared" si="122"/>
        <v>0</v>
      </c>
      <c r="N597" s="916">
        <f t="shared" si="122"/>
        <v>0</v>
      </c>
      <c r="O597" s="916">
        <f t="shared" si="122"/>
        <v>0</v>
      </c>
      <c r="P597" s="916">
        <f t="shared" si="122"/>
        <v>0</v>
      </c>
      <c r="Q597" s="916">
        <f t="shared" si="120"/>
        <v>0</v>
      </c>
      <c r="R597" s="887"/>
      <c r="S597" s="887"/>
    </row>
    <row r="598" ht="15" spans="3:19">
      <c r="C598" s="537" t="s">
        <v>224</v>
      </c>
      <c r="D598" s="540"/>
      <c r="E598" s="916">
        <f t="shared" ref="E598:P598" si="123">E597+E543</f>
        <v>0</v>
      </c>
      <c r="F598" s="916">
        <f t="shared" si="123"/>
        <v>0</v>
      </c>
      <c r="G598" s="916">
        <f t="shared" si="123"/>
        <v>0</v>
      </c>
      <c r="H598" s="916">
        <f t="shared" si="123"/>
        <v>0</v>
      </c>
      <c r="I598" s="916">
        <f t="shared" si="123"/>
        <v>0</v>
      </c>
      <c r="J598" s="916">
        <f t="shared" si="123"/>
        <v>0</v>
      </c>
      <c r="K598" s="916">
        <f t="shared" si="123"/>
        <v>0</v>
      </c>
      <c r="L598" s="916">
        <f t="shared" si="123"/>
        <v>0</v>
      </c>
      <c r="M598" s="916">
        <f t="shared" si="123"/>
        <v>0</v>
      </c>
      <c r="N598" s="916">
        <f t="shared" si="123"/>
        <v>0</v>
      </c>
      <c r="O598" s="916">
        <f t="shared" si="123"/>
        <v>0</v>
      </c>
      <c r="P598" s="916">
        <f t="shared" si="123"/>
        <v>0</v>
      </c>
      <c r="Q598" s="916">
        <f t="shared" si="120"/>
        <v>0</v>
      </c>
      <c r="R598" s="887"/>
      <c r="S598" s="887"/>
    </row>
    <row r="599" spans="5:19">
      <c r="E599" s="887"/>
      <c r="F599" s="887"/>
      <c r="G599" s="887"/>
      <c r="H599" s="887"/>
      <c r="I599" s="887"/>
      <c r="J599" s="887"/>
      <c r="K599" s="887"/>
      <c r="L599" s="887"/>
      <c r="M599" s="887"/>
      <c r="N599" s="887"/>
      <c r="O599" s="887"/>
      <c r="P599" s="887"/>
      <c r="Q599" s="887"/>
      <c r="R599" s="887"/>
      <c r="S599" s="887"/>
    </row>
    <row r="600" ht="15" spans="3:19">
      <c r="C600" s="14"/>
      <c r="E600" s="887"/>
      <c r="F600" s="887"/>
      <c r="G600" s="887"/>
      <c r="H600" s="887"/>
      <c r="I600" s="887"/>
      <c r="J600" s="887"/>
      <c r="K600" s="887"/>
      <c r="L600" s="887"/>
      <c r="M600" s="887"/>
      <c r="N600" s="887"/>
      <c r="O600" s="887"/>
      <c r="P600" s="887"/>
      <c r="Q600" s="918" t="s">
        <v>236</v>
      </c>
      <c r="R600" s="887"/>
      <c r="S600" s="887"/>
    </row>
    <row r="601" ht="15" spans="3:19">
      <c r="C601" s="6" t="s">
        <v>159</v>
      </c>
      <c r="D601" s="6"/>
      <c r="E601" s="150" t="s">
        <v>265</v>
      </c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887"/>
      <c r="S601" s="887"/>
    </row>
    <row r="602" ht="15" spans="3:19">
      <c r="C602" s="6"/>
      <c r="D602" s="6"/>
      <c r="E602" s="150" t="s">
        <v>246</v>
      </c>
      <c r="F602" s="150" t="s">
        <v>247</v>
      </c>
      <c r="G602" s="150" t="s">
        <v>248</v>
      </c>
      <c r="H602" s="150" t="s">
        <v>249</v>
      </c>
      <c r="I602" s="150" t="s">
        <v>250</v>
      </c>
      <c r="J602" s="150" t="s">
        <v>251</v>
      </c>
      <c r="K602" s="150" t="s">
        <v>252</v>
      </c>
      <c r="L602" s="150" t="s">
        <v>253</v>
      </c>
      <c r="M602" s="150" t="s">
        <v>254</v>
      </c>
      <c r="N602" s="150" t="s">
        <v>255</v>
      </c>
      <c r="O602" s="150" t="s">
        <v>256</v>
      </c>
      <c r="P602" s="150" t="s">
        <v>257</v>
      </c>
      <c r="Q602" s="150" t="s">
        <v>97</v>
      </c>
      <c r="R602" s="887"/>
      <c r="S602" s="887"/>
    </row>
    <row r="603" ht="15" spans="3:19">
      <c r="C603" s="44" t="s">
        <v>170</v>
      </c>
      <c r="D603" s="45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58"/>
      <c r="R603" s="887"/>
      <c r="S603" s="887"/>
    </row>
    <row r="604" ht="15" spans="3:19">
      <c r="C604" s="47" t="s">
        <v>171</v>
      </c>
      <c r="D604" s="47" t="s">
        <v>172</v>
      </c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916">
        <f t="shared" ref="Q604:Q617" si="124">SUM(E604:P604)</f>
        <v>0</v>
      </c>
      <c r="R604" s="887"/>
      <c r="S604" s="887"/>
    </row>
    <row r="605" ht="15" spans="3:19">
      <c r="C605" s="55" t="s">
        <v>173</v>
      </c>
      <c r="D605" s="55" t="s">
        <v>174</v>
      </c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916">
        <f t="shared" si="124"/>
        <v>0</v>
      </c>
      <c r="R605" s="887"/>
      <c r="S605" s="887"/>
    </row>
    <row r="606" ht="15" spans="3:19">
      <c r="C606" s="55" t="s">
        <v>175</v>
      </c>
      <c r="D606" s="55" t="s">
        <v>176</v>
      </c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916">
        <f t="shared" si="124"/>
        <v>0</v>
      </c>
      <c r="R606" s="887"/>
      <c r="S606" s="887"/>
    </row>
    <row r="607" ht="15" spans="3:19">
      <c r="C607" s="55" t="s">
        <v>177</v>
      </c>
      <c r="D607" s="55" t="s">
        <v>178</v>
      </c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916">
        <f t="shared" si="124"/>
        <v>0</v>
      </c>
      <c r="R607" s="887"/>
      <c r="S607" s="887"/>
    </row>
    <row r="608" ht="15" spans="3:19">
      <c r="C608" s="55" t="s">
        <v>179</v>
      </c>
      <c r="D608" s="55" t="s">
        <v>180</v>
      </c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916">
        <f t="shared" si="124"/>
        <v>0</v>
      </c>
      <c r="R608" s="887"/>
      <c r="S608" s="887"/>
    </row>
    <row r="609" ht="15" spans="3:19">
      <c r="C609" s="55" t="s">
        <v>181</v>
      </c>
      <c r="D609" s="55" t="s">
        <v>182</v>
      </c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916">
        <f t="shared" si="124"/>
        <v>0</v>
      </c>
      <c r="R609" s="887"/>
      <c r="S609" s="887"/>
    </row>
    <row r="610" ht="15" spans="3:19">
      <c r="C610" s="55" t="s">
        <v>183</v>
      </c>
      <c r="D610" s="55" t="s">
        <v>184</v>
      </c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916">
        <f t="shared" si="124"/>
        <v>0</v>
      </c>
      <c r="R610" s="887"/>
      <c r="S610" s="887"/>
    </row>
    <row r="611" ht="15" spans="3:19">
      <c r="C611" s="55" t="s">
        <v>185</v>
      </c>
      <c r="D611" s="55" t="s">
        <v>186</v>
      </c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916">
        <f t="shared" si="124"/>
        <v>0</v>
      </c>
      <c r="R611" s="887"/>
      <c r="S611" s="887"/>
    </row>
    <row r="612" ht="15" spans="3:19">
      <c r="C612" s="55" t="s">
        <v>187</v>
      </c>
      <c r="D612" s="55" t="s">
        <v>188</v>
      </c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916">
        <f t="shared" si="124"/>
        <v>0</v>
      </c>
      <c r="R612" s="887"/>
      <c r="S612" s="887"/>
    </row>
    <row r="613" ht="15" spans="3:19">
      <c r="C613" s="55"/>
      <c r="D613" s="55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916">
        <f t="shared" si="124"/>
        <v>0</v>
      </c>
      <c r="R613" s="887"/>
      <c r="S613" s="887"/>
    </row>
    <row r="614" ht="15" spans="3:19">
      <c r="C614" s="55"/>
      <c r="D614" s="55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916">
        <f t="shared" si="124"/>
        <v>0</v>
      </c>
      <c r="R614" s="887"/>
      <c r="S614" s="887"/>
    </row>
    <row r="615" ht="15" spans="3:19">
      <c r="C615" s="55"/>
      <c r="D615" s="55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916">
        <f t="shared" si="124"/>
        <v>0</v>
      </c>
      <c r="R615" s="887"/>
      <c r="S615" s="887"/>
    </row>
    <row r="616" ht="15" spans="3:19">
      <c r="C616" s="55" t="s">
        <v>258</v>
      </c>
      <c r="D616" s="55" t="s">
        <v>258</v>
      </c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916">
        <f t="shared" si="124"/>
        <v>0</v>
      </c>
      <c r="R616" s="887"/>
      <c r="S616" s="887"/>
    </row>
    <row r="617" ht="15" spans="3:19">
      <c r="C617" s="537" t="s">
        <v>189</v>
      </c>
      <c r="D617" s="540"/>
      <c r="E617" s="916">
        <f t="shared" ref="E617:P617" si="125">SUM(E604:E616)</f>
        <v>0</v>
      </c>
      <c r="F617" s="916">
        <f t="shared" si="125"/>
        <v>0</v>
      </c>
      <c r="G617" s="916">
        <f t="shared" si="125"/>
        <v>0</v>
      </c>
      <c r="H617" s="916">
        <f t="shared" si="125"/>
        <v>0</v>
      </c>
      <c r="I617" s="916">
        <f t="shared" si="125"/>
        <v>0</v>
      </c>
      <c r="J617" s="916">
        <f t="shared" si="125"/>
        <v>0</v>
      </c>
      <c r="K617" s="916">
        <f t="shared" si="125"/>
        <v>0</v>
      </c>
      <c r="L617" s="916">
        <f t="shared" si="125"/>
        <v>0</v>
      </c>
      <c r="M617" s="916">
        <f t="shared" si="125"/>
        <v>0</v>
      </c>
      <c r="N617" s="916">
        <f t="shared" si="125"/>
        <v>0</v>
      </c>
      <c r="O617" s="916">
        <f t="shared" si="125"/>
        <v>0</v>
      </c>
      <c r="P617" s="916">
        <f t="shared" si="125"/>
        <v>0</v>
      </c>
      <c r="Q617" s="916">
        <f t="shared" si="124"/>
        <v>0</v>
      </c>
      <c r="R617" s="887"/>
      <c r="S617" s="887"/>
    </row>
    <row r="618" ht="15" spans="3:19">
      <c r="C618" s="44" t="s">
        <v>190</v>
      </c>
      <c r="D618" s="45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58"/>
      <c r="R618" s="887"/>
      <c r="S618" s="887"/>
    </row>
    <row r="619" ht="15" spans="3:19">
      <c r="C619" s="55" t="s">
        <v>191</v>
      </c>
      <c r="D619" s="55" t="s">
        <v>192</v>
      </c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916">
        <f t="shared" ref="Q619:Q634" si="126">SUM(E619:P619)</f>
        <v>0</v>
      </c>
      <c r="R619" s="887"/>
      <c r="S619" s="887"/>
    </row>
    <row r="620" ht="15" spans="3:19">
      <c r="C620" s="55" t="s">
        <v>193</v>
      </c>
      <c r="D620" s="55" t="s">
        <v>194</v>
      </c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916">
        <f t="shared" si="126"/>
        <v>0</v>
      </c>
      <c r="R620" s="887"/>
      <c r="S620" s="887"/>
    </row>
    <row r="621" ht="15" spans="3:19">
      <c r="C621" s="55" t="s">
        <v>239</v>
      </c>
      <c r="D621" s="55" t="s">
        <v>196</v>
      </c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916">
        <f t="shared" si="126"/>
        <v>0</v>
      </c>
      <c r="R621" s="887"/>
      <c r="S621" s="887"/>
    </row>
    <row r="622" ht="15" spans="3:19">
      <c r="C622" s="55" t="s">
        <v>197</v>
      </c>
      <c r="D622" s="55" t="s">
        <v>198</v>
      </c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916">
        <f t="shared" si="126"/>
        <v>0</v>
      </c>
      <c r="R622" s="887"/>
      <c r="S622" s="887"/>
    </row>
    <row r="623" ht="15" spans="3:19">
      <c r="C623" s="55" t="s">
        <v>199</v>
      </c>
      <c r="D623" s="55" t="s">
        <v>200</v>
      </c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916">
        <f t="shared" si="126"/>
        <v>0</v>
      </c>
      <c r="R623" s="887"/>
      <c r="S623" s="887"/>
    </row>
    <row r="624" ht="15" spans="3:19">
      <c r="C624" s="55" t="s">
        <v>201</v>
      </c>
      <c r="D624" s="55" t="s">
        <v>202</v>
      </c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916">
        <f t="shared" si="126"/>
        <v>0</v>
      </c>
      <c r="R624" s="887"/>
      <c r="S624" s="887"/>
    </row>
    <row r="625" ht="15" spans="3:19">
      <c r="C625" s="55" t="s">
        <v>203</v>
      </c>
      <c r="D625" s="55" t="s">
        <v>204</v>
      </c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916">
        <f t="shared" si="126"/>
        <v>0</v>
      </c>
      <c r="R625" s="887"/>
      <c r="S625" s="887"/>
    </row>
    <row r="626" ht="15" spans="3:19">
      <c r="C626" s="55" t="s">
        <v>205</v>
      </c>
      <c r="D626" s="55" t="s">
        <v>206</v>
      </c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916">
        <f t="shared" si="126"/>
        <v>0</v>
      </c>
      <c r="R626" s="887"/>
      <c r="S626" s="887"/>
    </row>
    <row r="627" ht="15" spans="3:19">
      <c r="C627" s="55" t="s">
        <v>207</v>
      </c>
      <c r="D627" s="55" t="s">
        <v>186</v>
      </c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916">
        <f t="shared" si="126"/>
        <v>0</v>
      </c>
      <c r="R627" s="887"/>
      <c r="S627" s="887"/>
    </row>
    <row r="628" ht="15" spans="3:19">
      <c r="C628" s="55" t="s">
        <v>208</v>
      </c>
      <c r="D628" s="55" t="s">
        <v>209</v>
      </c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916">
        <f t="shared" si="126"/>
        <v>0</v>
      </c>
      <c r="R628" s="887"/>
      <c r="S628" s="887"/>
    </row>
    <row r="629" ht="15" spans="3:19">
      <c r="C629" s="55" t="s">
        <v>210</v>
      </c>
      <c r="D629" s="55" t="s">
        <v>188</v>
      </c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916">
        <f t="shared" si="126"/>
        <v>0</v>
      </c>
      <c r="R629" s="887"/>
      <c r="S629" s="887"/>
    </row>
    <row r="630" ht="15" spans="3:19">
      <c r="C630" s="55"/>
      <c r="D630" s="55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916">
        <f t="shared" si="126"/>
        <v>0</v>
      </c>
      <c r="R630" s="887"/>
      <c r="S630" s="887"/>
    </row>
    <row r="631" ht="15" spans="3:19">
      <c r="C631" s="55"/>
      <c r="D631" s="55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916">
        <f t="shared" si="126"/>
        <v>0</v>
      </c>
      <c r="R631" s="887"/>
      <c r="S631" s="887"/>
    </row>
    <row r="632" ht="15" spans="3:19">
      <c r="C632" s="55"/>
      <c r="D632" s="55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916">
        <f t="shared" si="126"/>
        <v>0</v>
      </c>
      <c r="R632" s="887"/>
      <c r="S632" s="887"/>
    </row>
    <row r="633" ht="15" spans="3:19">
      <c r="C633" s="55" t="s">
        <v>258</v>
      </c>
      <c r="D633" s="55" t="s">
        <v>258</v>
      </c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916">
        <f t="shared" si="126"/>
        <v>0</v>
      </c>
      <c r="R633" s="887"/>
      <c r="S633" s="887"/>
    </row>
    <row r="634" ht="15" spans="3:19">
      <c r="C634" s="537" t="s">
        <v>211</v>
      </c>
      <c r="D634" s="540"/>
      <c r="E634" s="916">
        <f t="shared" ref="E634:P634" si="127">SUM(E619:E633)</f>
        <v>0</v>
      </c>
      <c r="F634" s="916">
        <f t="shared" si="127"/>
        <v>0</v>
      </c>
      <c r="G634" s="916">
        <f t="shared" si="127"/>
        <v>0</v>
      </c>
      <c r="H634" s="916">
        <f t="shared" si="127"/>
        <v>0</v>
      </c>
      <c r="I634" s="916">
        <f t="shared" si="127"/>
        <v>0</v>
      </c>
      <c r="J634" s="916">
        <f t="shared" si="127"/>
        <v>0</v>
      </c>
      <c r="K634" s="916">
        <f t="shared" si="127"/>
        <v>0</v>
      </c>
      <c r="L634" s="916">
        <f t="shared" si="127"/>
        <v>0</v>
      </c>
      <c r="M634" s="916">
        <f t="shared" si="127"/>
        <v>0</v>
      </c>
      <c r="N634" s="916">
        <f t="shared" si="127"/>
        <v>0</v>
      </c>
      <c r="O634" s="916">
        <f t="shared" si="127"/>
        <v>0</v>
      </c>
      <c r="P634" s="916">
        <f t="shared" si="127"/>
        <v>0</v>
      </c>
      <c r="Q634" s="916">
        <f t="shared" si="126"/>
        <v>0</v>
      </c>
      <c r="R634" s="887"/>
      <c r="S634" s="887"/>
    </row>
    <row r="635" ht="15" spans="3:19">
      <c r="C635" s="44" t="s">
        <v>212</v>
      </c>
      <c r="D635" s="45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58"/>
      <c r="R635" s="887"/>
      <c r="S635" s="887"/>
    </row>
    <row r="636" ht="15" spans="3:19">
      <c r="C636" s="55" t="s">
        <v>191</v>
      </c>
      <c r="D636" s="55" t="s">
        <v>192</v>
      </c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916">
        <f t="shared" ref="Q636:Q651" si="128">SUM(E636:P636)</f>
        <v>0</v>
      </c>
      <c r="R636" s="887"/>
      <c r="S636" s="887"/>
    </row>
    <row r="637" ht="15" spans="3:19">
      <c r="C637" s="55" t="s">
        <v>193</v>
      </c>
      <c r="D637" s="55" t="s">
        <v>194</v>
      </c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916">
        <f t="shared" si="128"/>
        <v>0</v>
      </c>
      <c r="R637" s="887"/>
      <c r="S637" s="887"/>
    </row>
    <row r="638" ht="15" spans="3:19">
      <c r="C638" s="55" t="s">
        <v>239</v>
      </c>
      <c r="D638" s="55" t="s">
        <v>196</v>
      </c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916">
        <f t="shared" si="128"/>
        <v>0</v>
      </c>
      <c r="R638" s="887"/>
      <c r="S638" s="887"/>
    </row>
    <row r="639" ht="15" spans="3:19">
      <c r="C639" s="55" t="s">
        <v>197</v>
      </c>
      <c r="D639" s="55" t="s">
        <v>198</v>
      </c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916">
        <f t="shared" si="128"/>
        <v>0</v>
      </c>
      <c r="R639" s="887"/>
      <c r="S639" s="887"/>
    </row>
    <row r="640" ht="15" spans="3:19">
      <c r="C640" s="55" t="s">
        <v>199</v>
      </c>
      <c r="D640" s="55" t="s">
        <v>200</v>
      </c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916">
        <f t="shared" si="128"/>
        <v>0</v>
      </c>
      <c r="R640" s="887"/>
      <c r="S640" s="887"/>
    </row>
    <row r="641" ht="15" spans="3:19">
      <c r="C641" s="55" t="s">
        <v>201</v>
      </c>
      <c r="D641" s="55" t="s">
        <v>202</v>
      </c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916">
        <f t="shared" si="128"/>
        <v>0</v>
      </c>
      <c r="R641" s="887"/>
      <c r="S641" s="887"/>
    </row>
    <row r="642" ht="15" spans="3:19">
      <c r="C642" s="55" t="s">
        <v>203</v>
      </c>
      <c r="D642" s="55" t="s">
        <v>204</v>
      </c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916">
        <f t="shared" si="128"/>
        <v>0</v>
      </c>
      <c r="R642" s="887"/>
      <c r="S642" s="887"/>
    </row>
    <row r="643" ht="15" spans="3:19">
      <c r="C643" s="55" t="s">
        <v>205</v>
      </c>
      <c r="D643" s="55" t="s">
        <v>206</v>
      </c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916">
        <f t="shared" si="128"/>
        <v>0</v>
      </c>
      <c r="R643" s="887"/>
      <c r="S643" s="887"/>
    </row>
    <row r="644" ht="15" spans="3:19">
      <c r="C644" s="55" t="s">
        <v>231</v>
      </c>
      <c r="D644" s="55" t="s">
        <v>186</v>
      </c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916">
        <f t="shared" si="128"/>
        <v>0</v>
      </c>
      <c r="R644" s="887"/>
      <c r="S644" s="887"/>
    </row>
    <row r="645" ht="15" spans="3:19">
      <c r="C645" s="55" t="s">
        <v>208</v>
      </c>
      <c r="D645" s="55" t="s">
        <v>209</v>
      </c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916">
        <f t="shared" si="128"/>
        <v>0</v>
      </c>
      <c r="R645" s="887"/>
      <c r="S645" s="887"/>
    </row>
    <row r="646" ht="15" spans="3:19">
      <c r="C646" s="55" t="s">
        <v>210</v>
      </c>
      <c r="D646" s="55" t="s">
        <v>188</v>
      </c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916">
        <f t="shared" si="128"/>
        <v>0</v>
      </c>
      <c r="R646" s="887"/>
      <c r="S646" s="887"/>
    </row>
    <row r="647" ht="15" spans="3:19">
      <c r="C647" s="55"/>
      <c r="D647" s="55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916">
        <f t="shared" si="128"/>
        <v>0</v>
      </c>
      <c r="R647" s="887"/>
      <c r="S647" s="887"/>
    </row>
    <row r="648" ht="15" spans="3:19">
      <c r="C648" s="55"/>
      <c r="D648" s="55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916">
        <f t="shared" si="128"/>
        <v>0</v>
      </c>
      <c r="R648" s="887"/>
      <c r="S648" s="887"/>
    </row>
    <row r="649" ht="15" spans="3:19">
      <c r="C649" s="55"/>
      <c r="D649" s="55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916">
        <f t="shared" si="128"/>
        <v>0</v>
      </c>
      <c r="R649" s="887"/>
      <c r="S649" s="887"/>
    </row>
    <row r="650" ht="15" spans="3:19">
      <c r="C650" s="55" t="s">
        <v>258</v>
      </c>
      <c r="D650" s="55" t="s">
        <v>258</v>
      </c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916">
        <f t="shared" si="128"/>
        <v>0</v>
      </c>
      <c r="R650" s="887"/>
      <c r="S650" s="887"/>
    </row>
    <row r="651" ht="15" spans="3:19">
      <c r="C651" s="537" t="s">
        <v>211</v>
      </c>
      <c r="D651" s="540"/>
      <c r="E651" s="916">
        <f t="shared" ref="E651:P651" si="129">SUM(E636:E650)</f>
        <v>0</v>
      </c>
      <c r="F651" s="916">
        <f t="shared" si="129"/>
        <v>0</v>
      </c>
      <c r="G651" s="916">
        <f t="shared" si="129"/>
        <v>0</v>
      </c>
      <c r="H651" s="916">
        <f t="shared" si="129"/>
        <v>0</v>
      </c>
      <c r="I651" s="916">
        <f t="shared" si="129"/>
        <v>0</v>
      </c>
      <c r="J651" s="916">
        <f t="shared" si="129"/>
        <v>0</v>
      </c>
      <c r="K651" s="916">
        <f t="shared" si="129"/>
        <v>0</v>
      </c>
      <c r="L651" s="916">
        <f t="shared" si="129"/>
        <v>0</v>
      </c>
      <c r="M651" s="916">
        <f t="shared" si="129"/>
        <v>0</v>
      </c>
      <c r="N651" s="916">
        <f t="shared" si="129"/>
        <v>0</v>
      </c>
      <c r="O651" s="916">
        <f t="shared" si="129"/>
        <v>0</v>
      </c>
      <c r="P651" s="916">
        <f t="shared" si="129"/>
        <v>0</v>
      </c>
      <c r="Q651" s="916">
        <f t="shared" si="128"/>
        <v>0</v>
      </c>
      <c r="R651" s="887"/>
      <c r="S651" s="887"/>
    </row>
    <row r="652" ht="15" spans="3:19">
      <c r="C652" s="44" t="s">
        <v>219</v>
      </c>
      <c r="D652" s="45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58"/>
      <c r="R652" s="887"/>
      <c r="S652" s="887"/>
    </row>
    <row r="653" ht="15" spans="3:19">
      <c r="C653" s="55" t="s">
        <v>191</v>
      </c>
      <c r="D653" s="55" t="s">
        <v>192</v>
      </c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916">
        <f t="shared" ref="Q653:Q672" si="130">SUM(E653:P653)</f>
        <v>0</v>
      </c>
      <c r="R653" s="887"/>
      <c r="S653" s="887"/>
    </row>
    <row r="654" ht="15" spans="3:19">
      <c r="C654" s="55" t="s">
        <v>193</v>
      </c>
      <c r="D654" s="55" t="s">
        <v>194</v>
      </c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916">
        <f t="shared" si="130"/>
        <v>0</v>
      </c>
      <c r="R654" s="887"/>
      <c r="S654" s="887"/>
    </row>
    <row r="655" ht="15" spans="3:19">
      <c r="C655" s="55" t="s">
        <v>239</v>
      </c>
      <c r="D655" s="55" t="s">
        <v>196</v>
      </c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916">
        <f t="shared" si="130"/>
        <v>0</v>
      </c>
      <c r="R655" s="887"/>
      <c r="S655" s="887"/>
    </row>
    <row r="656" ht="15" spans="3:19">
      <c r="C656" s="55" t="s">
        <v>197</v>
      </c>
      <c r="D656" s="55" t="s">
        <v>198</v>
      </c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916">
        <f t="shared" si="130"/>
        <v>0</v>
      </c>
      <c r="R656" s="887"/>
      <c r="S656" s="887"/>
    </row>
    <row r="657" ht="15" spans="3:19">
      <c r="C657" s="55" t="s">
        <v>199</v>
      </c>
      <c r="D657" s="55" t="s">
        <v>200</v>
      </c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916">
        <f t="shared" si="130"/>
        <v>0</v>
      </c>
      <c r="R657" s="887"/>
      <c r="S657" s="887"/>
    </row>
    <row r="658" ht="15" spans="3:19">
      <c r="C658" s="55" t="s">
        <v>201</v>
      </c>
      <c r="D658" s="55" t="s">
        <v>240</v>
      </c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916">
        <f t="shared" si="130"/>
        <v>0</v>
      </c>
      <c r="R658" s="887"/>
      <c r="S658" s="887"/>
    </row>
    <row r="659" ht="15" spans="3:19">
      <c r="C659" s="55" t="s">
        <v>203</v>
      </c>
      <c r="D659" s="55" t="s">
        <v>220</v>
      </c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916">
        <f t="shared" si="130"/>
        <v>0</v>
      </c>
      <c r="R659" s="887"/>
      <c r="S659" s="887"/>
    </row>
    <row r="660" ht="15" spans="3:19">
      <c r="C660" s="55" t="s">
        <v>241</v>
      </c>
      <c r="D660" s="55" t="s">
        <v>229</v>
      </c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916">
        <f t="shared" si="130"/>
        <v>0</v>
      </c>
      <c r="R660" s="887"/>
      <c r="S660" s="887"/>
    </row>
    <row r="661" ht="15" spans="3:19">
      <c r="C661" s="55" t="s">
        <v>259</v>
      </c>
      <c r="D661" s="55" t="s">
        <v>243</v>
      </c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916">
        <f t="shared" si="130"/>
        <v>0</v>
      </c>
      <c r="R661" s="887"/>
      <c r="S661" s="887"/>
    </row>
    <row r="662" ht="15" spans="3:19">
      <c r="C662" s="55" t="s">
        <v>205</v>
      </c>
      <c r="D662" s="55" t="s">
        <v>206</v>
      </c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916">
        <f t="shared" si="130"/>
        <v>0</v>
      </c>
      <c r="R662" s="887"/>
      <c r="S662" s="887"/>
    </row>
    <row r="663" ht="15" spans="3:19">
      <c r="C663" s="55" t="s">
        <v>207</v>
      </c>
      <c r="D663" s="55" t="s">
        <v>186</v>
      </c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916">
        <f t="shared" si="130"/>
        <v>0</v>
      </c>
      <c r="R663" s="887"/>
      <c r="S663" s="887"/>
    </row>
    <row r="664" ht="15" spans="3:19">
      <c r="C664" s="55" t="s">
        <v>208</v>
      </c>
      <c r="D664" s="55" t="s">
        <v>209</v>
      </c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916">
        <f t="shared" si="130"/>
        <v>0</v>
      </c>
      <c r="R664" s="887"/>
      <c r="S664" s="887"/>
    </row>
    <row r="665" ht="15" spans="3:19">
      <c r="C665" s="55" t="s">
        <v>210</v>
      </c>
      <c r="D665" s="55" t="s">
        <v>188</v>
      </c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916">
        <f t="shared" si="130"/>
        <v>0</v>
      </c>
      <c r="R665" s="887"/>
      <c r="S665" s="887"/>
    </row>
    <row r="666" ht="15" spans="3:19">
      <c r="C666" s="55"/>
      <c r="D666" s="55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916">
        <f t="shared" si="130"/>
        <v>0</v>
      </c>
      <c r="R666" s="887"/>
      <c r="S666" s="887"/>
    </row>
    <row r="667" ht="15" spans="3:19">
      <c r="C667" s="55"/>
      <c r="D667" s="55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916">
        <f t="shared" si="130"/>
        <v>0</v>
      </c>
      <c r="R667" s="887"/>
      <c r="S667" s="887"/>
    </row>
    <row r="668" ht="15" spans="3:19">
      <c r="C668" s="55"/>
      <c r="D668" s="55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916">
        <f t="shared" si="130"/>
        <v>0</v>
      </c>
      <c r="R668" s="887"/>
      <c r="S668" s="887"/>
    </row>
    <row r="669" ht="15" spans="3:19">
      <c r="C669" s="55" t="s">
        <v>258</v>
      </c>
      <c r="D669" s="55" t="s">
        <v>258</v>
      </c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916">
        <f t="shared" si="130"/>
        <v>0</v>
      </c>
      <c r="R669" s="887"/>
      <c r="S669" s="887"/>
    </row>
    <row r="670" ht="15" spans="3:19">
      <c r="C670" s="537" t="s">
        <v>211</v>
      </c>
      <c r="D670" s="540"/>
      <c r="E670" s="916">
        <f t="shared" ref="E670:P670" si="131">SUM(E653:E669)</f>
        <v>0</v>
      </c>
      <c r="F670" s="916">
        <f t="shared" si="131"/>
        <v>0</v>
      </c>
      <c r="G670" s="916">
        <f t="shared" si="131"/>
        <v>0</v>
      </c>
      <c r="H670" s="916">
        <f t="shared" si="131"/>
        <v>0</v>
      </c>
      <c r="I670" s="916">
        <f t="shared" si="131"/>
        <v>0</v>
      </c>
      <c r="J670" s="916">
        <f t="shared" si="131"/>
        <v>0</v>
      </c>
      <c r="K670" s="916">
        <f t="shared" si="131"/>
        <v>0</v>
      </c>
      <c r="L670" s="916">
        <f t="shared" si="131"/>
        <v>0</v>
      </c>
      <c r="M670" s="916">
        <f t="shared" si="131"/>
        <v>0</v>
      </c>
      <c r="N670" s="916">
        <f t="shared" si="131"/>
        <v>0</v>
      </c>
      <c r="O670" s="916">
        <f t="shared" si="131"/>
        <v>0</v>
      </c>
      <c r="P670" s="916">
        <f t="shared" si="131"/>
        <v>0</v>
      </c>
      <c r="Q670" s="916">
        <f t="shared" si="130"/>
        <v>0</v>
      </c>
      <c r="R670" s="887"/>
      <c r="S670" s="887"/>
    </row>
    <row r="671" ht="15" spans="3:19">
      <c r="C671" s="537" t="s">
        <v>223</v>
      </c>
      <c r="D671" s="540"/>
      <c r="E671" s="916">
        <f t="shared" ref="E671:P671" si="132">E670+E651+E634</f>
        <v>0</v>
      </c>
      <c r="F671" s="916">
        <f t="shared" si="132"/>
        <v>0</v>
      </c>
      <c r="G671" s="916">
        <f t="shared" si="132"/>
        <v>0</v>
      </c>
      <c r="H671" s="916">
        <f t="shared" si="132"/>
        <v>0</v>
      </c>
      <c r="I671" s="916">
        <f t="shared" si="132"/>
        <v>0</v>
      </c>
      <c r="J671" s="916">
        <f t="shared" si="132"/>
        <v>0</v>
      </c>
      <c r="K671" s="916">
        <f t="shared" si="132"/>
        <v>0</v>
      </c>
      <c r="L671" s="916">
        <f t="shared" si="132"/>
        <v>0</v>
      </c>
      <c r="M671" s="916">
        <f t="shared" si="132"/>
        <v>0</v>
      </c>
      <c r="N671" s="916">
        <f t="shared" si="132"/>
        <v>0</v>
      </c>
      <c r="O671" s="916">
        <f t="shared" si="132"/>
        <v>0</v>
      </c>
      <c r="P671" s="916">
        <f t="shared" si="132"/>
        <v>0</v>
      </c>
      <c r="Q671" s="916">
        <f t="shared" si="130"/>
        <v>0</v>
      </c>
      <c r="R671" s="887"/>
      <c r="S671" s="887"/>
    </row>
    <row r="672" ht="15" spans="3:19">
      <c r="C672" s="537" t="s">
        <v>224</v>
      </c>
      <c r="D672" s="540"/>
      <c r="E672" s="916">
        <f t="shared" ref="E672:P672" si="133">E671+E617</f>
        <v>0</v>
      </c>
      <c r="F672" s="916">
        <f t="shared" si="133"/>
        <v>0</v>
      </c>
      <c r="G672" s="916">
        <f t="shared" si="133"/>
        <v>0</v>
      </c>
      <c r="H672" s="916">
        <f t="shared" si="133"/>
        <v>0</v>
      </c>
      <c r="I672" s="916">
        <f t="shared" si="133"/>
        <v>0</v>
      </c>
      <c r="J672" s="916">
        <f t="shared" si="133"/>
        <v>0</v>
      </c>
      <c r="K672" s="916">
        <f t="shared" si="133"/>
        <v>0</v>
      </c>
      <c r="L672" s="916">
        <f t="shared" si="133"/>
        <v>0</v>
      </c>
      <c r="M672" s="916">
        <f t="shared" si="133"/>
        <v>0</v>
      </c>
      <c r="N672" s="916">
        <f t="shared" si="133"/>
        <v>0</v>
      </c>
      <c r="O672" s="916">
        <f t="shared" si="133"/>
        <v>0</v>
      </c>
      <c r="P672" s="916">
        <f t="shared" si="133"/>
        <v>0</v>
      </c>
      <c r="Q672" s="916">
        <f t="shared" si="130"/>
        <v>0</v>
      </c>
      <c r="R672" s="887"/>
      <c r="S672" s="887"/>
    </row>
    <row r="673" spans="5:19">
      <c r="E673" s="887"/>
      <c r="F673" s="887"/>
      <c r="G673" s="887"/>
      <c r="H673" s="887"/>
      <c r="I673" s="887"/>
      <c r="J673" s="887"/>
      <c r="K673" s="887"/>
      <c r="L673" s="887"/>
      <c r="M673" s="887"/>
      <c r="N673" s="887"/>
      <c r="O673" s="887"/>
      <c r="P673" s="887"/>
      <c r="Q673" s="887"/>
      <c r="R673" s="887"/>
      <c r="S673" s="887"/>
    </row>
    <row r="674" ht="15" spans="3:19">
      <c r="C674" s="14"/>
      <c r="E674" s="887"/>
      <c r="F674" s="887"/>
      <c r="G674" s="887"/>
      <c r="H674" s="887"/>
      <c r="I674" s="887"/>
      <c r="J674" s="887"/>
      <c r="K674" s="887"/>
      <c r="L674" s="887"/>
      <c r="M674" s="887"/>
      <c r="N674" s="887"/>
      <c r="O674" s="887"/>
      <c r="P674" s="887"/>
      <c r="Q674" s="918" t="s">
        <v>236</v>
      </c>
      <c r="R674" s="887"/>
      <c r="S674" s="887"/>
    </row>
    <row r="675" ht="15" spans="3:19">
      <c r="C675" s="6" t="s">
        <v>159</v>
      </c>
      <c r="D675" s="6"/>
      <c r="E675" s="150" t="s">
        <v>266</v>
      </c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887"/>
      <c r="S675" s="887"/>
    </row>
    <row r="676" ht="15" spans="3:19">
      <c r="C676" s="6"/>
      <c r="D676" s="6"/>
      <c r="E676" s="150" t="s">
        <v>246</v>
      </c>
      <c r="F676" s="150" t="s">
        <v>247</v>
      </c>
      <c r="G676" s="150" t="s">
        <v>248</v>
      </c>
      <c r="H676" s="150" t="s">
        <v>249</v>
      </c>
      <c r="I676" s="150" t="s">
        <v>250</v>
      </c>
      <c r="J676" s="150" t="s">
        <v>251</v>
      </c>
      <c r="K676" s="150" t="s">
        <v>252</v>
      </c>
      <c r="L676" s="150" t="s">
        <v>253</v>
      </c>
      <c r="M676" s="150" t="s">
        <v>254</v>
      </c>
      <c r="N676" s="150" t="s">
        <v>255</v>
      </c>
      <c r="O676" s="150" t="s">
        <v>256</v>
      </c>
      <c r="P676" s="150" t="s">
        <v>257</v>
      </c>
      <c r="Q676" s="150" t="s">
        <v>97</v>
      </c>
      <c r="R676" s="887"/>
      <c r="S676" s="887"/>
    </row>
    <row r="677" ht="15" spans="3:19">
      <c r="C677" s="44" t="s">
        <v>170</v>
      </c>
      <c r="D677" s="45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58"/>
      <c r="R677" s="887"/>
      <c r="S677" s="887"/>
    </row>
    <row r="678" ht="15" spans="3:19">
      <c r="C678" s="47" t="s">
        <v>171</v>
      </c>
      <c r="D678" s="47" t="s">
        <v>172</v>
      </c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916">
        <f t="shared" ref="Q678:Q691" si="134">SUM(E678:P678)</f>
        <v>0</v>
      </c>
      <c r="R678" s="887"/>
      <c r="S678" s="887"/>
    </row>
    <row r="679" ht="15" spans="3:19">
      <c r="C679" s="55" t="s">
        <v>173</v>
      </c>
      <c r="D679" s="55" t="s">
        <v>174</v>
      </c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916">
        <f t="shared" si="134"/>
        <v>0</v>
      </c>
      <c r="R679" s="887"/>
      <c r="S679" s="887"/>
    </row>
    <row r="680" ht="15" spans="3:19">
      <c r="C680" s="55" t="s">
        <v>175</v>
      </c>
      <c r="D680" s="55" t="s">
        <v>176</v>
      </c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916">
        <f t="shared" si="134"/>
        <v>0</v>
      </c>
      <c r="R680" s="887"/>
      <c r="S680" s="887"/>
    </row>
    <row r="681" ht="15" spans="3:19">
      <c r="C681" s="55" t="s">
        <v>177</v>
      </c>
      <c r="D681" s="55" t="s">
        <v>178</v>
      </c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916">
        <f t="shared" si="134"/>
        <v>0</v>
      </c>
      <c r="R681" s="887"/>
      <c r="S681" s="887"/>
    </row>
    <row r="682" ht="15" spans="3:19">
      <c r="C682" s="55" t="s">
        <v>179</v>
      </c>
      <c r="D682" s="55" t="s">
        <v>180</v>
      </c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916">
        <f t="shared" si="134"/>
        <v>0</v>
      </c>
      <c r="R682" s="887"/>
      <c r="S682" s="887"/>
    </row>
    <row r="683" ht="15" spans="3:19">
      <c r="C683" s="55" t="s">
        <v>181</v>
      </c>
      <c r="D683" s="55" t="s">
        <v>182</v>
      </c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916">
        <f t="shared" si="134"/>
        <v>0</v>
      </c>
      <c r="R683" s="887"/>
      <c r="S683" s="887"/>
    </row>
    <row r="684" ht="15" spans="3:19">
      <c r="C684" s="55" t="s">
        <v>183</v>
      </c>
      <c r="D684" s="55" t="s">
        <v>184</v>
      </c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916">
        <f t="shared" si="134"/>
        <v>0</v>
      </c>
      <c r="R684" s="887"/>
      <c r="S684" s="887"/>
    </row>
    <row r="685" ht="15" spans="3:19">
      <c r="C685" s="55" t="s">
        <v>185</v>
      </c>
      <c r="D685" s="55" t="s">
        <v>186</v>
      </c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916">
        <f t="shared" si="134"/>
        <v>0</v>
      </c>
      <c r="R685" s="887"/>
      <c r="S685" s="887"/>
    </row>
    <row r="686" ht="15" spans="3:19">
      <c r="C686" s="55" t="s">
        <v>187</v>
      </c>
      <c r="D686" s="55" t="s">
        <v>188</v>
      </c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916">
        <f t="shared" si="134"/>
        <v>0</v>
      </c>
      <c r="R686" s="887"/>
      <c r="S686" s="887"/>
    </row>
    <row r="687" ht="15" spans="3:19">
      <c r="C687" s="55"/>
      <c r="D687" s="55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916">
        <f t="shared" si="134"/>
        <v>0</v>
      </c>
      <c r="R687" s="887"/>
      <c r="S687" s="887"/>
    </row>
    <row r="688" ht="15" spans="3:19">
      <c r="C688" s="55"/>
      <c r="D688" s="55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916">
        <f t="shared" si="134"/>
        <v>0</v>
      </c>
      <c r="R688" s="887"/>
      <c r="S688" s="887"/>
    </row>
    <row r="689" ht="15" spans="3:19">
      <c r="C689" s="55"/>
      <c r="D689" s="55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916">
        <f t="shared" si="134"/>
        <v>0</v>
      </c>
      <c r="R689" s="887"/>
      <c r="S689" s="887"/>
    </row>
    <row r="690" ht="15" spans="3:19">
      <c r="C690" s="55" t="s">
        <v>258</v>
      </c>
      <c r="D690" s="55" t="s">
        <v>258</v>
      </c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916">
        <f t="shared" si="134"/>
        <v>0</v>
      </c>
      <c r="R690" s="887"/>
      <c r="S690" s="887"/>
    </row>
    <row r="691" ht="15" spans="3:19">
      <c r="C691" s="537" t="s">
        <v>189</v>
      </c>
      <c r="D691" s="540"/>
      <c r="E691" s="916">
        <f t="shared" ref="E691:P691" si="135">SUM(E678:E690)</f>
        <v>0</v>
      </c>
      <c r="F691" s="916">
        <f t="shared" si="135"/>
        <v>0</v>
      </c>
      <c r="G691" s="916">
        <f t="shared" si="135"/>
        <v>0</v>
      </c>
      <c r="H691" s="916">
        <f t="shared" si="135"/>
        <v>0</v>
      </c>
      <c r="I691" s="916">
        <f t="shared" si="135"/>
        <v>0</v>
      </c>
      <c r="J691" s="916">
        <f t="shared" si="135"/>
        <v>0</v>
      </c>
      <c r="K691" s="916">
        <f t="shared" si="135"/>
        <v>0</v>
      </c>
      <c r="L691" s="916">
        <f t="shared" si="135"/>
        <v>0</v>
      </c>
      <c r="M691" s="916">
        <f t="shared" si="135"/>
        <v>0</v>
      </c>
      <c r="N691" s="916">
        <f t="shared" si="135"/>
        <v>0</v>
      </c>
      <c r="O691" s="916">
        <f t="shared" si="135"/>
        <v>0</v>
      </c>
      <c r="P691" s="916">
        <f t="shared" si="135"/>
        <v>0</v>
      </c>
      <c r="Q691" s="916">
        <f t="shared" si="134"/>
        <v>0</v>
      </c>
      <c r="R691" s="887"/>
      <c r="S691" s="887"/>
    </row>
    <row r="692" ht="15" spans="3:19">
      <c r="C692" s="44" t="s">
        <v>190</v>
      </c>
      <c r="D692" s="45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58"/>
      <c r="R692" s="887"/>
      <c r="S692" s="887"/>
    </row>
    <row r="693" ht="15" spans="3:19">
      <c r="C693" s="55" t="s">
        <v>191</v>
      </c>
      <c r="D693" s="55" t="s">
        <v>192</v>
      </c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916">
        <f t="shared" ref="Q693:Q708" si="136">SUM(E693:P693)</f>
        <v>0</v>
      </c>
      <c r="R693" s="887"/>
      <c r="S693" s="887"/>
    </row>
    <row r="694" ht="15" spans="3:19">
      <c r="C694" s="55" t="s">
        <v>193</v>
      </c>
      <c r="D694" s="55" t="s">
        <v>194</v>
      </c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916">
        <f t="shared" si="136"/>
        <v>0</v>
      </c>
      <c r="R694" s="887"/>
      <c r="S694" s="887"/>
    </row>
    <row r="695" ht="15" spans="3:19">
      <c r="C695" s="55" t="s">
        <v>239</v>
      </c>
      <c r="D695" s="55" t="s">
        <v>196</v>
      </c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916">
        <f t="shared" si="136"/>
        <v>0</v>
      </c>
      <c r="R695" s="887"/>
      <c r="S695" s="887"/>
    </row>
    <row r="696" ht="15" spans="3:19">
      <c r="C696" s="55" t="s">
        <v>197</v>
      </c>
      <c r="D696" s="55" t="s">
        <v>198</v>
      </c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916">
        <f t="shared" si="136"/>
        <v>0</v>
      </c>
      <c r="R696" s="887"/>
      <c r="S696" s="887"/>
    </row>
    <row r="697" ht="15" spans="3:19">
      <c r="C697" s="55" t="s">
        <v>199</v>
      </c>
      <c r="D697" s="55" t="s">
        <v>200</v>
      </c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916">
        <f t="shared" si="136"/>
        <v>0</v>
      </c>
      <c r="R697" s="887"/>
      <c r="S697" s="887"/>
    </row>
    <row r="698" ht="15" spans="3:19">
      <c r="C698" s="55" t="s">
        <v>201</v>
      </c>
      <c r="D698" s="55" t="s">
        <v>202</v>
      </c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916">
        <f t="shared" si="136"/>
        <v>0</v>
      </c>
      <c r="R698" s="887"/>
      <c r="S698" s="887"/>
    </row>
    <row r="699" ht="15" spans="3:19">
      <c r="C699" s="55" t="s">
        <v>203</v>
      </c>
      <c r="D699" s="55" t="s">
        <v>204</v>
      </c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916">
        <f t="shared" si="136"/>
        <v>0</v>
      </c>
      <c r="R699" s="887"/>
      <c r="S699" s="887"/>
    </row>
    <row r="700" ht="15" spans="3:19">
      <c r="C700" s="55" t="s">
        <v>205</v>
      </c>
      <c r="D700" s="55" t="s">
        <v>206</v>
      </c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916">
        <f t="shared" si="136"/>
        <v>0</v>
      </c>
      <c r="R700" s="887"/>
      <c r="S700" s="887"/>
    </row>
    <row r="701" ht="15" spans="3:19">
      <c r="C701" s="55" t="s">
        <v>207</v>
      </c>
      <c r="D701" s="55" t="s">
        <v>186</v>
      </c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916">
        <f t="shared" si="136"/>
        <v>0</v>
      </c>
      <c r="R701" s="887"/>
      <c r="S701" s="887"/>
    </row>
    <row r="702" ht="15" spans="3:19">
      <c r="C702" s="55" t="s">
        <v>208</v>
      </c>
      <c r="D702" s="55" t="s">
        <v>209</v>
      </c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916">
        <f t="shared" si="136"/>
        <v>0</v>
      </c>
      <c r="R702" s="887"/>
      <c r="S702" s="887"/>
    </row>
    <row r="703" ht="15" spans="3:19">
      <c r="C703" s="55" t="s">
        <v>210</v>
      </c>
      <c r="D703" s="55" t="s">
        <v>188</v>
      </c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916">
        <f t="shared" si="136"/>
        <v>0</v>
      </c>
      <c r="R703" s="887"/>
      <c r="S703" s="887"/>
    </row>
    <row r="704" ht="15" spans="3:19">
      <c r="C704" s="55"/>
      <c r="D704" s="55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916">
        <f t="shared" si="136"/>
        <v>0</v>
      </c>
      <c r="R704" s="887"/>
      <c r="S704" s="887"/>
    </row>
    <row r="705" ht="15" spans="3:19">
      <c r="C705" s="55"/>
      <c r="D705" s="55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916">
        <f t="shared" si="136"/>
        <v>0</v>
      </c>
      <c r="R705" s="887"/>
      <c r="S705" s="887"/>
    </row>
    <row r="706" ht="15" spans="3:19">
      <c r="C706" s="55"/>
      <c r="D706" s="55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916">
        <f t="shared" si="136"/>
        <v>0</v>
      </c>
      <c r="R706" s="887"/>
      <c r="S706" s="887"/>
    </row>
    <row r="707" ht="15" spans="3:19">
      <c r="C707" s="55" t="s">
        <v>258</v>
      </c>
      <c r="D707" s="55" t="s">
        <v>258</v>
      </c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916">
        <f t="shared" si="136"/>
        <v>0</v>
      </c>
      <c r="R707" s="887"/>
      <c r="S707" s="887"/>
    </row>
    <row r="708" ht="15" spans="3:19">
      <c r="C708" s="537" t="s">
        <v>211</v>
      </c>
      <c r="D708" s="540"/>
      <c r="E708" s="916">
        <f t="shared" ref="E708:P708" si="137">SUM(E693:E707)</f>
        <v>0</v>
      </c>
      <c r="F708" s="916">
        <f t="shared" si="137"/>
        <v>0</v>
      </c>
      <c r="G708" s="916">
        <f t="shared" si="137"/>
        <v>0</v>
      </c>
      <c r="H708" s="916">
        <f t="shared" si="137"/>
        <v>0</v>
      </c>
      <c r="I708" s="916">
        <f t="shared" si="137"/>
        <v>0</v>
      </c>
      <c r="J708" s="916">
        <f t="shared" si="137"/>
        <v>0</v>
      </c>
      <c r="K708" s="916">
        <f t="shared" si="137"/>
        <v>0</v>
      </c>
      <c r="L708" s="916">
        <f t="shared" si="137"/>
        <v>0</v>
      </c>
      <c r="M708" s="916">
        <f t="shared" si="137"/>
        <v>0</v>
      </c>
      <c r="N708" s="916">
        <f t="shared" si="137"/>
        <v>0</v>
      </c>
      <c r="O708" s="916">
        <f t="shared" si="137"/>
        <v>0</v>
      </c>
      <c r="P708" s="916">
        <f t="shared" si="137"/>
        <v>0</v>
      </c>
      <c r="Q708" s="916">
        <f t="shared" si="136"/>
        <v>0</v>
      </c>
      <c r="R708" s="887"/>
      <c r="S708" s="887"/>
    </row>
    <row r="709" ht="15" spans="3:19">
      <c r="C709" s="44" t="s">
        <v>212</v>
      </c>
      <c r="D709" s="45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58"/>
      <c r="R709" s="887"/>
      <c r="S709" s="887"/>
    </row>
    <row r="710" ht="15" spans="3:19">
      <c r="C710" s="55" t="s">
        <v>191</v>
      </c>
      <c r="D710" s="55" t="s">
        <v>192</v>
      </c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916">
        <f t="shared" ref="Q710:Q725" si="138">SUM(E710:P710)</f>
        <v>0</v>
      </c>
      <c r="R710" s="887"/>
      <c r="S710" s="887"/>
    </row>
    <row r="711" ht="15" spans="3:19">
      <c r="C711" s="55" t="s">
        <v>193</v>
      </c>
      <c r="D711" s="55" t="s">
        <v>194</v>
      </c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916">
        <f t="shared" si="138"/>
        <v>0</v>
      </c>
      <c r="R711" s="887"/>
      <c r="S711" s="887"/>
    </row>
    <row r="712" ht="15" spans="3:19">
      <c r="C712" s="55" t="s">
        <v>239</v>
      </c>
      <c r="D712" s="55" t="s">
        <v>196</v>
      </c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916">
        <f t="shared" si="138"/>
        <v>0</v>
      </c>
      <c r="R712" s="887"/>
      <c r="S712" s="887"/>
    </row>
    <row r="713" ht="15" spans="3:19">
      <c r="C713" s="55" t="s">
        <v>197</v>
      </c>
      <c r="D713" s="55" t="s">
        <v>198</v>
      </c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916">
        <f t="shared" si="138"/>
        <v>0</v>
      </c>
      <c r="R713" s="887"/>
      <c r="S713" s="887"/>
    </row>
    <row r="714" ht="15" spans="3:19">
      <c r="C714" s="55" t="s">
        <v>199</v>
      </c>
      <c r="D714" s="55" t="s">
        <v>200</v>
      </c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916">
        <f t="shared" si="138"/>
        <v>0</v>
      </c>
      <c r="R714" s="887"/>
      <c r="S714" s="887"/>
    </row>
    <row r="715" ht="15" spans="3:19">
      <c r="C715" s="55" t="s">
        <v>201</v>
      </c>
      <c r="D715" s="55" t="s">
        <v>202</v>
      </c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916">
        <f t="shared" si="138"/>
        <v>0</v>
      </c>
      <c r="R715" s="887"/>
      <c r="S715" s="887"/>
    </row>
    <row r="716" ht="15" spans="3:19">
      <c r="C716" s="55" t="s">
        <v>203</v>
      </c>
      <c r="D716" s="55" t="s">
        <v>204</v>
      </c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916">
        <f t="shared" si="138"/>
        <v>0</v>
      </c>
      <c r="R716" s="887"/>
      <c r="S716" s="887"/>
    </row>
    <row r="717" ht="15" spans="3:19">
      <c r="C717" s="55" t="s">
        <v>205</v>
      </c>
      <c r="D717" s="55" t="s">
        <v>206</v>
      </c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916">
        <f t="shared" si="138"/>
        <v>0</v>
      </c>
      <c r="R717" s="887"/>
      <c r="S717" s="887"/>
    </row>
    <row r="718" ht="15" spans="3:19">
      <c r="C718" s="55" t="s">
        <v>231</v>
      </c>
      <c r="D718" s="55" t="s">
        <v>186</v>
      </c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916">
        <f t="shared" si="138"/>
        <v>0</v>
      </c>
      <c r="R718" s="887"/>
      <c r="S718" s="887"/>
    </row>
    <row r="719" ht="15" spans="3:19">
      <c r="C719" s="55" t="s">
        <v>208</v>
      </c>
      <c r="D719" s="55" t="s">
        <v>209</v>
      </c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916">
        <f t="shared" si="138"/>
        <v>0</v>
      </c>
      <c r="R719" s="887"/>
      <c r="S719" s="887"/>
    </row>
    <row r="720" ht="15" spans="3:19">
      <c r="C720" s="55" t="s">
        <v>210</v>
      </c>
      <c r="D720" s="55" t="s">
        <v>188</v>
      </c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916">
        <f t="shared" si="138"/>
        <v>0</v>
      </c>
      <c r="R720" s="887"/>
      <c r="S720" s="887"/>
    </row>
    <row r="721" ht="15" spans="3:19">
      <c r="C721" s="55"/>
      <c r="D721" s="55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916">
        <f t="shared" si="138"/>
        <v>0</v>
      </c>
      <c r="R721" s="887"/>
      <c r="S721" s="887"/>
    </row>
    <row r="722" ht="15" spans="3:19">
      <c r="C722" s="55"/>
      <c r="D722" s="55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916">
        <f t="shared" si="138"/>
        <v>0</v>
      </c>
      <c r="R722" s="887"/>
      <c r="S722" s="887"/>
    </row>
    <row r="723" ht="15" spans="3:19">
      <c r="C723" s="55"/>
      <c r="D723" s="55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916">
        <f t="shared" si="138"/>
        <v>0</v>
      </c>
      <c r="R723" s="887"/>
      <c r="S723" s="887"/>
    </row>
    <row r="724" ht="15" spans="3:19">
      <c r="C724" s="55" t="s">
        <v>258</v>
      </c>
      <c r="D724" s="55" t="s">
        <v>258</v>
      </c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916">
        <f t="shared" si="138"/>
        <v>0</v>
      </c>
      <c r="R724" s="887"/>
      <c r="S724" s="887"/>
    </row>
    <row r="725" ht="15" spans="3:19">
      <c r="C725" s="537" t="s">
        <v>211</v>
      </c>
      <c r="D725" s="540"/>
      <c r="E725" s="916">
        <f t="shared" ref="E725:P725" si="139">SUM(E710:E724)</f>
        <v>0</v>
      </c>
      <c r="F725" s="916">
        <f t="shared" si="139"/>
        <v>0</v>
      </c>
      <c r="G725" s="916">
        <f t="shared" si="139"/>
        <v>0</v>
      </c>
      <c r="H725" s="916">
        <f t="shared" si="139"/>
        <v>0</v>
      </c>
      <c r="I725" s="916">
        <f t="shared" si="139"/>
        <v>0</v>
      </c>
      <c r="J725" s="916">
        <f t="shared" si="139"/>
        <v>0</v>
      </c>
      <c r="K725" s="916">
        <f t="shared" si="139"/>
        <v>0</v>
      </c>
      <c r="L725" s="916">
        <f t="shared" si="139"/>
        <v>0</v>
      </c>
      <c r="M725" s="916">
        <f t="shared" si="139"/>
        <v>0</v>
      </c>
      <c r="N725" s="916">
        <f t="shared" si="139"/>
        <v>0</v>
      </c>
      <c r="O725" s="916">
        <f t="shared" si="139"/>
        <v>0</v>
      </c>
      <c r="P725" s="916">
        <f t="shared" si="139"/>
        <v>0</v>
      </c>
      <c r="Q725" s="916">
        <f t="shared" si="138"/>
        <v>0</v>
      </c>
      <c r="R725" s="887"/>
      <c r="S725" s="887"/>
    </row>
    <row r="726" ht="15" spans="3:19">
      <c r="C726" s="44" t="s">
        <v>219</v>
      </c>
      <c r="D726" s="45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58"/>
      <c r="R726" s="887"/>
      <c r="S726" s="887"/>
    </row>
    <row r="727" ht="15" spans="3:19">
      <c r="C727" s="55" t="s">
        <v>191</v>
      </c>
      <c r="D727" s="55" t="s">
        <v>192</v>
      </c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916">
        <f t="shared" ref="Q727:Q746" si="140">SUM(E727:P727)</f>
        <v>0</v>
      </c>
      <c r="R727" s="887"/>
      <c r="S727" s="887"/>
    </row>
    <row r="728" ht="15" spans="3:19">
      <c r="C728" s="55" t="s">
        <v>193</v>
      </c>
      <c r="D728" s="55" t="s">
        <v>194</v>
      </c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916">
        <f t="shared" si="140"/>
        <v>0</v>
      </c>
      <c r="R728" s="887"/>
      <c r="S728" s="887"/>
    </row>
    <row r="729" ht="15" spans="3:19">
      <c r="C729" s="55" t="s">
        <v>239</v>
      </c>
      <c r="D729" s="55" t="s">
        <v>196</v>
      </c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916">
        <f t="shared" si="140"/>
        <v>0</v>
      </c>
      <c r="R729" s="887"/>
      <c r="S729" s="887"/>
    </row>
    <row r="730" ht="15" spans="3:19">
      <c r="C730" s="55" t="s">
        <v>197</v>
      </c>
      <c r="D730" s="55" t="s">
        <v>198</v>
      </c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916">
        <f t="shared" si="140"/>
        <v>0</v>
      </c>
      <c r="R730" s="887"/>
      <c r="S730" s="887"/>
    </row>
    <row r="731" ht="15" spans="3:19">
      <c r="C731" s="55" t="s">
        <v>199</v>
      </c>
      <c r="D731" s="55" t="s">
        <v>200</v>
      </c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916">
        <f t="shared" si="140"/>
        <v>0</v>
      </c>
      <c r="R731" s="887"/>
      <c r="S731" s="887"/>
    </row>
    <row r="732" ht="15" spans="3:19">
      <c r="C732" s="55" t="s">
        <v>201</v>
      </c>
      <c r="D732" s="55" t="s">
        <v>240</v>
      </c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916">
        <f t="shared" si="140"/>
        <v>0</v>
      </c>
      <c r="R732" s="887"/>
      <c r="S732" s="887"/>
    </row>
    <row r="733" ht="15" spans="3:19">
      <c r="C733" s="55" t="s">
        <v>203</v>
      </c>
      <c r="D733" s="55" t="s">
        <v>220</v>
      </c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916">
        <f t="shared" si="140"/>
        <v>0</v>
      </c>
      <c r="R733" s="887"/>
      <c r="S733" s="887"/>
    </row>
    <row r="734" ht="15" spans="3:19">
      <c r="C734" s="55" t="s">
        <v>241</v>
      </c>
      <c r="D734" s="55" t="s">
        <v>229</v>
      </c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916">
        <f t="shared" si="140"/>
        <v>0</v>
      </c>
      <c r="R734" s="887"/>
      <c r="S734" s="887"/>
    </row>
    <row r="735" ht="15" spans="3:19">
      <c r="C735" s="55" t="s">
        <v>259</v>
      </c>
      <c r="D735" s="55" t="s">
        <v>243</v>
      </c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916">
        <f t="shared" si="140"/>
        <v>0</v>
      </c>
      <c r="R735" s="887"/>
      <c r="S735" s="887"/>
    </row>
    <row r="736" ht="15" spans="3:19">
      <c r="C736" s="55" t="s">
        <v>205</v>
      </c>
      <c r="D736" s="55" t="s">
        <v>206</v>
      </c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916">
        <f t="shared" si="140"/>
        <v>0</v>
      </c>
      <c r="R736" s="887"/>
      <c r="S736" s="887"/>
    </row>
    <row r="737" ht="15" spans="3:19">
      <c r="C737" s="55" t="s">
        <v>207</v>
      </c>
      <c r="D737" s="55" t="s">
        <v>186</v>
      </c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916">
        <f t="shared" si="140"/>
        <v>0</v>
      </c>
      <c r="R737" s="887"/>
      <c r="S737" s="887"/>
    </row>
    <row r="738" ht="15" spans="3:19">
      <c r="C738" s="55" t="s">
        <v>208</v>
      </c>
      <c r="D738" s="55" t="s">
        <v>209</v>
      </c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916">
        <f t="shared" si="140"/>
        <v>0</v>
      </c>
      <c r="R738" s="887"/>
      <c r="S738" s="887"/>
    </row>
    <row r="739" ht="15" spans="3:19">
      <c r="C739" s="55" t="s">
        <v>210</v>
      </c>
      <c r="D739" s="55" t="s">
        <v>188</v>
      </c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916">
        <f t="shared" si="140"/>
        <v>0</v>
      </c>
      <c r="R739" s="887"/>
      <c r="S739" s="887"/>
    </row>
    <row r="740" ht="15" spans="3:19">
      <c r="C740" s="55"/>
      <c r="D740" s="55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916">
        <f t="shared" si="140"/>
        <v>0</v>
      </c>
      <c r="R740" s="887"/>
      <c r="S740" s="887"/>
    </row>
    <row r="741" ht="15" spans="3:19">
      <c r="C741" s="55"/>
      <c r="D741" s="55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916">
        <f t="shared" si="140"/>
        <v>0</v>
      </c>
      <c r="R741" s="887"/>
      <c r="S741" s="887"/>
    </row>
    <row r="742" ht="15" spans="3:19">
      <c r="C742" s="55"/>
      <c r="D742" s="55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916">
        <f t="shared" si="140"/>
        <v>0</v>
      </c>
      <c r="R742" s="887"/>
      <c r="S742" s="887"/>
    </row>
    <row r="743" ht="15" spans="3:19">
      <c r="C743" s="55" t="s">
        <v>258</v>
      </c>
      <c r="D743" s="55" t="s">
        <v>258</v>
      </c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916">
        <f t="shared" si="140"/>
        <v>0</v>
      </c>
      <c r="R743" s="887"/>
      <c r="S743" s="887"/>
    </row>
    <row r="744" ht="15" spans="3:19">
      <c r="C744" s="537" t="s">
        <v>211</v>
      </c>
      <c r="D744" s="540"/>
      <c r="E744" s="916">
        <f t="shared" ref="E744:P744" si="141">SUM(E727:E743)</f>
        <v>0</v>
      </c>
      <c r="F744" s="916">
        <f t="shared" si="141"/>
        <v>0</v>
      </c>
      <c r="G744" s="916">
        <f t="shared" si="141"/>
        <v>0</v>
      </c>
      <c r="H744" s="916">
        <f t="shared" si="141"/>
        <v>0</v>
      </c>
      <c r="I744" s="916">
        <f t="shared" si="141"/>
        <v>0</v>
      </c>
      <c r="J744" s="916">
        <f t="shared" si="141"/>
        <v>0</v>
      </c>
      <c r="K744" s="916">
        <f t="shared" si="141"/>
        <v>0</v>
      </c>
      <c r="L744" s="916">
        <f t="shared" si="141"/>
        <v>0</v>
      </c>
      <c r="M744" s="916">
        <f t="shared" si="141"/>
        <v>0</v>
      </c>
      <c r="N744" s="916">
        <f t="shared" si="141"/>
        <v>0</v>
      </c>
      <c r="O744" s="916">
        <f t="shared" si="141"/>
        <v>0</v>
      </c>
      <c r="P744" s="916">
        <f t="shared" si="141"/>
        <v>0</v>
      </c>
      <c r="Q744" s="916">
        <f t="shared" si="140"/>
        <v>0</v>
      </c>
      <c r="R744" s="887"/>
      <c r="S744" s="887"/>
    </row>
    <row r="745" ht="15" spans="3:19">
      <c r="C745" s="537" t="s">
        <v>223</v>
      </c>
      <c r="D745" s="540"/>
      <c r="E745" s="916">
        <f t="shared" ref="E745:P745" si="142">E744+E725+E708</f>
        <v>0</v>
      </c>
      <c r="F745" s="916">
        <f t="shared" si="142"/>
        <v>0</v>
      </c>
      <c r="G745" s="916">
        <f t="shared" si="142"/>
        <v>0</v>
      </c>
      <c r="H745" s="916">
        <f t="shared" si="142"/>
        <v>0</v>
      </c>
      <c r="I745" s="916">
        <f t="shared" si="142"/>
        <v>0</v>
      </c>
      <c r="J745" s="916">
        <f t="shared" si="142"/>
        <v>0</v>
      </c>
      <c r="K745" s="916">
        <f t="shared" si="142"/>
        <v>0</v>
      </c>
      <c r="L745" s="916">
        <f t="shared" si="142"/>
        <v>0</v>
      </c>
      <c r="M745" s="916">
        <f t="shared" si="142"/>
        <v>0</v>
      </c>
      <c r="N745" s="916">
        <f t="shared" si="142"/>
        <v>0</v>
      </c>
      <c r="O745" s="916">
        <f t="shared" si="142"/>
        <v>0</v>
      </c>
      <c r="P745" s="916">
        <f t="shared" si="142"/>
        <v>0</v>
      </c>
      <c r="Q745" s="916">
        <f t="shared" si="140"/>
        <v>0</v>
      </c>
      <c r="R745" s="887"/>
      <c r="S745" s="887"/>
    </row>
    <row r="746" ht="15" spans="3:19">
      <c r="C746" s="537" t="s">
        <v>224</v>
      </c>
      <c r="D746" s="540"/>
      <c r="E746" s="916">
        <f t="shared" ref="E746:P746" si="143">E745+E691</f>
        <v>0</v>
      </c>
      <c r="F746" s="916">
        <f t="shared" si="143"/>
        <v>0</v>
      </c>
      <c r="G746" s="916">
        <f t="shared" si="143"/>
        <v>0</v>
      </c>
      <c r="H746" s="916">
        <f t="shared" si="143"/>
        <v>0</v>
      </c>
      <c r="I746" s="916">
        <f t="shared" si="143"/>
        <v>0</v>
      </c>
      <c r="J746" s="916">
        <f t="shared" si="143"/>
        <v>0</v>
      </c>
      <c r="K746" s="916">
        <f t="shared" si="143"/>
        <v>0</v>
      </c>
      <c r="L746" s="916">
        <f t="shared" si="143"/>
        <v>0</v>
      </c>
      <c r="M746" s="916">
        <f t="shared" si="143"/>
        <v>0</v>
      </c>
      <c r="N746" s="916">
        <f t="shared" si="143"/>
        <v>0</v>
      </c>
      <c r="O746" s="916">
        <f t="shared" si="143"/>
        <v>0</v>
      </c>
      <c r="P746" s="916">
        <f t="shared" si="143"/>
        <v>0</v>
      </c>
      <c r="Q746" s="916">
        <f t="shared" si="140"/>
        <v>0</v>
      </c>
      <c r="R746" s="887"/>
      <c r="S746" s="887"/>
    </row>
    <row r="747" spans="5:19">
      <c r="E747" s="887"/>
      <c r="F747" s="887"/>
      <c r="G747" s="887"/>
      <c r="H747" s="887"/>
      <c r="I747" s="887"/>
      <c r="J747" s="887"/>
      <c r="K747" s="887"/>
      <c r="L747" s="887"/>
      <c r="M747" s="887"/>
      <c r="N747" s="887"/>
      <c r="O747" s="887"/>
      <c r="P747" s="887"/>
      <c r="Q747" s="887"/>
      <c r="R747" s="887"/>
      <c r="S747" s="887"/>
    </row>
    <row r="748" ht="15" spans="3:19">
      <c r="C748" s="14"/>
      <c r="E748" s="887"/>
      <c r="F748" s="887"/>
      <c r="G748" s="887"/>
      <c r="H748" s="887"/>
      <c r="I748" s="887"/>
      <c r="J748" s="887"/>
      <c r="K748" s="887"/>
      <c r="L748" s="887"/>
      <c r="M748" s="887"/>
      <c r="N748" s="887"/>
      <c r="O748" s="887"/>
      <c r="P748" s="887"/>
      <c r="Q748" s="918" t="s">
        <v>236</v>
      </c>
      <c r="R748" s="887"/>
      <c r="S748" s="887"/>
    </row>
    <row r="749" ht="15" spans="3:19">
      <c r="C749" s="6" t="s">
        <v>159</v>
      </c>
      <c r="D749" s="6"/>
      <c r="E749" s="150" t="s">
        <v>267</v>
      </c>
      <c r="F749" s="150"/>
      <c r="G749" s="150"/>
      <c r="H749" s="150"/>
      <c r="I749" s="150"/>
      <c r="J749" s="150"/>
      <c r="K749" s="150"/>
      <c r="L749" s="150"/>
      <c r="M749" s="150"/>
      <c r="N749" s="150"/>
      <c r="O749" s="150"/>
      <c r="P749" s="150"/>
      <c r="Q749" s="150"/>
      <c r="R749" s="887"/>
      <c r="S749" s="887"/>
    </row>
    <row r="750" ht="15" spans="3:19">
      <c r="C750" s="6"/>
      <c r="D750" s="6"/>
      <c r="E750" s="150" t="s">
        <v>246</v>
      </c>
      <c r="F750" s="150" t="s">
        <v>247</v>
      </c>
      <c r="G750" s="150" t="s">
        <v>248</v>
      </c>
      <c r="H750" s="150" t="s">
        <v>249</v>
      </c>
      <c r="I750" s="150" t="s">
        <v>250</v>
      </c>
      <c r="J750" s="150" t="s">
        <v>251</v>
      </c>
      <c r="K750" s="150" t="s">
        <v>252</v>
      </c>
      <c r="L750" s="150" t="s">
        <v>253</v>
      </c>
      <c r="M750" s="150" t="s">
        <v>254</v>
      </c>
      <c r="N750" s="150" t="s">
        <v>255</v>
      </c>
      <c r="O750" s="150" t="s">
        <v>256</v>
      </c>
      <c r="P750" s="150" t="s">
        <v>257</v>
      </c>
      <c r="Q750" s="150" t="s">
        <v>97</v>
      </c>
      <c r="R750" s="887"/>
      <c r="S750" s="887"/>
    </row>
    <row r="751" ht="15" spans="3:19">
      <c r="C751" s="44" t="s">
        <v>170</v>
      </c>
      <c r="D751" s="45"/>
      <c r="E751" s="146"/>
      <c r="F751" s="146"/>
      <c r="G751" s="146"/>
      <c r="H751" s="146"/>
      <c r="I751" s="146"/>
      <c r="J751" s="146"/>
      <c r="K751" s="146"/>
      <c r="L751" s="146"/>
      <c r="M751" s="146"/>
      <c r="N751" s="146"/>
      <c r="O751" s="146"/>
      <c r="P751" s="146"/>
      <c r="Q751" s="158"/>
      <c r="R751" s="887"/>
      <c r="S751" s="887"/>
    </row>
    <row r="752" ht="15" spans="3:19">
      <c r="C752" s="47" t="s">
        <v>171</v>
      </c>
      <c r="D752" s="47" t="s">
        <v>172</v>
      </c>
      <c r="E752" s="146"/>
      <c r="F752" s="146"/>
      <c r="G752" s="146"/>
      <c r="H752" s="146"/>
      <c r="I752" s="146"/>
      <c r="J752" s="146"/>
      <c r="K752" s="146"/>
      <c r="L752" s="146"/>
      <c r="M752" s="146"/>
      <c r="N752" s="146"/>
      <c r="O752" s="146"/>
      <c r="P752" s="146"/>
      <c r="Q752" s="916">
        <f t="shared" ref="Q752:Q765" si="144">SUM(E752:P752)</f>
        <v>0</v>
      </c>
      <c r="R752" s="887"/>
      <c r="S752" s="887"/>
    </row>
    <row r="753" ht="15" spans="3:19">
      <c r="C753" s="55" t="s">
        <v>173</v>
      </c>
      <c r="D753" s="55" t="s">
        <v>174</v>
      </c>
      <c r="E753" s="146"/>
      <c r="F753" s="146"/>
      <c r="G753" s="146"/>
      <c r="H753" s="146"/>
      <c r="I753" s="146"/>
      <c r="J753" s="146"/>
      <c r="K753" s="146"/>
      <c r="L753" s="146"/>
      <c r="M753" s="146"/>
      <c r="N753" s="146"/>
      <c r="O753" s="146"/>
      <c r="P753" s="146"/>
      <c r="Q753" s="916">
        <f t="shared" si="144"/>
        <v>0</v>
      </c>
      <c r="R753" s="887"/>
      <c r="S753" s="887"/>
    </row>
    <row r="754" ht="15" spans="3:19">
      <c r="C754" s="55" t="s">
        <v>175</v>
      </c>
      <c r="D754" s="55" t="s">
        <v>176</v>
      </c>
      <c r="E754" s="146"/>
      <c r="F754" s="146"/>
      <c r="G754" s="146"/>
      <c r="H754" s="146"/>
      <c r="I754" s="146"/>
      <c r="J754" s="146"/>
      <c r="K754" s="146"/>
      <c r="L754" s="146"/>
      <c r="M754" s="146"/>
      <c r="N754" s="146"/>
      <c r="O754" s="146"/>
      <c r="P754" s="146"/>
      <c r="Q754" s="916">
        <f t="shared" si="144"/>
        <v>0</v>
      </c>
      <c r="R754" s="887"/>
      <c r="S754" s="887"/>
    </row>
    <row r="755" ht="15" spans="3:19">
      <c r="C755" s="55" t="s">
        <v>177</v>
      </c>
      <c r="D755" s="55" t="s">
        <v>178</v>
      </c>
      <c r="E755" s="146"/>
      <c r="F755" s="146"/>
      <c r="G755" s="146"/>
      <c r="H755" s="146"/>
      <c r="I755" s="146"/>
      <c r="J755" s="146"/>
      <c r="K755" s="146"/>
      <c r="L755" s="146"/>
      <c r="M755" s="146"/>
      <c r="N755" s="146"/>
      <c r="O755" s="146"/>
      <c r="P755" s="146"/>
      <c r="Q755" s="916">
        <f t="shared" si="144"/>
        <v>0</v>
      </c>
      <c r="R755" s="887"/>
      <c r="S755" s="887"/>
    </row>
    <row r="756" ht="15" spans="3:19">
      <c r="C756" s="55" t="s">
        <v>179</v>
      </c>
      <c r="D756" s="55" t="s">
        <v>180</v>
      </c>
      <c r="E756" s="146"/>
      <c r="F756" s="146"/>
      <c r="G756" s="146"/>
      <c r="H756" s="146"/>
      <c r="I756" s="146"/>
      <c r="J756" s="146"/>
      <c r="K756" s="146"/>
      <c r="L756" s="146"/>
      <c r="M756" s="146"/>
      <c r="N756" s="146"/>
      <c r="O756" s="146"/>
      <c r="P756" s="146"/>
      <c r="Q756" s="916">
        <f t="shared" si="144"/>
        <v>0</v>
      </c>
      <c r="R756" s="887"/>
      <c r="S756" s="887"/>
    </row>
    <row r="757" ht="15" spans="3:19">
      <c r="C757" s="55" t="s">
        <v>181</v>
      </c>
      <c r="D757" s="55" t="s">
        <v>182</v>
      </c>
      <c r="E757" s="146"/>
      <c r="F757" s="146"/>
      <c r="G757" s="146"/>
      <c r="H757" s="146"/>
      <c r="I757" s="146"/>
      <c r="J757" s="146"/>
      <c r="K757" s="146"/>
      <c r="L757" s="146"/>
      <c r="M757" s="146"/>
      <c r="N757" s="146"/>
      <c r="O757" s="146"/>
      <c r="P757" s="146"/>
      <c r="Q757" s="916">
        <f t="shared" si="144"/>
        <v>0</v>
      </c>
      <c r="R757" s="887"/>
      <c r="S757" s="887"/>
    </row>
    <row r="758" ht="15" spans="3:19">
      <c r="C758" s="55" t="s">
        <v>183</v>
      </c>
      <c r="D758" s="55" t="s">
        <v>184</v>
      </c>
      <c r="E758" s="146"/>
      <c r="F758" s="146"/>
      <c r="G758" s="146"/>
      <c r="H758" s="146"/>
      <c r="I758" s="146"/>
      <c r="J758" s="146"/>
      <c r="K758" s="146"/>
      <c r="L758" s="146"/>
      <c r="M758" s="146"/>
      <c r="N758" s="146"/>
      <c r="O758" s="146"/>
      <c r="P758" s="146"/>
      <c r="Q758" s="916">
        <f t="shared" si="144"/>
        <v>0</v>
      </c>
      <c r="R758" s="887"/>
      <c r="S758" s="887"/>
    </row>
    <row r="759" ht="15" spans="3:19">
      <c r="C759" s="55" t="s">
        <v>185</v>
      </c>
      <c r="D759" s="55" t="s">
        <v>186</v>
      </c>
      <c r="E759" s="146"/>
      <c r="F759" s="146"/>
      <c r="G759" s="146"/>
      <c r="H759" s="146"/>
      <c r="I759" s="146"/>
      <c r="J759" s="146"/>
      <c r="K759" s="146"/>
      <c r="L759" s="146"/>
      <c r="M759" s="146"/>
      <c r="N759" s="146"/>
      <c r="O759" s="146"/>
      <c r="P759" s="146"/>
      <c r="Q759" s="916">
        <f t="shared" si="144"/>
        <v>0</v>
      </c>
      <c r="R759" s="887"/>
      <c r="S759" s="887"/>
    </row>
    <row r="760" ht="15" spans="3:19">
      <c r="C760" s="55" t="s">
        <v>187</v>
      </c>
      <c r="D760" s="55" t="s">
        <v>188</v>
      </c>
      <c r="E760" s="146"/>
      <c r="F760" s="146"/>
      <c r="G760" s="146"/>
      <c r="H760" s="146"/>
      <c r="I760" s="146"/>
      <c r="J760" s="146"/>
      <c r="K760" s="146"/>
      <c r="L760" s="146"/>
      <c r="M760" s="146"/>
      <c r="N760" s="146"/>
      <c r="O760" s="146"/>
      <c r="P760" s="146"/>
      <c r="Q760" s="916">
        <f t="shared" si="144"/>
        <v>0</v>
      </c>
      <c r="R760" s="887"/>
      <c r="S760" s="887"/>
    </row>
    <row r="761" ht="15" spans="3:19">
      <c r="C761" s="55"/>
      <c r="D761" s="55"/>
      <c r="E761" s="146"/>
      <c r="F761" s="146"/>
      <c r="G761" s="146"/>
      <c r="H761" s="146"/>
      <c r="I761" s="146"/>
      <c r="J761" s="146"/>
      <c r="K761" s="146"/>
      <c r="L761" s="146"/>
      <c r="M761" s="146"/>
      <c r="N761" s="146"/>
      <c r="O761" s="146"/>
      <c r="P761" s="146"/>
      <c r="Q761" s="916">
        <f t="shared" si="144"/>
        <v>0</v>
      </c>
      <c r="R761" s="887"/>
      <c r="S761" s="887"/>
    </row>
    <row r="762" ht="15" spans="3:19">
      <c r="C762" s="55"/>
      <c r="D762" s="55"/>
      <c r="E762" s="146"/>
      <c r="F762" s="146"/>
      <c r="G762" s="146"/>
      <c r="H762" s="146"/>
      <c r="I762" s="146"/>
      <c r="J762" s="146"/>
      <c r="K762" s="146"/>
      <c r="L762" s="146"/>
      <c r="M762" s="146"/>
      <c r="N762" s="146"/>
      <c r="O762" s="146"/>
      <c r="P762" s="146"/>
      <c r="Q762" s="916">
        <f t="shared" si="144"/>
        <v>0</v>
      </c>
      <c r="R762" s="887"/>
      <c r="S762" s="887"/>
    </row>
    <row r="763" ht="15" spans="3:19">
      <c r="C763" s="55"/>
      <c r="D763" s="55"/>
      <c r="E763" s="146"/>
      <c r="F763" s="146"/>
      <c r="G763" s="146"/>
      <c r="H763" s="146"/>
      <c r="I763" s="146"/>
      <c r="J763" s="146"/>
      <c r="K763" s="146"/>
      <c r="L763" s="146"/>
      <c r="M763" s="146"/>
      <c r="N763" s="146"/>
      <c r="O763" s="146"/>
      <c r="P763" s="146"/>
      <c r="Q763" s="916">
        <f t="shared" si="144"/>
        <v>0</v>
      </c>
      <c r="R763" s="887"/>
      <c r="S763" s="887"/>
    </row>
    <row r="764" ht="15" spans="3:19">
      <c r="C764" s="55" t="s">
        <v>258</v>
      </c>
      <c r="D764" s="55" t="s">
        <v>258</v>
      </c>
      <c r="E764" s="146"/>
      <c r="F764" s="146"/>
      <c r="G764" s="146"/>
      <c r="H764" s="146"/>
      <c r="I764" s="146"/>
      <c r="J764" s="146"/>
      <c r="K764" s="146"/>
      <c r="L764" s="146"/>
      <c r="M764" s="146"/>
      <c r="N764" s="146"/>
      <c r="O764" s="146"/>
      <c r="P764" s="146"/>
      <c r="Q764" s="916">
        <f t="shared" si="144"/>
        <v>0</v>
      </c>
      <c r="R764" s="887"/>
      <c r="S764" s="887"/>
    </row>
    <row r="765" ht="15" spans="3:19">
      <c r="C765" s="537" t="s">
        <v>189</v>
      </c>
      <c r="D765" s="540"/>
      <c r="E765" s="916">
        <f t="shared" ref="E765:P765" si="145">SUM(E752:E764)</f>
        <v>0</v>
      </c>
      <c r="F765" s="916">
        <f t="shared" si="145"/>
        <v>0</v>
      </c>
      <c r="G765" s="916">
        <f t="shared" si="145"/>
        <v>0</v>
      </c>
      <c r="H765" s="916">
        <f t="shared" si="145"/>
        <v>0</v>
      </c>
      <c r="I765" s="916">
        <f t="shared" si="145"/>
        <v>0</v>
      </c>
      <c r="J765" s="916">
        <f t="shared" si="145"/>
        <v>0</v>
      </c>
      <c r="K765" s="916">
        <f t="shared" si="145"/>
        <v>0</v>
      </c>
      <c r="L765" s="916">
        <f t="shared" si="145"/>
        <v>0</v>
      </c>
      <c r="M765" s="916">
        <f t="shared" si="145"/>
        <v>0</v>
      </c>
      <c r="N765" s="916">
        <f t="shared" si="145"/>
        <v>0</v>
      </c>
      <c r="O765" s="916">
        <f t="shared" si="145"/>
        <v>0</v>
      </c>
      <c r="P765" s="916">
        <f t="shared" si="145"/>
        <v>0</v>
      </c>
      <c r="Q765" s="916">
        <f t="shared" si="144"/>
        <v>0</v>
      </c>
      <c r="R765" s="887"/>
      <c r="S765" s="887"/>
    </row>
    <row r="766" ht="15" spans="3:19">
      <c r="C766" s="44" t="s">
        <v>190</v>
      </c>
      <c r="D766" s="45"/>
      <c r="E766" s="146"/>
      <c r="F766" s="146"/>
      <c r="G766" s="146"/>
      <c r="H766" s="146"/>
      <c r="I766" s="146"/>
      <c r="J766" s="146"/>
      <c r="K766" s="146"/>
      <c r="L766" s="146"/>
      <c r="M766" s="146"/>
      <c r="N766" s="146"/>
      <c r="O766" s="146"/>
      <c r="P766" s="146"/>
      <c r="Q766" s="158"/>
      <c r="R766" s="887"/>
      <c r="S766" s="887"/>
    </row>
    <row r="767" ht="15" spans="3:19">
      <c r="C767" s="55" t="s">
        <v>191</v>
      </c>
      <c r="D767" s="55" t="s">
        <v>192</v>
      </c>
      <c r="E767" s="146"/>
      <c r="F767" s="146"/>
      <c r="G767" s="146"/>
      <c r="H767" s="146"/>
      <c r="I767" s="146"/>
      <c r="J767" s="146"/>
      <c r="K767" s="146"/>
      <c r="L767" s="146"/>
      <c r="M767" s="146"/>
      <c r="N767" s="146"/>
      <c r="O767" s="146"/>
      <c r="P767" s="146"/>
      <c r="Q767" s="916">
        <f t="shared" ref="Q767:Q782" si="146">SUM(E767:P767)</f>
        <v>0</v>
      </c>
      <c r="R767" s="887"/>
      <c r="S767" s="887"/>
    </row>
    <row r="768" ht="15" spans="3:19">
      <c r="C768" s="55" t="s">
        <v>193</v>
      </c>
      <c r="D768" s="55" t="s">
        <v>194</v>
      </c>
      <c r="E768" s="146"/>
      <c r="F768" s="146"/>
      <c r="G768" s="146"/>
      <c r="H768" s="146"/>
      <c r="I768" s="146"/>
      <c r="J768" s="146"/>
      <c r="K768" s="146"/>
      <c r="L768" s="146"/>
      <c r="M768" s="146"/>
      <c r="N768" s="146"/>
      <c r="O768" s="146"/>
      <c r="P768" s="146"/>
      <c r="Q768" s="916">
        <f t="shared" si="146"/>
        <v>0</v>
      </c>
      <c r="R768" s="887"/>
      <c r="S768" s="887"/>
    </row>
    <row r="769" ht="15" spans="3:19">
      <c r="C769" s="55" t="s">
        <v>239</v>
      </c>
      <c r="D769" s="55" t="s">
        <v>196</v>
      </c>
      <c r="E769" s="146"/>
      <c r="F769" s="146"/>
      <c r="G769" s="146"/>
      <c r="H769" s="146"/>
      <c r="I769" s="146"/>
      <c r="J769" s="146"/>
      <c r="K769" s="146"/>
      <c r="L769" s="146"/>
      <c r="M769" s="146"/>
      <c r="N769" s="146"/>
      <c r="O769" s="146"/>
      <c r="P769" s="146"/>
      <c r="Q769" s="916">
        <f t="shared" si="146"/>
        <v>0</v>
      </c>
      <c r="R769" s="887"/>
      <c r="S769" s="887"/>
    </row>
    <row r="770" ht="15" spans="3:19">
      <c r="C770" s="55" t="s">
        <v>197</v>
      </c>
      <c r="D770" s="55" t="s">
        <v>198</v>
      </c>
      <c r="E770" s="146"/>
      <c r="F770" s="146"/>
      <c r="G770" s="146"/>
      <c r="H770" s="146"/>
      <c r="I770" s="146"/>
      <c r="J770" s="146"/>
      <c r="K770" s="146"/>
      <c r="L770" s="146"/>
      <c r="M770" s="146"/>
      <c r="N770" s="146"/>
      <c r="O770" s="146"/>
      <c r="P770" s="146"/>
      <c r="Q770" s="916">
        <f t="shared" si="146"/>
        <v>0</v>
      </c>
      <c r="R770" s="887"/>
      <c r="S770" s="887"/>
    </row>
    <row r="771" ht="15" spans="3:19">
      <c r="C771" s="55" t="s">
        <v>199</v>
      </c>
      <c r="D771" s="55" t="s">
        <v>200</v>
      </c>
      <c r="E771" s="146"/>
      <c r="F771" s="146"/>
      <c r="G771" s="146"/>
      <c r="H771" s="146"/>
      <c r="I771" s="146"/>
      <c r="J771" s="146"/>
      <c r="K771" s="146"/>
      <c r="L771" s="146"/>
      <c r="M771" s="146"/>
      <c r="N771" s="146"/>
      <c r="O771" s="146"/>
      <c r="P771" s="146"/>
      <c r="Q771" s="916">
        <f t="shared" si="146"/>
        <v>0</v>
      </c>
      <c r="R771" s="887"/>
      <c r="S771" s="887"/>
    </row>
    <row r="772" ht="15" spans="3:19">
      <c r="C772" s="55" t="s">
        <v>201</v>
      </c>
      <c r="D772" s="55" t="s">
        <v>202</v>
      </c>
      <c r="E772" s="146"/>
      <c r="F772" s="146"/>
      <c r="G772" s="146"/>
      <c r="H772" s="146"/>
      <c r="I772" s="146"/>
      <c r="J772" s="146"/>
      <c r="K772" s="146"/>
      <c r="L772" s="146"/>
      <c r="M772" s="146"/>
      <c r="N772" s="146"/>
      <c r="O772" s="146"/>
      <c r="P772" s="146"/>
      <c r="Q772" s="916">
        <f t="shared" si="146"/>
        <v>0</v>
      </c>
      <c r="R772" s="887"/>
      <c r="S772" s="887"/>
    </row>
    <row r="773" ht="15" spans="3:19">
      <c r="C773" s="55" t="s">
        <v>203</v>
      </c>
      <c r="D773" s="55" t="s">
        <v>204</v>
      </c>
      <c r="E773" s="146"/>
      <c r="F773" s="146"/>
      <c r="G773" s="146"/>
      <c r="H773" s="146"/>
      <c r="I773" s="146"/>
      <c r="J773" s="146"/>
      <c r="K773" s="146"/>
      <c r="L773" s="146"/>
      <c r="M773" s="146"/>
      <c r="N773" s="146"/>
      <c r="O773" s="146"/>
      <c r="P773" s="146"/>
      <c r="Q773" s="916">
        <f t="shared" si="146"/>
        <v>0</v>
      </c>
      <c r="R773" s="887"/>
      <c r="S773" s="887"/>
    </row>
    <row r="774" ht="15" spans="3:19">
      <c r="C774" s="55" t="s">
        <v>205</v>
      </c>
      <c r="D774" s="55" t="s">
        <v>206</v>
      </c>
      <c r="E774" s="146"/>
      <c r="F774" s="146"/>
      <c r="G774" s="146"/>
      <c r="H774" s="146"/>
      <c r="I774" s="146"/>
      <c r="J774" s="146"/>
      <c r="K774" s="146"/>
      <c r="L774" s="146"/>
      <c r="M774" s="146"/>
      <c r="N774" s="146"/>
      <c r="O774" s="146"/>
      <c r="P774" s="146"/>
      <c r="Q774" s="916">
        <f t="shared" si="146"/>
        <v>0</v>
      </c>
      <c r="R774" s="887"/>
      <c r="S774" s="887"/>
    </row>
    <row r="775" ht="15" spans="3:19">
      <c r="C775" s="55" t="s">
        <v>207</v>
      </c>
      <c r="D775" s="55" t="s">
        <v>186</v>
      </c>
      <c r="E775" s="146"/>
      <c r="F775" s="146"/>
      <c r="G775" s="146"/>
      <c r="H775" s="146"/>
      <c r="I775" s="146"/>
      <c r="J775" s="146"/>
      <c r="K775" s="146"/>
      <c r="L775" s="146"/>
      <c r="M775" s="146"/>
      <c r="N775" s="146"/>
      <c r="O775" s="146"/>
      <c r="P775" s="146"/>
      <c r="Q775" s="916">
        <f t="shared" si="146"/>
        <v>0</v>
      </c>
      <c r="R775" s="887"/>
      <c r="S775" s="887"/>
    </row>
    <row r="776" ht="15" spans="3:19">
      <c r="C776" s="55" t="s">
        <v>208</v>
      </c>
      <c r="D776" s="55" t="s">
        <v>209</v>
      </c>
      <c r="E776" s="146"/>
      <c r="F776" s="146"/>
      <c r="G776" s="146"/>
      <c r="H776" s="146"/>
      <c r="I776" s="146"/>
      <c r="J776" s="146"/>
      <c r="K776" s="146"/>
      <c r="L776" s="146"/>
      <c r="M776" s="146"/>
      <c r="N776" s="146"/>
      <c r="O776" s="146"/>
      <c r="P776" s="146"/>
      <c r="Q776" s="916">
        <f t="shared" si="146"/>
        <v>0</v>
      </c>
      <c r="R776" s="887"/>
      <c r="S776" s="887"/>
    </row>
    <row r="777" ht="15" spans="3:19">
      <c r="C777" s="55" t="s">
        <v>210</v>
      </c>
      <c r="D777" s="55" t="s">
        <v>188</v>
      </c>
      <c r="E777" s="146"/>
      <c r="F777" s="146"/>
      <c r="G777" s="146"/>
      <c r="H777" s="146"/>
      <c r="I777" s="146"/>
      <c r="J777" s="146"/>
      <c r="K777" s="146"/>
      <c r="L777" s="146"/>
      <c r="M777" s="146"/>
      <c r="N777" s="146"/>
      <c r="O777" s="146"/>
      <c r="P777" s="146"/>
      <c r="Q777" s="916">
        <f t="shared" si="146"/>
        <v>0</v>
      </c>
      <c r="R777" s="887"/>
      <c r="S777" s="887"/>
    </row>
    <row r="778" ht="15" spans="3:19">
      <c r="C778" s="55"/>
      <c r="D778" s="55"/>
      <c r="E778" s="146"/>
      <c r="F778" s="146"/>
      <c r="G778" s="146"/>
      <c r="H778" s="146"/>
      <c r="I778" s="146"/>
      <c r="J778" s="146"/>
      <c r="K778" s="146"/>
      <c r="L778" s="146"/>
      <c r="M778" s="146"/>
      <c r="N778" s="146"/>
      <c r="O778" s="146"/>
      <c r="P778" s="146"/>
      <c r="Q778" s="916">
        <f t="shared" si="146"/>
        <v>0</v>
      </c>
      <c r="R778" s="887"/>
      <c r="S778" s="887"/>
    </row>
    <row r="779" ht="15" spans="3:19">
      <c r="C779" s="55"/>
      <c r="D779" s="55"/>
      <c r="E779" s="146"/>
      <c r="F779" s="146"/>
      <c r="G779" s="146"/>
      <c r="H779" s="146"/>
      <c r="I779" s="146"/>
      <c r="J779" s="146"/>
      <c r="K779" s="146"/>
      <c r="L779" s="146"/>
      <c r="M779" s="146"/>
      <c r="N779" s="146"/>
      <c r="O779" s="146"/>
      <c r="P779" s="146"/>
      <c r="Q779" s="916">
        <f t="shared" si="146"/>
        <v>0</v>
      </c>
      <c r="R779" s="887"/>
      <c r="S779" s="887"/>
    </row>
    <row r="780" ht="15" spans="3:19">
      <c r="C780" s="55"/>
      <c r="D780" s="55"/>
      <c r="E780" s="146"/>
      <c r="F780" s="146"/>
      <c r="G780" s="146"/>
      <c r="H780" s="146"/>
      <c r="I780" s="146"/>
      <c r="J780" s="146"/>
      <c r="K780" s="146"/>
      <c r="L780" s="146"/>
      <c r="M780" s="146"/>
      <c r="N780" s="146"/>
      <c r="O780" s="146"/>
      <c r="P780" s="146"/>
      <c r="Q780" s="916">
        <f t="shared" si="146"/>
        <v>0</v>
      </c>
      <c r="R780" s="887"/>
      <c r="S780" s="887"/>
    </row>
    <row r="781" ht="15" spans="3:19">
      <c r="C781" s="55" t="s">
        <v>258</v>
      </c>
      <c r="D781" s="55" t="s">
        <v>258</v>
      </c>
      <c r="E781" s="146"/>
      <c r="F781" s="146"/>
      <c r="G781" s="146"/>
      <c r="H781" s="146"/>
      <c r="I781" s="146"/>
      <c r="J781" s="146"/>
      <c r="K781" s="146"/>
      <c r="L781" s="146"/>
      <c r="M781" s="146"/>
      <c r="N781" s="146"/>
      <c r="O781" s="146"/>
      <c r="P781" s="146"/>
      <c r="Q781" s="916">
        <f t="shared" si="146"/>
        <v>0</v>
      </c>
      <c r="R781" s="887"/>
      <c r="S781" s="887"/>
    </row>
    <row r="782" ht="15" spans="3:19">
      <c r="C782" s="537" t="s">
        <v>211</v>
      </c>
      <c r="D782" s="540"/>
      <c r="E782" s="916">
        <f t="shared" ref="E782:P782" si="147">SUM(E767:E781)</f>
        <v>0</v>
      </c>
      <c r="F782" s="916">
        <f t="shared" si="147"/>
        <v>0</v>
      </c>
      <c r="G782" s="916">
        <f t="shared" si="147"/>
        <v>0</v>
      </c>
      <c r="H782" s="916">
        <f t="shared" si="147"/>
        <v>0</v>
      </c>
      <c r="I782" s="916">
        <f t="shared" si="147"/>
        <v>0</v>
      </c>
      <c r="J782" s="916">
        <f t="shared" si="147"/>
        <v>0</v>
      </c>
      <c r="K782" s="916">
        <f t="shared" si="147"/>
        <v>0</v>
      </c>
      <c r="L782" s="916">
        <f t="shared" si="147"/>
        <v>0</v>
      </c>
      <c r="M782" s="916">
        <f t="shared" si="147"/>
        <v>0</v>
      </c>
      <c r="N782" s="916">
        <f t="shared" si="147"/>
        <v>0</v>
      </c>
      <c r="O782" s="916">
        <f t="shared" si="147"/>
        <v>0</v>
      </c>
      <c r="P782" s="916">
        <f t="shared" si="147"/>
        <v>0</v>
      </c>
      <c r="Q782" s="916">
        <f t="shared" si="146"/>
        <v>0</v>
      </c>
      <c r="R782" s="887"/>
      <c r="S782" s="887"/>
    </row>
    <row r="783" ht="15" spans="3:19">
      <c r="C783" s="44" t="s">
        <v>212</v>
      </c>
      <c r="D783" s="45"/>
      <c r="E783" s="146"/>
      <c r="F783" s="146"/>
      <c r="G783" s="146"/>
      <c r="H783" s="146"/>
      <c r="I783" s="146"/>
      <c r="J783" s="146"/>
      <c r="K783" s="146"/>
      <c r="L783" s="146"/>
      <c r="M783" s="146"/>
      <c r="N783" s="146"/>
      <c r="O783" s="146"/>
      <c r="P783" s="146"/>
      <c r="Q783" s="158"/>
      <c r="R783" s="887"/>
      <c r="S783" s="887"/>
    </row>
    <row r="784" ht="15" spans="3:19">
      <c r="C784" s="55" t="s">
        <v>191</v>
      </c>
      <c r="D784" s="55" t="s">
        <v>192</v>
      </c>
      <c r="E784" s="146"/>
      <c r="F784" s="146"/>
      <c r="G784" s="146"/>
      <c r="H784" s="146"/>
      <c r="I784" s="146"/>
      <c r="J784" s="146"/>
      <c r="K784" s="146"/>
      <c r="L784" s="146"/>
      <c r="M784" s="146"/>
      <c r="N784" s="146"/>
      <c r="O784" s="146"/>
      <c r="P784" s="146"/>
      <c r="Q784" s="916">
        <f t="shared" ref="Q784:Q799" si="148">SUM(E784:P784)</f>
        <v>0</v>
      </c>
      <c r="R784" s="887"/>
      <c r="S784" s="887"/>
    </row>
    <row r="785" ht="15" spans="3:19">
      <c r="C785" s="55" t="s">
        <v>193</v>
      </c>
      <c r="D785" s="55" t="s">
        <v>194</v>
      </c>
      <c r="E785" s="146"/>
      <c r="F785" s="146"/>
      <c r="G785" s="146"/>
      <c r="H785" s="146"/>
      <c r="I785" s="146"/>
      <c r="J785" s="146"/>
      <c r="K785" s="146"/>
      <c r="L785" s="146"/>
      <c r="M785" s="146"/>
      <c r="N785" s="146"/>
      <c r="O785" s="146"/>
      <c r="P785" s="146"/>
      <c r="Q785" s="916">
        <f t="shared" si="148"/>
        <v>0</v>
      </c>
      <c r="R785" s="887"/>
      <c r="S785" s="887"/>
    </row>
    <row r="786" ht="15" spans="3:19">
      <c r="C786" s="55" t="s">
        <v>239</v>
      </c>
      <c r="D786" s="55" t="s">
        <v>196</v>
      </c>
      <c r="E786" s="146"/>
      <c r="F786" s="146"/>
      <c r="G786" s="146"/>
      <c r="H786" s="146"/>
      <c r="I786" s="146"/>
      <c r="J786" s="146"/>
      <c r="K786" s="146"/>
      <c r="L786" s="146"/>
      <c r="M786" s="146"/>
      <c r="N786" s="146"/>
      <c r="O786" s="146"/>
      <c r="P786" s="146"/>
      <c r="Q786" s="916">
        <f t="shared" si="148"/>
        <v>0</v>
      </c>
      <c r="R786" s="887"/>
      <c r="S786" s="887"/>
    </row>
    <row r="787" ht="15" spans="3:19">
      <c r="C787" s="55" t="s">
        <v>197</v>
      </c>
      <c r="D787" s="55" t="s">
        <v>198</v>
      </c>
      <c r="E787" s="146"/>
      <c r="F787" s="146"/>
      <c r="G787" s="146"/>
      <c r="H787" s="146"/>
      <c r="I787" s="146"/>
      <c r="J787" s="146"/>
      <c r="K787" s="146"/>
      <c r="L787" s="146"/>
      <c r="M787" s="146"/>
      <c r="N787" s="146"/>
      <c r="O787" s="146"/>
      <c r="P787" s="146"/>
      <c r="Q787" s="916">
        <f t="shared" si="148"/>
        <v>0</v>
      </c>
      <c r="R787" s="887"/>
      <c r="S787" s="887"/>
    </row>
    <row r="788" ht="15" spans="3:19">
      <c r="C788" s="55" t="s">
        <v>199</v>
      </c>
      <c r="D788" s="55" t="s">
        <v>200</v>
      </c>
      <c r="E788" s="146"/>
      <c r="F788" s="146"/>
      <c r="G788" s="146"/>
      <c r="H788" s="146"/>
      <c r="I788" s="146"/>
      <c r="J788" s="146"/>
      <c r="K788" s="146"/>
      <c r="L788" s="146"/>
      <c r="M788" s="146"/>
      <c r="N788" s="146"/>
      <c r="O788" s="146"/>
      <c r="P788" s="146"/>
      <c r="Q788" s="916">
        <f t="shared" si="148"/>
        <v>0</v>
      </c>
      <c r="R788" s="887"/>
      <c r="S788" s="887"/>
    </row>
    <row r="789" ht="15" spans="3:19">
      <c r="C789" s="55" t="s">
        <v>201</v>
      </c>
      <c r="D789" s="55" t="s">
        <v>202</v>
      </c>
      <c r="E789" s="146"/>
      <c r="F789" s="146"/>
      <c r="G789" s="146"/>
      <c r="H789" s="146"/>
      <c r="I789" s="146"/>
      <c r="J789" s="146"/>
      <c r="K789" s="146"/>
      <c r="L789" s="146"/>
      <c r="M789" s="146"/>
      <c r="N789" s="146"/>
      <c r="O789" s="146"/>
      <c r="P789" s="146"/>
      <c r="Q789" s="916">
        <f t="shared" si="148"/>
        <v>0</v>
      </c>
      <c r="R789" s="887"/>
      <c r="S789" s="887"/>
    </row>
    <row r="790" ht="15" spans="3:19">
      <c r="C790" s="55" t="s">
        <v>203</v>
      </c>
      <c r="D790" s="55" t="s">
        <v>204</v>
      </c>
      <c r="E790" s="146"/>
      <c r="F790" s="146"/>
      <c r="G790" s="146"/>
      <c r="H790" s="146"/>
      <c r="I790" s="146"/>
      <c r="J790" s="146"/>
      <c r="K790" s="146"/>
      <c r="L790" s="146"/>
      <c r="M790" s="146"/>
      <c r="N790" s="146"/>
      <c r="O790" s="146"/>
      <c r="P790" s="146"/>
      <c r="Q790" s="916">
        <f t="shared" si="148"/>
        <v>0</v>
      </c>
      <c r="R790" s="887"/>
      <c r="S790" s="887"/>
    </row>
    <row r="791" ht="15" spans="3:19">
      <c r="C791" s="55" t="s">
        <v>205</v>
      </c>
      <c r="D791" s="55" t="s">
        <v>206</v>
      </c>
      <c r="E791" s="146"/>
      <c r="F791" s="146"/>
      <c r="G791" s="146"/>
      <c r="H791" s="146"/>
      <c r="I791" s="146"/>
      <c r="J791" s="146"/>
      <c r="K791" s="146"/>
      <c r="L791" s="146"/>
      <c r="M791" s="146"/>
      <c r="N791" s="146"/>
      <c r="O791" s="146"/>
      <c r="P791" s="146"/>
      <c r="Q791" s="916">
        <f t="shared" si="148"/>
        <v>0</v>
      </c>
      <c r="R791" s="887"/>
      <c r="S791" s="887"/>
    </row>
    <row r="792" ht="15" spans="3:19">
      <c r="C792" s="55" t="s">
        <v>231</v>
      </c>
      <c r="D792" s="55" t="s">
        <v>186</v>
      </c>
      <c r="E792" s="146"/>
      <c r="F792" s="146"/>
      <c r="G792" s="146"/>
      <c r="H792" s="146"/>
      <c r="I792" s="146"/>
      <c r="J792" s="146"/>
      <c r="K792" s="146"/>
      <c r="L792" s="146"/>
      <c r="M792" s="146"/>
      <c r="N792" s="146"/>
      <c r="O792" s="146"/>
      <c r="P792" s="146"/>
      <c r="Q792" s="916">
        <f t="shared" si="148"/>
        <v>0</v>
      </c>
      <c r="R792" s="887"/>
      <c r="S792" s="887"/>
    </row>
    <row r="793" ht="15" spans="3:19">
      <c r="C793" s="55" t="s">
        <v>208</v>
      </c>
      <c r="D793" s="55" t="s">
        <v>209</v>
      </c>
      <c r="E793" s="146"/>
      <c r="F793" s="146"/>
      <c r="G793" s="146"/>
      <c r="H793" s="146"/>
      <c r="I793" s="146"/>
      <c r="J793" s="146"/>
      <c r="K793" s="146"/>
      <c r="L793" s="146"/>
      <c r="M793" s="146"/>
      <c r="N793" s="146"/>
      <c r="O793" s="146"/>
      <c r="P793" s="146"/>
      <c r="Q793" s="916">
        <f t="shared" si="148"/>
        <v>0</v>
      </c>
      <c r="R793" s="887"/>
      <c r="S793" s="887"/>
    </row>
    <row r="794" ht="15" spans="3:19">
      <c r="C794" s="55" t="s">
        <v>210</v>
      </c>
      <c r="D794" s="55" t="s">
        <v>188</v>
      </c>
      <c r="E794" s="146"/>
      <c r="F794" s="146"/>
      <c r="G794" s="146"/>
      <c r="H794" s="146"/>
      <c r="I794" s="146"/>
      <c r="J794" s="146"/>
      <c r="K794" s="146"/>
      <c r="L794" s="146"/>
      <c r="M794" s="146"/>
      <c r="N794" s="146"/>
      <c r="O794" s="146"/>
      <c r="P794" s="146"/>
      <c r="Q794" s="916">
        <f t="shared" si="148"/>
        <v>0</v>
      </c>
      <c r="R794" s="887"/>
      <c r="S794" s="887"/>
    </row>
    <row r="795" ht="15" spans="3:19">
      <c r="C795" s="55"/>
      <c r="D795" s="55"/>
      <c r="E795" s="146"/>
      <c r="F795" s="146"/>
      <c r="G795" s="146"/>
      <c r="H795" s="146"/>
      <c r="I795" s="146"/>
      <c r="J795" s="146"/>
      <c r="K795" s="146"/>
      <c r="L795" s="146"/>
      <c r="M795" s="146"/>
      <c r="N795" s="146"/>
      <c r="O795" s="146"/>
      <c r="P795" s="146"/>
      <c r="Q795" s="916">
        <f t="shared" si="148"/>
        <v>0</v>
      </c>
      <c r="R795" s="887"/>
      <c r="S795" s="887"/>
    </row>
    <row r="796" ht="15" spans="3:19">
      <c r="C796" s="55"/>
      <c r="D796" s="55"/>
      <c r="E796" s="146"/>
      <c r="F796" s="146"/>
      <c r="G796" s="146"/>
      <c r="H796" s="146"/>
      <c r="I796" s="146"/>
      <c r="J796" s="146"/>
      <c r="K796" s="146"/>
      <c r="L796" s="146"/>
      <c r="M796" s="146"/>
      <c r="N796" s="146"/>
      <c r="O796" s="146"/>
      <c r="P796" s="146"/>
      <c r="Q796" s="916">
        <f t="shared" si="148"/>
        <v>0</v>
      </c>
      <c r="R796" s="887"/>
      <c r="S796" s="887"/>
    </row>
    <row r="797" ht="15" spans="3:19">
      <c r="C797" s="55"/>
      <c r="D797" s="55"/>
      <c r="E797" s="146"/>
      <c r="F797" s="146"/>
      <c r="G797" s="146"/>
      <c r="H797" s="146"/>
      <c r="I797" s="146"/>
      <c r="J797" s="146"/>
      <c r="K797" s="146"/>
      <c r="L797" s="146"/>
      <c r="M797" s="146"/>
      <c r="N797" s="146"/>
      <c r="O797" s="146"/>
      <c r="P797" s="146"/>
      <c r="Q797" s="916">
        <f t="shared" si="148"/>
        <v>0</v>
      </c>
      <c r="R797" s="887"/>
      <c r="S797" s="887"/>
    </row>
    <row r="798" ht="15" spans="3:19">
      <c r="C798" s="55" t="s">
        <v>258</v>
      </c>
      <c r="D798" s="55" t="s">
        <v>258</v>
      </c>
      <c r="E798" s="146"/>
      <c r="F798" s="146"/>
      <c r="G798" s="146"/>
      <c r="H798" s="146"/>
      <c r="I798" s="146"/>
      <c r="J798" s="146"/>
      <c r="K798" s="146"/>
      <c r="L798" s="146"/>
      <c r="M798" s="146"/>
      <c r="N798" s="146"/>
      <c r="O798" s="146"/>
      <c r="P798" s="146"/>
      <c r="Q798" s="916">
        <f t="shared" si="148"/>
        <v>0</v>
      </c>
      <c r="R798" s="887"/>
      <c r="S798" s="887"/>
    </row>
    <row r="799" ht="15" spans="3:19">
      <c r="C799" s="537" t="s">
        <v>211</v>
      </c>
      <c r="D799" s="540"/>
      <c r="E799" s="916">
        <f t="shared" ref="E799:P799" si="149">SUM(E784:E798)</f>
        <v>0</v>
      </c>
      <c r="F799" s="916">
        <f t="shared" si="149"/>
        <v>0</v>
      </c>
      <c r="G799" s="916">
        <f t="shared" si="149"/>
        <v>0</v>
      </c>
      <c r="H799" s="916">
        <f t="shared" si="149"/>
        <v>0</v>
      </c>
      <c r="I799" s="916">
        <f t="shared" si="149"/>
        <v>0</v>
      </c>
      <c r="J799" s="916">
        <f t="shared" si="149"/>
        <v>0</v>
      </c>
      <c r="K799" s="916">
        <f t="shared" si="149"/>
        <v>0</v>
      </c>
      <c r="L799" s="916">
        <f t="shared" si="149"/>
        <v>0</v>
      </c>
      <c r="M799" s="916">
        <f t="shared" si="149"/>
        <v>0</v>
      </c>
      <c r="N799" s="916">
        <f t="shared" si="149"/>
        <v>0</v>
      </c>
      <c r="O799" s="916">
        <f t="shared" si="149"/>
        <v>0</v>
      </c>
      <c r="P799" s="916">
        <f t="shared" si="149"/>
        <v>0</v>
      </c>
      <c r="Q799" s="916">
        <f t="shared" si="148"/>
        <v>0</v>
      </c>
      <c r="R799" s="887"/>
      <c r="S799" s="887"/>
    </row>
    <row r="800" ht="15" spans="3:19">
      <c r="C800" s="44" t="s">
        <v>219</v>
      </c>
      <c r="D800" s="45"/>
      <c r="E800" s="146"/>
      <c r="F800" s="146"/>
      <c r="G800" s="146"/>
      <c r="H800" s="146"/>
      <c r="I800" s="146"/>
      <c r="J800" s="146"/>
      <c r="K800" s="146"/>
      <c r="L800" s="146"/>
      <c r="M800" s="146"/>
      <c r="N800" s="146"/>
      <c r="O800" s="146"/>
      <c r="P800" s="146"/>
      <c r="Q800" s="158"/>
      <c r="R800" s="887"/>
      <c r="S800" s="887"/>
    </row>
    <row r="801" ht="15" spans="3:19">
      <c r="C801" s="55" t="s">
        <v>191</v>
      </c>
      <c r="D801" s="55" t="s">
        <v>192</v>
      </c>
      <c r="E801" s="146"/>
      <c r="F801" s="146"/>
      <c r="G801" s="146"/>
      <c r="H801" s="146"/>
      <c r="I801" s="146"/>
      <c r="J801" s="146"/>
      <c r="K801" s="146"/>
      <c r="L801" s="146"/>
      <c r="M801" s="146"/>
      <c r="N801" s="146"/>
      <c r="O801" s="146"/>
      <c r="P801" s="146"/>
      <c r="Q801" s="916">
        <f t="shared" ref="Q801:Q820" si="150">SUM(E801:P801)</f>
        <v>0</v>
      </c>
      <c r="R801" s="887"/>
      <c r="S801" s="887"/>
    </row>
    <row r="802" ht="15" spans="3:19">
      <c r="C802" s="55" t="s">
        <v>193</v>
      </c>
      <c r="D802" s="55" t="s">
        <v>194</v>
      </c>
      <c r="E802" s="146"/>
      <c r="F802" s="146"/>
      <c r="G802" s="146"/>
      <c r="H802" s="146"/>
      <c r="I802" s="146"/>
      <c r="J802" s="146"/>
      <c r="K802" s="146"/>
      <c r="L802" s="146"/>
      <c r="M802" s="146"/>
      <c r="N802" s="146"/>
      <c r="O802" s="146"/>
      <c r="P802" s="146"/>
      <c r="Q802" s="916">
        <f t="shared" si="150"/>
        <v>0</v>
      </c>
      <c r="R802" s="887"/>
      <c r="S802" s="887"/>
    </row>
    <row r="803" ht="15" spans="3:19">
      <c r="C803" s="55" t="s">
        <v>239</v>
      </c>
      <c r="D803" s="55" t="s">
        <v>196</v>
      </c>
      <c r="E803" s="146"/>
      <c r="F803" s="146"/>
      <c r="G803" s="146"/>
      <c r="H803" s="146"/>
      <c r="I803" s="146"/>
      <c r="J803" s="146"/>
      <c r="K803" s="146"/>
      <c r="L803" s="146"/>
      <c r="M803" s="146"/>
      <c r="N803" s="146"/>
      <c r="O803" s="146"/>
      <c r="P803" s="146"/>
      <c r="Q803" s="916">
        <f t="shared" si="150"/>
        <v>0</v>
      </c>
      <c r="R803" s="887"/>
      <c r="S803" s="887"/>
    </row>
    <row r="804" ht="15" spans="3:19">
      <c r="C804" s="55" t="s">
        <v>197</v>
      </c>
      <c r="D804" s="55" t="s">
        <v>198</v>
      </c>
      <c r="E804" s="146"/>
      <c r="F804" s="146"/>
      <c r="G804" s="146"/>
      <c r="H804" s="146"/>
      <c r="I804" s="146"/>
      <c r="J804" s="146"/>
      <c r="K804" s="146"/>
      <c r="L804" s="146"/>
      <c r="M804" s="146"/>
      <c r="N804" s="146"/>
      <c r="O804" s="146"/>
      <c r="P804" s="146"/>
      <c r="Q804" s="916">
        <f t="shared" si="150"/>
        <v>0</v>
      </c>
      <c r="R804" s="887"/>
      <c r="S804" s="887"/>
    </row>
    <row r="805" ht="15" spans="3:19">
      <c r="C805" s="55" t="s">
        <v>199</v>
      </c>
      <c r="D805" s="55" t="s">
        <v>200</v>
      </c>
      <c r="E805" s="146"/>
      <c r="F805" s="146"/>
      <c r="G805" s="146"/>
      <c r="H805" s="146"/>
      <c r="I805" s="146"/>
      <c r="J805" s="146"/>
      <c r="K805" s="146"/>
      <c r="L805" s="146"/>
      <c r="M805" s="146"/>
      <c r="N805" s="146"/>
      <c r="O805" s="146"/>
      <c r="P805" s="146"/>
      <c r="Q805" s="916">
        <f t="shared" si="150"/>
        <v>0</v>
      </c>
      <c r="R805" s="887"/>
      <c r="S805" s="887"/>
    </row>
    <row r="806" ht="15" spans="3:19">
      <c r="C806" s="55" t="s">
        <v>201</v>
      </c>
      <c r="D806" s="55" t="s">
        <v>240</v>
      </c>
      <c r="E806" s="146"/>
      <c r="F806" s="146"/>
      <c r="G806" s="146"/>
      <c r="H806" s="146"/>
      <c r="I806" s="146"/>
      <c r="J806" s="146"/>
      <c r="K806" s="146"/>
      <c r="L806" s="146"/>
      <c r="M806" s="146"/>
      <c r="N806" s="146"/>
      <c r="O806" s="146"/>
      <c r="P806" s="146"/>
      <c r="Q806" s="916">
        <f t="shared" si="150"/>
        <v>0</v>
      </c>
      <c r="R806" s="887"/>
      <c r="S806" s="887"/>
    </row>
    <row r="807" ht="15" spans="3:19">
      <c r="C807" s="55" t="s">
        <v>203</v>
      </c>
      <c r="D807" s="55" t="s">
        <v>220</v>
      </c>
      <c r="E807" s="146"/>
      <c r="F807" s="146"/>
      <c r="G807" s="146"/>
      <c r="H807" s="146"/>
      <c r="I807" s="146"/>
      <c r="J807" s="146"/>
      <c r="K807" s="146"/>
      <c r="L807" s="146"/>
      <c r="M807" s="146"/>
      <c r="N807" s="146"/>
      <c r="O807" s="146"/>
      <c r="P807" s="146"/>
      <c r="Q807" s="916">
        <f t="shared" si="150"/>
        <v>0</v>
      </c>
      <c r="R807" s="887"/>
      <c r="S807" s="887"/>
    </row>
    <row r="808" ht="15" spans="3:19">
      <c r="C808" s="55" t="s">
        <v>241</v>
      </c>
      <c r="D808" s="55" t="s">
        <v>229</v>
      </c>
      <c r="E808" s="146"/>
      <c r="F808" s="146"/>
      <c r="G808" s="146"/>
      <c r="H808" s="146"/>
      <c r="I808" s="146"/>
      <c r="J808" s="146"/>
      <c r="K808" s="146"/>
      <c r="L808" s="146"/>
      <c r="M808" s="146"/>
      <c r="N808" s="146"/>
      <c r="O808" s="146"/>
      <c r="P808" s="146"/>
      <c r="Q808" s="916">
        <f t="shared" si="150"/>
        <v>0</v>
      </c>
      <c r="R808" s="887"/>
      <c r="S808" s="887"/>
    </row>
    <row r="809" ht="15" spans="3:19">
      <c r="C809" s="55" t="s">
        <v>259</v>
      </c>
      <c r="D809" s="55" t="s">
        <v>243</v>
      </c>
      <c r="E809" s="146"/>
      <c r="F809" s="146"/>
      <c r="G809" s="146"/>
      <c r="H809" s="146"/>
      <c r="I809" s="146"/>
      <c r="J809" s="146"/>
      <c r="K809" s="146"/>
      <c r="L809" s="146"/>
      <c r="M809" s="146"/>
      <c r="N809" s="146"/>
      <c r="O809" s="146"/>
      <c r="P809" s="146"/>
      <c r="Q809" s="916">
        <f t="shared" si="150"/>
        <v>0</v>
      </c>
      <c r="R809" s="887"/>
      <c r="S809" s="887"/>
    </row>
    <row r="810" ht="15" spans="3:19">
      <c r="C810" s="55" t="s">
        <v>205</v>
      </c>
      <c r="D810" s="55" t="s">
        <v>206</v>
      </c>
      <c r="E810" s="146"/>
      <c r="F810" s="146"/>
      <c r="G810" s="146"/>
      <c r="H810" s="146"/>
      <c r="I810" s="146"/>
      <c r="J810" s="146"/>
      <c r="K810" s="146"/>
      <c r="L810" s="146"/>
      <c r="M810" s="146"/>
      <c r="N810" s="146"/>
      <c r="O810" s="146"/>
      <c r="P810" s="146"/>
      <c r="Q810" s="916">
        <f t="shared" si="150"/>
        <v>0</v>
      </c>
      <c r="R810" s="887"/>
      <c r="S810" s="887"/>
    </row>
    <row r="811" ht="15" spans="3:19">
      <c r="C811" s="55" t="s">
        <v>207</v>
      </c>
      <c r="D811" s="55" t="s">
        <v>186</v>
      </c>
      <c r="E811" s="146"/>
      <c r="F811" s="146"/>
      <c r="G811" s="146"/>
      <c r="H811" s="146"/>
      <c r="I811" s="146"/>
      <c r="J811" s="146"/>
      <c r="K811" s="146"/>
      <c r="L811" s="146"/>
      <c r="M811" s="146"/>
      <c r="N811" s="146"/>
      <c r="O811" s="146"/>
      <c r="P811" s="146"/>
      <c r="Q811" s="916">
        <f t="shared" si="150"/>
        <v>0</v>
      </c>
      <c r="R811" s="887"/>
      <c r="S811" s="887"/>
    </row>
    <row r="812" ht="15" spans="3:19">
      <c r="C812" s="55" t="s">
        <v>208</v>
      </c>
      <c r="D812" s="55" t="s">
        <v>209</v>
      </c>
      <c r="E812" s="146"/>
      <c r="F812" s="146"/>
      <c r="G812" s="146"/>
      <c r="H812" s="146"/>
      <c r="I812" s="146"/>
      <c r="J812" s="146"/>
      <c r="K812" s="146"/>
      <c r="L812" s="146"/>
      <c r="M812" s="146"/>
      <c r="N812" s="146"/>
      <c r="O812" s="146"/>
      <c r="P812" s="146"/>
      <c r="Q812" s="916">
        <f t="shared" si="150"/>
        <v>0</v>
      </c>
      <c r="R812" s="887"/>
      <c r="S812" s="887"/>
    </row>
    <row r="813" ht="15" spans="3:19">
      <c r="C813" s="55" t="s">
        <v>210</v>
      </c>
      <c r="D813" s="55" t="s">
        <v>188</v>
      </c>
      <c r="E813" s="146"/>
      <c r="F813" s="146"/>
      <c r="G813" s="146"/>
      <c r="H813" s="146"/>
      <c r="I813" s="146"/>
      <c r="J813" s="146"/>
      <c r="K813" s="146"/>
      <c r="L813" s="146"/>
      <c r="M813" s="146"/>
      <c r="N813" s="146"/>
      <c r="O813" s="146"/>
      <c r="P813" s="146"/>
      <c r="Q813" s="916">
        <f t="shared" si="150"/>
        <v>0</v>
      </c>
      <c r="R813" s="887"/>
      <c r="S813" s="887"/>
    </row>
    <row r="814" ht="15" spans="3:19">
      <c r="C814" s="55"/>
      <c r="D814" s="55"/>
      <c r="E814" s="146"/>
      <c r="F814" s="146"/>
      <c r="G814" s="146"/>
      <c r="H814" s="146"/>
      <c r="I814" s="146"/>
      <c r="J814" s="146"/>
      <c r="K814" s="146"/>
      <c r="L814" s="146"/>
      <c r="M814" s="146"/>
      <c r="N814" s="146"/>
      <c r="O814" s="146"/>
      <c r="P814" s="146"/>
      <c r="Q814" s="916">
        <f t="shared" si="150"/>
        <v>0</v>
      </c>
      <c r="R814" s="887"/>
      <c r="S814" s="887"/>
    </row>
    <row r="815" ht="15" spans="3:19">
      <c r="C815" s="55"/>
      <c r="D815" s="55"/>
      <c r="E815" s="146"/>
      <c r="F815" s="146"/>
      <c r="G815" s="146"/>
      <c r="H815" s="146"/>
      <c r="I815" s="146"/>
      <c r="J815" s="146"/>
      <c r="K815" s="146"/>
      <c r="L815" s="146"/>
      <c r="M815" s="146"/>
      <c r="N815" s="146"/>
      <c r="O815" s="146"/>
      <c r="P815" s="146"/>
      <c r="Q815" s="916">
        <f t="shared" si="150"/>
        <v>0</v>
      </c>
      <c r="R815" s="887"/>
      <c r="S815" s="887"/>
    </row>
    <row r="816" ht="15" spans="3:19">
      <c r="C816" s="55"/>
      <c r="D816" s="55"/>
      <c r="E816" s="146"/>
      <c r="F816" s="146"/>
      <c r="G816" s="146"/>
      <c r="H816" s="146"/>
      <c r="I816" s="146"/>
      <c r="J816" s="146"/>
      <c r="K816" s="146"/>
      <c r="L816" s="146"/>
      <c r="M816" s="146"/>
      <c r="N816" s="146"/>
      <c r="O816" s="146"/>
      <c r="P816" s="146"/>
      <c r="Q816" s="916">
        <f t="shared" si="150"/>
        <v>0</v>
      </c>
      <c r="R816" s="887"/>
      <c r="S816" s="887"/>
    </row>
    <row r="817" ht="15" spans="3:19">
      <c r="C817" s="55" t="s">
        <v>258</v>
      </c>
      <c r="D817" s="55" t="s">
        <v>258</v>
      </c>
      <c r="E817" s="146"/>
      <c r="F817" s="146"/>
      <c r="G817" s="146"/>
      <c r="H817" s="146"/>
      <c r="I817" s="146"/>
      <c r="J817" s="146"/>
      <c r="K817" s="146"/>
      <c r="L817" s="146"/>
      <c r="M817" s="146"/>
      <c r="N817" s="146"/>
      <c r="O817" s="146"/>
      <c r="P817" s="146"/>
      <c r="Q817" s="916">
        <f t="shared" si="150"/>
        <v>0</v>
      </c>
      <c r="R817" s="887"/>
      <c r="S817" s="887"/>
    </row>
    <row r="818" ht="15" spans="3:19">
      <c r="C818" s="537" t="s">
        <v>211</v>
      </c>
      <c r="D818" s="540"/>
      <c r="E818" s="916">
        <f t="shared" ref="E818:P818" si="151">SUM(E801:E817)</f>
        <v>0</v>
      </c>
      <c r="F818" s="916">
        <f t="shared" si="151"/>
        <v>0</v>
      </c>
      <c r="G818" s="916">
        <f t="shared" si="151"/>
        <v>0</v>
      </c>
      <c r="H818" s="916">
        <f t="shared" si="151"/>
        <v>0</v>
      </c>
      <c r="I818" s="916">
        <f t="shared" si="151"/>
        <v>0</v>
      </c>
      <c r="J818" s="916">
        <f t="shared" si="151"/>
        <v>0</v>
      </c>
      <c r="K818" s="916">
        <f t="shared" si="151"/>
        <v>0</v>
      </c>
      <c r="L818" s="916">
        <f t="shared" si="151"/>
        <v>0</v>
      </c>
      <c r="M818" s="916">
        <f t="shared" si="151"/>
        <v>0</v>
      </c>
      <c r="N818" s="916">
        <f t="shared" si="151"/>
        <v>0</v>
      </c>
      <c r="O818" s="916">
        <f t="shared" si="151"/>
        <v>0</v>
      </c>
      <c r="P818" s="916">
        <f t="shared" si="151"/>
        <v>0</v>
      </c>
      <c r="Q818" s="916">
        <f t="shared" si="150"/>
        <v>0</v>
      </c>
      <c r="R818" s="887"/>
      <c r="S818" s="887"/>
    </row>
    <row r="819" ht="15" spans="3:19">
      <c r="C819" s="537" t="s">
        <v>223</v>
      </c>
      <c r="D819" s="540"/>
      <c r="E819" s="916">
        <f t="shared" ref="E819:P819" si="152">E818+E799+E782</f>
        <v>0</v>
      </c>
      <c r="F819" s="916">
        <f t="shared" si="152"/>
        <v>0</v>
      </c>
      <c r="G819" s="916">
        <f t="shared" si="152"/>
        <v>0</v>
      </c>
      <c r="H819" s="916">
        <f t="shared" si="152"/>
        <v>0</v>
      </c>
      <c r="I819" s="916">
        <f t="shared" si="152"/>
        <v>0</v>
      </c>
      <c r="J819" s="916">
        <f t="shared" si="152"/>
        <v>0</v>
      </c>
      <c r="K819" s="916">
        <f t="shared" si="152"/>
        <v>0</v>
      </c>
      <c r="L819" s="916">
        <f t="shared" si="152"/>
        <v>0</v>
      </c>
      <c r="M819" s="916">
        <f t="shared" si="152"/>
        <v>0</v>
      </c>
      <c r="N819" s="916">
        <f t="shared" si="152"/>
        <v>0</v>
      </c>
      <c r="O819" s="916">
        <f t="shared" si="152"/>
        <v>0</v>
      </c>
      <c r="P819" s="916">
        <f t="shared" si="152"/>
        <v>0</v>
      </c>
      <c r="Q819" s="916">
        <f t="shared" si="150"/>
        <v>0</v>
      </c>
      <c r="R819" s="887"/>
      <c r="S819" s="887"/>
    </row>
    <row r="820" ht="15" spans="3:19">
      <c r="C820" s="537" t="s">
        <v>224</v>
      </c>
      <c r="D820" s="540"/>
      <c r="E820" s="916">
        <f t="shared" ref="E820:P820" si="153">E819+E765</f>
        <v>0</v>
      </c>
      <c r="F820" s="916">
        <f t="shared" si="153"/>
        <v>0</v>
      </c>
      <c r="G820" s="916">
        <f t="shared" si="153"/>
        <v>0</v>
      </c>
      <c r="H820" s="916">
        <f t="shared" si="153"/>
        <v>0</v>
      </c>
      <c r="I820" s="916">
        <f t="shared" si="153"/>
        <v>0</v>
      </c>
      <c r="J820" s="916">
        <f t="shared" si="153"/>
        <v>0</v>
      </c>
      <c r="K820" s="916">
        <f t="shared" si="153"/>
        <v>0</v>
      </c>
      <c r="L820" s="916">
        <f t="shared" si="153"/>
        <v>0</v>
      </c>
      <c r="M820" s="916">
        <f t="shared" si="153"/>
        <v>0</v>
      </c>
      <c r="N820" s="916">
        <f t="shared" si="153"/>
        <v>0</v>
      </c>
      <c r="O820" s="916">
        <f t="shared" si="153"/>
        <v>0</v>
      </c>
      <c r="P820" s="916">
        <f t="shared" si="153"/>
        <v>0</v>
      </c>
      <c r="Q820" s="916">
        <f t="shared" si="150"/>
        <v>0</v>
      </c>
      <c r="R820" s="887"/>
      <c r="S820" s="887"/>
    </row>
    <row r="821" spans="5:19">
      <c r="E821" s="887"/>
      <c r="F821" s="887"/>
      <c r="G821" s="887"/>
      <c r="H821" s="887"/>
      <c r="I821" s="887"/>
      <c r="J821" s="887"/>
      <c r="K821" s="887"/>
      <c r="L821" s="887"/>
      <c r="M821" s="887"/>
      <c r="N821" s="887"/>
      <c r="O821" s="887"/>
      <c r="P821" s="887"/>
      <c r="Q821" s="887"/>
      <c r="R821" s="887"/>
      <c r="S821" s="887"/>
    </row>
    <row r="822" ht="15" spans="4:19">
      <c r="D822" s="11"/>
      <c r="E822" s="919" t="s">
        <v>225</v>
      </c>
      <c r="F822" s="887"/>
      <c r="G822" s="887"/>
      <c r="H822" s="887"/>
      <c r="I822" s="887"/>
      <c r="J822" s="887"/>
      <c r="K822" s="887"/>
      <c r="L822" s="887"/>
      <c r="M822" s="887"/>
      <c r="N822" s="887"/>
      <c r="O822" s="887"/>
      <c r="P822" s="887"/>
      <c r="Q822" s="887"/>
      <c r="R822" s="887"/>
      <c r="S822" s="887"/>
    </row>
    <row r="823" spans="4:19">
      <c r="D823" s="13"/>
      <c r="E823" s="219">
        <v>1</v>
      </c>
      <c r="F823" s="887" t="s">
        <v>226</v>
      </c>
      <c r="G823" s="887"/>
      <c r="H823" s="887"/>
      <c r="I823" s="887"/>
      <c r="J823" s="887"/>
      <c r="K823" s="887"/>
      <c r="L823" s="887"/>
      <c r="M823" s="887"/>
      <c r="N823" s="887"/>
      <c r="O823" s="887"/>
      <c r="P823" s="887"/>
      <c r="Q823" s="887"/>
      <c r="R823" s="887"/>
      <c r="S823" s="887"/>
    </row>
    <row r="824" spans="5:19">
      <c r="E824" s="219">
        <f>E823+1</f>
        <v>2</v>
      </c>
      <c r="F824" s="887" t="s">
        <v>233</v>
      </c>
      <c r="G824" s="887"/>
      <c r="H824" s="887"/>
      <c r="I824" s="887"/>
      <c r="J824" s="887"/>
      <c r="K824" s="887"/>
      <c r="L824" s="887"/>
      <c r="M824" s="887"/>
      <c r="N824" s="887"/>
      <c r="O824" s="887"/>
      <c r="P824" s="887"/>
      <c r="Q824" s="887"/>
      <c r="R824" s="887"/>
      <c r="S824" s="887"/>
    </row>
    <row r="825" spans="5:5">
      <c r="E825" s="13"/>
    </row>
  </sheetData>
  <mergeCells count="137">
    <mergeCell ref="H5:J5"/>
    <mergeCell ref="K5:N5"/>
    <mergeCell ref="O5:S5"/>
    <mergeCell ref="C8:D8"/>
    <mergeCell ref="C22:D22"/>
    <mergeCell ref="C23:D23"/>
    <mergeCell ref="C39:D39"/>
    <mergeCell ref="C40:D40"/>
    <mergeCell ref="C57:D57"/>
    <mergeCell ref="C58:D58"/>
    <mergeCell ref="C76:D76"/>
    <mergeCell ref="C77:D77"/>
    <mergeCell ref="C78:D78"/>
    <mergeCell ref="E83:Q83"/>
    <mergeCell ref="C85:D85"/>
    <mergeCell ref="C99:D99"/>
    <mergeCell ref="C100:D100"/>
    <mergeCell ref="C116:D116"/>
    <mergeCell ref="C117:D117"/>
    <mergeCell ref="C133:D133"/>
    <mergeCell ref="C134:D134"/>
    <mergeCell ref="C152:D152"/>
    <mergeCell ref="C153:D153"/>
    <mergeCell ref="C154:D154"/>
    <mergeCell ref="E157:Q157"/>
    <mergeCell ref="C159:D159"/>
    <mergeCell ref="C173:D173"/>
    <mergeCell ref="C174:D174"/>
    <mergeCell ref="C190:D190"/>
    <mergeCell ref="C191:D191"/>
    <mergeCell ref="C207:D207"/>
    <mergeCell ref="C208:D208"/>
    <mergeCell ref="C225:D225"/>
    <mergeCell ref="C226:D226"/>
    <mergeCell ref="C227:D227"/>
    <mergeCell ref="E230:Q230"/>
    <mergeCell ref="C232:D232"/>
    <mergeCell ref="C246:D246"/>
    <mergeCell ref="C247:D247"/>
    <mergeCell ref="C263:D263"/>
    <mergeCell ref="C264:D264"/>
    <mergeCell ref="C280:D280"/>
    <mergeCell ref="C281:D281"/>
    <mergeCell ref="C299:D299"/>
    <mergeCell ref="C300:D300"/>
    <mergeCell ref="C301:D301"/>
    <mergeCell ref="E303:Q303"/>
    <mergeCell ref="C305:D305"/>
    <mergeCell ref="C319:D319"/>
    <mergeCell ref="C320:D320"/>
    <mergeCell ref="C336:D336"/>
    <mergeCell ref="C337:D337"/>
    <mergeCell ref="C354:D354"/>
    <mergeCell ref="C355:D355"/>
    <mergeCell ref="C373:D373"/>
    <mergeCell ref="C374:D374"/>
    <mergeCell ref="C375:D375"/>
    <mergeCell ref="E378:Q378"/>
    <mergeCell ref="C381:D381"/>
    <mergeCell ref="C395:D395"/>
    <mergeCell ref="C396:D396"/>
    <mergeCell ref="C412:D412"/>
    <mergeCell ref="C413:D413"/>
    <mergeCell ref="C429:D429"/>
    <mergeCell ref="C430:D430"/>
    <mergeCell ref="C448:D448"/>
    <mergeCell ref="C449:D449"/>
    <mergeCell ref="C450:D450"/>
    <mergeCell ref="E453:Q453"/>
    <mergeCell ref="C455:D455"/>
    <mergeCell ref="C469:D469"/>
    <mergeCell ref="C470:D470"/>
    <mergeCell ref="C486:D486"/>
    <mergeCell ref="C487:D487"/>
    <mergeCell ref="C503:D503"/>
    <mergeCell ref="C504:D504"/>
    <mergeCell ref="C522:D522"/>
    <mergeCell ref="C523:D523"/>
    <mergeCell ref="C524:D524"/>
    <mergeCell ref="E527:Q527"/>
    <mergeCell ref="C529:D529"/>
    <mergeCell ref="C543:D543"/>
    <mergeCell ref="C544:D544"/>
    <mergeCell ref="C560:D560"/>
    <mergeCell ref="C561:D561"/>
    <mergeCell ref="C577:D577"/>
    <mergeCell ref="C578:D578"/>
    <mergeCell ref="C596:D596"/>
    <mergeCell ref="C597:D597"/>
    <mergeCell ref="C598:D598"/>
    <mergeCell ref="E601:Q601"/>
    <mergeCell ref="C603:D603"/>
    <mergeCell ref="C617:D617"/>
    <mergeCell ref="C618:D618"/>
    <mergeCell ref="C634:D634"/>
    <mergeCell ref="C635:D635"/>
    <mergeCell ref="C651:D651"/>
    <mergeCell ref="C652:D652"/>
    <mergeCell ref="C670:D670"/>
    <mergeCell ref="C671:D671"/>
    <mergeCell ref="C672:D672"/>
    <mergeCell ref="E675:Q675"/>
    <mergeCell ref="C677:D677"/>
    <mergeCell ref="C691:D691"/>
    <mergeCell ref="C692:D692"/>
    <mergeCell ref="C708:D708"/>
    <mergeCell ref="C709:D709"/>
    <mergeCell ref="C725:D725"/>
    <mergeCell ref="C726:D726"/>
    <mergeCell ref="C744:D744"/>
    <mergeCell ref="C745:D745"/>
    <mergeCell ref="C746:D746"/>
    <mergeCell ref="E749:Q749"/>
    <mergeCell ref="C751:D751"/>
    <mergeCell ref="C765:D765"/>
    <mergeCell ref="C766:D766"/>
    <mergeCell ref="C782:D782"/>
    <mergeCell ref="C783:D783"/>
    <mergeCell ref="C799:D799"/>
    <mergeCell ref="C800:D800"/>
    <mergeCell ref="C818:D818"/>
    <mergeCell ref="C819:D819"/>
    <mergeCell ref="C820:D820"/>
    <mergeCell ref="E5:E6"/>
    <mergeCell ref="F5:F6"/>
    <mergeCell ref="G5:G6"/>
    <mergeCell ref="C5:D7"/>
    <mergeCell ref="C83:D84"/>
    <mergeCell ref="C157:D158"/>
    <mergeCell ref="C230:D231"/>
    <mergeCell ref="C303:D304"/>
    <mergeCell ref="C453:D454"/>
    <mergeCell ref="C378:D380"/>
    <mergeCell ref="C601:D602"/>
    <mergeCell ref="C527:D528"/>
    <mergeCell ref="C749:D750"/>
    <mergeCell ref="C675:D676"/>
  </mergeCells>
  <pageMargins left="0.75" right="0.75" top="1" bottom="1" header="0.5" footer="0.5"/>
  <pageSetup paperSize="9" scale="10" orientation="landscape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  <pageSetUpPr fitToPage="1"/>
  </sheetPr>
  <dimension ref="A1:Q36"/>
  <sheetViews>
    <sheetView showGridLines="0" view="pageBreakPreview" zoomScale="80" zoomScaleNormal="67" workbookViewId="0">
      <selection activeCell="S15" sqref="S15"/>
    </sheetView>
  </sheetViews>
  <sheetFormatPr defaultColWidth="9.28571428571429" defaultRowHeight="14.25"/>
  <cols>
    <col min="1" max="1" width="9.28571428571429" style="12"/>
    <col min="2" max="2" width="7.28571428571429" style="12" customWidth="1"/>
    <col min="3" max="3" width="32.2857142857143" style="12" customWidth="1"/>
    <col min="4" max="4" width="14.4285714285714" style="12" customWidth="1"/>
    <col min="5" max="7" width="14.7142857142857" style="12" hidden="1" customWidth="1"/>
    <col min="8" max="9" width="12.2857142857143" style="12" hidden="1" customWidth="1"/>
    <col min="10" max="10" width="11.7142857142857" style="12" hidden="1" customWidth="1"/>
    <col min="11" max="11" width="12.2857142857143" style="12" hidden="1" customWidth="1"/>
    <col min="12" max="13" width="12.2857142857143" style="12" customWidth="1"/>
    <col min="14" max="14" width="13" style="12" hidden="1" customWidth="1"/>
    <col min="15" max="15" width="13.4285714285714" style="12" hidden="1" customWidth="1"/>
    <col min="16" max="16" width="12.7142857142857" style="12" hidden="1" customWidth="1"/>
    <col min="17" max="16384" width="9.28571428571429" style="12"/>
  </cols>
  <sheetData>
    <row r="1" ht="15" spans="3:12">
      <c r="C1" s="34"/>
      <c r="D1" s="34"/>
      <c r="E1" s="34"/>
      <c r="F1" s="34"/>
      <c r="G1" s="34"/>
      <c r="I1" s="34"/>
      <c r="J1" s="34"/>
      <c r="K1" s="2"/>
      <c r="L1" s="34"/>
    </row>
    <row r="2" ht="15" spans="2:12"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ht="15" spans="2:12">
      <c r="B3" s="14" t="s">
        <v>759</v>
      </c>
      <c r="C3" s="3"/>
      <c r="D3" s="3"/>
      <c r="E3" s="3"/>
      <c r="F3" s="3"/>
      <c r="G3" s="3"/>
      <c r="H3" s="3"/>
      <c r="I3" s="3"/>
      <c r="J3" s="3"/>
      <c r="K3" s="3"/>
      <c r="L3" s="3"/>
    </row>
    <row r="4" ht="15" spans="13:16">
      <c r="M4" s="117" t="s">
        <v>851</v>
      </c>
      <c r="P4" s="33" t="s">
        <v>109</v>
      </c>
    </row>
    <row r="5" ht="15" spans="2:17">
      <c r="B5" s="175" t="s">
        <v>3</v>
      </c>
      <c r="C5" s="175" t="s">
        <v>110</v>
      </c>
      <c r="D5" s="513" t="s">
        <v>111</v>
      </c>
      <c r="E5" s="306" t="s">
        <v>112</v>
      </c>
      <c r="F5" s="307"/>
      <c r="G5" s="308"/>
      <c r="H5" s="306" t="s">
        <v>760</v>
      </c>
      <c r="I5" s="307"/>
      <c r="J5" s="307"/>
      <c r="K5" s="307"/>
      <c r="L5" s="135" t="s">
        <v>114</v>
      </c>
      <c r="M5" s="135"/>
      <c r="N5" s="135"/>
      <c r="O5" s="135"/>
      <c r="P5" s="135"/>
      <c r="Q5" s="339"/>
    </row>
    <row r="6" ht="30" spans="2:16">
      <c r="B6" s="175"/>
      <c r="C6" s="175"/>
      <c r="D6" s="514"/>
      <c r="E6" s="5" t="s">
        <v>116</v>
      </c>
      <c r="F6" s="5" t="s">
        <v>237</v>
      </c>
      <c r="G6" s="5" t="s">
        <v>118</v>
      </c>
      <c r="H6" s="5" t="s">
        <v>116</v>
      </c>
      <c r="I6" s="5" t="s">
        <v>119</v>
      </c>
      <c r="J6" s="5" t="s">
        <v>120</v>
      </c>
      <c r="K6" s="5" t="s">
        <v>238</v>
      </c>
      <c r="L6" s="5" t="s">
        <v>514</v>
      </c>
      <c r="M6" s="5" t="s">
        <v>515</v>
      </c>
      <c r="N6" s="5" t="s">
        <v>516</v>
      </c>
      <c r="O6" s="5" t="s">
        <v>517</v>
      </c>
      <c r="P6" s="5" t="s">
        <v>518</v>
      </c>
    </row>
    <row r="7" ht="15" spans="2:16">
      <c r="B7" s="175"/>
      <c r="C7" s="175"/>
      <c r="D7" s="515"/>
      <c r="E7" s="5" t="s">
        <v>127</v>
      </c>
      <c r="F7" s="5" t="s">
        <v>128</v>
      </c>
      <c r="G7" s="5" t="s">
        <v>129</v>
      </c>
      <c r="H7" s="5" t="s">
        <v>127</v>
      </c>
      <c r="I7" s="5" t="s">
        <v>130</v>
      </c>
      <c r="J7" s="5" t="s">
        <v>131</v>
      </c>
      <c r="K7" s="5" t="s">
        <v>131</v>
      </c>
      <c r="L7" s="5" t="s">
        <v>132</v>
      </c>
      <c r="M7" s="5" t="s">
        <v>132</v>
      </c>
      <c r="N7" s="5" t="s">
        <v>132</v>
      </c>
      <c r="O7" s="5" t="s">
        <v>132</v>
      </c>
      <c r="P7" s="5" t="s">
        <v>132</v>
      </c>
    </row>
    <row r="8" ht="15" spans="2:16">
      <c r="B8" s="100">
        <v>1</v>
      </c>
      <c r="C8" s="334" t="s">
        <v>558</v>
      </c>
      <c r="D8" s="334" t="s">
        <v>41</v>
      </c>
      <c r="E8" s="334"/>
      <c r="F8" s="350">
        <f>F18+F28</f>
        <v>5761.826</v>
      </c>
      <c r="G8" s="516">
        <f>F8</f>
        <v>5761.826</v>
      </c>
      <c r="H8" s="345"/>
      <c r="I8" s="350">
        <f t="shared" ref="I8:P10" si="0">I18+I28</f>
        <v>0</v>
      </c>
      <c r="J8" s="350">
        <f t="shared" si="0"/>
        <v>0</v>
      </c>
      <c r="K8" s="361">
        <f t="shared" si="0"/>
        <v>5162.849</v>
      </c>
      <c r="L8" s="524">
        <f>'[59]O&amp;M Projections New Methodology'!J5</f>
        <v>3572.61428087846</v>
      </c>
      <c r="M8" s="524">
        <f>'[59]O&amp;M Projections New Methodology'!K5</f>
        <v>3779.46864774132</v>
      </c>
      <c r="N8" s="361">
        <f t="shared" si="0"/>
        <v>4786.99130569</v>
      </c>
      <c r="O8" s="361">
        <f t="shared" si="0"/>
        <v>5131.6506265091</v>
      </c>
      <c r="P8" s="361">
        <f t="shared" si="0"/>
        <v>5501.2016941392</v>
      </c>
    </row>
    <row r="9" ht="15" spans="2:16">
      <c r="B9" s="100">
        <f>B8+1</f>
        <v>2</v>
      </c>
      <c r="C9" s="342" t="s">
        <v>559</v>
      </c>
      <c r="D9" s="342" t="s">
        <v>43</v>
      </c>
      <c r="E9" s="342"/>
      <c r="F9" s="350">
        <f>F19+F29</f>
        <v>169.95452551</v>
      </c>
      <c r="G9" s="516">
        <f t="shared" ref="G9:G10" si="1">F9</f>
        <v>169.95452551</v>
      </c>
      <c r="H9" s="345"/>
      <c r="I9" s="350">
        <f t="shared" si="0"/>
        <v>0</v>
      </c>
      <c r="J9" s="350">
        <f t="shared" si="0"/>
        <v>0</v>
      </c>
      <c r="K9" s="361">
        <f t="shared" si="0"/>
        <v>170.08</v>
      </c>
      <c r="L9" s="524">
        <f>'[59]O&amp;M Projections New Methodology'!J6</f>
        <v>217.64</v>
      </c>
      <c r="M9" s="524">
        <f>'[59]O&amp;M Projections New Methodology'!K6</f>
        <v>228.369652</v>
      </c>
      <c r="N9" s="361">
        <f ca="1" t="shared" si="0"/>
        <v>239.6282758436</v>
      </c>
      <c r="O9" s="361">
        <f ca="1" t="shared" si="0"/>
        <v>251.441949842689</v>
      </c>
      <c r="P9" s="361">
        <f ca="1" t="shared" si="0"/>
        <v>263.838037969934</v>
      </c>
    </row>
    <row r="10" ht="15" spans="2:16">
      <c r="B10" s="100">
        <f>B9+1</f>
        <v>3</v>
      </c>
      <c r="C10" s="334" t="s">
        <v>560</v>
      </c>
      <c r="D10" s="334" t="s">
        <v>45</v>
      </c>
      <c r="E10" s="334"/>
      <c r="F10" s="350">
        <f>F20+F30</f>
        <v>193.93</v>
      </c>
      <c r="G10" s="516">
        <f t="shared" si="1"/>
        <v>193.93</v>
      </c>
      <c r="H10" s="345"/>
      <c r="I10" s="350">
        <f t="shared" si="0"/>
        <v>0</v>
      </c>
      <c r="J10" s="350">
        <f t="shared" si="0"/>
        <v>0</v>
      </c>
      <c r="K10" s="361">
        <f t="shared" si="0"/>
        <v>242.44</v>
      </c>
      <c r="L10" s="524">
        <f>'[59]O&amp;M Projections New Methodology'!J7</f>
        <v>214.032735921987</v>
      </c>
      <c r="M10" s="524">
        <f>'[59]O&amp;M Projections New Methodology'!K7</f>
        <v>239.529268641909</v>
      </c>
      <c r="N10" s="361">
        <f t="shared" si="0"/>
        <v>248.434107644449</v>
      </c>
      <c r="O10" s="361">
        <f t="shared" si="0"/>
        <v>280.897297615883</v>
      </c>
      <c r="P10" s="361">
        <f t="shared" si="0"/>
        <v>318.420602122948</v>
      </c>
    </row>
    <row r="11" ht="15" spans="2:16">
      <c r="B11" s="100">
        <f>B10+1</f>
        <v>4</v>
      </c>
      <c r="C11" s="334" t="s">
        <v>561</v>
      </c>
      <c r="D11" s="334"/>
      <c r="E11" s="334"/>
      <c r="F11" s="347">
        <f>SUM(F8:F10)</f>
        <v>6125.71052551</v>
      </c>
      <c r="G11" s="517">
        <f>F11-E11</f>
        <v>6125.71052551</v>
      </c>
      <c r="H11" s="345"/>
      <c r="I11" s="517">
        <f t="shared" ref="I11:P11" si="2">SUM(I8:I10)</f>
        <v>0</v>
      </c>
      <c r="J11" s="517">
        <f t="shared" si="2"/>
        <v>0</v>
      </c>
      <c r="K11" s="525">
        <f t="shared" si="2"/>
        <v>5575.369</v>
      </c>
      <c r="L11" s="526">
        <f t="shared" si="2"/>
        <v>4004.28701680045</v>
      </c>
      <c r="M11" s="526">
        <f t="shared" si="2"/>
        <v>4247.36756838323</v>
      </c>
      <c r="N11" s="525">
        <f ca="1" t="shared" si="2"/>
        <v>5275.05368917805</v>
      </c>
      <c r="O11" s="525">
        <f ca="1" t="shared" si="2"/>
        <v>5663.98987396767</v>
      </c>
      <c r="P11" s="525">
        <f ca="1" t="shared" si="2"/>
        <v>6083.46033423208</v>
      </c>
    </row>
    <row r="12" ht="15" spans="2:16">
      <c r="B12" s="13"/>
      <c r="C12" s="518"/>
      <c r="D12" s="518"/>
      <c r="E12" s="518"/>
      <c r="F12" s="519"/>
      <c r="G12" s="520"/>
      <c r="H12" s="521"/>
      <c r="I12" s="520"/>
      <c r="J12" s="520"/>
      <c r="K12" s="520"/>
      <c r="L12" s="519"/>
      <c r="M12" s="519"/>
      <c r="N12" s="519"/>
      <c r="O12" s="519"/>
      <c r="P12" s="519"/>
    </row>
    <row r="13" ht="15" spans="2:12">
      <c r="B13" s="14" t="s">
        <v>761</v>
      </c>
      <c r="C13" s="3"/>
      <c r="D13" s="3"/>
      <c r="E13" s="3"/>
      <c r="F13" s="3"/>
      <c r="G13" s="3"/>
      <c r="H13" s="3"/>
      <c r="I13" s="3"/>
      <c r="J13" s="3"/>
      <c r="K13" s="3"/>
      <c r="L13" s="3"/>
    </row>
    <row r="14" ht="15" spans="13:16">
      <c r="M14" s="117" t="s">
        <v>851</v>
      </c>
      <c r="P14" s="33" t="s">
        <v>109</v>
      </c>
    </row>
    <row r="15" ht="13.9" customHeight="1" spans="2:17">
      <c r="B15" s="175" t="s">
        <v>3</v>
      </c>
      <c r="C15" s="175" t="s">
        <v>110</v>
      </c>
      <c r="D15" s="513" t="s">
        <v>111</v>
      </c>
      <c r="E15" s="306" t="s">
        <v>112</v>
      </c>
      <c r="F15" s="307"/>
      <c r="G15" s="308"/>
      <c r="H15" s="306" t="s">
        <v>760</v>
      </c>
      <c r="I15" s="307"/>
      <c r="J15" s="307"/>
      <c r="K15" s="307"/>
      <c r="L15" s="135" t="s">
        <v>114</v>
      </c>
      <c r="M15" s="135"/>
      <c r="N15" s="135"/>
      <c r="O15" s="135"/>
      <c r="P15" s="135"/>
      <c r="Q15" s="339"/>
    </row>
    <row r="16" ht="30" spans="2:16">
      <c r="B16" s="175"/>
      <c r="C16" s="175"/>
      <c r="D16" s="514"/>
      <c r="E16" s="5" t="s">
        <v>116</v>
      </c>
      <c r="F16" s="5" t="s">
        <v>237</v>
      </c>
      <c r="G16" s="5" t="s">
        <v>118</v>
      </c>
      <c r="H16" s="5" t="s">
        <v>116</v>
      </c>
      <c r="I16" s="5" t="s">
        <v>119</v>
      </c>
      <c r="J16" s="5" t="s">
        <v>120</v>
      </c>
      <c r="K16" s="5" t="s">
        <v>238</v>
      </c>
      <c r="L16" s="5" t="s">
        <v>514</v>
      </c>
      <c r="M16" s="5" t="s">
        <v>515</v>
      </c>
      <c r="N16" s="5" t="s">
        <v>516</v>
      </c>
      <c r="O16" s="5" t="s">
        <v>517</v>
      </c>
      <c r="P16" s="5" t="s">
        <v>518</v>
      </c>
    </row>
    <row r="17" ht="15" spans="2:16">
      <c r="B17" s="175"/>
      <c r="C17" s="175"/>
      <c r="D17" s="515"/>
      <c r="E17" s="5" t="s">
        <v>127</v>
      </c>
      <c r="F17" s="5" t="s">
        <v>128</v>
      </c>
      <c r="G17" s="5" t="s">
        <v>129</v>
      </c>
      <c r="H17" s="5" t="s">
        <v>127</v>
      </c>
      <c r="I17" s="5" t="s">
        <v>130</v>
      </c>
      <c r="J17" s="5" t="s">
        <v>131</v>
      </c>
      <c r="K17" s="5" t="s">
        <v>131</v>
      </c>
      <c r="L17" s="5" t="s">
        <v>132</v>
      </c>
      <c r="M17" s="5" t="s">
        <v>132</v>
      </c>
      <c r="N17" s="5" t="s">
        <v>132</v>
      </c>
      <c r="O17" s="5" t="s">
        <v>132</v>
      </c>
      <c r="P17" s="5" t="s">
        <v>132</v>
      </c>
    </row>
    <row r="18" ht="15" spans="2:16">
      <c r="B18" s="100">
        <v>1</v>
      </c>
      <c r="C18" s="334" t="s">
        <v>558</v>
      </c>
      <c r="D18" s="334" t="s">
        <v>41</v>
      </c>
      <c r="E18" s="334"/>
      <c r="F18" s="350">
        <f>F15.1!G66</f>
        <v>5292.306</v>
      </c>
      <c r="G18" s="516">
        <f>F18</f>
        <v>5292.306</v>
      </c>
      <c r="H18" s="345"/>
      <c r="I18" s="350">
        <f>F15.1!H66</f>
        <v>0</v>
      </c>
      <c r="J18" s="350">
        <f>F15.1!I66</f>
        <v>0</v>
      </c>
      <c r="K18" s="361">
        <f>F15.1!J66</f>
        <v>4693.329</v>
      </c>
      <c r="L18" s="524">
        <f>90%*L8</f>
        <v>3215.35285279061</v>
      </c>
      <c r="M18" s="524">
        <f>90%*M8</f>
        <v>3401.52178296719</v>
      </c>
      <c r="N18" s="361">
        <f>F15.1!M66</f>
        <v>4308.292175121</v>
      </c>
      <c r="O18" s="361">
        <f>F15.1!N66</f>
        <v>4618.48556385819</v>
      </c>
      <c r="P18" s="361">
        <f>F15.1!O66</f>
        <v>4951.08152472528</v>
      </c>
    </row>
    <row r="19" ht="15" spans="2:16">
      <c r="B19" s="100">
        <f>B18+1</f>
        <v>2</v>
      </c>
      <c r="C19" s="342" t="s">
        <v>559</v>
      </c>
      <c r="D19" s="342" t="s">
        <v>43</v>
      </c>
      <c r="E19" s="342"/>
      <c r="F19" s="350">
        <f>F15.2!G75</f>
        <v>154.089</v>
      </c>
      <c r="G19" s="516">
        <f t="shared" ref="G19:G20" si="3">F19</f>
        <v>154.089</v>
      </c>
      <c r="H19" s="345"/>
      <c r="I19" s="350">
        <f>F15.2!H75</f>
        <v>0</v>
      </c>
      <c r="J19" s="350">
        <f>F15.2!I75</f>
        <v>0</v>
      </c>
      <c r="K19" s="361">
        <f>F15.2!J75</f>
        <v>153.072</v>
      </c>
      <c r="L19" s="524">
        <f t="shared" ref="L19:M20" si="4">90%*L9</f>
        <v>195.876</v>
      </c>
      <c r="M19" s="524">
        <f t="shared" si="4"/>
        <v>205.5326868</v>
      </c>
      <c r="N19" s="361">
        <f ca="1">F15.2!M75</f>
        <v>215.66544825924</v>
      </c>
      <c r="O19" s="361">
        <f ca="1">F15.2!N75</f>
        <v>226.29775485842</v>
      </c>
      <c r="P19" s="361">
        <f ca="1">F15.2!O75</f>
        <v>237.454234172941</v>
      </c>
    </row>
    <row r="20" ht="15" spans="2:16">
      <c r="B20" s="100">
        <f>B19+1</f>
        <v>3</v>
      </c>
      <c r="C20" s="334" t="s">
        <v>560</v>
      </c>
      <c r="D20" s="334" t="s">
        <v>45</v>
      </c>
      <c r="E20" s="334"/>
      <c r="F20" s="350">
        <f>F15.3!G40</f>
        <v>174.537</v>
      </c>
      <c r="G20" s="516">
        <f t="shared" si="3"/>
        <v>174.537</v>
      </c>
      <c r="H20" s="345"/>
      <c r="I20" s="350">
        <f>F15.3!H40</f>
        <v>0</v>
      </c>
      <c r="J20" s="350">
        <f>F15.3!I40</f>
        <v>0</v>
      </c>
      <c r="K20" s="361">
        <f>F15.3!J40</f>
        <v>218.196</v>
      </c>
      <c r="L20" s="524">
        <f t="shared" si="4"/>
        <v>192.629462329788</v>
      </c>
      <c r="M20" s="524">
        <f t="shared" si="4"/>
        <v>215.576341777718</v>
      </c>
      <c r="N20" s="361">
        <f>F15.3!M40</f>
        <v>223.590696880004</v>
      </c>
      <c r="O20" s="361">
        <f>F15.3!N40</f>
        <v>252.807567854295</v>
      </c>
      <c r="P20" s="361">
        <f>F15.3!O40</f>
        <v>286.578541910653</v>
      </c>
    </row>
    <row r="21" ht="15" spans="2:16">
      <c r="B21" s="100">
        <f>B20+1</f>
        <v>4</v>
      </c>
      <c r="C21" s="334" t="s">
        <v>561</v>
      </c>
      <c r="D21" s="334"/>
      <c r="E21" s="334"/>
      <c r="F21" s="347">
        <f>SUM(F18:F20)</f>
        <v>5620.932</v>
      </c>
      <c r="G21" s="517">
        <f>F21-E21</f>
        <v>5620.932</v>
      </c>
      <c r="H21" s="345"/>
      <c r="I21" s="517">
        <f t="shared" ref="I21:P21" si="5">SUM(I18:I20)</f>
        <v>0</v>
      </c>
      <c r="J21" s="517">
        <f t="shared" si="5"/>
        <v>0</v>
      </c>
      <c r="K21" s="525">
        <f t="shared" si="5"/>
        <v>5064.597</v>
      </c>
      <c r="L21" s="526">
        <f t="shared" si="5"/>
        <v>3603.8583151204</v>
      </c>
      <c r="M21" s="526">
        <f t="shared" si="5"/>
        <v>3822.63081154491</v>
      </c>
      <c r="N21" s="525">
        <f ca="1" t="shared" si="5"/>
        <v>4747.54832026024</v>
      </c>
      <c r="O21" s="525">
        <f ca="1" t="shared" si="5"/>
        <v>5097.59088657091</v>
      </c>
      <c r="P21" s="525">
        <f ca="1" t="shared" si="5"/>
        <v>5475.11430080887</v>
      </c>
    </row>
    <row r="22" ht="15" spans="2:16">
      <c r="B22" s="13"/>
      <c r="C22" s="518"/>
      <c r="D22" s="518"/>
      <c r="E22" s="518"/>
      <c r="F22" s="519"/>
      <c r="G22" s="520"/>
      <c r="H22" s="521"/>
      <c r="I22" s="520"/>
      <c r="J22" s="520"/>
      <c r="K22" s="520"/>
      <c r="L22" s="519"/>
      <c r="M22" s="519"/>
      <c r="N22" s="519"/>
      <c r="O22" s="519"/>
      <c r="P22" s="519"/>
    </row>
    <row r="23" ht="15" spans="1:16">
      <c r="A23" s="518"/>
      <c r="B23" s="14" t="s">
        <v>762</v>
      </c>
      <c r="C23" s="518"/>
      <c r="D23" s="518"/>
      <c r="E23" s="518"/>
      <c r="F23" s="519"/>
      <c r="G23" s="520"/>
      <c r="H23" s="521"/>
      <c r="I23" s="520"/>
      <c r="J23" s="520"/>
      <c r="K23" s="520"/>
      <c r="L23" s="519"/>
      <c r="M23" s="519"/>
      <c r="N23" s="519"/>
      <c r="O23" s="519"/>
      <c r="P23" s="519"/>
    </row>
    <row r="24" ht="15" spans="13:16">
      <c r="M24" s="117" t="s">
        <v>851</v>
      </c>
      <c r="P24" s="33" t="s">
        <v>109</v>
      </c>
    </row>
    <row r="25" ht="13.9" customHeight="1" spans="2:17">
      <c r="B25" s="175" t="s">
        <v>3</v>
      </c>
      <c r="C25" s="175" t="s">
        <v>110</v>
      </c>
      <c r="D25" s="513" t="s">
        <v>111</v>
      </c>
      <c r="E25" s="306" t="s">
        <v>112</v>
      </c>
      <c r="F25" s="307"/>
      <c r="G25" s="308"/>
      <c r="H25" s="306" t="s">
        <v>760</v>
      </c>
      <c r="I25" s="307"/>
      <c r="J25" s="307"/>
      <c r="K25" s="307"/>
      <c r="L25" s="135" t="s">
        <v>114</v>
      </c>
      <c r="M25" s="135"/>
      <c r="N25" s="135"/>
      <c r="O25" s="135"/>
      <c r="P25" s="135"/>
      <c r="Q25" s="339"/>
    </row>
    <row r="26" ht="30" spans="2:16">
      <c r="B26" s="175"/>
      <c r="C26" s="175"/>
      <c r="D26" s="514"/>
      <c r="E26" s="5" t="s">
        <v>116</v>
      </c>
      <c r="F26" s="5" t="s">
        <v>237</v>
      </c>
      <c r="G26" s="5" t="s">
        <v>118</v>
      </c>
      <c r="H26" s="5" t="s">
        <v>116</v>
      </c>
      <c r="I26" s="5" t="s">
        <v>119</v>
      </c>
      <c r="J26" s="5" t="s">
        <v>120</v>
      </c>
      <c r="K26" s="5" t="s">
        <v>238</v>
      </c>
      <c r="L26" s="5" t="s">
        <v>514</v>
      </c>
      <c r="M26" s="5" t="s">
        <v>515</v>
      </c>
      <c r="N26" s="5" t="s">
        <v>516</v>
      </c>
      <c r="O26" s="5" t="s">
        <v>517</v>
      </c>
      <c r="P26" s="5" t="s">
        <v>518</v>
      </c>
    </row>
    <row r="27" ht="15" spans="2:16">
      <c r="B27" s="175"/>
      <c r="C27" s="175"/>
      <c r="D27" s="515"/>
      <c r="E27" s="5" t="s">
        <v>127</v>
      </c>
      <c r="F27" s="5" t="s">
        <v>128</v>
      </c>
      <c r="G27" s="5" t="s">
        <v>129</v>
      </c>
      <c r="H27" s="5" t="s">
        <v>127</v>
      </c>
      <c r="I27" s="5" t="s">
        <v>130</v>
      </c>
      <c r="J27" s="5" t="s">
        <v>131</v>
      </c>
      <c r="K27" s="5" t="s">
        <v>131</v>
      </c>
      <c r="L27" s="5" t="s">
        <v>132</v>
      </c>
      <c r="M27" s="5" t="s">
        <v>132</v>
      </c>
      <c r="N27" s="5" t="s">
        <v>132</v>
      </c>
      <c r="O27" s="5" t="s">
        <v>132</v>
      </c>
      <c r="P27" s="5" t="s">
        <v>132</v>
      </c>
    </row>
    <row r="28" ht="15" spans="2:16">
      <c r="B28" s="100">
        <v>1</v>
      </c>
      <c r="C28" s="334" t="s">
        <v>558</v>
      </c>
      <c r="D28" s="334" t="s">
        <v>41</v>
      </c>
      <c r="E28" s="334"/>
      <c r="F28" s="350">
        <f>F15.1!G99</f>
        <v>469.52</v>
      </c>
      <c r="G28" s="516">
        <f>F28</f>
        <v>469.52</v>
      </c>
      <c r="H28" s="345"/>
      <c r="I28" s="350">
        <f>F15.1!H99</f>
        <v>0</v>
      </c>
      <c r="J28" s="350">
        <f>F15.1!I99</f>
        <v>0</v>
      </c>
      <c r="K28" s="361">
        <f>F15.1!J99</f>
        <v>469.52</v>
      </c>
      <c r="L28" s="524">
        <f>10%*L8</f>
        <v>357.261428087846</v>
      </c>
      <c r="M28" s="524">
        <f>10%*M8</f>
        <v>377.946864774132</v>
      </c>
      <c r="N28" s="361">
        <f>F15.1!M99</f>
        <v>478.699130569</v>
      </c>
      <c r="O28" s="361">
        <f>F15.1!N99</f>
        <v>513.16506265091</v>
      </c>
      <c r="P28" s="361">
        <f>F15.1!O99</f>
        <v>550.12016941392</v>
      </c>
    </row>
    <row r="29" ht="15" spans="2:16">
      <c r="B29" s="100">
        <f>B28+1</f>
        <v>2</v>
      </c>
      <c r="C29" s="342" t="s">
        <v>559</v>
      </c>
      <c r="D29" s="342" t="s">
        <v>43</v>
      </c>
      <c r="E29" s="342"/>
      <c r="F29" s="350">
        <f>F15.2!G112</f>
        <v>15.86552551</v>
      </c>
      <c r="G29" s="516">
        <f t="shared" ref="G29:G30" si="6">F29</f>
        <v>15.86552551</v>
      </c>
      <c r="H29" s="345"/>
      <c r="I29" s="350">
        <f>F15.2!H112</f>
        <v>0</v>
      </c>
      <c r="J29" s="350">
        <f>F15.2!I112</f>
        <v>0</v>
      </c>
      <c r="K29" s="361">
        <f>F15.2!J112</f>
        <v>17.008</v>
      </c>
      <c r="L29" s="524">
        <f t="shared" ref="L29:M30" si="7">10%*L9</f>
        <v>21.764</v>
      </c>
      <c r="M29" s="524">
        <f t="shared" si="7"/>
        <v>22.8369652</v>
      </c>
      <c r="N29" s="361">
        <f ca="1">F15.2!M112</f>
        <v>23.96282758436</v>
      </c>
      <c r="O29" s="361">
        <f ca="1">F15.2!N112</f>
        <v>25.1441949842689</v>
      </c>
      <c r="P29" s="361">
        <f ca="1">F15.2!O112</f>
        <v>26.3838037969934</v>
      </c>
    </row>
    <row r="30" ht="15" spans="2:16">
      <c r="B30" s="100">
        <f>B29+1</f>
        <v>3</v>
      </c>
      <c r="C30" s="334" t="s">
        <v>560</v>
      </c>
      <c r="D30" s="334" t="s">
        <v>45</v>
      </c>
      <c r="E30" s="334"/>
      <c r="F30" s="350">
        <f>F15.3!G60</f>
        <v>19.393</v>
      </c>
      <c r="G30" s="516">
        <f t="shared" si="6"/>
        <v>19.393</v>
      </c>
      <c r="H30" s="345"/>
      <c r="I30" s="350">
        <f>F15.3!H60</f>
        <v>0</v>
      </c>
      <c r="J30" s="350">
        <f>F15.3!I60</f>
        <v>0</v>
      </c>
      <c r="K30" s="361">
        <f>F15.3!J60</f>
        <v>24.244</v>
      </c>
      <c r="L30" s="524">
        <f t="shared" si="7"/>
        <v>21.4032735921987</v>
      </c>
      <c r="M30" s="524">
        <f t="shared" si="7"/>
        <v>23.9529268641909</v>
      </c>
      <c r="N30" s="361">
        <f>F15.3!M60</f>
        <v>24.8434107644449</v>
      </c>
      <c r="O30" s="361">
        <f>F15.3!N60</f>
        <v>28.0897297615883</v>
      </c>
      <c r="P30" s="361">
        <f>F15.3!O60</f>
        <v>31.8420602122948</v>
      </c>
    </row>
    <row r="31" ht="15" spans="2:16">
      <c r="B31" s="100">
        <f>B30+1</f>
        <v>4</v>
      </c>
      <c r="C31" s="334" t="s">
        <v>561</v>
      </c>
      <c r="D31" s="334"/>
      <c r="E31" s="334"/>
      <c r="F31" s="347">
        <f>SUM(F28:F30)</f>
        <v>504.77852551</v>
      </c>
      <c r="G31" s="517">
        <f>F31-E31</f>
        <v>504.77852551</v>
      </c>
      <c r="H31" s="345"/>
      <c r="I31" s="517">
        <f t="shared" ref="I31:P31" si="8">SUM(I28:I30)</f>
        <v>0</v>
      </c>
      <c r="J31" s="517">
        <f t="shared" si="8"/>
        <v>0</v>
      </c>
      <c r="K31" s="525">
        <f t="shared" si="8"/>
        <v>510.772</v>
      </c>
      <c r="L31" s="526">
        <f t="shared" si="8"/>
        <v>400.428701680045</v>
      </c>
      <c r="M31" s="526">
        <f t="shared" si="8"/>
        <v>424.736756838323</v>
      </c>
      <c r="N31" s="525">
        <f ca="1" t="shared" si="8"/>
        <v>527.505368917805</v>
      </c>
      <c r="O31" s="525">
        <f ca="1" t="shared" si="8"/>
        <v>566.398987396767</v>
      </c>
      <c r="P31" s="525">
        <f ca="1" t="shared" si="8"/>
        <v>608.346033423208</v>
      </c>
    </row>
    <row r="32" ht="15" spans="2:16">
      <c r="B32" s="13"/>
      <c r="C32" s="518"/>
      <c r="D32" s="518"/>
      <c r="E32" s="518"/>
      <c r="F32" s="519"/>
      <c r="G32" s="520"/>
      <c r="H32" s="521"/>
      <c r="I32" s="520"/>
      <c r="J32" s="520"/>
      <c r="K32" s="520"/>
      <c r="L32" s="519"/>
      <c r="M32" s="519"/>
      <c r="N32" s="519"/>
      <c r="O32" s="519"/>
      <c r="P32" s="519"/>
    </row>
    <row r="33" spans="2:16">
      <c r="B33" s="483" t="s">
        <v>225</v>
      </c>
      <c r="C33" s="522"/>
      <c r="D33" s="518"/>
      <c r="E33" s="518"/>
      <c r="F33" s="518"/>
      <c r="G33" s="521"/>
      <c r="H33" s="521"/>
      <c r="I33" s="521"/>
      <c r="J33" s="521"/>
      <c r="K33" s="521"/>
      <c r="L33" s="521"/>
      <c r="M33" s="521"/>
      <c r="N33" s="521"/>
      <c r="O33" s="521"/>
      <c r="P33" s="521"/>
    </row>
    <row r="34" spans="2:3">
      <c r="B34" s="523">
        <v>1</v>
      </c>
      <c r="C34" s="522" t="s">
        <v>562</v>
      </c>
    </row>
    <row r="36" spans="2:2">
      <c r="B36" s="13"/>
    </row>
  </sheetData>
  <mergeCells count="18">
    <mergeCell ref="E5:G5"/>
    <mergeCell ref="H5:K5"/>
    <mergeCell ref="L5:P5"/>
    <mergeCell ref="E15:G15"/>
    <mergeCell ref="H15:K15"/>
    <mergeCell ref="L15:P15"/>
    <mergeCell ref="E25:G25"/>
    <mergeCell ref="H25:K25"/>
    <mergeCell ref="L25:P25"/>
    <mergeCell ref="B5:B7"/>
    <mergeCell ref="B15:B17"/>
    <mergeCell ref="B25:B27"/>
    <mergeCell ref="C5:C7"/>
    <mergeCell ref="C15:C17"/>
    <mergeCell ref="C25:C27"/>
    <mergeCell ref="D5:D7"/>
    <mergeCell ref="D15:D17"/>
    <mergeCell ref="D25:D27"/>
  </mergeCells>
  <printOptions horizontalCentered="1"/>
  <pageMargins left="0.708333333333333" right="0.708333333333333" top="0.747916666666667" bottom="0.747916666666667" header="0.314583333333333" footer="0.314583333333333"/>
  <pageSetup paperSize="9" orientation="portrait" horizontalDpi="600"/>
  <headerFooter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</sheetPr>
  <dimension ref="A2:P101"/>
  <sheetViews>
    <sheetView showGridLines="0" view="pageBreakPreview" zoomScale="70" zoomScaleNormal="55" workbookViewId="0">
      <selection activeCell="AF40" sqref="AF40"/>
    </sheetView>
  </sheetViews>
  <sheetFormatPr defaultColWidth="9.28571428571429" defaultRowHeight="14.25"/>
  <cols>
    <col min="1" max="1" width="28.1428571428571" style="15" customWidth="1"/>
    <col min="2" max="2" width="7" style="15" customWidth="1"/>
    <col min="3" max="3" width="50.5714285714286" style="15" customWidth="1"/>
    <col min="4" max="6" width="16.7142857142857" style="15" hidden="1" customWidth="1"/>
    <col min="7" max="7" width="16" style="15" hidden="1" customWidth="1"/>
    <col min="8" max="9" width="14.4285714285714" style="15" hidden="1" customWidth="1"/>
    <col min="10" max="10" width="18" style="15" hidden="1" customWidth="1"/>
    <col min="11" max="12" width="12.2857142857143" style="15" customWidth="1"/>
    <col min="13" max="13" width="13" style="15" hidden="1" customWidth="1"/>
    <col min="14" max="14" width="13.4285714285714" style="15" hidden="1" customWidth="1"/>
    <col min="15" max="15" width="12.7142857142857" style="15" hidden="1" customWidth="1"/>
    <col min="16" max="16384" width="9.28571428571429" style="15"/>
  </cols>
  <sheetData>
    <row r="2" ht="15" spans="3:10">
      <c r="C2" s="12"/>
      <c r="D2" s="12"/>
      <c r="E2" s="12"/>
      <c r="F2" s="12"/>
      <c r="G2" s="12"/>
      <c r="H2" s="2" t="s">
        <v>105</v>
      </c>
      <c r="I2" s="12"/>
      <c r="J2" s="12"/>
    </row>
    <row r="3" s="479" customFormat="1" ht="15" spans="3:10">
      <c r="C3" s="12"/>
      <c r="D3" s="12"/>
      <c r="E3" s="12"/>
      <c r="F3" s="500" t="s">
        <v>852</v>
      </c>
      <c r="G3" s="12"/>
      <c r="H3" s="3" t="s">
        <v>563</v>
      </c>
      <c r="I3" s="12"/>
      <c r="J3" s="12"/>
    </row>
    <row r="4" s="479" customFormat="1" ht="15" spans="3:10">
      <c r="C4" s="501"/>
      <c r="D4" s="501"/>
      <c r="E4" s="501"/>
      <c r="F4" s="501"/>
      <c r="G4" s="502"/>
      <c r="H4" s="502"/>
      <c r="I4" s="502"/>
      <c r="J4" s="502"/>
    </row>
    <row r="5" s="479" customFormat="1" ht="15" spans="2:10">
      <c r="B5" s="503" t="s">
        <v>763</v>
      </c>
      <c r="C5" s="501"/>
      <c r="D5" s="501"/>
      <c r="E5" s="501"/>
      <c r="F5" s="501"/>
      <c r="G5" s="502"/>
      <c r="H5" s="502"/>
      <c r="I5" s="502"/>
      <c r="J5" s="502"/>
    </row>
    <row r="6" ht="15" spans="12:15">
      <c r="L6" s="33" t="s">
        <v>851</v>
      </c>
      <c r="O6" s="33" t="s">
        <v>109</v>
      </c>
    </row>
    <row r="7" ht="12.75" customHeight="1" spans="2:16">
      <c r="B7" s="6" t="s">
        <v>564</v>
      </c>
      <c r="C7" s="6" t="s">
        <v>110</v>
      </c>
      <c r="D7" s="5" t="s">
        <v>565</v>
      </c>
      <c r="E7" s="5" t="s">
        <v>566</v>
      </c>
      <c r="F7" s="5" t="s">
        <v>567</v>
      </c>
      <c r="G7" s="5" t="s">
        <v>112</v>
      </c>
      <c r="H7" s="5" t="s">
        <v>760</v>
      </c>
      <c r="I7" s="5"/>
      <c r="J7" s="5"/>
      <c r="K7" s="135" t="s">
        <v>114</v>
      </c>
      <c r="L7" s="135"/>
      <c r="M7" s="135"/>
      <c r="N7" s="135"/>
      <c r="O7" s="135"/>
      <c r="P7" s="336"/>
    </row>
    <row r="8" ht="15" spans="2:15">
      <c r="B8" s="6"/>
      <c r="C8" s="6"/>
      <c r="D8" s="5" t="s">
        <v>237</v>
      </c>
      <c r="E8" s="5" t="s">
        <v>237</v>
      </c>
      <c r="F8" s="5" t="s">
        <v>237</v>
      </c>
      <c r="G8" s="5" t="s">
        <v>237</v>
      </c>
      <c r="H8" s="5" t="s">
        <v>119</v>
      </c>
      <c r="I8" s="5" t="s">
        <v>120</v>
      </c>
      <c r="J8" s="5" t="s">
        <v>238</v>
      </c>
      <c r="K8" s="5" t="s">
        <v>514</v>
      </c>
      <c r="L8" s="5" t="s">
        <v>515</v>
      </c>
      <c r="M8" s="5" t="s">
        <v>516</v>
      </c>
      <c r="N8" s="5" t="s">
        <v>517</v>
      </c>
      <c r="O8" s="5" t="s">
        <v>518</v>
      </c>
    </row>
    <row r="9" ht="15" spans="2:15">
      <c r="B9" s="55"/>
      <c r="C9" s="6"/>
      <c r="D9" s="5" t="s">
        <v>128</v>
      </c>
      <c r="E9" s="5" t="s">
        <v>128</v>
      </c>
      <c r="F9" s="5" t="s">
        <v>128</v>
      </c>
      <c r="G9" s="5" t="s">
        <v>128</v>
      </c>
      <c r="H9" s="5" t="s">
        <v>130</v>
      </c>
      <c r="I9" s="5" t="s">
        <v>131</v>
      </c>
      <c r="J9" s="5" t="s">
        <v>128</v>
      </c>
      <c r="K9" s="5" t="s">
        <v>132</v>
      </c>
      <c r="L9" s="5" t="s">
        <v>132</v>
      </c>
      <c r="M9" s="5" t="s">
        <v>132</v>
      </c>
      <c r="N9" s="5" t="s">
        <v>132</v>
      </c>
      <c r="O9" s="5" t="s">
        <v>132</v>
      </c>
    </row>
    <row r="10" hidden="1" spans="2:15">
      <c r="B10" s="20">
        <v>1</v>
      </c>
      <c r="C10" s="354" t="s">
        <v>568</v>
      </c>
      <c r="D10" s="504">
        <f>D42+D75</f>
        <v>1253.1523894</v>
      </c>
      <c r="E10" s="504">
        <f t="shared" ref="E10:I10" si="0">E42+E75</f>
        <v>1189.81665889</v>
      </c>
      <c r="F10" s="504">
        <f t="shared" si="0"/>
        <v>1211.80493555</v>
      </c>
      <c r="G10" s="504">
        <f t="shared" si="0"/>
        <v>1761.447</v>
      </c>
      <c r="H10" s="504">
        <f t="shared" si="0"/>
        <v>0</v>
      </c>
      <c r="I10" s="504">
        <f t="shared" si="0"/>
        <v>0</v>
      </c>
      <c r="J10" s="504">
        <f>'[60]Employee Cost'!E9</f>
        <v>2005.3</v>
      </c>
      <c r="K10" s="504">
        <f>'[60]Employee Cost'!F9</f>
        <v>2145.671</v>
      </c>
      <c r="L10" s="504">
        <f>'[60]Employee Cost'!G9</f>
        <v>2295.86797</v>
      </c>
      <c r="M10" s="504">
        <f>'[60]Employee Cost'!H9</f>
        <v>2915.7523219</v>
      </c>
      <c r="N10" s="504">
        <f>'[60]Employee Cost'!I9</f>
        <v>3119.854984433</v>
      </c>
      <c r="O10" s="504">
        <f>'[60]Employee Cost'!J9</f>
        <v>3338.24483334331</v>
      </c>
    </row>
    <row r="11" hidden="1" spans="2:15">
      <c r="B11" s="20">
        <v>2</v>
      </c>
      <c r="C11" s="354" t="s">
        <v>569</v>
      </c>
      <c r="D11" s="504">
        <f t="shared" ref="D11:I25" si="1">D43+D76</f>
        <v>92.1167606</v>
      </c>
      <c r="E11" s="504">
        <f t="shared" si="1"/>
        <v>164.95400576</v>
      </c>
      <c r="F11" s="504">
        <f t="shared" si="1"/>
        <v>245.8957033</v>
      </c>
      <c r="G11" s="504">
        <f t="shared" si="1"/>
        <v>100.306</v>
      </c>
      <c r="H11" s="504">
        <f t="shared" si="1"/>
        <v>0</v>
      </c>
      <c r="I11" s="504">
        <f t="shared" si="1"/>
        <v>0</v>
      </c>
      <c r="J11" s="504">
        <v>0</v>
      </c>
      <c r="K11" s="504">
        <v>0</v>
      </c>
      <c r="L11" s="504">
        <v>0</v>
      </c>
      <c r="M11" s="504">
        <v>0</v>
      </c>
      <c r="N11" s="504">
        <v>0</v>
      </c>
      <c r="O11" s="504">
        <v>0</v>
      </c>
    </row>
    <row r="12" hidden="1" spans="2:15">
      <c r="B12" s="20">
        <v>3</v>
      </c>
      <c r="C12" s="21" t="s">
        <v>570</v>
      </c>
      <c r="D12" s="504">
        <f t="shared" si="1"/>
        <v>154.4344023</v>
      </c>
      <c r="E12" s="504">
        <f t="shared" si="1"/>
        <v>165.27452232</v>
      </c>
      <c r="F12" s="504">
        <f t="shared" si="1"/>
        <v>179.60189801</v>
      </c>
      <c r="G12" s="504">
        <f t="shared" si="1"/>
        <v>257.956</v>
      </c>
      <c r="H12" s="504">
        <f t="shared" si="1"/>
        <v>0</v>
      </c>
      <c r="I12" s="504">
        <f t="shared" si="1"/>
        <v>0</v>
      </c>
      <c r="J12" s="504">
        <v>0</v>
      </c>
      <c r="K12" s="504">
        <v>0</v>
      </c>
      <c r="L12" s="504">
        <v>0</v>
      </c>
      <c r="M12" s="504">
        <v>0</v>
      </c>
      <c r="N12" s="504">
        <v>0</v>
      </c>
      <c r="O12" s="504">
        <v>0</v>
      </c>
    </row>
    <row r="13" hidden="1" spans="2:15">
      <c r="B13" s="20">
        <v>4</v>
      </c>
      <c r="C13" s="354" t="s">
        <v>571</v>
      </c>
      <c r="D13" s="504">
        <f t="shared" si="1"/>
        <v>16.5764275</v>
      </c>
      <c r="E13" s="504">
        <f t="shared" si="1"/>
        <v>22.06520368</v>
      </c>
      <c r="F13" s="504">
        <f t="shared" si="1"/>
        <v>22.87750677</v>
      </c>
      <c r="G13" s="504">
        <f t="shared" si="1"/>
        <v>23.314</v>
      </c>
      <c r="H13" s="504">
        <f t="shared" si="1"/>
        <v>0</v>
      </c>
      <c r="I13" s="504">
        <f t="shared" si="1"/>
        <v>0</v>
      </c>
      <c r="J13" s="504">
        <v>0</v>
      </c>
      <c r="K13" s="504">
        <v>0</v>
      </c>
      <c r="L13" s="504">
        <v>0</v>
      </c>
      <c r="M13" s="504">
        <v>0</v>
      </c>
      <c r="N13" s="504">
        <v>0</v>
      </c>
      <c r="O13" s="504">
        <v>0</v>
      </c>
    </row>
    <row r="14" hidden="1" spans="2:15">
      <c r="B14" s="20">
        <v>5</v>
      </c>
      <c r="C14" s="354" t="s">
        <v>572</v>
      </c>
      <c r="D14" s="504">
        <f t="shared" si="1"/>
        <v>0</v>
      </c>
      <c r="E14" s="504">
        <f t="shared" si="1"/>
        <v>0</v>
      </c>
      <c r="F14" s="504">
        <f t="shared" si="1"/>
        <v>0</v>
      </c>
      <c r="G14" s="504">
        <f t="shared" si="1"/>
        <v>0</v>
      </c>
      <c r="H14" s="504">
        <f t="shared" si="1"/>
        <v>0</v>
      </c>
      <c r="I14" s="504">
        <f t="shared" si="1"/>
        <v>0</v>
      </c>
      <c r="J14" s="504">
        <v>0</v>
      </c>
      <c r="K14" s="504">
        <v>0</v>
      </c>
      <c r="L14" s="504">
        <v>0</v>
      </c>
      <c r="M14" s="504">
        <v>0</v>
      </c>
      <c r="N14" s="504">
        <v>0</v>
      </c>
      <c r="O14" s="504">
        <v>0</v>
      </c>
    </row>
    <row r="15" hidden="1" spans="2:15">
      <c r="B15" s="20">
        <v>6</v>
      </c>
      <c r="C15" s="21" t="s">
        <v>573</v>
      </c>
      <c r="D15" s="504">
        <f t="shared" si="1"/>
        <v>44.397469</v>
      </c>
      <c r="E15" s="504">
        <f t="shared" si="1"/>
        <v>44.26953715</v>
      </c>
      <c r="F15" s="504">
        <f t="shared" si="1"/>
        <v>46.95953225</v>
      </c>
      <c r="G15" s="504">
        <f t="shared" si="1"/>
        <v>55.639</v>
      </c>
      <c r="H15" s="504">
        <f t="shared" si="1"/>
        <v>0</v>
      </c>
      <c r="I15" s="504">
        <f t="shared" si="1"/>
        <v>0</v>
      </c>
      <c r="J15" s="504">
        <v>0</v>
      </c>
      <c r="K15" s="504">
        <v>0</v>
      </c>
      <c r="L15" s="504">
        <v>0</v>
      </c>
      <c r="M15" s="504">
        <v>0</v>
      </c>
      <c r="N15" s="504">
        <v>0</v>
      </c>
      <c r="O15" s="504">
        <v>0</v>
      </c>
    </row>
    <row r="16" hidden="1" spans="2:15">
      <c r="B16" s="20">
        <v>7</v>
      </c>
      <c r="C16" s="354" t="s">
        <v>574</v>
      </c>
      <c r="D16" s="504">
        <f t="shared" si="1"/>
        <v>33.1412989</v>
      </c>
      <c r="E16" s="504">
        <f t="shared" si="1"/>
        <v>33.23882065</v>
      </c>
      <c r="F16" s="504">
        <f t="shared" si="1"/>
        <v>34.12296564</v>
      </c>
      <c r="G16" s="504">
        <f t="shared" si="1"/>
        <v>42.239</v>
      </c>
      <c r="H16" s="504">
        <f t="shared" si="1"/>
        <v>0</v>
      </c>
      <c r="I16" s="504">
        <f t="shared" si="1"/>
        <v>0</v>
      </c>
      <c r="J16" s="504">
        <v>0</v>
      </c>
      <c r="K16" s="504">
        <v>0</v>
      </c>
      <c r="L16" s="504">
        <v>0</v>
      </c>
      <c r="M16" s="504">
        <v>0</v>
      </c>
      <c r="N16" s="504">
        <v>0</v>
      </c>
      <c r="O16" s="504">
        <v>0</v>
      </c>
    </row>
    <row r="17" hidden="1" spans="2:15">
      <c r="B17" s="20">
        <v>8</v>
      </c>
      <c r="C17" s="354" t="s">
        <v>575</v>
      </c>
      <c r="D17" s="504">
        <f t="shared" si="1"/>
        <v>39.5844298</v>
      </c>
      <c r="E17" s="504">
        <f t="shared" si="1"/>
        <v>44.96828578</v>
      </c>
      <c r="F17" s="504">
        <f t="shared" si="1"/>
        <v>470.8646492</v>
      </c>
      <c r="G17" s="504">
        <f t="shared" si="1"/>
        <v>376.964</v>
      </c>
      <c r="H17" s="504">
        <f t="shared" si="1"/>
        <v>0</v>
      </c>
      <c r="I17" s="504">
        <f t="shared" si="1"/>
        <v>0</v>
      </c>
      <c r="J17" s="504">
        <v>0</v>
      </c>
      <c r="K17" s="504">
        <v>0</v>
      </c>
      <c r="L17" s="504">
        <v>0</v>
      </c>
      <c r="M17" s="504">
        <v>0</v>
      </c>
      <c r="N17" s="504">
        <v>0</v>
      </c>
      <c r="O17" s="504">
        <v>0</v>
      </c>
    </row>
    <row r="18" hidden="1" spans="2:15">
      <c r="B18" s="20">
        <v>9</v>
      </c>
      <c r="C18" s="354" t="s">
        <v>576</v>
      </c>
      <c r="D18" s="504">
        <f t="shared" si="1"/>
        <v>0</v>
      </c>
      <c r="E18" s="504">
        <f t="shared" si="1"/>
        <v>0</v>
      </c>
      <c r="F18" s="504">
        <f t="shared" si="1"/>
        <v>0</v>
      </c>
      <c r="G18" s="504">
        <f t="shared" si="1"/>
        <v>0</v>
      </c>
      <c r="H18" s="504">
        <f t="shared" si="1"/>
        <v>0</v>
      </c>
      <c r="I18" s="504">
        <f t="shared" si="1"/>
        <v>0</v>
      </c>
      <c r="J18" s="504">
        <f>J50+J83</f>
        <v>0</v>
      </c>
      <c r="K18" s="504">
        <v>0</v>
      </c>
      <c r="L18" s="504">
        <v>0</v>
      </c>
      <c r="M18" s="504">
        <v>0</v>
      </c>
      <c r="N18" s="504">
        <v>0</v>
      </c>
      <c r="O18" s="504">
        <v>0</v>
      </c>
    </row>
    <row r="19" hidden="1" spans="2:15">
      <c r="B19" s="20">
        <v>10</v>
      </c>
      <c r="C19" s="354" t="s">
        <v>577</v>
      </c>
      <c r="D19" s="504">
        <f t="shared" si="1"/>
        <v>0</v>
      </c>
      <c r="E19" s="504">
        <f t="shared" si="1"/>
        <v>0</v>
      </c>
      <c r="F19" s="504">
        <f t="shared" si="1"/>
        <v>0</v>
      </c>
      <c r="G19" s="504">
        <f t="shared" si="1"/>
        <v>0.459</v>
      </c>
      <c r="H19" s="504">
        <f t="shared" si="1"/>
        <v>0</v>
      </c>
      <c r="I19" s="504">
        <f t="shared" si="1"/>
        <v>0</v>
      </c>
      <c r="J19" s="504">
        <v>0</v>
      </c>
      <c r="K19" s="504">
        <v>0</v>
      </c>
      <c r="L19" s="504">
        <v>0</v>
      </c>
      <c r="M19" s="504">
        <v>0</v>
      </c>
      <c r="N19" s="504">
        <v>0</v>
      </c>
      <c r="O19" s="504">
        <v>0</v>
      </c>
    </row>
    <row r="20" hidden="1" spans="2:15">
      <c r="B20" s="20">
        <v>11</v>
      </c>
      <c r="C20" s="354" t="s">
        <v>578</v>
      </c>
      <c r="D20" s="504">
        <f t="shared" si="1"/>
        <v>-0.0152015</v>
      </c>
      <c r="E20" s="504">
        <f t="shared" si="1"/>
        <v>-0.01342247</v>
      </c>
      <c r="F20" s="504">
        <f t="shared" si="1"/>
        <v>-0.00132248</v>
      </c>
      <c r="G20" s="504">
        <f t="shared" si="1"/>
        <v>-0.018</v>
      </c>
      <c r="H20" s="504">
        <f t="shared" si="1"/>
        <v>0</v>
      </c>
      <c r="I20" s="504">
        <f t="shared" si="1"/>
        <v>0</v>
      </c>
      <c r="J20" s="504">
        <v>0</v>
      </c>
      <c r="K20" s="504">
        <v>0</v>
      </c>
      <c r="L20" s="504">
        <v>0</v>
      </c>
      <c r="M20" s="504">
        <v>0</v>
      </c>
      <c r="N20" s="504">
        <v>0</v>
      </c>
      <c r="O20" s="504">
        <v>0</v>
      </c>
    </row>
    <row r="21" hidden="1" spans="2:15">
      <c r="B21" s="20">
        <v>12</v>
      </c>
      <c r="C21" s="354" t="s">
        <v>579</v>
      </c>
      <c r="D21" s="504">
        <f t="shared" si="1"/>
        <v>25.2644197</v>
      </c>
      <c r="E21" s="504">
        <f t="shared" si="1"/>
        <v>33.2509702</v>
      </c>
      <c r="F21" s="504">
        <f t="shared" si="1"/>
        <v>34.90483647</v>
      </c>
      <c r="G21" s="504">
        <f t="shared" si="1"/>
        <v>35.161</v>
      </c>
      <c r="H21" s="504">
        <f t="shared" si="1"/>
        <v>0</v>
      </c>
      <c r="I21" s="504">
        <f t="shared" si="1"/>
        <v>0</v>
      </c>
      <c r="J21" s="504">
        <f>'[60]Employee Cost'!E16</f>
        <v>103.07</v>
      </c>
      <c r="K21" s="504">
        <f>'[60]Employee Cost'!F16</f>
        <v>110.2849</v>
      </c>
      <c r="L21" s="504">
        <f>'[60]Employee Cost'!G16</f>
        <v>118.004843</v>
      </c>
      <c r="M21" s="504">
        <f>'[60]Employee Cost'!H16</f>
        <v>149.86615061</v>
      </c>
      <c r="N21" s="504">
        <f>'[60]Employee Cost'!I16</f>
        <v>160.3567811527</v>
      </c>
      <c r="O21" s="504">
        <f>'[60]Employee Cost'!J16</f>
        <v>171.581755833389</v>
      </c>
    </row>
    <row r="22" hidden="1" spans="2:15">
      <c r="B22" s="20">
        <v>13</v>
      </c>
      <c r="C22" s="354" t="s">
        <v>580</v>
      </c>
      <c r="D22" s="504">
        <f t="shared" si="1"/>
        <v>0</v>
      </c>
      <c r="E22" s="504">
        <f t="shared" si="1"/>
        <v>0</v>
      </c>
      <c r="F22" s="504">
        <f t="shared" si="1"/>
        <v>0</v>
      </c>
      <c r="G22" s="504">
        <f t="shared" si="1"/>
        <v>0</v>
      </c>
      <c r="H22" s="504">
        <f t="shared" si="1"/>
        <v>0</v>
      </c>
      <c r="I22" s="504">
        <f t="shared" si="1"/>
        <v>0</v>
      </c>
      <c r="J22" s="504">
        <f>J54+J87</f>
        <v>0</v>
      </c>
      <c r="K22" s="504">
        <v>0</v>
      </c>
      <c r="L22" s="504">
        <v>0</v>
      </c>
      <c r="M22" s="504">
        <v>0</v>
      </c>
      <c r="N22" s="504">
        <v>0</v>
      </c>
      <c r="O22" s="504">
        <v>0</v>
      </c>
    </row>
    <row r="23" hidden="1" spans="2:15">
      <c r="B23" s="20">
        <v>14</v>
      </c>
      <c r="C23" s="354" t="s">
        <v>581</v>
      </c>
      <c r="D23" s="504">
        <f t="shared" si="1"/>
        <v>0.010689</v>
      </c>
      <c r="E23" s="504">
        <f t="shared" si="1"/>
        <v>0.0102309</v>
      </c>
      <c r="F23" s="504">
        <f t="shared" si="1"/>
        <v>0.001018</v>
      </c>
      <c r="G23" s="504">
        <f t="shared" si="1"/>
        <v>0</v>
      </c>
      <c r="H23" s="504">
        <f t="shared" si="1"/>
        <v>0</v>
      </c>
      <c r="I23" s="504">
        <f t="shared" si="1"/>
        <v>0</v>
      </c>
      <c r="J23" s="504">
        <f>'[60]Employee Cost'!E14+'[60]Employee Cost'!E15</f>
        <v>2.99</v>
      </c>
      <c r="K23" s="504">
        <f>'[60]Employee Cost'!F14+'[60]Employee Cost'!F15</f>
        <v>3.1993</v>
      </c>
      <c r="L23" s="504">
        <f>'[60]Employee Cost'!G14+'[60]Employee Cost'!G15</f>
        <v>3.423251</v>
      </c>
      <c r="M23" s="504">
        <f>'[60]Employee Cost'!H14+'[60]Employee Cost'!H15</f>
        <v>4.34752877</v>
      </c>
      <c r="N23" s="504">
        <f>'[60]Employee Cost'!I14+'[60]Employee Cost'!I15</f>
        <v>4.6518557839</v>
      </c>
      <c r="O23" s="504">
        <f>'[60]Employee Cost'!J14+'[60]Employee Cost'!J15</f>
        <v>4.977485688773</v>
      </c>
    </row>
    <row r="24" hidden="1" spans="2:15">
      <c r="B24" s="20">
        <v>15</v>
      </c>
      <c r="C24" s="354" t="s">
        <v>582</v>
      </c>
      <c r="D24" s="504">
        <f t="shared" si="1"/>
        <v>0</v>
      </c>
      <c r="E24" s="504">
        <f t="shared" si="1"/>
        <v>0</v>
      </c>
      <c r="F24" s="504">
        <f t="shared" si="1"/>
        <v>0</v>
      </c>
      <c r="G24" s="504">
        <f t="shared" si="1"/>
        <v>0</v>
      </c>
      <c r="H24" s="504">
        <f t="shared" si="1"/>
        <v>0</v>
      </c>
      <c r="I24" s="504">
        <f t="shared" si="1"/>
        <v>0</v>
      </c>
      <c r="J24" s="504">
        <f>J56+J89</f>
        <v>0</v>
      </c>
      <c r="K24" s="504">
        <v>0</v>
      </c>
      <c r="L24" s="504">
        <v>0</v>
      </c>
      <c r="M24" s="504">
        <v>0</v>
      </c>
      <c r="N24" s="504">
        <v>0</v>
      </c>
      <c r="O24" s="504">
        <v>0</v>
      </c>
    </row>
    <row r="25" hidden="1" spans="2:15">
      <c r="B25" s="20">
        <v>16</v>
      </c>
      <c r="C25" s="354" t="s">
        <v>583</v>
      </c>
      <c r="D25" s="504">
        <f t="shared" si="1"/>
        <v>0.004314</v>
      </c>
      <c r="E25" s="504">
        <f t="shared" si="1"/>
        <v>0.004314</v>
      </c>
      <c r="F25" s="504">
        <f t="shared" si="1"/>
        <v>0.0004314</v>
      </c>
      <c r="G25" s="504">
        <f t="shared" si="1"/>
        <v>0</v>
      </c>
      <c r="H25" s="504">
        <f t="shared" si="1"/>
        <v>0</v>
      </c>
      <c r="I25" s="504">
        <f t="shared" si="1"/>
        <v>0</v>
      </c>
      <c r="J25" s="504">
        <f>'[60]Employee Cost'!E10+'[60]Employee Cost'!E12</f>
        <v>398.46</v>
      </c>
      <c r="K25" s="504">
        <f>'[60]Employee Cost'!F10+'[60]Employee Cost'!F12</f>
        <v>426.3522</v>
      </c>
      <c r="L25" s="504">
        <f>'[60]Employee Cost'!G10+'[60]Employee Cost'!G12</f>
        <v>456.196854</v>
      </c>
      <c r="M25" s="504">
        <f>'[60]Employee Cost'!H10+'[60]Employee Cost'!H12</f>
        <v>579.37000458</v>
      </c>
      <c r="N25" s="504">
        <f>'[60]Employee Cost'!I10+'[60]Employee Cost'!I12</f>
        <v>619.9259049006</v>
      </c>
      <c r="O25" s="504">
        <f>'[60]Employee Cost'!J10+'[60]Employee Cost'!J12</f>
        <v>663.320718243642</v>
      </c>
    </row>
    <row r="26" hidden="1" spans="2:15">
      <c r="B26" s="20">
        <v>18</v>
      </c>
      <c r="C26" s="354" t="s">
        <v>585</v>
      </c>
      <c r="D26" s="504">
        <f t="shared" ref="D26:I30" si="2">D59+D92</f>
        <v>193.3571419</v>
      </c>
      <c r="E26" s="504">
        <f t="shared" si="2"/>
        <v>193.91630785</v>
      </c>
      <c r="F26" s="504">
        <f t="shared" si="2"/>
        <v>1.37984374</v>
      </c>
      <c r="G26" s="504">
        <f t="shared" si="2"/>
        <v>345.155</v>
      </c>
      <c r="H26" s="504">
        <f t="shared" si="2"/>
        <v>0</v>
      </c>
      <c r="I26" s="504">
        <f t="shared" si="2"/>
        <v>0</v>
      </c>
      <c r="J26" s="504">
        <f>'[60]Employee Cost'!E13</f>
        <v>640.99</v>
      </c>
      <c r="K26" s="504">
        <f>'[60]Employee Cost'!F13</f>
        <v>692.2692</v>
      </c>
      <c r="L26" s="504">
        <f>'[60]Employee Cost'!G13</f>
        <v>747.650736</v>
      </c>
      <c r="M26" s="504">
        <f>'[60]Employee Cost'!H13</f>
        <v>956.99294208</v>
      </c>
      <c r="N26" s="504">
        <f>'[60]Employee Cost'!I13</f>
        <v>1033.5523774464</v>
      </c>
      <c r="O26" s="504">
        <f>'[60]Employee Cost'!J13</f>
        <v>1116.23656764211</v>
      </c>
    </row>
    <row r="27" hidden="1" spans="2:15">
      <c r="B27" s="20">
        <f>+B26+0.1</f>
        <v>18.1</v>
      </c>
      <c r="C27" s="354" t="s">
        <v>586</v>
      </c>
      <c r="D27" s="504">
        <f t="shared" si="2"/>
        <v>82.1072482</v>
      </c>
      <c r="E27" s="504">
        <f t="shared" si="2"/>
        <v>87.92024659</v>
      </c>
      <c r="F27" s="504">
        <f t="shared" si="2"/>
        <v>98.92861353</v>
      </c>
      <c r="G27" s="504">
        <f t="shared" si="2"/>
        <v>109.737</v>
      </c>
      <c r="H27" s="504">
        <f t="shared" si="2"/>
        <v>0</v>
      </c>
      <c r="I27" s="504">
        <f t="shared" si="2"/>
        <v>0</v>
      </c>
      <c r="J27" s="504">
        <f>'[60]Employee Cost'!E11</f>
        <v>124.25</v>
      </c>
      <c r="K27" s="504">
        <f>'[60]Employee Cost'!F11</f>
        <v>132.9475</v>
      </c>
      <c r="L27" s="504">
        <f>'[60]Employee Cost'!G11</f>
        <v>142.253825</v>
      </c>
      <c r="M27" s="504">
        <f>'[60]Employee Cost'!H11</f>
        <v>180.66235775</v>
      </c>
      <c r="N27" s="504">
        <f>'[60]Employee Cost'!I11</f>
        <v>193.3087227925</v>
      </c>
      <c r="O27" s="504">
        <f>'[60]Employee Cost'!J11</f>
        <v>206.840333387975</v>
      </c>
    </row>
    <row r="28" hidden="1" spans="2:15">
      <c r="B28" s="20">
        <f>+B27+0.1</f>
        <v>18.2</v>
      </c>
      <c r="C28" s="354" t="s">
        <v>587</v>
      </c>
      <c r="D28" s="504">
        <v>0</v>
      </c>
      <c r="E28" s="504">
        <v>0</v>
      </c>
      <c r="F28" s="504">
        <v>0</v>
      </c>
      <c r="G28" s="504">
        <v>0</v>
      </c>
      <c r="H28" s="504">
        <f t="shared" si="2"/>
        <v>0</v>
      </c>
      <c r="I28" s="504">
        <f t="shared" si="2"/>
        <v>0</v>
      </c>
      <c r="J28" s="504">
        <v>0</v>
      </c>
      <c r="K28" s="504">
        <v>0</v>
      </c>
      <c r="L28" s="504">
        <v>0</v>
      </c>
      <c r="M28" s="504">
        <v>0</v>
      </c>
      <c r="N28" s="504">
        <v>0</v>
      </c>
      <c r="O28" s="504">
        <v>0</v>
      </c>
    </row>
    <row r="29" hidden="1" spans="2:15">
      <c r="B29" s="20">
        <f>+B28+0.1</f>
        <v>18.3</v>
      </c>
      <c r="C29" s="354" t="s">
        <v>588</v>
      </c>
      <c r="D29" s="504">
        <v>0</v>
      </c>
      <c r="E29" s="504">
        <v>0</v>
      </c>
      <c r="F29" s="504">
        <v>0</v>
      </c>
      <c r="G29" s="504">
        <v>0</v>
      </c>
      <c r="H29" s="504">
        <f t="shared" si="2"/>
        <v>0</v>
      </c>
      <c r="I29" s="504">
        <f t="shared" si="2"/>
        <v>0</v>
      </c>
      <c r="J29" s="504">
        <v>0</v>
      </c>
      <c r="K29" s="504">
        <v>0</v>
      </c>
      <c r="L29" s="504">
        <v>0</v>
      </c>
      <c r="M29" s="504">
        <v>0</v>
      </c>
      <c r="N29" s="504">
        <v>0</v>
      </c>
      <c r="O29" s="504">
        <v>0</v>
      </c>
    </row>
    <row r="30" hidden="1" spans="2:15">
      <c r="B30" s="20">
        <f>+B29+0.1</f>
        <v>18.4</v>
      </c>
      <c r="C30" s="354" t="s">
        <v>589</v>
      </c>
      <c r="D30" s="504">
        <v>0</v>
      </c>
      <c r="E30" s="504">
        <v>0</v>
      </c>
      <c r="F30" s="504">
        <v>0</v>
      </c>
      <c r="G30" s="504">
        <v>0</v>
      </c>
      <c r="H30" s="504">
        <f t="shared" si="2"/>
        <v>0</v>
      </c>
      <c r="I30" s="504">
        <f t="shared" si="2"/>
        <v>0</v>
      </c>
      <c r="J30" s="504">
        <v>0</v>
      </c>
      <c r="K30" s="504">
        <v>0</v>
      </c>
      <c r="L30" s="504">
        <v>0</v>
      </c>
      <c r="M30" s="504">
        <v>0</v>
      </c>
      <c r="N30" s="504">
        <v>0</v>
      </c>
      <c r="O30" s="504">
        <v>0</v>
      </c>
    </row>
    <row r="31" ht="28.5" hidden="1" spans="2:15">
      <c r="B31" s="20">
        <v>19</v>
      </c>
      <c r="C31" s="505" t="s">
        <v>590</v>
      </c>
      <c r="D31" s="504">
        <f t="shared" ref="D31:I32" si="3">D64+D97</f>
        <v>0</v>
      </c>
      <c r="E31" s="504">
        <f t="shared" si="3"/>
        <v>0</v>
      </c>
      <c r="F31" s="504">
        <f t="shared" si="3"/>
        <v>0</v>
      </c>
      <c r="G31" s="504">
        <f t="shared" si="3"/>
        <v>0</v>
      </c>
      <c r="H31" s="504">
        <f t="shared" si="3"/>
        <v>0</v>
      </c>
      <c r="I31" s="504">
        <f t="shared" si="3"/>
        <v>0</v>
      </c>
      <c r="J31" s="504">
        <f>J64+J97</f>
        <v>0</v>
      </c>
      <c r="K31" s="504">
        <v>0</v>
      </c>
      <c r="L31" s="504">
        <v>0</v>
      </c>
      <c r="M31" s="504">
        <v>0</v>
      </c>
      <c r="N31" s="504">
        <v>0</v>
      </c>
      <c r="O31" s="504">
        <v>0</v>
      </c>
    </row>
    <row r="32" hidden="1" spans="2:15">
      <c r="B32" s="20">
        <v>20</v>
      </c>
      <c r="C32" s="354" t="s">
        <v>440</v>
      </c>
      <c r="D32" s="504">
        <f t="shared" si="3"/>
        <v>0</v>
      </c>
      <c r="E32" s="504">
        <f t="shared" si="3"/>
        <v>0</v>
      </c>
      <c r="F32" s="504">
        <f t="shared" si="3"/>
        <v>0</v>
      </c>
      <c r="G32" s="504">
        <f t="shared" si="3"/>
        <v>0</v>
      </c>
      <c r="H32" s="504">
        <f t="shared" si="3"/>
        <v>0</v>
      </c>
      <c r="I32" s="504">
        <f t="shared" si="3"/>
        <v>0</v>
      </c>
      <c r="J32" s="504">
        <f>J65+J98</f>
        <v>0</v>
      </c>
      <c r="K32" s="504">
        <v>0</v>
      </c>
      <c r="L32" s="504">
        <v>0</v>
      </c>
      <c r="M32" s="504">
        <v>0</v>
      </c>
      <c r="N32" s="504">
        <v>0</v>
      </c>
      <c r="O32" s="504">
        <v>0</v>
      </c>
    </row>
    <row r="33" ht="15" spans="2:15">
      <c r="B33" s="6">
        <v>21</v>
      </c>
      <c r="C33" s="358" t="s">
        <v>591</v>
      </c>
      <c r="D33" s="506">
        <f t="shared" ref="D33:J33" si="4">SUM(D10:D32)</f>
        <v>1934.1317888</v>
      </c>
      <c r="E33" s="506">
        <f t="shared" si="4"/>
        <v>1979.6756813</v>
      </c>
      <c r="F33" s="506">
        <f t="shared" si="4"/>
        <v>2347.34061138</v>
      </c>
      <c r="G33" s="506">
        <f t="shared" si="4"/>
        <v>3108.359</v>
      </c>
      <c r="H33" s="506">
        <f t="shared" si="4"/>
        <v>0</v>
      </c>
      <c r="I33" s="506">
        <f t="shared" si="4"/>
        <v>0</v>
      </c>
      <c r="J33" s="506">
        <f t="shared" si="4"/>
        <v>3275.06</v>
      </c>
      <c r="K33" s="506">
        <f ca="1">K35-K34</f>
        <v>3687.98122893574</v>
      </c>
      <c r="L33" s="506">
        <f ca="1">L35-L34</f>
        <v>3901.51534209111</v>
      </c>
      <c r="M33" s="506">
        <f t="shared" ref="M33:O33" si="5">SUM(M10:M32)</f>
        <v>4786.99130569</v>
      </c>
      <c r="N33" s="506">
        <f t="shared" si="5"/>
        <v>5131.6506265091</v>
      </c>
      <c r="O33" s="506">
        <f t="shared" si="5"/>
        <v>5501.2016941392</v>
      </c>
    </row>
    <row r="34" spans="2:15">
      <c r="B34" s="20">
        <v>22</v>
      </c>
      <c r="C34" s="354" t="s">
        <v>592</v>
      </c>
      <c r="D34" s="504"/>
      <c r="E34" s="504"/>
      <c r="F34" s="504"/>
      <c r="G34" s="504"/>
      <c r="H34" s="504"/>
      <c r="I34" s="504"/>
      <c r="J34" s="504">
        <f>'[60]Employee Cost'!E17</f>
        <v>-102.45</v>
      </c>
      <c r="K34" s="504">
        <f ca="1">$J$34/$J$33*K33</f>
        <v>-115.366948057277</v>
      </c>
      <c r="L34" s="504">
        <f ca="1">$J$34/$J$33*L33</f>
        <v>-122.046694349793</v>
      </c>
      <c r="M34" s="504">
        <f>'[60]Employee Cost'!H17</f>
        <v>0</v>
      </c>
      <c r="N34" s="504">
        <f>'[60]Employee Cost'!I17</f>
        <v>0</v>
      </c>
      <c r="O34" s="504">
        <f>'[60]Employee Cost'!J17</f>
        <v>0</v>
      </c>
    </row>
    <row r="35" ht="15" spans="2:15">
      <c r="B35" s="6">
        <v>23</v>
      </c>
      <c r="C35" s="19" t="s">
        <v>593</v>
      </c>
      <c r="D35" s="30">
        <f>D33-D34</f>
        <v>1934.1317888</v>
      </c>
      <c r="E35" s="30">
        <f t="shared" ref="E35:I35" si="6">E33-E34</f>
        <v>1979.6756813</v>
      </c>
      <c r="F35" s="30">
        <f t="shared" si="6"/>
        <v>2347.34061138</v>
      </c>
      <c r="G35" s="30">
        <f t="shared" si="6"/>
        <v>3108.359</v>
      </c>
      <c r="H35" s="30">
        <f t="shared" si="6"/>
        <v>0</v>
      </c>
      <c r="I35" s="30">
        <f t="shared" si="6"/>
        <v>0</v>
      </c>
      <c r="J35" s="30">
        <f>J33+J34</f>
        <v>3172.61</v>
      </c>
      <c r="K35" s="30">
        <f>'[59]O&amp;M Projections New Methodology'!J5</f>
        <v>3572.61428087846</v>
      </c>
      <c r="L35" s="30">
        <f>'[59]O&amp;M Projections New Methodology'!K5</f>
        <v>3779.46864774132</v>
      </c>
      <c r="M35" s="30">
        <f t="shared" ref="M35:O35" si="7">M33+M34</f>
        <v>4786.99130569</v>
      </c>
      <c r="N35" s="30">
        <f t="shared" si="7"/>
        <v>5131.6506265091</v>
      </c>
      <c r="O35" s="30">
        <f t="shared" si="7"/>
        <v>5501.2016941392</v>
      </c>
    </row>
    <row r="36" ht="15" spans="2:15">
      <c r="B36" s="2"/>
      <c r="C36" s="34"/>
      <c r="D36" s="507"/>
      <c r="E36" s="507"/>
      <c r="F36" s="507"/>
      <c r="G36" s="507"/>
      <c r="H36" s="507"/>
      <c r="I36" s="507"/>
      <c r="J36" s="507"/>
      <c r="K36" s="507"/>
      <c r="L36" s="507"/>
      <c r="M36" s="507"/>
      <c r="N36" s="507"/>
      <c r="O36" s="507"/>
    </row>
    <row r="37" s="479" customFormat="1" ht="15" spans="2:10">
      <c r="B37" s="503" t="s">
        <v>764</v>
      </c>
      <c r="C37" s="501"/>
      <c r="D37" s="501"/>
      <c r="E37" s="501"/>
      <c r="F37" s="501"/>
      <c r="G37" s="502"/>
      <c r="H37" s="502"/>
      <c r="I37" s="502"/>
      <c r="J37" s="502"/>
    </row>
    <row r="38" ht="15" spans="12:15">
      <c r="L38" s="33" t="s">
        <v>851</v>
      </c>
      <c r="O38" s="33" t="s">
        <v>109</v>
      </c>
    </row>
    <row r="39" ht="12.75" customHeight="1" spans="2:16">
      <c r="B39" s="6" t="s">
        <v>564</v>
      </c>
      <c r="C39" s="6" t="s">
        <v>110</v>
      </c>
      <c r="D39" s="5" t="s">
        <v>565</v>
      </c>
      <c r="E39" s="5" t="s">
        <v>566</v>
      </c>
      <c r="F39" s="5" t="s">
        <v>567</v>
      </c>
      <c r="G39" s="5" t="s">
        <v>112</v>
      </c>
      <c r="H39" s="5" t="s">
        <v>760</v>
      </c>
      <c r="I39" s="5"/>
      <c r="J39" s="5"/>
      <c r="K39" s="135" t="s">
        <v>114</v>
      </c>
      <c r="L39" s="135"/>
      <c r="M39" s="135"/>
      <c r="N39" s="135"/>
      <c r="O39" s="135"/>
      <c r="P39" s="336"/>
    </row>
    <row r="40" ht="15" spans="2:15">
      <c r="B40" s="6"/>
      <c r="C40" s="6"/>
      <c r="D40" s="5" t="s">
        <v>237</v>
      </c>
      <c r="E40" s="5" t="s">
        <v>237</v>
      </c>
      <c r="F40" s="5" t="s">
        <v>237</v>
      </c>
      <c r="G40" s="5" t="s">
        <v>237</v>
      </c>
      <c r="H40" s="5" t="s">
        <v>119</v>
      </c>
      <c r="I40" s="5" t="s">
        <v>120</v>
      </c>
      <c r="J40" s="5" t="s">
        <v>238</v>
      </c>
      <c r="K40" s="5" t="s">
        <v>514</v>
      </c>
      <c r="L40" s="5" t="s">
        <v>515</v>
      </c>
      <c r="M40" s="5" t="s">
        <v>516</v>
      </c>
      <c r="N40" s="5" t="s">
        <v>517</v>
      </c>
      <c r="O40" s="5" t="s">
        <v>518</v>
      </c>
    </row>
    <row r="41" ht="15" spans="2:15">
      <c r="B41" s="55"/>
      <c r="C41" s="6"/>
      <c r="D41" s="5" t="s">
        <v>128</v>
      </c>
      <c r="E41" s="5" t="s">
        <v>128</v>
      </c>
      <c r="F41" s="5" t="s">
        <v>128</v>
      </c>
      <c r="G41" s="5" t="s">
        <v>128</v>
      </c>
      <c r="H41" s="5" t="s">
        <v>130</v>
      </c>
      <c r="I41" s="5" t="s">
        <v>131</v>
      </c>
      <c r="J41" s="5" t="s">
        <v>128</v>
      </c>
      <c r="K41" s="5" t="s">
        <v>132</v>
      </c>
      <c r="L41" s="5" t="s">
        <v>132</v>
      </c>
      <c r="M41" s="5" t="s">
        <v>132</v>
      </c>
      <c r="N41" s="5" t="s">
        <v>132</v>
      </c>
      <c r="O41" s="5" t="s">
        <v>132</v>
      </c>
    </row>
    <row r="42" hidden="1" spans="1:15">
      <c r="A42" s="508"/>
      <c r="B42" s="20">
        <v>1</v>
      </c>
      <c r="C42" s="354" t="s">
        <v>568</v>
      </c>
      <c r="D42" s="509">
        <v>1127.83715046</v>
      </c>
      <c r="E42" s="509">
        <v>1064.50141995</v>
      </c>
      <c r="F42" s="509">
        <v>1093.527</v>
      </c>
      <c r="G42" s="488">
        <v>1639.944</v>
      </c>
      <c r="H42" s="488"/>
      <c r="I42" s="488"/>
      <c r="J42" s="488">
        <v>1641.42</v>
      </c>
      <c r="K42" s="488">
        <f>90%*K10</f>
        <v>1931.1039</v>
      </c>
      <c r="L42" s="488">
        <f t="shared" ref="L42:O57" si="8">90%*L10</f>
        <v>2066.281173</v>
      </c>
      <c r="M42" s="488">
        <f t="shared" si="8"/>
        <v>2624.17708971</v>
      </c>
      <c r="N42" s="488">
        <f t="shared" si="8"/>
        <v>2807.8694859897</v>
      </c>
      <c r="O42" s="488">
        <f t="shared" si="8"/>
        <v>3004.42035000898</v>
      </c>
    </row>
    <row r="43" hidden="1" spans="1:15">
      <c r="A43" s="508"/>
      <c r="B43" s="20">
        <v>2</v>
      </c>
      <c r="C43" s="354" t="s">
        <v>569</v>
      </c>
      <c r="D43" s="509">
        <v>82.90508454</v>
      </c>
      <c r="E43" s="509">
        <v>155.7423297</v>
      </c>
      <c r="F43" s="509">
        <v>228.591</v>
      </c>
      <c r="G43" s="488">
        <v>74.907</v>
      </c>
      <c r="H43" s="488"/>
      <c r="I43" s="488"/>
      <c r="J43" s="488">
        <v>98.532</v>
      </c>
      <c r="K43" s="488">
        <f t="shared" ref="K43:K57" si="9">90%*K11</f>
        <v>0</v>
      </c>
      <c r="L43" s="488">
        <f t="shared" si="8"/>
        <v>0</v>
      </c>
      <c r="M43" s="488">
        <f t="shared" si="8"/>
        <v>0</v>
      </c>
      <c r="N43" s="488">
        <f t="shared" si="8"/>
        <v>0</v>
      </c>
      <c r="O43" s="488">
        <f t="shared" si="8"/>
        <v>0</v>
      </c>
    </row>
    <row r="44" hidden="1" spans="1:15">
      <c r="A44" s="510"/>
      <c r="B44" s="20">
        <v>3</v>
      </c>
      <c r="C44" s="21" t="s">
        <v>570</v>
      </c>
      <c r="D44" s="509">
        <v>138.99096207</v>
      </c>
      <c r="E44" s="509">
        <v>149.83108209</v>
      </c>
      <c r="F44" s="509">
        <v>162.954</v>
      </c>
      <c r="G44" s="488">
        <v>239.85</v>
      </c>
      <c r="H44" s="488"/>
      <c r="I44" s="488"/>
      <c r="J44" s="488">
        <v>247.932</v>
      </c>
      <c r="K44" s="488">
        <f t="shared" si="9"/>
        <v>0</v>
      </c>
      <c r="L44" s="488">
        <f t="shared" si="8"/>
        <v>0</v>
      </c>
      <c r="M44" s="488">
        <f t="shared" si="8"/>
        <v>0</v>
      </c>
      <c r="N44" s="488">
        <f t="shared" si="8"/>
        <v>0</v>
      </c>
      <c r="O44" s="488">
        <f t="shared" si="8"/>
        <v>0</v>
      </c>
    </row>
    <row r="45" hidden="1" spans="1:15">
      <c r="A45" s="508"/>
      <c r="B45" s="20">
        <v>4</v>
      </c>
      <c r="C45" s="354" t="s">
        <v>571</v>
      </c>
      <c r="D45" s="509">
        <v>14.91878475</v>
      </c>
      <c r="E45" s="509">
        <v>20.40756093</v>
      </c>
      <c r="F45" s="509">
        <v>20.61</v>
      </c>
      <c r="G45" s="488">
        <v>21.024</v>
      </c>
      <c r="H45" s="488"/>
      <c r="I45" s="488"/>
      <c r="J45" s="488">
        <v>21.492</v>
      </c>
      <c r="K45" s="488">
        <f t="shared" si="9"/>
        <v>0</v>
      </c>
      <c r="L45" s="488">
        <f t="shared" si="8"/>
        <v>0</v>
      </c>
      <c r="M45" s="488">
        <f t="shared" si="8"/>
        <v>0</v>
      </c>
      <c r="N45" s="488">
        <f t="shared" si="8"/>
        <v>0</v>
      </c>
      <c r="O45" s="488">
        <f t="shared" si="8"/>
        <v>0</v>
      </c>
    </row>
    <row r="46" hidden="1" spans="1:15">
      <c r="A46" s="508"/>
      <c r="B46" s="20">
        <v>5</v>
      </c>
      <c r="C46" s="354" t="s">
        <v>572</v>
      </c>
      <c r="D46" s="509">
        <v>0</v>
      </c>
      <c r="E46" s="509">
        <v>0</v>
      </c>
      <c r="F46" s="509">
        <v>0</v>
      </c>
      <c r="G46" s="488">
        <v>0</v>
      </c>
      <c r="H46" s="488"/>
      <c r="I46" s="488"/>
      <c r="J46" s="488">
        <v>0</v>
      </c>
      <c r="K46" s="488">
        <f t="shared" si="9"/>
        <v>0</v>
      </c>
      <c r="L46" s="488">
        <f t="shared" si="8"/>
        <v>0</v>
      </c>
      <c r="M46" s="488">
        <f t="shared" si="8"/>
        <v>0</v>
      </c>
      <c r="N46" s="488">
        <f t="shared" si="8"/>
        <v>0</v>
      </c>
      <c r="O46" s="488">
        <f t="shared" si="8"/>
        <v>0</v>
      </c>
    </row>
    <row r="47" hidden="1" spans="1:15">
      <c r="A47" s="510"/>
      <c r="B47" s="20">
        <v>6</v>
      </c>
      <c r="C47" s="21" t="s">
        <v>573</v>
      </c>
      <c r="D47" s="509">
        <v>39.9577221</v>
      </c>
      <c r="E47" s="509">
        <v>39.82979025</v>
      </c>
      <c r="F47" s="509">
        <v>42.534</v>
      </c>
      <c r="G47" s="488">
        <v>50.913</v>
      </c>
      <c r="H47" s="488"/>
      <c r="I47" s="488"/>
      <c r="J47" s="488">
        <v>64.341</v>
      </c>
      <c r="K47" s="488">
        <f t="shared" si="9"/>
        <v>0</v>
      </c>
      <c r="L47" s="488">
        <f t="shared" si="8"/>
        <v>0</v>
      </c>
      <c r="M47" s="488">
        <f t="shared" si="8"/>
        <v>0</v>
      </c>
      <c r="N47" s="488">
        <f t="shared" si="8"/>
        <v>0</v>
      </c>
      <c r="O47" s="488">
        <f t="shared" si="8"/>
        <v>0</v>
      </c>
    </row>
    <row r="48" hidden="1" spans="1:15">
      <c r="A48" s="508"/>
      <c r="B48" s="20">
        <v>7</v>
      </c>
      <c r="C48" s="354" t="s">
        <v>574</v>
      </c>
      <c r="D48" s="509">
        <v>29.82716901</v>
      </c>
      <c r="E48" s="509">
        <v>29.92469076</v>
      </c>
      <c r="F48" s="509">
        <v>30.798</v>
      </c>
      <c r="G48" s="488">
        <v>38.817</v>
      </c>
      <c r="H48" s="488"/>
      <c r="I48" s="488"/>
      <c r="J48" s="488">
        <v>43.848</v>
      </c>
      <c r="K48" s="488">
        <f t="shared" si="9"/>
        <v>0</v>
      </c>
      <c r="L48" s="488">
        <f t="shared" si="8"/>
        <v>0</v>
      </c>
      <c r="M48" s="488">
        <f t="shared" si="8"/>
        <v>0</v>
      </c>
      <c r="N48" s="488">
        <f t="shared" si="8"/>
        <v>0</v>
      </c>
      <c r="O48" s="488">
        <f t="shared" si="8"/>
        <v>0</v>
      </c>
    </row>
    <row r="49" hidden="1" spans="1:15">
      <c r="A49" s="508"/>
      <c r="B49" s="20">
        <v>8</v>
      </c>
      <c r="C49" s="354" t="s">
        <v>575</v>
      </c>
      <c r="D49" s="509">
        <v>35.62598682</v>
      </c>
      <c r="E49" s="509">
        <v>41.0098428</v>
      </c>
      <c r="F49" s="509">
        <v>466.308</v>
      </c>
      <c r="G49" s="488">
        <v>325.152</v>
      </c>
      <c r="H49" s="488"/>
      <c r="I49" s="488"/>
      <c r="J49" s="488">
        <v>90</v>
      </c>
      <c r="K49" s="488">
        <f t="shared" si="9"/>
        <v>0</v>
      </c>
      <c r="L49" s="488">
        <f t="shared" si="8"/>
        <v>0</v>
      </c>
      <c r="M49" s="488">
        <f t="shared" si="8"/>
        <v>0</v>
      </c>
      <c r="N49" s="488">
        <f t="shared" si="8"/>
        <v>0</v>
      </c>
      <c r="O49" s="488">
        <f t="shared" si="8"/>
        <v>0</v>
      </c>
    </row>
    <row r="50" hidden="1" spans="1:15">
      <c r="A50" s="508"/>
      <c r="B50" s="20">
        <v>9</v>
      </c>
      <c r="C50" s="354" t="s">
        <v>576</v>
      </c>
      <c r="D50" s="509">
        <v>0</v>
      </c>
      <c r="E50" s="509">
        <v>0</v>
      </c>
      <c r="F50" s="509">
        <v>0</v>
      </c>
      <c r="G50" s="488">
        <v>0</v>
      </c>
      <c r="H50" s="488"/>
      <c r="I50" s="488"/>
      <c r="J50" s="488">
        <v>0</v>
      </c>
      <c r="K50" s="488">
        <f t="shared" si="9"/>
        <v>0</v>
      </c>
      <c r="L50" s="488">
        <f t="shared" si="8"/>
        <v>0</v>
      </c>
      <c r="M50" s="488">
        <f t="shared" si="8"/>
        <v>0</v>
      </c>
      <c r="N50" s="488">
        <f t="shared" si="8"/>
        <v>0</v>
      </c>
      <c r="O50" s="488">
        <f t="shared" si="8"/>
        <v>0</v>
      </c>
    </row>
    <row r="51" hidden="1" spans="1:15">
      <c r="A51" s="508"/>
      <c r="B51" s="20">
        <v>10</v>
      </c>
      <c r="C51" s="354" t="s">
        <v>577</v>
      </c>
      <c r="D51" s="509">
        <v>0</v>
      </c>
      <c r="E51" s="509">
        <v>0</v>
      </c>
      <c r="F51" s="509">
        <v>0</v>
      </c>
      <c r="G51" s="488">
        <v>0.459</v>
      </c>
      <c r="H51" s="488"/>
      <c r="I51" s="488"/>
      <c r="J51" s="488">
        <v>0.18</v>
      </c>
      <c r="K51" s="488">
        <f t="shared" si="9"/>
        <v>0</v>
      </c>
      <c r="L51" s="488">
        <f t="shared" si="8"/>
        <v>0</v>
      </c>
      <c r="M51" s="488">
        <f t="shared" si="8"/>
        <v>0</v>
      </c>
      <c r="N51" s="488">
        <f t="shared" si="8"/>
        <v>0</v>
      </c>
      <c r="O51" s="488">
        <f t="shared" si="8"/>
        <v>0</v>
      </c>
    </row>
    <row r="52" hidden="1" spans="1:15">
      <c r="A52" s="508"/>
      <c r="B52" s="20">
        <v>11</v>
      </c>
      <c r="C52" s="354" t="s">
        <v>578</v>
      </c>
      <c r="D52" s="509">
        <v>-0.01368135</v>
      </c>
      <c r="E52" s="509">
        <v>-0.01190232</v>
      </c>
      <c r="F52" s="509">
        <v>0</v>
      </c>
      <c r="G52" s="488">
        <v>-0.018</v>
      </c>
      <c r="H52" s="488"/>
      <c r="I52" s="488"/>
      <c r="J52" s="488">
        <v>0.081</v>
      </c>
      <c r="K52" s="488">
        <f t="shared" si="9"/>
        <v>0</v>
      </c>
      <c r="L52" s="488">
        <f t="shared" si="8"/>
        <v>0</v>
      </c>
      <c r="M52" s="488">
        <f t="shared" si="8"/>
        <v>0</v>
      </c>
      <c r="N52" s="488">
        <f t="shared" si="8"/>
        <v>0</v>
      </c>
      <c r="O52" s="488">
        <f t="shared" si="8"/>
        <v>0</v>
      </c>
    </row>
    <row r="53" hidden="1" spans="1:15">
      <c r="A53" s="508"/>
      <c r="B53" s="20">
        <v>12</v>
      </c>
      <c r="C53" s="354" t="s">
        <v>579</v>
      </c>
      <c r="D53" s="509">
        <v>22.73797773</v>
      </c>
      <c r="E53" s="509">
        <v>30.72452823</v>
      </c>
      <c r="F53" s="509">
        <v>31.491</v>
      </c>
      <c r="G53" s="488">
        <v>31.662</v>
      </c>
      <c r="H53" s="488"/>
      <c r="I53" s="488"/>
      <c r="J53" s="488">
        <v>32.211</v>
      </c>
      <c r="K53" s="488">
        <f t="shared" si="9"/>
        <v>99.25641</v>
      </c>
      <c r="L53" s="488">
        <f t="shared" si="8"/>
        <v>106.2043587</v>
      </c>
      <c r="M53" s="488">
        <f t="shared" si="8"/>
        <v>134.879535549</v>
      </c>
      <c r="N53" s="488">
        <f t="shared" si="8"/>
        <v>144.32110303743</v>
      </c>
      <c r="O53" s="488">
        <f t="shared" si="8"/>
        <v>154.42358025005</v>
      </c>
    </row>
    <row r="54" hidden="1" spans="1:15">
      <c r="A54" s="508"/>
      <c r="B54" s="20">
        <v>13</v>
      </c>
      <c r="C54" s="354" t="s">
        <v>580</v>
      </c>
      <c r="D54" s="509">
        <v>0</v>
      </c>
      <c r="E54" s="509">
        <v>0</v>
      </c>
      <c r="F54" s="509">
        <v>0</v>
      </c>
      <c r="G54" s="488">
        <v>0</v>
      </c>
      <c r="H54" s="488"/>
      <c r="I54" s="488"/>
      <c r="J54" s="488">
        <v>0</v>
      </c>
      <c r="K54" s="488">
        <f t="shared" si="9"/>
        <v>0</v>
      </c>
      <c r="L54" s="488">
        <f t="shared" si="8"/>
        <v>0</v>
      </c>
      <c r="M54" s="488">
        <f t="shared" si="8"/>
        <v>0</v>
      </c>
      <c r="N54" s="488">
        <f t="shared" si="8"/>
        <v>0</v>
      </c>
      <c r="O54" s="488">
        <f t="shared" si="8"/>
        <v>0</v>
      </c>
    </row>
    <row r="55" hidden="1" spans="1:15">
      <c r="A55" s="508"/>
      <c r="B55" s="20">
        <v>14</v>
      </c>
      <c r="C55" s="354" t="s">
        <v>581</v>
      </c>
      <c r="D55" s="509">
        <v>0.0096201</v>
      </c>
      <c r="E55" s="509">
        <v>0.009162</v>
      </c>
      <c r="F55" s="509">
        <v>0</v>
      </c>
      <c r="G55" s="488">
        <v>0</v>
      </c>
      <c r="H55" s="488"/>
      <c r="I55" s="488"/>
      <c r="J55" s="488">
        <v>0</v>
      </c>
      <c r="K55" s="488">
        <f t="shared" si="9"/>
        <v>2.87937</v>
      </c>
      <c r="L55" s="488">
        <f t="shared" si="8"/>
        <v>3.0809259</v>
      </c>
      <c r="M55" s="488">
        <f t="shared" si="8"/>
        <v>3.912775893</v>
      </c>
      <c r="N55" s="488">
        <f t="shared" si="8"/>
        <v>4.18667020551</v>
      </c>
      <c r="O55" s="488">
        <f t="shared" si="8"/>
        <v>4.4797371198957</v>
      </c>
    </row>
    <row r="56" hidden="1" spans="1:15">
      <c r="A56" s="508"/>
      <c r="B56" s="20">
        <v>15</v>
      </c>
      <c r="C56" s="354" t="s">
        <v>582</v>
      </c>
      <c r="D56" s="509">
        <v>0</v>
      </c>
      <c r="E56" s="509">
        <v>0</v>
      </c>
      <c r="F56" s="509">
        <v>0</v>
      </c>
      <c r="G56" s="488">
        <v>0</v>
      </c>
      <c r="H56" s="488"/>
      <c r="I56" s="488"/>
      <c r="J56" s="488">
        <v>0</v>
      </c>
      <c r="K56" s="488">
        <f t="shared" si="9"/>
        <v>0</v>
      </c>
      <c r="L56" s="488">
        <f t="shared" si="8"/>
        <v>0</v>
      </c>
      <c r="M56" s="488">
        <f t="shared" si="8"/>
        <v>0</v>
      </c>
      <c r="N56" s="488">
        <f t="shared" si="8"/>
        <v>0</v>
      </c>
      <c r="O56" s="488">
        <f t="shared" si="8"/>
        <v>0</v>
      </c>
    </row>
    <row r="57" hidden="1" spans="1:15">
      <c r="A57" s="508"/>
      <c r="B57" s="20">
        <v>16</v>
      </c>
      <c r="C57" s="354" t="s">
        <v>583</v>
      </c>
      <c r="D57" s="509">
        <v>0.0038826</v>
      </c>
      <c r="E57" s="509">
        <v>0.0038826</v>
      </c>
      <c r="F57" s="509">
        <v>0</v>
      </c>
      <c r="G57" s="488">
        <v>0</v>
      </c>
      <c r="H57" s="488"/>
      <c r="I57" s="488"/>
      <c r="J57" s="488">
        <v>0</v>
      </c>
      <c r="K57" s="488">
        <f t="shared" si="9"/>
        <v>383.71698</v>
      </c>
      <c r="L57" s="488">
        <f t="shared" si="8"/>
        <v>410.5771686</v>
      </c>
      <c r="M57" s="488">
        <f t="shared" si="8"/>
        <v>521.433004122</v>
      </c>
      <c r="N57" s="488">
        <f t="shared" si="8"/>
        <v>557.93331441054</v>
      </c>
      <c r="O57" s="488">
        <f t="shared" si="8"/>
        <v>596.988646419278</v>
      </c>
    </row>
    <row r="58" hidden="1" spans="2:15">
      <c r="B58" s="20">
        <v>17</v>
      </c>
      <c r="C58" s="354" t="s">
        <v>584</v>
      </c>
      <c r="D58" s="509">
        <v>1492.80065883</v>
      </c>
      <c r="E58" s="509">
        <v>1531.97238699</v>
      </c>
      <c r="F58" s="509">
        <v>2076.813</v>
      </c>
      <c r="G58" s="488">
        <v>2422.71</v>
      </c>
      <c r="H58" s="488"/>
      <c r="I58" s="488"/>
      <c r="J58" s="488">
        <v>2240.037</v>
      </c>
      <c r="K58" s="488">
        <v>0</v>
      </c>
      <c r="L58" s="488">
        <v>0</v>
      </c>
      <c r="M58" s="488">
        <v>0</v>
      </c>
      <c r="N58" s="488">
        <v>0</v>
      </c>
      <c r="O58" s="488">
        <v>0</v>
      </c>
    </row>
    <row r="59" hidden="1" spans="1:15">
      <c r="A59" s="508"/>
      <c r="B59" s="20">
        <v>18</v>
      </c>
      <c r="C59" s="354" t="s">
        <v>585</v>
      </c>
      <c r="D59" s="509">
        <v>174.02142771</v>
      </c>
      <c r="E59" s="509">
        <v>174.58059366</v>
      </c>
      <c r="F59" s="509">
        <v>-18.018</v>
      </c>
      <c r="G59" s="488">
        <v>347.157</v>
      </c>
      <c r="H59" s="488"/>
      <c r="I59" s="488"/>
      <c r="J59" s="488">
        <v>82.62</v>
      </c>
      <c r="K59" s="488">
        <f>90%*K26</f>
        <v>623.04228</v>
      </c>
      <c r="L59" s="488">
        <f t="shared" ref="L59:O59" si="10">90%*L26</f>
        <v>672.8856624</v>
      </c>
      <c r="M59" s="488">
        <f t="shared" si="10"/>
        <v>861.293647872</v>
      </c>
      <c r="N59" s="488">
        <f t="shared" si="10"/>
        <v>930.19713970176</v>
      </c>
      <c r="O59" s="488">
        <f t="shared" si="10"/>
        <v>1004.6129108779</v>
      </c>
    </row>
    <row r="60" hidden="1" spans="1:15">
      <c r="A60" s="508"/>
      <c r="B60" s="20">
        <f>+B59+0.1</f>
        <v>18.1</v>
      </c>
      <c r="C60" s="354" t="s">
        <v>586</v>
      </c>
      <c r="D60" s="509">
        <v>73.89652338</v>
      </c>
      <c r="E60" s="509">
        <v>79.70952177</v>
      </c>
      <c r="F60" s="509">
        <v>90.072</v>
      </c>
      <c r="G60" s="488">
        <v>99.729</v>
      </c>
      <c r="H60" s="488"/>
      <c r="I60" s="488"/>
      <c r="J60" s="488">
        <v>130.635</v>
      </c>
      <c r="K60" s="488">
        <f t="shared" ref="K60:O68" si="11">90%*K27</f>
        <v>119.65275</v>
      </c>
      <c r="L60" s="488">
        <f t="shared" si="11"/>
        <v>128.0284425</v>
      </c>
      <c r="M60" s="488">
        <f t="shared" si="11"/>
        <v>162.596121975</v>
      </c>
      <c r="N60" s="488">
        <f t="shared" si="11"/>
        <v>173.97785051325</v>
      </c>
      <c r="O60" s="488">
        <f t="shared" si="11"/>
        <v>186.156300049178</v>
      </c>
    </row>
    <row r="61" hidden="1" spans="1:15">
      <c r="A61" s="508"/>
      <c r="B61" s="20">
        <f>+B60+0.1</f>
        <v>18.2</v>
      </c>
      <c r="C61" s="354" t="s">
        <v>587</v>
      </c>
      <c r="D61" s="509">
        <v>0</v>
      </c>
      <c r="E61" s="509">
        <v>0</v>
      </c>
      <c r="F61" s="509">
        <v>0</v>
      </c>
      <c r="G61" s="488">
        <v>0</v>
      </c>
      <c r="H61" s="488"/>
      <c r="I61" s="488"/>
      <c r="J61" s="488">
        <v>0</v>
      </c>
      <c r="K61" s="488">
        <f t="shared" si="11"/>
        <v>0</v>
      </c>
      <c r="L61" s="488">
        <f t="shared" si="11"/>
        <v>0</v>
      </c>
      <c r="M61" s="488">
        <f t="shared" si="11"/>
        <v>0</v>
      </c>
      <c r="N61" s="488">
        <f t="shared" si="11"/>
        <v>0</v>
      </c>
      <c r="O61" s="488">
        <f t="shared" si="11"/>
        <v>0</v>
      </c>
    </row>
    <row r="62" hidden="1" spans="1:15">
      <c r="A62" s="508"/>
      <c r="B62" s="20">
        <f>+B61+0.1</f>
        <v>18.3</v>
      </c>
      <c r="C62" s="354" t="s">
        <v>588</v>
      </c>
      <c r="D62" s="509">
        <v>0</v>
      </c>
      <c r="E62" s="509">
        <v>0</v>
      </c>
      <c r="F62" s="509">
        <v>0</v>
      </c>
      <c r="G62" s="488">
        <v>0</v>
      </c>
      <c r="H62" s="488"/>
      <c r="I62" s="488"/>
      <c r="J62" s="488">
        <v>0</v>
      </c>
      <c r="K62" s="488">
        <f t="shared" si="11"/>
        <v>0</v>
      </c>
      <c r="L62" s="488">
        <f t="shared" si="11"/>
        <v>0</v>
      </c>
      <c r="M62" s="488">
        <f t="shared" si="11"/>
        <v>0</v>
      </c>
      <c r="N62" s="488">
        <f t="shared" si="11"/>
        <v>0</v>
      </c>
      <c r="O62" s="488">
        <f t="shared" si="11"/>
        <v>0</v>
      </c>
    </row>
    <row r="63" hidden="1" spans="1:15">
      <c r="A63" s="508"/>
      <c r="B63" s="20">
        <f>+B62+0.1</f>
        <v>18.4</v>
      </c>
      <c r="C63" s="354" t="s">
        <v>589</v>
      </c>
      <c r="D63" s="509">
        <v>0</v>
      </c>
      <c r="E63" s="509">
        <v>0</v>
      </c>
      <c r="F63" s="509">
        <v>0</v>
      </c>
      <c r="G63" s="488">
        <v>0</v>
      </c>
      <c r="H63" s="488"/>
      <c r="I63" s="488"/>
      <c r="J63" s="488">
        <v>0</v>
      </c>
      <c r="K63" s="488">
        <f t="shared" si="11"/>
        <v>0</v>
      </c>
      <c r="L63" s="488">
        <f t="shared" si="11"/>
        <v>0</v>
      </c>
      <c r="M63" s="488">
        <f t="shared" si="11"/>
        <v>0</v>
      </c>
      <c r="N63" s="488">
        <f t="shared" si="11"/>
        <v>0</v>
      </c>
      <c r="O63" s="488">
        <f t="shared" si="11"/>
        <v>0</v>
      </c>
    </row>
    <row r="64" ht="28.5" hidden="1" spans="1:15">
      <c r="A64" s="511"/>
      <c r="B64" s="20">
        <v>19</v>
      </c>
      <c r="C64" s="505" t="s">
        <v>590</v>
      </c>
      <c r="D64" s="509">
        <v>0</v>
      </c>
      <c r="E64" s="509">
        <v>0</v>
      </c>
      <c r="F64" s="509">
        <v>0</v>
      </c>
      <c r="G64" s="488">
        <v>0</v>
      </c>
      <c r="H64" s="488"/>
      <c r="I64" s="488"/>
      <c r="J64" s="488">
        <v>0</v>
      </c>
      <c r="K64" s="488">
        <f t="shared" si="11"/>
        <v>0</v>
      </c>
      <c r="L64" s="488">
        <f t="shared" si="11"/>
        <v>0</v>
      </c>
      <c r="M64" s="488">
        <f t="shared" si="11"/>
        <v>0</v>
      </c>
      <c r="N64" s="488">
        <f t="shared" si="11"/>
        <v>0</v>
      </c>
      <c r="O64" s="488">
        <f t="shared" si="11"/>
        <v>0</v>
      </c>
    </row>
    <row r="65" hidden="1" spans="1:15">
      <c r="A65" s="508"/>
      <c r="B65" s="20">
        <v>20</v>
      </c>
      <c r="C65" s="354" t="s">
        <v>440</v>
      </c>
      <c r="D65" s="509">
        <v>0</v>
      </c>
      <c r="E65" s="509">
        <v>0</v>
      </c>
      <c r="F65" s="509">
        <v>0</v>
      </c>
      <c r="G65" s="488">
        <v>0</v>
      </c>
      <c r="H65" s="488"/>
      <c r="I65" s="488"/>
      <c r="J65" s="488">
        <v>0</v>
      </c>
      <c r="K65" s="488">
        <f t="shared" si="11"/>
        <v>0</v>
      </c>
      <c r="L65" s="488">
        <f t="shared" si="11"/>
        <v>0</v>
      </c>
      <c r="M65" s="488">
        <f t="shared" si="11"/>
        <v>0</v>
      </c>
      <c r="N65" s="488">
        <f t="shared" si="11"/>
        <v>0</v>
      </c>
      <c r="O65" s="488">
        <f t="shared" si="11"/>
        <v>0</v>
      </c>
    </row>
    <row r="66" ht="15" spans="1:15">
      <c r="A66" s="481"/>
      <c r="B66" s="6">
        <v>21</v>
      </c>
      <c r="C66" s="358" t="s">
        <v>591</v>
      </c>
      <c r="D66" s="512">
        <f>SUM(D42:D65)</f>
        <v>3233.51926875</v>
      </c>
      <c r="E66" s="512">
        <f t="shared" ref="E66:J66" si="12">SUM(E42:E65)</f>
        <v>3318.23488941</v>
      </c>
      <c r="F66" s="512">
        <f t="shared" si="12"/>
        <v>4225.68</v>
      </c>
      <c r="G66" s="512">
        <f t="shared" si="12"/>
        <v>5292.306</v>
      </c>
      <c r="H66" s="512">
        <f t="shared" si="12"/>
        <v>0</v>
      </c>
      <c r="I66" s="512">
        <f t="shared" si="12"/>
        <v>0</v>
      </c>
      <c r="J66" s="512">
        <f t="shared" si="12"/>
        <v>4693.329</v>
      </c>
      <c r="K66" s="506">
        <f ca="1" t="shared" si="11"/>
        <v>3319.18310604216</v>
      </c>
      <c r="L66" s="506">
        <f ca="1" t="shared" si="11"/>
        <v>3511.363807882</v>
      </c>
      <c r="M66" s="506">
        <f t="shared" ref="M66:O66" si="13">SUM(M42:M65)</f>
        <v>4308.292175121</v>
      </c>
      <c r="N66" s="506">
        <f t="shared" si="13"/>
        <v>4618.48556385819</v>
      </c>
      <c r="O66" s="506">
        <f t="shared" si="13"/>
        <v>4951.08152472528</v>
      </c>
    </row>
    <row r="67" spans="1:15">
      <c r="A67" s="508"/>
      <c r="B67" s="20">
        <v>22</v>
      </c>
      <c r="C67" s="354" t="s">
        <v>592</v>
      </c>
      <c r="D67" s="509">
        <v>-80.56244916</v>
      </c>
      <c r="E67" s="509">
        <v>-80.56244916</v>
      </c>
      <c r="F67" s="509">
        <v>-77.805</v>
      </c>
      <c r="G67" s="488">
        <v>-88.002</v>
      </c>
      <c r="H67" s="509"/>
      <c r="I67" s="509"/>
      <c r="J67" s="488">
        <f>90%*J34</f>
        <v>-92.205</v>
      </c>
      <c r="K67" s="488">
        <f ca="1" t="shared" si="11"/>
        <v>-103.830253251549</v>
      </c>
      <c r="L67" s="488">
        <f ca="1" t="shared" si="11"/>
        <v>-109.842024914814</v>
      </c>
      <c r="M67" s="488">
        <f t="shared" si="11"/>
        <v>0</v>
      </c>
      <c r="N67" s="488">
        <f t="shared" si="11"/>
        <v>0</v>
      </c>
      <c r="O67" s="488">
        <f t="shared" si="11"/>
        <v>0</v>
      </c>
    </row>
    <row r="68" ht="15" spans="1:15">
      <c r="A68" s="33"/>
      <c r="B68" s="6">
        <v>23</v>
      </c>
      <c r="C68" s="19" t="s">
        <v>593</v>
      </c>
      <c r="D68" s="492">
        <f>D66-D67</f>
        <v>3314.08171791</v>
      </c>
      <c r="E68" s="492">
        <f t="shared" ref="E68:O68" si="14">E66-E67</f>
        <v>3398.79733857</v>
      </c>
      <c r="F68" s="492">
        <f t="shared" si="14"/>
        <v>4303.485</v>
      </c>
      <c r="G68" s="492">
        <f t="shared" si="14"/>
        <v>5380.308</v>
      </c>
      <c r="H68" s="492">
        <f t="shared" si="14"/>
        <v>0</v>
      </c>
      <c r="I68" s="492">
        <f t="shared" si="14"/>
        <v>0</v>
      </c>
      <c r="J68" s="492">
        <f t="shared" si="14"/>
        <v>4785.534</v>
      </c>
      <c r="K68" s="30">
        <f t="shared" si="11"/>
        <v>3215.35285279061</v>
      </c>
      <c r="L68" s="30">
        <f t="shared" si="11"/>
        <v>3401.52178296719</v>
      </c>
      <c r="M68" s="30">
        <f t="shared" si="14"/>
        <v>4308.292175121</v>
      </c>
      <c r="N68" s="30">
        <f t="shared" si="14"/>
        <v>4618.48556385819</v>
      </c>
      <c r="O68" s="30">
        <f t="shared" si="14"/>
        <v>4951.08152472528</v>
      </c>
    </row>
    <row r="70" ht="15" spans="2:2">
      <c r="B70" s="480" t="s">
        <v>153</v>
      </c>
    </row>
    <row r="71" ht="15" spans="12:15">
      <c r="L71" s="33" t="s">
        <v>851</v>
      </c>
      <c r="O71" s="33" t="s">
        <v>109</v>
      </c>
    </row>
    <row r="72" ht="13.9" customHeight="1" spans="2:16">
      <c r="B72" s="6" t="s">
        <v>564</v>
      </c>
      <c r="C72" s="6" t="s">
        <v>110</v>
      </c>
      <c r="D72" s="5" t="s">
        <v>565</v>
      </c>
      <c r="E72" s="5" t="s">
        <v>566</v>
      </c>
      <c r="F72" s="5" t="s">
        <v>567</v>
      </c>
      <c r="G72" s="5" t="s">
        <v>112</v>
      </c>
      <c r="H72" s="5" t="s">
        <v>760</v>
      </c>
      <c r="I72" s="5"/>
      <c r="J72" s="5"/>
      <c r="K72" s="135" t="s">
        <v>114</v>
      </c>
      <c r="L72" s="135"/>
      <c r="M72" s="135"/>
      <c r="N72" s="135"/>
      <c r="O72" s="135"/>
      <c r="P72" s="336"/>
    </row>
    <row r="73" ht="15" spans="2:15">
      <c r="B73" s="6"/>
      <c r="C73" s="6"/>
      <c r="D73" s="5" t="s">
        <v>237</v>
      </c>
      <c r="E73" s="5" t="s">
        <v>237</v>
      </c>
      <c r="F73" s="5" t="s">
        <v>237</v>
      </c>
      <c r="G73" s="5" t="s">
        <v>237</v>
      </c>
      <c r="H73" s="5" t="s">
        <v>119</v>
      </c>
      <c r="I73" s="5" t="s">
        <v>120</v>
      </c>
      <c r="J73" s="5" t="s">
        <v>238</v>
      </c>
      <c r="K73" s="5" t="s">
        <v>514</v>
      </c>
      <c r="L73" s="5" t="s">
        <v>515</v>
      </c>
      <c r="M73" s="5" t="s">
        <v>516</v>
      </c>
      <c r="N73" s="5" t="s">
        <v>517</v>
      </c>
      <c r="O73" s="5" t="s">
        <v>518</v>
      </c>
    </row>
    <row r="74" ht="15" spans="2:15">
      <c r="B74" s="55"/>
      <c r="C74" s="6"/>
      <c r="D74" s="5" t="s">
        <v>128</v>
      </c>
      <c r="E74" s="5" t="s">
        <v>128</v>
      </c>
      <c r="F74" s="5" t="s">
        <v>128</v>
      </c>
      <c r="G74" s="5" t="s">
        <v>128</v>
      </c>
      <c r="H74" s="5" t="s">
        <v>130</v>
      </c>
      <c r="I74" s="5" t="s">
        <v>131</v>
      </c>
      <c r="J74" s="5" t="s">
        <v>128</v>
      </c>
      <c r="K74" s="5" t="s">
        <v>132</v>
      </c>
      <c r="L74" s="5" t="s">
        <v>132</v>
      </c>
      <c r="M74" s="5" t="s">
        <v>132</v>
      </c>
      <c r="N74" s="5" t="s">
        <v>132</v>
      </c>
      <c r="O74" s="5" t="s">
        <v>132</v>
      </c>
    </row>
    <row r="75" hidden="1" spans="2:15">
      <c r="B75" s="20">
        <v>1</v>
      </c>
      <c r="C75" s="354" t="s">
        <v>568</v>
      </c>
      <c r="D75" s="509">
        <v>125.31523894</v>
      </c>
      <c r="E75" s="509">
        <v>125.31523894</v>
      </c>
      <c r="F75" s="509">
        <v>118.27793555</v>
      </c>
      <c r="G75" s="488">
        <v>121.503</v>
      </c>
      <c r="H75" s="488"/>
      <c r="I75" s="488"/>
      <c r="J75" s="488">
        <v>121.503</v>
      </c>
      <c r="K75" s="488">
        <f>10%*K10</f>
        <v>214.5671</v>
      </c>
      <c r="L75" s="488">
        <f t="shared" ref="L75:O75" si="15">10%*L10</f>
        <v>229.586797</v>
      </c>
      <c r="M75" s="488">
        <f t="shared" si="15"/>
        <v>291.57523219</v>
      </c>
      <c r="N75" s="488">
        <f t="shared" si="15"/>
        <v>311.9854984433</v>
      </c>
      <c r="O75" s="488">
        <f t="shared" si="15"/>
        <v>333.824483334331</v>
      </c>
    </row>
    <row r="76" hidden="1" spans="2:15">
      <c r="B76" s="20">
        <v>2</v>
      </c>
      <c r="C76" s="354" t="s">
        <v>569</v>
      </c>
      <c r="D76" s="509">
        <v>9.21167606</v>
      </c>
      <c r="E76" s="509">
        <v>9.21167606</v>
      </c>
      <c r="F76" s="509">
        <v>17.3047033</v>
      </c>
      <c r="G76" s="488">
        <v>25.399</v>
      </c>
      <c r="H76" s="488"/>
      <c r="I76" s="488"/>
      <c r="J76" s="488">
        <v>25.399</v>
      </c>
      <c r="K76" s="488">
        <f t="shared" ref="K76:O90" si="16">10%*K11</f>
        <v>0</v>
      </c>
      <c r="L76" s="488">
        <f t="shared" si="16"/>
        <v>0</v>
      </c>
      <c r="M76" s="488">
        <f t="shared" si="16"/>
        <v>0</v>
      </c>
      <c r="N76" s="488">
        <f t="shared" si="16"/>
        <v>0</v>
      </c>
      <c r="O76" s="488">
        <f t="shared" si="16"/>
        <v>0</v>
      </c>
    </row>
    <row r="77" hidden="1" spans="2:15">
      <c r="B77" s="20">
        <v>3</v>
      </c>
      <c r="C77" s="21" t="s">
        <v>570</v>
      </c>
      <c r="D77" s="509">
        <v>15.44344023</v>
      </c>
      <c r="E77" s="509">
        <v>15.44344023</v>
      </c>
      <c r="F77" s="509">
        <v>16.64789801</v>
      </c>
      <c r="G77" s="488">
        <v>18.106</v>
      </c>
      <c r="H77" s="488"/>
      <c r="I77" s="488"/>
      <c r="J77" s="488">
        <v>18.106</v>
      </c>
      <c r="K77" s="488">
        <f t="shared" si="16"/>
        <v>0</v>
      </c>
      <c r="L77" s="488">
        <f t="shared" si="16"/>
        <v>0</v>
      </c>
      <c r="M77" s="488">
        <f t="shared" si="16"/>
        <v>0</v>
      </c>
      <c r="N77" s="488">
        <f t="shared" si="16"/>
        <v>0</v>
      </c>
      <c r="O77" s="488">
        <f t="shared" si="16"/>
        <v>0</v>
      </c>
    </row>
    <row r="78" hidden="1" spans="2:15">
      <c r="B78" s="20">
        <v>4</v>
      </c>
      <c r="C78" s="354" t="s">
        <v>571</v>
      </c>
      <c r="D78" s="509">
        <v>1.65764275</v>
      </c>
      <c r="E78" s="509">
        <v>1.65764275</v>
      </c>
      <c r="F78" s="509">
        <v>2.26750677</v>
      </c>
      <c r="G78" s="488">
        <v>2.29</v>
      </c>
      <c r="H78" s="488"/>
      <c r="I78" s="488"/>
      <c r="J78" s="488">
        <v>2.29</v>
      </c>
      <c r="K78" s="488">
        <f t="shared" si="16"/>
        <v>0</v>
      </c>
      <c r="L78" s="488">
        <f t="shared" si="16"/>
        <v>0</v>
      </c>
      <c r="M78" s="488">
        <f t="shared" si="16"/>
        <v>0</v>
      </c>
      <c r="N78" s="488">
        <f t="shared" si="16"/>
        <v>0</v>
      </c>
      <c r="O78" s="488">
        <f t="shared" si="16"/>
        <v>0</v>
      </c>
    </row>
    <row r="79" hidden="1" spans="2:15">
      <c r="B79" s="20">
        <v>5</v>
      </c>
      <c r="C79" s="354" t="s">
        <v>572</v>
      </c>
      <c r="D79" s="509">
        <v>0</v>
      </c>
      <c r="E79" s="509">
        <v>0</v>
      </c>
      <c r="F79" s="509">
        <v>0</v>
      </c>
      <c r="G79" s="488">
        <v>0</v>
      </c>
      <c r="H79" s="488"/>
      <c r="I79" s="488"/>
      <c r="J79" s="488">
        <v>0</v>
      </c>
      <c r="K79" s="488">
        <f t="shared" si="16"/>
        <v>0</v>
      </c>
      <c r="L79" s="488">
        <f t="shared" si="16"/>
        <v>0</v>
      </c>
      <c r="M79" s="488">
        <f t="shared" si="16"/>
        <v>0</v>
      </c>
      <c r="N79" s="488">
        <f t="shared" si="16"/>
        <v>0</v>
      </c>
      <c r="O79" s="488">
        <f t="shared" si="16"/>
        <v>0</v>
      </c>
    </row>
    <row r="80" hidden="1" spans="2:15">
      <c r="B80" s="20">
        <v>6</v>
      </c>
      <c r="C80" s="21" t="s">
        <v>573</v>
      </c>
      <c r="D80" s="509">
        <v>4.4397469</v>
      </c>
      <c r="E80" s="509">
        <v>4.4397469</v>
      </c>
      <c r="F80" s="509">
        <v>4.42553225</v>
      </c>
      <c r="G80" s="488">
        <v>4.726</v>
      </c>
      <c r="H80" s="488"/>
      <c r="I80" s="488"/>
      <c r="J80" s="488">
        <v>4.726</v>
      </c>
      <c r="K80" s="488">
        <f t="shared" si="16"/>
        <v>0</v>
      </c>
      <c r="L80" s="488">
        <f t="shared" si="16"/>
        <v>0</v>
      </c>
      <c r="M80" s="488">
        <f t="shared" si="16"/>
        <v>0</v>
      </c>
      <c r="N80" s="488">
        <f t="shared" si="16"/>
        <v>0</v>
      </c>
      <c r="O80" s="488">
        <f t="shared" si="16"/>
        <v>0</v>
      </c>
    </row>
    <row r="81" hidden="1" spans="2:15">
      <c r="B81" s="20">
        <v>7</v>
      </c>
      <c r="C81" s="354" t="s">
        <v>574</v>
      </c>
      <c r="D81" s="509">
        <v>3.31412989</v>
      </c>
      <c r="E81" s="509">
        <v>3.31412989</v>
      </c>
      <c r="F81" s="509">
        <v>3.32496564</v>
      </c>
      <c r="G81" s="488">
        <v>3.422</v>
      </c>
      <c r="H81" s="488"/>
      <c r="I81" s="488"/>
      <c r="J81" s="488">
        <v>3.422</v>
      </c>
      <c r="K81" s="488">
        <f t="shared" si="16"/>
        <v>0</v>
      </c>
      <c r="L81" s="488">
        <f t="shared" si="16"/>
        <v>0</v>
      </c>
      <c r="M81" s="488">
        <f t="shared" si="16"/>
        <v>0</v>
      </c>
      <c r="N81" s="488">
        <f t="shared" si="16"/>
        <v>0</v>
      </c>
      <c r="O81" s="488">
        <f t="shared" si="16"/>
        <v>0</v>
      </c>
    </row>
    <row r="82" hidden="1" spans="2:15">
      <c r="B82" s="20">
        <v>8</v>
      </c>
      <c r="C82" s="354" t="s">
        <v>575</v>
      </c>
      <c r="D82" s="509">
        <v>3.95844298</v>
      </c>
      <c r="E82" s="509">
        <v>3.95844298</v>
      </c>
      <c r="F82" s="509">
        <v>4.5566492</v>
      </c>
      <c r="G82" s="488">
        <v>51.812</v>
      </c>
      <c r="H82" s="488"/>
      <c r="I82" s="488"/>
      <c r="J82" s="488">
        <v>51.812</v>
      </c>
      <c r="K82" s="488">
        <f t="shared" si="16"/>
        <v>0</v>
      </c>
      <c r="L82" s="488">
        <f t="shared" si="16"/>
        <v>0</v>
      </c>
      <c r="M82" s="488">
        <f t="shared" si="16"/>
        <v>0</v>
      </c>
      <c r="N82" s="488">
        <f t="shared" si="16"/>
        <v>0</v>
      </c>
      <c r="O82" s="488">
        <f t="shared" si="16"/>
        <v>0</v>
      </c>
    </row>
    <row r="83" hidden="1" spans="2:15">
      <c r="B83" s="20">
        <v>9</v>
      </c>
      <c r="C83" s="354" t="s">
        <v>576</v>
      </c>
      <c r="D83" s="509">
        <v>0</v>
      </c>
      <c r="E83" s="509">
        <v>0</v>
      </c>
      <c r="F83" s="509">
        <v>0</v>
      </c>
      <c r="G83" s="488">
        <v>0</v>
      </c>
      <c r="H83" s="488"/>
      <c r="I83" s="488"/>
      <c r="J83" s="488">
        <v>0</v>
      </c>
      <c r="K83" s="488">
        <f t="shared" si="16"/>
        <v>0</v>
      </c>
      <c r="L83" s="488">
        <f t="shared" si="16"/>
        <v>0</v>
      </c>
      <c r="M83" s="488">
        <f t="shared" si="16"/>
        <v>0</v>
      </c>
      <c r="N83" s="488">
        <f t="shared" si="16"/>
        <v>0</v>
      </c>
      <c r="O83" s="488">
        <f t="shared" si="16"/>
        <v>0</v>
      </c>
    </row>
    <row r="84" hidden="1" spans="2:15">
      <c r="B84" s="20">
        <v>10</v>
      </c>
      <c r="C84" s="354" t="s">
        <v>577</v>
      </c>
      <c r="D84" s="509">
        <v>0</v>
      </c>
      <c r="E84" s="509">
        <v>0</v>
      </c>
      <c r="F84" s="509">
        <v>0</v>
      </c>
      <c r="G84" s="488">
        <v>0</v>
      </c>
      <c r="H84" s="488"/>
      <c r="I84" s="488"/>
      <c r="J84" s="488">
        <v>0</v>
      </c>
      <c r="K84" s="488">
        <f t="shared" si="16"/>
        <v>0</v>
      </c>
      <c r="L84" s="488">
        <f t="shared" si="16"/>
        <v>0</v>
      </c>
      <c r="M84" s="488">
        <f t="shared" si="16"/>
        <v>0</v>
      </c>
      <c r="N84" s="488">
        <f t="shared" si="16"/>
        <v>0</v>
      </c>
      <c r="O84" s="488">
        <f t="shared" si="16"/>
        <v>0</v>
      </c>
    </row>
    <row r="85" hidden="1" spans="2:15">
      <c r="B85" s="20">
        <v>11</v>
      </c>
      <c r="C85" s="354" t="s">
        <v>578</v>
      </c>
      <c r="D85" s="509">
        <v>-0.00152015</v>
      </c>
      <c r="E85" s="509">
        <v>-0.00152015</v>
      </c>
      <c r="F85" s="509">
        <v>-0.00132248</v>
      </c>
      <c r="G85" s="488">
        <v>0</v>
      </c>
      <c r="H85" s="488"/>
      <c r="I85" s="488"/>
      <c r="J85" s="488">
        <v>0</v>
      </c>
      <c r="K85" s="488">
        <f t="shared" si="16"/>
        <v>0</v>
      </c>
      <c r="L85" s="488">
        <f t="shared" si="16"/>
        <v>0</v>
      </c>
      <c r="M85" s="488">
        <f t="shared" si="16"/>
        <v>0</v>
      </c>
      <c r="N85" s="488">
        <f t="shared" si="16"/>
        <v>0</v>
      </c>
      <c r="O85" s="488">
        <f t="shared" si="16"/>
        <v>0</v>
      </c>
    </row>
    <row r="86" hidden="1" spans="2:15">
      <c r="B86" s="20">
        <v>12</v>
      </c>
      <c r="C86" s="354" t="s">
        <v>579</v>
      </c>
      <c r="D86" s="509">
        <v>2.52644197</v>
      </c>
      <c r="E86" s="509">
        <v>2.52644197</v>
      </c>
      <c r="F86" s="509">
        <v>3.41383647</v>
      </c>
      <c r="G86" s="488">
        <v>3.499</v>
      </c>
      <c r="H86" s="488"/>
      <c r="I86" s="488"/>
      <c r="J86" s="488">
        <v>3.499</v>
      </c>
      <c r="K86" s="488">
        <f t="shared" si="16"/>
        <v>11.02849</v>
      </c>
      <c r="L86" s="488">
        <f t="shared" si="16"/>
        <v>11.8004843</v>
      </c>
      <c r="M86" s="488">
        <f t="shared" si="16"/>
        <v>14.986615061</v>
      </c>
      <c r="N86" s="488">
        <f t="shared" si="16"/>
        <v>16.03567811527</v>
      </c>
      <c r="O86" s="488">
        <f t="shared" si="16"/>
        <v>17.1581755833389</v>
      </c>
    </row>
    <row r="87" hidden="1" spans="2:15">
      <c r="B87" s="20">
        <v>13</v>
      </c>
      <c r="C87" s="354" t="s">
        <v>580</v>
      </c>
      <c r="D87" s="509">
        <v>0</v>
      </c>
      <c r="E87" s="509">
        <v>0</v>
      </c>
      <c r="F87" s="509">
        <v>0</v>
      </c>
      <c r="G87" s="488">
        <v>0</v>
      </c>
      <c r="H87" s="488"/>
      <c r="I87" s="488"/>
      <c r="J87" s="488">
        <v>0</v>
      </c>
      <c r="K87" s="488">
        <f t="shared" si="16"/>
        <v>0</v>
      </c>
      <c r="L87" s="488">
        <f t="shared" si="16"/>
        <v>0</v>
      </c>
      <c r="M87" s="488">
        <f t="shared" si="16"/>
        <v>0</v>
      </c>
      <c r="N87" s="488">
        <f t="shared" si="16"/>
        <v>0</v>
      </c>
      <c r="O87" s="488">
        <f t="shared" si="16"/>
        <v>0</v>
      </c>
    </row>
    <row r="88" hidden="1" spans="2:15">
      <c r="B88" s="20">
        <v>14</v>
      </c>
      <c r="C88" s="354" t="s">
        <v>581</v>
      </c>
      <c r="D88" s="509">
        <v>0.0010689</v>
      </c>
      <c r="E88" s="509">
        <v>0.0010689</v>
      </c>
      <c r="F88" s="509">
        <v>0.001018</v>
      </c>
      <c r="G88" s="488">
        <v>0</v>
      </c>
      <c r="H88" s="488"/>
      <c r="I88" s="488"/>
      <c r="J88" s="488">
        <v>0</v>
      </c>
      <c r="K88" s="488">
        <f t="shared" si="16"/>
        <v>0.31993</v>
      </c>
      <c r="L88" s="488">
        <f t="shared" si="16"/>
        <v>0.3423251</v>
      </c>
      <c r="M88" s="488">
        <f t="shared" si="16"/>
        <v>0.434752877</v>
      </c>
      <c r="N88" s="488">
        <f t="shared" si="16"/>
        <v>0.46518557839</v>
      </c>
      <c r="O88" s="488">
        <f t="shared" si="16"/>
        <v>0.4977485688773</v>
      </c>
    </row>
    <row r="89" hidden="1" spans="2:15">
      <c r="B89" s="20">
        <v>15</v>
      </c>
      <c r="C89" s="354" t="s">
        <v>582</v>
      </c>
      <c r="D89" s="509">
        <v>0</v>
      </c>
      <c r="E89" s="509">
        <v>0</v>
      </c>
      <c r="F89" s="509">
        <v>0</v>
      </c>
      <c r="G89" s="488">
        <v>0</v>
      </c>
      <c r="H89" s="488"/>
      <c r="I89" s="488"/>
      <c r="J89" s="488">
        <v>0</v>
      </c>
      <c r="K89" s="488">
        <f t="shared" si="16"/>
        <v>0</v>
      </c>
      <c r="L89" s="488">
        <f t="shared" si="16"/>
        <v>0</v>
      </c>
      <c r="M89" s="488">
        <f t="shared" si="16"/>
        <v>0</v>
      </c>
      <c r="N89" s="488">
        <f t="shared" si="16"/>
        <v>0</v>
      </c>
      <c r="O89" s="488">
        <f t="shared" si="16"/>
        <v>0</v>
      </c>
    </row>
    <row r="90" hidden="1" spans="2:15">
      <c r="B90" s="20">
        <v>16</v>
      </c>
      <c r="C90" s="354" t="s">
        <v>583</v>
      </c>
      <c r="D90" s="509">
        <v>0.0004314</v>
      </c>
      <c r="E90" s="509">
        <v>0.0004314</v>
      </c>
      <c r="F90" s="509">
        <v>0.0004314</v>
      </c>
      <c r="G90" s="488">
        <v>0</v>
      </c>
      <c r="H90" s="488"/>
      <c r="I90" s="488"/>
      <c r="J90" s="488">
        <v>0</v>
      </c>
      <c r="K90" s="488">
        <f t="shared" si="16"/>
        <v>42.63522</v>
      </c>
      <c r="L90" s="488">
        <f t="shared" si="16"/>
        <v>45.6196854</v>
      </c>
      <c r="M90" s="488">
        <f t="shared" si="16"/>
        <v>57.937000458</v>
      </c>
      <c r="N90" s="488">
        <f t="shared" si="16"/>
        <v>61.99259049006</v>
      </c>
      <c r="O90" s="488">
        <f t="shared" si="16"/>
        <v>66.3320718243642</v>
      </c>
    </row>
    <row r="91" hidden="1" spans="2:15">
      <c r="B91" s="20">
        <v>17</v>
      </c>
      <c r="C91" s="354" t="s">
        <v>584</v>
      </c>
      <c r="D91" s="509">
        <v>165.86673987</v>
      </c>
      <c r="E91" s="509">
        <v>165.86673987</v>
      </c>
      <c r="F91" s="509">
        <v>170.21915411</v>
      </c>
      <c r="G91" s="488">
        <v>230.757</v>
      </c>
      <c r="H91" s="488"/>
      <c r="I91" s="488"/>
      <c r="J91" s="488">
        <v>230.757</v>
      </c>
      <c r="K91" s="488">
        <v>0</v>
      </c>
      <c r="L91" s="488">
        <v>0</v>
      </c>
      <c r="M91" s="488">
        <v>0</v>
      </c>
      <c r="N91" s="488">
        <v>0</v>
      </c>
      <c r="O91" s="488">
        <v>0</v>
      </c>
    </row>
    <row r="92" hidden="1" spans="2:15">
      <c r="B92" s="20">
        <v>18</v>
      </c>
      <c r="C92" s="354" t="s">
        <v>585</v>
      </c>
      <c r="D92" s="509">
        <v>19.33571419</v>
      </c>
      <c r="E92" s="509">
        <v>19.33571419</v>
      </c>
      <c r="F92" s="509">
        <v>19.39784374</v>
      </c>
      <c r="G92" s="488">
        <v>-2.002</v>
      </c>
      <c r="H92" s="488"/>
      <c r="I92" s="488"/>
      <c r="J92" s="488">
        <v>-2.002</v>
      </c>
      <c r="K92" s="488">
        <f>K26*10%</f>
        <v>69.22692</v>
      </c>
      <c r="L92" s="488">
        <f t="shared" ref="L92:O92" si="17">L26*10%</f>
        <v>74.7650736</v>
      </c>
      <c r="M92" s="488">
        <f t="shared" si="17"/>
        <v>95.699294208</v>
      </c>
      <c r="N92" s="488">
        <f t="shared" si="17"/>
        <v>103.35523774464</v>
      </c>
      <c r="O92" s="488">
        <f t="shared" si="17"/>
        <v>111.623656764211</v>
      </c>
    </row>
    <row r="93" hidden="1" spans="2:15">
      <c r="B93" s="20">
        <f>+B92+0.1</f>
        <v>18.1</v>
      </c>
      <c r="C93" s="354" t="s">
        <v>586</v>
      </c>
      <c r="D93" s="509">
        <v>8.21072482</v>
      </c>
      <c r="E93" s="509">
        <v>8.21072482</v>
      </c>
      <c r="F93" s="509">
        <v>8.85661353</v>
      </c>
      <c r="G93" s="488">
        <v>10.008</v>
      </c>
      <c r="H93" s="488"/>
      <c r="I93" s="488"/>
      <c r="J93" s="488">
        <v>10.008</v>
      </c>
      <c r="K93" s="488">
        <f t="shared" ref="K93:O98" si="18">K27*10%</f>
        <v>13.29475</v>
      </c>
      <c r="L93" s="488">
        <f t="shared" si="18"/>
        <v>14.2253825</v>
      </c>
      <c r="M93" s="488">
        <f t="shared" si="18"/>
        <v>18.066235775</v>
      </c>
      <c r="N93" s="488">
        <f t="shared" si="18"/>
        <v>19.33087227925</v>
      </c>
      <c r="O93" s="488">
        <f t="shared" si="18"/>
        <v>20.6840333387975</v>
      </c>
    </row>
    <row r="94" hidden="1" spans="2:15">
      <c r="B94" s="20">
        <f>+B93+0.1</f>
        <v>18.2</v>
      </c>
      <c r="C94" s="354" t="s">
        <v>587</v>
      </c>
      <c r="D94" s="509">
        <v>0</v>
      </c>
      <c r="E94" s="509">
        <v>0</v>
      </c>
      <c r="F94" s="509">
        <v>0</v>
      </c>
      <c r="G94" s="488">
        <v>0</v>
      </c>
      <c r="H94" s="488"/>
      <c r="I94" s="488"/>
      <c r="J94" s="488">
        <v>0</v>
      </c>
      <c r="K94" s="488">
        <f t="shared" si="18"/>
        <v>0</v>
      </c>
      <c r="L94" s="488">
        <f t="shared" si="18"/>
        <v>0</v>
      </c>
      <c r="M94" s="488">
        <f t="shared" si="18"/>
        <v>0</v>
      </c>
      <c r="N94" s="488">
        <f t="shared" si="18"/>
        <v>0</v>
      </c>
      <c r="O94" s="488">
        <f t="shared" si="18"/>
        <v>0</v>
      </c>
    </row>
    <row r="95" hidden="1" spans="2:15">
      <c r="B95" s="20">
        <f>+B94+0.1</f>
        <v>18.3</v>
      </c>
      <c r="C95" s="354" t="s">
        <v>588</v>
      </c>
      <c r="D95" s="509">
        <v>0</v>
      </c>
      <c r="E95" s="509">
        <v>0</v>
      </c>
      <c r="F95" s="509">
        <v>0</v>
      </c>
      <c r="G95" s="488">
        <v>0</v>
      </c>
      <c r="H95" s="488"/>
      <c r="I95" s="488"/>
      <c r="J95" s="488">
        <v>0</v>
      </c>
      <c r="K95" s="488">
        <f t="shared" si="18"/>
        <v>0</v>
      </c>
      <c r="L95" s="488">
        <f t="shared" si="18"/>
        <v>0</v>
      </c>
      <c r="M95" s="488">
        <f t="shared" si="18"/>
        <v>0</v>
      </c>
      <c r="N95" s="488">
        <f t="shared" si="18"/>
        <v>0</v>
      </c>
      <c r="O95" s="488">
        <f t="shared" si="18"/>
        <v>0</v>
      </c>
    </row>
    <row r="96" hidden="1" spans="2:15">
      <c r="B96" s="20">
        <f>+B95+0.1</f>
        <v>18.4</v>
      </c>
      <c r="C96" s="354" t="s">
        <v>589</v>
      </c>
      <c r="D96" s="509">
        <v>0</v>
      </c>
      <c r="E96" s="509">
        <v>0</v>
      </c>
      <c r="F96" s="509">
        <v>0</v>
      </c>
      <c r="G96" s="488">
        <v>0</v>
      </c>
      <c r="H96" s="488"/>
      <c r="I96" s="488"/>
      <c r="J96" s="488">
        <v>0</v>
      </c>
      <c r="K96" s="488">
        <f t="shared" si="18"/>
        <v>0</v>
      </c>
      <c r="L96" s="488">
        <f t="shared" si="18"/>
        <v>0</v>
      </c>
      <c r="M96" s="488">
        <f t="shared" si="18"/>
        <v>0</v>
      </c>
      <c r="N96" s="488">
        <f t="shared" si="18"/>
        <v>0</v>
      </c>
      <c r="O96" s="488">
        <f t="shared" si="18"/>
        <v>0</v>
      </c>
    </row>
    <row r="97" ht="28.5" hidden="1" spans="2:15">
      <c r="B97" s="20">
        <v>19</v>
      </c>
      <c r="C97" s="505" t="s">
        <v>590</v>
      </c>
      <c r="D97" s="509">
        <v>0</v>
      </c>
      <c r="E97" s="509">
        <v>0</v>
      </c>
      <c r="F97" s="509">
        <v>0</v>
      </c>
      <c r="G97" s="488">
        <v>0</v>
      </c>
      <c r="H97" s="488"/>
      <c r="I97" s="488"/>
      <c r="J97" s="488">
        <v>0</v>
      </c>
      <c r="K97" s="488">
        <f t="shared" si="18"/>
        <v>0</v>
      </c>
      <c r="L97" s="488">
        <f t="shared" si="18"/>
        <v>0</v>
      </c>
      <c r="M97" s="488">
        <f t="shared" si="18"/>
        <v>0</v>
      </c>
      <c r="N97" s="488">
        <f t="shared" si="18"/>
        <v>0</v>
      </c>
      <c r="O97" s="488">
        <f t="shared" si="18"/>
        <v>0</v>
      </c>
    </row>
    <row r="98" hidden="1" spans="2:15">
      <c r="B98" s="20">
        <v>20</v>
      </c>
      <c r="C98" s="354" t="s">
        <v>440</v>
      </c>
      <c r="D98" s="509">
        <v>0</v>
      </c>
      <c r="E98" s="509">
        <v>0</v>
      </c>
      <c r="F98" s="509">
        <v>0</v>
      </c>
      <c r="G98" s="488">
        <v>0</v>
      </c>
      <c r="H98" s="488"/>
      <c r="I98" s="488"/>
      <c r="J98" s="488">
        <v>0</v>
      </c>
      <c r="K98" s="488">
        <f t="shared" si="18"/>
        <v>0</v>
      </c>
      <c r="L98" s="488">
        <f t="shared" si="18"/>
        <v>0</v>
      </c>
      <c r="M98" s="488">
        <f t="shared" si="18"/>
        <v>0</v>
      </c>
      <c r="N98" s="488">
        <f t="shared" si="18"/>
        <v>0</v>
      </c>
      <c r="O98" s="488">
        <f t="shared" si="18"/>
        <v>0</v>
      </c>
    </row>
    <row r="99" ht="15" spans="2:15">
      <c r="B99" s="6">
        <v>21</v>
      </c>
      <c r="C99" s="358" t="s">
        <v>591</v>
      </c>
      <c r="D99" s="512">
        <f>SUM(D75:D98)</f>
        <v>359.27991875</v>
      </c>
      <c r="E99" s="512">
        <f t="shared" ref="E99:O99" si="19">SUM(E75:E98)</f>
        <v>359.27991875</v>
      </c>
      <c r="F99" s="512">
        <f t="shared" si="19"/>
        <v>368.69276549</v>
      </c>
      <c r="G99" s="512">
        <f t="shared" si="19"/>
        <v>469.52</v>
      </c>
      <c r="H99" s="512">
        <f t="shared" si="19"/>
        <v>0</v>
      </c>
      <c r="I99" s="512">
        <f t="shared" si="19"/>
        <v>0</v>
      </c>
      <c r="J99" s="512">
        <f t="shared" si="19"/>
        <v>469.52</v>
      </c>
      <c r="K99" s="506">
        <f ca="1" t="shared" ref="K99:O101" si="20">10%*K33</f>
        <v>368.798122893574</v>
      </c>
      <c r="L99" s="506">
        <f ca="1" t="shared" si="20"/>
        <v>390.151534209111</v>
      </c>
      <c r="M99" s="506">
        <f t="shared" si="19"/>
        <v>478.699130569</v>
      </c>
      <c r="N99" s="506">
        <f t="shared" si="19"/>
        <v>513.16506265091</v>
      </c>
      <c r="O99" s="506">
        <f t="shared" si="19"/>
        <v>550.12016941392</v>
      </c>
    </row>
    <row r="100" spans="2:15">
      <c r="B100" s="20">
        <v>22</v>
      </c>
      <c r="C100" s="354" t="s">
        <v>592</v>
      </c>
      <c r="D100" s="509">
        <v>-8.95138324</v>
      </c>
      <c r="E100" s="509">
        <v>0</v>
      </c>
      <c r="F100" s="509">
        <v>-6.98766477</v>
      </c>
      <c r="G100" s="488">
        <v>-8.645</v>
      </c>
      <c r="H100" s="509"/>
      <c r="I100" s="509"/>
      <c r="J100" s="488">
        <f>10%*J34</f>
        <v>-10.245</v>
      </c>
      <c r="K100" s="488">
        <f ca="1" t="shared" si="20"/>
        <v>-11.5366948057277</v>
      </c>
      <c r="L100" s="488">
        <f ca="1" t="shared" si="20"/>
        <v>-12.2046694349793</v>
      </c>
      <c r="M100" s="488">
        <f t="shared" si="20"/>
        <v>0</v>
      </c>
      <c r="N100" s="488">
        <f t="shared" si="20"/>
        <v>0</v>
      </c>
      <c r="O100" s="488">
        <f t="shared" si="20"/>
        <v>0</v>
      </c>
    </row>
    <row r="101" ht="15" spans="2:15">
      <c r="B101" s="6">
        <v>23</v>
      </c>
      <c r="C101" s="19" t="s">
        <v>593</v>
      </c>
      <c r="D101" s="492">
        <f>D99-D100</f>
        <v>368.23130199</v>
      </c>
      <c r="E101" s="492">
        <f t="shared" ref="E101:O101" si="21">E99-E100</f>
        <v>359.27991875</v>
      </c>
      <c r="F101" s="492">
        <f t="shared" si="21"/>
        <v>375.68043026</v>
      </c>
      <c r="G101" s="492">
        <f t="shared" si="21"/>
        <v>478.165</v>
      </c>
      <c r="H101" s="492">
        <f t="shared" si="21"/>
        <v>0</v>
      </c>
      <c r="I101" s="492">
        <f t="shared" si="21"/>
        <v>0</v>
      </c>
      <c r="J101" s="492">
        <f t="shared" si="21"/>
        <v>479.765</v>
      </c>
      <c r="K101" s="30">
        <f t="shared" si="20"/>
        <v>357.261428087846</v>
      </c>
      <c r="L101" s="30">
        <f t="shared" si="20"/>
        <v>377.946864774132</v>
      </c>
      <c r="M101" s="30">
        <f t="shared" si="21"/>
        <v>478.699130569</v>
      </c>
      <c r="N101" s="30">
        <f t="shared" si="21"/>
        <v>513.16506265091</v>
      </c>
      <c r="O101" s="30">
        <f t="shared" si="21"/>
        <v>550.12016941392</v>
      </c>
    </row>
  </sheetData>
  <mergeCells count="12">
    <mergeCell ref="H7:J7"/>
    <mergeCell ref="K7:O7"/>
    <mergeCell ref="H39:J39"/>
    <mergeCell ref="K39:O39"/>
    <mergeCell ref="H72:J72"/>
    <mergeCell ref="K72:O72"/>
    <mergeCell ref="B7:B9"/>
    <mergeCell ref="B39:B41"/>
    <mergeCell ref="B72:B74"/>
    <mergeCell ref="C7:C9"/>
    <mergeCell ref="C39:C41"/>
    <mergeCell ref="C72:C74"/>
  </mergeCells>
  <printOptions horizontalCentered="1"/>
  <pageMargins left="0.747916666666667" right="0.747916666666667" top="0.984027777777778" bottom="0.984027777777778" header="0.511805555555556" footer="0.511805555555556"/>
  <pageSetup paperSize="9" scale="90" fitToHeight="0" orientation="portrait" horizontalDpi="600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  <pageSetUpPr fitToPage="1"/>
  </sheetPr>
  <dimension ref="B2:P114"/>
  <sheetViews>
    <sheetView showGridLines="0" view="pageBreakPreview" zoomScale="70" zoomScaleNormal="56" workbookViewId="0">
      <selection activeCell="U113" sqref="U113"/>
    </sheetView>
  </sheetViews>
  <sheetFormatPr defaultColWidth="9.28571428571429" defaultRowHeight="14.25"/>
  <cols>
    <col min="1" max="1" width="6.71428571428571" style="15" customWidth="1"/>
    <col min="2" max="2" width="7" style="15" customWidth="1"/>
    <col min="3" max="3" width="44.2857142857143" style="15" customWidth="1"/>
    <col min="4" max="10" width="15.7142857142857" style="15" hidden="1" customWidth="1"/>
    <col min="11" max="12" width="12.2857142857143" style="15" customWidth="1"/>
    <col min="13" max="13" width="13" style="15" hidden="1" customWidth="1"/>
    <col min="14" max="14" width="13.4285714285714" style="15" hidden="1" customWidth="1"/>
    <col min="15" max="15" width="12.7142857142857" style="15" hidden="1" customWidth="1"/>
    <col min="16" max="16384" width="9.28571428571429" style="15"/>
  </cols>
  <sheetData>
    <row r="2" ht="15" spans="3:12">
      <c r="C2" s="12"/>
      <c r="D2" s="12"/>
      <c r="E2" s="12"/>
      <c r="F2" s="12"/>
      <c r="G2" s="12"/>
      <c r="H2" s="2" t="s">
        <v>758</v>
      </c>
      <c r="I2" s="12"/>
      <c r="J2" s="12"/>
      <c r="K2" s="12"/>
      <c r="L2" s="12"/>
    </row>
    <row r="3" s="479" customFormat="1" ht="15" spans="3:12">
      <c r="C3" s="12"/>
      <c r="D3" s="12"/>
      <c r="E3" s="12"/>
      <c r="F3" s="12"/>
      <c r="G3" s="12"/>
      <c r="H3" s="3" t="s">
        <v>594</v>
      </c>
      <c r="I3" s="12"/>
      <c r="J3" s="12"/>
      <c r="K3" s="12"/>
      <c r="L3" s="12"/>
    </row>
    <row r="4" s="479" customFormat="1" ht="15" spans="3:12">
      <c r="C4" s="12"/>
      <c r="D4" s="12"/>
      <c r="E4" s="12"/>
      <c r="F4" s="12"/>
      <c r="G4" s="12"/>
      <c r="H4" s="3"/>
      <c r="I4" s="12"/>
      <c r="J4" s="12"/>
      <c r="K4" s="12"/>
      <c r="L4" s="12"/>
    </row>
    <row r="5" ht="15" spans="2:2">
      <c r="B5" s="34" t="s">
        <v>763</v>
      </c>
    </row>
    <row r="6" ht="15" spans="12:15">
      <c r="L6" s="33" t="s">
        <v>851</v>
      </c>
      <c r="O6" s="33" t="s">
        <v>109</v>
      </c>
    </row>
    <row r="7" ht="12.75" customHeight="1" spans="2:16">
      <c r="B7" s="5" t="s">
        <v>3</v>
      </c>
      <c r="C7" s="6" t="s">
        <v>110</v>
      </c>
      <c r="D7" s="5" t="s">
        <v>565</v>
      </c>
      <c r="E7" s="5" t="s">
        <v>566</v>
      </c>
      <c r="F7" s="5" t="s">
        <v>567</v>
      </c>
      <c r="G7" s="5" t="s">
        <v>112</v>
      </c>
      <c r="H7" s="5" t="s">
        <v>760</v>
      </c>
      <c r="I7" s="5"/>
      <c r="J7" s="5"/>
      <c r="K7" s="135" t="s">
        <v>114</v>
      </c>
      <c r="L7" s="135"/>
      <c r="M7" s="135"/>
      <c r="N7" s="135"/>
      <c r="O7" s="135"/>
      <c r="P7" s="336"/>
    </row>
    <row r="8" ht="15" spans="2:15">
      <c r="B8" s="5"/>
      <c r="C8" s="6"/>
      <c r="D8" s="5" t="s">
        <v>237</v>
      </c>
      <c r="E8" s="5" t="s">
        <v>237</v>
      </c>
      <c r="F8" s="5" t="s">
        <v>237</v>
      </c>
      <c r="G8" s="5" t="s">
        <v>237</v>
      </c>
      <c r="H8" s="5" t="s">
        <v>119</v>
      </c>
      <c r="I8" s="5" t="s">
        <v>120</v>
      </c>
      <c r="J8" s="5" t="s">
        <v>238</v>
      </c>
      <c r="K8" s="5" t="s">
        <v>514</v>
      </c>
      <c r="L8" s="5" t="s">
        <v>515</v>
      </c>
      <c r="M8" s="5" t="s">
        <v>516</v>
      </c>
      <c r="N8" s="5" t="s">
        <v>517</v>
      </c>
      <c r="O8" s="5" t="s">
        <v>518</v>
      </c>
    </row>
    <row r="9" ht="15" spans="2:15">
      <c r="B9" s="5"/>
      <c r="C9" s="6"/>
      <c r="D9" s="5" t="s">
        <v>128</v>
      </c>
      <c r="E9" s="5" t="s">
        <v>128</v>
      </c>
      <c r="F9" s="5" t="s">
        <v>128</v>
      </c>
      <c r="G9" s="5" t="s">
        <v>128</v>
      </c>
      <c r="H9" s="5" t="s">
        <v>130</v>
      </c>
      <c r="I9" s="5" t="s">
        <v>131</v>
      </c>
      <c r="J9" s="5" t="s">
        <v>128</v>
      </c>
      <c r="K9" s="5" t="s">
        <v>132</v>
      </c>
      <c r="L9" s="5" t="s">
        <v>132</v>
      </c>
      <c r="M9" s="5" t="s">
        <v>132</v>
      </c>
      <c r="N9" s="5" t="s">
        <v>132</v>
      </c>
      <c r="O9" s="5" t="s">
        <v>132</v>
      </c>
    </row>
    <row r="10" hidden="1" spans="2:15">
      <c r="B10" s="21">
        <v>1</v>
      </c>
      <c r="C10" s="976" t="s">
        <v>595</v>
      </c>
      <c r="D10" s="488">
        <f>D47+D84</f>
        <v>5.2498565</v>
      </c>
      <c r="E10" s="488">
        <f t="shared" ref="E10:J10" si="0">E47+E84</f>
        <v>4.12726454</v>
      </c>
      <c r="F10" s="488">
        <f t="shared" si="0"/>
        <v>4.33198565</v>
      </c>
      <c r="G10" s="488">
        <f t="shared" si="0"/>
        <v>5.51998565</v>
      </c>
      <c r="H10" s="488">
        <f t="shared" si="0"/>
        <v>0</v>
      </c>
      <c r="I10" s="488">
        <f t="shared" si="0"/>
        <v>0</v>
      </c>
      <c r="J10" s="488">
        <f t="shared" si="0"/>
        <v>5.17</v>
      </c>
      <c r="K10" s="488">
        <f ca="1">J10/J$38*K$38</f>
        <v>7.40213670153279</v>
      </c>
      <c r="L10" s="488">
        <f ca="1" t="shared" ref="L10:O10" si="1">K10/K$38*L$38</f>
        <v>7.76706204091836</v>
      </c>
      <c r="M10" s="488">
        <f ca="1" t="shared" si="1"/>
        <v>7.28409093433332</v>
      </c>
      <c r="N10" s="488">
        <f ca="1" t="shared" si="1"/>
        <v>7.64319661739594</v>
      </c>
      <c r="O10" s="488">
        <f ca="1" t="shared" si="1"/>
        <v>8.02000621063358</v>
      </c>
    </row>
    <row r="11" hidden="1" spans="2:15">
      <c r="B11" s="21">
        <v>2</v>
      </c>
      <c r="C11" s="487" t="s">
        <v>596</v>
      </c>
      <c r="D11" s="488">
        <f t="shared" ref="D11:J26" si="2">D48+D85</f>
        <v>0.0404141</v>
      </c>
      <c r="E11" s="488">
        <f t="shared" si="2"/>
        <v>0.20099588</v>
      </c>
      <c r="F11" s="488">
        <f t="shared" si="2"/>
        <v>0.32804141</v>
      </c>
      <c r="G11" s="488">
        <f t="shared" si="2"/>
        <v>0.27404141</v>
      </c>
      <c r="H11" s="488">
        <f t="shared" si="2"/>
        <v>0</v>
      </c>
      <c r="I11" s="488">
        <f t="shared" si="2"/>
        <v>0</v>
      </c>
      <c r="J11" s="488">
        <f t="shared" si="2"/>
        <v>0.39</v>
      </c>
      <c r="K11" s="488">
        <f ca="1" t="shared" ref="K11:O37" si="3">J11/J$38*K$38</f>
        <v>0.558381685415433</v>
      </c>
      <c r="L11" s="488">
        <f ca="1" t="shared" si="3"/>
        <v>0.585909902506414</v>
      </c>
      <c r="M11" s="488">
        <f ca="1" t="shared" si="3"/>
        <v>0.549476878992262</v>
      </c>
      <c r="N11" s="488">
        <f ca="1" t="shared" si="3"/>
        <v>0.57656608912658</v>
      </c>
      <c r="O11" s="488">
        <f ca="1" t="shared" si="3"/>
        <v>0.604990797320521</v>
      </c>
    </row>
    <row r="12" hidden="1" spans="2:15">
      <c r="B12" s="21">
        <v>3</v>
      </c>
      <c r="C12" s="487" t="s">
        <v>597</v>
      </c>
      <c r="D12" s="488">
        <f t="shared" si="2"/>
        <v>2.2356406</v>
      </c>
      <c r="E12" s="488">
        <f t="shared" si="2"/>
        <v>2.31011434</v>
      </c>
      <c r="F12" s="488">
        <f t="shared" si="2"/>
        <v>2.49156406</v>
      </c>
      <c r="G12" s="488">
        <f t="shared" si="2"/>
        <v>2.41956406</v>
      </c>
      <c r="H12" s="488">
        <f t="shared" si="2"/>
        <v>0</v>
      </c>
      <c r="I12" s="488">
        <f t="shared" si="2"/>
        <v>0</v>
      </c>
      <c r="J12" s="488">
        <f t="shared" si="2"/>
        <v>2.47</v>
      </c>
      <c r="K12" s="488">
        <f ca="1" t="shared" si="3"/>
        <v>3.53641734096441</v>
      </c>
      <c r="L12" s="488">
        <f ca="1" t="shared" si="3"/>
        <v>3.71076271587396</v>
      </c>
      <c r="M12" s="488">
        <f ca="1" t="shared" si="3"/>
        <v>3.48002023361766</v>
      </c>
      <c r="N12" s="488">
        <f ca="1" t="shared" si="3"/>
        <v>3.65158523113501</v>
      </c>
      <c r="O12" s="488">
        <f ca="1" t="shared" si="3"/>
        <v>3.83160838302997</v>
      </c>
    </row>
    <row r="13" hidden="1" spans="2:15">
      <c r="B13" s="21">
        <v>4</v>
      </c>
      <c r="C13" s="487" t="s">
        <v>598</v>
      </c>
      <c r="D13" s="488">
        <f t="shared" si="2"/>
        <v>2.077349</v>
      </c>
      <c r="E13" s="488">
        <f t="shared" si="2"/>
        <v>1.94790182</v>
      </c>
      <c r="F13" s="488">
        <f t="shared" si="2"/>
        <v>1.1347349</v>
      </c>
      <c r="G13" s="488">
        <f t="shared" si="2"/>
        <v>2.1067349</v>
      </c>
      <c r="H13" s="488">
        <f t="shared" si="2"/>
        <v>0</v>
      </c>
      <c r="I13" s="488">
        <f t="shared" si="2"/>
        <v>0</v>
      </c>
      <c r="J13" s="488">
        <f t="shared" si="2"/>
        <v>3.28</v>
      </c>
      <c r="K13" s="488">
        <f ca="1" t="shared" si="3"/>
        <v>4.69613314913492</v>
      </c>
      <c r="L13" s="488">
        <f ca="1" t="shared" si="3"/>
        <v>4.92765251338728</v>
      </c>
      <c r="M13" s="488">
        <f ca="1" t="shared" si="3"/>
        <v>4.62124144383236</v>
      </c>
      <c r="N13" s="488">
        <f ca="1" t="shared" si="3"/>
        <v>4.84906864701329</v>
      </c>
      <c r="O13" s="488">
        <f ca="1" t="shared" si="3"/>
        <v>5.08812773131105</v>
      </c>
    </row>
    <row r="14" hidden="1" spans="2:15">
      <c r="B14" s="21">
        <v>5</v>
      </c>
      <c r="C14" s="487" t="s">
        <v>599</v>
      </c>
      <c r="D14" s="488">
        <f t="shared" si="2"/>
        <v>37.343403</v>
      </c>
      <c r="E14" s="488">
        <f t="shared" si="2"/>
        <v>32.77039932</v>
      </c>
      <c r="F14" s="488">
        <f t="shared" si="2"/>
        <v>36.3053403</v>
      </c>
      <c r="G14" s="488">
        <f t="shared" si="2"/>
        <v>46.0433403</v>
      </c>
      <c r="H14" s="488">
        <f t="shared" si="2"/>
        <v>0</v>
      </c>
      <c r="I14" s="488">
        <f t="shared" si="2"/>
        <v>0</v>
      </c>
      <c r="J14" s="488">
        <f t="shared" si="2"/>
        <v>49.36</v>
      </c>
      <c r="K14" s="488">
        <f ca="1" t="shared" si="3"/>
        <v>70.6710769028353</v>
      </c>
      <c r="L14" s="488">
        <f ca="1" t="shared" si="3"/>
        <v>74.1551609941451</v>
      </c>
      <c r="M14" s="488">
        <f ca="1" t="shared" si="3"/>
        <v>69.5440480693797</v>
      </c>
      <c r="N14" s="488">
        <f ca="1" t="shared" si="3"/>
        <v>72.9725696392</v>
      </c>
      <c r="O14" s="488">
        <f ca="1" t="shared" si="3"/>
        <v>76.5701173224126</v>
      </c>
    </row>
    <row r="15" hidden="1" spans="2:15">
      <c r="B15" s="21">
        <v>6</v>
      </c>
      <c r="C15" s="487" t="s">
        <v>600</v>
      </c>
      <c r="D15" s="488">
        <f t="shared" si="2"/>
        <v>20.1164301</v>
      </c>
      <c r="E15" s="488">
        <f t="shared" si="2"/>
        <v>17.89693101</v>
      </c>
      <c r="F15" s="488">
        <f t="shared" si="2"/>
        <v>26.94164301</v>
      </c>
      <c r="G15" s="488">
        <f t="shared" si="2"/>
        <v>27.48164301</v>
      </c>
      <c r="H15" s="488">
        <f t="shared" si="2"/>
        <v>0</v>
      </c>
      <c r="I15" s="488">
        <f t="shared" si="2"/>
        <v>0</v>
      </c>
      <c r="J15" s="488">
        <f t="shared" si="2"/>
        <v>25.68</v>
      </c>
      <c r="K15" s="488">
        <f ca="1" t="shared" si="3"/>
        <v>36.7672863627393</v>
      </c>
      <c r="L15" s="488">
        <f ca="1" t="shared" si="3"/>
        <v>38.5799135804223</v>
      </c>
      <c r="M15" s="488">
        <f ca="1" t="shared" si="3"/>
        <v>36.180939109029</v>
      </c>
      <c r="N15" s="488">
        <f ca="1" t="shared" si="3"/>
        <v>37.964659407104</v>
      </c>
      <c r="O15" s="488">
        <f ca="1" t="shared" si="3"/>
        <v>39.8363171158743</v>
      </c>
    </row>
    <row r="16" hidden="1" spans="2:15">
      <c r="B16" s="21">
        <v>7</v>
      </c>
      <c r="C16" s="487" t="s">
        <v>601</v>
      </c>
      <c r="D16" s="488">
        <f t="shared" si="2"/>
        <v>8.1906836</v>
      </c>
      <c r="E16" s="488">
        <f t="shared" si="2"/>
        <v>7.71043874</v>
      </c>
      <c r="F16" s="488">
        <f t="shared" si="2"/>
        <v>7.74006836</v>
      </c>
      <c r="G16" s="488">
        <f t="shared" si="2"/>
        <v>12.49206836</v>
      </c>
      <c r="H16" s="488">
        <f t="shared" si="2"/>
        <v>0</v>
      </c>
      <c r="I16" s="488">
        <f t="shared" si="2"/>
        <v>0</v>
      </c>
      <c r="J16" s="488">
        <f t="shared" si="2"/>
        <v>8.82</v>
      </c>
      <c r="K16" s="488">
        <f ca="1" t="shared" si="3"/>
        <v>12.6280165778567</v>
      </c>
      <c r="L16" s="488">
        <f ca="1" t="shared" si="3"/>
        <v>13.2505777951451</v>
      </c>
      <c r="M16" s="488">
        <f ca="1" t="shared" si="3"/>
        <v>12.4266309556712</v>
      </c>
      <c r="N16" s="488">
        <f ca="1" t="shared" si="3"/>
        <v>13.0392638617857</v>
      </c>
      <c r="O16" s="488">
        <f ca="1" t="shared" si="3"/>
        <v>13.6820995701718</v>
      </c>
    </row>
    <row r="17" hidden="1" spans="2:15">
      <c r="B17" s="21">
        <v>8</v>
      </c>
      <c r="C17" s="487" t="s">
        <v>602</v>
      </c>
      <c r="D17" s="488">
        <f t="shared" si="2"/>
        <v>0.8266267</v>
      </c>
      <c r="E17" s="488">
        <f t="shared" si="2"/>
        <v>1.10099575</v>
      </c>
      <c r="F17" s="488">
        <f t="shared" si="2"/>
        <v>0.54166267</v>
      </c>
      <c r="G17" s="488">
        <f t="shared" si="2"/>
        <v>0.67666267</v>
      </c>
      <c r="H17" s="488">
        <f t="shared" si="2"/>
        <v>0</v>
      </c>
      <c r="I17" s="488">
        <f t="shared" si="2"/>
        <v>0</v>
      </c>
      <c r="J17" s="488">
        <f t="shared" si="2"/>
        <v>0.51</v>
      </c>
      <c r="K17" s="488">
        <f ca="1" t="shared" si="3"/>
        <v>0.730191434774028</v>
      </c>
      <c r="L17" s="488">
        <f ca="1" t="shared" si="3"/>
        <v>0.766189872508388</v>
      </c>
      <c r="M17" s="488">
        <f ca="1" t="shared" si="3"/>
        <v>0.718546687912959</v>
      </c>
      <c r="N17" s="488">
        <f ca="1" t="shared" si="3"/>
        <v>0.753971039627066</v>
      </c>
      <c r="O17" s="488">
        <f ca="1" t="shared" si="3"/>
        <v>0.791141811880682</v>
      </c>
    </row>
    <row r="18" hidden="1" spans="2:15">
      <c r="B18" s="21">
        <v>9</v>
      </c>
      <c r="C18" s="487" t="s">
        <v>603</v>
      </c>
      <c r="D18" s="488">
        <f t="shared" si="2"/>
        <v>0.285328</v>
      </c>
      <c r="E18" s="488">
        <f t="shared" si="2"/>
        <v>0.29269243</v>
      </c>
      <c r="F18" s="488">
        <f t="shared" si="2"/>
        <v>0.3165328</v>
      </c>
      <c r="G18" s="488">
        <f t="shared" si="2"/>
        <v>0.3615328</v>
      </c>
      <c r="H18" s="488">
        <f t="shared" si="2"/>
        <v>0</v>
      </c>
      <c r="I18" s="488">
        <f t="shared" si="2"/>
        <v>0</v>
      </c>
      <c r="J18" s="488">
        <f t="shared" si="2"/>
        <v>0.34</v>
      </c>
      <c r="K18" s="488">
        <f ca="1" t="shared" si="3"/>
        <v>0.486794289849352</v>
      </c>
      <c r="L18" s="488">
        <f ca="1" t="shared" si="3"/>
        <v>0.510793248338925</v>
      </c>
      <c r="M18" s="488">
        <f ca="1" t="shared" si="3"/>
        <v>0.479031125275306</v>
      </c>
      <c r="N18" s="488">
        <f ca="1" t="shared" si="3"/>
        <v>0.502647359751377</v>
      </c>
      <c r="O18" s="488">
        <f ca="1" t="shared" si="3"/>
        <v>0.527427874587121</v>
      </c>
    </row>
    <row r="19" hidden="1" spans="2:15">
      <c r="B19" s="21">
        <v>10</v>
      </c>
      <c r="C19" s="487" t="s">
        <v>604</v>
      </c>
      <c r="D19" s="488">
        <f t="shared" si="2"/>
        <v>0.5616071</v>
      </c>
      <c r="E19" s="488">
        <f t="shared" si="2"/>
        <v>0.44282114</v>
      </c>
      <c r="F19" s="488">
        <f t="shared" si="2"/>
        <v>0.28116071</v>
      </c>
      <c r="G19" s="488">
        <f t="shared" si="2"/>
        <v>0.92916071</v>
      </c>
      <c r="H19" s="488">
        <f t="shared" si="2"/>
        <v>0</v>
      </c>
      <c r="I19" s="488">
        <f t="shared" si="2"/>
        <v>0</v>
      </c>
      <c r="J19" s="488">
        <f t="shared" si="2"/>
        <v>1.62</v>
      </c>
      <c r="K19" s="488">
        <f ca="1" t="shared" si="3"/>
        <v>2.31943161634103</v>
      </c>
      <c r="L19" s="488">
        <f ca="1" t="shared" si="3"/>
        <v>2.43377959502664</v>
      </c>
      <c r="M19" s="488">
        <f ca="1" t="shared" si="3"/>
        <v>2.2824424204294</v>
      </c>
      <c r="N19" s="488">
        <f ca="1" t="shared" si="3"/>
        <v>2.39496683175656</v>
      </c>
      <c r="O19" s="488">
        <f ca="1" t="shared" si="3"/>
        <v>2.51303869656217</v>
      </c>
    </row>
    <row r="20" hidden="1" spans="2:15">
      <c r="B20" s="21">
        <v>11</v>
      </c>
      <c r="C20" s="487" t="s">
        <v>605</v>
      </c>
      <c r="D20" s="488">
        <f t="shared" si="2"/>
        <v>0.0505607</v>
      </c>
      <c r="E20" s="488">
        <f t="shared" si="2"/>
        <v>0.08656574</v>
      </c>
      <c r="F20" s="488">
        <f t="shared" si="2"/>
        <v>0.05905607</v>
      </c>
      <c r="G20" s="488">
        <f t="shared" si="2"/>
        <v>0.13105607</v>
      </c>
      <c r="H20" s="488">
        <f t="shared" si="2"/>
        <v>0</v>
      </c>
      <c r="I20" s="488">
        <f t="shared" si="2"/>
        <v>0</v>
      </c>
      <c r="J20" s="488">
        <f t="shared" si="2"/>
        <v>0.09</v>
      </c>
      <c r="K20" s="488">
        <f ca="1" t="shared" si="3"/>
        <v>0.128857312018946</v>
      </c>
      <c r="L20" s="488">
        <f ca="1" t="shared" si="3"/>
        <v>0.13520997750148</v>
      </c>
      <c r="M20" s="488">
        <f ca="1" t="shared" si="3"/>
        <v>0.126802356690522</v>
      </c>
      <c r="N20" s="488">
        <f ca="1" t="shared" si="3"/>
        <v>0.133053712875365</v>
      </c>
      <c r="O20" s="488">
        <f ca="1" t="shared" si="3"/>
        <v>0.13961326092012</v>
      </c>
    </row>
    <row r="21" hidden="1" spans="2:15">
      <c r="B21" s="21">
        <v>12</v>
      </c>
      <c r="C21" s="487" t="s">
        <v>606</v>
      </c>
      <c r="D21" s="488">
        <f t="shared" si="2"/>
        <v>0</v>
      </c>
      <c r="E21" s="488">
        <f t="shared" si="2"/>
        <v>0</v>
      </c>
      <c r="F21" s="488">
        <f t="shared" si="2"/>
        <v>0</v>
      </c>
      <c r="G21" s="488">
        <f t="shared" si="2"/>
        <v>0</v>
      </c>
      <c r="H21" s="488">
        <f t="shared" si="2"/>
        <v>0</v>
      </c>
      <c r="I21" s="488">
        <f t="shared" si="2"/>
        <v>0</v>
      </c>
      <c r="J21" s="488">
        <f t="shared" si="2"/>
        <v>0</v>
      </c>
      <c r="K21" s="488">
        <f ca="1" t="shared" si="3"/>
        <v>0</v>
      </c>
      <c r="L21" s="488">
        <f ca="1" t="shared" si="3"/>
        <v>0</v>
      </c>
      <c r="M21" s="488">
        <f ca="1" t="shared" si="3"/>
        <v>0</v>
      </c>
      <c r="N21" s="488">
        <f ca="1" t="shared" si="3"/>
        <v>0</v>
      </c>
      <c r="O21" s="488">
        <f ca="1" t="shared" si="3"/>
        <v>0</v>
      </c>
    </row>
    <row r="22" hidden="1" spans="2:15">
      <c r="B22" s="21">
        <v>13</v>
      </c>
      <c r="C22" s="487" t="s">
        <v>607</v>
      </c>
      <c r="D22" s="488">
        <f t="shared" si="2"/>
        <v>6.7557033</v>
      </c>
      <c r="E22" s="488">
        <f t="shared" si="2"/>
        <v>4.96213542</v>
      </c>
      <c r="F22" s="488">
        <f t="shared" si="2"/>
        <v>6.65157033</v>
      </c>
      <c r="G22" s="488">
        <f t="shared" si="2"/>
        <v>6.84057033</v>
      </c>
      <c r="H22" s="488">
        <f t="shared" si="2"/>
        <v>0</v>
      </c>
      <c r="I22" s="488">
        <f t="shared" si="2"/>
        <v>0</v>
      </c>
      <c r="J22" s="488">
        <f t="shared" si="2"/>
        <v>9.98</v>
      </c>
      <c r="K22" s="488">
        <f ca="1" t="shared" si="3"/>
        <v>14.2888441549898</v>
      </c>
      <c r="L22" s="488">
        <f ca="1" t="shared" si="3"/>
        <v>14.9932841718308</v>
      </c>
      <c r="M22" s="488">
        <f ca="1" t="shared" si="3"/>
        <v>14.0609724419046</v>
      </c>
      <c r="N22" s="488">
        <f ca="1" t="shared" si="3"/>
        <v>14.7541783832904</v>
      </c>
      <c r="O22" s="488">
        <f ca="1" t="shared" si="3"/>
        <v>15.4815593775867</v>
      </c>
    </row>
    <row r="23" hidden="1" spans="2:15">
      <c r="B23" s="21">
        <v>14</v>
      </c>
      <c r="C23" s="487" t="s">
        <v>608</v>
      </c>
      <c r="D23" s="488">
        <f t="shared" si="2"/>
        <v>1.7569117</v>
      </c>
      <c r="E23" s="488">
        <f t="shared" si="2"/>
        <v>0.5859235</v>
      </c>
      <c r="F23" s="488">
        <f t="shared" si="2"/>
        <v>1.31869117</v>
      </c>
      <c r="G23" s="488">
        <f t="shared" si="2"/>
        <v>2.00269117</v>
      </c>
      <c r="H23" s="488">
        <f t="shared" si="2"/>
        <v>0</v>
      </c>
      <c r="I23" s="488">
        <f t="shared" si="2"/>
        <v>0</v>
      </c>
      <c r="J23" s="488">
        <f t="shared" si="2"/>
        <v>1.45</v>
      </c>
      <c r="K23" s="488">
        <f ca="1" t="shared" si="3"/>
        <v>2.07603447141635</v>
      </c>
      <c r="L23" s="488">
        <f ca="1" t="shared" si="3"/>
        <v>2.17838297085718</v>
      </c>
      <c r="M23" s="488">
        <f ca="1" t="shared" si="3"/>
        <v>2.04292685779174</v>
      </c>
      <c r="N23" s="488">
        <f ca="1" t="shared" si="3"/>
        <v>2.14364315188087</v>
      </c>
      <c r="O23" s="488">
        <f ca="1" t="shared" si="3"/>
        <v>2.2493247592686</v>
      </c>
    </row>
    <row r="24" hidden="1" spans="2:15">
      <c r="B24" s="21">
        <v>15</v>
      </c>
      <c r="C24" s="487" t="s">
        <v>609</v>
      </c>
      <c r="D24" s="488">
        <f t="shared" si="2"/>
        <v>0</v>
      </c>
      <c r="E24" s="488">
        <f t="shared" si="2"/>
        <v>0</v>
      </c>
      <c r="F24" s="488">
        <f t="shared" si="2"/>
        <v>0</v>
      </c>
      <c r="G24" s="488">
        <f t="shared" si="2"/>
        <v>0</v>
      </c>
      <c r="H24" s="488">
        <f t="shared" si="2"/>
        <v>0</v>
      </c>
      <c r="I24" s="488">
        <f t="shared" si="2"/>
        <v>0</v>
      </c>
      <c r="J24" s="488">
        <f t="shared" si="2"/>
        <v>0</v>
      </c>
      <c r="K24" s="488">
        <f ca="1" t="shared" si="3"/>
        <v>0</v>
      </c>
      <c r="L24" s="488">
        <f ca="1" t="shared" si="3"/>
        <v>0</v>
      </c>
      <c r="M24" s="488">
        <f ca="1" t="shared" si="3"/>
        <v>0</v>
      </c>
      <c r="N24" s="488">
        <f ca="1" t="shared" si="3"/>
        <v>0</v>
      </c>
      <c r="O24" s="488">
        <f ca="1" t="shared" si="3"/>
        <v>0</v>
      </c>
    </row>
    <row r="25" hidden="1" spans="2:15">
      <c r="B25" s="21">
        <v>16</v>
      </c>
      <c r="C25" s="976" t="s">
        <v>610</v>
      </c>
      <c r="D25" s="488">
        <f t="shared" si="2"/>
        <v>0</v>
      </c>
      <c r="E25" s="488">
        <f t="shared" si="2"/>
        <v>0</v>
      </c>
      <c r="F25" s="488">
        <f t="shared" si="2"/>
        <v>0</v>
      </c>
      <c r="G25" s="488">
        <f t="shared" si="2"/>
        <v>0</v>
      </c>
      <c r="H25" s="488">
        <f t="shared" si="2"/>
        <v>0</v>
      </c>
      <c r="I25" s="488">
        <f t="shared" si="2"/>
        <v>0</v>
      </c>
      <c r="J25" s="488">
        <f t="shared" si="2"/>
        <v>0</v>
      </c>
      <c r="K25" s="488">
        <f ca="1" t="shared" si="3"/>
        <v>0</v>
      </c>
      <c r="L25" s="488">
        <f ca="1" t="shared" si="3"/>
        <v>0</v>
      </c>
      <c r="M25" s="488">
        <f ca="1" t="shared" si="3"/>
        <v>0</v>
      </c>
      <c r="N25" s="488">
        <f ca="1" t="shared" si="3"/>
        <v>0</v>
      </c>
      <c r="O25" s="488">
        <f ca="1" t="shared" si="3"/>
        <v>0</v>
      </c>
    </row>
    <row r="26" hidden="1" spans="2:15">
      <c r="B26" s="21">
        <v>17</v>
      </c>
      <c r="C26" s="976" t="s">
        <v>611</v>
      </c>
      <c r="D26" s="488">
        <f t="shared" si="2"/>
        <v>5.932071</v>
      </c>
      <c r="E26" s="488">
        <f t="shared" si="2"/>
        <v>5.932071</v>
      </c>
      <c r="F26" s="488">
        <f t="shared" si="2"/>
        <v>5.9302071</v>
      </c>
      <c r="G26" s="488">
        <f t="shared" si="2"/>
        <v>7.9732071</v>
      </c>
      <c r="H26" s="488">
        <f t="shared" si="2"/>
        <v>0</v>
      </c>
      <c r="I26" s="488">
        <f t="shared" si="2"/>
        <v>0</v>
      </c>
      <c r="J26" s="488">
        <f t="shared" si="2"/>
        <v>9.01</v>
      </c>
      <c r="K26" s="488">
        <f ca="1" t="shared" si="3"/>
        <v>12.9000486810078</v>
      </c>
      <c r="L26" s="488">
        <f ca="1" t="shared" si="3"/>
        <v>13.5360210809815</v>
      </c>
      <c r="M26" s="488">
        <f ca="1" t="shared" si="3"/>
        <v>12.6943248197956</v>
      </c>
      <c r="N26" s="488">
        <f ca="1" t="shared" si="3"/>
        <v>13.3201550334115</v>
      </c>
      <c r="O26" s="488">
        <f ca="1" t="shared" si="3"/>
        <v>13.9768386765587</v>
      </c>
    </row>
    <row r="27" hidden="1" spans="2:15">
      <c r="B27" s="21">
        <v>18</v>
      </c>
      <c r="C27" s="487" t="s">
        <v>612</v>
      </c>
      <c r="D27" s="488">
        <f t="shared" ref="D27:J37" si="4">D64+D101</f>
        <v>0.3742913</v>
      </c>
      <c r="E27" s="488">
        <f t="shared" si="4"/>
        <v>0.30743192</v>
      </c>
      <c r="F27" s="488">
        <f t="shared" si="4"/>
        <v>0.28942913</v>
      </c>
      <c r="G27" s="488">
        <f t="shared" si="4"/>
        <v>0.44242913</v>
      </c>
      <c r="H27" s="488">
        <f t="shared" si="4"/>
        <v>0</v>
      </c>
      <c r="I27" s="488">
        <f t="shared" si="4"/>
        <v>0</v>
      </c>
      <c r="J27" s="488">
        <f t="shared" si="4"/>
        <v>0.41</v>
      </c>
      <c r="K27" s="488">
        <f ca="1" t="shared" si="3"/>
        <v>0.587016643641866</v>
      </c>
      <c r="L27" s="488">
        <f ca="1" t="shared" si="3"/>
        <v>0.61595656417341</v>
      </c>
      <c r="M27" s="488">
        <f ca="1" t="shared" si="3"/>
        <v>0.577655180479045</v>
      </c>
      <c r="N27" s="488">
        <f ca="1" t="shared" si="3"/>
        <v>0.606133580876661</v>
      </c>
      <c r="O27" s="488">
        <f ca="1" t="shared" si="3"/>
        <v>0.636015966413881</v>
      </c>
    </row>
    <row r="28" hidden="1" spans="2:15">
      <c r="B28" s="21">
        <v>19</v>
      </c>
      <c r="C28" s="487" t="s">
        <v>613</v>
      </c>
      <c r="D28" s="488">
        <f t="shared" si="4"/>
        <v>38.3184536</v>
      </c>
      <c r="E28" s="488">
        <f t="shared" si="4"/>
        <v>40.12816667</v>
      </c>
      <c r="F28" s="488">
        <f t="shared" si="4"/>
        <v>8.66484536</v>
      </c>
      <c r="G28" s="488">
        <f t="shared" si="4"/>
        <v>16.32384536</v>
      </c>
      <c r="H28" s="488">
        <f t="shared" si="4"/>
        <v>0</v>
      </c>
      <c r="I28" s="488">
        <f t="shared" si="4"/>
        <v>0</v>
      </c>
      <c r="J28" s="488">
        <f t="shared" si="4"/>
        <v>12.42</v>
      </c>
      <c r="K28" s="488">
        <f ca="1" t="shared" si="3"/>
        <v>17.7823090586146</v>
      </c>
      <c r="L28" s="488">
        <f ca="1" t="shared" si="3"/>
        <v>18.6589768952043</v>
      </c>
      <c r="M28" s="488">
        <f ca="1" t="shared" si="3"/>
        <v>17.4987252232921</v>
      </c>
      <c r="N28" s="488">
        <f ca="1" t="shared" si="3"/>
        <v>18.3614123768003</v>
      </c>
      <c r="O28" s="488">
        <f ca="1" t="shared" si="3"/>
        <v>19.2666300069766</v>
      </c>
    </row>
    <row r="29" hidden="1" spans="2:15">
      <c r="B29" s="21">
        <v>20</v>
      </c>
      <c r="C29" s="487" t="s">
        <v>614</v>
      </c>
      <c r="D29" s="488">
        <f t="shared" si="4"/>
        <v>0</v>
      </c>
      <c r="E29" s="488">
        <f t="shared" si="4"/>
        <v>0</v>
      </c>
      <c r="F29" s="488">
        <f t="shared" si="4"/>
        <v>0</v>
      </c>
      <c r="G29" s="488">
        <f t="shared" si="4"/>
        <v>0</v>
      </c>
      <c r="H29" s="488">
        <f t="shared" si="4"/>
        <v>0</v>
      </c>
      <c r="I29" s="488">
        <f t="shared" si="4"/>
        <v>0</v>
      </c>
      <c r="J29" s="488">
        <f t="shared" si="4"/>
        <v>0</v>
      </c>
      <c r="K29" s="488">
        <f ca="1" t="shared" si="3"/>
        <v>0</v>
      </c>
      <c r="L29" s="488">
        <f ca="1" t="shared" si="3"/>
        <v>0</v>
      </c>
      <c r="M29" s="488">
        <f ca="1" t="shared" si="3"/>
        <v>0</v>
      </c>
      <c r="N29" s="488">
        <f ca="1" t="shared" si="3"/>
        <v>0</v>
      </c>
      <c r="O29" s="488">
        <f ca="1" t="shared" si="3"/>
        <v>0</v>
      </c>
    </row>
    <row r="30" hidden="1" spans="2:15">
      <c r="B30" s="21">
        <v>21</v>
      </c>
      <c r="C30" s="487" t="s">
        <v>615</v>
      </c>
      <c r="D30" s="488">
        <f t="shared" si="4"/>
        <v>13.1880313</v>
      </c>
      <c r="E30" s="488">
        <f t="shared" si="4"/>
        <v>15.81951691</v>
      </c>
      <c r="F30" s="488">
        <f t="shared" si="4"/>
        <v>14.36880313</v>
      </c>
      <c r="G30" s="488">
        <f t="shared" si="4"/>
        <v>16.74480313</v>
      </c>
      <c r="H30" s="488">
        <f t="shared" si="4"/>
        <v>0</v>
      </c>
      <c r="I30" s="488">
        <f t="shared" si="4"/>
        <v>0</v>
      </c>
      <c r="J30" s="488">
        <f t="shared" si="4"/>
        <v>10.87</v>
      </c>
      <c r="K30" s="488">
        <f ca="1" t="shared" si="3"/>
        <v>15.563099796066</v>
      </c>
      <c r="L30" s="488">
        <f ca="1" t="shared" si="3"/>
        <v>16.3303606160121</v>
      </c>
      <c r="M30" s="488">
        <f ca="1" t="shared" si="3"/>
        <v>15.3149068580664</v>
      </c>
      <c r="N30" s="488">
        <f ca="1" t="shared" si="3"/>
        <v>16.069931766169</v>
      </c>
      <c r="O30" s="488">
        <f ca="1" t="shared" si="3"/>
        <v>16.8621794022412</v>
      </c>
    </row>
    <row r="31" hidden="1" spans="2:15">
      <c r="B31" s="21">
        <v>22</v>
      </c>
      <c r="C31" s="487" t="s">
        <v>616</v>
      </c>
      <c r="D31" s="488">
        <f t="shared" si="4"/>
        <v>0</v>
      </c>
      <c r="E31" s="488">
        <f t="shared" si="4"/>
        <v>0</v>
      </c>
      <c r="F31" s="488">
        <f t="shared" si="4"/>
        <v>0</v>
      </c>
      <c r="G31" s="488">
        <f t="shared" si="4"/>
        <v>0</v>
      </c>
      <c r="H31" s="488">
        <f t="shared" si="4"/>
        <v>0</v>
      </c>
      <c r="I31" s="488">
        <f t="shared" si="4"/>
        <v>0</v>
      </c>
      <c r="J31" s="488">
        <f t="shared" si="4"/>
        <v>0</v>
      </c>
      <c r="K31" s="488">
        <f ca="1" t="shared" si="3"/>
        <v>0</v>
      </c>
      <c r="L31" s="488">
        <f ca="1" t="shared" si="3"/>
        <v>0</v>
      </c>
      <c r="M31" s="488">
        <f ca="1" t="shared" si="3"/>
        <v>0</v>
      </c>
      <c r="N31" s="488">
        <f ca="1" t="shared" si="3"/>
        <v>0</v>
      </c>
      <c r="O31" s="488">
        <f ca="1" t="shared" si="3"/>
        <v>0</v>
      </c>
    </row>
    <row r="32" hidden="1" spans="2:15">
      <c r="B32" s="21">
        <v>23</v>
      </c>
      <c r="C32" s="487" t="s">
        <v>617</v>
      </c>
      <c r="D32" s="488">
        <f t="shared" si="4"/>
        <v>2.2295694</v>
      </c>
      <c r="E32" s="488">
        <f t="shared" si="4"/>
        <v>3.65176812</v>
      </c>
      <c r="F32" s="488">
        <f t="shared" si="4"/>
        <v>3.71495694</v>
      </c>
      <c r="G32" s="488">
        <f t="shared" si="4"/>
        <v>4.03895694</v>
      </c>
      <c r="H32" s="488">
        <f t="shared" si="4"/>
        <v>0</v>
      </c>
      <c r="I32" s="488">
        <f t="shared" si="4"/>
        <v>0</v>
      </c>
      <c r="J32" s="488">
        <f t="shared" si="4"/>
        <v>2.32</v>
      </c>
      <c r="K32" s="488">
        <f ca="1" t="shared" si="3"/>
        <v>3.32165515426617</v>
      </c>
      <c r="L32" s="488">
        <f ca="1" t="shared" si="3"/>
        <v>3.48541275337149</v>
      </c>
      <c r="M32" s="488">
        <f ca="1" t="shared" si="3"/>
        <v>3.26868297246679</v>
      </c>
      <c r="N32" s="488">
        <f ca="1" t="shared" si="3"/>
        <v>3.4298290430094</v>
      </c>
      <c r="O32" s="488">
        <f ca="1" t="shared" si="3"/>
        <v>3.59891961482977</v>
      </c>
    </row>
    <row r="33" hidden="1" spans="2:15">
      <c r="B33" s="21">
        <v>24</v>
      </c>
      <c r="C33" s="487" t="s">
        <v>618</v>
      </c>
      <c r="D33" s="488">
        <f t="shared" si="4"/>
        <v>0.08747</v>
      </c>
      <c r="E33" s="488">
        <f t="shared" si="4"/>
        <v>0.07399925</v>
      </c>
      <c r="F33" s="488">
        <f t="shared" si="4"/>
        <v>0.044747</v>
      </c>
      <c r="G33" s="488">
        <f t="shared" si="4"/>
        <v>0.062747</v>
      </c>
      <c r="H33" s="488">
        <f t="shared" si="4"/>
        <v>0</v>
      </c>
      <c r="I33" s="488">
        <f t="shared" si="4"/>
        <v>0</v>
      </c>
      <c r="J33" s="488">
        <f t="shared" si="4"/>
        <v>0.11</v>
      </c>
      <c r="K33" s="488">
        <f ca="1" t="shared" si="3"/>
        <v>0.157492270245379</v>
      </c>
      <c r="L33" s="488">
        <f ca="1" t="shared" si="3"/>
        <v>0.165256639168476</v>
      </c>
      <c r="M33" s="488">
        <f ca="1" t="shared" si="3"/>
        <v>0.154980658177305</v>
      </c>
      <c r="N33" s="488">
        <f ca="1" t="shared" si="3"/>
        <v>0.162621204625446</v>
      </c>
      <c r="O33" s="488">
        <f ca="1" t="shared" si="3"/>
        <v>0.17063843001348</v>
      </c>
    </row>
    <row r="34" hidden="1" spans="2:15">
      <c r="B34" s="21">
        <v>25</v>
      </c>
      <c r="C34" s="487" t="s">
        <v>619</v>
      </c>
      <c r="D34" s="488">
        <f t="shared" si="4"/>
        <v>0</v>
      </c>
      <c r="E34" s="488">
        <f t="shared" si="4"/>
        <v>0</v>
      </c>
      <c r="F34" s="488">
        <f t="shared" si="4"/>
        <v>0</v>
      </c>
      <c r="G34" s="488">
        <f t="shared" si="4"/>
        <v>1.782</v>
      </c>
      <c r="H34" s="488">
        <f t="shared" si="4"/>
        <v>0</v>
      </c>
      <c r="I34" s="488">
        <f t="shared" si="4"/>
        <v>0</v>
      </c>
      <c r="J34" s="488">
        <f t="shared" si="4"/>
        <v>2.41</v>
      </c>
      <c r="K34" s="488">
        <f ca="1" t="shared" si="3"/>
        <v>3.45051246628511</v>
      </c>
      <c r="L34" s="488">
        <f ca="1" t="shared" si="3"/>
        <v>3.62062273087297</v>
      </c>
      <c r="M34" s="488">
        <f ca="1" t="shared" si="3"/>
        <v>3.39548532915731</v>
      </c>
      <c r="N34" s="488">
        <f ca="1" t="shared" si="3"/>
        <v>3.56288275588476</v>
      </c>
      <c r="O34" s="488">
        <f ca="1" t="shared" si="3"/>
        <v>3.73853287574989</v>
      </c>
    </row>
    <row r="35" hidden="1" spans="2:15">
      <c r="B35" s="21">
        <v>26</v>
      </c>
      <c r="C35" s="487" t="s">
        <v>620</v>
      </c>
      <c r="D35" s="488">
        <f t="shared" si="4"/>
        <v>5.7003685</v>
      </c>
      <c r="E35" s="488">
        <f t="shared" si="4"/>
        <v>5.36879248</v>
      </c>
      <c r="F35" s="488">
        <f t="shared" si="4"/>
        <v>3.69303685</v>
      </c>
      <c r="G35" s="488">
        <f t="shared" si="4"/>
        <v>9.18303685</v>
      </c>
      <c r="H35" s="488">
        <f t="shared" si="4"/>
        <v>0</v>
      </c>
      <c r="I35" s="488">
        <f t="shared" si="4"/>
        <v>0</v>
      </c>
      <c r="J35" s="488">
        <f t="shared" si="4"/>
        <v>13.45</v>
      </c>
      <c r="K35" s="488">
        <f ca="1" t="shared" si="3"/>
        <v>19.2570094072758</v>
      </c>
      <c r="L35" s="488">
        <f ca="1" t="shared" si="3"/>
        <v>20.2063799710545</v>
      </c>
      <c r="M35" s="488">
        <f ca="1" t="shared" si="3"/>
        <v>18.9499077498614</v>
      </c>
      <c r="N35" s="488">
        <f ca="1" t="shared" si="3"/>
        <v>19.8841382019295</v>
      </c>
      <c r="O35" s="488">
        <f ca="1" t="shared" si="3"/>
        <v>20.8644262152846</v>
      </c>
    </row>
    <row r="36" hidden="1" spans="2:15">
      <c r="B36" s="21">
        <v>27</v>
      </c>
      <c r="C36" s="487" t="s">
        <v>621</v>
      </c>
      <c r="D36" s="488">
        <f t="shared" si="4"/>
        <v>5.4529457</v>
      </c>
      <c r="E36" s="488">
        <f t="shared" si="4"/>
        <v>3.70390613</v>
      </c>
      <c r="F36" s="488">
        <f t="shared" si="4"/>
        <v>4.19029457</v>
      </c>
      <c r="G36" s="488">
        <f t="shared" si="4"/>
        <v>5.60329457</v>
      </c>
      <c r="H36" s="488">
        <f t="shared" si="4"/>
        <v>0</v>
      </c>
      <c r="I36" s="488">
        <f t="shared" si="4"/>
        <v>0</v>
      </c>
      <c r="J36" s="488">
        <f t="shared" si="4"/>
        <v>7.51</v>
      </c>
      <c r="K36" s="488">
        <f ca="1" t="shared" si="3"/>
        <v>10.7524268140254</v>
      </c>
      <c r="L36" s="488">
        <f ca="1" t="shared" si="3"/>
        <v>11.2825214559568</v>
      </c>
      <c r="M36" s="488">
        <f ca="1" t="shared" si="3"/>
        <v>10.5809522082869</v>
      </c>
      <c r="N36" s="488">
        <f ca="1" t="shared" si="3"/>
        <v>11.1025931521554</v>
      </c>
      <c r="O36" s="488">
        <f ca="1" t="shared" si="3"/>
        <v>11.6499509945567</v>
      </c>
    </row>
    <row r="37" hidden="1" spans="2:15">
      <c r="B37" s="21">
        <v>28</v>
      </c>
      <c r="C37" s="487" t="s">
        <v>440</v>
      </c>
      <c r="D37" s="488">
        <f t="shared" si="4"/>
        <v>1.8815399</v>
      </c>
      <c r="E37" s="488">
        <f t="shared" si="4"/>
        <v>1.02851027</v>
      </c>
      <c r="F37" s="488">
        <f t="shared" si="4"/>
        <v>1.12415399</v>
      </c>
      <c r="G37" s="488">
        <f t="shared" si="4"/>
        <v>0.52115399</v>
      </c>
      <c r="H37" s="488">
        <f t="shared" si="4"/>
        <v>0</v>
      </c>
      <c r="I37" s="488">
        <f t="shared" si="4"/>
        <v>0</v>
      </c>
      <c r="J37" s="488">
        <f t="shared" si="4"/>
        <v>2.41</v>
      </c>
      <c r="K37" s="488">
        <f ca="1" t="shared" si="3"/>
        <v>3.45051246628511</v>
      </c>
      <c r="L37" s="488">
        <f ca="1" t="shared" si="3"/>
        <v>3.62062273087297</v>
      </c>
      <c r="M37" s="488">
        <f ca="1" t="shared" si="3"/>
        <v>3.39548532915731</v>
      </c>
      <c r="N37" s="488">
        <f ca="1" t="shared" si="3"/>
        <v>3.56288275588476</v>
      </c>
      <c r="O37" s="488">
        <f ca="1" t="shared" si="3"/>
        <v>3.73853287574989</v>
      </c>
    </row>
    <row r="38" ht="15" spans="2:15">
      <c r="B38" s="21">
        <v>29</v>
      </c>
      <c r="C38" s="491" t="s">
        <v>622</v>
      </c>
      <c r="D38" s="492">
        <f>SUM(D10:D37)</f>
        <v>158.6552551</v>
      </c>
      <c r="E38" s="492">
        <f t="shared" ref="E38:J38" si="5">SUM(E10:E37)</f>
        <v>150.44934238</v>
      </c>
      <c r="F38" s="492">
        <f t="shared" si="5"/>
        <v>130.46252551</v>
      </c>
      <c r="G38" s="492">
        <f t="shared" si="5"/>
        <v>169.95452551</v>
      </c>
      <c r="H38" s="492">
        <f t="shared" si="5"/>
        <v>0</v>
      </c>
      <c r="I38" s="492">
        <f t="shared" si="5"/>
        <v>0</v>
      </c>
      <c r="J38" s="492">
        <f t="shared" si="5"/>
        <v>170.08</v>
      </c>
      <c r="K38" s="492">
        <f ca="1">K39+K40</f>
        <v>243.511684757582</v>
      </c>
      <c r="L38" s="492">
        <f ca="1">L39+L40</f>
        <v>255.516810816131</v>
      </c>
      <c r="M38" s="492">
        <f>'[59]O&amp;M Projections New Methodology'!L6</f>
        <v>239.6282758436</v>
      </c>
      <c r="N38" s="492">
        <f>'[59]O&amp;M Projections New Methodology'!M6</f>
        <v>251.441949842689</v>
      </c>
      <c r="O38" s="492">
        <f>'[59]O&amp;M Projections New Methodology'!N6</f>
        <v>263.838037969934</v>
      </c>
    </row>
    <row r="39" ht="15" spans="2:15">
      <c r="B39" s="21">
        <v>30</v>
      </c>
      <c r="C39" s="354" t="s">
        <v>592</v>
      </c>
      <c r="D39" s="497"/>
      <c r="E39" s="497"/>
      <c r="F39" s="497"/>
      <c r="G39" s="497"/>
      <c r="H39" s="497"/>
      <c r="I39" s="497"/>
      <c r="J39" s="497">
        <f>J76+J113</f>
        <v>18.07</v>
      </c>
      <c r="K39" s="497">
        <f ca="1">$J$39/$J$38*K38</f>
        <v>25.8716847575817</v>
      </c>
      <c r="L39" s="497">
        <f ca="1">$J$39/$J$38*L38</f>
        <v>27.1471588161305</v>
      </c>
      <c r="M39" s="497">
        <f ca="1" t="shared" ref="M39:O39" si="6">M76+M113</f>
        <v>25.4590953933082</v>
      </c>
      <c r="N39" s="497">
        <f ca="1" t="shared" si="6"/>
        <v>26.7142287961982</v>
      </c>
      <c r="O39" s="497">
        <f ca="1" t="shared" si="6"/>
        <v>28.0312402758508</v>
      </c>
    </row>
    <row r="40" ht="15" spans="2:15">
      <c r="B40" s="21">
        <v>31</v>
      </c>
      <c r="C40" s="19" t="s">
        <v>623</v>
      </c>
      <c r="D40" s="30">
        <f>D38-D39</f>
        <v>158.6552551</v>
      </c>
      <c r="E40" s="30">
        <f t="shared" ref="E40:O40" si="7">E38-E39</f>
        <v>150.44934238</v>
      </c>
      <c r="F40" s="30">
        <f t="shared" si="7"/>
        <v>130.46252551</v>
      </c>
      <c r="G40" s="30">
        <f t="shared" si="7"/>
        <v>169.95452551</v>
      </c>
      <c r="H40" s="30">
        <f t="shared" si="7"/>
        <v>0</v>
      </c>
      <c r="I40" s="30">
        <f t="shared" si="7"/>
        <v>0</v>
      </c>
      <c r="J40" s="30">
        <f t="shared" si="7"/>
        <v>152.01</v>
      </c>
      <c r="K40" s="30">
        <f>'[59]O&amp;M Projections New Methodology'!J6</f>
        <v>217.64</v>
      </c>
      <c r="L40" s="30">
        <f>'[59]O&amp;M Projections New Methodology'!K6</f>
        <v>228.369652</v>
      </c>
      <c r="M40" s="30">
        <f ca="1" t="shared" si="7"/>
        <v>214.169180450292</v>
      </c>
      <c r="N40" s="30">
        <f ca="1" t="shared" si="7"/>
        <v>224.727721046491</v>
      </c>
      <c r="O40" s="30">
        <f ca="1" t="shared" si="7"/>
        <v>235.806797694083</v>
      </c>
    </row>
    <row r="42" ht="15" spans="2:2">
      <c r="B42" s="34" t="s">
        <v>765</v>
      </c>
    </row>
    <row r="43" ht="15" spans="12:15">
      <c r="L43" s="33" t="s">
        <v>851</v>
      </c>
      <c r="O43" s="33" t="s">
        <v>109</v>
      </c>
    </row>
    <row r="44" ht="12.75" customHeight="1" spans="2:16">
      <c r="B44" s="5" t="s">
        <v>3</v>
      </c>
      <c r="C44" s="6" t="s">
        <v>110</v>
      </c>
      <c r="D44" s="5" t="s">
        <v>565</v>
      </c>
      <c r="E44" s="5" t="s">
        <v>566</v>
      </c>
      <c r="F44" s="5" t="s">
        <v>567</v>
      </c>
      <c r="G44" s="5" t="s">
        <v>112</v>
      </c>
      <c r="H44" s="5" t="s">
        <v>760</v>
      </c>
      <c r="I44" s="5"/>
      <c r="J44" s="5"/>
      <c r="K44" s="135" t="s">
        <v>114</v>
      </c>
      <c r="L44" s="135"/>
      <c r="M44" s="135"/>
      <c r="N44" s="135"/>
      <c r="O44" s="135"/>
      <c r="P44" s="336"/>
    </row>
    <row r="45" ht="15" spans="2:15">
      <c r="B45" s="5"/>
      <c r="C45" s="6"/>
      <c r="D45" s="5" t="s">
        <v>237</v>
      </c>
      <c r="E45" s="5" t="s">
        <v>237</v>
      </c>
      <c r="F45" s="5" t="s">
        <v>237</v>
      </c>
      <c r="G45" s="5" t="s">
        <v>237</v>
      </c>
      <c r="H45" s="5" t="s">
        <v>119</v>
      </c>
      <c r="I45" s="5" t="s">
        <v>120</v>
      </c>
      <c r="J45" s="5" t="s">
        <v>238</v>
      </c>
      <c r="K45" s="5" t="s">
        <v>514</v>
      </c>
      <c r="L45" s="5" t="s">
        <v>515</v>
      </c>
      <c r="M45" s="5" t="s">
        <v>516</v>
      </c>
      <c r="N45" s="5" t="s">
        <v>517</v>
      </c>
      <c r="O45" s="5" t="s">
        <v>518</v>
      </c>
    </row>
    <row r="46" ht="15" spans="2:15">
      <c r="B46" s="5"/>
      <c r="C46" s="6"/>
      <c r="D46" s="5" t="s">
        <v>128</v>
      </c>
      <c r="E46" s="5" t="s">
        <v>128</v>
      </c>
      <c r="F46" s="5" t="s">
        <v>128</v>
      </c>
      <c r="G46" s="5" t="s">
        <v>128</v>
      </c>
      <c r="H46" s="5" t="s">
        <v>130</v>
      </c>
      <c r="I46" s="5" t="s">
        <v>131</v>
      </c>
      <c r="J46" s="5" t="s">
        <v>128</v>
      </c>
      <c r="K46" s="5" t="s">
        <v>132</v>
      </c>
      <c r="L46" s="5" t="s">
        <v>132</v>
      </c>
      <c r="M46" s="5" t="s">
        <v>132</v>
      </c>
      <c r="N46" s="5" t="s">
        <v>132</v>
      </c>
      <c r="O46" s="5" t="s">
        <v>132</v>
      </c>
    </row>
    <row r="47" hidden="1" spans="2:15">
      <c r="B47" s="21">
        <v>1</v>
      </c>
      <c r="C47" s="976" t="s">
        <v>595</v>
      </c>
      <c r="D47" s="488">
        <v>4.72487085</v>
      </c>
      <c r="E47" s="488">
        <v>3.60227889</v>
      </c>
      <c r="F47" s="488">
        <v>3.807</v>
      </c>
      <c r="G47" s="488">
        <v>4.995</v>
      </c>
      <c r="H47" s="21"/>
      <c r="I47" s="21"/>
      <c r="J47" s="488">
        <v>4.653</v>
      </c>
      <c r="K47" s="488">
        <f ca="1">90%*K10</f>
        <v>6.66192303137951</v>
      </c>
      <c r="L47" s="488">
        <f ca="1" t="shared" ref="L47:O47" si="8">90%*L10</f>
        <v>6.99035583682652</v>
      </c>
      <c r="M47" s="488">
        <f ca="1" t="shared" si="8"/>
        <v>6.55568184089999</v>
      </c>
      <c r="N47" s="488">
        <f ca="1" t="shared" si="8"/>
        <v>6.87887695565635</v>
      </c>
      <c r="O47" s="488">
        <f ca="1" t="shared" si="8"/>
        <v>7.21800558957022</v>
      </c>
    </row>
    <row r="48" hidden="1" spans="2:15">
      <c r="B48" s="21">
        <v>2</v>
      </c>
      <c r="C48" s="487" t="s">
        <v>596</v>
      </c>
      <c r="D48" s="488">
        <v>0.03637269</v>
      </c>
      <c r="E48" s="488">
        <v>0.19695447</v>
      </c>
      <c r="F48" s="488">
        <v>0.324</v>
      </c>
      <c r="G48" s="488">
        <v>0.27</v>
      </c>
      <c r="H48" s="21"/>
      <c r="I48" s="21"/>
      <c r="J48" s="488">
        <v>0.351</v>
      </c>
      <c r="K48" s="488">
        <f ca="1" t="shared" ref="K48:O63" si="9">90%*K11</f>
        <v>0.50254351687389</v>
      </c>
      <c r="L48" s="488">
        <f ca="1" t="shared" si="9"/>
        <v>0.527318912255773</v>
      </c>
      <c r="M48" s="488">
        <f ca="1" t="shared" si="9"/>
        <v>0.494529191093036</v>
      </c>
      <c r="N48" s="488">
        <f ca="1" t="shared" si="9"/>
        <v>0.518909480213922</v>
      </c>
      <c r="O48" s="488">
        <f ca="1" t="shared" si="9"/>
        <v>0.544491717588469</v>
      </c>
    </row>
    <row r="49" hidden="1" spans="2:15">
      <c r="B49" s="21">
        <v>3</v>
      </c>
      <c r="C49" s="487" t="s">
        <v>597</v>
      </c>
      <c r="D49" s="488">
        <v>2.01207654</v>
      </c>
      <c r="E49" s="488">
        <v>2.08655028</v>
      </c>
      <c r="F49" s="488">
        <v>2.268</v>
      </c>
      <c r="G49" s="488">
        <v>2.196</v>
      </c>
      <c r="H49" s="21"/>
      <c r="I49" s="21"/>
      <c r="J49" s="488">
        <v>2.223</v>
      </c>
      <c r="K49" s="488">
        <f ca="1" t="shared" si="9"/>
        <v>3.18277560686797</v>
      </c>
      <c r="L49" s="488">
        <f ca="1" t="shared" si="9"/>
        <v>3.33968644428656</v>
      </c>
      <c r="M49" s="488">
        <f ca="1" t="shared" si="9"/>
        <v>3.1320182102559</v>
      </c>
      <c r="N49" s="488">
        <f ca="1" t="shared" si="9"/>
        <v>3.28642670802151</v>
      </c>
      <c r="O49" s="488">
        <f ca="1" t="shared" si="9"/>
        <v>3.44844754472697</v>
      </c>
    </row>
    <row r="50" hidden="1" spans="2:15">
      <c r="B50" s="21">
        <v>4</v>
      </c>
      <c r="C50" s="487" t="s">
        <v>598</v>
      </c>
      <c r="D50" s="488">
        <v>1.8696141</v>
      </c>
      <c r="E50" s="488">
        <v>1.74016692</v>
      </c>
      <c r="F50" s="488">
        <v>0.927</v>
      </c>
      <c r="G50" s="488">
        <v>1.899</v>
      </c>
      <c r="H50" s="21"/>
      <c r="I50" s="21"/>
      <c r="J50" s="488">
        <v>2.952</v>
      </c>
      <c r="K50" s="488">
        <f ca="1" t="shared" si="9"/>
        <v>4.22651983422143</v>
      </c>
      <c r="L50" s="488">
        <f ca="1" t="shared" si="9"/>
        <v>4.43488726204855</v>
      </c>
      <c r="M50" s="488">
        <f ca="1" t="shared" si="9"/>
        <v>4.15911729944912</v>
      </c>
      <c r="N50" s="488">
        <f ca="1" t="shared" si="9"/>
        <v>4.36416178231196</v>
      </c>
      <c r="O50" s="488">
        <f ca="1" t="shared" si="9"/>
        <v>4.57931495817995</v>
      </c>
    </row>
    <row r="51" hidden="1" spans="2:15">
      <c r="B51" s="21">
        <v>5</v>
      </c>
      <c r="C51" s="487" t="s">
        <v>599</v>
      </c>
      <c r="D51" s="488">
        <v>33.6090627</v>
      </c>
      <c r="E51" s="488">
        <v>29.03605902</v>
      </c>
      <c r="F51" s="488">
        <v>32.571</v>
      </c>
      <c r="G51" s="488">
        <v>42.309</v>
      </c>
      <c r="H51" s="21"/>
      <c r="I51" s="21"/>
      <c r="J51" s="488">
        <v>44.424</v>
      </c>
      <c r="K51" s="488">
        <f ca="1" t="shared" si="9"/>
        <v>63.6039692125518</v>
      </c>
      <c r="L51" s="488">
        <f ca="1" t="shared" si="9"/>
        <v>66.7396448947306</v>
      </c>
      <c r="M51" s="488">
        <f ca="1" t="shared" si="9"/>
        <v>62.5896432624417</v>
      </c>
      <c r="N51" s="488">
        <f ca="1" t="shared" si="9"/>
        <v>65.67531267528</v>
      </c>
      <c r="O51" s="488">
        <f ca="1" t="shared" si="9"/>
        <v>68.9131055901714</v>
      </c>
    </row>
    <row r="52" hidden="1" spans="2:15">
      <c r="B52" s="21">
        <v>6</v>
      </c>
      <c r="C52" s="487" t="s">
        <v>600</v>
      </c>
      <c r="D52" s="488">
        <v>18.10478709</v>
      </c>
      <c r="E52" s="488">
        <v>15.885288</v>
      </c>
      <c r="F52" s="488">
        <v>24.93</v>
      </c>
      <c r="G52" s="488">
        <v>25.47</v>
      </c>
      <c r="H52" s="21"/>
      <c r="I52" s="21"/>
      <c r="J52" s="488">
        <v>23.112</v>
      </c>
      <c r="K52" s="488">
        <f ca="1" t="shared" si="9"/>
        <v>33.0905577264654</v>
      </c>
      <c r="L52" s="488">
        <f ca="1" t="shared" si="9"/>
        <v>34.7219222223801</v>
      </c>
      <c r="M52" s="488">
        <f ca="1" t="shared" si="9"/>
        <v>32.5628451981261</v>
      </c>
      <c r="N52" s="488">
        <f ca="1" t="shared" si="9"/>
        <v>34.1681934663936</v>
      </c>
      <c r="O52" s="488">
        <f ca="1" t="shared" si="9"/>
        <v>35.8526854042869</v>
      </c>
    </row>
    <row r="53" hidden="1" spans="2:15">
      <c r="B53" s="21">
        <v>7</v>
      </c>
      <c r="C53" s="487" t="s">
        <v>601</v>
      </c>
      <c r="D53" s="488">
        <v>7.37161524</v>
      </c>
      <c r="E53" s="488">
        <v>6.89137038</v>
      </c>
      <c r="F53" s="488">
        <v>6.921</v>
      </c>
      <c r="G53" s="488">
        <v>11.673</v>
      </c>
      <c r="H53" s="21"/>
      <c r="I53" s="21"/>
      <c r="J53" s="488">
        <v>7.938</v>
      </c>
      <c r="K53" s="488">
        <f ca="1" t="shared" si="9"/>
        <v>11.365214920071</v>
      </c>
      <c r="L53" s="488">
        <f ca="1" t="shared" si="9"/>
        <v>11.9255200156305</v>
      </c>
      <c r="M53" s="488">
        <f ca="1" t="shared" si="9"/>
        <v>11.183967860104</v>
      </c>
      <c r="N53" s="488">
        <f ca="1" t="shared" si="9"/>
        <v>11.7353374756072</v>
      </c>
      <c r="O53" s="488">
        <f ca="1" t="shared" si="9"/>
        <v>12.3138896131546</v>
      </c>
    </row>
    <row r="54" hidden="1" spans="2:15">
      <c r="B54" s="21">
        <v>8</v>
      </c>
      <c r="C54" s="487" t="s">
        <v>602</v>
      </c>
      <c r="D54" s="488">
        <v>0.74396403</v>
      </c>
      <c r="E54" s="488">
        <v>1.01833308</v>
      </c>
      <c r="F54" s="488">
        <v>0.459</v>
      </c>
      <c r="G54" s="488">
        <v>0.594</v>
      </c>
      <c r="H54" s="21"/>
      <c r="I54" s="21"/>
      <c r="J54" s="488">
        <v>0.459</v>
      </c>
      <c r="K54" s="488">
        <f ca="1" t="shared" si="9"/>
        <v>0.657172291296625</v>
      </c>
      <c r="L54" s="488">
        <f ca="1" t="shared" si="9"/>
        <v>0.689570885257549</v>
      </c>
      <c r="M54" s="488">
        <f ca="1" t="shared" si="9"/>
        <v>0.646692019121663</v>
      </c>
      <c r="N54" s="488">
        <f ca="1" t="shared" si="9"/>
        <v>0.678573935664359</v>
      </c>
      <c r="O54" s="488">
        <f ca="1" t="shared" si="9"/>
        <v>0.712027630692614</v>
      </c>
    </row>
    <row r="55" hidden="1" spans="2:15">
      <c r="B55" s="21">
        <v>9</v>
      </c>
      <c r="C55" s="487" t="s">
        <v>603</v>
      </c>
      <c r="D55" s="488">
        <v>0.2567952</v>
      </c>
      <c r="E55" s="488">
        <v>0.26415963</v>
      </c>
      <c r="F55" s="488">
        <v>0.288</v>
      </c>
      <c r="G55" s="488">
        <v>0.333</v>
      </c>
      <c r="H55" s="21"/>
      <c r="I55" s="21"/>
      <c r="J55" s="488">
        <v>0.306</v>
      </c>
      <c r="K55" s="488">
        <f ca="1" t="shared" si="9"/>
        <v>0.438114860864417</v>
      </c>
      <c r="L55" s="488">
        <f ca="1" t="shared" si="9"/>
        <v>0.459713923505033</v>
      </c>
      <c r="M55" s="488">
        <f ca="1" t="shared" si="9"/>
        <v>0.431128012747775</v>
      </c>
      <c r="N55" s="488">
        <f ca="1" t="shared" si="9"/>
        <v>0.45238262377624</v>
      </c>
      <c r="O55" s="488">
        <f ca="1" t="shared" si="9"/>
        <v>0.474685087128409</v>
      </c>
    </row>
    <row r="56" hidden="1" spans="2:15">
      <c r="B56" s="21">
        <v>10</v>
      </c>
      <c r="C56" s="487" t="s">
        <v>604</v>
      </c>
      <c r="D56" s="488">
        <v>0.50544639</v>
      </c>
      <c r="E56" s="488">
        <v>0.38666043</v>
      </c>
      <c r="F56" s="488">
        <v>0.225</v>
      </c>
      <c r="G56" s="488">
        <v>0.873</v>
      </c>
      <c r="H56" s="21"/>
      <c r="I56" s="21"/>
      <c r="J56" s="488">
        <v>1.458</v>
      </c>
      <c r="K56" s="488">
        <f ca="1" t="shared" si="9"/>
        <v>2.08748845470693</v>
      </c>
      <c r="L56" s="488">
        <f ca="1" t="shared" si="9"/>
        <v>2.19040163552398</v>
      </c>
      <c r="M56" s="488">
        <f ca="1" t="shared" si="9"/>
        <v>2.05419817838646</v>
      </c>
      <c r="N56" s="488">
        <f ca="1" t="shared" si="9"/>
        <v>2.15547014858091</v>
      </c>
      <c r="O56" s="488">
        <f ca="1" t="shared" si="9"/>
        <v>2.26173482690595</v>
      </c>
    </row>
    <row r="57" hidden="1" spans="2:15">
      <c r="B57" s="21">
        <v>11</v>
      </c>
      <c r="C57" s="487" t="s">
        <v>605</v>
      </c>
      <c r="D57" s="488">
        <v>0.04550463</v>
      </c>
      <c r="E57" s="488">
        <v>0.08150967</v>
      </c>
      <c r="F57" s="488">
        <v>0.054</v>
      </c>
      <c r="G57" s="488">
        <v>0.126</v>
      </c>
      <c r="H57" s="21"/>
      <c r="I57" s="21"/>
      <c r="J57" s="488">
        <v>0.081</v>
      </c>
      <c r="K57" s="488">
        <f ca="1" t="shared" si="9"/>
        <v>0.115971580817051</v>
      </c>
      <c r="L57" s="488">
        <f ca="1" t="shared" si="9"/>
        <v>0.121688979751332</v>
      </c>
      <c r="M57" s="488">
        <f ca="1" t="shared" si="9"/>
        <v>0.11412212102147</v>
      </c>
      <c r="N57" s="488">
        <f ca="1" t="shared" si="9"/>
        <v>0.119748341587828</v>
      </c>
      <c r="O57" s="488">
        <f ca="1" t="shared" si="9"/>
        <v>0.125651934828108</v>
      </c>
    </row>
    <row r="58" hidden="1" spans="2:15">
      <c r="B58" s="21">
        <v>12</v>
      </c>
      <c r="C58" s="487" t="s">
        <v>606</v>
      </c>
      <c r="D58" s="488">
        <v>0</v>
      </c>
      <c r="E58" s="488">
        <v>0</v>
      </c>
      <c r="F58" s="488">
        <v>0</v>
      </c>
      <c r="G58" s="488">
        <v>0</v>
      </c>
      <c r="H58" s="21"/>
      <c r="I58" s="21"/>
      <c r="J58" s="488">
        <v>0</v>
      </c>
      <c r="K58" s="488">
        <f ca="1" t="shared" si="9"/>
        <v>0</v>
      </c>
      <c r="L58" s="488">
        <f ca="1" t="shared" si="9"/>
        <v>0</v>
      </c>
      <c r="M58" s="488">
        <f ca="1" t="shared" si="9"/>
        <v>0</v>
      </c>
      <c r="N58" s="488">
        <f ca="1" t="shared" si="9"/>
        <v>0</v>
      </c>
      <c r="O58" s="488">
        <f ca="1" t="shared" si="9"/>
        <v>0</v>
      </c>
    </row>
    <row r="59" hidden="1" spans="2:15">
      <c r="B59" s="21">
        <v>13</v>
      </c>
      <c r="C59" s="487" t="s">
        <v>607</v>
      </c>
      <c r="D59" s="488">
        <v>6.08013297</v>
      </c>
      <c r="E59" s="488">
        <v>4.28656509</v>
      </c>
      <c r="F59" s="488">
        <v>5.976</v>
      </c>
      <c r="G59" s="488">
        <v>6.165</v>
      </c>
      <c r="H59" s="21"/>
      <c r="I59" s="21"/>
      <c r="J59" s="488">
        <v>8.982</v>
      </c>
      <c r="K59" s="488">
        <f ca="1" t="shared" si="9"/>
        <v>12.8599597394908</v>
      </c>
      <c r="L59" s="488">
        <f ca="1" t="shared" si="9"/>
        <v>13.4939557546477</v>
      </c>
      <c r="M59" s="488">
        <f ca="1" t="shared" si="9"/>
        <v>12.6548751977141</v>
      </c>
      <c r="N59" s="488">
        <f ca="1" t="shared" si="9"/>
        <v>13.2787605449614</v>
      </c>
      <c r="O59" s="488">
        <f ca="1" t="shared" si="9"/>
        <v>13.933403439828</v>
      </c>
    </row>
    <row r="60" hidden="1" spans="2:15">
      <c r="B60" s="21">
        <v>14</v>
      </c>
      <c r="C60" s="487" t="s">
        <v>608</v>
      </c>
      <c r="D60" s="488">
        <v>1.58122053</v>
      </c>
      <c r="E60" s="488">
        <v>0.41023233</v>
      </c>
      <c r="F60" s="488">
        <v>1.143</v>
      </c>
      <c r="G60" s="488">
        <v>1.827</v>
      </c>
      <c r="H60" s="21"/>
      <c r="I60" s="21"/>
      <c r="J60" s="488">
        <v>1.305</v>
      </c>
      <c r="K60" s="488">
        <f ca="1" t="shared" si="9"/>
        <v>1.86843102427472</v>
      </c>
      <c r="L60" s="488">
        <f ca="1" t="shared" si="9"/>
        <v>1.96054467377146</v>
      </c>
      <c r="M60" s="488">
        <f ca="1" t="shared" si="9"/>
        <v>1.83863417201257</v>
      </c>
      <c r="N60" s="488">
        <f ca="1" t="shared" si="9"/>
        <v>1.92927883669279</v>
      </c>
      <c r="O60" s="488">
        <f ca="1" t="shared" si="9"/>
        <v>2.02439228334174</v>
      </c>
    </row>
    <row r="61" hidden="1" spans="2:15">
      <c r="B61" s="21">
        <v>15</v>
      </c>
      <c r="C61" s="487" t="s">
        <v>609</v>
      </c>
      <c r="D61" s="488">
        <v>0</v>
      </c>
      <c r="E61" s="488">
        <v>0</v>
      </c>
      <c r="F61" s="488">
        <v>0</v>
      </c>
      <c r="G61" s="488">
        <v>0</v>
      </c>
      <c r="H61" s="21"/>
      <c r="I61" s="21"/>
      <c r="J61" s="488">
        <v>0</v>
      </c>
      <c r="K61" s="488">
        <f ca="1" t="shared" si="9"/>
        <v>0</v>
      </c>
      <c r="L61" s="488">
        <f ca="1" t="shared" si="9"/>
        <v>0</v>
      </c>
      <c r="M61" s="488">
        <f ca="1" t="shared" si="9"/>
        <v>0</v>
      </c>
      <c r="N61" s="488">
        <f ca="1" t="shared" si="9"/>
        <v>0</v>
      </c>
      <c r="O61" s="488">
        <f ca="1" t="shared" si="9"/>
        <v>0</v>
      </c>
    </row>
    <row r="62" hidden="1" spans="2:15">
      <c r="B62" s="21">
        <v>16</v>
      </c>
      <c r="C62" s="976" t="s">
        <v>610</v>
      </c>
      <c r="D62" s="488">
        <v>0</v>
      </c>
      <c r="E62" s="488">
        <v>0</v>
      </c>
      <c r="F62" s="488">
        <v>0</v>
      </c>
      <c r="G62" s="488">
        <v>0</v>
      </c>
      <c r="H62" s="21"/>
      <c r="I62" s="21"/>
      <c r="J62" s="488">
        <v>0</v>
      </c>
      <c r="K62" s="488">
        <f ca="1" t="shared" si="9"/>
        <v>0</v>
      </c>
      <c r="L62" s="488">
        <f ca="1" t="shared" si="9"/>
        <v>0</v>
      </c>
      <c r="M62" s="488">
        <f ca="1" t="shared" si="9"/>
        <v>0</v>
      </c>
      <c r="N62" s="488">
        <f ca="1" t="shared" si="9"/>
        <v>0</v>
      </c>
      <c r="O62" s="488">
        <f ca="1" t="shared" si="9"/>
        <v>0</v>
      </c>
    </row>
    <row r="63" hidden="1" spans="2:15">
      <c r="B63" s="21">
        <v>17</v>
      </c>
      <c r="C63" s="976" t="s">
        <v>611</v>
      </c>
      <c r="D63" s="488">
        <v>5.3388639</v>
      </c>
      <c r="E63" s="488">
        <v>5.3388639</v>
      </c>
      <c r="F63" s="488">
        <v>5.337</v>
      </c>
      <c r="G63" s="488">
        <v>7.38</v>
      </c>
      <c r="H63" s="21"/>
      <c r="I63" s="21"/>
      <c r="J63" s="488">
        <v>8.109</v>
      </c>
      <c r="K63" s="488">
        <f ca="1" t="shared" si="9"/>
        <v>11.610043812907</v>
      </c>
      <c r="L63" s="488">
        <f ca="1" t="shared" si="9"/>
        <v>12.1824189728834</v>
      </c>
      <c r="M63" s="488">
        <f ca="1" t="shared" si="9"/>
        <v>11.424892337816</v>
      </c>
      <c r="N63" s="488">
        <f ca="1" t="shared" si="9"/>
        <v>11.9881395300703</v>
      </c>
      <c r="O63" s="488">
        <f ca="1" t="shared" si="9"/>
        <v>12.5791548089028</v>
      </c>
    </row>
    <row r="64" hidden="1" spans="2:15">
      <c r="B64" s="21">
        <v>18</v>
      </c>
      <c r="C64" s="487" t="s">
        <v>612</v>
      </c>
      <c r="D64" s="488">
        <v>0.33686217</v>
      </c>
      <c r="E64" s="488">
        <v>0.27000279</v>
      </c>
      <c r="F64" s="488">
        <v>0.252</v>
      </c>
      <c r="G64" s="488">
        <v>0.405</v>
      </c>
      <c r="H64" s="21"/>
      <c r="I64" s="21"/>
      <c r="J64" s="488">
        <v>0.369</v>
      </c>
      <c r="K64" s="488">
        <f ca="1" t="shared" ref="K64:O73" si="10">90%*K27</f>
        <v>0.528314979277679</v>
      </c>
      <c r="L64" s="488">
        <f ca="1" t="shared" si="10"/>
        <v>0.554360907756069</v>
      </c>
      <c r="M64" s="488">
        <f ca="1" t="shared" si="10"/>
        <v>0.519889662431141</v>
      </c>
      <c r="N64" s="488">
        <f ca="1" t="shared" si="10"/>
        <v>0.545520222788995</v>
      </c>
      <c r="O64" s="488">
        <f ca="1" t="shared" si="10"/>
        <v>0.572414369772493</v>
      </c>
    </row>
    <row r="65" hidden="1" spans="2:15">
      <c r="B65" s="21">
        <v>19</v>
      </c>
      <c r="C65" s="487" t="s">
        <v>613</v>
      </c>
      <c r="D65" s="488">
        <v>34.48660824</v>
      </c>
      <c r="E65" s="488">
        <v>36.29632131</v>
      </c>
      <c r="F65" s="488">
        <v>4.833</v>
      </c>
      <c r="G65" s="488">
        <v>12.492</v>
      </c>
      <c r="H65" s="21"/>
      <c r="I65" s="21"/>
      <c r="J65" s="488">
        <v>11.178</v>
      </c>
      <c r="K65" s="488">
        <f ca="1" t="shared" si="10"/>
        <v>16.0040781527531</v>
      </c>
      <c r="L65" s="488">
        <f ca="1" t="shared" si="10"/>
        <v>16.7930792056838</v>
      </c>
      <c r="M65" s="488">
        <f ca="1" t="shared" si="10"/>
        <v>15.7488527009628</v>
      </c>
      <c r="N65" s="488">
        <f ca="1" t="shared" si="10"/>
        <v>16.5252711391203</v>
      </c>
      <c r="O65" s="488">
        <f ca="1" t="shared" si="10"/>
        <v>17.3399670062789</v>
      </c>
    </row>
    <row r="66" hidden="1" spans="2:15">
      <c r="B66" s="21">
        <v>20</v>
      </c>
      <c r="C66" s="487" t="s">
        <v>614</v>
      </c>
      <c r="D66" s="488">
        <v>0</v>
      </c>
      <c r="E66" s="488">
        <v>0</v>
      </c>
      <c r="F66" s="488">
        <v>0</v>
      </c>
      <c r="G66" s="488">
        <v>0</v>
      </c>
      <c r="H66" s="21"/>
      <c r="I66" s="21"/>
      <c r="J66" s="488">
        <v>0</v>
      </c>
      <c r="K66" s="488">
        <f ca="1" t="shared" si="10"/>
        <v>0</v>
      </c>
      <c r="L66" s="488">
        <f ca="1" t="shared" si="10"/>
        <v>0</v>
      </c>
      <c r="M66" s="488">
        <f ca="1" t="shared" si="10"/>
        <v>0</v>
      </c>
      <c r="N66" s="488">
        <f ca="1" t="shared" si="10"/>
        <v>0</v>
      </c>
      <c r="O66" s="488">
        <f ca="1" t="shared" si="10"/>
        <v>0</v>
      </c>
    </row>
    <row r="67" hidden="1" spans="2:15">
      <c r="B67" s="21">
        <v>21</v>
      </c>
      <c r="C67" s="487" t="s">
        <v>615</v>
      </c>
      <c r="D67" s="488">
        <v>11.86922817</v>
      </c>
      <c r="E67" s="488">
        <v>14.50071378</v>
      </c>
      <c r="F67" s="488">
        <v>13.05</v>
      </c>
      <c r="G67" s="488">
        <v>15.426</v>
      </c>
      <c r="H67" s="21"/>
      <c r="I67" s="21"/>
      <c r="J67" s="488">
        <v>9.783</v>
      </c>
      <c r="K67" s="488">
        <f ca="1" t="shared" si="10"/>
        <v>14.0067898164594</v>
      </c>
      <c r="L67" s="488">
        <f ca="1" t="shared" si="10"/>
        <v>14.6973245544109</v>
      </c>
      <c r="M67" s="488">
        <f ca="1" t="shared" si="10"/>
        <v>13.7834161722598</v>
      </c>
      <c r="N67" s="488">
        <f ca="1" t="shared" si="10"/>
        <v>14.4629385895521</v>
      </c>
      <c r="O67" s="488">
        <f ca="1" t="shared" si="10"/>
        <v>15.1759614620171</v>
      </c>
    </row>
    <row r="68" hidden="1" spans="2:15">
      <c r="B68" s="21">
        <v>22</v>
      </c>
      <c r="C68" s="487" t="s">
        <v>616</v>
      </c>
      <c r="D68" s="488">
        <v>0</v>
      </c>
      <c r="E68" s="488">
        <v>0</v>
      </c>
      <c r="F68" s="488">
        <v>0</v>
      </c>
      <c r="G68" s="488">
        <v>0</v>
      </c>
      <c r="H68" s="21"/>
      <c r="I68" s="21"/>
      <c r="J68" s="488">
        <v>0</v>
      </c>
      <c r="K68" s="488">
        <f ca="1" t="shared" si="10"/>
        <v>0</v>
      </c>
      <c r="L68" s="488">
        <f ca="1" t="shared" si="10"/>
        <v>0</v>
      </c>
      <c r="M68" s="488">
        <f ca="1" t="shared" si="10"/>
        <v>0</v>
      </c>
      <c r="N68" s="488">
        <f ca="1" t="shared" si="10"/>
        <v>0</v>
      </c>
      <c r="O68" s="488">
        <f ca="1" t="shared" si="10"/>
        <v>0</v>
      </c>
    </row>
    <row r="69" hidden="1" spans="2:15">
      <c r="B69" s="21">
        <v>23</v>
      </c>
      <c r="C69" s="487" t="s">
        <v>617</v>
      </c>
      <c r="D69" s="488">
        <v>2.00661246</v>
      </c>
      <c r="E69" s="488">
        <v>3.42881118</v>
      </c>
      <c r="F69" s="488">
        <v>3.492</v>
      </c>
      <c r="G69" s="488">
        <v>3.816</v>
      </c>
      <c r="H69" s="21"/>
      <c r="I69" s="21"/>
      <c r="J69" s="488">
        <v>2.088</v>
      </c>
      <c r="K69" s="488">
        <f ca="1" t="shared" si="10"/>
        <v>2.98948963883955</v>
      </c>
      <c r="L69" s="488">
        <f ca="1" t="shared" si="10"/>
        <v>3.13687147803434</v>
      </c>
      <c r="M69" s="488">
        <f ca="1" t="shared" si="10"/>
        <v>2.94181467522011</v>
      </c>
      <c r="N69" s="488">
        <f ca="1" t="shared" si="10"/>
        <v>3.08684613870846</v>
      </c>
      <c r="O69" s="488">
        <f ca="1" t="shared" si="10"/>
        <v>3.23902765334679</v>
      </c>
    </row>
    <row r="70" hidden="1" spans="2:15">
      <c r="B70" s="21">
        <v>24</v>
      </c>
      <c r="C70" s="487" t="s">
        <v>618</v>
      </c>
      <c r="D70" s="488">
        <v>0.078723</v>
      </c>
      <c r="E70" s="488">
        <v>0.06525225</v>
      </c>
      <c r="F70" s="488">
        <v>0.036</v>
      </c>
      <c r="G70" s="488">
        <v>0.054</v>
      </c>
      <c r="H70" s="21"/>
      <c r="I70" s="21"/>
      <c r="J70" s="488">
        <v>0.099</v>
      </c>
      <c r="K70" s="488">
        <f ca="1" t="shared" si="10"/>
        <v>0.141743043220841</v>
      </c>
      <c r="L70" s="488">
        <f ca="1" t="shared" si="10"/>
        <v>0.148730975251628</v>
      </c>
      <c r="M70" s="488">
        <f ca="1" t="shared" si="10"/>
        <v>0.139482592359574</v>
      </c>
      <c r="N70" s="488">
        <f ca="1" t="shared" si="10"/>
        <v>0.146359084162901</v>
      </c>
      <c r="O70" s="488">
        <f ca="1" t="shared" si="10"/>
        <v>0.153574587012132</v>
      </c>
    </row>
    <row r="71" hidden="1" spans="2:15">
      <c r="B71" s="21">
        <v>25</v>
      </c>
      <c r="C71" s="487" t="s">
        <v>619</v>
      </c>
      <c r="D71" s="488">
        <v>0</v>
      </c>
      <c r="E71" s="488">
        <v>0</v>
      </c>
      <c r="F71" s="488">
        <v>0</v>
      </c>
      <c r="G71" s="488">
        <v>1.782</v>
      </c>
      <c r="H71" s="21"/>
      <c r="I71" s="21"/>
      <c r="J71" s="488">
        <v>2.169</v>
      </c>
      <c r="K71" s="488">
        <f ca="1" t="shared" si="10"/>
        <v>3.1054612196566</v>
      </c>
      <c r="L71" s="488">
        <f ca="1" t="shared" si="10"/>
        <v>3.25856045778567</v>
      </c>
      <c r="M71" s="488">
        <f ca="1" t="shared" si="10"/>
        <v>3.05593679624158</v>
      </c>
      <c r="N71" s="488">
        <f ca="1" t="shared" si="10"/>
        <v>3.20659448029629</v>
      </c>
      <c r="O71" s="488">
        <f ca="1" t="shared" si="10"/>
        <v>3.3646795881749</v>
      </c>
    </row>
    <row r="72" hidden="1" spans="2:15">
      <c r="B72" s="21">
        <v>26</v>
      </c>
      <c r="C72" s="487" t="s">
        <v>620</v>
      </c>
      <c r="D72" s="488">
        <v>5.13033165</v>
      </c>
      <c r="E72" s="488">
        <v>4.79875563</v>
      </c>
      <c r="F72" s="488">
        <v>3.123</v>
      </c>
      <c r="G72" s="488">
        <v>8.613</v>
      </c>
      <c r="H72" s="21"/>
      <c r="I72" s="21"/>
      <c r="J72" s="488">
        <v>12.105</v>
      </c>
      <c r="K72" s="488">
        <f ca="1" t="shared" si="10"/>
        <v>17.3313084665482</v>
      </c>
      <c r="L72" s="488">
        <f ca="1" t="shared" si="10"/>
        <v>18.1857419739491</v>
      </c>
      <c r="M72" s="488">
        <f ca="1" t="shared" si="10"/>
        <v>17.0549169748752</v>
      </c>
      <c r="N72" s="488">
        <f ca="1" t="shared" si="10"/>
        <v>17.8957243817365</v>
      </c>
      <c r="O72" s="488">
        <f ca="1" t="shared" si="10"/>
        <v>18.7779835937562</v>
      </c>
    </row>
    <row r="73" hidden="1" spans="2:15">
      <c r="B73" s="21">
        <v>27</v>
      </c>
      <c r="C73" s="487" t="s">
        <v>621</v>
      </c>
      <c r="D73" s="488">
        <v>4.90765113</v>
      </c>
      <c r="E73" s="488">
        <v>3.15861156</v>
      </c>
      <c r="F73" s="488">
        <v>3.645</v>
      </c>
      <c r="G73" s="488">
        <v>5.058</v>
      </c>
      <c r="H73" s="21"/>
      <c r="I73" s="21"/>
      <c r="J73" s="488">
        <v>6.759</v>
      </c>
      <c r="K73" s="488">
        <f ca="1" t="shared" si="10"/>
        <v>9.67718413262285</v>
      </c>
      <c r="L73" s="488">
        <f ca="1" t="shared" si="10"/>
        <v>10.1542693103612</v>
      </c>
      <c r="M73" s="488">
        <f ca="1" t="shared" si="10"/>
        <v>9.52285698745821</v>
      </c>
      <c r="N73" s="488">
        <f ca="1" t="shared" si="10"/>
        <v>9.99233383693988</v>
      </c>
      <c r="O73" s="488">
        <f ca="1" t="shared" si="10"/>
        <v>10.484955895101</v>
      </c>
    </row>
    <row r="74" hidden="1" spans="2:15">
      <c r="B74" s="21">
        <v>28</v>
      </c>
      <c r="C74" s="487" t="s">
        <v>440</v>
      </c>
      <c r="D74" s="488">
        <v>1.69338591</v>
      </c>
      <c r="E74" s="488">
        <v>0.84035628</v>
      </c>
      <c r="F74" s="488">
        <v>0.936</v>
      </c>
      <c r="G74" s="488">
        <v>0.333</v>
      </c>
      <c r="H74" s="21"/>
      <c r="I74" s="21"/>
      <c r="J74" s="488">
        <v>2.169</v>
      </c>
      <c r="K74" s="488">
        <f ca="1">90%*K37</f>
        <v>3.1054612196566</v>
      </c>
      <c r="L74" s="488">
        <f ca="1">90%*L37</f>
        <v>3.25856045778567</v>
      </c>
      <c r="M74" s="488">
        <f ca="1">90%*M37</f>
        <v>3.05593679624158</v>
      </c>
      <c r="N74" s="488">
        <f ca="1">90%*N37</f>
        <v>3.20659448029629</v>
      </c>
      <c r="O74" s="488">
        <f ca="1">90%*O37</f>
        <v>3.3646795881749</v>
      </c>
    </row>
    <row r="75" ht="15" spans="2:15">
      <c r="B75" s="21">
        <v>29</v>
      </c>
      <c r="C75" s="491" t="s">
        <v>622</v>
      </c>
      <c r="D75" s="492">
        <f>SUM(D47:D74)</f>
        <v>142.78972959</v>
      </c>
      <c r="E75" s="492">
        <f t="shared" ref="E75:J75" si="11">SUM(E47:E74)</f>
        <v>134.58381687</v>
      </c>
      <c r="F75" s="492">
        <f t="shared" si="11"/>
        <v>114.597</v>
      </c>
      <c r="G75" s="492">
        <f t="shared" si="11"/>
        <v>154.089</v>
      </c>
      <c r="H75" s="30">
        <f t="shared" si="11"/>
        <v>0</v>
      </c>
      <c r="I75" s="30">
        <f t="shared" si="11"/>
        <v>0</v>
      </c>
      <c r="J75" s="492">
        <f t="shared" si="11"/>
        <v>153.072</v>
      </c>
      <c r="K75" s="492">
        <f ca="1">90%*K38</f>
        <v>219.160516281824</v>
      </c>
      <c r="L75" s="492">
        <f ca="1">90%*L38</f>
        <v>229.965129734517</v>
      </c>
      <c r="M75" s="492">
        <f ca="1">SUM(M47:M74)</f>
        <v>215.66544825924</v>
      </c>
      <c r="N75" s="492">
        <f ca="1">SUM(N47:N74)</f>
        <v>226.29775485842</v>
      </c>
      <c r="O75" s="492">
        <f ca="1">SUM(O47:O74)</f>
        <v>237.454234172941</v>
      </c>
    </row>
    <row r="76" ht="15" spans="2:15">
      <c r="B76" s="21">
        <v>30</v>
      </c>
      <c r="C76" s="354" t="s">
        <v>592</v>
      </c>
      <c r="D76" s="488">
        <v>-14.17302468</v>
      </c>
      <c r="E76" s="488">
        <v>-11.0441592</v>
      </c>
      <c r="F76" s="488">
        <v>-13.68</v>
      </c>
      <c r="G76" s="488">
        <v>-15.507</v>
      </c>
      <c r="H76" s="497"/>
      <c r="I76" s="497"/>
      <c r="J76" s="488">
        <v>16.263</v>
      </c>
      <c r="K76" s="498">
        <f ca="1" t="shared" ref="K76:L77" si="12">90%*K39</f>
        <v>23.2845162818236</v>
      </c>
      <c r="L76" s="498">
        <f ca="1" t="shared" si="12"/>
        <v>24.4324429345175</v>
      </c>
      <c r="M76" s="499">
        <f ca="1">$J$76/$J$75*M75</f>
        <v>22.9131858539773</v>
      </c>
      <c r="N76" s="499">
        <f ca="1">$J$76/$J$75*N75</f>
        <v>24.0428059165784</v>
      </c>
      <c r="O76" s="499">
        <f ca="1">$J$76/$J$75*O75</f>
        <v>25.2281162482657</v>
      </c>
    </row>
    <row r="77" ht="15" spans="2:15">
      <c r="B77" s="21">
        <v>31</v>
      </c>
      <c r="C77" s="19" t="s">
        <v>623</v>
      </c>
      <c r="D77" s="492">
        <f>D75-D76</f>
        <v>156.96275427</v>
      </c>
      <c r="E77" s="492">
        <f t="shared" ref="E77:O77" si="13">E75-E76</f>
        <v>145.62797607</v>
      </c>
      <c r="F77" s="492">
        <f t="shared" si="13"/>
        <v>128.277</v>
      </c>
      <c r="G77" s="492">
        <f t="shared" si="13"/>
        <v>169.596</v>
      </c>
      <c r="H77" s="30">
        <f t="shared" si="13"/>
        <v>0</v>
      </c>
      <c r="I77" s="30">
        <f t="shared" si="13"/>
        <v>0</v>
      </c>
      <c r="J77" s="492">
        <f t="shared" si="13"/>
        <v>136.809</v>
      </c>
      <c r="K77" s="492">
        <f t="shared" si="12"/>
        <v>195.876</v>
      </c>
      <c r="L77" s="492">
        <f t="shared" si="12"/>
        <v>205.5326868</v>
      </c>
      <c r="M77" s="492">
        <f ca="1" t="shared" si="13"/>
        <v>192.752262405263</v>
      </c>
      <c r="N77" s="492">
        <f ca="1" t="shared" si="13"/>
        <v>202.254948941842</v>
      </c>
      <c r="O77" s="492">
        <f ca="1" t="shared" si="13"/>
        <v>212.226117924675</v>
      </c>
    </row>
    <row r="79" ht="15" spans="2:2">
      <c r="B79" s="34" t="s">
        <v>153</v>
      </c>
    </row>
    <row r="80" ht="15" spans="12:15">
      <c r="L80" s="33" t="s">
        <v>851</v>
      </c>
      <c r="O80" s="33" t="s">
        <v>109</v>
      </c>
    </row>
    <row r="81" ht="13.9" customHeight="1" spans="2:16">
      <c r="B81" s="5" t="s">
        <v>3</v>
      </c>
      <c r="C81" s="6" t="s">
        <v>110</v>
      </c>
      <c r="D81" s="5" t="s">
        <v>565</v>
      </c>
      <c r="E81" s="5" t="s">
        <v>566</v>
      </c>
      <c r="F81" s="5" t="s">
        <v>567</v>
      </c>
      <c r="G81" s="5" t="s">
        <v>112</v>
      </c>
      <c r="H81" s="5" t="s">
        <v>760</v>
      </c>
      <c r="I81" s="5"/>
      <c r="J81" s="5"/>
      <c r="K81" s="135" t="s">
        <v>114</v>
      </c>
      <c r="L81" s="135"/>
      <c r="M81" s="135"/>
      <c r="N81" s="135"/>
      <c r="O81" s="135"/>
      <c r="P81" s="336"/>
    </row>
    <row r="82" ht="15" spans="2:15">
      <c r="B82" s="5"/>
      <c r="C82" s="6"/>
      <c r="D82" s="5" t="s">
        <v>237</v>
      </c>
      <c r="E82" s="5" t="s">
        <v>237</v>
      </c>
      <c r="F82" s="5" t="s">
        <v>237</v>
      </c>
      <c r="G82" s="5" t="s">
        <v>237</v>
      </c>
      <c r="H82" s="5" t="s">
        <v>119</v>
      </c>
      <c r="I82" s="5" t="s">
        <v>120</v>
      </c>
      <c r="J82" s="5" t="s">
        <v>238</v>
      </c>
      <c r="K82" s="5" t="s">
        <v>514</v>
      </c>
      <c r="L82" s="5" t="s">
        <v>515</v>
      </c>
      <c r="M82" s="5" t="s">
        <v>516</v>
      </c>
      <c r="N82" s="5" t="s">
        <v>517</v>
      </c>
      <c r="O82" s="5" t="s">
        <v>518</v>
      </c>
    </row>
    <row r="83" ht="15" spans="2:15">
      <c r="B83" s="5"/>
      <c r="C83" s="6"/>
      <c r="D83" s="5" t="s">
        <v>128</v>
      </c>
      <c r="E83" s="5" t="s">
        <v>128</v>
      </c>
      <c r="F83" s="5" t="s">
        <v>128</v>
      </c>
      <c r="G83" s="5" t="s">
        <v>128</v>
      </c>
      <c r="H83" s="5" t="s">
        <v>130</v>
      </c>
      <c r="I83" s="5" t="s">
        <v>131</v>
      </c>
      <c r="J83" s="5" t="s">
        <v>128</v>
      </c>
      <c r="K83" s="5" t="s">
        <v>132</v>
      </c>
      <c r="L83" s="5" t="s">
        <v>132</v>
      </c>
      <c r="M83" s="5" t="s">
        <v>132</v>
      </c>
      <c r="N83" s="5" t="s">
        <v>132</v>
      </c>
      <c r="O83" s="5" t="s">
        <v>132</v>
      </c>
    </row>
    <row r="84" hidden="1" spans="2:15">
      <c r="B84" s="21">
        <v>1</v>
      </c>
      <c r="C84" s="976" t="s">
        <v>595</v>
      </c>
      <c r="D84" s="488">
        <v>0.52498565</v>
      </c>
      <c r="E84" s="488">
        <v>0.52498565</v>
      </c>
      <c r="F84" s="488">
        <v>0.52498565</v>
      </c>
      <c r="G84" s="488">
        <v>0.52498565</v>
      </c>
      <c r="H84" s="21"/>
      <c r="I84" s="21"/>
      <c r="J84" s="488">
        <v>0.517</v>
      </c>
      <c r="K84" s="488">
        <f ca="1" t="shared" ref="K84:O99" si="14">10%*K10</f>
        <v>0.740213670153279</v>
      </c>
      <c r="L84" s="488">
        <f ca="1" t="shared" si="14"/>
        <v>0.776706204091836</v>
      </c>
      <c r="M84" s="488">
        <f ca="1" t="shared" si="14"/>
        <v>0.728409093433332</v>
      </c>
      <c r="N84" s="488">
        <f ca="1" t="shared" si="14"/>
        <v>0.764319661739594</v>
      </c>
      <c r="O84" s="488">
        <f ca="1" t="shared" si="14"/>
        <v>0.802000621063358</v>
      </c>
    </row>
    <row r="85" hidden="1" spans="2:15">
      <c r="B85" s="21">
        <v>2</v>
      </c>
      <c r="C85" s="487" t="s">
        <v>596</v>
      </c>
      <c r="D85" s="488">
        <v>0.00404141</v>
      </c>
      <c r="E85" s="488">
        <v>0.00404141</v>
      </c>
      <c r="F85" s="488">
        <v>0.00404141</v>
      </c>
      <c r="G85" s="488">
        <v>0.00404141</v>
      </c>
      <c r="H85" s="21"/>
      <c r="I85" s="21"/>
      <c r="J85" s="488">
        <v>0.039</v>
      </c>
      <c r="K85" s="488">
        <f ca="1" t="shared" si="14"/>
        <v>0.0558381685415433</v>
      </c>
      <c r="L85" s="488">
        <f ca="1" t="shared" si="14"/>
        <v>0.0585909902506414</v>
      </c>
      <c r="M85" s="488">
        <f ca="1" t="shared" si="14"/>
        <v>0.0549476878992262</v>
      </c>
      <c r="N85" s="488">
        <f ca="1" t="shared" si="14"/>
        <v>0.057656608912658</v>
      </c>
      <c r="O85" s="488">
        <f ca="1" t="shared" si="14"/>
        <v>0.0604990797320521</v>
      </c>
    </row>
    <row r="86" hidden="1" spans="2:15">
      <c r="B86" s="21">
        <v>3</v>
      </c>
      <c r="C86" s="487" t="s">
        <v>597</v>
      </c>
      <c r="D86" s="488">
        <v>0.22356406</v>
      </c>
      <c r="E86" s="488">
        <v>0.22356406</v>
      </c>
      <c r="F86" s="488">
        <v>0.22356406</v>
      </c>
      <c r="G86" s="488">
        <v>0.22356406</v>
      </c>
      <c r="H86" s="21"/>
      <c r="I86" s="21"/>
      <c r="J86" s="488">
        <v>0.247</v>
      </c>
      <c r="K86" s="488">
        <f ca="1" t="shared" si="14"/>
        <v>0.353641734096441</v>
      </c>
      <c r="L86" s="488">
        <f ca="1" t="shared" si="14"/>
        <v>0.371076271587396</v>
      </c>
      <c r="M86" s="488">
        <f ca="1" t="shared" si="14"/>
        <v>0.348002023361766</v>
      </c>
      <c r="N86" s="488">
        <f ca="1" t="shared" si="14"/>
        <v>0.365158523113501</v>
      </c>
      <c r="O86" s="488">
        <f ca="1" t="shared" si="14"/>
        <v>0.383160838302997</v>
      </c>
    </row>
    <row r="87" hidden="1" spans="2:15">
      <c r="B87" s="21">
        <v>4</v>
      </c>
      <c r="C87" s="487" t="s">
        <v>598</v>
      </c>
      <c r="D87" s="488">
        <v>0.2077349</v>
      </c>
      <c r="E87" s="488">
        <v>0.2077349</v>
      </c>
      <c r="F87" s="488">
        <v>0.2077349</v>
      </c>
      <c r="G87" s="488">
        <v>0.2077349</v>
      </c>
      <c r="H87" s="21"/>
      <c r="I87" s="21"/>
      <c r="J87" s="488">
        <v>0.328</v>
      </c>
      <c r="K87" s="488">
        <f ca="1" t="shared" si="14"/>
        <v>0.469613314913492</v>
      </c>
      <c r="L87" s="488">
        <f ca="1" t="shared" si="14"/>
        <v>0.492765251338728</v>
      </c>
      <c r="M87" s="488">
        <f ca="1" t="shared" si="14"/>
        <v>0.462124144383236</v>
      </c>
      <c r="N87" s="488">
        <f ca="1" t="shared" si="14"/>
        <v>0.484906864701329</v>
      </c>
      <c r="O87" s="488">
        <f ca="1" t="shared" si="14"/>
        <v>0.508812773131105</v>
      </c>
    </row>
    <row r="88" hidden="1" spans="2:15">
      <c r="B88" s="21">
        <v>5</v>
      </c>
      <c r="C88" s="487" t="s">
        <v>599</v>
      </c>
      <c r="D88" s="488">
        <v>3.7343403</v>
      </c>
      <c r="E88" s="488">
        <v>3.7343403</v>
      </c>
      <c r="F88" s="488">
        <v>3.7343403</v>
      </c>
      <c r="G88" s="488">
        <v>3.7343403</v>
      </c>
      <c r="H88" s="21"/>
      <c r="I88" s="21"/>
      <c r="J88" s="488">
        <v>4.936</v>
      </c>
      <c r="K88" s="488">
        <f ca="1" t="shared" si="14"/>
        <v>7.06710769028353</v>
      </c>
      <c r="L88" s="488">
        <f ca="1" t="shared" si="14"/>
        <v>7.41551609941451</v>
      </c>
      <c r="M88" s="488">
        <f ca="1" t="shared" si="14"/>
        <v>6.95440480693797</v>
      </c>
      <c r="N88" s="488">
        <f ca="1" t="shared" si="14"/>
        <v>7.29725696392</v>
      </c>
      <c r="O88" s="488">
        <f ca="1" t="shared" si="14"/>
        <v>7.65701173224126</v>
      </c>
    </row>
    <row r="89" hidden="1" spans="2:15">
      <c r="B89" s="21">
        <v>6</v>
      </c>
      <c r="C89" s="487" t="s">
        <v>600</v>
      </c>
      <c r="D89" s="488">
        <v>2.01164301</v>
      </c>
      <c r="E89" s="488">
        <v>2.01164301</v>
      </c>
      <c r="F89" s="488">
        <v>2.01164301</v>
      </c>
      <c r="G89" s="488">
        <v>2.01164301</v>
      </c>
      <c r="H89" s="21"/>
      <c r="I89" s="21"/>
      <c r="J89" s="488">
        <v>2.568</v>
      </c>
      <c r="K89" s="488">
        <f ca="1" t="shared" si="14"/>
        <v>3.67672863627393</v>
      </c>
      <c r="L89" s="488">
        <f ca="1" t="shared" si="14"/>
        <v>3.85799135804223</v>
      </c>
      <c r="M89" s="488">
        <f ca="1" t="shared" si="14"/>
        <v>3.6180939109029</v>
      </c>
      <c r="N89" s="488">
        <f ca="1" t="shared" si="14"/>
        <v>3.7964659407104</v>
      </c>
      <c r="O89" s="488">
        <f ca="1" t="shared" si="14"/>
        <v>3.98363171158743</v>
      </c>
    </row>
    <row r="90" hidden="1" spans="2:15">
      <c r="B90" s="21">
        <v>7</v>
      </c>
      <c r="C90" s="487" t="s">
        <v>601</v>
      </c>
      <c r="D90" s="488">
        <v>0.81906836</v>
      </c>
      <c r="E90" s="488">
        <v>0.81906836</v>
      </c>
      <c r="F90" s="488">
        <v>0.81906836</v>
      </c>
      <c r="G90" s="488">
        <v>0.81906836</v>
      </c>
      <c r="H90" s="21"/>
      <c r="I90" s="21"/>
      <c r="J90" s="488">
        <v>0.882</v>
      </c>
      <c r="K90" s="488">
        <f ca="1" t="shared" si="14"/>
        <v>1.26280165778567</v>
      </c>
      <c r="L90" s="488">
        <f ca="1" t="shared" si="14"/>
        <v>1.32505777951451</v>
      </c>
      <c r="M90" s="488">
        <f ca="1" t="shared" si="14"/>
        <v>1.24266309556712</v>
      </c>
      <c r="N90" s="488">
        <f ca="1" t="shared" si="14"/>
        <v>1.30392638617857</v>
      </c>
      <c r="O90" s="488">
        <f ca="1" t="shared" si="14"/>
        <v>1.36820995701718</v>
      </c>
    </row>
    <row r="91" hidden="1" spans="2:15">
      <c r="B91" s="21">
        <v>8</v>
      </c>
      <c r="C91" s="487" t="s">
        <v>602</v>
      </c>
      <c r="D91" s="488">
        <v>0.08266267</v>
      </c>
      <c r="E91" s="488">
        <v>0.08266267</v>
      </c>
      <c r="F91" s="488">
        <v>0.08266267</v>
      </c>
      <c r="G91" s="488">
        <v>0.08266267</v>
      </c>
      <c r="H91" s="21"/>
      <c r="I91" s="21"/>
      <c r="J91" s="488">
        <v>0.051</v>
      </c>
      <c r="K91" s="488">
        <f ca="1" t="shared" si="14"/>
        <v>0.0730191434774028</v>
      </c>
      <c r="L91" s="488">
        <f ca="1" t="shared" si="14"/>
        <v>0.0766189872508388</v>
      </c>
      <c r="M91" s="488">
        <f ca="1" t="shared" si="14"/>
        <v>0.0718546687912959</v>
      </c>
      <c r="N91" s="488">
        <f ca="1" t="shared" si="14"/>
        <v>0.0753971039627066</v>
      </c>
      <c r="O91" s="488">
        <f ca="1" t="shared" si="14"/>
        <v>0.0791141811880682</v>
      </c>
    </row>
    <row r="92" hidden="1" spans="2:15">
      <c r="B92" s="21">
        <v>9</v>
      </c>
      <c r="C92" s="487" t="s">
        <v>603</v>
      </c>
      <c r="D92" s="488">
        <v>0.0285328</v>
      </c>
      <c r="E92" s="488">
        <v>0.0285328</v>
      </c>
      <c r="F92" s="488">
        <v>0.0285328</v>
      </c>
      <c r="G92" s="488">
        <v>0.0285328</v>
      </c>
      <c r="H92" s="21"/>
      <c r="I92" s="21"/>
      <c r="J92" s="488">
        <v>0.034</v>
      </c>
      <c r="K92" s="488">
        <f ca="1" t="shared" si="14"/>
        <v>0.0486794289849352</v>
      </c>
      <c r="L92" s="488">
        <f ca="1" t="shared" si="14"/>
        <v>0.0510793248338925</v>
      </c>
      <c r="M92" s="488">
        <f ca="1" t="shared" si="14"/>
        <v>0.0479031125275306</v>
      </c>
      <c r="N92" s="488">
        <f ca="1" t="shared" si="14"/>
        <v>0.0502647359751377</v>
      </c>
      <c r="O92" s="488">
        <f ca="1" t="shared" si="14"/>
        <v>0.0527427874587121</v>
      </c>
    </row>
    <row r="93" hidden="1" spans="2:15">
      <c r="B93" s="21">
        <v>10</v>
      </c>
      <c r="C93" s="487" t="s">
        <v>604</v>
      </c>
      <c r="D93" s="488">
        <v>0.05616071</v>
      </c>
      <c r="E93" s="488">
        <v>0.05616071</v>
      </c>
      <c r="F93" s="488">
        <v>0.05616071</v>
      </c>
      <c r="G93" s="488">
        <v>0.05616071</v>
      </c>
      <c r="H93" s="21"/>
      <c r="I93" s="21"/>
      <c r="J93" s="488">
        <v>0.162</v>
      </c>
      <c r="K93" s="488">
        <f ca="1" t="shared" si="14"/>
        <v>0.231943161634103</v>
      </c>
      <c r="L93" s="488">
        <f ca="1" t="shared" si="14"/>
        <v>0.243377959502664</v>
      </c>
      <c r="M93" s="488">
        <f ca="1" t="shared" si="14"/>
        <v>0.22824424204294</v>
      </c>
      <c r="N93" s="488">
        <f ca="1" t="shared" si="14"/>
        <v>0.239496683175656</v>
      </c>
      <c r="O93" s="488">
        <f ca="1" t="shared" si="14"/>
        <v>0.251303869656217</v>
      </c>
    </row>
    <row r="94" hidden="1" spans="2:15">
      <c r="B94" s="21">
        <v>11</v>
      </c>
      <c r="C94" s="487" t="s">
        <v>605</v>
      </c>
      <c r="D94" s="488">
        <v>0.00505607</v>
      </c>
      <c r="E94" s="488">
        <v>0.00505607</v>
      </c>
      <c r="F94" s="488">
        <v>0.00505607</v>
      </c>
      <c r="G94" s="488">
        <v>0.00505607</v>
      </c>
      <c r="H94" s="21"/>
      <c r="I94" s="21"/>
      <c r="J94" s="488">
        <v>0.009</v>
      </c>
      <c r="K94" s="488">
        <f ca="1" t="shared" si="14"/>
        <v>0.0128857312018946</v>
      </c>
      <c r="L94" s="488">
        <f ca="1" t="shared" si="14"/>
        <v>0.013520997750148</v>
      </c>
      <c r="M94" s="488">
        <f ca="1" t="shared" si="14"/>
        <v>0.0126802356690522</v>
      </c>
      <c r="N94" s="488">
        <f ca="1" t="shared" si="14"/>
        <v>0.0133053712875365</v>
      </c>
      <c r="O94" s="488">
        <f ca="1" t="shared" si="14"/>
        <v>0.013961326092012</v>
      </c>
    </row>
    <row r="95" hidden="1" spans="2:15">
      <c r="B95" s="21">
        <v>12</v>
      </c>
      <c r="C95" s="487" t="s">
        <v>606</v>
      </c>
      <c r="D95" s="488">
        <v>0</v>
      </c>
      <c r="E95" s="488">
        <v>0</v>
      </c>
      <c r="F95" s="488">
        <v>0</v>
      </c>
      <c r="G95" s="488">
        <v>0</v>
      </c>
      <c r="H95" s="21"/>
      <c r="I95" s="21"/>
      <c r="J95" s="488">
        <v>0</v>
      </c>
      <c r="K95" s="488">
        <f ca="1" t="shared" si="14"/>
        <v>0</v>
      </c>
      <c r="L95" s="488">
        <f ca="1" t="shared" si="14"/>
        <v>0</v>
      </c>
      <c r="M95" s="488">
        <f ca="1" t="shared" si="14"/>
        <v>0</v>
      </c>
      <c r="N95" s="488">
        <f ca="1" t="shared" si="14"/>
        <v>0</v>
      </c>
      <c r="O95" s="488">
        <f ca="1" t="shared" si="14"/>
        <v>0</v>
      </c>
    </row>
    <row r="96" hidden="1" spans="2:15">
      <c r="B96" s="21">
        <v>13</v>
      </c>
      <c r="C96" s="487" t="s">
        <v>607</v>
      </c>
      <c r="D96" s="488">
        <v>0.67557033</v>
      </c>
      <c r="E96" s="488">
        <v>0.67557033</v>
      </c>
      <c r="F96" s="488">
        <v>0.67557033</v>
      </c>
      <c r="G96" s="488">
        <v>0.67557033</v>
      </c>
      <c r="H96" s="21"/>
      <c r="I96" s="21"/>
      <c r="J96" s="488">
        <v>0.998</v>
      </c>
      <c r="K96" s="488">
        <f ca="1" t="shared" si="14"/>
        <v>1.42888441549898</v>
      </c>
      <c r="L96" s="488">
        <f ca="1" t="shared" si="14"/>
        <v>1.49932841718308</v>
      </c>
      <c r="M96" s="488">
        <f ca="1" t="shared" si="14"/>
        <v>1.40609724419046</v>
      </c>
      <c r="N96" s="488">
        <f ca="1" t="shared" si="14"/>
        <v>1.47541783832904</v>
      </c>
      <c r="O96" s="488">
        <f ca="1" t="shared" si="14"/>
        <v>1.54815593775867</v>
      </c>
    </row>
    <row r="97" hidden="1" spans="2:15">
      <c r="B97" s="21">
        <v>14</v>
      </c>
      <c r="C97" s="487" t="s">
        <v>608</v>
      </c>
      <c r="D97" s="488">
        <v>0.17569117</v>
      </c>
      <c r="E97" s="488">
        <v>0.17569117</v>
      </c>
      <c r="F97" s="488">
        <v>0.17569117</v>
      </c>
      <c r="G97" s="488">
        <v>0.17569117</v>
      </c>
      <c r="H97" s="21"/>
      <c r="I97" s="21"/>
      <c r="J97" s="488">
        <v>0.145</v>
      </c>
      <c r="K97" s="488">
        <f ca="1" t="shared" si="14"/>
        <v>0.207603447141635</v>
      </c>
      <c r="L97" s="488">
        <f ca="1" t="shared" si="14"/>
        <v>0.217838297085718</v>
      </c>
      <c r="M97" s="488">
        <f ca="1" t="shared" si="14"/>
        <v>0.204292685779174</v>
      </c>
      <c r="N97" s="488">
        <f ca="1" t="shared" si="14"/>
        <v>0.214364315188087</v>
      </c>
      <c r="O97" s="488">
        <f ca="1" t="shared" si="14"/>
        <v>0.22493247592686</v>
      </c>
    </row>
    <row r="98" hidden="1" spans="2:15">
      <c r="B98" s="21">
        <v>15</v>
      </c>
      <c r="C98" s="487" t="s">
        <v>609</v>
      </c>
      <c r="D98" s="488">
        <v>0</v>
      </c>
      <c r="E98" s="488">
        <v>0</v>
      </c>
      <c r="F98" s="488">
        <v>0</v>
      </c>
      <c r="G98" s="488">
        <v>0</v>
      </c>
      <c r="H98" s="21"/>
      <c r="I98" s="21"/>
      <c r="J98" s="488">
        <v>0</v>
      </c>
      <c r="K98" s="488">
        <f ca="1" t="shared" si="14"/>
        <v>0</v>
      </c>
      <c r="L98" s="488">
        <f ca="1" t="shared" si="14"/>
        <v>0</v>
      </c>
      <c r="M98" s="488">
        <f ca="1" t="shared" si="14"/>
        <v>0</v>
      </c>
      <c r="N98" s="488">
        <f ca="1" t="shared" si="14"/>
        <v>0</v>
      </c>
      <c r="O98" s="488">
        <f ca="1" t="shared" si="14"/>
        <v>0</v>
      </c>
    </row>
    <row r="99" hidden="1" spans="2:15">
      <c r="B99" s="21">
        <v>16</v>
      </c>
      <c r="C99" s="976" t="s">
        <v>610</v>
      </c>
      <c r="D99" s="488">
        <v>0</v>
      </c>
      <c r="E99" s="488">
        <v>0</v>
      </c>
      <c r="F99" s="488">
        <v>0</v>
      </c>
      <c r="G99" s="488">
        <v>0</v>
      </c>
      <c r="H99" s="21"/>
      <c r="I99" s="21"/>
      <c r="J99" s="488">
        <v>0</v>
      </c>
      <c r="K99" s="488">
        <f ca="1" t="shared" si="14"/>
        <v>0</v>
      </c>
      <c r="L99" s="488">
        <f ca="1" t="shared" si="14"/>
        <v>0</v>
      </c>
      <c r="M99" s="488">
        <f ca="1" t="shared" si="14"/>
        <v>0</v>
      </c>
      <c r="N99" s="488">
        <f ca="1" t="shared" si="14"/>
        <v>0</v>
      </c>
      <c r="O99" s="488">
        <f ca="1" t="shared" si="14"/>
        <v>0</v>
      </c>
    </row>
    <row r="100" hidden="1" spans="2:15">
      <c r="B100" s="21">
        <v>17</v>
      </c>
      <c r="C100" s="976" t="s">
        <v>611</v>
      </c>
      <c r="D100" s="488">
        <v>0.5932071</v>
      </c>
      <c r="E100" s="488">
        <v>0.5932071</v>
      </c>
      <c r="F100" s="488">
        <v>0.5932071</v>
      </c>
      <c r="G100" s="488">
        <v>0.5932071</v>
      </c>
      <c r="H100" s="21"/>
      <c r="I100" s="21"/>
      <c r="J100" s="488">
        <v>0.901</v>
      </c>
      <c r="K100" s="488">
        <f ca="1" t="shared" ref="K100:O111" si="15">10%*K26</f>
        <v>1.29000486810078</v>
      </c>
      <c r="L100" s="488">
        <f ca="1" t="shared" si="15"/>
        <v>1.35360210809815</v>
      </c>
      <c r="M100" s="488">
        <f ca="1" t="shared" si="15"/>
        <v>1.26943248197956</v>
      </c>
      <c r="N100" s="488">
        <f ca="1" t="shared" si="15"/>
        <v>1.33201550334115</v>
      </c>
      <c r="O100" s="488">
        <f ca="1" t="shared" si="15"/>
        <v>1.39768386765587</v>
      </c>
    </row>
    <row r="101" hidden="1" spans="2:15">
      <c r="B101" s="21">
        <v>18</v>
      </c>
      <c r="C101" s="487" t="s">
        <v>612</v>
      </c>
      <c r="D101" s="488">
        <v>0.03742913</v>
      </c>
      <c r="E101" s="488">
        <v>0.03742913</v>
      </c>
      <c r="F101" s="488">
        <v>0.03742913</v>
      </c>
      <c r="G101" s="488">
        <v>0.03742913</v>
      </c>
      <c r="H101" s="21"/>
      <c r="I101" s="21"/>
      <c r="J101" s="488">
        <v>0.041</v>
      </c>
      <c r="K101" s="488">
        <f ca="1" t="shared" si="15"/>
        <v>0.0587016643641866</v>
      </c>
      <c r="L101" s="488">
        <f ca="1" t="shared" si="15"/>
        <v>0.061595656417341</v>
      </c>
      <c r="M101" s="488">
        <f ca="1" t="shared" si="15"/>
        <v>0.0577655180479045</v>
      </c>
      <c r="N101" s="488">
        <f ca="1" t="shared" si="15"/>
        <v>0.0606133580876661</v>
      </c>
      <c r="O101" s="488">
        <f ca="1" t="shared" si="15"/>
        <v>0.0636015966413881</v>
      </c>
    </row>
    <row r="102" hidden="1" spans="2:15">
      <c r="B102" s="21">
        <v>19</v>
      </c>
      <c r="C102" s="487" t="s">
        <v>613</v>
      </c>
      <c r="D102" s="488">
        <v>3.83184536</v>
      </c>
      <c r="E102" s="488">
        <v>3.83184536</v>
      </c>
      <c r="F102" s="488">
        <v>3.83184536</v>
      </c>
      <c r="G102" s="488">
        <v>3.83184536</v>
      </c>
      <c r="H102" s="21"/>
      <c r="I102" s="21"/>
      <c r="J102" s="488">
        <v>1.242</v>
      </c>
      <c r="K102" s="488">
        <f ca="1" t="shared" si="15"/>
        <v>1.77823090586146</v>
      </c>
      <c r="L102" s="488">
        <f ca="1" t="shared" si="15"/>
        <v>1.86589768952043</v>
      </c>
      <c r="M102" s="488">
        <f ca="1" t="shared" si="15"/>
        <v>1.74987252232921</v>
      </c>
      <c r="N102" s="488">
        <f ca="1" t="shared" si="15"/>
        <v>1.83614123768003</v>
      </c>
      <c r="O102" s="488">
        <f ca="1" t="shared" si="15"/>
        <v>1.92666300069766</v>
      </c>
    </row>
    <row r="103" hidden="1" spans="2:15">
      <c r="B103" s="21">
        <v>20</v>
      </c>
      <c r="C103" s="487" t="s">
        <v>614</v>
      </c>
      <c r="D103" s="488">
        <v>0</v>
      </c>
      <c r="E103" s="488">
        <v>0</v>
      </c>
      <c r="F103" s="488">
        <v>0</v>
      </c>
      <c r="G103" s="488">
        <v>0</v>
      </c>
      <c r="H103" s="21"/>
      <c r="I103" s="21"/>
      <c r="J103" s="488">
        <v>0</v>
      </c>
      <c r="K103" s="488">
        <f ca="1" t="shared" si="15"/>
        <v>0</v>
      </c>
      <c r="L103" s="488">
        <f ca="1" t="shared" si="15"/>
        <v>0</v>
      </c>
      <c r="M103" s="488">
        <f ca="1" t="shared" si="15"/>
        <v>0</v>
      </c>
      <c r="N103" s="488">
        <f ca="1" t="shared" si="15"/>
        <v>0</v>
      </c>
      <c r="O103" s="488">
        <f ca="1" t="shared" si="15"/>
        <v>0</v>
      </c>
    </row>
    <row r="104" hidden="1" spans="2:15">
      <c r="B104" s="21">
        <v>21</v>
      </c>
      <c r="C104" s="487" t="s">
        <v>615</v>
      </c>
      <c r="D104" s="488">
        <v>1.31880313</v>
      </c>
      <c r="E104" s="488">
        <v>1.31880313</v>
      </c>
      <c r="F104" s="488">
        <v>1.31880313</v>
      </c>
      <c r="G104" s="488">
        <v>1.31880313</v>
      </c>
      <c r="H104" s="21"/>
      <c r="I104" s="21"/>
      <c r="J104" s="488">
        <v>1.087</v>
      </c>
      <c r="K104" s="488">
        <f ca="1" t="shared" si="15"/>
        <v>1.5563099796066</v>
      </c>
      <c r="L104" s="488">
        <f ca="1" t="shared" si="15"/>
        <v>1.63303606160121</v>
      </c>
      <c r="M104" s="488">
        <f ca="1" t="shared" si="15"/>
        <v>1.53149068580664</v>
      </c>
      <c r="N104" s="488">
        <f ca="1" t="shared" si="15"/>
        <v>1.6069931766169</v>
      </c>
      <c r="O104" s="488">
        <f ca="1" t="shared" si="15"/>
        <v>1.68621794022412</v>
      </c>
    </row>
    <row r="105" hidden="1" spans="2:15">
      <c r="B105" s="21">
        <v>22</v>
      </c>
      <c r="C105" s="487" t="s">
        <v>616</v>
      </c>
      <c r="D105" s="488">
        <v>0</v>
      </c>
      <c r="E105" s="488">
        <v>0</v>
      </c>
      <c r="F105" s="488">
        <v>0</v>
      </c>
      <c r="G105" s="488">
        <v>0</v>
      </c>
      <c r="H105" s="21"/>
      <c r="I105" s="21"/>
      <c r="J105" s="488">
        <v>0</v>
      </c>
      <c r="K105" s="488">
        <f ca="1" t="shared" si="15"/>
        <v>0</v>
      </c>
      <c r="L105" s="488">
        <f ca="1" t="shared" si="15"/>
        <v>0</v>
      </c>
      <c r="M105" s="488">
        <f ca="1" t="shared" si="15"/>
        <v>0</v>
      </c>
      <c r="N105" s="488">
        <f ca="1" t="shared" si="15"/>
        <v>0</v>
      </c>
      <c r="O105" s="488">
        <f ca="1" t="shared" si="15"/>
        <v>0</v>
      </c>
    </row>
    <row r="106" hidden="1" spans="2:15">
      <c r="B106" s="21">
        <v>23</v>
      </c>
      <c r="C106" s="487" t="s">
        <v>617</v>
      </c>
      <c r="D106" s="488">
        <v>0.22295694</v>
      </c>
      <c r="E106" s="488">
        <v>0.22295694</v>
      </c>
      <c r="F106" s="488">
        <v>0.22295694</v>
      </c>
      <c r="G106" s="488">
        <v>0.22295694</v>
      </c>
      <c r="H106" s="21"/>
      <c r="I106" s="21"/>
      <c r="J106" s="488">
        <v>0.232</v>
      </c>
      <c r="K106" s="488">
        <f ca="1" t="shared" si="15"/>
        <v>0.332165515426617</v>
      </c>
      <c r="L106" s="488">
        <f ca="1" t="shared" si="15"/>
        <v>0.348541275337149</v>
      </c>
      <c r="M106" s="488">
        <f ca="1" t="shared" si="15"/>
        <v>0.326868297246679</v>
      </c>
      <c r="N106" s="488">
        <f ca="1" t="shared" si="15"/>
        <v>0.34298290430094</v>
      </c>
      <c r="O106" s="488">
        <f ca="1" t="shared" si="15"/>
        <v>0.359891961482977</v>
      </c>
    </row>
    <row r="107" hidden="1" spans="2:15">
      <c r="B107" s="21">
        <v>24</v>
      </c>
      <c r="C107" s="487" t="s">
        <v>618</v>
      </c>
      <c r="D107" s="488">
        <v>0.008747</v>
      </c>
      <c r="E107" s="488">
        <v>0.008747</v>
      </c>
      <c r="F107" s="488">
        <v>0.008747</v>
      </c>
      <c r="G107" s="488">
        <v>0.008747</v>
      </c>
      <c r="H107" s="21"/>
      <c r="I107" s="21"/>
      <c r="J107" s="488">
        <v>0.011</v>
      </c>
      <c r="K107" s="488">
        <f ca="1" t="shared" si="15"/>
        <v>0.0157492270245379</v>
      </c>
      <c r="L107" s="488">
        <f ca="1" t="shared" si="15"/>
        <v>0.0165256639168476</v>
      </c>
      <c r="M107" s="488">
        <f ca="1" t="shared" si="15"/>
        <v>0.0154980658177305</v>
      </c>
      <c r="N107" s="488">
        <f ca="1" t="shared" si="15"/>
        <v>0.0162621204625446</v>
      </c>
      <c r="O107" s="488">
        <f ca="1" t="shared" si="15"/>
        <v>0.017063843001348</v>
      </c>
    </row>
    <row r="108" hidden="1" spans="2:15">
      <c r="B108" s="21">
        <v>25</v>
      </c>
      <c r="C108" s="487" t="s">
        <v>619</v>
      </c>
      <c r="D108" s="488">
        <v>0</v>
      </c>
      <c r="E108" s="488">
        <v>0</v>
      </c>
      <c r="F108" s="488">
        <v>0</v>
      </c>
      <c r="G108" s="488">
        <v>0</v>
      </c>
      <c r="H108" s="21"/>
      <c r="I108" s="21"/>
      <c r="J108" s="488">
        <v>0.241</v>
      </c>
      <c r="K108" s="488">
        <f ca="1" t="shared" si="15"/>
        <v>0.345051246628511</v>
      </c>
      <c r="L108" s="488">
        <f ca="1" t="shared" si="15"/>
        <v>0.362062273087297</v>
      </c>
      <c r="M108" s="488">
        <f ca="1" t="shared" si="15"/>
        <v>0.339548532915731</v>
      </c>
      <c r="N108" s="488">
        <f ca="1" t="shared" si="15"/>
        <v>0.356288275588476</v>
      </c>
      <c r="O108" s="488">
        <f ca="1" t="shared" si="15"/>
        <v>0.373853287574989</v>
      </c>
    </row>
    <row r="109" hidden="1" spans="2:15">
      <c r="B109" s="21">
        <v>26</v>
      </c>
      <c r="C109" s="487" t="s">
        <v>620</v>
      </c>
      <c r="D109" s="488">
        <v>0.57003685</v>
      </c>
      <c r="E109" s="488">
        <v>0.57003685</v>
      </c>
      <c r="F109" s="488">
        <v>0.57003685</v>
      </c>
      <c r="G109" s="488">
        <v>0.57003685</v>
      </c>
      <c r="H109" s="21"/>
      <c r="I109" s="21"/>
      <c r="J109" s="488">
        <v>1.345</v>
      </c>
      <c r="K109" s="488">
        <f ca="1" t="shared" si="15"/>
        <v>1.92570094072758</v>
      </c>
      <c r="L109" s="488">
        <f ca="1" t="shared" si="15"/>
        <v>2.02063799710545</v>
      </c>
      <c r="M109" s="488">
        <f ca="1" t="shared" si="15"/>
        <v>1.89499077498614</v>
      </c>
      <c r="N109" s="488">
        <f ca="1" t="shared" si="15"/>
        <v>1.98841382019295</v>
      </c>
      <c r="O109" s="488">
        <f ca="1" t="shared" si="15"/>
        <v>2.08644262152846</v>
      </c>
    </row>
    <row r="110" hidden="1" spans="2:15">
      <c r="B110" s="21">
        <v>27</v>
      </c>
      <c r="C110" s="487" t="s">
        <v>621</v>
      </c>
      <c r="D110" s="488">
        <v>0.54529457</v>
      </c>
      <c r="E110" s="488">
        <v>0.54529457</v>
      </c>
      <c r="F110" s="488">
        <v>0.54529457</v>
      </c>
      <c r="G110" s="488">
        <v>0.54529457</v>
      </c>
      <c r="H110" s="21"/>
      <c r="I110" s="21"/>
      <c r="J110" s="488">
        <v>0.751</v>
      </c>
      <c r="K110" s="488">
        <f ca="1" t="shared" si="15"/>
        <v>1.07524268140254</v>
      </c>
      <c r="L110" s="488">
        <f ca="1" t="shared" si="15"/>
        <v>1.12825214559568</v>
      </c>
      <c r="M110" s="488">
        <f ca="1" t="shared" si="15"/>
        <v>1.05809522082869</v>
      </c>
      <c r="N110" s="488">
        <f ca="1" t="shared" si="15"/>
        <v>1.11025931521554</v>
      </c>
      <c r="O110" s="488">
        <f ca="1" t="shared" si="15"/>
        <v>1.16499509945567</v>
      </c>
    </row>
    <row r="111" hidden="1" spans="2:15">
      <c r="B111" s="21">
        <v>28</v>
      </c>
      <c r="C111" s="487" t="s">
        <v>440</v>
      </c>
      <c r="D111" s="488">
        <v>0.18815399</v>
      </c>
      <c r="E111" s="488">
        <v>0.18815399</v>
      </c>
      <c r="F111" s="488">
        <v>0.18815399</v>
      </c>
      <c r="G111" s="488">
        <v>0.18815399</v>
      </c>
      <c r="H111" s="21"/>
      <c r="I111" s="21"/>
      <c r="J111" s="488">
        <v>0.241</v>
      </c>
      <c r="K111" s="488">
        <f ca="1" t="shared" si="15"/>
        <v>0.345051246628511</v>
      </c>
      <c r="L111" s="488">
        <f ca="1" t="shared" si="15"/>
        <v>0.362062273087297</v>
      </c>
      <c r="M111" s="488">
        <f ca="1" t="shared" si="15"/>
        <v>0.339548532915731</v>
      </c>
      <c r="N111" s="488">
        <f ca="1" t="shared" si="15"/>
        <v>0.356288275588476</v>
      </c>
      <c r="O111" s="488">
        <f ca="1" t="shared" si="15"/>
        <v>0.373853287574989</v>
      </c>
    </row>
    <row r="112" ht="15" spans="2:15">
      <c r="B112" s="21">
        <v>29</v>
      </c>
      <c r="C112" s="491" t="s">
        <v>622</v>
      </c>
      <c r="D112" s="492">
        <f>SUM(D84:D111)</f>
        <v>15.86552551</v>
      </c>
      <c r="E112" s="492">
        <f t="shared" ref="E112:J112" si="16">SUM(E84:E111)</f>
        <v>15.86552551</v>
      </c>
      <c r="F112" s="492">
        <f t="shared" si="16"/>
        <v>15.86552551</v>
      </c>
      <c r="G112" s="492">
        <f t="shared" si="16"/>
        <v>15.86552551</v>
      </c>
      <c r="H112" s="30">
        <f t="shared" si="16"/>
        <v>0</v>
      </c>
      <c r="I112" s="30">
        <f t="shared" si="16"/>
        <v>0</v>
      </c>
      <c r="J112" s="492">
        <f t="shared" si="16"/>
        <v>17.008</v>
      </c>
      <c r="K112" s="492">
        <f ca="1">10%*K38</f>
        <v>24.3511684757582</v>
      </c>
      <c r="L112" s="492">
        <f ca="1">10%*L38</f>
        <v>25.5516810816131</v>
      </c>
      <c r="M112" s="492">
        <f ca="1">SUM(M84:M111)</f>
        <v>23.96282758436</v>
      </c>
      <c r="N112" s="492">
        <f ca="1">SUM(N84:N111)</f>
        <v>25.1441949842689</v>
      </c>
      <c r="O112" s="492">
        <f ca="1">SUM(O84:O111)</f>
        <v>26.3838037969934</v>
      </c>
    </row>
    <row r="113" ht="15" spans="2:15">
      <c r="B113" s="21">
        <v>30</v>
      </c>
      <c r="C113" s="354" t="s">
        <v>592</v>
      </c>
      <c r="D113" s="488">
        <v>-1.57478052</v>
      </c>
      <c r="E113" s="488">
        <v>-1.57478052</v>
      </c>
      <c r="F113" s="488">
        <v>-1.57478052</v>
      </c>
      <c r="G113" s="488">
        <v>-1.57478052</v>
      </c>
      <c r="H113" s="497"/>
      <c r="I113" s="497"/>
      <c r="J113" s="488">
        <v>1.807</v>
      </c>
      <c r="K113" s="498">
        <f ca="1" t="shared" ref="K113:L114" si="17">10%*K39</f>
        <v>2.58716847575817</v>
      </c>
      <c r="L113" s="498">
        <f ca="1" t="shared" si="17"/>
        <v>2.71471588161305</v>
      </c>
      <c r="M113" s="499">
        <f ca="1" t="shared" ref="M113:O113" si="18">$J$113/$J$112*M112</f>
        <v>2.54590953933082</v>
      </c>
      <c r="N113" s="499">
        <f ca="1" t="shared" si="18"/>
        <v>2.67142287961982</v>
      </c>
      <c r="O113" s="499">
        <f ca="1" t="shared" si="18"/>
        <v>2.80312402758508</v>
      </c>
    </row>
    <row r="114" ht="15" spans="2:15">
      <c r="B114" s="21">
        <v>31</v>
      </c>
      <c r="C114" s="19" t="s">
        <v>623</v>
      </c>
      <c r="D114" s="492">
        <f>D112-D113</f>
        <v>17.44030603</v>
      </c>
      <c r="E114" s="492">
        <f t="shared" ref="E114:O114" si="19">E112-E113</f>
        <v>17.44030603</v>
      </c>
      <c r="F114" s="492">
        <f t="shared" si="19"/>
        <v>17.44030603</v>
      </c>
      <c r="G114" s="492">
        <f t="shared" si="19"/>
        <v>17.44030603</v>
      </c>
      <c r="H114" s="30">
        <f t="shared" si="19"/>
        <v>0</v>
      </c>
      <c r="I114" s="30">
        <f t="shared" si="19"/>
        <v>0</v>
      </c>
      <c r="J114" s="492">
        <f t="shared" si="19"/>
        <v>15.201</v>
      </c>
      <c r="K114" s="492">
        <f t="shared" si="17"/>
        <v>21.764</v>
      </c>
      <c r="L114" s="492">
        <f t="shared" si="17"/>
        <v>22.8369652</v>
      </c>
      <c r="M114" s="492">
        <f ca="1" t="shared" si="19"/>
        <v>21.4169180450292</v>
      </c>
      <c r="N114" s="492">
        <f ca="1" t="shared" si="19"/>
        <v>22.4727721046491</v>
      </c>
      <c r="O114" s="492">
        <f ca="1" t="shared" si="19"/>
        <v>23.5806797694083</v>
      </c>
    </row>
  </sheetData>
  <mergeCells count="12">
    <mergeCell ref="H7:J7"/>
    <mergeCell ref="K7:O7"/>
    <mergeCell ref="H44:J44"/>
    <mergeCell ref="K44:O44"/>
    <mergeCell ref="H81:J81"/>
    <mergeCell ref="K81:O81"/>
    <mergeCell ref="B7:B9"/>
    <mergeCell ref="B44:B46"/>
    <mergeCell ref="B81:B83"/>
    <mergeCell ref="C7:C9"/>
    <mergeCell ref="C44:C46"/>
    <mergeCell ref="C81:C83"/>
  </mergeCells>
  <printOptions horizontalCentered="1"/>
  <pageMargins left="0.747916666666667" right="0.747916666666667" top="0.984027777777778" bottom="0.984027777777778" header="0.511805555555556" footer="0.511805555555556"/>
  <pageSetup paperSize="9" scale="95" orientation="portrait" horizontalDpi="600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  <pageSetUpPr fitToPage="1"/>
  </sheetPr>
  <dimension ref="B2:P64"/>
  <sheetViews>
    <sheetView showGridLines="0" view="pageBreakPreview" zoomScale="90" zoomScaleNormal="68" workbookViewId="0">
      <selection activeCell="S29" sqref="S29"/>
    </sheetView>
  </sheetViews>
  <sheetFormatPr defaultColWidth="9.28571428571429" defaultRowHeight="14.25"/>
  <cols>
    <col min="1" max="1" width="6.71428571428571" style="15" customWidth="1"/>
    <col min="2" max="2" width="8.71428571428571" style="486" customWidth="1"/>
    <col min="3" max="3" width="45.7142857142857" style="15" customWidth="1"/>
    <col min="4" max="10" width="15.7142857142857" style="15" hidden="1" customWidth="1"/>
    <col min="11" max="12" width="12.2857142857143" style="15" customWidth="1"/>
    <col min="13" max="13" width="13" style="15" hidden="1" customWidth="1"/>
    <col min="14" max="14" width="13.4285714285714" style="15" hidden="1" customWidth="1"/>
    <col min="15" max="15" width="12.7142857142857" style="15" hidden="1" customWidth="1"/>
    <col min="16" max="16384" width="9.28571428571429" style="15"/>
  </cols>
  <sheetData>
    <row r="2" ht="15" spans="3:12">
      <c r="C2" s="12"/>
      <c r="D2" s="12"/>
      <c r="E2" s="12"/>
      <c r="F2" s="12"/>
      <c r="G2" s="12"/>
      <c r="H2" s="2" t="s">
        <v>758</v>
      </c>
      <c r="I2" s="12"/>
      <c r="J2" s="12"/>
      <c r="K2" s="12"/>
      <c r="L2" s="12"/>
    </row>
    <row r="3" s="479" customFormat="1" ht="15" spans="3:12">
      <c r="C3" s="12"/>
      <c r="D3" s="12"/>
      <c r="E3" s="12"/>
      <c r="F3" s="12"/>
      <c r="G3" s="12"/>
      <c r="H3" s="3" t="s">
        <v>624</v>
      </c>
      <c r="I3" s="12"/>
      <c r="J3" s="12"/>
      <c r="K3" s="12"/>
      <c r="L3" s="12"/>
    </row>
    <row r="4" s="479" customFormat="1" ht="15" spans="3:12">
      <c r="C4" s="12"/>
      <c r="D4" s="12"/>
      <c r="E4" s="12"/>
      <c r="F4" s="12"/>
      <c r="G4" s="12"/>
      <c r="H4" s="3"/>
      <c r="I4" s="12"/>
      <c r="J4" s="12"/>
      <c r="K4" s="12"/>
      <c r="L4" s="12"/>
    </row>
    <row r="5" ht="15" spans="2:2">
      <c r="B5" s="322" t="s">
        <v>763</v>
      </c>
    </row>
    <row r="6" ht="15" spans="12:15">
      <c r="L6" s="33" t="s">
        <v>851</v>
      </c>
      <c r="O6" s="33" t="s">
        <v>109</v>
      </c>
    </row>
    <row r="7" ht="12.75" customHeight="1" spans="2:16">
      <c r="B7" s="5" t="s">
        <v>3</v>
      </c>
      <c r="C7" s="6" t="s">
        <v>110</v>
      </c>
      <c r="D7" s="5" t="s">
        <v>565</v>
      </c>
      <c r="E7" s="5" t="s">
        <v>566</v>
      </c>
      <c r="F7" s="5" t="s">
        <v>567</v>
      </c>
      <c r="G7" s="5" t="s">
        <v>112</v>
      </c>
      <c r="H7" s="5" t="s">
        <v>760</v>
      </c>
      <c r="I7" s="5"/>
      <c r="J7" s="5"/>
      <c r="K7" s="135" t="s">
        <v>114</v>
      </c>
      <c r="L7" s="135"/>
      <c r="M7" s="135"/>
      <c r="N7" s="135"/>
      <c r="O7" s="135"/>
      <c r="P7" s="336"/>
    </row>
    <row r="8" ht="15" spans="2:15">
      <c r="B8" s="5"/>
      <c r="C8" s="6"/>
      <c r="D8" s="5" t="s">
        <v>237</v>
      </c>
      <c r="E8" s="5" t="s">
        <v>237</v>
      </c>
      <c r="F8" s="5" t="s">
        <v>237</v>
      </c>
      <c r="G8" s="5" t="s">
        <v>237</v>
      </c>
      <c r="H8" s="5" t="s">
        <v>119</v>
      </c>
      <c r="I8" s="5" t="s">
        <v>120</v>
      </c>
      <c r="J8" s="5" t="s">
        <v>238</v>
      </c>
      <c r="K8" s="5" t="s">
        <v>514</v>
      </c>
      <c r="L8" s="5" t="s">
        <v>515</v>
      </c>
      <c r="M8" s="5" t="s">
        <v>516</v>
      </c>
      <c r="N8" s="5" t="s">
        <v>517</v>
      </c>
      <c r="O8" s="5" t="s">
        <v>518</v>
      </c>
    </row>
    <row r="9" ht="15" spans="2:15">
      <c r="B9" s="5"/>
      <c r="C9" s="6"/>
      <c r="D9" s="5" t="s">
        <v>128</v>
      </c>
      <c r="E9" s="5" t="s">
        <v>128</v>
      </c>
      <c r="F9" s="5" t="s">
        <v>128</v>
      </c>
      <c r="G9" s="5" t="s">
        <v>128</v>
      </c>
      <c r="H9" s="5" t="s">
        <v>130</v>
      </c>
      <c r="I9" s="5" t="s">
        <v>131</v>
      </c>
      <c r="J9" s="5" t="s">
        <v>128</v>
      </c>
      <c r="K9" s="5" t="s">
        <v>132</v>
      </c>
      <c r="L9" s="5" t="s">
        <v>132</v>
      </c>
      <c r="M9" s="5" t="s">
        <v>132</v>
      </c>
      <c r="N9" s="5" t="s">
        <v>132</v>
      </c>
      <c r="O9" s="5" t="s">
        <v>132</v>
      </c>
    </row>
    <row r="10" hidden="1" spans="2:15">
      <c r="B10" s="20">
        <v>1</v>
      </c>
      <c r="C10" s="487" t="s">
        <v>625</v>
      </c>
      <c r="D10" s="488">
        <f t="shared" ref="D10:J19" si="0">D30+D50</f>
        <v>68.8837685</v>
      </c>
      <c r="E10" s="488">
        <f t="shared" si="0"/>
        <v>77.5958344</v>
      </c>
      <c r="F10" s="488">
        <f t="shared" si="0"/>
        <v>87.77</v>
      </c>
      <c r="G10" s="488">
        <f t="shared" si="0"/>
        <v>84.41</v>
      </c>
      <c r="H10" s="488">
        <f t="shared" si="0"/>
        <v>0</v>
      </c>
      <c r="I10" s="488">
        <f t="shared" si="0"/>
        <v>0</v>
      </c>
      <c r="J10" s="351">
        <f t="shared" si="0"/>
        <v>120.94</v>
      </c>
      <c r="K10" s="351">
        <f t="shared" ref="K10:O19" si="1">J10/J$20*K$20</f>
        <v>106.769176218467</v>
      </c>
      <c r="L10" s="351">
        <f t="shared" si="1"/>
        <v>119.487995997164</v>
      </c>
      <c r="M10" s="351">
        <f t="shared" si="1"/>
        <v>123.930131077874</v>
      </c>
      <c r="N10" s="351">
        <f t="shared" si="1"/>
        <v>140.124233516189</v>
      </c>
      <c r="O10" s="351">
        <f t="shared" si="1"/>
        <v>158.842549169895</v>
      </c>
    </row>
    <row r="11" hidden="1" spans="2:15">
      <c r="B11" s="20">
        <v>2</v>
      </c>
      <c r="C11" s="487" t="s">
        <v>626</v>
      </c>
      <c r="D11" s="488">
        <f t="shared" si="0"/>
        <v>1.6172103</v>
      </c>
      <c r="E11" s="488">
        <f t="shared" si="0"/>
        <v>1.6109865</v>
      </c>
      <c r="F11" s="488">
        <f t="shared" si="0"/>
        <v>1.5</v>
      </c>
      <c r="G11" s="488">
        <f t="shared" si="0"/>
        <v>0.76</v>
      </c>
      <c r="H11" s="488">
        <f t="shared" si="0"/>
        <v>0</v>
      </c>
      <c r="I11" s="488">
        <f t="shared" si="0"/>
        <v>0</v>
      </c>
      <c r="J11" s="351">
        <f t="shared" si="0"/>
        <v>0.06</v>
      </c>
      <c r="K11" s="351">
        <f t="shared" si="1"/>
        <v>0.0529696591128495</v>
      </c>
      <c r="L11" s="351">
        <f t="shared" si="1"/>
        <v>0.0592796408122197</v>
      </c>
      <c r="M11" s="351">
        <f t="shared" si="1"/>
        <v>0.061483445218062</v>
      </c>
      <c r="N11" s="351">
        <f t="shared" si="1"/>
        <v>0.0695175625183674</v>
      </c>
      <c r="O11" s="351">
        <f t="shared" si="1"/>
        <v>0.0788039767669398</v>
      </c>
    </row>
    <row r="12" hidden="1" spans="2:15">
      <c r="B12" s="20">
        <v>3</v>
      </c>
      <c r="C12" s="487" t="s">
        <v>627</v>
      </c>
      <c r="D12" s="488">
        <f t="shared" si="0"/>
        <v>6.8628019</v>
      </c>
      <c r="E12" s="488">
        <f t="shared" si="0"/>
        <v>8.286688</v>
      </c>
      <c r="F12" s="488">
        <f t="shared" si="0"/>
        <v>12.39</v>
      </c>
      <c r="G12" s="488">
        <f t="shared" si="0"/>
        <v>9.81</v>
      </c>
      <c r="H12" s="488">
        <f t="shared" si="0"/>
        <v>0</v>
      </c>
      <c r="I12" s="488">
        <f t="shared" si="0"/>
        <v>0</v>
      </c>
      <c r="J12" s="351">
        <f t="shared" si="0"/>
        <v>9.97</v>
      </c>
      <c r="K12" s="351">
        <f t="shared" si="1"/>
        <v>8.80179168925182</v>
      </c>
      <c r="L12" s="351">
        <f t="shared" si="1"/>
        <v>9.85030031496384</v>
      </c>
      <c r="M12" s="351">
        <f t="shared" si="1"/>
        <v>10.216499147068</v>
      </c>
      <c r="N12" s="351">
        <f t="shared" si="1"/>
        <v>11.5515016384687</v>
      </c>
      <c r="O12" s="351">
        <f t="shared" si="1"/>
        <v>13.0945941394398</v>
      </c>
    </row>
    <row r="13" hidden="1" spans="2:15">
      <c r="B13" s="20">
        <v>4</v>
      </c>
      <c r="C13" s="487" t="s">
        <v>628</v>
      </c>
      <c r="D13" s="488">
        <f t="shared" si="0"/>
        <v>0</v>
      </c>
      <c r="E13" s="488">
        <f t="shared" si="0"/>
        <v>0</v>
      </c>
      <c r="F13" s="488">
        <f t="shared" si="0"/>
        <v>0</v>
      </c>
      <c r="G13" s="488">
        <f t="shared" si="0"/>
        <v>0</v>
      </c>
      <c r="H13" s="488">
        <f t="shared" si="0"/>
        <v>0</v>
      </c>
      <c r="I13" s="488">
        <f t="shared" si="0"/>
        <v>0</v>
      </c>
      <c r="J13" s="351">
        <f t="shared" si="0"/>
        <v>0</v>
      </c>
      <c r="K13" s="351">
        <f t="shared" si="1"/>
        <v>0</v>
      </c>
      <c r="L13" s="351">
        <f t="shared" si="1"/>
        <v>0</v>
      </c>
      <c r="M13" s="351">
        <f t="shared" si="1"/>
        <v>0</v>
      </c>
      <c r="N13" s="351">
        <f t="shared" si="1"/>
        <v>0</v>
      </c>
      <c r="O13" s="351">
        <f t="shared" si="1"/>
        <v>0</v>
      </c>
    </row>
    <row r="14" hidden="1" spans="2:15">
      <c r="B14" s="20">
        <v>5</v>
      </c>
      <c r="C14" s="487" t="s">
        <v>629</v>
      </c>
      <c r="D14" s="488">
        <f t="shared" si="0"/>
        <v>32.1927425</v>
      </c>
      <c r="E14" s="488">
        <f t="shared" si="0"/>
        <v>56.6803026</v>
      </c>
      <c r="F14" s="488">
        <f t="shared" si="0"/>
        <v>49.9</v>
      </c>
      <c r="G14" s="488">
        <f t="shared" si="0"/>
        <v>57.35</v>
      </c>
      <c r="H14" s="488">
        <f t="shared" si="0"/>
        <v>0</v>
      </c>
      <c r="I14" s="488">
        <f t="shared" si="0"/>
        <v>0</v>
      </c>
      <c r="J14" s="351">
        <f t="shared" si="0"/>
        <v>63.63</v>
      </c>
      <c r="K14" s="351">
        <f t="shared" si="1"/>
        <v>56.1743234891769</v>
      </c>
      <c r="L14" s="351">
        <f t="shared" si="1"/>
        <v>62.866059081359</v>
      </c>
      <c r="M14" s="351">
        <f t="shared" si="1"/>
        <v>65.2031936537547</v>
      </c>
      <c r="N14" s="351">
        <f t="shared" si="1"/>
        <v>73.7233750507286</v>
      </c>
      <c r="O14" s="351">
        <f t="shared" si="1"/>
        <v>83.5716173613397</v>
      </c>
    </row>
    <row r="15" hidden="1" spans="2:15">
      <c r="B15" s="20">
        <v>6</v>
      </c>
      <c r="C15" s="487" t="s">
        <v>630</v>
      </c>
      <c r="D15" s="488">
        <f t="shared" si="0"/>
        <v>2.1406478</v>
      </c>
      <c r="E15" s="488">
        <f t="shared" si="0"/>
        <v>1.1694712</v>
      </c>
      <c r="F15" s="488">
        <f t="shared" si="0"/>
        <v>40.1</v>
      </c>
      <c r="G15" s="488">
        <f t="shared" si="0"/>
        <v>35.2</v>
      </c>
      <c r="H15" s="488">
        <f t="shared" si="0"/>
        <v>0</v>
      </c>
      <c r="I15" s="488">
        <f t="shared" si="0"/>
        <v>0</v>
      </c>
      <c r="J15" s="351">
        <f t="shared" si="0"/>
        <v>39.3</v>
      </c>
      <c r="K15" s="351">
        <f t="shared" si="1"/>
        <v>34.6951267189164</v>
      </c>
      <c r="L15" s="351">
        <f t="shared" si="1"/>
        <v>38.8281647320039</v>
      </c>
      <c r="M15" s="351">
        <f t="shared" si="1"/>
        <v>40.2716566178306</v>
      </c>
      <c r="N15" s="351">
        <f t="shared" si="1"/>
        <v>45.5340034495306</v>
      </c>
      <c r="O15" s="351">
        <f t="shared" si="1"/>
        <v>51.6166047823456</v>
      </c>
    </row>
    <row r="16" hidden="1" spans="2:15">
      <c r="B16" s="20">
        <v>7</v>
      </c>
      <c r="C16" s="487" t="s">
        <v>631</v>
      </c>
      <c r="D16" s="488">
        <f t="shared" si="0"/>
        <v>0.4639077</v>
      </c>
      <c r="E16" s="488">
        <f t="shared" si="0"/>
        <v>0.5043186</v>
      </c>
      <c r="F16" s="488">
        <f t="shared" si="0"/>
        <v>0.34</v>
      </c>
      <c r="G16" s="488">
        <f t="shared" si="0"/>
        <v>0.23</v>
      </c>
      <c r="H16" s="488">
        <f t="shared" si="0"/>
        <v>0</v>
      </c>
      <c r="I16" s="488">
        <f t="shared" si="0"/>
        <v>0</v>
      </c>
      <c r="J16" s="351">
        <f t="shared" si="0"/>
        <v>0</v>
      </c>
      <c r="K16" s="351">
        <f t="shared" si="1"/>
        <v>0</v>
      </c>
      <c r="L16" s="351">
        <f t="shared" si="1"/>
        <v>0</v>
      </c>
      <c r="M16" s="351">
        <f t="shared" si="1"/>
        <v>0</v>
      </c>
      <c r="N16" s="351">
        <f t="shared" si="1"/>
        <v>0</v>
      </c>
      <c r="O16" s="351">
        <f t="shared" si="1"/>
        <v>0</v>
      </c>
    </row>
    <row r="17" hidden="1" spans="2:15">
      <c r="B17" s="20">
        <v>8</v>
      </c>
      <c r="C17" s="487" t="s">
        <v>632</v>
      </c>
      <c r="D17" s="488">
        <f t="shared" si="0"/>
        <v>1.3818494</v>
      </c>
      <c r="E17" s="488">
        <f t="shared" si="0"/>
        <v>0.5996207</v>
      </c>
      <c r="F17" s="488">
        <f t="shared" si="0"/>
        <v>4.41</v>
      </c>
      <c r="G17" s="488">
        <f t="shared" si="0"/>
        <v>0.59</v>
      </c>
      <c r="H17" s="488">
        <f t="shared" si="0"/>
        <v>0</v>
      </c>
      <c r="I17" s="488">
        <f t="shared" si="0"/>
        <v>0</v>
      </c>
      <c r="J17" s="351">
        <f t="shared" si="0"/>
        <v>0.01</v>
      </c>
      <c r="K17" s="351">
        <f t="shared" si="1"/>
        <v>0.00882827651880824</v>
      </c>
      <c r="L17" s="351">
        <f t="shared" si="1"/>
        <v>0.00987994013536995</v>
      </c>
      <c r="M17" s="351">
        <f t="shared" si="1"/>
        <v>0.010247240869677</v>
      </c>
      <c r="N17" s="351">
        <f t="shared" si="1"/>
        <v>0.0115862604197279</v>
      </c>
      <c r="O17" s="351">
        <f t="shared" si="1"/>
        <v>0.0131339961278233</v>
      </c>
    </row>
    <row r="18" ht="15.75" hidden="1" spans="2:15">
      <c r="B18" s="489">
        <v>9</v>
      </c>
      <c r="C18" s="490" t="s">
        <v>766</v>
      </c>
      <c r="D18" s="488">
        <f t="shared" si="0"/>
        <v>3.5528336</v>
      </c>
      <c r="E18" s="488">
        <f t="shared" si="0"/>
        <v>1.681648</v>
      </c>
      <c r="F18" s="488">
        <f t="shared" si="0"/>
        <v>2.29</v>
      </c>
      <c r="G18" s="488">
        <f t="shared" si="0"/>
        <v>5.54</v>
      </c>
      <c r="H18" s="488">
        <f t="shared" si="0"/>
        <v>0</v>
      </c>
      <c r="I18" s="488">
        <f t="shared" si="0"/>
        <v>0</v>
      </c>
      <c r="J18" s="351">
        <f t="shared" si="0"/>
        <v>8.47</v>
      </c>
      <c r="K18" s="351">
        <f t="shared" si="1"/>
        <v>7.47755021143058</v>
      </c>
      <c r="L18" s="351">
        <f t="shared" si="1"/>
        <v>8.36830929465835</v>
      </c>
      <c r="M18" s="351">
        <f t="shared" si="1"/>
        <v>8.67941301661642</v>
      </c>
      <c r="N18" s="351">
        <f t="shared" si="1"/>
        <v>9.81356257550953</v>
      </c>
      <c r="O18" s="351">
        <f t="shared" si="1"/>
        <v>11.1244947202663</v>
      </c>
    </row>
    <row r="19" ht="15.75" hidden="1" spans="2:15">
      <c r="B19" s="489">
        <v>10</v>
      </c>
      <c r="C19" s="490" t="s">
        <v>767</v>
      </c>
      <c r="D19" s="488">
        <f t="shared" si="0"/>
        <v>0.1125318</v>
      </c>
      <c r="E19" s="488">
        <f t="shared" si="0"/>
        <v>0.1096673</v>
      </c>
      <c r="F19" s="488">
        <f t="shared" si="0"/>
        <v>0.01</v>
      </c>
      <c r="G19" s="488">
        <f t="shared" si="0"/>
        <v>0.04</v>
      </c>
      <c r="H19" s="488">
        <f t="shared" si="0"/>
        <v>0</v>
      </c>
      <c r="I19" s="488">
        <f t="shared" si="0"/>
        <v>0</v>
      </c>
      <c r="J19" s="351">
        <f t="shared" si="0"/>
        <v>0.06</v>
      </c>
      <c r="K19" s="351">
        <f t="shared" si="1"/>
        <v>0.0529696591128495</v>
      </c>
      <c r="L19" s="351">
        <f t="shared" si="1"/>
        <v>0.0592796408122197</v>
      </c>
      <c r="M19" s="351">
        <f t="shared" si="1"/>
        <v>0.061483445218062</v>
      </c>
      <c r="N19" s="351">
        <f t="shared" si="1"/>
        <v>0.0695175625183674</v>
      </c>
      <c r="O19" s="351">
        <f t="shared" si="1"/>
        <v>0.0788039767669398</v>
      </c>
    </row>
    <row r="20" ht="15" spans="2:15">
      <c r="B20" s="20">
        <v>11</v>
      </c>
      <c r="C20" s="491" t="s">
        <v>633</v>
      </c>
      <c r="D20" s="492">
        <f>SUM(D10:D19)</f>
        <v>117.2082935</v>
      </c>
      <c r="E20" s="492">
        <f t="shared" ref="E20:J20" si="2">SUM(E10:E19)</f>
        <v>148.2385373</v>
      </c>
      <c r="F20" s="492">
        <f t="shared" si="2"/>
        <v>198.71</v>
      </c>
      <c r="G20" s="492">
        <f t="shared" si="2"/>
        <v>193.93</v>
      </c>
      <c r="H20" s="492">
        <f t="shared" si="2"/>
        <v>0</v>
      </c>
      <c r="I20" s="492">
        <f t="shared" si="2"/>
        <v>0</v>
      </c>
      <c r="J20" s="492">
        <f t="shared" si="2"/>
        <v>242.44</v>
      </c>
      <c r="K20" s="495">
        <f>'[59]O&amp;M Projections New Methodology'!J7</f>
        <v>214.032735921987</v>
      </c>
      <c r="L20" s="495">
        <f>'[59]O&amp;M Projections New Methodology'!K7</f>
        <v>239.529268641909</v>
      </c>
      <c r="M20" s="30">
        <f>'[59]O&amp;M Projections New Methodology'!L7</f>
        <v>248.434107644449</v>
      </c>
      <c r="N20" s="30">
        <f>'[59]O&amp;M Projections New Methodology'!M7</f>
        <v>280.897297615883</v>
      </c>
      <c r="O20" s="30">
        <f>'[59]O&amp;M Projections New Methodology'!N7</f>
        <v>318.420602122948</v>
      </c>
    </row>
    <row r="21" spans="2:15">
      <c r="B21" s="20">
        <v>12</v>
      </c>
      <c r="C21" s="493" t="s">
        <v>634</v>
      </c>
      <c r="D21" s="488">
        <v>16417.3695542</v>
      </c>
      <c r="E21" s="488">
        <v>17612.8238348</v>
      </c>
      <c r="F21" s="488">
        <v>19014.96</v>
      </c>
      <c r="G21" s="488">
        <v>20432.89</v>
      </c>
      <c r="H21" s="488"/>
      <c r="I21" s="488"/>
      <c r="J21" s="124">
        <v>22196.41</v>
      </c>
      <c r="K21" s="22">
        <f>'[59]O&amp;M Projections New Methodology'!J12</f>
        <v>22956.5379502279</v>
      </c>
      <c r="L21" s="22">
        <f>'[59]O&amp;M Projections New Methodology'!K12</f>
        <v>25363.9218359233</v>
      </c>
      <c r="M21" s="488">
        <f>'[59]O&amp;M Projections New Methodology'!L12</f>
        <v>31413.810776431</v>
      </c>
      <c r="N21" s="488">
        <f>'[59]O&amp;M Projections New Methodology'!M12</f>
        <v>35518.6920128731</v>
      </c>
      <c r="O21" s="488">
        <f>'[59]O&amp;M Projections New Methodology'!N12</f>
        <v>40263.4108385922</v>
      </c>
    </row>
    <row r="22" ht="28.5" spans="2:15">
      <c r="B22" s="20">
        <v>13</v>
      </c>
      <c r="C22" s="493" t="s">
        <v>635</v>
      </c>
      <c r="D22" s="488"/>
      <c r="E22" s="488"/>
      <c r="F22" s="488"/>
      <c r="G22" s="494">
        <f>G20/G21</f>
        <v>0.00949107052404237</v>
      </c>
      <c r="H22" s="488"/>
      <c r="I22" s="488"/>
      <c r="J22" s="494">
        <f t="shared" ref="J22:O22" si="3">J20/J21</f>
        <v>0.010922487014792</v>
      </c>
      <c r="K22" s="496">
        <f t="shared" si="3"/>
        <v>0.00932338910971818</v>
      </c>
      <c r="L22" s="496">
        <f t="shared" si="3"/>
        <v>0.00944370000000001</v>
      </c>
      <c r="M22" s="494">
        <f t="shared" si="3"/>
        <v>0.00790843586002762</v>
      </c>
      <c r="N22" s="494">
        <f t="shared" si="3"/>
        <v>0.00790843586002764</v>
      </c>
      <c r="O22" s="494">
        <f t="shared" si="3"/>
        <v>0.00790843586002764</v>
      </c>
    </row>
    <row r="23" spans="2:15">
      <c r="B23" s="20"/>
      <c r="C23" s="493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</row>
    <row r="25" ht="15" spans="2:2">
      <c r="B25" s="322" t="s">
        <v>768</v>
      </c>
    </row>
    <row r="26" ht="15" spans="12:15">
      <c r="L26" s="33" t="s">
        <v>851</v>
      </c>
      <c r="O26" s="33" t="s">
        <v>109</v>
      </c>
    </row>
    <row r="27" ht="12.75" customHeight="1" spans="2:16">
      <c r="B27" s="5" t="s">
        <v>3</v>
      </c>
      <c r="C27" s="6" t="s">
        <v>110</v>
      </c>
      <c r="D27" s="5" t="s">
        <v>565</v>
      </c>
      <c r="E27" s="5" t="s">
        <v>566</v>
      </c>
      <c r="F27" s="5" t="s">
        <v>567</v>
      </c>
      <c r="G27" s="5" t="s">
        <v>112</v>
      </c>
      <c r="H27" s="5" t="s">
        <v>760</v>
      </c>
      <c r="I27" s="5"/>
      <c r="J27" s="5"/>
      <c r="K27" s="135" t="s">
        <v>114</v>
      </c>
      <c r="L27" s="135"/>
      <c r="M27" s="135"/>
      <c r="N27" s="135"/>
      <c r="O27" s="135"/>
      <c r="P27" s="336"/>
    </row>
    <row r="28" ht="15" spans="2:15">
      <c r="B28" s="5"/>
      <c r="C28" s="6"/>
      <c r="D28" s="5" t="s">
        <v>237</v>
      </c>
      <c r="E28" s="5" t="s">
        <v>237</v>
      </c>
      <c r="F28" s="5" t="s">
        <v>237</v>
      </c>
      <c r="G28" s="5" t="s">
        <v>237</v>
      </c>
      <c r="H28" s="5" t="s">
        <v>119</v>
      </c>
      <c r="I28" s="5" t="s">
        <v>120</v>
      </c>
      <c r="J28" s="5" t="s">
        <v>238</v>
      </c>
      <c r="K28" s="5" t="s">
        <v>514</v>
      </c>
      <c r="L28" s="5" t="s">
        <v>515</v>
      </c>
      <c r="M28" s="5" t="s">
        <v>516</v>
      </c>
      <c r="N28" s="5" t="s">
        <v>517</v>
      </c>
      <c r="O28" s="5" t="s">
        <v>518</v>
      </c>
    </row>
    <row r="29" ht="15" spans="2:15">
      <c r="B29" s="5"/>
      <c r="C29" s="6"/>
      <c r="D29" s="5" t="s">
        <v>128</v>
      </c>
      <c r="E29" s="5" t="s">
        <v>128</v>
      </c>
      <c r="F29" s="5" t="s">
        <v>128</v>
      </c>
      <c r="G29" s="5" t="s">
        <v>128</v>
      </c>
      <c r="H29" s="5" t="s">
        <v>130</v>
      </c>
      <c r="I29" s="5" t="s">
        <v>131</v>
      </c>
      <c r="J29" s="5" t="s">
        <v>128</v>
      </c>
      <c r="K29" s="5" t="s">
        <v>132</v>
      </c>
      <c r="L29" s="5" t="s">
        <v>132</v>
      </c>
      <c r="M29" s="5" t="s">
        <v>132</v>
      </c>
      <c r="N29" s="5" t="s">
        <v>132</v>
      </c>
      <c r="O29" s="5" t="s">
        <v>132</v>
      </c>
    </row>
    <row r="30" hidden="1" spans="2:15">
      <c r="B30" s="20">
        <v>1</v>
      </c>
      <c r="C30" s="487" t="s">
        <v>625</v>
      </c>
      <c r="D30" s="488">
        <v>61.99539165</v>
      </c>
      <c r="E30" s="488">
        <v>69.83625096</v>
      </c>
      <c r="F30" s="488">
        <v>78.993</v>
      </c>
      <c r="G30" s="488">
        <v>75.969</v>
      </c>
      <c r="H30" s="488"/>
      <c r="I30" s="488"/>
      <c r="J30" s="488">
        <v>108.846</v>
      </c>
      <c r="K30" s="488">
        <f>90%*K10</f>
        <v>96.0922585966202</v>
      </c>
      <c r="L30" s="488">
        <f t="shared" ref="L30:O30" si="4">90%*L10</f>
        <v>107.539196397448</v>
      </c>
      <c r="M30" s="488">
        <f t="shared" si="4"/>
        <v>111.537117970086</v>
      </c>
      <c r="N30" s="488">
        <f t="shared" si="4"/>
        <v>126.11181016457</v>
      </c>
      <c r="O30" s="488">
        <f t="shared" si="4"/>
        <v>142.958294252905</v>
      </c>
    </row>
    <row r="31" hidden="1" spans="2:15">
      <c r="B31" s="20">
        <v>2</v>
      </c>
      <c r="C31" s="487" t="s">
        <v>626</v>
      </c>
      <c r="D31" s="488">
        <v>1.45548927</v>
      </c>
      <c r="E31" s="488">
        <v>1.44988785</v>
      </c>
      <c r="F31" s="488">
        <v>1.35</v>
      </c>
      <c r="G31" s="488">
        <v>0.684</v>
      </c>
      <c r="H31" s="488"/>
      <c r="I31" s="488"/>
      <c r="J31" s="488">
        <v>0.054</v>
      </c>
      <c r="K31" s="488">
        <f t="shared" ref="K31:O39" si="5">90%*K11</f>
        <v>0.0476726932015645</v>
      </c>
      <c r="L31" s="488">
        <f t="shared" si="5"/>
        <v>0.0533516767309977</v>
      </c>
      <c r="M31" s="488">
        <f t="shared" si="5"/>
        <v>0.0553351006962558</v>
      </c>
      <c r="N31" s="488">
        <f t="shared" si="5"/>
        <v>0.0625658062665306</v>
      </c>
      <c r="O31" s="488">
        <f t="shared" si="5"/>
        <v>0.0709235790902458</v>
      </c>
    </row>
    <row r="32" hidden="1" spans="2:15">
      <c r="B32" s="20">
        <v>3</v>
      </c>
      <c r="C32" s="487" t="s">
        <v>627</v>
      </c>
      <c r="D32" s="488">
        <v>6.17652171</v>
      </c>
      <c r="E32" s="488">
        <v>7.4580192</v>
      </c>
      <c r="F32" s="488">
        <v>11.151</v>
      </c>
      <c r="G32" s="488">
        <v>8.829</v>
      </c>
      <c r="H32" s="488"/>
      <c r="I32" s="488"/>
      <c r="J32" s="488">
        <v>8.973</v>
      </c>
      <c r="K32" s="488">
        <f t="shared" si="5"/>
        <v>7.92161252032664</v>
      </c>
      <c r="L32" s="488">
        <f t="shared" si="5"/>
        <v>8.86527028346745</v>
      </c>
      <c r="M32" s="488">
        <f t="shared" si="5"/>
        <v>9.19484923236117</v>
      </c>
      <c r="N32" s="488">
        <f t="shared" si="5"/>
        <v>10.3963514746218</v>
      </c>
      <c r="O32" s="488">
        <f t="shared" si="5"/>
        <v>11.7851347254958</v>
      </c>
    </row>
    <row r="33" hidden="1" spans="2:15">
      <c r="B33" s="20">
        <v>4</v>
      </c>
      <c r="C33" s="487" t="s">
        <v>628</v>
      </c>
      <c r="D33" s="488">
        <v>0</v>
      </c>
      <c r="E33" s="488">
        <v>0</v>
      </c>
      <c r="F33" s="488">
        <v>0</v>
      </c>
      <c r="G33" s="488">
        <v>0</v>
      </c>
      <c r="H33" s="488"/>
      <c r="I33" s="488"/>
      <c r="J33" s="488">
        <v>0</v>
      </c>
      <c r="K33" s="488">
        <f t="shared" si="5"/>
        <v>0</v>
      </c>
      <c r="L33" s="488">
        <f t="shared" si="5"/>
        <v>0</v>
      </c>
      <c r="M33" s="488">
        <f t="shared" si="5"/>
        <v>0</v>
      </c>
      <c r="N33" s="488">
        <f t="shared" si="5"/>
        <v>0</v>
      </c>
      <c r="O33" s="488">
        <f t="shared" si="5"/>
        <v>0</v>
      </c>
    </row>
    <row r="34" hidden="1" spans="2:15">
      <c r="B34" s="20">
        <v>5</v>
      </c>
      <c r="C34" s="487" t="s">
        <v>629</v>
      </c>
      <c r="D34" s="488">
        <v>28.97346825</v>
      </c>
      <c r="E34" s="488">
        <v>51.01227234</v>
      </c>
      <c r="F34" s="488">
        <v>44.91</v>
      </c>
      <c r="G34" s="488">
        <v>51.615</v>
      </c>
      <c r="H34" s="488"/>
      <c r="I34" s="488"/>
      <c r="J34" s="488">
        <v>57.267</v>
      </c>
      <c r="K34" s="488">
        <f t="shared" si="5"/>
        <v>50.5568911402592</v>
      </c>
      <c r="L34" s="488">
        <f t="shared" si="5"/>
        <v>56.5794531732231</v>
      </c>
      <c r="M34" s="488">
        <f t="shared" si="5"/>
        <v>58.6828742883793</v>
      </c>
      <c r="N34" s="488">
        <f t="shared" si="5"/>
        <v>66.3510375456557</v>
      </c>
      <c r="O34" s="488">
        <f t="shared" si="5"/>
        <v>75.2144556252057</v>
      </c>
    </row>
    <row r="35" hidden="1" spans="2:15">
      <c r="B35" s="20">
        <v>6</v>
      </c>
      <c r="C35" s="487" t="s">
        <v>630</v>
      </c>
      <c r="D35" s="488">
        <v>1.92658302</v>
      </c>
      <c r="E35" s="488">
        <v>1.05252408</v>
      </c>
      <c r="F35" s="488">
        <v>36.09</v>
      </c>
      <c r="G35" s="488">
        <v>31.68</v>
      </c>
      <c r="H35" s="488"/>
      <c r="I35" s="488"/>
      <c r="J35" s="488">
        <v>35.37</v>
      </c>
      <c r="K35" s="488">
        <f t="shared" si="5"/>
        <v>31.2256140470248</v>
      </c>
      <c r="L35" s="488">
        <f t="shared" si="5"/>
        <v>34.9453482588035</v>
      </c>
      <c r="M35" s="488">
        <f t="shared" si="5"/>
        <v>36.2444909560475</v>
      </c>
      <c r="N35" s="488">
        <f t="shared" si="5"/>
        <v>40.9806031045776</v>
      </c>
      <c r="O35" s="488">
        <f t="shared" si="5"/>
        <v>46.454944304111</v>
      </c>
    </row>
    <row r="36" hidden="1" spans="2:15">
      <c r="B36" s="20">
        <v>7</v>
      </c>
      <c r="C36" s="487" t="s">
        <v>631</v>
      </c>
      <c r="D36" s="488">
        <v>0.41751693</v>
      </c>
      <c r="E36" s="488">
        <v>0.45388674</v>
      </c>
      <c r="F36" s="488">
        <v>0.306</v>
      </c>
      <c r="G36" s="488">
        <v>0.207</v>
      </c>
      <c r="H36" s="488"/>
      <c r="I36" s="488"/>
      <c r="J36" s="488">
        <v>0</v>
      </c>
      <c r="K36" s="488">
        <f t="shared" si="5"/>
        <v>0</v>
      </c>
      <c r="L36" s="488">
        <f t="shared" si="5"/>
        <v>0</v>
      </c>
      <c r="M36" s="488">
        <f t="shared" si="5"/>
        <v>0</v>
      </c>
      <c r="N36" s="488">
        <f t="shared" si="5"/>
        <v>0</v>
      </c>
      <c r="O36" s="488">
        <f t="shared" si="5"/>
        <v>0</v>
      </c>
    </row>
    <row r="37" hidden="1" spans="2:15">
      <c r="B37" s="20">
        <v>8</v>
      </c>
      <c r="C37" s="487" t="s">
        <v>632</v>
      </c>
      <c r="D37" s="488">
        <v>1.24366446</v>
      </c>
      <c r="E37" s="488">
        <v>0.53965863</v>
      </c>
      <c r="F37" s="488">
        <v>3.969</v>
      </c>
      <c r="G37" s="488">
        <v>0.531</v>
      </c>
      <c r="H37" s="488"/>
      <c r="I37" s="488"/>
      <c r="J37" s="488">
        <v>0.009</v>
      </c>
      <c r="K37" s="488">
        <f t="shared" si="5"/>
        <v>0.00794544886692742</v>
      </c>
      <c r="L37" s="488">
        <f t="shared" si="5"/>
        <v>0.00889194612183295</v>
      </c>
      <c r="M37" s="488">
        <f t="shared" si="5"/>
        <v>0.00922251678270929</v>
      </c>
      <c r="N37" s="488">
        <f t="shared" si="5"/>
        <v>0.0104276343777551</v>
      </c>
      <c r="O37" s="488">
        <f t="shared" si="5"/>
        <v>0.011820596515041</v>
      </c>
    </row>
    <row r="38" ht="15.75" hidden="1" spans="2:15">
      <c r="B38" s="489">
        <v>9</v>
      </c>
      <c r="C38" s="490" t="s">
        <v>766</v>
      </c>
      <c r="D38" s="488">
        <v>3.19755024</v>
      </c>
      <c r="E38" s="488">
        <v>1.5134832</v>
      </c>
      <c r="F38" s="488">
        <v>2.061</v>
      </c>
      <c r="G38" s="488">
        <v>4.986</v>
      </c>
      <c r="H38" s="488"/>
      <c r="I38" s="488"/>
      <c r="J38" s="488">
        <v>7.623</v>
      </c>
      <c r="K38" s="488">
        <f t="shared" si="5"/>
        <v>6.72979519028752</v>
      </c>
      <c r="L38" s="488">
        <f t="shared" si="5"/>
        <v>7.53147836519251</v>
      </c>
      <c r="M38" s="488">
        <f t="shared" si="5"/>
        <v>7.81147171495477</v>
      </c>
      <c r="N38" s="488">
        <f t="shared" si="5"/>
        <v>8.83220631795857</v>
      </c>
      <c r="O38" s="488">
        <f t="shared" si="5"/>
        <v>10.0120452482397</v>
      </c>
    </row>
    <row r="39" ht="15.75" hidden="1" spans="2:15">
      <c r="B39" s="489">
        <v>10</v>
      </c>
      <c r="C39" s="490" t="s">
        <v>767</v>
      </c>
      <c r="D39" s="488">
        <v>0.10127862</v>
      </c>
      <c r="E39" s="488">
        <v>0.09870057</v>
      </c>
      <c r="F39" s="488">
        <v>0.009</v>
      </c>
      <c r="G39" s="488">
        <v>0.036</v>
      </c>
      <c r="H39" s="488"/>
      <c r="I39" s="488"/>
      <c r="J39" s="488">
        <v>0.054</v>
      </c>
      <c r="K39" s="488">
        <f t="shared" si="5"/>
        <v>0.0476726932015645</v>
      </c>
      <c r="L39" s="488">
        <f t="shared" si="5"/>
        <v>0.0533516767309977</v>
      </c>
      <c r="M39" s="488">
        <f t="shared" si="5"/>
        <v>0.0553351006962558</v>
      </c>
      <c r="N39" s="488">
        <f t="shared" si="5"/>
        <v>0.0625658062665306</v>
      </c>
      <c r="O39" s="488">
        <f t="shared" si="5"/>
        <v>0.0709235790902458</v>
      </c>
    </row>
    <row r="40" ht="15" spans="2:15">
      <c r="B40" s="20">
        <v>11</v>
      </c>
      <c r="C40" s="491" t="s">
        <v>633</v>
      </c>
      <c r="D40" s="492">
        <f>SUM(D30:D39)</f>
        <v>105.48746415</v>
      </c>
      <c r="E40" s="492">
        <f t="shared" ref="E40:J40" si="6">SUM(E30:E39)</f>
        <v>133.41468357</v>
      </c>
      <c r="F40" s="492">
        <f t="shared" si="6"/>
        <v>178.839</v>
      </c>
      <c r="G40" s="492">
        <f t="shared" si="6"/>
        <v>174.537</v>
      </c>
      <c r="H40" s="492">
        <f t="shared" si="6"/>
        <v>0</v>
      </c>
      <c r="I40" s="492">
        <f t="shared" si="6"/>
        <v>0</v>
      </c>
      <c r="J40" s="492">
        <f t="shared" si="6"/>
        <v>218.196</v>
      </c>
      <c r="K40" s="30">
        <f>90%*K20</f>
        <v>192.629462329788</v>
      </c>
      <c r="L40" s="30">
        <f>90%*L20</f>
        <v>215.576341777718</v>
      </c>
      <c r="M40" s="30">
        <f>SUM(M30:M39)</f>
        <v>223.590696880004</v>
      </c>
      <c r="N40" s="30">
        <f>SUM(N30:N39)</f>
        <v>252.807567854295</v>
      </c>
      <c r="O40" s="30">
        <f>SUM(O30:O39)</f>
        <v>286.578541910653</v>
      </c>
    </row>
    <row r="41" hidden="1" spans="2:15">
      <c r="B41" s="20">
        <v>12</v>
      </c>
      <c r="C41" s="493" t="s">
        <v>634</v>
      </c>
      <c r="D41" s="488">
        <f>D21*90%</f>
        <v>14775.63259878</v>
      </c>
      <c r="E41" s="488">
        <f t="shared" ref="E41:G41" si="7">E21*90%</f>
        <v>15851.54145132</v>
      </c>
      <c r="F41" s="488">
        <f t="shared" si="7"/>
        <v>17113.464</v>
      </c>
      <c r="G41" s="488">
        <f t="shared" si="7"/>
        <v>18389.601</v>
      </c>
      <c r="H41" s="488"/>
      <c r="I41" s="488"/>
      <c r="J41" s="124">
        <f>J21*90%</f>
        <v>19976.769</v>
      </c>
      <c r="K41" s="22">
        <f>K21</f>
        <v>22956.5379502279</v>
      </c>
      <c r="L41" s="22">
        <f>L21</f>
        <v>25363.9218359233</v>
      </c>
      <c r="M41" s="351">
        <f>90%*M21</f>
        <v>28272.4296987879</v>
      </c>
      <c r="N41" s="351">
        <f>90%*N21</f>
        <v>31966.8228115858</v>
      </c>
      <c r="O41" s="351">
        <f>90%*O21</f>
        <v>36237.069754733</v>
      </c>
    </row>
    <row r="42" ht="28.5" hidden="1" spans="2:15">
      <c r="B42" s="20">
        <v>13</v>
      </c>
      <c r="C42" s="493" t="s">
        <v>635</v>
      </c>
      <c r="D42" s="21"/>
      <c r="E42" s="21"/>
      <c r="F42" s="21"/>
      <c r="G42" s="494">
        <f>G40/G41</f>
        <v>0.00949107052404237</v>
      </c>
      <c r="H42" s="488"/>
      <c r="I42" s="488"/>
      <c r="J42" s="494">
        <f t="shared" ref="J42" si="8">J40/J41</f>
        <v>0.010922487014792</v>
      </c>
      <c r="K42" s="496">
        <f>K22</f>
        <v>0.00932338910971818</v>
      </c>
      <c r="L42" s="496">
        <f>L22</f>
        <v>0.00944370000000001</v>
      </c>
      <c r="M42" s="494">
        <f>M40/M41</f>
        <v>0.00790843586002762</v>
      </c>
      <c r="N42" s="494">
        <f>N40/N41</f>
        <v>0.00790843586002764</v>
      </c>
      <c r="O42" s="494">
        <f>O40/O41</f>
        <v>0.00790843586002764</v>
      </c>
    </row>
    <row r="43" hidden="1" spans="2:15">
      <c r="B43" s="20"/>
      <c r="C43" s="493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</row>
    <row r="45" ht="15" spans="2:2">
      <c r="B45" s="322" t="s">
        <v>769</v>
      </c>
    </row>
    <row r="46" ht="15" spans="12:15">
      <c r="L46" s="33" t="s">
        <v>851</v>
      </c>
      <c r="O46" s="33" t="s">
        <v>109</v>
      </c>
    </row>
    <row r="47" ht="13.9" customHeight="1" spans="2:16">
      <c r="B47" s="5" t="s">
        <v>3</v>
      </c>
      <c r="C47" s="6" t="s">
        <v>110</v>
      </c>
      <c r="D47" s="5" t="s">
        <v>565</v>
      </c>
      <c r="E47" s="5" t="s">
        <v>566</v>
      </c>
      <c r="F47" s="5" t="s">
        <v>567</v>
      </c>
      <c r="G47" s="5" t="s">
        <v>112</v>
      </c>
      <c r="H47" s="5" t="s">
        <v>760</v>
      </c>
      <c r="I47" s="5"/>
      <c r="J47" s="5"/>
      <c r="K47" s="135" t="s">
        <v>114</v>
      </c>
      <c r="L47" s="135"/>
      <c r="M47" s="135"/>
      <c r="N47" s="135"/>
      <c r="O47" s="135"/>
      <c r="P47" s="336"/>
    </row>
    <row r="48" ht="15" spans="2:15">
      <c r="B48" s="5"/>
      <c r="C48" s="6"/>
      <c r="D48" s="5" t="s">
        <v>237</v>
      </c>
      <c r="E48" s="5" t="s">
        <v>237</v>
      </c>
      <c r="F48" s="5" t="s">
        <v>237</v>
      </c>
      <c r="G48" s="5" t="s">
        <v>237</v>
      </c>
      <c r="H48" s="5" t="s">
        <v>119</v>
      </c>
      <c r="I48" s="5" t="s">
        <v>120</v>
      </c>
      <c r="J48" s="5" t="s">
        <v>238</v>
      </c>
      <c r="K48" s="5" t="s">
        <v>514</v>
      </c>
      <c r="L48" s="5" t="s">
        <v>515</v>
      </c>
      <c r="M48" s="5" t="s">
        <v>516</v>
      </c>
      <c r="N48" s="5" t="s">
        <v>517</v>
      </c>
      <c r="O48" s="5" t="s">
        <v>518</v>
      </c>
    </row>
    <row r="49" ht="15" spans="2:15">
      <c r="B49" s="5"/>
      <c r="C49" s="6"/>
      <c r="D49" s="5" t="s">
        <v>128</v>
      </c>
      <c r="E49" s="5" t="s">
        <v>128</v>
      </c>
      <c r="F49" s="5" t="s">
        <v>128</v>
      </c>
      <c r="G49" s="5" t="s">
        <v>128</v>
      </c>
      <c r="H49" s="5" t="s">
        <v>130</v>
      </c>
      <c r="I49" s="5" t="s">
        <v>131</v>
      </c>
      <c r="J49" s="5" t="s">
        <v>128</v>
      </c>
      <c r="K49" s="5" t="s">
        <v>132</v>
      </c>
      <c r="L49" s="5" t="s">
        <v>132</v>
      </c>
      <c r="M49" s="5" t="s">
        <v>132</v>
      </c>
      <c r="N49" s="5" t="s">
        <v>132</v>
      </c>
      <c r="O49" s="5" t="s">
        <v>132</v>
      </c>
    </row>
    <row r="50" hidden="1" spans="2:15">
      <c r="B50" s="20">
        <v>1</v>
      </c>
      <c r="C50" s="487" t="s">
        <v>625</v>
      </c>
      <c r="D50" s="488">
        <v>6.88837685</v>
      </c>
      <c r="E50" s="488">
        <v>7.75958344</v>
      </c>
      <c r="F50" s="488">
        <v>8.777</v>
      </c>
      <c r="G50" s="488">
        <v>8.441</v>
      </c>
      <c r="H50" s="488"/>
      <c r="I50" s="488"/>
      <c r="J50" s="488">
        <v>12.094</v>
      </c>
      <c r="K50" s="488">
        <f>K10*10%</f>
        <v>10.6769176218467</v>
      </c>
      <c r="L50" s="488">
        <f t="shared" ref="L50:O50" si="9">L10*10%</f>
        <v>11.9487995997164</v>
      </c>
      <c r="M50" s="488">
        <f t="shared" si="9"/>
        <v>12.3930131077874</v>
      </c>
      <c r="N50" s="488">
        <f t="shared" si="9"/>
        <v>14.0124233516189</v>
      </c>
      <c r="O50" s="488">
        <f t="shared" si="9"/>
        <v>15.8842549169895</v>
      </c>
    </row>
    <row r="51" hidden="1" spans="2:15">
      <c r="B51" s="20">
        <v>2</v>
      </c>
      <c r="C51" s="487" t="s">
        <v>626</v>
      </c>
      <c r="D51" s="488">
        <v>0.16172103</v>
      </c>
      <c r="E51" s="488">
        <v>0.16109865</v>
      </c>
      <c r="F51" s="488">
        <v>0.15</v>
      </c>
      <c r="G51" s="488">
        <v>0.076</v>
      </c>
      <c r="H51" s="488"/>
      <c r="I51" s="488"/>
      <c r="J51" s="488">
        <v>0.006</v>
      </c>
      <c r="K51" s="488">
        <f t="shared" ref="K51:O59" si="10">K11*10%</f>
        <v>0.00529696591128495</v>
      </c>
      <c r="L51" s="488">
        <f t="shared" si="10"/>
        <v>0.00592796408122197</v>
      </c>
      <c r="M51" s="488">
        <f t="shared" si="10"/>
        <v>0.0061483445218062</v>
      </c>
      <c r="N51" s="488">
        <f t="shared" si="10"/>
        <v>0.00695175625183674</v>
      </c>
      <c r="O51" s="488">
        <f t="shared" si="10"/>
        <v>0.00788039767669398</v>
      </c>
    </row>
    <row r="52" hidden="1" spans="2:15">
      <c r="B52" s="20">
        <v>3</v>
      </c>
      <c r="C52" s="487" t="s">
        <v>627</v>
      </c>
      <c r="D52" s="488">
        <v>0.68628019</v>
      </c>
      <c r="E52" s="488">
        <v>0.8286688</v>
      </c>
      <c r="F52" s="488">
        <v>1.239</v>
      </c>
      <c r="G52" s="488">
        <v>0.981</v>
      </c>
      <c r="H52" s="488"/>
      <c r="I52" s="488"/>
      <c r="J52" s="488">
        <v>0.997</v>
      </c>
      <c r="K52" s="488">
        <f t="shared" si="10"/>
        <v>0.880179168925182</v>
      </c>
      <c r="L52" s="488">
        <f t="shared" si="10"/>
        <v>0.985030031496384</v>
      </c>
      <c r="M52" s="488">
        <f t="shared" si="10"/>
        <v>1.0216499147068</v>
      </c>
      <c r="N52" s="488">
        <f t="shared" si="10"/>
        <v>1.15515016384687</v>
      </c>
      <c r="O52" s="488">
        <f t="shared" si="10"/>
        <v>1.30945941394398</v>
      </c>
    </row>
    <row r="53" hidden="1" spans="2:15">
      <c r="B53" s="20">
        <v>4</v>
      </c>
      <c r="C53" s="487" t="s">
        <v>628</v>
      </c>
      <c r="D53" s="488">
        <v>0</v>
      </c>
      <c r="E53" s="488">
        <v>0</v>
      </c>
      <c r="F53" s="488">
        <v>0</v>
      </c>
      <c r="G53" s="488">
        <v>0</v>
      </c>
      <c r="H53" s="488"/>
      <c r="I53" s="488"/>
      <c r="J53" s="488">
        <v>0</v>
      </c>
      <c r="K53" s="488">
        <f t="shared" si="10"/>
        <v>0</v>
      </c>
      <c r="L53" s="488">
        <f t="shared" si="10"/>
        <v>0</v>
      </c>
      <c r="M53" s="488">
        <f t="shared" si="10"/>
        <v>0</v>
      </c>
      <c r="N53" s="488">
        <f t="shared" si="10"/>
        <v>0</v>
      </c>
      <c r="O53" s="488">
        <f t="shared" si="10"/>
        <v>0</v>
      </c>
    </row>
    <row r="54" hidden="1" spans="2:15">
      <c r="B54" s="20">
        <v>5</v>
      </c>
      <c r="C54" s="487" t="s">
        <v>629</v>
      </c>
      <c r="D54" s="488">
        <v>3.21927425</v>
      </c>
      <c r="E54" s="488">
        <v>5.66803026</v>
      </c>
      <c r="F54" s="488">
        <v>4.99</v>
      </c>
      <c r="G54" s="488">
        <v>5.735</v>
      </c>
      <c r="H54" s="488"/>
      <c r="I54" s="488"/>
      <c r="J54" s="488">
        <v>6.363</v>
      </c>
      <c r="K54" s="488">
        <f t="shared" si="10"/>
        <v>5.61743234891769</v>
      </c>
      <c r="L54" s="488">
        <f t="shared" si="10"/>
        <v>6.2866059081359</v>
      </c>
      <c r="M54" s="488">
        <f t="shared" si="10"/>
        <v>6.52031936537547</v>
      </c>
      <c r="N54" s="488">
        <f t="shared" si="10"/>
        <v>7.37233750507286</v>
      </c>
      <c r="O54" s="488">
        <f t="shared" si="10"/>
        <v>8.35716173613397</v>
      </c>
    </row>
    <row r="55" hidden="1" spans="2:15">
      <c r="B55" s="20">
        <v>6</v>
      </c>
      <c r="C55" s="487" t="s">
        <v>630</v>
      </c>
      <c r="D55" s="488">
        <v>0.21406478</v>
      </c>
      <c r="E55" s="488">
        <v>0.11694712</v>
      </c>
      <c r="F55" s="488">
        <v>4.01</v>
      </c>
      <c r="G55" s="488">
        <v>3.52</v>
      </c>
      <c r="H55" s="488"/>
      <c r="I55" s="488"/>
      <c r="J55" s="488">
        <v>3.93</v>
      </c>
      <c r="K55" s="488">
        <f t="shared" si="10"/>
        <v>3.46951267189164</v>
      </c>
      <c r="L55" s="488">
        <f t="shared" si="10"/>
        <v>3.88281647320039</v>
      </c>
      <c r="M55" s="488">
        <f t="shared" si="10"/>
        <v>4.02716566178306</v>
      </c>
      <c r="N55" s="488">
        <f t="shared" si="10"/>
        <v>4.55340034495306</v>
      </c>
      <c r="O55" s="488">
        <f t="shared" si="10"/>
        <v>5.16166047823456</v>
      </c>
    </row>
    <row r="56" hidden="1" spans="2:15">
      <c r="B56" s="20">
        <v>7</v>
      </c>
      <c r="C56" s="487" t="s">
        <v>631</v>
      </c>
      <c r="D56" s="488">
        <v>0.04639077</v>
      </c>
      <c r="E56" s="488">
        <v>0.05043186</v>
      </c>
      <c r="F56" s="488">
        <v>0.034</v>
      </c>
      <c r="G56" s="488">
        <v>0.023</v>
      </c>
      <c r="H56" s="488"/>
      <c r="I56" s="488"/>
      <c r="J56" s="488">
        <v>0</v>
      </c>
      <c r="K56" s="488">
        <f t="shared" si="10"/>
        <v>0</v>
      </c>
      <c r="L56" s="488">
        <f t="shared" si="10"/>
        <v>0</v>
      </c>
      <c r="M56" s="488">
        <f t="shared" si="10"/>
        <v>0</v>
      </c>
      <c r="N56" s="488">
        <f t="shared" si="10"/>
        <v>0</v>
      </c>
      <c r="O56" s="488">
        <f t="shared" si="10"/>
        <v>0</v>
      </c>
    </row>
    <row r="57" hidden="1" spans="2:15">
      <c r="B57" s="20">
        <v>8</v>
      </c>
      <c r="C57" s="487" t="s">
        <v>632</v>
      </c>
      <c r="D57" s="488">
        <v>0.13818494</v>
      </c>
      <c r="E57" s="488">
        <v>0.05996207</v>
      </c>
      <c r="F57" s="488">
        <v>0.441</v>
      </c>
      <c r="G57" s="488">
        <v>0.059</v>
      </c>
      <c r="H57" s="488"/>
      <c r="I57" s="488"/>
      <c r="J57" s="488">
        <v>0.001</v>
      </c>
      <c r="K57" s="488">
        <f t="shared" si="10"/>
        <v>0.000882827651880824</v>
      </c>
      <c r="L57" s="488">
        <f t="shared" si="10"/>
        <v>0.000987994013536995</v>
      </c>
      <c r="M57" s="488">
        <f t="shared" si="10"/>
        <v>0.0010247240869677</v>
      </c>
      <c r="N57" s="488">
        <f t="shared" si="10"/>
        <v>0.00115862604197279</v>
      </c>
      <c r="O57" s="488">
        <f t="shared" si="10"/>
        <v>0.00131339961278233</v>
      </c>
    </row>
    <row r="58" ht="15.75" hidden="1" spans="2:15">
      <c r="B58" s="489">
        <v>9</v>
      </c>
      <c r="C58" s="490" t="s">
        <v>766</v>
      </c>
      <c r="D58" s="488">
        <v>0.35528336</v>
      </c>
      <c r="E58" s="488">
        <v>0.1681648</v>
      </c>
      <c r="F58" s="488">
        <v>0.229</v>
      </c>
      <c r="G58" s="488">
        <v>0.554</v>
      </c>
      <c r="H58" s="488"/>
      <c r="I58" s="488"/>
      <c r="J58" s="488">
        <v>0.847</v>
      </c>
      <c r="K58" s="488">
        <f t="shared" si="10"/>
        <v>0.747755021143058</v>
      </c>
      <c r="L58" s="488">
        <f t="shared" si="10"/>
        <v>0.836830929465835</v>
      </c>
      <c r="M58" s="488">
        <f t="shared" si="10"/>
        <v>0.867941301661642</v>
      </c>
      <c r="N58" s="488">
        <f t="shared" si="10"/>
        <v>0.981356257550953</v>
      </c>
      <c r="O58" s="488">
        <f t="shared" si="10"/>
        <v>1.11244947202663</v>
      </c>
    </row>
    <row r="59" ht="15.75" hidden="1" spans="2:15">
      <c r="B59" s="489">
        <v>10</v>
      </c>
      <c r="C59" s="490" t="s">
        <v>767</v>
      </c>
      <c r="D59" s="488">
        <v>0.01125318</v>
      </c>
      <c r="E59" s="488">
        <v>0.01096673</v>
      </c>
      <c r="F59" s="488">
        <v>0.001</v>
      </c>
      <c r="G59" s="488">
        <v>0.004</v>
      </c>
      <c r="H59" s="488"/>
      <c r="I59" s="488"/>
      <c r="J59" s="488">
        <v>0.006</v>
      </c>
      <c r="K59" s="488">
        <f t="shared" si="10"/>
        <v>0.00529696591128495</v>
      </c>
      <c r="L59" s="488">
        <f t="shared" si="10"/>
        <v>0.00592796408122197</v>
      </c>
      <c r="M59" s="488">
        <f t="shared" si="10"/>
        <v>0.0061483445218062</v>
      </c>
      <c r="N59" s="488">
        <f t="shared" si="10"/>
        <v>0.00695175625183674</v>
      </c>
      <c r="O59" s="488">
        <f t="shared" si="10"/>
        <v>0.00788039767669398</v>
      </c>
    </row>
    <row r="60" ht="15" spans="2:15">
      <c r="B60" s="20">
        <v>11</v>
      </c>
      <c r="C60" s="491" t="s">
        <v>633</v>
      </c>
      <c r="D60" s="492">
        <f>SUM(D50:D59)</f>
        <v>11.72082935</v>
      </c>
      <c r="E60" s="492">
        <f t="shared" ref="E60:O60" si="11">SUM(E50:E59)</f>
        <v>14.82385373</v>
      </c>
      <c r="F60" s="492">
        <f t="shared" si="11"/>
        <v>19.871</v>
      </c>
      <c r="G60" s="492">
        <f t="shared" si="11"/>
        <v>19.393</v>
      </c>
      <c r="H60" s="492">
        <f t="shared" si="11"/>
        <v>0</v>
      </c>
      <c r="I60" s="492">
        <f t="shared" si="11"/>
        <v>0</v>
      </c>
      <c r="J60" s="492">
        <f t="shared" si="11"/>
        <v>24.244</v>
      </c>
      <c r="K60" s="30">
        <f>10%*K20</f>
        <v>21.4032735921987</v>
      </c>
      <c r="L60" s="30">
        <f>10%*L20</f>
        <v>23.9529268641909</v>
      </c>
      <c r="M60" s="30">
        <f>SUM(M50:M59)</f>
        <v>24.8434107644449</v>
      </c>
      <c r="N60" s="30">
        <f>SUM(N50:N59)</f>
        <v>28.0897297615883</v>
      </c>
      <c r="O60" s="30">
        <f t="shared" si="11"/>
        <v>31.8420602122948</v>
      </c>
    </row>
    <row r="61" hidden="1" spans="2:15">
      <c r="B61" s="20"/>
      <c r="C61" s="493"/>
      <c r="D61" s="488"/>
      <c r="E61" s="488"/>
      <c r="F61" s="488"/>
      <c r="G61" s="488"/>
      <c r="H61" s="488"/>
      <c r="I61" s="488"/>
      <c r="J61" s="488"/>
      <c r="K61" s="21"/>
      <c r="L61" s="21"/>
      <c r="M61" s="21"/>
      <c r="N61" s="21"/>
      <c r="O61" s="21"/>
    </row>
    <row r="62" hidden="1" spans="2:15">
      <c r="B62" s="20">
        <v>12</v>
      </c>
      <c r="C62" s="493" t="s">
        <v>634</v>
      </c>
      <c r="D62" s="488">
        <f>D21*10%</f>
        <v>1641.73695542</v>
      </c>
      <c r="E62" s="488">
        <f t="shared" ref="E62:G62" si="12">E21*10%</f>
        <v>1761.28238348</v>
      </c>
      <c r="F62" s="488">
        <f t="shared" si="12"/>
        <v>1901.496</v>
      </c>
      <c r="G62" s="488">
        <f t="shared" si="12"/>
        <v>2043.289</v>
      </c>
      <c r="H62" s="488"/>
      <c r="I62" s="488"/>
      <c r="J62" s="124">
        <f>J21*10%</f>
        <v>2219.641</v>
      </c>
      <c r="K62" s="124">
        <f>K21</f>
        <v>22956.5379502279</v>
      </c>
      <c r="L62" s="124">
        <f>L21</f>
        <v>25363.9218359233</v>
      </c>
      <c r="M62" s="488">
        <f t="shared" ref="M62:O62" si="13">10%*M21</f>
        <v>3141.3810776431</v>
      </c>
      <c r="N62" s="488">
        <f t="shared" si="13"/>
        <v>3551.86920128731</v>
      </c>
      <c r="O62" s="488">
        <f t="shared" si="13"/>
        <v>4026.34108385922</v>
      </c>
    </row>
    <row r="63" ht="28.5" hidden="1" spans="2:15">
      <c r="B63" s="20">
        <v>13</v>
      </c>
      <c r="C63" s="493" t="s">
        <v>635</v>
      </c>
      <c r="D63" s="21"/>
      <c r="E63" s="21"/>
      <c r="F63" s="21"/>
      <c r="G63" s="494">
        <f>G60/G62</f>
        <v>0.00949107052404237</v>
      </c>
      <c r="H63" s="21"/>
      <c r="I63" s="21"/>
      <c r="J63" s="494">
        <f t="shared" ref="J63" si="14">J60/J62</f>
        <v>0.010922487014792</v>
      </c>
      <c r="K63" s="496">
        <f>K22</f>
        <v>0.00932338910971818</v>
      </c>
      <c r="L63" s="496">
        <f>L22</f>
        <v>0.00944370000000001</v>
      </c>
      <c r="M63" s="494">
        <f>M60/M62</f>
        <v>0.00790843586002762</v>
      </c>
      <c r="N63" s="494">
        <f>N60/N62</f>
        <v>0.00790843586002764</v>
      </c>
      <c r="O63" s="494">
        <f>O60/O62</f>
        <v>0.00790843586002764</v>
      </c>
    </row>
    <row r="64" spans="2:15">
      <c r="B64" s="20"/>
      <c r="C64" s="493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</row>
  </sheetData>
  <mergeCells count="12">
    <mergeCell ref="H7:J7"/>
    <mergeCell ref="K7:O7"/>
    <mergeCell ref="H27:J27"/>
    <mergeCell ref="K27:O27"/>
    <mergeCell ref="H47:J47"/>
    <mergeCell ref="K47:O47"/>
    <mergeCell ref="B7:B9"/>
    <mergeCell ref="B27:B29"/>
    <mergeCell ref="B47:B49"/>
    <mergeCell ref="C7:C9"/>
    <mergeCell ref="C27:C29"/>
    <mergeCell ref="C47:C49"/>
  </mergeCells>
  <printOptions horizontalCentered="1"/>
  <pageMargins left="0.748031496062992" right="0.748031496062992" top="0.984251968503937" bottom="0.984251968503937" header="0.511811023622047" footer="0.511811023622047"/>
  <pageSetup paperSize="9" scale="92" orientation="portrait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  <pageSetUpPr fitToPage="1"/>
  </sheetPr>
  <dimension ref="B1:P15"/>
  <sheetViews>
    <sheetView showGridLines="0" view="pageBreakPreview" zoomScale="90" zoomScaleNormal="49" workbookViewId="0">
      <selection activeCell="L3" sqref="L3"/>
    </sheetView>
  </sheetViews>
  <sheetFormatPr defaultColWidth="9.28571428571429" defaultRowHeight="14.25"/>
  <cols>
    <col min="1" max="1" width="4.28571428571429" style="479" customWidth="1"/>
    <col min="2" max="2" width="6.28571428571429" style="479" customWidth="1"/>
    <col min="3" max="3" width="46.7142857142857" style="479" customWidth="1"/>
    <col min="4" max="4" width="13.7142857142857" style="479" hidden="1" customWidth="1"/>
    <col min="5" max="5" width="12.5714285714286" style="479" hidden="1" customWidth="1"/>
    <col min="6" max="6" width="13.4285714285714" style="479" hidden="1" customWidth="1"/>
    <col min="7" max="7" width="13.7142857142857" style="479" hidden="1" customWidth="1"/>
    <col min="8" max="8" width="12.5714285714286" style="479" hidden="1" customWidth="1"/>
    <col min="9" max="9" width="13.2857142857143" style="479" hidden="1" customWidth="1"/>
    <col min="10" max="10" width="12.5714285714286" style="479" hidden="1" customWidth="1"/>
    <col min="11" max="11" width="11.7142857142857" style="479" customWidth="1"/>
    <col min="12" max="12" width="13.7142857142857" style="479" customWidth="1"/>
    <col min="13" max="15" width="11.7142857142857" style="479" hidden="1" customWidth="1"/>
    <col min="16" max="18" width="11.7142857142857" style="479" customWidth="1"/>
    <col min="19" max="16384" width="9.28571428571429" style="479"/>
  </cols>
  <sheetData>
    <row r="1" ht="15" spans="2:2">
      <c r="B1" s="480"/>
    </row>
    <row r="2" ht="15" spans="3:13">
      <c r="C2" s="12"/>
      <c r="D2" s="12"/>
      <c r="E2" s="12"/>
      <c r="F2" s="12"/>
      <c r="G2" s="12"/>
      <c r="H2" s="2" t="s">
        <v>758</v>
      </c>
      <c r="I2" s="12"/>
      <c r="J2" s="12"/>
      <c r="K2" s="12"/>
      <c r="L2" s="12"/>
      <c r="M2" s="12"/>
    </row>
    <row r="3" ht="15" spans="3:13">
      <c r="C3" s="12"/>
      <c r="D3" s="12"/>
      <c r="E3" s="12"/>
      <c r="F3" s="12"/>
      <c r="G3" s="12"/>
      <c r="H3" s="3" t="s">
        <v>636</v>
      </c>
      <c r="I3" s="12"/>
      <c r="J3" s="12"/>
      <c r="K3" s="12"/>
      <c r="L3" s="12"/>
      <c r="M3" s="12"/>
    </row>
    <row r="4" ht="15" spans="2:12">
      <c r="B4" s="34"/>
      <c r="C4" s="481"/>
      <c r="D4" s="481"/>
      <c r="E4" s="481"/>
      <c r="F4" s="481"/>
      <c r="G4" s="481"/>
      <c r="H4" s="481"/>
      <c r="I4" s="481"/>
      <c r="J4" s="481"/>
      <c r="K4" s="481"/>
      <c r="L4" s="481"/>
    </row>
    <row r="5" ht="15" spans="12:15">
      <c r="L5" s="481" t="s">
        <v>851</v>
      </c>
      <c r="O5" s="33" t="s">
        <v>109</v>
      </c>
    </row>
    <row r="6" s="15" customFormat="1" ht="15" customHeight="1" spans="2:16">
      <c r="B6" s="16" t="s">
        <v>3</v>
      </c>
      <c r="C6" s="6" t="s">
        <v>110</v>
      </c>
      <c r="D6" s="306" t="s">
        <v>112</v>
      </c>
      <c r="E6" s="307"/>
      <c r="F6" s="308"/>
      <c r="G6" s="306" t="s">
        <v>760</v>
      </c>
      <c r="H6" s="307"/>
      <c r="I6" s="307"/>
      <c r="J6" s="307"/>
      <c r="K6" s="135" t="s">
        <v>114</v>
      </c>
      <c r="L6" s="135"/>
      <c r="M6" s="135"/>
      <c r="N6" s="135"/>
      <c r="O6" s="135"/>
      <c r="P6" s="336"/>
    </row>
    <row r="7" s="15" customFormat="1" ht="30" spans="2:15">
      <c r="B7" s="309"/>
      <c r="C7" s="6"/>
      <c r="D7" s="5" t="s">
        <v>116</v>
      </c>
      <c r="E7" s="5" t="s">
        <v>237</v>
      </c>
      <c r="F7" s="5" t="s">
        <v>118</v>
      </c>
      <c r="G7" s="5" t="s">
        <v>116</v>
      </c>
      <c r="H7" s="5" t="s">
        <v>119</v>
      </c>
      <c r="I7" s="5" t="s">
        <v>120</v>
      </c>
      <c r="J7" s="5" t="s">
        <v>238</v>
      </c>
      <c r="K7" s="5" t="s">
        <v>514</v>
      </c>
      <c r="L7" s="5" t="s">
        <v>515</v>
      </c>
      <c r="M7" s="5" t="s">
        <v>516</v>
      </c>
      <c r="N7" s="5" t="s">
        <v>517</v>
      </c>
      <c r="O7" s="5" t="s">
        <v>518</v>
      </c>
    </row>
    <row r="8" s="15" customFormat="1" ht="15" spans="2:15">
      <c r="B8" s="310"/>
      <c r="C8" s="100"/>
      <c r="D8" s="5" t="s">
        <v>127</v>
      </c>
      <c r="E8" s="5" t="s">
        <v>128</v>
      </c>
      <c r="F8" s="5" t="s">
        <v>129</v>
      </c>
      <c r="G8" s="5" t="s">
        <v>127</v>
      </c>
      <c r="H8" s="5" t="s">
        <v>130</v>
      </c>
      <c r="I8" s="5" t="s">
        <v>131</v>
      </c>
      <c r="J8" s="5" t="s">
        <v>131</v>
      </c>
      <c r="K8" s="5" t="s">
        <v>132</v>
      </c>
      <c r="L8" s="5" t="s">
        <v>132</v>
      </c>
      <c r="M8" s="5" t="s">
        <v>132</v>
      </c>
      <c r="N8" s="5" t="s">
        <v>132</v>
      </c>
      <c r="O8" s="5" t="s">
        <v>132</v>
      </c>
    </row>
    <row r="9" s="12" customFormat="1" ht="15" spans="2:15">
      <c r="B9" s="311">
        <v>1</v>
      </c>
      <c r="C9" s="55" t="s">
        <v>637</v>
      </c>
      <c r="D9" s="20"/>
      <c r="E9" s="100"/>
      <c r="F9" s="188">
        <f>E9-D9</f>
        <v>0</v>
      </c>
      <c r="G9" s="208"/>
      <c r="H9" s="208"/>
      <c r="I9" s="208"/>
      <c r="J9" s="325">
        <f>'[60]Investment for 5th MYT'!$B$133</f>
        <v>1206.97</v>
      </c>
      <c r="K9" s="325">
        <f>'[60]Investment for 5th MYT'!$B$160</f>
        <v>1696.01</v>
      </c>
      <c r="L9" s="325">
        <f>'[60]Investment for 5th MYT'!$B$187</f>
        <v>1650.23264168606</v>
      </c>
      <c r="M9" s="325">
        <f>'[60]Investment for 5th MYT'!$B$214</f>
        <v>1761.78399423809</v>
      </c>
      <c r="N9" s="325">
        <f>'[60]Investment for 5th MYT'!$B$241</f>
        <v>2385.34196582339</v>
      </c>
      <c r="O9" s="325">
        <f>'[60]Investment for 5th MYT'!$B$268</f>
        <v>2813.84661867687</v>
      </c>
    </row>
    <row r="10" s="12" customFormat="1" ht="15" spans="2:15">
      <c r="B10" s="100">
        <v>2</v>
      </c>
      <c r="C10" s="55" t="s">
        <v>853</v>
      </c>
      <c r="D10" s="20"/>
      <c r="E10" s="101">
        <f>[61]F16.1!G11</f>
        <v>0</v>
      </c>
      <c r="F10" s="188">
        <f>E10-D10</f>
        <v>0</v>
      </c>
      <c r="G10" s="208"/>
      <c r="H10" s="208"/>
      <c r="I10" s="208"/>
      <c r="J10" s="325">
        <f>'[60]Investment for 5th MYT'!$F$133</f>
        <v>3013.04931089087</v>
      </c>
      <c r="K10" s="325">
        <f>'[60]Investment for 5th MYT'!$F$160</f>
        <v>2361.6065273815</v>
      </c>
      <c r="L10" s="325">
        <f>'[60]Investment for 5th MYT'!$F$187</f>
        <v>2681.66800802648</v>
      </c>
      <c r="M10" s="325">
        <f>'[60]Investment for 5th MYT'!$F$214</f>
        <v>4103.33025661855</v>
      </c>
      <c r="N10" s="325">
        <f>'[60]Investment for 5th MYT'!$F$241</f>
        <v>4533.38588929555</v>
      </c>
      <c r="O10" s="325">
        <f>'[60]Investment for 5th MYT'!$F$268</f>
        <v>5183.31978233298</v>
      </c>
    </row>
    <row r="11" s="12" customFormat="1" ht="15" spans="2:15">
      <c r="B11" s="100">
        <v>3</v>
      </c>
      <c r="C11" s="334" t="s">
        <v>639</v>
      </c>
      <c r="D11" s="20"/>
      <c r="E11" s="101">
        <f>[61]F16.1!H11</f>
        <v>0</v>
      </c>
      <c r="F11" s="188">
        <f>E11-D11</f>
        <v>0</v>
      </c>
      <c r="G11" s="208"/>
      <c r="H11" s="208"/>
      <c r="I11" s="208"/>
      <c r="J11" s="325">
        <f>'[60]Investment for 5th MYT'!$I$133</f>
        <v>2524.00931089087</v>
      </c>
      <c r="K11" s="325">
        <f>'[60]Investment for 5th MYT'!$I$160</f>
        <v>2407.38388569544</v>
      </c>
      <c r="L11" s="325">
        <f>'[60]Investment for 5th MYT'!$I$187</f>
        <v>2570.11665547445</v>
      </c>
      <c r="M11" s="325">
        <f>'[60]Investment for 5th MYT'!$I$214</f>
        <v>3479.77228503324</v>
      </c>
      <c r="N11" s="325">
        <f>'[60]Investment for 5th MYT'!$I$241</f>
        <v>4104.88123644207</v>
      </c>
      <c r="O11" s="325">
        <f>'[60]Investment for 5th MYT'!$I$268</f>
        <v>4744.71882571915</v>
      </c>
    </row>
    <row r="12" s="12" customFormat="1" ht="15" spans="2:15">
      <c r="B12" s="100">
        <v>4</v>
      </c>
      <c r="C12" s="55" t="s">
        <v>640</v>
      </c>
      <c r="D12" s="21"/>
      <c r="E12" s="100"/>
      <c r="F12" s="188">
        <f>E12-D12</f>
        <v>0</v>
      </c>
      <c r="G12" s="334"/>
      <c r="H12" s="334"/>
      <c r="I12" s="334"/>
      <c r="J12" s="318">
        <f>'[60]Investment for 5th MYT'!$J$133</f>
        <v>1696.01</v>
      </c>
      <c r="K12" s="318">
        <f>'[60]Investment for 5th MYT'!$J$160</f>
        <v>1650.23264168606</v>
      </c>
      <c r="L12" s="318">
        <f>'[60]Investment for 5th MYT'!$J$187</f>
        <v>1761.78399423809</v>
      </c>
      <c r="M12" s="318">
        <f>'[60]Investment for 5th MYT'!$J$214</f>
        <v>2385.34196582339</v>
      </c>
      <c r="N12" s="318">
        <f>'[60]Investment for 5th MYT'!$J$241</f>
        <v>2813.84661867687</v>
      </c>
      <c r="O12" s="318">
        <f>'[60]Investment for 5th MYT'!$J$268</f>
        <v>3252.44757529071</v>
      </c>
    </row>
    <row r="13" s="11" customFormat="1" ht="15" spans="2:13">
      <c r="B13" s="482"/>
      <c r="C13" s="483"/>
      <c r="D13" s="484"/>
      <c r="E13" s="484"/>
      <c r="F13" s="484"/>
      <c r="G13" s="218"/>
      <c r="H13" s="14"/>
      <c r="I13" s="14"/>
      <c r="J13" s="14"/>
      <c r="K13" s="14"/>
      <c r="L13" s="14"/>
      <c r="M13" s="14"/>
    </row>
    <row r="15" spans="2:2">
      <c r="B15" s="485"/>
    </row>
  </sheetData>
  <mergeCells count="5">
    <mergeCell ref="D6:F6"/>
    <mergeCell ref="G6:J6"/>
    <mergeCell ref="K6:O6"/>
    <mergeCell ref="B6:B8"/>
    <mergeCell ref="C6:C8"/>
  </mergeCells>
  <printOptions horizontalCentered="1"/>
  <pageMargins left="1.02361111111111" right="0.236111111111111" top="0.720138888888889" bottom="0.984027777777778" header="0.720138888888889" footer="0.236111111111111"/>
  <pageSetup paperSize="9" scale="96" orientation="portrait" horizontalDpi="600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</sheetPr>
  <dimension ref="B1:O953"/>
  <sheetViews>
    <sheetView showGridLines="0" view="pageBreakPreview" zoomScale="90" zoomScaleNormal="48" workbookViewId="0">
      <selection activeCell="Q17" sqref="Q17"/>
    </sheetView>
  </sheetViews>
  <sheetFormatPr defaultColWidth="9.28571428571429" defaultRowHeight="14.25"/>
  <cols>
    <col min="1" max="1" width="4.28571428571429" style="12" customWidth="1"/>
    <col min="2" max="2" width="9.28571428571429" style="12"/>
    <col min="3" max="3" width="46.2857142857143" style="12" customWidth="1"/>
    <col min="4" max="4" width="8" style="12" customWidth="1"/>
    <col min="5" max="5" width="14.5714285714286" style="12" customWidth="1"/>
    <col min="6" max="6" width="13.2857142857143" style="12" customWidth="1"/>
    <col min="7" max="7" width="10.7142857142857" style="12" customWidth="1"/>
    <col min="8" max="9" width="14.7142857142857" style="12" customWidth="1"/>
    <col min="10" max="10" width="15.2857142857143" style="12" customWidth="1"/>
    <col min="11" max="11" width="13.7142857142857" style="12" customWidth="1"/>
    <col min="12" max="12" width="10.7142857142857" style="12" customWidth="1"/>
    <col min="13" max="13" width="13.7142857142857" style="12" customWidth="1"/>
    <col min="14" max="14" width="15.2857142857143" style="12" customWidth="1"/>
    <col min="15" max="15" width="14" style="12" customWidth="1"/>
    <col min="16" max="16" width="13.7142857142857" style="12" customWidth="1"/>
    <col min="17" max="22" width="11.7142857142857" style="12" customWidth="1"/>
    <col min="23" max="16384" width="9.28571428571429" style="12"/>
  </cols>
  <sheetData>
    <row r="1" ht="15" spans="2:2">
      <c r="B1" s="14"/>
    </row>
    <row r="2" ht="15" spans="8:9">
      <c r="H2" s="2" t="s">
        <v>758</v>
      </c>
      <c r="I2" s="2"/>
    </row>
    <row r="3" ht="15" spans="8:9">
      <c r="H3" s="3" t="s">
        <v>670</v>
      </c>
      <c r="I3" s="3"/>
    </row>
    <row r="4" ht="15" spans="2:9">
      <c r="B4" s="11" t="s">
        <v>763</v>
      </c>
      <c r="H4" s="3"/>
      <c r="I4" s="3"/>
    </row>
    <row r="5" ht="15.75" hidden="1" spans="11:15">
      <c r="K5" s="3"/>
      <c r="O5" s="11" t="s">
        <v>109</v>
      </c>
    </row>
    <row r="6" ht="15" hidden="1" spans="2:15">
      <c r="B6" s="404" t="s">
        <v>112</v>
      </c>
      <c r="C6" s="405"/>
      <c r="D6" s="405"/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39"/>
    </row>
    <row r="7" ht="13.9" hidden="1" customHeight="1" spans="2:15">
      <c r="B7" s="406" t="s">
        <v>564</v>
      </c>
      <c r="C7" s="980" t="s">
        <v>671</v>
      </c>
      <c r="D7" s="408" t="s">
        <v>672</v>
      </c>
      <c r="E7" s="408" t="s">
        <v>673</v>
      </c>
      <c r="F7" s="408" t="s">
        <v>674</v>
      </c>
      <c r="G7" s="408"/>
      <c r="H7" s="408"/>
      <c r="I7" s="408"/>
      <c r="J7" s="408" t="s">
        <v>675</v>
      </c>
      <c r="K7" s="408"/>
      <c r="L7" s="408"/>
      <c r="M7" s="408"/>
      <c r="N7" s="408" t="s">
        <v>676</v>
      </c>
      <c r="O7" s="440"/>
    </row>
    <row r="8" ht="60" hidden="1" spans="2:15">
      <c r="B8" s="406"/>
      <c r="C8" s="409"/>
      <c r="D8" s="408"/>
      <c r="E8" s="408"/>
      <c r="F8" s="408" t="s">
        <v>677</v>
      </c>
      <c r="G8" s="408" t="s">
        <v>678</v>
      </c>
      <c r="H8" s="408" t="s">
        <v>679</v>
      </c>
      <c r="I8" s="408" t="s">
        <v>680</v>
      </c>
      <c r="J8" s="408" t="s">
        <v>681</v>
      </c>
      <c r="K8" s="408" t="s">
        <v>678</v>
      </c>
      <c r="L8" s="408" t="s">
        <v>682</v>
      </c>
      <c r="M8" s="408" t="s">
        <v>683</v>
      </c>
      <c r="N8" s="408" t="s">
        <v>677</v>
      </c>
      <c r="O8" s="440" t="s">
        <v>680</v>
      </c>
    </row>
    <row r="9" ht="15" hidden="1" spans="2:15">
      <c r="B9" s="410">
        <v>1</v>
      </c>
      <c r="C9" s="411" t="s">
        <v>684</v>
      </c>
      <c r="D9" s="412"/>
      <c r="E9" s="413"/>
      <c r="F9" s="414">
        <f ca="1" t="shared" ref="F9:L10" si="0">F326+F643</f>
        <v>0</v>
      </c>
      <c r="G9" s="414">
        <f ca="1" t="shared" si="0"/>
        <v>0</v>
      </c>
      <c r="H9" s="414">
        <f ca="1" t="shared" si="0"/>
        <v>0</v>
      </c>
      <c r="I9" s="414">
        <f ca="1">F9+G9-H9</f>
        <v>0</v>
      </c>
      <c r="J9" s="414">
        <f ca="1" t="shared" si="0"/>
        <v>0</v>
      </c>
      <c r="K9" s="414">
        <f ca="1" t="shared" si="0"/>
        <v>0</v>
      </c>
      <c r="L9" s="414">
        <f ca="1" t="shared" si="0"/>
        <v>0</v>
      </c>
      <c r="M9" s="414">
        <f ca="1">J9+K9-L9</f>
        <v>0</v>
      </c>
      <c r="N9" s="414">
        <f ca="1">F9-J9</f>
        <v>0</v>
      </c>
      <c r="O9" s="414">
        <f ca="1">I9-M9</f>
        <v>0</v>
      </c>
    </row>
    <row r="10" ht="15" hidden="1" spans="2:15">
      <c r="B10" s="410">
        <v>2</v>
      </c>
      <c r="C10" s="411" t="s">
        <v>770</v>
      </c>
      <c r="D10" s="412"/>
      <c r="E10" s="413"/>
      <c r="F10" s="414">
        <f ca="1">F327+F644</f>
        <v>0</v>
      </c>
      <c r="G10" s="414">
        <f ca="1" t="shared" si="0"/>
        <v>0</v>
      </c>
      <c r="H10" s="414">
        <f ca="1" t="shared" si="0"/>
        <v>0</v>
      </c>
      <c r="I10" s="414">
        <f ca="1">F10+G10-H10</f>
        <v>0</v>
      </c>
      <c r="J10" s="414">
        <f ca="1" t="shared" si="0"/>
        <v>0</v>
      </c>
      <c r="K10" s="414">
        <f ca="1" t="shared" si="0"/>
        <v>0</v>
      </c>
      <c r="L10" s="414">
        <f ca="1" t="shared" si="0"/>
        <v>0</v>
      </c>
      <c r="M10" s="414">
        <f ca="1">J10+K10-L10</f>
        <v>0</v>
      </c>
      <c r="N10" s="414">
        <f ca="1">F10-J10</f>
        <v>0</v>
      </c>
      <c r="O10" s="414">
        <f ca="1">I10-M10</f>
        <v>0</v>
      </c>
    </row>
    <row r="11" ht="15" hidden="1" spans="2:15">
      <c r="B11" s="410">
        <v>3</v>
      </c>
      <c r="C11" s="415" t="s">
        <v>771</v>
      </c>
      <c r="D11" s="412"/>
      <c r="E11" s="416"/>
      <c r="F11" s="414"/>
      <c r="G11" s="414"/>
      <c r="H11" s="414"/>
      <c r="I11" s="414"/>
      <c r="J11" s="414"/>
      <c r="K11" s="414"/>
      <c r="L11" s="414"/>
      <c r="M11" s="414"/>
      <c r="N11" s="414"/>
      <c r="O11" s="414"/>
    </row>
    <row r="12" ht="15" hidden="1" spans="2:15">
      <c r="B12" s="410"/>
      <c r="C12" s="417" t="s">
        <v>772</v>
      </c>
      <c r="D12" s="412"/>
      <c r="E12" s="416"/>
      <c r="F12" s="414">
        <f ca="1" t="shared" ref="F12:L15" si="1">F329+F646</f>
        <v>0</v>
      </c>
      <c r="G12" s="414">
        <f ca="1" t="shared" si="1"/>
        <v>0</v>
      </c>
      <c r="H12" s="414">
        <f ca="1" t="shared" si="1"/>
        <v>0</v>
      </c>
      <c r="I12" s="414">
        <f ca="1">F12+G12-H12</f>
        <v>0</v>
      </c>
      <c r="J12" s="414">
        <f ca="1" t="shared" si="1"/>
        <v>0</v>
      </c>
      <c r="K12" s="414">
        <f ca="1" t="shared" si="1"/>
        <v>0</v>
      </c>
      <c r="L12" s="414">
        <f ca="1" t="shared" si="1"/>
        <v>0</v>
      </c>
      <c r="M12" s="414">
        <f ca="1">J12+K12-L12</f>
        <v>0</v>
      </c>
      <c r="N12" s="414">
        <f ca="1">F12-J12</f>
        <v>0</v>
      </c>
      <c r="O12" s="414">
        <f ca="1">I12-M12</f>
        <v>0</v>
      </c>
    </row>
    <row r="13" ht="28.5" hidden="1" spans="2:15">
      <c r="B13" s="410"/>
      <c r="C13" s="417" t="s">
        <v>773</v>
      </c>
      <c r="D13" s="412"/>
      <c r="E13" s="416"/>
      <c r="F13" s="414">
        <f ca="1" t="shared" si="1"/>
        <v>0</v>
      </c>
      <c r="G13" s="414">
        <f ca="1" t="shared" si="1"/>
        <v>0</v>
      </c>
      <c r="H13" s="414">
        <f ca="1" t="shared" si="1"/>
        <v>0</v>
      </c>
      <c r="I13" s="414">
        <f ca="1">F13+G13-H13</f>
        <v>0</v>
      </c>
      <c r="J13" s="414">
        <f ca="1" t="shared" si="1"/>
        <v>0</v>
      </c>
      <c r="K13" s="414">
        <f ca="1" t="shared" si="1"/>
        <v>0</v>
      </c>
      <c r="L13" s="414">
        <f ca="1" t="shared" si="1"/>
        <v>0</v>
      </c>
      <c r="M13" s="414">
        <f ca="1" t="shared" ref="M13:M20" si="2">J13+K13-L13</f>
        <v>0</v>
      </c>
      <c r="N13" s="414">
        <f ca="1">F13-J13</f>
        <v>0</v>
      </c>
      <c r="O13" s="414">
        <f ca="1">I13-M13</f>
        <v>0</v>
      </c>
    </row>
    <row r="14" ht="15" hidden="1" spans="2:15">
      <c r="B14" s="410"/>
      <c r="C14" s="417" t="s">
        <v>774</v>
      </c>
      <c r="D14" s="412"/>
      <c r="E14" s="416"/>
      <c r="F14" s="414">
        <f ca="1" t="shared" si="1"/>
        <v>0</v>
      </c>
      <c r="G14" s="414">
        <f ca="1" t="shared" si="1"/>
        <v>0</v>
      </c>
      <c r="H14" s="414">
        <f ca="1" t="shared" si="1"/>
        <v>0</v>
      </c>
      <c r="I14" s="414">
        <f ca="1">F14+G14-H14</f>
        <v>0</v>
      </c>
      <c r="J14" s="414">
        <f ca="1" t="shared" si="1"/>
        <v>0</v>
      </c>
      <c r="K14" s="414">
        <f ca="1" t="shared" si="1"/>
        <v>0</v>
      </c>
      <c r="L14" s="414">
        <f ca="1" t="shared" si="1"/>
        <v>0</v>
      </c>
      <c r="M14" s="414">
        <f ca="1" t="shared" si="2"/>
        <v>0</v>
      </c>
      <c r="N14" s="414">
        <f ca="1">F14-J14</f>
        <v>0</v>
      </c>
      <c r="O14" s="414">
        <f ca="1">I14-M14</f>
        <v>0</v>
      </c>
    </row>
    <row r="15" ht="15" hidden="1" spans="2:15">
      <c r="B15" s="410"/>
      <c r="C15" s="417" t="s">
        <v>775</v>
      </c>
      <c r="D15" s="412"/>
      <c r="E15" s="416"/>
      <c r="F15" s="414">
        <f ca="1" t="shared" si="1"/>
        <v>0</v>
      </c>
      <c r="G15" s="414">
        <f ca="1" t="shared" si="1"/>
        <v>0</v>
      </c>
      <c r="H15" s="414">
        <f ca="1" t="shared" si="1"/>
        <v>0</v>
      </c>
      <c r="I15" s="414">
        <f ca="1">F15+G15-H15</f>
        <v>0</v>
      </c>
      <c r="J15" s="414">
        <f ca="1" t="shared" si="1"/>
        <v>0</v>
      </c>
      <c r="K15" s="414">
        <f ca="1" t="shared" si="1"/>
        <v>0</v>
      </c>
      <c r="L15" s="414">
        <f ca="1" t="shared" si="1"/>
        <v>0</v>
      </c>
      <c r="M15" s="414">
        <f ca="1" t="shared" si="2"/>
        <v>0</v>
      </c>
      <c r="N15" s="414">
        <f ca="1" t="shared" ref="N15" si="3">F15-J15</f>
        <v>0</v>
      </c>
      <c r="O15" s="414">
        <f ca="1">I15-M15</f>
        <v>0</v>
      </c>
    </row>
    <row r="16" ht="15" hidden="1" spans="2:15">
      <c r="B16" s="410">
        <v>4</v>
      </c>
      <c r="C16" s="411" t="s">
        <v>776</v>
      </c>
      <c r="D16" s="412"/>
      <c r="E16" s="416"/>
      <c r="F16" s="414"/>
      <c r="G16" s="414"/>
      <c r="H16" s="414"/>
      <c r="I16" s="414"/>
      <c r="J16" s="414"/>
      <c r="K16" s="414"/>
      <c r="L16" s="414"/>
      <c r="M16" s="414"/>
      <c r="N16" s="414"/>
      <c r="O16" s="414"/>
    </row>
    <row r="17" ht="15" hidden="1" spans="2:15">
      <c r="B17" s="410"/>
      <c r="C17" s="418" t="s">
        <v>777</v>
      </c>
      <c r="D17" s="412"/>
      <c r="E17" s="416"/>
      <c r="F17" s="414">
        <f ca="1" t="shared" ref="F17:L17" si="4">F334+F651</f>
        <v>0</v>
      </c>
      <c r="G17" s="414">
        <f ca="1" t="shared" si="4"/>
        <v>0</v>
      </c>
      <c r="H17" s="414">
        <f ca="1" t="shared" si="4"/>
        <v>0</v>
      </c>
      <c r="I17" s="414">
        <f ca="1">F17+G17-H17</f>
        <v>0</v>
      </c>
      <c r="J17" s="414">
        <f ca="1" t="shared" si="4"/>
        <v>0</v>
      </c>
      <c r="K17" s="414">
        <f ca="1" t="shared" si="4"/>
        <v>0</v>
      </c>
      <c r="L17" s="414">
        <f ca="1" t="shared" si="4"/>
        <v>0</v>
      </c>
      <c r="M17" s="414">
        <f ca="1" t="shared" si="2"/>
        <v>0</v>
      </c>
      <c r="N17" s="414">
        <f ca="1">F17-J17</f>
        <v>0</v>
      </c>
      <c r="O17" s="414">
        <f ca="1">I17-M17</f>
        <v>0</v>
      </c>
    </row>
    <row r="18" ht="15" hidden="1" spans="2:15">
      <c r="B18" s="410"/>
      <c r="C18" s="411" t="s">
        <v>778</v>
      </c>
      <c r="D18" s="412"/>
      <c r="E18" s="416"/>
      <c r="F18" s="414"/>
      <c r="G18" s="414"/>
      <c r="H18" s="414"/>
      <c r="I18" s="414"/>
      <c r="J18" s="414"/>
      <c r="K18" s="414"/>
      <c r="L18" s="414"/>
      <c r="M18" s="414"/>
      <c r="N18" s="414"/>
      <c r="O18" s="414"/>
    </row>
    <row r="19" ht="15" hidden="1" spans="2:15">
      <c r="B19" s="410"/>
      <c r="C19" s="418" t="s">
        <v>779</v>
      </c>
      <c r="D19" s="412"/>
      <c r="E19" s="416"/>
      <c r="F19" s="414">
        <f ca="1" t="shared" ref="F19:L20" si="5">F336+F653</f>
        <v>0</v>
      </c>
      <c r="G19" s="414">
        <f ca="1" t="shared" si="5"/>
        <v>0</v>
      </c>
      <c r="H19" s="414">
        <f ca="1" t="shared" si="5"/>
        <v>0</v>
      </c>
      <c r="I19" s="414">
        <f ca="1">F19+G19-H19</f>
        <v>0</v>
      </c>
      <c r="J19" s="414">
        <f ca="1" t="shared" si="5"/>
        <v>0</v>
      </c>
      <c r="K19" s="414">
        <f ca="1" t="shared" si="5"/>
        <v>0</v>
      </c>
      <c r="L19" s="414">
        <f ca="1" t="shared" si="5"/>
        <v>0</v>
      </c>
      <c r="M19" s="414">
        <f ca="1">J19+K19-L19</f>
        <v>0</v>
      </c>
      <c r="N19" s="414">
        <f ca="1">F19-J19</f>
        <v>0</v>
      </c>
      <c r="O19" s="414">
        <f ca="1">I19-M19</f>
        <v>0</v>
      </c>
    </row>
    <row r="20" ht="15" hidden="1" spans="2:15">
      <c r="B20" s="410"/>
      <c r="C20" s="418" t="s">
        <v>780</v>
      </c>
      <c r="D20" s="412"/>
      <c r="E20" s="416"/>
      <c r="F20" s="414">
        <f ca="1" t="shared" si="5"/>
        <v>0</v>
      </c>
      <c r="G20" s="414">
        <f ca="1" t="shared" si="5"/>
        <v>0</v>
      </c>
      <c r="H20" s="414">
        <f ca="1" t="shared" si="5"/>
        <v>0</v>
      </c>
      <c r="I20" s="414">
        <f ca="1">F20+G20-H20</f>
        <v>0</v>
      </c>
      <c r="J20" s="414">
        <f ca="1" t="shared" si="5"/>
        <v>0</v>
      </c>
      <c r="K20" s="414">
        <f ca="1" t="shared" si="5"/>
        <v>0</v>
      </c>
      <c r="L20" s="414">
        <f ca="1" t="shared" si="5"/>
        <v>0</v>
      </c>
      <c r="M20" s="414">
        <f ca="1" t="shared" si="2"/>
        <v>0</v>
      </c>
      <c r="N20" s="414">
        <f ca="1">F20-J20</f>
        <v>0</v>
      </c>
      <c r="O20" s="414">
        <f ca="1">I20-M20</f>
        <v>0</v>
      </c>
    </row>
    <row r="21" ht="15" hidden="1" spans="2:15">
      <c r="B21" s="410">
        <v>5</v>
      </c>
      <c r="C21" s="411" t="s">
        <v>781</v>
      </c>
      <c r="D21" s="412"/>
      <c r="E21" s="416"/>
      <c r="F21" s="419"/>
      <c r="G21" s="419"/>
      <c r="H21" s="419"/>
      <c r="I21" s="419"/>
      <c r="J21" s="419"/>
      <c r="K21" s="419"/>
      <c r="L21" s="419"/>
      <c r="M21" s="419"/>
      <c r="N21" s="419"/>
      <c r="O21" s="419"/>
    </row>
    <row r="22" ht="15" hidden="1" spans="2:15">
      <c r="B22" s="410"/>
      <c r="C22" s="418" t="s">
        <v>782</v>
      </c>
      <c r="D22" s="412"/>
      <c r="E22" s="416"/>
      <c r="F22" s="414">
        <f ca="1" t="shared" ref="F22:L27" si="6">F339+F656</f>
        <v>0</v>
      </c>
      <c r="G22" s="414">
        <f ca="1" t="shared" si="6"/>
        <v>0</v>
      </c>
      <c r="H22" s="414">
        <f ca="1" t="shared" si="6"/>
        <v>0</v>
      </c>
      <c r="I22" s="414">
        <f ca="1" t="shared" ref="I22:I27" si="7">F22+G22-H22</f>
        <v>0</v>
      </c>
      <c r="J22" s="414">
        <f ca="1" t="shared" si="6"/>
        <v>0</v>
      </c>
      <c r="K22" s="414">
        <f ca="1" t="shared" si="6"/>
        <v>0</v>
      </c>
      <c r="L22" s="414">
        <f ca="1" t="shared" si="6"/>
        <v>0</v>
      </c>
      <c r="M22" s="414">
        <f ca="1">J22+K22-L22</f>
        <v>0</v>
      </c>
      <c r="N22" s="414">
        <f ca="1">F22-J22</f>
        <v>0</v>
      </c>
      <c r="O22" s="414">
        <f ca="1" t="shared" ref="O22:O27" si="8">I22-M22</f>
        <v>0</v>
      </c>
    </row>
    <row r="23" ht="15" hidden="1" spans="2:15">
      <c r="B23" s="410"/>
      <c r="C23" s="418" t="s">
        <v>783</v>
      </c>
      <c r="D23" s="412"/>
      <c r="E23" s="416"/>
      <c r="F23" s="414">
        <f ca="1" t="shared" si="6"/>
        <v>0</v>
      </c>
      <c r="G23" s="414">
        <f ca="1" t="shared" si="6"/>
        <v>0</v>
      </c>
      <c r="H23" s="414">
        <f ca="1" t="shared" si="6"/>
        <v>0</v>
      </c>
      <c r="I23" s="414">
        <f ca="1" t="shared" si="7"/>
        <v>0</v>
      </c>
      <c r="J23" s="414">
        <f ca="1" t="shared" si="6"/>
        <v>0</v>
      </c>
      <c r="K23" s="414">
        <f ca="1" t="shared" si="6"/>
        <v>0</v>
      </c>
      <c r="L23" s="414">
        <f ca="1" t="shared" si="6"/>
        <v>0</v>
      </c>
      <c r="M23" s="414">
        <f ca="1" t="shared" ref="M23:M27" si="9">J23+K23-L23</f>
        <v>0</v>
      </c>
      <c r="N23" s="414">
        <f ca="1" t="shared" ref="N23:N27" si="10">F23-J23</f>
        <v>0</v>
      </c>
      <c r="O23" s="414">
        <f ca="1" t="shared" si="8"/>
        <v>0</v>
      </c>
    </row>
    <row r="24" ht="15" hidden="1" spans="2:15">
      <c r="B24" s="410"/>
      <c r="C24" s="418" t="s">
        <v>784</v>
      </c>
      <c r="D24" s="412"/>
      <c r="E24" s="416"/>
      <c r="F24" s="414">
        <f ca="1" t="shared" si="6"/>
        <v>0</v>
      </c>
      <c r="G24" s="414">
        <f ca="1" t="shared" si="6"/>
        <v>0</v>
      </c>
      <c r="H24" s="414">
        <f ca="1" t="shared" si="6"/>
        <v>0</v>
      </c>
      <c r="I24" s="414">
        <f ca="1" t="shared" si="7"/>
        <v>0</v>
      </c>
      <c r="J24" s="414">
        <f ca="1" t="shared" si="6"/>
        <v>0</v>
      </c>
      <c r="K24" s="414">
        <f ca="1" t="shared" si="6"/>
        <v>0</v>
      </c>
      <c r="L24" s="414">
        <f ca="1" t="shared" si="6"/>
        <v>0</v>
      </c>
      <c r="M24" s="414">
        <f ca="1" t="shared" si="9"/>
        <v>0</v>
      </c>
      <c r="N24" s="414">
        <f ca="1" t="shared" si="10"/>
        <v>0</v>
      </c>
      <c r="O24" s="414">
        <f ca="1" t="shared" si="8"/>
        <v>0</v>
      </c>
    </row>
    <row r="25" ht="15" hidden="1" spans="2:15">
      <c r="B25" s="410"/>
      <c r="C25" s="418" t="s">
        <v>785</v>
      </c>
      <c r="D25" s="412"/>
      <c r="E25" s="416"/>
      <c r="F25" s="414">
        <f ca="1" t="shared" si="6"/>
        <v>0</v>
      </c>
      <c r="G25" s="414">
        <f ca="1" t="shared" si="6"/>
        <v>0</v>
      </c>
      <c r="H25" s="414">
        <f ca="1" t="shared" si="6"/>
        <v>0</v>
      </c>
      <c r="I25" s="414">
        <f ca="1" t="shared" si="7"/>
        <v>0</v>
      </c>
      <c r="J25" s="414">
        <f ca="1" t="shared" si="6"/>
        <v>0</v>
      </c>
      <c r="K25" s="414">
        <f ca="1" t="shared" si="6"/>
        <v>0</v>
      </c>
      <c r="L25" s="414">
        <f ca="1" t="shared" si="6"/>
        <v>0</v>
      </c>
      <c r="M25" s="414">
        <f ca="1" t="shared" si="9"/>
        <v>0</v>
      </c>
      <c r="N25" s="414">
        <f ca="1" t="shared" si="10"/>
        <v>0</v>
      </c>
      <c r="O25" s="414">
        <f ca="1" t="shared" si="8"/>
        <v>0</v>
      </c>
    </row>
    <row r="26" ht="15" hidden="1" spans="2:15">
      <c r="B26" s="410">
        <v>6</v>
      </c>
      <c r="C26" s="411" t="s">
        <v>786</v>
      </c>
      <c r="D26" s="412"/>
      <c r="E26" s="416"/>
      <c r="F26" s="414">
        <f ca="1" t="shared" si="6"/>
        <v>0</v>
      </c>
      <c r="G26" s="414">
        <f ca="1" t="shared" si="6"/>
        <v>0</v>
      </c>
      <c r="H26" s="414">
        <f ca="1" t="shared" si="6"/>
        <v>0</v>
      </c>
      <c r="I26" s="414">
        <f ca="1" t="shared" si="7"/>
        <v>0</v>
      </c>
      <c r="J26" s="414">
        <f ca="1" t="shared" si="6"/>
        <v>0</v>
      </c>
      <c r="K26" s="414">
        <f ca="1" t="shared" si="6"/>
        <v>0</v>
      </c>
      <c r="L26" s="414">
        <f ca="1" t="shared" si="6"/>
        <v>0</v>
      </c>
      <c r="M26" s="414">
        <f ca="1" t="shared" si="9"/>
        <v>0</v>
      </c>
      <c r="N26" s="414">
        <f ca="1" t="shared" si="10"/>
        <v>0</v>
      </c>
      <c r="O26" s="414">
        <f ca="1" t="shared" si="8"/>
        <v>0</v>
      </c>
    </row>
    <row r="27" ht="15" hidden="1" spans="2:15">
      <c r="B27" s="410">
        <v>7</v>
      </c>
      <c r="C27" s="411" t="s">
        <v>787</v>
      </c>
      <c r="D27" s="412"/>
      <c r="E27" s="416"/>
      <c r="F27" s="414">
        <f ca="1" t="shared" si="6"/>
        <v>0</v>
      </c>
      <c r="G27" s="414">
        <f ca="1" t="shared" si="6"/>
        <v>0</v>
      </c>
      <c r="H27" s="414">
        <f ca="1" t="shared" si="6"/>
        <v>0</v>
      </c>
      <c r="I27" s="414">
        <f ca="1" t="shared" si="7"/>
        <v>0</v>
      </c>
      <c r="J27" s="414">
        <f ca="1" t="shared" si="6"/>
        <v>0</v>
      </c>
      <c r="K27" s="414">
        <f ca="1" t="shared" si="6"/>
        <v>0</v>
      </c>
      <c r="L27" s="414">
        <f ca="1" t="shared" si="6"/>
        <v>0</v>
      </c>
      <c r="M27" s="414">
        <f ca="1" t="shared" si="9"/>
        <v>0</v>
      </c>
      <c r="N27" s="414">
        <f ca="1" t="shared" si="10"/>
        <v>0</v>
      </c>
      <c r="O27" s="414">
        <f ca="1" t="shared" si="8"/>
        <v>0</v>
      </c>
    </row>
    <row r="28" ht="15" hidden="1" spans="2:15">
      <c r="B28" s="410">
        <v>8</v>
      </c>
      <c r="C28" s="411" t="s">
        <v>788</v>
      </c>
      <c r="D28" s="412"/>
      <c r="E28" s="416"/>
      <c r="F28" s="414"/>
      <c r="G28" s="414"/>
      <c r="H28" s="414"/>
      <c r="I28" s="414"/>
      <c r="J28" s="414"/>
      <c r="K28" s="414"/>
      <c r="L28" s="414"/>
      <c r="M28" s="414"/>
      <c r="N28" s="414"/>
      <c r="O28" s="414"/>
    </row>
    <row r="29" ht="15" hidden="1" spans="2:15">
      <c r="B29" s="410"/>
      <c r="C29" s="418" t="s">
        <v>789</v>
      </c>
      <c r="D29" s="412"/>
      <c r="E29" s="416"/>
      <c r="F29" s="414">
        <f ca="1" t="shared" ref="F29:L33" si="11">F346+F663</f>
        <v>0</v>
      </c>
      <c r="G29" s="414">
        <f ca="1" t="shared" si="11"/>
        <v>0</v>
      </c>
      <c r="H29" s="414">
        <f ca="1" t="shared" si="11"/>
        <v>0</v>
      </c>
      <c r="I29" s="414">
        <f ca="1">F29+G29-H29</f>
        <v>0</v>
      </c>
      <c r="J29" s="414">
        <f ca="1" t="shared" si="11"/>
        <v>0</v>
      </c>
      <c r="K29" s="414">
        <f ca="1" t="shared" si="11"/>
        <v>0</v>
      </c>
      <c r="L29" s="414">
        <f ca="1" t="shared" si="11"/>
        <v>0</v>
      </c>
      <c r="M29" s="414">
        <f ca="1">J29+K29-L29</f>
        <v>0</v>
      </c>
      <c r="N29" s="414">
        <f ca="1">F29-J29</f>
        <v>0</v>
      </c>
      <c r="O29" s="414">
        <f ca="1">I29-M29</f>
        <v>0</v>
      </c>
    </row>
    <row r="30" ht="15" hidden="1" spans="2:15">
      <c r="B30" s="410"/>
      <c r="C30" s="418" t="s">
        <v>790</v>
      </c>
      <c r="D30" s="412"/>
      <c r="E30" s="416"/>
      <c r="F30" s="414">
        <f ca="1" t="shared" si="11"/>
        <v>0</v>
      </c>
      <c r="G30" s="414">
        <f ca="1" t="shared" si="11"/>
        <v>0</v>
      </c>
      <c r="H30" s="414">
        <f ca="1" t="shared" si="11"/>
        <v>0</v>
      </c>
      <c r="I30" s="414">
        <f ca="1">F30+G30-H30</f>
        <v>0</v>
      </c>
      <c r="J30" s="414">
        <f ca="1" t="shared" si="11"/>
        <v>0</v>
      </c>
      <c r="K30" s="414">
        <f ca="1" t="shared" si="11"/>
        <v>0</v>
      </c>
      <c r="L30" s="414">
        <f ca="1" t="shared" si="11"/>
        <v>0</v>
      </c>
      <c r="M30" s="414">
        <f ca="1" t="shared" ref="M30:M48" si="12">J30+K30-L30</f>
        <v>0</v>
      </c>
      <c r="N30" s="414">
        <f ca="1">F30-J30</f>
        <v>0</v>
      </c>
      <c r="O30" s="414">
        <f ca="1" t="shared" ref="O30:O33" si="13">I30-M30</f>
        <v>0</v>
      </c>
    </row>
    <row r="31" ht="30" hidden="1" spans="2:15">
      <c r="B31" s="420">
        <v>9</v>
      </c>
      <c r="C31" s="421" t="s">
        <v>791</v>
      </c>
      <c r="D31" s="412"/>
      <c r="E31" s="416"/>
      <c r="F31" s="414">
        <f ca="1">F348+F665</f>
        <v>0</v>
      </c>
      <c r="G31" s="414">
        <f ca="1" t="shared" si="11"/>
        <v>0</v>
      </c>
      <c r="H31" s="414">
        <f ca="1" t="shared" si="11"/>
        <v>0</v>
      </c>
      <c r="I31" s="414">
        <f ca="1">F31+G31-H31</f>
        <v>0</v>
      </c>
      <c r="J31" s="414">
        <f ca="1" t="shared" si="11"/>
        <v>0</v>
      </c>
      <c r="K31" s="414">
        <f ca="1" t="shared" si="11"/>
        <v>0</v>
      </c>
      <c r="L31" s="414">
        <f ca="1" t="shared" si="11"/>
        <v>0</v>
      </c>
      <c r="M31" s="414">
        <f ca="1" t="shared" si="12"/>
        <v>0</v>
      </c>
      <c r="N31" s="414">
        <f ca="1">F31-J31</f>
        <v>0</v>
      </c>
      <c r="O31" s="414">
        <f ca="1" t="shared" si="13"/>
        <v>0</v>
      </c>
    </row>
    <row r="32" ht="15" hidden="1" spans="2:15">
      <c r="B32" s="422">
        <v>10</v>
      </c>
      <c r="C32" s="423" t="s">
        <v>792</v>
      </c>
      <c r="D32" s="424"/>
      <c r="E32" s="416"/>
      <c r="F32" s="414">
        <f ca="1">F349+F666</f>
        <v>0</v>
      </c>
      <c r="G32" s="414">
        <f ca="1" t="shared" si="11"/>
        <v>0</v>
      </c>
      <c r="H32" s="414">
        <f ca="1" t="shared" si="11"/>
        <v>0</v>
      </c>
      <c r="I32" s="414">
        <f ca="1">F32+G32-H32</f>
        <v>0</v>
      </c>
      <c r="J32" s="414">
        <f ca="1" t="shared" si="11"/>
        <v>0</v>
      </c>
      <c r="K32" s="414">
        <f ca="1" t="shared" si="11"/>
        <v>0</v>
      </c>
      <c r="L32" s="414">
        <f ca="1" t="shared" si="11"/>
        <v>0</v>
      </c>
      <c r="M32" s="414">
        <f ca="1" t="shared" si="12"/>
        <v>0</v>
      </c>
      <c r="N32" s="414">
        <f ca="1">F32-J32</f>
        <v>0</v>
      </c>
      <c r="O32" s="414">
        <f ca="1" t="shared" si="13"/>
        <v>0</v>
      </c>
    </row>
    <row r="33" ht="15" hidden="1" spans="2:15">
      <c r="B33" s="422">
        <v>11</v>
      </c>
      <c r="C33" s="423" t="s">
        <v>793</v>
      </c>
      <c r="D33" s="424"/>
      <c r="E33" s="416"/>
      <c r="F33" s="414">
        <f ca="1">F350+F667</f>
        <v>0</v>
      </c>
      <c r="G33" s="414">
        <f ca="1" t="shared" si="11"/>
        <v>0</v>
      </c>
      <c r="H33" s="414">
        <f ca="1" t="shared" si="11"/>
        <v>0</v>
      </c>
      <c r="I33" s="414">
        <f ca="1">F33+G33-H33</f>
        <v>0</v>
      </c>
      <c r="J33" s="414">
        <f ca="1" t="shared" si="11"/>
        <v>0</v>
      </c>
      <c r="K33" s="414">
        <f ca="1" t="shared" si="11"/>
        <v>0</v>
      </c>
      <c r="L33" s="414">
        <f ca="1" t="shared" si="11"/>
        <v>0</v>
      </c>
      <c r="M33" s="414">
        <f ca="1" t="shared" si="12"/>
        <v>0</v>
      </c>
      <c r="N33" s="414">
        <f ca="1">F33-J33</f>
        <v>0</v>
      </c>
      <c r="O33" s="414">
        <f ca="1" t="shared" si="13"/>
        <v>0</v>
      </c>
    </row>
    <row r="34" ht="15" hidden="1" spans="2:15">
      <c r="B34" s="422">
        <v>12</v>
      </c>
      <c r="C34" s="423" t="s">
        <v>794</v>
      </c>
      <c r="D34" s="424"/>
      <c r="E34" s="416"/>
      <c r="F34" s="414"/>
      <c r="G34" s="414"/>
      <c r="H34" s="414"/>
      <c r="I34" s="414"/>
      <c r="J34" s="414"/>
      <c r="K34" s="414"/>
      <c r="L34" s="414"/>
      <c r="M34" s="414"/>
      <c r="N34" s="414"/>
      <c r="O34" s="414"/>
    </row>
    <row r="35" ht="15" hidden="1" spans="2:15">
      <c r="B35" s="422"/>
      <c r="C35" s="425" t="s">
        <v>795</v>
      </c>
      <c r="D35" s="424"/>
      <c r="E35" s="416"/>
      <c r="F35" s="414">
        <f ca="1">F352+F669</f>
        <v>0</v>
      </c>
      <c r="G35" s="414">
        <f ca="1" t="shared" ref="G35:L36" si="14">G352+G669</f>
        <v>0</v>
      </c>
      <c r="H35" s="414">
        <f ca="1" t="shared" si="14"/>
        <v>0</v>
      </c>
      <c r="I35" s="414">
        <f ca="1">F35+G35-H35</f>
        <v>0</v>
      </c>
      <c r="J35" s="414">
        <f ca="1" t="shared" si="14"/>
        <v>0</v>
      </c>
      <c r="K35" s="414">
        <f ca="1" t="shared" si="14"/>
        <v>0</v>
      </c>
      <c r="L35" s="414">
        <f ca="1" t="shared" si="14"/>
        <v>0</v>
      </c>
      <c r="M35" s="414">
        <f ca="1" t="shared" si="12"/>
        <v>0</v>
      </c>
      <c r="N35" s="414">
        <f ca="1">F35-J35</f>
        <v>0</v>
      </c>
      <c r="O35" s="414">
        <f ca="1">I35-M35</f>
        <v>0</v>
      </c>
    </row>
    <row r="36" ht="15" hidden="1" spans="2:15">
      <c r="B36" s="422"/>
      <c r="C36" s="425" t="s">
        <v>796</v>
      </c>
      <c r="D36" s="424"/>
      <c r="E36" s="416"/>
      <c r="F36" s="414">
        <f ca="1">F353+F670</f>
        <v>0</v>
      </c>
      <c r="G36" s="414">
        <f ca="1" t="shared" si="14"/>
        <v>0</v>
      </c>
      <c r="H36" s="414">
        <f ca="1" t="shared" si="14"/>
        <v>0</v>
      </c>
      <c r="I36" s="414">
        <f ca="1">F36+G36-H36</f>
        <v>0</v>
      </c>
      <c r="J36" s="414">
        <f ca="1" t="shared" si="14"/>
        <v>0</v>
      </c>
      <c r="K36" s="414">
        <f ca="1" t="shared" si="14"/>
        <v>0</v>
      </c>
      <c r="L36" s="414">
        <f ca="1" t="shared" si="14"/>
        <v>0</v>
      </c>
      <c r="M36" s="414">
        <f ca="1" t="shared" si="12"/>
        <v>0</v>
      </c>
      <c r="N36" s="414">
        <f ca="1">F36-J36</f>
        <v>0</v>
      </c>
      <c r="O36" s="414">
        <f ca="1">I36-M36</f>
        <v>0</v>
      </c>
    </row>
    <row r="37" ht="15" hidden="1" spans="2:15">
      <c r="B37" s="422">
        <v>13</v>
      </c>
      <c r="C37" s="425"/>
      <c r="D37" s="424"/>
      <c r="E37" s="416"/>
      <c r="F37" s="414"/>
      <c r="G37" s="414"/>
      <c r="H37" s="414"/>
      <c r="I37" s="414"/>
      <c r="J37" s="414"/>
      <c r="K37" s="414"/>
      <c r="L37" s="414"/>
      <c r="M37" s="414"/>
      <c r="N37" s="414"/>
      <c r="O37" s="414"/>
    </row>
    <row r="38" ht="15" hidden="1" spans="2:15">
      <c r="B38" s="422"/>
      <c r="C38" s="425" t="s">
        <v>797</v>
      </c>
      <c r="D38" s="424"/>
      <c r="E38" s="416"/>
      <c r="F38" s="414">
        <f ca="1" t="shared" ref="F38:L41" si="15">F355+F672</f>
        <v>0</v>
      </c>
      <c r="G38" s="414">
        <f ca="1" t="shared" si="15"/>
        <v>0</v>
      </c>
      <c r="H38" s="414">
        <f ca="1" t="shared" si="15"/>
        <v>0</v>
      </c>
      <c r="I38" s="414">
        <f ca="1">F38+G38-H38</f>
        <v>0</v>
      </c>
      <c r="J38" s="414">
        <f ca="1" t="shared" si="15"/>
        <v>0</v>
      </c>
      <c r="K38" s="414">
        <f ca="1" t="shared" si="15"/>
        <v>0</v>
      </c>
      <c r="L38" s="414">
        <f ca="1" t="shared" si="15"/>
        <v>0</v>
      </c>
      <c r="M38" s="414">
        <f ca="1" t="shared" si="12"/>
        <v>0</v>
      </c>
      <c r="N38" s="414">
        <f ca="1">F38-J38</f>
        <v>0</v>
      </c>
      <c r="O38" s="414">
        <f ca="1">I38-M38</f>
        <v>0</v>
      </c>
    </row>
    <row r="39" ht="15" hidden="1" spans="2:15">
      <c r="B39" s="422"/>
      <c r="C39" s="425" t="s">
        <v>798</v>
      </c>
      <c r="D39" s="424"/>
      <c r="E39" s="416"/>
      <c r="F39" s="414">
        <f ca="1" t="shared" si="15"/>
        <v>0</v>
      </c>
      <c r="G39" s="414">
        <f ca="1" t="shared" si="15"/>
        <v>0</v>
      </c>
      <c r="H39" s="414">
        <f ca="1" t="shared" si="15"/>
        <v>0</v>
      </c>
      <c r="I39" s="414">
        <f ca="1">F39+G39-H39</f>
        <v>0</v>
      </c>
      <c r="J39" s="414">
        <f ca="1" t="shared" si="15"/>
        <v>0</v>
      </c>
      <c r="K39" s="414">
        <f ca="1" t="shared" si="15"/>
        <v>0</v>
      </c>
      <c r="L39" s="414">
        <f ca="1" t="shared" si="15"/>
        <v>0</v>
      </c>
      <c r="M39" s="414">
        <f ca="1" t="shared" si="12"/>
        <v>0</v>
      </c>
      <c r="N39" s="414">
        <f ca="1" t="shared" ref="N39:N41" si="16">F39-J39</f>
        <v>0</v>
      </c>
      <c r="O39" s="414">
        <f ca="1" t="shared" ref="O39:O41" si="17">I39-M39</f>
        <v>0</v>
      </c>
    </row>
    <row r="40" ht="15" hidden="1" spans="2:15">
      <c r="B40" s="422"/>
      <c r="C40" s="425" t="s">
        <v>799</v>
      </c>
      <c r="D40" s="424"/>
      <c r="E40" s="416"/>
      <c r="F40" s="414">
        <f ca="1" t="shared" si="15"/>
        <v>0</v>
      </c>
      <c r="G40" s="414">
        <f ca="1" t="shared" si="15"/>
        <v>0</v>
      </c>
      <c r="H40" s="414">
        <f ca="1" t="shared" si="15"/>
        <v>0</v>
      </c>
      <c r="I40" s="414">
        <f ca="1">F40+G40-H40</f>
        <v>0</v>
      </c>
      <c r="J40" s="414">
        <f ca="1" t="shared" si="15"/>
        <v>0</v>
      </c>
      <c r="K40" s="414">
        <f ca="1" t="shared" si="15"/>
        <v>0</v>
      </c>
      <c r="L40" s="414">
        <f ca="1" t="shared" si="15"/>
        <v>0</v>
      </c>
      <c r="M40" s="414">
        <f ca="1" t="shared" si="12"/>
        <v>0</v>
      </c>
      <c r="N40" s="414">
        <f ca="1" t="shared" si="16"/>
        <v>0</v>
      </c>
      <c r="O40" s="414">
        <f ca="1" t="shared" si="17"/>
        <v>0</v>
      </c>
    </row>
    <row r="41" ht="15" hidden="1" spans="2:15">
      <c r="B41" s="422"/>
      <c r="C41" s="425" t="s">
        <v>800</v>
      </c>
      <c r="D41" s="424"/>
      <c r="E41" s="416"/>
      <c r="F41" s="414">
        <f ca="1" t="shared" si="15"/>
        <v>0</v>
      </c>
      <c r="G41" s="414">
        <f ca="1" t="shared" si="15"/>
        <v>0</v>
      </c>
      <c r="H41" s="414">
        <f ca="1" t="shared" si="15"/>
        <v>0</v>
      </c>
      <c r="I41" s="414">
        <f ca="1">F41+G41-H41</f>
        <v>0</v>
      </c>
      <c r="J41" s="414">
        <f ca="1" t="shared" si="15"/>
        <v>0</v>
      </c>
      <c r="K41" s="414">
        <f ca="1" t="shared" si="15"/>
        <v>0</v>
      </c>
      <c r="L41" s="414">
        <f ca="1" t="shared" si="15"/>
        <v>0</v>
      </c>
      <c r="M41" s="414">
        <f ca="1" t="shared" si="12"/>
        <v>0</v>
      </c>
      <c r="N41" s="414">
        <f ca="1" t="shared" si="16"/>
        <v>0</v>
      </c>
      <c r="O41" s="414">
        <f ca="1" t="shared" si="17"/>
        <v>0</v>
      </c>
    </row>
    <row r="42" ht="15" hidden="1" spans="2:15">
      <c r="B42" s="422">
        <v>14</v>
      </c>
      <c r="C42" s="423" t="s">
        <v>801</v>
      </c>
      <c r="D42" s="424"/>
      <c r="E42" s="416"/>
      <c r="F42" s="414"/>
      <c r="G42" s="414"/>
      <c r="H42" s="414"/>
      <c r="I42" s="414"/>
      <c r="J42" s="414"/>
      <c r="K42" s="414"/>
      <c r="L42" s="414"/>
      <c r="M42" s="414"/>
      <c r="N42" s="414"/>
      <c r="O42" s="414"/>
    </row>
    <row r="43" ht="15" hidden="1" spans="2:15">
      <c r="B43" s="422"/>
      <c r="C43" s="425" t="s">
        <v>802</v>
      </c>
      <c r="D43" s="424"/>
      <c r="E43" s="416"/>
      <c r="F43" s="414">
        <f ca="1">F360+F677</f>
        <v>0</v>
      </c>
      <c r="G43" s="414">
        <f ca="1" t="shared" ref="G43:L43" si="18">G360+G677</f>
        <v>0</v>
      </c>
      <c r="H43" s="414">
        <f ca="1" t="shared" si="18"/>
        <v>0</v>
      </c>
      <c r="I43" s="414">
        <f ca="1" t="shared" ref="I43:I48" si="19">F43+G43-H43</f>
        <v>0</v>
      </c>
      <c r="J43" s="414">
        <f ca="1" t="shared" si="18"/>
        <v>0</v>
      </c>
      <c r="K43" s="414">
        <f ca="1" t="shared" si="18"/>
        <v>0</v>
      </c>
      <c r="L43" s="414">
        <f ca="1" t="shared" si="18"/>
        <v>0</v>
      </c>
      <c r="M43" s="414">
        <f ca="1" t="shared" si="12"/>
        <v>0</v>
      </c>
      <c r="N43" s="414">
        <f ca="1">F43-J43</f>
        <v>0</v>
      </c>
      <c r="O43" s="414">
        <f ca="1" t="shared" ref="O43:O48" si="20">I43-M43</f>
        <v>0</v>
      </c>
    </row>
    <row r="44" ht="15" hidden="1" spans="2:15">
      <c r="B44" s="422"/>
      <c r="C44" s="425" t="s">
        <v>803</v>
      </c>
      <c r="D44" s="424"/>
      <c r="E44" s="416"/>
      <c r="F44" s="414">
        <f ca="1" t="shared" ref="F44:L48" si="21">F361+F678</f>
        <v>0</v>
      </c>
      <c r="G44" s="414">
        <f ca="1" t="shared" si="21"/>
        <v>0</v>
      </c>
      <c r="H44" s="414">
        <f ca="1" t="shared" si="21"/>
        <v>0</v>
      </c>
      <c r="I44" s="414">
        <f ca="1" t="shared" si="19"/>
        <v>0</v>
      </c>
      <c r="J44" s="414">
        <f ca="1" t="shared" si="21"/>
        <v>0</v>
      </c>
      <c r="K44" s="414">
        <f ca="1" t="shared" si="21"/>
        <v>0</v>
      </c>
      <c r="L44" s="414">
        <f ca="1" t="shared" si="21"/>
        <v>0</v>
      </c>
      <c r="M44" s="414">
        <f ca="1" t="shared" si="12"/>
        <v>0</v>
      </c>
      <c r="N44" s="414">
        <f ca="1" t="shared" ref="N44:N48" si="22">F44-J44</f>
        <v>0</v>
      </c>
      <c r="O44" s="414">
        <f ca="1" t="shared" si="20"/>
        <v>0</v>
      </c>
    </row>
    <row r="45" ht="15" hidden="1" spans="2:15">
      <c r="B45" s="422"/>
      <c r="C45" s="425" t="s">
        <v>804</v>
      </c>
      <c r="D45" s="424"/>
      <c r="E45" s="416"/>
      <c r="F45" s="414">
        <f ca="1" t="shared" si="21"/>
        <v>0</v>
      </c>
      <c r="G45" s="414">
        <f ca="1" t="shared" si="21"/>
        <v>0</v>
      </c>
      <c r="H45" s="414">
        <f ca="1" t="shared" si="21"/>
        <v>0</v>
      </c>
      <c r="I45" s="414">
        <f ca="1" t="shared" si="19"/>
        <v>0</v>
      </c>
      <c r="J45" s="414">
        <f ca="1" t="shared" si="21"/>
        <v>0</v>
      </c>
      <c r="K45" s="414">
        <f ca="1" t="shared" si="21"/>
        <v>0</v>
      </c>
      <c r="L45" s="414">
        <f ca="1" t="shared" si="21"/>
        <v>0</v>
      </c>
      <c r="M45" s="414">
        <f ca="1" t="shared" si="12"/>
        <v>0</v>
      </c>
      <c r="N45" s="414">
        <f ca="1" t="shared" si="22"/>
        <v>0</v>
      </c>
      <c r="O45" s="414">
        <f ca="1" t="shared" si="20"/>
        <v>0</v>
      </c>
    </row>
    <row r="46" ht="15" hidden="1" spans="2:15">
      <c r="B46" s="422">
        <v>15</v>
      </c>
      <c r="C46" s="423" t="s">
        <v>805</v>
      </c>
      <c r="D46" s="424"/>
      <c r="E46" s="416"/>
      <c r="F46" s="414">
        <f ca="1" t="shared" si="21"/>
        <v>0</v>
      </c>
      <c r="G46" s="414">
        <f ca="1" t="shared" si="21"/>
        <v>0</v>
      </c>
      <c r="H46" s="414">
        <f ca="1" t="shared" si="21"/>
        <v>0</v>
      </c>
      <c r="I46" s="414">
        <f ca="1" t="shared" si="19"/>
        <v>0</v>
      </c>
      <c r="J46" s="414">
        <f ca="1" t="shared" si="21"/>
        <v>0</v>
      </c>
      <c r="K46" s="414">
        <f ca="1" t="shared" si="21"/>
        <v>0</v>
      </c>
      <c r="L46" s="414">
        <f ca="1" t="shared" si="21"/>
        <v>0</v>
      </c>
      <c r="M46" s="414">
        <f ca="1" t="shared" si="12"/>
        <v>0</v>
      </c>
      <c r="N46" s="414">
        <f ca="1" t="shared" si="22"/>
        <v>0</v>
      </c>
      <c r="O46" s="414">
        <f ca="1" t="shared" si="20"/>
        <v>0</v>
      </c>
    </row>
    <row r="47" ht="15" hidden="1" spans="2:15">
      <c r="B47" s="422">
        <v>16</v>
      </c>
      <c r="C47" s="423" t="s">
        <v>806</v>
      </c>
      <c r="D47" s="412"/>
      <c r="E47" s="416"/>
      <c r="F47" s="414">
        <f ca="1">F364+F681</f>
        <v>0</v>
      </c>
      <c r="G47" s="414">
        <f ca="1" t="shared" si="21"/>
        <v>0</v>
      </c>
      <c r="H47" s="414">
        <f ca="1" t="shared" si="21"/>
        <v>0</v>
      </c>
      <c r="I47" s="414">
        <f ca="1" t="shared" si="19"/>
        <v>0</v>
      </c>
      <c r="J47" s="414">
        <f ca="1" t="shared" si="21"/>
        <v>0</v>
      </c>
      <c r="K47" s="414">
        <f ca="1" t="shared" si="21"/>
        <v>0</v>
      </c>
      <c r="L47" s="414">
        <f ca="1" t="shared" si="21"/>
        <v>0</v>
      </c>
      <c r="M47" s="414">
        <f ca="1" t="shared" si="12"/>
        <v>0</v>
      </c>
      <c r="N47" s="414">
        <f ca="1" t="shared" si="22"/>
        <v>0</v>
      </c>
      <c r="O47" s="414">
        <f ca="1" t="shared" si="20"/>
        <v>0</v>
      </c>
    </row>
    <row r="48" ht="15" hidden="1" spans="2:15">
      <c r="B48" s="422">
        <v>17</v>
      </c>
      <c r="C48" s="423" t="s">
        <v>807</v>
      </c>
      <c r="D48" s="412"/>
      <c r="E48" s="426"/>
      <c r="F48" s="414">
        <f ca="1">F365+F682</f>
        <v>0</v>
      </c>
      <c r="G48" s="414">
        <f ca="1" t="shared" si="21"/>
        <v>0</v>
      </c>
      <c r="H48" s="414">
        <f ca="1" t="shared" si="21"/>
        <v>0</v>
      </c>
      <c r="I48" s="414">
        <f ca="1" t="shared" si="19"/>
        <v>0</v>
      </c>
      <c r="J48" s="414">
        <f ca="1" t="shared" si="21"/>
        <v>0</v>
      </c>
      <c r="K48" s="414">
        <f ca="1" t="shared" si="21"/>
        <v>0</v>
      </c>
      <c r="L48" s="414">
        <f ca="1" t="shared" si="21"/>
        <v>0</v>
      </c>
      <c r="M48" s="414">
        <f ca="1" t="shared" si="12"/>
        <v>0</v>
      </c>
      <c r="N48" s="414">
        <f ca="1" t="shared" si="22"/>
        <v>0</v>
      </c>
      <c r="O48" s="414">
        <f ca="1" t="shared" si="20"/>
        <v>0</v>
      </c>
    </row>
    <row r="49" ht="15.75" hidden="1" spans="2:15">
      <c r="B49" s="427"/>
      <c r="C49" s="428" t="s">
        <v>97</v>
      </c>
      <c r="D49" s="428"/>
      <c r="E49" s="429"/>
      <c r="F49" s="430">
        <f ca="1" t="shared" ref="F49:O49" si="23">SUM(F9:F48)</f>
        <v>0</v>
      </c>
      <c r="G49" s="430">
        <f ca="1" t="shared" si="23"/>
        <v>0</v>
      </c>
      <c r="H49" s="430">
        <f ca="1" t="shared" si="23"/>
        <v>0</v>
      </c>
      <c r="I49" s="430">
        <f ca="1" t="shared" si="23"/>
        <v>0</v>
      </c>
      <c r="J49" s="430">
        <f ca="1" t="shared" si="23"/>
        <v>0</v>
      </c>
      <c r="K49" s="430">
        <f ca="1" t="shared" si="23"/>
        <v>0</v>
      </c>
      <c r="L49" s="430">
        <f ca="1" t="shared" si="23"/>
        <v>0</v>
      </c>
      <c r="M49" s="430">
        <f ca="1" t="shared" si="23"/>
        <v>0</v>
      </c>
      <c r="N49" s="430">
        <f ca="1" t="shared" si="23"/>
        <v>0</v>
      </c>
      <c r="O49" s="441">
        <f ca="1" t="shared" si="23"/>
        <v>0</v>
      </c>
    </row>
    <row r="51" ht="15" hidden="1" spans="2:15">
      <c r="B51" s="431" t="s">
        <v>760</v>
      </c>
      <c r="C51" s="432"/>
      <c r="D51" s="432"/>
      <c r="E51" s="432"/>
      <c r="F51" s="432"/>
      <c r="G51" s="432"/>
      <c r="H51" s="432"/>
      <c r="I51" s="432"/>
      <c r="J51" s="432"/>
      <c r="K51" s="432"/>
      <c r="L51" s="432"/>
      <c r="M51" s="432"/>
      <c r="N51" s="432"/>
      <c r="O51" s="442"/>
    </row>
    <row r="52" ht="13.9" hidden="1" customHeight="1" spans="2:15">
      <c r="B52" s="406" t="s">
        <v>564</v>
      </c>
      <c r="C52" s="980" t="s">
        <v>671</v>
      </c>
      <c r="D52" s="408" t="s">
        <v>672</v>
      </c>
      <c r="E52" s="408" t="s">
        <v>673</v>
      </c>
      <c r="F52" s="408" t="s">
        <v>674</v>
      </c>
      <c r="G52" s="408"/>
      <c r="H52" s="408"/>
      <c r="I52" s="408"/>
      <c r="J52" s="408" t="s">
        <v>675</v>
      </c>
      <c r="K52" s="408"/>
      <c r="L52" s="408"/>
      <c r="M52" s="408"/>
      <c r="N52" s="408" t="s">
        <v>676</v>
      </c>
      <c r="O52" s="440"/>
    </row>
    <row r="53" ht="60.75" hidden="1" spans="2:15">
      <c r="B53" s="433"/>
      <c r="C53" s="434"/>
      <c r="D53" s="435"/>
      <c r="E53" s="435"/>
      <c r="F53" s="435" t="s">
        <v>677</v>
      </c>
      <c r="G53" s="435" t="s">
        <v>678</v>
      </c>
      <c r="H53" s="435" t="s">
        <v>679</v>
      </c>
      <c r="I53" s="435" t="s">
        <v>680</v>
      </c>
      <c r="J53" s="435" t="s">
        <v>681</v>
      </c>
      <c r="K53" s="435" t="s">
        <v>678</v>
      </c>
      <c r="L53" s="435" t="s">
        <v>682</v>
      </c>
      <c r="M53" s="435" t="s">
        <v>683</v>
      </c>
      <c r="N53" s="435" t="s">
        <v>677</v>
      </c>
      <c r="O53" s="443" t="s">
        <v>680</v>
      </c>
    </row>
    <row r="54" ht="15" hidden="1" spans="2:15">
      <c r="B54" s="410">
        <v>1</v>
      </c>
      <c r="C54" s="436" t="s">
        <v>684</v>
      </c>
      <c r="D54" s="405"/>
      <c r="E54" s="437"/>
      <c r="F54" s="414">
        <f>'[60]Voltage wise FA from SAP'!$P$31</f>
        <v>8.64</v>
      </c>
      <c r="G54" s="414">
        <f>'[60]GFA &amp; Dep-MYT 5th Control'!$L$39</f>
        <v>53.5852474407827</v>
      </c>
      <c r="H54" s="414">
        <f ca="1" t="shared" ref="H54:L55" si="24">H371+H688</f>
        <v>0</v>
      </c>
      <c r="I54" s="414">
        <f ca="1">F54+G54-H54</f>
        <v>62.2252474407827</v>
      </c>
      <c r="J54" s="414">
        <f>'[60]Voltage wise FA from SAP'!$S$31</f>
        <v>0.00489906200000156</v>
      </c>
      <c r="K54" s="414">
        <f>'[60]GFA &amp; Dep-MYT 5th Control'!$D$172</f>
        <v>0</v>
      </c>
      <c r="L54" s="414">
        <f ca="1" t="shared" si="24"/>
        <v>0</v>
      </c>
      <c r="M54" s="414">
        <f ca="1">J54+K54-L54</f>
        <v>0.00489906200000156</v>
      </c>
      <c r="N54" s="414">
        <f>F54-J54</f>
        <v>8.635100938</v>
      </c>
      <c r="O54" s="414">
        <f ca="1">I54-M54</f>
        <v>62.2203483787827</v>
      </c>
    </row>
    <row r="55" ht="15" hidden="1" spans="2:15">
      <c r="B55" s="410">
        <v>2</v>
      </c>
      <c r="C55" s="436" t="s">
        <v>770</v>
      </c>
      <c r="D55" s="412"/>
      <c r="E55" s="413"/>
      <c r="F55" s="414">
        <v>0</v>
      </c>
      <c r="G55" s="414">
        <v>0</v>
      </c>
      <c r="H55" s="414">
        <f ca="1" t="shared" si="24"/>
        <v>0</v>
      </c>
      <c r="I55" s="414">
        <f ca="1">F55+G55-H55</f>
        <v>0</v>
      </c>
      <c r="J55" s="414">
        <f ca="1" t="shared" si="24"/>
        <v>0</v>
      </c>
      <c r="K55" s="414">
        <f ca="1" t="shared" si="24"/>
        <v>0</v>
      </c>
      <c r="L55" s="414">
        <f ca="1" t="shared" si="24"/>
        <v>0</v>
      </c>
      <c r="M55" s="414">
        <f ca="1">J55+K55-L55</f>
        <v>0</v>
      </c>
      <c r="N55" s="414">
        <f ca="1">F55-J55</f>
        <v>0</v>
      </c>
      <c r="O55" s="414">
        <f ca="1">I55-M55</f>
        <v>0</v>
      </c>
    </row>
    <row r="56" ht="15" hidden="1" spans="2:15">
      <c r="B56" s="410">
        <v>3</v>
      </c>
      <c r="C56" s="438" t="s">
        <v>771</v>
      </c>
      <c r="D56" s="412"/>
      <c r="E56" s="416"/>
      <c r="F56" s="414"/>
      <c r="G56" s="414"/>
      <c r="H56" s="414"/>
      <c r="I56" s="414"/>
      <c r="J56" s="414"/>
      <c r="K56" s="414"/>
      <c r="L56" s="414"/>
      <c r="M56" s="414"/>
      <c r="N56" s="414"/>
      <c r="O56" s="414"/>
    </row>
    <row r="57" ht="15" hidden="1" spans="2:15">
      <c r="B57" s="410"/>
      <c r="C57" s="417" t="s">
        <v>772</v>
      </c>
      <c r="D57" s="412"/>
      <c r="E57" s="416"/>
      <c r="F57" s="414">
        <f>'[60]Voltage wise FA from SAP'!$P$32</f>
        <v>374.22</v>
      </c>
      <c r="G57" s="414">
        <f>'[60]GFA &amp; Dep-MYT 5th Control'!$L$38</f>
        <v>45.391228594579</v>
      </c>
      <c r="H57" s="414">
        <f ca="1" t="shared" ref="H57:L57" si="25">H374+H691</f>
        <v>0</v>
      </c>
      <c r="I57" s="414">
        <f ca="1">F57+G57-H57</f>
        <v>419.611228594579</v>
      </c>
      <c r="J57" s="414">
        <f>'[60]Voltage wise FA from SAP'!$S$32</f>
        <v>118.902630197</v>
      </c>
      <c r="K57" s="414">
        <f>'[60]GFA &amp; Dep-MYT 5th Control'!$D$173</f>
        <v>20.4904342144593</v>
      </c>
      <c r="L57" s="414">
        <f ca="1" t="shared" si="25"/>
        <v>0</v>
      </c>
      <c r="M57" s="414">
        <f ca="1">J57+K57-L57</f>
        <v>139.393064411459</v>
      </c>
      <c r="N57" s="414">
        <f>F57-J57</f>
        <v>255.317369803</v>
      </c>
      <c r="O57" s="414">
        <f ca="1">I57-M57</f>
        <v>280.21816418312</v>
      </c>
    </row>
    <row r="58" ht="28.5" hidden="1" spans="2:15">
      <c r="B58" s="410"/>
      <c r="C58" s="417" t="s">
        <v>773</v>
      </c>
      <c r="D58" s="412"/>
      <c r="E58" s="416"/>
      <c r="F58" s="414">
        <f ca="1">F375+F692</f>
        <v>0</v>
      </c>
      <c r="G58" s="414">
        <f ca="1" t="shared" ref="G58:L60" si="26">G375+G692</f>
        <v>0</v>
      </c>
      <c r="H58" s="414">
        <f ca="1" t="shared" si="26"/>
        <v>0</v>
      </c>
      <c r="I58" s="414">
        <f ca="1">F58+G58-H58</f>
        <v>0</v>
      </c>
      <c r="J58" s="414">
        <f ca="1" t="shared" si="26"/>
        <v>0</v>
      </c>
      <c r="K58" s="414">
        <f ca="1" t="shared" si="26"/>
        <v>0</v>
      </c>
      <c r="L58" s="414">
        <f ca="1" t="shared" si="26"/>
        <v>0</v>
      </c>
      <c r="M58" s="414">
        <f ca="1">J58+K58-L58</f>
        <v>0</v>
      </c>
      <c r="N58" s="414">
        <f ca="1" t="shared" ref="N58:N60" si="27">F58-J58</f>
        <v>0</v>
      </c>
      <c r="O58" s="414">
        <f ca="1" t="shared" ref="O58:O60" si="28">I58-M58</f>
        <v>0</v>
      </c>
    </row>
    <row r="59" ht="15" hidden="1" spans="2:15">
      <c r="B59" s="410"/>
      <c r="C59" s="417" t="s">
        <v>774</v>
      </c>
      <c r="D59" s="412"/>
      <c r="E59" s="416"/>
      <c r="F59" s="414">
        <f ca="1">F376+F693</f>
        <v>0</v>
      </c>
      <c r="G59" s="414">
        <f ca="1" t="shared" si="26"/>
        <v>0</v>
      </c>
      <c r="H59" s="414">
        <f ca="1" t="shared" si="26"/>
        <v>0</v>
      </c>
      <c r="I59" s="414">
        <f ca="1">F59+G59-H59</f>
        <v>0</v>
      </c>
      <c r="J59" s="414">
        <f ca="1" t="shared" si="26"/>
        <v>0</v>
      </c>
      <c r="K59" s="414">
        <f ca="1" t="shared" si="26"/>
        <v>0</v>
      </c>
      <c r="L59" s="414">
        <f ca="1" t="shared" si="26"/>
        <v>0</v>
      </c>
      <c r="M59" s="414">
        <f ca="1">J59+K59-L59</f>
        <v>0</v>
      </c>
      <c r="N59" s="414">
        <f ca="1" t="shared" si="27"/>
        <v>0</v>
      </c>
      <c r="O59" s="414">
        <f ca="1" t="shared" si="28"/>
        <v>0</v>
      </c>
    </row>
    <row r="60" ht="15" hidden="1" spans="2:15">
      <c r="B60" s="410"/>
      <c r="C60" s="417" t="s">
        <v>775</v>
      </c>
      <c r="D60" s="412"/>
      <c r="E60" s="416"/>
      <c r="F60" s="414">
        <f>'[60]Voltage wise FA from SAP'!$P$35</f>
        <v>221.08</v>
      </c>
      <c r="G60" s="414">
        <f>0</f>
        <v>0</v>
      </c>
      <c r="H60" s="414">
        <f ca="1" t="shared" si="26"/>
        <v>0</v>
      </c>
      <c r="I60" s="414">
        <f ca="1">F60+G60-H60</f>
        <v>221.08</v>
      </c>
      <c r="J60" s="414">
        <f>'[60]Voltage wise FA from SAP'!$S$35</f>
        <v>44.413445081</v>
      </c>
      <c r="K60" s="414">
        <f>'[60]GFA &amp; Dep-MYT 5th Control'!$D$176</f>
        <v>0</v>
      </c>
      <c r="L60" s="414">
        <f ca="1" t="shared" si="26"/>
        <v>0</v>
      </c>
      <c r="M60" s="414">
        <f ca="1">J60+K60-L60</f>
        <v>44.413445081</v>
      </c>
      <c r="N60" s="414">
        <f t="shared" si="27"/>
        <v>176.666554919</v>
      </c>
      <c r="O60" s="414">
        <f ca="1" t="shared" si="28"/>
        <v>176.666554919</v>
      </c>
    </row>
    <row r="61" ht="15" hidden="1" spans="2:15">
      <c r="B61" s="410">
        <v>4</v>
      </c>
      <c r="C61" s="411" t="s">
        <v>776</v>
      </c>
      <c r="D61" s="412"/>
      <c r="E61" s="416"/>
      <c r="F61" s="414"/>
      <c r="G61" s="414"/>
      <c r="H61" s="414"/>
      <c r="I61" s="414"/>
      <c r="J61" s="414"/>
      <c r="K61" s="414"/>
      <c r="L61" s="414"/>
      <c r="M61" s="414"/>
      <c r="N61" s="414"/>
      <c r="O61" s="414"/>
    </row>
    <row r="62" ht="15" hidden="1" spans="2:15">
      <c r="B62" s="410"/>
      <c r="C62" s="418" t="s">
        <v>777</v>
      </c>
      <c r="D62" s="412"/>
      <c r="E62" s="416"/>
      <c r="F62" s="414">
        <f>'[60]Voltage wise FA from SAP'!$P$36</f>
        <v>8986.88</v>
      </c>
      <c r="G62" s="414">
        <f>'[60]GFA &amp; Dep-MYT 5th Control'!$L$34</f>
        <v>1077.90765088188</v>
      </c>
      <c r="H62" s="414">
        <f ca="1" t="shared" ref="H62:L62" si="29">H379+H696</f>
        <v>0</v>
      </c>
      <c r="I62" s="414">
        <f ca="1">F62+G62-H62</f>
        <v>10064.7876508819</v>
      </c>
      <c r="J62" s="414">
        <f>'[60]Voltage wise FA from SAP'!$S$36</f>
        <v>4735.332433661</v>
      </c>
      <c r="K62" s="414">
        <f>SUM('[60]GFA &amp; Dep-MYT 5th Control'!$D$178:$D$180)</f>
        <v>388.662372456536</v>
      </c>
      <c r="L62" s="414">
        <f ca="1" t="shared" si="29"/>
        <v>0</v>
      </c>
      <c r="M62" s="414">
        <f ca="1">J62+K62-L62</f>
        <v>5123.99480611754</v>
      </c>
      <c r="N62" s="414">
        <f>F62-J62</f>
        <v>4251.547566339</v>
      </c>
      <c r="O62" s="414">
        <f ca="1" t="shared" ref="O62" si="30">I62-M62</f>
        <v>4940.79284476434</v>
      </c>
    </row>
    <row r="63" ht="15" hidden="1" spans="2:15">
      <c r="B63" s="410"/>
      <c r="C63" s="411" t="s">
        <v>778</v>
      </c>
      <c r="D63" s="412"/>
      <c r="E63" s="416"/>
      <c r="F63" s="414"/>
      <c r="G63" s="414"/>
      <c r="H63" s="414"/>
      <c r="I63" s="414"/>
      <c r="J63" s="414"/>
      <c r="K63" s="414"/>
      <c r="L63" s="414"/>
      <c r="M63" s="414"/>
      <c r="N63" s="414"/>
      <c r="O63" s="414"/>
    </row>
    <row r="64" ht="15" hidden="1" spans="2:15">
      <c r="B64" s="410"/>
      <c r="C64" s="418" t="s">
        <v>779</v>
      </c>
      <c r="D64" s="412"/>
      <c r="E64" s="416"/>
      <c r="F64" s="414">
        <f ca="1">F381+F698</f>
        <v>0</v>
      </c>
      <c r="G64" s="414">
        <f ca="1" t="shared" ref="G64:L65" si="31">G381+G698</f>
        <v>0</v>
      </c>
      <c r="H64" s="414">
        <f ca="1" t="shared" si="31"/>
        <v>0</v>
      </c>
      <c r="I64" s="414">
        <f ca="1">F64+G64-H64</f>
        <v>0</v>
      </c>
      <c r="J64" s="414">
        <f ca="1" t="shared" si="31"/>
        <v>0</v>
      </c>
      <c r="K64" s="414">
        <f ca="1" t="shared" si="31"/>
        <v>0</v>
      </c>
      <c r="L64" s="414">
        <f ca="1" t="shared" si="31"/>
        <v>0</v>
      </c>
      <c r="M64" s="414">
        <f ca="1" t="shared" ref="M64:M65" si="32">J64+K64-L64</f>
        <v>0</v>
      </c>
      <c r="N64" s="414">
        <f ca="1">F64-J64</f>
        <v>0</v>
      </c>
      <c r="O64" s="414">
        <f ca="1">I64-M64</f>
        <v>0</v>
      </c>
    </row>
    <row r="65" ht="15" hidden="1" spans="2:15">
      <c r="B65" s="410"/>
      <c r="C65" s="418" t="s">
        <v>780</v>
      </c>
      <c r="D65" s="412"/>
      <c r="E65" s="416"/>
      <c r="F65" s="414">
        <f ca="1">F382+F699</f>
        <v>0</v>
      </c>
      <c r="G65" s="414">
        <f ca="1" t="shared" si="31"/>
        <v>0</v>
      </c>
      <c r="H65" s="414">
        <f ca="1" t="shared" si="31"/>
        <v>0</v>
      </c>
      <c r="I65" s="414">
        <f ca="1">F65+G65-H65</f>
        <v>0</v>
      </c>
      <c r="J65" s="414">
        <f ca="1" t="shared" si="31"/>
        <v>0</v>
      </c>
      <c r="K65" s="414">
        <f ca="1" t="shared" si="31"/>
        <v>0</v>
      </c>
      <c r="L65" s="414">
        <f ca="1" t="shared" si="31"/>
        <v>0</v>
      </c>
      <c r="M65" s="414">
        <f ca="1" t="shared" si="32"/>
        <v>0</v>
      </c>
      <c r="N65" s="414">
        <f ca="1">F65-J65</f>
        <v>0</v>
      </c>
      <c r="O65" s="414">
        <f ca="1" t="shared" ref="O65" si="33">I65-M65</f>
        <v>0</v>
      </c>
    </row>
    <row r="66" ht="15" hidden="1" spans="2:15">
      <c r="B66" s="410">
        <v>5</v>
      </c>
      <c r="C66" s="411" t="s">
        <v>781</v>
      </c>
      <c r="D66" s="412"/>
      <c r="E66" s="416"/>
      <c r="F66" s="419"/>
      <c r="G66" s="419"/>
      <c r="H66" s="419"/>
      <c r="I66" s="419"/>
      <c r="J66" s="419"/>
      <c r="K66" s="419"/>
      <c r="L66" s="419"/>
      <c r="M66" s="419"/>
      <c r="N66" s="419"/>
      <c r="O66" s="419"/>
    </row>
    <row r="67" ht="15" hidden="1" spans="2:15">
      <c r="B67" s="410"/>
      <c r="C67" s="418" t="s">
        <v>782</v>
      </c>
      <c r="D67" s="412"/>
      <c r="E67" s="416"/>
      <c r="F67" s="414">
        <f ca="1" t="shared" ref="F67:L72" si="34">F384+F701</f>
        <v>0</v>
      </c>
      <c r="G67" s="414">
        <f ca="1" t="shared" si="34"/>
        <v>0</v>
      </c>
      <c r="H67" s="414">
        <f ca="1" t="shared" si="34"/>
        <v>0</v>
      </c>
      <c r="I67" s="414">
        <f ca="1" t="shared" ref="I67:I72" si="35">F67+G67-H67</f>
        <v>0</v>
      </c>
      <c r="J67" s="414">
        <f ca="1" t="shared" si="34"/>
        <v>0</v>
      </c>
      <c r="K67" s="414">
        <f ca="1" t="shared" si="34"/>
        <v>0</v>
      </c>
      <c r="L67" s="414">
        <f ca="1" t="shared" si="34"/>
        <v>0</v>
      </c>
      <c r="M67" s="414">
        <f ca="1" t="shared" ref="M67:M72" si="36">J67+K67-L67</f>
        <v>0</v>
      </c>
      <c r="N67" s="414">
        <f ca="1">F67-J67</f>
        <v>0</v>
      </c>
      <c r="O67" s="414">
        <f ca="1">I67-M67</f>
        <v>0</v>
      </c>
    </row>
    <row r="68" ht="15" hidden="1" spans="2:15">
      <c r="B68" s="410"/>
      <c r="C68" s="418" t="s">
        <v>783</v>
      </c>
      <c r="D68" s="412"/>
      <c r="E68" s="416"/>
      <c r="F68" s="414">
        <f ca="1" t="shared" si="34"/>
        <v>0</v>
      </c>
      <c r="G68" s="414">
        <f ca="1" t="shared" si="34"/>
        <v>0</v>
      </c>
      <c r="H68" s="414">
        <f ca="1" t="shared" si="34"/>
        <v>0</v>
      </c>
      <c r="I68" s="414">
        <f ca="1" t="shared" si="35"/>
        <v>0</v>
      </c>
      <c r="J68" s="414">
        <f ca="1" t="shared" si="34"/>
        <v>0</v>
      </c>
      <c r="K68" s="414">
        <f ca="1" t="shared" si="34"/>
        <v>0</v>
      </c>
      <c r="L68" s="414">
        <f ca="1" t="shared" si="34"/>
        <v>0</v>
      </c>
      <c r="M68" s="414">
        <f ca="1" t="shared" si="36"/>
        <v>0</v>
      </c>
      <c r="N68" s="414">
        <f ca="1" t="shared" ref="N68:N72" si="37">F68-J68</f>
        <v>0</v>
      </c>
      <c r="O68" s="414">
        <f ca="1" t="shared" ref="O68:O72" si="38">I68-M68</f>
        <v>0</v>
      </c>
    </row>
    <row r="69" ht="15" hidden="1" spans="2:15">
      <c r="B69" s="410"/>
      <c r="C69" s="418" t="s">
        <v>784</v>
      </c>
      <c r="D69" s="412"/>
      <c r="E69" s="416"/>
      <c r="F69" s="414">
        <f ca="1" t="shared" si="34"/>
        <v>0</v>
      </c>
      <c r="G69" s="414">
        <f ca="1" t="shared" si="34"/>
        <v>0</v>
      </c>
      <c r="H69" s="414">
        <f ca="1" t="shared" si="34"/>
        <v>0</v>
      </c>
      <c r="I69" s="414">
        <f ca="1" t="shared" si="35"/>
        <v>0</v>
      </c>
      <c r="J69" s="414">
        <f ca="1" t="shared" si="34"/>
        <v>0</v>
      </c>
      <c r="K69" s="414">
        <f ca="1" t="shared" si="34"/>
        <v>0</v>
      </c>
      <c r="L69" s="414">
        <f ca="1" t="shared" si="34"/>
        <v>0</v>
      </c>
      <c r="M69" s="414">
        <f ca="1" t="shared" si="36"/>
        <v>0</v>
      </c>
      <c r="N69" s="414">
        <f ca="1" t="shared" si="37"/>
        <v>0</v>
      </c>
      <c r="O69" s="414">
        <f ca="1" t="shared" si="38"/>
        <v>0</v>
      </c>
    </row>
    <row r="70" ht="15" hidden="1" spans="2:15">
      <c r="B70" s="410"/>
      <c r="C70" s="418" t="s">
        <v>785</v>
      </c>
      <c r="D70" s="412"/>
      <c r="E70" s="416"/>
      <c r="F70" s="414">
        <f ca="1" t="shared" si="34"/>
        <v>0</v>
      </c>
      <c r="G70" s="414">
        <f ca="1" t="shared" si="34"/>
        <v>0</v>
      </c>
      <c r="H70" s="414">
        <f ca="1" t="shared" si="34"/>
        <v>0</v>
      </c>
      <c r="I70" s="414">
        <f ca="1" t="shared" si="35"/>
        <v>0</v>
      </c>
      <c r="J70" s="414">
        <f ca="1" t="shared" si="34"/>
        <v>0</v>
      </c>
      <c r="K70" s="414">
        <f ca="1" t="shared" si="34"/>
        <v>0</v>
      </c>
      <c r="L70" s="414">
        <f ca="1" t="shared" si="34"/>
        <v>0</v>
      </c>
      <c r="M70" s="414">
        <f ca="1" t="shared" si="36"/>
        <v>0</v>
      </c>
      <c r="N70" s="414">
        <f ca="1" t="shared" si="37"/>
        <v>0</v>
      </c>
      <c r="O70" s="414">
        <f ca="1" t="shared" si="38"/>
        <v>0</v>
      </c>
    </row>
    <row r="71" ht="15" hidden="1" spans="2:15">
      <c r="B71" s="410">
        <v>6</v>
      </c>
      <c r="C71" s="411" t="s">
        <v>786</v>
      </c>
      <c r="D71" s="412"/>
      <c r="E71" s="416"/>
      <c r="F71" s="414">
        <f ca="1" t="shared" si="34"/>
        <v>0</v>
      </c>
      <c r="G71" s="414">
        <f ca="1" t="shared" si="34"/>
        <v>0</v>
      </c>
      <c r="H71" s="414">
        <f ca="1" t="shared" si="34"/>
        <v>0</v>
      </c>
      <c r="I71" s="414">
        <f ca="1" t="shared" si="35"/>
        <v>0</v>
      </c>
      <c r="J71" s="414">
        <f ca="1" t="shared" si="34"/>
        <v>0</v>
      </c>
      <c r="K71" s="414">
        <f ca="1" t="shared" si="34"/>
        <v>0</v>
      </c>
      <c r="L71" s="414">
        <f ca="1" t="shared" si="34"/>
        <v>0</v>
      </c>
      <c r="M71" s="414">
        <f ca="1" t="shared" si="36"/>
        <v>0</v>
      </c>
      <c r="N71" s="414">
        <f ca="1" t="shared" si="37"/>
        <v>0</v>
      </c>
      <c r="O71" s="414">
        <f ca="1" t="shared" si="38"/>
        <v>0</v>
      </c>
    </row>
    <row r="72" ht="15" hidden="1" spans="2:15">
      <c r="B72" s="410">
        <v>7</v>
      </c>
      <c r="C72" s="411" t="s">
        <v>787</v>
      </c>
      <c r="D72" s="412"/>
      <c r="E72" s="416"/>
      <c r="F72" s="414">
        <f ca="1" t="shared" si="34"/>
        <v>0</v>
      </c>
      <c r="G72" s="414">
        <f ca="1" t="shared" si="34"/>
        <v>0</v>
      </c>
      <c r="H72" s="414">
        <f ca="1" t="shared" si="34"/>
        <v>0</v>
      </c>
      <c r="I72" s="414">
        <f ca="1" t="shared" si="35"/>
        <v>0</v>
      </c>
      <c r="J72" s="414">
        <f ca="1" t="shared" si="34"/>
        <v>0</v>
      </c>
      <c r="K72" s="414">
        <f ca="1" t="shared" si="34"/>
        <v>0</v>
      </c>
      <c r="L72" s="414">
        <f ca="1" t="shared" si="34"/>
        <v>0</v>
      </c>
      <c r="M72" s="414">
        <f ca="1" t="shared" si="36"/>
        <v>0</v>
      </c>
      <c r="N72" s="414">
        <f ca="1" t="shared" si="37"/>
        <v>0</v>
      </c>
      <c r="O72" s="414">
        <f ca="1" t="shared" si="38"/>
        <v>0</v>
      </c>
    </row>
    <row r="73" ht="15" hidden="1" spans="2:15">
      <c r="B73" s="410">
        <v>8</v>
      </c>
      <c r="C73" s="411" t="s">
        <v>788</v>
      </c>
      <c r="D73" s="412"/>
      <c r="E73" s="416"/>
      <c r="F73" s="414"/>
      <c r="G73" s="414"/>
      <c r="H73" s="414"/>
      <c r="I73" s="414"/>
      <c r="J73" s="414"/>
      <c r="K73" s="414"/>
      <c r="L73" s="414"/>
      <c r="M73" s="414"/>
      <c r="N73" s="414"/>
      <c r="O73" s="414"/>
    </row>
    <row r="74" ht="15" hidden="1" spans="2:15">
      <c r="B74" s="410"/>
      <c r="C74" s="418" t="s">
        <v>789</v>
      </c>
      <c r="D74" s="412"/>
      <c r="E74" s="416"/>
      <c r="F74" s="414">
        <f>'[60]Voltage wise FA from SAP'!$P$40</f>
        <v>8680.09</v>
      </c>
      <c r="G74" s="414">
        <f>'[60]GFA &amp; Dep-MYT 5th Control'!$L$35</f>
        <v>1251.74182488406</v>
      </c>
      <c r="H74" s="414">
        <f ca="1" t="shared" ref="H74:L74" si="39">H391+H708</f>
        <v>0</v>
      </c>
      <c r="I74" s="414">
        <f ca="1" t="shared" ref="I74:I78" si="40">F74+G74-H74</f>
        <v>9931.83182488406</v>
      </c>
      <c r="J74" s="414">
        <f>'[60]Voltage wise FA from SAP'!$S$40</f>
        <v>4126.22608089</v>
      </c>
      <c r="K74" s="414">
        <f>SUM('[60]GFA &amp; Dep-MYT 5th Control'!$D$187:$D$189)</f>
        <v>385.617724392524</v>
      </c>
      <c r="L74" s="414">
        <f ca="1" t="shared" si="39"/>
        <v>0</v>
      </c>
      <c r="M74" s="414">
        <f ca="1">J74+K74-L74</f>
        <v>4511.84380528252</v>
      </c>
      <c r="N74" s="414">
        <f t="shared" ref="N74:N78" si="41">F74-J74</f>
        <v>4553.86391911</v>
      </c>
      <c r="O74" s="414">
        <f ca="1" t="shared" ref="O74:O78" si="42">I74-M74</f>
        <v>5419.98801960154</v>
      </c>
    </row>
    <row r="75" ht="15" hidden="1" spans="2:15">
      <c r="B75" s="410"/>
      <c r="C75" s="418" t="s">
        <v>808</v>
      </c>
      <c r="D75" s="412"/>
      <c r="E75" s="416"/>
      <c r="F75" s="414">
        <f ca="1">F392+F709</f>
        <v>0</v>
      </c>
      <c r="G75" s="414">
        <f ca="1" t="shared" ref="G75:L77" si="43">G392+G709</f>
        <v>0</v>
      </c>
      <c r="H75" s="414">
        <f ca="1" t="shared" si="43"/>
        <v>0</v>
      </c>
      <c r="I75" s="414">
        <f ca="1" t="shared" si="40"/>
        <v>0</v>
      </c>
      <c r="J75" s="414">
        <f ca="1" t="shared" si="43"/>
        <v>0</v>
      </c>
      <c r="K75" s="414">
        <f ca="1" t="shared" si="43"/>
        <v>0</v>
      </c>
      <c r="L75" s="414">
        <f ca="1" t="shared" si="43"/>
        <v>0</v>
      </c>
      <c r="M75" s="414">
        <f ca="1" t="shared" ref="M75:M78" si="44">J75+K75-L75</f>
        <v>0</v>
      </c>
      <c r="N75" s="414">
        <f ca="1" t="shared" si="41"/>
        <v>0</v>
      </c>
      <c r="O75" s="414">
        <f ca="1" t="shared" si="42"/>
        <v>0</v>
      </c>
    </row>
    <row r="76" ht="30" hidden="1" spans="2:15">
      <c r="B76" s="420">
        <v>9</v>
      </c>
      <c r="C76" s="421" t="s">
        <v>791</v>
      </c>
      <c r="D76" s="412"/>
      <c r="E76" s="416"/>
      <c r="F76" s="414">
        <f ca="1">F393+F710</f>
        <v>0</v>
      </c>
      <c r="G76" s="414">
        <f ca="1" t="shared" si="43"/>
        <v>0</v>
      </c>
      <c r="H76" s="414">
        <f ca="1" t="shared" si="43"/>
        <v>0</v>
      </c>
      <c r="I76" s="414">
        <f ca="1" t="shared" si="40"/>
        <v>0</v>
      </c>
      <c r="J76" s="414">
        <f ca="1" t="shared" si="43"/>
        <v>0</v>
      </c>
      <c r="K76" s="414">
        <f ca="1" t="shared" si="43"/>
        <v>0</v>
      </c>
      <c r="L76" s="414">
        <f ca="1" t="shared" si="43"/>
        <v>0</v>
      </c>
      <c r="M76" s="414">
        <f ca="1" t="shared" si="44"/>
        <v>0</v>
      </c>
      <c r="N76" s="414">
        <f ca="1" t="shared" si="41"/>
        <v>0</v>
      </c>
      <c r="O76" s="414">
        <f ca="1" t="shared" si="42"/>
        <v>0</v>
      </c>
    </row>
    <row r="77" ht="15" hidden="1" spans="2:15">
      <c r="B77" s="422">
        <v>10</v>
      </c>
      <c r="C77" s="423" t="s">
        <v>792</v>
      </c>
      <c r="D77" s="424"/>
      <c r="E77" s="416"/>
      <c r="F77" s="414">
        <f>'[60]Voltage wise FA from SAP'!$P$44</f>
        <v>1827.32</v>
      </c>
      <c r="G77" s="414">
        <f>'[60]GFA &amp; Dep-MYT 5th Control'!$L$36</f>
        <v>83.25975504842</v>
      </c>
      <c r="H77" s="414">
        <f ca="1" t="shared" si="43"/>
        <v>0</v>
      </c>
      <c r="I77" s="414">
        <f ca="1" t="shared" si="40"/>
        <v>1910.57975504842</v>
      </c>
      <c r="J77" s="414">
        <f>'[60]Voltage wise FA from SAP'!$S$44</f>
        <v>1152.021040442</v>
      </c>
      <c r="K77" s="414">
        <f>'[60]GFA &amp; Dep-MYT 5th Control'!$D$184</f>
        <v>58.0209906248337</v>
      </c>
      <c r="L77" s="414">
        <f ca="1" t="shared" si="43"/>
        <v>0</v>
      </c>
      <c r="M77" s="414">
        <f ca="1" t="shared" si="44"/>
        <v>1210.04203106683</v>
      </c>
      <c r="N77" s="414">
        <f t="shared" si="41"/>
        <v>675.298959558</v>
      </c>
      <c r="O77" s="414">
        <f ca="1" t="shared" si="42"/>
        <v>700.537723981586</v>
      </c>
    </row>
    <row r="78" ht="15" hidden="1" spans="2:15">
      <c r="B78" s="422">
        <v>11</v>
      </c>
      <c r="C78" s="423" t="s">
        <v>793</v>
      </c>
      <c r="D78" s="424"/>
      <c r="E78" s="416"/>
      <c r="F78" s="414">
        <f>'[60]Voltage wise FA from SAP'!$P$48</f>
        <v>7.08</v>
      </c>
      <c r="G78" s="414">
        <f ca="1" t="shared" ref="G78:L78" si="45">G395+G712</f>
        <v>0</v>
      </c>
      <c r="H78" s="414">
        <f ca="1" t="shared" si="45"/>
        <v>0</v>
      </c>
      <c r="I78" s="414">
        <f ca="1" t="shared" si="40"/>
        <v>7.08</v>
      </c>
      <c r="J78" s="414">
        <f>'[60]Voltage wise FA from SAP'!$S$48</f>
        <v>6.372199932</v>
      </c>
      <c r="K78" s="414">
        <f>'[60]GFA &amp; Dep-MYT 5th Control'!$D$191</f>
        <v>0.02</v>
      </c>
      <c r="L78" s="414">
        <f ca="1" t="shared" si="45"/>
        <v>0</v>
      </c>
      <c r="M78" s="414">
        <f ca="1" t="shared" si="44"/>
        <v>6.392199932</v>
      </c>
      <c r="N78" s="414">
        <f t="shared" si="41"/>
        <v>0.707800068</v>
      </c>
      <c r="O78" s="414">
        <f ca="1" t="shared" si="42"/>
        <v>0.687800068</v>
      </c>
    </row>
    <row r="79" ht="15" hidden="1" spans="2:15">
      <c r="B79" s="422">
        <v>12</v>
      </c>
      <c r="C79" s="423" t="s">
        <v>794</v>
      </c>
      <c r="D79" s="424"/>
      <c r="E79" s="416"/>
      <c r="F79" s="414"/>
      <c r="G79" s="414"/>
      <c r="H79" s="414"/>
      <c r="I79" s="414"/>
      <c r="J79" s="414"/>
      <c r="K79" s="414"/>
      <c r="L79" s="414"/>
      <c r="M79" s="414"/>
      <c r="N79" s="414"/>
      <c r="O79" s="414"/>
    </row>
    <row r="80" ht="15" hidden="1" spans="2:15">
      <c r="B80" s="422"/>
      <c r="C80" s="425" t="s">
        <v>795</v>
      </c>
      <c r="D80" s="424"/>
      <c r="E80" s="416"/>
      <c r="F80" s="414">
        <f>'[60]Voltage wise FA from SAP'!$P$52</f>
        <v>2.6</v>
      </c>
      <c r="G80" s="414">
        <f ca="1" t="shared" ref="G80:L81" si="46">G397+G714</f>
        <v>0</v>
      </c>
      <c r="H80" s="414">
        <f ca="1" t="shared" si="46"/>
        <v>0</v>
      </c>
      <c r="I80" s="414">
        <f ca="1" t="shared" ref="I80:I81" si="47">F80+G80-H80</f>
        <v>2.6</v>
      </c>
      <c r="J80" s="414">
        <f>'[60]Voltage wise FA from SAP'!$S$52</f>
        <v>1.701644132</v>
      </c>
      <c r="K80" s="414">
        <f ca="1" t="shared" si="46"/>
        <v>0</v>
      </c>
      <c r="L80" s="414">
        <f ca="1" t="shared" si="46"/>
        <v>0</v>
      </c>
      <c r="M80" s="414">
        <f ca="1">J80+K80-L80</f>
        <v>1.701644132</v>
      </c>
      <c r="N80" s="414">
        <f>F80-J80</f>
        <v>0.898355868</v>
      </c>
      <c r="O80" s="414">
        <f ca="1">I80-M80</f>
        <v>0.898355868</v>
      </c>
    </row>
    <row r="81" ht="15" hidden="1" spans="2:15">
      <c r="B81" s="422"/>
      <c r="C81" s="425" t="s">
        <v>796</v>
      </c>
      <c r="D81" s="424"/>
      <c r="E81" s="416"/>
      <c r="F81" s="414">
        <f ca="1">F398+F715</f>
        <v>0</v>
      </c>
      <c r="G81" s="414">
        <f ca="1" t="shared" si="46"/>
        <v>0</v>
      </c>
      <c r="H81" s="414">
        <f ca="1" t="shared" si="46"/>
        <v>0</v>
      </c>
      <c r="I81" s="414">
        <f ca="1" t="shared" si="47"/>
        <v>0</v>
      </c>
      <c r="J81" s="414">
        <f ca="1" t="shared" si="46"/>
        <v>0</v>
      </c>
      <c r="K81" s="414">
        <f ca="1" t="shared" si="46"/>
        <v>0</v>
      </c>
      <c r="L81" s="414">
        <f ca="1" t="shared" si="46"/>
        <v>0</v>
      </c>
      <c r="M81" s="414">
        <f ca="1" t="shared" ref="M81" si="48">J81+K81-L81</f>
        <v>0</v>
      </c>
      <c r="N81" s="414">
        <f ca="1">F81-J81</f>
        <v>0</v>
      </c>
      <c r="O81" s="414">
        <f ca="1">I81-M81</f>
        <v>0</v>
      </c>
    </row>
    <row r="82" ht="15" hidden="1" spans="2:15">
      <c r="B82" s="422">
        <v>13</v>
      </c>
      <c r="C82" s="425"/>
      <c r="D82" s="424"/>
      <c r="E82" s="416"/>
      <c r="F82" s="414"/>
      <c r="G82" s="414"/>
      <c r="H82" s="414"/>
      <c r="I82" s="414"/>
      <c r="J82" s="414"/>
      <c r="K82" s="414"/>
      <c r="L82" s="414"/>
      <c r="M82" s="414"/>
      <c r="N82" s="414"/>
      <c r="O82" s="414"/>
    </row>
    <row r="83" ht="15" hidden="1" spans="2:15">
      <c r="B83" s="422"/>
      <c r="C83" s="425" t="s">
        <v>797</v>
      </c>
      <c r="D83" s="424"/>
      <c r="E83" s="416"/>
      <c r="F83" s="414">
        <f>'[60]Voltage wise FA from SAP'!$P$49</f>
        <v>17.25</v>
      </c>
      <c r="G83" s="414">
        <f ca="1" t="shared" ref="G83:L84" si="49">G400+G717</f>
        <v>0</v>
      </c>
      <c r="H83" s="414">
        <f ca="1" t="shared" si="49"/>
        <v>0</v>
      </c>
      <c r="I83" s="414">
        <f ca="1">F83+G83-H83</f>
        <v>17.25</v>
      </c>
      <c r="J83" s="414">
        <f>'[60]Voltage wise FA from SAP'!$S$49</f>
        <v>11.470196043</v>
      </c>
      <c r="K83" s="414">
        <f>'[60]GFA &amp; Dep-MYT 5th Control'!$D$192</f>
        <v>0.58</v>
      </c>
      <c r="L83" s="414">
        <f ca="1" t="shared" si="49"/>
        <v>0</v>
      </c>
      <c r="M83" s="414">
        <f ca="1">J83+K83-L83</f>
        <v>12.050196043</v>
      </c>
      <c r="N83" s="414">
        <f>F83-J83</f>
        <v>5.779803957</v>
      </c>
      <c r="O83" s="414">
        <f ca="1">I83-M83</f>
        <v>5.199803957</v>
      </c>
    </row>
    <row r="84" ht="15" hidden="1" spans="2:15">
      <c r="B84" s="422"/>
      <c r="C84" s="425" t="s">
        <v>798</v>
      </c>
      <c r="D84" s="424"/>
      <c r="E84" s="416"/>
      <c r="F84" s="414">
        <f>'[60]Voltage wise FA from SAP'!$P$50</f>
        <v>51.37</v>
      </c>
      <c r="G84" s="414">
        <f>'[60]GFA &amp; Dep-MYT 5th Control'!$L$37</f>
        <v>0.152431740548698</v>
      </c>
      <c r="H84" s="414">
        <f ca="1" t="shared" si="49"/>
        <v>0</v>
      </c>
      <c r="I84" s="414">
        <f ca="1">F84+G84-H84</f>
        <v>51.5224317405487</v>
      </c>
      <c r="J84" s="414">
        <f>'[60]Voltage wise FA from SAP'!$S$50</f>
        <v>32.56355336</v>
      </c>
      <c r="K84" s="414">
        <f>'[60]GFA &amp; Dep-MYT 5th Control'!$D$193</f>
        <v>2.12685942832469</v>
      </c>
      <c r="L84" s="414">
        <f ca="1" t="shared" si="49"/>
        <v>0</v>
      </c>
      <c r="M84" s="414">
        <f ca="1">J84+K84-L84</f>
        <v>34.6904127883247</v>
      </c>
      <c r="N84" s="414">
        <f t="shared" ref="N84:N86" si="50">F84-J84</f>
        <v>18.80644664</v>
      </c>
      <c r="O84" s="414">
        <f ca="1" t="shared" ref="O84:O86" si="51">I84-M84</f>
        <v>16.832018952224</v>
      </c>
    </row>
    <row r="85" ht="15" hidden="1" spans="2:15">
      <c r="B85" s="422"/>
      <c r="C85" s="425" t="s">
        <v>799</v>
      </c>
      <c r="D85" s="424"/>
      <c r="E85" s="416"/>
      <c r="F85" s="414">
        <f ca="1">F402+F719</f>
        <v>0</v>
      </c>
      <c r="G85" s="414">
        <f ca="1" t="shared" ref="G85:L86" si="52">G402+G719</f>
        <v>0</v>
      </c>
      <c r="H85" s="414">
        <f ca="1" t="shared" si="52"/>
        <v>0</v>
      </c>
      <c r="I85" s="414">
        <f ca="1">F85+G85-H85</f>
        <v>0</v>
      </c>
      <c r="J85" s="414">
        <f ca="1" t="shared" si="52"/>
        <v>0</v>
      </c>
      <c r="K85" s="414">
        <f ca="1" t="shared" si="52"/>
        <v>0</v>
      </c>
      <c r="L85" s="414">
        <f ca="1" t="shared" si="52"/>
        <v>0</v>
      </c>
      <c r="M85" s="414">
        <f ca="1">J85+K85-L85</f>
        <v>0</v>
      </c>
      <c r="N85" s="414">
        <f ca="1" t="shared" si="50"/>
        <v>0</v>
      </c>
      <c r="O85" s="414">
        <f ca="1" t="shared" si="51"/>
        <v>0</v>
      </c>
    </row>
    <row r="86" ht="15" hidden="1" spans="2:15">
      <c r="B86" s="422"/>
      <c r="C86" s="425" t="s">
        <v>800</v>
      </c>
      <c r="D86" s="424"/>
      <c r="E86" s="416"/>
      <c r="F86" s="414">
        <f ca="1">F403+F720</f>
        <v>0</v>
      </c>
      <c r="G86" s="414">
        <f ca="1" t="shared" si="52"/>
        <v>0</v>
      </c>
      <c r="H86" s="414">
        <f ca="1" t="shared" si="52"/>
        <v>0</v>
      </c>
      <c r="I86" s="414">
        <f ca="1">F86+G86-H86</f>
        <v>0</v>
      </c>
      <c r="J86" s="414">
        <f ca="1" t="shared" si="52"/>
        <v>0</v>
      </c>
      <c r="K86" s="414">
        <f ca="1" t="shared" si="52"/>
        <v>0</v>
      </c>
      <c r="L86" s="414">
        <f ca="1" t="shared" si="52"/>
        <v>0</v>
      </c>
      <c r="M86" s="414">
        <f ca="1">J86+K86-L86</f>
        <v>0</v>
      </c>
      <c r="N86" s="414">
        <f ca="1" t="shared" si="50"/>
        <v>0</v>
      </c>
      <c r="O86" s="414">
        <f ca="1" t="shared" si="51"/>
        <v>0</v>
      </c>
    </row>
    <row r="87" ht="15" hidden="1" spans="2:15">
      <c r="B87" s="422">
        <v>14</v>
      </c>
      <c r="C87" s="423" t="s">
        <v>801</v>
      </c>
      <c r="D87" s="424"/>
      <c r="E87" s="416"/>
      <c r="F87" s="414"/>
      <c r="G87" s="414"/>
      <c r="H87" s="414"/>
      <c r="I87" s="414"/>
      <c r="J87" s="414"/>
      <c r="K87" s="414"/>
      <c r="L87" s="414"/>
      <c r="M87" s="414"/>
      <c r="N87" s="414"/>
      <c r="O87" s="414"/>
    </row>
    <row r="88" ht="15" hidden="1" spans="2:15">
      <c r="B88" s="422"/>
      <c r="C88" s="425" t="s">
        <v>802</v>
      </c>
      <c r="D88" s="424"/>
      <c r="E88" s="416"/>
      <c r="F88" s="414">
        <f ca="1">F405+F722</f>
        <v>0</v>
      </c>
      <c r="G88" s="414">
        <f ca="1" t="shared" ref="G88:L89" si="53">G405+G722</f>
        <v>0</v>
      </c>
      <c r="H88" s="414">
        <f ca="1" t="shared" si="53"/>
        <v>0</v>
      </c>
      <c r="I88" s="414">
        <f ca="1">F88+G88-H88</f>
        <v>0</v>
      </c>
      <c r="J88" s="414">
        <f ca="1" t="shared" si="53"/>
        <v>0</v>
      </c>
      <c r="K88" s="414">
        <f ca="1" t="shared" si="53"/>
        <v>0</v>
      </c>
      <c r="L88" s="414">
        <f ca="1" t="shared" si="53"/>
        <v>0</v>
      </c>
      <c r="M88" s="414">
        <f ca="1" t="shared" ref="M88:M93" si="54">J88+K88-L88</f>
        <v>0</v>
      </c>
      <c r="N88" s="414">
        <f ca="1">F88-J88</f>
        <v>0</v>
      </c>
      <c r="O88" s="414">
        <f ca="1" t="shared" ref="O88:O93" si="55">I88-M88</f>
        <v>0</v>
      </c>
    </row>
    <row r="89" ht="15" hidden="1" spans="2:15">
      <c r="B89" s="422"/>
      <c r="C89" s="425" t="s">
        <v>803</v>
      </c>
      <c r="D89" s="424"/>
      <c r="E89" s="416"/>
      <c r="F89" s="414">
        <f ca="1">F406+F723</f>
        <v>0</v>
      </c>
      <c r="G89" s="414">
        <f ca="1" t="shared" si="53"/>
        <v>0</v>
      </c>
      <c r="H89" s="414">
        <f ca="1" t="shared" si="53"/>
        <v>0</v>
      </c>
      <c r="I89" s="414">
        <f ca="1" t="shared" ref="I89:I93" si="56">F89+G89-H89</f>
        <v>0</v>
      </c>
      <c r="J89" s="414">
        <f ca="1" t="shared" si="53"/>
        <v>0</v>
      </c>
      <c r="K89" s="414">
        <f ca="1" t="shared" si="53"/>
        <v>0</v>
      </c>
      <c r="L89" s="414">
        <f ca="1" t="shared" si="53"/>
        <v>0</v>
      </c>
      <c r="M89" s="414">
        <f ca="1" t="shared" si="54"/>
        <v>0</v>
      </c>
      <c r="N89" s="414">
        <f ca="1" t="shared" ref="N89:N93" si="57">F89-J89</f>
        <v>0</v>
      </c>
      <c r="O89" s="414">
        <f ca="1" t="shared" si="55"/>
        <v>0</v>
      </c>
    </row>
    <row r="90" ht="15" hidden="1" spans="2:15">
      <c r="B90" s="422"/>
      <c r="C90" s="425" t="s">
        <v>804</v>
      </c>
      <c r="D90" s="424"/>
      <c r="E90" s="416"/>
      <c r="F90" s="414">
        <f ca="1" t="shared" ref="F90:L91" si="58">F407+F724</f>
        <v>0</v>
      </c>
      <c r="G90" s="414">
        <f ca="1" t="shared" si="58"/>
        <v>0</v>
      </c>
      <c r="H90" s="414">
        <f ca="1" t="shared" si="58"/>
        <v>0</v>
      </c>
      <c r="I90" s="414">
        <f ca="1" t="shared" si="56"/>
        <v>0</v>
      </c>
      <c r="J90" s="414">
        <f ca="1" t="shared" si="58"/>
        <v>0</v>
      </c>
      <c r="K90" s="414">
        <f ca="1" t="shared" si="58"/>
        <v>0</v>
      </c>
      <c r="L90" s="414">
        <f ca="1" t="shared" si="58"/>
        <v>0</v>
      </c>
      <c r="M90" s="414">
        <f ca="1" t="shared" si="54"/>
        <v>0</v>
      </c>
      <c r="N90" s="414">
        <f ca="1" t="shared" si="57"/>
        <v>0</v>
      </c>
      <c r="O90" s="414">
        <f ca="1" t="shared" si="55"/>
        <v>0</v>
      </c>
    </row>
    <row r="91" ht="15" hidden="1" spans="2:15">
      <c r="B91" s="422">
        <v>15</v>
      </c>
      <c r="C91" s="423" t="s">
        <v>805</v>
      </c>
      <c r="D91" s="424"/>
      <c r="E91" s="416"/>
      <c r="F91" s="414">
        <f>'[60]Voltage wise FA from SAP'!$P$51</f>
        <v>185.56</v>
      </c>
      <c r="G91" s="414">
        <f>'[60]GFA &amp; Dep-MYT 5th Control'!$L$40</f>
        <v>11.9711723006004</v>
      </c>
      <c r="H91" s="414">
        <f ca="1" t="shared" si="58"/>
        <v>0</v>
      </c>
      <c r="I91" s="414">
        <f ca="1" t="shared" si="56"/>
        <v>197.5311723006</v>
      </c>
      <c r="J91" s="414">
        <f>'[60]Voltage wise FA from SAP'!$S$51</f>
        <v>145.428216707</v>
      </c>
      <c r="K91" s="414">
        <f>'[60]GFA &amp; Dep-MYT 5th Control'!$D$195</f>
        <v>13.617837922545</v>
      </c>
      <c r="L91" s="414">
        <f ca="1" t="shared" si="58"/>
        <v>0</v>
      </c>
      <c r="M91" s="414">
        <f ca="1" t="shared" si="54"/>
        <v>159.046054629545</v>
      </c>
      <c r="N91" s="414">
        <f t="shared" si="57"/>
        <v>40.131783293</v>
      </c>
      <c r="O91" s="414">
        <f ca="1" t="shared" si="55"/>
        <v>38.4851176710554</v>
      </c>
    </row>
    <row r="92" ht="15" hidden="1" spans="2:15">
      <c r="B92" s="422">
        <v>16</v>
      </c>
      <c r="C92" s="423" t="s">
        <v>806</v>
      </c>
      <c r="D92" s="412"/>
      <c r="E92" s="416"/>
      <c r="F92" s="414">
        <f>'[60]Voltage wise FA from SAP'!$P$33</f>
        <v>70.8</v>
      </c>
      <c r="G92" s="414">
        <f ca="1" t="shared" ref="G92:L92" si="59">G409+G726</f>
        <v>0</v>
      </c>
      <c r="H92" s="414">
        <f ca="1" t="shared" si="59"/>
        <v>0</v>
      </c>
      <c r="I92" s="414">
        <f ca="1" t="shared" si="56"/>
        <v>70.8</v>
      </c>
      <c r="J92" s="414">
        <f>'[60]Voltage wise FA from SAP'!$S$33</f>
        <v>49.245021156</v>
      </c>
      <c r="K92" s="414">
        <f>'[60]GFA &amp; Dep-MYT 5th Control'!$D$174</f>
        <v>4.66</v>
      </c>
      <c r="L92" s="414">
        <f ca="1" t="shared" si="59"/>
        <v>0</v>
      </c>
      <c r="M92" s="414">
        <f ca="1" t="shared" si="54"/>
        <v>53.905021156</v>
      </c>
      <c r="N92" s="414">
        <f t="shared" si="57"/>
        <v>21.554978844</v>
      </c>
      <c r="O92" s="414">
        <f ca="1" t="shared" si="55"/>
        <v>16.894978844</v>
      </c>
    </row>
    <row r="93" ht="15" hidden="1" spans="2:15">
      <c r="B93" s="422">
        <v>17</v>
      </c>
      <c r="C93" s="423" t="s">
        <v>807</v>
      </c>
      <c r="D93" s="412"/>
      <c r="E93" s="426"/>
      <c r="F93" s="414">
        <f ca="1" t="shared" ref="F93:L93" si="60">F410+F727</f>
        <v>0</v>
      </c>
      <c r="G93" s="414">
        <f ca="1" t="shared" si="60"/>
        <v>0</v>
      </c>
      <c r="H93" s="414">
        <f ca="1" t="shared" si="60"/>
        <v>0</v>
      </c>
      <c r="I93" s="414">
        <f ca="1" t="shared" si="56"/>
        <v>0</v>
      </c>
      <c r="J93" s="414">
        <f ca="1" t="shared" si="60"/>
        <v>0</v>
      </c>
      <c r="K93" s="414">
        <f ca="1" t="shared" si="60"/>
        <v>0</v>
      </c>
      <c r="L93" s="414">
        <f ca="1" t="shared" si="60"/>
        <v>0</v>
      </c>
      <c r="M93" s="414">
        <f ca="1" t="shared" si="54"/>
        <v>0</v>
      </c>
      <c r="N93" s="414">
        <f ca="1" t="shared" si="57"/>
        <v>0</v>
      </c>
      <c r="O93" s="414">
        <f ca="1" t="shared" si="55"/>
        <v>0</v>
      </c>
    </row>
    <row r="94" ht="15.75" hidden="1" spans="2:15">
      <c r="B94" s="427"/>
      <c r="C94" s="428" t="s">
        <v>97</v>
      </c>
      <c r="D94" s="428"/>
      <c r="E94" s="429"/>
      <c r="F94" s="444">
        <f ca="1">SUM(F54:F93)</f>
        <v>20432.89</v>
      </c>
      <c r="G94" s="430">
        <f ca="1" t="shared" ref="G94:O94" si="61">SUM(G54:G93)</f>
        <v>2524.00931089087</v>
      </c>
      <c r="H94" s="430">
        <f ca="1" t="shared" si="61"/>
        <v>0</v>
      </c>
      <c r="I94" s="444">
        <f ca="1" t="shared" si="61"/>
        <v>22956.8993108909</v>
      </c>
      <c r="J94" s="430">
        <f ca="1" t="shared" si="61"/>
        <v>10423.681360663</v>
      </c>
      <c r="K94" s="430">
        <f ca="1" t="shared" si="61"/>
        <v>873.796219039223</v>
      </c>
      <c r="L94" s="430">
        <f ca="1" t="shared" si="61"/>
        <v>0</v>
      </c>
      <c r="M94" s="430">
        <f ca="1" t="shared" si="61"/>
        <v>11297.4775797022</v>
      </c>
      <c r="N94" s="444">
        <f ca="1" t="shared" si="61"/>
        <v>10009.208639337</v>
      </c>
      <c r="O94" s="444">
        <f ca="1" t="shared" si="61"/>
        <v>11659.4217311886</v>
      </c>
    </row>
    <row r="95" ht="15.75" spans="15:15">
      <c r="O95" s="117" t="s">
        <v>851</v>
      </c>
    </row>
    <row r="96" ht="15" spans="2:15">
      <c r="B96" s="445" t="s">
        <v>653</v>
      </c>
      <c r="C96" s="446"/>
      <c r="D96" s="446"/>
      <c r="E96" s="446"/>
      <c r="F96" s="446"/>
      <c r="G96" s="446"/>
      <c r="H96" s="446"/>
      <c r="I96" s="446"/>
      <c r="J96" s="446"/>
      <c r="K96" s="446"/>
      <c r="L96" s="446"/>
      <c r="M96" s="446"/>
      <c r="N96" s="446"/>
      <c r="O96" s="467"/>
    </row>
    <row r="97" ht="13.9" customHeight="1" spans="2:15">
      <c r="B97" s="447" t="s">
        <v>564</v>
      </c>
      <c r="C97" s="981" t="s">
        <v>671</v>
      </c>
      <c r="D97" s="449" t="s">
        <v>672</v>
      </c>
      <c r="E97" s="449" t="s">
        <v>673</v>
      </c>
      <c r="F97" s="449" t="s">
        <v>674</v>
      </c>
      <c r="G97" s="449"/>
      <c r="H97" s="449"/>
      <c r="I97" s="449"/>
      <c r="J97" s="449" t="s">
        <v>675</v>
      </c>
      <c r="K97" s="449"/>
      <c r="L97" s="449"/>
      <c r="M97" s="449"/>
      <c r="N97" s="449" t="s">
        <v>676</v>
      </c>
      <c r="O97" s="468"/>
    </row>
    <row r="98" ht="60.75" spans="2:15">
      <c r="B98" s="450"/>
      <c r="C98" s="451"/>
      <c r="D98" s="452"/>
      <c r="E98" s="452"/>
      <c r="F98" s="452" t="s">
        <v>677</v>
      </c>
      <c r="G98" s="452" t="s">
        <v>678</v>
      </c>
      <c r="H98" s="452" t="s">
        <v>679</v>
      </c>
      <c r="I98" s="452" t="s">
        <v>680</v>
      </c>
      <c r="J98" s="452" t="s">
        <v>681</v>
      </c>
      <c r="K98" s="452" t="s">
        <v>678</v>
      </c>
      <c r="L98" s="452" t="s">
        <v>682</v>
      </c>
      <c r="M98" s="452" t="s">
        <v>683</v>
      </c>
      <c r="N98" s="452" t="s">
        <v>677</v>
      </c>
      <c r="O98" s="469" t="s">
        <v>680</v>
      </c>
    </row>
    <row r="99" ht="15" spans="2:15">
      <c r="B99" s="453">
        <v>1</v>
      </c>
      <c r="C99" s="436" t="s">
        <v>684</v>
      </c>
      <c r="D99" s="454"/>
      <c r="E99" s="455"/>
      <c r="F99" s="456">
        <f ca="1">I54</f>
        <v>62.2252474407827</v>
      </c>
      <c r="G99" s="456">
        <f>'[60]GFA &amp; Dep-MYT 5th Control'!$M$39</f>
        <v>51.1092651850843</v>
      </c>
      <c r="H99" s="456">
        <f ca="1" t="shared" ref="H99:L99" si="62">H416+H733</f>
        <v>0</v>
      </c>
      <c r="I99" s="456">
        <f ca="1">F99+G99-H99</f>
        <v>113.334512625867</v>
      </c>
      <c r="J99" s="456">
        <f ca="1">M54</f>
        <v>0.00489906200000156</v>
      </c>
      <c r="K99" s="456">
        <f>'[60]GFA &amp; Dep-MYT 5th Control'!$E$172</f>
        <v>0</v>
      </c>
      <c r="L99" s="456">
        <f ca="1" t="shared" si="62"/>
        <v>0</v>
      </c>
      <c r="M99" s="456">
        <f ca="1">J99+K99-L99</f>
        <v>0.00489906200000156</v>
      </c>
      <c r="N99" s="456">
        <f ca="1">F99-J99</f>
        <v>62.2203483787827</v>
      </c>
      <c r="O99" s="456">
        <f ca="1" t="shared" ref="O99:O100" si="63">I99-M99</f>
        <v>113.329613563867</v>
      </c>
    </row>
    <row r="100" ht="15" spans="2:15">
      <c r="B100" s="453">
        <v>2</v>
      </c>
      <c r="C100" s="436" t="s">
        <v>770</v>
      </c>
      <c r="D100" s="457"/>
      <c r="E100" s="458"/>
      <c r="F100" s="456">
        <f ca="1" t="shared" ref="F100:F138" si="64">I55</f>
        <v>0</v>
      </c>
      <c r="G100" s="456">
        <f ca="1" t="shared" ref="G100:L100" si="65">G417+G734</f>
        <v>0</v>
      </c>
      <c r="H100" s="456">
        <f ca="1" t="shared" si="65"/>
        <v>0</v>
      </c>
      <c r="I100" s="456">
        <f ca="1">F100+G100-H100</f>
        <v>0</v>
      </c>
      <c r="J100" s="456">
        <f ca="1">M55</f>
        <v>0</v>
      </c>
      <c r="K100" s="456">
        <f ca="1" t="shared" si="65"/>
        <v>0</v>
      </c>
      <c r="L100" s="456">
        <f ca="1" t="shared" si="65"/>
        <v>0</v>
      </c>
      <c r="M100" s="456">
        <f ca="1">J100+K100-L100</f>
        <v>0</v>
      </c>
      <c r="N100" s="456">
        <f ca="1">F100-J100</f>
        <v>0</v>
      </c>
      <c r="O100" s="456">
        <f ca="1" t="shared" si="63"/>
        <v>0</v>
      </c>
    </row>
    <row r="101" ht="15" spans="2:15">
      <c r="B101" s="453">
        <v>3</v>
      </c>
      <c r="C101" s="438" t="s">
        <v>771</v>
      </c>
      <c r="D101" s="457"/>
      <c r="E101" s="459"/>
      <c r="F101" s="456"/>
      <c r="G101" s="456"/>
      <c r="H101" s="456"/>
      <c r="I101" s="456"/>
      <c r="J101" s="456"/>
      <c r="K101" s="456"/>
      <c r="L101" s="456"/>
      <c r="M101" s="456"/>
      <c r="N101" s="456"/>
      <c r="O101" s="456"/>
    </row>
    <row r="102" ht="15" spans="2:15">
      <c r="B102" s="453"/>
      <c r="C102" s="460" t="s">
        <v>772</v>
      </c>
      <c r="D102" s="457"/>
      <c r="E102" s="459"/>
      <c r="F102" s="456">
        <f ca="1" t="shared" si="64"/>
        <v>419.611228594579</v>
      </c>
      <c r="G102" s="456">
        <f>'[60]GFA &amp; Dep-MYT 5th Control'!$M$38</f>
        <v>43.2938625856093</v>
      </c>
      <c r="H102" s="456">
        <f ca="1" t="shared" ref="H102:L102" si="66">H419+H736</f>
        <v>0</v>
      </c>
      <c r="I102" s="456">
        <f ca="1">F102+G102-H102</f>
        <v>462.905091180188</v>
      </c>
      <c r="J102" s="456">
        <f ca="1">M57</f>
        <v>139.393064411459</v>
      </c>
      <c r="K102" s="456">
        <f>'[60]GFA &amp; Dep-MYT 5th Control'!$E$173</f>
        <v>19.3174262171162</v>
      </c>
      <c r="L102" s="456">
        <f ca="1" t="shared" si="66"/>
        <v>0</v>
      </c>
      <c r="M102" s="456">
        <f ca="1">J102+K102-L102</f>
        <v>158.710490628576</v>
      </c>
      <c r="N102" s="456">
        <f ca="1" t="shared" ref="N102:N105" si="67">F102-J102</f>
        <v>280.21816418312</v>
      </c>
      <c r="O102" s="456">
        <f ca="1" t="shared" ref="O102:O105" si="68">I102-M102</f>
        <v>304.194600551613</v>
      </c>
    </row>
    <row r="103" ht="28.5" spans="2:15">
      <c r="B103" s="453"/>
      <c r="C103" s="460" t="s">
        <v>773</v>
      </c>
      <c r="D103" s="457"/>
      <c r="E103" s="459"/>
      <c r="F103" s="456">
        <f ca="1" t="shared" si="64"/>
        <v>0</v>
      </c>
      <c r="G103" s="456">
        <f ca="1" t="shared" ref="G103:L105" si="69">G420+G737</f>
        <v>0</v>
      </c>
      <c r="H103" s="456">
        <f ca="1" t="shared" si="69"/>
        <v>0</v>
      </c>
      <c r="I103" s="456">
        <f ca="1">F103+G103-H103</f>
        <v>0</v>
      </c>
      <c r="J103" s="456">
        <f ca="1">M58</f>
        <v>0</v>
      </c>
      <c r="K103" s="456">
        <f ca="1" t="shared" si="69"/>
        <v>0</v>
      </c>
      <c r="L103" s="456">
        <f ca="1" t="shared" si="69"/>
        <v>0</v>
      </c>
      <c r="M103" s="456">
        <f ca="1">J103+K103-L103</f>
        <v>0</v>
      </c>
      <c r="N103" s="456">
        <f ca="1" t="shared" si="67"/>
        <v>0</v>
      </c>
      <c r="O103" s="456">
        <f ca="1" t="shared" si="68"/>
        <v>0</v>
      </c>
    </row>
    <row r="104" ht="15" spans="2:15">
      <c r="B104" s="453"/>
      <c r="C104" s="460" t="s">
        <v>774</v>
      </c>
      <c r="D104" s="457"/>
      <c r="E104" s="459"/>
      <c r="F104" s="456">
        <f ca="1" t="shared" si="64"/>
        <v>0</v>
      </c>
      <c r="G104" s="456">
        <f ca="1" t="shared" si="69"/>
        <v>0</v>
      </c>
      <c r="H104" s="456">
        <f ca="1" t="shared" si="69"/>
        <v>0</v>
      </c>
      <c r="I104" s="456">
        <f ca="1">F104+G104-H104</f>
        <v>0</v>
      </c>
      <c r="J104" s="456">
        <f ca="1">M59</f>
        <v>0</v>
      </c>
      <c r="K104" s="456">
        <f ca="1" t="shared" si="69"/>
        <v>0</v>
      </c>
      <c r="L104" s="456">
        <f ca="1" t="shared" si="69"/>
        <v>0</v>
      </c>
      <c r="M104" s="456">
        <f ca="1">J104+K104-L104</f>
        <v>0</v>
      </c>
      <c r="N104" s="456">
        <f ca="1" t="shared" si="67"/>
        <v>0</v>
      </c>
      <c r="O104" s="456">
        <f ca="1" t="shared" si="68"/>
        <v>0</v>
      </c>
    </row>
    <row r="105" ht="15" spans="2:15">
      <c r="B105" s="453"/>
      <c r="C105" s="460" t="s">
        <v>775</v>
      </c>
      <c r="D105" s="457"/>
      <c r="E105" s="459"/>
      <c r="F105" s="456">
        <f ca="1" t="shared" si="64"/>
        <v>221.08</v>
      </c>
      <c r="G105" s="456">
        <f ca="1" t="shared" si="69"/>
        <v>0</v>
      </c>
      <c r="H105" s="456">
        <f ca="1" t="shared" si="69"/>
        <v>0</v>
      </c>
      <c r="I105" s="456">
        <f ca="1">F105+G105-H105</f>
        <v>221.08</v>
      </c>
      <c r="J105" s="456">
        <f ca="1">M60</f>
        <v>44.413445081</v>
      </c>
      <c r="K105" s="456">
        <f ca="1" t="shared" si="69"/>
        <v>0</v>
      </c>
      <c r="L105" s="456">
        <f ca="1" t="shared" si="69"/>
        <v>0</v>
      </c>
      <c r="M105" s="456">
        <f ca="1">J105+K105-L105</f>
        <v>44.413445081</v>
      </c>
      <c r="N105" s="456">
        <f ca="1" t="shared" si="67"/>
        <v>176.666554919</v>
      </c>
      <c r="O105" s="456">
        <f ca="1" t="shared" si="68"/>
        <v>176.666554919</v>
      </c>
    </row>
    <row r="106" ht="15" spans="2:15">
      <c r="B106" s="453">
        <v>4</v>
      </c>
      <c r="C106" s="436" t="s">
        <v>776</v>
      </c>
      <c r="D106" s="457"/>
      <c r="E106" s="459"/>
      <c r="F106" s="456"/>
      <c r="G106" s="456"/>
      <c r="H106" s="456"/>
      <c r="I106" s="456"/>
      <c r="J106" s="456"/>
      <c r="K106" s="456"/>
      <c r="L106" s="456"/>
      <c r="M106" s="456"/>
      <c r="N106" s="456"/>
      <c r="O106" s="456"/>
    </row>
    <row r="107" ht="15" spans="2:15">
      <c r="B107" s="453"/>
      <c r="C107" s="461" t="s">
        <v>777</v>
      </c>
      <c r="D107" s="457"/>
      <c r="E107" s="459"/>
      <c r="F107" s="456">
        <f ca="1" t="shared" si="64"/>
        <v>10064.7876508819</v>
      </c>
      <c r="G107" s="456">
        <f>'[60]GFA &amp; Dep-MYT 5th Control'!$M$34</f>
        <v>1028.10140113349</v>
      </c>
      <c r="H107" s="456">
        <f ca="1" t="shared" ref="H107:L107" si="70">H424+H741</f>
        <v>0</v>
      </c>
      <c r="I107" s="456">
        <f ca="1">F107+G107-H107</f>
        <v>11092.8890520154</v>
      </c>
      <c r="J107" s="456">
        <f ca="1">M62</f>
        <v>5123.99480611754</v>
      </c>
      <c r="K107" s="456">
        <f>SUM('[60]GFA &amp; Dep-MYT 5th Control'!$E$178:$E$180)</f>
        <v>394.639373221</v>
      </c>
      <c r="L107" s="456">
        <f ca="1" t="shared" si="70"/>
        <v>0</v>
      </c>
      <c r="M107" s="456">
        <f ca="1">J107+K107-L107</f>
        <v>5518.63417933854</v>
      </c>
      <c r="N107" s="456">
        <f ca="1">F107-J107</f>
        <v>4940.79284476434</v>
      </c>
      <c r="O107" s="456">
        <f ca="1" t="shared" ref="O107" si="71">I107-M107</f>
        <v>5574.25487267683</v>
      </c>
    </row>
    <row r="108" ht="15" spans="2:15">
      <c r="B108" s="453"/>
      <c r="C108" s="436" t="s">
        <v>778</v>
      </c>
      <c r="D108" s="457"/>
      <c r="E108" s="459"/>
      <c r="F108" s="456">
        <f t="shared" si="64"/>
        <v>0</v>
      </c>
      <c r="G108" s="456"/>
      <c r="H108" s="456"/>
      <c r="I108" s="456"/>
      <c r="J108" s="456"/>
      <c r="K108" s="456"/>
      <c r="L108" s="456"/>
      <c r="M108" s="456"/>
      <c r="N108" s="456"/>
      <c r="O108" s="456"/>
    </row>
    <row r="109" ht="15" spans="2:15">
      <c r="B109" s="453"/>
      <c r="C109" s="461" t="s">
        <v>779</v>
      </c>
      <c r="D109" s="457"/>
      <c r="E109" s="459"/>
      <c r="F109" s="456">
        <f ca="1" t="shared" si="64"/>
        <v>0</v>
      </c>
      <c r="G109" s="456">
        <f ca="1" t="shared" ref="G109:L110" si="72">G426+G743</f>
        <v>0</v>
      </c>
      <c r="H109" s="456">
        <f ca="1" t="shared" si="72"/>
        <v>0</v>
      </c>
      <c r="I109" s="456">
        <f ca="1">F109+G109-H109</f>
        <v>0</v>
      </c>
      <c r="J109" s="456">
        <f ca="1" t="shared" ref="J109:J138" si="73">M64</f>
        <v>0</v>
      </c>
      <c r="K109" s="456">
        <f ca="1" t="shared" si="72"/>
        <v>0</v>
      </c>
      <c r="L109" s="456">
        <f ca="1" t="shared" si="72"/>
        <v>0</v>
      </c>
      <c r="M109" s="456">
        <f ca="1">J109+K109-L109</f>
        <v>0</v>
      </c>
      <c r="N109" s="456">
        <f ca="1" t="shared" ref="N109:N110" si="74">F109-J109</f>
        <v>0</v>
      </c>
      <c r="O109" s="456">
        <f ca="1" t="shared" ref="O109:O110" si="75">I109-M109</f>
        <v>0</v>
      </c>
    </row>
    <row r="110" ht="15" spans="2:15">
      <c r="B110" s="453"/>
      <c r="C110" s="461" t="s">
        <v>780</v>
      </c>
      <c r="D110" s="457"/>
      <c r="E110" s="459"/>
      <c r="F110" s="456">
        <f ca="1" t="shared" si="64"/>
        <v>0</v>
      </c>
      <c r="G110" s="456">
        <f ca="1" t="shared" si="72"/>
        <v>0</v>
      </c>
      <c r="H110" s="456">
        <f ca="1" t="shared" si="72"/>
        <v>0</v>
      </c>
      <c r="I110" s="456">
        <f ca="1">F110+G110-H110</f>
        <v>0</v>
      </c>
      <c r="J110" s="456">
        <f ca="1" t="shared" si="73"/>
        <v>0</v>
      </c>
      <c r="K110" s="456">
        <f ca="1" t="shared" si="72"/>
        <v>0</v>
      </c>
      <c r="L110" s="456">
        <f ca="1" t="shared" si="72"/>
        <v>0</v>
      </c>
      <c r="M110" s="456">
        <f ca="1">J110+K110-L110</f>
        <v>0</v>
      </c>
      <c r="N110" s="456">
        <f ca="1" t="shared" si="74"/>
        <v>0</v>
      </c>
      <c r="O110" s="456">
        <f ca="1" t="shared" si="75"/>
        <v>0</v>
      </c>
    </row>
    <row r="111" ht="15" spans="2:15">
      <c r="B111" s="453">
        <v>5</v>
      </c>
      <c r="C111" s="436" t="s">
        <v>781</v>
      </c>
      <c r="D111" s="457"/>
      <c r="E111" s="459"/>
      <c r="F111" s="456"/>
      <c r="G111" s="462"/>
      <c r="H111" s="462"/>
      <c r="I111" s="462"/>
      <c r="J111" s="456"/>
      <c r="K111" s="462"/>
      <c r="L111" s="462"/>
      <c r="M111" s="462"/>
      <c r="N111" s="462"/>
      <c r="O111" s="462"/>
    </row>
    <row r="112" ht="15" spans="2:15">
      <c r="B112" s="453"/>
      <c r="C112" s="461" t="s">
        <v>782</v>
      </c>
      <c r="D112" s="457"/>
      <c r="E112" s="459"/>
      <c r="F112" s="456">
        <f ca="1" t="shared" si="64"/>
        <v>0</v>
      </c>
      <c r="G112" s="456">
        <f ca="1" t="shared" ref="G112:L117" si="76">G429+G746</f>
        <v>0</v>
      </c>
      <c r="H112" s="456">
        <f ca="1" t="shared" si="76"/>
        <v>0</v>
      </c>
      <c r="I112" s="456">
        <f ca="1" t="shared" ref="I112:I117" si="77">F112+G112-H112</f>
        <v>0</v>
      </c>
      <c r="J112" s="456">
        <f ca="1" t="shared" si="73"/>
        <v>0</v>
      </c>
      <c r="K112" s="456">
        <f ca="1" t="shared" si="76"/>
        <v>0</v>
      </c>
      <c r="L112" s="456">
        <f ca="1" t="shared" si="76"/>
        <v>0</v>
      </c>
      <c r="M112" s="456">
        <f ca="1">J112+K112-L112</f>
        <v>0</v>
      </c>
      <c r="N112" s="456">
        <f ca="1" t="shared" ref="N112:N117" si="78">F112-J112</f>
        <v>0</v>
      </c>
      <c r="O112" s="456">
        <f ca="1" t="shared" ref="O112:O117" si="79">I112-M112</f>
        <v>0</v>
      </c>
    </row>
    <row r="113" ht="15" spans="2:15">
      <c r="B113" s="453"/>
      <c r="C113" s="461" t="s">
        <v>783</v>
      </c>
      <c r="D113" s="457"/>
      <c r="E113" s="459"/>
      <c r="F113" s="456">
        <f ca="1" t="shared" si="64"/>
        <v>0</v>
      </c>
      <c r="G113" s="456">
        <f ca="1" t="shared" si="76"/>
        <v>0</v>
      </c>
      <c r="H113" s="456">
        <f ca="1" t="shared" si="76"/>
        <v>0</v>
      </c>
      <c r="I113" s="456">
        <f ca="1" t="shared" si="77"/>
        <v>0</v>
      </c>
      <c r="J113" s="456">
        <f ca="1" t="shared" si="73"/>
        <v>0</v>
      </c>
      <c r="K113" s="456">
        <f ca="1" t="shared" si="76"/>
        <v>0</v>
      </c>
      <c r="L113" s="456">
        <f ca="1" t="shared" si="76"/>
        <v>0</v>
      </c>
      <c r="M113" s="456">
        <f ca="1" t="shared" ref="M113:M117" si="80">J113+K113-L113</f>
        <v>0</v>
      </c>
      <c r="N113" s="456">
        <f ca="1" t="shared" si="78"/>
        <v>0</v>
      </c>
      <c r="O113" s="456">
        <f ca="1" t="shared" si="79"/>
        <v>0</v>
      </c>
    </row>
    <row r="114" ht="15" spans="2:15">
      <c r="B114" s="453"/>
      <c r="C114" s="461" t="s">
        <v>784</v>
      </c>
      <c r="D114" s="457"/>
      <c r="E114" s="459"/>
      <c r="F114" s="456">
        <f ca="1" t="shared" si="64"/>
        <v>0</v>
      </c>
      <c r="G114" s="456">
        <f ca="1" t="shared" si="76"/>
        <v>0</v>
      </c>
      <c r="H114" s="456">
        <f ca="1" t="shared" si="76"/>
        <v>0</v>
      </c>
      <c r="I114" s="456">
        <f ca="1" t="shared" si="77"/>
        <v>0</v>
      </c>
      <c r="J114" s="456">
        <f ca="1" t="shared" si="73"/>
        <v>0</v>
      </c>
      <c r="K114" s="456">
        <f ca="1" t="shared" si="76"/>
        <v>0</v>
      </c>
      <c r="L114" s="456">
        <f ca="1" t="shared" si="76"/>
        <v>0</v>
      </c>
      <c r="M114" s="456">
        <f ca="1" t="shared" si="80"/>
        <v>0</v>
      </c>
      <c r="N114" s="456">
        <f ca="1" t="shared" si="78"/>
        <v>0</v>
      </c>
      <c r="O114" s="456">
        <f ca="1" t="shared" si="79"/>
        <v>0</v>
      </c>
    </row>
    <row r="115" ht="15" spans="2:15">
      <c r="B115" s="453"/>
      <c r="C115" s="461" t="s">
        <v>785</v>
      </c>
      <c r="D115" s="457"/>
      <c r="E115" s="459"/>
      <c r="F115" s="456">
        <f ca="1" t="shared" si="64"/>
        <v>0</v>
      </c>
      <c r="G115" s="456">
        <f ca="1" t="shared" si="76"/>
        <v>0</v>
      </c>
      <c r="H115" s="456">
        <f ca="1" t="shared" si="76"/>
        <v>0</v>
      </c>
      <c r="I115" s="456">
        <f ca="1" t="shared" si="77"/>
        <v>0</v>
      </c>
      <c r="J115" s="456">
        <f ca="1" t="shared" si="73"/>
        <v>0</v>
      </c>
      <c r="K115" s="456">
        <f ca="1" t="shared" si="76"/>
        <v>0</v>
      </c>
      <c r="L115" s="456">
        <f ca="1" t="shared" si="76"/>
        <v>0</v>
      </c>
      <c r="M115" s="456">
        <f ca="1" t="shared" si="80"/>
        <v>0</v>
      </c>
      <c r="N115" s="456">
        <f ca="1" t="shared" si="78"/>
        <v>0</v>
      </c>
      <c r="O115" s="456">
        <f ca="1" t="shared" si="79"/>
        <v>0</v>
      </c>
    </row>
    <row r="116" ht="15" spans="2:15">
      <c r="B116" s="453">
        <v>6</v>
      </c>
      <c r="C116" s="436" t="s">
        <v>786</v>
      </c>
      <c r="D116" s="457"/>
      <c r="E116" s="459"/>
      <c r="F116" s="456">
        <f ca="1" t="shared" si="64"/>
        <v>0</v>
      </c>
      <c r="G116" s="456">
        <f ca="1" t="shared" si="76"/>
        <v>0</v>
      </c>
      <c r="H116" s="456">
        <f ca="1" t="shared" si="76"/>
        <v>0</v>
      </c>
      <c r="I116" s="456">
        <f ca="1" t="shared" si="77"/>
        <v>0</v>
      </c>
      <c r="J116" s="456">
        <f ca="1" t="shared" si="73"/>
        <v>0</v>
      </c>
      <c r="K116" s="456">
        <f ca="1" t="shared" si="76"/>
        <v>0</v>
      </c>
      <c r="L116" s="456">
        <f ca="1" t="shared" si="76"/>
        <v>0</v>
      </c>
      <c r="M116" s="456">
        <f ca="1" t="shared" si="80"/>
        <v>0</v>
      </c>
      <c r="N116" s="456">
        <f ca="1" t="shared" si="78"/>
        <v>0</v>
      </c>
      <c r="O116" s="456">
        <f ca="1" t="shared" si="79"/>
        <v>0</v>
      </c>
    </row>
    <row r="117" ht="15" spans="2:15">
      <c r="B117" s="453">
        <v>7</v>
      </c>
      <c r="C117" s="436" t="s">
        <v>787</v>
      </c>
      <c r="D117" s="457"/>
      <c r="E117" s="459"/>
      <c r="F117" s="456">
        <f ca="1" t="shared" si="64"/>
        <v>0</v>
      </c>
      <c r="G117" s="456">
        <f ca="1" t="shared" si="76"/>
        <v>0</v>
      </c>
      <c r="H117" s="456">
        <f ca="1" t="shared" si="76"/>
        <v>0</v>
      </c>
      <c r="I117" s="456">
        <f ca="1" t="shared" si="77"/>
        <v>0</v>
      </c>
      <c r="J117" s="456">
        <f ca="1" t="shared" si="73"/>
        <v>0</v>
      </c>
      <c r="K117" s="456">
        <f ca="1" t="shared" si="76"/>
        <v>0</v>
      </c>
      <c r="L117" s="456">
        <f ca="1" t="shared" si="76"/>
        <v>0</v>
      </c>
      <c r="M117" s="456">
        <f ca="1" t="shared" si="80"/>
        <v>0</v>
      </c>
      <c r="N117" s="456">
        <f ca="1" t="shared" si="78"/>
        <v>0</v>
      </c>
      <c r="O117" s="456">
        <f ca="1" t="shared" si="79"/>
        <v>0</v>
      </c>
    </row>
    <row r="118" ht="15" spans="2:15">
      <c r="B118" s="453">
        <v>8</v>
      </c>
      <c r="C118" s="436" t="s">
        <v>788</v>
      </c>
      <c r="D118" s="457"/>
      <c r="E118" s="459"/>
      <c r="F118" s="456"/>
      <c r="G118" s="456"/>
      <c r="H118" s="456"/>
      <c r="I118" s="456"/>
      <c r="J118" s="456"/>
      <c r="K118" s="456"/>
      <c r="L118" s="456"/>
      <c r="M118" s="456"/>
      <c r="N118" s="456"/>
      <c r="O118" s="456"/>
    </row>
    <row r="119" ht="15" spans="2:15">
      <c r="B119" s="453"/>
      <c r="C119" s="461" t="s">
        <v>789</v>
      </c>
      <c r="D119" s="457"/>
      <c r="E119" s="459"/>
      <c r="F119" s="456">
        <f ca="1" t="shared" si="64"/>
        <v>9931.83182488406</v>
      </c>
      <c r="G119" s="456">
        <f>'[60]GFA &amp; Dep-MYT 5th Control'!$M$35</f>
        <v>1193.90332090862</v>
      </c>
      <c r="H119" s="456">
        <f ca="1" t="shared" ref="H119:L119" si="81">H436+H753</f>
        <v>0</v>
      </c>
      <c r="I119" s="456">
        <f ca="1">F119+G119-H119</f>
        <v>11125.7351457927</v>
      </c>
      <c r="J119" s="456">
        <f ca="1" t="shared" si="73"/>
        <v>4511.84380528252</v>
      </c>
      <c r="K119" s="456">
        <f>SUM('[60]GFA &amp; Dep-MYT 5th Control'!$E$187:$E$189)</f>
        <v>382.435704297448</v>
      </c>
      <c r="L119" s="456">
        <f ca="1" t="shared" si="81"/>
        <v>0</v>
      </c>
      <c r="M119" s="456">
        <f ca="1">J119+K119-L119</f>
        <v>4894.27950957997</v>
      </c>
      <c r="N119" s="456">
        <f ca="1" t="shared" ref="N119:N123" si="82">F119-J119</f>
        <v>5419.98801960154</v>
      </c>
      <c r="O119" s="456">
        <f ca="1" t="shared" ref="O119:O123" si="83">I119-M119</f>
        <v>6231.45563621271</v>
      </c>
    </row>
    <row r="120" ht="15" spans="2:15">
      <c r="B120" s="453"/>
      <c r="C120" s="461" t="s">
        <v>808</v>
      </c>
      <c r="D120" s="457"/>
      <c r="E120" s="459"/>
      <c r="F120" s="456">
        <f ca="1" t="shared" si="64"/>
        <v>0</v>
      </c>
      <c r="G120" s="456">
        <f ca="1" t="shared" ref="G120:L122" si="84">G437+G754</f>
        <v>0</v>
      </c>
      <c r="H120" s="456">
        <f ca="1" t="shared" si="84"/>
        <v>0</v>
      </c>
      <c r="I120" s="456">
        <f ca="1">F120+G120-H120</f>
        <v>0</v>
      </c>
      <c r="J120" s="456">
        <f ca="1" t="shared" si="73"/>
        <v>0</v>
      </c>
      <c r="K120" s="456">
        <f ca="1" t="shared" si="84"/>
        <v>0</v>
      </c>
      <c r="L120" s="456">
        <f ca="1" t="shared" si="84"/>
        <v>0</v>
      </c>
      <c r="M120" s="456">
        <f ca="1" t="shared" ref="M120:M123" si="85">J120+K120-L120</f>
        <v>0</v>
      </c>
      <c r="N120" s="456">
        <f ca="1" t="shared" si="82"/>
        <v>0</v>
      </c>
      <c r="O120" s="456">
        <f ca="1" t="shared" si="83"/>
        <v>0</v>
      </c>
    </row>
    <row r="121" ht="30" spans="2:15">
      <c r="B121" s="463">
        <v>9</v>
      </c>
      <c r="C121" s="464" t="s">
        <v>791</v>
      </c>
      <c r="D121" s="457"/>
      <c r="E121" s="459"/>
      <c r="F121" s="456">
        <f ca="1" t="shared" si="64"/>
        <v>0</v>
      </c>
      <c r="G121" s="456">
        <f ca="1" t="shared" si="84"/>
        <v>0</v>
      </c>
      <c r="H121" s="456">
        <f ca="1" t="shared" si="84"/>
        <v>0</v>
      </c>
      <c r="I121" s="456">
        <f ca="1">F121+G121-H121</f>
        <v>0</v>
      </c>
      <c r="J121" s="456">
        <f ca="1" t="shared" si="73"/>
        <v>0</v>
      </c>
      <c r="K121" s="456">
        <f ca="1" t="shared" si="84"/>
        <v>0</v>
      </c>
      <c r="L121" s="456">
        <f ca="1" t="shared" si="84"/>
        <v>0</v>
      </c>
      <c r="M121" s="456">
        <f ca="1" t="shared" si="85"/>
        <v>0</v>
      </c>
      <c r="N121" s="456">
        <f ca="1" t="shared" si="82"/>
        <v>0</v>
      </c>
      <c r="O121" s="456">
        <f ca="1" t="shared" si="83"/>
        <v>0</v>
      </c>
    </row>
    <row r="122" ht="15" spans="2:15">
      <c r="B122" s="465">
        <v>10</v>
      </c>
      <c r="C122" s="423" t="s">
        <v>792</v>
      </c>
      <c r="D122" s="466"/>
      <c r="E122" s="459"/>
      <c r="F122" s="456">
        <f ca="1" t="shared" si="64"/>
        <v>1910.57975504842</v>
      </c>
      <c r="G122" s="456">
        <f>'[60]GFA &amp; Dep-MYT 5th Control'!$M$36</f>
        <v>79.412620137986</v>
      </c>
      <c r="H122" s="456">
        <f ca="1" t="shared" si="84"/>
        <v>0</v>
      </c>
      <c r="I122" s="456">
        <f ca="1">F122+G122-H122</f>
        <v>1989.99237518641</v>
      </c>
      <c r="J122" s="456">
        <f ca="1" t="shared" si="73"/>
        <v>1210.04203106683</v>
      </c>
      <c r="K122" s="456">
        <f>'[60]GFA &amp; Dep-MYT 5th Control'!$E$184</f>
        <v>55.8767675132107</v>
      </c>
      <c r="L122" s="456">
        <f ca="1" t="shared" si="84"/>
        <v>0</v>
      </c>
      <c r="M122" s="456">
        <f ca="1" t="shared" si="85"/>
        <v>1265.91879858004</v>
      </c>
      <c r="N122" s="456">
        <f ca="1" t="shared" si="82"/>
        <v>700.537723981586</v>
      </c>
      <c r="O122" s="456">
        <f ca="1" t="shared" si="83"/>
        <v>724.073576606361</v>
      </c>
    </row>
    <row r="123" ht="15" spans="2:15">
      <c r="B123" s="465">
        <v>11</v>
      </c>
      <c r="C123" s="423" t="s">
        <v>793</v>
      </c>
      <c r="D123" s="466"/>
      <c r="E123" s="459"/>
      <c r="F123" s="456">
        <f ca="1" t="shared" si="64"/>
        <v>7.08</v>
      </c>
      <c r="G123" s="456">
        <f ca="1" t="shared" ref="G123:L123" si="86">G440+G757</f>
        <v>0</v>
      </c>
      <c r="H123" s="456">
        <f ca="1" t="shared" si="86"/>
        <v>0</v>
      </c>
      <c r="I123" s="456">
        <f ca="1">F123+G123-H123</f>
        <v>7.08</v>
      </c>
      <c r="J123" s="456">
        <f ca="1" t="shared" si="73"/>
        <v>6.392199932</v>
      </c>
      <c r="K123" s="456">
        <f>'[60]GFA &amp; Dep-MYT 5th Control'!$E$191</f>
        <v>0</v>
      </c>
      <c r="L123" s="456">
        <f ca="1" t="shared" si="86"/>
        <v>0</v>
      </c>
      <c r="M123" s="456">
        <f ca="1" t="shared" si="85"/>
        <v>6.392199932</v>
      </c>
      <c r="N123" s="456">
        <f ca="1" t="shared" si="82"/>
        <v>0.687800068</v>
      </c>
      <c r="O123" s="456">
        <f ca="1" t="shared" si="83"/>
        <v>0.687800068</v>
      </c>
    </row>
    <row r="124" ht="15" spans="2:15">
      <c r="B124" s="465">
        <v>12</v>
      </c>
      <c r="C124" s="423" t="s">
        <v>794</v>
      </c>
      <c r="D124" s="466"/>
      <c r="E124" s="459"/>
      <c r="F124" s="456"/>
      <c r="G124" s="456"/>
      <c r="H124" s="456"/>
      <c r="I124" s="456"/>
      <c r="J124" s="456"/>
      <c r="K124" s="456"/>
      <c r="L124" s="456"/>
      <c r="M124" s="456"/>
      <c r="N124" s="456"/>
      <c r="O124" s="456"/>
    </row>
    <row r="125" ht="15" spans="2:15">
      <c r="B125" s="465"/>
      <c r="C125" s="425" t="s">
        <v>795</v>
      </c>
      <c r="D125" s="466"/>
      <c r="E125" s="459"/>
      <c r="F125" s="456">
        <f ca="1" t="shared" si="64"/>
        <v>2.6</v>
      </c>
      <c r="G125" s="456">
        <f ca="1" t="shared" ref="G125:L126" si="87">G442+G759</f>
        <v>0</v>
      </c>
      <c r="H125" s="456">
        <f ca="1" t="shared" si="87"/>
        <v>0</v>
      </c>
      <c r="I125" s="456">
        <f ca="1">F125+G125-H125</f>
        <v>2.6</v>
      </c>
      <c r="J125" s="456">
        <f ca="1" t="shared" si="73"/>
        <v>1.701644132</v>
      </c>
      <c r="K125" s="456">
        <f ca="1" t="shared" si="87"/>
        <v>0</v>
      </c>
      <c r="L125" s="456">
        <f ca="1" t="shared" si="87"/>
        <v>0</v>
      </c>
      <c r="M125" s="456">
        <f ca="1" t="shared" ref="M125:M126" si="88">J125+K125-L125</f>
        <v>1.701644132</v>
      </c>
      <c r="N125" s="456">
        <f ca="1" t="shared" ref="N125:N126" si="89">F125-J125</f>
        <v>0.898355868</v>
      </c>
      <c r="O125" s="456">
        <f ca="1" t="shared" ref="O125:O126" si="90">I125-M125</f>
        <v>0.898355868</v>
      </c>
    </row>
    <row r="126" ht="15" spans="2:15">
      <c r="B126" s="465"/>
      <c r="C126" s="425" t="s">
        <v>796</v>
      </c>
      <c r="D126" s="466"/>
      <c r="E126" s="459"/>
      <c r="F126" s="456">
        <f ca="1" t="shared" si="64"/>
        <v>0</v>
      </c>
      <c r="G126" s="456">
        <f ca="1" t="shared" si="87"/>
        <v>0</v>
      </c>
      <c r="H126" s="456">
        <f ca="1" t="shared" si="87"/>
        <v>0</v>
      </c>
      <c r="I126" s="456">
        <f ca="1" t="shared" ref="I126" si="91">F126+G126-H126</f>
        <v>0</v>
      </c>
      <c r="J126" s="456">
        <f ca="1" t="shared" si="73"/>
        <v>0</v>
      </c>
      <c r="K126" s="456">
        <f ca="1" t="shared" si="87"/>
        <v>0</v>
      </c>
      <c r="L126" s="456">
        <f ca="1" t="shared" si="87"/>
        <v>0</v>
      </c>
      <c r="M126" s="456">
        <f ca="1" t="shared" si="88"/>
        <v>0</v>
      </c>
      <c r="N126" s="456">
        <f ca="1" t="shared" si="89"/>
        <v>0</v>
      </c>
      <c r="O126" s="456">
        <f ca="1" t="shared" si="90"/>
        <v>0</v>
      </c>
    </row>
    <row r="127" ht="15" spans="2:15">
      <c r="B127" s="465">
        <v>13</v>
      </c>
      <c r="C127" s="425"/>
      <c r="D127" s="466"/>
      <c r="E127" s="459"/>
      <c r="F127" s="456"/>
      <c r="G127" s="456"/>
      <c r="H127" s="456"/>
      <c r="I127" s="456"/>
      <c r="J127" s="456"/>
      <c r="K127" s="456"/>
      <c r="L127" s="456"/>
      <c r="M127" s="456"/>
      <c r="N127" s="456"/>
      <c r="O127" s="456"/>
    </row>
    <row r="128" ht="15" spans="2:15">
      <c r="B128" s="465"/>
      <c r="C128" s="425" t="s">
        <v>797</v>
      </c>
      <c r="D128" s="466"/>
      <c r="E128" s="459"/>
      <c r="F128" s="456">
        <f ca="1" t="shared" si="64"/>
        <v>17.25</v>
      </c>
      <c r="G128" s="456">
        <f ca="1" t="shared" ref="G128:L129" si="92">G445+G762</f>
        <v>0</v>
      </c>
      <c r="H128" s="456">
        <f ca="1" t="shared" si="92"/>
        <v>0</v>
      </c>
      <c r="I128" s="456">
        <f ca="1">F128+G128-H128</f>
        <v>17.25</v>
      </c>
      <c r="J128" s="456">
        <f ca="1" t="shared" si="73"/>
        <v>12.050196043</v>
      </c>
      <c r="K128" s="456">
        <f>'[60]GFA &amp; Dep-MYT 5th Control'!$E$192</f>
        <v>0.493995032</v>
      </c>
      <c r="L128" s="456">
        <f ca="1" t="shared" si="92"/>
        <v>0</v>
      </c>
      <c r="M128" s="456">
        <f ca="1" t="shared" ref="M128:M131" si="93">J128+K128-L128</f>
        <v>12.544191075</v>
      </c>
      <c r="N128" s="456">
        <f ca="1" t="shared" ref="N128:N131" si="94">F128-J128</f>
        <v>5.199803957</v>
      </c>
      <c r="O128" s="456">
        <f ca="1" t="shared" ref="O128:O131" si="95">I128-M128</f>
        <v>4.705808925</v>
      </c>
    </row>
    <row r="129" ht="15" spans="2:15">
      <c r="B129" s="465"/>
      <c r="C129" s="425" t="s">
        <v>798</v>
      </c>
      <c r="D129" s="466"/>
      <c r="E129" s="459"/>
      <c r="F129" s="456">
        <f ca="1" t="shared" si="64"/>
        <v>51.5224317405487</v>
      </c>
      <c r="G129" s="456">
        <f>'[60]GFA &amp; Dep-MYT 5th Control'!$M$37</f>
        <v>0.145388416073601</v>
      </c>
      <c r="H129" s="456">
        <f ca="1" t="shared" si="92"/>
        <v>0</v>
      </c>
      <c r="I129" s="456">
        <f ca="1">F129+G129-H129</f>
        <v>51.6678201566223</v>
      </c>
      <c r="J129" s="456">
        <f ca="1" t="shared" si="73"/>
        <v>34.6904127883247</v>
      </c>
      <c r="K129" s="456">
        <f>'[60]GFA &amp; Dep-MYT 5th Control'!$E$193</f>
        <v>1.6929835983727</v>
      </c>
      <c r="L129" s="456">
        <f ca="1" t="shared" si="92"/>
        <v>0</v>
      </c>
      <c r="M129" s="456">
        <f ca="1" t="shared" si="93"/>
        <v>36.3833963866974</v>
      </c>
      <c r="N129" s="456">
        <f ca="1" t="shared" si="94"/>
        <v>16.832018952224</v>
      </c>
      <c r="O129" s="456">
        <f ca="1" t="shared" si="95"/>
        <v>15.2844237699249</v>
      </c>
    </row>
    <row r="130" ht="15" spans="2:15">
      <c r="B130" s="465"/>
      <c r="C130" s="425" t="s">
        <v>799</v>
      </c>
      <c r="D130" s="466"/>
      <c r="E130" s="459"/>
      <c r="F130" s="456">
        <f ca="1" t="shared" si="64"/>
        <v>0</v>
      </c>
      <c r="G130" s="456">
        <f ca="1" t="shared" ref="G130:L131" si="96">G447+G764</f>
        <v>0</v>
      </c>
      <c r="H130" s="456">
        <f ca="1" t="shared" si="96"/>
        <v>0</v>
      </c>
      <c r="I130" s="456">
        <f ca="1">F130+G130-H130</f>
        <v>0</v>
      </c>
      <c r="J130" s="456">
        <f ca="1" t="shared" si="73"/>
        <v>0</v>
      </c>
      <c r="K130" s="456">
        <f ca="1" t="shared" si="96"/>
        <v>0</v>
      </c>
      <c r="L130" s="456">
        <f ca="1" t="shared" si="96"/>
        <v>0</v>
      </c>
      <c r="M130" s="456">
        <f ca="1" t="shared" si="93"/>
        <v>0</v>
      </c>
      <c r="N130" s="456">
        <f ca="1" t="shared" si="94"/>
        <v>0</v>
      </c>
      <c r="O130" s="456">
        <f ca="1" t="shared" si="95"/>
        <v>0</v>
      </c>
    </row>
    <row r="131" ht="15" spans="2:15">
      <c r="B131" s="465"/>
      <c r="C131" s="425" t="s">
        <v>800</v>
      </c>
      <c r="D131" s="466"/>
      <c r="E131" s="459"/>
      <c r="F131" s="456">
        <f ca="1" t="shared" si="64"/>
        <v>0</v>
      </c>
      <c r="G131" s="456">
        <f ca="1" t="shared" si="96"/>
        <v>0</v>
      </c>
      <c r="H131" s="456">
        <f ca="1" t="shared" si="96"/>
        <v>0</v>
      </c>
      <c r="I131" s="456">
        <f ca="1">F131+G131-H131</f>
        <v>0</v>
      </c>
      <c r="J131" s="456">
        <f ca="1" t="shared" si="73"/>
        <v>0</v>
      </c>
      <c r="K131" s="456">
        <f ca="1" t="shared" si="96"/>
        <v>0</v>
      </c>
      <c r="L131" s="456">
        <f ca="1" t="shared" si="96"/>
        <v>0</v>
      </c>
      <c r="M131" s="456">
        <f ca="1" t="shared" si="93"/>
        <v>0</v>
      </c>
      <c r="N131" s="456">
        <f ca="1" t="shared" si="94"/>
        <v>0</v>
      </c>
      <c r="O131" s="456">
        <f ca="1" t="shared" si="95"/>
        <v>0</v>
      </c>
    </row>
    <row r="132" ht="15" spans="2:15">
      <c r="B132" s="465">
        <v>14</v>
      </c>
      <c r="C132" s="423" t="s">
        <v>801</v>
      </c>
      <c r="D132" s="466"/>
      <c r="E132" s="459"/>
      <c r="F132" s="456"/>
      <c r="G132" s="456"/>
      <c r="H132" s="456"/>
      <c r="I132" s="456"/>
      <c r="J132" s="456"/>
      <c r="K132" s="456"/>
      <c r="L132" s="456"/>
      <c r="M132" s="456"/>
      <c r="N132" s="456"/>
      <c r="O132" s="456"/>
    </row>
    <row r="133" ht="15" spans="2:15">
      <c r="B133" s="465"/>
      <c r="C133" s="425" t="s">
        <v>802</v>
      </c>
      <c r="D133" s="466"/>
      <c r="E133" s="459"/>
      <c r="F133" s="456">
        <f ca="1" t="shared" si="64"/>
        <v>0</v>
      </c>
      <c r="G133" s="456">
        <f ca="1" t="shared" ref="G133:L136" si="97">G450+G767</f>
        <v>0</v>
      </c>
      <c r="H133" s="456">
        <f ca="1" t="shared" si="97"/>
        <v>0</v>
      </c>
      <c r="I133" s="456">
        <f ca="1" t="shared" ref="I133:I138" si="98">F133+G133-H133</f>
        <v>0</v>
      </c>
      <c r="J133" s="456">
        <f ca="1" t="shared" si="73"/>
        <v>0</v>
      </c>
      <c r="K133" s="456">
        <f ca="1" t="shared" si="97"/>
        <v>0</v>
      </c>
      <c r="L133" s="456">
        <f ca="1" t="shared" si="97"/>
        <v>0</v>
      </c>
      <c r="M133" s="456">
        <f ca="1" t="shared" ref="M133:M138" si="99">J133+K133-L133</f>
        <v>0</v>
      </c>
      <c r="N133" s="456">
        <f ca="1" t="shared" ref="N133:N138" si="100">F133-J133</f>
        <v>0</v>
      </c>
      <c r="O133" s="456">
        <f ca="1" t="shared" ref="O133:O138" si="101">I133-M133</f>
        <v>0</v>
      </c>
    </row>
    <row r="134" ht="15" spans="2:15">
      <c r="B134" s="465"/>
      <c r="C134" s="425" t="s">
        <v>803</v>
      </c>
      <c r="D134" s="466"/>
      <c r="E134" s="459"/>
      <c r="F134" s="456">
        <f ca="1" t="shared" si="64"/>
        <v>0</v>
      </c>
      <c r="G134" s="456">
        <f ca="1" t="shared" si="97"/>
        <v>0</v>
      </c>
      <c r="H134" s="456">
        <f ca="1" t="shared" si="97"/>
        <v>0</v>
      </c>
      <c r="I134" s="456">
        <f ca="1" t="shared" si="98"/>
        <v>0</v>
      </c>
      <c r="J134" s="456">
        <f ca="1" t="shared" si="73"/>
        <v>0</v>
      </c>
      <c r="K134" s="456">
        <f ca="1" t="shared" si="97"/>
        <v>0</v>
      </c>
      <c r="L134" s="456">
        <f ca="1" t="shared" si="97"/>
        <v>0</v>
      </c>
      <c r="M134" s="456">
        <f ca="1" t="shared" si="99"/>
        <v>0</v>
      </c>
      <c r="N134" s="456">
        <f ca="1" t="shared" si="100"/>
        <v>0</v>
      </c>
      <c r="O134" s="456">
        <f ca="1" t="shared" si="101"/>
        <v>0</v>
      </c>
    </row>
    <row r="135" ht="15" spans="2:15">
      <c r="B135" s="465"/>
      <c r="C135" s="425" t="s">
        <v>804</v>
      </c>
      <c r="D135" s="466"/>
      <c r="E135" s="459"/>
      <c r="F135" s="456">
        <f ca="1" t="shared" si="64"/>
        <v>0</v>
      </c>
      <c r="G135" s="456">
        <f ca="1" t="shared" si="97"/>
        <v>0</v>
      </c>
      <c r="H135" s="456">
        <f ca="1" t="shared" si="97"/>
        <v>0</v>
      </c>
      <c r="I135" s="456">
        <f ca="1" t="shared" si="98"/>
        <v>0</v>
      </c>
      <c r="J135" s="456">
        <f ca="1" t="shared" si="73"/>
        <v>0</v>
      </c>
      <c r="K135" s="456">
        <f ca="1" t="shared" si="97"/>
        <v>0</v>
      </c>
      <c r="L135" s="456">
        <f ca="1" t="shared" si="97"/>
        <v>0</v>
      </c>
      <c r="M135" s="456">
        <f ca="1" t="shared" si="99"/>
        <v>0</v>
      </c>
      <c r="N135" s="456">
        <f ca="1" t="shared" si="100"/>
        <v>0</v>
      </c>
      <c r="O135" s="456">
        <f ca="1" t="shared" si="101"/>
        <v>0</v>
      </c>
    </row>
    <row r="136" ht="15" spans="2:15">
      <c r="B136" s="465">
        <v>15</v>
      </c>
      <c r="C136" s="423" t="s">
        <v>805</v>
      </c>
      <c r="D136" s="466"/>
      <c r="E136" s="459"/>
      <c r="F136" s="456">
        <f ca="1" t="shared" si="64"/>
        <v>197.5311723006</v>
      </c>
      <c r="G136" s="456">
        <f>'[60]GFA &amp; Dep-MYT 5th Control'!$M$40</f>
        <v>11.4180273285827</v>
      </c>
      <c r="H136" s="456">
        <f ca="1" t="shared" si="97"/>
        <v>0</v>
      </c>
      <c r="I136" s="456">
        <f ca="1" t="shared" si="98"/>
        <v>208.949199629183</v>
      </c>
      <c r="J136" s="456">
        <f ca="1" t="shared" si="73"/>
        <v>159.046054629545</v>
      </c>
      <c r="K136" s="456">
        <f>'[60]GFA &amp; Dep-MYT 5th Control'!$E$195</f>
        <v>12.4656815657338</v>
      </c>
      <c r="L136" s="456">
        <f ca="1" t="shared" si="97"/>
        <v>0</v>
      </c>
      <c r="M136" s="456">
        <f ca="1" t="shared" si="99"/>
        <v>171.511736195279</v>
      </c>
      <c r="N136" s="456">
        <f ca="1" t="shared" si="100"/>
        <v>38.4851176710554</v>
      </c>
      <c r="O136" s="456">
        <f ca="1" t="shared" si="101"/>
        <v>37.4374634339043</v>
      </c>
    </row>
    <row r="137" ht="15" spans="2:15">
      <c r="B137" s="465">
        <v>16</v>
      </c>
      <c r="C137" s="423" t="s">
        <v>806</v>
      </c>
      <c r="D137" s="457"/>
      <c r="E137" s="459"/>
      <c r="F137" s="456">
        <f ca="1" t="shared" si="64"/>
        <v>70.8</v>
      </c>
      <c r="G137" s="456">
        <f ca="1" t="shared" ref="G137:L138" si="102">G454+G771</f>
        <v>0</v>
      </c>
      <c r="H137" s="456">
        <f ca="1" t="shared" si="102"/>
        <v>0</v>
      </c>
      <c r="I137" s="456">
        <f ca="1" t="shared" si="98"/>
        <v>70.8</v>
      </c>
      <c r="J137" s="456">
        <f ca="1" t="shared" si="73"/>
        <v>53.905021156</v>
      </c>
      <c r="K137" s="456">
        <f>'[60]GFA &amp; Dep-MYT 5th Control'!$E$174</f>
        <v>4.515921614</v>
      </c>
      <c r="L137" s="456">
        <f ca="1" t="shared" si="102"/>
        <v>0</v>
      </c>
      <c r="M137" s="456">
        <f ca="1" t="shared" si="99"/>
        <v>58.42094277</v>
      </c>
      <c r="N137" s="456">
        <f ca="1" t="shared" si="100"/>
        <v>16.894978844</v>
      </c>
      <c r="O137" s="456">
        <f ca="1" t="shared" si="101"/>
        <v>12.37905723</v>
      </c>
    </row>
    <row r="138" ht="15" spans="2:15">
      <c r="B138" s="465">
        <v>17</v>
      </c>
      <c r="C138" s="423" t="s">
        <v>807</v>
      </c>
      <c r="D138" s="457"/>
      <c r="E138" s="426"/>
      <c r="F138" s="456">
        <f ca="1" t="shared" si="64"/>
        <v>0</v>
      </c>
      <c r="G138" s="456">
        <f ca="1" t="shared" si="102"/>
        <v>0</v>
      </c>
      <c r="H138" s="456">
        <f ca="1" t="shared" si="102"/>
        <v>0</v>
      </c>
      <c r="I138" s="456">
        <f ca="1" t="shared" si="98"/>
        <v>0</v>
      </c>
      <c r="J138" s="456">
        <f ca="1" t="shared" si="73"/>
        <v>0</v>
      </c>
      <c r="K138" s="456">
        <f ca="1" t="shared" si="102"/>
        <v>0</v>
      </c>
      <c r="L138" s="456">
        <f ca="1" t="shared" si="102"/>
        <v>0</v>
      </c>
      <c r="M138" s="456">
        <f ca="1" t="shared" si="99"/>
        <v>0</v>
      </c>
      <c r="N138" s="456">
        <f ca="1" t="shared" si="100"/>
        <v>0</v>
      </c>
      <c r="O138" s="456">
        <f ca="1" t="shared" si="101"/>
        <v>0</v>
      </c>
    </row>
    <row r="139" ht="15.75" spans="2:15">
      <c r="B139" s="470"/>
      <c r="C139" s="471" t="s">
        <v>97</v>
      </c>
      <c r="D139" s="471"/>
      <c r="E139" s="472"/>
      <c r="F139" s="473">
        <f ca="1">SUM(F99:F138)</f>
        <v>22956.8993108909</v>
      </c>
      <c r="G139" s="473">
        <f ca="1" t="shared" ref="G139:J139" si="103">SUM(G99:G138)</f>
        <v>2407.38388569545</v>
      </c>
      <c r="H139" s="473">
        <f ca="1" t="shared" si="103"/>
        <v>0</v>
      </c>
      <c r="I139" s="473">
        <f ca="1" t="shared" si="103"/>
        <v>25364.2831965863</v>
      </c>
      <c r="J139" s="473">
        <f ca="1" t="shared" si="103"/>
        <v>11297.4775797022</v>
      </c>
      <c r="K139" s="473">
        <f ca="1" t="shared" ref="K139:O139" si="104">SUM(K99:K138)</f>
        <v>871.437853058882</v>
      </c>
      <c r="L139" s="473">
        <f ca="1" t="shared" si="104"/>
        <v>0</v>
      </c>
      <c r="M139" s="473">
        <f ca="1" t="shared" si="104"/>
        <v>12168.9154327611</v>
      </c>
      <c r="N139" s="473">
        <f ca="1" t="shared" si="104"/>
        <v>11659.4217311886</v>
      </c>
      <c r="O139" s="473">
        <f ca="1" t="shared" si="104"/>
        <v>13195.3677638252</v>
      </c>
    </row>
    <row r="140" ht="15.75" spans="15:15">
      <c r="O140" s="117" t="s">
        <v>851</v>
      </c>
    </row>
    <row r="141" ht="15" spans="2:15">
      <c r="B141" s="445" t="s">
        <v>654</v>
      </c>
      <c r="C141" s="446"/>
      <c r="D141" s="446"/>
      <c r="E141" s="446"/>
      <c r="F141" s="446"/>
      <c r="G141" s="446"/>
      <c r="H141" s="446"/>
      <c r="I141" s="446"/>
      <c r="J141" s="446"/>
      <c r="K141" s="446"/>
      <c r="L141" s="446"/>
      <c r="M141" s="446"/>
      <c r="N141" s="446"/>
      <c r="O141" s="467"/>
    </row>
    <row r="142" ht="13.9" customHeight="1" spans="2:15">
      <c r="B142" s="447" t="s">
        <v>564</v>
      </c>
      <c r="C142" s="981" t="s">
        <v>671</v>
      </c>
      <c r="D142" s="449" t="s">
        <v>672</v>
      </c>
      <c r="E142" s="449" t="s">
        <v>673</v>
      </c>
      <c r="F142" s="449" t="s">
        <v>674</v>
      </c>
      <c r="G142" s="449"/>
      <c r="H142" s="449"/>
      <c r="I142" s="449"/>
      <c r="J142" s="449" t="s">
        <v>675</v>
      </c>
      <c r="K142" s="449"/>
      <c r="L142" s="449"/>
      <c r="M142" s="449"/>
      <c r="N142" s="449" t="s">
        <v>676</v>
      </c>
      <c r="O142" s="468"/>
    </row>
    <row r="143" ht="60.75" spans="2:15">
      <c r="B143" s="450"/>
      <c r="C143" s="451"/>
      <c r="D143" s="452"/>
      <c r="E143" s="452"/>
      <c r="F143" s="452" t="s">
        <v>677</v>
      </c>
      <c r="G143" s="452" t="s">
        <v>678</v>
      </c>
      <c r="H143" s="452" t="s">
        <v>679</v>
      </c>
      <c r="I143" s="452" t="s">
        <v>680</v>
      </c>
      <c r="J143" s="452" t="s">
        <v>681</v>
      </c>
      <c r="K143" s="452" t="s">
        <v>678</v>
      </c>
      <c r="L143" s="452" t="s">
        <v>682</v>
      </c>
      <c r="M143" s="452" t="s">
        <v>683</v>
      </c>
      <c r="N143" s="452" t="s">
        <v>677</v>
      </c>
      <c r="O143" s="469" t="s">
        <v>680</v>
      </c>
    </row>
    <row r="144" ht="15" spans="2:15">
      <c r="B144" s="453">
        <v>1</v>
      </c>
      <c r="C144" s="436" t="s">
        <v>684</v>
      </c>
      <c r="D144" s="454"/>
      <c r="E144" s="455"/>
      <c r="F144" s="456">
        <f ca="1">I99</f>
        <v>113.334512625867</v>
      </c>
      <c r="G144" s="456">
        <f>'[60]GFA &amp; Dep-MYT 5th Control'!$N$39</f>
        <v>54.5641160438769</v>
      </c>
      <c r="H144" s="456">
        <f ca="1" t="shared" ref="H144:L144" si="105">H461+H778</f>
        <v>0</v>
      </c>
      <c r="I144" s="456">
        <f ca="1">F144+G144-H144</f>
        <v>167.898628669744</v>
      </c>
      <c r="J144" s="456">
        <f ca="1">M99</f>
        <v>0.00489906200000156</v>
      </c>
      <c r="K144" s="456">
        <f>'[60]GFA &amp; Dep-MYT 5th Control'!$F$172</f>
        <v>0</v>
      </c>
      <c r="L144" s="456">
        <f ca="1" t="shared" si="105"/>
        <v>0</v>
      </c>
      <c r="M144" s="456">
        <f ca="1">J144+K144-L144</f>
        <v>0.00489906200000156</v>
      </c>
      <c r="N144" s="456">
        <f ca="1">F144-J144</f>
        <v>113.329613563867</v>
      </c>
      <c r="O144" s="456">
        <f ca="1" t="shared" ref="O144:O145" si="106">I144-M144</f>
        <v>167.893729607744</v>
      </c>
    </row>
    <row r="145" ht="15" spans="2:15">
      <c r="B145" s="453">
        <v>2</v>
      </c>
      <c r="C145" s="436" t="s">
        <v>770</v>
      </c>
      <c r="D145" s="457"/>
      <c r="E145" s="458"/>
      <c r="F145" s="456">
        <f ca="1" t="shared" ref="F145:F183" si="107">I100</f>
        <v>0</v>
      </c>
      <c r="G145" s="456">
        <f ca="1" t="shared" ref="G145:L145" si="108">G462+G779</f>
        <v>0</v>
      </c>
      <c r="H145" s="456">
        <f ca="1" t="shared" si="108"/>
        <v>0</v>
      </c>
      <c r="I145" s="456">
        <f ca="1">F145+G145-H145</f>
        <v>0</v>
      </c>
      <c r="J145" s="456">
        <f ca="1" t="shared" ref="J145:J183" si="109">M100</f>
        <v>0</v>
      </c>
      <c r="K145" s="456">
        <f ca="1" t="shared" si="108"/>
        <v>0</v>
      </c>
      <c r="L145" s="456">
        <f ca="1" t="shared" si="108"/>
        <v>0</v>
      </c>
      <c r="M145" s="456">
        <f ca="1">J145+K145-L145</f>
        <v>0</v>
      </c>
      <c r="N145" s="456">
        <f ca="1">F145-J145</f>
        <v>0</v>
      </c>
      <c r="O145" s="456">
        <f ca="1" t="shared" si="106"/>
        <v>0</v>
      </c>
    </row>
    <row r="146" ht="15" spans="2:15">
      <c r="B146" s="453">
        <v>3</v>
      </c>
      <c r="C146" s="438" t="s">
        <v>771</v>
      </c>
      <c r="D146" s="457"/>
      <c r="E146" s="459"/>
      <c r="F146" s="456">
        <f t="shared" si="107"/>
        <v>0</v>
      </c>
      <c r="G146" s="456"/>
      <c r="H146" s="456"/>
      <c r="I146" s="456"/>
      <c r="J146" s="456">
        <f t="shared" si="109"/>
        <v>0</v>
      </c>
      <c r="K146" s="456"/>
      <c r="L146" s="456"/>
      <c r="M146" s="456"/>
      <c r="N146" s="456"/>
      <c r="O146" s="456"/>
    </row>
    <row r="147" ht="15" spans="2:15">
      <c r="B147" s="453"/>
      <c r="C147" s="460" t="s">
        <v>772</v>
      </c>
      <c r="D147" s="457"/>
      <c r="E147" s="459"/>
      <c r="F147" s="456">
        <f ca="1" t="shared" si="107"/>
        <v>462.905091180188</v>
      </c>
      <c r="G147" s="456">
        <f>'[60]GFA &amp; Dep-MYT 5th Control'!$N$38</f>
        <v>46.2204129438014</v>
      </c>
      <c r="H147" s="456">
        <f ca="1" t="shared" ref="H147:L147" si="110">H464+H781</f>
        <v>0</v>
      </c>
      <c r="I147" s="456">
        <f ca="1">F147+G147-H147</f>
        <v>509.12550412399</v>
      </c>
      <c r="J147" s="456">
        <f ca="1" t="shared" si="109"/>
        <v>158.710490628576</v>
      </c>
      <c r="K147" s="456">
        <f>'[60]GFA &amp; Dep-MYT 5th Control'!$F$173</f>
        <v>19.8825839579039</v>
      </c>
      <c r="L147" s="456">
        <f ca="1" t="shared" si="110"/>
        <v>0</v>
      </c>
      <c r="M147" s="456">
        <f ca="1">J147+K147-L147</f>
        <v>178.593074586479</v>
      </c>
      <c r="N147" s="456">
        <f ca="1" t="shared" ref="N147:N150" si="111">F147-J147</f>
        <v>304.194600551613</v>
      </c>
      <c r="O147" s="456">
        <f ca="1" t="shared" ref="O147:O150" si="112">I147-M147</f>
        <v>330.53242953751</v>
      </c>
    </row>
    <row r="148" ht="28.5" spans="2:15">
      <c r="B148" s="453"/>
      <c r="C148" s="460" t="s">
        <v>773</v>
      </c>
      <c r="D148" s="457"/>
      <c r="E148" s="459"/>
      <c r="F148" s="456">
        <f ca="1" t="shared" si="107"/>
        <v>0</v>
      </c>
      <c r="G148" s="456">
        <f ca="1" t="shared" ref="G148:L150" si="113">G465+G782</f>
        <v>0</v>
      </c>
      <c r="H148" s="456">
        <f ca="1" t="shared" si="113"/>
        <v>0</v>
      </c>
      <c r="I148" s="456">
        <f ca="1">F148+G148-H148</f>
        <v>0</v>
      </c>
      <c r="J148" s="456">
        <f ca="1" t="shared" si="109"/>
        <v>0</v>
      </c>
      <c r="K148" s="456">
        <f ca="1" t="shared" si="113"/>
        <v>0</v>
      </c>
      <c r="L148" s="456">
        <f ca="1" t="shared" si="113"/>
        <v>0</v>
      </c>
      <c r="M148" s="456">
        <f ca="1">J148+K148-L148</f>
        <v>0</v>
      </c>
      <c r="N148" s="456">
        <f ca="1" t="shared" si="111"/>
        <v>0</v>
      </c>
      <c r="O148" s="456">
        <f ca="1" t="shared" si="112"/>
        <v>0</v>
      </c>
    </row>
    <row r="149" ht="15" spans="2:15">
      <c r="B149" s="453"/>
      <c r="C149" s="460" t="s">
        <v>774</v>
      </c>
      <c r="D149" s="457"/>
      <c r="E149" s="459"/>
      <c r="F149" s="456">
        <f ca="1" t="shared" si="107"/>
        <v>0</v>
      </c>
      <c r="G149" s="456">
        <f ca="1" t="shared" si="113"/>
        <v>0</v>
      </c>
      <c r="H149" s="456">
        <f ca="1" t="shared" si="113"/>
        <v>0</v>
      </c>
      <c r="I149" s="456">
        <f ca="1">F149+G149-H149</f>
        <v>0</v>
      </c>
      <c r="J149" s="456">
        <f ca="1" t="shared" si="109"/>
        <v>0</v>
      </c>
      <c r="K149" s="456">
        <f ca="1" t="shared" si="113"/>
        <v>0</v>
      </c>
      <c r="L149" s="456">
        <f ca="1" t="shared" si="113"/>
        <v>0</v>
      </c>
      <c r="M149" s="456">
        <f ca="1">J149+K149-L149</f>
        <v>0</v>
      </c>
      <c r="N149" s="456">
        <f ca="1" t="shared" si="111"/>
        <v>0</v>
      </c>
      <c r="O149" s="456">
        <f ca="1" t="shared" si="112"/>
        <v>0</v>
      </c>
    </row>
    <row r="150" ht="15" spans="2:15">
      <c r="B150" s="453"/>
      <c r="C150" s="460" t="s">
        <v>775</v>
      </c>
      <c r="D150" s="457"/>
      <c r="E150" s="459"/>
      <c r="F150" s="456">
        <f ca="1" t="shared" si="107"/>
        <v>221.08</v>
      </c>
      <c r="G150" s="456">
        <f ca="1" t="shared" si="113"/>
        <v>0</v>
      </c>
      <c r="H150" s="456">
        <f ca="1" t="shared" si="113"/>
        <v>0</v>
      </c>
      <c r="I150" s="456">
        <f ca="1">F150+G150-H150</f>
        <v>221.08</v>
      </c>
      <c r="J150" s="456">
        <f ca="1" t="shared" si="109"/>
        <v>44.413445081</v>
      </c>
      <c r="K150" s="456">
        <f>'[60]GFA &amp; Dep-MYT 5th Control'!$F$176</f>
        <v>0</v>
      </c>
      <c r="L150" s="456">
        <f ca="1" t="shared" si="113"/>
        <v>0</v>
      </c>
      <c r="M150" s="456">
        <f ca="1">J150+K150-L150</f>
        <v>44.413445081</v>
      </c>
      <c r="N150" s="456">
        <f ca="1" t="shared" si="111"/>
        <v>176.666554919</v>
      </c>
      <c r="O150" s="456">
        <f ca="1" t="shared" si="112"/>
        <v>176.666554919</v>
      </c>
    </row>
    <row r="151" ht="15" spans="2:15">
      <c r="B151" s="453">
        <v>4</v>
      </c>
      <c r="C151" s="436" t="s">
        <v>776</v>
      </c>
      <c r="D151" s="457"/>
      <c r="E151" s="459"/>
      <c r="F151" s="456">
        <f t="shared" si="107"/>
        <v>0</v>
      </c>
      <c r="G151" s="456"/>
      <c r="H151" s="456"/>
      <c r="I151" s="456"/>
      <c r="J151" s="456">
        <f t="shared" si="109"/>
        <v>0</v>
      </c>
      <c r="K151" s="456"/>
      <c r="L151" s="456"/>
      <c r="M151" s="456"/>
      <c r="N151" s="456"/>
      <c r="O151" s="456"/>
    </row>
    <row r="152" ht="15" spans="2:15">
      <c r="B152" s="453"/>
      <c r="C152" s="461" t="s">
        <v>777</v>
      </c>
      <c r="D152" s="457"/>
      <c r="E152" s="459"/>
      <c r="F152" s="456">
        <f ca="1" t="shared" si="107"/>
        <v>11092.8890520154</v>
      </c>
      <c r="G152" s="456">
        <f>'[60]GFA &amp; Dep-MYT 5th Control'!$N$34</f>
        <v>1097.59833081481</v>
      </c>
      <c r="H152" s="456">
        <f ca="1" t="shared" ref="H152:L152" si="114">H469+H786</f>
        <v>0</v>
      </c>
      <c r="I152" s="456">
        <f ca="1">F152+G152-H152</f>
        <v>12190.4873828302</v>
      </c>
      <c r="J152" s="456">
        <f ca="1" t="shared" si="109"/>
        <v>5518.63417933854</v>
      </c>
      <c r="K152" s="456">
        <f>SUM('[60]GFA &amp; Dep-MYT 5th Control'!$F$178:$F$180)</f>
        <v>422.638665215524</v>
      </c>
      <c r="L152" s="456">
        <f ca="1" t="shared" si="114"/>
        <v>0</v>
      </c>
      <c r="M152" s="456">
        <f ca="1">J152+K152-L152</f>
        <v>5941.27284455406</v>
      </c>
      <c r="N152" s="456">
        <f ca="1">F152-J152</f>
        <v>5574.25487267683</v>
      </c>
      <c r="O152" s="456">
        <f ca="1" t="shared" ref="O152" si="115">I152-M152</f>
        <v>6249.21453827612</v>
      </c>
    </row>
    <row r="153" ht="15" spans="2:15">
      <c r="B153" s="453"/>
      <c r="C153" s="436" t="s">
        <v>778</v>
      </c>
      <c r="D153" s="457"/>
      <c r="E153" s="459"/>
      <c r="F153" s="456">
        <f t="shared" si="107"/>
        <v>0</v>
      </c>
      <c r="G153" s="456"/>
      <c r="H153" s="456"/>
      <c r="I153" s="456"/>
      <c r="J153" s="456">
        <f t="shared" si="109"/>
        <v>0</v>
      </c>
      <c r="K153" s="456"/>
      <c r="L153" s="456"/>
      <c r="M153" s="456"/>
      <c r="N153" s="456"/>
      <c r="O153" s="456"/>
    </row>
    <row r="154" ht="15" spans="2:15">
      <c r="B154" s="453"/>
      <c r="C154" s="461" t="s">
        <v>779</v>
      </c>
      <c r="D154" s="457"/>
      <c r="E154" s="459"/>
      <c r="F154" s="456">
        <f ca="1" t="shared" si="107"/>
        <v>0</v>
      </c>
      <c r="G154" s="456">
        <f ca="1" t="shared" ref="G154:L155" si="116">G471+G788</f>
        <v>0</v>
      </c>
      <c r="H154" s="456">
        <f ca="1" t="shared" si="116"/>
        <v>0</v>
      </c>
      <c r="I154" s="456">
        <f ca="1" t="shared" ref="I154:I155" si="117">F154+G154-H154</f>
        <v>0</v>
      </c>
      <c r="J154" s="456">
        <f ca="1" t="shared" si="109"/>
        <v>0</v>
      </c>
      <c r="K154" s="456">
        <f ca="1" t="shared" si="116"/>
        <v>0</v>
      </c>
      <c r="L154" s="456">
        <f ca="1" t="shared" si="116"/>
        <v>0</v>
      </c>
      <c r="M154" s="456">
        <f ca="1">J154+K154-L154</f>
        <v>0</v>
      </c>
      <c r="N154" s="456">
        <f ca="1" t="shared" ref="N154:N155" si="118">F154-J154</f>
        <v>0</v>
      </c>
      <c r="O154" s="456">
        <f ca="1" t="shared" ref="O154:O155" si="119">I154-M154</f>
        <v>0</v>
      </c>
    </row>
    <row r="155" ht="15" spans="2:15">
      <c r="B155" s="453"/>
      <c r="C155" s="461" t="s">
        <v>780</v>
      </c>
      <c r="D155" s="457"/>
      <c r="E155" s="459"/>
      <c r="F155" s="456">
        <f ca="1" t="shared" si="107"/>
        <v>0</v>
      </c>
      <c r="G155" s="456">
        <f ca="1" t="shared" si="116"/>
        <v>0</v>
      </c>
      <c r="H155" s="456">
        <f ca="1" t="shared" si="116"/>
        <v>0</v>
      </c>
      <c r="I155" s="456">
        <f ca="1" t="shared" si="117"/>
        <v>0</v>
      </c>
      <c r="J155" s="456">
        <f ca="1" t="shared" si="109"/>
        <v>0</v>
      </c>
      <c r="K155" s="456">
        <f ca="1" t="shared" si="116"/>
        <v>0</v>
      </c>
      <c r="L155" s="456">
        <f ca="1" t="shared" si="116"/>
        <v>0</v>
      </c>
      <c r="M155" s="456">
        <f ca="1">J155+K155-L155</f>
        <v>0</v>
      </c>
      <c r="N155" s="456">
        <f ca="1" t="shared" si="118"/>
        <v>0</v>
      </c>
      <c r="O155" s="456">
        <f ca="1" t="shared" si="119"/>
        <v>0</v>
      </c>
    </row>
    <row r="156" ht="15" spans="2:15">
      <c r="B156" s="453">
        <v>5</v>
      </c>
      <c r="C156" s="436" t="s">
        <v>781</v>
      </c>
      <c r="D156" s="457"/>
      <c r="E156" s="459"/>
      <c r="F156" s="456">
        <f t="shared" si="107"/>
        <v>0</v>
      </c>
      <c r="G156" s="462"/>
      <c r="H156" s="462"/>
      <c r="I156" s="462"/>
      <c r="J156" s="456">
        <f t="shared" si="109"/>
        <v>0</v>
      </c>
      <c r="K156" s="462"/>
      <c r="L156" s="462"/>
      <c r="M156" s="462"/>
      <c r="N156" s="462"/>
      <c r="O156" s="462"/>
    </row>
    <row r="157" ht="15" spans="2:15">
      <c r="B157" s="453"/>
      <c r="C157" s="461" t="s">
        <v>782</v>
      </c>
      <c r="D157" s="457"/>
      <c r="E157" s="459"/>
      <c r="F157" s="456">
        <f ca="1" t="shared" si="107"/>
        <v>0</v>
      </c>
      <c r="G157" s="456">
        <f ca="1" t="shared" ref="G157:L162" si="120">G474+G791</f>
        <v>0</v>
      </c>
      <c r="H157" s="456">
        <f ca="1" t="shared" si="120"/>
        <v>0</v>
      </c>
      <c r="I157" s="456">
        <f ca="1" t="shared" ref="I157:I162" si="121">F157+G157-H157</f>
        <v>0</v>
      </c>
      <c r="J157" s="456">
        <f ca="1" t="shared" si="109"/>
        <v>0</v>
      </c>
      <c r="K157" s="456">
        <f ca="1" t="shared" si="120"/>
        <v>0</v>
      </c>
      <c r="L157" s="456">
        <f ca="1" t="shared" si="120"/>
        <v>0</v>
      </c>
      <c r="M157" s="456">
        <f ca="1" t="shared" ref="M157:M162" si="122">J157+K157-L157</f>
        <v>0</v>
      </c>
      <c r="N157" s="456">
        <f ca="1" t="shared" ref="N157:N162" si="123">F157-J157</f>
        <v>0</v>
      </c>
      <c r="O157" s="456">
        <f ca="1" t="shared" ref="O157:O162" si="124">I157-M157</f>
        <v>0</v>
      </c>
    </row>
    <row r="158" ht="15" spans="2:15">
      <c r="B158" s="453"/>
      <c r="C158" s="461" t="s">
        <v>783</v>
      </c>
      <c r="D158" s="457"/>
      <c r="E158" s="459"/>
      <c r="F158" s="456">
        <f ca="1" t="shared" si="107"/>
        <v>0</v>
      </c>
      <c r="G158" s="456">
        <f ca="1" t="shared" si="120"/>
        <v>0</v>
      </c>
      <c r="H158" s="456">
        <f ca="1" t="shared" si="120"/>
        <v>0</v>
      </c>
      <c r="I158" s="456">
        <f ca="1" t="shared" si="121"/>
        <v>0</v>
      </c>
      <c r="J158" s="456">
        <f ca="1" t="shared" si="109"/>
        <v>0</v>
      </c>
      <c r="K158" s="456">
        <f ca="1" t="shared" si="120"/>
        <v>0</v>
      </c>
      <c r="L158" s="456">
        <f ca="1" t="shared" si="120"/>
        <v>0</v>
      </c>
      <c r="M158" s="456">
        <f ca="1" t="shared" si="122"/>
        <v>0</v>
      </c>
      <c r="N158" s="456">
        <f ca="1" t="shared" si="123"/>
        <v>0</v>
      </c>
      <c r="O158" s="456">
        <f ca="1" t="shared" si="124"/>
        <v>0</v>
      </c>
    </row>
    <row r="159" ht="15" spans="2:15">
      <c r="B159" s="453"/>
      <c r="C159" s="461" t="s">
        <v>784</v>
      </c>
      <c r="D159" s="457"/>
      <c r="E159" s="459"/>
      <c r="F159" s="456">
        <f ca="1" t="shared" si="107"/>
        <v>0</v>
      </c>
      <c r="G159" s="456">
        <f ca="1" t="shared" si="120"/>
        <v>0</v>
      </c>
      <c r="H159" s="456">
        <f ca="1" t="shared" si="120"/>
        <v>0</v>
      </c>
      <c r="I159" s="456">
        <f ca="1" t="shared" si="121"/>
        <v>0</v>
      </c>
      <c r="J159" s="456">
        <f ca="1" t="shared" si="109"/>
        <v>0</v>
      </c>
      <c r="K159" s="456">
        <f ca="1" t="shared" si="120"/>
        <v>0</v>
      </c>
      <c r="L159" s="456">
        <f ca="1" t="shared" si="120"/>
        <v>0</v>
      </c>
      <c r="M159" s="456">
        <f ca="1" t="shared" si="122"/>
        <v>0</v>
      </c>
      <c r="N159" s="456">
        <f ca="1" t="shared" si="123"/>
        <v>0</v>
      </c>
      <c r="O159" s="456">
        <f ca="1" t="shared" si="124"/>
        <v>0</v>
      </c>
    </row>
    <row r="160" ht="15" spans="2:15">
      <c r="B160" s="453"/>
      <c r="C160" s="461" t="s">
        <v>785</v>
      </c>
      <c r="D160" s="457"/>
      <c r="E160" s="459"/>
      <c r="F160" s="456">
        <f ca="1" t="shared" si="107"/>
        <v>0</v>
      </c>
      <c r="G160" s="456">
        <f ca="1" t="shared" si="120"/>
        <v>0</v>
      </c>
      <c r="H160" s="456">
        <f ca="1" t="shared" si="120"/>
        <v>0</v>
      </c>
      <c r="I160" s="456">
        <f ca="1" t="shared" si="121"/>
        <v>0</v>
      </c>
      <c r="J160" s="456">
        <f ca="1" t="shared" si="109"/>
        <v>0</v>
      </c>
      <c r="K160" s="456">
        <f ca="1" t="shared" si="120"/>
        <v>0</v>
      </c>
      <c r="L160" s="456">
        <f ca="1" t="shared" si="120"/>
        <v>0</v>
      </c>
      <c r="M160" s="456">
        <f ca="1" t="shared" si="122"/>
        <v>0</v>
      </c>
      <c r="N160" s="456">
        <f ca="1" t="shared" si="123"/>
        <v>0</v>
      </c>
      <c r="O160" s="456">
        <f ca="1" t="shared" si="124"/>
        <v>0</v>
      </c>
    </row>
    <row r="161" ht="15" spans="2:15">
      <c r="B161" s="453">
        <v>6</v>
      </c>
      <c r="C161" s="436" t="s">
        <v>786</v>
      </c>
      <c r="D161" s="457"/>
      <c r="E161" s="459"/>
      <c r="F161" s="456">
        <f ca="1" t="shared" si="107"/>
        <v>0</v>
      </c>
      <c r="G161" s="456">
        <f ca="1" t="shared" si="120"/>
        <v>0</v>
      </c>
      <c r="H161" s="456">
        <f ca="1" t="shared" si="120"/>
        <v>0</v>
      </c>
      <c r="I161" s="456">
        <f ca="1" t="shared" si="121"/>
        <v>0</v>
      </c>
      <c r="J161" s="456">
        <f ca="1" t="shared" si="109"/>
        <v>0</v>
      </c>
      <c r="K161" s="456">
        <f ca="1" t="shared" si="120"/>
        <v>0</v>
      </c>
      <c r="L161" s="456">
        <f ca="1" t="shared" si="120"/>
        <v>0</v>
      </c>
      <c r="M161" s="456">
        <f ca="1" t="shared" si="122"/>
        <v>0</v>
      </c>
      <c r="N161" s="456">
        <f ca="1" t="shared" si="123"/>
        <v>0</v>
      </c>
      <c r="O161" s="456">
        <f ca="1" t="shared" si="124"/>
        <v>0</v>
      </c>
    </row>
    <row r="162" ht="15" spans="2:15">
      <c r="B162" s="453">
        <v>7</v>
      </c>
      <c r="C162" s="436" t="s">
        <v>787</v>
      </c>
      <c r="D162" s="457"/>
      <c r="E162" s="459"/>
      <c r="F162" s="456">
        <f ca="1" t="shared" si="107"/>
        <v>0</v>
      </c>
      <c r="G162" s="456">
        <f ca="1" t="shared" si="120"/>
        <v>0</v>
      </c>
      <c r="H162" s="456">
        <f ca="1" t="shared" si="120"/>
        <v>0</v>
      </c>
      <c r="I162" s="456">
        <f ca="1" t="shared" si="121"/>
        <v>0</v>
      </c>
      <c r="J162" s="456">
        <f ca="1" t="shared" si="109"/>
        <v>0</v>
      </c>
      <c r="K162" s="456">
        <f ca="1" t="shared" si="120"/>
        <v>0</v>
      </c>
      <c r="L162" s="456">
        <f ca="1" t="shared" si="120"/>
        <v>0</v>
      </c>
      <c r="M162" s="456">
        <f ca="1" t="shared" si="122"/>
        <v>0</v>
      </c>
      <c r="N162" s="456">
        <f ca="1" t="shared" si="123"/>
        <v>0</v>
      </c>
      <c r="O162" s="456">
        <f ca="1" t="shared" si="124"/>
        <v>0</v>
      </c>
    </row>
    <row r="163" ht="15" spans="2:15">
      <c r="B163" s="453">
        <v>8</v>
      </c>
      <c r="C163" s="436" t="s">
        <v>788</v>
      </c>
      <c r="D163" s="457"/>
      <c r="E163" s="459"/>
      <c r="F163" s="456">
        <f t="shared" si="107"/>
        <v>0</v>
      </c>
      <c r="G163" s="456"/>
      <c r="H163" s="456"/>
      <c r="I163" s="456"/>
      <c r="J163" s="456">
        <f t="shared" si="109"/>
        <v>0</v>
      </c>
      <c r="K163" s="456"/>
      <c r="L163" s="456"/>
      <c r="M163" s="456"/>
      <c r="N163" s="456"/>
      <c r="O163" s="456"/>
    </row>
    <row r="164" ht="15" spans="2:15">
      <c r="B164" s="453"/>
      <c r="C164" s="461" t="s">
        <v>789</v>
      </c>
      <c r="D164" s="457"/>
      <c r="E164" s="459"/>
      <c r="F164" s="456">
        <f ca="1" t="shared" si="107"/>
        <v>11125.7351457927</v>
      </c>
      <c r="G164" s="456">
        <f>'[60]GFA &amp; Dep-MYT 5th Control'!$N$35</f>
        <v>1274.60802090028</v>
      </c>
      <c r="H164" s="456">
        <f ca="1" t="shared" ref="H164:L164" si="125">H481+H798</f>
        <v>0</v>
      </c>
      <c r="I164" s="456">
        <f ca="1" t="shared" ref="I164:I168" si="126">F164+G164-H164</f>
        <v>12400.343166693</v>
      </c>
      <c r="J164" s="456">
        <f ca="1" t="shared" si="109"/>
        <v>4894.27950957997</v>
      </c>
      <c r="K164" s="456">
        <f>SUM('[60]GFA &amp; Dep-MYT 5th Control'!$F$187:$F$189)</f>
        <v>404.584440034846</v>
      </c>
      <c r="L164" s="456">
        <f ca="1" t="shared" si="125"/>
        <v>0</v>
      </c>
      <c r="M164" s="456">
        <f ca="1">J164+K164-L164</f>
        <v>5298.86394961482</v>
      </c>
      <c r="N164" s="456">
        <f ca="1" t="shared" ref="N164:N168" si="127">F164-J164</f>
        <v>6231.45563621271</v>
      </c>
      <c r="O164" s="456">
        <f ca="1" t="shared" ref="O164:O168" si="128">I164-M164</f>
        <v>7101.47921707814</v>
      </c>
    </row>
    <row r="165" ht="15" spans="2:15">
      <c r="B165" s="453"/>
      <c r="C165" s="461" t="s">
        <v>808</v>
      </c>
      <c r="D165" s="457"/>
      <c r="E165" s="459"/>
      <c r="F165" s="456">
        <f ca="1" t="shared" si="107"/>
        <v>0</v>
      </c>
      <c r="G165" s="456">
        <f ca="1" t="shared" ref="G165:L167" si="129">G482+G799</f>
        <v>0</v>
      </c>
      <c r="H165" s="456">
        <f ca="1" t="shared" si="129"/>
        <v>0</v>
      </c>
      <c r="I165" s="456">
        <f ca="1" t="shared" si="126"/>
        <v>0</v>
      </c>
      <c r="J165" s="456">
        <f ca="1" t="shared" si="109"/>
        <v>0</v>
      </c>
      <c r="K165" s="456">
        <f ca="1" t="shared" si="129"/>
        <v>0</v>
      </c>
      <c r="L165" s="456">
        <f ca="1" t="shared" si="129"/>
        <v>0</v>
      </c>
      <c r="M165" s="456">
        <f ca="1">J165+K165-L165</f>
        <v>0</v>
      </c>
      <c r="N165" s="456">
        <f ca="1" t="shared" si="127"/>
        <v>0</v>
      </c>
      <c r="O165" s="456">
        <f ca="1" t="shared" si="128"/>
        <v>0</v>
      </c>
    </row>
    <row r="166" ht="30" spans="2:15">
      <c r="B166" s="463">
        <v>9</v>
      </c>
      <c r="C166" s="464" t="s">
        <v>791</v>
      </c>
      <c r="D166" s="457"/>
      <c r="E166" s="459"/>
      <c r="F166" s="456">
        <f ca="1" t="shared" si="107"/>
        <v>0</v>
      </c>
      <c r="G166" s="456">
        <f ca="1" t="shared" si="129"/>
        <v>0</v>
      </c>
      <c r="H166" s="456">
        <f ca="1" t="shared" si="129"/>
        <v>0</v>
      </c>
      <c r="I166" s="456">
        <f ca="1" t="shared" si="126"/>
        <v>0</v>
      </c>
      <c r="J166" s="456">
        <f ca="1" t="shared" si="109"/>
        <v>0</v>
      </c>
      <c r="K166" s="456">
        <f ca="1" t="shared" si="129"/>
        <v>0</v>
      </c>
      <c r="L166" s="456">
        <f ca="1" t="shared" si="129"/>
        <v>0</v>
      </c>
      <c r="M166" s="456">
        <f ca="1">J166+K166-L166</f>
        <v>0</v>
      </c>
      <c r="N166" s="456">
        <f ca="1" t="shared" si="127"/>
        <v>0</v>
      </c>
      <c r="O166" s="456">
        <f ca="1" t="shared" si="128"/>
        <v>0</v>
      </c>
    </row>
    <row r="167" ht="15" spans="2:15">
      <c r="B167" s="465">
        <v>10</v>
      </c>
      <c r="C167" s="423" t="s">
        <v>792</v>
      </c>
      <c r="D167" s="466"/>
      <c r="E167" s="459"/>
      <c r="F167" s="456">
        <f ca="1" t="shared" si="107"/>
        <v>1989.99237518641</v>
      </c>
      <c r="G167" s="456">
        <f>'[60]GFA &amp; Dep-MYT 5th Control'!$N$36</f>
        <v>84.7807027721061</v>
      </c>
      <c r="H167" s="456">
        <f ca="1" t="shared" si="129"/>
        <v>0</v>
      </c>
      <c r="I167" s="456">
        <f ca="1" t="shared" si="126"/>
        <v>2074.77307795851</v>
      </c>
      <c r="J167" s="456">
        <f ca="1" t="shared" si="109"/>
        <v>1265.91879858004</v>
      </c>
      <c r="K167" s="456">
        <f>'[60]GFA &amp; Dep-MYT 5th Control'!$F$184</f>
        <v>59.4955205588713</v>
      </c>
      <c r="L167" s="456">
        <f ca="1" t="shared" si="129"/>
        <v>0</v>
      </c>
      <c r="M167" s="456">
        <f ca="1">J167+K167-L167</f>
        <v>1325.41431913892</v>
      </c>
      <c r="N167" s="456">
        <f ca="1" t="shared" si="127"/>
        <v>724.073576606361</v>
      </c>
      <c r="O167" s="456">
        <f ca="1" t="shared" si="128"/>
        <v>749.358758819596</v>
      </c>
    </row>
    <row r="168" ht="15" spans="2:15">
      <c r="B168" s="465">
        <v>11</v>
      </c>
      <c r="C168" s="423" t="s">
        <v>793</v>
      </c>
      <c r="D168" s="466"/>
      <c r="E168" s="459"/>
      <c r="F168" s="456">
        <f ca="1" t="shared" si="107"/>
        <v>7.08</v>
      </c>
      <c r="G168" s="456">
        <f ca="1" t="shared" ref="G168:L168" si="130">G485+G802</f>
        <v>0</v>
      </c>
      <c r="H168" s="456">
        <f ca="1" t="shared" si="130"/>
        <v>0</v>
      </c>
      <c r="I168" s="456">
        <f ca="1" t="shared" si="126"/>
        <v>7.08</v>
      </c>
      <c r="J168" s="456">
        <f ca="1" t="shared" si="109"/>
        <v>6.392199932</v>
      </c>
      <c r="K168" s="456">
        <f>'[60]GFA &amp; Dep-MYT 5th Control'!$F$191</f>
        <v>0</v>
      </c>
      <c r="L168" s="456">
        <f ca="1" t="shared" si="130"/>
        <v>0</v>
      </c>
      <c r="M168" s="456">
        <f ca="1">J168+K168-L168</f>
        <v>6.392199932</v>
      </c>
      <c r="N168" s="456">
        <f ca="1" t="shared" si="127"/>
        <v>0.687800068</v>
      </c>
      <c r="O168" s="456">
        <f ca="1" t="shared" si="128"/>
        <v>0.687800068</v>
      </c>
    </row>
    <row r="169" ht="15" spans="2:15">
      <c r="B169" s="465">
        <v>12</v>
      </c>
      <c r="C169" s="423" t="s">
        <v>794</v>
      </c>
      <c r="D169" s="466"/>
      <c r="E169" s="459"/>
      <c r="F169" s="456">
        <f t="shared" si="107"/>
        <v>0</v>
      </c>
      <c r="G169" s="456"/>
      <c r="H169" s="456"/>
      <c r="I169" s="456"/>
      <c r="J169" s="456">
        <f t="shared" si="109"/>
        <v>0</v>
      </c>
      <c r="K169" s="456"/>
      <c r="L169" s="456"/>
      <c r="M169" s="456"/>
      <c r="N169" s="456"/>
      <c r="O169" s="456"/>
    </row>
    <row r="170" ht="15" spans="2:15">
      <c r="B170" s="465"/>
      <c r="C170" s="425" t="s">
        <v>795</v>
      </c>
      <c r="D170" s="466"/>
      <c r="E170" s="459"/>
      <c r="F170" s="456">
        <f ca="1" t="shared" si="107"/>
        <v>2.6</v>
      </c>
      <c r="G170" s="456">
        <f ca="1" t="shared" ref="G170:L171" si="131">G487+G804</f>
        <v>0</v>
      </c>
      <c r="H170" s="456">
        <f ca="1" t="shared" si="131"/>
        <v>0</v>
      </c>
      <c r="I170" s="456">
        <f ca="1" t="shared" ref="I170:I171" si="132">F170+G170-H170</f>
        <v>2.6</v>
      </c>
      <c r="J170" s="456">
        <f ca="1" t="shared" si="109"/>
        <v>1.701644132</v>
      </c>
      <c r="K170" s="456">
        <f ca="1" t="shared" si="131"/>
        <v>0</v>
      </c>
      <c r="L170" s="456">
        <f ca="1" t="shared" si="131"/>
        <v>0</v>
      </c>
      <c r="M170" s="456">
        <f ca="1">J170+K170-L170</f>
        <v>1.701644132</v>
      </c>
      <c r="N170" s="456">
        <f ca="1" t="shared" ref="N170:N171" si="133">F170-J170</f>
        <v>0.898355868</v>
      </c>
      <c r="O170" s="456">
        <f ca="1" t="shared" ref="O170:O171" si="134">I170-M170</f>
        <v>0.898355868</v>
      </c>
    </row>
    <row r="171" ht="15" spans="2:15">
      <c r="B171" s="465"/>
      <c r="C171" s="425" t="s">
        <v>796</v>
      </c>
      <c r="D171" s="466"/>
      <c r="E171" s="459"/>
      <c r="F171" s="456">
        <f ca="1" t="shared" si="107"/>
        <v>0</v>
      </c>
      <c r="G171" s="456">
        <f ca="1" t="shared" si="131"/>
        <v>0</v>
      </c>
      <c r="H171" s="456">
        <f ca="1" t="shared" si="131"/>
        <v>0</v>
      </c>
      <c r="I171" s="456">
        <f ca="1" t="shared" si="132"/>
        <v>0</v>
      </c>
      <c r="J171" s="456">
        <f ca="1" t="shared" si="109"/>
        <v>0</v>
      </c>
      <c r="K171" s="456">
        <f ca="1" t="shared" si="131"/>
        <v>0</v>
      </c>
      <c r="L171" s="456">
        <f ca="1" t="shared" si="131"/>
        <v>0</v>
      </c>
      <c r="M171" s="456">
        <f ca="1">J171+K171-L171</f>
        <v>0</v>
      </c>
      <c r="N171" s="456">
        <f ca="1" t="shared" si="133"/>
        <v>0</v>
      </c>
      <c r="O171" s="456">
        <f ca="1" t="shared" si="134"/>
        <v>0</v>
      </c>
    </row>
    <row r="172" ht="15" spans="2:15">
      <c r="B172" s="465">
        <v>13</v>
      </c>
      <c r="C172" s="425"/>
      <c r="D172" s="466"/>
      <c r="E172" s="459"/>
      <c r="F172" s="456">
        <f t="shared" si="107"/>
        <v>0</v>
      </c>
      <c r="G172" s="456"/>
      <c r="H172" s="456"/>
      <c r="I172" s="456"/>
      <c r="J172" s="456">
        <f t="shared" si="109"/>
        <v>0</v>
      </c>
      <c r="K172" s="456"/>
      <c r="L172" s="456"/>
      <c r="M172" s="456"/>
      <c r="N172" s="456"/>
      <c r="O172" s="456"/>
    </row>
    <row r="173" ht="15" spans="2:15">
      <c r="B173" s="465"/>
      <c r="C173" s="425" t="s">
        <v>797</v>
      </c>
      <c r="D173" s="466"/>
      <c r="E173" s="459"/>
      <c r="F173" s="456">
        <f ca="1" t="shared" si="107"/>
        <v>17.25</v>
      </c>
      <c r="G173" s="456">
        <f ca="1" t="shared" ref="G173:L174" si="135">G490+G807</f>
        <v>0</v>
      </c>
      <c r="H173" s="456">
        <f ca="1" t="shared" si="135"/>
        <v>0</v>
      </c>
      <c r="I173" s="456">
        <f ca="1" t="shared" ref="I173:I176" si="136">F173+G173-H173</f>
        <v>17.25</v>
      </c>
      <c r="J173" s="456">
        <f ca="1" t="shared" si="109"/>
        <v>12.544191075</v>
      </c>
      <c r="K173" s="456">
        <f>'[60]GFA &amp; Dep-MYT 5th Control'!$F$192</f>
        <v>0.472833391</v>
      </c>
      <c r="L173" s="456">
        <f ca="1" t="shared" si="135"/>
        <v>0</v>
      </c>
      <c r="M173" s="456">
        <f ca="1">J173+K173-L173</f>
        <v>13.017024466</v>
      </c>
      <c r="N173" s="456">
        <f ca="1" t="shared" ref="N173:N176" si="137">F173-J173</f>
        <v>4.705808925</v>
      </c>
      <c r="O173" s="456">
        <f ca="1" t="shared" ref="O173:O176" si="138">I173-M173</f>
        <v>4.232975534</v>
      </c>
    </row>
    <row r="174" ht="15" spans="2:15">
      <c r="B174" s="465"/>
      <c r="C174" s="425" t="s">
        <v>798</v>
      </c>
      <c r="D174" s="466"/>
      <c r="E174" s="459"/>
      <c r="F174" s="456">
        <f ca="1" t="shared" si="107"/>
        <v>51.6678201566223</v>
      </c>
      <c r="G174" s="456">
        <f>'[60]GFA &amp; Dep-MYT 5th Control'!$N$37</f>
        <v>0.155216287640751</v>
      </c>
      <c r="H174" s="456">
        <f ca="1" t="shared" si="135"/>
        <v>0</v>
      </c>
      <c r="I174" s="456">
        <f ca="1" t="shared" si="136"/>
        <v>51.823036444263</v>
      </c>
      <c r="J174" s="456">
        <f ca="1" t="shared" si="109"/>
        <v>36.3833963866974</v>
      </c>
      <c r="K174" s="456">
        <f>'[60]GFA &amp; Dep-MYT 5th Control'!$F$193</f>
        <v>1.58589348803984</v>
      </c>
      <c r="L174" s="456">
        <f ca="1" t="shared" si="135"/>
        <v>0</v>
      </c>
      <c r="M174" s="456">
        <f ca="1">J174+K174-L174</f>
        <v>37.9692898747372</v>
      </c>
      <c r="N174" s="456">
        <f ca="1" t="shared" si="137"/>
        <v>15.2844237699249</v>
      </c>
      <c r="O174" s="456">
        <f ca="1" t="shared" si="138"/>
        <v>13.8537465695258</v>
      </c>
    </row>
    <row r="175" ht="15" spans="2:15">
      <c r="B175" s="465"/>
      <c r="C175" s="425" t="s">
        <v>799</v>
      </c>
      <c r="D175" s="466"/>
      <c r="E175" s="459"/>
      <c r="F175" s="456">
        <f ca="1" t="shared" si="107"/>
        <v>0</v>
      </c>
      <c r="G175" s="456">
        <f ca="1" t="shared" ref="G175:L176" si="139">G492+G809</f>
        <v>0</v>
      </c>
      <c r="H175" s="456">
        <f ca="1" t="shared" si="139"/>
        <v>0</v>
      </c>
      <c r="I175" s="456">
        <f ca="1" t="shared" si="136"/>
        <v>0</v>
      </c>
      <c r="J175" s="456">
        <f ca="1" t="shared" si="109"/>
        <v>0</v>
      </c>
      <c r="K175" s="456">
        <f ca="1" t="shared" si="139"/>
        <v>0</v>
      </c>
      <c r="L175" s="456">
        <f ca="1" t="shared" si="139"/>
        <v>0</v>
      </c>
      <c r="M175" s="456">
        <f ca="1">J175+K175-L175</f>
        <v>0</v>
      </c>
      <c r="N175" s="456">
        <f ca="1" t="shared" si="137"/>
        <v>0</v>
      </c>
      <c r="O175" s="456">
        <f ca="1" t="shared" si="138"/>
        <v>0</v>
      </c>
    </row>
    <row r="176" ht="15" spans="2:15">
      <c r="B176" s="465"/>
      <c r="C176" s="425" t="s">
        <v>800</v>
      </c>
      <c r="D176" s="466"/>
      <c r="E176" s="459"/>
      <c r="F176" s="456">
        <f ca="1" t="shared" si="107"/>
        <v>0</v>
      </c>
      <c r="G176" s="456">
        <f ca="1" t="shared" si="139"/>
        <v>0</v>
      </c>
      <c r="H176" s="456">
        <f ca="1" t="shared" si="139"/>
        <v>0</v>
      </c>
      <c r="I176" s="456">
        <f ca="1" t="shared" si="136"/>
        <v>0</v>
      </c>
      <c r="J176" s="456">
        <f ca="1" t="shared" si="109"/>
        <v>0</v>
      </c>
      <c r="K176" s="456">
        <f ca="1" t="shared" si="139"/>
        <v>0</v>
      </c>
      <c r="L176" s="456">
        <f ca="1" t="shared" si="139"/>
        <v>0</v>
      </c>
      <c r="M176" s="456">
        <f ca="1">J176+K176-L176</f>
        <v>0</v>
      </c>
      <c r="N176" s="456">
        <f ca="1" t="shared" si="137"/>
        <v>0</v>
      </c>
      <c r="O176" s="456">
        <f ca="1" t="shared" si="138"/>
        <v>0</v>
      </c>
    </row>
    <row r="177" ht="15" spans="2:15">
      <c r="B177" s="465">
        <v>14</v>
      </c>
      <c r="C177" s="423" t="s">
        <v>801</v>
      </c>
      <c r="D177" s="466"/>
      <c r="E177" s="459"/>
      <c r="F177" s="456">
        <f t="shared" si="107"/>
        <v>0</v>
      </c>
      <c r="G177" s="456"/>
      <c r="H177" s="456"/>
      <c r="I177" s="456"/>
      <c r="J177" s="456">
        <f t="shared" si="109"/>
        <v>0</v>
      </c>
      <c r="K177" s="456"/>
      <c r="L177" s="456"/>
      <c r="M177" s="456"/>
      <c r="N177" s="456"/>
      <c r="O177" s="456"/>
    </row>
    <row r="178" ht="15" spans="2:15">
      <c r="B178" s="465"/>
      <c r="C178" s="425" t="s">
        <v>802</v>
      </c>
      <c r="D178" s="466"/>
      <c r="E178" s="459"/>
      <c r="F178" s="456">
        <f ca="1" t="shared" si="107"/>
        <v>0</v>
      </c>
      <c r="G178" s="456">
        <f ca="1" t="shared" ref="G178:L181" si="140">G495+G812</f>
        <v>0</v>
      </c>
      <c r="H178" s="456">
        <f ca="1" t="shared" si="140"/>
        <v>0</v>
      </c>
      <c r="I178" s="456">
        <f ca="1" t="shared" ref="I178:I183" si="141">F178+G178-H178</f>
        <v>0</v>
      </c>
      <c r="J178" s="456">
        <f ca="1" t="shared" si="109"/>
        <v>0</v>
      </c>
      <c r="K178" s="456">
        <f ca="1" t="shared" si="140"/>
        <v>0</v>
      </c>
      <c r="L178" s="456">
        <f ca="1" t="shared" si="140"/>
        <v>0</v>
      </c>
      <c r="M178" s="456">
        <f ca="1" t="shared" ref="M178:M183" si="142">J178+K178-L178</f>
        <v>0</v>
      </c>
      <c r="N178" s="456">
        <f ca="1" t="shared" ref="N178:N183" si="143">F178-J178</f>
        <v>0</v>
      </c>
      <c r="O178" s="456">
        <f ca="1" t="shared" ref="O178:O183" si="144">I178-M178</f>
        <v>0</v>
      </c>
    </row>
    <row r="179" ht="15" spans="2:15">
      <c r="B179" s="465"/>
      <c r="C179" s="425" t="s">
        <v>803</v>
      </c>
      <c r="D179" s="466"/>
      <c r="E179" s="459"/>
      <c r="F179" s="456">
        <f ca="1" t="shared" si="107"/>
        <v>0</v>
      </c>
      <c r="G179" s="456">
        <f ca="1" t="shared" si="140"/>
        <v>0</v>
      </c>
      <c r="H179" s="456">
        <f ca="1" t="shared" si="140"/>
        <v>0</v>
      </c>
      <c r="I179" s="456">
        <f ca="1" t="shared" si="141"/>
        <v>0</v>
      </c>
      <c r="J179" s="456">
        <f ca="1" t="shared" si="109"/>
        <v>0</v>
      </c>
      <c r="K179" s="456">
        <f ca="1" t="shared" si="140"/>
        <v>0</v>
      </c>
      <c r="L179" s="456">
        <f ca="1" t="shared" si="140"/>
        <v>0</v>
      </c>
      <c r="M179" s="456">
        <f ca="1" t="shared" si="142"/>
        <v>0</v>
      </c>
      <c r="N179" s="456">
        <f ca="1" t="shared" si="143"/>
        <v>0</v>
      </c>
      <c r="O179" s="456">
        <f ca="1" t="shared" si="144"/>
        <v>0</v>
      </c>
    </row>
    <row r="180" ht="15" spans="2:15">
      <c r="B180" s="465"/>
      <c r="C180" s="425" t="s">
        <v>804</v>
      </c>
      <c r="D180" s="466"/>
      <c r="E180" s="459"/>
      <c r="F180" s="456">
        <f ca="1" t="shared" si="107"/>
        <v>0</v>
      </c>
      <c r="G180" s="456">
        <f ca="1" t="shared" si="140"/>
        <v>0</v>
      </c>
      <c r="H180" s="456">
        <f ca="1" t="shared" si="140"/>
        <v>0</v>
      </c>
      <c r="I180" s="456">
        <f ca="1" t="shared" si="141"/>
        <v>0</v>
      </c>
      <c r="J180" s="456">
        <f ca="1" t="shared" si="109"/>
        <v>0</v>
      </c>
      <c r="K180" s="456">
        <f ca="1" t="shared" si="140"/>
        <v>0</v>
      </c>
      <c r="L180" s="456">
        <f ca="1" t="shared" si="140"/>
        <v>0</v>
      </c>
      <c r="M180" s="456">
        <f ca="1" t="shared" si="142"/>
        <v>0</v>
      </c>
      <c r="N180" s="456">
        <f ca="1" t="shared" si="143"/>
        <v>0</v>
      </c>
      <c r="O180" s="456">
        <f ca="1" t="shared" si="144"/>
        <v>0</v>
      </c>
    </row>
    <row r="181" ht="15" spans="2:15">
      <c r="B181" s="465">
        <v>15</v>
      </c>
      <c r="C181" s="423" t="s">
        <v>805</v>
      </c>
      <c r="D181" s="466"/>
      <c r="E181" s="459"/>
      <c r="F181" s="456">
        <f ca="1" t="shared" si="107"/>
        <v>208.949199629183</v>
      </c>
      <c r="G181" s="456">
        <f>'[60]GFA &amp; Dep-MYT 5th Control'!$N$40</f>
        <v>12.1898557119299</v>
      </c>
      <c r="H181" s="456">
        <f ca="1" t="shared" si="140"/>
        <v>0</v>
      </c>
      <c r="I181" s="456">
        <f ca="1" t="shared" si="141"/>
        <v>221.139055341113</v>
      </c>
      <c r="J181" s="456">
        <f ca="1" t="shared" si="109"/>
        <v>171.511736195279</v>
      </c>
      <c r="K181" s="456">
        <f>'[60]GFA &amp; Dep-MYT 5th Control'!$F$195</f>
        <v>9.99237306277221</v>
      </c>
      <c r="L181" s="456">
        <f ca="1" t="shared" si="140"/>
        <v>0</v>
      </c>
      <c r="M181" s="456">
        <f ca="1" t="shared" si="142"/>
        <v>181.504109258051</v>
      </c>
      <c r="N181" s="456">
        <f ca="1" t="shared" si="143"/>
        <v>37.4374634339043</v>
      </c>
      <c r="O181" s="456">
        <f ca="1" t="shared" si="144"/>
        <v>39.634946083062</v>
      </c>
    </row>
    <row r="182" ht="15" spans="2:15">
      <c r="B182" s="465">
        <v>16</v>
      </c>
      <c r="C182" s="423" t="s">
        <v>806</v>
      </c>
      <c r="D182" s="457"/>
      <c r="E182" s="459"/>
      <c r="F182" s="456">
        <f ca="1" t="shared" si="107"/>
        <v>70.8</v>
      </c>
      <c r="G182" s="456">
        <f ca="1" t="shared" ref="G182:L183" si="145">G499+G816</f>
        <v>0</v>
      </c>
      <c r="H182" s="456">
        <f ca="1" t="shared" si="145"/>
        <v>0</v>
      </c>
      <c r="I182" s="456">
        <f ca="1" t="shared" si="141"/>
        <v>70.8</v>
      </c>
      <c r="J182" s="456">
        <f ca="1" t="shared" si="109"/>
        <v>58.42094277</v>
      </c>
      <c r="K182" s="456">
        <f>'[60]GFA &amp; Dep-MYT 5th Control'!$F$174</f>
        <v>4.466468187</v>
      </c>
      <c r="L182" s="456">
        <v>0</v>
      </c>
      <c r="M182" s="456">
        <f ca="1" t="shared" si="142"/>
        <v>62.887410957</v>
      </c>
      <c r="N182" s="456">
        <f ca="1" t="shared" si="143"/>
        <v>12.37905723</v>
      </c>
      <c r="O182" s="456">
        <f ca="1" t="shared" si="144"/>
        <v>7.912589043</v>
      </c>
    </row>
    <row r="183" ht="15" spans="2:15">
      <c r="B183" s="465">
        <v>17</v>
      </c>
      <c r="C183" s="423" t="s">
        <v>807</v>
      </c>
      <c r="D183" s="457"/>
      <c r="E183" s="426"/>
      <c r="F183" s="456">
        <f ca="1" t="shared" si="107"/>
        <v>0</v>
      </c>
      <c r="G183" s="456">
        <f ca="1" t="shared" si="145"/>
        <v>0</v>
      </c>
      <c r="H183" s="456">
        <f ca="1" t="shared" si="145"/>
        <v>0</v>
      </c>
      <c r="I183" s="456">
        <f ca="1" t="shared" si="141"/>
        <v>0</v>
      </c>
      <c r="J183" s="456">
        <f ca="1" t="shared" si="109"/>
        <v>0</v>
      </c>
      <c r="K183" s="456">
        <f ca="1" t="shared" si="145"/>
        <v>0</v>
      </c>
      <c r="L183" s="456">
        <f ca="1" t="shared" si="145"/>
        <v>0</v>
      </c>
      <c r="M183" s="456">
        <f ca="1" t="shared" si="142"/>
        <v>0</v>
      </c>
      <c r="N183" s="456">
        <f ca="1" t="shared" si="143"/>
        <v>0</v>
      </c>
      <c r="O183" s="456">
        <f ca="1" t="shared" si="144"/>
        <v>0</v>
      </c>
    </row>
    <row r="184" ht="15.75" spans="2:15">
      <c r="B184" s="470"/>
      <c r="C184" s="471" t="s">
        <v>97</v>
      </c>
      <c r="D184" s="471"/>
      <c r="E184" s="472"/>
      <c r="F184" s="473">
        <f ca="1">SUM(F144:F183)</f>
        <v>25364.2831965863</v>
      </c>
      <c r="G184" s="473">
        <f ca="1" t="shared" ref="G184:M184" si="146">SUM(G144:G183)</f>
        <v>2570.11665547444</v>
      </c>
      <c r="H184" s="473">
        <f ca="1" t="shared" si="146"/>
        <v>0</v>
      </c>
      <c r="I184" s="473">
        <f ca="1" t="shared" si="146"/>
        <v>27934.3998520608</v>
      </c>
      <c r="J184" s="473">
        <f ca="1" t="shared" si="146"/>
        <v>12168.9154327611</v>
      </c>
      <c r="K184" s="473">
        <f ca="1" t="shared" si="146"/>
        <v>923.118777895957</v>
      </c>
      <c r="L184" s="473">
        <f ca="1" t="shared" si="146"/>
        <v>0</v>
      </c>
      <c r="M184" s="473">
        <f ca="1" t="shared" si="146"/>
        <v>13092.0342106571</v>
      </c>
      <c r="N184" s="473">
        <f ca="1" t="shared" ref="N184:O184" si="147">SUM(N144:N183)</f>
        <v>13195.3677638252</v>
      </c>
      <c r="O184" s="473">
        <f ca="1" t="shared" si="147"/>
        <v>14842.3656414037</v>
      </c>
    </row>
    <row r="186" ht="15" hidden="1" spans="2:15">
      <c r="B186" s="445" t="s">
        <v>655</v>
      </c>
      <c r="C186" s="446"/>
      <c r="D186" s="446"/>
      <c r="E186" s="446"/>
      <c r="F186" s="446"/>
      <c r="G186" s="446"/>
      <c r="H186" s="446"/>
      <c r="I186" s="446"/>
      <c r="J186" s="446"/>
      <c r="K186" s="446"/>
      <c r="L186" s="446"/>
      <c r="M186" s="446"/>
      <c r="N186" s="446"/>
      <c r="O186" s="467"/>
    </row>
    <row r="187" ht="13.9" hidden="1" customHeight="1" spans="2:15">
      <c r="B187" s="447" t="s">
        <v>564</v>
      </c>
      <c r="C187" s="981" t="s">
        <v>671</v>
      </c>
      <c r="D187" s="449" t="s">
        <v>672</v>
      </c>
      <c r="E187" s="449" t="s">
        <v>673</v>
      </c>
      <c r="F187" s="449" t="s">
        <v>674</v>
      </c>
      <c r="G187" s="449"/>
      <c r="H187" s="449"/>
      <c r="I187" s="449"/>
      <c r="J187" s="449" t="s">
        <v>675</v>
      </c>
      <c r="K187" s="449"/>
      <c r="L187" s="449"/>
      <c r="M187" s="449"/>
      <c r="N187" s="449" t="s">
        <v>676</v>
      </c>
      <c r="O187" s="468"/>
    </row>
    <row r="188" ht="60.75" hidden="1" spans="2:15">
      <c r="B188" s="450"/>
      <c r="C188" s="451"/>
      <c r="D188" s="452"/>
      <c r="E188" s="452"/>
      <c r="F188" s="452" t="s">
        <v>677</v>
      </c>
      <c r="G188" s="452" t="s">
        <v>678</v>
      </c>
      <c r="H188" s="452" t="s">
        <v>679</v>
      </c>
      <c r="I188" s="452" t="s">
        <v>680</v>
      </c>
      <c r="J188" s="452" t="s">
        <v>681</v>
      </c>
      <c r="K188" s="452" t="s">
        <v>678</v>
      </c>
      <c r="L188" s="452" t="s">
        <v>682</v>
      </c>
      <c r="M188" s="452" t="s">
        <v>683</v>
      </c>
      <c r="N188" s="452" t="s">
        <v>677</v>
      </c>
      <c r="O188" s="469" t="s">
        <v>680</v>
      </c>
    </row>
    <row r="189" ht="15" hidden="1" spans="2:15">
      <c r="B189" s="453">
        <v>1</v>
      </c>
      <c r="C189" s="436" t="s">
        <v>684</v>
      </c>
      <c r="D189" s="454"/>
      <c r="E189" s="455"/>
      <c r="F189" s="456">
        <f ca="1">I144</f>
        <v>167.898628669744</v>
      </c>
      <c r="G189" s="456">
        <f>'[60]GFA &amp; Dep-MYT 5th Control'!$O$39</f>
        <v>73.8762959892847</v>
      </c>
      <c r="H189" s="456">
        <f ca="1" t="shared" ref="H189:L189" si="148">H506+H823</f>
        <v>0</v>
      </c>
      <c r="I189" s="456">
        <f ca="1">F189+G189-H189</f>
        <v>241.774924659029</v>
      </c>
      <c r="J189" s="456">
        <f ca="1">M144</f>
        <v>0.00489906200000156</v>
      </c>
      <c r="K189" s="456">
        <f>'[60]GFA &amp; Dep-MYT 5th Control'!$G$172</f>
        <v>0</v>
      </c>
      <c r="L189" s="456">
        <f ca="1" t="shared" si="148"/>
        <v>0</v>
      </c>
      <c r="M189" s="456">
        <f ca="1">J189+K189-L189</f>
        <v>0.00489906200000156</v>
      </c>
      <c r="N189" s="456">
        <f ca="1" t="shared" ref="N189:N190" si="149">F189-J189</f>
        <v>167.893729607744</v>
      </c>
      <c r="O189" s="456">
        <f ca="1" t="shared" ref="O189:O190" si="150">I189-M189</f>
        <v>241.770025597029</v>
      </c>
    </row>
    <row r="190" ht="15" hidden="1" spans="2:15">
      <c r="B190" s="453">
        <v>2</v>
      </c>
      <c r="C190" s="436" t="s">
        <v>770</v>
      </c>
      <c r="D190" s="457"/>
      <c r="E190" s="458"/>
      <c r="F190" s="456">
        <f ca="1" t="shared" ref="F190:F228" si="151">I145</f>
        <v>0</v>
      </c>
      <c r="G190" s="456">
        <f ca="1" t="shared" ref="G190:L190" si="152">G507+G824</f>
        <v>0</v>
      </c>
      <c r="H190" s="456">
        <f ca="1" t="shared" si="152"/>
        <v>0</v>
      </c>
      <c r="I190" s="456">
        <f ca="1">F190+G190-H190</f>
        <v>0</v>
      </c>
      <c r="J190" s="456">
        <f ca="1">M145</f>
        <v>0</v>
      </c>
      <c r="K190" s="456">
        <f ca="1" t="shared" si="152"/>
        <v>0</v>
      </c>
      <c r="L190" s="456">
        <f ca="1" t="shared" si="152"/>
        <v>0</v>
      </c>
      <c r="M190" s="456">
        <f ca="1">J190+K190-L190</f>
        <v>0</v>
      </c>
      <c r="N190" s="456">
        <f ca="1" t="shared" si="149"/>
        <v>0</v>
      </c>
      <c r="O190" s="456">
        <f ca="1" t="shared" si="150"/>
        <v>0</v>
      </c>
    </row>
    <row r="191" ht="15" hidden="1" spans="2:15">
      <c r="B191" s="453">
        <v>3</v>
      </c>
      <c r="C191" s="438" t="s">
        <v>771</v>
      </c>
      <c r="D191" s="457"/>
      <c r="E191" s="459"/>
      <c r="F191" s="456">
        <f t="shared" si="151"/>
        <v>0</v>
      </c>
      <c r="G191" s="456"/>
      <c r="H191" s="456"/>
      <c r="I191" s="456"/>
      <c r="J191" s="456">
        <f>M146</f>
        <v>0</v>
      </c>
      <c r="K191" s="456"/>
      <c r="L191" s="456"/>
      <c r="M191" s="456"/>
      <c r="N191" s="456"/>
      <c r="O191" s="456"/>
    </row>
    <row r="192" ht="15" hidden="1" spans="2:15">
      <c r="B192" s="453"/>
      <c r="C192" s="460" t="s">
        <v>772</v>
      </c>
      <c r="D192" s="457"/>
      <c r="E192" s="459"/>
      <c r="F192" s="456">
        <f ca="1" t="shared" si="151"/>
        <v>509.12550412399</v>
      </c>
      <c r="G192" s="456">
        <f>'[60]GFA &amp; Dep-MYT 5th Control'!$O$38</f>
        <v>62.5794598163643</v>
      </c>
      <c r="H192" s="456">
        <f ca="1" t="shared" ref="H192:L192" si="153">H509+H826</f>
        <v>0</v>
      </c>
      <c r="I192" s="456">
        <f ca="1">F192+G192-H192</f>
        <v>571.704963940354</v>
      </c>
      <c r="J192" s="456">
        <f ca="1">M147</f>
        <v>178.593074586479</v>
      </c>
      <c r="K192" s="456">
        <f>'[60]GFA &amp; Dep-MYT 5th Control'!$G$173</f>
        <v>20.6031743342208</v>
      </c>
      <c r="L192" s="456">
        <f ca="1" t="shared" si="153"/>
        <v>0</v>
      </c>
      <c r="M192" s="456">
        <f ca="1">J192+K192-L192</f>
        <v>199.1962489207</v>
      </c>
      <c r="N192" s="456">
        <f ca="1" t="shared" ref="N192:N195" si="154">F192-J192</f>
        <v>330.53242953751</v>
      </c>
      <c r="O192" s="456">
        <f ca="1" t="shared" ref="O192:O195" si="155">I192-M192</f>
        <v>372.508715019654</v>
      </c>
    </row>
    <row r="193" ht="28.5" hidden="1" spans="2:15">
      <c r="B193" s="453"/>
      <c r="C193" s="460" t="s">
        <v>773</v>
      </c>
      <c r="D193" s="457"/>
      <c r="E193" s="459"/>
      <c r="F193" s="456">
        <f ca="1" t="shared" si="151"/>
        <v>0</v>
      </c>
      <c r="G193" s="456">
        <f ca="1" t="shared" ref="G193:L195" si="156">G510+G827</f>
        <v>0</v>
      </c>
      <c r="H193" s="456">
        <f ca="1" t="shared" si="156"/>
        <v>0</v>
      </c>
      <c r="I193" s="456">
        <f ca="1">F193+G193-H193</f>
        <v>0</v>
      </c>
      <c r="J193" s="456">
        <f ca="1" t="shared" ref="J193:J228" si="157">M148</f>
        <v>0</v>
      </c>
      <c r="K193" s="456">
        <f ca="1" t="shared" si="156"/>
        <v>0</v>
      </c>
      <c r="L193" s="456">
        <f ca="1" t="shared" si="156"/>
        <v>0</v>
      </c>
      <c r="M193" s="456">
        <f ca="1">J193+K193-L193</f>
        <v>0</v>
      </c>
      <c r="N193" s="456">
        <f ca="1" t="shared" si="154"/>
        <v>0</v>
      </c>
      <c r="O193" s="456">
        <f ca="1" t="shared" si="155"/>
        <v>0</v>
      </c>
    </row>
    <row r="194" ht="15" hidden="1" spans="2:15">
      <c r="B194" s="453"/>
      <c r="C194" s="460" t="s">
        <v>774</v>
      </c>
      <c r="D194" s="457"/>
      <c r="E194" s="459"/>
      <c r="F194" s="456">
        <f ca="1" t="shared" si="151"/>
        <v>0</v>
      </c>
      <c r="G194" s="456">
        <f ca="1" t="shared" si="156"/>
        <v>0</v>
      </c>
      <c r="H194" s="456">
        <f ca="1" t="shared" si="156"/>
        <v>0</v>
      </c>
      <c r="I194" s="456">
        <f ca="1">F194+G194-H194</f>
        <v>0</v>
      </c>
      <c r="J194" s="456">
        <f ca="1" t="shared" si="157"/>
        <v>0</v>
      </c>
      <c r="K194" s="456">
        <f ca="1" t="shared" si="156"/>
        <v>0</v>
      </c>
      <c r="L194" s="456">
        <f ca="1" t="shared" si="156"/>
        <v>0</v>
      </c>
      <c r="M194" s="456">
        <f ca="1">J194+K194-L194</f>
        <v>0</v>
      </c>
      <c r="N194" s="456">
        <f ca="1" t="shared" si="154"/>
        <v>0</v>
      </c>
      <c r="O194" s="456">
        <f ca="1" t="shared" si="155"/>
        <v>0</v>
      </c>
    </row>
    <row r="195" ht="15" hidden="1" spans="2:15">
      <c r="B195" s="453"/>
      <c r="C195" s="460" t="s">
        <v>775</v>
      </c>
      <c r="D195" s="457"/>
      <c r="E195" s="459"/>
      <c r="F195" s="456">
        <f ca="1" t="shared" si="151"/>
        <v>221.08</v>
      </c>
      <c r="G195" s="456">
        <f ca="1" t="shared" si="156"/>
        <v>0</v>
      </c>
      <c r="H195" s="456">
        <f ca="1" t="shared" si="156"/>
        <v>0</v>
      </c>
      <c r="I195" s="456">
        <f ca="1">F195+G195-H195</f>
        <v>221.08</v>
      </c>
      <c r="J195" s="456">
        <f ca="1" t="shared" si="157"/>
        <v>44.413445081</v>
      </c>
      <c r="K195" s="456">
        <f ca="1" t="shared" si="156"/>
        <v>0</v>
      </c>
      <c r="L195" s="456">
        <f ca="1" t="shared" si="156"/>
        <v>0</v>
      </c>
      <c r="M195" s="456">
        <f ca="1">J195+K195-L195</f>
        <v>44.413445081</v>
      </c>
      <c r="N195" s="456">
        <f ca="1" t="shared" si="154"/>
        <v>176.666554919</v>
      </c>
      <c r="O195" s="456">
        <f ca="1" t="shared" si="155"/>
        <v>176.666554919</v>
      </c>
    </row>
    <row r="196" ht="15" hidden="1" spans="2:15">
      <c r="B196" s="453">
        <v>4</v>
      </c>
      <c r="C196" s="436" t="s">
        <v>776</v>
      </c>
      <c r="D196" s="457"/>
      <c r="E196" s="459"/>
      <c r="F196" s="456">
        <f t="shared" si="151"/>
        <v>0</v>
      </c>
      <c r="G196" s="456"/>
      <c r="H196" s="456"/>
      <c r="I196" s="456"/>
      <c r="J196" s="456">
        <f t="shared" si="157"/>
        <v>0</v>
      </c>
      <c r="K196" s="456"/>
      <c r="L196" s="456"/>
      <c r="M196" s="456"/>
      <c r="N196" s="456"/>
      <c r="O196" s="456"/>
    </row>
    <row r="197" ht="15" hidden="1" spans="2:15">
      <c r="B197" s="453"/>
      <c r="C197" s="461" t="s">
        <v>777</v>
      </c>
      <c r="D197" s="457"/>
      <c r="E197" s="459"/>
      <c r="F197" s="456">
        <f ca="1" t="shared" si="151"/>
        <v>12190.4873828302</v>
      </c>
      <c r="G197" s="456">
        <f>'[60]GFA &amp; Dep-MYT 5th Control'!$O$34</f>
        <v>1486.07739011872</v>
      </c>
      <c r="H197" s="456">
        <f ca="1" t="shared" ref="H197:L197" si="158">H514+H831</f>
        <v>0</v>
      </c>
      <c r="I197" s="456">
        <f ca="1">F197+G197-H197</f>
        <v>13676.5647729489</v>
      </c>
      <c r="J197" s="456">
        <f ca="1" t="shared" si="157"/>
        <v>5941.27284455406</v>
      </c>
      <c r="K197" s="456">
        <f>SUM('[60]GFA &amp; Dep-MYT 5th Control'!$G$178:$G$180)</f>
        <v>462.754803045334</v>
      </c>
      <c r="L197" s="456">
        <f ca="1" t="shared" si="158"/>
        <v>0</v>
      </c>
      <c r="M197" s="456">
        <f ca="1">J197+K197-L197</f>
        <v>6404.02764759939</v>
      </c>
      <c r="N197" s="456">
        <f ca="1">F197-J197</f>
        <v>6249.21453827612</v>
      </c>
      <c r="O197" s="456">
        <f ca="1" t="shared" ref="O197" si="159">I197-M197</f>
        <v>7272.53712534951</v>
      </c>
    </row>
    <row r="198" ht="15" hidden="1" spans="2:15">
      <c r="B198" s="453"/>
      <c r="C198" s="436" t="s">
        <v>778</v>
      </c>
      <c r="D198" s="457"/>
      <c r="E198" s="459"/>
      <c r="F198" s="456">
        <f t="shared" si="151"/>
        <v>0</v>
      </c>
      <c r="G198" s="456"/>
      <c r="H198" s="456"/>
      <c r="I198" s="456"/>
      <c r="J198" s="456">
        <f t="shared" si="157"/>
        <v>0</v>
      </c>
      <c r="K198" s="456"/>
      <c r="L198" s="456"/>
      <c r="M198" s="456"/>
      <c r="N198" s="456"/>
      <c r="O198" s="456"/>
    </row>
    <row r="199" ht="15" hidden="1" spans="2:15">
      <c r="B199" s="453"/>
      <c r="C199" s="461" t="s">
        <v>779</v>
      </c>
      <c r="D199" s="457"/>
      <c r="E199" s="459"/>
      <c r="F199" s="456">
        <f ca="1" t="shared" si="151"/>
        <v>0</v>
      </c>
      <c r="G199" s="456">
        <f ca="1" t="shared" ref="G199:L200" si="160">G516+G833</f>
        <v>0</v>
      </c>
      <c r="H199" s="456">
        <f ca="1" t="shared" si="160"/>
        <v>0</v>
      </c>
      <c r="I199" s="456">
        <f ca="1">F199+G199-H199</f>
        <v>0</v>
      </c>
      <c r="J199" s="456">
        <f ca="1" t="shared" si="157"/>
        <v>0</v>
      </c>
      <c r="K199" s="456">
        <f ca="1" t="shared" si="160"/>
        <v>0</v>
      </c>
      <c r="L199" s="456">
        <f ca="1" t="shared" si="160"/>
        <v>0</v>
      </c>
      <c r="M199" s="456">
        <f ca="1">J199+K199-L199</f>
        <v>0</v>
      </c>
      <c r="N199" s="456">
        <f ca="1" t="shared" ref="N199:N200" si="161">F199-J199</f>
        <v>0</v>
      </c>
      <c r="O199" s="456">
        <f ca="1" t="shared" ref="O199:O200" si="162">I199-M199</f>
        <v>0</v>
      </c>
    </row>
    <row r="200" ht="15" hidden="1" spans="2:15">
      <c r="B200" s="453"/>
      <c r="C200" s="461" t="s">
        <v>780</v>
      </c>
      <c r="D200" s="457"/>
      <c r="E200" s="459"/>
      <c r="F200" s="456">
        <f ca="1" t="shared" si="151"/>
        <v>0</v>
      </c>
      <c r="G200" s="456">
        <f ca="1" t="shared" si="160"/>
        <v>0</v>
      </c>
      <c r="H200" s="456">
        <f ca="1" t="shared" si="160"/>
        <v>0</v>
      </c>
      <c r="I200" s="456">
        <f ca="1">F200+G200-H200</f>
        <v>0</v>
      </c>
      <c r="J200" s="456">
        <f ca="1" t="shared" si="157"/>
        <v>0</v>
      </c>
      <c r="K200" s="456">
        <f ca="1" t="shared" si="160"/>
        <v>0</v>
      </c>
      <c r="L200" s="456">
        <f ca="1" t="shared" si="160"/>
        <v>0</v>
      </c>
      <c r="M200" s="456">
        <f ca="1">J200+K200-L200</f>
        <v>0</v>
      </c>
      <c r="N200" s="456">
        <f ca="1" t="shared" si="161"/>
        <v>0</v>
      </c>
      <c r="O200" s="456">
        <f ca="1" t="shared" si="162"/>
        <v>0</v>
      </c>
    </row>
    <row r="201" ht="15" hidden="1" spans="2:15">
      <c r="B201" s="453">
        <v>5</v>
      </c>
      <c r="C201" s="436" t="s">
        <v>781</v>
      </c>
      <c r="D201" s="457"/>
      <c r="E201" s="459"/>
      <c r="F201" s="456">
        <f t="shared" si="151"/>
        <v>0</v>
      </c>
      <c r="G201" s="462"/>
      <c r="H201" s="462"/>
      <c r="I201" s="462"/>
      <c r="J201" s="456">
        <f t="shared" si="157"/>
        <v>0</v>
      </c>
      <c r="K201" s="462"/>
      <c r="L201" s="462"/>
      <c r="M201" s="462"/>
      <c r="N201" s="462"/>
      <c r="O201" s="462"/>
    </row>
    <row r="202" ht="15" hidden="1" spans="2:15">
      <c r="B202" s="453"/>
      <c r="C202" s="461" t="s">
        <v>782</v>
      </c>
      <c r="D202" s="457"/>
      <c r="E202" s="459"/>
      <c r="F202" s="456">
        <f ca="1" t="shared" si="151"/>
        <v>0</v>
      </c>
      <c r="G202" s="456">
        <f ca="1" t="shared" ref="G202:L207" si="163">G519+G836</f>
        <v>0</v>
      </c>
      <c r="H202" s="456">
        <f ca="1" t="shared" si="163"/>
        <v>0</v>
      </c>
      <c r="I202" s="456">
        <f ca="1" t="shared" ref="I202:I207" si="164">F202+G202-H202</f>
        <v>0</v>
      </c>
      <c r="J202" s="456">
        <f ca="1" t="shared" si="157"/>
        <v>0</v>
      </c>
      <c r="K202" s="456">
        <f ca="1" t="shared" si="163"/>
        <v>0</v>
      </c>
      <c r="L202" s="456">
        <f ca="1" t="shared" si="163"/>
        <v>0</v>
      </c>
      <c r="M202" s="456">
        <f ca="1" t="shared" ref="M202:M207" si="165">J202+K202-L202</f>
        <v>0</v>
      </c>
      <c r="N202" s="456">
        <f ca="1" t="shared" ref="N202:N207" si="166">F202-J202</f>
        <v>0</v>
      </c>
      <c r="O202" s="456">
        <f ca="1" t="shared" ref="O202:O207" si="167">I202-M202</f>
        <v>0</v>
      </c>
    </row>
    <row r="203" ht="15" hidden="1" spans="2:15">
      <c r="B203" s="453"/>
      <c r="C203" s="461" t="s">
        <v>783</v>
      </c>
      <c r="D203" s="457"/>
      <c r="E203" s="459"/>
      <c r="F203" s="456">
        <f ca="1" t="shared" si="151"/>
        <v>0</v>
      </c>
      <c r="G203" s="456">
        <f ca="1" t="shared" si="163"/>
        <v>0</v>
      </c>
      <c r="H203" s="456">
        <f ca="1" t="shared" si="163"/>
        <v>0</v>
      </c>
      <c r="I203" s="456">
        <f ca="1" t="shared" si="164"/>
        <v>0</v>
      </c>
      <c r="J203" s="456">
        <f ca="1" t="shared" si="157"/>
        <v>0</v>
      </c>
      <c r="K203" s="456">
        <f ca="1" t="shared" si="163"/>
        <v>0</v>
      </c>
      <c r="L203" s="456">
        <f ca="1" t="shared" si="163"/>
        <v>0</v>
      </c>
      <c r="M203" s="456">
        <f ca="1" t="shared" si="165"/>
        <v>0</v>
      </c>
      <c r="N203" s="456">
        <f ca="1" t="shared" si="166"/>
        <v>0</v>
      </c>
      <c r="O203" s="456">
        <f ca="1" t="shared" si="167"/>
        <v>0</v>
      </c>
    </row>
    <row r="204" ht="15" hidden="1" spans="2:15">
      <c r="B204" s="453"/>
      <c r="C204" s="461" t="s">
        <v>784</v>
      </c>
      <c r="D204" s="457"/>
      <c r="E204" s="459"/>
      <c r="F204" s="456">
        <f ca="1" t="shared" si="151"/>
        <v>0</v>
      </c>
      <c r="G204" s="456">
        <f ca="1" t="shared" si="163"/>
        <v>0</v>
      </c>
      <c r="H204" s="456">
        <f ca="1" t="shared" si="163"/>
        <v>0</v>
      </c>
      <c r="I204" s="456">
        <f ca="1" t="shared" si="164"/>
        <v>0</v>
      </c>
      <c r="J204" s="456">
        <f ca="1" t="shared" si="157"/>
        <v>0</v>
      </c>
      <c r="K204" s="456">
        <f ca="1" t="shared" si="163"/>
        <v>0</v>
      </c>
      <c r="L204" s="456">
        <f ca="1" t="shared" si="163"/>
        <v>0</v>
      </c>
      <c r="M204" s="456">
        <f ca="1" t="shared" si="165"/>
        <v>0</v>
      </c>
      <c r="N204" s="456">
        <f ca="1" t="shared" si="166"/>
        <v>0</v>
      </c>
      <c r="O204" s="456">
        <f ca="1" t="shared" si="167"/>
        <v>0</v>
      </c>
    </row>
    <row r="205" ht="15" hidden="1" spans="2:15">
      <c r="B205" s="453"/>
      <c r="C205" s="461" t="s">
        <v>785</v>
      </c>
      <c r="D205" s="457"/>
      <c r="E205" s="459"/>
      <c r="F205" s="456">
        <f ca="1" t="shared" si="151"/>
        <v>0</v>
      </c>
      <c r="G205" s="456">
        <f ca="1" t="shared" si="163"/>
        <v>0</v>
      </c>
      <c r="H205" s="456">
        <f ca="1" t="shared" si="163"/>
        <v>0</v>
      </c>
      <c r="I205" s="456">
        <f ca="1" t="shared" si="164"/>
        <v>0</v>
      </c>
      <c r="J205" s="456">
        <f ca="1" t="shared" si="157"/>
        <v>0</v>
      </c>
      <c r="K205" s="456">
        <f ca="1" t="shared" si="163"/>
        <v>0</v>
      </c>
      <c r="L205" s="456">
        <f ca="1" t="shared" si="163"/>
        <v>0</v>
      </c>
      <c r="M205" s="456">
        <f ca="1" t="shared" si="165"/>
        <v>0</v>
      </c>
      <c r="N205" s="456">
        <f ca="1" t="shared" si="166"/>
        <v>0</v>
      </c>
      <c r="O205" s="456">
        <f ca="1" t="shared" si="167"/>
        <v>0</v>
      </c>
    </row>
    <row r="206" ht="15" hidden="1" spans="2:15">
      <c r="B206" s="453">
        <v>6</v>
      </c>
      <c r="C206" s="436" t="s">
        <v>786</v>
      </c>
      <c r="D206" s="457"/>
      <c r="E206" s="459"/>
      <c r="F206" s="456">
        <f ca="1" t="shared" si="151"/>
        <v>0</v>
      </c>
      <c r="G206" s="456">
        <f ca="1" t="shared" si="163"/>
        <v>0</v>
      </c>
      <c r="H206" s="456">
        <f ca="1" t="shared" si="163"/>
        <v>0</v>
      </c>
      <c r="I206" s="456">
        <f ca="1" t="shared" si="164"/>
        <v>0</v>
      </c>
      <c r="J206" s="456">
        <f ca="1" t="shared" si="157"/>
        <v>0</v>
      </c>
      <c r="K206" s="456">
        <f ca="1" t="shared" si="163"/>
        <v>0</v>
      </c>
      <c r="L206" s="456">
        <f ca="1" t="shared" si="163"/>
        <v>0</v>
      </c>
      <c r="M206" s="456">
        <f ca="1" t="shared" si="165"/>
        <v>0</v>
      </c>
      <c r="N206" s="456">
        <f ca="1" t="shared" si="166"/>
        <v>0</v>
      </c>
      <c r="O206" s="456">
        <f ca="1" t="shared" si="167"/>
        <v>0</v>
      </c>
    </row>
    <row r="207" ht="15" hidden="1" spans="2:15">
      <c r="B207" s="453">
        <v>7</v>
      </c>
      <c r="C207" s="436" t="s">
        <v>787</v>
      </c>
      <c r="D207" s="457"/>
      <c r="E207" s="459"/>
      <c r="F207" s="456">
        <f ca="1" t="shared" si="151"/>
        <v>0</v>
      </c>
      <c r="G207" s="456">
        <f ca="1" t="shared" si="163"/>
        <v>0</v>
      </c>
      <c r="H207" s="456">
        <f ca="1" t="shared" si="163"/>
        <v>0</v>
      </c>
      <c r="I207" s="456">
        <f ca="1" t="shared" si="164"/>
        <v>0</v>
      </c>
      <c r="J207" s="456">
        <f ca="1" t="shared" si="157"/>
        <v>0</v>
      </c>
      <c r="K207" s="456">
        <f ca="1" t="shared" si="163"/>
        <v>0</v>
      </c>
      <c r="L207" s="456">
        <f ca="1" t="shared" si="163"/>
        <v>0</v>
      </c>
      <c r="M207" s="456">
        <f ca="1" t="shared" si="165"/>
        <v>0</v>
      </c>
      <c r="N207" s="456">
        <f ca="1" t="shared" si="166"/>
        <v>0</v>
      </c>
      <c r="O207" s="456">
        <f ca="1" t="shared" si="167"/>
        <v>0</v>
      </c>
    </row>
    <row r="208" ht="15" hidden="1" spans="2:15">
      <c r="B208" s="453">
        <v>8</v>
      </c>
      <c r="C208" s="436" t="s">
        <v>788</v>
      </c>
      <c r="D208" s="457"/>
      <c r="E208" s="459"/>
      <c r="F208" s="456">
        <f t="shared" si="151"/>
        <v>0</v>
      </c>
      <c r="G208" s="456"/>
      <c r="H208" s="456"/>
      <c r="I208" s="456"/>
      <c r="J208" s="456">
        <f t="shared" si="157"/>
        <v>0</v>
      </c>
      <c r="K208" s="456"/>
      <c r="L208" s="456"/>
      <c r="M208" s="456"/>
      <c r="N208" s="456"/>
      <c r="O208" s="456"/>
    </row>
    <row r="209" ht="15" hidden="1" spans="2:15">
      <c r="B209" s="453"/>
      <c r="C209" s="461" t="s">
        <v>789</v>
      </c>
      <c r="D209" s="457"/>
      <c r="E209" s="459"/>
      <c r="F209" s="456">
        <f ca="1" t="shared" si="151"/>
        <v>12400.343166693</v>
      </c>
      <c r="G209" s="456">
        <f>'[60]GFA &amp; Dep-MYT 5th Control'!$O$35</f>
        <v>1725.73710067301</v>
      </c>
      <c r="H209" s="456">
        <f ca="1" t="shared" ref="H209:L209" si="168">H526+H843</f>
        <v>0</v>
      </c>
      <c r="I209" s="456">
        <f ca="1">F209+G209-H209</f>
        <v>14126.080267366</v>
      </c>
      <c r="J209" s="456">
        <f ca="1" t="shared" si="157"/>
        <v>5298.86394961482</v>
      </c>
      <c r="K209" s="456">
        <f>SUM('[60]GFA &amp; Dep-MYT 5th Control'!$G$187:$G$189)</f>
        <v>440.351479138628</v>
      </c>
      <c r="L209" s="456">
        <f ca="1" t="shared" si="168"/>
        <v>0</v>
      </c>
      <c r="M209" s="456">
        <f ca="1" t="shared" ref="M209:M213" si="169">J209+K209-L209</f>
        <v>5739.21542875345</v>
      </c>
      <c r="N209" s="456">
        <f ca="1" t="shared" ref="N209:N213" si="170">F209-J209</f>
        <v>7101.47921707814</v>
      </c>
      <c r="O209" s="456">
        <f ca="1" t="shared" ref="O209:O213" si="171">I209-M209</f>
        <v>8386.86483861252</v>
      </c>
    </row>
    <row r="210" ht="15" hidden="1" spans="2:15">
      <c r="B210" s="453"/>
      <c r="C210" s="461" t="s">
        <v>808</v>
      </c>
      <c r="D210" s="457"/>
      <c r="E210" s="459"/>
      <c r="F210" s="456">
        <f ca="1" t="shared" si="151"/>
        <v>0</v>
      </c>
      <c r="G210" s="456">
        <f ca="1" t="shared" ref="G210:L212" si="172">G527+G844</f>
        <v>0</v>
      </c>
      <c r="H210" s="456">
        <f ca="1" t="shared" si="172"/>
        <v>0</v>
      </c>
      <c r="I210" s="456">
        <f ca="1">F210+G210-H210</f>
        <v>0</v>
      </c>
      <c r="J210" s="456">
        <f ca="1" t="shared" si="157"/>
        <v>0</v>
      </c>
      <c r="K210" s="456">
        <f ca="1" t="shared" si="172"/>
        <v>0</v>
      </c>
      <c r="L210" s="456">
        <f ca="1" t="shared" si="172"/>
        <v>0</v>
      </c>
      <c r="M210" s="456">
        <f ca="1" t="shared" si="169"/>
        <v>0</v>
      </c>
      <c r="N210" s="456">
        <f ca="1" t="shared" si="170"/>
        <v>0</v>
      </c>
      <c r="O210" s="456">
        <f ca="1" t="shared" si="171"/>
        <v>0</v>
      </c>
    </row>
    <row r="211" ht="30" hidden="1" spans="2:15">
      <c r="B211" s="463">
        <v>9</v>
      </c>
      <c r="C211" s="464" t="s">
        <v>791</v>
      </c>
      <c r="D211" s="457"/>
      <c r="E211" s="459"/>
      <c r="F211" s="456">
        <f ca="1" t="shared" si="151"/>
        <v>0</v>
      </c>
      <c r="G211" s="456">
        <f ca="1" t="shared" si="172"/>
        <v>0</v>
      </c>
      <c r="H211" s="456">
        <f ca="1" t="shared" si="172"/>
        <v>0</v>
      </c>
      <c r="I211" s="456">
        <f ca="1">F211+G211-H211</f>
        <v>0</v>
      </c>
      <c r="J211" s="456">
        <f ca="1" t="shared" si="157"/>
        <v>0</v>
      </c>
      <c r="K211" s="456">
        <f ca="1" t="shared" si="172"/>
        <v>0</v>
      </c>
      <c r="L211" s="456">
        <f ca="1" t="shared" si="172"/>
        <v>0</v>
      </c>
      <c r="M211" s="456">
        <f ca="1" t="shared" si="169"/>
        <v>0</v>
      </c>
      <c r="N211" s="456">
        <f ca="1" t="shared" si="170"/>
        <v>0</v>
      </c>
      <c r="O211" s="456">
        <f ca="1" t="shared" si="171"/>
        <v>0</v>
      </c>
    </row>
    <row r="212" ht="15" hidden="1" spans="2:15">
      <c r="B212" s="465">
        <v>10</v>
      </c>
      <c r="C212" s="423" t="s">
        <v>792</v>
      </c>
      <c r="D212" s="466"/>
      <c r="E212" s="459"/>
      <c r="F212" s="456">
        <f ca="1" t="shared" si="151"/>
        <v>2074.77307795851</v>
      </c>
      <c r="G212" s="456">
        <f>'[60]GFA &amp; Dep-MYT 5th Control'!$O$36</f>
        <v>114.787606696224</v>
      </c>
      <c r="H212" s="456">
        <f ca="1" t="shared" si="172"/>
        <v>0</v>
      </c>
      <c r="I212" s="456">
        <f ca="1">F212+G212-H212</f>
        <v>2189.56068465474</v>
      </c>
      <c r="J212" s="456">
        <f ca="1" t="shared" si="157"/>
        <v>1325.41431913892</v>
      </c>
      <c r="K212" s="456">
        <f>'[60]GFA &amp; Dep-MYT 5th Control'!$G$184</f>
        <v>65.6877051543748</v>
      </c>
      <c r="L212" s="456">
        <f ca="1" t="shared" si="172"/>
        <v>0</v>
      </c>
      <c r="M212" s="456">
        <f ca="1" t="shared" si="169"/>
        <v>1391.10202429329</v>
      </c>
      <c r="N212" s="456">
        <f ca="1" t="shared" si="170"/>
        <v>749.358758819596</v>
      </c>
      <c r="O212" s="456">
        <f ca="1" t="shared" si="171"/>
        <v>798.458660361446</v>
      </c>
    </row>
    <row r="213" ht="15" hidden="1" spans="2:15">
      <c r="B213" s="465">
        <v>11</v>
      </c>
      <c r="C213" s="423" t="s">
        <v>793</v>
      </c>
      <c r="D213" s="466"/>
      <c r="E213" s="459"/>
      <c r="F213" s="456">
        <f ca="1" t="shared" si="151"/>
        <v>7.08</v>
      </c>
      <c r="G213" s="456">
        <f ca="1" t="shared" ref="G213:L213" si="173">G530+G847</f>
        <v>0</v>
      </c>
      <c r="H213" s="456">
        <f ca="1" t="shared" si="173"/>
        <v>0</v>
      </c>
      <c r="I213" s="456">
        <f ca="1">F213+G213-H213</f>
        <v>7.08</v>
      </c>
      <c r="J213" s="456">
        <f ca="1" t="shared" si="157"/>
        <v>6.392199932</v>
      </c>
      <c r="K213" s="456">
        <f>'[60]GFA &amp; Dep-MYT 5th Control'!$G$192</f>
        <v>0.441010919</v>
      </c>
      <c r="L213" s="456">
        <f ca="1" t="shared" si="173"/>
        <v>0</v>
      </c>
      <c r="M213" s="456">
        <f ca="1" t="shared" si="169"/>
        <v>6.833210851</v>
      </c>
      <c r="N213" s="456">
        <f ca="1" t="shared" si="170"/>
        <v>0.687800068</v>
      </c>
      <c r="O213" s="456">
        <f ca="1" t="shared" si="171"/>
        <v>0.246789149</v>
      </c>
    </row>
    <row r="214" ht="15" hidden="1" spans="2:15">
      <c r="B214" s="465">
        <v>12</v>
      </c>
      <c r="C214" s="423" t="s">
        <v>794</v>
      </c>
      <c r="D214" s="466"/>
      <c r="E214" s="459"/>
      <c r="F214" s="456">
        <f t="shared" si="151"/>
        <v>0</v>
      </c>
      <c r="G214" s="456"/>
      <c r="H214" s="456"/>
      <c r="I214" s="456"/>
      <c r="J214" s="456">
        <f t="shared" si="157"/>
        <v>0</v>
      </c>
      <c r="K214" s="456"/>
      <c r="L214" s="456"/>
      <c r="M214" s="456"/>
      <c r="N214" s="456"/>
      <c r="O214" s="456"/>
    </row>
    <row r="215" ht="15" hidden="1" spans="2:15">
      <c r="B215" s="465"/>
      <c r="C215" s="425" t="s">
        <v>795</v>
      </c>
      <c r="D215" s="466"/>
      <c r="E215" s="459"/>
      <c r="F215" s="456">
        <f ca="1" t="shared" si="151"/>
        <v>2.6</v>
      </c>
      <c r="G215" s="456">
        <f ca="1" t="shared" ref="G215:L216" si="174">G532+G849</f>
        <v>0</v>
      </c>
      <c r="H215" s="456">
        <f ca="1" t="shared" si="174"/>
        <v>0</v>
      </c>
      <c r="I215" s="456">
        <f ca="1">F215+G215-H215</f>
        <v>2.6</v>
      </c>
      <c r="J215" s="456">
        <f ca="1" t="shared" si="157"/>
        <v>1.701644132</v>
      </c>
      <c r="K215" s="456">
        <f ca="1" t="shared" si="174"/>
        <v>0</v>
      </c>
      <c r="L215" s="456">
        <f ca="1" t="shared" si="174"/>
        <v>0</v>
      </c>
      <c r="M215" s="456">
        <f ca="1" t="shared" ref="M215:M216" si="175">J215+K215-L215</f>
        <v>1.701644132</v>
      </c>
      <c r="N215" s="456">
        <f ca="1">F215-J215</f>
        <v>0.898355868</v>
      </c>
      <c r="O215" s="456">
        <f ca="1" t="shared" ref="O215:O216" si="176">I215-M215</f>
        <v>0.898355868</v>
      </c>
    </row>
    <row r="216" ht="15" hidden="1" spans="2:15">
      <c r="B216" s="465"/>
      <c r="C216" s="425" t="s">
        <v>796</v>
      </c>
      <c r="D216" s="466"/>
      <c r="E216" s="459"/>
      <c r="F216" s="456">
        <f ca="1" t="shared" si="151"/>
        <v>0</v>
      </c>
      <c r="G216" s="456">
        <f ca="1" t="shared" si="174"/>
        <v>0</v>
      </c>
      <c r="H216" s="456">
        <f ca="1" t="shared" si="174"/>
        <v>0</v>
      </c>
      <c r="I216" s="456">
        <f ca="1">F216+G216-H216</f>
        <v>0</v>
      </c>
      <c r="J216" s="456">
        <f ca="1" t="shared" si="157"/>
        <v>0</v>
      </c>
      <c r="K216" s="456">
        <f ca="1" t="shared" si="174"/>
        <v>0</v>
      </c>
      <c r="L216" s="456">
        <f ca="1" t="shared" si="174"/>
        <v>0</v>
      </c>
      <c r="M216" s="456">
        <f ca="1" t="shared" si="175"/>
        <v>0</v>
      </c>
      <c r="N216" s="456">
        <f ca="1">F216-J216</f>
        <v>0</v>
      </c>
      <c r="O216" s="456">
        <f ca="1" t="shared" si="176"/>
        <v>0</v>
      </c>
    </row>
    <row r="217" ht="15" hidden="1" spans="2:15">
      <c r="B217" s="465">
        <v>13</v>
      </c>
      <c r="C217" s="425"/>
      <c r="D217" s="466"/>
      <c r="E217" s="459"/>
      <c r="F217" s="456">
        <f t="shared" si="151"/>
        <v>0</v>
      </c>
      <c r="G217" s="456"/>
      <c r="H217" s="456"/>
      <c r="I217" s="456"/>
      <c r="J217" s="456">
        <f t="shared" si="157"/>
        <v>0</v>
      </c>
      <c r="K217" s="456"/>
      <c r="L217" s="456"/>
      <c r="M217" s="456"/>
      <c r="N217" s="456"/>
      <c r="O217" s="456"/>
    </row>
    <row r="218" ht="15" hidden="1" spans="2:15">
      <c r="B218" s="465"/>
      <c r="C218" s="425" t="s">
        <v>797</v>
      </c>
      <c r="D218" s="466"/>
      <c r="E218" s="459"/>
      <c r="F218" s="456">
        <f ca="1" t="shared" si="151"/>
        <v>17.25</v>
      </c>
      <c r="G218" s="456">
        <f ca="1" t="shared" ref="G218:L219" si="177">G535+G852</f>
        <v>0</v>
      </c>
      <c r="H218" s="456">
        <f ca="1" t="shared" si="177"/>
        <v>0</v>
      </c>
      <c r="I218" s="456">
        <f ca="1">F218+G218-H218</f>
        <v>17.25</v>
      </c>
      <c r="J218" s="456">
        <f ca="1" t="shared" si="157"/>
        <v>13.017024466</v>
      </c>
      <c r="K218" s="456">
        <f>'[60]GFA &amp; Dep-MYT 5th Control'!$G$192</f>
        <v>0.441010919</v>
      </c>
      <c r="L218" s="456">
        <f ca="1" t="shared" si="177"/>
        <v>0</v>
      </c>
      <c r="M218" s="456">
        <f ca="1" t="shared" ref="M218:M221" si="178">J218+K218-L218</f>
        <v>13.458035385</v>
      </c>
      <c r="N218" s="456">
        <f ca="1">F218-J218</f>
        <v>4.232975534</v>
      </c>
      <c r="O218" s="456">
        <f ca="1" t="shared" ref="O218:O221" si="179">I218-M218</f>
        <v>3.791964615</v>
      </c>
    </row>
    <row r="219" ht="15" hidden="1" spans="2:15">
      <c r="B219" s="465"/>
      <c r="C219" s="425" t="s">
        <v>798</v>
      </c>
      <c r="D219" s="466"/>
      <c r="E219" s="459"/>
      <c r="F219" s="456">
        <f ca="1" t="shared" si="151"/>
        <v>51.823036444263</v>
      </c>
      <c r="G219" s="456">
        <f>'[60]GFA &amp; Dep-MYT 5th Control'!$O$37</f>
        <v>0.210152848419375</v>
      </c>
      <c r="H219" s="456">
        <f ca="1" t="shared" si="177"/>
        <v>0</v>
      </c>
      <c r="I219" s="456">
        <f ca="1">F219+G219-H219</f>
        <v>52.0331892926824</v>
      </c>
      <c r="J219" s="456">
        <f ca="1" t="shared" si="157"/>
        <v>37.9692898747372</v>
      </c>
      <c r="K219" s="456">
        <f>'[60]GFA &amp; Dep-MYT 5th Control'!$G$193</f>
        <v>1.46913475316255</v>
      </c>
      <c r="L219" s="456">
        <f ca="1" t="shared" si="177"/>
        <v>0</v>
      </c>
      <c r="M219" s="456">
        <f ca="1" t="shared" si="178"/>
        <v>39.4384246278998</v>
      </c>
      <c r="N219" s="456">
        <f ca="1">F219-J219</f>
        <v>13.8537465695258</v>
      </c>
      <c r="O219" s="456">
        <f ca="1" t="shared" si="179"/>
        <v>12.5947646647826</v>
      </c>
    </row>
    <row r="220" ht="15" hidden="1" spans="2:15">
      <c r="B220" s="465"/>
      <c r="C220" s="425" t="s">
        <v>799</v>
      </c>
      <c r="D220" s="466"/>
      <c r="E220" s="459"/>
      <c r="F220" s="456">
        <f ca="1" t="shared" si="151"/>
        <v>0</v>
      </c>
      <c r="G220" s="456">
        <f ca="1" t="shared" ref="G220:L221" si="180">G537+G854</f>
        <v>0</v>
      </c>
      <c r="H220" s="456">
        <f ca="1" t="shared" si="180"/>
        <v>0</v>
      </c>
      <c r="I220" s="456">
        <f ca="1">F220+G220-H220</f>
        <v>0</v>
      </c>
      <c r="J220" s="456">
        <f ca="1" t="shared" si="157"/>
        <v>0</v>
      </c>
      <c r="K220" s="456">
        <f ca="1" t="shared" si="180"/>
        <v>0</v>
      </c>
      <c r="L220" s="456">
        <f ca="1" t="shared" si="180"/>
        <v>0</v>
      </c>
      <c r="M220" s="456">
        <f ca="1" t="shared" si="178"/>
        <v>0</v>
      </c>
      <c r="N220" s="456">
        <f ca="1" t="shared" ref="N220:N221" si="181">F220-J220</f>
        <v>0</v>
      </c>
      <c r="O220" s="456">
        <f ca="1" t="shared" si="179"/>
        <v>0</v>
      </c>
    </row>
    <row r="221" ht="15" hidden="1" spans="2:15">
      <c r="B221" s="465"/>
      <c r="C221" s="425" t="s">
        <v>800</v>
      </c>
      <c r="D221" s="466"/>
      <c r="E221" s="459"/>
      <c r="F221" s="456">
        <f ca="1" t="shared" si="151"/>
        <v>0</v>
      </c>
      <c r="G221" s="456">
        <f ca="1" t="shared" si="180"/>
        <v>0</v>
      </c>
      <c r="H221" s="456">
        <f ca="1" t="shared" si="180"/>
        <v>0</v>
      </c>
      <c r="I221" s="456">
        <f ca="1" t="shared" ref="I221" si="182">F221+G221-H221</f>
        <v>0</v>
      </c>
      <c r="J221" s="456">
        <f ca="1" t="shared" si="157"/>
        <v>0</v>
      </c>
      <c r="K221" s="456">
        <f ca="1" t="shared" si="180"/>
        <v>0</v>
      </c>
      <c r="L221" s="456">
        <f ca="1" t="shared" si="180"/>
        <v>0</v>
      </c>
      <c r="M221" s="456">
        <f ca="1" t="shared" si="178"/>
        <v>0</v>
      </c>
      <c r="N221" s="456">
        <f ca="1" t="shared" si="181"/>
        <v>0</v>
      </c>
      <c r="O221" s="456">
        <f ca="1" t="shared" si="179"/>
        <v>0</v>
      </c>
    </row>
    <row r="222" ht="15" hidden="1" spans="2:15">
      <c r="B222" s="465">
        <v>14</v>
      </c>
      <c r="C222" s="423" t="s">
        <v>801</v>
      </c>
      <c r="D222" s="466"/>
      <c r="E222" s="459"/>
      <c r="F222" s="456">
        <f t="shared" si="151"/>
        <v>0</v>
      </c>
      <c r="G222" s="456"/>
      <c r="H222" s="456"/>
      <c r="I222" s="456"/>
      <c r="J222" s="456">
        <f t="shared" si="157"/>
        <v>0</v>
      </c>
      <c r="K222" s="456"/>
      <c r="L222" s="456"/>
      <c r="M222" s="456"/>
      <c r="N222" s="456"/>
      <c r="O222" s="456"/>
    </row>
    <row r="223" ht="15" hidden="1" spans="2:15">
      <c r="B223" s="465"/>
      <c r="C223" s="425" t="s">
        <v>802</v>
      </c>
      <c r="D223" s="466"/>
      <c r="E223" s="459"/>
      <c r="F223" s="456">
        <f ca="1" t="shared" si="151"/>
        <v>0</v>
      </c>
      <c r="G223" s="456">
        <f ca="1" t="shared" ref="G223:L226" si="183">G540+G857</f>
        <v>0</v>
      </c>
      <c r="H223" s="456">
        <f ca="1" t="shared" si="183"/>
        <v>0</v>
      </c>
      <c r="I223" s="456">
        <f ca="1" t="shared" ref="I223:I228" si="184">F223+G223-H223</f>
        <v>0</v>
      </c>
      <c r="J223" s="456">
        <f ca="1" t="shared" si="157"/>
        <v>0</v>
      </c>
      <c r="K223" s="456">
        <f ca="1" t="shared" si="183"/>
        <v>0</v>
      </c>
      <c r="L223" s="456">
        <f ca="1" t="shared" si="183"/>
        <v>0</v>
      </c>
      <c r="M223" s="456">
        <f ca="1" t="shared" ref="M223:M228" si="185">J223+K223-L223</f>
        <v>0</v>
      </c>
      <c r="N223" s="456">
        <f ca="1">F223-J223</f>
        <v>0</v>
      </c>
      <c r="O223" s="456">
        <f ca="1">I223-M223</f>
        <v>0</v>
      </c>
    </row>
    <row r="224" ht="15" hidden="1" spans="2:15">
      <c r="B224" s="465"/>
      <c r="C224" s="425" t="s">
        <v>803</v>
      </c>
      <c r="D224" s="466"/>
      <c r="E224" s="459"/>
      <c r="F224" s="456">
        <f ca="1" t="shared" si="151"/>
        <v>0</v>
      </c>
      <c r="G224" s="456">
        <f ca="1" t="shared" si="183"/>
        <v>0</v>
      </c>
      <c r="H224" s="456">
        <f ca="1" t="shared" si="183"/>
        <v>0</v>
      </c>
      <c r="I224" s="456">
        <f ca="1" t="shared" si="184"/>
        <v>0</v>
      </c>
      <c r="J224" s="456">
        <f ca="1" t="shared" si="157"/>
        <v>0</v>
      </c>
      <c r="K224" s="456">
        <f ca="1" t="shared" si="183"/>
        <v>0</v>
      </c>
      <c r="L224" s="456">
        <f ca="1" t="shared" si="183"/>
        <v>0</v>
      </c>
      <c r="M224" s="456">
        <f ca="1" t="shared" si="185"/>
        <v>0</v>
      </c>
      <c r="N224" s="456">
        <f ca="1" t="shared" ref="N224:N228" si="186">F224-J224</f>
        <v>0</v>
      </c>
      <c r="O224" s="456">
        <f ca="1" t="shared" ref="O224:O228" si="187">I224-M224</f>
        <v>0</v>
      </c>
    </row>
    <row r="225" ht="15" hidden="1" spans="2:15">
      <c r="B225" s="465"/>
      <c r="C225" s="425" t="s">
        <v>804</v>
      </c>
      <c r="D225" s="466"/>
      <c r="E225" s="459"/>
      <c r="F225" s="456">
        <f ca="1" t="shared" si="151"/>
        <v>0</v>
      </c>
      <c r="G225" s="456">
        <f ca="1" t="shared" si="183"/>
        <v>0</v>
      </c>
      <c r="H225" s="456">
        <f ca="1" t="shared" si="183"/>
        <v>0</v>
      </c>
      <c r="I225" s="456">
        <f ca="1" t="shared" si="184"/>
        <v>0</v>
      </c>
      <c r="J225" s="456">
        <f ca="1" t="shared" si="157"/>
        <v>0</v>
      </c>
      <c r="K225" s="456">
        <f ca="1" t="shared" si="183"/>
        <v>0</v>
      </c>
      <c r="L225" s="456">
        <f ca="1" t="shared" si="183"/>
        <v>0</v>
      </c>
      <c r="M225" s="456">
        <f ca="1" t="shared" si="185"/>
        <v>0</v>
      </c>
      <c r="N225" s="456">
        <f ca="1" t="shared" si="186"/>
        <v>0</v>
      </c>
      <c r="O225" s="456">
        <f ca="1" t="shared" si="187"/>
        <v>0</v>
      </c>
    </row>
    <row r="226" ht="15" hidden="1" spans="2:15">
      <c r="B226" s="465">
        <v>15</v>
      </c>
      <c r="C226" s="423" t="s">
        <v>805</v>
      </c>
      <c r="D226" s="466"/>
      <c r="E226" s="459"/>
      <c r="F226" s="456">
        <f ca="1" t="shared" si="151"/>
        <v>221.139055341113</v>
      </c>
      <c r="G226" s="456">
        <f>'[60]GFA &amp; Dep-MYT 5th Control'!$O$40</f>
        <v>16.5042788912232</v>
      </c>
      <c r="H226" s="456">
        <f ca="1" t="shared" si="183"/>
        <v>0</v>
      </c>
      <c r="I226" s="456">
        <f ca="1" t="shared" si="184"/>
        <v>237.643334232336</v>
      </c>
      <c r="J226" s="456">
        <f ca="1" t="shared" si="157"/>
        <v>181.504109258051</v>
      </c>
      <c r="K226" s="456">
        <f>'[60]GFA &amp; Dep-MYT 5th Control'!$G$195</f>
        <v>9.92684042300869</v>
      </c>
      <c r="L226" s="456">
        <f ca="1" t="shared" si="183"/>
        <v>0</v>
      </c>
      <c r="M226" s="456">
        <f ca="1" t="shared" si="185"/>
        <v>191.43094968106</v>
      </c>
      <c r="N226" s="456">
        <f ca="1" t="shared" si="186"/>
        <v>39.634946083062</v>
      </c>
      <c r="O226" s="456">
        <f ca="1" t="shared" si="187"/>
        <v>46.2123845512766</v>
      </c>
    </row>
    <row r="227" ht="15" hidden="1" spans="2:15">
      <c r="B227" s="465">
        <v>16</v>
      </c>
      <c r="C227" s="423" t="s">
        <v>806</v>
      </c>
      <c r="D227" s="457"/>
      <c r="E227" s="459"/>
      <c r="F227" s="456">
        <f ca="1" t="shared" si="151"/>
        <v>70.8</v>
      </c>
      <c r="G227" s="456">
        <f ca="1" t="shared" ref="G227:L228" si="188">G544+G861</f>
        <v>0</v>
      </c>
      <c r="H227" s="456">
        <f ca="1" t="shared" si="188"/>
        <v>0</v>
      </c>
      <c r="I227" s="456">
        <f ca="1" t="shared" si="184"/>
        <v>70.8</v>
      </c>
      <c r="J227" s="456">
        <f ca="1" t="shared" si="157"/>
        <v>62.887410957</v>
      </c>
      <c r="K227" s="456">
        <f>'[60]GFA &amp; Dep-MYT 5th Control'!$G$174</f>
        <v>4.152617751</v>
      </c>
      <c r="L227" s="456">
        <f ca="1" t="shared" si="188"/>
        <v>0</v>
      </c>
      <c r="M227" s="456">
        <f ca="1" t="shared" si="185"/>
        <v>67.040028708</v>
      </c>
      <c r="N227" s="456">
        <f ca="1" t="shared" si="186"/>
        <v>7.912589043</v>
      </c>
      <c r="O227" s="456">
        <f ca="1" t="shared" si="187"/>
        <v>3.759971292</v>
      </c>
    </row>
    <row r="228" ht="15" hidden="1" spans="2:15">
      <c r="B228" s="465">
        <v>17</v>
      </c>
      <c r="C228" s="423" t="s">
        <v>807</v>
      </c>
      <c r="D228" s="457"/>
      <c r="E228" s="426"/>
      <c r="F228" s="456">
        <f ca="1" t="shared" si="151"/>
        <v>0</v>
      </c>
      <c r="G228" s="456">
        <f ca="1" t="shared" si="188"/>
        <v>0</v>
      </c>
      <c r="H228" s="456">
        <f ca="1" t="shared" si="188"/>
        <v>0</v>
      </c>
      <c r="I228" s="456">
        <f ca="1" t="shared" si="184"/>
        <v>0</v>
      </c>
      <c r="J228" s="456">
        <f ca="1" t="shared" si="157"/>
        <v>0</v>
      </c>
      <c r="K228" s="456">
        <f ca="1" t="shared" si="188"/>
        <v>0</v>
      </c>
      <c r="L228" s="456">
        <f ca="1" t="shared" si="188"/>
        <v>0</v>
      </c>
      <c r="M228" s="456">
        <f ca="1" t="shared" si="185"/>
        <v>0</v>
      </c>
      <c r="N228" s="456">
        <f ca="1" t="shared" si="186"/>
        <v>0</v>
      </c>
      <c r="O228" s="456">
        <f ca="1" t="shared" si="187"/>
        <v>0</v>
      </c>
    </row>
    <row r="229" ht="15.75" hidden="1" spans="2:15">
      <c r="B229" s="470"/>
      <c r="C229" s="471" t="s">
        <v>97</v>
      </c>
      <c r="D229" s="471"/>
      <c r="E229" s="472"/>
      <c r="F229" s="474">
        <f ca="1">SUM(F189:F228)</f>
        <v>27934.3998520608</v>
      </c>
      <c r="G229" s="474">
        <f ca="1" t="shared" ref="G229:O229" si="189">SUM(G189:G228)</f>
        <v>3479.77228503325</v>
      </c>
      <c r="H229" s="474">
        <f ca="1" t="shared" si="189"/>
        <v>0</v>
      </c>
      <c r="I229" s="474">
        <f ca="1" t="shared" si="189"/>
        <v>31414.172137094</v>
      </c>
      <c r="J229" s="474">
        <f ca="1" t="shared" si="189"/>
        <v>13092.0342106571</v>
      </c>
      <c r="K229" s="474">
        <f ca="1" t="shared" si="189"/>
        <v>1005.82777643773</v>
      </c>
      <c r="L229" s="474">
        <f ca="1" t="shared" si="189"/>
        <v>0</v>
      </c>
      <c r="M229" s="474">
        <f ca="1" t="shared" si="189"/>
        <v>14097.8619870948</v>
      </c>
      <c r="N229" s="474">
        <f ca="1" t="shared" si="189"/>
        <v>14842.3656414037</v>
      </c>
      <c r="O229" s="474">
        <f ca="1" t="shared" si="189"/>
        <v>17316.3101499992</v>
      </c>
    </row>
    <row r="230" hidden="1"/>
    <row r="231" ht="15" hidden="1" spans="2:15">
      <c r="B231" s="445" t="s">
        <v>656</v>
      </c>
      <c r="C231" s="446"/>
      <c r="D231" s="446"/>
      <c r="E231" s="446"/>
      <c r="F231" s="446"/>
      <c r="G231" s="446"/>
      <c r="H231" s="446"/>
      <c r="I231" s="446"/>
      <c r="J231" s="446"/>
      <c r="K231" s="446"/>
      <c r="L231" s="446"/>
      <c r="M231" s="446"/>
      <c r="N231" s="446"/>
      <c r="O231" s="467"/>
    </row>
    <row r="232" ht="13.9" hidden="1" customHeight="1" spans="2:15">
      <c r="B232" s="447" t="s">
        <v>564</v>
      </c>
      <c r="C232" s="981" t="s">
        <v>671</v>
      </c>
      <c r="D232" s="449" t="s">
        <v>672</v>
      </c>
      <c r="E232" s="449" t="s">
        <v>673</v>
      </c>
      <c r="F232" s="449" t="s">
        <v>674</v>
      </c>
      <c r="G232" s="449"/>
      <c r="H232" s="449"/>
      <c r="I232" s="449"/>
      <c r="J232" s="449" t="s">
        <v>675</v>
      </c>
      <c r="K232" s="449"/>
      <c r="L232" s="449"/>
      <c r="M232" s="449"/>
      <c r="N232" s="449" t="s">
        <v>676</v>
      </c>
      <c r="O232" s="468"/>
    </row>
    <row r="233" ht="60.75" hidden="1" spans="2:15">
      <c r="B233" s="450"/>
      <c r="C233" s="451"/>
      <c r="D233" s="452"/>
      <c r="E233" s="452"/>
      <c r="F233" s="452" t="s">
        <v>677</v>
      </c>
      <c r="G233" s="452" t="s">
        <v>678</v>
      </c>
      <c r="H233" s="452" t="s">
        <v>679</v>
      </c>
      <c r="I233" s="452" t="s">
        <v>680</v>
      </c>
      <c r="J233" s="452" t="s">
        <v>681</v>
      </c>
      <c r="K233" s="452" t="s">
        <v>678</v>
      </c>
      <c r="L233" s="452" t="s">
        <v>682</v>
      </c>
      <c r="M233" s="452" t="s">
        <v>683</v>
      </c>
      <c r="N233" s="452" t="s">
        <v>677</v>
      </c>
      <c r="O233" s="469" t="s">
        <v>680</v>
      </c>
    </row>
    <row r="234" ht="15" hidden="1" spans="2:15">
      <c r="B234" s="453">
        <v>1</v>
      </c>
      <c r="C234" s="436" t="s">
        <v>684</v>
      </c>
      <c r="D234" s="454"/>
      <c r="E234" s="455"/>
      <c r="F234" s="456">
        <f ca="1" t="shared" ref="F234:F273" si="190">I189</f>
        <v>241.774924659029</v>
      </c>
      <c r="G234" s="456">
        <f>'[60]GFA &amp; Dep-MYT 5th Control'!$P$39</f>
        <v>87.147490233361</v>
      </c>
      <c r="H234" s="456">
        <f ca="1" t="shared" ref="H234" si="191">H551+H868</f>
        <v>0</v>
      </c>
      <c r="I234" s="456">
        <f ca="1" t="shared" ref="I234:I273" si="192">F234+G234-H234</f>
        <v>328.92241489239</v>
      </c>
      <c r="J234" s="456">
        <f ca="1">M189</f>
        <v>0.00489906200000156</v>
      </c>
      <c r="K234" s="456">
        <f>'[60]GFA &amp; Dep-MYT 5th Control'!$H$172</f>
        <v>0</v>
      </c>
      <c r="L234" s="456">
        <f ca="1">L551+L868</f>
        <v>0</v>
      </c>
      <c r="M234" s="456">
        <f ca="1">J234+K234-L234</f>
        <v>0.00489906200000156</v>
      </c>
      <c r="N234" s="456">
        <f ca="1">F234-J234</f>
        <v>241.770025597029</v>
      </c>
      <c r="O234" s="456">
        <f ca="1">I234-M234</f>
        <v>328.91751583039</v>
      </c>
    </row>
    <row r="235" ht="15" hidden="1" spans="2:15">
      <c r="B235" s="453">
        <v>2</v>
      </c>
      <c r="C235" s="436" t="s">
        <v>770</v>
      </c>
      <c r="D235" s="457"/>
      <c r="E235" s="458"/>
      <c r="F235" s="456">
        <f ca="1" t="shared" si="190"/>
        <v>0</v>
      </c>
      <c r="G235" s="456">
        <f ca="1" t="shared" ref="G235:L235" si="193">G552+G869</f>
        <v>0</v>
      </c>
      <c r="H235" s="456">
        <f ca="1" t="shared" si="193"/>
        <v>0</v>
      </c>
      <c r="I235" s="456">
        <f ca="1" t="shared" si="192"/>
        <v>0</v>
      </c>
      <c r="J235" s="456">
        <f ca="1" t="shared" ref="J235:J273" si="194">M190</f>
        <v>0</v>
      </c>
      <c r="K235" s="456">
        <f ca="1">K552+K869</f>
        <v>0</v>
      </c>
      <c r="L235" s="456">
        <f ca="1" t="shared" si="193"/>
        <v>0</v>
      </c>
      <c r="M235" s="456">
        <f ca="1">J235+K235-L235</f>
        <v>0</v>
      </c>
      <c r="N235" s="456">
        <f ca="1">F235-J235</f>
        <v>0</v>
      </c>
      <c r="O235" s="456">
        <f ca="1">I235-M235</f>
        <v>0</v>
      </c>
    </row>
    <row r="236" ht="15" hidden="1" spans="2:15">
      <c r="B236" s="453">
        <v>3</v>
      </c>
      <c r="C236" s="438" t="s">
        <v>771</v>
      </c>
      <c r="D236" s="457"/>
      <c r="E236" s="459"/>
      <c r="F236" s="456">
        <f t="shared" si="190"/>
        <v>0</v>
      </c>
      <c r="G236" s="456"/>
      <c r="H236" s="456"/>
      <c r="I236" s="456"/>
      <c r="J236" s="456">
        <f t="shared" si="194"/>
        <v>0</v>
      </c>
      <c r="K236" s="456"/>
      <c r="L236" s="456"/>
      <c r="M236" s="456"/>
      <c r="N236" s="456"/>
      <c r="O236" s="456"/>
    </row>
    <row r="237" ht="15" hidden="1" spans="2:15">
      <c r="B237" s="453"/>
      <c r="C237" s="460" t="s">
        <v>772</v>
      </c>
      <c r="D237" s="457"/>
      <c r="E237" s="459"/>
      <c r="F237" s="456">
        <f ca="1" t="shared" si="190"/>
        <v>571.704963940354</v>
      </c>
      <c r="G237" s="456">
        <f>'[60]GFA &amp; Dep-MYT 5th Control'!$P$38</f>
        <v>73.8212817809198</v>
      </c>
      <c r="H237" s="456">
        <f ca="1" t="shared" ref="H237:L237" si="195">H554+H871</f>
        <v>0</v>
      </c>
      <c r="I237" s="456">
        <f ca="1" t="shared" si="192"/>
        <v>645.526245721274</v>
      </c>
      <c r="J237" s="456">
        <f ca="1" t="shared" si="194"/>
        <v>199.1962489207</v>
      </c>
      <c r="K237" s="456">
        <f>'[60]GFA &amp; Dep-MYT 5th Control'!$H$173</f>
        <v>21.5162217900308</v>
      </c>
      <c r="L237" s="456">
        <f ca="1" t="shared" si="195"/>
        <v>0</v>
      </c>
      <c r="M237" s="456">
        <f ca="1">J237+K237-L237</f>
        <v>220.712470710731</v>
      </c>
      <c r="N237" s="456">
        <f ca="1">F237-J237</f>
        <v>372.508715019654</v>
      </c>
      <c r="O237" s="456">
        <f ca="1">I237-M237</f>
        <v>424.813775010543</v>
      </c>
    </row>
    <row r="238" ht="28.5" hidden="1" spans="2:15">
      <c r="B238" s="453"/>
      <c r="C238" s="460" t="s">
        <v>773</v>
      </c>
      <c r="D238" s="457"/>
      <c r="E238" s="459"/>
      <c r="F238" s="456">
        <f ca="1" t="shared" si="190"/>
        <v>0</v>
      </c>
      <c r="G238" s="456">
        <f ca="1" t="shared" ref="G238:L240" si="196">G555+G872</f>
        <v>0</v>
      </c>
      <c r="H238" s="456">
        <f ca="1" t="shared" si="196"/>
        <v>0</v>
      </c>
      <c r="I238" s="456">
        <f ca="1" t="shared" si="192"/>
        <v>0</v>
      </c>
      <c r="J238" s="456">
        <f ca="1" t="shared" si="194"/>
        <v>0</v>
      </c>
      <c r="K238" s="456">
        <f ca="1" t="shared" si="196"/>
        <v>0</v>
      </c>
      <c r="L238" s="456">
        <f ca="1" t="shared" si="196"/>
        <v>0</v>
      </c>
      <c r="M238" s="456">
        <f ca="1">J238+K238-L238</f>
        <v>0</v>
      </c>
      <c r="N238" s="456">
        <f ca="1">F238-J238</f>
        <v>0</v>
      </c>
      <c r="O238" s="456">
        <f ca="1">I238-M238</f>
        <v>0</v>
      </c>
    </row>
    <row r="239" ht="15" hidden="1" spans="2:15">
      <c r="B239" s="453"/>
      <c r="C239" s="460" t="s">
        <v>774</v>
      </c>
      <c r="D239" s="457"/>
      <c r="E239" s="459"/>
      <c r="F239" s="456">
        <f ca="1" t="shared" si="190"/>
        <v>0</v>
      </c>
      <c r="G239" s="456">
        <f ca="1" t="shared" si="196"/>
        <v>0</v>
      </c>
      <c r="H239" s="456">
        <f ca="1" t="shared" si="196"/>
        <v>0</v>
      </c>
      <c r="I239" s="456">
        <f ca="1" t="shared" si="192"/>
        <v>0</v>
      </c>
      <c r="J239" s="456">
        <f ca="1" t="shared" si="194"/>
        <v>0</v>
      </c>
      <c r="K239" s="456">
        <f ca="1" t="shared" si="196"/>
        <v>0</v>
      </c>
      <c r="L239" s="456">
        <f ca="1" t="shared" si="196"/>
        <v>0</v>
      </c>
      <c r="M239" s="456">
        <f ca="1">J239+K239-L239</f>
        <v>0</v>
      </c>
      <c r="N239" s="456">
        <f ca="1">F239-J239</f>
        <v>0</v>
      </c>
      <c r="O239" s="456">
        <f ca="1">I239-M239</f>
        <v>0</v>
      </c>
    </row>
    <row r="240" ht="15" hidden="1" spans="2:15">
      <c r="B240" s="453"/>
      <c r="C240" s="460" t="s">
        <v>775</v>
      </c>
      <c r="D240" s="457"/>
      <c r="E240" s="459"/>
      <c r="F240" s="456">
        <f ca="1" t="shared" si="190"/>
        <v>221.08</v>
      </c>
      <c r="G240" s="456">
        <f ca="1" t="shared" si="196"/>
        <v>0</v>
      </c>
      <c r="H240" s="456">
        <f ca="1" t="shared" si="196"/>
        <v>0</v>
      </c>
      <c r="I240" s="456">
        <f ca="1" t="shared" si="192"/>
        <v>221.08</v>
      </c>
      <c r="J240" s="456">
        <f ca="1" t="shared" si="194"/>
        <v>44.413445081</v>
      </c>
      <c r="K240" s="456">
        <f ca="1" t="shared" si="196"/>
        <v>0</v>
      </c>
      <c r="L240" s="456">
        <f ca="1" t="shared" si="196"/>
        <v>0</v>
      </c>
      <c r="M240" s="456">
        <f ca="1">J240+K240-L240</f>
        <v>44.413445081</v>
      </c>
      <c r="N240" s="456">
        <f ca="1">F240-J240</f>
        <v>176.666554919</v>
      </c>
      <c r="O240" s="456">
        <f ca="1">I240-M240</f>
        <v>176.666554919</v>
      </c>
    </row>
    <row r="241" ht="15" hidden="1" spans="2:15">
      <c r="B241" s="453">
        <v>4</v>
      </c>
      <c r="C241" s="436" t="s">
        <v>776</v>
      </c>
      <c r="D241" s="457"/>
      <c r="E241" s="459"/>
      <c r="F241" s="456">
        <f t="shared" si="190"/>
        <v>0</v>
      </c>
      <c r="G241" s="456"/>
      <c r="H241" s="456"/>
      <c r="I241" s="456"/>
      <c r="J241" s="456">
        <f t="shared" si="194"/>
        <v>0</v>
      </c>
      <c r="K241" s="456"/>
      <c r="L241" s="456"/>
      <c r="M241" s="456"/>
      <c r="N241" s="456"/>
      <c r="O241" s="456"/>
    </row>
    <row r="242" ht="15" hidden="1" spans="2:15">
      <c r="B242" s="453"/>
      <c r="C242" s="461" t="s">
        <v>777</v>
      </c>
      <c r="D242" s="457"/>
      <c r="E242" s="459"/>
      <c r="F242" s="456">
        <f ca="1" t="shared" si="190"/>
        <v>13676.5647729489</v>
      </c>
      <c r="G242" s="456">
        <f>'[60]GFA &amp; Dep-MYT 5th Control'!$P$34</f>
        <v>1753.03746766316</v>
      </c>
      <c r="H242" s="456">
        <f ca="1" t="shared" ref="H242:L242" si="197">H559+H876</f>
        <v>0</v>
      </c>
      <c r="I242" s="456">
        <f ca="1" t="shared" si="192"/>
        <v>15429.6022406121</v>
      </c>
      <c r="J242" s="456">
        <f ca="1" t="shared" si="194"/>
        <v>6404.02764759939</v>
      </c>
      <c r="K242" s="456">
        <f>SUM('[60]GFA &amp; Dep-MYT 5th Control'!$H$178:$H$180)</f>
        <v>518.048401678977</v>
      </c>
      <c r="L242" s="456">
        <f ca="1" t="shared" si="197"/>
        <v>0</v>
      </c>
      <c r="M242" s="456">
        <f ca="1">J242+K242-L242</f>
        <v>6922.07604927837</v>
      </c>
      <c r="N242" s="456">
        <f ca="1">F242-J242</f>
        <v>7272.53712534951</v>
      </c>
      <c r="O242" s="456">
        <f ca="1">I242-M242</f>
        <v>8507.52619133369</v>
      </c>
    </row>
    <row r="243" ht="15" hidden="1" spans="2:15">
      <c r="B243" s="453"/>
      <c r="C243" s="436" t="s">
        <v>778</v>
      </c>
      <c r="D243" s="457"/>
      <c r="E243" s="459"/>
      <c r="F243" s="456">
        <f t="shared" si="190"/>
        <v>0</v>
      </c>
      <c r="G243" s="456"/>
      <c r="H243" s="456"/>
      <c r="I243" s="456"/>
      <c r="J243" s="456">
        <f t="shared" si="194"/>
        <v>0</v>
      </c>
      <c r="K243" s="456"/>
      <c r="L243" s="456"/>
      <c r="M243" s="456"/>
      <c r="N243" s="456"/>
      <c r="O243" s="456"/>
    </row>
    <row r="244" ht="15" hidden="1" spans="2:15">
      <c r="B244" s="453"/>
      <c r="C244" s="461" t="s">
        <v>779</v>
      </c>
      <c r="D244" s="457"/>
      <c r="E244" s="459"/>
      <c r="F244" s="456">
        <f ca="1" t="shared" si="190"/>
        <v>0</v>
      </c>
      <c r="G244" s="456">
        <f ca="1" t="shared" ref="G244:L245" si="198">G561+G878</f>
        <v>0</v>
      </c>
      <c r="H244" s="456">
        <f ca="1" t="shared" si="198"/>
        <v>0</v>
      </c>
      <c r="I244" s="456">
        <f ca="1" t="shared" si="192"/>
        <v>0</v>
      </c>
      <c r="J244" s="456">
        <f ca="1" t="shared" si="194"/>
        <v>0</v>
      </c>
      <c r="K244" s="456">
        <f ca="1" t="shared" si="198"/>
        <v>0</v>
      </c>
      <c r="L244" s="456">
        <f ca="1" t="shared" si="198"/>
        <v>0</v>
      </c>
      <c r="M244" s="456">
        <f ca="1">J244+K244-L244</f>
        <v>0</v>
      </c>
      <c r="N244" s="456">
        <f ca="1">F244-J244</f>
        <v>0</v>
      </c>
      <c r="O244" s="456">
        <f ca="1">I244-M244</f>
        <v>0</v>
      </c>
    </row>
    <row r="245" ht="15" hidden="1" spans="2:15">
      <c r="B245" s="453"/>
      <c r="C245" s="461" t="s">
        <v>780</v>
      </c>
      <c r="D245" s="457"/>
      <c r="E245" s="459"/>
      <c r="F245" s="456">
        <f ca="1" t="shared" si="190"/>
        <v>0</v>
      </c>
      <c r="G245" s="456">
        <f ca="1" t="shared" si="198"/>
        <v>0</v>
      </c>
      <c r="H245" s="456">
        <f ca="1" t="shared" si="198"/>
        <v>0</v>
      </c>
      <c r="I245" s="456">
        <f ca="1" t="shared" si="192"/>
        <v>0</v>
      </c>
      <c r="J245" s="456">
        <f ca="1" t="shared" si="194"/>
        <v>0</v>
      </c>
      <c r="K245" s="456">
        <f ca="1" t="shared" si="198"/>
        <v>0</v>
      </c>
      <c r="L245" s="456">
        <f ca="1" t="shared" si="198"/>
        <v>0</v>
      </c>
      <c r="M245" s="456">
        <f ca="1">J245+K245-L245</f>
        <v>0</v>
      </c>
      <c r="N245" s="456">
        <f ca="1">F245-J245</f>
        <v>0</v>
      </c>
      <c r="O245" s="456">
        <f ca="1">I245-M245</f>
        <v>0</v>
      </c>
    </row>
    <row r="246" ht="15" hidden="1" spans="2:15">
      <c r="B246" s="453">
        <v>5</v>
      </c>
      <c r="C246" s="436" t="s">
        <v>781</v>
      </c>
      <c r="D246" s="457"/>
      <c r="E246" s="459"/>
      <c r="F246" s="456">
        <f t="shared" si="190"/>
        <v>0</v>
      </c>
      <c r="G246" s="462"/>
      <c r="H246" s="462"/>
      <c r="I246" s="462"/>
      <c r="J246" s="456">
        <f t="shared" si="194"/>
        <v>0</v>
      </c>
      <c r="K246" s="462"/>
      <c r="L246" s="462"/>
      <c r="M246" s="462"/>
      <c r="N246" s="462"/>
      <c r="O246" s="462"/>
    </row>
    <row r="247" ht="15" hidden="1" spans="2:15">
      <c r="B247" s="453"/>
      <c r="C247" s="461" t="s">
        <v>782</v>
      </c>
      <c r="D247" s="457"/>
      <c r="E247" s="459"/>
      <c r="F247" s="456">
        <f ca="1" t="shared" si="190"/>
        <v>0</v>
      </c>
      <c r="G247" s="456">
        <f ca="1" t="shared" ref="G247:L252" si="199">G564+G881</f>
        <v>0</v>
      </c>
      <c r="H247" s="456">
        <f ca="1" t="shared" si="199"/>
        <v>0</v>
      </c>
      <c r="I247" s="456">
        <f ca="1" t="shared" si="192"/>
        <v>0</v>
      </c>
      <c r="J247" s="456">
        <f ca="1" t="shared" si="194"/>
        <v>0</v>
      </c>
      <c r="K247" s="456">
        <f ca="1" t="shared" si="199"/>
        <v>0</v>
      </c>
      <c r="L247" s="456">
        <f ca="1" t="shared" si="199"/>
        <v>0</v>
      </c>
      <c r="M247" s="456">
        <f ca="1" t="shared" ref="M247:M252" si="200">J247+K247-L247</f>
        <v>0</v>
      </c>
      <c r="N247" s="456">
        <f ca="1" t="shared" ref="N247:N252" si="201">F247-J247</f>
        <v>0</v>
      </c>
      <c r="O247" s="456">
        <f ca="1" t="shared" ref="O247:O252" si="202">I247-M247</f>
        <v>0</v>
      </c>
    </row>
    <row r="248" ht="15" hidden="1" spans="2:15">
      <c r="B248" s="453"/>
      <c r="C248" s="461" t="s">
        <v>783</v>
      </c>
      <c r="D248" s="457"/>
      <c r="E248" s="459"/>
      <c r="F248" s="456">
        <f ca="1" t="shared" si="190"/>
        <v>0</v>
      </c>
      <c r="G248" s="456">
        <f ca="1" t="shared" si="199"/>
        <v>0</v>
      </c>
      <c r="H248" s="456">
        <f ca="1" t="shared" si="199"/>
        <v>0</v>
      </c>
      <c r="I248" s="456">
        <f ca="1" t="shared" si="192"/>
        <v>0</v>
      </c>
      <c r="J248" s="456">
        <f ca="1" t="shared" si="194"/>
        <v>0</v>
      </c>
      <c r="K248" s="456">
        <f ca="1" t="shared" si="199"/>
        <v>0</v>
      </c>
      <c r="L248" s="456">
        <f ca="1" t="shared" si="199"/>
        <v>0</v>
      </c>
      <c r="M248" s="456">
        <f ca="1" t="shared" si="200"/>
        <v>0</v>
      </c>
      <c r="N248" s="456">
        <f ca="1" t="shared" si="201"/>
        <v>0</v>
      </c>
      <c r="O248" s="456">
        <f ca="1" t="shared" si="202"/>
        <v>0</v>
      </c>
    </row>
    <row r="249" ht="15" hidden="1" spans="2:15">
      <c r="B249" s="453"/>
      <c r="C249" s="461" t="s">
        <v>784</v>
      </c>
      <c r="D249" s="457"/>
      <c r="E249" s="459"/>
      <c r="F249" s="456">
        <f ca="1" t="shared" si="190"/>
        <v>0</v>
      </c>
      <c r="G249" s="456">
        <f ca="1" t="shared" si="199"/>
        <v>0</v>
      </c>
      <c r="H249" s="456">
        <f ca="1" t="shared" si="199"/>
        <v>0</v>
      </c>
      <c r="I249" s="456">
        <f ca="1" t="shared" si="192"/>
        <v>0</v>
      </c>
      <c r="J249" s="456">
        <f ca="1" t="shared" si="194"/>
        <v>0</v>
      </c>
      <c r="K249" s="456">
        <f ca="1" t="shared" si="199"/>
        <v>0</v>
      </c>
      <c r="L249" s="456">
        <f ca="1" t="shared" si="199"/>
        <v>0</v>
      </c>
      <c r="M249" s="456">
        <f ca="1" t="shared" si="200"/>
        <v>0</v>
      </c>
      <c r="N249" s="456">
        <f ca="1" t="shared" si="201"/>
        <v>0</v>
      </c>
      <c r="O249" s="456">
        <f ca="1" t="shared" si="202"/>
        <v>0</v>
      </c>
    </row>
    <row r="250" ht="15" hidden="1" spans="2:15">
      <c r="B250" s="453"/>
      <c r="C250" s="461" t="s">
        <v>785</v>
      </c>
      <c r="D250" s="457"/>
      <c r="E250" s="459"/>
      <c r="F250" s="456">
        <f ca="1" t="shared" si="190"/>
        <v>0</v>
      </c>
      <c r="G250" s="456">
        <f ca="1" t="shared" si="199"/>
        <v>0</v>
      </c>
      <c r="H250" s="456">
        <f ca="1" t="shared" si="199"/>
        <v>0</v>
      </c>
      <c r="I250" s="456">
        <f ca="1" t="shared" si="192"/>
        <v>0</v>
      </c>
      <c r="J250" s="456">
        <f ca="1" t="shared" si="194"/>
        <v>0</v>
      </c>
      <c r="K250" s="456">
        <f ca="1" t="shared" si="199"/>
        <v>0</v>
      </c>
      <c r="L250" s="456">
        <f ca="1" t="shared" si="199"/>
        <v>0</v>
      </c>
      <c r="M250" s="456">
        <f ca="1" t="shared" si="200"/>
        <v>0</v>
      </c>
      <c r="N250" s="456">
        <f ca="1" t="shared" si="201"/>
        <v>0</v>
      </c>
      <c r="O250" s="456">
        <f ca="1" t="shared" si="202"/>
        <v>0</v>
      </c>
    </row>
    <row r="251" ht="15" hidden="1" spans="2:15">
      <c r="B251" s="453">
        <v>6</v>
      </c>
      <c r="C251" s="436" t="s">
        <v>786</v>
      </c>
      <c r="D251" s="457"/>
      <c r="E251" s="459"/>
      <c r="F251" s="456">
        <f ca="1" t="shared" si="190"/>
        <v>0</v>
      </c>
      <c r="G251" s="456">
        <f ca="1" t="shared" si="199"/>
        <v>0</v>
      </c>
      <c r="H251" s="456">
        <f ca="1" t="shared" si="199"/>
        <v>0</v>
      </c>
      <c r="I251" s="456">
        <f ca="1" t="shared" si="192"/>
        <v>0</v>
      </c>
      <c r="J251" s="456">
        <f ca="1" t="shared" si="194"/>
        <v>0</v>
      </c>
      <c r="K251" s="456">
        <f ca="1" t="shared" si="199"/>
        <v>0</v>
      </c>
      <c r="L251" s="456">
        <f ca="1" t="shared" si="199"/>
        <v>0</v>
      </c>
      <c r="M251" s="456">
        <f ca="1" t="shared" si="200"/>
        <v>0</v>
      </c>
      <c r="N251" s="456">
        <f ca="1" t="shared" si="201"/>
        <v>0</v>
      </c>
      <c r="O251" s="456">
        <f ca="1" t="shared" si="202"/>
        <v>0</v>
      </c>
    </row>
    <row r="252" ht="15" hidden="1" spans="2:15">
      <c r="B252" s="453">
        <v>7</v>
      </c>
      <c r="C252" s="436" t="s">
        <v>787</v>
      </c>
      <c r="D252" s="457"/>
      <c r="E252" s="459"/>
      <c r="F252" s="456">
        <f ca="1" t="shared" si="190"/>
        <v>0</v>
      </c>
      <c r="G252" s="456">
        <f ca="1" t="shared" si="199"/>
        <v>0</v>
      </c>
      <c r="H252" s="456">
        <f ca="1" t="shared" si="199"/>
        <v>0</v>
      </c>
      <c r="I252" s="456">
        <f ca="1" t="shared" si="192"/>
        <v>0</v>
      </c>
      <c r="J252" s="456">
        <f ca="1" t="shared" si="194"/>
        <v>0</v>
      </c>
      <c r="K252" s="456">
        <f ca="1" t="shared" si="199"/>
        <v>0</v>
      </c>
      <c r="L252" s="456">
        <f ca="1" t="shared" si="199"/>
        <v>0</v>
      </c>
      <c r="M252" s="456">
        <f ca="1" t="shared" si="200"/>
        <v>0</v>
      </c>
      <c r="N252" s="456">
        <f ca="1" t="shared" si="201"/>
        <v>0</v>
      </c>
      <c r="O252" s="456">
        <f ca="1" t="shared" si="202"/>
        <v>0</v>
      </c>
    </row>
    <row r="253" ht="15" hidden="1" spans="2:15">
      <c r="B253" s="453">
        <v>8</v>
      </c>
      <c r="C253" s="436" t="s">
        <v>788</v>
      </c>
      <c r="D253" s="457"/>
      <c r="E253" s="459"/>
      <c r="F253" s="456">
        <f t="shared" si="190"/>
        <v>0</v>
      </c>
      <c r="G253" s="456"/>
      <c r="H253" s="456"/>
      <c r="I253" s="456"/>
      <c r="J253" s="456">
        <f t="shared" si="194"/>
        <v>0</v>
      </c>
      <c r="K253" s="456"/>
      <c r="L253" s="456"/>
      <c r="M253" s="456"/>
      <c r="N253" s="456"/>
      <c r="O253" s="456"/>
    </row>
    <row r="254" ht="15" hidden="1" spans="2:15">
      <c r="B254" s="453"/>
      <c r="C254" s="461" t="s">
        <v>789</v>
      </c>
      <c r="D254" s="457"/>
      <c r="E254" s="459"/>
      <c r="F254" s="456">
        <f ca="1" t="shared" si="190"/>
        <v>14126.080267366</v>
      </c>
      <c r="G254" s="456">
        <f>'[60]GFA &amp; Dep-MYT 5th Control'!$P$35</f>
        <v>2035.74983169247</v>
      </c>
      <c r="H254" s="456">
        <f ca="1" t="shared" ref="H254:L254" si="203">H571+H888</f>
        <v>0</v>
      </c>
      <c r="I254" s="456">
        <f ca="1" t="shared" si="192"/>
        <v>16161.8300990584</v>
      </c>
      <c r="J254" s="456">
        <f ca="1" t="shared" si="194"/>
        <v>5739.21542875345</v>
      </c>
      <c r="K254" s="456">
        <f>SUM('[60]GFA &amp; Dep-MYT 5th Control'!$H$187:$H$189)</f>
        <v>486.108240658757</v>
      </c>
      <c r="L254" s="456">
        <f ca="1" t="shared" si="203"/>
        <v>0</v>
      </c>
      <c r="M254" s="456">
        <f ca="1">J254+K254-L254</f>
        <v>6225.3236694122</v>
      </c>
      <c r="N254" s="456">
        <f ca="1">F254-J254</f>
        <v>8386.86483861252</v>
      </c>
      <c r="O254" s="456">
        <f ca="1">I254-M254</f>
        <v>9936.50642964624</v>
      </c>
    </row>
    <row r="255" ht="15" hidden="1" spans="2:15">
      <c r="B255" s="453"/>
      <c r="C255" s="461" t="s">
        <v>808</v>
      </c>
      <c r="D255" s="457"/>
      <c r="E255" s="459"/>
      <c r="F255" s="456">
        <f ca="1" t="shared" si="190"/>
        <v>0</v>
      </c>
      <c r="G255" s="456">
        <f ca="1" t="shared" ref="G255:L257" si="204">G572+G889</f>
        <v>0</v>
      </c>
      <c r="H255" s="456">
        <f ca="1" t="shared" si="204"/>
        <v>0</v>
      </c>
      <c r="I255" s="456">
        <f ca="1" t="shared" si="192"/>
        <v>0</v>
      </c>
      <c r="J255" s="456">
        <f ca="1" t="shared" si="194"/>
        <v>0</v>
      </c>
      <c r="K255" s="456">
        <f ca="1" t="shared" si="204"/>
        <v>0</v>
      </c>
      <c r="L255" s="456">
        <f ca="1" t="shared" si="204"/>
        <v>0</v>
      </c>
      <c r="M255" s="456">
        <f ca="1">J255+K255-L255</f>
        <v>0</v>
      </c>
      <c r="N255" s="456">
        <f ca="1">F255-J255</f>
        <v>0</v>
      </c>
      <c r="O255" s="456">
        <f ca="1">I255-M255</f>
        <v>0</v>
      </c>
    </row>
    <row r="256" ht="30" hidden="1" spans="2:15">
      <c r="B256" s="463">
        <v>9</v>
      </c>
      <c r="C256" s="464" t="s">
        <v>791</v>
      </c>
      <c r="D256" s="457"/>
      <c r="E256" s="459"/>
      <c r="F256" s="456">
        <f ca="1" t="shared" si="190"/>
        <v>0</v>
      </c>
      <c r="G256" s="456">
        <f ca="1" t="shared" si="204"/>
        <v>0</v>
      </c>
      <c r="H256" s="456">
        <f ca="1" t="shared" si="204"/>
        <v>0</v>
      </c>
      <c r="I256" s="456">
        <f ca="1" t="shared" si="192"/>
        <v>0</v>
      </c>
      <c r="J256" s="456">
        <f ca="1" t="shared" si="194"/>
        <v>0</v>
      </c>
      <c r="K256" s="456">
        <f ca="1" t="shared" si="204"/>
        <v>0</v>
      </c>
      <c r="L256" s="456">
        <f ca="1" t="shared" si="204"/>
        <v>0</v>
      </c>
      <c r="M256" s="456">
        <f ca="1">J256+K256-L256</f>
        <v>0</v>
      </c>
      <c r="N256" s="456">
        <f ca="1">F256-J256</f>
        <v>0</v>
      </c>
      <c r="O256" s="456">
        <f ca="1">I256-M256</f>
        <v>0</v>
      </c>
    </row>
    <row r="257" ht="15" hidden="1" spans="2:15">
      <c r="B257" s="465">
        <v>10</v>
      </c>
      <c r="C257" s="423" t="s">
        <v>792</v>
      </c>
      <c r="D257" s="466"/>
      <c r="E257" s="459"/>
      <c r="F257" s="456">
        <f ca="1" t="shared" si="190"/>
        <v>2189.56068465474</v>
      </c>
      <c r="G257" s="456">
        <f>'[60]GFA &amp; Dep-MYT 5th Control'!$P$36</f>
        <v>135.408140046992</v>
      </c>
      <c r="H257" s="456">
        <f ca="1" t="shared" si="204"/>
        <v>0</v>
      </c>
      <c r="I257" s="456">
        <f ca="1" t="shared" si="192"/>
        <v>2324.96882470173</v>
      </c>
      <c r="J257" s="456">
        <f ca="1" t="shared" si="194"/>
        <v>1391.10202429329</v>
      </c>
      <c r="K257" s="456">
        <f>'[60]GFA &amp; Dep-MYT 5th Control'!$H$184</f>
        <v>73.777049815896</v>
      </c>
      <c r="L257" s="456">
        <f ca="1" t="shared" si="204"/>
        <v>0</v>
      </c>
      <c r="M257" s="456">
        <f ca="1">J257+K257-L257</f>
        <v>1464.87907410919</v>
      </c>
      <c r="N257" s="456">
        <f ca="1">F257-J257</f>
        <v>798.458660361446</v>
      </c>
      <c r="O257" s="456">
        <f ca="1">I257-M257</f>
        <v>860.089750592542</v>
      </c>
    </row>
    <row r="258" ht="15" hidden="1" spans="2:15">
      <c r="B258" s="465">
        <v>11</v>
      </c>
      <c r="C258" s="423" t="s">
        <v>793</v>
      </c>
      <c r="D258" s="466"/>
      <c r="E258" s="459"/>
      <c r="F258" s="456">
        <f ca="1" t="shared" si="190"/>
        <v>7.08</v>
      </c>
      <c r="G258" s="456">
        <f ca="1" t="shared" ref="G258:L258" si="205">G575+G892</f>
        <v>0</v>
      </c>
      <c r="H258" s="456">
        <f ca="1" t="shared" si="205"/>
        <v>0</v>
      </c>
      <c r="I258" s="456">
        <f ca="1" t="shared" si="192"/>
        <v>7.08</v>
      </c>
      <c r="J258" s="456">
        <f ca="1" t="shared" si="194"/>
        <v>6.833210851</v>
      </c>
      <c r="K258" s="456">
        <f>'[60]GFA &amp; Dep-MYT 5th Control'!$H$191</f>
        <v>0</v>
      </c>
      <c r="L258" s="456">
        <f ca="1" t="shared" si="205"/>
        <v>0</v>
      </c>
      <c r="M258" s="456">
        <f ca="1">J258+K258-L258</f>
        <v>6.833210851</v>
      </c>
      <c r="N258" s="456">
        <f ca="1">F258-J258</f>
        <v>0.246789149</v>
      </c>
      <c r="O258" s="456">
        <f ca="1">I258-M258</f>
        <v>0.246789149</v>
      </c>
    </row>
    <row r="259" ht="15" hidden="1" spans="2:15">
      <c r="B259" s="465">
        <v>12</v>
      </c>
      <c r="C259" s="423" t="s">
        <v>794</v>
      </c>
      <c r="D259" s="466"/>
      <c r="E259" s="459"/>
      <c r="F259" s="456">
        <f t="shared" si="190"/>
        <v>0</v>
      </c>
      <c r="G259" s="456"/>
      <c r="H259" s="456"/>
      <c r="I259" s="456"/>
      <c r="J259" s="456">
        <f t="shared" si="194"/>
        <v>0</v>
      </c>
      <c r="K259" s="456"/>
      <c r="L259" s="456"/>
      <c r="M259" s="456"/>
      <c r="N259" s="456"/>
      <c r="O259" s="456"/>
    </row>
    <row r="260" ht="15" hidden="1" spans="2:15">
      <c r="B260" s="465"/>
      <c r="C260" s="425" t="s">
        <v>795</v>
      </c>
      <c r="D260" s="466"/>
      <c r="E260" s="459"/>
      <c r="F260" s="456">
        <f ca="1" t="shared" si="190"/>
        <v>2.6</v>
      </c>
      <c r="G260" s="456">
        <f ca="1" t="shared" ref="G260:L261" si="206">G577+G894</f>
        <v>0</v>
      </c>
      <c r="H260" s="456">
        <f ca="1" t="shared" si="206"/>
        <v>0</v>
      </c>
      <c r="I260" s="456">
        <f ca="1" t="shared" si="192"/>
        <v>2.6</v>
      </c>
      <c r="J260" s="456">
        <f ca="1" t="shared" si="194"/>
        <v>1.701644132</v>
      </c>
      <c r="K260" s="456">
        <f ca="1" t="shared" si="206"/>
        <v>0</v>
      </c>
      <c r="L260" s="456">
        <f ca="1" t="shared" si="206"/>
        <v>0</v>
      </c>
      <c r="M260" s="456">
        <f ca="1">J260+K260-L260</f>
        <v>1.701644132</v>
      </c>
      <c r="N260" s="456">
        <f ca="1">F260-J260</f>
        <v>0.898355868</v>
      </c>
      <c r="O260" s="456">
        <f ca="1">I260-M260</f>
        <v>0.898355868</v>
      </c>
    </row>
    <row r="261" ht="15" hidden="1" spans="2:15">
      <c r="B261" s="465"/>
      <c r="C261" s="425" t="s">
        <v>796</v>
      </c>
      <c r="D261" s="466"/>
      <c r="E261" s="459"/>
      <c r="F261" s="456">
        <f ca="1" t="shared" si="190"/>
        <v>0</v>
      </c>
      <c r="G261" s="456">
        <f ca="1" t="shared" si="206"/>
        <v>0</v>
      </c>
      <c r="H261" s="456">
        <f ca="1" t="shared" si="206"/>
        <v>0</v>
      </c>
      <c r="I261" s="456">
        <f ca="1" t="shared" si="192"/>
        <v>0</v>
      </c>
      <c r="J261" s="456">
        <f ca="1" t="shared" si="194"/>
        <v>0</v>
      </c>
      <c r="K261" s="456">
        <f ca="1" t="shared" si="206"/>
        <v>0</v>
      </c>
      <c r="L261" s="456">
        <f ca="1" t="shared" si="206"/>
        <v>0</v>
      </c>
      <c r="M261" s="456">
        <f ca="1">J261+K261-L261</f>
        <v>0</v>
      </c>
      <c r="N261" s="456">
        <f ca="1">F261-J261</f>
        <v>0</v>
      </c>
      <c r="O261" s="456">
        <f ca="1">I261-M261</f>
        <v>0</v>
      </c>
    </row>
    <row r="262" ht="15" hidden="1" spans="2:15">
      <c r="B262" s="465">
        <v>13</v>
      </c>
      <c r="C262" s="425"/>
      <c r="D262" s="466"/>
      <c r="E262" s="459"/>
      <c r="F262" s="456">
        <f t="shared" si="190"/>
        <v>0</v>
      </c>
      <c r="G262" s="456"/>
      <c r="H262" s="456"/>
      <c r="I262" s="456"/>
      <c r="J262" s="456">
        <f t="shared" si="194"/>
        <v>0</v>
      </c>
      <c r="K262" s="456"/>
      <c r="L262" s="456"/>
      <c r="M262" s="456"/>
      <c r="N262" s="456"/>
      <c r="O262" s="456"/>
    </row>
    <row r="263" ht="15" hidden="1" spans="2:15">
      <c r="B263" s="465"/>
      <c r="C263" s="425" t="s">
        <v>797</v>
      </c>
      <c r="D263" s="466"/>
      <c r="E263" s="459"/>
      <c r="F263" s="456">
        <f ca="1" t="shared" si="190"/>
        <v>17.25</v>
      </c>
      <c r="G263" s="456">
        <f ca="1" t="shared" ref="G263:L264" si="207">G580+G897</f>
        <v>0</v>
      </c>
      <c r="H263" s="456">
        <f ca="1" t="shared" si="207"/>
        <v>0</v>
      </c>
      <c r="I263" s="456">
        <f ca="1" t="shared" si="192"/>
        <v>17.25</v>
      </c>
      <c r="J263" s="456">
        <f ca="1" t="shared" si="194"/>
        <v>13.458035385</v>
      </c>
      <c r="K263" s="456">
        <f>'[60]GFA &amp; Dep-MYT 5th Control'!$H$192</f>
        <v>0.405165171</v>
      </c>
      <c r="L263" s="456">
        <f ca="1" t="shared" si="207"/>
        <v>0</v>
      </c>
      <c r="M263" s="456">
        <f ca="1" t="shared" ref="M263:M273" si="208">J263+K263-L263</f>
        <v>13.863200556</v>
      </c>
      <c r="N263" s="456">
        <f ca="1">F263-J263</f>
        <v>3.791964615</v>
      </c>
      <c r="O263" s="456">
        <f ca="1">I263-M263</f>
        <v>3.386799444</v>
      </c>
    </row>
    <row r="264" ht="15" hidden="1" spans="2:15">
      <c r="B264" s="465"/>
      <c r="C264" s="425" t="s">
        <v>798</v>
      </c>
      <c r="D264" s="466"/>
      <c r="E264" s="459"/>
      <c r="F264" s="456">
        <f ca="1" t="shared" si="190"/>
        <v>52.0331892926824</v>
      </c>
      <c r="G264" s="456">
        <f>'[60]GFA &amp; Dep-MYT 5th Control'!$P$37</f>
        <v>0.247904866640808</v>
      </c>
      <c r="H264" s="456">
        <f ca="1" t="shared" si="207"/>
        <v>0</v>
      </c>
      <c r="I264" s="456">
        <f ca="1" t="shared" si="192"/>
        <v>52.2810941593232</v>
      </c>
      <c r="J264" s="456">
        <f ca="1" t="shared" si="194"/>
        <v>39.4384246278998</v>
      </c>
      <c r="K264" s="456">
        <f>'[60]GFA &amp; Dep-MYT 5th Control'!$H$193</f>
        <v>1.40230618534025</v>
      </c>
      <c r="L264" s="456">
        <f ca="1" t="shared" si="207"/>
        <v>0</v>
      </c>
      <c r="M264" s="456">
        <f ca="1" t="shared" si="208"/>
        <v>40.84073081324</v>
      </c>
      <c r="N264" s="456">
        <f ca="1">F264-J264</f>
        <v>12.5947646647826</v>
      </c>
      <c r="O264" s="456">
        <f ca="1">I264-M264</f>
        <v>11.4403633460832</v>
      </c>
    </row>
    <row r="265" ht="15" hidden="1" spans="2:15">
      <c r="B265" s="465"/>
      <c r="C265" s="425" t="s">
        <v>799</v>
      </c>
      <c r="D265" s="466"/>
      <c r="E265" s="459"/>
      <c r="F265" s="456">
        <f ca="1" t="shared" si="190"/>
        <v>0</v>
      </c>
      <c r="G265" s="456">
        <f ca="1" t="shared" ref="G265:L266" si="209">G582+G899</f>
        <v>0</v>
      </c>
      <c r="H265" s="456">
        <f ca="1" t="shared" si="209"/>
        <v>0</v>
      </c>
      <c r="I265" s="456">
        <f ca="1" t="shared" si="192"/>
        <v>0</v>
      </c>
      <c r="J265" s="456">
        <f ca="1" t="shared" si="194"/>
        <v>0</v>
      </c>
      <c r="K265" s="456">
        <f ca="1" t="shared" si="209"/>
        <v>0</v>
      </c>
      <c r="L265" s="456">
        <f ca="1" t="shared" si="209"/>
        <v>0</v>
      </c>
      <c r="M265" s="456">
        <f ca="1" t="shared" si="208"/>
        <v>0</v>
      </c>
      <c r="N265" s="456">
        <f ca="1">F265-J265</f>
        <v>0</v>
      </c>
      <c r="O265" s="456">
        <f ca="1">I265-M265</f>
        <v>0</v>
      </c>
    </row>
    <row r="266" ht="15" hidden="1" spans="2:15">
      <c r="B266" s="465"/>
      <c r="C266" s="425" t="s">
        <v>800</v>
      </c>
      <c r="D266" s="466"/>
      <c r="E266" s="459"/>
      <c r="F266" s="456">
        <f ca="1" t="shared" si="190"/>
        <v>0</v>
      </c>
      <c r="G266" s="456">
        <f ca="1" t="shared" si="209"/>
        <v>0</v>
      </c>
      <c r="H266" s="456">
        <f ca="1" t="shared" si="209"/>
        <v>0</v>
      </c>
      <c r="I266" s="456">
        <f ca="1" t="shared" si="192"/>
        <v>0</v>
      </c>
      <c r="J266" s="456">
        <f ca="1" t="shared" si="194"/>
        <v>0</v>
      </c>
      <c r="K266" s="456">
        <f ca="1" t="shared" si="209"/>
        <v>0</v>
      </c>
      <c r="L266" s="456">
        <f ca="1" t="shared" si="209"/>
        <v>0</v>
      </c>
      <c r="M266" s="456">
        <f ca="1" t="shared" si="208"/>
        <v>0</v>
      </c>
      <c r="N266" s="456">
        <f ca="1">F266-J266</f>
        <v>0</v>
      </c>
      <c r="O266" s="456">
        <f ca="1">I266-M266</f>
        <v>0</v>
      </c>
    </row>
    <row r="267" ht="15" hidden="1" spans="2:15">
      <c r="B267" s="465">
        <v>14</v>
      </c>
      <c r="C267" s="423" t="s">
        <v>801</v>
      </c>
      <c r="D267" s="466"/>
      <c r="E267" s="459"/>
      <c r="F267" s="456">
        <f t="shared" si="190"/>
        <v>0</v>
      </c>
      <c r="G267" s="456"/>
      <c r="H267" s="456"/>
      <c r="I267" s="456"/>
      <c r="J267" s="456">
        <f t="shared" si="194"/>
        <v>0</v>
      </c>
      <c r="K267" s="456"/>
      <c r="L267" s="456"/>
      <c r="M267" s="456"/>
      <c r="N267" s="456"/>
      <c r="O267" s="456"/>
    </row>
    <row r="268" ht="15" hidden="1" spans="2:15">
      <c r="B268" s="465"/>
      <c r="C268" s="425" t="s">
        <v>802</v>
      </c>
      <c r="D268" s="466"/>
      <c r="E268" s="459"/>
      <c r="F268" s="456">
        <f ca="1" t="shared" si="190"/>
        <v>0</v>
      </c>
      <c r="G268" s="456">
        <f ca="1" t="shared" ref="G268:L271" si="210">G585+G902</f>
        <v>0</v>
      </c>
      <c r="H268" s="456">
        <f ca="1" t="shared" si="210"/>
        <v>0</v>
      </c>
      <c r="I268" s="456">
        <f ca="1" t="shared" si="192"/>
        <v>0</v>
      </c>
      <c r="J268" s="456">
        <f ca="1" t="shared" si="194"/>
        <v>0</v>
      </c>
      <c r="K268" s="456">
        <f ca="1" t="shared" si="210"/>
        <v>0</v>
      </c>
      <c r="L268" s="456">
        <f ca="1" t="shared" si="210"/>
        <v>0</v>
      </c>
      <c r="M268" s="456">
        <f ca="1" t="shared" si="208"/>
        <v>0</v>
      </c>
      <c r="N268" s="456">
        <f ca="1" t="shared" ref="N268:N273" si="211">F268-J268</f>
        <v>0</v>
      </c>
      <c r="O268" s="456">
        <f ca="1" t="shared" ref="O268:O273" si="212">I268-M268</f>
        <v>0</v>
      </c>
    </row>
    <row r="269" ht="15" hidden="1" spans="2:15">
      <c r="B269" s="465"/>
      <c r="C269" s="425" t="s">
        <v>803</v>
      </c>
      <c r="D269" s="466"/>
      <c r="E269" s="459"/>
      <c r="F269" s="456">
        <f ca="1" t="shared" si="190"/>
        <v>0</v>
      </c>
      <c r="G269" s="456">
        <f ca="1" t="shared" si="210"/>
        <v>0</v>
      </c>
      <c r="H269" s="456">
        <f ca="1" t="shared" si="210"/>
        <v>0</v>
      </c>
      <c r="I269" s="456">
        <f ca="1" t="shared" si="192"/>
        <v>0</v>
      </c>
      <c r="J269" s="456">
        <f ca="1" t="shared" si="194"/>
        <v>0</v>
      </c>
      <c r="K269" s="456">
        <f ca="1" t="shared" si="210"/>
        <v>0</v>
      </c>
      <c r="L269" s="456">
        <f ca="1" t="shared" si="210"/>
        <v>0</v>
      </c>
      <c r="M269" s="456">
        <f ca="1" t="shared" si="208"/>
        <v>0</v>
      </c>
      <c r="N269" s="456">
        <f ca="1" t="shared" si="211"/>
        <v>0</v>
      </c>
      <c r="O269" s="456">
        <f ca="1" t="shared" si="212"/>
        <v>0</v>
      </c>
    </row>
    <row r="270" ht="15" hidden="1" spans="2:15">
      <c r="B270" s="465"/>
      <c r="C270" s="425" t="s">
        <v>804</v>
      </c>
      <c r="D270" s="466"/>
      <c r="E270" s="459"/>
      <c r="F270" s="456">
        <f ca="1" t="shared" si="190"/>
        <v>0</v>
      </c>
      <c r="G270" s="456">
        <f ca="1" t="shared" si="210"/>
        <v>0</v>
      </c>
      <c r="H270" s="456">
        <f ca="1" t="shared" si="210"/>
        <v>0</v>
      </c>
      <c r="I270" s="456">
        <f ca="1" t="shared" si="192"/>
        <v>0</v>
      </c>
      <c r="J270" s="456">
        <f ca="1" t="shared" si="194"/>
        <v>0</v>
      </c>
      <c r="K270" s="456">
        <f ca="1" t="shared" si="210"/>
        <v>0</v>
      </c>
      <c r="L270" s="456">
        <f ca="1" t="shared" si="210"/>
        <v>0</v>
      </c>
      <c r="M270" s="456">
        <f ca="1" t="shared" si="208"/>
        <v>0</v>
      </c>
      <c r="N270" s="456">
        <f ca="1" t="shared" si="211"/>
        <v>0</v>
      </c>
      <c r="O270" s="456">
        <f ca="1" t="shared" si="212"/>
        <v>0</v>
      </c>
    </row>
    <row r="271" ht="15" hidden="1" spans="2:15">
      <c r="B271" s="465">
        <v>15</v>
      </c>
      <c r="C271" s="423" t="s">
        <v>805</v>
      </c>
      <c r="D271" s="466"/>
      <c r="E271" s="459"/>
      <c r="F271" s="456">
        <f ca="1" t="shared" si="190"/>
        <v>237.643334232336</v>
      </c>
      <c r="G271" s="456">
        <f>'[60]GFA &amp; Dep-MYT 5th Control'!$P$40</f>
        <v>19.4691201585168</v>
      </c>
      <c r="H271" s="456">
        <f ca="1" t="shared" si="210"/>
        <v>0</v>
      </c>
      <c r="I271" s="456">
        <f ca="1" t="shared" si="192"/>
        <v>257.112454390853</v>
      </c>
      <c r="J271" s="456">
        <f ca="1" t="shared" si="194"/>
        <v>191.43094968106</v>
      </c>
      <c r="K271" s="456">
        <f>'[60]GFA &amp; Dep-MYT 5th Control'!$H$195</f>
        <v>11.3389938517392</v>
      </c>
      <c r="L271" s="456">
        <f ca="1" t="shared" si="210"/>
        <v>0</v>
      </c>
      <c r="M271" s="456">
        <f ca="1" t="shared" si="208"/>
        <v>202.769943532799</v>
      </c>
      <c r="N271" s="456">
        <f ca="1" t="shared" si="211"/>
        <v>46.2123845512766</v>
      </c>
      <c r="O271" s="456">
        <f ca="1" t="shared" si="212"/>
        <v>54.3425108580542</v>
      </c>
    </row>
    <row r="272" ht="15" hidden="1" spans="2:15">
      <c r="B272" s="465">
        <v>16</v>
      </c>
      <c r="C272" s="423" t="s">
        <v>806</v>
      </c>
      <c r="D272" s="457"/>
      <c r="E272" s="459"/>
      <c r="F272" s="456">
        <f ca="1" t="shared" si="190"/>
        <v>70.8</v>
      </c>
      <c r="G272" s="456">
        <f ca="1" t="shared" ref="G272:L273" si="213">G589+G906</f>
        <v>0</v>
      </c>
      <c r="H272" s="456">
        <f ca="1" t="shared" si="213"/>
        <v>0</v>
      </c>
      <c r="I272" s="456">
        <f ca="1" t="shared" si="192"/>
        <v>70.8</v>
      </c>
      <c r="J272" s="456">
        <f ca="1" t="shared" si="194"/>
        <v>67.040028708</v>
      </c>
      <c r="K272" s="456">
        <f>'[60]GFA &amp; Dep-MYT 5th Control'!$H$174</f>
        <v>3.046486616</v>
      </c>
      <c r="L272" s="456">
        <f ca="1" t="shared" si="213"/>
        <v>0</v>
      </c>
      <c r="M272" s="456">
        <f ca="1" t="shared" si="208"/>
        <v>70.086515324</v>
      </c>
      <c r="N272" s="456">
        <f ca="1" t="shared" si="211"/>
        <v>3.759971292</v>
      </c>
      <c r="O272" s="456">
        <f ca="1" t="shared" si="212"/>
        <v>0.713484676000007</v>
      </c>
    </row>
    <row r="273" ht="15" hidden="1" spans="2:15">
      <c r="B273" s="465">
        <v>17</v>
      </c>
      <c r="C273" s="423" t="s">
        <v>807</v>
      </c>
      <c r="D273" s="457"/>
      <c r="E273" s="426"/>
      <c r="F273" s="456">
        <f ca="1" t="shared" si="190"/>
        <v>0</v>
      </c>
      <c r="G273" s="456">
        <f ca="1" t="shared" si="213"/>
        <v>0</v>
      </c>
      <c r="H273" s="456">
        <f ca="1" t="shared" si="213"/>
        <v>0</v>
      </c>
      <c r="I273" s="456">
        <f ca="1" t="shared" si="192"/>
        <v>0</v>
      </c>
      <c r="J273" s="456">
        <f ca="1" t="shared" si="194"/>
        <v>0</v>
      </c>
      <c r="K273" s="456">
        <f ca="1" t="shared" si="213"/>
        <v>0</v>
      </c>
      <c r="L273" s="456">
        <f ca="1" t="shared" si="213"/>
        <v>0</v>
      </c>
      <c r="M273" s="456">
        <f ca="1" t="shared" si="208"/>
        <v>0</v>
      </c>
      <c r="N273" s="456">
        <f ca="1" t="shared" si="211"/>
        <v>0</v>
      </c>
      <c r="O273" s="456">
        <f ca="1" t="shared" si="212"/>
        <v>0</v>
      </c>
    </row>
    <row r="274" ht="15.75" hidden="1" spans="2:15">
      <c r="B274" s="470"/>
      <c r="C274" s="471" t="s">
        <v>97</v>
      </c>
      <c r="D274" s="471"/>
      <c r="E274" s="472"/>
      <c r="F274" s="475">
        <f ca="1">SUM(F234:F273)</f>
        <v>31414.172137094</v>
      </c>
      <c r="G274" s="474">
        <f ca="1" t="shared" ref="G274:O274" si="214">SUM(G234:G273)</f>
        <v>4104.88123644206</v>
      </c>
      <c r="H274" s="474">
        <f ca="1" t="shared" si="214"/>
        <v>0</v>
      </c>
      <c r="I274" s="474">
        <f ca="1" t="shared" si="214"/>
        <v>35519.0533735361</v>
      </c>
      <c r="J274" s="474">
        <f ca="1" t="shared" si="214"/>
        <v>14097.8619870948</v>
      </c>
      <c r="K274" s="474">
        <f ca="1" t="shared" si="214"/>
        <v>1115.64286576774</v>
      </c>
      <c r="L274" s="474">
        <f ca="1" t="shared" si="214"/>
        <v>0</v>
      </c>
      <c r="M274" s="474">
        <f ca="1" t="shared" si="214"/>
        <v>15213.5048528625</v>
      </c>
      <c r="N274" s="474">
        <f ca="1" t="shared" si="214"/>
        <v>17316.3101499992</v>
      </c>
      <c r="O274" s="474">
        <f ca="1" t="shared" si="214"/>
        <v>20305.5485206735</v>
      </c>
    </row>
    <row r="275" hidden="1"/>
    <row r="276" ht="15" hidden="1" spans="2:15">
      <c r="B276" s="445" t="s">
        <v>657</v>
      </c>
      <c r="C276" s="446"/>
      <c r="D276" s="446"/>
      <c r="E276" s="446"/>
      <c r="F276" s="446"/>
      <c r="G276" s="446"/>
      <c r="H276" s="446"/>
      <c r="I276" s="446"/>
      <c r="J276" s="446"/>
      <c r="K276" s="446"/>
      <c r="L276" s="446"/>
      <c r="M276" s="446"/>
      <c r="N276" s="446"/>
      <c r="O276" s="467"/>
    </row>
    <row r="277" ht="13.9" hidden="1" customHeight="1" spans="2:15">
      <c r="B277" s="447" t="s">
        <v>564</v>
      </c>
      <c r="C277" s="981" t="s">
        <v>671</v>
      </c>
      <c r="D277" s="449" t="s">
        <v>672</v>
      </c>
      <c r="E277" s="449" t="s">
        <v>673</v>
      </c>
      <c r="F277" s="449" t="s">
        <v>674</v>
      </c>
      <c r="G277" s="449"/>
      <c r="H277" s="449"/>
      <c r="I277" s="449"/>
      <c r="J277" s="449" t="s">
        <v>675</v>
      </c>
      <c r="K277" s="449"/>
      <c r="L277" s="449"/>
      <c r="M277" s="449"/>
      <c r="N277" s="449" t="s">
        <v>676</v>
      </c>
      <c r="O277" s="468"/>
    </row>
    <row r="278" ht="60.75" hidden="1" spans="2:15">
      <c r="B278" s="450"/>
      <c r="C278" s="451"/>
      <c r="D278" s="452"/>
      <c r="E278" s="452"/>
      <c r="F278" s="452" t="s">
        <v>677</v>
      </c>
      <c r="G278" s="452" t="s">
        <v>678</v>
      </c>
      <c r="H278" s="452" t="s">
        <v>679</v>
      </c>
      <c r="I278" s="452" t="s">
        <v>680</v>
      </c>
      <c r="J278" s="452" t="s">
        <v>681</v>
      </c>
      <c r="K278" s="452" t="s">
        <v>678</v>
      </c>
      <c r="L278" s="452" t="s">
        <v>682</v>
      </c>
      <c r="M278" s="452" t="s">
        <v>683</v>
      </c>
      <c r="N278" s="452" t="s">
        <v>677</v>
      </c>
      <c r="O278" s="469" t="s">
        <v>680</v>
      </c>
    </row>
    <row r="279" ht="15" hidden="1" spans="2:15">
      <c r="B279" s="453">
        <v>1</v>
      </c>
      <c r="C279" s="436" t="s">
        <v>684</v>
      </c>
      <c r="D279" s="454"/>
      <c r="E279" s="455"/>
      <c r="F279" s="456">
        <f ca="1">I234</f>
        <v>328.92241489239</v>
      </c>
      <c r="G279" s="456">
        <f>'[60]GFA &amp; Dep-MYT 5th Control'!$Q$39</f>
        <v>100.731376550811</v>
      </c>
      <c r="H279" s="456">
        <f ca="1" t="shared" ref="H279:L279" si="215">H596+H913</f>
        <v>0</v>
      </c>
      <c r="I279" s="456">
        <f ca="1">F279+G279-H279</f>
        <v>429.653791443201</v>
      </c>
      <c r="J279" s="456">
        <f ca="1">M234</f>
        <v>0.00489906200000156</v>
      </c>
      <c r="K279" s="456">
        <f>'[60]GFA &amp; Dep-MYT 5th Control'!$I$172</f>
        <v>0</v>
      </c>
      <c r="L279" s="456">
        <f ca="1" t="shared" si="215"/>
        <v>0</v>
      </c>
      <c r="M279" s="456">
        <f ca="1">J279+K279-L279</f>
        <v>0.00489906200000156</v>
      </c>
      <c r="N279" s="456">
        <f ca="1">F279-J279</f>
        <v>328.91751583039</v>
      </c>
      <c r="O279" s="456">
        <f ca="1" t="shared" ref="O279:O280" si="216">I279-M279</f>
        <v>429.648892381201</v>
      </c>
    </row>
    <row r="280" ht="15" hidden="1" spans="2:15">
      <c r="B280" s="453">
        <v>2</v>
      </c>
      <c r="C280" s="436" t="s">
        <v>770</v>
      </c>
      <c r="D280" s="457"/>
      <c r="E280" s="458"/>
      <c r="F280" s="456">
        <f ca="1" t="shared" ref="F280:F318" si="217">I235</f>
        <v>0</v>
      </c>
      <c r="G280" s="456">
        <f ca="1" t="shared" ref="G280:L280" si="218">G597+G914</f>
        <v>0</v>
      </c>
      <c r="H280" s="456">
        <f ca="1" t="shared" si="218"/>
        <v>0</v>
      </c>
      <c r="I280" s="456">
        <f ca="1">F280+G280-H280</f>
        <v>0</v>
      </c>
      <c r="J280" s="456">
        <f ca="1" t="shared" ref="J280:J318" si="219">M235</f>
        <v>0</v>
      </c>
      <c r="K280" s="456">
        <f ca="1" t="shared" si="218"/>
        <v>0</v>
      </c>
      <c r="L280" s="456">
        <f ca="1" t="shared" si="218"/>
        <v>0</v>
      </c>
      <c r="M280" s="456">
        <f ca="1">J280+K280-L280</f>
        <v>0</v>
      </c>
      <c r="N280" s="456">
        <f ca="1">F280-J280</f>
        <v>0</v>
      </c>
      <c r="O280" s="456">
        <f ca="1" t="shared" si="216"/>
        <v>0</v>
      </c>
    </row>
    <row r="281" ht="15" hidden="1" spans="2:15">
      <c r="B281" s="453">
        <v>3</v>
      </c>
      <c r="C281" s="438" t="s">
        <v>771</v>
      </c>
      <c r="D281" s="457"/>
      <c r="E281" s="459"/>
      <c r="F281" s="456">
        <f t="shared" si="217"/>
        <v>0</v>
      </c>
      <c r="G281" s="456"/>
      <c r="H281" s="456"/>
      <c r="I281" s="456"/>
      <c r="J281" s="456">
        <f t="shared" si="219"/>
        <v>0</v>
      </c>
      <c r="K281" s="456"/>
      <c r="L281" s="456"/>
      <c r="M281" s="456"/>
      <c r="N281" s="456"/>
      <c r="O281" s="456"/>
    </row>
    <row r="282" ht="15" hidden="1" spans="2:15">
      <c r="B282" s="453"/>
      <c r="C282" s="460" t="s">
        <v>772</v>
      </c>
      <c r="D282" s="457"/>
      <c r="E282" s="459"/>
      <c r="F282" s="456">
        <f ca="1" t="shared" si="217"/>
        <v>645.526245721274</v>
      </c>
      <c r="G282" s="456">
        <f>'[60]GFA &amp; Dep-MYT 5th Control'!$Q$38</f>
        <v>85.3279803311043</v>
      </c>
      <c r="H282" s="456">
        <f ca="1" t="shared" ref="H282:L282" si="220">H599+H916</f>
        <v>0</v>
      </c>
      <c r="I282" s="456">
        <f ca="1" t="shared" ref="I282:I285" si="221">F282+G282-H282</f>
        <v>730.854226052378</v>
      </c>
      <c r="J282" s="456">
        <f ca="1" t="shared" si="219"/>
        <v>220.712470710731</v>
      </c>
      <c r="K282" s="456">
        <f>'[60]GFA &amp; Dep-MYT 5th Control'!$I$173</f>
        <v>22.6170746489282</v>
      </c>
      <c r="L282" s="456">
        <f ca="1" t="shared" si="220"/>
        <v>0</v>
      </c>
      <c r="M282" s="456">
        <f ca="1">J282+K282-L282</f>
        <v>243.329545359659</v>
      </c>
      <c r="N282" s="456">
        <f ca="1" t="shared" ref="N282:N285" si="222">F282-J282</f>
        <v>424.813775010543</v>
      </c>
      <c r="O282" s="456">
        <f ca="1" t="shared" ref="O282:O285" si="223">I282-M282</f>
        <v>487.524680692719</v>
      </c>
    </row>
    <row r="283" ht="28.5" hidden="1" spans="2:15">
      <c r="B283" s="453"/>
      <c r="C283" s="460" t="s">
        <v>773</v>
      </c>
      <c r="D283" s="457"/>
      <c r="E283" s="459"/>
      <c r="F283" s="456">
        <f ca="1" t="shared" si="217"/>
        <v>0</v>
      </c>
      <c r="G283" s="456">
        <f ca="1" t="shared" ref="G283:L285" si="224">G600+G917</f>
        <v>0</v>
      </c>
      <c r="H283" s="456">
        <f ca="1" t="shared" si="224"/>
        <v>0</v>
      </c>
      <c r="I283" s="456">
        <f ca="1" t="shared" si="221"/>
        <v>0</v>
      </c>
      <c r="J283" s="456">
        <f ca="1" t="shared" si="219"/>
        <v>0</v>
      </c>
      <c r="K283" s="456">
        <f ca="1" t="shared" si="224"/>
        <v>0</v>
      </c>
      <c r="L283" s="456">
        <f ca="1" t="shared" si="224"/>
        <v>0</v>
      </c>
      <c r="M283" s="456">
        <f ca="1">J283+K283-L283</f>
        <v>0</v>
      </c>
      <c r="N283" s="456">
        <f ca="1" t="shared" si="222"/>
        <v>0</v>
      </c>
      <c r="O283" s="456">
        <f ca="1" t="shared" si="223"/>
        <v>0</v>
      </c>
    </row>
    <row r="284" ht="15" hidden="1" spans="2:15">
      <c r="B284" s="453"/>
      <c r="C284" s="460" t="s">
        <v>774</v>
      </c>
      <c r="D284" s="457"/>
      <c r="E284" s="459"/>
      <c r="F284" s="456">
        <f ca="1" t="shared" si="217"/>
        <v>0</v>
      </c>
      <c r="G284" s="456">
        <f ca="1" t="shared" si="224"/>
        <v>0</v>
      </c>
      <c r="H284" s="456">
        <f ca="1" t="shared" si="224"/>
        <v>0</v>
      </c>
      <c r="I284" s="456">
        <f ca="1" t="shared" si="221"/>
        <v>0</v>
      </c>
      <c r="J284" s="456">
        <f ca="1" t="shared" si="219"/>
        <v>0</v>
      </c>
      <c r="K284" s="456">
        <f ca="1" t="shared" si="224"/>
        <v>0</v>
      </c>
      <c r="L284" s="456">
        <f ca="1" t="shared" si="224"/>
        <v>0</v>
      </c>
      <c r="M284" s="456">
        <f ca="1">J284+K284-L284</f>
        <v>0</v>
      </c>
      <c r="N284" s="456">
        <f ca="1" t="shared" si="222"/>
        <v>0</v>
      </c>
      <c r="O284" s="456">
        <f ca="1" t="shared" si="223"/>
        <v>0</v>
      </c>
    </row>
    <row r="285" ht="15" hidden="1" spans="2:15">
      <c r="B285" s="453"/>
      <c r="C285" s="460" t="s">
        <v>775</v>
      </c>
      <c r="D285" s="457"/>
      <c r="E285" s="459"/>
      <c r="F285" s="456">
        <f ca="1" t="shared" si="217"/>
        <v>221.08</v>
      </c>
      <c r="G285" s="456">
        <f ca="1" t="shared" si="224"/>
        <v>0</v>
      </c>
      <c r="H285" s="456">
        <f ca="1" t="shared" si="224"/>
        <v>0</v>
      </c>
      <c r="I285" s="456">
        <f ca="1" t="shared" si="221"/>
        <v>221.08</v>
      </c>
      <c r="J285" s="456">
        <f ca="1" t="shared" si="219"/>
        <v>44.413445081</v>
      </c>
      <c r="K285" s="456">
        <f ca="1" t="shared" si="224"/>
        <v>0</v>
      </c>
      <c r="L285" s="456">
        <f ca="1" t="shared" si="224"/>
        <v>0</v>
      </c>
      <c r="M285" s="456">
        <f ca="1">J285+K285-L285</f>
        <v>44.413445081</v>
      </c>
      <c r="N285" s="456">
        <f ca="1" t="shared" si="222"/>
        <v>176.666554919</v>
      </c>
      <c r="O285" s="456">
        <f ca="1" t="shared" si="223"/>
        <v>176.666554919</v>
      </c>
    </row>
    <row r="286" ht="15" hidden="1" spans="2:15">
      <c r="B286" s="453">
        <v>4</v>
      </c>
      <c r="C286" s="436" t="s">
        <v>776</v>
      </c>
      <c r="D286" s="457"/>
      <c r="E286" s="459"/>
      <c r="F286" s="456">
        <f t="shared" si="217"/>
        <v>0</v>
      </c>
      <c r="G286" s="456"/>
      <c r="H286" s="456"/>
      <c r="I286" s="456"/>
      <c r="J286" s="456">
        <f t="shared" si="219"/>
        <v>0</v>
      </c>
      <c r="K286" s="456"/>
      <c r="L286" s="456"/>
      <c r="M286" s="456"/>
      <c r="N286" s="456"/>
      <c r="O286" s="456"/>
    </row>
    <row r="287" ht="15" hidden="1" spans="2:15">
      <c r="B287" s="453"/>
      <c r="C287" s="461" t="s">
        <v>777</v>
      </c>
      <c r="D287" s="457"/>
      <c r="E287" s="459"/>
      <c r="F287" s="456">
        <f ca="1" t="shared" si="217"/>
        <v>15429.6022406121</v>
      </c>
      <c r="G287" s="456">
        <f>'[60]GFA &amp; Dep-MYT 5th Control'!$Q$34</f>
        <v>2026.28758200611</v>
      </c>
      <c r="H287" s="456">
        <f ca="1" t="shared" ref="H287:L287" si="225">H604+H921</f>
        <v>0</v>
      </c>
      <c r="I287" s="456">
        <f ca="1">F287+G287-H287</f>
        <v>17455.8898226182</v>
      </c>
      <c r="J287" s="456">
        <f ca="1" t="shared" si="219"/>
        <v>6922.07604927837</v>
      </c>
      <c r="K287" s="456">
        <f>SUM('[60]GFA &amp; Dep-MYT 5th Control'!$I$178:$I$180)</f>
        <v>585.478039893705</v>
      </c>
      <c r="L287" s="456">
        <f ca="1" t="shared" si="225"/>
        <v>0</v>
      </c>
      <c r="M287" s="456">
        <f ca="1">J287+K287-L287</f>
        <v>7507.55408917208</v>
      </c>
      <c r="N287" s="456">
        <f ca="1">F287-J287</f>
        <v>8507.52619133369</v>
      </c>
      <c r="O287" s="456">
        <f ca="1" t="shared" ref="O287" si="226">I287-M287</f>
        <v>9948.33573344609</v>
      </c>
    </row>
    <row r="288" ht="15" hidden="1" spans="2:15">
      <c r="B288" s="453"/>
      <c r="C288" s="436" t="s">
        <v>778</v>
      </c>
      <c r="D288" s="457"/>
      <c r="E288" s="459"/>
      <c r="F288" s="456">
        <f t="shared" si="217"/>
        <v>0</v>
      </c>
      <c r="G288" s="456"/>
      <c r="H288" s="456"/>
      <c r="I288" s="456"/>
      <c r="J288" s="456">
        <f t="shared" si="219"/>
        <v>0</v>
      </c>
      <c r="K288" s="456"/>
      <c r="L288" s="456"/>
      <c r="M288" s="456"/>
      <c r="N288" s="456"/>
      <c r="O288" s="456"/>
    </row>
    <row r="289" ht="15" hidden="1" spans="2:15">
      <c r="B289" s="453"/>
      <c r="C289" s="461" t="s">
        <v>779</v>
      </c>
      <c r="D289" s="457"/>
      <c r="E289" s="459"/>
      <c r="F289" s="456">
        <f ca="1" t="shared" si="217"/>
        <v>0</v>
      </c>
      <c r="G289" s="456">
        <f ca="1" t="shared" ref="G289:L290" si="227">G606+G923</f>
        <v>0</v>
      </c>
      <c r="H289" s="456">
        <f ca="1" t="shared" si="227"/>
        <v>0</v>
      </c>
      <c r="I289" s="456">
        <f ca="1" t="shared" ref="I289:I290" si="228">F289+G289-H289</f>
        <v>0</v>
      </c>
      <c r="J289" s="456">
        <f ca="1" t="shared" si="219"/>
        <v>0</v>
      </c>
      <c r="K289" s="456">
        <f ca="1" t="shared" si="227"/>
        <v>0</v>
      </c>
      <c r="L289" s="456">
        <f ca="1" t="shared" si="227"/>
        <v>0</v>
      </c>
      <c r="M289" s="456">
        <f ca="1" t="shared" ref="M289:M318" si="229">J289+K289-L289</f>
        <v>0</v>
      </c>
      <c r="N289" s="456">
        <f ca="1" t="shared" ref="N289:N290" si="230">F289-J289</f>
        <v>0</v>
      </c>
      <c r="O289" s="456">
        <f ca="1" t="shared" ref="O289:O290" si="231">I289-M289</f>
        <v>0</v>
      </c>
    </row>
    <row r="290" ht="15" hidden="1" spans="2:15">
      <c r="B290" s="453"/>
      <c r="C290" s="461" t="s">
        <v>780</v>
      </c>
      <c r="D290" s="457"/>
      <c r="E290" s="459"/>
      <c r="F290" s="456">
        <f ca="1" t="shared" si="217"/>
        <v>0</v>
      </c>
      <c r="G290" s="456">
        <f ca="1" t="shared" si="227"/>
        <v>0</v>
      </c>
      <c r="H290" s="456">
        <f ca="1" t="shared" si="227"/>
        <v>0</v>
      </c>
      <c r="I290" s="456">
        <f ca="1" t="shared" si="228"/>
        <v>0</v>
      </c>
      <c r="J290" s="456">
        <f ca="1" t="shared" si="219"/>
        <v>0</v>
      </c>
      <c r="K290" s="456">
        <f ca="1" t="shared" si="227"/>
        <v>0</v>
      </c>
      <c r="L290" s="456">
        <f ca="1" t="shared" si="227"/>
        <v>0</v>
      </c>
      <c r="M290" s="456">
        <f ca="1" t="shared" si="229"/>
        <v>0</v>
      </c>
      <c r="N290" s="456">
        <f ca="1" t="shared" si="230"/>
        <v>0</v>
      </c>
      <c r="O290" s="456">
        <f ca="1" t="shared" si="231"/>
        <v>0</v>
      </c>
    </row>
    <row r="291" ht="15" hidden="1" spans="2:15">
      <c r="B291" s="453">
        <v>5</v>
      </c>
      <c r="C291" s="436" t="s">
        <v>781</v>
      </c>
      <c r="D291" s="457"/>
      <c r="E291" s="459"/>
      <c r="F291" s="456">
        <f t="shared" si="217"/>
        <v>0</v>
      </c>
      <c r="G291" s="462"/>
      <c r="H291" s="462"/>
      <c r="I291" s="462"/>
      <c r="J291" s="456">
        <f t="shared" si="219"/>
        <v>0</v>
      </c>
      <c r="K291" s="462"/>
      <c r="L291" s="462"/>
      <c r="M291" s="462"/>
      <c r="N291" s="462"/>
      <c r="O291" s="462"/>
    </row>
    <row r="292" ht="15" hidden="1" spans="2:15">
      <c r="B292" s="453"/>
      <c r="C292" s="461" t="s">
        <v>782</v>
      </c>
      <c r="D292" s="457"/>
      <c r="E292" s="459"/>
      <c r="F292" s="456">
        <f ca="1" t="shared" si="217"/>
        <v>0</v>
      </c>
      <c r="G292" s="456">
        <f ca="1" t="shared" ref="G292:L297" si="232">G609+G926</f>
        <v>0</v>
      </c>
      <c r="H292" s="456">
        <f ca="1" t="shared" si="232"/>
        <v>0</v>
      </c>
      <c r="I292" s="456">
        <f ca="1" t="shared" ref="I292:I311" si="233">F292+G292-H292</f>
        <v>0</v>
      </c>
      <c r="J292" s="456">
        <f ca="1" t="shared" si="219"/>
        <v>0</v>
      </c>
      <c r="K292" s="456">
        <f ca="1" t="shared" si="232"/>
        <v>0</v>
      </c>
      <c r="L292" s="456">
        <f ca="1" t="shared" si="232"/>
        <v>0</v>
      </c>
      <c r="M292" s="456">
        <f ca="1" t="shared" si="229"/>
        <v>0</v>
      </c>
      <c r="N292" s="456">
        <f ca="1" t="shared" ref="N292:N297" si="234">F292-J292</f>
        <v>0</v>
      </c>
      <c r="O292" s="456">
        <f ca="1" t="shared" ref="O292:O297" si="235">I292-M292</f>
        <v>0</v>
      </c>
    </row>
    <row r="293" ht="15" hidden="1" spans="2:15">
      <c r="B293" s="453"/>
      <c r="C293" s="461" t="s">
        <v>783</v>
      </c>
      <c r="D293" s="457"/>
      <c r="E293" s="459"/>
      <c r="F293" s="456">
        <f ca="1" t="shared" si="217"/>
        <v>0</v>
      </c>
      <c r="G293" s="456">
        <f ca="1" t="shared" si="232"/>
        <v>0</v>
      </c>
      <c r="H293" s="456">
        <f ca="1" t="shared" si="232"/>
        <v>0</v>
      </c>
      <c r="I293" s="456">
        <f ca="1" t="shared" si="233"/>
        <v>0</v>
      </c>
      <c r="J293" s="456">
        <f ca="1" t="shared" si="219"/>
        <v>0</v>
      </c>
      <c r="K293" s="456">
        <f ca="1" t="shared" si="232"/>
        <v>0</v>
      </c>
      <c r="L293" s="456">
        <f ca="1" t="shared" si="232"/>
        <v>0</v>
      </c>
      <c r="M293" s="456">
        <f ca="1" t="shared" si="229"/>
        <v>0</v>
      </c>
      <c r="N293" s="456">
        <f ca="1" t="shared" si="234"/>
        <v>0</v>
      </c>
      <c r="O293" s="456">
        <f ca="1" t="shared" si="235"/>
        <v>0</v>
      </c>
    </row>
    <row r="294" ht="15" hidden="1" spans="2:15">
      <c r="B294" s="453"/>
      <c r="C294" s="461" t="s">
        <v>784</v>
      </c>
      <c r="D294" s="457"/>
      <c r="E294" s="459"/>
      <c r="F294" s="456">
        <f ca="1" t="shared" si="217"/>
        <v>0</v>
      </c>
      <c r="G294" s="456">
        <f ca="1" t="shared" si="232"/>
        <v>0</v>
      </c>
      <c r="H294" s="456">
        <f ca="1" t="shared" si="232"/>
        <v>0</v>
      </c>
      <c r="I294" s="456">
        <f ca="1" t="shared" si="233"/>
        <v>0</v>
      </c>
      <c r="J294" s="456">
        <f ca="1" t="shared" si="219"/>
        <v>0</v>
      </c>
      <c r="K294" s="456">
        <f ca="1" t="shared" si="232"/>
        <v>0</v>
      </c>
      <c r="L294" s="456">
        <f ca="1" t="shared" si="232"/>
        <v>0</v>
      </c>
      <c r="M294" s="456">
        <f ca="1" t="shared" si="229"/>
        <v>0</v>
      </c>
      <c r="N294" s="456">
        <f ca="1" t="shared" si="234"/>
        <v>0</v>
      </c>
      <c r="O294" s="456">
        <f ca="1" t="shared" si="235"/>
        <v>0</v>
      </c>
    </row>
    <row r="295" ht="15" hidden="1" spans="2:15">
      <c r="B295" s="453"/>
      <c r="C295" s="461" t="s">
        <v>785</v>
      </c>
      <c r="D295" s="457"/>
      <c r="E295" s="459"/>
      <c r="F295" s="456">
        <f ca="1" t="shared" si="217"/>
        <v>0</v>
      </c>
      <c r="G295" s="456">
        <f ca="1" t="shared" si="232"/>
        <v>0</v>
      </c>
      <c r="H295" s="456">
        <f ca="1" t="shared" si="232"/>
        <v>0</v>
      </c>
      <c r="I295" s="456">
        <f ca="1" t="shared" si="233"/>
        <v>0</v>
      </c>
      <c r="J295" s="456">
        <f ca="1" t="shared" si="219"/>
        <v>0</v>
      </c>
      <c r="K295" s="456">
        <f ca="1" t="shared" si="232"/>
        <v>0</v>
      </c>
      <c r="L295" s="456">
        <f ca="1" t="shared" si="232"/>
        <v>0</v>
      </c>
      <c r="M295" s="456">
        <f ca="1" t="shared" si="229"/>
        <v>0</v>
      </c>
      <c r="N295" s="456">
        <f ca="1" t="shared" si="234"/>
        <v>0</v>
      </c>
      <c r="O295" s="456">
        <f ca="1" t="shared" si="235"/>
        <v>0</v>
      </c>
    </row>
    <row r="296" ht="15" hidden="1" spans="2:15">
      <c r="B296" s="453">
        <v>6</v>
      </c>
      <c r="C296" s="436" t="s">
        <v>786</v>
      </c>
      <c r="D296" s="457"/>
      <c r="E296" s="459"/>
      <c r="F296" s="456">
        <f ca="1" t="shared" si="217"/>
        <v>0</v>
      </c>
      <c r="G296" s="456">
        <f ca="1" t="shared" si="232"/>
        <v>0</v>
      </c>
      <c r="H296" s="456">
        <f ca="1" t="shared" si="232"/>
        <v>0</v>
      </c>
      <c r="I296" s="456">
        <f ca="1" t="shared" si="233"/>
        <v>0</v>
      </c>
      <c r="J296" s="456">
        <f ca="1" t="shared" si="219"/>
        <v>0</v>
      </c>
      <c r="K296" s="456">
        <f ca="1" t="shared" si="232"/>
        <v>0</v>
      </c>
      <c r="L296" s="456">
        <f ca="1" t="shared" si="232"/>
        <v>0</v>
      </c>
      <c r="M296" s="456">
        <f ca="1" t="shared" si="229"/>
        <v>0</v>
      </c>
      <c r="N296" s="456">
        <f ca="1" t="shared" si="234"/>
        <v>0</v>
      </c>
      <c r="O296" s="456">
        <f ca="1" t="shared" si="235"/>
        <v>0</v>
      </c>
    </row>
    <row r="297" ht="15" hidden="1" spans="2:15">
      <c r="B297" s="453">
        <v>7</v>
      </c>
      <c r="C297" s="436" t="s">
        <v>787</v>
      </c>
      <c r="D297" s="457"/>
      <c r="E297" s="459"/>
      <c r="F297" s="456">
        <f ca="1" t="shared" si="217"/>
        <v>0</v>
      </c>
      <c r="G297" s="456">
        <f ca="1" t="shared" si="232"/>
        <v>0</v>
      </c>
      <c r="H297" s="456">
        <f ca="1" t="shared" si="232"/>
        <v>0</v>
      </c>
      <c r="I297" s="456">
        <f ca="1" t="shared" si="233"/>
        <v>0</v>
      </c>
      <c r="J297" s="456">
        <f ca="1" t="shared" si="219"/>
        <v>0</v>
      </c>
      <c r="K297" s="456">
        <f ca="1" t="shared" si="232"/>
        <v>0</v>
      </c>
      <c r="L297" s="456">
        <f ca="1" t="shared" si="232"/>
        <v>0</v>
      </c>
      <c r="M297" s="456">
        <f ca="1" t="shared" si="229"/>
        <v>0</v>
      </c>
      <c r="N297" s="456">
        <f ca="1" t="shared" si="234"/>
        <v>0</v>
      </c>
      <c r="O297" s="456">
        <f ca="1" t="shared" si="235"/>
        <v>0</v>
      </c>
    </row>
    <row r="298" ht="15" hidden="1" spans="2:15">
      <c r="B298" s="453">
        <v>8</v>
      </c>
      <c r="C298" s="436" t="s">
        <v>788</v>
      </c>
      <c r="D298" s="457"/>
      <c r="E298" s="459"/>
      <c r="F298" s="456">
        <f t="shared" si="217"/>
        <v>0</v>
      </c>
      <c r="G298" s="456"/>
      <c r="H298" s="456"/>
      <c r="I298" s="456"/>
      <c r="J298" s="456">
        <f t="shared" si="219"/>
        <v>0</v>
      </c>
      <c r="K298" s="456"/>
      <c r="L298" s="456"/>
      <c r="M298" s="456"/>
      <c r="N298" s="456"/>
      <c r="O298" s="456"/>
    </row>
    <row r="299" ht="15" hidden="1" spans="2:15">
      <c r="B299" s="453"/>
      <c r="C299" s="461" t="s">
        <v>789</v>
      </c>
      <c r="D299" s="457"/>
      <c r="E299" s="459"/>
      <c r="F299" s="456">
        <f ca="1" t="shared" si="217"/>
        <v>16161.8300990584</v>
      </c>
      <c r="G299" s="456">
        <f>'[60]GFA &amp; Dep-MYT 5th Control'!$Q$35</f>
        <v>2353.06699378663</v>
      </c>
      <c r="H299" s="456">
        <f ca="1" t="shared" ref="H299:L299" si="236">H616+H933</f>
        <v>0</v>
      </c>
      <c r="I299" s="456">
        <f ca="1" t="shared" si="233"/>
        <v>18514.8970928451</v>
      </c>
      <c r="J299" s="456">
        <f ca="1" t="shared" si="219"/>
        <v>6225.3236694122</v>
      </c>
      <c r="K299" s="456">
        <f>SUM('[60]GFA &amp; Dep-MYT 5th Control'!$I$187:$I$189)</f>
        <v>542.561726676234</v>
      </c>
      <c r="L299" s="456">
        <f ca="1" t="shared" si="236"/>
        <v>0</v>
      </c>
      <c r="M299" s="456">
        <f ca="1" t="shared" si="229"/>
        <v>6767.88539608844</v>
      </c>
      <c r="N299" s="456">
        <f ca="1" t="shared" ref="N299:N303" si="237">F299-J299</f>
        <v>9936.50642964624</v>
      </c>
      <c r="O299" s="456">
        <f ca="1" t="shared" ref="O299:O303" si="238">I299-M299</f>
        <v>11747.0116967566</v>
      </c>
    </row>
    <row r="300" ht="15" hidden="1" spans="2:15">
      <c r="B300" s="453"/>
      <c r="C300" s="461" t="s">
        <v>808</v>
      </c>
      <c r="D300" s="457"/>
      <c r="E300" s="459"/>
      <c r="F300" s="456">
        <f ca="1" t="shared" si="217"/>
        <v>0</v>
      </c>
      <c r="G300" s="456">
        <f ca="1" t="shared" ref="G300:L302" si="239">G617+G934</f>
        <v>0</v>
      </c>
      <c r="H300" s="456">
        <f ca="1" t="shared" si="239"/>
        <v>0</v>
      </c>
      <c r="I300" s="456">
        <f ca="1" t="shared" si="233"/>
        <v>0</v>
      </c>
      <c r="J300" s="456">
        <f ca="1" t="shared" si="219"/>
        <v>0</v>
      </c>
      <c r="K300" s="456">
        <f ca="1" t="shared" si="239"/>
        <v>0</v>
      </c>
      <c r="L300" s="456">
        <f ca="1" t="shared" si="239"/>
        <v>0</v>
      </c>
      <c r="M300" s="456">
        <f ca="1" t="shared" si="229"/>
        <v>0</v>
      </c>
      <c r="N300" s="456">
        <f ca="1" t="shared" si="237"/>
        <v>0</v>
      </c>
      <c r="O300" s="456">
        <f ca="1" t="shared" si="238"/>
        <v>0</v>
      </c>
    </row>
    <row r="301" ht="30" hidden="1" spans="2:15">
      <c r="B301" s="463">
        <v>9</v>
      </c>
      <c r="C301" s="464" t="s">
        <v>791</v>
      </c>
      <c r="D301" s="457"/>
      <c r="E301" s="459"/>
      <c r="F301" s="456">
        <f ca="1" t="shared" si="217"/>
        <v>0</v>
      </c>
      <c r="G301" s="456">
        <f ca="1" t="shared" si="239"/>
        <v>0</v>
      </c>
      <c r="H301" s="456">
        <f ca="1" t="shared" si="239"/>
        <v>0</v>
      </c>
      <c r="I301" s="456">
        <f ca="1" t="shared" si="233"/>
        <v>0</v>
      </c>
      <c r="J301" s="456">
        <f ca="1" t="shared" si="219"/>
        <v>0</v>
      </c>
      <c r="K301" s="456">
        <f ca="1" t="shared" si="239"/>
        <v>0</v>
      </c>
      <c r="L301" s="456">
        <f ca="1" t="shared" si="239"/>
        <v>0</v>
      </c>
      <c r="M301" s="456">
        <f ca="1" t="shared" si="229"/>
        <v>0</v>
      </c>
      <c r="N301" s="456">
        <f ca="1" t="shared" si="237"/>
        <v>0</v>
      </c>
      <c r="O301" s="456">
        <f ca="1" t="shared" si="238"/>
        <v>0</v>
      </c>
    </row>
    <row r="302" ht="15" hidden="1" spans="2:15">
      <c r="B302" s="465">
        <v>10</v>
      </c>
      <c r="C302" s="423" t="s">
        <v>792</v>
      </c>
      <c r="D302" s="466"/>
      <c r="E302" s="459"/>
      <c r="F302" s="456">
        <f ca="1" t="shared" si="217"/>
        <v>2324.96882470173</v>
      </c>
      <c r="G302" s="456">
        <f>'[60]GFA &amp; Dep-MYT 5th Control'!$Q$36</f>
        <v>156.514528491802</v>
      </c>
      <c r="H302" s="456">
        <f ca="1" t="shared" si="239"/>
        <v>0</v>
      </c>
      <c r="I302" s="456">
        <f ca="1" t="shared" si="233"/>
        <v>2481.48335319353</v>
      </c>
      <c r="J302" s="456">
        <f ca="1" t="shared" si="219"/>
        <v>1464.87907410919</v>
      </c>
      <c r="K302" s="456">
        <f>'[60]GFA &amp; Dep-MYT 5th Control'!$I$184</f>
        <v>84.3717514678585</v>
      </c>
      <c r="L302" s="456">
        <f ca="1" t="shared" si="239"/>
        <v>0</v>
      </c>
      <c r="M302" s="456">
        <f ca="1" t="shared" si="229"/>
        <v>1549.25082557704</v>
      </c>
      <c r="N302" s="456">
        <f ca="1" t="shared" si="237"/>
        <v>860.089750592542</v>
      </c>
      <c r="O302" s="456">
        <f ca="1" t="shared" si="238"/>
        <v>932.232527616486</v>
      </c>
    </row>
    <row r="303" ht="15" hidden="1" spans="2:15">
      <c r="B303" s="465">
        <v>11</v>
      </c>
      <c r="C303" s="423" t="s">
        <v>793</v>
      </c>
      <c r="D303" s="466"/>
      <c r="E303" s="459"/>
      <c r="F303" s="456">
        <f ca="1" t="shared" si="217"/>
        <v>7.08</v>
      </c>
      <c r="G303" s="456">
        <f ca="1" t="shared" ref="G303:L303" si="240">G620+G937</f>
        <v>0</v>
      </c>
      <c r="H303" s="456">
        <f ca="1" t="shared" si="240"/>
        <v>0</v>
      </c>
      <c r="I303" s="456">
        <f ca="1" t="shared" si="233"/>
        <v>7.08</v>
      </c>
      <c r="J303" s="456">
        <f ca="1" t="shared" si="219"/>
        <v>6.833210851</v>
      </c>
      <c r="K303" s="456">
        <f>'[60]GFA &amp; Dep-MYT 5th Control'!$I$191</f>
        <v>0</v>
      </c>
      <c r="L303" s="456">
        <f ca="1" t="shared" si="240"/>
        <v>0</v>
      </c>
      <c r="M303" s="456">
        <f ca="1" t="shared" si="229"/>
        <v>6.833210851</v>
      </c>
      <c r="N303" s="456">
        <f ca="1" t="shared" si="237"/>
        <v>0.246789149</v>
      </c>
      <c r="O303" s="456">
        <f ca="1" t="shared" si="238"/>
        <v>0.246789149</v>
      </c>
    </row>
    <row r="304" ht="15" hidden="1" spans="2:15">
      <c r="B304" s="465">
        <v>12</v>
      </c>
      <c r="C304" s="423" t="s">
        <v>794</v>
      </c>
      <c r="D304" s="466"/>
      <c r="E304" s="459"/>
      <c r="F304" s="456">
        <f t="shared" si="217"/>
        <v>0</v>
      </c>
      <c r="G304" s="456"/>
      <c r="H304" s="456"/>
      <c r="I304" s="456"/>
      <c r="J304" s="456">
        <f t="shared" si="219"/>
        <v>0</v>
      </c>
      <c r="K304" s="456"/>
      <c r="L304" s="456"/>
      <c r="M304" s="456"/>
      <c r="N304" s="456"/>
      <c r="O304" s="456"/>
    </row>
    <row r="305" ht="15" hidden="1" spans="2:15">
      <c r="B305" s="465"/>
      <c r="C305" s="425" t="s">
        <v>795</v>
      </c>
      <c r="D305" s="466"/>
      <c r="E305" s="459"/>
      <c r="F305" s="456">
        <f ca="1" t="shared" si="217"/>
        <v>2.6</v>
      </c>
      <c r="G305" s="456">
        <f ca="1" t="shared" ref="G305:L306" si="241">G622+G939</f>
        <v>0</v>
      </c>
      <c r="H305" s="456">
        <f ca="1" t="shared" si="241"/>
        <v>0</v>
      </c>
      <c r="I305" s="456">
        <f ca="1" t="shared" si="233"/>
        <v>2.6</v>
      </c>
      <c r="J305" s="456">
        <f ca="1" t="shared" si="219"/>
        <v>1.701644132</v>
      </c>
      <c r="K305" s="456">
        <f ca="1" t="shared" si="241"/>
        <v>0</v>
      </c>
      <c r="L305" s="456">
        <f ca="1" t="shared" si="241"/>
        <v>0</v>
      </c>
      <c r="M305" s="456">
        <f ca="1" t="shared" si="229"/>
        <v>1.701644132</v>
      </c>
      <c r="N305" s="456">
        <f ca="1" t="shared" ref="N305:N306" si="242">F305-J305</f>
        <v>0.898355868</v>
      </c>
      <c r="O305" s="456">
        <f ca="1" t="shared" ref="O305:O306" si="243">I305-M305</f>
        <v>0.898355868</v>
      </c>
    </row>
    <row r="306" ht="15" hidden="1" spans="2:15">
      <c r="B306" s="465"/>
      <c r="C306" s="425" t="s">
        <v>796</v>
      </c>
      <c r="D306" s="466"/>
      <c r="E306" s="459"/>
      <c r="F306" s="456">
        <f ca="1" t="shared" si="217"/>
        <v>0</v>
      </c>
      <c r="G306" s="456">
        <f ca="1" t="shared" si="241"/>
        <v>0</v>
      </c>
      <c r="H306" s="456">
        <f ca="1" t="shared" si="241"/>
        <v>0</v>
      </c>
      <c r="I306" s="456">
        <f ca="1" t="shared" si="233"/>
        <v>0</v>
      </c>
      <c r="J306" s="456">
        <f ca="1" t="shared" si="219"/>
        <v>0</v>
      </c>
      <c r="K306" s="456">
        <f ca="1" t="shared" si="241"/>
        <v>0</v>
      </c>
      <c r="L306" s="456">
        <f ca="1" t="shared" si="241"/>
        <v>0</v>
      </c>
      <c r="M306" s="456">
        <f ca="1" t="shared" si="229"/>
        <v>0</v>
      </c>
      <c r="N306" s="456">
        <f ca="1" t="shared" si="242"/>
        <v>0</v>
      </c>
      <c r="O306" s="456">
        <f ca="1" t="shared" si="243"/>
        <v>0</v>
      </c>
    </row>
    <row r="307" ht="15" hidden="1" spans="2:15">
      <c r="B307" s="465">
        <v>13</v>
      </c>
      <c r="C307" s="425"/>
      <c r="D307" s="466"/>
      <c r="E307" s="459"/>
      <c r="F307" s="456">
        <f t="shared" si="217"/>
        <v>0</v>
      </c>
      <c r="G307" s="456"/>
      <c r="H307" s="456"/>
      <c r="I307" s="456"/>
      <c r="J307" s="456">
        <f t="shared" si="219"/>
        <v>0</v>
      </c>
      <c r="K307" s="456"/>
      <c r="L307" s="456"/>
      <c r="M307" s="456"/>
      <c r="N307" s="456"/>
      <c r="O307" s="456"/>
    </row>
    <row r="308" ht="15" hidden="1" spans="2:15">
      <c r="B308" s="465"/>
      <c r="C308" s="425" t="s">
        <v>797</v>
      </c>
      <c r="D308" s="466"/>
      <c r="E308" s="459"/>
      <c r="F308" s="456">
        <f ca="1" t="shared" si="217"/>
        <v>17.25</v>
      </c>
      <c r="G308" s="456">
        <f ca="1" t="shared" ref="G308:L309" si="244">G625+G942</f>
        <v>0</v>
      </c>
      <c r="H308" s="456">
        <f ca="1" t="shared" si="244"/>
        <v>0</v>
      </c>
      <c r="I308" s="456">
        <f ca="1" t="shared" si="233"/>
        <v>17.25</v>
      </c>
      <c r="J308" s="456">
        <f ca="1" t="shared" si="219"/>
        <v>13.863200556</v>
      </c>
      <c r="K308" s="456">
        <f>'[60]GFA &amp; Dep-MYT 5th Control'!$I$192</f>
        <v>0.332381284</v>
      </c>
      <c r="L308" s="456">
        <f ca="1" t="shared" si="244"/>
        <v>0</v>
      </c>
      <c r="M308" s="456">
        <f ca="1" t="shared" si="229"/>
        <v>14.19558184</v>
      </c>
      <c r="N308" s="456">
        <f ca="1" t="shared" ref="N308:N311" si="245">F308-J308</f>
        <v>3.386799444</v>
      </c>
      <c r="O308" s="456">
        <f ca="1" t="shared" ref="O308:O311" si="246">I308-M308</f>
        <v>3.05441816</v>
      </c>
    </row>
    <row r="309" ht="15" hidden="1" spans="2:15">
      <c r="B309" s="465"/>
      <c r="C309" s="425" t="s">
        <v>798</v>
      </c>
      <c r="D309" s="466"/>
      <c r="E309" s="459"/>
      <c r="F309" s="456">
        <f ca="1" t="shared" si="217"/>
        <v>52.2810941593232</v>
      </c>
      <c r="G309" s="456">
        <f>'[60]GFA &amp; Dep-MYT 5th Control'!$Q$37</f>
        <v>0.286546387090494</v>
      </c>
      <c r="H309" s="456">
        <f ca="1" t="shared" si="244"/>
        <v>0</v>
      </c>
      <c r="I309" s="456">
        <f ca="1" t="shared" si="233"/>
        <v>52.5676405464137</v>
      </c>
      <c r="J309" s="456">
        <f ca="1" t="shared" si="219"/>
        <v>40.84073081324</v>
      </c>
      <c r="K309" s="456">
        <f>'[60]GFA &amp; Dep-MYT 5th Control'!$I$193</f>
        <v>1.35981159975816</v>
      </c>
      <c r="L309" s="456">
        <f ca="1" t="shared" si="244"/>
        <v>0</v>
      </c>
      <c r="M309" s="456">
        <f ca="1" t="shared" si="229"/>
        <v>42.2005424129982</v>
      </c>
      <c r="N309" s="456">
        <f ca="1" t="shared" si="245"/>
        <v>11.4403633460832</v>
      </c>
      <c r="O309" s="456">
        <f ca="1" t="shared" si="246"/>
        <v>10.3670981334155</v>
      </c>
    </row>
    <row r="310" ht="15" hidden="1" spans="2:15">
      <c r="B310" s="465"/>
      <c r="C310" s="425" t="s">
        <v>799</v>
      </c>
      <c r="D310" s="466"/>
      <c r="E310" s="459"/>
      <c r="F310" s="456">
        <f ca="1" t="shared" si="217"/>
        <v>0</v>
      </c>
      <c r="G310" s="456">
        <f ca="1" t="shared" ref="G310:L311" si="247">G627+G944</f>
        <v>0</v>
      </c>
      <c r="H310" s="456">
        <f ca="1" t="shared" si="247"/>
        <v>0</v>
      </c>
      <c r="I310" s="456">
        <f ca="1" t="shared" si="233"/>
        <v>0</v>
      </c>
      <c r="J310" s="456">
        <f ca="1" t="shared" si="219"/>
        <v>0</v>
      </c>
      <c r="K310" s="456">
        <f ca="1" t="shared" si="247"/>
        <v>0</v>
      </c>
      <c r="L310" s="456">
        <f ca="1" t="shared" si="247"/>
        <v>0</v>
      </c>
      <c r="M310" s="456">
        <f ca="1" t="shared" si="229"/>
        <v>0</v>
      </c>
      <c r="N310" s="456">
        <f ca="1" t="shared" si="245"/>
        <v>0</v>
      </c>
      <c r="O310" s="456">
        <f ca="1" t="shared" si="246"/>
        <v>0</v>
      </c>
    </row>
    <row r="311" ht="15" hidden="1" spans="2:15">
      <c r="B311" s="465"/>
      <c r="C311" s="425" t="s">
        <v>800</v>
      </c>
      <c r="D311" s="466"/>
      <c r="E311" s="459"/>
      <c r="F311" s="456">
        <f ca="1" t="shared" si="217"/>
        <v>0</v>
      </c>
      <c r="G311" s="456">
        <f ca="1" t="shared" si="247"/>
        <v>0</v>
      </c>
      <c r="H311" s="456">
        <f ca="1" t="shared" si="247"/>
        <v>0</v>
      </c>
      <c r="I311" s="456">
        <f ca="1" t="shared" si="233"/>
        <v>0</v>
      </c>
      <c r="J311" s="456">
        <f ca="1" t="shared" si="219"/>
        <v>0</v>
      </c>
      <c r="K311" s="456">
        <f ca="1" t="shared" si="247"/>
        <v>0</v>
      </c>
      <c r="L311" s="456">
        <f ca="1" t="shared" si="247"/>
        <v>0</v>
      </c>
      <c r="M311" s="456">
        <f ca="1" t="shared" si="229"/>
        <v>0</v>
      </c>
      <c r="N311" s="456">
        <f ca="1" t="shared" si="245"/>
        <v>0</v>
      </c>
      <c r="O311" s="456">
        <f ca="1" t="shared" si="246"/>
        <v>0</v>
      </c>
    </row>
    <row r="312" ht="15" hidden="1" spans="2:15">
      <c r="B312" s="465">
        <v>14</v>
      </c>
      <c r="C312" s="423" t="s">
        <v>801</v>
      </c>
      <c r="D312" s="466"/>
      <c r="E312" s="459"/>
      <c r="F312" s="456">
        <f t="shared" si="217"/>
        <v>0</v>
      </c>
      <c r="G312" s="456"/>
      <c r="H312" s="456"/>
      <c r="I312" s="456"/>
      <c r="J312" s="456">
        <f t="shared" si="219"/>
        <v>0</v>
      </c>
      <c r="K312" s="456"/>
      <c r="L312" s="456"/>
      <c r="M312" s="456"/>
      <c r="N312" s="456"/>
      <c r="O312" s="456"/>
    </row>
    <row r="313" ht="15" hidden="1" spans="2:15">
      <c r="B313" s="465"/>
      <c r="C313" s="425" t="s">
        <v>802</v>
      </c>
      <c r="D313" s="466"/>
      <c r="E313" s="459"/>
      <c r="F313" s="456">
        <f ca="1" t="shared" si="217"/>
        <v>0</v>
      </c>
      <c r="G313" s="456">
        <f ca="1" t="shared" ref="G313:L316" si="248">G630+G947</f>
        <v>0</v>
      </c>
      <c r="H313" s="456">
        <f ca="1" t="shared" si="248"/>
        <v>0</v>
      </c>
      <c r="I313" s="456">
        <f ca="1" t="shared" ref="I313:I318" si="249">F313+G313-H313</f>
        <v>0</v>
      </c>
      <c r="J313" s="456">
        <f ca="1" t="shared" si="219"/>
        <v>0</v>
      </c>
      <c r="K313" s="456">
        <f ca="1" t="shared" si="248"/>
        <v>0</v>
      </c>
      <c r="L313" s="456">
        <f ca="1" t="shared" si="248"/>
        <v>0</v>
      </c>
      <c r="M313" s="456">
        <f ca="1" t="shared" si="229"/>
        <v>0</v>
      </c>
      <c r="N313" s="456">
        <f ca="1">F313-J313</f>
        <v>0</v>
      </c>
      <c r="O313" s="456">
        <f ca="1">I313-M313</f>
        <v>0</v>
      </c>
    </row>
    <row r="314" ht="15" hidden="1" spans="2:15">
      <c r="B314" s="465"/>
      <c r="C314" s="425" t="s">
        <v>803</v>
      </c>
      <c r="D314" s="466"/>
      <c r="E314" s="459"/>
      <c r="F314" s="456">
        <f ca="1" t="shared" si="217"/>
        <v>0</v>
      </c>
      <c r="G314" s="456">
        <f ca="1" t="shared" si="248"/>
        <v>0</v>
      </c>
      <c r="H314" s="456">
        <f ca="1" t="shared" si="248"/>
        <v>0</v>
      </c>
      <c r="I314" s="456">
        <f ca="1" t="shared" si="249"/>
        <v>0</v>
      </c>
      <c r="J314" s="456">
        <f ca="1" t="shared" si="219"/>
        <v>0</v>
      </c>
      <c r="K314" s="456">
        <f ca="1" t="shared" si="248"/>
        <v>0</v>
      </c>
      <c r="L314" s="456">
        <f ca="1" t="shared" si="248"/>
        <v>0</v>
      </c>
      <c r="M314" s="456">
        <f ca="1" t="shared" si="229"/>
        <v>0</v>
      </c>
      <c r="N314" s="456">
        <f ca="1">F314-J314</f>
        <v>0</v>
      </c>
      <c r="O314" s="456">
        <f ca="1">I314-M314</f>
        <v>0</v>
      </c>
    </row>
    <row r="315" ht="15" hidden="1" spans="2:15">
      <c r="B315" s="465"/>
      <c r="C315" s="425" t="s">
        <v>804</v>
      </c>
      <c r="D315" s="466"/>
      <c r="E315" s="459"/>
      <c r="F315" s="456">
        <f ca="1" t="shared" si="217"/>
        <v>0</v>
      </c>
      <c r="G315" s="456">
        <f ca="1" t="shared" si="248"/>
        <v>0</v>
      </c>
      <c r="H315" s="456">
        <f ca="1" t="shared" si="248"/>
        <v>0</v>
      </c>
      <c r="I315" s="456">
        <f ca="1" t="shared" si="249"/>
        <v>0</v>
      </c>
      <c r="J315" s="456">
        <f ca="1" t="shared" si="219"/>
        <v>0</v>
      </c>
      <c r="K315" s="456">
        <f ca="1" t="shared" si="248"/>
        <v>0</v>
      </c>
      <c r="L315" s="456">
        <f ca="1" t="shared" si="248"/>
        <v>0</v>
      </c>
      <c r="M315" s="456">
        <f ca="1" t="shared" si="229"/>
        <v>0</v>
      </c>
      <c r="N315" s="456">
        <f ca="1" t="shared" ref="N315:N318" si="250">F315-J315</f>
        <v>0</v>
      </c>
      <c r="O315" s="456">
        <f ca="1" t="shared" ref="O315:O318" si="251">I315-M315</f>
        <v>0</v>
      </c>
    </row>
    <row r="316" ht="15" hidden="1" spans="2:15">
      <c r="B316" s="465">
        <v>15</v>
      </c>
      <c r="C316" s="423" t="s">
        <v>805</v>
      </c>
      <c r="D316" s="466"/>
      <c r="E316" s="459"/>
      <c r="F316" s="456">
        <f ca="1" t="shared" si="217"/>
        <v>257.112454390853</v>
      </c>
      <c r="G316" s="456">
        <f>'[60]GFA &amp; Dep-MYT 5th Control'!$Q$40</f>
        <v>22.5038181656067</v>
      </c>
      <c r="H316" s="456">
        <f ca="1" t="shared" si="248"/>
        <v>0</v>
      </c>
      <c r="I316" s="456">
        <f ca="1" t="shared" si="249"/>
        <v>279.61627255646</v>
      </c>
      <c r="J316" s="456">
        <f ca="1" t="shared" si="219"/>
        <v>202.769943532799</v>
      </c>
      <c r="K316" s="456">
        <f>'[60]GFA &amp; Dep-MYT 5th Control'!$I$195</f>
        <v>14.3337271774689</v>
      </c>
      <c r="L316" s="456">
        <f ca="1" t="shared" si="248"/>
        <v>0</v>
      </c>
      <c r="M316" s="456">
        <f ca="1" t="shared" si="229"/>
        <v>217.103670710268</v>
      </c>
      <c r="N316" s="456">
        <f ca="1" t="shared" si="250"/>
        <v>54.3425108580542</v>
      </c>
      <c r="O316" s="456">
        <f ca="1" t="shared" si="251"/>
        <v>62.512601846192</v>
      </c>
    </row>
    <row r="317" ht="15" hidden="1" spans="2:15">
      <c r="B317" s="465">
        <v>16</v>
      </c>
      <c r="C317" s="423" t="s">
        <v>806</v>
      </c>
      <c r="D317" s="457"/>
      <c r="E317" s="459"/>
      <c r="F317" s="456">
        <f ca="1" t="shared" si="217"/>
        <v>70.8</v>
      </c>
      <c r="G317" s="456">
        <f ca="1" t="shared" ref="G317:L318" si="252">G634+G951</f>
        <v>0</v>
      </c>
      <c r="H317" s="456">
        <f ca="1" t="shared" si="252"/>
        <v>0</v>
      </c>
      <c r="I317" s="456">
        <f ca="1" t="shared" si="249"/>
        <v>70.8</v>
      </c>
      <c r="J317" s="456">
        <f ca="1" t="shared" si="219"/>
        <v>70.086515324</v>
      </c>
      <c r="K317" s="456">
        <f ca="1" t="shared" si="252"/>
        <v>0</v>
      </c>
      <c r="L317" s="456">
        <f ca="1" t="shared" si="252"/>
        <v>0</v>
      </c>
      <c r="M317" s="456">
        <f ca="1" t="shared" si="229"/>
        <v>70.086515324</v>
      </c>
      <c r="N317" s="456">
        <f ca="1" t="shared" si="250"/>
        <v>0.713484676000007</v>
      </c>
      <c r="O317" s="456">
        <f ca="1" t="shared" si="251"/>
        <v>0.713484676000007</v>
      </c>
    </row>
    <row r="318" ht="15" hidden="1" spans="2:15">
      <c r="B318" s="465">
        <v>17</v>
      </c>
      <c r="C318" s="423" t="s">
        <v>807</v>
      </c>
      <c r="D318" s="457"/>
      <c r="E318" s="426"/>
      <c r="F318" s="456">
        <f ca="1" t="shared" si="217"/>
        <v>0</v>
      </c>
      <c r="G318" s="456">
        <f ca="1" t="shared" si="252"/>
        <v>0</v>
      </c>
      <c r="H318" s="456">
        <f ca="1" t="shared" si="252"/>
        <v>0</v>
      </c>
      <c r="I318" s="456">
        <f ca="1" t="shared" si="249"/>
        <v>0</v>
      </c>
      <c r="J318" s="456">
        <f ca="1" t="shared" si="219"/>
        <v>0</v>
      </c>
      <c r="K318" s="456">
        <f ca="1" t="shared" si="252"/>
        <v>0</v>
      </c>
      <c r="L318" s="456">
        <f ca="1" t="shared" si="252"/>
        <v>0</v>
      </c>
      <c r="M318" s="456">
        <f ca="1" t="shared" si="229"/>
        <v>0</v>
      </c>
      <c r="N318" s="456">
        <f ca="1" t="shared" si="250"/>
        <v>0</v>
      </c>
      <c r="O318" s="456">
        <f ca="1" t="shared" si="251"/>
        <v>0</v>
      </c>
    </row>
    <row r="319" ht="15.75" hidden="1" spans="2:15">
      <c r="B319" s="470"/>
      <c r="C319" s="471" t="s">
        <v>97</v>
      </c>
      <c r="D319" s="471"/>
      <c r="E319" s="472"/>
      <c r="F319" s="474">
        <f ca="1">SUM(F279:F318)</f>
        <v>35519.0533735361</v>
      </c>
      <c r="G319" s="474">
        <f ca="1" t="shared" ref="G319:O319" si="253">SUM(G279:G318)</f>
        <v>4744.71882571915</v>
      </c>
      <c r="H319" s="474">
        <f ca="1" t="shared" si="253"/>
        <v>0</v>
      </c>
      <c r="I319" s="474">
        <f ca="1" t="shared" si="253"/>
        <v>40263.7721992552</v>
      </c>
      <c r="J319" s="474">
        <f ca="1" t="shared" si="253"/>
        <v>15213.5048528625</v>
      </c>
      <c r="K319" s="474">
        <f ca="1" t="shared" si="253"/>
        <v>1251.05451274795</v>
      </c>
      <c r="L319" s="474">
        <f ca="1" t="shared" si="253"/>
        <v>0</v>
      </c>
      <c r="M319" s="474">
        <f ca="1" t="shared" si="253"/>
        <v>16464.5593656105</v>
      </c>
      <c r="N319" s="474">
        <f ca="1" t="shared" si="253"/>
        <v>20305.5485206735</v>
      </c>
      <c r="O319" s="474">
        <f ca="1" t="shared" si="253"/>
        <v>23799.2128336447</v>
      </c>
    </row>
    <row r="321" ht="15" spans="2:9">
      <c r="B321" s="11" t="s">
        <v>809</v>
      </c>
      <c r="H321" s="3"/>
      <c r="I321" s="3"/>
    </row>
    <row r="322" ht="15.75" hidden="1" spans="11:15">
      <c r="K322" s="3"/>
      <c r="O322" s="11" t="s">
        <v>109</v>
      </c>
    </row>
    <row r="323" ht="15" hidden="1" spans="2:15">
      <c r="B323" s="431" t="s">
        <v>112</v>
      </c>
      <c r="C323" s="432"/>
      <c r="D323" s="432"/>
      <c r="E323" s="432"/>
      <c r="F323" s="432"/>
      <c r="G323" s="432"/>
      <c r="H323" s="432"/>
      <c r="I323" s="432"/>
      <c r="J323" s="432"/>
      <c r="K323" s="432"/>
      <c r="L323" s="432"/>
      <c r="M323" s="432"/>
      <c r="N323" s="432"/>
      <c r="O323" s="442"/>
    </row>
    <row r="324" hidden="1" customHeight="1" spans="2:15">
      <c r="B324" s="406" t="s">
        <v>564</v>
      </c>
      <c r="C324" s="980" t="s">
        <v>671</v>
      </c>
      <c r="D324" s="408" t="s">
        <v>672</v>
      </c>
      <c r="E324" s="408" t="s">
        <v>673</v>
      </c>
      <c r="F324" s="408" t="s">
        <v>674</v>
      </c>
      <c r="G324" s="408"/>
      <c r="H324" s="408"/>
      <c r="I324" s="408"/>
      <c r="J324" s="408" t="s">
        <v>675</v>
      </c>
      <c r="K324" s="408"/>
      <c r="L324" s="408"/>
      <c r="M324" s="408"/>
      <c r="N324" s="408" t="s">
        <v>676</v>
      </c>
      <c r="O324" s="440"/>
    </row>
    <row r="325" ht="60.75" hidden="1" spans="2:15">
      <c r="B325" s="433"/>
      <c r="C325" s="434"/>
      <c r="D325" s="435"/>
      <c r="E325" s="435"/>
      <c r="F325" s="435" t="s">
        <v>677</v>
      </c>
      <c r="G325" s="435" t="s">
        <v>678</v>
      </c>
      <c r="H325" s="435" t="s">
        <v>679</v>
      </c>
      <c r="I325" s="435" t="s">
        <v>680</v>
      </c>
      <c r="J325" s="435" t="s">
        <v>681</v>
      </c>
      <c r="K325" s="435" t="s">
        <v>678</v>
      </c>
      <c r="L325" s="435" t="s">
        <v>682</v>
      </c>
      <c r="M325" s="435" t="s">
        <v>683</v>
      </c>
      <c r="N325" s="435" t="s">
        <v>677</v>
      </c>
      <c r="O325" s="443" t="s">
        <v>680</v>
      </c>
    </row>
    <row r="326" ht="15" hidden="1" spans="2:15">
      <c r="B326" s="410">
        <v>1</v>
      </c>
      <c r="C326" s="411" t="s">
        <v>684</v>
      </c>
      <c r="D326" s="405"/>
      <c r="E326" s="437"/>
      <c r="F326" s="414">
        <f ca="1">90%*F9</f>
        <v>0</v>
      </c>
      <c r="G326" s="414">
        <f ca="1" t="shared" ref="G326:M326" si="254">90%*G9</f>
        <v>0</v>
      </c>
      <c r="H326" s="414">
        <f ca="1" t="shared" si="254"/>
        <v>0</v>
      </c>
      <c r="I326" s="414">
        <f ca="1" t="shared" si="254"/>
        <v>0</v>
      </c>
      <c r="J326" s="414">
        <f ca="1" t="shared" si="254"/>
        <v>0</v>
      </c>
      <c r="K326" s="414">
        <f ca="1" t="shared" si="254"/>
        <v>0</v>
      </c>
      <c r="L326" s="414">
        <f ca="1" t="shared" si="254"/>
        <v>0</v>
      </c>
      <c r="M326" s="414">
        <f ca="1" t="shared" si="254"/>
        <v>0</v>
      </c>
      <c r="N326" s="414">
        <f ca="1">F326-J326</f>
        <v>0</v>
      </c>
      <c r="O326" s="414">
        <f ca="1">I326-M326</f>
        <v>0</v>
      </c>
    </row>
    <row r="327" ht="15" hidden="1" spans="2:15">
      <c r="B327" s="410">
        <v>2</v>
      </c>
      <c r="C327" s="411" t="s">
        <v>770</v>
      </c>
      <c r="D327" s="476"/>
      <c r="E327" s="477"/>
      <c r="F327" s="414">
        <f ca="1" t="shared" ref="F327:M342" si="255">90%*F10</f>
        <v>0</v>
      </c>
      <c r="G327" s="414">
        <f ca="1" t="shared" si="255"/>
        <v>0</v>
      </c>
      <c r="H327" s="414">
        <f ca="1" t="shared" si="255"/>
        <v>0</v>
      </c>
      <c r="I327" s="414">
        <f ca="1" t="shared" si="255"/>
        <v>0</v>
      </c>
      <c r="J327" s="414">
        <f ca="1" t="shared" si="255"/>
        <v>0</v>
      </c>
      <c r="K327" s="414">
        <f ca="1" t="shared" si="255"/>
        <v>0</v>
      </c>
      <c r="L327" s="414">
        <f ca="1" t="shared" si="255"/>
        <v>0</v>
      </c>
      <c r="M327" s="414">
        <f ca="1" t="shared" si="255"/>
        <v>0</v>
      </c>
      <c r="N327" s="414">
        <f ca="1">F327-J327</f>
        <v>0</v>
      </c>
      <c r="O327" s="414">
        <f ca="1">I327-M327</f>
        <v>0</v>
      </c>
    </row>
    <row r="328" ht="15" hidden="1" spans="2:15">
      <c r="B328" s="410">
        <v>3</v>
      </c>
      <c r="C328" s="415" t="s">
        <v>771</v>
      </c>
      <c r="D328" s="412"/>
      <c r="E328" s="416"/>
      <c r="F328" s="414">
        <f t="shared" si="255"/>
        <v>0</v>
      </c>
      <c r="G328" s="414">
        <f t="shared" si="255"/>
        <v>0</v>
      </c>
      <c r="H328" s="414">
        <f t="shared" si="255"/>
        <v>0</v>
      </c>
      <c r="I328" s="414">
        <f t="shared" si="255"/>
        <v>0</v>
      </c>
      <c r="J328" s="414">
        <f t="shared" si="255"/>
        <v>0</v>
      </c>
      <c r="K328" s="414">
        <f t="shared" si="255"/>
        <v>0</v>
      </c>
      <c r="L328" s="414">
        <f t="shared" si="255"/>
        <v>0</v>
      </c>
      <c r="M328" s="414">
        <f t="shared" si="255"/>
        <v>0</v>
      </c>
      <c r="N328" s="414"/>
      <c r="O328" s="414"/>
    </row>
    <row r="329" ht="15" hidden="1" spans="2:15">
      <c r="B329" s="410"/>
      <c r="C329" s="417" t="s">
        <v>772</v>
      </c>
      <c r="D329" s="412"/>
      <c r="E329" s="416"/>
      <c r="F329" s="414">
        <f ca="1" t="shared" si="255"/>
        <v>0</v>
      </c>
      <c r="G329" s="414">
        <f ca="1" t="shared" si="255"/>
        <v>0</v>
      </c>
      <c r="H329" s="414">
        <f ca="1" t="shared" si="255"/>
        <v>0</v>
      </c>
      <c r="I329" s="414">
        <f ca="1" t="shared" si="255"/>
        <v>0</v>
      </c>
      <c r="J329" s="414">
        <f ca="1" t="shared" si="255"/>
        <v>0</v>
      </c>
      <c r="K329" s="414">
        <f ca="1" t="shared" si="255"/>
        <v>0</v>
      </c>
      <c r="L329" s="414">
        <f ca="1" t="shared" si="255"/>
        <v>0</v>
      </c>
      <c r="M329" s="414">
        <f ca="1" t="shared" si="255"/>
        <v>0</v>
      </c>
      <c r="N329" s="414">
        <f ca="1" t="shared" ref="N329:O365" si="256">F329-J329</f>
        <v>0</v>
      </c>
      <c r="O329" s="414">
        <f ca="1" t="shared" ref="O329:O348" si="257">I329-M329</f>
        <v>0</v>
      </c>
    </row>
    <row r="330" ht="28.5" hidden="1" spans="2:15">
      <c r="B330" s="410"/>
      <c r="C330" s="417" t="s">
        <v>773</v>
      </c>
      <c r="D330" s="412"/>
      <c r="E330" s="416"/>
      <c r="F330" s="414">
        <f ca="1" t="shared" si="255"/>
        <v>0</v>
      </c>
      <c r="G330" s="414">
        <f ca="1" t="shared" si="255"/>
        <v>0</v>
      </c>
      <c r="H330" s="414">
        <f ca="1" t="shared" si="255"/>
        <v>0</v>
      </c>
      <c r="I330" s="414">
        <f ca="1" t="shared" si="255"/>
        <v>0</v>
      </c>
      <c r="J330" s="414">
        <f ca="1" t="shared" si="255"/>
        <v>0</v>
      </c>
      <c r="K330" s="414">
        <f ca="1" t="shared" si="255"/>
        <v>0</v>
      </c>
      <c r="L330" s="414">
        <f ca="1" t="shared" si="255"/>
        <v>0</v>
      </c>
      <c r="M330" s="414">
        <f ca="1" t="shared" si="255"/>
        <v>0</v>
      </c>
      <c r="N330" s="414">
        <f ca="1" t="shared" si="256"/>
        <v>0</v>
      </c>
      <c r="O330" s="414">
        <f ca="1" t="shared" si="257"/>
        <v>0</v>
      </c>
    </row>
    <row r="331" ht="15" hidden="1" spans="2:15">
      <c r="B331" s="410"/>
      <c r="C331" s="417" t="s">
        <v>774</v>
      </c>
      <c r="D331" s="412"/>
      <c r="E331" s="416"/>
      <c r="F331" s="414">
        <f ca="1" t="shared" si="255"/>
        <v>0</v>
      </c>
      <c r="G331" s="414">
        <f ca="1" t="shared" si="255"/>
        <v>0</v>
      </c>
      <c r="H331" s="414">
        <f ca="1" t="shared" si="255"/>
        <v>0</v>
      </c>
      <c r="I331" s="414">
        <f ca="1" t="shared" si="255"/>
        <v>0</v>
      </c>
      <c r="J331" s="414">
        <f ca="1" t="shared" si="255"/>
        <v>0</v>
      </c>
      <c r="K331" s="414">
        <f ca="1" t="shared" si="255"/>
        <v>0</v>
      </c>
      <c r="L331" s="414">
        <f ca="1" t="shared" si="255"/>
        <v>0</v>
      </c>
      <c r="M331" s="414">
        <f ca="1" t="shared" si="255"/>
        <v>0</v>
      </c>
      <c r="N331" s="414">
        <f ca="1" t="shared" si="256"/>
        <v>0</v>
      </c>
      <c r="O331" s="414">
        <f ca="1" t="shared" si="257"/>
        <v>0</v>
      </c>
    </row>
    <row r="332" ht="15" hidden="1" spans="2:15">
      <c r="B332" s="410"/>
      <c r="C332" s="417" t="s">
        <v>775</v>
      </c>
      <c r="D332" s="412"/>
      <c r="E332" s="416"/>
      <c r="F332" s="414">
        <f ca="1" t="shared" si="255"/>
        <v>0</v>
      </c>
      <c r="G332" s="414">
        <f ca="1" t="shared" si="255"/>
        <v>0</v>
      </c>
      <c r="H332" s="414">
        <f ca="1" t="shared" si="255"/>
        <v>0</v>
      </c>
      <c r="I332" s="414">
        <f ca="1" t="shared" si="255"/>
        <v>0</v>
      </c>
      <c r="J332" s="414">
        <f ca="1" t="shared" si="255"/>
        <v>0</v>
      </c>
      <c r="K332" s="414">
        <f ca="1" t="shared" si="255"/>
        <v>0</v>
      </c>
      <c r="L332" s="414">
        <f ca="1" t="shared" si="255"/>
        <v>0</v>
      </c>
      <c r="M332" s="414">
        <f ca="1" t="shared" si="255"/>
        <v>0</v>
      </c>
      <c r="N332" s="414">
        <f ca="1" t="shared" si="256"/>
        <v>0</v>
      </c>
      <c r="O332" s="414">
        <f ca="1" t="shared" si="257"/>
        <v>0</v>
      </c>
    </row>
    <row r="333" ht="15" hidden="1" spans="2:15">
      <c r="B333" s="410">
        <v>4</v>
      </c>
      <c r="C333" s="411" t="s">
        <v>776</v>
      </c>
      <c r="D333" s="412"/>
      <c r="E333" s="416"/>
      <c r="F333" s="414">
        <f t="shared" si="255"/>
        <v>0</v>
      </c>
      <c r="G333" s="414">
        <f t="shared" si="255"/>
        <v>0</v>
      </c>
      <c r="H333" s="414">
        <f t="shared" si="255"/>
        <v>0</v>
      </c>
      <c r="I333" s="414">
        <f t="shared" si="255"/>
        <v>0</v>
      </c>
      <c r="J333" s="414">
        <f t="shared" si="255"/>
        <v>0</v>
      </c>
      <c r="K333" s="414">
        <f t="shared" si="255"/>
        <v>0</v>
      </c>
      <c r="L333" s="414">
        <f t="shared" si="255"/>
        <v>0</v>
      </c>
      <c r="M333" s="414">
        <f t="shared" si="255"/>
        <v>0</v>
      </c>
      <c r="N333" s="414"/>
      <c r="O333" s="414"/>
    </row>
    <row r="334" ht="15" hidden="1" spans="2:15">
      <c r="B334" s="410"/>
      <c r="C334" s="418" t="s">
        <v>777</v>
      </c>
      <c r="D334" s="412"/>
      <c r="E334" s="416"/>
      <c r="F334" s="414">
        <f ca="1" t="shared" si="255"/>
        <v>0</v>
      </c>
      <c r="G334" s="414">
        <f ca="1" t="shared" si="255"/>
        <v>0</v>
      </c>
      <c r="H334" s="414">
        <f ca="1" t="shared" si="255"/>
        <v>0</v>
      </c>
      <c r="I334" s="414">
        <f ca="1" t="shared" si="255"/>
        <v>0</v>
      </c>
      <c r="J334" s="414">
        <f ca="1" t="shared" si="255"/>
        <v>0</v>
      </c>
      <c r="K334" s="414">
        <f ca="1" t="shared" si="255"/>
        <v>0</v>
      </c>
      <c r="L334" s="414">
        <f ca="1" t="shared" si="255"/>
        <v>0</v>
      </c>
      <c r="M334" s="414">
        <f ca="1" t="shared" si="255"/>
        <v>0</v>
      </c>
      <c r="N334" s="414">
        <f ca="1" t="shared" si="256"/>
        <v>0</v>
      </c>
      <c r="O334" s="414">
        <f ca="1" t="shared" si="257"/>
        <v>0</v>
      </c>
    </row>
    <row r="335" ht="15" hidden="1" spans="2:15">
      <c r="B335" s="410"/>
      <c r="C335" s="411" t="s">
        <v>778</v>
      </c>
      <c r="D335" s="412"/>
      <c r="E335" s="416"/>
      <c r="F335" s="414">
        <f t="shared" si="255"/>
        <v>0</v>
      </c>
      <c r="G335" s="414">
        <f t="shared" si="255"/>
        <v>0</v>
      </c>
      <c r="H335" s="414">
        <f t="shared" si="255"/>
        <v>0</v>
      </c>
      <c r="I335" s="414">
        <f t="shared" si="255"/>
        <v>0</v>
      </c>
      <c r="J335" s="414">
        <f t="shared" si="255"/>
        <v>0</v>
      </c>
      <c r="K335" s="414">
        <f t="shared" si="255"/>
        <v>0</v>
      </c>
      <c r="L335" s="414">
        <f t="shared" si="255"/>
        <v>0</v>
      </c>
      <c r="M335" s="414">
        <f t="shared" si="255"/>
        <v>0</v>
      </c>
      <c r="N335" s="414"/>
      <c r="O335" s="414"/>
    </row>
    <row r="336" ht="15" hidden="1" spans="2:15">
      <c r="B336" s="410"/>
      <c r="C336" s="418" t="s">
        <v>779</v>
      </c>
      <c r="D336" s="412"/>
      <c r="E336" s="416"/>
      <c r="F336" s="414">
        <f ca="1" t="shared" si="255"/>
        <v>0</v>
      </c>
      <c r="G336" s="414">
        <f ca="1" t="shared" si="255"/>
        <v>0</v>
      </c>
      <c r="H336" s="414">
        <f ca="1" t="shared" si="255"/>
        <v>0</v>
      </c>
      <c r="I336" s="414">
        <f ca="1" t="shared" si="255"/>
        <v>0</v>
      </c>
      <c r="J336" s="414">
        <f ca="1" t="shared" si="255"/>
        <v>0</v>
      </c>
      <c r="K336" s="414">
        <f ca="1" t="shared" si="255"/>
        <v>0</v>
      </c>
      <c r="L336" s="414">
        <f ca="1" t="shared" si="255"/>
        <v>0</v>
      </c>
      <c r="M336" s="414">
        <f ca="1" t="shared" si="255"/>
        <v>0</v>
      </c>
      <c r="N336" s="414">
        <f ca="1" t="shared" si="256"/>
        <v>0</v>
      </c>
      <c r="O336" s="414">
        <f ca="1" t="shared" si="257"/>
        <v>0</v>
      </c>
    </row>
    <row r="337" ht="15" hidden="1" spans="2:15">
      <c r="B337" s="410"/>
      <c r="C337" s="418" t="s">
        <v>780</v>
      </c>
      <c r="D337" s="412"/>
      <c r="E337" s="416"/>
      <c r="F337" s="414">
        <f ca="1" t="shared" si="255"/>
        <v>0</v>
      </c>
      <c r="G337" s="414">
        <f ca="1" t="shared" si="255"/>
        <v>0</v>
      </c>
      <c r="H337" s="414">
        <f ca="1" t="shared" si="255"/>
        <v>0</v>
      </c>
      <c r="I337" s="414">
        <f ca="1" t="shared" si="255"/>
        <v>0</v>
      </c>
      <c r="J337" s="414">
        <f ca="1" t="shared" si="255"/>
        <v>0</v>
      </c>
      <c r="K337" s="414">
        <f ca="1" t="shared" si="255"/>
        <v>0</v>
      </c>
      <c r="L337" s="414">
        <f ca="1" t="shared" si="255"/>
        <v>0</v>
      </c>
      <c r="M337" s="414">
        <f ca="1" t="shared" si="255"/>
        <v>0</v>
      </c>
      <c r="N337" s="414">
        <f ca="1" t="shared" si="256"/>
        <v>0</v>
      </c>
      <c r="O337" s="414">
        <f ca="1" t="shared" si="257"/>
        <v>0</v>
      </c>
    </row>
    <row r="338" ht="15" hidden="1" spans="2:15">
      <c r="B338" s="410">
        <v>5</v>
      </c>
      <c r="C338" s="411" t="s">
        <v>781</v>
      </c>
      <c r="D338" s="412"/>
      <c r="E338" s="416"/>
      <c r="F338" s="414">
        <f t="shared" si="255"/>
        <v>0</v>
      </c>
      <c r="G338" s="414">
        <f t="shared" si="255"/>
        <v>0</v>
      </c>
      <c r="H338" s="414">
        <f t="shared" si="255"/>
        <v>0</v>
      </c>
      <c r="I338" s="414">
        <f t="shared" si="255"/>
        <v>0</v>
      </c>
      <c r="J338" s="414">
        <f t="shared" si="255"/>
        <v>0</v>
      </c>
      <c r="K338" s="414">
        <f t="shared" si="255"/>
        <v>0</v>
      </c>
      <c r="L338" s="414">
        <f t="shared" si="255"/>
        <v>0</v>
      </c>
      <c r="M338" s="414">
        <f t="shared" si="255"/>
        <v>0</v>
      </c>
      <c r="N338" s="414"/>
      <c r="O338" s="414"/>
    </row>
    <row r="339" ht="15" hidden="1" spans="2:15">
      <c r="B339" s="410"/>
      <c r="C339" s="418" t="s">
        <v>782</v>
      </c>
      <c r="D339" s="412"/>
      <c r="E339" s="416"/>
      <c r="F339" s="414">
        <f ca="1" t="shared" si="255"/>
        <v>0</v>
      </c>
      <c r="G339" s="414">
        <f ca="1" t="shared" si="255"/>
        <v>0</v>
      </c>
      <c r="H339" s="414">
        <f ca="1" t="shared" si="255"/>
        <v>0</v>
      </c>
      <c r="I339" s="414">
        <f ca="1" t="shared" si="255"/>
        <v>0</v>
      </c>
      <c r="J339" s="414">
        <f ca="1" t="shared" si="255"/>
        <v>0</v>
      </c>
      <c r="K339" s="414">
        <f ca="1" t="shared" si="255"/>
        <v>0</v>
      </c>
      <c r="L339" s="414">
        <f ca="1" t="shared" si="255"/>
        <v>0</v>
      </c>
      <c r="M339" s="414">
        <f ca="1" t="shared" si="255"/>
        <v>0</v>
      </c>
      <c r="N339" s="414">
        <f ca="1" t="shared" si="256"/>
        <v>0</v>
      </c>
      <c r="O339" s="414">
        <f ca="1" t="shared" si="257"/>
        <v>0</v>
      </c>
    </row>
    <row r="340" ht="15" hidden="1" spans="2:15">
      <c r="B340" s="410"/>
      <c r="C340" s="418" t="s">
        <v>783</v>
      </c>
      <c r="D340" s="412"/>
      <c r="E340" s="416"/>
      <c r="F340" s="414">
        <f ca="1" t="shared" si="255"/>
        <v>0</v>
      </c>
      <c r="G340" s="414">
        <f ca="1" t="shared" si="255"/>
        <v>0</v>
      </c>
      <c r="H340" s="414">
        <f ca="1" t="shared" si="255"/>
        <v>0</v>
      </c>
      <c r="I340" s="414">
        <f ca="1" t="shared" si="255"/>
        <v>0</v>
      </c>
      <c r="J340" s="414">
        <f ca="1" t="shared" si="255"/>
        <v>0</v>
      </c>
      <c r="K340" s="414">
        <f ca="1" t="shared" si="255"/>
        <v>0</v>
      </c>
      <c r="L340" s="414">
        <f ca="1" t="shared" si="255"/>
        <v>0</v>
      </c>
      <c r="M340" s="414">
        <f ca="1" t="shared" si="255"/>
        <v>0</v>
      </c>
      <c r="N340" s="414">
        <f ca="1" t="shared" si="256"/>
        <v>0</v>
      </c>
      <c r="O340" s="414">
        <f ca="1" t="shared" si="257"/>
        <v>0</v>
      </c>
    </row>
    <row r="341" ht="15" hidden="1" spans="2:15">
      <c r="B341" s="410"/>
      <c r="C341" s="418" t="s">
        <v>784</v>
      </c>
      <c r="D341" s="412"/>
      <c r="E341" s="416"/>
      <c r="F341" s="414">
        <f ca="1" t="shared" si="255"/>
        <v>0</v>
      </c>
      <c r="G341" s="414">
        <f ca="1" t="shared" si="255"/>
        <v>0</v>
      </c>
      <c r="H341" s="414">
        <f ca="1" t="shared" si="255"/>
        <v>0</v>
      </c>
      <c r="I341" s="414">
        <f ca="1" t="shared" si="255"/>
        <v>0</v>
      </c>
      <c r="J341" s="414">
        <f ca="1" t="shared" si="255"/>
        <v>0</v>
      </c>
      <c r="K341" s="414">
        <f ca="1" t="shared" si="255"/>
        <v>0</v>
      </c>
      <c r="L341" s="414">
        <f ca="1" t="shared" si="255"/>
        <v>0</v>
      </c>
      <c r="M341" s="414">
        <f ca="1" t="shared" si="255"/>
        <v>0</v>
      </c>
      <c r="N341" s="414">
        <f ca="1" t="shared" si="256"/>
        <v>0</v>
      </c>
      <c r="O341" s="414">
        <f ca="1" t="shared" si="257"/>
        <v>0</v>
      </c>
    </row>
    <row r="342" ht="15" hidden="1" spans="2:15">
      <c r="B342" s="410"/>
      <c r="C342" s="418" t="s">
        <v>785</v>
      </c>
      <c r="D342" s="412"/>
      <c r="E342" s="416"/>
      <c r="F342" s="414">
        <f ca="1" t="shared" si="255"/>
        <v>0</v>
      </c>
      <c r="G342" s="414">
        <f ca="1" t="shared" si="255"/>
        <v>0</v>
      </c>
      <c r="H342" s="414">
        <f ca="1" t="shared" si="255"/>
        <v>0</v>
      </c>
      <c r="I342" s="414">
        <f ca="1" t="shared" si="255"/>
        <v>0</v>
      </c>
      <c r="J342" s="414">
        <f ca="1" t="shared" si="255"/>
        <v>0</v>
      </c>
      <c r="K342" s="414">
        <f ca="1" t="shared" si="255"/>
        <v>0</v>
      </c>
      <c r="L342" s="414">
        <f ca="1" t="shared" si="255"/>
        <v>0</v>
      </c>
      <c r="M342" s="414">
        <f ca="1" t="shared" si="255"/>
        <v>0</v>
      </c>
      <c r="N342" s="414">
        <f ca="1" t="shared" si="256"/>
        <v>0</v>
      </c>
      <c r="O342" s="414">
        <f ca="1" t="shared" si="257"/>
        <v>0</v>
      </c>
    </row>
    <row r="343" ht="15" hidden="1" spans="2:15">
      <c r="B343" s="410">
        <v>6</v>
      </c>
      <c r="C343" s="411" t="s">
        <v>786</v>
      </c>
      <c r="D343" s="412"/>
      <c r="E343" s="416"/>
      <c r="F343" s="414">
        <f ca="1" t="shared" ref="F343:M358" si="258">90%*F26</f>
        <v>0</v>
      </c>
      <c r="G343" s="414">
        <f ca="1" t="shared" si="258"/>
        <v>0</v>
      </c>
      <c r="H343" s="414">
        <f ca="1" t="shared" si="258"/>
        <v>0</v>
      </c>
      <c r="I343" s="414">
        <f ca="1" t="shared" si="258"/>
        <v>0</v>
      </c>
      <c r="J343" s="414">
        <f ca="1" t="shared" si="258"/>
        <v>0</v>
      </c>
      <c r="K343" s="414">
        <f ca="1" t="shared" si="258"/>
        <v>0</v>
      </c>
      <c r="L343" s="414">
        <f ca="1" t="shared" si="258"/>
        <v>0</v>
      </c>
      <c r="M343" s="414">
        <f ca="1" t="shared" si="258"/>
        <v>0</v>
      </c>
      <c r="N343" s="414">
        <f ca="1" t="shared" si="256"/>
        <v>0</v>
      </c>
      <c r="O343" s="414">
        <f ca="1" t="shared" si="257"/>
        <v>0</v>
      </c>
    </row>
    <row r="344" ht="15" hidden="1" spans="2:15">
      <c r="B344" s="410">
        <v>7</v>
      </c>
      <c r="C344" s="411" t="s">
        <v>787</v>
      </c>
      <c r="D344" s="412"/>
      <c r="E344" s="416"/>
      <c r="F344" s="414">
        <f ca="1" t="shared" si="258"/>
        <v>0</v>
      </c>
      <c r="G344" s="414">
        <f ca="1" t="shared" si="258"/>
        <v>0</v>
      </c>
      <c r="H344" s="414">
        <f ca="1" t="shared" si="258"/>
        <v>0</v>
      </c>
      <c r="I344" s="414">
        <f ca="1" t="shared" si="258"/>
        <v>0</v>
      </c>
      <c r="J344" s="414">
        <f ca="1" t="shared" si="258"/>
        <v>0</v>
      </c>
      <c r="K344" s="414">
        <f ca="1" t="shared" si="258"/>
        <v>0</v>
      </c>
      <c r="L344" s="414">
        <f ca="1" t="shared" si="258"/>
        <v>0</v>
      </c>
      <c r="M344" s="414">
        <f ca="1" t="shared" si="258"/>
        <v>0</v>
      </c>
      <c r="N344" s="414">
        <f ca="1" t="shared" si="256"/>
        <v>0</v>
      </c>
      <c r="O344" s="414">
        <f ca="1" t="shared" si="257"/>
        <v>0</v>
      </c>
    </row>
    <row r="345" ht="15" hidden="1" spans="2:15">
      <c r="B345" s="410">
        <v>8</v>
      </c>
      <c r="C345" s="411" t="s">
        <v>788</v>
      </c>
      <c r="D345" s="412"/>
      <c r="E345" s="416"/>
      <c r="F345" s="414">
        <f t="shared" si="258"/>
        <v>0</v>
      </c>
      <c r="G345" s="414">
        <f t="shared" si="258"/>
        <v>0</v>
      </c>
      <c r="H345" s="414">
        <f t="shared" si="258"/>
        <v>0</v>
      </c>
      <c r="I345" s="414">
        <f t="shared" si="258"/>
        <v>0</v>
      </c>
      <c r="J345" s="414">
        <f t="shared" si="258"/>
        <v>0</v>
      </c>
      <c r="K345" s="414">
        <f t="shared" si="258"/>
        <v>0</v>
      </c>
      <c r="L345" s="414">
        <f t="shared" si="258"/>
        <v>0</v>
      </c>
      <c r="M345" s="414">
        <f t="shared" si="258"/>
        <v>0</v>
      </c>
      <c r="N345" s="414"/>
      <c r="O345" s="414"/>
    </row>
    <row r="346" ht="15" hidden="1" spans="2:15">
      <c r="B346" s="410"/>
      <c r="C346" s="418" t="s">
        <v>789</v>
      </c>
      <c r="D346" s="412"/>
      <c r="E346" s="416"/>
      <c r="F346" s="414">
        <f ca="1" t="shared" si="258"/>
        <v>0</v>
      </c>
      <c r="G346" s="414">
        <f ca="1" t="shared" si="258"/>
        <v>0</v>
      </c>
      <c r="H346" s="414">
        <f ca="1" t="shared" si="258"/>
        <v>0</v>
      </c>
      <c r="I346" s="414">
        <f ca="1" t="shared" si="258"/>
        <v>0</v>
      </c>
      <c r="J346" s="414">
        <f ca="1" t="shared" si="258"/>
        <v>0</v>
      </c>
      <c r="K346" s="414">
        <f ca="1" t="shared" si="258"/>
        <v>0</v>
      </c>
      <c r="L346" s="414">
        <f ca="1" t="shared" si="258"/>
        <v>0</v>
      </c>
      <c r="M346" s="414">
        <f ca="1" t="shared" si="258"/>
        <v>0</v>
      </c>
      <c r="N346" s="414">
        <f ca="1" t="shared" si="256"/>
        <v>0</v>
      </c>
      <c r="O346" s="414">
        <f ca="1" t="shared" si="257"/>
        <v>0</v>
      </c>
    </row>
    <row r="347" ht="15" hidden="1" spans="2:15">
      <c r="B347" s="410"/>
      <c r="C347" s="418" t="s">
        <v>808</v>
      </c>
      <c r="D347" s="412"/>
      <c r="E347" s="416"/>
      <c r="F347" s="414">
        <f ca="1" t="shared" si="258"/>
        <v>0</v>
      </c>
      <c r="G347" s="414">
        <f ca="1" t="shared" si="258"/>
        <v>0</v>
      </c>
      <c r="H347" s="414">
        <f ca="1" t="shared" si="258"/>
        <v>0</v>
      </c>
      <c r="I347" s="414">
        <f ca="1" t="shared" si="258"/>
        <v>0</v>
      </c>
      <c r="J347" s="414">
        <f ca="1" t="shared" si="258"/>
        <v>0</v>
      </c>
      <c r="K347" s="414">
        <f ca="1" t="shared" si="258"/>
        <v>0</v>
      </c>
      <c r="L347" s="414">
        <f ca="1" t="shared" si="258"/>
        <v>0</v>
      </c>
      <c r="M347" s="414">
        <f ca="1" t="shared" si="258"/>
        <v>0</v>
      </c>
      <c r="N347" s="414">
        <f ca="1" t="shared" si="256"/>
        <v>0</v>
      </c>
      <c r="O347" s="414">
        <f ca="1" t="shared" si="257"/>
        <v>0</v>
      </c>
    </row>
    <row r="348" ht="30" hidden="1" spans="2:15">
      <c r="B348" s="420">
        <v>9</v>
      </c>
      <c r="C348" s="421" t="s">
        <v>791</v>
      </c>
      <c r="D348" s="412"/>
      <c r="E348" s="416"/>
      <c r="F348" s="414">
        <f ca="1" t="shared" si="258"/>
        <v>0</v>
      </c>
      <c r="G348" s="414">
        <f ca="1" t="shared" si="258"/>
        <v>0</v>
      </c>
      <c r="H348" s="414">
        <f ca="1" t="shared" si="258"/>
        <v>0</v>
      </c>
      <c r="I348" s="414">
        <f ca="1" t="shared" si="258"/>
        <v>0</v>
      </c>
      <c r="J348" s="414">
        <f ca="1" t="shared" si="258"/>
        <v>0</v>
      </c>
      <c r="K348" s="414">
        <f ca="1" t="shared" si="258"/>
        <v>0</v>
      </c>
      <c r="L348" s="414">
        <f ca="1" t="shared" si="258"/>
        <v>0</v>
      </c>
      <c r="M348" s="414">
        <f ca="1" t="shared" si="258"/>
        <v>0</v>
      </c>
      <c r="N348" s="414">
        <f ca="1" t="shared" si="256"/>
        <v>0</v>
      </c>
      <c r="O348" s="414">
        <f ca="1" t="shared" si="257"/>
        <v>0</v>
      </c>
    </row>
    <row r="349" ht="15" hidden="1" spans="2:15">
      <c r="B349" s="422">
        <v>10</v>
      </c>
      <c r="C349" s="423" t="s">
        <v>792</v>
      </c>
      <c r="D349" s="424"/>
      <c r="E349" s="416"/>
      <c r="F349" s="414">
        <f ca="1" t="shared" si="258"/>
        <v>0</v>
      </c>
      <c r="G349" s="414">
        <f ca="1" t="shared" si="258"/>
        <v>0</v>
      </c>
      <c r="H349" s="414">
        <f ca="1" t="shared" si="258"/>
        <v>0</v>
      </c>
      <c r="I349" s="414">
        <f ca="1" t="shared" si="258"/>
        <v>0</v>
      </c>
      <c r="J349" s="414">
        <f ca="1" t="shared" si="258"/>
        <v>0</v>
      </c>
      <c r="K349" s="414">
        <f ca="1" t="shared" si="258"/>
        <v>0</v>
      </c>
      <c r="L349" s="414">
        <f ca="1" t="shared" si="258"/>
        <v>0</v>
      </c>
      <c r="M349" s="414">
        <f ca="1" t="shared" si="258"/>
        <v>0</v>
      </c>
      <c r="N349" s="414">
        <f ca="1" t="shared" si="256"/>
        <v>0</v>
      </c>
      <c r="O349" s="414">
        <f ca="1" t="shared" si="256"/>
        <v>0</v>
      </c>
    </row>
    <row r="350" ht="15" hidden="1" spans="2:15">
      <c r="B350" s="422">
        <v>11</v>
      </c>
      <c r="C350" s="423" t="s">
        <v>793</v>
      </c>
      <c r="D350" s="424"/>
      <c r="E350" s="416"/>
      <c r="F350" s="414">
        <f ca="1" t="shared" si="258"/>
        <v>0</v>
      </c>
      <c r="G350" s="414">
        <f ca="1" t="shared" si="258"/>
        <v>0</v>
      </c>
      <c r="H350" s="414">
        <f ca="1" t="shared" si="258"/>
        <v>0</v>
      </c>
      <c r="I350" s="414">
        <f ca="1" t="shared" si="258"/>
        <v>0</v>
      </c>
      <c r="J350" s="414">
        <f ca="1" t="shared" si="258"/>
        <v>0</v>
      </c>
      <c r="K350" s="414">
        <f ca="1" t="shared" si="258"/>
        <v>0</v>
      </c>
      <c r="L350" s="414">
        <f ca="1" t="shared" si="258"/>
        <v>0</v>
      </c>
      <c r="M350" s="414">
        <f ca="1" t="shared" si="258"/>
        <v>0</v>
      </c>
      <c r="N350" s="414">
        <f ca="1" t="shared" si="256"/>
        <v>0</v>
      </c>
      <c r="O350" s="414">
        <f ca="1" t="shared" si="256"/>
        <v>0</v>
      </c>
    </row>
    <row r="351" ht="15" hidden="1" spans="2:15">
      <c r="B351" s="422">
        <v>12</v>
      </c>
      <c r="C351" s="423" t="s">
        <v>794</v>
      </c>
      <c r="D351" s="424"/>
      <c r="E351" s="416"/>
      <c r="F351" s="414">
        <f t="shared" si="258"/>
        <v>0</v>
      </c>
      <c r="G351" s="414">
        <f t="shared" si="258"/>
        <v>0</v>
      </c>
      <c r="H351" s="414">
        <f t="shared" si="258"/>
        <v>0</v>
      </c>
      <c r="I351" s="414">
        <f t="shared" si="258"/>
        <v>0</v>
      </c>
      <c r="J351" s="414">
        <f t="shared" si="258"/>
        <v>0</v>
      </c>
      <c r="K351" s="414">
        <f t="shared" si="258"/>
        <v>0</v>
      </c>
      <c r="L351" s="414">
        <f t="shared" si="258"/>
        <v>0</v>
      </c>
      <c r="M351" s="414">
        <f t="shared" si="258"/>
        <v>0</v>
      </c>
      <c r="N351" s="414"/>
      <c r="O351" s="414"/>
    </row>
    <row r="352" ht="15" hidden="1" spans="2:15">
      <c r="B352" s="422"/>
      <c r="C352" s="425" t="s">
        <v>795</v>
      </c>
      <c r="D352" s="424"/>
      <c r="E352" s="416"/>
      <c r="F352" s="414">
        <f ca="1" t="shared" si="258"/>
        <v>0</v>
      </c>
      <c r="G352" s="414">
        <f ca="1" t="shared" si="258"/>
        <v>0</v>
      </c>
      <c r="H352" s="414">
        <f ca="1" t="shared" si="258"/>
        <v>0</v>
      </c>
      <c r="I352" s="414">
        <f ca="1" t="shared" si="258"/>
        <v>0</v>
      </c>
      <c r="J352" s="414">
        <f ca="1" t="shared" si="258"/>
        <v>0</v>
      </c>
      <c r="K352" s="414">
        <f ca="1" t="shared" si="258"/>
        <v>0</v>
      </c>
      <c r="L352" s="414">
        <f ca="1" t="shared" si="258"/>
        <v>0</v>
      </c>
      <c r="M352" s="414">
        <f ca="1" t="shared" si="258"/>
        <v>0</v>
      </c>
      <c r="N352" s="414">
        <f ca="1" t="shared" si="256"/>
        <v>0</v>
      </c>
      <c r="O352" s="414">
        <f ca="1" t="shared" si="256"/>
        <v>0</v>
      </c>
    </row>
    <row r="353" ht="15" hidden="1" spans="2:15">
      <c r="B353" s="422"/>
      <c r="C353" s="425" t="s">
        <v>796</v>
      </c>
      <c r="D353" s="424"/>
      <c r="E353" s="416"/>
      <c r="F353" s="414">
        <f ca="1" t="shared" si="258"/>
        <v>0</v>
      </c>
      <c r="G353" s="414">
        <f ca="1" t="shared" si="258"/>
        <v>0</v>
      </c>
      <c r="H353" s="414">
        <f ca="1" t="shared" si="258"/>
        <v>0</v>
      </c>
      <c r="I353" s="414">
        <f ca="1" t="shared" si="258"/>
        <v>0</v>
      </c>
      <c r="J353" s="414">
        <f ca="1" t="shared" si="258"/>
        <v>0</v>
      </c>
      <c r="K353" s="414">
        <f ca="1" t="shared" si="258"/>
        <v>0</v>
      </c>
      <c r="L353" s="414">
        <f ca="1" t="shared" si="258"/>
        <v>0</v>
      </c>
      <c r="M353" s="414">
        <f ca="1" t="shared" si="258"/>
        <v>0</v>
      </c>
      <c r="N353" s="414">
        <f ca="1" t="shared" si="256"/>
        <v>0</v>
      </c>
      <c r="O353" s="414">
        <f ca="1" t="shared" si="256"/>
        <v>0</v>
      </c>
    </row>
    <row r="354" ht="15" hidden="1" spans="2:15">
      <c r="B354" s="422">
        <v>13</v>
      </c>
      <c r="C354" s="425"/>
      <c r="D354" s="424"/>
      <c r="E354" s="416"/>
      <c r="F354" s="414">
        <f t="shared" si="258"/>
        <v>0</v>
      </c>
      <c r="G354" s="414">
        <f t="shared" si="258"/>
        <v>0</v>
      </c>
      <c r="H354" s="414">
        <f t="shared" si="258"/>
        <v>0</v>
      </c>
      <c r="I354" s="414">
        <f t="shared" si="258"/>
        <v>0</v>
      </c>
      <c r="J354" s="414">
        <f t="shared" si="258"/>
        <v>0</v>
      </c>
      <c r="K354" s="414">
        <f t="shared" si="258"/>
        <v>0</v>
      </c>
      <c r="L354" s="414">
        <f t="shared" si="258"/>
        <v>0</v>
      </c>
      <c r="M354" s="414">
        <f t="shared" si="258"/>
        <v>0</v>
      </c>
      <c r="N354" s="414"/>
      <c r="O354" s="414"/>
    </row>
    <row r="355" ht="15" hidden="1" spans="2:15">
      <c r="B355" s="422"/>
      <c r="C355" s="425" t="s">
        <v>797</v>
      </c>
      <c r="D355" s="424"/>
      <c r="E355" s="416"/>
      <c r="F355" s="414">
        <f ca="1" t="shared" si="258"/>
        <v>0</v>
      </c>
      <c r="G355" s="414">
        <f ca="1" t="shared" si="258"/>
        <v>0</v>
      </c>
      <c r="H355" s="414">
        <f ca="1" t="shared" si="258"/>
        <v>0</v>
      </c>
      <c r="I355" s="414">
        <f ca="1" t="shared" si="258"/>
        <v>0</v>
      </c>
      <c r="J355" s="414">
        <f ca="1" t="shared" si="258"/>
        <v>0</v>
      </c>
      <c r="K355" s="414">
        <f ca="1" t="shared" si="258"/>
        <v>0</v>
      </c>
      <c r="L355" s="414">
        <f ca="1" t="shared" si="258"/>
        <v>0</v>
      </c>
      <c r="M355" s="414">
        <f ca="1" t="shared" si="258"/>
        <v>0</v>
      </c>
      <c r="N355" s="414">
        <f ca="1" t="shared" si="256"/>
        <v>0</v>
      </c>
      <c r="O355" s="414">
        <f ca="1" t="shared" si="256"/>
        <v>0</v>
      </c>
    </row>
    <row r="356" ht="15" hidden="1" spans="2:15">
      <c r="B356" s="422"/>
      <c r="C356" s="425" t="s">
        <v>798</v>
      </c>
      <c r="D356" s="424"/>
      <c r="E356" s="416"/>
      <c r="F356" s="414">
        <f ca="1" t="shared" si="258"/>
        <v>0</v>
      </c>
      <c r="G356" s="414">
        <f ca="1" t="shared" si="258"/>
        <v>0</v>
      </c>
      <c r="H356" s="414">
        <f ca="1" t="shared" si="258"/>
        <v>0</v>
      </c>
      <c r="I356" s="414">
        <f ca="1" t="shared" si="258"/>
        <v>0</v>
      </c>
      <c r="J356" s="414">
        <f ca="1" t="shared" si="258"/>
        <v>0</v>
      </c>
      <c r="K356" s="414">
        <f ca="1" t="shared" si="258"/>
        <v>0</v>
      </c>
      <c r="L356" s="414">
        <f ca="1" t="shared" si="258"/>
        <v>0</v>
      </c>
      <c r="M356" s="414">
        <f ca="1" t="shared" si="258"/>
        <v>0</v>
      </c>
      <c r="N356" s="414">
        <f ca="1" t="shared" si="256"/>
        <v>0</v>
      </c>
      <c r="O356" s="414">
        <f ca="1" t="shared" si="256"/>
        <v>0</v>
      </c>
    </row>
    <row r="357" ht="15" hidden="1" spans="2:15">
      <c r="B357" s="422"/>
      <c r="C357" s="425" t="s">
        <v>799</v>
      </c>
      <c r="D357" s="424"/>
      <c r="E357" s="416"/>
      <c r="F357" s="414">
        <f ca="1" t="shared" si="258"/>
        <v>0</v>
      </c>
      <c r="G357" s="414">
        <f ca="1" t="shared" si="258"/>
        <v>0</v>
      </c>
      <c r="H357" s="414">
        <f ca="1" t="shared" si="258"/>
        <v>0</v>
      </c>
      <c r="I357" s="414">
        <f ca="1" t="shared" si="258"/>
        <v>0</v>
      </c>
      <c r="J357" s="414">
        <f ca="1" t="shared" si="258"/>
        <v>0</v>
      </c>
      <c r="K357" s="414">
        <f ca="1" t="shared" si="258"/>
        <v>0</v>
      </c>
      <c r="L357" s="414">
        <f ca="1" t="shared" si="258"/>
        <v>0</v>
      </c>
      <c r="M357" s="414">
        <f ca="1" t="shared" si="258"/>
        <v>0</v>
      </c>
      <c r="N357" s="414">
        <f ca="1" t="shared" si="256"/>
        <v>0</v>
      </c>
      <c r="O357" s="414">
        <f ca="1" t="shared" si="256"/>
        <v>0</v>
      </c>
    </row>
    <row r="358" ht="15" hidden="1" spans="2:15">
      <c r="B358" s="422"/>
      <c r="C358" s="425" t="s">
        <v>800</v>
      </c>
      <c r="D358" s="424"/>
      <c r="E358" s="416"/>
      <c r="F358" s="414">
        <f ca="1" t="shared" si="258"/>
        <v>0</v>
      </c>
      <c r="G358" s="414">
        <f ca="1" t="shared" si="258"/>
        <v>0</v>
      </c>
      <c r="H358" s="414">
        <f ca="1" t="shared" si="258"/>
        <v>0</v>
      </c>
      <c r="I358" s="414">
        <f ca="1" t="shared" si="258"/>
        <v>0</v>
      </c>
      <c r="J358" s="414">
        <f ca="1" t="shared" si="258"/>
        <v>0</v>
      </c>
      <c r="K358" s="414">
        <f ca="1" t="shared" si="258"/>
        <v>0</v>
      </c>
      <c r="L358" s="414">
        <f ca="1" t="shared" si="258"/>
        <v>0</v>
      </c>
      <c r="M358" s="414">
        <f ca="1" t="shared" si="258"/>
        <v>0</v>
      </c>
      <c r="N358" s="414">
        <f ca="1" t="shared" si="256"/>
        <v>0</v>
      </c>
      <c r="O358" s="414">
        <f ca="1" t="shared" si="256"/>
        <v>0</v>
      </c>
    </row>
    <row r="359" ht="15" hidden="1" spans="2:15">
      <c r="B359" s="422">
        <v>14</v>
      </c>
      <c r="C359" s="423" t="s">
        <v>801</v>
      </c>
      <c r="D359" s="424"/>
      <c r="E359" s="416"/>
      <c r="F359" s="414">
        <f t="shared" ref="F359:M365" si="259">90%*F42</f>
        <v>0</v>
      </c>
      <c r="G359" s="414">
        <f t="shared" si="259"/>
        <v>0</v>
      </c>
      <c r="H359" s="414">
        <f t="shared" si="259"/>
        <v>0</v>
      </c>
      <c r="I359" s="414">
        <f t="shared" si="259"/>
        <v>0</v>
      </c>
      <c r="J359" s="414">
        <f t="shared" si="259"/>
        <v>0</v>
      </c>
      <c r="K359" s="414">
        <f t="shared" si="259"/>
        <v>0</v>
      </c>
      <c r="L359" s="414">
        <f t="shared" si="259"/>
        <v>0</v>
      </c>
      <c r="M359" s="414">
        <f t="shared" si="259"/>
        <v>0</v>
      </c>
      <c r="N359" s="414"/>
      <c r="O359" s="414"/>
    </row>
    <row r="360" ht="15" hidden="1" spans="2:15">
      <c r="B360" s="422"/>
      <c r="C360" s="425" t="s">
        <v>802</v>
      </c>
      <c r="D360" s="424"/>
      <c r="E360" s="416"/>
      <c r="F360" s="414">
        <f ca="1" t="shared" si="259"/>
        <v>0</v>
      </c>
      <c r="G360" s="414">
        <f ca="1" t="shared" si="259"/>
        <v>0</v>
      </c>
      <c r="H360" s="414">
        <f ca="1" t="shared" si="259"/>
        <v>0</v>
      </c>
      <c r="I360" s="414">
        <f ca="1" t="shared" si="259"/>
        <v>0</v>
      </c>
      <c r="J360" s="414">
        <f ca="1" t="shared" si="259"/>
        <v>0</v>
      </c>
      <c r="K360" s="414">
        <f ca="1" t="shared" si="259"/>
        <v>0</v>
      </c>
      <c r="L360" s="414">
        <f ca="1" t="shared" si="259"/>
        <v>0</v>
      </c>
      <c r="M360" s="414">
        <f ca="1" t="shared" si="259"/>
        <v>0</v>
      </c>
      <c r="N360" s="414">
        <f ca="1" t="shared" si="256"/>
        <v>0</v>
      </c>
      <c r="O360" s="414">
        <f ca="1" t="shared" si="256"/>
        <v>0</v>
      </c>
    </row>
    <row r="361" ht="15" hidden="1" spans="2:15">
      <c r="B361" s="422"/>
      <c r="C361" s="425" t="s">
        <v>803</v>
      </c>
      <c r="D361" s="424"/>
      <c r="E361" s="416"/>
      <c r="F361" s="414">
        <f ca="1" t="shared" si="259"/>
        <v>0</v>
      </c>
      <c r="G361" s="414">
        <f ca="1" t="shared" si="259"/>
        <v>0</v>
      </c>
      <c r="H361" s="414">
        <f ca="1" t="shared" si="259"/>
        <v>0</v>
      </c>
      <c r="I361" s="414">
        <f ca="1" t="shared" si="259"/>
        <v>0</v>
      </c>
      <c r="J361" s="414">
        <f ca="1" t="shared" si="259"/>
        <v>0</v>
      </c>
      <c r="K361" s="414">
        <f ca="1" t="shared" si="259"/>
        <v>0</v>
      </c>
      <c r="L361" s="414">
        <f ca="1" t="shared" si="259"/>
        <v>0</v>
      </c>
      <c r="M361" s="414">
        <f ca="1" t="shared" si="259"/>
        <v>0</v>
      </c>
      <c r="N361" s="414">
        <f ca="1" t="shared" si="256"/>
        <v>0</v>
      </c>
      <c r="O361" s="414">
        <f ca="1" t="shared" si="256"/>
        <v>0</v>
      </c>
    </row>
    <row r="362" ht="15" hidden="1" spans="2:15">
      <c r="B362" s="422"/>
      <c r="C362" s="425" t="s">
        <v>804</v>
      </c>
      <c r="D362" s="424"/>
      <c r="E362" s="416"/>
      <c r="F362" s="414">
        <f ca="1" t="shared" si="259"/>
        <v>0</v>
      </c>
      <c r="G362" s="414">
        <f ca="1" t="shared" si="259"/>
        <v>0</v>
      </c>
      <c r="H362" s="414">
        <f ca="1" t="shared" si="259"/>
        <v>0</v>
      </c>
      <c r="I362" s="414">
        <f ca="1" t="shared" si="259"/>
        <v>0</v>
      </c>
      <c r="J362" s="414">
        <f ca="1" t="shared" si="259"/>
        <v>0</v>
      </c>
      <c r="K362" s="414">
        <f ca="1" t="shared" si="259"/>
        <v>0</v>
      </c>
      <c r="L362" s="414">
        <f ca="1" t="shared" si="259"/>
        <v>0</v>
      </c>
      <c r="M362" s="414">
        <f ca="1" t="shared" si="259"/>
        <v>0</v>
      </c>
      <c r="N362" s="414">
        <f ca="1" t="shared" si="256"/>
        <v>0</v>
      </c>
      <c r="O362" s="414">
        <f ca="1" t="shared" si="256"/>
        <v>0</v>
      </c>
    </row>
    <row r="363" ht="15" hidden="1" spans="2:15">
      <c r="B363" s="422">
        <v>15</v>
      </c>
      <c r="C363" s="423" t="s">
        <v>805</v>
      </c>
      <c r="D363" s="424"/>
      <c r="E363" s="416"/>
      <c r="F363" s="414">
        <f ca="1" t="shared" si="259"/>
        <v>0</v>
      </c>
      <c r="G363" s="414">
        <f ca="1" t="shared" si="259"/>
        <v>0</v>
      </c>
      <c r="H363" s="414">
        <f ca="1" t="shared" si="259"/>
        <v>0</v>
      </c>
      <c r="I363" s="414">
        <f ca="1" t="shared" si="259"/>
        <v>0</v>
      </c>
      <c r="J363" s="414">
        <f ca="1" t="shared" si="259"/>
        <v>0</v>
      </c>
      <c r="K363" s="414">
        <f ca="1" t="shared" si="259"/>
        <v>0</v>
      </c>
      <c r="L363" s="414">
        <f ca="1" t="shared" si="259"/>
        <v>0</v>
      </c>
      <c r="M363" s="414">
        <f ca="1" t="shared" si="259"/>
        <v>0</v>
      </c>
      <c r="N363" s="414">
        <f ca="1" t="shared" si="256"/>
        <v>0</v>
      </c>
      <c r="O363" s="414">
        <f ca="1" t="shared" si="256"/>
        <v>0</v>
      </c>
    </row>
    <row r="364" ht="15" hidden="1" spans="2:15">
      <c r="B364" s="422">
        <v>16</v>
      </c>
      <c r="C364" s="423" t="s">
        <v>806</v>
      </c>
      <c r="D364" s="412"/>
      <c r="E364" s="416"/>
      <c r="F364" s="414">
        <f ca="1" t="shared" si="259"/>
        <v>0</v>
      </c>
      <c r="G364" s="414">
        <f ca="1" t="shared" si="259"/>
        <v>0</v>
      </c>
      <c r="H364" s="414">
        <f ca="1" t="shared" si="259"/>
        <v>0</v>
      </c>
      <c r="I364" s="414">
        <f ca="1" t="shared" si="259"/>
        <v>0</v>
      </c>
      <c r="J364" s="414">
        <f ca="1" t="shared" si="259"/>
        <v>0</v>
      </c>
      <c r="K364" s="414">
        <f ca="1" t="shared" si="259"/>
        <v>0</v>
      </c>
      <c r="L364" s="414">
        <f ca="1" t="shared" si="259"/>
        <v>0</v>
      </c>
      <c r="M364" s="414">
        <f ca="1" t="shared" si="259"/>
        <v>0</v>
      </c>
      <c r="N364" s="414">
        <f ca="1" t="shared" si="256"/>
        <v>0</v>
      </c>
      <c r="O364" s="414">
        <f ca="1" t="shared" si="256"/>
        <v>0</v>
      </c>
    </row>
    <row r="365" ht="15" hidden="1" spans="2:15">
      <c r="B365" s="422">
        <v>17</v>
      </c>
      <c r="C365" s="423" t="s">
        <v>807</v>
      </c>
      <c r="D365" s="412"/>
      <c r="E365" s="426"/>
      <c r="F365" s="414">
        <f ca="1" t="shared" si="259"/>
        <v>0</v>
      </c>
      <c r="G365" s="414">
        <f ca="1" t="shared" si="259"/>
        <v>0</v>
      </c>
      <c r="H365" s="414">
        <f ca="1" t="shared" si="259"/>
        <v>0</v>
      </c>
      <c r="I365" s="414">
        <f ca="1" t="shared" si="259"/>
        <v>0</v>
      </c>
      <c r="J365" s="414">
        <f ca="1" t="shared" si="259"/>
        <v>0</v>
      </c>
      <c r="K365" s="414">
        <f ca="1" t="shared" si="259"/>
        <v>0</v>
      </c>
      <c r="L365" s="414">
        <f ca="1" t="shared" si="259"/>
        <v>0</v>
      </c>
      <c r="M365" s="414">
        <f ca="1" t="shared" si="259"/>
        <v>0</v>
      </c>
      <c r="N365" s="414">
        <f ca="1" t="shared" si="256"/>
        <v>0</v>
      </c>
      <c r="O365" s="414">
        <f ca="1" t="shared" si="256"/>
        <v>0</v>
      </c>
    </row>
    <row r="366" ht="15.75" hidden="1" spans="2:15">
      <c r="B366" s="427"/>
      <c r="C366" s="428" t="s">
        <v>97</v>
      </c>
      <c r="D366" s="428"/>
      <c r="E366" s="429"/>
      <c r="F366" s="430">
        <f ca="1">SUM(F326:F365)</f>
        <v>0</v>
      </c>
      <c r="G366" s="430">
        <f ca="1" t="shared" ref="G366:O366" si="260">SUM(G326:G365)</f>
        <v>0</v>
      </c>
      <c r="H366" s="430">
        <f ca="1" t="shared" si="260"/>
        <v>0</v>
      </c>
      <c r="I366" s="430">
        <f ca="1" t="shared" si="260"/>
        <v>0</v>
      </c>
      <c r="J366" s="430">
        <f ca="1" t="shared" si="260"/>
        <v>0</v>
      </c>
      <c r="K366" s="430">
        <f ca="1" t="shared" si="260"/>
        <v>0</v>
      </c>
      <c r="L366" s="430">
        <f ca="1" t="shared" si="260"/>
        <v>0</v>
      </c>
      <c r="M366" s="430">
        <f ca="1" t="shared" si="260"/>
        <v>0</v>
      </c>
      <c r="N366" s="430">
        <f ca="1" t="shared" si="260"/>
        <v>0</v>
      </c>
      <c r="O366" s="430">
        <f ca="1" t="shared" si="260"/>
        <v>0</v>
      </c>
    </row>
    <row r="368" ht="15" hidden="1" spans="2:15">
      <c r="B368" s="431" t="s">
        <v>760</v>
      </c>
      <c r="C368" s="432"/>
      <c r="D368" s="432"/>
      <c r="E368" s="432"/>
      <c r="F368" s="432"/>
      <c r="G368" s="432"/>
      <c r="H368" s="432"/>
      <c r="I368" s="432"/>
      <c r="J368" s="432"/>
      <c r="K368" s="432"/>
      <c r="L368" s="432"/>
      <c r="M368" s="432"/>
      <c r="N368" s="432"/>
      <c r="O368" s="442"/>
    </row>
    <row r="369" hidden="1" customHeight="1" spans="2:15">
      <c r="B369" s="406" t="s">
        <v>564</v>
      </c>
      <c r="C369" s="980" t="s">
        <v>671</v>
      </c>
      <c r="D369" s="408" t="s">
        <v>672</v>
      </c>
      <c r="E369" s="408" t="s">
        <v>673</v>
      </c>
      <c r="F369" s="408" t="s">
        <v>674</v>
      </c>
      <c r="G369" s="408"/>
      <c r="H369" s="408"/>
      <c r="I369" s="408"/>
      <c r="J369" s="408" t="s">
        <v>675</v>
      </c>
      <c r="K369" s="408"/>
      <c r="L369" s="408"/>
      <c r="M369" s="408"/>
      <c r="N369" s="408" t="s">
        <v>676</v>
      </c>
      <c r="O369" s="440"/>
    </row>
    <row r="370" ht="60.75" hidden="1" spans="2:15">
      <c r="B370" s="433"/>
      <c r="C370" s="434"/>
      <c r="D370" s="435"/>
      <c r="E370" s="435"/>
      <c r="F370" s="435" t="s">
        <v>677</v>
      </c>
      <c r="G370" s="435" t="s">
        <v>678</v>
      </c>
      <c r="H370" s="435" t="s">
        <v>679</v>
      </c>
      <c r="I370" s="435" t="s">
        <v>680</v>
      </c>
      <c r="J370" s="435" t="s">
        <v>681</v>
      </c>
      <c r="K370" s="435" t="s">
        <v>678</v>
      </c>
      <c r="L370" s="435" t="s">
        <v>682</v>
      </c>
      <c r="M370" s="435" t="s">
        <v>683</v>
      </c>
      <c r="N370" s="435" t="s">
        <v>677</v>
      </c>
      <c r="O370" s="443" t="s">
        <v>680</v>
      </c>
    </row>
    <row r="371" ht="15" hidden="1" spans="2:15">
      <c r="B371" s="410">
        <v>1</v>
      </c>
      <c r="C371" s="411" t="s">
        <v>684</v>
      </c>
      <c r="D371" s="405"/>
      <c r="E371" s="437"/>
      <c r="F371" s="414">
        <f>90%*F54</f>
        <v>7.776</v>
      </c>
      <c r="G371" s="414">
        <f t="shared" ref="G371:M371" si="261">90%*G54</f>
        <v>48.2267226967044</v>
      </c>
      <c r="H371" s="414">
        <f ca="1" t="shared" si="261"/>
        <v>0</v>
      </c>
      <c r="I371" s="414">
        <f ca="1" t="shared" si="261"/>
        <v>56.0027226967044</v>
      </c>
      <c r="J371" s="414">
        <f t="shared" si="261"/>
        <v>0.0044091558000014</v>
      </c>
      <c r="K371" s="414">
        <f t="shared" si="261"/>
        <v>0</v>
      </c>
      <c r="L371" s="414">
        <f ca="1" t="shared" si="261"/>
        <v>0</v>
      </c>
      <c r="M371" s="414">
        <f ca="1" t="shared" si="261"/>
        <v>0.0044091558000014</v>
      </c>
      <c r="N371" s="414">
        <f>F371-J371</f>
        <v>7.7715908442</v>
      </c>
      <c r="O371" s="414">
        <f ca="1">I371-M371</f>
        <v>55.9983135409044</v>
      </c>
    </row>
    <row r="372" ht="15" hidden="1" spans="2:15">
      <c r="B372" s="410">
        <v>2</v>
      </c>
      <c r="C372" s="411" t="s">
        <v>770</v>
      </c>
      <c r="D372" s="476"/>
      <c r="E372" s="477"/>
      <c r="F372" s="414">
        <f t="shared" ref="F372:M387" si="262">90%*F55</f>
        <v>0</v>
      </c>
      <c r="G372" s="414">
        <f t="shared" si="262"/>
        <v>0</v>
      </c>
      <c r="H372" s="414">
        <f ca="1" t="shared" si="262"/>
        <v>0</v>
      </c>
      <c r="I372" s="414">
        <f ca="1" t="shared" si="262"/>
        <v>0</v>
      </c>
      <c r="J372" s="414">
        <f ca="1" t="shared" si="262"/>
        <v>0</v>
      </c>
      <c r="K372" s="414">
        <f ca="1" t="shared" si="262"/>
        <v>0</v>
      </c>
      <c r="L372" s="414">
        <f ca="1" t="shared" si="262"/>
        <v>0</v>
      </c>
      <c r="M372" s="414">
        <f ca="1" t="shared" si="262"/>
        <v>0</v>
      </c>
      <c r="N372" s="414">
        <f ca="1">F372-J372</f>
        <v>0</v>
      </c>
      <c r="O372" s="414">
        <f ca="1">I372-M372</f>
        <v>0</v>
      </c>
    </row>
    <row r="373" ht="15" hidden="1" spans="2:15">
      <c r="B373" s="410">
        <v>3</v>
      </c>
      <c r="C373" s="415" t="s">
        <v>771</v>
      </c>
      <c r="D373" s="412"/>
      <c r="E373" s="416"/>
      <c r="F373" s="414">
        <f t="shared" si="262"/>
        <v>0</v>
      </c>
      <c r="G373" s="414">
        <f t="shared" si="262"/>
        <v>0</v>
      </c>
      <c r="H373" s="414">
        <f t="shared" si="262"/>
        <v>0</v>
      </c>
      <c r="I373" s="414">
        <f t="shared" si="262"/>
        <v>0</v>
      </c>
      <c r="J373" s="414">
        <f t="shared" si="262"/>
        <v>0</v>
      </c>
      <c r="K373" s="414">
        <f t="shared" si="262"/>
        <v>0</v>
      </c>
      <c r="L373" s="414">
        <f t="shared" si="262"/>
        <v>0</v>
      </c>
      <c r="M373" s="414">
        <f t="shared" si="262"/>
        <v>0</v>
      </c>
      <c r="N373" s="414"/>
      <c r="O373" s="414"/>
    </row>
    <row r="374" ht="15" hidden="1" spans="2:15">
      <c r="B374" s="410"/>
      <c r="C374" s="417" t="s">
        <v>772</v>
      </c>
      <c r="D374" s="412"/>
      <c r="E374" s="416"/>
      <c r="F374" s="414">
        <f t="shared" si="262"/>
        <v>336.798</v>
      </c>
      <c r="G374" s="414">
        <f t="shared" si="262"/>
        <v>40.8521057351211</v>
      </c>
      <c r="H374" s="414">
        <f ca="1" t="shared" si="262"/>
        <v>0</v>
      </c>
      <c r="I374" s="414">
        <f ca="1" t="shared" si="262"/>
        <v>377.650105735121</v>
      </c>
      <c r="J374" s="414">
        <f t="shared" si="262"/>
        <v>107.0123671773</v>
      </c>
      <c r="K374" s="414">
        <f t="shared" si="262"/>
        <v>18.4413907930134</v>
      </c>
      <c r="L374" s="414">
        <f ca="1" t="shared" si="262"/>
        <v>0</v>
      </c>
      <c r="M374" s="414">
        <f ca="1" t="shared" si="262"/>
        <v>125.453757970313</v>
      </c>
      <c r="N374" s="414">
        <f t="shared" ref="N374:N377" si="263">F374-J374</f>
        <v>229.7856328227</v>
      </c>
      <c r="O374" s="414">
        <f ca="1" t="shared" ref="O374:O377" si="264">I374-M374</f>
        <v>252.196347764808</v>
      </c>
    </row>
    <row r="375" ht="28.5" hidden="1" spans="2:15">
      <c r="B375" s="410"/>
      <c r="C375" s="417" t="s">
        <v>773</v>
      </c>
      <c r="D375" s="412"/>
      <c r="E375" s="416"/>
      <c r="F375" s="414">
        <f ca="1" t="shared" si="262"/>
        <v>0</v>
      </c>
      <c r="G375" s="414">
        <f ca="1" t="shared" si="262"/>
        <v>0</v>
      </c>
      <c r="H375" s="414">
        <f ca="1" t="shared" si="262"/>
        <v>0</v>
      </c>
      <c r="I375" s="414">
        <f ca="1" t="shared" si="262"/>
        <v>0</v>
      </c>
      <c r="J375" s="414">
        <f ca="1" t="shared" si="262"/>
        <v>0</v>
      </c>
      <c r="K375" s="414">
        <f ca="1" t="shared" si="262"/>
        <v>0</v>
      </c>
      <c r="L375" s="414">
        <f ca="1" t="shared" si="262"/>
        <v>0</v>
      </c>
      <c r="M375" s="414">
        <f ca="1" t="shared" si="262"/>
        <v>0</v>
      </c>
      <c r="N375" s="414">
        <f ca="1" t="shared" si="263"/>
        <v>0</v>
      </c>
      <c r="O375" s="414">
        <f ca="1" t="shared" si="264"/>
        <v>0</v>
      </c>
    </row>
    <row r="376" ht="15" hidden="1" spans="2:15">
      <c r="B376" s="410"/>
      <c r="C376" s="417" t="s">
        <v>774</v>
      </c>
      <c r="D376" s="412"/>
      <c r="E376" s="416"/>
      <c r="F376" s="414">
        <f ca="1" t="shared" si="262"/>
        <v>0</v>
      </c>
      <c r="G376" s="414">
        <f ca="1" t="shared" si="262"/>
        <v>0</v>
      </c>
      <c r="H376" s="414">
        <f ca="1" t="shared" si="262"/>
        <v>0</v>
      </c>
      <c r="I376" s="414">
        <f ca="1" t="shared" si="262"/>
        <v>0</v>
      </c>
      <c r="J376" s="414">
        <f ca="1" t="shared" si="262"/>
        <v>0</v>
      </c>
      <c r="K376" s="414">
        <f ca="1" t="shared" si="262"/>
        <v>0</v>
      </c>
      <c r="L376" s="414">
        <f ca="1" t="shared" si="262"/>
        <v>0</v>
      </c>
      <c r="M376" s="414">
        <f ca="1" t="shared" si="262"/>
        <v>0</v>
      </c>
      <c r="N376" s="414">
        <f ca="1" t="shared" si="263"/>
        <v>0</v>
      </c>
      <c r="O376" s="414">
        <f ca="1" t="shared" si="264"/>
        <v>0</v>
      </c>
    </row>
    <row r="377" ht="15" hidden="1" spans="2:15">
      <c r="B377" s="410"/>
      <c r="C377" s="417" t="s">
        <v>775</v>
      </c>
      <c r="D377" s="412"/>
      <c r="E377" s="416"/>
      <c r="F377" s="414">
        <f t="shared" si="262"/>
        <v>198.972</v>
      </c>
      <c r="G377" s="414">
        <f t="shared" si="262"/>
        <v>0</v>
      </c>
      <c r="H377" s="414">
        <f ca="1" t="shared" si="262"/>
        <v>0</v>
      </c>
      <c r="I377" s="414">
        <f ca="1" t="shared" si="262"/>
        <v>198.972</v>
      </c>
      <c r="J377" s="414">
        <f t="shared" si="262"/>
        <v>39.9721005729</v>
      </c>
      <c r="K377" s="414">
        <f t="shared" si="262"/>
        <v>0</v>
      </c>
      <c r="L377" s="414">
        <f ca="1" t="shared" si="262"/>
        <v>0</v>
      </c>
      <c r="M377" s="414">
        <f ca="1" t="shared" si="262"/>
        <v>39.9721005729</v>
      </c>
      <c r="N377" s="414">
        <f t="shared" si="263"/>
        <v>158.9998994271</v>
      </c>
      <c r="O377" s="414">
        <f ca="1" t="shared" si="264"/>
        <v>158.9998994271</v>
      </c>
    </row>
    <row r="378" ht="15" hidden="1" spans="2:15">
      <c r="B378" s="410">
        <v>4</v>
      </c>
      <c r="C378" s="411" t="s">
        <v>776</v>
      </c>
      <c r="D378" s="412"/>
      <c r="E378" s="416"/>
      <c r="F378" s="414">
        <f t="shared" si="262"/>
        <v>0</v>
      </c>
      <c r="G378" s="414">
        <f t="shared" si="262"/>
        <v>0</v>
      </c>
      <c r="H378" s="414">
        <f t="shared" si="262"/>
        <v>0</v>
      </c>
      <c r="I378" s="414">
        <f t="shared" si="262"/>
        <v>0</v>
      </c>
      <c r="J378" s="414">
        <f t="shared" si="262"/>
        <v>0</v>
      </c>
      <c r="K378" s="414">
        <f t="shared" si="262"/>
        <v>0</v>
      </c>
      <c r="L378" s="414">
        <f t="shared" si="262"/>
        <v>0</v>
      </c>
      <c r="M378" s="414">
        <f t="shared" si="262"/>
        <v>0</v>
      </c>
      <c r="N378" s="414"/>
      <c r="O378" s="414"/>
    </row>
    <row r="379" ht="15" hidden="1" spans="2:15">
      <c r="B379" s="410"/>
      <c r="C379" s="418" t="s">
        <v>777</v>
      </c>
      <c r="D379" s="412"/>
      <c r="E379" s="416"/>
      <c r="F379" s="414">
        <f t="shared" si="262"/>
        <v>8088.192</v>
      </c>
      <c r="G379" s="414">
        <f t="shared" si="262"/>
        <v>970.116885793692</v>
      </c>
      <c r="H379" s="414">
        <f ca="1" t="shared" si="262"/>
        <v>0</v>
      </c>
      <c r="I379" s="414">
        <f ca="1" t="shared" si="262"/>
        <v>9058.30888579369</v>
      </c>
      <c r="J379" s="414">
        <f t="shared" si="262"/>
        <v>4261.7991902949</v>
      </c>
      <c r="K379" s="414">
        <f t="shared" si="262"/>
        <v>349.796135210882</v>
      </c>
      <c r="L379" s="414">
        <f ca="1" t="shared" si="262"/>
        <v>0</v>
      </c>
      <c r="M379" s="414">
        <f ca="1" t="shared" si="262"/>
        <v>4611.59532550578</v>
      </c>
      <c r="N379" s="414">
        <f t="shared" ref="N379:N382" si="265">F379-J379</f>
        <v>3826.3928097051</v>
      </c>
      <c r="O379" s="414">
        <f ca="1" t="shared" ref="O379:O382" si="266">I379-M379</f>
        <v>4446.71356028791</v>
      </c>
    </row>
    <row r="380" ht="15" hidden="1" spans="2:15">
      <c r="B380" s="410"/>
      <c r="C380" s="411" t="s">
        <v>778</v>
      </c>
      <c r="D380" s="412"/>
      <c r="E380" s="416"/>
      <c r="F380" s="414">
        <f t="shared" si="262"/>
        <v>0</v>
      </c>
      <c r="G380" s="414">
        <f t="shared" si="262"/>
        <v>0</v>
      </c>
      <c r="H380" s="414">
        <f t="shared" si="262"/>
        <v>0</v>
      </c>
      <c r="I380" s="414">
        <f t="shared" si="262"/>
        <v>0</v>
      </c>
      <c r="J380" s="414">
        <f t="shared" si="262"/>
        <v>0</v>
      </c>
      <c r="K380" s="414">
        <f t="shared" si="262"/>
        <v>0</v>
      </c>
      <c r="L380" s="414">
        <f t="shared" si="262"/>
        <v>0</v>
      </c>
      <c r="M380" s="414">
        <f t="shared" si="262"/>
        <v>0</v>
      </c>
      <c r="N380" s="414"/>
      <c r="O380" s="414"/>
    </row>
    <row r="381" ht="15" hidden="1" spans="2:15">
      <c r="B381" s="410"/>
      <c r="C381" s="418" t="s">
        <v>779</v>
      </c>
      <c r="D381" s="412"/>
      <c r="E381" s="416"/>
      <c r="F381" s="414">
        <f ca="1" t="shared" si="262"/>
        <v>0</v>
      </c>
      <c r="G381" s="414">
        <f ca="1" t="shared" si="262"/>
        <v>0</v>
      </c>
      <c r="H381" s="414">
        <f ca="1" t="shared" si="262"/>
        <v>0</v>
      </c>
      <c r="I381" s="414">
        <f ca="1" t="shared" si="262"/>
        <v>0</v>
      </c>
      <c r="J381" s="414">
        <f ca="1" t="shared" si="262"/>
        <v>0</v>
      </c>
      <c r="K381" s="414">
        <f ca="1" t="shared" si="262"/>
        <v>0</v>
      </c>
      <c r="L381" s="414">
        <f ca="1" t="shared" si="262"/>
        <v>0</v>
      </c>
      <c r="M381" s="414">
        <f ca="1" t="shared" si="262"/>
        <v>0</v>
      </c>
      <c r="N381" s="414">
        <f ca="1" t="shared" si="265"/>
        <v>0</v>
      </c>
      <c r="O381" s="414">
        <f ca="1" t="shared" si="266"/>
        <v>0</v>
      </c>
    </row>
    <row r="382" ht="15" hidden="1" spans="2:15">
      <c r="B382" s="410"/>
      <c r="C382" s="418" t="s">
        <v>780</v>
      </c>
      <c r="D382" s="412"/>
      <c r="E382" s="416"/>
      <c r="F382" s="414">
        <f ca="1" t="shared" si="262"/>
        <v>0</v>
      </c>
      <c r="G382" s="414">
        <f ca="1" t="shared" si="262"/>
        <v>0</v>
      </c>
      <c r="H382" s="414">
        <f ca="1" t="shared" si="262"/>
        <v>0</v>
      </c>
      <c r="I382" s="414">
        <f ca="1" t="shared" si="262"/>
        <v>0</v>
      </c>
      <c r="J382" s="414">
        <f ca="1" t="shared" si="262"/>
        <v>0</v>
      </c>
      <c r="K382" s="414">
        <f ca="1" t="shared" si="262"/>
        <v>0</v>
      </c>
      <c r="L382" s="414">
        <f ca="1" t="shared" si="262"/>
        <v>0</v>
      </c>
      <c r="M382" s="414">
        <f ca="1" t="shared" si="262"/>
        <v>0</v>
      </c>
      <c r="N382" s="414">
        <f ca="1" t="shared" si="265"/>
        <v>0</v>
      </c>
      <c r="O382" s="414">
        <f ca="1" t="shared" si="266"/>
        <v>0</v>
      </c>
    </row>
    <row r="383" ht="15" hidden="1" spans="2:15">
      <c r="B383" s="410">
        <v>5</v>
      </c>
      <c r="C383" s="411" t="s">
        <v>781</v>
      </c>
      <c r="D383" s="412"/>
      <c r="E383" s="416"/>
      <c r="F383" s="414">
        <f t="shared" si="262"/>
        <v>0</v>
      </c>
      <c r="G383" s="414">
        <f t="shared" si="262"/>
        <v>0</v>
      </c>
      <c r="H383" s="414">
        <f t="shared" si="262"/>
        <v>0</v>
      </c>
      <c r="I383" s="414">
        <f t="shared" si="262"/>
        <v>0</v>
      </c>
      <c r="J383" s="414">
        <f t="shared" si="262"/>
        <v>0</v>
      </c>
      <c r="K383" s="414">
        <f t="shared" si="262"/>
        <v>0</v>
      </c>
      <c r="L383" s="414">
        <f t="shared" si="262"/>
        <v>0</v>
      </c>
      <c r="M383" s="414">
        <f t="shared" si="262"/>
        <v>0</v>
      </c>
      <c r="N383" s="414"/>
      <c r="O383" s="414"/>
    </row>
    <row r="384" ht="15" hidden="1" spans="2:15">
      <c r="B384" s="410"/>
      <c r="C384" s="418" t="s">
        <v>782</v>
      </c>
      <c r="D384" s="412"/>
      <c r="E384" s="416"/>
      <c r="F384" s="414">
        <f ca="1" t="shared" si="262"/>
        <v>0</v>
      </c>
      <c r="G384" s="414">
        <f ca="1" t="shared" si="262"/>
        <v>0</v>
      </c>
      <c r="H384" s="414">
        <f ca="1" t="shared" si="262"/>
        <v>0</v>
      </c>
      <c r="I384" s="414">
        <f ca="1" t="shared" si="262"/>
        <v>0</v>
      </c>
      <c r="J384" s="414">
        <f ca="1" t="shared" si="262"/>
        <v>0</v>
      </c>
      <c r="K384" s="414">
        <f ca="1" t="shared" si="262"/>
        <v>0</v>
      </c>
      <c r="L384" s="414">
        <f ca="1" t="shared" si="262"/>
        <v>0</v>
      </c>
      <c r="M384" s="414">
        <f ca="1" t="shared" si="262"/>
        <v>0</v>
      </c>
      <c r="N384" s="414">
        <f ca="1" t="shared" ref="N384:N389" si="267">F384-J384</f>
        <v>0</v>
      </c>
      <c r="O384" s="414">
        <f ca="1" t="shared" ref="O384:O389" si="268">I384-M384</f>
        <v>0</v>
      </c>
    </row>
    <row r="385" ht="15" hidden="1" spans="2:15">
      <c r="B385" s="410"/>
      <c r="C385" s="418" t="s">
        <v>783</v>
      </c>
      <c r="D385" s="412"/>
      <c r="E385" s="416"/>
      <c r="F385" s="414">
        <f ca="1" t="shared" si="262"/>
        <v>0</v>
      </c>
      <c r="G385" s="414">
        <f ca="1" t="shared" si="262"/>
        <v>0</v>
      </c>
      <c r="H385" s="414">
        <f ca="1" t="shared" si="262"/>
        <v>0</v>
      </c>
      <c r="I385" s="414">
        <f ca="1" t="shared" si="262"/>
        <v>0</v>
      </c>
      <c r="J385" s="414">
        <f ca="1" t="shared" si="262"/>
        <v>0</v>
      </c>
      <c r="K385" s="414">
        <f ca="1" t="shared" si="262"/>
        <v>0</v>
      </c>
      <c r="L385" s="414">
        <f ca="1" t="shared" si="262"/>
        <v>0</v>
      </c>
      <c r="M385" s="414">
        <f ca="1" t="shared" si="262"/>
        <v>0</v>
      </c>
      <c r="N385" s="414">
        <f ca="1" t="shared" si="267"/>
        <v>0</v>
      </c>
      <c r="O385" s="414">
        <f ca="1" t="shared" si="268"/>
        <v>0</v>
      </c>
    </row>
    <row r="386" ht="15" hidden="1" spans="2:15">
      <c r="B386" s="410"/>
      <c r="C386" s="418" t="s">
        <v>784</v>
      </c>
      <c r="D386" s="412"/>
      <c r="E386" s="416"/>
      <c r="F386" s="414">
        <f ca="1" t="shared" si="262"/>
        <v>0</v>
      </c>
      <c r="G386" s="414">
        <f ca="1" t="shared" si="262"/>
        <v>0</v>
      </c>
      <c r="H386" s="414">
        <f ca="1" t="shared" si="262"/>
        <v>0</v>
      </c>
      <c r="I386" s="414">
        <f ca="1" t="shared" si="262"/>
        <v>0</v>
      </c>
      <c r="J386" s="414">
        <f ca="1" t="shared" si="262"/>
        <v>0</v>
      </c>
      <c r="K386" s="414">
        <f ca="1" t="shared" si="262"/>
        <v>0</v>
      </c>
      <c r="L386" s="414">
        <f ca="1" t="shared" si="262"/>
        <v>0</v>
      </c>
      <c r="M386" s="414">
        <f ca="1" t="shared" si="262"/>
        <v>0</v>
      </c>
      <c r="N386" s="414">
        <f ca="1" t="shared" si="267"/>
        <v>0</v>
      </c>
      <c r="O386" s="414">
        <f ca="1" t="shared" si="268"/>
        <v>0</v>
      </c>
    </row>
    <row r="387" ht="15" hidden="1" spans="2:15">
      <c r="B387" s="410"/>
      <c r="C387" s="418" t="s">
        <v>785</v>
      </c>
      <c r="D387" s="412"/>
      <c r="E387" s="416"/>
      <c r="F387" s="414">
        <f ca="1" t="shared" si="262"/>
        <v>0</v>
      </c>
      <c r="G387" s="414">
        <f ca="1" t="shared" si="262"/>
        <v>0</v>
      </c>
      <c r="H387" s="414">
        <f ca="1" t="shared" si="262"/>
        <v>0</v>
      </c>
      <c r="I387" s="414">
        <f ca="1" t="shared" si="262"/>
        <v>0</v>
      </c>
      <c r="J387" s="414">
        <f ca="1" t="shared" si="262"/>
        <v>0</v>
      </c>
      <c r="K387" s="414">
        <f ca="1" t="shared" si="262"/>
        <v>0</v>
      </c>
      <c r="L387" s="414">
        <f ca="1" t="shared" si="262"/>
        <v>0</v>
      </c>
      <c r="M387" s="414">
        <f ca="1" t="shared" si="262"/>
        <v>0</v>
      </c>
      <c r="N387" s="414">
        <f ca="1" t="shared" si="267"/>
        <v>0</v>
      </c>
      <c r="O387" s="414">
        <f ca="1" t="shared" si="268"/>
        <v>0</v>
      </c>
    </row>
    <row r="388" ht="15" hidden="1" spans="2:15">
      <c r="B388" s="410">
        <v>6</v>
      </c>
      <c r="C388" s="411" t="s">
        <v>786</v>
      </c>
      <c r="D388" s="412"/>
      <c r="E388" s="416"/>
      <c r="F388" s="414">
        <f ca="1" t="shared" ref="F388:M403" si="269">90%*F71</f>
        <v>0</v>
      </c>
      <c r="G388" s="414">
        <f ca="1" t="shared" si="269"/>
        <v>0</v>
      </c>
      <c r="H388" s="414">
        <f ca="1" t="shared" si="269"/>
        <v>0</v>
      </c>
      <c r="I388" s="414">
        <f ca="1" t="shared" si="269"/>
        <v>0</v>
      </c>
      <c r="J388" s="414">
        <f ca="1" t="shared" si="269"/>
        <v>0</v>
      </c>
      <c r="K388" s="414">
        <f ca="1" t="shared" si="269"/>
        <v>0</v>
      </c>
      <c r="L388" s="414">
        <f ca="1" t="shared" si="269"/>
        <v>0</v>
      </c>
      <c r="M388" s="414">
        <f ca="1" t="shared" si="269"/>
        <v>0</v>
      </c>
      <c r="N388" s="414">
        <f ca="1" t="shared" si="267"/>
        <v>0</v>
      </c>
      <c r="O388" s="414">
        <f ca="1" t="shared" si="268"/>
        <v>0</v>
      </c>
    </row>
    <row r="389" ht="15" hidden="1" spans="2:15">
      <c r="B389" s="410">
        <v>7</v>
      </c>
      <c r="C389" s="411" t="s">
        <v>787</v>
      </c>
      <c r="D389" s="412"/>
      <c r="E389" s="416"/>
      <c r="F389" s="414">
        <f ca="1" t="shared" si="269"/>
        <v>0</v>
      </c>
      <c r="G389" s="414">
        <f ca="1" t="shared" si="269"/>
        <v>0</v>
      </c>
      <c r="H389" s="414">
        <f ca="1" t="shared" si="269"/>
        <v>0</v>
      </c>
      <c r="I389" s="414">
        <f ca="1" t="shared" si="269"/>
        <v>0</v>
      </c>
      <c r="J389" s="414">
        <f ca="1" t="shared" si="269"/>
        <v>0</v>
      </c>
      <c r="K389" s="414">
        <f ca="1" t="shared" si="269"/>
        <v>0</v>
      </c>
      <c r="L389" s="414">
        <f ca="1" t="shared" si="269"/>
        <v>0</v>
      </c>
      <c r="M389" s="414">
        <f ca="1" t="shared" si="269"/>
        <v>0</v>
      </c>
      <c r="N389" s="414">
        <f ca="1" t="shared" si="267"/>
        <v>0</v>
      </c>
      <c r="O389" s="414">
        <f ca="1" t="shared" si="268"/>
        <v>0</v>
      </c>
    </row>
    <row r="390" ht="15" hidden="1" spans="2:15">
      <c r="B390" s="410">
        <v>8</v>
      </c>
      <c r="C390" s="411" t="s">
        <v>788</v>
      </c>
      <c r="D390" s="412"/>
      <c r="E390" s="416"/>
      <c r="F390" s="414">
        <f t="shared" si="269"/>
        <v>0</v>
      </c>
      <c r="G390" s="414">
        <f t="shared" si="269"/>
        <v>0</v>
      </c>
      <c r="H390" s="414">
        <f t="shared" si="269"/>
        <v>0</v>
      </c>
      <c r="I390" s="414">
        <f t="shared" si="269"/>
        <v>0</v>
      </c>
      <c r="J390" s="414">
        <f t="shared" si="269"/>
        <v>0</v>
      </c>
      <c r="K390" s="414">
        <f t="shared" si="269"/>
        <v>0</v>
      </c>
      <c r="L390" s="414">
        <f t="shared" si="269"/>
        <v>0</v>
      </c>
      <c r="M390" s="414">
        <f t="shared" si="269"/>
        <v>0</v>
      </c>
      <c r="N390" s="414"/>
      <c r="O390" s="414"/>
    </row>
    <row r="391" ht="15" hidden="1" spans="2:15">
      <c r="B391" s="410"/>
      <c r="C391" s="418" t="s">
        <v>789</v>
      </c>
      <c r="D391" s="412"/>
      <c r="E391" s="416"/>
      <c r="F391" s="414">
        <f t="shared" si="269"/>
        <v>7812.081</v>
      </c>
      <c r="G391" s="414">
        <f t="shared" si="269"/>
        <v>1126.56764239565</v>
      </c>
      <c r="H391" s="414">
        <f ca="1" t="shared" si="269"/>
        <v>0</v>
      </c>
      <c r="I391" s="414">
        <f ca="1" t="shared" si="269"/>
        <v>8938.64864239565</v>
      </c>
      <c r="J391" s="414">
        <f t="shared" si="269"/>
        <v>3713.603472801</v>
      </c>
      <c r="K391" s="414">
        <f t="shared" si="269"/>
        <v>347.055951953271</v>
      </c>
      <c r="L391" s="414">
        <f ca="1" t="shared" si="269"/>
        <v>0</v>
      </c>
      <c r="M391" s="414">
        <f ca="1" t="shared" si="269"/>
        <v>4060.65942475427</v>
      </c>
      <c r="N391" s="414">
        <f t="shared" ref="N391:O395" si="270">F391-J391</f>
        <v>4098.477527199</v>
      </c>
      <c r="O391" s="414">
        <f ca="1" t="shared" ref="O391:O393" si="271">I391-M391</f>
        <v>4877.98921764138</v>
      </c>
    </row>
    <row r="392" ht="15" hidden="1" spans="2:15">
      <c r="B392" s="410"/>
      <c r="C392" s="418" t="s">
        <v>808</v>
      </c>
      <c r="D392" s="412"/>
      <c r="E392" s="416"/>
      <c r="F392" s="414">
        <f ca="1" t="shared" si="269"/>
        <v>0</v>
      </c>
      <c r="G392" s="414">
        <f ca="1" t="shared" si="269"/>
        <v>0</v>
      </c>
      <c r="H392" s="414">
        <f ca="1" t="shared" si="269"/>
        <v>0</v>
      </c>
      <c r="I392" s="414">
        <f ca="1" t="shared" si="269"/>
        <v>0</v>
      </c>
      <c r="J392" s="414">
        <f ca="1" t="shared" si="269"/>
        <v>0</v>
      </c>
      <c r="K392" s="414">
        <f ca="1" t="shared" si="269"/>
        <v>0</v>
      </c>
      <c r="L392" s="414">
        <f ca="1" t="shared" si="269"/>
        <v>0</v>
      </c>
      <c r="M392" s="414">
        <f ca="1" t="shared" si="269"/>
        <v>0</v>
      </c>
      <c r="N392" s="414">
        <f ca="1" t="shared" si="270"/>
        <v>0</v>
      </c>
      <c r="O392" s="414">
        <f ca="1" t="shared" si="271"/>
        <v>0</v>
      </c>
    </row>
    <row r="393" ht="30" hidden="1" spans="2:15">
      <c r="B393" s="420">
        <v>9</v>
      </c>
      <c r="C393" s="421" t="s">
        <v>791</v>
      </c>
      <c r="D393" s="412"/>
      <c r="E393" s="416"/>
      <c r="F393" s="414">
        <f ca="1" t="shared" si="269"/>
        <v>0</v>
      </c>
      <c r="G393" s="414">
        <f ca="1" t="shared" si="269"/>
        <v>0</v>
      </c>
      <c r="H393" s="414">
        <f ca="1" t="shared" si="269"/>
        <v>0</v>
      </c>
      <c r="I393" s="414">
        <f ca="1" t="shared" si="269"/>
        <v>0</v>
      </c>
      <c r="J393" s="414">
        <f ca="1" t="shared" si="269"/>
        <v>0</v>
      </c>
      <c r="K393" s="414">
        <f ca="1" t="shared" si="269"/>
        <v>0</v>
      </c>
      <c r="L393" s="414">
        <f ca="1" t="shared" si="269"/>
        <v>0</v>
      </c>
      <c r="M393" s="414">
        <f ca="1" t="shared" si="269"/>
        <v>0</v>
      </c>
      <c r="N393" s="414">
        <f ca="1" t="shared" si="270"/>
        <v>0</v>
      </c>
      <c r="O393" s="414">
        <f ca="1" t="shared" si="271"/>
        <v>0</v>
      </c>
    </row>
    <row r="394" ht="15" hidden="1" spans="2:15">
      <c r="B394" s="422">
        <v>10</v>
      </c>
      <c r="C394" s="423" t="s">
        <v>792</v>
      </c>
      <c r="D394" s="424"/>
      <c r="E394" s="416"/>
      <c r="F394" s="414">
        <f t="shared" si="269"/>
        <v>1644.588</v>
      </c>
      <c r="G394" s="414">
        <f t="shared" si="269"/>
        <v>74.933779543578</v>
      </c>
      <c r="H394" s="414">
        <f ca="1" t="shared" si="269"/>
        <v>0</v>
      </c>
      <c r="I394" s="414">
        <f ca="1" t="shared" si="269"/>
        <v>1719.52177954358</v>
      </c>
      <c r="J394" s="414">
        <f t="shared" si="269"/>
        <v>1036.8189363978</v>
      </c>
      <c r="K394" s="414">
        <f t="shared" si="269"/>
        <v>52.2188915623503</v>
      </c>
      <c r="L394" s="414">
        <f ca="1" t="shared" si="269"/>
        <v>0</v>
      </c>
      <c r="M394" s="414">
        <f ca="1" t="shared" si="269"/>
        <v>1089.03782796015</v>
      </c>
      <c r="N394" s="414">
        <f t="shared" si="270"/>
        <v>607.7690636022</v>
      </c>
      <c r="O394" s="414">
        <f t="shared" si="270"/>
        <v>22.7148879812277</v>
      </c>
    </row>
    <row r="395" ht="15" hidden="1" spans="2:15">
      <c r="B395" s="422">
        <v>11</v>
      </c>
      <c r="C395" s="423" t="s">
        <v>793</v>
      </c>
      <c r="D395" s="424"/>
      <c r="E395" s="416"/>
      <c r="F395" s="414">
        <f t="shared" si="269"/>
        <v>6.372</v>
      </c>
      <c r="G395" s="414">
        <f ca="1" t="shared" si="269"/>
        <v>0</v>
      </c>
      <c r="H395" s="414">
        <f ca="1" t="shared" si="269"/>
        <v>0</v>
      </c>
      <c r="I395" s="414">
        <f ca="1" t="shared" si="269"/>
        <v>6.372</v>
      </c>
      <c r="J395" s="414">
        <f t="shared" si="269"/>
        <v>5.7349799388</v>
      </c>
      <c r="K395" s="414">
        <f t="shared" si="269"/>
        <v>0.018</v>
      </c>
      <c r="L395" s="414">
        <f ca="1" t="shared" si="269"/>
        <v>0</v>
      </c>
      <c r="M395" s="414">
        <f ca="1" t="shared" si="269"/>
        <v>5.7529799388</v>
      </c>
      <c r="N395" s="414">
        <f t="shared" si="270"/>
        <v>0.637020061199999</v>
      </c>
      <c r="O395" s="414">
        <f ca="1" t="shared" si="270"/>
        <v>-0.018</v>
      </c>
    </row>
    <row r="396" ht="15" hidden="1" spans="2:15">
      <c r="B396" s="422">
        <v>12</v>
      </c>
      <c r="C396" s="423" t="s">
        <v>794</v>
      </c>
      <c r="D396" s="424"/>
      <c r="E396" s="416"/>
      <c r="F396" s="414">
        <f t="shared" si="269"/>
        <v>0</v>
      </c>
      <c r="G396" s="414">
        <f t="shared" si="269"/>
        <v>0</v>
      </c>
      <c r="H396" s="414">
        <f t="shared" si="269"/>
        <v>0</v>
      </c>
      <c r="I396" s="414">
        <f t="shared" si="269"/>
        <v>0</v>
      </c>
      <c r="J396" s="414">
        <f t="shared" si="269"/>
        <v>0</v>
      </c>
      <c r="K396" s="414">
        <f t="shared" si="269"/>
        <v>0</v>
      </c>
      <c r="L396" s="414">
        <f t="shared" si="269"/>
        <v>0</v>
      </c>
      <c r="M396" s="414">
        <f t="shared" si="269"/>
        <v>0</v>
      </c>
      <c r="N396" s="414"/>
      <c r="O396" s="414"/>
    </row>
    <row r="397" ht="15" hidden="1" spans="2:15">
      <c r="B397" s="422"/>
      <c r="C397" s="425" t="s">
        <v>795</v>
      </c>
      <c r="D397" s="424"/>
      <c r="E397" s="416"/>
      <c r="F397" s="414">
        <f t="shared" si="269"/>
        <v>2.34</v>
      </c>
      <c r="G397" s="414">
        <f ca="1" t="shared" si="269"/>
        <v>0</v>
      </c>
      <c r="H397" s="414">
        <f ca="1" t="shared" si="269"/>
        <v>0</v>
      </c>
      <c r="I397" s="414">
        <f ca="1" t="shared" si="269"/>
        <v>2.34</v>
      </c>
      <c r="J397" s="414">
        <f t="shared" si="269"/>
        <v>1.5314797188</v>
      </c>
      <c r="K397" s="414">
        <f ca="1" t="shared" si="269"/>
        <v>0</v>
      </c>
      <c r="L397" s="414">
        <f ca="1" t="shared" si="269"/>
        <v>0</v>
      </c>
      <c r="M397" s="414">
        <f ca="1" t="shared" si="269"/>
        <v>1.5314797188</v>
      </c>
      <c r="N397" s="414">
        <f t="shared" ref="N397:O398" si="272">F397-J397</f>
        <v>0.8085202812</v>
      </c>
      <c r="O397" s="414">
        <f ca="1" t="shared" si="272"/>
        <v>0</v>
      </c>
    </row>
    <row r="398" ht="15" hidden="1" spans="2:15">
      <c r="B398" s="422"/>
      <c r="C398" s="425" t="s">
        <v>796</v>
      </c>
      <c r="D398" s="424"/>
      <c r="E398" s="416"/>
      <c r="F398" s="414">
        <f ca="1" t="shared" si="269"/>
        <v>0</v>
      </c>
      <c r="G398" s="414">
        <f ca="1" t="shared" si="269"/>
        <v>0</v>
      </c>
      <c r="H398" s="414">
        <f ca="1" t="shared" si="269"/>
        <v>0</v>
      </c>
      <c r="I398" s="414">
        <f ca="1" t="shared" si="269"/>
        <v>0</v>
      </c>
      <c r="J398" s="414">
        <f ca="1" t="shared" si="269"/>
        <v>0</v>
      </c>
      <c r="K398" s="414">
        <f ca="1" t="shared" si="269"/>
        <v>0</v>
      </c>
      <c r="L398" s="414">
        <f ca="1" t="shared" si="269"/>
        <v>0</v>
      </c>
      <c r="M398" s="414">
        <f ca="1" t="shared" si="269"/>
        <v>0</v>
      </c>
      <c r="N398" s="414">
        <f ca="1" t="shared" si="272"/>
        <v>0</v>
      </c>
      <c r="O398" s="414">
        <f ca="1" t="shared" si="272"/>
        <v>0</v>
      </c>
    </row>
    <row r="399" ht="15" hidden="1" spans="2:15">
      <c r="B399" s="422">
        <v>13</v>
      </c>
      <c r="C399" s="425"/>
      <c r="D399" s="424"/>
      <c r="E399" s="416"/>
      <c r="F399" s="414">
        <f t="shared" si="269"/>
        <v>0</v>
      </c>
      <c r="G399" s="414">
        <f t="shared" si="269"/>
        <v>0</v>
      </c>
      <c r="H399" s="414">
        <f t="shared" si="269"/>
        <v>0</v>
      </c>
      <c r="I399" s="414">
        <f t="shared" si="269"/>
        <v>0</v>
      </c>
      <c r="J399" s="414">
        <f t="shared" si="269"/>
        <v>0</v>
      </c>
      <c r="K399" s="414">
        <f t="shared" si="269"/>
        <v>0</v>
      </c>
      <c r="L399" s="414">
        <f t="shared" si="269"/>
        <v>0</v>
      </c>
      <c r="M399" s="414">
        <f t="shared" si="269"/>
        <v>0</v>
      </c>
      <c r="N399" s="414"/>
      <c r="O399" s="414"/>
    </row>
    <row r="400" ht="15" hidden="1" spans="2:15">
      <c r="B400" s="422"/>
      <c r="C400" s="425" t="s">
        <v>797</v>
      </c>
      <c r="D400" s="424"/>
      <c r="E400" s="416"/>
      <c r="F400" s="414">
        <f t="shared" si="269"/>
        <v>15.525</v>
      </c>
      <c r="G400" s="414">
        <f ca="1" t="shared" si="269"/>
        <v>0</v>
      </c>
      <c r="H400" s="414">
        <f ca="1" t="shared" si="269"/>
        <v>0</v>
      </c>
      <c r="I400" s="414">
        <f ca="1" t="shared" si="269"/>
        <v>15.525</v>
      </c>
      <c r="J400" s="414">
        <f t="shared" si="269"/>
        <v>10.3231764387</v>
      </c>
      <c r="K400" s="414">
        <f t="shared" si="269"/>
        <v>0.522</v>
      </c>
      <c r="L400" s="414">
        <f ca="1" t="shared" si="269"/>
        <v>0</v>
      </c>
      <c r="M400" s="414">
        <f ca="1" t="shared" si="269"/>
        <v>10.8451764387</v>
      </c>
      <c r="N400" s="414">
        <f t="shared" ref="N400:O403" si="273">F400-J400</f>
        <v>5.2018235613</v>
      </c>
      <c r="O400" s="414">
        <f ca="1" t="shared" si="273"/>
        <v>-0.522</v>
      </c>
    </row>
    <row r="401" ht="15" hidden="1" spans="2:15">
      <c r="B401" s="422"/>
      <c r="C401" s="425" t="s">
        <v>798</v>
      </c>
      <c r="D401" s="424"/>
      <c r="E401" s="416"/>
      <c r="F401" s="414">
        <f t="shared" si="269"/>
        <v>46.233</v>
      </c>
      <c r="G401" s="414">
        <f t="shared" si="269"/>
        <v>0.137188566493828</v>
      </c>
      <c r="H401" s="414">
        <f ca="1" t="shared" si="269"/>
        <v>0</v>
      </c>
      <c r="I401" s="414">
        <f ca="1" t="shared" si="269"/>
        <v>46.3701885664938</v>
      </c>
      <c r="J401" s="414">
        <f t="shared" si="269"/>
        <v>29.307198024</v>
      </c>
      <c r="K401" s="414">
        <f t="shared" si="269"/>
        <v>1.91417348549222</v>
      </c>
      <c r="L401" s="414">
        <f ca="1" t="shared" si="269"/>
        <v>0</v>
      </c>
      <c r="M401" s="414">
        <f ca="1" t="shared" si="269"/>
        <v>31.2213715094922</v>
      </c>
      <c r="N401" s="414">
        <f t="shared" si="273"/>
        <v>16.925801976</v>
      </c>
      <c r="O401" s="414">
        <f t="shared" si="273"/>
        <v>-1.77698491899839</v>
      </c>
    </row>
    <row r="402" ht="15" hidden="1" spans="2:15">
      <c r="B402" s="422"/>
      <c r="C402" s="425" t="s">
        <v>799</v>
      </c>
      <c r="D402" s="424"/>
      <c r="E402" s="416"/>
      <c r="F402" s="414">
        <f ca="1" t="shared" si="269"/>
        <v>0</v>
      </c>
      <c r="G402" s="414">
        <f ca="1" t="shared" si="269"/>
        <v>0</v>
      </c>
      <c r="H402" s="414">
        <f ca="1" t="shared" si="269"/>
        <v>0</v>
      </c>
      <c r="I402" s="414">
        <f ca="1" t="shared" si="269"/>
        <v>0</v>
      </c>
      <c r="J402" s="414">
        <f ca="1" t="shared" si="269"/>
        <v>0</v>
      </c>
      <c r="K402" s="414">
        <f ca="1" t="shared" si="269"/>
        <v>0</v>
      </c>
      <c r="L402" s="414">
        <f ca="1" t="shared" si="269"/>
        <v>0</v>
      </c>
      <c r="M402" s="414">
        <f ca="1" t="shared" si="269"/>
        <v>0</v>
      </c>
      <c r="N402" s="414">
        <f ca="1" t="shared" si="273"/>
        <v>0</v>
      </c>
      <c r="O402" s="414">
        <f ca="1" t="shared" si="273"/>
        <v>0</v>
      </c>
    </row>
    <row r="403" ht="15" hidden="1" spans="2:15">
      <c r="B403" s="422"/>
      <c r="C403" s="425" t="s">
        <v>800</v>
      </c>
      <c r="D403" s="424"/>
      <c r="E403" s="416"/>
      <c r="F403" s="414">
        <f ca="1" t="shared" si="269"/>
        <v>0</v>
      </c>
      <c r="G403" s="414">
        <f ca="1" t="shared" si="269"/>
        <v>0</v>
      </c>
      <c r="H403" s="414">
        <f ca="1" t="shared" si="269"/>
        <v>0</v>
      </c>
      <c r="I403" s="414">
        <f ca="1" t="shared" si="269"/>
        <v>0</v>
      </c>
      <c r="J403" s="414">
        <f ca="1" t="shared" si="269"/>
        <v>0</v>
      </c>
      <c r="K403" s="414">
        <f ca="1" t="shared" si="269"/>
        <v>0</v>
      </c>
      <c r="L403" s="414">
        <f ca="1" t="shared" si="269"/>
        <v>0</v>
      </c>
      <c r="M403" s="414">
        <f ca="1" t="shared" si="269"/>
        <v>0</v>
      </c>
      <c r="N403" s="414">
        <f ca="1" t="shared" si="273"/>
        <v>0</v>
      </c>
      <c r="O403" s="414">
        <f ca="1" t="shared" si="273"/>
        <v>0</v>
      </c>
    </row>
    <row r="404" ht="15" hidden="1" spans="2:15">
      <c r="B404" s="422">
        <v>14</v>
      </c>
      <c r="C404" s="423" t="s">
        <v>801</v>
      </c>
      <c r="D404" s="424"/>
      <c r="E404" s="416"/>
      <c r="F404" s="414">
        <f t="shared" ref="F404:M410" si="274">90%*F87</f>
        <v>0</v>
      </c>
      <c r="G404" s="414">
        <f t="shared" si="274"/>
        <v>0</v>
      </c>
      <c r="H404" s="414">
        <f t="shared" si="274"/>
        <v>0</v>
      </c>
      <c r="I404" s="414">
        <f t="shared" si="274"/>
        <v>0</v>
      </c>
      <c r="J404" s="414">
        <f t="shared" si="274"/>
        <v>0</v>
      </c>
      <c r="K404" s="414">
        <f t="shared" si="274"/>
        <v>0</v>
      </c>
      <c r="L404" s="414">
        <f t="shared" si="274"/>
        <v>0</v>
      </c>
      <c r="M404" s="414">
        <f t="shared" si="274"/>
        <v>0</v>
      </c>
      <c r="N404" s="414"/>
      <c r="O404" s="414"/>
    </row>
    <row r="405" ht="15" hidden="1" spans="2:15">
      <c r="B405" s="422"/>
      <c r="C405" s="425" t="s">
        <v>802</v>
      </c>
      <c r="D405" s="424"/>
      <c r="E405" s="416"/>
      <c r="F405" s="414">
        <f ca="1" t="shared" si="274"/>
        <v>0</v>
      </c>
      <c r="G405" s="414">
        <f ca="1" t="shared" si="274"/>
        <v>0</v>
      </c>
      <c r="H405" s="414">
        <f ca="1" t="shared" si="274"/>
        <v>0</v>
      </c>
      <c r="I405" s="414">
        <f ca="1" t="shared" si="274"/>
        <v>0</v>
      </c>
      <c r="J405" s="414">
        <f ca="1" t="shared" si="274"/>
        <v>0</v>
      </c>
      <c r="K405" s="414">
        <f ca="1" t="shared" si="274"/>
        <v>0</v>
      </c>
      <c r="L405" s="414">
        <f ca="1" t="shared" si="274"/>
        <v>0</v>
      </c>
      <c r="M405" s="414">
        <f ca="1" t="shared" si="274"/>
        <v>0</v>
      </c>
      <c r="N405" s="414">
        <f ca="1" t="shared" ref="N405:O410" si="275">F405-J405</f>
        <v>0</v>
      </c>
      <c r="O405" s="414">
        <f ca="1" t="shared" si="275"/>
        <v>0</v>
      </c>
    </row>
    <row r="406" ht="15" hidden="1" spans="2:15">
      <c r="B406" s="422"/>
      <c r="C406" s="425" t="s">
        <v>803</v>
      </c>
      <c r="D406" s="424"/>
      <c r="E406" s="416"/>
      <c r="F406" s="414">
        <f ca="1" t="shared" si="274"/>
        <v>0</v>
      </c>
      <c r="G406" s="414">
        <f ca="1" t="shared" si="274"/>
        <v>0</v>
      </c>
      <c r="H406" s="414">
        <f ca="1" t="shared" si="274"/>
        <v>0</v>
      </c>
      <c r="I406" s="414">
        <f ca="1" t="shared" si="274"/>
        <v>0</v>
      </c>
      <c r="J406" s="414">
        <f ca="1" t="shared" si="274"/>
        <v>0</v>
      </c>
      <c r="K406" s="414">
        <f ca="1" t="shared" si="274"/>
        <v>0</v>
      </c>
      <c r="L406" s="414">
        <f ca="1" t="shared" si="274"/>
        <v>0</v>
      </c>
      <c r="M406" s="414">
        <f ca="1" t="shared" si="274"/>
        <v>0</v>
      </c>
      <c r="N406" s="414">
        <f ca="1" t="shared" si="275"/>
        <v>0</v>
      </c>
      <c r="O406" s="414">
        <f ca="1" t="shared" si="275"/>
        <v>0</v>
      </c>
    </row>
    <row r="407" ht="15" hidden="1" spans="2:15">
      <c r="B407" s="422"/>
      <c r="C407" s="425" t="s">
        <v>804</v>
      </c>
      <c r="D407" s="424"/>
      <c r="E407" s="416"/>
      <c r="F407" s="414">
        <f ca="1" t="shared" si="274"/>
        <v>0</v>
      </c>
      <c r="G407" s="414">
        <f ca="1" t="shared" si="274"/>
        <v>0</v>
      </c>
      <c r="H407" s="414">
        <f ca="1" t="shared" si="274"/>
        <v>0</v>
      </c>
      <c r="I407" s="414">
        <f ca="1" t="shared" si="274"/>
        <v>0</v>
      </c>
      <c r="J407" s="414">
        <f ca="1" t="shared" si="274"/>
        <v>0</v>
      </c>
      <c r="K407" s="414">
        <f ca="1" t="shared" si="274"/>
        <v>0</v>
      </c>
      <c r="L407" s="414">
        <f ca="1" t="shared" si="274"/>
        <v>0</v>
      </c>
      <c r="M407" s="414">
        <f ca="1" t="shared" si="274"/>
        <v>0</v>
      </c>
      <c r="N407" s="414">
        <f ca="1" t="shared" si="275"/>
        <v>0</v>
      </c>
      <c r="O407" s="414">
        <f ca="1" t="shared" si="275"/>
        <v>0</v>
      </c>
    </row>
    <row r="408" ht="15" hidden="1" spans="2:15">
      <c r="B408" s="422">
        <v>15</v>
      </c>
      <c r="C408" s="423" t="s">
        <v>805</v>
      </c>
      <c r="D408" s="424"/>
      <c r="E408" s="416"/>
      <c r="F408" s="414">
        <f t="shared" si="274"/>
        <v>167.004</v>
      </c>
      <c r="G408" s="414">
        <f t="shared" si="274"/>
        <v>10.7740550705404</v>
      </c>
      <c r="H408" s="414">
        <f ca="1" t="shared" si="274"/>
        <v>0</v>
      </c>
      <c r="I408" s="414">
        <f ca="1" t="shared" si="274"/>
        <v>177.77805507054</v>
      </c>
      <c r="J408" s="414">
        <f t="shared" si="274"/>
        <v>130.8853950363</v>
      </c>
      <c r="K408" s="414">
        <f t="shared" si="274"/>
        <v>12.2560541302905</v>
      </c>
      <c r="L408" s="414">
        <f ca="1" t="shared" si="274"/>
        <v>0</v>
      </c>
      <c r="M408" s="414">
        <f ca="1" t="shared" si="274"/>
        <v>143.14144916659</v>
      </c>
      <c r="N408" s="414">
        <f t="shared" si="275"/>
        <v>36.1186049637</v>
      </c>
      <c r="O408" s="414">
        <f t="shared" si="275"/>
        <v>-1.48199905975014</v>
      </c>
    </row>
    <row r="409" ht="15" hidden="1" spans="2:15">
      <c r="B409" s="422">
        <v>16</v>
      </c>
      <c r="C409" s="423" t="s">
        <v>806</v>
      </c>
      <c r="D409" s="412"/>
      <c r="E409" s="416"/>
      <c r="F409" s="414">
        <f t="shared" si="274"/>
        <v>63.72</v>
      </c>
      <c r="G409" s="414">
        <f ca="1" t="shared" si="274"/>
        <v>0</v>
      </c>
      <c r="H409" s="414">
        <f ca="1" t="shared" si="274"/>
        <v>0</v>
      </c>
      <c r="I409" s="414">
        <f ca="1" t="shared" si="274"/>
        <v>63.72</v>
      </c>
      <c r="J409" s="414">
        <f t="shared" si="274"/>
        <v>44.3205190404</v>
      </c>
      <c r="K409" s="414">
        <f t="shared" si="274"/>
        <v>4.194</v>
      </c>
      <c r="L409" s="414">
        <f ca="1" t="shared" si="274"/>
        <v>0</v>
      </c>
      <c r="M409" s="414">
        <f ca="1" t="shared" si="274"/>
        <v>48.5145190404</v>
      </c>
      <c r="N409" s="414">
        <f t="shared" si="275"/>
        <v>19.3994809596</v>
      </c>
      <c r="O409" s="414">
        <f ca="1" t="shared" si="275"/>
        <v>-4.194</v>
      </c>
    </row>
    <row r="410" ht="15" hidden="1" spans="2:15">
      <c r="B410" s="422">
        <v>17</v>
      </c>
      <c r="C410" s="423" t="s">
        <v>807</v>
      </c>
      <c r="D410" s="412"/>
      <c r="E410" s="426"/>
      <c r="F410" s="414">
        <f ca="1" t="shared" si="274"/>
        <v>0</v>
      </c>
      <c r="G410" s="414">
        <f ca="1" t="shared" si="274"/>
        <v>0</v>
      </c>
      <c r="H410" s="414">
        <f ca="1" t="shared" si="274"/>
        <v>0</v>
      </c>
      <c r="I410" s="414">
        <f ca="1" t="shared" si="274"/>
        <v>0</v>
      </c>
      <c r="J410" s="414">
        <f ca="1" t="shared" si="274"/>
        <v>0</v>
      </c>
      <c r="K410" s="414">
        <f ca="1" t="shared" si="274"/>
        <v>0</v>
      </c>
      <c r="L410" s="414">
        <f ca="1" t="shared" si="274"/>
        <v>0</v>
      </c>
      <c r="M410" s="414">
        <f ca="1" t="shared" si="274"/>
        <v>0</v>
      </c>
      <c r="N410" s="414">
        <f ca="1" t="shared" si="275"/>
        <v>0</v>
      </c>
      <c r="O410" s="414">
        <f ca="1" t="shared" si="275"/>
        <v>0</v>
      </c>
    </row>
    <row r="411" ht="15.75" hidden="1" spans="2:15">
      <c r="B411" s="427"/>
      <c r="C411" s="428" t="s">
        <v>97</v>
      </c>
      <c r="D411" s="428"/>
      <c r="E411" s="429"/>
      <c r="F411" s="430">
        <f ca="1">SUM(F371:F410)</f>
        <v>18389.601</v>
      </c>
      <c r="G411" s="430">
        <f ca="1" t="shared" ref="G411:O411" si="276">SUM(G371:G410)</f>
        <v>2271.60837980178</v>
      </c>
      <c r="H411" s="430">
        <f ca="1" t="shared" si="276"/>
        <v>0</v>
      </c>
      <c r="I411" s="430">
        <f ca="1" t="shared" si="276"/>
        <v>20661.2093798018</v>
      </c>
      <c r="J411" s="430">
        <f ca="1" t="shared" si="276"/>
        <v>9381.3132245967</v>
      </c>
      <c r="K411" s="430">
        <f ca="1" t="shared" si="276"/>
        <v>786.4165971353</v>
      </c>
      <c r="L411" s="430">
        <f ca="1" t="shared" si="276"/>
        <v>0</v>
      </c>
      <c r="M411" s="430">
        <f ca="1" t="shared" si="276"/>
        <v>10167.729821732</v>
      </c>
      <c r="N411" s="430">
        <f ca="1" t="shared" si="276"/>
        <v>9008.2877754033</v>
      </c>
      <c r="O411" s="430">
        <f ca="1" t="shared" si="276"/>
        <v>9806.61924266458</v>
      </c>
    </row>
    <row r="412" ht="15.75" spans="15:15">
      <c r="O412" s="117" t="s">
        <v>851</v>
      </c>
    </row>
    <row r="413" ht="15" spans="2:15">
      <c r="B413" s="431" t="s">
        <v>653</v>
      </c>
      <c r="C413" s="432"/>
      <c r="D413" s="432"/>
      <c r="E413" s="432"/>
      <c r="F413" s="432"/>
      <c r="G413" s="432"/>
      <c r="H413" s="432"/>
      <c r="I413" s="432"/>
      <c r="J413" s="432"/>
      <c r="K413" s="432"/>
      <c r="L413" s="432"/>
      <c r="M413" s="432"/>
      <c r="N413" s="432"/>
      <c r="O413" s="442"/>
    </row>
    <row r="414" ht="15" spans="2:15">
      <c r="B414" s="406" t="s">
        <v>564</v>
      </c>
      <c r="C414" s="980" t="s">
        <v>671</v>
      </c>
      <c r="D414" s="408" t="s">
        <v>672</v>
      </c>
      <c r="E414" s="408" t="s">
        <v>673</v>
      </c>
      <c r="F414" s="408" t="s">
        <v>674</v>
      </c>
      <c r="G414" s="408"/>
      <c r="H414" s="408"/>
      <c r="I414" s="408"/>
      <c r="J414" s="408" t="s">
        <v>675</v>
      </c>
      <c r="K414" s="408"/>
      <c r="L414" s="408"/>
      <c r="M414" s="408"/>
      <c r="N414" s="408" t="s">
        <v>676</v>
      </c>
      <c r="O414" s="440"/>
    </row>
    <row r="415" ht="60.75" spans="2:15">
      <c r="B415" s="433"/>
      <c r="C415" s="434"/>
      <c r="D415" s="435"/>
      <c r="E415" s="435"/>
      <c r="F415" s="435" t="s">
        <v>677</v>
      </c>
      <c r="G415" s="435" t="s">
        <v>678</v>
      </c>
      <c r="H415" s="435" t="s">
        <v>679</v>
      </c>
      <c r="I415" s="435" t="s">
        <v>680</v>
      </c>
      <c r="J415" s="435" t="s">
        <v>681</v>
      </c>
      <c r="K415" s="435" t="s">
        <v>678</v>
      </c>
      <c r="L415" s="435" t="s">
        <v>682</v>
      </c>
      <c r="M415" s="435" t="s">
        <v>683</v>
      </c>
      <c r="N415" s="435" t="s">
        <v>677</v>
      </c>
      <c r="O415" s="443" t="s">
        <v>680</v>
      </c>
    </row>
    <row r="416" ht="15" spans="2:15">
      <c r="B416" s="410">
        <v>1</v>
      </c>
      <c r="C416" s="411" t="s">
        <v>684</v>
      </c>
      <c r="D416" s="405"/>
      <c r="E416" s="437"/>
      <c r="F416" s="414">
        <f ca="1" t="shared" ref="F416:M431" si="277">90%*F99</f>
        <v>56.0027226967044</v>
      </c>
      <c r="G416" s="414">
        <f t="shared" si="277"/>
        <v>45.9983386665759</v>
      </c>
      <c r="H416" s="414">
        <f ca="1" t="shared" si="277"/>
        <v>0</v>
      </c>
      <c r="I416" s="414">
        <f ca="1" t="shared" si="277"/>
        <v>102.00106136328</v>
      </c>
      <c r="J416" s="414">
        <f ca="1" t="shared" si="277"/>
        <v>0.0044091558000014</v>
      </c>
      <c r="K416" s="414">
        <f t="shared" si="277"/>
        <v>0</v>
      </c>
      <c r="L416" s="414">
        <f ca="1" t="shared" si="277"/>
        <v>0</v>
      </c>
      <c r="M416" s="414">
        <f ca="1" t="shared" si="277"/>
        <v>0.0044091558000014</v>
      </c>
      <c r="N416" s="414">
        <f ca="1">F416-J416</f>
        <v>55.9983135409044</v>
      </c>
      <c r="O416" s="414">
        <f ca="1">I416-M416</f>
        <v>101.99665220748</v>
      </c>
    </row>
    <row r="417" ht="15" spans="2:15">
      <c r="B417" s="410">
        <v>2</v>
      </c>
      <c r="C417" s="411" t="s">
        <v>770</v>
      </c>
      <c r="D417" s="476"/>
      <c r="E417" s="477"/>
      <c r="F417" s="414">
        <f ca="1" t="shared" si="277"/>
        <v>0</v>
      </c>
      <c r="G417" s="414">
        <f ca="1" t="shared" si="277"/>
        <v>0</v>
      </c>
      <c r="H417" s="414">
        <f ca="1" t="shared" si="277"/>
        <v>0</v>
      </c>
      <c r="I417" s="414">
        <f ca="1" t="shared" si="277"/>
        <v>0</v>
      </c>
      <c r="J417" s="414">
        <f ca="1" t="shared" si="277"/>
        <v>0</v>
      </c>
      <c r="K417" s="414">
        <f ca="1" t="shared" si="277"/>
        <v>0</v>
      </c>
      <c r="L417" s="414">
        <f ca="1" t="shared" si="277"/>
        <v>0</v>
      </c>
      <c r="M417" s="414">
        <f ca="1" t="shared" si="277"/>
        <v>0</v>
      </c>
      <c r="N417" s="414">
        <f ca="1">F417-J417</f>
        <v>0</v>
      </c>
      <c r="O417" s="414">
        <f ca="1">I417-M417</f>
        <v>0</v>
      </c>
    </row>
    <row r="418" ht="15" spans="2:15">
      <c r="B418" s="410">
        <v>3</v>
      </c>
      <c r="C418" s="415" t="s">
        <v>771</v>
      </c>
      <c r="D418" s="412"/>
      <c r="E418" s="416"/>
      <c r="F418" s="414">
        <f t="shared" si="277"/>
        <v>0</v>
      </c>
      <c r="G418" s="414">
        <f t="shared" si="277"/>
        <v>0</v>
      </c>
      <c r="H418" s="414">
        <f t="shared" si="277"/>
        <v>0</v>
      </c>
      <c r="I418" s="414">
        <f t="shared" si="277"/>
        <v>0</v>
      </c>
      <c r="J418" s="414">
        <f t="shared" si="277"/>
        <v>0</v>
      </c>
      <c r="K418" s="414">
        <f t="shared" si="277"/>
        <v>0</v>
      </c>
      <c r="L418" s="414">
        <f t="shared" si="277"/>
        <v>0</v>
      </c>
      <c r="M418" s="414">
        <f t="shared" si="277"/>
        <v>0</v>
      </c>
      <c r="N418" s="414"/>
      <c r="O418" s="414"/>
    </row>
    <row r="419" ht="15" spans="2:15">
      <c r="B419" s="410"/>
      <c r="C419" s="417" t="s">
        <v>772</v>
      </c>
      <c r="D419" s="412"/>
      <c r="E419" s="416"/>
      <c r="F419" s="414">
        <f ca="1" t="shared" si="277"/>
        <v>377.650105735121</v>
      </c>
      <c r="G419" s="414">
        <f t="shared" si="277"/>
        <v>38.9644763270484</v>
      </c>
      <c r="H419" s="414">
        <f ca="1" t="shared" si="277"/>
        <v>0</v>
      </c>
      <c r="I419" s="414">
        <f ca="1" t="shared" si="277"/>
        <v>416.61458206217</v>
      </c>
      <c r="J419" s="414">
        <f ca="1" t="shared" si="277"/>
        <v>125.453757970313</v>
      </c>
      <c r="K419" s="414">
        <f t="shared" si="277"/>
        <v>17.3856835954046</v>
      </c>
      <c r="L419" s="414">
        <f ca="1" t="shared" si="277"/>
        <v>0</v>
      </c>
      <c r="M419" s="414">
        <f ca="1" t="shared" si="277"/>
        <v>142.839441565718</v>
      </c>
      <c r="N419" s="414">
        <f ca="1" t="shared" ref="N419:N422" si="278">F419-J419</f>
        <v>252.196347764808</v>
      </c>
      <c r="O419" s="414">
        <f ca="1" t="shared" ref="O419:O422" si="279">I419-M419</f>
        <v>273.775140496452</v>
      </c>
    </row>
    <row r="420" ht="28.5" spans="2:15">
      <c r="B420" s="410"/>
      <c r="C420" s="417" t="s">
        <v>773</v>
      </c>
      <c r="D420" s="412"/>
      <c r="E420" s="416"/>
      <c r="F420" s="414">
        <f ca="1" t="shared" si="277"/>
        <v>0</v>
      </c>
      <c r="G420" s="414">
        <f ca="1" t="shared" si="277"/>
        <v>0</v>
      </c>
      <c r="H420" s="414">
        <f ca="1" t="shared" si="277"/>
        <v>0</v>
      </c>
      <c r="I420" s="414">
        <f ca="1" t="shared" si="277"/>
        <v>0</v>
      </c>
      <c r="J420" s="414">
        <f ca="1" t="shared" si="277"/>
        <v>0</v>
      </c>
      <c r="K420" s="414">
        <f ca="1" t="shared" si="277"/>
        <v>0</v>
      </c>
      <c r="L420" s="414">
        <f ca="1" t="shared" si="277"/>
        <v>0</v>
      </c>
      <c r="M420" s="414">
        <f ca="1" t="shared" si="277"/>
        <v>0</v>
      </c>
      <c r="N420" s="414">
        <f ca="1" t="shared" si="278"/>
        <v>0</v>
      </c>
      <c r="O420" s="414">
        <f ca="1" t="shared" si="279"/>
        <v>0</v>
      </c>
    </row>
    <row r="421" ht="15" spans="2:15">
      <c r="B421" s="410"/>
      <c r="C421" s="417" t="s">
        <v>774</v>
      </c>
      <c r="D421" s="412"/>
      <c r="E421" s="416"/>
      <c r="F421" s="414">
        <f ca="1" t="shared" si="277"/>
        <v>0</v>
      </c>
      <c r="G421" s="414">
        <f ca="1" t="shared" si="277"/>
        <v>0</v>
      </c>
      <c r="H421" s="414">
        <f ca="1" t="shared" si="277"/>
        <v>0</v>
      </c>
      <c r="I421" s="414">
        <f ca="1" t="shared" si="277"/>
        <v>0</v>
      </c>
      <c r="J421" s="414">
        <f ca="1" t="shared" si="277"/>
        <v>0</v>
      </c>
      <c r="K421" s="414">
        <f ca="1" t="shared" si="277"/>
        <v>0</v>
      </c>
      <c r="L421" s="414">
        <f ca="1" t="shared" si="277"/>
        <v>0</v>
      </c>
      <c r="M421" s="414">
        <f ca="1" t="shared" si="277"/>
        <v>0</v>
      </c>
      <c r="N421" s="414">
        <f ca="1" t="shared" si="278"/>
        <v>0</v>
      </c>
      <c r="O421" s="414">
        <f ca="1" t="shared" si="279"/>
        <v>0</v>
      </c>
    </row>
    <row r="422" ht="15" spans="2:15">
      <c r="B422" s="410"/>
      <c r="C422" s="417" t="s">
        <v>775</v>
      </c>
      <c r="D422" s="412"/>
      <c r="E422" s="416"/>
      <c r="F422" s="414">
        <f ca="1" t="shared" si="277"/>
        <v>198.972</v>
      </c>
      <c r="G422" s="414">
        <f ca="1" t="shared" si="277"/>
        <v>0</v>
      </c>
      <c r="H422" s="414">
        <f ca="1" t="shared" si="277"/>
        <v>0</v>
      </c>
      <c r="I422" s="414">
        <f ca="1" t="shared" si="277"/>
        <v>198.972</v>
      </c>
      <c r="J422" s="414">
        <f ca="1" t="shared" si="277"/>
        <v>39.9721005729</v>
      </c>
      <c r="K422" s="414">
        <f ca="1" t="shared" si="277"/>
        <v>0</v>
      </c>
      <c r="L422" s="414">
        <f ca="1" t="shared" si="277"/>
        <v>0</v>
      </c>
      <c r="M422" s="414">
        <f ca="1" t="shared" si="277"/>
        <v>39.9721005729</v>
      </c>
      <c r="N422" s="414">
        <f ca="1" t="shared" si="278"/>
        <v>158.9998994271</v>
      </c>
      <c r="O422" s="414">
        <f ca="1" t="shared" si="279"/>
        <v>158.9998994271</v>
      </c>
    </row>
    <row r="423" ht="15" spans="2:15">
      <c r="B423" s="410">
        <v>4</v>
      </c>
      <c r="C423" s="411" t="s">
        <v>776</v>
      </c>
      <c r="D423" s="412"/>
      <c r="E423" s="416"/>
      <c r="F423" s="414">
        <f t="shared" si="277"/>
        <v>0</v>
      </c>
      <c r="G423" s="414">
        <f t="shared" si="277"/>
        <v>0</v>
      </c>
      <c r="H423" s="414">
        <f t="shared" si="277"/>
        <v>0</v>
      </c>
      <c r="I423" s="414">
        <f t="shared" si="277"/>
        <v>0</v>
      </c>
      <c r="J423" s="414">
        <f t="shared" si="277"/>
        <v>0</v>
      </c>
      <c r="K423" s="414">
        <f t="shared" si="277"/>
        <v>0</v>
      </c>
      <c r="L423" s="414">
        <f t="shared" si="277"/>
        <v>0</v>
      </c>
      <c r="M423" s="414">
        <f t="shared" si="277"/>
        <v>0</v>
      </c>
      <c r="N423" s="414"/>
      <c r="O423" s="414"/>
    </row>
    <row r="424" ht="15" spans="2:15">
      <c r="B424" s="410"/>
      <c r="C424" s="418" t="s">
        <v>777</v>
      </c>
      <c r="D424" s="412"/>
      <c r="E424" s="416"/>
      <c r="F424" s="414">
        <f ca="1" t="shared" si="277"/>
        <v>9058.30888579369</v>
      </c>
      <c r="G424" s="414">
        <f t="shared" si="277"/>
        <v>925.291261020141</v>
      </c>
      <c r="H424" s="414">
        <f ca="1" t="shared" si="277"/>
        <v>0</v>
      </c>
      <c r="I424" s="414">
        <f ca="1" t="shared" si="277"/>
        <v>9983.60014681383</v>
      </c>
      <c r="J424" s="414">
        <f ca="1" t="shared" si="277"/>
        <v>4611.59532550578</v>
      </c>
      <c r="K424" s="414">
        <f t="shared" si="277"/>
        <v>355.1754358989</v>
      </c>
      <c r="L424" s="414">
        <f ca="1" t="shared" si="277"/>
        <v>0</v>
      </c>
      <c r="M424" s="414">
        <f ca="1" t="shared" si="277"/>
        <v>4966.77076140468</v>
      </c>
      <c r="N424" s="414">
        <f ca="1" t="shared" ref="N424:N427" si="280">F424-J424</f>
        <v>4446.71356028791</v>
      </c>
      <c r="O424" s="414">
        <f ca="1" t="shared" ref="O424:O427" si="281">I424-M424</f>
        <v>5016.82938540915</v>
      </c>
    </row>
    <row r="425" ht="15" spans="2:15">
      <c r="B425" s="410"/>
      <c r="C425" s="411" t="s">
        <v>778</v>
      </c>
      <c r="D425" s="412"/>
      <c r="E425" s="416"/>
      <c r="F425" s="414">
        <f t="shared" si="277"/>
        <v>0</v>
      </c>
      <c r="G425" s="414">
        <f t="shared" si="277"/>
        <v>0</v>
      </c>
      <c r="H425" s="414">
        <f t="shared" si="277"/>
        <v>0</v>
      </c>
      <c r="I425" s="414">
        <f t="shared" si="277"/>
        <v>0</v>
      </c>
      <c r="J425" s="414">
        <f t="shared" si="277"/>
        <v>0</v>
      </c>
      <c r="K425" s="414">
        <f t="shared" si="277"/>
        <v>0</v>
      </c>
      <c r="L425" s="414">
        <f t="shared" si="277"/>
        <v>0</v>
      </c>
      <c r="M425" s="414">
        <f t="shared" si="277"/>
        <v>0</v>
      </c>
      <c r="N425" s="414"/>
      <c r="O425" s="414"/>
    </row>
    <row r="426" ht="15" spans="2:15">
      <c r="B426" s="410"/>
      <c r="C426" s="418" t="s">
        <v>779</v>
      </c>
      <c r="D426" s="412"/>
      <c r="E426" s="416"/>
      <c r="F426" s="414">
        <f ca="1" t="shared" si="277"/>
        <v>0</v>
      </c>
      <c r="G426" s="414">
        <f ca="1" t="shared" si="277"/>
        <v>0</v>
      </c>
      <c r="H426" s="414">
        <f ca="1" t="shared" si="277"/>
        <v>0</v>
      </c>
      <c r="I426" s="414">
        <f ca="1" t="shared" si="277"/>
        <v>0</v>
      </c>
      <c r="J426" s="414">
        <f ca="1" t="shared" si="277"/>
        <v>0</v>
      </c>
      <c r="K426" s="414">
        <f ca="1" t="shared" si="277"/>
        <v>0</v>
      </c>
      <c r="L426" s="414">
        <f ca="1" t="shared" si="277"/>
        <v>0</v>
      </c>
      <c r="M426" s="414">
        <f ca="1" t="shared" si="277"/>
        <v>0</v>
      </c>
      <c r="N426" s="414">
        <f ca="1" t="shared" si="280"/>
        <v>0</v>
      </c>
      <c r="O426" s="414">
        <f ca="1" t="shared" si="281"/>
        <v>0</v>
      </c>
    </row>
    <row r="427" ht="15" spans="2:15">
      <c r="B427" s="410"/>
      <c r="C427" s="418" t="s">
        <v>780</v>
      </c>
      <c r="D427" s="412"/>
      <c r="E427" s="416"/>
      <c r="F427" s="414">
        <f ca="1" t="shared" si="277"/>
        <v>0</v>
      </c>
      <c r="G427" s="414">
        <f ca="1" t="shared" si="277"/>
        <v>0</v>
      </c>
      <c r="H427" s="414">
        <f ca="1" t="shared" si="277"/>
        <v>0</v>
      </c>
      <c r="I427" s="414">
        <f ca="1" t="shared" si="277"/>
        <v>0</v>
      </c>
      <c r="J427" s="414">
        <f ca="1" t="shared" si="277"/>
        <v>0</v>
      </c>
      <c r="K427" s="414">
        <f ca="1" t="shared" si="277"/>
        <v>0</v>
      </c>
      <c r="L427" s="414">
        <f ca="1" t="shared" si="277"/>
        <v>0</v>
      </c>
      <c r="M427" s="414">
        <f ca="1" t="shared" si="277"/>
        <v>0</v>
      </c>
      <c r="N427" s="414">
        <f ca="1" t="shared" si="280"/>
        <v>0</v>
      </c>
      <c r="O427" s="414">
        <f ca="1" t="shared" si="281"/>
        <v>0</v>
      </c>
    </row>
    <row r="428" ht="15" spans="2:15">
      <c r="B428" s="410">
        <v>5</v>
      </c>
      <c r="C428" s="411" t="s">
        <v>781</v>
      </c>
      <c r="D428" s="412"/>
      <c r="E428" s="416"/>
      <c r="F428" s="414">
        <f t="shared" si="277"/>
        <v>0</v>
      </c>
      <c r="G428" s="414">
        <f t="shared" si="277"/>
        <v>0</v>
      </c>
      <c r="H428" s="414">
        <f t="shared" si="277"/>
        <v>0</v>
      </c>
      <c r="I428" s="414">
        <f t="shared" si="277"/>
        <v>0</v>
      </c>
      <c r="J428" s="414">
        <f t="shared" si="277"/>
        <v>0</v>
      </c>
      <c r="K428" s="414">
        <f t="shared" si="277"/>
        <v>0</v>
      </c>
      <c r="L428" s="414">
        <f t="shared" si="277"/>
        <v>0</v>
      </c>
      <c r="M428" s="414">
        <f t="shared" si="277"/>
        <v>0</v>
      </c>
      <c r="N428" s="414"/>
      <c r="O428" s="414"/>
    </row>
    <row r="429" ht="15" spans="2:15">
      <c r="B429" s="410"/>
      <c r="C429" s="418" t="s">
        <v>782</v>
      </c>
      <c r="D429" s="412"/>
      <c r="E429" s="416"/>
      <c r="F429" s="414">
        <f ca="1" t="shared" si="277"/>
        <v>0</v>
      </c>
      <c r="G429" s="414">
        <f ca="1" t="shared" si="277"/>
        <v>0</v>
      </c>
      <c r="H429" s="414">
        <f ca="1" t="shared" si="277"/>
        <v>0</v>
      </c>
      <c r="I429" s="414">
        <f ca="1" t="shared" si="277"/>
        <v>0</v>
      </c>
      <c r="J429" s="414">
        <f ca="1" t="shared" si="277"/>
        <v>0</v>
      </c>
      <c r="K429" s="414">
        <f ca="1" t="shared" si="277"/>
        <v>0</v>
      </c>
      <c r="L429" s="414">
        <f ca="1" t="shared" si="277"/>
        <v>0</v>
      </c>
      <c r="M429" s="414">
        <f ca="1" t="shared" si="277"/>
        <v>0</v>
      </c>
      <c r="N429" s="414">
        <f ca="1" t="shared" ref="N429:N434" si="282">F429-J429</f>
        <v>0</v>
      </c>
      <c r="O429" s="414">
        <f ca="1" t="shared" ref="O429:O434" si="283">I429-M429</f>
        <v>0</v>
      </c>
    </row>
    <row r="430" ht="15" spans="2:15">
      <c r="B430" s="410"/>
      <c r="C430" s="418" t="s">
        <v>783</v>
      </c>
      <c r="D430" s="412"/>
      <c r="E430" s="416"/>
      <c r="F430" s="414">
        <f ca="1" t="shared" si="277"/>
        <v>0</v>
      </c>
      <c r="G430" s="414">
        <f ca="1" t="shared" si="277"/>
        <v>0</v>
      </c>
      <c r="H430" s="414">
        <f ca="1" t="shared" si="277"/>
        <v>0</v>
      </c>
      <c r="I430" s="414">
        <f ca="1" t="shared" si="277"/>
        <v>0</v>
      </c>
      <c r="J430" s="414">
        <f ca="1" t="shared" si="277"/>
        <v>0</v>
      </c>
      <c r="K430" s="414">
        <f ca="1" t="shared" si="277"/>
        <v>0</v>
      </c>
      <c r="L430" s="414">
        <f ca="1" t="shared" si="277"/>
        <v>0</v>
      </c>
      <c r="M430" s="414">
        <f ca="1" t="shared" si="277"/>
        <v>0</v>
      </c>
      <c r="N430" s="414">
        <f ca="1" t="shared" si="282"/>
        <v>0</v>
      </c>
      <c r="O430" s="414">
        <f ca="1" t="shared" si="283"/>
        <v>0</v>
      </c>
    </row>
    <row r="431" ht="15" spans="2:15">
      <c r="B431" s="410"/>
      <c r="C431" s="418" t="s">
        <v>784</v>
      </c>
      <c r="D431" s="412"/>
      <c r="E431" s="416"/>
      <c r="F431" s="414">
        <f ca="1" t="shared" si="277"/>
        <v>0</v>
      </c>
      <c r="G431" s="414">
        <f ca="1" t="shared" si="277"/>
        <v>0</v>
      </c>
      <c r="H431" s="414">
        <f ca="1" t="shared" si="277"/>
        <v>0</v>
      </c>
      <c r="I431" s="414">
        <f ca="1" t="shared" si="277"/>
        <v>0</v>
      </c>
      <c r="J431" s="414">
        <f ca="1" t="shared" si="277"/>
        <v>0</v>
      </c>
      <c r="K431" s="414">
        <f ca="1" t="shared" si="277"/>
        <v>0</v>
      </c>
      <c r="L431" s="414">
        <f ca="1" t="shared" si="277"/>
        <v>0</v>
      </c>
      <c r="M431" s="414">
        <f ca="1" t="shared" si="277"/>
        <v>0</v>
      </c>
      <c r="N431" s="414">
        <f ca="1" t="shared" si="282"/>
        <v>0</v>
      </c>
      <c r="O431" s="414">
        <f ca="1" t="shared" si="283"/>
        <v>0</v>
      </c>
    </row>
    <row r="432" ht="15" spans="2:15">
      <c r="B432" s="410"/>
      <c r="C432" s="418" t="s">
        <v>785</v>
      </c>
      <c r="D432" s="412"/>
      <c r="E432" s="416"/>
      <c r="F432" s="414">
        <f ca="1" t="shared" ref="F432:M447" si="284">90%*F115</f>
        <v>0</v>
      </c>
      <c r="G432" s="414">
        <f ca="1" t="shared" si="284"/>
        <v>0</v>
      </c>
      <c r="H432" s="414">
        <f ca="1" t="shared" si="284"/>
        <v>0</v>
      </c>
      <c r="I432" s="414">
        <f ca="1" t="shared" si="284"/>
        <v>0</v>
      </c>
      <c r="J432" s="414">
        <f ca="1" t="shared" si="284"/>
        <v>0</v>
      </c>
      <c r="K432" s="414">
        <f ca="1" t="shared" si="284"/>
        <v>0</v>
      </c>
      <c r="L432" s="414">
        <f ca="1" t="shared" si="284"/>
        <v>0</v>
      </c>
      <c r="M432" s="414">
        <f ca="1" t="shared" si="284"/>
        <v>0</v>
      </c>
      <c r="N432" s="414">
        <f ca="1" t="shared" si="282"/>
        <v>0</v>
      </c>
      <c r="O432" s="414">
        <f ca="1" t="shared" si="283"/>
        <v>0</v>
      </c>
    </row>
    <row r="433" ht="15" spans="2:15">
      <c r="B433" s="410">
        <v>6</v>
      </c>
      <c r="C433" s="411" t="s">
        <v>786</v>
      </c>
      <c r="D433" s="412"/>
      <c r="E433" s="416"/>
      <c r="F433" s="414">
        <f ca="1" t="shared" si="284"/>
        <v>0</v>
      </c>
      <c r="G433" s="414">
        <f ca="1" t="shared" si="284"/>
        <v>0</v>
      </c>
      <c r="H433" s="414">
        <f ca="1" t="shared" si="284"/>
        <v>0</v>
      </c>
      <c r="I433" s="414">
        <f ca="1" t="shared" si="284"/>
        <v>0</v>
      </c>
      <c r="J433" s="414">
        <f ca="1" t="shared" si="284"/>
        <v>0</v>
      </c>
      <c r="K433" s="414">
        <f ca="1" t="shared" si="284"/>
        <v>0</v>
      </c>
      <c r="L433" s="414">
        <f ca="1" t="shared" si="284"/>
        <v>0</v>
      </c>
      <c r="M433" s="414">
        <f ca="1" t="shared" si="284"/>
        <v>0</v>
      </c>
      <c r="N433" s="414">
        <f ca="1" t="shared" si="282"/>
        <v>0</v>
      </c>
      <c r="O433" s="414">
        <f ca="1" t="shared" si="283"/>
        <v>0</v>
      </c>
    </row>
    <row r="434" ht="15" spans="2:15">
      <c r="B434" s="410">
        <v>7</v>
      </c>
      <c r="C434" s="411" t="s">
        <v>787</v>
      </c>
      <c r="D434" s="412"/>
      <c r="E434" s="416"/>
      <c r="F434" s="414">
        <f ca="1" t="shared" si="284"/>
        <v>0</v>
      </c>
      <c r="G434" s="414">
        <f ca="1" t="shared" si="284"/>
        <v>0</v>
      </c>
      <c r="H434" s="414">
        <f ca="1" t="shared" si="284"/>
        <v>0</v>
      </c>
      <c r="I434" s="414">
        <f ca="1" t="shared" si="284"/>
        <v>0</v>
      </c>
      <c r="J434" s="414">
        <f ca="1" t="shared" si="284"/>
        <v>0</v>
      </c>
      <c r="K434" s="414">
        <f ca="1" t="shared" si="284"/>
        <v>0</v>
      </c>
      <c r="L434" s="414">
        <f ca="1" t="shared" si="284"/>
        <v>0</v>
      </c>
      <c r="M434" s="414">
        <f ca="1" t="shared" si="284"/>
        <v>0</v>
      </c>
      <c r="N434" s="414">
        <f ca="1" t="shared" si="282"/>
        <v>0</v>
      </c>
      <c r="O434" s="414">
        <f ca="1" t="shared" si="283"/>
        <v>0</v>
      </c>
    </row>
    <row r="435" ht="15" spans="2:15">
      <c r="B435" s="410">
        <v>8</v>
      </c>
      <c r="C435" s="411" t="s">
        <v>788</v>
      </c>
      <c r="D435" s="412"/>
      <c r="E435" s="416"/>
      <c r="F435" s="414">
        <f t="shared" si="284"/>
        <v>0</v>
      </c>
      <c r="G435" s="414">
        <f t="shared" si="284"/>
        <v>0</v>
      </c>
      <c r="H435" s="414">
        <f t="shared" si="284"/>
        <v>0</v>
      </c>
      <c r="I435" s="414">
        <f t="shared" si="284"/>
        <v>0</v>
      </c>
      <c r="J435" s="414">
        <f t="shared" si="284"/>
        <v>0</v>
      </c>
      <c r="K435" s="414">
        <f t="shared" si="284"/>
        <v>0</v>
      </c>
      <c r="L435" s="414">
        <f t="shared" si="284"/>
        <v>0</v>
      </c>
      <c r="M435" s="414">
        <f t="shared" si="284"/>
        <v>0</v>
      </c>
      <c r="N435" s="414"/>
      <c r="O435" s="414"/>
    </row>
    <row r="436" ht="15" spans="2:15">
      <c r="B436" s="410"/>
      <c r="C436" s="418" t="s">
        <v>789</v>
      </c>
      <c r="D436" s="412"/>
      <c r="E436" s="416"/>
      <c r="F436" s="414">
        <f ca="1" t="shared" si="284"/>
        <v>8938.64864239565</v>
      </c>
      <c r="G436" s="414">
        <f t="shared" si="284"/>
        <v>1074.51298881776</v>
      </c>
      <c r="H436" s="414">
        <f ca="1" t="shared" si="284"/>
        <v>0</v>
      </c>
      <c r="I436" s="414">
        <f ca="1" t="shared" si="284"/>
        <v>10013.1616312134</v>
      </c>
      <c r="J436" s="414">
        <f ca="1" t="shared" si="284"/>
        <v>4060.65942475427</v>
      </c>
      <c r="K436" s="414">
        <f t="shared" si="284"/>
        <v>344.192133867704</v>
      </c>
      <c r="L436" s="414">
        <f ca="1" t="shared" si="284"/>
        <v>0</v>
      </c>
      <c r="M436" s="414">
        <f ca="1" t="shared" si="284"/>
        <v>4404.85155862197</v>
      </c>
      <c r="N436" s="414">
        <f ca="1" t="shared" ref="N436:O440" si="285">F436-J436</f>
        <v>4877.98921764138</v>
      </c>
      <c r="O436" s="414">
        <f ca="1" t="shared" ref="O436:O438" si="286">I436-M436</f>
        <v>5608.31007259144</v>
      </c>
    </row>
    <row r="437" ht="15" spans="2:15">
      <c r="B437" s="410"/>
      <c r="C437" s="418" t="s">
        <v>808</v>
      </c>
      <c r="D437" s="412"/>
      <c r="E437" s="416"/>
      <c r="F437" s="414">
        <f ca="1" t="shared" si="284"/>
        <v>0</v>
      </c>
      <c r="G437" s="414">
        <f ca="1" t="shared" si="284"/>
        <v>0</v>
      </c>
      <c r="H437" s="414">
        <f ca="1" t="shared" si="284"/>
        <v>0</v>
      </c>
      <c r="I437" s="414">
        <f ca="1" t="shared" si="284"/>
        <v>0</v>
      </c>
      <c r="J437" s="414">
        <f ca="1" t="shared" si="284"/>
        <v>0</v>
      </c>
      <c r="K437" s="414">
        <f ca="1" t="shared" si="284"/>
        <v>0</v>
      </c>
      <c r="L437" s="414">
        <f ca="1" t="shared" si="284"/>
        <v>0</v>
      </c>
      <c r="M437" s="414">
        <f ca="1" t="shared" si="284"/>
        <v>0</v>
      </c>
      <c r="N437" s="414">
        <f ca="1" t="shared" si="285"/>
        <v>0</v>
      </c>
      <c r="O437" s="414">
        <f ca="1" t="shared" si="286"/>
        <v>0</v>
      </c>
    </row>
    <row r="438" ht="30" spans="2:15">
      <c r="B438" s="420">
        <v>9</v>
      </c>
      <c r="C438" s="421" t="s">
        <v>791</v>
      </c>
      <c r="D438" s="412"/>
      <c r="E438" s="416"/>
      <c r="F438" s="414">
        <f ca="1" t="shared" si="284"/>
        <v>0</v>
      </c>
      <c r="G438" s="414">
        <f ca="1" t="shared" si="284"/>
        <v>0</v>
      </c>
      <c r="H438" s="414">
        <f ca="1" t="shared" si="284"/>
        <v>0</v>
      </c>
      <c r="I438" s="414">
        <f ca="1" t="shared" si="284"/>
        <v>0</v>
      </c>
      <c r="J438" s="414">
        <f ca="1" t="shared" si="284"/>
        <v>0</v>
      </c>
      <c r="K438" s="414">
        <f ca="1" t="shared" si="284"/>
        <v>0</v>
      </c>
      <c r="L438" s="414">
        <f ca="1" t="shared" si="284"/>
        <v>0</v>
      </c>
      <c r="M438" s="414">
        <f ca="1" t="shared" si="284"/>
        <v>0</v>
      </c>
      <c r="N438" s="414">
        <f ca="1" t="shared" si="285"/>
        <v>0</v>
      </c>
      <c r="O438" s="414">
        <f ca="1" t="shared" si="286"/>
        <v>0</v>
      </c>
    </row>
    <row r="439" ht="15" spans="2:15">
      <c r="B439" s="422">
        <v>10</v>
      </c>
      <c r="C439" s="423" t="s">
        <v>792</v>
      </c>
      <c r="D439" s="424"/>
      <c r="E439" s="416"/>
      <c r="F439" s="414">
        <f ca="1" t="shared" si="284"/>
        <v>1719.52177954358</v>
      </c>
      <c r="G439" s="414">
        <f t="shared" si="284"/>
        <v>71.4713581241874</v>
      </c>
      <c r="H439" s="414">
        <f ca="1" t="shared" si="284"/>
        <v>0</v>
      </c>
      <c r="I439" s="414">
        <f ca="1" t="shared" si="284"/>
        <v>1790.99313766777</v>
      </c>
      <c r="J439" s="414">
        <f ca="1" t="shared" si="284"/>
        <v>1089.03782796015</v>
      </c>
      <c r="K439" s="414">
        <f t="shared" si="284"/>
        <v>50.2890907618896</v>
      </c>
      <c r="L439" s="414">
        <f ca="1" t="shared" si="284"/>
        <v>0</v>
      </c>
      <c r="M439" s="414">
        <f ca="1" t="shared" si="284"/>
        <v>1139.32691872204</v>
      </c>
      <c r="N439" s="414">
        <f ca="1" t="shared" si="285"/>
        <v>630.483951583427</v>
      </c>
      <c r="O439" s="414">
        <f t="shared" si="285"/>
        <v>21.1822673622978</v>
      </c>
    </row>
    <row r="440" ht="15" spans="2:15">
      <c r="B440" s="422">
        <v>11</v>
      </c>
      <c r="C440" s="423" t="s">
        <v>793</v>
      </c>
      <c r="D440" s="424"/>
      <c r="E440" s="416"/>
      <c r="F440" s="414">
        <f ca="1" t="shared" si="284"/>
        <v>6.372</v>
      </c>
      <c r="G440" s="414">
        <f ca="1" t="shared" si="284"/>
        <v>0</v>
      </c>
      <c r="H440" s="414">
        <f ca="1" t="shared" si="284"/>
        <v>0</v>
      </c>
      <c r="I440" s="414">
        <f ca="1" t="shared" si="284"/>
        <v>6.372</v>
      </c>
      <c r="J440" s="414">
        <f ca="1" t="shared" si="284"/>
        <v>5.7529799388</v>
      </c>
      <c r="K440" s="414">
        <f t="shared" si="284"/>
        <v>0</v>
      </c>
      <c r="L440" s="414">
        <f ca="1" t="shared" si="284"/>
        <v>0</v>
      </c>
      <c r="M440" s="414">
        <f ca="1" t="shared" si="284"/>
        <v>5.7529799388</v>
      </c>
      <c r="N440" s="414">
        <f ca="1" t="shared" si="285"/>
        <v>0.619020061200001</v>
      </c>
      <c r="O440" s="414">
        <f ca="1" t="shared" si="285"/>
        <v>0</v>
      </c>
    </row>
    <row r="441" ht="15" spans="2:15">
      <c r="B441" s="422">
        <v>12</v>
      </c>
      <c r="C441" s="423" t="s">
        <v>794</v>
      </c>
      <c r="D441" s="424"/>
      <c r="E441" s="416"/>
      <c r="F441" s="414">
        <f t="shared" si="284"/>
        <v>0</v>
      </c>
      <c r="G441" s="414">
        <f t="shared" si="284"/>
        <v>0</v>
      </c>
      <c r="H441" s="414">
        <f t="shared" si="284"/>
        <v>0</v>
      </c>
      <c r="I441" s="414">
        <f t="shared" si="284"/>
        <v>0</v>
      </c>
      <c r="J441" s="414">
        <f t="shared" si="284"/>
        <v>0</v>
      </c>
      <c r="K441" s="414">
        <f t="shared" si="284"/>
        <v>0</v>
      </c>
      <c r="L441" s="414">
        <f t="shared" si="284"/>
        <v>0</v>
      </c>
      <c r="M441" s="414">
        <f t="shared" si="284"/>
        <v>0</v>
      </c>
      <c r="N441" s="414"/>
      <c r="O441" s="414"/>
    </row>
    <row r="442" ht="15" spans="2:15">
      <c r="B442" s="422"/>
      <c r="C442" s="425" t="s">
        <v>795</v>
      </c>
      <c r="D442" s="424"/>
      <c r="E442" s="416"/>
      <c r="F442" s="414">
        <f ca="1" t="shared" si="284"/>
        <v>2.34</v>
      </c>
      <c r="G442" s="414">
        <f ca="1" t="shared" si="284"/>
        <v>0</v>
      </c>
      <c r="H442" s="414">
        <f ca="1" t="shared" si="284"/>
        <v>0</v>
      </c>
      <c r="I442" s="414">
        <f ca="1" t="shared" si="284"/>
        <v>2.34</v>
      </c>
      <c r="J442" s="414">
        <f ca="1" t="shared" si="284"/>
        <v>1.5314797188</v>
      </c>
      <c r="K442" s="414">
        <f ca="1" t="shared" si="284"/>
        <v>0</v>
      </c>
      <c r="L442" s="414">
        <f ca="1" t="shared" si="284"/>
        <v>0</v>
      </c>
      <c r="M442" s="414">
        <f ca="1" t="shared" si="284"/>
        <v>1.5314797188</v>
      </c>
      <c r="N442" s="414">
        <f ca="1" t="shared" ref="N442:O443" si="287">F442-J442</f>
        <v>0.8085202812</v>
      </c>
      <c r="O442" s="414">
        <f ca="1" t="shared" si="287"/>
        <v>0</v>
      </c>
    </row>
    <row r="443" ht="15" spans="2:15">
      <c r="B443" s="422"/>
      <c r="C443" s="425" t="s">
        <v>796</v>
      </c>
      <c r="D443" s="424"/>
      <c r="E443" s="416"/>
      <c r="F443" s="414">
        <f ca="1" t="shared" si="284"/>
        <v>0</v>
      </c>
      <c r="G443" s="414">
        <f ca="1" t="shared" si="284"/>
        <v>0</v>
      </c>
      <c r="H443" s="414">
        <f ca="1" t="shared" si="284"/>
        <v>0</v>
      </c>
      <c r="I443" s="414">
        <f ca="1" t="shared" si="284"/>
        <v>0</v>
      </c>
      <c r="J443" s="414">
        <f ca="1" t="shared" si="284"/>
        <v>0</v>
      </c>
      <c r="K443" s="414">
        <f ca="1" t="shared" si="284"/>
        <v>0</v>
      </c>
      <c r="L443" s="414">
        <f ca="1" t="shared" si="284"/>
        <v>0</v>
      </c>
      <c r="M443" s="414">
        <f ca="1" t="shared" si="284"/>
        <v>0</v>
      </c>
      <c r="N443" s="414">
        <f ca="1" t="shared" si="287"/>
        <v>0</v>
      </c>
      <c r="O443" s="414">
        <f ca="1" t="shared" si="287"/>
        <v>0</v>
      </c>
    </row>
    <row r="444" ht="15" spans="2:15">
      <c r="B444" s="422">
        <v>13</v>
      </c>
      <c r="C444" s="425"/>
      <c r="D444" s="424"/>
      <c r="E444" s="416"/>
      <c r="F444" s="414">
        <f t="shared" si="284"/>
        <v>0</v>
      </c>
      <c r="G444" s="414">
        <f t="shared" si="284"/>
        <v>0</v>
      </c>
      <c r="H444" s="414">
        <f t="shared" si="284"/>
        <v>0</v>
      </c>
      <c r="I444" s="414">
        <f t="shared" si="284"/>
        <v>0</v>
      </c>
      <c r="J444" s="414">
        <f t="shared" si="284"/>
        <v>0</v>
      </c>
      <c r="K444" s="414">
        <f t="shared" si="284"/>
        <v>0</v>
      </c>
      <c r="L444" s="414">
        <f t="shared" si="284"/>
        <v>0</v>
      </c>
      <c r="M444" s="414">
        <f t="shared" si="284"/>
        <v>0</v>
      </c>
      <c r="N444" s="414"/>
      <c r="O444" s="414"/>
    </row>
    <row r="445" ht="15" spans="2:15">
      <c r="B445" s="422"/>
      <c r="C445" s="425" t="s">
        <v>797</v>
      </c>
      <c r="D445" s="424"/>
      <c r="E445" s="416"/>
      <c r="F445" s="414">
        <f ca="1" t="shared" si="284"/>
        <v>15.525</v>
      </c>
      <c r="G445" s="414">
        <f ca="1" t="shared" si="284"/>
        <v>0</v>
      </c>
      <c r="H445" s="414">
        <f ca="1" t="shared" si="284"/>
        <v>0</v>
      </c>
      <c r="I445" s="414">
        <f ca="1" t="shared" si="284"/>
        <v>15.525</v>
      </c>
      <c r="J445" s="414">
        <f ca="1" t="shared" si="284"/>
        <v>10.8451764387</v>
      </c>
      <c r="K445" s="414">
        <f t="shared" si="284"/>
        <v>0.4445955288</v>
      </c>
      <c r="L445" s="414">
        <f ca="1" t="shared" si="284"/>
        <v>0</v>
      </c>
      <c r="M445" s="414">
        <f ca="1" t="shared" si="284"/>
        <v>11.2897719675</v>
      </c>
      <c r="N445" s="414">
        <f ca="1" t="shared" ref="N445:O448" si="288">F445-J445</f>
        <v>4.6798235613</v>
      </c>
      <c r="O445" s="414">
        <f ca="1" t="shared" si="288"/>
        <v>-0.4445955288</v>
      </c>
    </row>
    <row r="446" ht="15" spans="2:15">
      <c r="B446" s="422"/>
      <c r="C446" s="425" t="s">
        <v>798</v>
      </c>
      <c r="D446" s="424"/>
      <c r="E446" s="416"/>
      <c r="F446" s="414">
        <f ca="1" t="shared" si="284"/>
        <v>46.3701885664938</v>
      </c>
      <c r="G446" s="414">
        <f t="shared" si="284"/>
        <v>0.130849574466241</v>
      </c>
      <c r="H446" s="414">
        <f ca="1" t="shared" si="284"/>
        <v>0</v>
      </c>
      <c r="I446" s="414">
        <f ca="1" t="shared" si="284"/>
        <v>46.5010381409601</v>
      </c>
      <c r="J446" s="414">
        <f ca="1" t="shared" si="284"/>
        <v>31.2213715094922</v>
      </c>
      <c r="K446" s="414">
        <f t="shared" si="284"/>
        <v>1.52368523853543</v>
      </c>
      <c r="L446" s="414">
        <f ca="1" t="shared" si="284"/>
        <v>0</v>
      </c>
      <c r="M446" s="414">
        <f ca="1" t="shared" si="284"/>
        <v>32.7450567480277</v>
      </c>
      <c r="N446" s="414">
        <f ca="1" t="shared" si="288"/>
        <v>15.1488170570016</v>
      </c>
      <c r="O446" s="414">
        <f t="shared" si="288"/>
        <v>-1.39283566406919</v>
      </c>
    </row>
    <row r="447" ht="15" spans="2:15">
      <c r="B447" s="422"/>
      <c r="C447" s="425" t="s">
        <v>799</v>
      </c>
      <c r="D447" s="424"/>
      <c r="E447" s="416"/>
      <c r="F447" s="414">
        <f ca="1" t="shared" si="284"/>
        <v>0</v>
      </c>
      <c r="G447" s="414">
        <f ca="1" t="shared" si="284"/>
        <v>0</v>
      </c>
      <c r="H447" s="414">
        <f ca="1" t="shared" si="284"/>
        <v>0</v>
      </c>
      <c r="I447" s="414">
        <f ca="1" t="shared" si="284"/>
        <v>0</v>
      </c>
      <c r="J447" s="414">
        <f ca="1" t="shared" si="284"/>
        <v>0</v>
      </c>
      <c r="K447" s="414">
        <f ca="1" t="shared" si="284"/>
        <v>0</v>
      </c>
      <c r="L447" s="414">
        <f ca="1" t="shared" si="284"/>
        <v>0</v>
      </c>
      <c r="M447" s="414">
        <f ca="1" t="shared" si="284"/>
        <v>0</v>
      </c>
      <c r="N447" s="414">
        <f ca="1" t="shared" si="288"/>
        <v>0</v>
      </c>
      <c r="O447" s="414">
        <f ca="1" t="shared" si="288"/>
        <v>0</v>
      </c>
    </row>
    <row r="448" ht="15" spans="2:15">
      <c r="B448" s="422"/>
      <c r="C448" s="425" t="s">
        <v>800</v>
      </c>
      <c r="D448" s="424"/>
      <c r="E448" s="416"/>
      <c r="F448" s="414">
        <f ca="1" t="shared" ref="F448:M455" si="289">90%*F131</f>
        <v>0</v>
      </c>
      <c r="G448" s="414">
        <f ca="1" t="shared" si="289"/>
        <v>0</v>
      </c>
      <c r="H448" s="414">
        <f ca="1" t="shared" si="289"/>
        <v>0</v>
      </c>
      <c r="I448" s="414">
        <f ca="1" t="shared" si="289"/>
        <v>0</v>
      </c>
      <c r="J448" s="414">
        <f ca="1" t="shared" si="289"/>
        <v>0</v>
      </c>
      <c r="K448" s="414">
        <f ca="1" t="shared" si="289"/>
        <v>0</v>
      </c>
      <c r="L448" s="414">
        <f ca="1" t="shared" si="289"/>
        <v>0</v>
      </c>
      <c r="M448" s="414">
        <f ca="1" t="shared" si="289"/>
        <v>0</v>
      </c>
      <c r="N448" s="414">
        <f ca="1" t="shared" si="288"/>
        <v>0</v>
      </c>
      <c r="O448" s="414">
        <f ca="1" t="shared" si="288"/>
        <v>0</v>
      </c>
    </row>
    <row r="449" ht="15" spans="2:15">
      <c r="B449" s="422">
        <v>14</v>
      </c>
      <c r="C449" s="423" t="s">
        <v>801</v>
      </c>
      <c r="D449" s="424"/>
      <c r="E449" s="416"/>
      <c r="F449" s="414">
        <f t="shared" si="289"/>
        <v>0</v>
      </c>
      <c r="G449" s="414">
        <f t="shared" si="289"/>
        <v>0</v>
      </c>
      <c r="H449" s="414">
        <f t="shared" si="289"/>
        <v>0</v>
      </c>
      <c r="I449" s="414">
        <f t="shared" si="289"/>
        <v>0</v>
      </c>
      <c r="J449" s="414">
        <f t="shared" si="289"/>
        <v>0</v>
      </c>
      <c r="K449" s="414">
        <f t="shared" si="289"/>
        <v>0</v>
      </c>
      <c r="L449" s="414">
        <f t="shared" si="289"/>
        <v>0</v>
      </c>
      <c r="M449" s="414">
        <f t="shared" si="289"/>
        <v>0</v>
      </c>
      <c r="N449" s="414"/>
      <c r="O449" s="414"/>
    </row>
    <row r="450" ht="15" spans="2:15">
      <c r="B450" s="422"/>
      <c r="C450" s="425" t="s">
        <v>802</v>
      </c>
      <c r="D450" s="424"/>
      <c r="E450" s="416"/>
      <c r="F450" s="414">
        <f ca="1" t="shared" si="289"/>
        <v>0</v>
      </c>
      <c r="G450" s="414">
        <f ca="1" t="shared" si="289"/>
        <v>0</v>
      </c>
      <c r="H450" s="414">
        <f ca="1" t="shared" si="289"/>
        <v>0</v>
      </c>
      <c r="I450" s="414">
        <f ca="1" t="shared" si="289"/>
        <v>0</v>
      </c>
      <c r="J450" s="414">
        <f ca="1" t="shared" si="289"/>
        <v>0</v>
      </c>
      <c r="K450" s="414">
        <f ca="1" t="shared" si="289"/>
        <v>0</v>
      </c>
      <c r="L450" s="414">
        <f ca="1" t="shared" si="289"/>
        <v>0</v>
      </c>
      <c r="M450" s="414">
        <f ca="1" t="shared" si="289"/>
        <v>0</v>
      </c>
      <c r="N450" s="414">
        <f ca="1" t="shared" ref="N450:O455" si="290">F450-J450</f>
        <v>0</v>
      </c>
      <c r="O450" s="414">
        <f ca="1" t="shared" si="290"/>
        <v>0</v>
      </c>
    </row>
    <row r="451" ht="15" spans="2:15">
      <c r="B451" s="422"/>
      <c r="C451" s="425" t="s">
        <v>803</v>
      </c>
      <c r="D451" s="424"/>
      <c r="E451" s="416"/>
      <c r="F451" s="414">
        <f ca="1" t="shared" si="289"/>
        <v>0</v>
      </c>
      <c r="G451" s="414">
        <f ca="1" t="shared" si="289"/>
        <v>0</v>
      </c>
      <c r="H451" s="414">
        <f ca="1" t="shared" si="289"/>
        <v>0</v>
      </c>
      <c r="I451" s="414">
        <f ca="1" t="shared" si="289"/>
        <v>0</v>
      </c>
      <c r="J451" s="414">
        <f ca="1" t="shared" si="289"/>
        <v>0</v>
      </c>
      <c r="K451" s="414">
        <f ca="1" t="shared" si="289"/>
        <v>0</v>
      </c>
      <c r="L451" s="414">
        <f ca="1" t="shared" si="289"/>
        <v>0</v>
      </c>
      <c r="M451" s="414">
        <f ca="1" t="shared" si="289"/>
        <v>0</v>
      </c>
      <c r="N451" s="414">
        <f ca="1" t="shared" si="290"/>
        <v>0</v>
      </c>
      <c r="O451" s="414">
        <f ca="1" t="shared" si="290"/>
        <v>0</v>
      </c>
    </row>
    <row r="452" ht="15" spans="2:15">
      <c r="B452" s="422"/>
      <c r="C452" s="425" t="s">
        <v>804</v>
      </c>
      <c r="D452" s="424"/>
      <c r="E452" s="416"/>
      <c r="F452" s="414">
        <f ca="1" t="shared" si="289"/>
        <v>0</v>
      </c>
      <c r="G452" s="414">
        <f ca="1" t="shared" si="289"/>
        <v>0</v>
      </c>
      <c r="H452" s="414">
        <f ca="1" t="shared" si="289"/>
        <v>0</v>
      </c>
      <c r="I452" s="414">
        <f ca="1" t="shared" si="289"/>
        <v>0</v>
      </c>
      <c r="J452" s="414">
        <f ca="1" t="shared" si="289"/>
        <v>0</v>
      </c>
      <c r="K452" s="414">
        <f ca="1" t="shared" si="289"/>
        <v>0</v>
      </c>
      <c r="L452" s="414">
        <f ca="1" t="shared" si="289"/>
        <v>0</v>
      </c>
      <c r="M452" s="414">
        <f ca="1" t="shared" si="289"/>
        <v>0</v>
      </c>
      <c r="N452" s="414">
        <f ca="1" t="shared" si="290"/>
        <v>0</v>
      </c>
      <c r="O452" s="414">
        <f ca="1" t="shared" si="290"/>
        <v>0</v>
      </c>
    </row>
    <row r="453" ht="15" spans="2:15">
      <c r="B453" s="422">
        <v>15</v>
      </c>
      <c r="C453" s="423" t="s">
        <v>805</v>
      </c>
      <c r="D453" s="424"/>
      <c r="E453" s="416"/>
      <c r="F453" s="414">
        <f ca="1" t="shared" si="289"/>
        <v>177.77805507054</v>
      </c>
      <c r="G453" s="414">
        <f t="shared" si="289"/>
        <v>10.2762245957244</v>
      </c>
      <c r="H453" s="414">
        <f ca="1" t="shared" si="289"/>
        <v>0</v>
      </c>
      <c r="I453" s="414">
        <f ca="1" t="shared" si="289"/>
        <v>188.054279666265</v>
      </c>
      <c r="J453" s="414">
        <f ca="1" t="shared" si="289"/>
        <v>143.14144916659</v>
      </c>
      <c r="K453" s="414">
        <f t="shared" si="289"/>
        <v>11.2191134091604</v>
      </c>
      <c r="L453" s="414">
        <f ca="1" t="shared" si="289"/>
        <v>0</v>
      </c>
      <c r="M453" s="414">
        <f ca="1" t="shared" si="289"/>
        <v>154.360562575751</v>
      </c>
      <c r="N453" s="414">
        <f ca="1" t="shared" si="290"/>
        <v>34.6366059039499</v>
      </c>
      <c r="O453" s="414">
        <f t="shared" si="290"/>
        <v>-0.942888813435991</v>
      </c>
    </row>
    <row r="454" ht="15" spans="2:15">
      <c r="B454" s="422">
        <v>16</v>
      </c>
      <c r="C454" s="423" t="s">
        <v>806</v>
      </c>
      <c r="D454" s="412"/>
      <c r="E454" s="416"/>
      <c r="F454" s="414">
        <f ca="1" t="shared" si="289"/>
        <v>63.72</v>
      </c>
      <c r="G454" s="414">
        <f ca="1" t="shared" si="289"/>
        <v>0</v>
      </c>
      <c r="H454" s="414">
        <f ca="1" t="shared" si="289"/>
        <v>0</v>
      </c>
      <c r="I454" s="414">
        <f ca="1" t="shared" si="289"/>
        <v>63.72</v>
      </c>
      <c r="J454" s="414">
        <f ca="1" t="shared" si="289"/>
        <v>48.5145190404</v>
      </c>
      <c r="K454" s="414">
        <f t="shared" si="289"/>
        <v>4.0643294526</v>
      </c>
      <c r="L454" s="414">
        <f ca="1" t="shared" si="289"/>
        <v>0</v>
      </c>
      <c r="M454" s="414">
        <f ca="1" t="shared" si="289"/>
        <v>52.578848493</v>
      </c>
      <c r="N454" s="414">
        <f ca="1" t="shared" si="290"/>
        <v>15.2054809596</v>
      </c>
      <c r="O454" s="414">
        <f ca="1" t="shared" si="290"/>
        <v>-4.0643294526</v>
      </c>
    </row>
    <row r="455" ht="15" spans="2:15">
      <c r="B455" s="422">
        <v>17</v>
      </c>
      <c r="C455" s="423" t="s">
        <v>807</v>
      </c>
      <c r="D455" s="412"/>
      <c r="E455" s="426"/>
      <c r="F455" s="414">
        <f ca="1" t="shared" si="289"/>
        <v>0</v>
      </c>
      <c r="G455" s="414">
        <f ca="1" t="shared" si="289"/>
        <v>0</v>
      </c>
      <c r="H455" s="414">
        <f ca="1" t="shared" si="289"/>
        <v>0</v>
      </c>
      <c r="I455" s="414">
        <f ca="1" t="shared" si="289"/>
        <v>0</v>
      </c>
      <c r="J455" s="414">
        <f ca="1" t="shared" si="289"/>
        <v>0</v>
      </c>
      <c r="K455" s="414">
        <f ca="1" t="shared" si="289"/>
        <v>0</v>
      </c>
      <c r="L455" s="414">
        <f ca="1" t="shared" si="289"/>
        <v>0</v>
      </c>
      <c r="M455" s="414">
        <f ca="1" t="shared" si="289"/>
        <v>0</v>
      </c>
      <c r="N455" s="414">
        <f ca="1" t="shared" si="290"/>
        <v>0</v>
      </c>
      <c r="O455" s="414">
        <f ca="1" t="shared" si="290"/>
        <v>0</v>
      </c>
    </row>
    <row r="456" ht="15.75" spans="2:15">
      <c r="B456" s="427"/>
      <c r="C456" s="428" t="s">
        <v>97</v>
      </c>
      <c r="D456" s="428"/>
      <c r="E456" s="429"/>
      <c r="F456" s="430">
        <f ca="1">SUM(F416:F455)</f>
        <v>20661.2093798018</v>
      </c>
      <c r="G456" s="430">
        <f ca="1" t="shared" ref="G456:O456" si="291">SUM(G416:G455)</f>
        <v>2166.6454971259</v>
      </c>
      <c r="H456" s="430">
        <f ca="1" t="shared" si="291"/>
        <v>0</v>
      </c>
      <c r="I456" s="430">
        <f ca="1" t="shared" si="291"/>
        <v>22827.8548769277</v>
      </c>
      <c r="J456" s="430">
        <f ca="1" t="shared" si="291"/>
        <v>10167.729821732</v>
      </c>
      <c r="K456" s="430">
        <f ca="1" t="shared" si="291"/>
        <v>784.294067752994</v>
      </c>
      <c r="L456" s="430">
        <f ca="1" t="shared" si="291"/>
        <v>0</v>
      </c>
      <c r="M456" s="430">
        <f ca="1" t="shared" si="291"/>
        <v>10952.023889485</v>
      </c>
      <c r="N456" s="430">
        <f ca="1" t="shared" si="291"/>
        <v>10493.4795580698</v>
      </c>
      <c r="O456" s="430">
        <f ca="1" t="shared" si="291"/>
        <v>11174.248768035</v>
      </c>
    </row>
    <row r="457" ht="15.75" spans="15:15">
      <c r="O457" s="117" t="s">
        <v>851</v>
      </c>
    </row>
    <row r="458" ht="15" spans="2:15">
      <c r="B458" s="431" t="s">
        <v>654</v>
      </c>
      <c r="C458" s="432"/>
      <c r="D458" s="432"/>
      <c r="E458" s="432"/>
      <c r="F458" s="432"/>
      <c r="G458" s="432"/>
      <c r="H458" s="432"/>
      <c r="I458" s="432"/>
      <c r="J458" s="432"/>
      <c r="K458" s="432"/>
      <c r="L458" s="432"/>
      <c r="M458" s="432"/>
      <c r="N458" s="432"/>
      <c r="O458" s="442"/>
    </row>
    <row r="459" ht="15" spans="2:15">
      <c r="B459" s="406" t="s">
        <v>564</v>
      </c>
      <c r="C459" s="980" t="s">
        <v>671</v>
      </c>
      <c r="D459" s="408" t="s">
        <v>672</v>
      </c>
      <c r="E459" s="408" t="s">
        <v>673</v>
      </c>
      <c r="F459" s="408" t="s">
        <v>674</v>
      </c>
      <c r="G459" s="408"/>
      <c r="H459" s="408"/>
      <c r="I459" s="408"/>
      <c r="J459" s="408" t="s">
        <v>675</v>
      </c>
      <c r="K459" s="408"/>
      <c r="L459" s="408"/>
      <c r="M459" s="408"/>
      <c r="N459" s="408" t="s">
        <v>676</v>
      </c>
      <c r="O459" s="440"/>
    </row>
    <row r="460" ht="60.75" spans="2:15">
      <c r="B460" s="433"/>
      <c r="C460" s="434"/>
      <c r="D460" s="435"/>
      <c r="E460" s="435"/>
      <c r="F460" s="435" t="s">
        <v>677</v>
      </c>
      <c r="G460" s="435" t="s">
        <v>678</v>
      </c>
      <c r="H460" s="435" t="s">
        <v>679</v>
      </c>
      <c r="I460" s="435" t="s">
        <v>680</v>
      </c>
      <c r="J460" s="435" t="s">
        <v>681</v>
      </c>
      <c r="K460" s="435" t="s">
        <v>678</v>
      </c>
      <c r="L460" s="435" t="s">
        <v>682</v>
      </c>
      <c r="M460" s="435" t="s">
        <v>683</v>
      </c>
      <c r="N460" s="435" t="s">
        <v>677</v>
      </c>
      <c r="O460" s="443" t="s">
        <v>680</v>
      </c>
    </row>
    <row r="461" ht="15" spans="2:15">
      <c r="B461" s="410">
        <v>1</v>
      </c>
      <c r="C461" s="411" t="s">
        <v>684</v>
      </c>
      <c r="D461" s="405"/>
      <c r="E461" s="437"/>
      <c r="F461" s="414">
        <f ca="1">90%*F144</f>
        <v>102.00106136328</v>
      </c>
      <c r="G461" s="414">
        <f t="shared" ref="G461:M461" si="292">90%*G144</f>
        <v>49.1077044394892</v>
      </c>
      <c r="H461" s="414">
        <f ca="1" t="shared" si="292"/>
        <v>0</v>
      </c>
      <c r="I461" s="414">
        <f ca="1" t="shared" si="292"/>
        <v>151.10876580277</v>
      </c>
      <c r="J461" s="414">
        <f ca="1" t="shared" si="292"/>
        <v>0.0044091558000014</v>
      </c>
      <c r="K461" s="414">
        <f t="shared" si="292"/>
        <v>0</v>
      </c>
      <c r="L461" s="414">
        <f ca="1" t="shared" si="292"/>
        <v>0</v>
      </c>
      <c r="M461" s="414">
        <f ca="1" t="shared" si="292"/>
        <v>0.0044091558000014</v>
      </c>
      <c r="N461" s="414">
        <f ca="1">F461-J461</f>
        <v>101.99665220748</v>
      </c>
      <c r="O461" s="414">
        <f ca="1">I461-M461</f>
        <v>151.10435664697</v>
      </c>
    </row>
    <row r="462" ht="15" spans="2:15">
      <c r="B462" s="410">
        <v>2</v>
      </c>
      <c r="C462" s="411" t="s">
        <v>770</v>
      </c>
      <c r="D462" s="476"/>
      <c r="E462" s="477"/>
      <c r="F462" s="414">
        <f ca="1" t="shared" ref="F462:M477" si="293">90%*F145</f>
        <v>0</v>
      </c>
      <c r="G462" s="414">
        <f ca="1" t="shared" si="293"/>
        <v>0</v>
      </c>
      <c r="H462" s="414">
        <f ca="1" t="shared" si="293"/>
        <v>0</v>
      </c>
      <c r="I462" s="414">
        <f ca="1" t="shared" si="293"/>
        <v>0</v>
      </c>
      <c r="J462" s="414">
        <f ca="1" t="shared" si="293"/>
        <v>0</v>
      </c>
      <c r="K462" s="414">
        <f ca="1" t="shared" si="293"/>
        <v>0</v>
      </c>
      <c r="L462" s="414">
        <f ca="1" t="shared" si="293"/>
        <v>0</v>
      </c>
      <c r="M462" s="414">
        <f ca="1" t="shared" si="293"/>
        <v>0</v>
      </c>
      <c r="N462" s="414">
        <f ca="1">F462-J462</f>
        <v>0</v>
      </c>
      <c r="O462" s="414">
        <f ca="1">I462-M462</f>
        <v>0</v>
      </c>
    </row>
    <row r="463" ht="15" spans="2:15">
      <c r="B463" s="410">
        <v>3</v>
      </c>
      <c r="C463" s="415" t="s">
        <v>771</v>
      </c>
      <c r="D463" s="412"/>
      <c r="E463" s="416"/>
      <c r="F463" s="414">
        <f t="shared" si="293"/>
        <v>0</v>
      </c>
      <c r="G463" s="414">
        <f t="shared" si="293"/>
        <v>0</v>
      </c>
      <c r="H463" s="414">
        <f t="shared" si="293"/>
        <v>0</v>
      </c>
      <c r="I463" s="414">
        <f t="shared" si="293"/>
        <v>0</v>
      </c>
      <c r="J463" s="414">
        <f t="shared" si="293"/>
        <v>0</v>
      </c>
      <c r="K463" s="414">
        <f t="shared" si="293"/>
        <v>0</v>
      </c>
      <c r="L463" s="414">
        <f t="shared" si="293"/>
        <v>0</v>
      </c>
      <c r="M463" s="414">
        <f t="shared" si="293"/>
        <v>0</v>
      </c>
      <c r="N463" s="414"/>
      <c r="O463" s="414"/>
    </row>
    <row r="464" ht="15" spans="2:15">
      <c r="B464" s="410"/>
      <c r="C464" s="417" t="s">
        <v>772</v>
      </c>
      <c r="D464" s="412"/>
      <c r="E464" s="416"/>
      <c r="F464" s="414">
        <f ca="1" t="shared" si="293"/>
        <v>416.61458206217</v>
      </c>
      <c r="G464" s="414">
        <f t="shared" si="293"/>
        <v>41.5983716494213</v>
      </c>
      <c r="H464" s="414">
        <f ca="1" t="shared" si="293"/>
        <v>0</v>
      </c>
      <c r="I464" s="414">
        <f ca="1" t="shared" si="293"/>
        <v>458.212953711591</v>
      </c>
      <c r="J464" s="414">
        <f ca="1" t="shared" si="293"/>
        <v>142.839441565718</v>
      </c>
      <c r="K464" s="414">
        <f t="shared" si="293"/>
        <v>17.8943255621135</v>
      </c>
      <c r="L464" s="414">
        <f ca="1" t="shared" si="293"/>
        <v>0</v>
      </c>
      <c r="M464" s="414">
        <f ca="1" t="shared" si="293"/>
        <v>160.733767127831</v>
      </c>
      <c r="N464" s="414">
        <f ca="1" t="shared" ref="N464:N467" si="294">F464-J464</f>
        <v>273.775140496452</v>
      </c>
      <c r="O464" s="414">
        <f ca="1" t="shared" ref="O464:O467" si="295">I464-M464</f>
        <v>297.479186583759</v>
      </c>
    </row>
    <row r="465" ht="28.5" spans="2:15">
      <c r="B465" s="410"/>
      <c r="C465" s="417" t="s">
        <v>773</v>
      </c>
      <c r="D465" s="412"/>
      <c r="E465" s="416"/>
      <c r="F465" s="414">
        <f ca="1" t="shared" si="293"/>
        <v>0</v>
      </c>
      <c r="G465" s="414">
        <f ca="1" t="shared" si="293"/>
        <v>0</v>
      </c>
      <c r="H465" s="414">
        <f ca="1" t="shared" si="293"/>
        <v>0</v>
      </c>
      <c r="I465" s="414">
        <f ca="1" t="shared" si="293"/>
        <v>0</v>
      </c>
      <c r="J465" s="414">
        <f ca="1" t="shared" si="293"/>
        <v>0</v>
      </c>
      <c r="K465" s="414">
        <f ca="1" t="shared" si="293"/>
        <v>0</v>
      </c>
      <c r="L465" s="414">
        <f ca="1" t="shared" si="293"/>
        <v>0</v>
      </c>
      <c r="M465" s="414">
        <f ca="1" t="shared" si="293"/>
        <v>0</v>
      </c>
      <c r="N465" s="414">
        <f ca="1" t="shared" si="294"/>
        <v>0</v>
      </c>
      <c r="O465" s="414">
        <f ca="1" t="shared" si="295"/>
        <v>0</v>
      </c>
    </row>
    <row r="466" ht="15" spans="2:15">
      <c r="B466" s="410"/>
      <c r="C466" s="417" t="s">
        <v>774</v>
      </c>
      <c r="D466" s="412"/>
      <c r="E466" s="416"/>
      <c r="F466" s="414">
        <f ca="1" t="shared" si="293"/>
        <v>0</v>
      </c>
      <c r="G466" s="414">
        <f ca="1" t="shared" si="293"/>
        <v>0</v>
      </c>
      <c r="H466" s="414">
        <f ca="1" t="shared" si="293"/>
        <v>0</v>
      </c>
      <c r="I466" s="414">
        <f ca="1" t="shared" si="293"/>
        <v>0</v>
      </c>
      <c r="J466" s="414">
        <f ca="1" t="shared" si="293"/>
        <v>0</v>
      </c>
      <c r="K466" s="414">
        <f ca="1" t="shared" si="293"/>
        <v>0</v>
      </c>
      <c r="L466" s="414">
        <f ca="1" t="shared" si="293"/>
        <v>0</v>
      </c>
      <c r="M466" s="414">
        <f ca="1" t="shared" si="293"/>
        <v>0</v>
      </c>
      <c r="N466" s="414">
        <f ca="1" t="shared" si="294"/>
        <v>0</v>
      </c>
      <c r="O466" s="414">
        <f ca="1" t="shared" si="295"/>
        <v>0</v>
      </c>
    </row>
    <row r="467" ht="15" spans="2:15">
      <c r="B467" s="410"/>
      <c r="C467" s="417" t="s">
        <v>775</v>
      </c>
      <c r="D467" s="412"/>
      <c r="E467" s="416"/>
      <c r="F467" s="414">
        <f ca="1" t="shared" si="293"/>
        <v>198.972</v>
      </c>
      <c r="G467" s="414">
        <f ca="1" t="shared" si="293"/>
        <v>0</v>
      </c>
      <c r="H467" s="414">
        <f ca="1" t="shared" si="293"/>
        <v>0</v>
      </c>
      <c r="I467" s="414">
        <f ca="1" t="shared" si="293"/>
        <v>198.972</v>
      </c>
      <c r="J467" s="414">
        <f ca="1" t="shared" si="293"/>
        <v>39.9721005729</v>
      </c>
      <c r="K467" s="414">
        <f t="shared" si="293"/>
        <v>0</v>
      </c>
      <c r="L467" s="414">
        <f ca="1" t="shared" si="293"/>
        <v>0</v>
      </c>
      <c r="M467" s="414">
        <f ca="1" t="shared" si="293"/>
        <v>39.9721005729</v>
      </c>
      <c r="N467" s="414">
        <f ca="1" t="shared" si="294"/>
        <v>158.9998994271</v>
      </c>
      <c r="O467" s="414">
        <f ca="1" t="shared" si="295"/>
        <v>158.9998994271</v>
      </c>
    </row>
    <row r="468" ht="15" spans="2:15">
      <c r="B468" s="410">
        <v>4</v>
      </c>
      <c r="C468" s="411" t="s">
        <v>776</v>
      </c>
      <c r="D468" s="412"/>
      <c r="E468" s="416"/>
      <c r="F468" s="414">
        <f t="shared" si="293"/>
        <v>0</v>
      </c>
      <c r="G468" s="414">
        <f t="shared" si="293"/>
        <v>0</v>
      </c>
      <c r="H468" s="414">
        <f t="shared" si="293"/>
        <v>0</v>
      </c>
      <c r="I468" s="414">
        <f t="shared" si="293"/>
        <v>0</v>
      </c>
      <c r="J468" s="414">
        <f t="shared" si="293"/>
        <v>0</v>
      </c>
      <c r="K468" s="414">
        <f t="shared" si="293"/>
        <v>0</v>
      </c>
      <c r="L468" s="414">
        <f t="shared" si="293"/>
        <v>0</v>
      </c>
      <c r="M468" s="414">
        <f t="shared" si="293"/>
        <v>0</v>
      </c>
      <c r="N468" s="414"/>
      <c r="O468" s="414"/>
    </row>
    <row r="469" ht="15" spans="2:15">
      <c r="B469" s="410"/>
      <c r="C469" s="418" t="s">
        <v>777</v>
      </c>
      <c r="D469" s="412"/>
      <c r="E469" s="416"/>
      <c r="F469" s="414">
        <f ca="1" t="shared" si="293"/>
        <v>9983.60014681383</v>
      </c>
      <c r="G469" s="414">
        <f t="shared" si="293"/>
        <v>987.838497733329</v>
      </c>
      <c r="H469" s="414">
        <f ca="1" t="shared" si="293"/>
        <v>0</v>
      </c>
      <c r="I469" s="414">
        <f ca="1" t="shared" si="293"/>
        <v>10971.4386445472</v>
      </c>
      <c r="J469" s="414">
        <f ca="1" t="shared" si="293"/>
        <v>4966.77076140468</v>
      </c>
      <c r="K469" s="414">
        <f t="shared" si="293"/>
        <v>380.374798693972</v>
      </c>
      <c r="L469" s="414">
        <f ca="1" t="shared" si="293"/>
        <v>0</v>
      </c>
      <c r="M469" s="414">
        <f ca="1" t="shared" si="293"/>
        <v>5347.14556009865</v>
      </c>
      <c r="N469" s="414">
        <f ca="1" t="shared" ref="N469:N472" si="296">F469-J469</f>
        <v>5016.82938540915</v>
      </c>
      <c r="O469" s="414">
        <f ca="1" t="shared" ref="O469:O472" si="297">I469-M469</f>
        <v>5624.29308444851</v>
      </c>
    </row>
    <row r="470" ht="15" spans="2:15">
      <c r="B470" s="410"/>
      <c r="C470" s="411" t="s">
        <v>778</v>
      </c>
      <c r="D470" s="412"/>
      <c r="E470" s="416"/>
      <c r="F470" s="414">
        <f t="shared" si="293"/>
        <v>0</v>
      </c>
      <c r="G470" s="414">
        <f t="shared" si="293"/>
        <v>0</v>
      </c>
      <c r="H470" s="414">
        <f t="shared" si="293"/>
        <v>0</v>
      </c>
      <c r="I470" s="414">
        <f t="shared" si="293"/>
        <v>0</v>
      </c>
      <c r="J470" s="414">
        <f t="shared" si="293"/>
        <v>0</v>
      </c>
      <c r="K470" s="414">
        <f t="shared" si="293"/>
        <v>0</v>
      </c>
      <c r="L470" s="414">
        <f t="shared" si="293"/>
        <v>0</v>
      </c>
      <c r="M470" s="414">
        <f t="shared" si="293"/>
        <v>0</v>
      </c>
      <c r="N470" s="414"/>
      <c r="O470" s="414"/>
    </row>
    <row r="471" ht="15" spans="2:15">
      <c r="B471" s="410"/>
      <c r="C471" s="418" t="s">
        <v>779</v>
      </c>
      <c r="D471" s="412"/>
      <c r="E471" s="416"/>
      <c r="F471" s="414">
        <f ca="1" t="shared" si="293"/>
        <v>0</v>
      </c>
      <c r="G471" s="414">
        <f ca="1" t="shared" si="293"/>
        <v>0</v>
      </c>
      <c r="H471" s="414">
        <f ca="1" t="shared" si="293"/>
        <v>0</v>
      </c>
      <c r="I471" s="414">
        <f ca="1" t="shared" si="293"/>
        <v>0</v>
      </c>
      <c r="J471" s="414">
        <f ca="1" t="shared" si="293"/>
        <v>0</v>
      </c>
      <c r="K471" s="414">
        <f ca="1" t="shared" si="293"/>
        <v>0</v>
      </c>
      <c r="L471" s="414">
        <f ca="1" t="shared" si="293"/>
        <v>0</v>
      </c>
      <c r="M471" s="414">
        <f ca="1" t="shared" si="293"/>
        <v>0</v>
      </c>
      <c r="N471" s="414">
        <f ca="1" t="shared" si="296"/>
        <v>0</v>
      </c>
      <c r="O471" s="414">
        <f ca="1" t="shared" si="297"/>
        <v>0</v>
      </c>
    </row>
    <row r="472" ht="15" spans="2:15">
      <c r="B472" s="410"/>
      <c r="C472" s="418" t="s">
        <v>780</v>
      </c>
      <c r="D472" s="412"/>
      <c r="E472" s="416"/>
      <c r="F472" s="414">
        <f ca="1" t="shared" si="293"/>
        <v>0</v>
      </c>
      <c r="G472" s="414">
        <f ca="1" t="shared" si="293"/>
        <v>0</v>
      </c>
      <c r="H472" s="414">
        <f ca="1" t="shared" si="293"/>
        <v>0</v>
      </c>
      <c r="I472" s="414">
        <f ca="1" t="shared" si="293"/>
        <v>0</v>
      </c>
      <c r="J472" s="414">
        <f ca="1" t="shared" si="293"/>
        <v>0</v>
      </c>
      <c r="K472" s="414">
        <f ca="1" t="shared" si="293"/>
        <v>0</v>
      </c>
      <c r="L472" s="414">
        <f ca="1" t="shared" si="293"/>
        <v>0</v>
      </c>
      <c r="M472" s="414">
        <f ca="1" t="shared" si="293"/>
        <v>0</v>
      </c>
      <c r="N472" s="414">
        <f ca="1" t="shared" si="296"/>
        <v>0</v>
      </c>
      <c r="O472" s="414">
        <f ca="1" t="shared" si="297"/>
        <v>0</v>
      </c>
    </row>
    <row r="473" ht="15" spans="2:15">
      <c r="B473" s="410">
        <v>5</v>
      </c>
      <c r="C473" s="411" t="s">
        <v>781</v>
      </c>
      <c r="D473" s="412"/>
      <c r="E473" s="416"/>
      <c r="F473" s="414">
        <f t="shared" si="293"/>
        <v>0</v>
      </c>
      <c r="G473" s="414">
        <f t="shared" si="293"/>
        <v>0</v>
      </c>
      <c r="H473" s="414">
        <f t="shared" si="293"/>
        <v>0</v>
      </c>
      <c r="I473" s="414">
        <f t="shared" si="293"/>
        <v>0</v>
      </c>
      <c r="J473" s="414">
        <f t="shared" si="293"/>
        <v>0</v>
      </c>
      <c r="K473" s="414">
        <f t="shared" si="293"/>
        <v>0</v>
      </c>
      <c r="L473" s="414">
        <f t="shared" si="293"/>
        <v>0</v>
      </c>
      <c r="M473" s="414">
        <f t="shared" si="293"/>
        <v>0</v>
      </c>
      <c r="N473" s="414"/>
      <c r="O473" s="414"/>
    </row>
    <row r="474" ht="15" spans="2:15">
      <c r="B474" s="410"/>
      <c r="C474" s="418" t="s">
        <v>782</v>
      </c>
      <c r="D474" s="412"/>
      <c r="E474" s="416"/>
      <c r="F474" s="414">
        <f ca="1" t="shared" si="293"/>
        <v>0</v>
      </c>
      <c r="G474" s="414">
        <f ca="1" t="shared" si="293"/>
        <v>0</v>
      </c>
      <c r="H474" s="414">
        <f ca="1" t="shared" si="293"/>
        <v>0</v>
      </c>
      <c r="I474" s="414">
        <f ca="1" t="shared" si="293"/>
        <v>0</v>
      </c>
      <c r="J474" s="414">
        <f ca="1" t="shared" si="293"/>
        <v>0</v>
      </c>
      <c r="K474" s="414">
        <f ca="1" t="shared" si="293"/>
        <v>0</v>
      </c>
      <c r="L474" s="414">
        <f ca="1" t="shared" si="293"/>
        <v>0</v>
      </c>
      <c r="M474" s="414">
        <f ca="1" t="shared" si="293"/>
        <v>0</v>
      </c>
      <c r="N474" s="414">
        <f ca="1" t="shared" ref="N474:N479" si="298">F474-J474</f>
        <v>0</v>
      </c>
      <c r="O474" s="414">
        <f ca="1" t="shared" ref="O474:O479" si="299">I474-M474</f>
        <v>0</v>
      </c>
    </row>
    <row r="475" ht="15" spans="2:15">
      <c r="B475" s="410"/>
      <c r="C475" s="418" t="s">
        <v>783</v>
      </c>
      <c r="D475" s="412"/>
      <c r="E475" s="416"/>
      <c r="F475" s="414">
        <f ca="1" t="shared" si="293"/>
        <v>0</v>
      </c>
      <c r="G475" s="414">
        <f ca="1" t="shared" si="293"/>
        <v>0</v>
      </c>
      <c r="H475" s="414">
        <f ca="1" t="shared" si="293"/>
        <v>0</v>
      </c>
      <c r="I475" s="414">
        <f ca="1" t="shared" si="293"/>
        <v>0</v>
      </c>
      <c r="J475" s="414">
        <f ca="1" t="shared" si="293"/>
        <v>0</v>
      </c>
      <c r="K475" s="414">
        <f ca="1" t="shared" si="293"/>
        <v>0</v>
      </c>
      <c r="L475" s="414">
        <f ca="1" t="shared" si="293"/>
        <v>0</v>
      </c>
      <c r="M475" s="414">
        <f ca="1" t="shared" si="293"/>
        <v>0</v>
      </c>
      <c r="N475" s="414">
        <f ca="1" t="shared" si="298"/>
        <v>0</v>
      </c>
      <c r="O475" s="414">
        <f ca="1" t="shared" si="299"/>
        <v>0</v>
      </c>
    </row>
    <row r="476" ht="15" spans="2:15">
      <c r="B476" s="410"/>
      <c r="C476" s="418" t="s">
        <v>784</v>
      </c>
      <c r="D476" s="412"/>
      <c r="E476" s="416"/>
      <c r="F476" s="414">
        <f ca="1" t="shared" si="293"/>
        <v>0</v>
      </c>
      <c r="G476" s="414">
        <f ca="1" t="shared" si="293"/>
        <v>0</v>
      </c>
      <c r="H476" s="414">
        <f ca="1" t="shared" si="293"/>
        <v>0</v>
      </c>
      <c r="I476" s="414">
        <f ca="1" t="shared" si="293"/>
        <v>0</v>
      </c>
      <c r="J476" s="414">
        <f ca="1" t="shared" si="293"/>
        <v>0</v>
      </c>
      <c r="K476" s="414">
        <f ca="1" t="shared" si="293"/>
        <v>0</v>
      </c>
      <c r="L476" s="414">
        <f ca="1" t="shared" si="293"/>
        <v>0</v>
      </c>
      <c r="M476" s="414">
        <f ca="1" t="shared" si="293"/>
        <v>0</v>
      </c>
      <c r="N476" s="414">
        <f ca="1" t="shared" si="298"/>
        <v>0</v>
      </c>
      <c r="O476" s="414">
        <f ca="1" t="shared" si="299"/>
        <v>0</v>
      </c>
    </row>
    <row r="477" ht="15" spans="2:15">
      <c r="B477" s="410"/>
      <c r="C477" s="418" t="s">
        <v>785</v>
      </c>
      <c r="D477" s="412"/>
      <c r="E477" s="416"/>
      <c r="F477" s="414">
        <f ca="1" t="shared" si="293"/>
        <v>0</v>
      </c>
      <c r="G477" s="414">
        <f ca="1" t="shared" si="293"/>
        <v>0</v>
      </c>
      <c r="H477" s="414">
        <f ca="1" t="shared" si="293"/>
        <v>0</v>
      </c>
      <c r="I477" s="414">
        <f ca="1" t="shared" si="293"/>
        <v>0</v>
      </c>
      <c r="J477" s="414">
        <f ca="1" t="shared" si="293"/>
        <v>0</v>
      </c>
      <c r="K477" s="414">
        <f ca="1" t="shared" si="293"/>
        <v>0</v>
      </c>
      <c r="L477" s="414">
        <f ca="1" t="shared" si="293"/>
        <v>0</v>
      </c>
      <c r="M477" s="414">
        <f ca="1" t="shared" si="293"/>
        <v>0</v>
      </c>
      <c r="N477" s="414">
        <f ca="1" t="shared" si="298"/>
        <v>0</v>
      </c>
      <c r="O477" s="414">
        <f ca="1" t="shared" si="299"/>
        <v>0</v>
      </c>
    </row>
    <row r="478" ht="15" spans="2:15">
      <c r="B478" s="410">
        <v>6</v>
      </c>
      <c r="C478" s="411" t="s">
        <v>786</v>
      </c>
      <c r="D478" s="412"/>
      <c r="E478" s="416"/>
      <c r="F478" s="414">
        <f ca="1" t="shared" ref="F478:M493" si="300">90%*F161</f>
        <v>0</v>
      </c>
      <c r="G478" s="414">
        <f ca="1" t="shared" si="300"/>
        <v>0</v>
      </c>
      <c r="H478" s="414">
        <f ca="1" t="shared" si="300"/>
        <v>0</v>
      </c>
      <c r="I478" s="414">
        <f ca="1" t="shared" si="300"/>
        <v>0</v>
      </c>
      <c r="J478" s="414">
        <f ca="1" t="shared" si="300"/>
        <v>0</v>
      </c>
      <c r="K478" s="414">
        <f ca="1" t="shared" si="300"/>
        <v>0</v>
      </c>
      <c r="L478" s="414">
        <f ca="1" t="shared" si="300"/>
        <v>0</v>
      </c>
      <c r="M478" s="414">
        <f ca="1" t="shared" si="300"/>
        <v>0</v>
      </c>
      <c r="N478" s="414">
        <f ca="1" t="shared" si="298"/>
        <v>0</v>
      </c>
      <c r="O478" s="414">
        <f ca="1" t="shared" si="299"/>
        <v>0</v>
      </c>
    </row>
    <row r="479" ht="15" spans="2:15">
      <c r="B479" s="410">
        <v>7</v>
      </c>
      <c r="C479" s="411" t="s">
        <v>787</v>
      </c>
      <c r="D479" s="412"/>
      <c r="E479" s="416"/>
      <c r="F479" s="414">
        <f ca="1" t="shared" si="300"/>
        <v>0</v>
      </c>
      <c r="G479" s="414">
        <f ca="1" t="shared" si="300"/>
        <v>0</v>
      </c>
      <c r="H479" s="414">
        <f ca="1" t="shared" si="300"/>
        <v>0</v>
      </c>
      <c r="I479" s="414">
        <f ca="1" t="shared" si="300"/>
        <v>0</v>
      </c>
      <c r="J479" s="414">
        <f ca="1" t="shared" si="300"/>
        <v>0</v>
      </c>
      <c r="K479" s="414">
        <f ca="1" t="shared" si="300"/>
        <v>0</v>
      </c>
      <c r="L479" s="414">
        <f ca="1" t="shared" si="300"/>
        <v>0</v>
      </c>
      <c r="M479" s="414">
        <f ca="1" t="shared" si="300"/>
        <v>0</v>
      </c>
      <c r="N479" s="414">
        <f ca="1" t="shared" si="298"/>
        <v>0</v>
      </c>
      <c r="O479" s="414">
        <f ca="1" t="shared" si="299"/>
        <v>0</v>
      </c>
    </row>
    <row r="480" ht="15" spans="2:15">
      <c r="B480" s="410">
        <v>8</v>
      </c>
      <c r="C480" s="411" t="s">
        <v>788</v>
      </c>
      <c r="D480" s="412"/>
      <c r="E480" s="416"/>
      <c r="F480" s="414">
        <f t="shared" si="300"/>
        <v>0</v>
      </c>
      <c r="G480" s="414">
        <f t="shared" si="300"/>
        <v>0</v>
      </c>
      <c r="H480" s="414">
        <f t="shared" si="300"/>
        <v>0</v>
      </c>
      <c r="I480" s="414">
        <f t="shared" si="300"/>
        <v>0</v>
      </c>
      <c r="J480" s="414">
        <f t="shared" si="300"/>
        <v>0</v>
      </c>
      <c r="K480" s="414">
        <f t="shared" si="300"/>
        <v>0</v>
      </c>
      <c r="L480" s="414">
        <f t="shared" si="300"/>
        <v>0</v>
      </c>
      <c r="M480" s="414">
        <f t="shared" si="300"/>
        <v>0</v>
      </c>
      <c r="N480" s="414"/>
      <c r="O480" s="414"/>
    </row>
    <row r="481" ht="15" spans="2:15">
      <c r="B481" s="410"/>
      <c r="C481" s="418" t="s">
        <v>789</v>
      </c>
      <c r="D481" s="412"/>
      <c r="E481" s="416"/>
      <c r="F481" s="414">
        <f ca="1" t="shared" si="300"/>
        <v>10013.1616312134</v>
      </c>
      <c r="G481" s="414">
        <f t="shared" si="300"/>
        <v>1147.14721881025</v>
      </c>
      <c r="H481" s="414">
        <f ca="1" t="shared" si="300"/>
        <v>0</v>
      </c>
      <c r="I481" s="414">
        <f ca="1" t="shared" si="300"/>
        <v>11160.3088500237</v>
      </c>
      <c r="J481" s="414">
        <f ca="1" t="shared" si="300"/>
        <v>4404.85155862197</v>
      </c>
      <c r="K481" s="414">
        <f t="shared" si="300"/>
        <v>364.125996031362</v>
      </c>
      <c r="L481" s="414">
        <f ca="1" t="shared" si="300"/>
        <v>0</v>
      </c>
      <c r="M481" s="414">
        <f ca="1" t="shared" si="300"/>
        <v>4768.97755465334</v>
      </c>
      <c r="N481" s="414">
        <f ca="1" t="shared" ref="N481:O485" si="301">F481-J481</f>
        <v>5608.31007259144</v>
      </c>
      <c r="O481" s="414">
        <f ca="1" t="shared" ref="O481:O483" si="302">I481-M481</f>
        <v>6391.33129537033</v>
      </c>
    </row>
    <row r="482" ht="15" spans="2:15">
      <c r="B482" s="410"/>
      <c r="C482" s="418" t="s">
        <v>808</v>
      </c>
      <c r="D482" s="412"/>
      <c r="E482" s="416"/>
      <c r="F482" s="414">
        <f ca="1" t="shared" si="300"/>
        <v>0</v>
      </c>
      <c r="G482" s="414">
        <f ca="1" t="shared" si="300"/>
        <v>0</v>
      </c>
      <c r="H482" s="414">
        <f ca="1" t="shared" si="300"/>
        <v>0</v>
      </c>
      <c r="I482" s="414">
        <f ca="1" t="shared" si="300"/>
        <v>0</v>
      </c>
      <c r="J482" s="414">
        <f ca="1" t="shared" si="300"/>
        <v>0</v>
      </c>
      <c r="K482" s="414">
        <f ca="1" t="shared" si="300"/>
        <v>0</v>
      </c>
      <c r="L482" s="414">
        <f ca="1" t="shared" si="300"/>
        <v>0</v>
      </c>
      <c r="M482" s="414">
        <f ca="1" t="shared" si="300"/>
        <v>0</v>
      </c>
      <c r="N482" s="414">
        <f ca="1" t="shared" si="301"/>
        <v>0</v>
      </c>
      <c r="O482" s="414">
        <f ca="1" t="shared" si="302"/>
        <v>0</v>
      </c>
    </row>
    <row r="483" ht="30" spans="2:15">
      <c r="B483" s="420">
        <v>9</v>
      </c>
      <c r="C483" s="421" t="s">
        <v>791</v>
      </c>
      <c r="D483" s="412"/>
      <c r="E483" s="416"/>
      <c r="F483" s="414">
        <f ca="1" t="shared" si="300"/>
        <v>0</v>
      </c>
      <c r="G483" s="414">
        <f ca="1" t="shared" si="300"/>
        <v>0</v>
      </c>
      <c r="H483" s="414">
        <f ca="1" t="shared" si="300"/>
        <v>0</v>
      </c>
      <c r="I483" s="414">
        <f ca="1" t="shared" si="300"/>
        <v>0</v>
      </c>
      <c r="J483" s="414">
        <f ca="1" t="shared" si="300"/>
        <v>0</v>
      </c>
      <c r="K483" s="414">
        <f ca="1" t="shared" si="300"/>
        <v>0</v>
      </c>
      <c r="L483" s="414">
        <f ca="1" t="shared" si="300"/>
        <v>0</v>
      </c>
      <c r="M483" s="414">
        <f ca="1" t="shared" si="300"/>
        <v>0</v>
      </c>
      <c r="N483" s="414">
        <f ca="1" t="shared" si="301"/>
        <v>0</v>
      </c>
      <c r="O483" s="414">
        <f ca="1" t="shared" si="302"/>
        <v>0</v>
      </c>
    </row>
    <row r="484" ht="15" spans="2:15">
      <c r="B484" s="422">
        <v>10</v>
      </c>
      <c r="C484" s="423" t="s">
        <v>792</v>
      </c>
      <c r="D484" s="424"/>
      <c r="E484" s="416"/>
      <c r="F484" s="414">
        <f ca="1" t="shared" si="300"/>
        <v>1790.99313766777</v>
      </c>
      <c r="G484" s="414">
        <f t="shared" si="300"/>
        <v>76.3026324948955</v>
      </c>
      <c r="H484" s="414">
        <f ca="1" t="shared" si="300"/>
        <v>0</v>
      </c>
      <c r="I484" s="414">
        <f ca="1" t="shared" si="300"/>
        <v>1867.29577016266</v>
      </c>
      <c r="J484" s="414">
        <f ca="1" t="shared" si="300"/>
        <v>1139.32691872204</v>
      </c>
      <c r="K484" s="414">
        <f t="shared" si="300"/>
        <v>53.5459685029842</v>
      </c>
      <c r="L484" s="414">
        <f ca="1" t="shared" si="300"/>
        <v>0</v>
      </c>
      <c r="M484" s="414">
        <f ca="1" t="shared" si="300"/>
        <v>1192.87288722502</v>
      </c>
      <c r="N484" s="414">
        <f ca="1" t="shared" si="301"/>
        <v>651.666218945725</v>
      </c>
      <c r="O484" s="414">
        <f t="shared" si="301"/>
        <v>22.7566639919113</v>
      </c>
    </row>
    <row r="485" ht="15" spans="2:15">
      <c r="B485" s="422">
        <v>11</v>
      </c>
      <c r="C485" s="423" t="s">
        <v>793</v>
      </c>
      <c r="D485" s="424"/>
      <c r="E485" s="416"/>
      <c r="F485" s="414">
        <f ca="1" t="shared" si="300"/>
        <v>6.372</v>
      </c>
      <c r="G485" s="414">
        <f ca="1" t="shared" si="300"/>
        <v>0</v>
      </c>
      <c r="H485" s="414">
        <f ca="1" t="shared" si="300"/>
        <v>0</v>
      </c>
      <c r="I485" s="414">
        <f ca="1" t="shared" si="300"/>
        <v>6.372</v>
      </c>
      <c r="J485" s="414">
        <f ca="1" t="shared" si="300"/>
        <v>5.7529799388</v>
      </c>
      <c r="K485" s="414">
        <f t="shared" si="300"/>
        <v>0</v>
      </c>
      <c r="L485" s="414">
        <f ca="1" t="shared" si="300"/>
        <v>0</v>
      </c>
      <c r="M485" s="414">
        <f ca="1" t="shared" si="300"/>
        <v>5.7529799388</v>
      </c>
      <c r="N485" s="414">
        <f ca="1" t="shared" si="301"/>
        <v>0.619020061200001</v>
      </c>
      <c r="O485" s="414">
        <f ca="1" t="shared" si="301"/>
        <v>0</v>
      </c>
    </row>
    <row r="486" ht="15" spans="2:15">
      <c r="B486" s="422">
        <v>12</v>
      </c>
      <c r="C486" s="423" t="s">
        <v>794</v>
      </c>
      <c r="D486" s="424"/>
      <c r="E486" s="416"/>
      <c r="F486" s="414">
        <f t="shared" si="300"/>
        <v>0</v>
      </c>
      <c r="G486" s="414">
        <f t="shared" si="300"/>
        <v>0</v>
      </c>
      <c r="H486" s="414">
        <f t="shared" si="300"/>
        <v>0</v>
      </c>
      <c r="I486" s="414">
        <f t="shared" si="300"/>
        <v>0</v>
      </c>
      <c r="J486" s="414">
        <f t="shared" si="300"/>
        <v>0</v>
      </c>
      <c r="K486" s="414">
        <f t="shared" si="300"/>
        <v>0</v>
      </c>
      <c r="L486" s="414">
        <f t="shared" si="300"/>
        <v>0</v>
      </c>
      <c r="M486" s="414">
        <f t="shared" si="300"/>
        <v>0</v>
      </c>
      <c r="N486" s="414"/>
      <c r="O486" s="414"/>
    </row>
    <row r="487" ht="15" spans="2:15">
      <c r="B487" s="422"/>
      <c r="C487" s="425" t="s">
        <v>795</v>
      </c>
      <c r="D487" s="424"/>
      <c r="E487" s="416"/>
      <c r="F487" s="414">
        <f ca="1" t="shared" si="300"/>
        <v>2.34</v>
      </c>
      <c r="G487" s="414">
        <f ca="1" t="shared" si="300"/>
        <v>0</v>
      </c>
      <c r="H487" s="414">
        <f ca="1" t="shared" si="300"/>
        <v>0</v>
      </c>
      <c r="I487" s="414">
        <f ca="1" t="shared" si="300"/>
        <v>2.34</v>
      </c>
      <c r="J487" s="414">
        <f ca="1" t="shared" si="300"/>
        <v>1.5314797188</v>
      </c>
      <c r="K487" s="414">
        <f ca="1" t="shared" si="300"/>
        <v>0</v>
      </c>
      <c r="L487" s="414">
        <f ca="1" t="shared" si="300"/>
        <v>0</v>
      </c>
      <c r="M487" s="414">
        <f ca="1" t="shared" si="300"/>
        <v>1.5314797188</v>
      </c>
      <c r="N487" s="414">
        <f ca="1" t="shared" ref="N487:O488" si="303">F487-J487</f>
        <v>0.8085202812</v>
      </c>
      <c r="O487" s="414">
        <f ca="1" t="shared" si="303"/>
        <v>0</v>
      </c>
    </row>
    <row r="488" ht="15" spans="2:15">
      <c r="B488" s="422"/>
      <c r="C488" s="425" t="s">
        <v>796</v>
      </c>
      <c r="D488" s="424"/>
      <c r="E488" s="416"/>
      <c r="F488" s="414">
        <f ca="1" t="shared" si="300"/>
        <v>0</v>
      </c>
      <c r="G488" s="414">
        <f ca="1" t="shared" si="300"/>
        <v>0</v>
      </c>
      <c r="H488" s="414">
        <f ca="1" t="shared" si="300"/>
        <v>0</v>
      </c>
      <c r="I488" s="414">
        <f ca="1" t="shared" si="300"/>
        <v>0</v>
      </c>
      <c r="J488" s="414">
        <f ca="1" t="shared" si="300"/>
        <v>0</v>
      </c>
      <c r="K488" s="414">
        <f ca="1" t="shared" si="300"/>
        <v>0</v>
      </c>
      <c r="L488" s="414">
        <f ca="1" t="shared" si="300"/>
        <v>0</v>
      </c>
      <c r="M488" s="414">
        <f ca="1" t="shared" si="300"/>
        <v>0</v>
      </c>
      <c r="N488" s="414">
        <f ca="1" t="shared" si="303"/>
        <v>0</v>
      </c>
      <c r="O488" s="414">
        <f ca="1" t="shared" si="303"/>
        <v>0</v>
      </c>
    </row>
    <row r="489" ht="15" spans="2:15">
      <c r="B489" s="422">
        <v>13</v>
      </c>
      <c r="C489" s="425"/>
      <c r="D489" s="424"/>
      <c r="E489" s="416"/>
      <c r="F489" s="414">
        <f t="shared" si="300"/>
        <v>0</v>
      </c>
      <c r="G489" s="414">
        <f t="shared" si="300"/>
        <v>0</v>
      </c>
      <c r="H489" s="414">
        <f t="shared" si="300"/>
        <v>0</v>
      </c>
      <c r="I489" s="414">
        <f t="shared" si="300"/>
        <v>0</v>
      </c>
      <c r="J489" s="414">
        <f t="shared" si="300"/>
        <v>0</v>
      </c>
      <c r="K489" s="414">
        <f t="shared" si="300"/>
        <v>0</v>
      </c>
      <c r="L489" s="414">
        <f t="shared" si="300"/>
        <v>0</v>
      </c>
      <c r="M489" s="414">
        <f t="shared" si="300"/>
        <v>0</v>
      </c>
      <c r="N489" s="414"/>
      <c r="O489" s="414"/>
    </row>
    <row r="490" ht="15" spans="2:15">
      <c r="B490" s="422"/>
      <c r="C490" s="425" t="s">
        <v>797</v>
      </c>
      <c r="D490" s="424"/>
      <c r="E490" s="416"/>
      <c r="F490" s="414">
        <f ca="1" t="shared" si="300"/>
        <v>15.525</v>
      </c>
      <c r="G490" s="414">
        <f ca="1" t="shared" si="300"/>
        <v>0</v>
      </c>
      <c r="H490" s="414">
        <f ca="1" t="shared" si="300"/>
        <v>0</v>
      </c>
      <c r="I490" s="414">
        <f ca="1" t="shared" si="300"/>
        <v>15.525</v>
      </c>
      <c r="J490" s="414">
        <f ca="1" t="shared" si="300"/>
        <v>11.2897719675</v>
      </c>
      <c r="K490" s="414">
        <f t="shared" si="300"/>
        <v>0.4255500519</v>
      </c>
      <c r="L490" s="414">
        <f ca="1" t="shared" si="300"/>
        <v>0</v>
      </c>
      <c r="M490" s="414">
        <f ca="1" t="shared" si="300"/>
        <v>11.7153220194</v>
      </c>
      <c r="N490" s="414">
        <f ca="1" t="shared" ref="N490:O493" si="304">F490-J490</f>
        <v>4.2352280325</v>
      </c>
      <c r="O490" s="414">
        <f ca="1" t="shared" si="304"/>
        <v>-0.4255500519</v>
      </c>
    </row>
    <row r="491" ht="15" spans="2:15">
      <c r="B491" s="422"/>
      <c r="C491" s="425" t="s">
        <v>798</v>
      </c>
      <c r="D491" s="424"/>
      <c r="E491" s="416"/>
      <c r="F491" s="414">
        <f ca="1" t="shared" si="300"/>
        <v>46.5010381409601</v>
      </c>
      <c r="G491" s="414">
        <f t="shared" si="300"/>
        <v>0.139694658876676</v>
      </c>
      <c r="H491" s="414">
        <f ca="1" t="shared" si="300"/>
        <v>0</v>
      </c>
      <c r="I491" s="414">
        <f ca="1" t="shared" si="300"/>
        <v>46.6407327998367</v>
      </c>
      <c r="J491" s="414">
        <f ca="1" t="shared" si="300"/>
        <v>32.7450567480277</v>
      </c>
      <c r="K491" s="414">
        <f t="shared" si="300"/>
        <v>1.42730413923586</v>
      </c>
      <c r="L491" s="414">
        <f ca="1" t="shared" si="300"/>
        <v>0</v>
      </c>
      <c r="M491" s="414">
        <f ca="1" t="shared" si="300"/>
        <v>34.1723608872635</v>
      </c>
      <c r="N491" s="414">
        <f ca="1" t="shared" si="304"/>
        <v>13.7559813929324</v>
      </c>
      <c r="O491" s="414">
        <f t="shared" si="304"/>
        <v>-1.28760948035918</v>
      </c>
    </row>
    <row r="492" ht="15" spans="2:15">
      <c r="B492" s="422"/>
      <c r="C492" s="425" t="s">
        <v>799</v>
      </c>
      <c r="D492" s="424"/>
      <c r="E492" s="416"/>
      <c r="F492" s="414">
        <f ca="1" t="shared" si="300"/>
        <v>0</v>
      </c>
      <c r="G492" s="414">
        <f ca="1" t="shared" si="300"/>
        <v>0</v>
      </c>
      <c r="H492" s="414">
        <f ca="1" t="shared" si="300"/>
        <v>0</v>
      </c>
      <c r="I492" s="414">
        <f ca="1" t="shared" si="300"/>
        <v>0</v>
      </c>
      <c r="J492" s="414">
        <f ca="1" t="shared" si="300"/>
        <v>0</v>
      </c>
      <c r="K492" s="414">
        <f ca="1" t="shared" si="300"/>
        <v>0</v>
      </c>
      <c r="L492" s="414">
        <f ca="1" t="shared" si="300"/>
        <v>0</v>
      </c>
      <c r="M492" s="414">
        <f ca="1" t="shared" si="300"/>
        <v>0</v>
      </c>
      <c r="N492" s="414">
        <f ca="1" t="shared" si="304"/>
        <v>0</v>
      </c>
      <c r="O492" s="414">
        <f ca="1" t="shared" si="304"/>
        <v>0</v>
      </c>
    </row>
    <row r="493" ht="15" spans="2:15">
      <c r="B493" s="422"/>
      <c r="C493" s="425" t="s">
        <v>800</v>
      </c>
      <c r="D493" s="424"/>
      <c r="E493" s="416"/>
      <c r="F493" s="414">
        <f ca="1" t="shared" si="300"/>
        <v>0</v>
      </c>
      <c r="G493" s="414">
        <f ca="1" t="shared" si="300"/>
        <v>0</v>
      </c>
      <c r="H493" s="414">
        <f ca="1" t="shared" si="300"/>
        <v>0</v>
      </c>
      <c r="I493" s="414">
        <f ca="1" t="shared" si="300"/>
        <v>0</v>
      </c>
      <c r="J493" s="414">
        <f ca="1" t="shared" si="300"/>
        <v>0</v>
      </c>
      <c r="K493" s="414">
        <f ca="1" t="shared" si="300"/>
        <v>0</v>
      </c>
      <c r="L493" s="414">
        <f ca="1" t="shared" si="300"/>
        <v>0</v>
      </c>
      <c r="M493" s="414">
        <f ca="1" t="shared" si="300"/>
        <v>0</v>
      </c>
      <c r="N493" s="414">
        <f ca="1" t="shared" si="304"/>
        <v>0</v>
      </c>
      <c r="O493" s="414">
        <f ca="1" t="shared" si="304"/>
        <v>0</v>
      </c>
    </row>
    <row r="494" ht="15" spans="2:15">
      <c r="B494" s="422">
        <v>14</v>
      </c>
      <c r="C494" s="423" t="s">
        <v>801</v>
      </c>
      <c r="D494" s="424"/>
      <c r="E494" s="416"/>
      <c r="F494" s="414">
        <f t="shared" ref="F494:M500" si="305">90%*F177</f>
        <v>0</v>
      </c>
      <c r="G494" s="414">
        <f t="shared" si="305"/>
        <v>0</v>
      </c>
      <c r="H494" s="414">
        <f t="shared" si="305"/>
        <v>0</v>
      </c>
      <c r="I494" s="414">
        <f t="shared" si="305"/>
        <v>0</v>
      </c>
      <c r="J494" s="414">
        <f t="shared" si="305"/>
        <v>0</v>
      </c>
      <c r="K494" s="414">
        <f t="shared" si="305"/>
        <v>0</v>
      </c>
      <c r="L494" s="414">
        <f t="shared" si="305"/>
        <v>0</v>
      </c>
      <c r="M494" s="414">
        <f t="shared" si="305"/>
        <v>0</v>
      </c>
      <c r="N494" s="414"/>
      <c r="O494" s="414"/>
    </row>
    <row r="495" ht="15" spans="2:15">
      <c r="B495" s="422"/>
      <c r="C495" s="425" t="s">
        <v>802</v>
      </c>
      <c r="D495" s="424"/>
      <c r="E495" s="416"/>
      <c r="F495" s="414">
        <f ca="1" t="shared" si="305"/>
        <v>0</v>
      </c>
      <c r="G495" s="414">
        <f ca="1" t="shared" si="305"/>
        <v>0</v>
      </c>
      <c r="H495" s="414">
        <f ca="1" t="shared" si="305"/>
        <v>0</v>
      </c>
      <c r="I495" s="414">
        <f ca="1" t="shared" si="305"/>
        <v>0</v>
      </c>
      <c r="J495" s="414">
        <f ca="1" t="shared" si="305"/>
        <v>0</v>
      </c>
      <c r="K495" s="414">
        <f ca="1" t="shared" si="305"/>
        <v>0</v>
      </c>
      <c r="L495" s="414">
        <f ca="1" t="shared" si="305"/>
        <v>0</v>
      </c>
      <c r="M495" s="414">
        <f ca="1" t="shared" si="305"/>
        <v>0</v>
      </c>
      <c r="N495" s="414">
        <f ca="1" t="shared" ref="N495:O500" si="306">F495-J495</f>
        <v>0</v>
      </c>
      <c r="O495" s="414">
        <f ca="1" t="shared" si="306"/>
        <v>0</v>
      </c>
    </row>
    <row r="496" ht="15" spans="2:15">
      <c r="B496" s="422"/>
      <c r="C496" s="425" t="s">
        <v>803</v>
      </c>
      <c r="D496" s="424"/>
      <c r="E496" s="416"/>
      <c r="F496" s="414">
        <f ca="1" t="shared" si="305"/>
        <v>0</v>
      </c>
      <c r="G496" s="414">
        <f ca="1" t="shared" si="305"/>
        <v>0</v>
      </c>
      <c r="H496" s="414">
        <f ca="1" t="shared" si="305"/>
        <v>0</v>
      </c>
      <c r="I496" s="414">
        <f ca="1" t="shared" si="305"/>
        <v>0</v>
      </c>
      <c r="J496" s="414">
        <f ca="1" t="shared" si="305"/>
        <v>0</v>
      </c>
      <c r="K496" s="414">
        <f ca="1" t="shared" si="305"/>
        <v>0</v>
      </c>
      <c r="L496" s="414">
        <f ca="1" t="shared" si="305"/>
        <v>0</v>
      </c>
      <c r="M496" s="414">
        <f ca="1" t="shared" si="305"/>
        <v>0</v>
      </c>
      <c r="N496" s="414">
        <f ca="1" t="shared" si="306"/>
        <v>0</v>
      </c>
      <c r="O496" s="414">
        <f ca="1" t="shared" si="306"/>
        <v>0</v>
      </c>
    </row>
    <row r="497" ht="15" spans="2:15">
      <c r="B497" s="422"/>
      <c r="C497" s="425" t="s">
        <v>804</v>
      </c>
      <c r="D497" s="424"/>
      <c r="E497" s="416"/>
      <c r="F497" s="414">
        <f ca="1" t="shared" si="305"/>
        <v>0</v>
      </c>
      <c r="G497" s="414">
        <f ca="1" t="shared" si="305"/>
        <v>0</v>
      </c>
      <c r="H497" s="414">
        <f ca="1" t="shared" si="305"/>
        <v>0</v>
      </c>
      <c r="I497" s="414">
        <f ca="1" t="shared" si="305"/>
        <v>0</v>
      </c>
      <c r="J497" s="414">
        <f ca="1" t="shared" si="305"/>
        <v>0</v>
      </c>
      <c r="K497" s="414">
        <f ca="1" t="shared" si="305"/>
        <v>0</v>
      </c>
      <c r="L497" s="414">
        <f ca="1" t="shared" si="305"/>
        <v>0</v>
      </c>
      <c r="M497" s="414">
        <f ca="1" t="shared" si="305"/>
        <v>0</v>
      </c>
      <c r="N497" s="414">
        <f ca="1" t="shared" si="306"/>
        <v>0</v>
      </c>
      <c r="O497" s="414">
        <f ca="1" t="shared" si="306"/>
        <v>0</v>
      </c>
    </row>
    <row r="498" ht="15" spans="2:15">
      <c r="B498" s="422">
        <v>15</v>
      </c>
      <c r="C498" s="423" t="s">
        <v>805</v>
      </c>
      <c r="D498" s="424"/>
      <c r="E498" s="416"/>
      <c r="F498" s="414">
        <f ca="1" t="shared" si="305"/>
        <v>188.054279666265</v>
      </c>
      <c r="G498" s="414">
        <f t="shared" si="305"/>
        <v>10.9708701407369</v>
      </c>
      <c r="H498" s="414">
        <f ca="1" t="shared" si="305"/>
        <v>0</v>
      </c>
      <c r="I498" s="414">
        <f ca="1" t="shared" si="305"/>
        <v>199.025149807002</v>
      </c>
      <c r="J498" s="414">
        <f ca="1" t="shared" si="305"/>
        <v>154.360562575751</v>
      </c>
      <c r="K498" s="414">
        <f t="shared" si="305"/>
        <v>8.99313575649499</v>
      </c>
      <c r="L498" s="414">
        <f ca="1" t="shared" si="305"/>
        <v>0</v>
      </c>
      <c r="M498" s="414">
        <f ca="1" t="shared" si="305"/>
        <v>163.353698332246</v>
      </c>
      <c r="N498" s="414">
        <f ca="1" t="shared" si="306"/>
        <v>33.6937170905139</v>
      </c>
      <c r="O498" s="414">
        <f t="shared" si="306"/>
        <v>1.97773438424192</v>
      </c>
    </row>
    <row r="499" ht="15" spans="2:15">
      <c r="B499" s="422">
        <v>16</v>
      </c>
      <c r="C499" s="423" t="s">
        <v>806</v>
      </c>
      <c r="D499" s="412"/>
      <c r="E499" s="416"/>
      <c r="F499" s="414">
        <f ca="1" t="shared" si="305"/>
        <v>63.72</v>
      </c>
      <c r="G499" s="414">
        <f ca="1" t="shared" si="305"/>
        <v>0</v>
      </c>
      <c r="H499" s="414">
        <f ca="1" t="shared" si="305"/>
        <v>0</v>
      </c>
      <c r="I499" s="414">
        <f ca="1" t="shared" si="305"/>
        <v>63.72</v>
      </c>
      <c r="J499" s="414">
        <f ca="1" t="shared" si="305"/>
        <v>52.578848493</v>
      </c>
      <c r="K499" s="414">
        <f t="shared" si="305"/>
        <v>4.0198213683</v>
      </c>
      <c r="L499" s="414">
        <f t="shared" si="305"/>
        <v>0</v>
      </c>
      <c r="M499" s="414">
        <f ca="1" t="shared" si="305"/>
        <v>56.5986698613</v>
      </c>
      <c r="N499" s="414">
        <f ca="1" t="shared" si="306"/>
        <v>11.141151507</v>
      </c>
      <c r="O499" s="414">
        <f ca="1" t="shared" si="306"/>
        <v>-4.0198213683</v>
      </c>
    </row>
    <row r="500" ht="15" spans="2:15">
      <c r="B500" s="422">
        <v>17</v>
      </c>
      <c r="C500" s="423" t="s">
        <v>807</v>
      </c>
      <c r="D500" s="412"/>
      <c r="E500" s="426"/>
      <c r="F500" s="414">
        <f ca="1" t="shared" si="305"/>
        <v>0</v>
      </c>
      <c r="G500" s="414">
        <f ca="1" t="shared" si="305"/>
        <v>0</v>
      </c>
      <c r="H500" s="414">
        <f ca="1" t="shared" si="305"/>
        <v>0</v>
      </c>
      <c r="I500" s="414">
        <f ca="1" t="shared" si="305"/>
        <v>0</v>
      </c>
      <c r="J500" s="414">
        <f ca="1" t="shared" si="305"/>
        <v>0</v>
      </c>
      <c r="K500" s="414">
        <f ca="1" t="shared" si="305"/>
        <v>0</v>
      </c>
      <c r="L500" s="414">
        <f ca="1" t="shared" si="305"/>
        <v>0</v>
      </c>
      <c r="M500" s="414">
        <f ca="1" t="shared" si="305"/>
        <v>0</v>
      </c>
      <c r="N500" s="414">
        <f ca="1" t="shared" si="306"/>
        <v>0</v>
      </c>
      <c r="O500" s="414">
        <f ca="1" t="shared" si="306"/>
        <v>0</v>
      </c>
    </row>
    <row r="501" ht="15.75" spans="2:15">
      <c r="B501" s="427"/>
      <c r="C501" s="428" t="s">
        <v>97</v>
      </c>
      <c r="D501" s="428"/>
      <c r="E501" s="429"/>
      <c r="F501" s="430">
        <f ca="1">SUM(F461:F500)</f>
        <v>22827.8548769277</v>
      </c>
      <c r="G501" s="430">
        <f ca="1" t="shared" ref="G501:O501" si="307">SUM(G461:G500)</f>
        <v>2313.104989927</v>
      </c>
      <c r="H501" s="430">
        <f ca="1" t="shared" si="307"/>
        <v>0</v>
      </c>
      <c r="I501" s="430">
        <f ca="1" t="shared" si="307"/>
        <v>25140.9598668547</v>
      </c>
      <c r="J501" s="430">
        <f ca="1" t="shared" si="307"/>
        <v>10952.023889485</v>
      </c>
      <c r="K501" s="430">
        <f ca="1" t="shared" si="307"/>
        <v>830.806900106363</v>
      </c>
      <c r="L501" s="430">
        <f ca="1" t="shared" si="307"/>
        <v>0</v>
      </c>
      <c r="M501" s="430">
        <f ca="1" t="shared" si="307"/>
        <v>11782.8307895914</v>
      </c>
      <c r="N501" s="430">
        <f ca="1" t="shared" si="307"/>
        <v>11875.8309874427</v>
      </c>
      <c r="O501" s="430">
        <f ca="1" t="shared" si="307"/>
        <v>12642.2092399523</v>
      </c>
    </row>
    <row r="503" ht="15" hidden="1" spans="2:15">
      <c r="B503" s="431" t="s">
        <v>655</v>
      </c>
      <c r="C503" s="432"/>
      <c r="D503" s="432"/>
      <c r="E503" s="432"/>
      <c r="F503" s="432"/>
      <c r="G503" s="432"/>
      <c r="H503" s="432"/>
      <c r="I503" s="432"/>
      <c r="J503" s="432"/>
      <c r="K503" s="432"/>
      <c r="L503" s="432"/>
      <c r="M503" s="432"/>
      <c r="N503" s="432"/>
      <c r="O503" s="442"/>
    </row>
    <row r="504" ht="15" hidden="1" spans="2:15">
      <c r="B504" s="406" t="s">
        <v>564</v>
      </c>
      <c r="C504" s="980" t="s">
        <v>671</v>
      </c>
      <c r="D504" s="408" t="s">
        <v>672</v>
      </c>
      <c r="E504" s="408" t="s">
        <v>673</v>
      </c>
      <c r="F504" s="408" t="s">
        <v>674</v>
      </c>
      <c r="G504" s="408"/>
      <c r="H504" s="408"/>
      <c r="I504" s="408"/>
      <c r="J504" s="408" t="s">
        <v>675</v>
      </c>
      <c r="K504" s="408"/>
      <c r="L504" s="408"/>
      <c r="M504" s="408"/>
      <c r="N504" s="408" t="s">
        <v>676</v>
      </c>
      <c r="O504" s="440"/>
    </row>
    <row r="505" ht="60.75" hidden="1" spans="2:15">
      <c r="B505" s="433"/>
      <c r="C505" s="434"/>
      <c r="D505" s="435"/>
      <c r="E505" s="435"/>
      <c r="F505" s="435" t="s">
        <v>677</v>
      </c>
      <c r="G505" s="435" t="s">
        <v>678</v>
      </c>
      <c r="H505" s="435" t="s">
        <v>679</v>
      </c>
      <c r="I505" s="435" t="s">
        <v>680</v>
      </c>
      <c r="J505" s="435" t="s">
        <v>681</v>
      </c>
      <c r="K505" s="435" t="s">
        <v>678</v>
      </c>
      <c r="L505" s="435" t="s">
        <v>682</v>
      </c>
      <c r="M505" s="435" t="s">
        <v>683</v>
      </c>
      <c r="N505" s="435" t="s">
        <v>677</v>
      </c>
      <c r="O505" s="443" t="s">
        <v>680</v>
      </c>
    </row>
    <row r="506" ht="15" hidden="1" spans="2:15">
      <c r="B506" s="410">
        <v>1</v>
      </c>
      <c r="C506" s="411" t="s">
        <v>684</v>
      </c>
      <c r="D506" s="405"/>
      <c r="E506" s="437"/>
      <c r="F506" s="414">
        <f ca="1">90%*F189</f>
        <v>151.10876580277</v>
      </c>
      <c r="G506" s="414">
        <f t="shared" ref="G506:M506" si="308">90%*G189</f>
        <v>66.4886663903562</v>
      </c>
      <c r="H506" s="414">
        <f ca="1" t="shared" si="308"/>
        <v>0</v>
      </c>
      <c r="I506" s="414">
        <f ca="1" t="shared" si="308"/>
        <v>217.597432193126</v>
      </c>
      <c r="J506" s="414">
        <f ca="1" t="shared" si="308"/>
        <v>0.0044091558000014</v>
      </c>
      <c r="K506" s="414">
        <f t="shared" si="308"/>
        <v>0</v>
      </c>
      <c r="L506" s="414">
        <f ca="1" t="shared" si="308"/>
        <v>0</v>
      </c>
      <c r="M506" s="414">
        <f ca="1" t="shared" si="308"/>
        <v>0.0044091558000014</v>
      </c>
      <c r="N506" s="414">
        <f ca="1">F506-J506</f>
        <v>151.10435664697</v>
      </c>
      <c r="O506" s="414">
        <f ca="1">I506-M506</f>
        <v>217.593023037326</v>
      </c>
    </row>
    <row r="507" ht="15" hidden="1" spans="2:15">
      <c r="B507" s="410">
        <v>2</v>
      </c>
      <c r="C507" s="411" t="s">
        <v>770</v>
      </c>
      <c r="D507" s="476"/>
      <c r="E507" s="477"/>
      <c r="F507" s="414">
        <f ca="1" t="shared" ref="F507:M522" si="309">90%*F190</f>
        <v>0</v>
      </c>
      <c r="G507" s="414">
        <f ca="1" t="shared" si="309"/>
        <v>0</v>
      </c>
      <c r="H507" s="414">
        <f ca="1" t="shared" si="309"/>
        <v>0</v>
      </c>
      <c r="I507" s="414">
        <f ca="1" t="shared" si="309"/>
        <v>0</v>
      </c>
      <c r="J507" s="414">
        <f ca="1" t="shared" si="309"/>
        <v>0</v>
      </c>
      <c r="K507" s="414">
        <f ca="1" t="shared" si="309"/>
        <v>0</v>
      </c>
      <c r="L507" s="414">
        <f ca="1" t="shared" si="309"/>
        <v>0</v>
      </c>
      <c r="M507" s="414">
        <f ca="1" t="shared" si="309"/>
        <v>0</v>
      </c>
      <c r="N507" s="414">
        <f ca="1">F507-J507</f>
        <v>0</v>
      </c>
      <c r="O507" s="414">
        <f ca="1">I507-M507</f>
        <v>0</v>
      </c>
    </row>
    <row r="508" ht="15" hidden="1" spans="2:15">
      <c r="B508" s="410">
        <v>3</v>
      </c>
      <c r="C508" s="415" t="s">
        <v>771</v>
      </c>
      <c r="D508" s="412"/>
      <c r="E508" s="416"/>
      <c r="F508" s="414">
        <f t="shared" si="309"/>
        <v>0</v>
      </c>
      <c r="G508" s="414">
        <f t="shared" si="309"/>
        <v>0</v>
      </c>
      <c r="H508" s="414">
        <f t="shared" si="309"/>
        <v>0</v>
      </c>
      <c r="I508" s="414">
        <f t="shared" si="309"/>
        <v>0</v>
      </c>
      <c r="J508" s="414">
        <f t="shared" si="309"/>
        <v>0</v>
      </c>
      <c r="K508" s="414">
        <f t="shared" si="309"/>
        <v>0</v>
      </c>
      <c r="L508" s="414">
        <f t="shared" si="309"/>
        <v>0</v>
      </c>
      <c r="M508" s="414">
        <f t="shared" si="309"/>
        <v>0</v>
      </c>
      <c r="N508" s="414"/>
      <c r="O508" s="414"/>
    </row>
    <row r="509" ht="15" hidden="1" spans="2:15">
      <c r="B509" s="410"/>
      <c r="C509" s="417" t="s">
        <v>772</v>
      </c>
      <c r="D509" s="412"/>
      <c r="E509" s="416"/>
      <c r="F509" s="414">
        <f ca="1" t="shared" si="309"/>
        <v>458.212953711591</v>
      </c>
      <c r="G509" s="414">
        <f t="shared" si="309"/>
        <v>56.3215138347279</v>
      </c>
      <c r="H509" s="414">
        <f ca="1" t="shared" si="309"/>
        <v>0</v>
      </c>
      <c r="I509" s="414">
        <f ca="1" t="shared" si="309"/>
        <v>514.534467546319</v>
      </c>
      <c r="J509" s="414">
        <f ca="1" t="shared" si="309"/>
        <v>160.733767127831</v>
      </c>
      <c r="K509" s="414">
        <f t="shared" si="309"/>
        <v>18.5428569007987</v>
      </c>
      <c r="L509" s="414">
        <f ca="1" t="shared" si="309"/>
        <v>0</v>
      </c>
      <c r="M509" s="414">
        <f ca="1" t="shared" si="309"/>
        <v>179.27662402863</v>
      </c>
      <c r="N509" s="414">
        <f ca="1" t="shared" ref="N509:N512" si="310">F509-J509</f>
        <v>297.479186583759</v>
      </c>
      <c r="O509" s="414">
        <f ca="1" t="shared" ref="O509:O512" si="311">I509-M509</f>
        <v>335.257843517688</v>
      </c>
    </row>
    <row r="510" ht="28.5" hidden="1" spans="2:15">
      <c r="B510" s="410"/>
      <c r="C510" s="417" t="s">
        <v>773</v>
      </c>
      <c r="D510" s="412"/>
      <c r="E510" s="416"/>
      <c r="F510" s="414">
        <f ca="1" t="shared" si="309"/>
        <v>0</v>
      </c>
      <c r="G510" s="414">
        <f ca="1" t="shared" si="309"/>
        <v>0</v>
      </c>
      <c r="H510" s="414">
        <f ca="1" t="shared" si="309"/>
        <v>0</v>
      </c>
      <c r="I510" s="414">
        <f ca="1" t="shared" si="309"/>
        <v>0</v>
      </c>
      <c r="J510" s="414">
        <f ca="1" t="shared" si="309"/>
        <v>0</v>
      </c>
      <c r="K510" s="414">
        <f ca="1" t="shared" si="309"/>
        <v>0</v>
      </c>
      <c r="L510" s="414">
        <f ca="1" t="shared" si="309"/>
        <v>0</v>
      </c>
      <c r="M510" s="414">
        <f ca="1" t="shared" si="309"/>
        <v>0</v>
      </c>
      <c r="N510" s="414">
        <f ca="1" t="shared" si="310"/>
        <v>0</v>
      </c>
      <c r="O510" s="414">
        <f ca="1" t="shared" si="311"/>
        <v>0</v>
      </c>
    </row>
    <row r="511" ht="15" hidden="1" spans="2:15">
      <c r="B511" s="410"/>
      <c r="C511" s="417" t="s">
        <v>774</v>
      </c>
      <c r="D511" s="412"/>
      <c r="E511" s="416"/>
      <c r="F511" s="414">
        <f ca="1" t="shared" si="309"/>
        <v>0</v>
      </c>
      <c r="G511" s="414">
        <f ca="1" t="shared" si="309"/>
        <v>0</v>
      </c>
      <c r="H511" s="414">
        <f ca="1" t="shared" si="309"/>
        <v>0</v>
      </c>
      <c r="I511" s="414">
        <f ca="1" t="shared" si="309"/>
        <v>0</v>
      </c>
      <c r="J511" s="414">
        <f ca="1" t="shared" si="309"/>
        <v>0</v>
      </c>
      <c r="K511" s="414">
        <f ca="1" t="shared" si="309"/>
        <v>0</v>
      </c>
      <c r="L511" s="414">
        <f ca="1" t="shared" si="309"/>
        <v>0</v>
      </c>
      <c r="M511" s="414">
        <f ca="1" t="shared" si="309"/>
        <v>0</v>
      </c>
      <c r="N511" s="414">
        <f ca="1" t="shared" si="310"/>
        <v>0</v>
      </c>
      <c r="O511" s="414">
        <f ca="1" t="shared" si="311"/>
        <v>0</v>
      </c>
    </row>
    <row r="512" ht="15" hidden="1" spans="2:15">
      <c r="B512" s="410"/>
      <c r="C512" s="417" t="s">
        <v>775</v>
      </c>
      <c r="D512" s="412"/>
      <c r="E512" s="416"/>
      <c r="F512" s="414">
        <f ca="1" t="shared" si="309"/>
        <v>198.972</v>
      </c>
      <c r="G512" s="414">
        <f ca="1" t="shared" si="309"/>
        <v>0</v>
      </c>
      <c r="H512" s="414">
        <f ca="1" t="shared" si="309"/>
        <v>0</v>
      </c>
      <c r="I512" s="414">
        <f ca="1" t="shared" si="309"/>
        <v>198.972</v>
      </c>
      <c r="J512" s="414">
        <f ca="1" t="shared" si="309"/>
        <v>39.9721005729</v>
      </c>
      <c r="K512" s="414">
        <f ca="1" t="shared" si="309"/>
        <v>0</v>
      </c>
      <c r="L512" s="414">
        <f ca="1" t="shared" si="309"/>
        <v>0</v>
      </c>
      <c r="M512" s="414">
        <f ca="1" t="shared" si="309"/>
        <v>39.9721005729</v>
      </c>
      <c r="N512" s="414">
        <f ca="1" t="shared" si="310"/>
        <v>158.9998994271</v>
      </c>
      <c r="O512" s="414">
        <f ca="1" t="shared" si="311"/>
        <v>158.9998994271</v>
      </c>
    </row>
    <row r="513" ht="15" hidden="1" spans="2:15">
      <c r="B513" s="410">
        <v>4</v>
      </c>
      <c r="C513" s="411" t="s">
        <v>776</v>
      </c>
      <c r="D513" s="412"/>
      <c r="E513" s="416"/>
      <c r="F513" s="414">
        <f t="shared" si="309"/>
        <v>0</v>
      </c>
      <c r="G513" s="414">
        <f t="shared" si="309"/>
        <v>0</v>
      </c>
      <c r="H513" s="414">
        <f t="shared" si="309"/>
        <v>0</v>
      </c>
      <c r="I513" s="414">
        <f t="shared" si="309"/>
        <v>0</v>
      </c>
      <c r="J513" s="414">
        <f t="shared" si="309"/>
        <v>0</v>
      </c>
      <c r="K513" s="414">
        <f t="shared" si="309"/>
        <v>0</v>
      </c>
      <c r="L513" s="414">
        <f t="shared" si="309"/>
        <v>0</v>
      </c>
      <c r="M513" s="414">
        <f t="shared" si="309"/>
        <v>0</v>
      </c>
      <c r="N513" s="414"/>
      <c r="O513" s="414"/>
    </row>
    <row r="514" ht="15" hidden="1" spans="2:15">
      <c r="B514" s="410"/>
      <c r="C514" s="418" t="s">
        <v>777</v>
      </c>
      <c r="D514" s="412"/>
      <c r="E514" s="416"/>
      <c r="F514" s="414">
        <f ca="1" t="shared" si="309"/>
        <v>10971.4386445472</v>
      </c>
      <c r="G514" s="414">
        <f t="shared" si="309"/>
        <v>1337.46965110685</v>
      </c>
      <c r="H514" s="414">
        <f ca="1" t="shared" si="309"/>
        <v>0</v>
      </c>
      <c r="I514" s="414">
        <f ca="1" t="shared" si="309"/>
        <v>12308.908295654</v>
      </c>
      <c r="J514" s="414">
        <f ca="1" t="shared" si="309"/>
        <v>5347.14556009865</v>
      </c>
      <c r="K514" s="414">
        <f t="shared" si="309"/>
        <v>416.479322740801</v>
      </c>
      <c r="L514" s="414">
        <f ca="1" t="shared" si="309"/>
        <v>0</v>
      </c>
      <c r="M514" s="414">
        <f ca="1" t="shared" si="309"/>
        <v>5763.62488283945</v>
      </c>
      <c r="N514" s="414">
        <f ca="1" t="shared" ref="N514:N517" si="312">F514-J514</f>
        <v>5624.29308444851</v>
      </c>
      <c r="O514" s="414">
        <f ca="1" t="shared" ref="O514:O517" si="313">I514-M514</f>
        <v>6545.28341281456</v>
      </c>
    </row>
    <row r="515" ht="15" hidden="1" spans="2:15">
      <c r="B515" s="410"/>
      <c r="C515" s="411" t="s">
        <v>778</v>
      </c>
      <c r="D515" s="412"/>
      <c r="E515" s="416"/>
      <c r="F515" s="414">
        <f t="shared" si="309"/>
        <v>0</v>
      </c>
      <c r="G515" s="414">
        <f t="shared" si="309"/>
        <v>0</v>
      </c>
      <c r="H515" s="414">
        <f t="shared" si="309"/>
        <v>0</v>
      </c>
      <c r="I515" s="414">
        <f t="shared" si="309"/>
        <v>0</v>
      </c>
      <c r="J515" s="414">
        <f t="shared" si="309"/>
        <v>0</v>
      </c>
      <c r="K515" s="414">
        <f t="shared" si="309"/>
        <v>0</v>
      </c>
      <c r="L515" s="414">
        <f t="shared" si="309"/>
        <v>0</v>
      </c>
      <c r="M515" s="414">
        <f t="shared" si="309"/>
        <v>0</v>
      </c>
      <c r="N515" s="414"/>
      <c r="O515" s="414"/>
    </row>
    <row r="516" ht="15" hidden="1" spans="2:15">
      <c r="B516" s="410"/>
      <c r="C516" s="418" t="s">
        <v>779</v>
      </c>
      <c r="D516" s="412"/>
      <c r="E516" s="416"/>
      <c r="F516" s="414">
        <f ca="1" t="shared" si="309"/>
        <v>0</v>
      </c>
      <c r="G516" s="414">
        <f ca="1" t="shared" si="309"/>
        <v>0</v>
      </c>
      <c r="H516" s="414">
        <f ca="1" t="shared" si="309"/>
        <v>0</v>
      </c>
      <c r="I516" s="414">
        <f ca="1" t="shared" si="309"/>
        <v>0</v>
      </c>
      <c r="J516" s="414">
        <f ca="1" t="shared" si="309"/>
        <v>0</v>
      </c>
      <c r="K516" s="414">
        <f ca="1" t="shared" si="309"/>
        <v>0</v>
      </c>
      <c r="L516" s="414">
        <f ca="1" t="shared" si="309"/>
        <v>0</v>
      </c>
      <c r="M516" s="414">
        <f ca="1" t="shared" si="309"/>
        <v>0</v>
      </c>
      <c r="N516" s="414">
        <f ca="1" t="shared" si="312"/>
        <v>0</v>
      </c>
      <c r="O516" s="414">
        <f ca="1" t="shared" si="313"/>
        <v>0</v>
      </c>
    </row>
    <row r="517" ht="15" hidden="1" spans="2:15">
      <c r="B517" s="410"/>
      <c r="C517" s="418" t="s">
        <v>780</v>
      </c>
      <c r="D517" s="412"/>
      <c r="E517" s="416"/>
      <c r="F517" s="414">
        <f ca="1" t="shared" si="309"/>
        <v>0</v>
      </c>
      <c r="G517" s="414">
        <f ca="1" t="shared" si="309"/>
        <v>0</v>
      </c>
      <c r="H517" s="414">
        <f ca="1" t="shared" si="309"/>
        <v>0</v>
      </c>
      <c r="I517" s="414">
        <f ca="1" t="shared" si="309"/>
        <v>0</v>
      </c>
      <c r="J517" s="414">
        <f ca="1" t="shared" si="309"/>
        <v>0</v>
      </c>
      <c r="K517" s="414">
        <f ca="1" t="shared" si="309"/>
        <v>0</v>
      </c>
      <c r="L517" s="414">
        <f ca="1" t="shared" si="309"/>
        <v>0</v>
      </c>
      <c r="M517" s="414">
        <f ca="1" t="shared" si="309"/>
        <v>0</v>
      </c>
      <c r="N517" s="414">
        <f ca="1" t="shared" si="312"/>
        <v>0</v>
      </c>
      <c r="O517" s="414">
        <f ca="1" t="shared" si="313"/>
        <v>0</v>
      </c>
    </row>
    <row r="518" ht="15" hidden="1" spans="2:15">
      <c r="B518" s="410">
        <v>5</v>
      </c>
      <c r="C518" s="411" t="s">
        <v>781</v>
      </c>
      <c r="D518" s="412"/>
      <c r="E518" s="416"/>
      <c r="F518" s="414">
        <f t="shared" si="309"/>
        <v>0</v>
      </c>
      <c r="G518" s="414">
        <f t="shared" si="309"/>
        <v>0</v>
      </c>
      <c r="H518" s="414">
        <f t="shared" si="309"/>
        <v>0</v>
      </c>
      <c r="I518" s="414">
        <f t="shared" si="309"/>
        <v>0</v>
      </c>
      <c r="J518" s="414">
        <f t="shared" si="309"/>
        <v>0</v>
      </c>
      <c r="K518" s="414">
        <f t="shared" si="309"/>
        <v>0</v>
      </c>
      <c r="L518" s="414">
        <f t="shared" si="309"/>
        <v>0</v>
      </c>
      <c r="M518" s="414">
        <f t="shared" si="309"/>
        <v>0</v>
      </c>
      <c r="N518" s="414"/>
      <c r="O518" s="414"/>
    </row>
    <row r="519" ht="15" hidden="1" spans="2:15">
      <c r="B519" s="410"/>
      <c r="C519" s="418" t="s">
        <v>782</v>
      </c>
      <c r="D519" s="412"/>
      <c r="E519" s="416"/>
      <c r="F519" s="414">
        <f ca="1" t="shared" si="309"/>
        <v>0</v>
      </c>
      <c r="G519" s="414">
        <f ca="1" t="shared" si="309"/>
        <v>0</v>
      </c>
      <c r="H519" s="414">
        <f ca="1" t="shared" si="309"/>
        <v>0</v>
      </c>
      <c r="I519" s="414">
        <f ca="1" t="shared" si="309"/>
        <v>0</v>
      </c>
      <c r="J519" s="414">
        <f ca="1" t="shared" si="309"/>
        <v>0</v>
      </c>
      <c r="K519" s="414">
        <f ca="1" t="shared" si="309"/>
        <v>0</v>
      </c>
      <c r="L519" s="414">
        <f ca="1" t="shared" si="309"/>
        <v>0</v>
      </c>
      <c r="M519" s="414">
        <f ca="1" t="shared" si="309"/>
        <v>0</v>
      </c>
      <c r="N519" s="414">
        <f ca="1" t="shared" ref="N519:N524" si="314">F519-J519</f>
        <v>0</v>
      </c>
      <c r="O519" s="414">
        <f ca="1" t="shared" ref="O519:O524" si="315">I519-M519</f>
        <v>0</v>
      </c>
    </row>
    <row r="520" ht="15" hidden="1" spans="2:15">
      <c r="B520" s="410"/>
      <c r="C520" s="418" t="s">
        <v>783</v>
      </c>
      <c r="D520" s="412"/>
      <c r="E520" s="416"/>
      <c r="F520" s="414">
        <f ca="1" t="shared" si="309"/>
        <v>0</v>
      </c>
      <c r="G520" s="414">
        <f ca="1" t="shared" si="309"/>
        <v>0</v>
      </c>
      <c r="H520" s="414">
        <f ca="1" t="shared" si="309"/>
        <v>0</v>
      </c>
      <c r="I520" s="414">
        <f ca="1" t="shared" si="309"/>
        <v>0</v>
      </c>
      <c r="J520" s="414">
        <f ca="1" t="shared" si="309"/>
        <v>0</v>
      </c>
      <c r="K520" s="414">
        <f ca="1" t="shared" si="309"/>
        <v>0</v>
      </c>
      <c r="L520" s="414">
        <f ca="1" t="shared" si="309"/>
        <v>0</v>
      </c>
      <c r="M520" s="414">
        <f ca="1" t="shared" si="309"/>
        <v>0</v>
      </c>
      <c r="N520" s="414">
        <f ca="1" t="shared" si="314"/>
        <v>0</v>
      </c>
      <c r="O520" s="414">
        <f ca="1" t="shared" si="315"/>
        <v>0</v>
      </c>
    </row>
    <row r="521" ht="15" hidden="1" spans="2:15">
      <c r="B521" s="410"/>
      <c r="C521" s="418" t="s">
        <v>784</v>
      </c>
      <c r="D521" s="412"/>
      <c r="E521" s="416"/>
      <c r="F521" s="414">
        <f ca="1" t="shared" si="309"/>
        <v>0</v>
      </c>
      <c r="G521" s="414">
        <f ca="1" t="shared" si="309"/>
        <v>0</v>
      </c>
      <c r="H521" s="414">
        <f ca="1" t="shared" si="309"/>
        <v>0</v>
      </c>
      <c r="I521" s="414">
        <f ca="1" t="shared" si="309"/>
        <v>0</v>
      </c>
      <c r="J521" s="414">
        <f ca="1" t="shared" si="309"/>
        <v>0</v>
      </c>
      <c r="K521" s="414">
        <f ca="1" t="shared" si="309"/>
        <v>0</v>
      </c>
      <c r="L521" s="414">
        <f ca="1" t="shared" si="309"/>
        <v>0</v>
      </c>
      <c r="M521" s="414">
        <f ca="1" t="shared" si="309"/>
        <v>0</v>
      </c>
      <c r="N521" s="414">
        <f ca="1" t="shared" si="314"/>
        <v>0</v>
      </c>
      <c r="O521" s="414">
        <f ca="1" t="shared" si="315"/>
        <v>0</v>
      </c>
    </row>
    <row r="522" ht="15" hidden="1" spans="2:15">
      <c r="B522" s="410"/>
      <c r="C522" s="418" t="s">
        <v>785</v>
      </c>
      <c r="D522" s="412"/>
      <c r="E522" s="416"/>
      <c r="F522" s="414">
        <f ca="1" t="shared" si="309"/>
        <v>0</v>
      </c>
      <c r="G522" s="414">
        <f ca="1" t="shared" si="309"/>
        <v>0</v>
      </c>
      <c r="H522" s="414">
        <f ca="1" t="shared" si="309"/>
        <v>0</v>
      </c>
      <c r="I522" s="414">
        <f ca="1" t="shared" si="309"/>
        <v>0</v>
      </c>
      <c r="J522" s="414">
        <f ca="1" t="shared" si="309"/>
        <v>0</v>
      </c>
      <c r="K522" s="414">
        <f ca="1" t="shared" si="309"/>
        <v>0</v>
      </c>
      <c r="L522" s="414">
        <f ca="1" t="shared" si="309"/>
        <v>0</v>
      </c>
      <c r="M522" s="414">
        <f ca="1" t="shared" si="309"/>
        <v>0</v>
      </c>
      <c r="N522" s="414">
        <f ca="1" t="shared" si="314"/>
        <v>0</v>
      </c>
      <c r="O522" s="414">
        <f ca="1" t="shared" si="315"/>
        <v>0</v>
      </c>
    </row>
    <row r="523" ht="15" hidden="1" spans="2:15">
      <c r="B523" s="410">
        <v>6</v>
      </c>
      <c r="C523" s="411" t="s">
        <v>786</v>
      </c>
      <c r="D523" s="412"/>
      <c r="E523" s="416"/>
      <c r="F523" s="414">
        <f ca="1" t="shared" ref="F523:M538" si="316">90%*F206</f>
        <v>0</v>
      </c>
      <c r="G523" s="414">
        <f ca="1" t="shared" si="316"/>
        <v>0</v>
      </c>
      <c r="H523" s="414">
        <f ca="1" t="shared" si="316"/>
        <v>0</v>
      </c>
      <c r="I523" s="414">
        <f ca="1" t="shared" si="316"/>
        <v>0</v>
      </c>
      <c r="J523" s="414">
        <f ca="1" t="shared" si="316"/>
        <v>0</v>
      </c>
      <c r="K523" s="414">
        <f ca="1" t="shared" si="316"/>
        <v>0</v>
      </c>
      <c r="L523" s="414">
        <f ca="1" t="shared" si="316"/>
        <v>0</v>
      </c>
      <c r="M523" s="414">
        <f ca="1" t="shared" si="316"/>
        <v>0</v>
      </c>
      <c r="N523" s="414">
        <f ca="1" t="shared" si="314"/>
        <v>0</v>
      </c>
      <c r="O523" s="414">
        <f ca="1" t="shared" si="315"/>
        <v>0</v>
      </c>
    </row>
    <row r="524" ht="15" hidden="1" spans="2:15">
      <c r="B524" s="410">
        <v>7</v>
      </c>
      <c r="C524" s="411" t="s">
        <v>787</v>
      </c>
      <c r="D524" s="412"/>
      <c r="E524" s="416"/>
      <c r="F524" s="414">
        <f ca="1" t="shared" si="316"/>
        <v>0</v>
      </c>
      <c r="G524" s="414">
        <f ca="1" t="shared" si="316"/>
        <v>0</v>
      </c>
      <c r="H524" s="414">
        <f ca="1" t="shared" si="316"/>
        <v>0</v>
      </c>
      <c r="I524" s="414">
        <f ca="1" t="shared" si="316"/>
        <v>0</v>
      </c>
      <c r="J524" s="414">
        <f ca="1" t="shared" si="316"/>
        <v>0</v>
      </c>
      <c r="K524" s="414">
        <f ca="1" t="shared" si="316"/>
        <v>0</v>
      </c>
      <c r="L524" s="414">
        <f ca="1" t="shared" si="316"/>
        <v>0</v>
      </c>
      <c r="M524" s="414">
        <f ca="1" t="shared" si="316"/>
        <v>0</v>
      </c>
      <c r="N524" s="414">
        <f ca="1" t="shared" si="314"/>
        <v>0</v>
      </c>
      <c r="O524" s="414">
        <f ca="1" t="shared" si="315"/>
        <v>0</v>
      </c>
    </row>
    <row r="525" ht="15" hidden="1" spans="2:15">
      <c r="B525" s="410">
        <v>8</v>
      </c>
      <c r="C525" s="411" t="s">
        <v>788</v>
      </c>
      <c r="D525" s="412"/>
      <c r="E525" s="416"/>
      <c r="F525" s="414">
        <f t="shared" si="316"/>
        <v>0</v>
      </c>
      <c r="G525" s="414">
        <f t="shared" si="316"/>
        <v>0</v>
      </c>
      <c r="H525" s="414">
        <f t="shared" si="316"/>
        <v>0</v>
      </c>
      <c r="I525" s="414">
        <f t="shared" si="316"/>
        <v>0</v>
      </c>
      <c r="J525" s="414">
        <f t="shared" si="316"/>
        <v>0</v>
      </c>
      <c r="K525" s="414">
        <f t="shared" si="316"/>
        <v>0</v>
      </c>
      <c r="L525" s="414">
        <f t="shared" si="316"/>
        <v>0</v>
      </c>
      <c r="M525" s="414">
        <f t="shared" si="316"/>
        <v>0</v>
      </c>
      <c r="N525" s="414"/>
      <c r="O525" s="414"/>
    </row>
    <row r="526" ht="15" hidden="1" spans="2:15">
      <c r="B526" s="410"/>
      <c r="C526" s="418" t="s">
        <v>789</v>
      </c>
      <c r="D526" s="412"/>
      <c r="E526" s="416"/>
      <c r="F526" s="414">
        <f ca="1" t="shared" si="316"/>
        <v>11160.3088500237</v>
      </c>
      <c r="G526" s="414">
        <f t="shared" si="316"/>
        <v>1553.16339060571</v>
      </c>
      <c r="H526" s="414">
        <f ca="1" t="shared" si="316"/>
        <v>0</v>
      </c>
      <c r="I526" s="414">
        <f ca="1" t="shared" si="316"/>
        <v>12713.4722406294</v>
      </c>
      <c r="J526" s="414">
        <f ca="1" t="shared" si="316"/>
        <v>4768.97755465334</v>
      </c>
      <c r="K526" s="414">
        <f t="shared" si="316"/>
        <v>396.316331224765</v>
      </c>
      <c r="L526" s="414">
        <f ca="1" t="shared" si="316"/>
        <v>0</v>
      </c>
      <c r="M526" s="414">
        <f ca="1" t="shared" si="316"/>
        <v>5165.2938858781</v>
      </c>
      <c r="N526" s="414">
        <f ca="1" t="shared" ref="N526:O530" si="317">F526-J526</f>
        <v>6391.33129537033</v>
      </c>
      <c r="O526" s="414">
        <f ca="1" t="shared" ref="O526:O528" si="318">I526-M526</f>
        <v>7548.17835475127</v>
      </c>
    </row>
    <row r="527" ht="15" hidden="1" spans="2:15">
      <c r="B527" s="410"/>
      <c r="C527" s="418" t="s">
        <v>808</v>
      </c>
      <c r="D527" s="412"/>
      <c r="E527" s="416"/>
      <c r="F527" s="414">
        <f ca="1" t="shared" si="316"/>
        <v>0</v>
      </c>
      <c r="G527" s="414">
        <f ca="1" t="shared" si="316"/>
        <v>0</v>
      </c>
      <c r="H527" s="414">
        <f ca="1" t="shared" si="316"/>
        <v>0</v>
      </c>
      <c r="I527" s="414">
        <f ca="1" t="shared" si="316"/>
        <v>0</v>
      </c>
      <c r="J527" s="414">
        <f ca="1" t="shared" si="316"/>
        <v>0</v>
      </c>
      <c r="K527" s="414">
        <f ca="1" t="shared" si="316"/>
        <v>0</v>
      </c>
      <c r="L527" s="414">
        <f ca="1" t="shared" si="316"/>
        <v>0</v>
      </c>
      <c r="M527" s="414">
        <f ca="1" t="shared" si="316"/>
        <v>0</v>
      </c>
      <c r="N527" s="414">
        <f ca="1" t="shared" si="317"/>
        <v>0</v>
      </c>
      <c r="O527" s="414">
        <f ca="1" t="shared" si="318"/>
        <v>0</v>
      </c>
    </row>
    <row r="528" ht="30" hidden="1" spans="2:15">
      <c r="B528" s="420">
        <v>9</v>
      </c>
      <c r="C528" s="421" t="s">
        <v>791</v>
      </c>
      <c r="D528" s="412"/>
      <c r="E528" s="416"/>
      <c r="F528" s="414">
        <f ca="1" t="shared" si="316"/>
        <v>0</v>
      </c>
      <c r="G528" s="414">
        <f ca="1" t="shared" si="316"/>
        <v>0</v>
      </c>
      <c r="H528" s="414">
        <f ca="1" t="shared" si="316"/>
        <v>0</v>
      </c>
      <c r="I528" s="414">
        <f ca="1" t="shared" si="316"/>
        <v>0</v>
      </c>
      <c r="J528" s="414">
        <f ca="1" t="shared" si="316"/>
        <v>0</v>
      </c>
      <c r="K528" s="414">
        <f ca="1" t="shared" si="316"/>
        <v>0</v>
      </c>
      <c r="L528" s="414">
        <f ca="1" t="shared" si="316"/>
        <v>0</v>
      </c>
      <c r="M528" s="414">
        <f ca="1" t="shared" si="316"/>
        <v>0</v>
      </c>
      <c r="N528" s="414">
        <f ca="1" t="shared" si="317"/>
        <v>0</v>
      </c>
      <c r="O528" s="414">
        <f ca="1" t="shared" si="318"/>
        <v>0</v>
      </c>
    </row>
    <row r="529" ht="15" hidden="1" spans="2:15">
      <c r="B529" s="422">
        <v>10</v>
      </c>
      <c r="C529" s="423" t="s">
        <v>792</v>
      </c>
      <c r="D529" s="424"/>
      <c r="E529" s="416"/>
      <c r="F529" s="414">
        <f ca="1" t="shared" si="316"/>
        <v>1867.29577016266</v>
      </c>
      <c r="G529" s="414">
        <f t="shared" si="316"/>
        <v>103.308846026602</v>
      </c>
      <c r="H529" s="414">
        <f ca="1" t="shared" si="316"/>
        <v>0</v>
      </c>
      <c r="I529" s="414">
        <f ca="1" t="shared" si="316"/>
        <v>1970.60461618926</v>
      </c>
      <c r="J529" s="414">
        <f ca="1" t="shared" si="316"/>
        <v>1192.87288722502</v>
      </c>
      <c r="K529" s="414">
        <f t="shared" si="316"/>
        <v>59.1189346389373</v>
      </c>
      <c r="L529" s="414">
        <f ca="1" t="shared" si="316"/>
        <v>0</v>
      </c>
      <c r="M529" s="414">
        <f ca="1" t="shared" si="316"/>
        <v>1251.99182186396</v>
      </c>
      <c r="N529" s="414">
        <f ca="1" t="shared" si="317"/>
        <v>674.422882937637</v>
      </c>
      <c r="O529" s="414">
        <f t="shared" si="317"/>
        <v>44.1899113876643</v>
      </c>
    </row>
    <row r="530" ht="15" hidden="1" spans="2:15">
      <c r="B530" s="422">
        <v>11</v>
      </c>
      <c r="C530" s="423" t="s">
        <v>793</v>
      </c>
      <c r="D530" s="424"/>
      <c r="E530" s="416"/>
      <c r="F530" s="414">
        <f ca="1" t="shared" si="316"/>
        <v>6.372</v>
      </c>
      <c r="G530" s="414">
        <f ca="1" t="shared" si="316"/>
        <v>0</v>
      </c>
      <c r="H530" s="414">
        <f ca="1" t="shared" si="316"/>
        <v>0</v>
      </c>
      <c r="I530" s="414">
        <f ca="1" t="shared" si="316"/>
        <v>6.372</v>
      </c>
      <c r="J530" s="414">
        <f ca="1" t="shared" si="316"/>
        <v>5.7529799388</v>
      </c>
      <c r="K530" s="414">
        <f t="shared" si="316"/>
        <v>0.3969098271</v>
      </c>
      <c r="L530" s="414">
        <f ca="1" t="shared" si="316"/>
        <v>0</v>
      </c>
      <c r="M530" s="414">
        <f ca="1" t="shared" si="316"/>
        <v>6.1498897659</v>
      </c>
      <c r="N530" s="414">
        <f ca="1" t="shared" si="317"/>
        <v>0.619020061200001</v>
      </c>
      <c r="O530" s="414">
        <f ca="1" t="shared" si="317"/>
        <v>-0.3969098271</v>
      </c>
    </row>
    <row r="531" ht="15" hidden="1" spans="2:15">
      <c r="B531" s="422">
        <v>12</v>
      </c>
      <c r="C531" s="423" t="s">
        <v>794</v>
      </c>
      <c r="D531" s="424"/>
      <c r="E531" s="416"/>
      <c r="F531" s="414">
        <f t="shared" si="316"/>
        <v>0</v>
      </c>
      <c r="G531" s="414">
        <f t="shared" si="316"/>
        <v>0</v>
      </c>
      <c r="H531" s="414">
        <f t="shared" si="316"/>
        <v>0</v>
      </c>
      <c r="I531" s="414">
        <f t="shared" si="316"/>
        <v>0</v>
      </c>
      <c r="J531" s="414">
        <f t="shared" si="316"/>
        <v>0</v>
      </c>
      <c r="K531" s="414">
        <f t="shared" si="316"/>
        <v>0</v>
      </c>
      <c r="L531" s="414">
        <f t="shared" si="316"/>
        <v>0</v>
      </c>
      <c r="M531" s="414">
        <f t="shared" si="316"/>
        <v>0</v>
      </c>
      <c r="N531" s="414"/>
      <c r="O531" s="414"/>
    </row>
    <row r="532" ht="15" hidden="1" spans="2:15">
      <c r="B532" s="422"/>
      <c r="C532" s="425" t="s">
        <v>795</v>
      </c>
      <c r="D532" s="424"/>
      <c r="E532" s="416"/>
      <c r="F532" s="414">
        <f ca="1" t="shared" si="316"/>
        <v>2.34</v>
      </c>
      <c r="G532" s="414">
        <f ca="1" t="shared" si="316"/>
        <v>0</v>
      </c>
      <c r="H532" s="414">
        <f ca="1" t="shared" si="316"/>
        <v>0</v>
      </c>
      <c r="I532" s="414">
        <f ca="1" t="shared" si="316"/>
        <v>2.34</v>
      </c>
      <c r="J532" s="414">
        <f ca="1" t="shared" si="316"/>
        <v>1.5314797188</v>
      </c>
      <c r="K532" s="414">
        <f ca="1" t="shared" si="316"/>
        <v>0</v>
      </c>
      <c r="L532" s="414">
        <f ca="1" t="shared" si="316"/>
        <v>0</v>
      </c>
      <c r="M532" s="414">
        <f ca="1" t="shared" si="316"/>
        <v>1.5314797188</v>
      </c>
      <c r="N532" s="414">
        <f ca="1" t="shared" ref="N532:O533" si="319">F532-J532</f>
        <v>0.8085202812</v>
      </c>
      <c r="O532" s="414">
        <f ca="1" t="shared" si="319"/>
        <v>0</v>
      </c>
    </row>
    <row r="533" ht="15" hidden="1" spans="2:15">
      <c r="B533" s="422"/>
      <c r="C533" s="425" t="s">
        <v>796</v>
      </c>
      <c r="D533" s="424"/>
      <c r="E533" s="416"/>
      <c r="F533" s="414">
        <f ca="1" t="shared" si="316"/>
        <v>0</v>
      </c>
      <c r="G533" s="414">
        <f ca="1" t="shared" si="316"/>
        <v>0</v>
      </c>
      <c r="H533" s="414">
        <f ca="1" t="shared" si="316"/>
        <v>0</v>
      </c>
      <c r="I533" s="414">
        <f ca="1" t="shared" si="316"/>
        <v>0</v>
      </c>
      <c r="J533" s="414">
        <f ca="1" t="shared" si="316"/>
        <v>0</v>
      </c>
      <c r="K533" s="414">
        <f ca="1" t="shared" si="316"/>
        <v>0</v>
      </c>
      <c r="L533" s="414">
        <f ca="1" t="shared" si="316"/>
        <v>0</v>
      </c>
      <c r="M533" s="414">
        <f ca="1" t="shared" si="316"/>
        <v>0</v>
      </c>
      <c r="N533" s="414">
        <f ca="1" t="shared" si="319"/>
        <v>0</v>
      </c>
      <c r="O533" s="414">
        <f ca="1" t="shared" si="319"/>
        <v>0</v>
      </c>
    </row>
    <row r="534" ht="15" hidden="1" spans="2:15">
      <c r="B534" s="422">
        <v>13</v>
      </c>
      <c r="C534" s="425"/>
      <c r="D534" s="424"/>
      <c r="E534" s="416"/>
      <c r="F534" s="414">
        <f t="shared" si="316"/>
        <v>0</v>
      </c>
      <c r="G534" s="414">
        <f t="shared" si="316"/>
        <v>0</v>
      </c>
      <c r="H534" s="414">
        <f t="shared" si="316"/>
        <v>0</v>
      </c>
      <c r="I534" s="414">
        <f t="shared" si="316"/>
        <v>0</v>
      </c>
      <c r="J534" s="414">
        <f t="shared" si="316"/>
        <v>0</v>
      </c>
      <c r="K534" s="414">
        <f t="shared" si="316"/>
        <v>0</v>
      </c>
      <c r="L534" s="414">
        <f t="shared" si="316"/>
        <v>0</v>
      </c>
      <c r="M534" s="414">
        <f t="shared" si="316"/>
        <v>0</v>
      </c>
      <c r="N534" s="414"/>
      <c r="O534" s="414"/>
    </row>
    <row r="535" ht="15" hidden="1" spans="2:15">
      <c r="B535" s="422"/>
      <c r="C535" s="425" t="s">
        <v>797</v>
      </c>
      <c r="D535" s="424"/>
      <c r="E535" s="416"/>
      <c r="F535" s="414">
        <f ca="1" t="shared" si="316"/>
        <v>15.525</v>
      </c>
      <c r="G535" s="414">
        <f ca="1" t="shared" si="316"/>
        <v>0</v>
      </c>
      <c r="H535" s="414">
        <f ca="1" t="shared" si="316"/>
        <v>0</v>
      </c>
      <c r="I535" s="414">
        <f ca="1" t="shared" si="316"/>
        <v>15.525</v>
      </c>
      <c r="J535" s="414">
        <f ca="1" t="shared" si="316"/>
        <v>11.7153220194</v>
      </c>
      <c r="K535" s="414">
        <f t="shared" si="316"/>
        <v>0.3969098271</v>
      </c>
      <c r="L535" s="414">
        <f ca="1" t="shared" si="316"/>
        <v>0</v>
      </c>
      <c r="M535" s="414">
        <f ca="1" t="shared" si="316"/>
        <v>12.1122318465</v>
      </c>
      <c r="N535" s="414">
        <f ca="1" t="shared" ref="N535:O538" si="320">F535-J535</f>
        <v>3.8096779806</v>
      </c>
      <c r="O535" s="414">
        <f ca="1" t="shared" si="320"/>
        <v>-0.3969098271</v>
      </c>
    </row>
    <row r="536" ht="15" hidden="1" spans="2:15">
      <c r="B536" s="422"/>
      <c r="C536" s="425" t="s">
        <v>798</v>
      </c>
      <c r="D536" s="424"/>
      <c r="E536" s="416"/>
      <c r="F536" s="414">
        <f ca="1" t="shared" si="316"/>
        <v>46.6407327998367</v>
      </c>
      <c r="G536" s="414">
        <f t="shared" si="316"/>
        <v>0.189137563577438</v>
      </c>
      <c r="H536" s="414">
        <f ca="1" t="shared" si="316"/>
        <v>0</v>
      </c>
      <c r="I536" s="414">
        <f ca="1" t="shared" si="316"/>
        <v>46.8298703634142</v>
      </c>
      <c r="J536" s="414">
        <f ca="1" t="shared" si="316"/>
        <v>34.1723608872635</v>
      </c>
      <c r="K536" s="414">
        <f t="shared" si="316"/>
        <v>1.3222212778463</v>
      </c>
      <c r="L536" s="414">
        <f ca="1" t="shared" si="316"/>
        <v>0</v>
      </c>
      <c r="M536" s="414">
        <f ca="1" t="shared" si="316"/>
        <v>35.4945821651098</v>
      </c>
      <c r="N536" s="414">
        <f ca="1" t="shared" si="320"/>
        <v>12.4683719125732</v>
      </c>
      <c r="O536" s="414">
        <f t="shared" si="320"/>
        <v>-1.13308371426886</v>
      </c>
    </row>
    <row r="537" ht="15" hidden="1" spans="2:15">
      <c r="B537" s="422"/>
      <c r="C537" s="425" t="s">
        <v>799</v>
      </c>
      <c r="D537" s="424"/>
      <c r="E537" s="416"/>
      <c r="F537" s="414">
        <f ca="1" t="shared" si="316"/>
        <v>0</v>
      </c>
      <c r="G537" s="414">
        <f ca="1" t="shared" si="316"/>
        <v>0</v>
      </c>
      <c r="H537" s="414">
        <f ca="1" t="shared" si="316"/>
        <v>0</v>
      </c>
      <c r="I537" s="414">
        <f ca="1" t="shared" si="316"/>
        <v>0</v>
      </c>
      <c r="J537" s="414">
        <f ca="1" t="shared" si="316"/>
        <v>0</v>
      </c>
      <c r="K537" s="414">
        <f ca="1" t="shared" si="316"/>
        <v>0</v>
      </c>
      <c r="L537" s="414">
        <f ca="1" t="shared" si="316"/>
        <v>0</v>
      </c>
      <c r="M537" s="414">
        <f ca="1" t="shared" si="316"/>
        <v>0</v>
      </c>
      <c r="N537" s="414">
        <f ca="1" t="shared" si="320"/>
        <v>0</v>
      </c>
      <c r="O537" s="414">
        <f ca="1" t="shared" si="320"/>
        <v>0</v>
      </c>
    </row>
    <row r="538" ht="15" hidden="1" spans="2:15">
      <c r="B538" s="422"/>
      <c r="C538" s="425" t="s">
        <v>800</v>
      </c>
      <c r="D538" s="424"/>
      <c r="E538" s="416"/>
      <c r="F538" s="414">
        <f ca="1" t="shared" si="316"/>
        <v>0</v>
      </c>
      <c r="G538" s="414">
        <f ca="1" t="shared" si="316"/>
        <v>0</v>
      </c>
      <c r="H538" s="414">
        <f ca="1" t="shared" si="316"/>
        <v>0</v>
      </c>
      <c r="I538" s="414">
        <f ca="1" t="shared" si="316"/>
        <v>0</v>
      </c>
      <c r="J538" s="414">
        <f ca="1" t="shared" si="316"/>
        <v>0</v>
      </c>
      <c r="K538" s="414">
        <f ca="1" t="shared" si="316"/>
        <v>0</v>
      </c>
      <c r="L538" s="414">
        <f ca="1" t="shared" si="316"/>
        <v>0</v>
      </c>
      <c r="M538" s="414">
        <f ca="1" t="shared" si="316"/>
        <v>0</v>
      </c>
      <c r="N538" s="414">
        <f ca="1" t="shared" si="320"/>
        <v>0</v>
      </c>
      <c r="O538" s="414">
        <f ca="1" t="shared" si="320"/>
        <v>0</v>
      </c>
    </row>
    <row r="539" ht="15" hidden="1" spans="2:15">
      <c r="B539" s="422">
        <v>14</v>
      </c>
      <c r="C539" s="423" t="s">
        <v>801</v>
      </c>
      <c r="D539" s="424"/>
      <c r="E539" s="416"/>
      <c r="F539" s="414">
        <f t="shared" ref="F539:M545" si="321">90%*F222</f>
        <v>0</v>
      </c>
      <c r="G539" s="414">
        <f t="shared" si="321"/>
        <v>0</v>
      </c>
      <c r="H539" s="414">
        <f t="shared" si="321"/>
        <v>0</v>
      </c>
      <c r="I539" s="414">
        <f t="shared" si="321"/>
        <v>0</v>
      </c>
      <c r="J539" s="414">
        <f t="shared" si="321"/>
        <v>0</v>
      </c>
      <c r="K539" s="414">
        <f t="shared" si="321"/>
        <v>0</v>
      </c>
      <c r="L539" s="414">
        <f t="shared" si="321"/>
        <v>0</v>
      </c>
      <c r="M539" s="414">
        <f t="shared" si="321"/>
        <v>0</v>
      </c>
      <c r="N539" s="414"/>
      <c r="O539" s="414"/>
    </row>
    <row r="540" ht="15" hidden="1" spans="2:15">
      <c r="B540" s="422"/>
      <c r="C540" s="425" t="s">
        <v>802</v>
      </c>
      <c r="D540" s="424"/>
      <c r="E540" s="416"/>
      <c r="F540" s="414">
        <f ca="1" t="shared" si="321"/>
        <v>0</v>
      </c>
      <c r="G540" s="414">
        <f ca="1" t="shared" si="321"/>
        <v>0</v>
      </c>
      <c r="H540" s="414">
        <f ca="1" t="shared" si="321"/>
        <v>0</v>
      </c>
      <c r="I540" s="414">
        <f ca="1" t="shared" si="321"/>
        <v>0</v>
      </c>
      <c r="J540" s="414">
        <f ca="1" t="shared" si="321"/>
        <v>0</v>
      </c>
      <c r="K540" s="414">
        <f ca="1" t="shared" si="321"/>
        <v>0</v>
      </c>
      <c r="L540" s="414">
        <f ca="1" t="shared" si="321"/>
        <v>0</v>
      </c>
      <c r="M540" s="414">
        <f ca="1" t="shared" si="321"/>
        <v>0</v>
      </c>
      <c r="N540" s="414">
        <f ca="1" t="shared" ref="N540:O545" si="322">F540-J540</f>
        <v>0</v>
      </c>
      <c r="O540" s="414">
        <f ca="1" t="shared" si="322"/>
        <v>0</v>
      </c>
    </row>
    <row r="541" ht="15" hidden="1" spans="2:15">
      <c r="B541" s="422"/>
      <c r="C541" s="425" t="s">
        <v>803</v>
      </c>
      <c r="D541" s="424"/>
      <c r="E541" s="416"/>
      <c r="F541" s="414">
        <f ca="1" t="shared" si="321"/>
        <v>0</v>
      </c>
      <c r="G541" s="414">
        <f ca="1" t="shared" si="321"/>
        <v>0</v>
      </c>
      <c r="H541" s="414">
        <f ca="1" t="shared" si="321"/>
        <v>0</v>
      </c>
      <c r="I541" s="414">
        <f ca="1" t="shared" si="321"/>
        <v>0</v>
      </c>
      <c r="J541" s="414">
        <f ca="1" t="shared" si="321"/>
        <v>0</v>
      </c>
      <c r="K541" s="414">
        <f ca="1" t="shared" si="321"/>
        <v>0</v>
      </c>
      <c r="L541" s="414">
        <f ca="1" t="shared" si="321"/>
        <v>0</v>
      </c>
      <c r="M541" s="414">
        <f ca="1" t="shared" si="321"/>
        <v>0</v>
      </c>
      <c r="N541" s="414">
        <f ca="1" t="shared" si="322"/>
        <v>0</v>
      </c>
      <c r="O541" s="414">
        <f ca="1" t="shared" si="322"/>
        <v>0</v>
      </c>
    </row>
    <row r="542" ht="15" hidden="1" spans="2:15">
      <c r="B542" s="422"/>
      <c r="C542" s="425" t="s">
        <v>804</v>
      </c>
      <c r="D542" s="424"/>
      <c r="E542" s="416"/>
      <c r="F542" s="414">
        <f ca="1" t="shared" si="321"/>
        <v>0</v>
      </c>
      <c r="G542" s="414">
        <f ca="1" t="shared" si="321"/>
        <v>0</v>
      </c>
      <c r="H542" s="414">
        <f ca="1" t="shared" si="321"/>
        <v>0</v>
      </c>
      <c r="I542" s="414">
        <f ca="1" t="shared" si="321"/>
        <v>0</v>
      </c>
      <c r="J542" s="414">
        <f ca="1" t="shared" si="321"/>
        <v>0</v>
      </c>
      <c r="K542" s="414">
        <f ca="1" t="shared" si="321"/>
        <v>0</v>
      </c>
      <c r="L542" s="414">
        <f ca="1" t="shared" si="321"/>
        <v>0</v>
      </c>
      <c r="M542" s="414">
        <f ca="1" t="shared" si="321"/>
        <v>0</v>
      </c>
      <c r="N542" s="414">
        <f ca="1" t="shared" si="322"/>
        <v>0</v>
      </c>
      <c r="O542" s="414">
        <f ca="1" t="shared" si="322"/>
        <v>0</v>
      </c>
    </row>
    <row r="543" ht="15" hidden="1" spans="2:15">
      <c r="B543" s="422">
        <v>15</v>
      </c>
      <c r="C543" s="423" t="s">
        <v>805</v>
      </c>
      <c r="D543" s="424"/>
      <c r="E543" s="416"/>
      <c r="F543" s="414">
        <f ca="1" t="shared" si="321"/>
        <v>199.025149807002</v>
      </c>
      <c r="G543" s="414">
        <f t="shared" si="321"/>
        <v>14.8538510021009</v>
      </c>
      <c r="H543" s="414">
        <f ca="1" t="shared" si="321"/>
        <v>0</v>
      </c>
      <c r="I543" s="414">
        <f ca="1" t="shared" si="321"/>
        <v>213.879000809103</v>
      </c>
      <c r="J543" s="414">
        <f ca="1" t="shared" si="321"/>
        <v>163.353698332246</v>
      </c>
      <c r="K543" s="414">
        <f t="shared" si="321"/>
        <v>8.93415638070782</v>
      </c>
      <c r="L543" s="414">
        <f ca="1" t="shared" si="321"/>
        <v>0</v>
      </c>
      <c r="M543" s="414">
        <f ca="1" t="shared" si="321"/>
        <v>172.287854712954</v>
      </c>
      <c r="N543" s="414">
        <f ca="1" t="shared" si="322"/>
        <v>35.6714514747558</v>
      </c>
      <c r="O543" s="414">
        <f t="shared" si="322"/>
        <v>5.91969462139306</v>
      </c>
    </row>
    <row r="544" ht="15" hidden="1" spans="2:15">
      <c r="B544" s="422">
        <v>16</v>
      </c>
      <c r="C544" s="423" t="s">
        <v>806</v>
      </c>
      <c r="D544" s="412"/>
      <c r="E544" s="416"/>
      <c r="F544" s="414">
        <f ca="1" t="shared" si="321"/>
        <v>63.72</v>
      </c>
      <c r="G544" s="414">
        <f ca="1" t="shared" si="321"/>
        <v>0</v>
      </c>
      <c r="H544" s="414">
        <f ca="1" t="shared" si="321"/>
        <v>0</v>
      </c>
      <c r="I544" s="414">
        <f ca="1" t="shared" si="321"/>
        <v>63.72</v>
      </c>
      <c r="J544" s="414">
        <f ca="1" t="shared" si="321"/>
        <v>56.5986698613</v>
      </c>
      <c r="K544" s="414">
        <f t="shared" si="321"/>
        <v>3.7373559759</v>
      </c>
      <c r="L544" s="414">
        <f ca="1" t="shared" si="321"/>
        <v>0</v>
      </c>
      <c r="M544" s="414">
        <f ca="1" t="shared" si="321"/>
        <v>60.3360258372</v>
      </c>
      <c r="N544" s="414">
        <f ca="1" t="shared" si="322"/>
        <v>7.1213301387</v>
      </c>
      <c r="O544" s="414">
        <f ca="1" t="shared" si="322"/>
        <v>-3.7373559759</v>
      </c>
    </row>
    <row r="545" ht="15" hidden="1" spans="2:15">
      <c r="B545" s="422">
        <v>17</v>
      </c>
      <c r="C545" s="423" t="s">
        <v>807</v>
      </c>
      <c r="D545" s="412"/>
      <c r="E545" s="426"/>
      <c r="F545" s="414">
        <f ca="1" t="shared" si="321"/>
        <v>0</v>
      </c>
      <c r="G545" s="414">
        <f ca="1" t="shared" si="321"/>
        <v>0</v>
      </c>
      <c r="H545" s="414">
        <f ca="1" t="shared" si="321"/>
        <v>0</v>
      </c>
      <c r="I545" s="414">
        <f ca="1" t="shared" si="321"/>
        <v>0</v>
      </c>
      <c r="J545" s="414">
        <f ca="1" t="shared" si="321"/>
        <v>0</v>
      </c>
      <c r="K545" s="414">
        <f ca="1" t="shared" si="321"/>
        <v>0</v>
      </c>
      <c r="L545" s="414">
        <f ca="1" t="shared" si="321"/>
        <v>0</v>
      </c>
      <c r="M545" s="414">
        <f ca="1" t="shared" si="321"/>
        <v>0</v>
      </c>
      <c r="N545" s="414">
        <f ca="1" t="shared" si="322"/>
        <v>0</v>
      </c>
      <c r="O545" s="414">
        <f ca="1" t="shared" si="322"/>
        <v>0</v>
      </c>
    </row>
    <row r="546" ht="15.75" hidden="1" spans="2:15">
      <c r="B546" s="427"/>
      <c r="C546" s="428" t="s">
        <v>97</v>
      </c>
      <c r="D546" s="428"/>
      <c r="E546" s="429"/>
      <c r="F546" s="430">
        <f ca="1">SUM(F506:F545)</f>
        <v>25140.9598668547</v>
      </c>
      <c r="G546" s="430">
        <f ca="1" t="shared" ref="G546:O546" si="323">SUM(G506:G545)</f>
        <v>3131.79505652992</v>
      </c>
      <c r="H546" s="430">
        <f ca="1" t="shared" si="323"/>
        <v>0</v>
      </c>
      <c r="I546" s="430">
        <f ca="1" t="shared" si="323"/>
        <v>28272.7549233846</v>
      </c>
      <c r="J546" s="430">
        <f ca="1" t="shared" si="323"/>
        <v>11782.8307895914</v>
      </c>
      <c r="K546" s="430">
        <f ca="1" t="shared" si="323"/>
        <v>905.244998793956</v>
      </c>
      <c r="L546" s="430">
        <f ca="1" t="shared" si="323"/>
        <v>0</v>
      </c>
      <c r="M546" s="430">
        <f ca="1" t="shared" si="323"/>
        <v>12688.0757883853</v>
      </c>
      <c r="N546" s="430">
        <f ca="1" t="shared" si="323"/>
        <v>13358.1290772633</v>
      </c>
      <c r="O546" s="430">
        <f ca="1" t="shared" si="323"/>
        <v>14849.7578802126</v>
      </c>
    </row>
    <row r="547" hidden="1"/>
    <row r="548" ht="15" hidden="1" spans="2:15">
      <c r="B548" s="431" t="s">
        <v>656</v>
      </c>
      <c r="C548" s="432"/>
      <c r="D548" s="432"/>
      <c r="E548" s="432"/>
      <c r="F548" s="432"/>
      <c r="G548" s="432"/>
      <c r="H548" s="432"/>
      <c r="I548" s="432"/>
      <c r="J548" s="432"/>
      <c r="K548" s="432"/>
      <c r="L548" s="432"/>
      <c r="M548" s="432"/>
      <c r="N548" s="432"/>
      <c r="O548" s="442"/>
    </row>
    <row r="549" ht="15" hidden="1" spans="2:15">
      <c r="B549" s="406" t="s">
        <v>564</v>
      </c>
      <c r="C549" s="980" t="s">
        <v>671</v>
      </c>
      <c r="D549" s="408" t="s">
        <v>672</v>
      </c>
      <c r="E549" s="408" t="s">
        <v>673</v>
      </c>
      <c r="F549" s="408" t="s">
        <v>674</v>
      </c>
      <c r="G549" s="408"/>
      <c r="H549" s="408"/>
      <c r="I549" s="408"/>
      <c r="J549" s="408" t="s">
        <v>675</v>
      </c>
      <c r="K549" s="408"/>
      <c r="L549" s="408"/>
      <c r="M549" s="408"/>
      <c r="N549" s="408" t="s">
        <v>676</v>
      </c>
      <c r="O549" s="440"/>
    </row>
    <row r="550" ht="60.75" hidden="1" spans="2:15">
      <c r="B550" s="433"/>
      <c r="C550" s="434"/>
      <c r="D550" s="435"/>
      <c r="E550" s="435"/>
      <c r="F550" s="435" t="s">
        <v>677</v>
      </c>
      <c r="G550" s="435" t="s">
        <v>678</v>
      </c>
      <c r="H550" s="435" t="s">
        <v>679</v>
      </c>
      <c r="I550" s="435" t="s">
        <v>680</v>
      </c>
      <c r="J550" s="435" t="s">
        <v>681</v>
      </c>
      <c r="K550" s="435" t="s">
        <v>678</v>
      </c>
      <c r="L550" s="435" t="s">
        <v>682</v>
      </c>
      <c r="M550" s="435" t="s">
        <v>683</v>
      </c>
      <c r="N550" s="435" t="s">
        <v>677</v>
      </c>
      <c r="O550" s="443" t="s">
        <v>680</v>
      </c>
    </row>
    <row r="551" ht="15" hidden="1" spans="2:15">
      <c r="B551" s="410">
        <v>1</v>
      </c>
      <c r="C551" s="411" t="s">
        <v>684</v>
      </c>
      <c r="D551" s="405"/>
      <c r="E551" s="437"/>
      <c r="F551" s="414">
        <f ca="1">90%*F234</f>
        <v>217.597432193126</v>
      </c>
      <c r="G551" s="414">
        <f t="shared" ref="G551:M551" si="324">90%*G234</f>
        <v>78.4327412100249</v>
      </c>
      <c r="H551" s="414">
        <f ca="1" t="shared" si="324"/>
        <v>0</v>
      </c>
      <c r="I551" s="414">
        <f ca="1" t="shared" si="324"/>
        <v>296.030173403151</v>
      </c>
      <c r="J551" s="414">
        <f ca="1" t="shared" si="324"/>
        <v>0.0044091558000014</v>
      </c>
      <c r="K551" s="414">
        <f t="shared" si="324"/>
        <v>0</v>
      </c>
      <c r="L551" s="414">
        <f ca="1" t="shared" si="324"/>
        <v>0</v>
      </c>
      <c r="M551" s="414">
        <f ca="1" t="shared" si="324"/>
        <v>0.0044091558000014</v>
      </c>
      <c r="N551" s="414">
        <f ca="1">F551-J551</f>
        <v>217.593023037326</v>
      </c>
      <c r="O551" s="414">
        <f ca="1">I551-M551</f>
        <v>296.025764247351</v>
      </c>
    </row>
    <row r="552" ht="15" hidden="1" spans="2:15">
      <c r="B552" s="410">
        <v>2</v>
      </c>
      <c r="C552" s="411" t="s">
        <v>770</v>
      </c>
      <c r="D552" s="476"/>
      <c r="E552" s="477"/>
      <c r="F552" s="414">
        <f ca="1" t="shared" ref="F552:M567" si="325">90%*F235</f>
        <v>0</v>
      </c>
      <c r="G552" s="414">
        <f ca="1" t="shared" si="325"/>
        <v>0</v>
      </c>
      <c r="H552" s="414">
        <f ca="1" t="shared" si="325"/>
        <v>0</v>
      </c>
      <c r="I552" s="414">
        <f ca="1" t="shared" si="325"/>
        <v>0</v>
      </c>
      <c r="J552" s="414">
        <f ca="1" t="shared" si="325"/>
        <v>0</v>
      </c>
      <c r="K552" s="414">
        <f ca="1" t="shared" si="325"/>
        <v>0</v>
      </c>
      <c r="L552" s="414">
        <f ca="1" t="shared" si="325"/>
        <v>0</v>
      </c>
      <c r="M552" s="414">
        <f ca="1" t="shared" si="325"/>
        <v>0</v>
      </c>
      <c r="N552" s="414">
        <f ca="1">F552-J552</f>
        <v>0</v>
      </c>
      <c r="O552" s="414">
        <f ca="1">I552-M552</f>
        <v>0</v>
      </c>
    </row>
    <row r="553" ht="15" hidden="1" spans="2:15">
      <c r="B553" s="410">
        <v>3</v>
      </c>
      <c r="C553" s="415" t="s">
        <v>771</v>
      </c>
      <c r="D553" s="412"/>
      <c r="E553" s="416"/>
      <c r="F553" s="414">
        <f t="shared" si="325"/>
        <v>0</v>
      </c>
      <c r="G553" s="414">
        <f t="shared" si="325"/>
        <v>0</v>
      </c>
      <c r="H553" s="414">
        <f t="shared" si="325"/>
        <v>0</v>
      </c>
      <c r="I553" s="414">
        <f t="shared" si="325"/>
        <v>0</v>
      </c>
      <c r="J553" s="414">
        <f t="shared" si="325"/>
        <v>0</v>
      </c>
      <c r="K553" s="414">
        <f t="shared" si="325"/>
        <v>0</v>
      </c>
      <c r="L553" s="414">
        <f t="shared" si="325"/>
        <v>0</v>
      </c>
      <c r="M553" s="414">
        <f t="shared" si="325"/>
        <v>0</v>
      </c>
      <c r="N553" s="414"/>
      <c r="O553" s="414"/>
    </row>
    <row r="554" ht="15" hidden="1" spans="2:15">
      <c r="B554" s="410"/>
      <c r="C554" s="417" t="s">
        <v>772</v>
      </c>
      <c r="D554" s="412"/>
      <c r="E554" s="416"/>
      <c r="F554" s="414">
        <f ca="1" t="shared" si="325"/>
        <v>514.534467546319</v>
      </c>
      <c r="G554" s="414">
        <f t="shared" si="325"/>
        <v>66.4391536028278</v>
      </c>
      <c r="H554" s="414">
        <f ca="1" t="shared" si="325"/>
        <v>0</v>
      </c>
      <c r="I554" s="414">
        <f ca="1" t="shared" si="325"/>
        <v>580.973621149146</v>
      </c>
      <c r="J554" s="414">
        <f ca="1" t="shared" si="325"/>
        <v>179.27662402863</v>
      </c>
      <c r="K554" s="414">
        <f t="shared" si="325"/>
        <v>19.3645996110277</v>
      </c>
      <c r="L554" s="414">
        <f ca="1" t="shared" si="325"/>
        <v>0</v>
      </c>
      <c r="M554" s="414">
        <f ca="1" t="shared" si="325"/>
        <v>198.641223639658</v>
      </c>
      <c r="N554" s="414">
        <f ca="1" t="shared" ref="N554:N557" si="326">F554-J554</f>
        <v>335.257843517688</v>
      </c>
      <c r="O554" s="414">
        <f ca="1" t="shared" ref="O554:O557" si="327">I554-M554</f>
        <v>382.332397509488</v>
      </c>
    </row>
    <row r="555" ht="28.5" hidden="1" spans="2:15">
      <c r="B555" s="410"/>
      <c r="C555" s="417" t="s">
        <v>773</v>
      </c>
      <c r="D555" s="412"/>
      <c r="E555" s="416"/>
      <c r="F555" s="414">
        <f ca="1" t="shared" si="325"/>
        <v>0</v>
      </c>
      <c r="G555" s="414">
        <f ca="1" t="shared" si="325"/>
        <v>0</v>
      </c>
      <c r="H555" s="414">
        <f ca="1" t="shared" si="325"/>
        <v>0</v>
      </c>
      <c r="I555" s="414">
        <f ca="1" t="shared" si="325"/>
        <v>0</v>
      </c>
      <c r="J555" s="414">
        <f ca="1" t="shared" si="325"/>
        <v>0</v>
      </c>
      <c r="K555" s="414">
        <f ca="1" t="shared" si="325"/>
        <v>0</v>
      </c>
      <c r="L555" s="414">
        <f ca="1" t="shared" si="325"/>
        <v>0</v>
      </c>
      <c r="M555" s="414">
        <f ca="1" t="shared" si="325"/>
        <v>0</v>
      </c>
      <c r="N555" s="414">
        <f ca="1" t="shared" si="326"/>
        <v>0</v>
      </c>
      <c r="O555" s="414">
        <f ca="1" t="shared" si="327"/>
        <v>0</v>
      </c>
    </row>
    <row r="556" ht="15" hidden="1" spans="2:15">
      <c r="B556" s="410"/>
      <c r="C556" s="417" t="s">
        <v>774</v>
      </c>
      <c r="D556" s="412"/>
      <c r="E556" s="416"/>
      <c r="F556" s="414">
        <f ca="1" t="shared" si="325"/>
        <v>0</v>
      </c>
      <c r="G556" s="414">
        <f ca="1" t="shared" si="325"/>
        <v>0</v>
      </c>
      <c r="H556" s="414">
        <f ca="1" t="shared" si="325"/>
        <v>0</v>
      </c>
      <c r="I556" s="414">
        <f ca="1" t="shared" si="325"/>
        <v>0</v>
      </c>
      <c r="J556" s="414">
        <f ca="1" t="shared" si="325"/>
        <v>0</v>
      </c>
      <c r="K556" s="414">
        <f ca="1" t="shared" si="325"/>
        <v>0</v>
      </c>
      <c r="L556" s="414">
        <f ca="1" t="shared" si="325"/>
        <v>0</v>
      </c>
      <c r="M556" s="414">
        <f ca="1" t="shared" si="325"/>
        <v>0</v>
      </c>
      <c r="N556" s="414">
        <f ca="1" t="shared" si="326"/>
        <v>0</v>
      </c>
      <c r="O556" s="414">
        <f ca="1" t="shared" si="327"/>
        <v>0</v>
      </c>
    </row>
    <row r="557" ht="15" hidden="1" spans="2:15">
      <c r="B557" s="410"/>
      <c r="C557" s="417" t="s">
        <v>775</v>
      </c>
      <c r="D557" s="412"/>
      <c r="E557" s="416"/>
      <c r="F557" s="414">
        <f ca="1" t="shared" si="325"/>
        <v>198.972</v>
      </c>
      <c r="G557" s="414">
        <f ca="1" t="shared" si="325"/>
        <v>0</v>
      </c>
      <c r="H557" s="414">
        <f ca="1" t="shared" si="325"/>
        <v>0</v>
      </c>
      <c r="I557" s="414">
        <f ca="1" t="shared" si="325"/>
        <v>198.972</v>
      </c>
      <c r="J557" s="414">
        <f ca="1" t="shared" si="325"/>
        <v>39.9721005729</v>
      </c>
      <c r="K557" s="414">
        <f ca="1" t="shared" si="325"/>
        <v>0</v>
      </c>
      <c r="L557" s="414">
        <f ca="1" t="shared" si="325"/>
        <v>0</v>
      </c>
      <c r="M557" s="414">
        <f ca="1" t="shared" si="325"/>
        <v>39.9721005729</v>
      </c>
      <c r="N557" s="414">
        <f ca="1" t="shared" si="326"/>
        <v>158.9998994271</v>
      </c>
      <c r="O557" s="414">
        <f ca="1" t="shared" si="327"/>
        <v>158.9998994271</v>
      </c>
    </row>
    <row r="558" ht="15" hidden="1" spans="2:15">
      <c r="B558" s="410">
        <v>4</v>
      </c>
      <c r="C558" s="411" t="s">
        <v>776</v>
      </c>
      <c r="D558" s="412"/>
      <c r="E558" s="416"/>
      <c r="F558" s="414">
        <f t="shared" si="325"/>
        <v>0</v>
      </c>
      <c r="G558" s="414">
        <f t="shared" si="325"/>
        <v>0</v>
      </c>
      <c r="H558" s="414">
        <f t="shared" si="325"/>
        <v>0</v>
      </c>
      <c r="I558" s="414">
        <f t="shared" si="325"/>
        <v>0</v>
      </c>
      <c r="J558" s="414">
        <f t="shared" si="325"/>
        <v>0</v>
      </c>
      <c r="K558" s="414">
        <f t="shared" si="325"/>
        <v>0</v>
      </c>
      <c r="L558" s="414">
        <f t="shared" si="325"/>
        <v>0</v>
      </c>
      <c r="M558" s="414">
        <f t="shared" si="325"/>
        <v>0</v>
      </c>
      <c r="N558" s="414"/>
      <c r="O558" s="414"/>
    </row>
    <row r="559" ht="15" hidden="1" spans="2:15">
      <c r="B559" s="410"/>
      <c r="C559" s="418" t="s">
        <v>777</v>
      </c>
      <c r="D559" s="412"/>
      <c r="E559" s="416"/>
      <c r="F559" s="414">
        <f ca="1" t="shared" si="325"/>
        <v>12308.908295654</v>
      </c>
      <c r="G559" s="414">
        <f t="shared" si="325"/>
        <v>1577.73372089684</v>
      </c>
      <c r="H559" s="414">
        <f ca="1" t="shared" si="325"/>
        <v>0</v>
      </c>
      <c r="I559" s="414">
        <f ca="1" t="shared" si="325"/>
        <v>13886.6420165509</v>
      </c>
      <c r="J559" s="414">
        <f ca="1" t="shared" si="325"/>
        <v>5763.62488283945</v>
      </c>
      <c r="K559" s="414">
        <f t="shared" si="325"/>
        <v>466.243561511079</v>
      </c>
      <c r="L559" s="414">
        <f ca="1" t="shared" si="325"/>
        <v>0</v>
      </c>
      <c r="M559" s="414">
        <f ca="1" t="shared" si="325"/>
        <v>6229.86844435053</v>
      </c>
      <c r="N559" s="414">
        <f ca="1" t="shared" ref="N559:N562" si="328">F559-J559</f>
        <v>6545.28341281456</v>
      </c>
      <c r="O559" s="414">
        <f ca="1" t="shared" ref="O559:O562" si="329">I559-M559</f>
        <v>7656.77357220032</v>
      </c>
    </row>
    <row r="560" ht="15" hidden="1" spans="2:15">
      <c r="B560" s="410"/>
      <c r="C560" s="411" t="s">
        <v>778</v>
      </c>
      <c r="D560" s="412"/>
      <c r="E560" s="478"/>
      <c r="F560" s="414">
        <f t="shared" si="325"/>
        <v>0</v>
      </c>
      <c r="G560" s="414">
        <f t="shared" si="325"/>
        <v>0</v>
      </c>
      <c r="H560" s="414">
        <f t="shared" si="325"/>
        <v>0</v>
      </c>
      <c r="I560" s="414">
        <f t="shared" si="325"/>
        <v>0</v>
      </c>
      <c r="J560" s="414">
        <f t="shared" si="325"/>
        <v>0</v>
      </c>
      <c r="K560" s="414">
        <f t="shared" si="325"/>
        <v>0</v>
      </c>
      <c r="L560" s="414">
        <f t="shared" si="325"/>
        <v>0</v>
      </c>
      <c r="M560" s="414">
        <f t="shared" si="325"/>
        <v>0</v>
      </c>
      <c r="N560" s="414"/>
      <c r="O560" s="414"/>
    </row>
    <row r="561" ht="15" hidden="1" spans="2:15">
      <c r="B561" s="410"/>
      <c r="C561" s="418" t="s">
        <v>779</v>
      </c>
      <c r="D561" s="412"/>
      <c r="E561" s="416"/>
      <c r="F561" s="414">
        <f ca="1" t="shared" si="325"/>
        <v>0</v>
      </c>
      <c r="G561" s="414">
        <f ca="1" t="shared" si="325"/>
        <v>0</v>
      </c>
      <c r="H561" s="414">
        <f ca="1" t="shared" si="325"/>
        <v>0</v>
      </c>
      <c r="I561" s="414">
        <f ca="1" t="shared" si="325"/>
        <v>0</v>
      </c>
      <c r="J561" s="414">
        <f ca="1" t="shared" si="325"/>
        <v>0</v>
      </c>
      <c r="K561" s="414">
        <f ca="1" t="shared" si="325"/>
        <v>0</v>
      </c>
      <c r="L561" s="414">
        <f ca="1" t="shared" si="325"/>
        <v>0</v>
      </c>
      <c r="M561" s="414">
        <f ca="1" t="shared" si="325"/>
        <v>0</v>
      </c>
      <c r="N561" s="414">
        <f ca="1" t="shared" si="328"/>
        <v>0</v>
      </c>
      <c r="O561" s="414">
        <f ca="1" t="shared" si="329"/>
        <v>0</v>
      </c>
    </row>
    <row r="562" ht="15" hidden="1" spans="2:15">
      <c r="B562" s="410"/>
      <c r="C562" s="418" t="s">
        <v>780</v>
      </c>
      <c r="D562" s="412"/>
      <c r="E562" s="416"/>
      <c r="F562" s="414">
        <f ca="1" t="shared" si="325"/>
        <v>0</v>
      </c>
      <c r="G562" s="414">
        <f ca="1" t="shared" si="325"/>
        <v>0</v>
      </c>
      <c r="H562" s="414">
        <f ca="1" t="shared" si="325"/>
        <v>0</v>
      </c>
      <c r="I562" s="414">
        <f ca="1" t="shared" si="325"/>
        <v>0</v>
      </c>
      <c r="J562" s="414">
        <f ca="1" t="shared" si="325"/>
        <v>0</v>
      </c>
      <c r="K562" s="414">
        <f ca="1" t="shared" si="325"/>
        <v>0</v>
      </c>
      <c r="L562" s="414">
        <f ca="1" t="shared" si="325"/>
        <v>0</v>
      </c>
      <c r="M562" s="414">
        <f ca="1" t="shared" si="325"/>
        <v>0</v>
      </c>
      <c r="N562" s="414">
        <f ca="1" t="shared" si="328"/>
        <v>0</v>
      </c>
      <c r="O562" s="414">
        <f ca="1" t="shared" si="329"/>
        <v>0</v>
      </c>
    </row>
    <row r="563" ht="15" hidden="1" spans="2:15">
      <c r="B563" s="410">
        <v>5</v>
      </c>
      <c r="C563" s="411" t="s">
        <v>781</v>
      </c>
      <c r="D563" s="412"/>
      <c r="E563" s="416"/>
      <c r="F563" s="414">
        <f t="shared" si="325"/>
        <v>0</v>
      </c>
      <c r="G563" s="414">
        <f t="shared" si="325"/>
        <v>0</v>
      </c>
      <c r="H563" s="414">
        <f t="shared" si="325"/>
        <v>0</v>
      </c>
      <c r="I563" s="414">
        <f t="shared" si="325"/>
        <v>0</v>
      </c>
      <c r="J563" s="414">
        <f t="shared" si="325"/>
        <v>0</v>
      </c>
      <c r="K563" s="414">
        <f t="shared" si="325"/>
        <v>0</v>
      </c>
      <c r="L563" s="414">
        <f t="shared" si="325"/>
        <v>0</v>
      </c>
      <c r="M563" s="414">
        <f t="shared" si="325"/>
        <v>0</v>
      </c>
      <c r="N563" s="414"/>
      <c r="O563" s="414"/>
    </row>
    <row r="564" ht="15" hidden="1" spans="2:15">
      <c r="B564" s="410"/>
      <c r="C564" s="418" t="s">
        <v>782</v>
      </c>
      <c r="D564" s="412"/>
      <c r="E564" s="416"/>
      <c r="F564" s="414">
        <f ca="1" t="shared" si="325"/>
        <v>0</v>
      </c>
      <c r="G564" s="414">
        <f ca="1" t="shared" si="325"/>
        <v>0</v>
      </c>
      <c r="H564" s="414">
        <f ca="1" t="shared" si="325"/>
        <v>0</v>
      </c>
      <c r="I564" s="414">
        <f ca="1" t="shared" si="325"/>
        <v>0</v>
      </c>
      <c r="J564" s="414">
        <f ca="1" t="shared" si="325"/>
        <v>0</v>
      </c>
      <c r="K564" s="414">
        <f ca="1" t="shared" si="325"/>
        <v>0</v>
      </c>
      <c r="L564" s="414">
        <f ca="1" t="shared" si="325"/>
        <v>0</v>
      </c>
      <c r="M564" s="414">
        <f ca="1" t="shared" si="325"/>
        <v>0</v>
      </c>
      <c r="N564" s="414">
        <f ca="1" t="shared" ref="N564:N569" si="330">F564-J564</f>
        <v>0</v>
      </c>
      <c r="O564" s="414">
        <f ca="1" t="shared" ref="O564:O569" si="331">I564-M564</f>
        <v>0</v>
      </c>
    </row>
    <row r="565" ht="15" hidden="1" spans="2:15">
      <c r="B565" s="410"/>
      <c r="C565" s="418" t="s">
        <v>783</v>
      </c>
      <c r="D565" s="412"/>
      <c r="E565" s="416"/>
      <c r="F565" s="414">
        <f ca="1" t="shared" si="325"/>
        <v>0</v>
      </c>
      <c r="G565" s="414">
        <f ca="1" t="shared" si="325"/>
        <v>0</v>
      </c>
      <c r="H565" s="414">
        <f ca="1" t="shared" si="325"/>
        <v>0</v>
      </c>
      <c r="I565" s="414">
        <f ca="1" t="shared" si="325"/>
        <v>0</v>
      </c>
      <c r="J565" s="414">
        <f ca="1" t="shared" si="325"/>
        <v>0</v>
      </c>
      <c r="K565" s="414">
        <f ca="1" t="shared" si="325"/>
        <v>0</v>
      </c>
      <c r="L565" s="414">
        <f ca="1" t="shared" si="325"/>
        <v>0</v>
      </c>
      <c r="M565" s="414">
        <f ca="1" t="shared" si="325"/>
        <v>0</v>
      </c>
      <c r="N565" s="414">
        <f ca="1" t="shared" si="330"/>
        <v>0</v>
      </c>
      <c r="O565" s="414">
        <f ca="1" t="shared" si="331"/>
        <v>0</v>
      </c>
    </row>
    <row r="566" ht="15" hidden="1" spans="2:15">
      <c r="B566" s="410"/>
      <c r="C566" s="418" t="s">
        <v>784</v>
      </c>
      <c r="D566" s="412"/>
      <c r="E566" s="416"/>
      <c r="F566" s="414">
        <f ca="1" t="shared" si="325"/>
        <v>0</v>
      </c>
      <c r="G566" s="414">
        <f ca="1" t="shared" si="325"/>
        <v>0</v>
      </c>
      <c r="H566" s="414">
        <f ca="1" t="shared" si="325"/>
        <v>0</v>
      </c>
      <c r="I566" s="414">
        <f ca="1" t="shared" si="325"/>
        <v>0</v>
      </c>
      <c r="J566" s="414">
        <f ca="1" t="shared" si="325"/>
        <v>0</v>
      </c>
      <c r="K566" s="414">
        <f ca="1" t="shared" si="325"/>
        <v>0</v>
      </c>
      <c r="L566" s="414">
        <f ca="1" t="shared" si="325"/>
        <v>0</v>
      </c>
      <c r="M566" s="414">
        <f ca="1" t="shared" si="325"/>
        <v>0</v>
      </c>
      <c r="N566" s="414">
        <f ca="1" t="shared" si="330"/>
        <v>0</v>
      </c>
      <c r="O566" s="414">
        <f ca="1" t="shared" si="331"/>
        <v>0</v>
      </c>
    </row>
    <row r="567" ht="15" hidden="1" spans="2:15">
      <c r="B567" s="410"/>
      <c r="C567" s="418" t="s">
        <v>785</v>
      </c>
      <c r="D567" s="412"/>
      <c r="E567" s="416"/>
      <c r="F567" s="414">
        <f ca="1" t="shared" si="325"/>
        <v>0</v>
      </c>
      <c r="G567" s="414">
        <f ca="1" t="shared" si="325"/>
        <v>0</v>
      </c>
      <c r="H567" s="414">
        <f ca="1" t="shared" si="325"/>
        <v>0</v>
      </c>
      <c r="I567" s="414">
        <f ca="1" t="shared" si="325"/>
        <v>0</v>
      </c>
      <c r="J567" s="414">
        <f ca="1" t="shared" si="325"/>
        <v>0</v>
      </c>
      <c r="K567" s="414">
        <f ca="1" t="shared" si="325"/>
        <v>0</v>
      </c>
      <c r="L567" s="414">
        <f ca="1" t="shared" si="325"/>
        <v>0</v>
      </c>
      <c r="M567" s="414">
        <f ca="1" t="shared" si="325"/>
        <v>0</v>
      </c>
      <c r="N567" s="414">
        <f ca="1" t="shared" si="330"/>
        <v>0</v>
      </c>
      <c r="O567" s="414">
        <f ca="1" t="shared" si="331"/>
        <v>0</v>
      </c>
    </row>
    <row r="568" ht="15" hidden="1" spans="2:15">
      <c r="B568" s="410">
        <v>6</v>
      </c>
      <c r="C568" s="411" t="s">
        <v>786</v>
      </c>
      <c r="D568" s="412"/>
      <c r="E568" s="416"/>
      <c r="F568" s="414">
        <f ca="1" t="shared" ref="F568:M583" si="332">90%*F251</f>
        <v>0</v>
      </c>
      <c r="G568" s="414">
        <f ca="1" t="shared" si="332"/>
        <v>0</v>
      </c>
      <c r="H568" s="414">
        <f ca="1" t="shared" si="332"/>
        <v>0</v>
      </c>
      <c r="I568" s="414">
        <f ca="1" t="shared" si="332"/>
        <v>0</v>
      </c>
      <c r="J568" s="414">
        <f ca="1" t="shared" si="332"/>
        <v>0</v>
      </c>
      <c r="K568" s="414">
        <f ca="1" t="shared" si="332"/>
        <v>0</v>
      </c>
      <c r="L568" s="414">
        <f ca="1" t="shared" si="332"/>
        <v>0</v>
      </c>
      <c r="M568" s="414">
        <f ca="1" t="shared" si="332"/>
        <v>0</v>
      </c>
      <c r="N568" s="414">
        <f ca="1" t="shared" si="330"/>
        <v>0</v>
      </c>
      <c r="O568" s="414">
        <f ca="1" t="shared" si="331"/>
        <v>0</v>
      </c>
    </row>
    <row r="569" ht="15" hidden="1" spans="2:15">
      <c r="B569" s="410">
        <v>7</v>
      </c>
      <c r="C569" s="411" t="s">
        <v>787</v>
      </c>
      <c r="D569" s="412"/>
      <c r="E569" s="416"/>
      <c r="F569" s="414">
        <f ca="1" t="shared" si="332"/>
        <v>0</v>
      </c>
      <c r="G569" s="414">
        <f ca="1" t="shared" si="332"/>
        <v>0</v>
      </c>
      <c r="H569" s="414">
        <f ca="1" t="shared" si="332"/>
        <v>0</v>
      </c>
      <c r="I569" s="414">
        <f ca="1" t="shared" si="332"/>
        <v>0</v>
      </c>
      <c r="J569" s="414">
        <f ca="1" t="shared" si="332"/>
        <v>0</v>
      </c>
      <c r="K569" s="414">
        <f ca="1" t="shared" si="332"/>
        <v>0</v>
      </c>
      <c r="L569" s="414">
        <f ca="1" t="shared" si="332"/>
        <v>0</v>
      </c>
      <c r="M569" s="414">
        <f ca="1" t="shared" si="332"/>
        <v>0</v>
      </c>
      <c r="N569" s="414">
        <f ca="1" t="shared" si="330"/>
        <v>0</v>
      </c>
      <c r="O569" s="414">
        <f ca="1" t="shared" si="331"/>
        <v>0</v>
      </c>
    </row>
    <row r="570" ht="15" hidden="1" spans="2:15">
      <c r="B570" s="410">
        <v>8</v>
      </c>
      <c r="C570" s="411" t="s">
        <v>788</v>
      </c>
      <c r="D570" s="412"/>
      <c r="E570" s="416"/>
      <c r="F570" s="414">
        <f t="shared" si="332"/>
        <v>0</v>
      </c>
      <c r="G570" s="414">
        <f t="shared" si="332"/>
        <v>0</v>
      </c>
      <c r="H570" s="414">
        <f t="shared" si="332"/>
        <v>0</v>
      </c>
      <c r="I570" s="414">
        <f t="shared" si="332"/>
        <v>0</v>
      </c>
      <c r="J570" s="414">
        <f t="shared" si="332"/>
        <v>0</v>
      </c>
      <c r="K570" s="414">
        <f t="shared" si="332"/>
        <v>0</v>
      </c>
      <c r="L570" s="414">
        <f t="shared" si="332"/>
        <v>0</v>
      </c>
      <c r="M570" s="414">
        <f t="shared" si="332"/>
        <v>0</v>
      </c>
      <c r="N570" s="414"/>
      <c r="O570" s="414"/>
    </row>
    <row r="571" ht="15" hidden="1" spans="2:15">
      <c r="B571" s="410"/>
      <c r="C571" s="418" t="s">
        <v>789</v>
      </c>
      <c r="D571" s="412"/>
      <c r="E571" s="416"/>
      <c r="F571" s="414">
        <f ca="1" t="shared" si="332"/>
        <v>12713.4722406294</v>
      </c>
      <c r="G571" s="414">
        <f t="shared" si="332"/>
        <v>1832.17484852322</v>
      </c>
      <c r="H571" s="414">
        <f ca="1" t="shared" si="332"/>
        <v>0</v>
      </c>
      <c r="I571" s="414">
        <f ca="1" t="shared" si="332"/>
        <v>14545.6470891526</v>
      </c>
      <c r="J571" s="414">
        <f ca="1" t="shared" si="332"/>
        <v>5165.2938858781</v>
      </c>
      <c r="K571" s="414">
        <f t="shared" si="332"/>
        <v>437.497416592881</v>
      </c>
      <c r="L571" s="414">
        <f ca="1" t="shared" si="332"/>
        <v>0</v>
      </c>
      <c r="M571" s="414">
        <f ca="1" t="shared" si="332"/>
        <v>5602.79130247098</v>
      </c>
      <c r="N571" s="414">
        <f ca="1" t="shared" ref="N571:O575" si="333">F571-J571</f>
        <v>7548.17835475127</v>
      </c>
      <c r="O571" s="414">
        <f ca="1" t="shared" ref="O571:O573" si="334">I571-M571</f>
        <v>8942.85578668161</v>
      </c>
    </row>
    <row r="572" ht="15" hidden="1" spans="2:15">
      <c r="B572" s="410"/>
      <c r="C572" s="418" t="s">
        <v>808</v>
      </c>
      <c r="D572" s="412"/>
      <c r="E572" s="416"/>
      <c r="F572" s="414">
        <f ca="1" t="shared" si="332"/>
        <v>0</v>
      </c>
      <c r="G572" s="414">
        <f ca="1" t="shared" si="332"/>
        <v>0</v>
      </c>
      <c r="H572" s="414">
        <f ca="1" t="shared" si="332"/>
        <v>0</v>
      </c>
      <c r="I572" s="414">
        <f ca="1" t="shared" si="332"/>
        <v>0</v>
      </c>
      <c r="J572" s="414">
        <f ca="1" t="shared" si="332"/>
        <v>0</v>
      </c>
      <c r="K572" s="414">
        <f ca="1" t="shared" si="332"/>
        <v>0</v>
      </c>
      <c r="L572" s="414">
        <f ca="1" t="shared" si="332"/>
        <v>0</v>
      </c>
      <c r="M572" s="414">
        <f ca="1" t="shared" si="332"/>
        <v>0</v>
      </c>
      <c r="N572" s="414">
        <f ca="1" t="shared" si="333"/>
        <v>0</v>
      </c>
      <c r="O572" s="414">
        <f ca="1" t="shared" si="334"/>
        <v>0</v>
      </c>
    </row>
    <row r="573" ht="30" hidden="1" spans="2:15">
      <c r="B573" s="420">
        <v>9</v>
      </c>
      <c r="C573" s="421" t="s">
        <v>791</v>
      </c>
      <c r="D573" s="412"/>
      <c r="E573" s="416"/>
      <c r="F573" s="414">
        <f ca="1" t="shared" si="332"/>
        <v>0</v>
      </c>
      <c r="G573" s="414">
        <f ca="1" t="shared" si="332"/>
        <v>0</v>
      </c>
      <c r="H573" s="414">
        <f ca="1" t="shared" si="332"/>
        <v>0</v>
      </c>
      <c r="I573" s="414">
        <f ca="1" t="shared" si="332"/>
        <v>0</v>
      </c>
      <c r="J573" s="414">
        <f ca="1" t="shared" si="332"/>
        <v>0</v>
      </c>
      <c r="K573" s="414">
        <f ca="1" t="shared" si="332"/>
        <v>0</v>
      </c>
      <c r="L573" s="414">
        <f ca="1" t="shared" si="332"/>
        <v>0</v>
      </c>
      <c r="M573" s="414">
        <f ca="1" t="shared" si="332"/>
        <v>0</v>
      </c>
      <c r="N573" s="414">
        <f ca="1" t="shared" si="333"/>
        <v>0</v>
      </c>
      <c r="O573" s="414">
        <f ca="1" t="shared" si="334"/>
        <v>0</v>
      </c>
    </row>
    <row r="574" ht="15" hidden="1" spans="2:15">
      <c r="B574" s="422">
        <v>10</v>
      </c>
      <c r="C574" s="423" t="s">
        <v>792</v>
      </c>
      <c r="D574" s="424"/>
      <c r="E574" s="416"/>
      <c r="F574" s="414">
        <f ca="1" t="shared" si="332"/>
        <v>1970.60461618926</v>
      </c>
      <c r="G574" s="414">
        <f t="shared" si="332"/>
        <v>121.867326042293</v>
      </c>
      <c r="H574" s="414">
        <f ca="1" t="shared" si="332"/>
        <v>0</v>
      </c>
      <c r="I574" s="414">
        <f ca="1" t="shared" si="332"/>
        <v>2092.47194223156</v>
      </c>
      <c r="J574" s="414">
        <f ca="1" t="shared" si="332"/>
        <v>1251.99182186396</v>
      </c>
      <c r="K574" s="414">
        <f t="shared" si="332"/>
        <v>66.3993448343064</v>
      </c>
      <c r="L574" s="414">
        <f ca="1" t="shared" si="332"/>
        <v>0</v>
      </c>
      <c r="M574" s="414">
        <f ca="1" t="shared" si="332"/>
        <v>1318.39116669827</v>
      </c>
      <c r="N574" s="414">
        <f ca="1" t="shared" si="333"/>
        <v>718.612794325301</v>
      </c>
      <c r="O574" s="414">
        <f t="shared" si="333"/>
        <v>55.4679812079864</v>
      </c>
    </row>
    <row r="575" ht="15" hidden="1" spans="2:15">
      <c r="B575" s="422">
        <v>11</v>
      </c>
      <c r="C575" s="423" t="s">
        <v>793</v>
      </c>
      <c r="D575" s="424"/>
      <c r="E575" s="416"/>
      <c r="F575" s="414">
        <f ca="1" t="shared" si="332"/>
        <v>6.372</v>
      </c>
      <c r="G575" s="414">
        <f ca="1" t="shared" si="332"/>
        <v>0</v>
      </c>
      <c r="H575" s="414">
        <f ca="1" t="shared" si="332"/>
        <v>0</v>
      </c>
      <c r="I575" s="414">
        <f ca="1" t="shared" si="332"/>
        <v>6.372</v>
      </c>
      <c r="J575" s="414">
        <f ca="1" t="shared" si="332"/>
        <v>6.1498897659</v>
      </c>
      <c r="K575" s="414">
        <f t="shared" si="332"/>
        <v>0</v>
      </c>
      <c r="L575" s="414">
        <f ca="1" t="shared" si="332"/>
        <v>0</v>
      </c>
      <c r="M575" s="414">
        <f ca="1" t="shared" si="332"/>
        <v>6.1498897659</v>
      </c>
      <c r="N575" s="414">
        <f ca="1" t="shared" si="333"/>
        <v>0.222110234100001</v>
      </c>
      <c r="O575" s="414">
        <f ca="1" t="shared" si="333"/>
        <v>0</v>
      </c>
    </row>
    <row r="576" ht="15" hidden="1" spans="2:15">
      <c r="B576" s="422">
        <v>12</v>
      </c>
      <c r="C576" s="423" t="s">
        <v>794</v>
      </c>
      <c r="D576" s="424"/>
      <c r="E576" s="416"/>
      <c r="F576" s="414">
        <f t="shared" si="332"/>
        <v>0</v>
      </c>
      <c r="G576" s="414">
        <f t="shared" si="332"/>
        <v>0</v>
      </c>
      <c r="H576" s="414">
        <f t="shared" si="332"/>
        <v>0</v>
      </c>
      <c r="I576" s="414">
        <f t="shared" si="332"/>
        <v>0</v>
      </c>
      <c r="J576" s="414">
        <f t="shared" si="332"/>
        <v>0</v>
      </c>
      <c r="K576" s="414">
        <f t="shared" si="332"/>
        <v>0</v>
      </c>
      <c r="L576" s="414">
        <f t="shared" si="332"/>
        <v>0</v>
      </c>
      <c r="M576" s="414">
        <f t="shared" si="332"/>
        <v>0</v>
      </c>
      <c r="N576" s="414"/>
      <c r="O576" s="414"/>
    </row>
    <row r="577" ht="15" hidden="1" spans="2:15">
      <c r="B577" s="422"/>
      <c r="C577" s="425" t="s">
        <v>795</v>
      </c>
      <c r="D577" s="424"/>
      <c r="E577" s="416"/>
      <c r="F577" s="414">
        <f ca="1" t="shared" si="332"/>
        <v>2.34</v>
      </c>
      <c r="G577" s="414">
        <f ca="1" t="shared" si="332"/>
        <v>0</v>
      </c>
      <c r="H577" s="414">
        <f ca="1" t="shared" si="332"/>
        <v>0</v>
      </c>
      <c r="I577" s="414">
        <f ca="1" t="shared" si="332"/>
        <v>2.34</v>
      </c>
      <c r="J577" s="414">
        <f ca="1" t="shared" si="332"/>
        <v>1.5314797188</v>
      </c>
      <c r="K577" s="414">
        <f ca="1" t="shared" si="332"/>
        <v>0</v>
      </c>
      <c r="L577" s="414">
        <f ca="1" t="shared" si="332"/>
        <v>0</v>
      </c>
      <c r="M577" s="414">
        <f ca="1" t="shared" si="332"/>
        <v>1.5314797188</v>
      </c>
      <c r="N577" s="414">
        <f ca="1" t="shared" ref="N577:O578" si="335">F577-J577</f>
        <v>0.8085202812</v>
      </c>
      <c r="O577" s="414">
        <f ca="1" t="shared" si="335"/>
        <v>0</v>
      </c>
    </row>
    <row r="578" ht="15" hidden="1" spans="2:15">
      <c r="B578" s="422"/>
      <c r="C578" s="425" t="s">
        <v>796</v>
      </c>
      <c r="D578" s="424"/>
      <c r="E578" s="416"/>
      <c r="F578" s="414">
        <f ca="1" t="shared" si="332"/>
        <v>0</v>
      </c>
      <c r="G578" s="414">
        <f ca="1" t="shared" si="332"/>
        <v>0</v>
      </c>
      <c r="H578" s="414">
        <f ca="1" t="shared" si="332"/>
        <v>0</v>
      </c>
      <c r="I578" s="414">
        <f ca="1" t="shared" si="332"/>
        <v>0</v>
      </c>
      <c r="J578" s="414">
        <f ca="1" t="shared" si="332"/>
        <v>0</v>
      </c>
      <c r="K578" s="414">
        <f ca="1" t="shared" si="332"/>
        <v>0</v>
      </c>
      <c r="L578" s="414">
        <f ca="1" t="shared" si="332"/>
        <v>0</v>
      </c>
      <c r="M578" s="414">
        <f ca="1" t="shared" si="332"/>
        <v>0</v>
      </c>
      <c r="N578" s="414">
        <f ca="1" t="shared" si="335"/>
        <v>0</v>
      </c>
      <c r="O578" s="414">
        <f ca="1" t="shared" si="335"/>
        <v>0</v>
      </c>
    </row>
    <row r="579" ht="15" hidden="1" spans="2:15">
      <c r="B579" s="422">
        <v>13</v>
      </c>
      <c r="C579" s="425"/>
      <c r="D579" s="424"/>
      <c r="E579" s="416"/>
      <c r="F579" s="414">
        <f t="shared" si="332"/>
        <v>0</v>
      </c>
      <c r="G579" s="414">
        <f t="shared" si="332"/>
        <v>0</v>
      </c>
      <c r="H579" s="414">
        <f t="shared" si="332"/>
        <v>0</v>
      </c>
      <c r="I579" s="414">
        <f t="shared" si="332"/>
        <v>0</v>
      </c>
      <c r="J579" s="414">
        <f t="shared" si="332"/>
        <v>0</v>
      </c>
      <c r="K579" s="414">
        <f t="shared" si="332"/>
        <v>0</v>
      </c>
      <c r="L579" s="414">
        <f t="shared" si="332"/>
        <v>0</v>
      </c>
      <c r="M579" s="414">
        <f t="shared" si="332"/>
        <v>0</v>
      </c>
      <c r="N579" s="414"/>
      <c r="O579" s="414"/>
    </row>
    <row r="580" ht="15" hidden="1" spans="2:15">
      <c r="B580" s="422"/>
      <c r="C580" s="425" t="s">
        <v>797</v>
      </c>
      <c r="D580" s="424"/>
      <c r="E580" s="416"/>
      <c r="F580" s="414">
        <f ca="1" t="shared" si="332"/>
        <v>15.525</v>
      </c>
      <c r="G580" s="414">
        <f ca="1" t="shared" si="332"/>
        <v>0</v>
      </c>
      <c r="H580" s="414">
        <f ca="1" t="shared" si="332"/>
        <v>0</v>
      </c>
      <c r="I580" s="414">
        <f ca="1" t="shared" si="332"/>
        <v>15.525</v>
      </c>
      <c r="J580" s="414">
        <f ca="1" t="shared" si="332"/>
        <v>12.1122318465</v>
      </c>
      <c r="K580" s="414">
        <f t="shared" si="332"/>
        <v>0.3646486539</v>
      </c>
      <c r="L580" s="414">
        <f ca="1" t="shared" si="332"/>
        <v>0</v>
      </c>
      <c r="M580" s="414">
        <f ca="1" t="shared" si="332"/>
        <v>12.4768805004</v>
      </c>
      <c r="N580" s="414">
        <f ca="1" t="shared" ref="N580:O583" si="336">F580-J580</f>
        <v>3.4127681535</v>
      </c>
      <c r="O580" s="414">
        <f ca="1" t="shared" si="336"/>
        <v>-0.3646486539</v>
      </c>
    </row>
    <row r="581" ht="15" hidden="1" spans="2:15">
      <c r="B581" s="422"/>
      <c r="C581" s="425" t="s">
        <v>798</v>
      </c>
      <c r="D581" s="424"/>
      <c r="E581" s="416"/>
      <c r="F581" s="414">
        <f ca="1" t="shared" si="332"/>
        <v>46.8298703634142</v>
      </c>
      <c r="G581" s="414">
        <f t="shared" si="332"/>
        <v>0.223114379976727</v>
      </c>
      <c r="H581" s="414">
        <f ca="1" t="shared" si="332"/>
        <v>0</v>
      </c>
      <c r="I581" s="414">
        <f ca="1" t="shared" si="332"/>
        <v>47.0529847433909</v>
      </c>
      <c r="J581" s="414">
        <f ca="1" t="shared" si="332"/>
        <v>35.4945821651098</v>
      </c>
      <c r="K581" s="414">
        <f t="shared" si="332"/>
        <v>1.26207556680623</v>
      </c>
      <c r="L581" s="414">
        <f ca="1" t="shared" si="332"/>
        <v>0</v>
      </c>
      <c r="M581" s="414">
        <f ca="1" t="shared" si="332"/>
        <v>36.756657731916</v>
      </c>
      <c r="N581" s="414">
        <f ca="1" t="shared" si="336"/>
        <v>11.3352881983044</v>
      </c>
      <c r="O581" s="414">
        <f t="shared" si="336"/>
        <v>-1.0389611868295</v>
      </c>
    </row>
    <row r="582" ht="15" hidden="1" spans="2:15">
      <c r="B582" s="422"/>
      <c r="C582" s="425" t="s">
        <v>799</v>
      </c>
      <c r="D582" s="424"/>
      <c r="E582" s="416"/>
      <c r="F582" s="414">
        <f ca="1" t="shared" si="332"/>
        <v>0</v>
      </c>
      <c r="G582" s="414">
        <f ca="1" t="shared" si="332"/>
        <v>0</v>
      </c>
      <c r="H582" s="414">
        <f ca="1" t="shared" si="332"/>
        <v>0</v>
      </c>
      <c r="I582" s="414">
        <f ca="1" t="shared" si="332"/>
        <v>0</v>
      </c>
      <c r="J582" s="414">
        <f ca="1" t="shared" si="332"/>
        <v>0</v>
      </c>
      <c r="K582" s="414">
        <f ca="1" t="shared" si="332"/>
        <v>0</v>
      </c>
      <c r="L582" s="414">
        <f ca="1" t="shared" si="332"/>
        <v>0</v>
      </c>
      <c r="M582" s="414">
        <f ca="1" t="shared" si="332"/>
        <v>0</v>
      </c>
      <c r="N582" s="414">
        <f ca="1" t="shared" si="336"/>
        <v>0</v>
      </c>
      <c r="O582" s="414">
        <f ca="1" t="shared" si="336"/>
        <v>0</v>
      </c>
    </row>
    <row r="583" ht="15" hidden="1" spans="2:15">
      <c r="B583" s="422"/>
      <c r="C583" s="425" t="s">
        <v>800</v>
      </c>
      <c r="D583" s="424"/>
      <c r="E583" s="416"/>
      <c r="F583" s="414">
        <f ca="1" t="shared" si="332"/>
        <v>0</v>
      </c>
      <c r="G583" s="414">
        <f ca="1" t="shared" si="332"/>
        <v>0</v>
      </c>
      <c r="H583" s="414">
        <f ca="1" t="shared" si="332"/>
        <v>0</v>
      </c>
      <c r="I583" s="414">
        <f ca="1" t="shared" si="332"/>
        <v>0</v>
      </c>
      <c r="J583" s="414">
        <f ca="1" t="shared" si="332"/>
        <v>0</v>
      </c>
      <c r="K583" s="414">
        <f ca="1" t="shared" si="332"/>
        <v>0</v>
      </c>
      <c r="L583" s="414">
        <f ca="1" t="shared" si="332"/>
        <v>0</v>
      </c>
      <c r="M583" s="414">
        <f ca="1" t="shared" si="332"/>
        <v>0</v>
      </c>
      <c r="N583" s="414">
        <f ca="1" t="shared" si="336"/>
        <v>0</v>
      </c>
      <c r="O583" s="414">
        <f ca="1" t="shared" si="336"/>
        <v>0</v>
      </c>
    </row>
    <row r="584" ht="15" hidden="1" spans="2:15">
      <c r="B584" s="422">
        <v>14</v>
      </c>
      <c r="C584" s="423" t="s">
        <v>801</v>
      </c>
      <c r="D584" s="424"/>
      <c r="E584" s="416"/>
      <c r="F584" s="414">
        <f t="shared" ref="F584:M590" si="337">90%*F267</f>
        <v>0</v>
      </c>
      <c r="G584" s="414">
        <f t="shared" si="337"/>
        <v>0</v>
      </c>
      <c r="H584" s="414">
        <f t="shared" si="337"/>
        <v>0</v>
      </c>
      <c r="I584" s="414">
        <f t="shared" si="337"/>
        <v>0</v>
      </c>
      <c r="J584" s="414">
        <f t="shared" si="337"/>
        <v>0</v>
      </c>
      <c r="K584" s="414">
        <f t="shared" si="337"/>
        <v>0</v>
      </c>
      <c r="L584" s="414">
        <f t="shared" si="337"/>
        <v>0</v>
      </c>
      <c r="M584" s="414">
        <f t="shared" si="337"/>
        <v>0</v>
      </c>
      <c r="N584" s="414"/>
      <c r="O584" s="414"/>
    </row>
    <row r="585" ht="15" hidden="1" spans="2:15">
      <c r="B585" s="422"/>
      <c r="C585" s="425" t="s">
        <v>802</v>
      </c>
      <c r="D585" s="424"/>
      <c r="E585" s="416"/>
      <c r="F585" s="414">
        <f ca="1" t="shared" si="337"/>
        <v>0</v>
      </c>
      <c r="G585" s="414">
        <f ca="1" t="shared" si="337"/>
        <v>0</v>
      </c>
      <c r="H585" s="414">
        <f ca="1" t="shared" si="337"/>
        <v>0</v>
      </c>
      <c r="I585" s="414">
        <f ca="1" t="shared" si="337"/>
        <v>0</v>
      </c>
      <c r="J585" s="414">
        <f ca="1" t="shared" si="337"/>
        <v>0</v>
      </c>
      <c r="K585" s="414">
        <f ca="1" t="shared" si="337"/>
        <v>0</v>
      </c>
      <c r="L585" s="414">
        <f ca="1" t="shared" si="337"/>
        <v>0</v>
      </c>
      <c r="M585" s="414">
        <f ca="1" t="shared" si="337"/>
        <v>0</v>
      </c>
      <c r="N585" s="414">
        <f ca="1" t="shared" ref="N585:O590" si="338">F585-J585</f>
        <v>0</v>
      </c>
      <c r="O585" s="414">
        <f ca="1" t="shared" si="338"/>
        <v>0</v>
      </c>
    </row>
    <row r="586" ht="15" hidden="1" spans="2:15">
      <c r="B586" s="422"/>
      <c r="C586" s="425" t="s">
        <v>803</v>
      </c>
      <c r="D586" s="424"/>
      <c r="E586" s="416"/>
      <c r="F586" s="414">
        <f ca="1" t="shared" si="337"/>
        <v>0</v>
      </c>
      <c r="G586" s="414">
        <f ca="1" t="shared" si="337"/>
        <v>0</v>
      </c>
      <c r="H586" s="414">
        <f ca="1" t="shared" si="337"/>
        <v>0</v>
      </c>
      <c r="I586" s="414">
        <f ca="1" t="shared" si="337"/>
        <v>0</v>
      </c>
      <c r="J586" s="414">
        <f ca="1" t="shared" si="337"/>
        <v>0</v>
      </c>
      <c r="K586" s="414">
        <f ca="1" t="shared" si="337"/>
        <v>0</v>
      </c>
      <c r="L586" s="414">
        <f ca="1" t="shared" si="337"/>
        <v>0</v>
      </c>
      <c r="M586" s="414">
        <f ca="1" t="shared" si="337"/>
        <v>0</v>
      </c>
      <c r="N586" s="414">
        <f ca="1" t="shared" si="338"/>
        <v>0</v>
      </c>
      <c r="O586" s="414">
        <f ca="1" t="shared" si="338"/>
        <v>0</v>
      </c>
    </row>
    <row r="587" ht="15" hidden="1" spans="2:15">
      <c r="B587" s="422"/>
      <c r="C587" s="425" t="s">
        <v>804</v>
      </c>
      <c r="D587" s="424"/>
      <c r="E587" s="416"/>
      <c r="F587" s="414">
        <f ca="1" t="shared" si="337"/>
        <v>0</v>
      </c>
      <c r="G587" s="414">
        <f ca="1" t="shared" si="337"/>
        <v>0</v>
      </c>
      <c r="H587" s="414">
        <f ca="1" t="shared" si="337"/>
        <v>0</v>
      </c>
      <c r="I587" s="414">
        <f ca="1" t="shared" si="337"/>
        <v>0</v>
      </c>
      <c r="J587" s="414">
        <f ca="1" t="shared" si="337"/>
        <v>0</v>
      </c>
      <c r="K587" s="414">
        <f ca="1" t="shared" si="337"/>
        <v>0</v>
      </c>
      <c r="L587" s="414">
        <f ca="1" t="shared" si="337"/>
        <v>0</v>
      </c>
      <c r="M587" s="414">
        <f ca="1" t="shared" si="337"/>
        <v>0</v>
      </c>
      <c r="N587" s="414">
        <f ca="1" t="shared" si="338"/>
        <v>0</v>
      </c>
      <c r="O587" s="414">
        <f ca="1" t="shared" si="338"/>
        <v>0</v>
      </c>
    </row>
    <row r="588" ht="15" hidden="1" spans="2:15">
      <c r="B588" s="422">
        <v>15</v>
      </c>
      <c r="C588" s="423" t="s">
        <v>805</v>
      </c>
      <c r="D588" s="424"/>
      <c r="E588" s="416"/>
      <c r="F588" s="414">
        <f ca="1" t="shared" si="337"/>
        <v>213.879000809103</v>
      </c>
      <c r="G588" s="414">
        <f t="shared" si="337"/>
        <v>17.5222081426651</v>
      </c>
      <c r="H588" s="414">
        <f ca="1" t="shared" si="337"/>
        <v>0</v>
      </c>
      <c r="I588" s="414">
        <f ca="1" t="shared" si="337"/>
        <v>231.401208951768</v>
      </c>
      <c r="J588" s="414">
        <f ca="1" t="shared" si="337"/>
        <v>172.287854712954</v>
      </c>
      <c r="K588" s="414">
        <f t="shared" si="337"/>
        <v>10.2050944665653</v>
      </c>
      <c r="L588" s="414">
        <f ca="1" t="shared" si="337"/>
        <v>0</v>
      </c>
      <c r="M588" s="414">
        <f ca="1" t="shared" si="337"/>
        <v>182.492949179519</v>
      </c>
      <c r="N588" s="414">
        <f ca="1" t="shared" si="338"/>
        <v>41.5911460961489</v>
      </c>
      <c r="O588" s="414">
        <f t="shared" si="338"/>
        <v>7.31711367609984</v>
      </c>
    </row>
    <row r="589" ht="15" hidden="1" spans="2:15">
      <c r="B589" s="422">
        <v>16</v>
      </c>
      <c r="C589" s="423" t="s">
        <v>806</v>
      </c>
      <c r="D589" s="412"/>
      <c r="E589" s="416"/>
      <c r="F589" s="414">
        <f ca="1" t="shared" si="337"/>
        <v>63.72</v>
      </c>
      <c r="G589" s="414">
        <f ca="1" t="shared" si="337"/>
        <v>0</v>
      </c>
      <c r="H589" s="414">
        <f ca="1" t="shared" si="337"/>
        <v>0</v>
      </c>
      <c r="I589" s="414">
        <f ca="1" t="shared" si="337"/>
        <v>63.72</v>
      </c>
      <c r="J589" s="414">
        <f ca="1" t="shared" si="337"/>
        <v>60.3360258372</v>
      </c>
      <c r="K589" s="414">
        <f t="shared" si="337"/>
        <v>2.7418379544</v>
      </c>
      <c r="L589" s="414">
        <f ca="1" t="shared" si="337"/>
        <v>0</v>
      </c>
      <c r="M589" s="414">
        <f ca="1" t="shared" si="337"/>
        <v>63.0778637916</v>
      </c>
      <c r="N589" s="414">
        <f ca="1" t="shared" si="338"/>
        <v>3.3839741628</v>
      </c>
      <c r="O589" s="414">
        <f ca="1" t="shared" si="338"/>
        <v>-2.7418379544</v>
      </c>
    </row>
    <row r="590" ht="15" hidden="1" spans="2:15">
      <c r="B590" s="422">
        <v>17</v>
      </c>
      <c r="C590" s="423" t="s">
        <v>807</v>
      </c>
      <c r="D590" s="412"/>
      <c r="E590" s="426"/>
      <c r="F590" s="414">
        <f ca="1" t="shared" si="337"/>
        <v>0</v>
      </c>
      <c r="G590" s="414">
        <f ca="1" t="shared" si="337"/>
        <v>0</v>
      </c>
      <c r="H590" s="414">
        <f ca="1" t="shared" si="337"/>
        <v>0</v>
      </c>
      <c r="I590" s="414">
        <f ca="1" t="shared" si="337"/>
        <v>0</v>
      </c>
      <c r="J590" s="414">
        <f ca="1" t="shared" si="337"/>
        <v>0</v>
      </c>
      <c r="K590" s="414">
        <f ca="1" t="shared" si="337"/>
        <v>0</v>
      </c>
      <c r="L590" s="414">
        <f ca="1" t="shared" si="337"/>
        <v>0</v>
      </c>
      <c r="M590" s="414">
        <f ca="1" t="shared" si="337"/>
        <v>0</v>
      </c>
      <c r="N590" s="414">
        <f ca="1" t="shared" si="338"/>
        <v>0</v>
      </c>
      <c r="O590" s="414">
        <f ca="1" t="shared" si="338"/>
        <v>0</v>
      </c>
    </row>
    <row r="591" ht="15.75" hidden="1" spans="2:15">
      <c r="B591" s="427"/>
      <c r="C591" s="428" t="s">
        <v>97</v>
      </c>
      <c r="D591" s="428"/>
      <c r="E591" s="429"/>
      <c r="F591" s="430">
        <f ca="1">SUM(F551:F590)</f>
        <v>28272.7549233846</v>
      </c>
      <c r="G591" s="430">
        <f ca="1" t="shared" ref="G591:O591" si="339">SUM(G551:G590)</f>
        <v>3694.39311279785</v>
      </c>
      <c r="H591" s="430">
        <f ca="1" t="shared" si="339"/>
        <v>0</v>
      </c>
      <c r="I591" s="430">
        <f ca="1" t="shared" si="339"/>
        <v>31967.1480361825</v>
      </c>
      <c r="J591" s="430">
        <f ca="1" t="shared" si="339"/>
        <v>12688.0757883853</v>
      </c>
      <c r="K591" s="430">
        <f ca="1" t="shared" si="339"/>
        <v>1004.07857919097</v>
      </c>
      <c r="L591" s="430">
        <f ca="1" t="shared" si="339"/>
        <v>0</v>
      </c>
      <c r="M591" s="430">
        <f ca="1" t="shared" si="339"/>
        <v>13692.1543675763</v>
      </c>
      <c r="N591" s="430">
        <f ca="1" t="shared" si="339"/>
        <v>15584.6791349993</v>
      </c>
      <c r="O591" s="430">
        <f ca="1" t="shared" si="339"/>
        <v>17495.6270671548</v>
      </c>
    </row>
    <row r="592" hidden="1"/>
    <row r="593" ht="15" hidden="1" spans="2:15">
      <c r="B593" s="431" t="s">
        <v>657</v>
      </c>
      <c r="C593" s="432"/>
      <c r="D593" s="432"/>
      <c r="E593" s="432"/>
      <c r="F593" s="432"/>
      <c r="G593" s="432"/>
      <c r="H593" s="432"/>
      <c r="I593" s="432"/>
      <c r="J593" s="432"/>
      <c r="K593" s="432"/>
      <c r="L593" s="432"/>
      <c r="M593" s="432"/>
      <c r="N593" s="432"/>
      <c r="O593" s="442"/>
    </row>
    <row r="594" ht="15" hidden="1" spans="2:15">
      <c r="B594" s="406" t="s">
        <v>564</v>
      </c>
      <c r="C594" s="980" t="s">
        <v>671</v>
      </c>
      <c r="D594" s="408" t="s">
        <v>672</v>
      </c>
      <c r="E594" s="408" t="s">
        <v>673</v>
      </c>
      <c r="F594" s="408" t="s">
        <v>674</v>
      </c>
      <c r="G594" s="408"/>
      <c r="H594" s="408"/>
      <c r="I594" s="408"/>
      <c r="J594" s="408" t="s">
        <v>675</v>
      </c>
      <c r="K594" s="408"/>
      <c r="L594" s="408"/>
      <c r="M594" s="408"/>
      <c r="N594" s="408" t="s">
        <v>676</v>
      </c>
      <c r="O594" s="440"/>
    </row>
    <row r="595" ht="60.75" hidden="1" spans="2:15">
      <c r="B595" s="433"/>
      <c r="C595" s="434"/>
      <c r="D595" s="435"/>
      <c r="E595" s="435"/>
      <c r="F595" s="435" t="s">
        <v>677</v>
      </c>
      <c r="G595" s="435" t="s">
        <v>678</v>
      </c>
      <c r="H595" s="435" t="s">
        <v>679</v>
      </c>
      <c r="I595" s="435" t="s">
        <v>680</v>
      </c>
      <c r="J595" s="435" t="s">
        <v>681</v>
      </c>
      <c r="K595" s="435" t="s">
        <v>678</v>
      </c>
      <c r="L595" s="435" t="s">
        <v>682</v>
      </c>
      <c r="M595" s="435" t="s">
        <v>683</v>
      </c>
      <c r="N595" s="435" t="s">
        <v>677</v>
      </c>
      <c r="O595" s="443" t="s">
        <v>680</v>
      </c>
    </row>
    <row r="596" ht="15" hidden="1" spans="2:15">
      <c r="B596" s="410">
        <v>1</v>
      </c>
      <c r="C596" s="411" t="s">
        <v>684</v>
      </c>
      <c r="D596" s="405"/>
      <c r="E596" s="437"/>
      <c r="F596" s="414">
        <f ca="1">90%*F279</f>
        <v>296.030173403151</v>
      </c>
      <c r="G596" s="414">
        <f t="shared" ref="G596:M596" si="340">90%*G279</f>
        <v>90.6582388957299</v>
      </c>
      <c r="H596" s="414">
        <f ca="1" t="shared" si="340"/>
        <v>0</v>
      </c>
      <c r="I596" s="414">
        <f ca="1" t="shared" si="340"/>
        <v>386.688412298881</v>
      </c>
      <c r="J596" s="414">
        <f ca="1" t="shared" si="340"/>
        <v>0.0044091558000014</v>
      </c>
      <c r="K596" s="414">
        <f t="shared" si="340"/>
        <v>0</v>
      </c>
      <c r="L596" s="414">
        <f ca="1" t="shared" si="340"/>
        <v>0</v>
      </c>
      <c r="M596" s="414">
        <f ca="1" t="shared" si="340"/>
        <v>0.0044091558000014</v>
      </c>
      <c r="N596" s="414">
        <f ca="1">F596-J596</f>
        <v>296.025764247351</v>
      </c>
      <c r="O596" s="414">
        <f ca="1">I596-M596</f>
        <v>386.684003143081</v>
      </c>
    </row>
    <row r="597" ht="15" hidden="1" spans="2:15">
      <c r="B597" s="410">
        <v>2</v>
      </c>
      <c r="C597" s="411" t="s">
        <v>770</v>
      </c>
      <c r="D597" s="476"/>
      <c r="E597" s="477"/>
      <c r="F597" s="414">
        <f ca="1" t="shared" ref="F597:M612" si="341">90%*F280</f>
        <v>0</v>
      </c>
      <c r="G597" s="414">
        <f ca="1" t="shared" si="341"/>
        <v>0</v>
      </c>
      <c r="H597" s="414">
        <f ca="1" t="shared" si="341"/>
        <v>0</v>
      </c>
      <c r="I597" s="414">
        <f ca="1" t="shared" si="341"/>
        <v>0</v>
      </c>
      <c r="J597" s="414">
        <f ca="1" t="shared" si="341"/>
        <v>0</v>
      </c>
      <c r="K597" s="414">
        <f ca="1" t="shared" si="341"/>
        <v>0</v>
      </c>
      <c r="L597" s="414">
        <f ca="1" t="shared" si="341"/>
        <v>0</v>
      </c>
      <c r="M597" s="414">
        <f ca="1" t="shared" si="341"/>
        <v>0</v>
      </c>
      <c r="N597" s="414">
        <f ca="1">F597-J597</f>
        <v>0</v>
      </c>
      <c r="O597" s="414">
        <f ca="1">I597-M597</f>
        <v>0</v>
      </c>
    </row>
    <row r="598" ht="15" hidden="1" spans="2:15">
      <c r="B598" s="410">
        <v>3</v>
      </c>
      <c r="C598" s="415" t="s">
        <v>771</v>
      </c>
      <c r="D598" s="412"/>
      <c r="E598" s="416"/>
      <c r="F598" s="414">
        <f t="shared" si="341"/>
        <v>0</v>
      </c>
      <c r="G598" s="414">
        <f t="shared" si="341"/>
        <v>0</v>
      </c>
      <c r="H598" s="414">
        <f t="shared" si="341"/>
        <v>0</v>
      </c>
      <c r="I598" s="414">
        <f t="shared" si="341"/>
        <v>0</v>
      </c>
      <c r="J598" s="414">
        <f t="shared" si="341"/>
        <v>0</v>
      </c>
      <c r="K598" s="414">
        <f t="shared" si="341"/>
        <v>0</v>
      </c>
      <c r="L598" s="414">
        <f t="shared" si="341"/>
        <v>0</v>
      </c>
      <c r="M598" s="414">
        <f t="shared" si="341"/>
        <v>0</v>
      </c>
      <c r="N598" s="414"/>
      <c r="O598" s="414"/>
    </row>
    <row r="599" ht="15" hidden="1" spans="2:15">
      <c r="B599" s="410"/>
      <c r="C599" s="417" t="s">
        <v>772</v>
      </c>
      <c r="D599" s="412"/>
      <c r="E599" s="416"/>
      <c r="F599" s="414">
        <f ca="1" t="shared" si="341"/>
        <v>580.973621149146</v>
      </c>
      <c r="G599" s="414">
        <f t="shared" si="341"/>
        <v>76.7951822979939</v>
      </c>
      <c r="H599" s="414">
        <f ca="1" t="shared" si="341"/>
        <v>0</v>
      </c>
      <c r="I599" s="414">
        <f ca="1" t="shared" si="341"/>
        <v>657.76880344714</v>
      </c>
      <c r="J599" s="414">
        <f ca="1" t="shared" si="341"/>
        <v>198.641223639658</v>
      </c>
      <c r="K599" s="414">
        <f t="shared" si="341"/>
        <v>20.3553671840354</v>
      </c>
      <c r="L599" s="414">
        <f ca="1" t="shared" si="341"/>
        <v>0</v>
      </c>
      <c r="M599" s="414">
        <f ca="1" t="shared" si="341"/>
        <v>218.996590823693</v>
      </c>
      <c r="N599" s="414">
        <f ca="1" t="shared" ref="N599:N602" si="342">F599-J599</f>
        <v>382.332397509488</v>
      </c>
      <c r="O599" s="414">
        <f ca="1" t="shared" ref="O599:O602" si="343">I599-M599</f>
        <v>438.772212623447</v>
      </c>
    </row>
    <row r="600" ht="28.5" hidden="1" spans="2:15">
      <c r="B600" s="410"/>
      <c r="C600" s="417" t="s">
        <v>773</v>
      </c>
      <c r="D600" s="412"/>
      <c r="E600" s="416"/>
      <c r="F600" s="414">
        <f ca="1" t="shared" si="341"/>
        <v>0</v>
      </c>
      <c r="G600" s="414">
        <f ca="1" t="shared" si="341"/>
        <v>0</v>
      </c>
      <c r="H600" s="414">
        <f ca="1" t="shared" si="341"/>
        <v>0</v>
      </c>
      <c r="I600" s="414">
        <f ca="1" t="shared" si="341"/>
        <v>0</v>
      </c>
      <c r="J600" s="414">
        <f ca="1" t="shared" si="341"/>
        <v>0</v>
      </c>
      <c r="K600" s="414">
        <f ca="1" t="shared" si="341"/>
        <v>0</v>
      </c>
      <c r="L600" s="414">
        <f ca="1" t="shared" si="341"/>
        <v>0</v>
      </c>
      <c r="M600" s="414">
        <f ca="1" t="shared" si="341"/>
        <v>0</v>
      </c>
      <c r="N600" s="414">
        <f ca="1" t="shared" si="342"/>
        <v>0</v>
      </c>
      <c r="O600" s="414">
        <f ca="1" t="shared" si="343"/>
        <v>0</v>
      </c>
    </row>
    <row r="601" ht="15" hidden="1" spans="2:15">
      <c r="B601" s="410"/>
      <c r="C601" s="417" t="s">
        <v>774</v>
      </c>
      <c r="D601" s="412"/>
      <c r="E601" s="416"/>
      <c r="F601" s="414">
        <f ca="1" t="shared" si="341"/>
        <v>0</v>
      </c>
      <c r="G601" s="414">
        <f ca="1" t="shared" si="341"/>
        <v>0</v>
      </c>
      <c r="H601" s="414">
        <f ca="1" t="shared" si="341"/>
        <v>0</v>
      </c>
      <c r="I601" s="414">
        <f ca="1" t="shared" si="341"/>
        <v>0</v>
      </c>
      <c r="J601" s="414">
        <f ca="1" t="shared" si="341"/>
        <v>0</v>
      </c>
      <c r="K601" s="414">
        <f ca="1" t="shared" si="341"/>
        <v>0</v>
      </c>
      <c r="L601" s="414">
        <f ca="1" t="shared" si="341"/>
        <v>0</v>
      </c>
      <c r="M601" s="414">
        <f ca="1" t="shared" si="341"/>
        <v>0</v>
      </c>
      <c r="N601" s="414">
        <f ca="1" t="shared" si="342"/>
        <v>0</v>
      </c>
      <c r="O601" s="414">
        <f ca="1" t="shared" si="343"/>
        <v>0</v>
      </c>
    </row>
    <row r="602" ht="15" hidden="1" spans="2:15">
      <c r="B602" s="410"/>
      <c r="C602" s="417" t="s">
        <v>775</v>
      </c>
      <c r="D602" s="412"/>
      <c r="E602" s="416"/>
      <c r="F602" s="414">
        <f ca="1" t="shared" si="341"/>
        <v>198.972</v>
      </c>
      <c r="G602" s="414">
        <f ca="1" t="shared" si="341"/>
        <v>0</v>
      </c>
      <c r="H602" s="414">
        <f ca="1" t="shared" si="341"/>
        <v>0</v>
      </c>
      <c r="I602" s="414">
        <f ca="1" t="shared" si="341"/>
        <v>198.972</v>
      </c>
      <c r="J602" s="414">
        <f ca="1" t="shared" si="341"/>
        <v>39.9721005729</v>
      </c>
      <c r="K602" s="414">
        <f ca="1" t="shared" si="341"/>
        <v>0</v>
      </c>
      <c r="L602" s="414">
        <f ca="1" t="shared" si="341"/>
        <v>0</v>
      </c>
      <c r="M602" s="414">
        <f ca="1" t="shared" si="341"/>
        <v>39.9721005729</v>
      </c>
      <c r="N602" s="414">
        <f ca="1" t="shared" si="342"/>
        <v>158.9998994271</v>
      </c>
      <c r="O602" s="414">
        <f ca="1" t="shared" si="343"/>
        <v>158.9998994271</v>
      </c>
    </row>
    <row r="603" ht="15" hidden="1" spans="2:15">
      <c r="B603" s="410">
        <v>4</v>
      </c>
      <c r="C603" s="411" t="s">
        <v>776</v>
      </c>
      <c r="D603" s="412"/>
      <c r="E603" s="416"/>
      <c r="F603" s="414">
        <f t="shared" si="341"/>
        <v>0</v>
      </c>
      <c r="G603" s="414">
        <f t="shared" si="341"/>
        <v>0</v>
      </c>
      <c r="H603" s="414">
        <f t="shared" si="341"/>
        <v>0</v>
      </c>
      <c r="I603" s="414">
        <f t="shared" si="341"/>
        <v>0</v>
      </c>
      <c r="J603" s="414">
        <f t="shared" si="341"/>
        <v>0</v>
      </c>
      <c r="K603" s="414">
        <f t="shared" si="341"/>
        <v>0</v>
      </c>
      <c r="L603" s="414">
        <f t="shared" si="341"/>
        <v>0</v>
      </c>
      <c r="M603" s="414">
        <f t="shared" si="341"/>
        <v>0</v>
      </c>
      <c r="N603" s="414"/>
      <c r="O603" s="414"/>
    </row>
    <row r="604" ht="15" hidden="1" spans="2:15">
      <c r="B604" s="410"/>
      <c r="C604" s="418" t="s">
        <v>777</v>
      </c>
      <c r="D604" s="412"/>
      <c r="E604" s="416"/>
      <c r="F604" s="414">
        <f ca="1" t="shared" si="341"/>
        <v>13886.6420165509</v>
      </c>
      <c r="G604" s="414">
        <f t="shared" si="341"/>
        <v>1823.6588238055</v>
      </c>
      <c r="H604" s="414">
        <f ca="1" t="shared" si="341"/>
        <v>0</v>
      </c>
      <c r="I604" s="414">
        <f ca="1" t="shared" si="341"/>
        <v>15710.3008403564</v>
      </c>
      <c r="J604" s="414">
        <f ca="1" t="shared" si="341"/>
        <v>6229.86844435053</v>
      </c>
      <c r="K604" s="414">
        <f t="shared" si="341"/>
        <v>526.930235904334</v>
      </c>
      <c r="L604" s="414">
        <f ca="1" t="shared" si="341"/>
        <v>0</v>
      </c>
      <c r="M604" s="414">
        <f ca="1" t="shared" si="341"/>
        <v>6756.79868025487</v>
      </c>
      <c r="N604" s="414">
        <f ca="1" t="shared" ref="N604:N607" si="344">F604-J604</f>
        <v>7656.77357220032</v>
      </c>
      <c r="O604" s="414">
        <f ca="1" t="shared" ref="O604:O607" si="345">I604-M604</f>
        <v>8953.50216010149</v>
      </c>
    </row>
    <row r="605" ht="15" hidden="1" spans="2:15">
      <c r="B605" s="410"/>
      <c r="C605" s="411" t="s">
        <v>778</v>
      </c>
      <c r="D605" s="412"/>
      <c r="E605" s="416"/>
      <c r="F605" s="414">
        <f t="shared" si="341"/>
        <v>0</v>
      </c>
      <c r="G605" s="414">
        <f t="shared" si="341"/>
        <v>0</v>
      </c>
      <c r="H605" s="414">
        <f t="shared" si="341"/>
        <v>0</v>
      </c>
      <c r="I605" s="414">
        <f t="shared" si="341"/>
        <v>0</v>
      </c>
      <c r="J605" s="414">
        <f t="shared" si="341"/>
        <v>0</v>
      </c>
      <c r="K605" s="414">
        <f t="shared" si="341"/>
        <v>0</v>
      </c>
      <c r="L605" s="414">
        <f t="shared" si="341"/>
        <v>0</v>
      </c>
      <c r="M605" s="414">
        <f t="shared" si="341"/>
        <v>0</v>
      </c>
      <c r="N605" s="414"/>
      <c r="O605" s="414"/>
    </row>
    <row r="606" ht="15" hidden="1" spans="2:15">
      <c r="B606" s="410"/>
      <c r="C606" s="418" t="s">
        <v>779</v>
      </c>
      <c r="D606" s="412"/>
      <c r="E606" s="416"/>
      <c r="F606" s="414">
        <f ca="1" t="shared" si="341"/>
        <v>0</v>
      </c>
      <c r="G606" s="414">
        <f ca="1" t="shared" si="341"/>
        <v>0</v>
      </c>
      <c r="H606" s="414">
        <f ca="1" t="shared" si="341"/>
        <v>0</v>
      </c>
      <c r="I606" s="414">
        <f ca="1" t="shared" si="341"/>
        <v>0</v>
      </c>
      <c r="J606" s="414">
        <f ca="1" t="shared" si="341"/>
        <v>0</v>
      </c>
      <c r="K606" s="414">
        <f ca="1" t="shared" si="341"/>
        <v>0</v>
      </c>
      <c r="L606" s="414">
        <f ca="1" t="shared" si="341"/>
        <v>0</v>
      </c>
      <c r="M606" s="414">
        <f ca="1" t="shared" si="341"/>
        <v>0</v>
      </c>
      <c r="N606" s="414">
        <f ca="1" t="shared" si="344"/>
        <v>0</v>
      </c>
      <c r="O606" s="414">
        <f ca="1" t="shared" si="345"/>
        <v>0</v>
      </c>
    </row>
    <row r="607" ht="15" hidden="1" spans="2:15">
      <c r="B607" s="410"/>
      <c r="C607" s="418" t="s">
        <v>780</v>
      </c>
      <c r="D607" s="412"/>
      <c r="E607" s="416"/>
      <c r="F607" s="414">
        <f ca="1" t="shared" si="341"/>
        <v>0</v>
      </c>
      <c r="G607" s="414">
        <f ca="1" t="shared" si="341"/>
        <v>0</v>
      </c>
      <c r="H607" s="414">
        <f ca="1" t="shared" si="341"/>
        <v>0</v>
      </c>
      <c r="I607" s="414">
        <f ca="1" t="shared" si="341"/>
        <v>0</v>
      </c>
      <c r="J607" s="414">
        <f ca="1" t="shared" si="341"/>
        <v>0</v>
      </c>
      <c r="K607" s="414">
        <f ca="1" t="shared" si="341"/>
        <v>0</v>
      </c>
      <c r="L607" s="414">
        <f ca="1" t="shared" si="341"/>
        <v>0</v>
      </c>
      <c r="M607" s="414">
        <f ca="1" t="shared" si="341"/>
        <v>0</v>
      </c>
      <c r="N607" s="414">
        <f ca="1" t="shared" si="344"/>
        <v>0</v>
      </c>
      <c r="O607" s="414">
        <f ca="1" t="shared" si="345"/>
        <v>0</v>
      </c>
    </row>
    <row r="608" ht="15" hidden="1" spans="2:15">
      <c r="B608" s="410">
        <v>5</v>
      </c>
      <c r="C608" s="411" t="s">
        <v>781</v>
      </c>
      <c r="D608" s="412"/>
      <c r="E608" s="416"/>
      <c r="F608" s="414">
        <f t="shared" si="341"/>
        <v>0</v>
      </c>
      <c r="G608" s="414">
        <f t="shared" si="341"/>
        <v>0</v>
      </c>
      <c r="H608" s="414">
        <f t="shared" si="341"/>
        <v>0</v>
      </c>
      <c r="I608" s="414">
        <f t="shared" si="341"/>
        <v>0</v>
      </c>
      <c r="J608" s="414">
        <f t="shared" si="341"/>
        <v>0</v>
      </c>
      <c r="K608" s="414">
        <f t="shared" si="341"/>
        <v>0</v>
      </c>
      <c r="L608" s="414">
        <f t="shared" si="341"/>
        <v>0</v>
      </c>
      <c r="M608" s="414">
        <f t="shared" si="341"/>
        <v>0</v>
      </c>
      <c r="N608" s="414"/>
      <c r="O608" s="414"/>
    </row>
    <row r="609" ht="15" hidden="1" spans="2:15">
      <c r="B609" s="410"/>
      <c r="C609" s="418" t="s">
        <v>782</v>
      </c>
      <c r="D609" s="412"/>
      <c r="E609" s="416"/>
      <c r="F609" s="414">
        <f ca="1" t="shared" si="341"/>
        <v>0</v>
      </c>
      <c r="G609" s="414">
        <f ca="1" t="shared" si="341"/>
        <v>0</v>
      </c>
      <c r="H609" s="414">
        <f ca="1" t="shared" si="341"/>
        <v>0</v>
      </c>
      <c r="I609" s="414">
        <f ca="1" t="shared" si="341"/>
        <v>0</v>
      </c>
      <c r="J609" s="414">
        <f ca="1" t="shared" si="341"/>
        <v>0</v>
      </c>
      <c r="K609" s="414">
        <f ca="1" t="shared" si="341"/>
        <v>0</v>
      </c>
      <c r="L609" s="414">
        <f ca="1" t="shared" si="341"/>
        <v>0</v>
      </c>
      <c r="M609" s="414">
        <f ca="1" t="shared" si="341"/>
        <v>0</v>
      </c>
      <c r="N609" s="414">
        <f ca="1" t="shared" ref="N609:N614" si="346">F609-J609</f>
        <v>0</v>
      </c>
      <c r="O609" s="414">
        <f ca="1" t="shared" ref="O609:O614" si="347">I609-M609</f>
        <v>0</v>
      </c>
    </row>
    <row r="610" ht="15" hidden="1" spans="2:15">
      <c r="B610" s="410"/>
      <c r="C610" s="418" t="s">
        <v>783</v>
      </c>
      <c r="D610" s="412"/>
      <c r="E610" s="416"/>
      <c r="F610" s="414">
        <f ca="1" t="shared" si="341"/>
        <v>0</v>
      </c>
      <c r="G610" s="414">
        <f ca="1" t="shared" si="341"/>
        <v>0</v>
      </c>
      <c r="H610" s="414">
        <f ca="1" t="shared" si="341"/>
        <v>0</v>
      </c>
      <c r="I610" s="414">
        <f ca="1" t="shared" si="341"/>
        <v>0</v>
      </c>
      <c r="J610" s="414">
        <f ca="1" t="shared" si="341"/>
        <v>0</v>
      </c>
      <c r="K610" s="414">
        <f ca="1" t="shared" si="341"/>
        <v>0</v>
      </c>
      <c r="L610" s="414">
        <f ca="1" t="shared" si="341"/>
        <v>0</v>
      </c>
      <c r="M610" s="414">
        <f ca="1" t="shared" si="341"/>
        <v>0</v>
      </c>
      <c r="N610" s="414">
        <f ca="1" t="shared" si="346"/>
        <v>0</v>
      </c>
      <c r="O610" s="414">
        <f ca="1" t="shared" si="347"/>
        <v>0</v>
      </c>
    </row>
    <row r="611" ht="15" hidden="1" spans="2:15">
      <c r="B611" s="410"/>
      <c r="C611" s="418" t="s">
        <v>784</v>
      </c>
      <c r="D611" s="412"/>
      <c r="E611" s="416"/>
      <c r="F611" s="414">
        <f ca="1" t="shared" si="341"/>
        <v>0</v>
      </c>
      <c r="G611" s="414">
        <f ca="1" t="shared" si="341"/>
        <v>0</v>
      </c>
      <c r="H611" s="414">
        <f ca="1" t="shared" si="341"/>
        <v>0</v>
      </c>
      <c r="I611" s="414">
        <f ca="1" t="shared" si="341"/>
        <v>0</v>
      </c>
      <c r="J611" s="414">
        <f ca="1" t="shared" si="341"/>
        <v>0</v>
      </c>
      <c r="K611" s="414">
        <f ca="1" t="shared" si="341"/>
        <v>0</v>
      </c>
      <c r="L611" s="414">
        <f ca="1" t="shared" si="341"/>
        <v>0</v>
      </c>
      <c r="M611" s="414">
        <f ca="1" t="shared" si="341"/>
        <v>0</v>
      </c>
      <c r="N611" s="414">
        <f ca="1" t="shared" si="346"/>
        <v>0</v>
      </c>
      <c r="O611" s="414">
        <f ca="1" t="shared" si="347"/>
        <v>0</v>
      </c>
    </row>
    <row r="612" ht="15" hidden="1" spans="2:15">
      <c r="B612" s="410"/>
      <c r="C612" s="418" t="s">
        <v>785</v>
      </c>
      <c r="D612" s="412"/>
      <c r="E612" s="416"/>
      <c r="F612" s="414">
        <f ca="1" t="shared" si="341"/>
        <v>0</v>
      </c>
      <c r="G612" s="414">
        <f ca="1" t="shared" si="341"/>
        <v>0</v>
      </c>
      <c r="H612" s="414">
        <f ca="1" t="shared" si="341"/>
        <v>0</v>
      </c>
      <c r="I612" s="414">
        <f ca="1" t="shared" si="341"/>
        <v>0</v>
      </c>
      <c r="J612" s="414">
        <f ca="1" t="shared" si="341"/>
        <v>0</v>
      </c>
      <c r="K612" s="414">
        <f ca="1" t="shared" si="341"/>
        <v>0</v>
      </c>
      <c r="L612" s="414">
        <f ca="1" t="shared" si="341"/>
        <v>0</v>
      </c>
      <c r="M612" s="414">
        <f ca="1" t="shared" si="341"/>
        <v>0</v>
      </c>
      <c r="N612" s="414">
        <f ca="1" t="shared" si="346"/>
        <v>0</v>
      </c>
      <c r="O612" s="414">
        <f ca="1" t="shared" si="347"/>
        <v>0</v>
      </c>
    </row>
    <row r="613" ht="15" hidden="1" spans="2:15">
      <c r="B613" s="410">
        <v>6</v>
      </c>
      <c r="C613" s="411" t="s">
        <v>786</v>
      </c>
      <c r="D613" s="412"/>
      <c r="E613" s="416"/>
      <c r="F613" s="414">
        <f ca="1" t="shared" ref="F613:M628" si="348">90%*F296</f>
        <v>0</v>
      </c>
      <c r="G613" s="414">
        <f ca="1" t="shared" si="348"/>
        <v>0</v>
      </c>
      <c r="H613" s="414">
        <f ca="1" t="shared" si="348"/>
        <v>0</v>
      </c>
      <c r="I613" s="414">
        <f ca="1" t="shared" si="348"/>
        <v>0</v>
      </c>
      <c r="J613" s="414">
        <f ca="1" t="shared" si="348"/>
        <v>0</v>
      </c>
      <c r="K613" s="414">
        <f ca="1" t="shared" si="348"/>
        <v>0</v>
      </c>
      <c r="L613" s="414">
        <f ca="1" t="shared" si="348"/>
        <v>0</v>
      </c>
      <c r="M613" s="414">
        <f ca="1" t="shared" si="348"/>
        <v>0</v>
      </c>
      <c r="N613" s="414">
        <f ca="1" t="shared" si="346"/>
        <v>0</v>
      </c>
      <c r="O613" s="414">
        <f ca="1" t="shared" si="347"/>
        <v>0</v>
      </c>
    </row>
    <row r="614" ht="15" hidden="1" spans="2:15">
      <c r="B614" s="410">
        <v>7</v>
      </c>
      <c r="C614" s="411" t="s">
        <v>787</v>
      </c>
      <c r="D614" s="412"/>
      <c r="E614" s="416"/>
      <c r="F614" s="414">
        <f ca="1" t="shared" si="348"/>
        <v>0</v>
      </c>
      <c r="G614" s="414">
        <f ca="1" t="shared" si="348"/>
        <v>0</v>
      </c>
      <c r="H614" s="414">
        <f ca="1" t="shared" si="348"/>
        <v>0</v>
      </c>
      <c r="I614" s="414">
        <f ca="1" t="shared" si="348"/>
        <v>0</v>
      </c>
      <c r="J614" s="414">
        <f ca="1" t="shared" si="348"/>
        <v>0</v>
      </c>
      <c r="K614" s="414">
        <f ca="1" t="shared" si="348"/>
        <v>0</v>
      </c>
      <c r="L614" s="414">
        <f ca="1" t="shared" si="348"/>
        <v>0</v>
      </c>
      <c r="M614" s="414">
        <f ca="1" t="shared" si="348"/>
        <v>0</v>
      </c>
      <c r="N614" s="414">
        <f ca="1" t="shared" si="346"/>
        <v>0</v>
      </c>
      <c r="O614" s="414">
        <f ca="1" t="shared" si="347"/>
        <v>0</v>
      </c>
    </row>
    <row r="615" ht="15" hidden="1" spans="2:15">
      <c r="B615" s="410">
        <v>8</v>
      </c>
      <c r="C615" s="411" t="s">
        <v>788</v>
      </c>
      <c r="D615" s="412"/>
      <c r="E615" s="416"/>
      <c r="F615" s="414">
        <f t="shared" si="348"/>
        <v>0</v>
      </c>
      <c r="G615" s="414">
        <f t="shared" si="348"/>
        <v>0</v>
      </c>
      <c r="H615" s="414">
        <f t="shared" si="348"/>
        <v>0</v>
      </c>
      <c r="I615" s="414">
        <f t="shared" si="348"/>
        <v>0</v>
      </c>
      <c r="J615" s="414">
        <f t="shared" si="348"/>
        <v>0</v>
      </c>
      <c r="K615" s="414">
        <f t="shared" si="348"/>
        <v>0</v>
      </c>
      <c r="L615" s="414">
        <f t="shared" si="348"/>
        <v>0</v>
      </c>
      <c r="M615" s="414">
        <f t="shared" si="348"/>
        <v>0</v>
      </c>
      <c r="N615" s="414"/>
      <c r="O615" s="414"/>
    </row>
    <row r="616" ht="15" hidden="1" spans="2:15">
      <c r="B616" s="410"/>
      <c r="C616" s="418" t="s">
        <v>789</v>
      </c>
      <c r="D616" s="412"/>
      <c r="E616" s="416"/>
      <c r="F616" s="414">
        <f ca="1" t="shared" si="348"/>
        <v>14545.6470891526</v>
      </c>
      <c r="G616" s="414">
        <f t="shared" si="348"/>
        <v>2117.76029440797</v>
      </c>
      <c r="H616" s="414">
        <f ca="1" t="shared" si="348"/>
        <v>0</v>
      </c>
      <c r="I616" s="414">
        <f ca="1" t="shared" si="348"/>
        <v>16663.4073835606</v>
      </c>
      <c r="J616" s="414">
        <f ca="1" t="shared" si="348"/>
        <v>5602.79130247098</v>
      </c>
      <c r="K616" s="414">
        <f t="shared" si="348"/>
        <v>488.305554008611</v>
      </c>
      <c r="L616" s="414">
        <f ca="1" t="shared" si="348"/>
        <v>0</v>
      </c>
      <c r="M616" s="414">
        <f ca="1" t="shared" si="348"/>
        <v>6091.09685647959</v>
      </c>
      <c r="N616" s="414">
        <f ca="1" t="shared" ref="N616:O620" si="349">F616-J616</f>
        <v>8942.85578668161</v>
      </c>
      <c r="O616" s="414">
        <f ca="1" t="shared" ref="O616:O618" si="350">I616-M616</f>
        <v>10572.310527081</v>
      </c>
    </row>
    <row r="617" ht="15" hidden="1" spans="2:15">
      <c r="B617" s="410"/>
      <c r="C617" s="418" t="s">
        <v>808</v>
      </c>
      <c r="D617" s="412"/>
      <c r="E617" s="416"/>
      <c r="F617" s="414">
        <f ca="1" t="shared" si="348"/>
        <v>0</v>
      </c>
      <c r="G617" s="414">
        <f ca="1" t="shared" si="348"/>
        <v>0</v>
      </c>
      <c r="H617" s="414">
        <f ca="1" t="shared" si="348"/>
        <v>0</v>
      </c>
      <c r="I617" s="414">
        <f ca="1" t="shared" si="348"/>
        <v>0</v>
      </c>
      <c r="J617" s="414">
        <f ca="1" t="shared" si="348"/>
        <v>0</v>
      </c>
      <c r="K617" s="414">
        <f ca="1" t="shared" si="348"/>
        <v>0</v>
      </c>
      <c r="L617" s="414">
        <f ca="1" t="shared" si="348"/>
        <v>0</v>
      </c>
      <c r="M617" s="414">
        <f ca="1" t="shared" si="348"/>
        <v>0</v>
      </c>
      <c r="N617" s="414">
        <f ca="1" t="shared" si="349"/>
        <v>0</v>
      </c>
      <c r="O617" s="414">
        <f ca="1" t="shared" si="350"/>
        <v>0</v>
      </c>
    </row>
    <row r="618" ht="30" hidden="1" spans="2:15">
      <c r="B618" s="420">
        <v>9</v>
      </c>
      <c r="C618" s="421" t="s">
        <v>791</v>
      </c>
      <c r="D618" s="412"/>
      <c r="E618" s="416"/>
      <c r="F618" s="414">
        <f ca="1" t="shared" si="348"/>
        <v>0</v>
      </c>
      <c r="G618" s="414">
        <f ca="1" t="shared" si="348"/>
        <v>0</v>
      </c>
      <c r="H618" s="414">
        <f ca="1" t="shared" si="348"/>
        <v>0</v>
      </c>
      <c r="I618" s="414">
        <f ca="1" t="shared" si="348"/>
        <v>0</v>
      </c>
      <c r="J618" s="414">
        <f ca="1" t="shared" si="348"/>
        <v>0</v>
      </c>
      <c r="K618" s="414">
        <f ca="1" t="shared" si="348"/>
        <v>0</v>
      </c>
      <c r="L618" s="414">
        <f ca="1" t="shared" si="348"/>
        <v>0</v>
      </c>
      <c r="M618" s="414">
        <f ca="1" t="shared" si="348"/>
        <v>0</v>
      </c>
      <c r="N618" s="414">
        <f ca="1" t="shared" si="349"/>
        <v>0</v>
      </c>
      <c r="O618" s="414">
        <f ca="1" t="shared" si="350"/>
        <v>0</v>
      </c>
    </row>
    <row r="619" ht="15" hidden="1" spans="2:15">
      <c r="B619" s="422">
        <v>10</v>
      </c>
      <c r="C619" s="423" t="s">
        <v>792</v>
      </c>
      <c r="D619" s="424"/>
      <c r="E619" s="416"/>
      <c r="F619" s="414">
        <f ca="1" t="shared" si="348"/>
        <v>2092.47194223156</v>
      </c>
      <c r="G619" s="414">
        <f t="shared" si="348"/>
        <v>140.863075642622</v>
      </c>
      <c r="H619" s="414">
        <f ca="1" t="shared" si="348"/>
        <v>0</v>
      </c>
      <c r="I619" s="414">
        <f ca="1" t="shared" si="348"/>
        <v>2233.33501787418</v>
      </c>
      <c r="J619" s="414">
        <f ca="1" t="shared" si="348"/>
        <v>1318.39116669827</v>
      </c>
      <c r="K619" s="414">
        <f t="shared" si="348"/>
        <v>75.9345763210727</v>
      </c>
      <c r="L619" s="414">
        <f ca="1" t="shared" si="348"/>
        <v>0</v>
      </c>
      <c r="M619" s="414">
        <f ca="1" t="shared" si="348"/>
        <v>1394.32574301934</v>
      </c>
      <c r="N619" s="414">
        <f ca="1" t="shared" si="349"/>
        <v>774.080775533288</v>
      </c>
      <c r="O619" s="414">
        <f t="shared" si="349"/>
        <v>64.9284993215491</v>
      </c>
    </row>
    <row r="620" ht="15" hidden="1" spans="2:15">
      <c r="B620" s="422">
        <v>11</v>
      </c>
      <c r="C620" s="423" t="s">
        <v>793</v>
      </c>
      <c r="D620" s="424"/>
      <c r="E620" s="416"/>
      <c r="F620" s="414">
        <f ca="1" t="shared" si="348"/>
        <v>6.372</v>
      </c>
      <c r="G620" s="414">
        <f ca="1" t="shared" si="348"/>
        <v>0</v>
      </c>
      <c r="H620" s="414">
        <f ca="1" t="shared" si="348"/>
        <v>0</v>
      </c>
      <c r="I620" s="414">
        <f ca="1" t="shared" si="348"/>
        <v>6.372</v>
      </c>
      <c r="J620" s="414">
        <f ca="1" t="shared" si="348"/>
        <v>6.1498897659</v>
      </c>
      <c r="K620" s="414">
        <f t="shared" si="348"/>
        <v>0</v>
      </c>
      <c r="L620" s="414">
        <f ca="1" t="shared" si="348"/>
        <v>0</v>
      </c>
      <c r="M620" s="414">
        <f ca="1" t="shared" si="348"/>
        <v>6.1498897659</v>
      </c>
      <c r="N620" s="414">
        <f ca="1" t="shared" si="349"/>
        <v>0.222110234100001</v>
      </c>
      <c r="O620" s="414">
        <f ca="1" t="shared" si="349"/>
        <v>0</v>
      </c>
    </row>
    <row r="621" ht="15" hidden="1" spans="2:15">
      <c r="B621" s="422">
        <v>12</v>
      </c>
      <c r="C621" s="423" t="s">
        <v>794</v>
      </c>
      <c r="D621" s="424"/>
      <c r="E621" s="416"/>
      <c r="F621" s="414">
        <f t="shared" si="348"/>
        <v>0</v>
      </c>
      <c r="G621" s="414">
        <f t="shared" si="348"/>
        <v>0</v>
      </c>
      <c r="H621" s="414">
        <f t="shared" si="348"/>
        <v>0</v>
      </c>
      <c r="I621" s="414">
        <f t="shared" si="348"/>
        <v>0</v>
      </c>
      <c r="J621" s="414">
        <f t="shared" si="348"/>
        <v>0</v>
      </c>
      <c r="K621" s="414">
        <f t="shared" si="348"/>
        <v>0</v>
      </c>
      <c r="L621" s="414">
        <f t="shared" si="348"/>
        <v>0</v>
      </c>
      <c r="M621" s="414">
        <f t="shared" si="348"/>
        <v>0</v>
      </c>
      <c r="N621" s="414"/>
      <c r="O621" s="414"/>
    </row>
    <row r="622" ht="15" hidden="1" spans="2:15">
      <c r="B622" s="422"/>
      <c r="C622" s="425" t="s">
        <v>795</v>
      </c>
      <c r="D622" s="424"/>
      <c r="E622" s="416"/>
      <c r="F622" s="414">
        <f ca="1" t="shared" si="348"/>
        <v>2.34</v>
      </c>
      <c r="G622" s="414">
        <f ca="1" t="shared" si="348"/>
        <v>0</v>
      </c>
      <c r="H622" s="414">
        <f ca="1" t="shared" si="348"/>
        <v>0</v>
      </c>
      <c r="I622" s="414">
        <f ca="1" t="shared" si="348"/>
        <v>2.34</v>
      </c>
      <c r="J622" s="414">
        <f ca="1" t="shared" si="348"/>
        <v>1.5314797188</v>
      </c>
      <c r="K622" s="414">
        <f ca="1" t="shared" si="348"/>
        <v>0</v>
      </c>
      <c r="L622" s="414">
        <f ca="1" t="shared" si="348"/>
        <v>0</v>
      </c>
      <c r="M622" s="414">
        <f ca="1" t="shared" si="348"/>
        <v>1.5314797188</v>
      </c>
      <c r="N622" s="414">
        <f ca="1" t="shared" ref="N622:O623" si="351">F622-J622</f>
        <v>0.8085202812</v>
      </c>
      <c r="O622" s="414">
        <f ca="1" t="shared" si="351"/>
        <v>0</v>
      </c>
    </row>
    <row r="623" ht="15" hidden="1" spans="2:15">
      <c r="B623" s="422"/>
      <c r="C623" s="425" t="s">
        <v>796</v>
      </c>
      <c r="D623" s="424"/>
      <c r="E623" s="416"/>
      <c r="F623" s="414">
        <f ca="1" t="shared" si="348"/>
        <v>0</v>
      </c>
      <c r="G623" s="414">
        <f ca="1" t="shared" si="348"/>
        <v>0</v>
      </c>
      <c r="H623" s="414">
        <f ca="1" t="shared" si="348"/>
        <v>0</v>
      </c>
      <c r="I623" s="414">
        <f ca="1" t="shared" si="348"/>
        <v>0</v>
      </c>
      <c r="J623" s="414">
        <f ca="1" t="shared" si="348"/>
        <v>0</v>
      </c>
      <c r="K623" s="414">
        <f ca="1" t="shared" si="348"/>
        <v>0</v>
      </c>
      <c r="L623" s="414">
        <f ca="1" t="shared" si="348"/>
        <v>0</v>
      </c>
      <c r="M623" s="414">
        <f ca="1" t="shared" si="348"/>
        <v>0</v>
      </c>
      <c r="N623" s="414">
        <f ca="1" t="shared" si="351"/>
        <v>0</v>
      </c>
      <c r="O623" s="414">
        <f ca="1" t="shared" si="351"/>
        <v>0</v>
      </c>
    </row>
    <row r="624" ht="15" hidden="1" spans="2:15">
      <c r="B624" s="422">
        <v>13</v>
      </c>
      <c r="C624" s="425"/>
      <c r="D624" s="424"/>
      <c r="E624" s="416"/>
      <c r="F624" s="414">
        <f t="shared" si="348"/>
        <v>0</v>
      </c>
      <c r="G624" s="414">
        <f t="shared" si="348"/>
        <v>0</v>
      </c>
      <c r="H624" s="414">
        <f t="shared" si="348"/>
        <v>0</v>
      </c>
      <c r="I624" s="414">
        <f t="shared" si="348"/>
        <v>0</v>
      </c>
      <c r="J624" s="414">
        <f t="shared" si="348"/>
        <v>0</v>
      </c>
      <c r="K624" s="414">
        <f t="shared" si="348"/>
        <v>0</v>
      </c>
      <c r="L624" s="414">
        <f t="shared" si="348"/>
        <v>0</v>
      </c>
      <c r="M624" s="414">
        <f t="shared" si="348"/>
        <v>0</v>
      </c>
      <c r="N624" s="414"/>
      <c r="O624" s="414"/>
    </row>
    <row r="625" ht="15" hidden="1" spans="2:15">
      <c r="B625" s="422"/>
      <c r="C625" s="425" t="s">
        <v>797</v>
      </c>
      <c r="D625" s="424"/>
      <c r="E625" s="416"/>
      <c r="F625" s="414">
        <f ca="1" t="shared" si="348"/>
        <v>15.525</v>
      </c>
      <c r="G625" s="414">
        <f ca="1" t="shared" si="348"/>
        <v>0</v>
      </c>
      <c r="H625" s="414">
        <f ca="1" t="shared" si="348"/>
        <v>0</v>
      </c>
      <c r="I625" s="414">
        <f ca="1" t="shared" si="348"/>
        <v>15.525</v>
      </c>
      <c r="J625" s="414">
        <f ca="1" t="shared" si="348"/>
        <v>12.4768805004</v>
      </c>
      <c r="K625" s="414">
        <f t="shared" si="348"/>
        <v>0.2991431556</v>
      </c>
      <c r="L625" s="414">
        <f ca="1" t="shared" si="348"/>
        <v>0</v>
      </c>
      <c r="M625" s="414">
        <f ca="1" t="shared" si="348"/>
        <v>12.776023656</v>
      </c>
      <c r="N625" s="414">
        <f ca="1" t="shared" ref="N625:O628" si="352">F625-J625</f>
        <v>3.0481194996</v>
      </c>
      <c r="O625" s="414">
        <f ca="1" t="shared" si="352"/>
        <v>-0.2991431556</v>
      </c>
    </row>
    <row r="626" ht="15" hidden="1" spans="2:15">
      <c r="B626" s="422"/>
      <c r="C626" s="425" t="s">
        <v>798</v>
      </c>
      <c r="D626" s="424"/>
      <c r="E626" s="416"/>
      <c r="F626" s="414">
        <f ca="1" t="shared" si="348"/>
        <v>47.0529847433909</v>
      </c>
      <c r="G626" s="414">
        <f t="shared" si="348"/>
        <v>0.257891748381445</v>
      </c>
      <c r="H626" s="414">
        <f ca="1" t="shared" si="348"/>
        <v>0</v>
      </c>
      <c r="I626" s="414">
        <f ca="1" t="shared" si="348"/>
        <v>47.3108764917724</v>
      </c>
      <c r="J626" s="414">
        <f ca="1" t="shared" si="348"/>
        <v>36.756657731916</v>
      </c>
      <c r="K626" s="414">
        <f t="shared" si="348"/>
        <v>1.22383043978234</v>
      </c>
      <c r="L626" s="414">
        <f ca="1" t="shared" si="348"/>
        <v>0</v>
      </c>
      <c r="M626" s="414">
        <f ca="1" t="shared" si="348"/>
        <v>37.9804881716984</v>
      </c>
      <c r="N626" s="414">
        <f ca="1" t="shared" si="352"/>
        <v>10.2963270114749</v>
      </c>
      <c r="O626" s="414">
        <f t="shared" si="352"/>
        <v>-0.965938691400899</v>
      </c>
    </row>
    <row r="627" ht="15" hidden="1" spans="2:15">
      <c r="B627" s="422"/>
      <c r="C627" s="425" t="s">
        <v>799</v>
      </c>
      <c r="D627" s="424"/>
      <c r="E627" s="416"/>
      <c r="F627" s="414">
        <f ca="1" t="shared" si="348"/>
        <v>0</v>
      </c>
      <c r="G627" s="414">
        <f ca="1" t="shared" si="348"/>
        <v>0</v>
      </c>
      <c r="H627" s="414">
        <f ca="1" t="shared" si="348"/>
        <v>0</v>
      </c>
      <c r="I627" s="414">
        <f ca="1" t="shared" si="348"/>
        <v>0</v>
      </c>
      <c r="J627" s="414">
        <f ca="1" t="shared" si="348"/>
        <v>0</v>
      </c>
      <c r="K627" s="414">
        <f ca="1" t="shared" si="348"/>
        <v>0</v>
      </c>
      <c r="L627" s="414">
        <f ca="1" t="shared" si="348"/>
        <v>0</v>
      </c>
      <c r="M627" s="414">
        <f ca="1" t="shared" si="348"/>
        <v>0</v>
      </c>
      <c r="N627" s="414">
        <f ca="1" t="shared" si="352"/>
        <v>0</v>
      </c>
      <c r="O627" s="414">
        <f ca="1" t="shared" si="352"/>
        <v>0</v>
      </c>
    </row>
    <row r="628" ht="15" hidden="1" spans="2:15">
      <c r="B628" s="422"/>
      <c r="C628" s="425" t="s">
        <v>800</v>
      </c>
      <c r="D628" s="424"/>
      <c r="E628" s="416"/>
      <c r="F628" s="414">
        <f ca="1" t="shared" si="348"/>
        <v>0</v>
      </c>
      <c r="G628" s="414">
        <f ca="1" t="shared" si="348"/>
        <v>0</v>
      </c>
      <c r="H628" s="414">
        <f ca="1" t="shared" si="348"/>
        <v>0</v>
      </c>
      <c r="I628" s="414">
        <f ca="1" t="shared" si="348"/>
        <v>0</v>
      </c>
      <c r="J628" s="414">
        <f ca="1" t="shared" si="348"/>
        <v>0</v>
      </c>
      <c r="K628" s="414">
        <f ca="1" t="shared" si="348"/>
        <v>0</v>
      </c>
      <c r="L628" s="414">
        <f ca="1" t="shared" si="348"/>
        <v>0</v>
      </c>
      <c r="M628" s="414">
        <f ca="1" t="shared" si="348"/>
        <v>0</v>
      </c>
      <c r="N628" s="414">
        <f ca="1" t="shared" si="352"/>
        <v>0</v>
      </c>
      <c r="O628" s="414">
        <f ca="1" t="shared" si="352"/>
        <v>0</v>
      </c>
    </row>
    <row r="629" ht="15" hidden="1" spans="2:15">
      <c r="B629" s="422">
        <v>14</v>
      </c>
      <c r="C629" s="423" t="s">
        <v>801</v>
      </c>
      <c r="D629" s="424"/>
      <c r="E629" s="416"/>
      <c r="F629" s="414">
        <f t="shared" ref="F629:M635" si="353">90%*F312</f>
        <v>0</v>
      </c>
      <c r="G629" s="414">
        <f t="shared" si="353"/>
        <v>0</v>
      </c>
      <c r="H629" s="414">
        <f t="shared" si="353"/>
        <v>0</v>
      </c>
      <c r="I629" s="414">
        <f t="shared" si="353"/>
        <v>0</v>
      </c>
      <c r="J629" s="414">
        <f t="shared" si="353"/>
        <v>0</v>
      </c>
      <c r="K629" s="414">
        <f t="shared" si="353"/>
        <v>0</v>
      </c>
      <c r="L629" s="414">
        <f t="shared" si="353"/>
        <v>0</v>
      </c>
      <c r="M629" s="414">
        <f t="shared" si="353"/>
        <v>0</v>
      </c>
      <c r="N629" s="414"/>
      <c r="O629" s="414"/>
    </row>
    <row r="630" ht="15" hidden="1" spans="2:15">
      <c r="B630" s="422"/>
      <c r="C630" s="425" t="s">
        <v>802</v>
      </c>
      <c r="D630" s="424"/>
      <c r="E630" s="416"/>
      <c r="F630" s="414">
        <f ca="1" t="shared" si="353"/>
        <v>0</v>
      </c>
      <c r="G630" s="414">
        <f ca="1" t="shared" si="353"/>
        <v>0</v>
      </c>
      <c r="H630" s="414">
        <f ca="1" t="shared" si="353"/>
        <v>0</v>
      </c>
      <c r="I630" s="414">
        <f ca="1" t="shared" si="353"/>
        <v>0</v>
      </c>
      <c r="J630" s="414">
        <f ca="1" t="shared" si="353"/>
        <v>0</v>
      </c>
      <c r="K630" s="414">
        <f ca="1" t="shared" si="353"/>
        <v>0</v>
      </c>
      <c r="L630" s="414">
        <f ca="1" t="shared" si="353"/>
        <v>0</v>
      </c>
      <c r="M630" s="414">
        <f ca="1" t="shared" si="353"/>
        <v>0</v>
      </c>
      <c r="N630" s="414">
        <f ca="1" t="shared" ref="N630:O635" si="354">F630-J630</f>
        <v>0</v>
      </c>
      <c r="O630" s="414">
        <f ca="1" t="shared" si="354"/>
        <v>0</v>
      </c>
    </row>
    <row r="631" ht="15" hidden="1" spans="2:15">
      <c r="B631" s="422"/>
      <c r="C631" s="425" t="s">
        <v>803</v>
      </c>
      <c r="D631" s="424"/>
      <c r="E631" s="416"/>
      <c r="F631" s="414">
        <f ca="1" t="shared" si="353"/>
        <v>0</v>
      </c>
      <c r="G631" s="414">
        <f ca="1" t="shared" si="353"/>
        <v>0</v>
      </c>
      <c r="H631" s="414">
        <f ca="1" t="shared" si="353"/>
        <v>0</v>
      </c>
      <c r="I631" s="414">
        <f ca="1" t="shared" si="353"/>
        <v>0</v>
      </c>
      <c r="J631" s="414">
        <f ca="1" t="shared" si="353"/>
        <v>0</v>
      </c>
      <c r="K631" s="414">
        <f ca="1" t="shared" si="353"/>
        <v>0</v>
      </c>
      <c r="L631" s="414">
        <f ca="1" t="shared" si="353"/>
        <v>0</v>
      </c>
      <c r="M631" s="414">
        <f ca="1" t="shared" si="353"/>
        <v>0</v>
      </c>
      <c r="N631" s="414">
        <f ca="1" t="shared" si="354"/>
        <v>0</v>
      </c>
      <c r="O631" s="414">
        <f ca="1" t="shared" si="354"/>
        <v>0</v>
      </c>
    </row>
    <row r="632" ht="15" hidden="1" spans="2:15">
      <c r="B632" s="422"/>
      <c r="C632" s="425" t="s">
        <v>804</v>
      </c>
      <c r="D632" s="424"/>
      <c r="E632" s="416"/>
      <c r="F632" s="414">
        <f ca="1" t="shared" si="353"/>
        <v>0</v>
      </c>
      <c r="G632" s="414">
        <f ca="1" t="shared" si="353"/>
        <v>0</v>
      </c>
      <c r="H632" s="414">
        <f ca="1" t="shared" si="353"/>
        <v>0</v>
      </c>
      <c r="I632" s="414">
        <f ca="1" t="shared" si="353"/>
        <v>0</v>
      </c>
      <c r="J632" s="414">
        <f ca="1" t="shared" si="353"/>
        <v>0</v>
      </c>
      <c r="K632" s="414">
        <f ca="1" t="shared" si="353"/>
        <v>0</v>
      </c>
      <c r="L632" s="414">
        <f ca="1" t="shared" si="353"/>
        <v>0</v>
      </c>
      <c r="M632" s="414">
        <f ca="1" t="shared" si="353"/>
        <v>0</v>
      </c>
      <c r="N632" s="414">
        <f ca="1" t="shared" si="354"/>
        <v>0</v>
      </c>
      <c r="O632" s="414">
        <f ca="1" t="shared" si="354"/>
        <v>0</v>
      </c>
    </row>
    <row r="633" ht="15" hidden="1" spans="2:15">
      <c r="B633" s="422">
        <v>15</v>
      </c>
      <c r="C633" s="423" t="s">
        <v>805</v>
      </c>
      <c r="D633" s="424"/>
      <c r="E633" s="416"/>
      <c r="F633" s="414">
        <f ca="1" t="shared" si="353"/>
        <v>231.401208951768</v>
      </c>
      <c r="G633" s="414">
        <f t="shared" si="353"/>
        <v>20.253436349046</v>
      </c>
      <c r="H633" s="414">
        <f ca="1" t="shared" si="353"/>
        <v>0</v>
      </c>
      <c r="I633" s="414">
        <f ca="1" t="shared" si="353"/>
        <v>251.654645300814</v>
      </c>
      <c r="J633" s="414">
        <f ca="1" t="shared" si="353"/>
        <v>182.492949179519</v>
      </c>
      <c r="K633" s="414">
        <f t="shared" si="353"/>
        <v>12.900354459722</v>
      </c>
      <c r="L633" s="414">
        <f ca="1" t="shared" si="353"/>
        <v>0</v>
      </c>
      <c r="M633" s="414">
        <f ca="1" t="shared" si="353"/>
        <v>195.393303639241</v>
      </c>
      <c r="N633" s="414">
        <f ca="1" t="shared" si="354"/>
        <v>48.9082597722488</v>
      </c>
      <c r="O633" s="414">
        <f t="shared" si="354"/>
        <v>7.35308188932402</v>
      </c>
    </row>
    <row r="634" ht="15" hidden="1" spans="2:15">
      <c r="B634" s="422">
        <v>16</v>
      </c>
      <c r="C634" s="423" t="s">
        <v>806</v>
      </c>
      <c r="D634" s="412"/>
      <c r="E634" s="416"/>
      <c r="F634" s="414">
        <f ca="1" t="shared" si="353"/>
        <v>63.72</v>
      </c>
      <c r="G634" s="414">
        <f ca="1" t="shared" si="353"/>
        <v>0</v>
      </c>
      <c r="H634" s="414">
        <f ca="1" t="shared" si="353"/>
        <v>0</v>
      </c>
      <c r="I634" s="414">
        <f ca="1" t="shared" si="353"/>
        <v>63.72</v>
      </c>
      <c r="J634" s="414">
        <f ca="1" t="shared" si="353"/>
        <v>63.0778637916</v>
      </c>
      <c r="K634" s="414">
        <f ca="1" t="shared" si="353"/>
        <v>0</v>
      </c>
      <c r="L634" s="414">
        <f ca="1" t="shared" si="353"/>
        <v>0</v>
      </c>
      <c r="M634" s="414">
        <f ca="1" t="shared" si="353"/>
        <v>63.0778637916</v>
      </c>
      <c r="N634" s="414">
        <f ca="1" t="shared" si="354"/>
        <v>0.642136208400004</v>
      </c>
      <c r="O634" s="414">
        <f ca="1" t="shared" si="354"/>
        <v>0</v>
      </c>
    </row>
    <row r="635" ht="15" hidden="1" spans="2:15">
      <c r="B635" s="422">
        <v>17</v>
      </c>
      <c r="C635" s="423" t="s">
        <v>807</v>
      </c>
      <c r="D635" s="412"/>
      <c r="E635" s="426"/>
      <c r="F635" s="414">
        <f ca="1" t="shared" si="353"/>
        <v>0</v>
      </c>
      <c r="G635" s="414">
        <f ca="1" t="shared" si="353"/>
        <v>0</v>
      </c>
      <c r="H635" s="414">
        <f ca="1" t="shared" si="353"/>
        <v>0</v>
      </c>
      <c r="I635" s="414">
        <f ca="1" t="shared" si="353"/>
        <v>0</v>
      </c>
      <c r="J635" s="414">
        <f ca="1" t="shared" si="353"/>
        <v>0</v>
      </c>
      <c r="K635" s="414">
        <f ca="1" t="shared" si="353"/>
        <v>0</v>
      </c>
      <c r="L635" s="414">
        <f ca="1" t="shared" si="353"/>
        <v>0</v>
      </c>
      <c r="M635" s="414">
        <f ca="1" t="shared" si="353"/>
        <v>0</v>
      </c>
      <c r="N635" s="414">
        <f ca="1" t="shared" si="354"/>
        <v>0</v>
      </c>
      <c r="O635" s="414">
        <f ca="1" t="shared" si="354"/>
        <v>0</v>
      </c>
    </row>
    <row r="636" ht="15.75" hidden="1" spans="2:15">
      <c r="B636" s="427"/>
      <c r="C636" s="428" t="s">
        <v>97</v>
      </c>
      <c r="D636" s="428"/>
      <c r="E636" s="429"/>
      <c r="F636" s="430">
        <f ca="1">SUM(F596:F635)</f>
        <v>31967.1480361825</v>
      </c>
      <c r="G636" s="430">
        <f ca="1" t="shared" ref="G636:O636" si="355">SUM(G596:G635)</f>
        <v>4270.24694314724</v>
      </c>
      <c r="H636" s="430">
        <f ca="1" t="shared" si="355"/>
        <v>0</v>
      </c>
      <c r="I636" s="430">
        <f ca="1" t="shared" si="355"/>
        <v>36237.3949793297</v>
      </c>
      <c r="J636" s="430">
        <f ca="1" t="shared" si="355"/>
        <v>13692.1543675763</v>
      </c>
      <c r="K636" s="430">
        <f ca="1" t="shared" si="355"/>
        <v>1125.94906147316</v>
      </c>
      <c r="L636" s="430">
        <f ca="1" t="shared" si="355"/>
        <v>0</v>
      </c>
      <c r="M636" s="430">
        <f ca="1" t="shared" si="355"/>
        <v>14818.1034290494</v>
      </c>
      <c r="N636" s="430">
        <f ca="1" t="shared" si="355"/>
        <v>18274.9936686062</v>
      </c>
      <c r="O636" s="430">
        <f ca="1" t="shared" si="355"/>
        <v>20581.28530174</v>
      </c>
    </row>
    <row r="638" ht="15" spans="2:9">
      <c r="B638" s="11" t="s">
        <v>810</v>
      </c>
      <c r="H638" s="3"/>
      <c r="I638" s="3"/>
    </row>
    <row r="639" ht="15.75" hidden="1" spans="11:15">
      <c r="K639" s="3"/>
      <c r="O639" s="11" t="s">
        <v>109</v>
      </c>
    </row>
    <row r="640" ht="15" hidden="1" spans="2:15">
      <c r="B640" s="431" t="s">
        <v>112</v>
      </c>
      <c r="C640" s="432"/>
      <c r="D640" s="432"/>
      <c r="E640" s="432"/>
      <c r="F640" s="432"/>
      <c r="G640" s="432"/>
      <c r="H640" s="432"/>
      <c r="I640" s="432"/>
      <c r="J640" s="432"/>
      <c r="K640" s="432"/>
      <c r="L640" s="432"/>
      <c r="M640" s="432"/>
      <c r="N640" s="432"/>
      <c r="O640" s="442"/>
    </row>
    <row r="641" ht="15" hidden="1" spans="2:15">
      <c r="B641" s="406" t="s">
        <v>564</v>
      </c>
      <c r="C641" s="980" t="s">
        <v>671</v>
      </c>
      <c r="D641" s="408" t="s">
        <v>672</v>
      </c>
      <c r="E641" s="408" t="s">
        <v>673</v>
      </c>
      <c r="F641" s="408" t="s">
        <v>674</v>
      </c>
      <c r="G641" s="408"/>
      <c r="H641" s="408"/>
      <c r="I641" s="408"/>
      <c r="J641" s="408" t="s">
        <v>675</v>
      </c>
      <c r="K641" s="408"/>
      <c r="L641" s="408"/>
      <c r="M641" s="408"/>
      <c r="N641" s="408" t="s">
        <v>676</v>
      </c>
      <c r="O641" s="440"/>
    </row>
    <row r="642" ht="60.75" hidden="1" spans="2:15">
      <c r="B642" s="433"/>
      <c r="C642" s="434"/>
      <c r="D642" s="435"/>
      <c r="E642" s="435"/>
      <c r="F642" s="435" t="s">
        <v>677</v>
      </c>
      <c r="G642" s="435" t="s">
        <v>678</v>
      </c>
      <c r="H642" s="435" t="s">
        <v>679</v>
      </c>
      <c r="I642" s="435" t="s">
        <v>680</v>
      </c>
      <c r="J642" s="435" t="s">
        <v>681</v>
      </c>
      <c r="K642" s="435" t="s">
        <v>678</v>
      </c>
      <c r="L642" s="435" t="s">
        <v>682</v>
      </c>
      <c r="M642" s="435" t="s">
        <v>683</v>
      </c>
      <c r="N642" s="435" t="s">
        <v>677</v>
      </c>
      <c r="O642" s="443" t="s">
        <v>680</v>
      </c>
    </row>
    <row r="643" ht="15" hidden="1" spans="2:15">
      <c r="B643" s="410">
        <v>1</v>
      </c>
      <c r="C643" s="411" t="s">
        <v>684</v>
      </c>
      <c r="D643" s="405"/>
      <c r="E643" s="437"/>
      <c r="F643" s="414">
        <f ca="1">10%*F9</f>
        <v>0</v>
      </c>
      <c r="G643" s="414">
        <f ca="1" t="shared" ref="G643:M643" si="356">10%*G9</f>
        <v>0</v>
      </c>
      <c r="H643" s="414">
        <f ca="1" t="shared" si="356"/>
        <v>0</v>
      </c>
      <c r="I643" s="414">
        <f ca="1" t="shared" si="356"/>
        <v>0</v>
      </c>
      <c r="J643" s="414">
        <f ca="1" t="shared" si="356"/>
        <v>0</v>
      </c>
      <c r="K643" s="414">
        <f ca="1" t="shared" si="356"/>
        <v>0</v>
      </c>
      <c r="L643" s="414">
        <f ca="1" t="shared" si="356"/>
        <v>0</v>
      </c>
      <c r="M643" s="414">
        <f ca="1" t="shared" si="356"/>
        <v>0</v>
      </c>
      <c r="N643" s="414">
        <f ca="1">F643-J643</f>
        <v>0</v>
      </c>
      <c r="O643" s="414">
        <f ca="1">I643-M643</f>
        <v>0</v>
      </c>
    </row>
    <row r="644" ht="15" hidden="1" spans="2:15">
      <c r="B644" s="410">
        <v>2</v>
      </c>
      <c r="C644" s="411" t="s">
        <v>770</v>
      </c>
      <c r="D644" s="476"/>
      <c r="E644" s="477"/>
      <c r="F644" s="414">
        <f ca="1" t="shared" ref="F644:M659" si="357">10%*F10</f>
        <v>0</v>
      </c>
      <c r="G644" s="414">
        <f ca="1" t="shared" si="357"/>
        <v>0</v>
      </c>
      <c r="H644" s="414">
        <f ca="1" t="shared" si="357"/>
        <v>0</v>
      </c>
      <c r="I644" s="414">
        <f ca="1" t="shared" si="357"/>
        <v>0</v>
      </c>
      <c r="J644" s="414">
        <f ca="1" t="shared" si="357"/>
        <v>0</v>
      </c>
      <c r="K644" s="414">
        <f ca="1" t="shared" si="357"/>
        <v>0</v>
      </c>
      <c r="L644" s="414">
        <f ca="1" t="shared" si="357"/>
        <v>0</v>
      </c>
      <c r="M644" s="414">
        <f ca="1" t="shared" si="357"/>
        <v>0</v>
      </c>
      <c r="N644" s="414">
        <f ca="1">F644-J644</f>
        <v>0</v>
      </c>
      <c r="O644" s="414">
        <f ca="1">I644-M644</f>
        <v>0</v>
      </c>
    </row>
    <row r="645" ht="15" hidden="1" spans="2:15">
      <c r="B645" s="410">
        <v>3</v>
      </c>
      <c r="C645" s="415" t="s">
        <v>771</v>
      </c>
      <c r="D645" s="412"/>
      <c r="E645" s="416"/>
      <c r="F645" s="414">
        <f t="shared" si="357"/>
        <v>0</v>
      </c>
      <c r="G645" s="414">
        <f t="shared" si="357"/>
        <v>0</v>
      </c>
      <c r="H645" s="414">
        <f t="shared" si="357"/>
        <v>0</v>
      </c>
      <c r="I645" s="414">
        <f t="shared" si="357"/>
        <v>0</v>
      </c>
      <c r="J645" s="414">
        <f t="shared" si="357"/>
        <v>0</v>
      </c>
      <c r="K645" s="414">
        <f t="shared" si="357"/>
        <v>0</v>
      </c>
      <c r="L645" s="414">
        <f t="shared" si="357"/>
        <v>0</v>
      </c>
      <c r="M645" s="414">
        <f t="shared" si="357"/>
        <v>0</v>
      </c>
      <c r="N645" s="414"/>
      <c r="O645" s="414"/>
    </row>
    <row r="646" ht="15" hidden="1" spans="2:15">
      <c r="B646" s="410"/>
      <c r="C646" s="417" t="s">
        <v>772</v>
      </c>
      <c r="D646" s="412"/>
      <c r="E646" s="416"/>
      <c r="F646" s="414">
        <f ca="1" t="shared" si="357"/>
        <v>0</v>
      </c>
      <c r="G646" s="414">
        <f ca="1" t="shared" si="357"/>
        <v>0</v>
      </c>
      <c r="H646" s="414">
        <f ca="1" t="shared" si="357"/>
        <v>0</v>
      </c>
      <c r="I646" s="414">
        <f ca="1" t="shared" si="357"/>
        <v>0</v>
      </c>
      <c r="J646" s="414">
        <f ca="1" t="shared" si="357"/>
        <v>0</v>
      </c>
      <c r="K646" s="414">
        <f ca="1" t="shared" si="357"/>
        <v>0</v>
      </c>
      <c r="L646" s="414">
        <f ca="1" t="shared" si="357"/>
        <v>0</v>
      </c>
      <c r="M646" s="414">
        <f ca="1" t="shared" si="357"/>
        <v>0</v>
      </c>
      <c r="N646" s="414">
        <f ca="1" t="shared" ref="N646:N649" si="358">F646-J646</f>
        <v>0</v>
      </c>
      <c r="O646" s="414">
        <f ca="1" t="shared" ref="O646:O649" si="359">I646-M646</f>
        <v>0</v>
      </c>
    </row>
    <row r="647" ht="28.5" hidden="1" spans="2:15">
      <c r="B647" s="410"/>
      <c r="C647" s="417" t="s">
        <v>773</v>
      </c>
      <c r="D647" s="412"/>
      <c r="E647" s="416"/>
      <c r="F647" s="414">
        <f ca="1" t="shared" si="357"/>
        <v>0</v>
      </c>
      <c r="G647" s="414">
        <f ca="1" t="shared" si="357"/>
        <v>0</v>
      </c>
      <c r="H647" s="414">
        <f ca="1" t="shared" si="357"/>
        <v>0</v>
      </c>
      <c r="I647" s="414">
        <f ca="1" t="shared" si="357"/>
        <v>0</v>
      </c>
      <c r="J647" s="414">
        <f ca="1" t="shared" si="357"/>
        <v>0</v>
      </c>
      <c r="K647" s="414">
        <f ca="1" t="shared" si="357"/>
        <v>0</v>
      </c>
      <c r="L647" s="414">
        <f ca="1" t="shared" si="357"/>
        <v>0</v>
      </c>
      <c r="M647" s="414">
        <f ca="1" t="shared" si="357"/>
        <v>0</v>
      </c>
      <c r="N647" s="414">
        <f ca="1" t="shared" si="358"/>
        <v>0</v>
      </c>
      <c r="O647" s="414">
        <f ca="1" t="shared" si="359"/>
        <v>0</v>
      </c>
    </row>
    <row r="648" ht="15" hidden="1" spans="2:15">
      <c r="B648" s="410"/>
      <c r="C648" s="417" t="s">
        <v>774</v>
      </c>
      <c r="D648" s="412"/>
      <c r="E648" s="416"/>
      <c r="F648" s="414">
        <f ca="1" t="shared" si="357"/>
        <v>0</v>
      </c>
      <c r="G648" s="414">
        <f ca="1" t="shared" si="357"/>
        <v>0</v>
      </c>
      <c r="H648" s="414">
        <f ca="1" t="shared" si="357"/>
        <v>0</v>
      </c>
      <c r="I648" s="414">
        <f ca="1" t="shared" si="357"/>
        <v>0</v>
      </c>
      <c r="J648" s="414">
        <f ca="1" t="shared" si="357"/>
        <v>0</v>
      </c>
      <c r="K648" s="414">
        <f ca="1" t="shared" si="357"/>
        <v>0</v>
      </c>
      <c r="L648" s="414">
        <f ca="1" t="shared" si="357"/>
        <v>0</v>
      </c>
      <c r="M648" s="414">
        <f ca="1" t="shared" si="357"/>
        <v>0</v>
      </c>
      <c r="N648" s="414">
        <f ca="1" t="shared" si="358"/>
        <v>0</v>
      </c>
      <c r="O648" s="414">
        <f ca="1" t="shared" si="359"/>
        <v>0</v>
      </c>
    </row>
    <row r="649" ht="15" hidden="1" spans="2:15">
      <c r="B649" s="410"/>
      <c r="C649" s="417" t="s">
        <v>775</v>
      </c>
      <c r="D649" s="412"/>
      <c r="E649" s="416"/>
      <c r="F649" s="414">
        <f ca="1" t="shared" si="357"/>
        <v>0</v>
      </c>
      <c r="G649" s="414">
        <f ca="1" t="shared" si="357"/>
        <v>0</v>
      </c>
      <c r="H649" s="414">
        <f ca="1" t="shared" si="357"/>
        <v>0</v>
      </c>
      <c r="I649" s="414">
        <f ca="1" t="shared" si="357"/>
        <v>0</v>
      </c>
      <c r="J649" s="414">
        <f ca="1" t="shared" si="357"/>
        <v>0</v>
      </c>
      <c r="K649" s="414">
        <f ca="1" t="shared" si="357"/>
        <v>0</v>
      </c>
      <c r="L649" s="414">
        <f ca="1" t="shared" si="357"/>
        <v>0</v>
      </c>
      <c r="M649" s="414">
        <f ca="1" t="shared" si="357"/>
        <v>0</v>
      </c>
      <c r="N649" s="414">
        <f ca="1" t="shared" si="358"/>
        <v>0</v>
      </c>
      <c r="O649" s="414">
        <f ca="1" t="shared" si="359"/>
        <v>0</v>
      </c>
    </row>
    <row r="650" ht="15" hidden="1" spans="2:15">
      <c r="B650" s="410">
        <v>4</v>
      </c>
      <c r="C650" s="411" t="s">
        <v>776</v>
      </c>
      <c r="D650" s="412"/>
      <c r="E650" s="416"/>
      <c r="F650" s="414">
        <f t="shared" si="357"/>
        <v>0</v>
      </c>
      <c r="G650" s="414">
        <f t="shared" si="357"/>
        <v>0</v>
      </c>
      <c r="H650" s="414">
        <f t="shared" si="357"/>
        <v>0</v>
      </c>
      <c r="I650" s="414">
        <f t="shared" si="357"/>
        <v>0</v>
      </c>
      <c r="J650" s="414">
        <f t="shared" si="357"/>
        <v>0</v>
      </c>
      <c r="K650" s="414">
        <f t="shared" si="357"/>
        <v>0</v>
      </c>
      <c r="L650" s="414">
        <f t="shared" si="357"/>
        <v>0</v>
      </c>
      <c r="M650" s="414">
        <f t="shared" si="357"/>
        <v>0</v>
      </c>
      <c r="N650" s="414"/>
      <c r="O650" s="414"/>
    </row>
    <row r="651" ht="15" hidden="1" spans="2:15">
      <c r="B651" s="410"/>
      <c r="C651" s="418" t="s">
        <v>777</v>
      </c>
      <c r="D651" s="412"/>
      <c r="E651" s="416"/>
      <c r="F651" s="414">
        <f ca="1" t="shared" si="357"/>
        <v>0</v>
      </c>
      <c r="G651" s="414">
        <f ca="1" t="shared" si="357"/>
        <v>0</v>
      </c>
      <c r="H651" s="414">
        <f ca="1" t="shared" si="357"/>
        <v>0</v>
      </c>
      <c r="I651" s="414">
        <f ca="1" t="shared" si="357"/>
        <v>0</v>
      </c>
      <c r="J651" s="414">
        <f ca="1" t="shared" si="357"/>
        <v>0</v>
      </c>
      <c r="K651" s="414">
        <f ca="1" t="shared" si="357"/>
        <v>0</v>
      </c>
      <c r="L651" s="414">
        <f ca="1" t="shared" si="357"/>
        <v>0</v>
      </c>
      <c r="M651" s="414">
        <f ca="1" t="shared" si="357"/>
        <v>0</v>
      </c>
      <c r="N651" s="414">
        <f ca="1" t="shared" ref="N651:N654" si="360">F651-J651</f>
        <v>0</v>
      </c>
      <c r="O651" s="414">
        <f ca="1" t="shared" ref="O651:O654" si="361">I651-M651</f>
        <v>0</v>
      </c>
    </row>
    <row r="652" ht="15" hidden="1" spans="2:15">
      <c r="B652" s="410"/>
      <c r="C652" s="411" t="s">
        <v>778</v>
      </c>
      <c r="D652" s="412"/>
      <c r="E652" s="416"/>
      <c r="F652" s="414">
        <f t="shared" si="357"/>
        <v>0</v>
      </c>
      <c r="G652" s="414">
        <f t="shared" si="357"/>
        <v>0</v>
      </c>
      <c r="H652" s="414">
        <f t="shared" si="357"/>
        <v>0</v>
      </c>
      <c r="I652" s="414">
        <f t="shared" si="357"/>
        <v>0</v>
      </c>
      <c r="J652" s="414">
        <f t="shared" si="357"/>
        <v>0</v>
      </c>
      <c r="K652" s="414">
        <f t="shared" si="357"/>
        <v>0</v>
      </c>
      <c r="L652" s="414">
        <f t="shared" si="357"/>
        <v>0</v>
      </c>
      <c r="M652" s="414">
        <f t="shared" si="357"/>
        <v>0</v>
      </c>
      <c r="N652" s="414"/>
      <c r="O652" s="414"/>
    </row>
    <row r="653" ht="15" hidden="1" spans="2:15">
      <c r="B653" s="410"/>
      <c r="C653" s="418" t="s">
        <v>779</v>
      </c>
      <c r="D653" s="412"/>
      <c r="E653" s="416"/>
      <c r="F653" s="414">
        <f ca="1" t="shared" si="357"/>
        <v>0</v>
      </c>
      <c r="G653" s="414">
        <f ca="1" t="shared" si="357"/>
        <v>0</v>
      </c>
      <c r="H653" s="414">
        <f ca="1" t="shared" si="357"/>
        <v>0</v>
      </c>
      <c r="I653" s="414">
        <f ca="1" t="shared" si="357"/>
        <v>0</v>
      </c>
      <c r="J653" s="414">
        <f ca="1" t="shared" si="357"/>
        <v>0</v>
      </c>
      <c r="K653" s="414">
        <f ca="1" t="shared" si="357"/>
        <v>0</v>
      </c>
      <c r="L653" s="414">
        <f ca="1" t="shared" si="357"/>
        <v>0</v>
      </c>
      <c r="M653" s="414">
        <f ca="1" t="shared" si="357"/>
        <v>0</v>
      </c>
      <c r="N653" s="414">
        <f ca="1" t="shared" si="360"/>
        <v>0</v>
      </c>
      <c r="O653" s="414">
        <f ca="1" t="shared" si="361"/>
        <v>0</v>
      </c>
    </row>
    <row r="654" ht="15" hidden="1" spans="2:15">
      <c r="B654" s="410"/>
      <c r="C654" s="418" t="s">
        <v>780</v>
      </c>
      <c r="D654" s="412"/>
      <c r="E654" s="416"/>
      <c r="F654" s="414">
        <f ca="1" t="shared" si="357"/>
        <v>0</v>
      </c>
      <c r="G654" s="414">
        <f ca="1" t="shared" si="357"/>
        <v>0</v>
      </c>
      <c r="H654" s="414">
        <f ca="1" t="shared" si="357"/>
        <v>0</v>
      </c>
      <c r="I654" s="414">
        <f ca="1" t="shared" si="357"/>
        <v>0</v>
      </c>
      <c r="J654" s="414">
        <f ca="1" t="shared" si="357"/>
        <v>0</v>
      </c>
      <c r="K654" s="414">
        <f ca="1" t="shared" si="357"/>
        <v>0</v>
      </c>
      <c r="L654" s="414">
        <f ca="1" t="shared" si="357"/>
        <v>0</v>
      </c>
      <c r="M654" s="414">
        <f ca="1" t="shared" si="357"/>
        <v>0</v>
      </c>
      <c r="N654" s="414">
        <f ca="1" t="shared" si="360"/>
        <v>0</v>
      </c>
      <c r="O654" s="414">
        <f ca="1" t="shared" si="361"/>
        <v>0</v>
      </c>
    </row>
    <row r="655" ht="15" hidden="1" spans="2:15">
      <c r="B655" s="410">
        <v>5</v>
      </c>
      <c r="C655" s="411" t="s">
        <v>781</v>
      </c>
      <c r="D655" s="412"/>
      <c r="E655" s="416"/>
      <c r="F655" s="414">
        <f t="shared" si="357"/>
        <v>0</v>
      </c>
      <c r="G655" s="414">
        <f t="shared" si="357"/>
        <v>0</v>
      </c>
      <c r="H655" s="414">
        <f t="shared" si="357"/>
        <v>0</v>
      </c>
      <c r="I655" s="414">
        <f t="shared" si="357"/>
        <v>0</v>
      </c>
      <c r="J655" s="414">
        <f t="shared" si="357"/>
        <v>0</v>
      </c>
      <c r="K655" s="414">
        <f t="shared" si="357"/>
        <v>0</v>
      </c>
      <c r="L655" s="414">
        <f t="shared" si="357"/>
        <v>0</v>
      </c>
      <c r="M655" s="414">
        <f t="shared" si="357"/>
        <v>0</v>
      </c>
      <c r="N655" s="414"/>
      <c r="O655" s="414"/>
    </row>
    <row r="656" ht="15" hidden="1" spans="2:15">
      <c r="B656" s="410"/>
      <c r="C656" s="418" t="s">
        <v>782</v>
      </c>
      <c r="D656" s="412"/>
      <c r="E656" s="416"/>
      <c r="F656" s="414">
        <f ca="1" t="shared" si="357"/>
        <v>0</v>
      </c>
      <c r="G656" s="414">
        <f ca="1" t="shared" si="357"/>
        <v>0</v>
      </c>
      <c r="H656" s="414">
        <f ca="1" t="shared" si="357"/>
        <v>0</v>
      </c>
      <c r="I656" s="414">
        <f ca="1" t="shared" si="357"/>
        <v>0</v>
      </c>
      <c r="J656" s="414">
        <f ca="1" t="shared" si="357"/>
        <v>0</v>
      </c>
      <c r="K656" s="414">
        <f ca="1" t="shared" si="357"/>
        <v>0</v>
      </c>
      <c r="L656" s="414">
        <f ca="1" t="shared" si="357"/>
        <v>0</v>
      </c>
      <c r="M656" s="414">
        <f ca="1" t="shared" si="357"/>
        <v>0</v>
      </c>
      <c r="N656" s="414">
        <f ca="1" t="shared" ref="N656:N661" si="362">F656-J656</f>
        <v>0</v>
      </c>
      <c r="O656" s="414">
        <f ca="1" t="shared" ref="O656:O661" si="363">I656-M656</f>
        <v>0</v>
      </c>
    </row>
    <row r="657" ht="15" hidden="1" spans="2:15">
      <c r="B657" s="410"/>
      <c r="C657" s="418" t="s">
        <v>783</v>
      </c>
      <c r="D657" s="412"/>
      <c r="E657" s="416"/>
      <c r="F657" s="414">
        <f ca="1" t="shared" si="357"/>
        <v>0</v>
      </c>
      <c r="G657" s="414">
        <f ca="1" t="shared" si="357"/>
        <v>0</v>
      </c>
      <c r="H657" s="414">
        <f ca="1" t="shared" si="357"/>
        <v>0</v>
      </c>
      <c r="I657" s="414">
        <f ca="1" t="shared" si="357"/>
        <v>0</v>
      </c>
      <c r="J657" s="414">
        <f ca="1" t="shared" si="357"/>
        <v>0</v>
      </c>
      <c r="K657" s="414">
        <f ca="1" t="shared" si="357"/>
        <v>0</v>
      </c>
      <c r="L657" s="414">
        <f ca="1" t="shared" si="357"/>
        <v>0</v>
      </c>
      <c r="M657" s="414">
        <f ca="1" t="shared" si="357"/>
        <v>0</v>
      </c>
      <c r="N657" s="414">
        <f ca="1" t="shared" si="362"/>
        <v>0</v>
      </c>
      <c r="O657" s="414">
        <f ca="1" t="shared" si="363"/>
        <v>0</v>
      </c>
    </row>
    <row r="658" ht="15" hidden="1" spans="2:15">
      <c r="B658" s="410"/>
      <c r="C658" s="418" t="s">
        <v>784</v>
      </c>
      <c r="D658" s="412"/>
      <c r="E658" s="416"/>
      <c r="F658" s="414">
        <f ca="1" t="shared" si="357"/>
        <v>0</v>
      </c>
      <c r="G658" s="414">
        <f ca="1" t="shared" si="357"/>
        <v>0</v>
      </c>
      <c r="H658" s="414">
        <f ca="1" t="shared" si="357"/>
        <v>0</v>
      </c>
      <c r="I658" s="414">
        <f ca="1" t="shared" si="357"/>
        <v>0</v>
      </c>
      <c r="J658" s="414">
        <f ca="1" t="shared" si="357"/>
        <v>0</v>
      </c>
      <c r="K658" s="414">
        <f ca="1" t="shared" si="357"/>
        <v>0</v>
      </c>
      <c r="L658" s="414">
        <f ca="1" t="shared" si="357"/>
        <v>0</v>
      </c>
      <c r="M658" s="414">
        <f ca="1" t="shared" si="357"/>
        <v>0</v>
      </c>
      <c r="N658" s="414">
        <f ca="1" t="shared" si="362"/>
        <v>0</v>
      </c>
      <c r="O658" s="414">
        <f ca="1" t="shared" si="363"/>
        <v>0</v>
      </c>
    </row>
    <row r="659" ht="15" hidden="1" spans="2:15">
      <c r="B659" s="410"/>
      <c r="C659" s="418" t="s">
        <v>785</v>
      </c>
      <c r="D659" s="412"/>
      <c r="E659" s="416"/>
      <c r="F659" s="414">
        <f ca="1" t="shared" si="357"/>
        <v>0</v>
      </c>
      <c r="G659" s="414">
        <f ca="1" t="shared" si="357"/>
        <v>0</v>
      </c>
      <c r="H659" s="414">
        <f ca="1" t="shared" si="357"/>
        <v>0</v>
      </c>
      <c r="I659" s="414">
        <f ca="1" t="shared" si="357"/>
        <v>0</v>
      </c>
      <c r="J659" s="414">
        <f ca="1" t="shared" si="357"/>
        <v>0</v>
      </c>
      <c r="K659" s="414">
        <f ca="1" t="shared" si="357"/>
        <v>0</v>
      </c>
      <c r="L659" s="414">
        <f ca="1" t="shared" si="357"/>
        <v>0</v>
      </c>
      <c r="M659" s="414">
        <f ca="1" t="shared" si="357"/>
        <v>0</v>
      </c>
      <c r="N659" s="414">
        <f ca="1" t="shared" si="362"/>
        <v>0</v>
      </c>
      <c r="O659" s="414">
        <f ca="1" t="shared" si="363"/>
        <v>0</v>
      </c>
    </row>
    <row r="660" ht="15" hidden="1" spans="2:15">
      <c r="B660" s="410">
        <v>6</v>
      </c>
      <c r="C660" s="411" t="s">
        <v>786</v>
      </c>
      <c r="D660" s="412"/>
      <c r="E660" s="416"/>
      <c r="F660" s="414">
        <f ca="1" t="shared" ref="F660:M675" si="364">10%*F26</f>
        <v>0</v>
      </c>
      <c r="G660" s="414">
        <f ca="1" t="shared" si="364"/>
        <v>0</v>
      </c>
      <c r="H660" s="414">
        <f ca="1" t="shared" si="364"/>
        <v>0</v>
      </c>
      <c r="I660" s="414">
        <f ca="1" t="shared" si="364"/>
        <v>0</v>
      </c>
      <c r="J660" s="414">
        <f ca="1" t="shared" si="364"/>
        <v>0</v>
      </c>
      <c r="K660" s="414">
        <f ca="1" t="shared" si="364"/>
        <v>0</v>
      </c>
      <c r="L660" s="414">
        <f ca="1" t="shared" si="364"/>
        <v>0</v>
      </c>
      <c r="M660" s="414">
        <f ca="1" t="shared" si="364"/>
        <v>0</v>
      </c>
      <c r="N660" s="414">
        <f ca="1" t="shared" si="362"/>
        <v>0</v>
      </c>
      <c r="O660" s="414">
        <f ca="1" t="shared" si="363"/>
        <v>0</v>
      </c>
    </row>
    <row r="661" ht="15" hidden="1" spans="2:15">
      <c r="B661" s="410">
        <v>7</v>
      </c>
      <c r="C661" s="411" t="s">
        <v>787</v>
      </c>
      <c r="D661" s="412"/>
      <c r="E661" s="416"/>
      <c r="F661" s="414">
        <f ca="1" t="shared" si="364"/>
        <v>0</v>
      </c>
      <c r="G661" s="414">
        <f ca="1" t="shared" si="364"/>
        <v>0</v>
      </c>
      <c r="H661" s="414">
        <f ca="1" t="shared" si="364"/>
        <v>0</v>
      </c>
      <c r="I661" s="414">
        <f ca="1" t="shared" si="364"/>
        <v>0</v>
      </c>
      <c r="J661" s="414">
        <f ca="1" t="shared" si="364"/>
        <v>0</v>
      </c>
      <c r="K661" s="414">
        <f ca="1" t="shared" si="364"/>
        <v>0</v>
      </c>
      <c r="L661" s="414">
        <f ca="1" t="shared" si="364"/>
        <v>0</v>
      </c>
      <c r="M661" s="414">
        <f ca="1" t="shared" si="364"/>
        <v>0</v>
      </c>
      <c r="N661" s="414">
        <f ca="1" t="shared" si="362"/>
        <v>0</v>
      </c>
      <c r="O661" s="414">
        <f ca="1" t="shared" si="363"/>
        <v>0</v>
      </c>
    </row>
    <row r="662" ht="15" hidden="1" spans="2:15">
      <c r="B662" s="410">
        <v>8</v>
      </c>
      <c r="C662" s="411" t="s">
        <v>788</v>
      </c>
      <c r="D662" s="412"/>
      <c r="E662" s="416"/>
      <c r="F662" s="414">
        <f t="shared" si="364"/>
        <v>0</v>
      </c>
      <c r="G662" s="414">
        <f t="shared" si="364"/>
        <v>0</v>
      </c>
      <c r="H662" s="414">
        <f t="shared" si="364"/>
        <v>0</v>
      </c>
      <c r="I662" s="414">
        <f t="shared" si="364"/>
        <v>0</v>
      </c>
      <c r="J662" s="414">
        <f t="shared" si="364"/>
        <v>0</v>
      </c>
      <c r="K662" s="414">
        <f t="shared" si="364"/>
        <v>0</v>
      </c>
      <c r="L662" s="414">
        <f t="shared" si="364"/>
        <v>0</v>
      </c>
      <c r="M662" s="414">
        <f t="shared" si="364"/>
        <v>0</v>
      </c>
      <c r="N662" s="414"/>
      <c r="O662" s="414"/>
    </row>
    <row r="663" ht="15" hidden="1" spans="2:15">
      <c r="B663" s="410"/>
      <c r="C663" s="418" t="s">
        <v>789</v>
      </c>
      <c r="D663" s="412"/>
      <c r="E663" s="416"/>
      <c r="F663" s="414">
        <f ca="1" t="shared" si="364"/>
        <v>0</v>
      </c>
      <c r="G663" s="414">
        <f ca="1" t="shared" si="364"/>
        <v>0</v>
      </c>
      <c r="H663" s="414">
        <f ca="1" t="shared" si="364"/>
        <v>0</v>
      </c>
      <c r="I663" s="414">
        <f ca="1" t="shared" si="364"/>
        <v>0</v>
      </c>
      <c r="J663" s="414">
        <f ca="1" t="shared" si="364"/>
        <v>0</v>
      </c>
      <c r="K663" s="414">
        <f ca="1" t="shared" si="364"/>
        <v>0</v>
      </c>
      <c r="L663" s="414">
        <f ca="1" t="shared" si="364"/>
        <v>0</v>
      </c>
      <c r="M663" s="414">
        <f ca="1" t="shared" si="364"/>
        <v>0</v>
      </c>
      <c r="N663" s="414">
        <f ca="1" t="shared" ref="N663:O667" si="365">F663-J663</f>
        <v>0</v>
      </c>
      <c r="O663" s="414">
        <f ca="1" t="shared" ref="O663:O665" si="366">I663-M663</f>
        <v>0</v>
      </c>
    </row>
    <row r="664" ht="15" hidden="1" spans="2:15">
      <c r="B664" s="410"/>
      <c r="C664" s="418" t="s">
        <v>808</v>
      </c>
      <c r="D664" s="412"/>
      <c r="E664" s="416"/>
      <c r="F664" s="414">
        <f ca="1" t="shared" si="364"/>
        <v>0</v>
      </c>
      <c r="G664" s="414">
        <f ca="1" t="shared" si="364"/>
        <v>0</v>
      </c>
      <c r="H664" s="414">
        <f ca="1" t="shared" si="364"/>
        <v>0</v>
      </c>
      <c r="I664" s="414">
        <f ca="1" t="shared" si="364"/>
        <v>0</v>
      </c>
      <c r="J664" s="414">
        <f ca="1" t="shared" si="364"/>
        <v>0</v>
      </c>
      <c r="K664" s="414">
        <f ca="1" t="shared" si="364"/>
        <v>0</v>
      </c>
      <c r="L664" s="414">
        <f ca="1" t="shared" si="364"/>
        <v>0</v>
      </c>
      <c r="M664" s="414">
        <f ca="1" t="shared" si="364"/>
        <v>0</v>
      </c>
      <c r="N664" s="414">
        <f ca="1" t="shared" si="365"/>
        <v>0</v>
      </c>
      <c r="O664" s="414">
        <f ca="1" t="shared" si="366"/>
        <v>0</v>
      </c>
    </row>
    <row r="665" ht="30" hidden="1" spans="2:15">
      <c r="B665" s="420">
        <v>9</v>
      </c>
      <c r="C665" s="421" t="s">
        <v>791</v>
      </c>
      <c r="D665" s="412"/>
      <c r="E665" s="416"/>
      <c r="F665" s="414">
        <f ca="1" t="shared" si="364"/>
        <v>0</v>
      </c>
      <c r="G665" s="414">
        <f ca="1" t="shared" si="364"/>
        <v>0</v>
      </c>
      <c r="H665" s="414">
        <f ca="1" t="shared" si="364"/>
        <v>0</v>
      </c>
      <c r="I665" s="414">
        <f ca="1" t="shared" si="364"/>
        <v>0</v>
      </c>
      <c r="J665" s="414">
        <f ca="1" t="shared" si="364"/>
        <v>0</v>
      </c>
      <c r="K665" s="414">
        <f ca="1" t="shared" si="364"/>
        <v>0</v>
      </c>
      <c r="L665" s="414">
        <f ca="1" t="shared" si="364"/>
        <v>0</v>
      </c>
      <c r="M665" s="414">
        <f ca="1" t="shared" si="364"/>
        <v>0</v>
      </c>
      <c r="N665" s="414">
        <f ca="1" t="shared" si="365"/>
        <v>0</v>
      </c>
      <c r="O665" s="414">
        <f ca="1" t="shared" si="366"/>
        <v>0</v>
      </c>
    </row>
    <row r="666" ht="15" hidden="1" spans="2:15">
      <c r="B666" s="422">
        <v>10</v>
      </c>
      <c r="C666" s="423" t="s">
        <v>792</v>
      </c>
      <c r="D666" s="424"/>
      <c r="E666" s="416"/>
      <c r="F666" s="414">
        <f ca="1" t="shared" si="364"/>
        <v>0</v>
      </c>
      <c r="G666" s="414">
        <f ca="1" t="shared" si="364"/>
        <v>0</v>
      </c>
      <c r="H666" s="414">
        <f ca="1" t="shared" si="364"/>
        <v>0</v>
      </c>
      <c r="I666" s="414">
        <f ca="1" t="shared" si="364"/>
        <v>0</v>
      </c>
      <c r="J666" s="414">
        <f ca="1" t="shared" si="364"/>
        <v>0</v>
      </c>
      <c r="K666" s="414">
        <f ca="1" t="shared" si="364"/>
        <v>0</v>
      </c>
      <c r="L666" s="414">
        <f ca="1" t="shared" si="364"/>
        <v>0</v>
      </c>
      <c r="M666" s="414">
        <f ca="1" t="shared" si="364"/>
        <v>0</v>
      </c>
      <c r="N666" s="414">
        <f ca="1" t="shared" si="365"/>
        <v>0</v>
      </c>
      <c r="O666" s="414">
        <f ca="1" t="shared" si="365"/>
        <v>0</v>
      </c>
    </row>
    <row r="667" ht="15" hidden="1" spans="2:15">
      <c r="B667" s="422">
        <v>11</v>
      </c>
      <c r="C667" s="423" t="s">
        <v>793</v>
      </c>
      <c r="D667" s="424"/>
      <c r="E667" s="416"/>
      <c r="F667" s="414">
        <f ca="1" t="shared" si="364"/>
        <v>0</v>
      </c>
      <c r="G667" s="414">
        <f ca="1" t="shared" si="364"/>
        <v>0</v>
      </c>
      <c r="H667" s="414">
        <f ca="1" t="shared" si="364"/>
        <v>0</v>
      </c>
      <c r="I667" s="414">
        <f ca="1" t="shared" si="364"/>
        <v>0</v>
      </c>
      <c r="J667" s="414">
        <f ca="1" t="shared" si="364"/>
        <v>0</v>
      </c>
      <c r="K667" s="414">
        <f ca="1" t="shared" si="364"/>
        <v>0</v>
      </c>
      <c r="L667" s="414">
        <f ca="1" t="shared" si="364"/>
        <v>0</v>
      </c>
      <c r="M667" s="414">
        <f ca="1" t="shared" si="364"/>
        <v>0</v>
      </c>
      <c r="N667" s="414">
        <f ca="1" t="shared" si="365"/>
        <v>0</v>
      </c>
      <c r="O667" s="414">
        <f ca="1" t="shared" si="365"/>
        <v>0</v>
      </c>
    </row>
    <row r="668" ht="15" hidden="1" spans="2:15">
      <c r="B668" s="422">
        <v>12</v>
      </c>
      <c r="C668" s="423" t="s">
        <v>794</v>
      </c>
      <c r="D668" s="424"/>
      <c r="E668" s="416"/>
      <c r="F668" s="414">
        <f t="shared" si="364"/>
        <v>0</v>
      </c>
      <c r="G668" s="414">
        <f t="shared" si="364"/>
        <v>0</v>
      </c>
      <c r="H668" s="414">
        <f t="shared" si="364"/>
        <v>0</v>
      </c>
      <c r="I668" s="414">
        <f t="shared" si="364"/>
        <v>0</v>
      </c>
      <c r="J668" s="414">
        <f t="shared" si="364"/>
        <v>0</v>
      </c>
      <c r="K668" s="414">
        <f t="shared" si="364"/>
        <v>0</v>
      </c>
      <c r="L668" s="414">
        <f t="shared" si="364"/>
        <v>0</v>
      </c>
      <c r="M668" s="414">
        <f t="shared" si="364"/>
        <v>0</v>
      </c>
      <c r="N668" s="414"/>
      <c r="O668" s="414"/>
    </row>
    <row r="669" ht="15" hidden="1" spans="2:15">
      <c r="B669" s="422"/>
      <c r="C669" s="425" t="s">
        <v>795</v>
      </c>
      <c r="D669" s="424"/>
      <c r="E669" s="416"/>
      <c r="F669" s="414">
        <f ca="1" t="shared" si="364"/>
        <v>0</v>
      </c>
      <c r="G669" s="414">
        <f ca="1" t="shared" si="364"/>
        <v>0</v>
      </c>
      <c r="H669" s="414">
        <f ca="1" t="shared" si="364"/>
        <v>0</v>
      </c>
      <c r="I669" s="414">
        <f ca="1" t="shared" si="364"/>
        <v>0</v>
      </c>
      <c r="J669" s="414">
        <f ca="1" t="shared" si="364"/>
        <v>0</v>
      </c>
      <c r="K669" s="414">
        <f ca="1" t="shared" si="364"/>
        <v>0</v>
      </c>
      <c r="L669" s="414">
        <f ca="1" t="shared" si="364"/>
        <v>0</v>
      </c>
      <c r="M669" s="414">
        <f ca="1" t="shared" si="364"/>
        <v>0</v>
      </c>
      <c r="N669" s="414">
        <f ca="1" t="shared" ref="N669:O670" si="367">F669-J669</f>
        <v>0</v>
      </c>
      <c r="O669" s="414">
        <f ca="1" t="shared" si="367"/>
        <v>0</v>
      </c>
    </row>
    <row r="670" ht="15" hidden="1" spans="2:15">
      <c r="B670" s="422"/>
      <c r="C670" s="425" t="s">
        <v>796</v>
      </c>
      <c r="D670" s="424"/>
      <c r="E670" s="416"/>
      <c r="F670" s="414">
        <f ca="1" t="shared" si="364"/>
        <v>0</v>
      </c>
      <c r="G670" s="414">
        <f ca="1" t="shared" si="364"/>
        <v>0</v>
      </c>
      <c r="H670" s="414">
        <f ca="1" t="shared" si="364"/>
        <v>0</v>
      </c>
      <c r="I670" s="414">
        <f ca="1" t="shared" si="364"/>
        <v>0</v>
      </c>
      <c r="J670" s="414">
        <f ca="1" t="shared" si="364"/>
        <v>0</v>
      </c>
      <c r="K670" s="414">
        <f ca="1" t="shared" si="364"/>
        <v>0</v>
      </c>
      <c r="L670" s="414">
        <f ca="1" t="shared" si="364"/>
        <v>0</v>
      </c>
      <c r="M670" s="414">
        <f ca="1" t="shared" si="364"/>
        <v>0</v>
      </c>
      <c r="N670" s="414">
        <f ca="1" t="shared" si="367"/>
        <v>0</v>
      </c>
      <c r="O670" s="414">
        <f ca="1" t="shared" si="367"/>
        <v>0</v>
      </c>
    </row>
    <row r="671" ht="15" hidden="1" spans="2:15">
      <c r="B671" s="422">
        <v>13</v>
      </c>
      <c r="C671" s="425"/>
      <c r="D671" s="424"/>
      <c r="E671" s="416"/>
      <c r="F671" s="414">
        <f t="shared" si="364"/>
        <v>0</v>
      </c>
      <c r="G671" s="414">
        <f t="shared" si="364"/>
        <v>0</v>
      </c>
      <c r="H671" s="414">
        <f t="shared" si="364"/>
        <v>0</v>
      </c>
      <c r="I671" s="414">
        <f t="shared" si="364"/>
        <v>0</v>
      </c>
      <c r="J671" s="414">
        <f t="shared" si="364"/>
        <v>0</v>
      </c>
      <c r="K671" s="414">
        <f t="shared" si="364"/>
        <v>0</v>
      </c>
      <c r="L671" s="414">
        <f t="shared" si="364"/>
        <v>0</v>
      </c>
      <c r="M671" s="414">
        <f t="shared" si="364"/>
        <v>0</v>
      </c>
      <c r="N671" s="414"/>
      <c r="O671" s="414"/>
    </row>
    <row r="672" ht="15" hidden="1" spans="2:15">
      <c r="B672" s="422"/>
      <c r="C672" s="425" t="s">
        <v>797</v>
      </c>
      <c r="D672" s="424"/>
      <c r="E672" s="416"/>
      <c r="F672" s="414">
        <f ca="1" t="shared" si="364"/>
        <v>0</v>
      </c>
      <c r="G672" s="414">
        <f ca="1" t="shared" si="364"/>
        <v>0</v>
      </c>
      <c r="H672" s="414">
        <f ca="1" t="shared" si="364"/>
        <v>0</v>
      </c>
      <c r="I672" s="414">
        <f ca="1" t="shared" si="364"/>
        <v>0</v>
      </c>
      <c r="J672" s="414">
        <f ca="1" t="shared" si="364"/>
        <v>0</v>
      </c>
      <c r="K672" s="414">
        <f ca="1" t="shared" si="364"/>
        <v>0</v>
      </c>
      <c r="L672" s="414">
        <f ca="1" t="shared" si="364"/>
        <v>0</v>
      </c>
      <c r="M672" s="414">
        <f ca="1" t="shared" si="364"/>
        <v>0</v>
      </c>
      <c r="N672" s="414">
        <f ca="1" t="shared" ref="N672:O675" si="368">F672-J672</f>
        <v>0</v>
      </c>
      <c r="O672" s="414">
        <f ca="1" t="shared" si="368"/>
        <v>0</v>
      </c>
    </row>
    <row r="673" ht="15" hidden="1" spans="2:15">
      <c r="B673" s="422"/>
      <c r="C673" s="425" t="s">
        <v>798</v>
      </c>
      <c r="D673" s="424"/>
      <c r="E673" s="416"/>
      <c r="F673" s="414">
        <f ca="1" t="shared" si="364"/>
        <v>0</v>
      </c>
      <c r="G673" s="414">
        <f ca="1" t="shared" si="364"/>
        <v>0</v>
      </c>
      <c r="H673" s="414">
        <f ca="1" t="shared" si="364"/>
        <v>0</v>
      </c>
      <c r="I673" s="414">
        <f ca="1" t="shared" si="364"/>
        <v>0</v>
      </c>
      <c r="J673" s="414">
        <f ca="1" t="shared" si="364"/>
        <v>0</v>
      </c>
      <c r="K673" s="414">
        <f ca="1" t="shared" si="364"/>
        <v>0</v>
      </c>
      <c r="L673" s="414">
        <f ca="1" t="shared" si="364"/>
        <v>0</v>
      </c>
      <c r="M673" s="414">
        <f ca="1" t="shared" si="364"/>
        <v>0</v>
      </c>
      <c r="N673" s="414">
        <f ca="1" t="shared" si="368"/>
        <v>0</v>
      </c>
      <c r="O673" s="414">
        <f ca="1" t="shared" si="368"/>
        <v>0</v>
      </c>
    </row>
    <row r="674" ht="15" hidden="1" spans="2:15">
      <c r="B674" s="422"/>
      <c r="C674" s="425" t="s">
        <v>799</v>
      </c>
      <c r="D674" s="424"/>
      <c r="E674" s="416"/>
      <c r="F674" s="414">
        <f ca="1" t="shared" si="364"/>
        <v>0</v>
      </c>
      <c r="G674" s="414">
        <f ca="1" t="shared" si="364"/>
        <v>0</v>
      </c>
      <c r="H674" s="414">
        <f ca="1" t="shared" si="364"/>
        <v>0</v>
      </c>
      <c r="I674" s="414">
        <f ca="1" t="shared" si="364"/>
        <v>0</v>
      </c>
      <c r="J674" s="414">
        <f ca="1" t="shared" si="364"/>
        <v>0</v>
      </c>
      <c r="K674" s="414">
        <f ca="1" t="shared" si="364"/>
        <v>0</v>
      </c>
      <c r="L674" s="414">
        <f ca="1" t="shared" si="364"/>
        <v>0</v>
      </c>
      <c r="M674" s="414">
        <f ca="1" t="shared" si="364"/>
        <v>0</v>
      </c>
      <c r="N674" s="414">
        <f ca="1" t="shared" si="368"/>
        <v>0</v>
      </c>
      <c r="O674" s="414">
        <f ca="1" t="shared" si="368"/>
        <v>0</v>
      </c>
    </row>
    <row r="675" ht="15" hidden="1" spans="2:15">
      <c r="B675" s="422"/>
      <c r="C675" s="425" t="s">
        <v>800</v>
      </c>
      <c r="D675" s="424"/>
      <c r="E675" s="416"/>
      <c r="F675" s="414">
        <f ca="1" t="shared" si="364"/>
        <v>0</v>
      </c>
      <c r="G675" s="414">
        <f ca="1" t="shared" si="364"/>
        <v>0</v>
      </c>
      <c r="H675" s="414">
        <f ca="1" t="shared" si="364"/>
        <v>0</v>
      </c>
      <c r="I675" s="414">
        <f ca="1" t="shared" si="364"/>
        <v>0</v>
      </c>
      <c r="J675" s="414">
        <f ca="1" t="shared" si="364"/>
        <v>0</v>
      </c>
      <c r="K675" s="414">
        <f ca="1" t="shared" si="364"/>
        <v>0</v>
      </c>
      <c r="L675" s="414">
        <f ca="1" t="shared" si="364"/>
        <v>0</v>
      </c>
      <c r="M675" s="414">
        <f ca="1" t="shared" si="364"/>
        <v>0</v>
      </c>
      <c r="N675" s="414">
        <f ca="1" t="shared" si="368"/>
        <v>0</v>
      </c>
      <c r="O675" s="414">
        <f ca="1" t="shared" si="368"/>
        <v>0</v>
      </c>
    </row>
    <row r="676" ht="15" hidden="1" spans="2:15">
      <c r="B676" s="422">
        <v>14</v>
      </c>
      <c r="C676" s="423" t="s">
        <v>801</v>
      </c>
      <c r="D676" s="424"/>
      <c r="E676" s="416"/>
      <c r="F676" s="414">
        <f t="shared" ref="F676:M682" si="369">10%*F42</f>
        <v>0</v>
      </c>
      <c r="G676" s="414">
        <f t="shared" si="369"/>
        <v>0</v>
      </c>
      <c r="H676" s="414">
        <f t="shared" si="369"/>
        <v>0</v>
      </c>
      <c r="I676" s="414">
        <f t="shared" si="369"/>
        <v>0</v>
      </c>
      <c r="J676" s="414">
        <f t="shared" si="369"/>
        <v>0</v>
      </c>
      <c r="K676" s="414">
        <f t="shared" si="369"/>
        <v>0</v>
      </c>
      <c r="L676" s="414">
        <f t="shared" si="369"/>
        <v>0</v>
      </c>
      <c r="M676" s="414">
        <f t="shared" si="369"/>
        <v>0</v>
      </c>
      <c r="N676" s="414"/>
      <c r="O676" s="414"/>
    </row>
    <row r="677" ht="15" hidden="1" spans="2:15">
      <c r="B677" s="422"/>
      <c r="C677" s="425" t="s">
        <v>802</v>
      </c>
      <c r="D677" s="424"/>
      <c r="E677" s="416"/>
      <c r="F677" s="414">
        <f ca="1" t="shared" si="369"/>
        <v>0</v>
      </c>
      <c r="G677" s="414">
        <f ca="1" t="shared" si="369"/>
        <v>0</v>
      </c>
      <c r="H677" s="414">
        <f ca="1" t="shared" si="369"/>
        <v>0</v>
      </c>
      <c r="I677" s="414">
        <f ca="1" t="shared" si="369"/>
        <v>0</v>
      </c>
      <c r="J677" s="414">
        <f ca="1" t="shared" si="369"/>
        <v>0</v>
      </c>
      <c r="K677" s="414">
        <f ca="1" t="shared" si="369"/>
        <v>0</v>
      </c>
      <c r="L677" s="414">
        <f ca="1" t="shared" si="369"/>
        <v>0</v>
      </c>
      <c r="M677" s="414">
        <f ca="1" t="shared" si="369"/>
        <v>0</v>
      </c>
      <c r="N677" s="414">
        <f ca="1" t="shared" ref="N677:O682" si="370">F677-J677</f>
        <v>0</v>
      </c>
      <c r="O677" s="414">
        <f ca="1" t="shared" si="370"/>
        <v>0</v>
      </c>
    </row>
    <row r="678" ht="15" hidden="1" spans="2:15">
      <c r="B678" s="422"/>
      <c r="C678" s="425" t="s">
        <v>803</v>
      </c>
      <c r="D678" s="424"/>
      <c r="E678" s="416"/>
      <c r="F678" s="414">
        <f ca="1" t="shared" si="369"/>
        <v>0</v>
      </c>
      <c r="G678" s="414">
        <f ca="1" t="shared" si="369"/>
        <v>0</v>
      </c>
      <c r="H678" s="414">
        <f ca="1" t="shared" si="369"/>
        <v>0</v>
      </c>
      <c r="I678" s="414">
        <f ca="1" t="shared" si="369"/>
        <v>0</v>
      </c>
      <c r="J678" s="414">
        <f ca="1" t="shared" si="369"/>
        <v>0</v>
      </c>
      <c r="K678" s="414">
        <f ca="1" t="shared" si="369"/>
        <v>0</v>
      </c>
      <c r="L678" s="414">
        <f ca="1" t="shared" si="369"/>
        <v>0</v>
      </c>
      <c r="M678" s="414">
        <f ca="1" t="shared" si="369"/>
        <v>0</v>
      </c>
      <c r="N678" s="414">
        <f ca="1" t="shared" si="370"/>
        <v>0</v>
      </c>
      <c r="O678" s="414">
        <f ca="1" t="shared" si="370"/>
        <v>0</v>
      </c>
    </row>
    <row r="679" ht="15" hidden="1" spans="2:15">
      <c r="B679" s="422"/>
      <c r="C679" s="425" t="s">
        <v>804</v>
      </c>
      <c r="D679" s="424"/>
      <c r="E679" s="416"/>
      <c r="F679" s="414">
        <f ca="1" t="shared" si="369"/>
        <v>0</v>
      </c>
      <c r="G679" s="414">
        <f ca="1" t="shared" si="369"/>
        <v>0</v>
      </c>
      <c r="H679" s="414">
        <f ca="1" t="shared" si="369"/>
        <v>0</v>
      </c>
      <c r="I679" s="414">
        <f ca="1" t="shared" si="369"/>
        <v>0</v>
      </c>
      <c r="J679" s="414">
        <f ca="1" t="shared" si="369"/>
        <v>0</v>
      </c>
      <c r="K679" s="414">
        <f ca="1" t="shared" si="369"/>
        <v>0</v>
      </c>
      <c r="L679" s="414">
        <f ca="1" t="shared" si="369"/>
        <v>0</v>
      </c>
      <c r="M679" s="414">
        <f ca="1" t="shared" si="369"/>
        <v>0</v>
      </c>
      <c r="N679" s="414">
        <f ca="1" t="shared" si="370"/>
        <v>0</v>
      </c>
      <c r="O679" s="414">
        <f ca="1" t="shared" si="370"/>
        <v>0</v>
      </c>
    </row>
    <row r="680" ht="15" hidden="1" spans="2:15">
      <c r="B680" s="422">
        <v>15</v>
      </c>
      <c r="C680" s="423" t="s">
        <v>805</v>
      </c>
      <c r="D680" s="424"/>
      <c r="E680" s="416"/>
      <c r="F680" s="414">
        <f ca="1" t="shared" si="369"/>
        <v>0</v>
      </c>
      <c r="G680" s="414">
        <f ca="1" t="shared" si="369"/>
        <v>0</v>
      </c>
      <c r="H680" s="414">
        <f ca="1" t="shared" si="369"/>
        <v>0</v>
      </c>
      <c r="I680" s="414">
        <f ca="1" t="shared" si="369"/>
        <v>0</v>
      </c>
      <c r="J680" s="414">
        <f ca="1" t="shared" si="369"/>
        <v>0</v>
      </c>
      <c r="K680" s="414">
        <f ca="1" t="shared" si="369"/>
        <v>0</v>
      </c>
      <c r="L680" s="414">
        <f ca="1" t="shared" si="369"/>
        <v>0</v>
      </c>
      <c r="M680" s="414">
        <f ca="1" t="shared" si="369"/>
        <v>0</v>
      </c>
      <c r="N680" s="414">
        <f ca="1" t="shared" si="370"/>
        <v>0</v>
      </c>
      <c r="O680" s="414">
        <f ca="1" t="shared" si="370"/>
        <v>0</v>
      </c>
    </row>
    <row r="681" ht="15" hidden="1" spans="2:15">
      <c r="B681" s="422">
        <v>16</v>
      </c>
      <c r="C681" s="423" t="s">
        <v>806</v>
      </c>
      <c r="D681" s="412"/>
      <c r="E681" s="416"/>
      <c r="F681" s="414">
        <f ca="1" t="shared" si="369"/>
        <v>0</v>
      </c>
      <c r="G681" s="414">
        <f ca="1" t="shared" si="369"/>
        <v>0</v>
      </c>
      <c r="H681" s="414">
        <f ca="1" t="shared" si="369"/>
        <v>0</v>
      </c>
      <c r="I681" s="414">
        <f ca="1" t="shared" si="369"/>
        <v>0</v>
      </c>
      <c r="J681" s="414">
        <f ca="1" t="shared" si="369"/>
        <v>0</v>
      </c>
      <c r="K681" s="414">
        <f ca="1" t="shared" si="369"/>
        <v>0</v>
      </c>
      <c r="L681" s="414">
        <f ca="1" t="shared" si="369"/>
        <v>0</v>
      </c>
      <c r="M681" s="414">
        <f ca="1" t="shared" si="369"/>
        <v>0</v>
      </c>
      <c r="N681" s="414">
        <f ca="1" t="shared" si="370"/>
        <v>0</v>
      </c>
      <c r="O681" s="414">
        <f ca="1" t="shared" si="370"/>
        <v>0</v>
      </c>
    </row>
    <row r="682" ht="15" hidden="1" spans="2:15">
      <c r="B682" s="422">
        <v>17</v>
      </c>
      <c r="C682" s="423" t="s">
        <v>807</v>
      </c>
      <c r="D682" s="412"/>
      <c r="E682" s="426"/>
      <c r="F682" s="414">
        <f ca="1" t="shared" si="369"/>
        <v>0</v>
      </c>
      <c r="G682" s="414">
        <f ca="1" t="shared" si="369"/>
        <v>0</v>
      </c>
      <c r="H682" s="414">
        <f ca="1" t="shared" si="369"/>
        <v>0</v>
      </c>
      <c r="I682" s="414">
        <f ca="1" t="shared" si="369"/>
        <v>0</v>
      </c>
      <c r="J682" s="414">
        <f ca="1" t="shared" si="369"/>
        <v>0</v>
      </c>
      <c r="K682" s="414">
        <f ca="1" t="shared" si="369"/>
        <v>0</v>
      </c>
      <c r="L682" s="414">
        <f ca="1" t="shared" si="369"/>
        <v>0</v>
      </c>
      <c r="M682" s="414">
        <f ca="1" t="shared" si="369"/>
        <v>0</v>
      </c>
      <c r="N682" s="414">
        <f ca="1" t="shared" si="370"/>
        <v>0</v>
      </c>
      <c r="O682" s="414">
        <f ca="1" t="shared" si="370"/>
        <v>0</v>
      </c>
    </row>
    <row r="683" ht="15.75" hidden="1" spans="2:15">
      <c r="B683" s="427"/>
      <c r="C683" s="428" t="s">
        <v>97</v>
      </c>
      <c r="D683" s="428"/>
      <c r="E683" s="429"/>
      <c r="F683" s="430">
        <f ca="1">SUM(F643:F682)</f>
        <v>0</v>
      </c>
      <c r="G683" s="430">
        <f ca="1" t="shared" ref="G683:O683" si="371">SUM(G643:G682)</f>
        <v>0</v>
      </c>
      <c r="H683" s="430">
        <f ca="1" t="shared" si="371"/>
        <v>0</v>
      </c>
      <c r="I683" s="430">
        <f ca="1" t="shared" si="371"/>
        <v>0</v>
      </c>
      <c r="J683" s="430">
        <f ca="1" t="shared" si="371"/>
        <v>0</v>
      </c>
      <c r="K683" s="430">
        <f ca="1" t="shared" si="371"/>
        <v>0</v>
      </c>
      <c r="L683" s="430">
        <f ca="1" t="shared" si="371"/>
        <v>0</v>
      </c>
      <c r="M683" s="430">
        <f ca="1" t="shared" si="371"/>
        <v>0</v>
      </c>
      <c r="N683" s="430">
        <f ca="1" t="shared" si="371"/>
        <v>0</v>
      </c>
      <c r="O683" s="430">
        <f ca="1" t="shared" si="371"/>
        <v>0</v>
      </c>
    </row>
    <row r="685" ht="15" hidden="1" spans="2:15">
      <c r="B685" s="431" t="s">
        <v>760</v>
      </c>
      <c r="C685" s="432"/>
      <c r="D685" s="432"/>
      <c r="E685" s="432"/>
      <c r="F685" s="432"/>
      <c r="G685" s="432"/>
      <c r="H685" s="432"/>
      <c r="I685" s="432"/>
      <c r="J685" s="432"/>
      <c r="K685" s="432"/>
      <c r="L685" s="432"/>
      <c r="M685" s="432"/>
      <c r="N685" s="432"/>
      <c r="O685" s="442"/>
    </row>
    <row r="686" ht="15" hidden="1" spans="2:15">
      <c r="B686" s="406" t="s">
        <v>564</v>
      </c>
      <c r="C686" s="980" t="s">
        <v>671</v>
      </c>
      <c r="D686" s="408" t="s">
        <v>672</v>
      </c>
      <c r="E686" s="408" t="s">
        <v>673</v>
      </c>
      <c r="F686" s="408" t="s">
        <v>674</v>
      </c>
      <c r="G686" s="408"/>
      <c r="H686" s="408"/>
      <c r="I686" s="408"/>
      <c r="J686" s="408" t="s">
        <v>675</v>
      </c>
      <c r="K686" s="408"/>
      <c r="L686" s="408"/>
      <c r="M686" s="408"/>
      <c r="N686" s="408" t="s">
        <v>676</v>
      </c>
      <c r="O686" s="440"/>
    </row>
    <row r="687" ht="60.75" hidden="1" spans="2:15">
      <c r="B687" s="433"/>
      <c r="C687" s="434"/>
      <c r="D687" s="435"/>
      <c r="E687" s="435"/>
      <c r="F687" s="435" t="s">
        <v>677</v>
      </c>
      <c r="G687" s="435" t="s">
        <v>678</v>
      </c>
      <c r="H687" s="435" t="s">
        <v>679</v>
      </c>
      <c r="I687" s="435" t="s">
        <v>680</v>
      </c>
      <c r="J687" s="435" t="s">
        <v>681</v>
      </c>
      <c r="K687" s="435" t="s">
        <v>678</v>
      </c>
      <c r="L687" s="435" t="s">
        <v>682</v>
      </c>
      <c r="M687" s="435" t="s">
        <v>683</v>
      </c>
      <c r="N687" s="435" t="s">
        <v>677</v>
      </c>
      <c r="O687" s="443" t="s">
        <v>680</v>
      </c>
    </row>
    <row r="688" ht="15" hidden="1" spans="2:15">
      <c r="B688" s="410">
        <v>1</v>
      </c>
      <c r="C688" s="411" t="s">
        <v>684</v>
      </c>
      <c r="D688" s="405"/>
      <c r="E688" s="437"/>
      <c r="F688" s="414">
        <f>10%*F54</f>
        <v>0.864</v>
      </c>
      <c r="G688" s="414">
        <f t="shared" ref="G688:M688" si="372">10%*G54</f>
        <v>5.35852474407827</v>
      </c>
      <c r="H688" s="414">
        <f ca="1" t="shared" si="372"/>
        <v>0</v>
      </c>
      <c r="I688" s="414">
        <f ca="1" t="shared" si="372"/>
        <v>6.22252474407827</v>
      </c>
      <c r="J688" s="414">
        <f t="shared" si="372"/>
        <v>0.000489906200000156</v>
      </c>
      <c r="K688" s="414">
        <f t="shared" si="372"/>
        <v>0</v>
      </c>
      <c r="L688" s="414">
        <f ca="1" t="shared" si="372"/>
        <v>0</v>
      </c>
      <c r="M688" s="414">
        <f ca="1" t="shared" si="372"/>
        <v>0.000489906200000156</v>
      </c>
      <c r="N688" s="414">
        <f>F688-J688</f>
        <v>0.8635100938</v>
      </c>
      <c r="O688" s="414">
        <f ca="1">I688-M688</f>
        <v>6.22203483787827</v>
      </c>
    </row>
    <row r="689" ht="15" hidden="1" spans="2:15">
      <c r="B689" s="410">
        <v>2</v>
      </c>
      <c r="C689" s="411" t="s">
        <v>770</v>
      </c>
      <c r="D689" s="476"/>
      <c r="E689" s="477"/>
      <c r="F689" s="414">
        <f t="shared" ref="F689:M704" si="373">10%*F55</f>
        <v>0</v>
      </c>
      <c r="G689" s="414">
        <f t="shared" si="373"/>
        <v>0</v>
      </c>
      <c r="H689" s="414">
        <f ca="1" t="shared" si="373"/>
        <v>0</v>
      </c>
      <c r="I689" s="414">
        <f ca="1" t="shared" si="373"/>
        <v>0</v>
      </c>
      <c r="J689" s="414">
        <f ca="1" t="shared" si="373"/>
        <v>0</v>
      </c>
      <c r="K689" s="414">
        <f ca="1" t="shared" si="373"/>
        <v>0</v>
      </c>
      <c r="L689" s="414">
        <f ca="1" t="shared" si="373"/>
        <v>0</v>
      </c>
      <c r="M689" s="414">
        <f ca="1" t="shared" si="373"/>
        <v>0</v>
      </c>
      <c r="N689" s="414">
        <f ca="1">F689-J689</f>
        <v>0</v>
      </c>
      <c r="O689" s="414">
        <f ca="1">I689-M689</f>
        <v>0</v>
      </c>
    </row>
    <row r="690" ht="15" hidden="1" spans="2:15">
      <c r="B690" s="410">
        <v>3</v>
      </c>
      <c r="C690" s="415" t="s">
        <v>771</v>
      </c>
      <c r="D690" s="412"/>
      <c r="E690" s="416"/>
      <c r="F690" s="414">
        <f t="shared" si="373"/>
        <v>0</v>
      </c>
      <c r="G690" s="414">
        <f t="shared" si="373"/>
        <v>0</v>
      </c>
      <c r="H690" s="414">
        <f t="shared" si="373"/>
        <v>0</v>
      </c>
      <c r="I690" s="414">
        <f t="shared" si="373"/>
        <v>0</v>
      </c>
      <c r="J690" s="414">
        <f t="shared" si="373"/>
        <v>0</v>
      </c>
      <c r="K690" s="414">
        <f t="shared" si="373"/>
        <v>0</v>
      </c>
      <c r="L690" s="414">
        <f t="shared" si="373"/>
        <v>0</v>
      </c>
      <c r="M690" s="414">
        <f t="shared" si="373"/>
        <v>0</v>
      </c>
      <c r="N690" s="414"/>
      <c r="O690" s="414"/>
    </row>
    <row r="691" ht="15" hidden="1" spans="2:15">
      <c r="B691" s="410"/>
      <c r="C691" s="417" t="s">
        <v>772</v>
      </c>
      <c r="D691" s="412"/>
      <c r="E691" s="416"/>
      <c r="F691" s="414">
        <f t="shared" si="373"/>
        <v>37.422</v>
      </c>
      <c r="G691" s="414">
        <f t="shared" si="373"/>
        <v>4.5391228594579</v>
      </c>
      <c r="H691" s="414">
        <f ca="1" t="shared" si="373"/>
        <v>0</v>
      </c>
      <c r="I691" s="414">
        <f ca="1" t="shared" si="373"/>
        <v>41.9611228594579</v>
      </c>
      <c r="J691" s="414">
        <f t="shared" si="373"/>
        <v>11.8902630197</v>
      </c>
      <c r="K691" s="414">
        <f t="shared" si="373"/>
        <v>2.04904342144593</v>
      </c>
      <c r="L691" s="414">
        <f ca="1" t="shared" si="373"/>
        <v>0</v>
      </c>
      <c r="M691" s="414">
        <f ca="1" t="shared" si="373"/>
        <v>13.9393064411459</v>
      </c>
      <c r="N691" s="414">
        <f t="shared" ref="N691:N694" si="374">F691-J691</f>
        <v>25.5317369803</v>
      </c>
      <c r="O691" s="414">
        <f ca="1" t="shared" ref="O691:O694" si="375">I691-M691</f>
        <v>28.021816418312</v>
      </c>
    </row>
    <row r="692" ht="28.5" hidden="1" spans="2:15">
      <c r="B692" s="410"/>
      <c r="C692" s="417" t="s">
        <v>773</v>
      </c>
      <c r="D692" s="412"/>
      <c r="E692" s="416"/>
      <c r="F692" s="414">
        <f ca="1" t="shared" si="373"/>
        <v>0</v>
      </c>
      <c r="G692" s="414">
        <f ca="1" t="shared" si="373"/>
        <v>0</v>
      </c>
      <c r="H692" s="414">
        <f ca="1" t="shared" si="373"/>
        <v>0</v>
      </c>
      <c r="I692" s="414">
        <f ca="1" t="shared" si="373"/>
        <v>0</v>
      </c>
      <c r="J692" s="414">
        <f ca="1" t="shared" si="373"/>
        <v>0</v>
      </c>
      <c r="K692" s="414">
        <f ca="1" t="shared" si="373"/>
        <v>0</v>
      </c>
      <c r="L692" s="414">
        <f ca="1" t="shared" si="373"/>
        <v>0</v>
      </c>
      <c r="M692" s="414">
        <f ca="1" t="shared" si="373"/>
        <v>0</v>
      </c>
      <c r="N692" s="414">
        <f ca="1" t="shared" si="374"/>
        <v>0</v>
      </c>
      <c r="O692" s="414">
        <f ca="1" t="shared" si="375"/>
        <v>0</v>
      </c>
    </row>
    <row r="693" ht="15" hidden="1" spans="2:15">
      <c r="B693" s="410"/>
      <c r="C693" s="417" t="s">
        <v>774</v>
      </c>
      <c r="D693" s="412"/>
      <c r="E693" s="416"/>
      <c r="F693" s="414">
        <f ca="1" t="shared" si="373"/>
        <v>0</v>
      </c>
      <c r="G693" s="414">
        <f ca="1" t="shared" si="373"/>
        <v>0</v>
      </c>
      <c r="H693" s="414">
        <f ca="1" t="shared" si="373"/>
        <v>0</v>
      </c>
      <c r="I693" s="414">
        <f ca="1" t="shared" si="373"/>
        <v>0</v>
      </c>
      <c r="J693" s="414">
        <f ca="1" t="shared" si="373"/>
        <v>0</v>
      </c>
      <c r="K693" s="414">
        <f ca="1" t="shared" si="373"/>
        <v>0</v>
      </c>
      <c r="L693" s="414">
        <f ca="1" t="shared" si="373"/>
        <v>0</v>
      </c>
      <c r="M693" s="414">
        <f ca="1" t="shared" si="373"/>
        <v>0</v>
      </c>
      <c r="N693" s="414">
        <f ca="1" t="shared" si="374"/>
        <v>0</v>
      </c>
      <c r="O693" s="414">
        <f ca="1" t="shared" si="375"/>
        <v>0</v>
      </c>
    </row>
    <row r="694" ht="15" hidden="1" spans="2:15">
      <c r="B694" s="410"/>
      <c r="C694" s="417" t="s">
        <v>775</v>
      </c>
      <c r="D694" s="412"/>
      <c r="E694" s="416"/>
      <c r="F694" s="414">
        <f t="shared" si="373"/>
        <v>22.108</v>
      </c>
      <c r="G694" s="414">
        <f t="shared" si="373"/>
        <v>0</v>
      </c>
      <c r="H694" s="414">
        <f ca="1" t="shared" si="373"/>
        <v>0</v>
      </c>
      <c r="I694" s="414">
        <f ca="1" t="shared" si="373"/>
        <v>22.108</v>
      </c>
      <c r="J694" s="414">
        <f t="shared" si="373"/>
        <v>4.4413445081</v>
      </c>
      <c r="K694" s="414">
        <f t="shared" si="373"/>
        <v>0</v>
      </c>
      <c r="L694" s="414">
        <f ca="1" t="shared" si="373"/>
        <v>0</v>
      </c>
      <c r="M694" s="414">
        <f ca="1" t="shared" si="373"/>
        <v>4.4413445081</v>
      </c>
      <c r="N694" s="414">
        <f t="shared" si="374"/>
        <v>17.6666554919</v>
      </c>
      <c r="O694" s="414">
        <f ca="1" t="shared" si="375"/>
        <v>17.6666554919</v>
      </c>
    </row>
    <row r="695" ht="15" hidden="1" spans="2:15">
      <c r="B695" s="410">
        <v>4</v>
      </c>
      <c r="C695" s="411" t="s">
        <v>776</v>
      </c>
      <c r="D695" s="412"/>
      <c r="E695" s="416"/>
      <c r="F695" s="414">
        <f t="shared" si="373"/>
        <v>0</v>
      </c>
      <c r="G695" s="414">
        <f t="shared" si="373"/>
        <v>0</v>
      </c>
      <c r="H695" s="414">
        <f t="shared" si="373"/>
        <v>0</v>
      </c>
      <c r="I695" s="414">
        <f t="shared" si="373"/>
        <v>0</v>
      </c>
      <c r="J695" s="414">
        <f t="shared" si="373"/>
        <v>0</v>
      </c>
      <c r="K695" s="414">
        <f t="shared" si="373"/>
        <v>0</v>
      </c>
      <c r="L695" s="414">
        <f t="shared" si="373"/>
        <v>0</v>
      </c>
      <c r="M695" s="414">
        <f t="shared" si="373"/>
        <v>0</v>
      </c>
      <c r="N695" s="414"/>
      <c r="O695" s="414"/>
    </row>
    <row r="696" ht="15" hidden="1" spans="2:15">
      <c r="B696" s="410"/>
      <c r="C696" s="418" t="s">
        <v>777</v>
      </c>
      <c r="D696" s="412"/>
      <c r="E696" s="416"/>
      <c r="F696" s="414">
        <f t="shared" si="373"/>
        <v>898.688</v>
      </c>
      <c r="G696" s="414">
        <f t="shared" si="373"/>
        <v>107.790765088188</v>
      </c>
      <c r="H696" s="414">
        <f ca="1" t="shared" si="373"/>
        <v>0</v>
      </c>
      <c r="I696" s="414">
        <f ca="1" t="shared" si="373"/>
        <v>1006.47876508819</v>
      </c>
      <c r="J696" s="414">
        <f t="shared" si="373"/>
        <v>473.5332433661</v>
      </c>
      <c r="K696" s="414">
        <f t="shared" si="373"/>
        <v>38.8662372456536</v>
      </c>
      <c r="L696" s="414">
        <f ca="1" t="shared" si="373"/>
        <v>0</v>
      </c>
      <c r="M696" s="414">
        <f ca="1" t="shared" si="373"/>
        <v>512.399480611754</v>
      </c>
      <c r="N696" s="414">
        <f t="shared" ref="N696:N699" si="376">F696-J696</f>
        <v>425.1547566339</v>
      </c>
      <c r="O696" s="414">
        <f ca="1" t="shared" ref="O696:O699" si="377">I696-M696</f>
        <v>494.079284476434</v>
      </c>
    </row>
    <row r="697" ht="15" hidden="1" spans="2:15">
      <c r="B697" s="410"/>
      <c r="C697" s="411" t="s">
        <v>778</v>
      </c>
      <c r="D697" s="412"/>
      <c r="E697" s="416"/>
      <c r="F697" s="414">
        <f t="shared" si="373"/>
        <v>0</v>
      </c>
      <c r="G697" s="414">
        <f t="shared" si="373"/>
        <v>0</v>
      </c>
      <c r="H697" s="414">
        <f t="shared" si="373"/>
        <v>0</v>
      </c>
      <c r="I697" s="414">
        <f t="shared" si="373"/>
        <v>0</v>
      </c>
      <c r="J697" s="414">
        <f t="shared" si="373"/>
        <v>0</v>
      </c>
      <c r="K697" s="414">
        <f t="shared" si="373"/>
        <v>0</v>
      </c>
      <c r="L697" s="414">
        <f t="shared" si="373"/>
        <v>0</v>
      </c>
      <c r="M697" s="414">
        <f t="shared" si="373"/>
        <v>0</v>
      </c>
      <c r="N697" s="414"/>
      <c r="O697" s="414"/>
    </row>
    <row r="698" ht="15" hidden="1" spans="2:15">
      <c r="B698" s="410"/>
      <c r="C698" s="418" t="s">
        <v>779</v>
      </c>
      <c r="D698" s="412"/>
      <c r="E698" s="416"/>
      <c r="F698" s="414">
        <f ca="1" t="shared" si="373"/>
        <v>0</v>
      </c>
      <c r="G698" s="414">
        <f ca="1" t="shared" si="373"/>
        <v>0</v>
      </c>
      <c r="H698" s="414">
        <f ca="1" t="shared" si="373"/>
        <v>0</v>
      </c>
      <c r="I698" s="414">
        <f ca="1" t="shared" si="373"/>
        <v>0</v>
      </c>
      <c r="J698" s="414">
        <f ca="1" t="shared" si="373"/>
        <v>0</v>
      </c>
      <c r="K698" s="414">
        <f ca="1" t="shared" si="373"/>
        <v>0</v>
      </c>
      <c r="L698" s="414">
        <f ca="1" t="shared" si="373"/>
        <v>0</v>
      </c>
      <c r="M698" s="414">
        <f ca="1" t="shared" si="373"/>
        <v>0</v>
      </c>
      <c r="N698" s="414">
        <f ca="1" t="shared" si="376"/>
        <v>0</v>
      </c>
      <c r="O698" s="414">
        <f ca="1" t="shared" si="377"/>
        <v>0</v>
      </c>
    </row>
    <row r="699" ht="15" hidden="1" spans="2:15">
      <c r="B699" s="410"/>
      <c r="C699" s="418" t="s">
        <v>780</v>
      </c>
      <c r="D699" s="412"/>
      <c r="E699" s="416"/>
      <c r="F699" s="414">
        <f ca="1" t="shared" si="373"/>
        <v>0</v>
      </c>
      <c r="G699" s="414">
        <f ca="1" t="shared" si="373"/>
        <v>0</v>
      </c>
      <c r="H699" s="414">
        <f ca="1" t="shared" si="373"/>
        <v>0</v>
      </c>
      <c r="I699" s="414">
        <f ca="1" t="shared" si="373"/>
        <v>0</v>
      </c>
      <c r="J699" s="414">
        <f ca="1" t="shared" si="373"/>
        <v>0</v>
      </c>
      <c r="K699" s="414">
        <f ca="1" t="shared" si="373"/>
        <v>0</v>
      </c>
      <c r="L699" s="414">
        <f ca="1" t="shared" si="373"/>
        <v>0</v>
      </c>
      <c r="M699" s="414">
        <f ca="1" t="shared" si="373"/>
        <v>0</v>
      </c>
      <c r="N699" s="414">
        <f ca="1" t="shared" si="376"/>
        <v>0</v>
      </c>
      <c r="O699" s="414">
        <f ca="1" t="shared" si="377"/>
        <v>0</v>
      </c>
    </row>
    <row r="700" ht="15" hidden="1" spans="2:15">
      <c r="B700" s="410">
        <v>5</v>
      </c>
      <c r="C700" s="411" t="s">
        <v>781</v>
      </c>
      <c r="D700" s="412"/>
      <c r="E700" s="416"/>
      <c r="F700" s="414">
        <f t="shared" si="373"/>
        <v>0</v>
      </c>
      <c r="G700" s="414">
        <f t="shared" si="373"/>
        <v>0</v>
      </c>
      <c r="H700" s="414">
        <f t="shared" si="373"/>
        <v>0</v>
      </c>
      <c r="I700" s="414">
        <f t="shared" si="373"/>
        <v>0</v>
      </c>
      <c r="J700" s="414">
        <f t="shared" si="373"/>
        <v>0</v>
      </c>
      <c r="K700" s="414">
        <f t="shared" si="373"/>
        <v>0</v>
      </c>
      <c r="L700" s="414">
        <f t="shared" si="373"/>
        <v>0</v>
      </c>
      <c r="M700" s="414">
        <f t="shared" si="373"/>
        <v>0</v>
      </c>
      <c r="N700" s="414"/>
      <c r="O700" s="414"/>
    </row>
    <row r="701" ht="15" hidden="1" spans="2:15">
      <c r="B701" s="410"/>
      <c r="C701" s="418" t="s">
        <v>782</v>
      </c>
      <c r="D701" s="412"/>
      <c r="E701" s="416"/>
      <c r="F701" s="414">
        <f ca="1" t="shared" si="373"/>
        <v>0</v>
      </c>
      <c r="G701" s="414">
        <f ca="1" t="shared" si="373"/>
        <v>0</v>
      </c>
      <c r="H701" s="414">
        <f ca="1" t="shared" si="373"/>
        <v>0</v>
      </c>
      <c r="I701" s="414">
        <f ca="1" t="shared" si="373"/>
        <v>0</v>
      </c>
      <c r="J701" s="414">
        <f ca="1" t="shared" si="373"/>
        <v>0</v>
      </c>
      <c r="K701" s="414">
        <f ca="1" t="shared" si="373"/>
        <v>0</v>
      </c>
      <c r="L701" s="414">
        <f ca="1" t="shared" si="373"/>
        <v>0</v>
      </c>
      <c r="M701" s="414">
        <f ca="1" t="shared" si="373"/>
        <v>0</v>
      </c>
      <c r="N701" s="414">
        <f ca="1" t="shared" ref="N701:N706" si="378">F701-J701</f>
        <v>0</v>
      </c>
      <c r="O701" s="414">
        <f ca="1" t="shared" ref="O701:O706" si="379">I701-M701</f>
        <v>0</v>
      </c>
    </row>
    <row r="702" ht="15" hidden="1" spans="2:15">
      <c r="B702" s="410"/>
      <c r="C702" s="418" t="s">
        <v>783</v>
      </c>
      <c r="D702" s="412"/>
      <c r="E702" s="416"/>
      <c r="F702" s="414">
        <f ca="1" t="shared" si="373"/>
        <v>0</v>
      </c>
      <c r="G702" s="414">
        <f ca="1" t="shared" si="373"/>
        <v>0</v>
      </c>
      <c r="H702" s="414">
        <f ca="1" t="shared" si="373"/>
        <v>0</v>
      </c>
      <c r="I702" s="414">
        <f ca="1" t="shared" si="373"/>
        <v>0</v>
      </c>
      <c r="J702" s="414">
        <f ca="1" t="shared" si="373"/>
        <v>0</v>
      </c>
      <c r="K702" s="414">
        <f ca="1" t="shared" si="373"/>
        <v>0</v>
      </c>
      <c r="L702" s="414">
        <f ca="1" t="shared" si="373"/>
        <v>0</v>
      </c>
      <c r="M702" s="414">
        <f ca="1" t="shared" si="373"/>
        <v>0</v>
      </c>
      <c r="N702" s="414">
        <f ca="1" t="shared" si="378"/>
        <v>0</v>
      </c>
      <c r="O702" s="414">
        <f ca="1" t="shared" si="379"/>
        <v>0</v>
      </c>
    </row>
    <row r="703" ht="15" hidden="1" spans="2:15">
      <c r="B703" s="410"/>
      <c r="C703" s="418" t="s">
        <v>784</v>
      </c>
      <c r="D703" s="412"/>
      <c r="E703" s="416"/>
      <c r="F703" s="414">
        <f ca="1" t="shared" si="373"/>
        <v>0</v>
      </c>
      <c r="G703" s="414">
        <f ca="1" t="shared" si="373"/>
        <v>0</v>
      </c>
      <c r="H703" s="414">
        <f ca="1" t="shared" si="373"/>
        <v>0</v>
      </c>
      <c r="I703" s="414">
        <f ca="1" t="shared" si="373"/>
        <v>0</v>
      </c>
      <c r="J703" s="414">
        <f ca="1" t="shared" si="373"/>
        <v>0</v>
      </c>
      <c r="K703" s="414">
        <f ca="1" t="shared" si="373"/>
        <v>0</v>
      </c>
      <c r="L703" s="414">
        <f ca="1" t="shared" si="373"/>
        <v>0</v>
      </c>
      <c r="M703" s="414">
        <f ca="1" t="shared" si="373"/>
        <v>0</v>
      </c>
      <c r="N703" s="414">
        <f ca="1" t="shared" si="378"/>
        <v>0</v>
      </c>
      <c r="O703" s="414">
        <f ca="1" t="shared" si="379"/>
        <v>0</v>
      </c>
    </row>
    <row r="704" ht="15" hidden="1" spans="2:15">
      <c r="B704" s="410"/>
      <c r="C704" s="418" t="s">
        <v>785</v>
      </c>
      <c r="D704" s="412"/>
      <c r="E704" s="416"/>
      <c r="F704" s="414">
        <f ca="1" t="shared" si="373"/>
        <v>0</v>
      </c>
      <c r="G704" s="414">
        <f ca="1" t="shared" si="373"/>
        <v>0</v>
      </c>
      <c r="H704" s="414">
        <f ca="1" t="shared" si="373"/>
        <v>0</v>
      </c>
      <c r="I704" s="414">
        <f ca="1" t="shared" si="373"/>
        <v>0</v>
      </c>
      <c r="J704" s="414">
        <f ca="1" t="shared" si="373"/>
        <v>0</v>
      </c>
      <c r="K704" s="414">
        <f ca="1" t="shared" si="373"/>
        <v>0</v>
      </c>
      <c r="L704" s="414">
        <f ca="1" t="shared" si="373"/>
        <v>0</v>
      </c>
      <c r="M704" s="414">
        <f ca="1" t="shared" si="373"/>
        <v>0</v>
      </c>
      <c r="N704" s="414">
        <f ca="1" t="shared" si="378"/>
        <v>0</v>
      </c>
      <c r="O704" s="414">
        <f ca="1" t="shared" si="379"/>
        <v>0</v>
      </c>
    </row>
    <row r="705" ht="15" hidden="1" spans="2:15">
      <c r="B705" s="410">
        <v>6</v>
      </c>
      <c r="C705" s="411" t="s">
        <v>786</v>
      </c>
      <c r="D705" s="412"/>
      <c r="E705" s="416"/>
      <c r="F705" s="414">
        <f ca="1" t="shared" ref="F705:M720" si="380">10%*F71</f>
        <v>0</v>
      </c>
      <c r="G705" s="414">
        <f ca="1" t="shared" si="380"/>
        <v>0</v>
      </c>
      <c r="H705" s="414">
        <f ca="1" t="shared" si="380"/>
        <v>0</v>
      </c>
      <c r="I705" s="414">
        <f ca="1" t="shared" si="380"/>
        <v>0</v>
      </c>
      <c r="J705" s="414">
        <f ca="1" t="shared" si="380"/>
        <v>0</v>
      </c>
      <c r="K705" s="414">
        <f ca="1" t="shared" si="380"/>
        <v>0</v>
      </c>
      <c r="L705" s="414">
        <f ca="1" t="shared" si="380"/>
        <v>0</v>
      </c>
      <c r="M705" s="414">
        <f ca="1" t="shared" si="380"/>
        <v>0</v>
      </c>
      <c r="N705" s="414">
        <f ca="1" t="shared" si="378"/>
        <v>0</v>
      </c>
      <c r="O705" s="414">
        <f ca="1" t="shared" si="379"/>
        <v>0</v>
      </c>
    </row>
    <row r="706" ht="15" hidden="1" spans="2:15">
      <c r="B706" s="410">
        <v>7</v>
      </c>
      <c r="C706" s="411" t="s">
        <v>787</v>
      </c>
      <c r="D706" s="412"/>
      <c r="E706" s="416"/>
      <c r="F706" s="414">
        <f ca="1" t="shared" si="380"/>
        <v>0</v>
      </c>
      <c r="G706" s="414">
        <f ca="1" t="shared" si="380"/>
        <v>0</v>
      </c>
      <c r="H706" s="414">
        <f ca="1" t="shared" si="380"/>
        <v>0</v>
      </c>
      <c r="I706" s="414">
        <f ca="1" t="shared" si="380"/>
        <v>0</v>
      </c>
      <c r="J706" s="414">
        <f ca="1" t="shared" si="380"/>
        <v>0</v>
      </c>
      <c r="K706" s="414">
        <f ca="1" t="shared" si="380"/>
        <v>0</v>
      </c>
      <c r="L706" s="414">
        <f ca="1" t="shared" si="380"/>
        <v>0</v>
      </c>
      <c r="M706" s="414">
        <f ca="1" t="shared" si="380"/>
        <v>0</v>
      </c>
      <c r="N706" s="414">
        <f ca="1" t="shared" si="378"/>
        <v>0</v>
      </c>
      <c r="O706" s="414">
        <f ca="1" t="shared" si="379"/>
        <v>0</v>
      </c>
    </row>
    <row r="707" ht="15" hidden="1" spans="2:15">
      <c r="B707" s="410">
        <v>8</v>
      </c>
      <c r="C707" s="411" t="s">
        <v>788</v>
      </c>
      <c r="D707" s="412"/>
      <c r="E707" s="416"/>
      <c r="F707" s="414">
        <f t="shared" si="380"/>
        <v>0</v>
      </c>
      <c r="G707" s="414">
        <f t="shared" si="380"/>
        <v>0</v>
      </c>
      <c r="H707" s="414">
        <f t="shared" si="380"/>
        <v>0</v>
      </c>
      <c r="I707" s="414">
        <f t="shared" si="380"/>
        <v>0</v>
      </c>
      <c r="J707" s="414">
        <f t="shared" si="380"/>
        <v>0</v>
      </c>
      <c r="K707" s="414">
        <f t="shared" si="380"/>
        <v>0</v>
      </c>
      <c r="L707" s="414">
        <f t="shared" si="380"/>
        <v>0</v>
      </c>
      <c r="M707" s="414">
        <f t="shared" si="380"/>
        <v>0</v>
      </c>
      <c r="N707" s="414"/>
      <c r="O707" s="414"/>
    </row>
    <row r="708" ht="15" hidden="1" spans="2:15">
      <c r="B708" s="410"/>
      <c r="C708" s="418" t="s">
        <v>789</v>
      </c>
      <c r="D708" s="412"/>
      <c r="E708" s="416"/>
      <c r="F708" s="414">
        <f t="shared" si="380"/>
        <v>868.009</v>
      </c>
      <c r="G708" s="414">
        <f t="shared" si="380"/>
        <v>125.174182488406</v>
      </c>
      <c r="H708" s="414">
        <f ca="1" t="shared" si="380"/>
        <v>0</v>
      </c>
      <c r="I708" s="414">
        <f ca="1" t="shared" si="380"/>
        <v>993.183182488406</v>
      </c>
      <c r="J708" s="414">
        <f t="shared" si="380"/>
        <v>412.622608089</v>
      </c>
      <c r="K708" s="414">
        <f t="shared" si="380"/>
        <v>38.5617724392524</v>
      </c>
      <c r="L708" s="414">
        <f ca="1" t="shared" si="380"/>
        <v>0</v>
      </c>
      <c r="M708" s="414">
        <f ca="1" t="shared" si="380"/>
        <v>451.184380528252</v>
      </c>
      <c r="N708" s="414">
        <f t="shared" ref="N708:O712" si="381">F708-J708</f>
        <v>455.386391911</v>
      </c>
      <c r="O708" s="414">
        <f ca="1" t="shared" ref="O708:O710" si="382">I708-M708</f>
        <v>541.998801960154</v>
      </c>
    </row>
    <row r="709" ht="15" hidden="1" spans="2:15">
      <c r="B709" s="410"/>
      <c r="C709" s="418" t="s">
        <v>808</v>
      </c>
      <c r="D709" s="412"/>
      <c r="E709" s="416"/>
      <c r="F709" s="414">
        <f ca="1" t="shared" si="380"/>
        <v>0</v>
      </c>
      <c r="G709" s="414">
        <f ca="1" t="shared" si="380"/>
        <v>0</v>
      </c>
      <c r="H709" s="414">
        <f ca="1" t="shared" si="380"/>
        <v>0</v>
      </c>
      <c r="I709" s="414">
        <f ca="1" t="shared" si="380"/>
        <v>0</v>
      </c>
      <c r="J709" s="414">
        <f ca="1" t="shared" si="380"/>
        <v>0</v>
      </c>
      <c r="K709" s="414">
        <f ca="1" t="shared" si="380"/>
        <v>0</v>
      </c>
      <c r="L709" s="414">
        <f ca="1" t="shared" si="380"/>
        <v>0</v>
      </c>
      <c r="M709" s="414">
        <f ca="1" t="shared" si="380"/>
        <v>0</v>
      </c>
      <c r="N709" s="414">
        <f ca="1" t="shared" si="381"/>
        <v>0</v>
      </c>
      <c r="O709" s="414">
        <f ca="1" t="shared" si="382"/>
        <v>0</v>
      </c>
    </row>
    <row r="710" ht="30" hidden="1" spans="2:15">
      <c r="B710" s="420">
        <v>9</v>
      </c>
      <c r="C710" s="421" t="s">
        <v>791</v>
      </c>
      <c r="D710" s="412"/>
      <c r="E710" s="416"/>
      <c r="F710" s="414">
        <f ca="1" t="shared" si="380"/>
        <v>0</v>
      </c>
      <c r="G710" s="414">
        <f ca="1" t="shared" si="380"/>
        <v>0</v>
      </c>
      <c r="H710" s="414">
        <f ca="1" t="shared" si="380"/>
        <v>0</v>
      </c>
      <c r="I710" s="414">
        <f ca="1" t="shared" si="380"/>
        <v>0</v>
      </c>
      <c r="J710" s="414">
        <f ca="1" t="shared" si="380"/>
        <v>0</v>
      </c>
      <c r="K710" s="414">
        <f ca="1" t="shared" si="380"/>
        <v>0</v>
      </c>
      <c r="L710" s="414">
        <f ca="1" t="shared" si="380"/>
        <v>0</v>
      </c>
      <c r="M710" s="414">
        <f ca="1" t="shared" si="380"/>
        <v>0</v>
      </c>
      <c r="N710" s="414">
        <f ca="1" t="shared" si="381"/>
        <v>0</v>
      </c>
      <c r="O710" s="414">
        <f ca="1" t="shared" si="382"/>
        <v>0</v>
      </c>
    </row>
    <row r="711" ht="15" hidden="1" spans="2:15">
      <c r="B711" s="422">
        <v>10</v>
      </c>
      <c r="C711" s="423" t="s">
        <v>792</v>
      </c>
      <c r="D711" s="424"/>
      <c r="E711" s="416"/>
      <c r="F711" s="414">
        <f t="shared" si="380"/>
        <v>182.732</v>
      </c>
      <c r="G711" s="414">
        <f t="shared" si="380"/>
        <v>8.325975504842</v>
      </c>
      <c r="H711" s="414">
        <f ca="1" t="shared" si="380"/>
        <v>0</v>
      </c>
      <c r="I711" s="414">
        <f ca="1" t="shared" si="380"/>
        <v>191.057975504842</v>
      </c>
      <c r="J711" s="414">
        <f t="shared" si="380"/>
        <v>115.2021040442</v>
      </c>
      <c r="K711" s="414">
        <f t="shared" si="380"/>
        <v>5.80209906248337</v>
      </c>
      <c r="L711" s="414">
        <f ca="1" t="shared" si="380"/>
        <v>0</v>
      </c>
      <c r="M711" s="414">
        <f ca="1" t="shared" si="380"/>
        <v>121.004203106683</v>
      </c>
      <c r="N711" s="414">
        <f t="shared" si="381"/>
        <v>67.5298959558</v>
      </c>
      <c r="O711" s="414">
        <f t="shared" si="381"/>
        <v>2.52387644235863</v>
      </c>
    </row>
    <row r="712" ht="15" hidden="1" spans="2:15">
      <c r="B712" s="422">
        <v>11</v>
      </c>
      <c r="C712" s="423" t="s">
        <v>793</v>
      </c>
      <c r="D712" s="424"/>
      <c r="E712" s="416"/>
      <c r="F712" s="414">
        <f t="shared" si="380"/>
        <v>0.708</v>
      </c>
      <c r="G712" s="414">
        <f ca="1" t="shared" si="380"/>
        <v>0</v>
      </c>
      <c r="H712" s="414">
        <f ca="1" t="shared" si="380"/>
        <v>0</v>
      </c>
      <c r="I712" s="414">
        <f ca="1" t="shared" si="380"/>
        <v>0.708</v>
      </c>
      <c r="J712" s="414">
        <f t="shared" si="380"/>
        <v>0.6372199932</v>
      </c>
      <c r="K712" s="414">
        <f t="shared" si="380"/>
        <v>0.002</v>
      </c>
      <c r="L712" s="414">
        <f ca="1" t="shared" si="380"/>
        <v>0</v>
      </c>
      <c r="M712" s="414">
        <f ca="1" t="shared" si="380"/>
        <v>0.6392199932</v>
      </c>
      <c r="N712" s="414">
        <f t="shared" si="381"/>
        <v>0.0707800068000001</v>
      </c>
      <c r="O712" s="414">
        <f ca="1" t="shared" si="381"/>
        <v>-0.002</v>
      </c>
    </row>
    <row r="713" ht="15" hidden="1" spans="2:15">
      <c r="B713" s="422">
        <v>12</v>
      </c>
      <c r="C713" s="423" t="s">
        <v>794</v>
      </c>
      <c r="D713" s="424"/>
      <c r="E713" s="416"/>
      <c r="F713" s="414">
        <f t="shared" si="380"/>
        <v>0</v>
      </c>
      <c r="G713" s="414">
        <f t="shared" si="380"/>
        <v>0</v>
      </c>
      <c r="H713" s="414">
        <f t="shared" si="380"/>
        <v>0</v>
      </c>
      <c r="I713" s="414">
        <f t="shared" si="380"/>
        <v>0</v>
      </c>
      <c r="J713" s="414">
        <f t="shared" si="380"/>
        <v>0</v>
      </c>
      <c r="K713" s="414">
        <f t="shared" si="380"/>
        <v>0</v>
      </c>
      <c r="L713" s="414">
        <f t="shared" si="380"/>
        <v>0</v>
      </c>
      <c r="M713" s="414">
        <f t="shared" si="380"/>
        <v>0</v>
      </c>
      <c r="N713" s="414"/>
      <c r="O713" s="414"/>
    </row>
    <row r="714" ht="15" hidden="1" spans="2:15">
      <c r="B714" s="422"/>
      <c r="C714" s="425" t="s">
        <v>795</v>
      </c>
      <c r="D714" s="424"/>
      <c r="E714" s="416"/>
      <c r="F714" s="414">
        <f t="shared" si="380"/>
        <v>0.26</v>
      </c>
      <c r="G714" s="414">
        <f ca="1" t="shared" si="380"/>
        <v>0</v>
      </c>
      <c r="H714" s="414">
        <f ca="1" t="shared" si="380"/>
        <v>0</v>
      </c>
      <c r="I714" s="414">
        <f ca="1" t="shared" si="380"/>
        <v>0.26</v>
      </c>
      <c r="J714" s="414">
        <f t="shared" si="380"/>
        <v>0.1701644132</v>
      </c>
      <c r="K714" s="414">
        <f ca="1" t="shared" si="380"/>
        <v>0</v>
      </c>
      <c r="L714" s="414">
        <f ca="1" t="shared" si="380"/>
        <v>0</v>
      </c>
      <c r="M714" s="414">
        <f ca="1" t="shared" si="380"/>
        <v>0.1701644132</v>
      </c>
      <c r="N714" s="414">
        <f t="shared" ref="N714:O715" si="383">F714-J714</f>
        <v>0.0898355868</v>
      </c>
      <c r="O714" s="414">
        <f ca="1" t="shared" si="383"/>
        <v>0</v>
      </c>
    </row>
    <row r="715" ht="15" hidden="1" spans="2:15">
      <c r="B715" s="422"/>
      <c r="C715" s="425" t="s">
        <v>796</v>
      </c>
      <c r="D715" s="424"/>
      <c r="E715" s="416"/>
      <c r="F715" s="414">
        <f ca="1" t="shared" si="380"/>
        <v>0</v>
      </c>
      <c r="G715" s="414">
        <f ca="1" t="shared" si="380"/>
        <v>0</v>
      </c>
      <c r="H715" s="414">
        <f ca="1" t="shared" si="380"/>
        <v>0</v>
      </c>
      <c r="I715" s="414">
        <f ca="1" t="shared" si="380"/>
        <v>0</v>
      </c>
      <c r="J715" s="414">
        <f ca="1" t="shared" si="380"/>
        <v>0</v>
      </c>
      <c r="K715" s="414">
        <f ca="1" t="shared" si="380"/>
        <v>0</v>
      </c>
      <c r="L715" s="414">
        <f ca="1" t="shared" si="380"/>
        <v>0</v>
      </c>
      <c r="M715" s="414">
        <f ca="1" t="shared" si="380"/>
        <v>0</v>
      </c>
      <c r="N715" s="414">
        <f ca="1" t="shared" si="383"/>
        <v>0</v>
      </c>
      <c r="O715" s="414">
        <f ca="1" t="shared" si="383"/>
        <v>0</v>
      </c>
    </row>
    <row r="716" ht="15" hidden="1" spans="2:15">
      <c r="B716" s="422">
        <v>13</v>
      </c>
      <c r="C716" s="425"/>
      <c r="D716" s="424"/>
      <c r="E716" s="416"/>
      <c r="F716" s="414">
        <f t="shared" si="380"/>
        <v>0</v>
      </c>
      <c r="G716" s="414">
        <f t="shared" si="380"/>
        <v>0</v>
      </c>
      <c r="H716" s="414">
        <f t="shared" si="380"/>
        <v>0</v>
      </c>
      <c r="I716" s="414">
        <f t="shared" si="380"/>
        <v>0</v>
      </c>
      <c r="J716" s="414">
        <f t="shared" si="380"/>
        <v>0</v>
      </c>
      <c r="K716" s="414">
        <f t="shared" si="380"/>
        <v>0</v>
      </c>
      <c r="L716" s="414">
        <f t="shared" si="380"/>
        <v>0</v>
      </c>
      <c r="M716" s="414">
        <f t="shared" si="380"/>
        <v>0</v>
      </c>
      <c r="N716" s="414"/>
      <c r="O716" s="414"/>
    </row>
    <row r="717" ht="15" hidden="1" spans="2:15">
      <c r="B717" s="422"/>
      <c r="C717" s="425" t="s">
        <v>797</v>
      </c>
      <c r="D717" s="424"/>
      <c r="E717" s="416"/>
      <c r="F717" s="414">
        <f t="shared" si="380"/>
        <v>1.725</v>
      </c>
      <c r="G717" s="414">
        <f ca="1" t="shared" si="380"/>
        <v>0</v>
      </c>
      <c r="H717" s="414">
        <f ca="1" t="shared" si="380"/>
        <v>0</v>
      </c>
      <c r="I717" s="414">
        <f ca="1" t="shared" si="380"/>
        <v>1.725</v>
      </c>
      <c r="J717" s="414">
        <f t="shared" si="380"/>
        <v>1.1470196043</v>
      </c>
      <c r="K717" s="414">
        <f t="shared" si="380"/>
        <v>0.058</v>
      </c>
      <c r="L717" s="414">
        <f ca="1" t="shared" si="380"/>
        <v>0</v>
      </c>
      <c r="M717" s="414">
        <f ca="1" t="shared" si="380"/>
        <v>1.2050196043</v>
      </c>
      <c r="N717" s="414">
        <f t="shared" ref="N717:O720" si="384">F717-J717</f>
        <v>0.5779803957</v>
      </c>
      <c r="O717" s="414">
        <f ca="1" t="shared" si="384"/>
        <v>-0.058</v>
      </c>
    </row>
    <row r="718" ht="15" hidden="1" spans="2:15">
      <c r="B718" s="422"/>
      <c r="C718" s="425" t="s">
        <v>798</v>
      </c>
      <c r="D718" s="424"/>
      <c r="E718" s="416"/>
      <c r="F718" s="414">
        <f t="shared" si="380"/>
        <v>5.137</v>
      </c>
      <c r="G718" s="414">
        <f t="shared" si="380"/>
        <v>0.0152431740548698</v>
      </c>
      <c r="H718" s="414">
        <f ca="1" t="shared" si="380"/>
        <v>0</v>
      </c>
      <c r="I718" s="414">
        <f ca="1" t="shared" si="380"/>
        <v>5.15224317405487</v>
      </c>
      <c r="J718" s="414">
        <f t="shared" si="380"/>
        <v>3.256355336</v>
      </c>
      <c r="K718" s="414">
        <f t="shared" si="380"/>
        <v>0.212685942832469</v>
      </c>
      <c r="L718" s="414">
        <f ca="1" t="shared" si="380"/>
        <v>0</v>
      </c>
      <c r="M718" s="414">
        <f ca="1" t="shared" si="380"/>
        <v>3.46904127883247</v>
      </c>
      <c r="N718" s="414">
        <f t="shared" si="384"/>
        <v>1.880644664</v>
      </c>
      <c r="O718" s="414">
        <f t="shared" si="384"/>
        <v>-0.197442768777599</v>
      </c>
    </row>
    <row r="719" ht="15" hidden="1" spans="2:15">
      <c r="B719" s="422"/>
      <c r="C719" s="425" t="s">
        <v>799</v>
      </c>
      <c r="D719" s="424"/>
      <c r="E719" s="416"/>
      <c r="F719" s="414">
        <f ca="1" t="shared" si="380"/>
        <v>0</v>
      </c>
      <c r="G719" s="414">
        <f ca="1" t="shared" si="380"/>
        <v>0</v>
      </c>
      <c r="H719" s="414">
        <f ca="1" t="shared" si="380"/>
        <v>0</v>
      </c>
      <c r="I719" s="414">
        <f ca="1" t="shared" si="380"/>
        <v>0</v>
      </c>
      <c r="J719" s="414">
        <f ca="1" t="shared" si="380"/>
        <v>0</v>
      </c>
      <c r="K719" s="414">
        <f ca="1" t="shared" si="380"/>
        <v>0</v>
      </c>
      <c r="L719" s="414">
        <f ca="1" t="shared" si="380"/>
        <v>0</v>
      </c>
      <c r="M719" s="414">
        <f ca="1" t="shared" si="380"/>
        <v>0</v>
      </c>
      <c r="N719" s="414">
        <f ca="1" t="shared" si="384"/>
        <v>0</v>
      </c>
      <c r="O719" s="414">
        <f ca="1" t="shared" si="384"/>
        <v>0</v>
      </c>
    </row>
    <row r="720" ht="15" hidden="1" spans="2:15">
      <c r="B720" s="422"/>
      <c r="C720" s="425" t="s">
        <v>800</v>
      </c>
      <c r="D720" s="424"/>
      <c r="E720" s="416"/>
      <c r="F720" s="414">
        <f ca="1" t="shared" si="380"/>
        <v>0</v>
      </c>
      <c r="G720" s="414">
        <f ca="1" t="shared" si="380"/>
        <v>0</v>
      </c>
      <c r="H720" s="414">
        <f ca="1" t="shared" si="380"/>
        <v>0</v>
      </c>
      <c r="I720" s="414">
        <f ca="1" t="shared" si="380"/>
        <v>0</v>
      </c>
      <c r="J720" s="414">
        <f ca="1" t="shared" si="380"/>
        <v>0</v>
      </c>
      <c r="K720" s="414">
        <f ca="1" t="shared" si="380"/>
        <v>0</v>
      </c>
      <c r="L720" s="414">
        <f ca="1" t="shared" si="380"/>
        <v>0</v>
      </c>
      <c r="M720" s="414">
        <f ca="1" t="shared" si="380"/>
        <v>0</v>
      </c>
      <c r="N720" s="414">
        <f ca="1" t="shared" si="384"/>
        <v>0</v>
      </c>
      <c r="O720" s="414">
        <f ca="1" t="shared" si="384"/>
        <v>0</v>
      </c>
    </row>
    <row r="721" ht="15" hidden="1" spans="2:15">
      <c r="B721" s="422">
        <v>14</v>
      </c>
      <c r="C721" s="423" t="s">
        <v>801</v>
      </c>
      <c r="D721" s="424"/>
      <c r="E721" s="416"/>
      <c r="F721" s="414">
        <f t="shared" ref="F721:M727" si="385">10%*F87</f>
        <v>0</v>
      </c>
      <c r="G721" s="414">
        <f t="shared" si="385"/>
        <v>0</v>
      </c>
      <c r="H721" s="414">
        <f t="shared" si="385"/>
        <v>0</v>
      </c>
      <c r="I721" s="414">
        <f t="shared" si="385"/>
        <v>0</v>
      </c>
      <c r="J721" s="414">
        <f t="shared" si="385"/>
        <v>0</v>
      </c>
      <c r="K721" s="414">
        <f t="shared" si="385"/>
        <v>0</v>
      </c>
      <c r="L721" s="414">
        <f t="shared" si="385"/>
        <v>0</v>
      </c>
      <c r="M721" s="414">
        <f t="shared" si="385"/>
        <v>0</v>
      </c>
      <c r="N721" s="414"/>
      <c r="O721" s="414"/>
    </row>
    <row r="722" ht="15" hidden="1" spans="2:15">
      <c r="B722" s="422"/>
      <c r="C722" s="425" t="s">
        <v>802</v>
      </c>
      <c r="D722" s="424"/>
      <c r="E722" s="416"/>
      <c r="F722" s="414">
        <f ca="1" t="shared" si="385"/>
        <v>0</v>
      </c>
      <c r="G722" s="414">
        <f ca="1" t="shared" si="385"/>
        <v>0</v>
      </c>
      <c r="H722" s="414">
        <f ca="1" t="shared" si="385"/>
        <v>0</v>
      </c>
      <c r="I722" s="414">
        <f ca="1" t="shared" si="385"/>
        <v>0</v>
      </c>
      <c r="J722" s="414">
        <f ca="1" t="shared" si="385"/>
        <v>0</v>
      </c>
      <c r="K722" s="414">
        <f ca="1" t="shared" si="385"/>
        <v>0</v>
      </c>
      <c r="L722" s="414">
        <f ca="1" t="shared" si="385"/>
        <v>0</v>
      </c>
      <c r="M722" s="414">
        <f ca="1" t="shared" si="385"/>
        <v>0</v>
      </c>
      <c r="N722" s="414">
        <f ca="1" t="shared" ref="N722:O727" si="386">F722-J722</f>
        <v>0</v>
      </c>
      <c r="O722" s="414">
        <f ca="1" t="shared" si="386"/>
        <v>0</v>
      </c>
    </row>
    <row r="723" ht="15" hidden="1" spans="2:15">
      <c r="B723" s="422"/>
      <c r="C723" s="425" t="s">
        <v>803</v>
      </c>
      <c r="D723" s="424"/>
      <c r="E723" s="416"/>
      <c r="F723" s="414">
        <f ca="1" t="shared" si="385"/>
        <v>0</v>
      </c>
      <c r="G723" s="414">
        <f ca="1" t="shared" si="385"/>
        <v>0</v>
      </c>
      <c r="H723" s="414">
        <f ca="1" t="shared" si="385"/>
        <v>0</v>
      </c>
      <c r="I723" s="414">
        <f ca="1" t="shared" si="385"/>
        <v>0</v>
      </c>
      <c r="J723" s="414">
        <f ca="1" t="shared" si="385"/>
        <v>0</v>
      </c>
      <c r="K723" s="414">
        <f ca="1" t="shared" si="385"/>
        <v>0</v>
      </c>
      <c r="L723" s="414">
        <f ca="1" t="shared" si="385"/>
        <v>0</v>
      </c>
      <c r="M723" s="414">
        <f ca="1" t="shared" si="385"/>
        <v>0</v>
      </c>
      <c r="N723" s="414">
        <f ca="1" t="shared" si="386"/>
        <v>0</v>
      </c>
      <c r="O723" s="414">
        <f ca="1" t="shared" si="386"/>
        <v>0</v>
      </c>
    </row>
    <row r="724" ht="15" hidden="1" spans="2:15">
      <c r="B724" s="422"/>
      <c r="C724" s="425" t="s">
        <v>804</v>
      </c>
      <c r="D724" s="424"/>
      <c r="E724" s="416"/>
      <c r="F724" s="414">
        <f ca="1" t="shared" si="385"/>
        <v>0</v>
      </c>
      <c r="G724" s="414">
        <f ca="1" t="shared" si="385"/>
        <v>0</v>
      </c>
      <c r="H724" s="414">
        <f ca="1" t="shared" si="385"/>
        <v>0</v>
      </c>
      <c r="I724" s="414">
        <f ca="1" t="shared" si="385"/>
        <v>0</v>
      </c>
      <c r="J724" s="414">
        <f ca="1" t="shared" si="385"/>
        <v>0</v>
      </c>
      <c r="K724" s="414">
        <f ca="1" t="shared" si="385"/>
        <v>0</v>
      </c>
      <c r="L724" s="414">
        <f ca="1" t="shared" si="385"/>
        <v>0</v>
      </c>
      <c r="M724" s="414">
        <f ca="1" t="shared" si="385"/>
        <v>0</v>
      </c>
      <c r="N724" s="414">
        <f ca="1" t="shared" si="386"/>
        <v>0</v>
      </c>
      <c r="O724" s="414">
        <f ca="1" t="shared" si="386"/>
        <v>0</v>
      </c>
    </row>
    <row r="725" ht="15" hidden="1" spans="2:15">
      <c r="B725" s="422">
        <v>15</v>
      </c>
      <c r="C725" s="423" t="s">
        <v>805</v>
      </c>
      <c r="D725" s="424"/>
      <c r="E725" s="416"/>
      <c r="F725" s="414">
        <f t="shared" si="385"/>
        <v>18.556</v>
      </c>
      <c r="G725" s="414">
        <f t="shared" si="385"/>
        <v>1.19711723006004</v>
      </c>
      <c r="H725" s="414">
        <f ca="1" t="shared" si="385"/>
        <v>0</v>
      </c>
      <c r="I725" s="414">
        <f ca="1" t="shared" si="385"/>
        <v>19.75311723006</v>
      </c>
      <c r="J725" s="414">
        <f t="shared" si="385"/>
        <v>14.5428216707</v>
      </c>
      <c r="K725" s="414">
        <f t="shared" si="385"/>
        <v>1.3617837922545</v>
      </c>
      <c r="L725" s="414">
        <f ca="1" t="shared" si="385"/>
        <v>0</v>
      </c>
      <c r="M725" s="414">
        <f ca="1" t="shared" si="385"/>
        <v>15.9046054629545</v>
      </c>
      <c r="N725" s="414">
        <f t="shared" si="386"/>
        <v>4.0131783293</v>
      </c>
      <c r="O725" s="414">
        <f t="shared" si="386"/>
        <v>-0.16466656219446</v>
      </c>
    </row>
    <row r="726" ht="15" hidden="1" spans="2:15">
      <c r="B726" s="422">
        <v>16</v>
      </c>
      <c r="C726" s="423" t="s">
        <v>806</v>
      </c>
      <c r="D726" s="412"/>
      <c r="E726" s="416"/>
      <c r="F726" s="414">
        <f t="shared" si="385"/>
        <v>7.08</v>
      </c>
      <c r="G726" s="414">
        <f ca="1" t="shared" si="385"/>
        <v>0</v>
      </c>
      <c r="H726" s="414">
        <f ca="1" t="shared" si="385"/>
        <v>0</v>
      </c>
      <c r="I726" s="414">
        <f ca="1" t="shared" si="385"/>
        <v>7.08</v>
      </c>
      <c r="J726" s="414">
        <f t="shared" si="385"/>
        <v>4.9245021156</v>
      </c>
      <c r="K726" s="414">
        <f t="shared" si="385"/>
        <v>0.466</v>
      </c>
      <c r="L726" s="414">
        <f ca="1" t="shared" si="385"/>
        <v>0</v>
      </c>
      <c r="M726" s="414">
        <f ca="1" t="shared" si="385"/>
        <v>5.3905021156</v>
      </c>
      <c r="N726" s="414">
        <f t="shared" si="386"/>
        <v>2.1554978844</v>
      </c>
      <c r="O726" s="414">
        <f ca="1" t="shared" si="386"/>
        <v>-0.466</v>
      </c>
    </row>
    <row r="727" ht="15" hidden="1" spans="2:15">
      <c r="B727" s="422">
        <v>17</v>
      </c>
      <c r="C727" s="423" t="s">
        <v>807</v>
      </c>
      <c r="D727" s="412"/>
      <c r="E727" s="426"/>
      <c r="F727" s="414">
        <f ca="1" t="shared" si="385"/>
        <v>0</v>
      </c>
      <c r="G727" s="414">
        <f ca="1" t="shared" si="385"/>
        <v>0</v>
      </c>
      <c r="H727" s="414">
        <f ca="1" t="shared" si="385"/>
        <v>0</v>
      </c>
      <c r="I727" s="414">
        <f ca="1" t="shared" si="385"/>
        <v>0</v>
      </c>
      <c r="J727" s="414">
        <f ca="1" t="shared" si="385"/>
        <v>0</v>
      </c>
      <c r="K727" s="414">
        <f ca="1" t="shared" si="385"/>
        <v>0</v>
      </c>
      <c r="L727" s="414">
        <f ca="1" t="shared" si="385"/>
        <v>0</v>
      </c>
      <c r="M727" s="414">
        <f ca="1" t="shared" si="385"/>
        <v>0</v>
      </c>
      <c r="N727" s="414">
        <f ca="1" t="shared" si="386"/>
        <v>0</v>
      </c>
      <c r="O727" s="414">
        <f ca="1" t="shared" si="386"/>
        <v>0</v>
      </c>
    </row>
    <row r="728" ht="15.75" hidden="1" spans="2:15">
      <c r="B728" s="427"/>
      <c r="C728" s="428" t="s">
        <v>97</v>
      </c>
      <c r="D728" s="428"/>
      <c r="E728" s="429"/>
      <c r="F728" s="430">
        <f ca="1">SUM(F688:F727)</f>
        <v>2043.289</v>
      </c>
      <c r="G728" s="430">
        <f ca="1" t="shared" ref="G728:O728" si="387">SUM(G688:G727)</f>
        <v>252.400931089087</v>
      </c>
      <c r="H728" s="430">
        <f ca="1" t="shared" si="387"/>
        <v>0</v>
      </c>
      <c r="I728" s="430">
        <f ca="1" t="shared" si="387"/>
        <v>2295.68993108909</v>
      </c>
      <c r="J728" s="430">
        <f ca="1" t="shared" si="387"/>
        <v>1042.3681360663</v>
      </c>
      <c r="K728" s="430">
        <f ca="1" t="shared" si="387"/>
        <v>87.3796219039223</v>
      </c>
      <c r="L728" s="430">
        <f ca="1" t="shared" si="387"/>
        <v>0</v>
      </c>
      <c r="M728" s="430">
        <f ca="1" t="shared" si="387"/>
        <v>1129.74775797022</v>
      </c>
      <c r="N728" s="430">
        <f ca="1" t="shared" si="387"/>
        <v>1000.9208639337</v>
      </c>
      <c r="O728" s="430">
        <f ca="1" t="shared" si="387"/>
        <v>1089.62436029607</v>
      </c>
    </row>
    <row r="729" ht="15.75" spans="15:15">
      <c r="O729" s="117" t="s">
        <v>851</v>
      </c>
    </row>
    <row r="730" ht="15" spans="2:15">
      <c r="B730" s="431" t="s">
        <v>653</v>
      </c>
      <c r="C730" s="432"/>
      <c r="D730" s="432"/>
      <c r="E730" s="432"/>
      <c r="F730" s="432"/>
      <c r="G730" s="432"/>
      <c r="H730" s="432"/>
      <c r="I730" s="432"/>
      <c r="J730" s="432"/>
      <c r="K730" s="432"/>
      <c r="L730" s="432"/>
      <c r="M730" s="432"/>
      <c r="N730" s="432"/>
      <c r="O730" s="442"/>
    </row>
    <row r="731" ht="15" spans="2:15">
      <c r="B731" s="406" t="s">
        <v>564</v>
      </c>
      <c r="C731" s="980" t="s">
        <v>671</v>
      </c>
      <c r="D731" s="408" t="s">
        <v>672</v>
      </c>
      <c r="E731" s="408" t="s">
        <v>673</v>
      </c>
      <c r="F731" s="408" t="s">
        <v>674</v>
      </c>
      <c r="G731" s="408"/>
      <c r="H731" s="408"/>
      <c r="I731" s="408"/>
      <c r="J731" s="408" t="s">
        <v>675</v>
      </c>
      <c r="K731" s="408"/>
      <c r="L731" s="408"/>
      <c r="M731" s="408"/>
      <c r="N731" s="408" t="s">
        <v>676</v>
      </c>
      <c r="O731" s="440"/>
    </row>
    <row r="732" ht="60.75" spans="2:15">
      <c r="B732" s="433"/>
      <c r="C732" s="434"/>
      <c r="D732" s="435"/>
      <c r="E732" s="435"/>
      <c r="F732" s="435" t="s">
        <v>677</v>
      </c>
      <c r="G732" s="435" t="s">
        <v>678</v>
      </c>
      <c r="H732" s="435" t="s">
        <v>679</v>
      </c>
      <c r="I732" s="435" t="s">
        <v>680</v>
      </c>
      <c r="J732" s="435" t="s">
        <v>681</v>
      </c>
      <c r="K732" s="435" t="s">
        <v>678</v>
      </c>
      <c r="L732" s="435" t="s">
        <v>682</v>
      </c>
      <c r="M732" s="435" t="s">
        <v>683</v>
      </c>
      <c r="N732" s="435" t="s">
        <v>677</v>
      </c>
      <c r="O732" s="443" t="s">
        <v>680</v>
      </c>
    </row>
    <row r="733" ht="15" spans="2:15">
      <c r="B733" s="410">
        <v>1</v>
      </c>
      <c r="C733" s="411" t="s">
        <v>684</v>
      </c>
      <c r="D733" s="405"/>
      <c r="E733" s="437"/>
      <c r="F733" s="414">
        <f ca="1" t="shared" ref="F733:M748" si="388">10%*F99</f>
        <v>6.22252474407827</v>
      </c>
      <c r="G733" s="414">
        <f t="shared" si="388"/>
        <v>5.11092651850843</v>
      </c>
      <c r="H733" s="414">
        <f ca="1" t="shared" si="388"/>
        <v>0</v>
      </c>
      <c r="I733" s="414">
        <f ca="1" t="shared" si="388"/>
        <v>11.3334512625867</v>
      </c>
      <c r="J733" s="414">
        <f ca="1" t="shared" si="388"/>
        <v>0.000489906200000156</v>
      </c>
      <c r="K733" s="414">
        <f t="shared" si="388"/>
        <v>0</v>
      </c>
      <c r="L733" s="414">
        <f ca="1" t="shared" si="388"/>
        <v>0</v>
      </c>
      <c r="M733" s="414">
        <f ca="1" t="shared" si="388"/>
        <v>0.000489906200000156</v>
      </c>
      <c r="N733" s="414">
        <f ca="1">F733-J733</f>
        <v>6.22203483787827</v>
      </c>
      <c r="O733" s="414">
        <f ca="1">I733-M733</f>
        <v>11.3329613563867</v>
      </c>
    </row>
    <row r="734" ht="15" spans="2:15">
      <c r="B734" s="410">
        <v>2</v>
      </c>
      <c r="C734" s="411" t="s">
        <v>770</v>
      </c>
      <c r="D734" s="476"/>
      <c r="E734" s="477"/>
      <c r="F734" s="414">
        <f ca="1" t="shared" si="388"/>
        <v>0</v>
      </c>
      <c r="G734" s="414">
        <f ca="1" t="shared" si="388"/>
        <v>0</v>
      </c>
      <c r="H734" s="414">
        <f ca="1" t="shared" si="388"/>
        <v>0</v>
      </c>
      <c r="I734" s="414">
        <f ca="1" t="shared" si="388"/>
        <v>0</v>
      </c>
      <c r="J734" s="414">
        <f ca="1" t="shared" si="388"/>
        <v>0</v>
      </c>
      <c r="K734" s="414">
        <f ca="1" t="shared" si="388"/>
        <v>0</v>
      </c>
      <c r="L734" s="414">
        <f ca="1" t="shared" si="388"/>
        <v>0</v>
      </c>
      <c r="M734" s="414">
        <f ca="1" t="shared" si="388"/>
        <v>0</v>
      </c>
      <c r="N734" s="414">
        <f ca="1">F734-J734</f>
        <v>0</v>
      </c>
      <c r="O734" s="414">
        <f ca="1">I734-M734</f>
        <v>0</v>
      </c>
    </row>
    <row r="735" ht="15" spans="2:15">
      <c r="B735" s="410">
        <v>3</v>
      </c>
      <c r="C735" s="415" t="s">
        <v>771</v>
      </c>
      <c r="D735" s="412"/>
      <c r="E735" s="416"/>
      <c r="F735" s="414">
        <f t="shared" si="388"/>
        <v>0</v>
      </c>
      <c r="G735" s="414">
        <f t="shared" si="388"/>
        <v>0</v>
      </c>
      <c r="H735" s="414">
        <f t="shared" si="388"/>
        <v>0</v>
      </c>
      <c r="I735" s="414">
        <f t="shared" si="388"/>
        <v>0</v>
      </c>
      <c r="J735" s="414">
        <f t="shared" si="388"/>
        <v>0</v>
      </c>
      <c r="K735" s="414">
        <f t="shared" si="388"/>
        <v>0</v>
      </c>
      <c r="L735" s="414">
        <f t="shared" si="388"/>
        <v>0</v>
      </c>
      <c r="M735" s="414">
        <f t="shared" si="388"/>
        <v>0</v>
      </c>
      <c r="N735" s="414"/>
      <c r="O735" s="414"/>
    </row>
    <row r="736" ht="15" spans="2:15">
      <c r="B736" s="410"/>
      <c r="C736" s="417" t="s">
        <v>772</v>
      </c>
      <c r="D736" s="412"/>
      <c r="E736" s="416"/>
      <c r="F736" s="414">
        <f ca="1" t="shared" si="388"/>
        <v>41.9611228594579</v>
      </c>
      <c r="G736" s="414">
        <f t="shared" si="388"/>
        <v>4.32938625856093</v>
      </c>
      <c r="H736" s="414">
        <f ca="1" t="shared" si="388"/>
        <v>0</v>
      </c>
      <c r="I736" s="414">
        <f ca="1" t="shared" si="388"/>
        <v>46.2905091180188</v>
      </c>
      <c r="J736" s="414">
        <f ca="1" t="shared" si="388"/>
        <v>13.9393064411459</v>
      </c>
      <c r="K736" s="414">
        <f t="shared" si="388"/>
        <v>1.93174262171162</v>
      </c>
      <c r="L736" s="414">
        <f ca="1" t="shared" si="388"/>
        <v>0</v>
      </c>
      <c r="M736" s="414">
        <f ca="1" t="shared" si="388"/>
        <v>15.8710490628576</v>
      </c>
      <c r="N736" s="414">
        <f ca="1" t="shared" ref="N736:N739" si="389">F736-J736</f>
        <v>28.021816418312</v>
      </c>
      <c r="O736" s="414">
        <f ca="1" t="shared" ref="O736:O739" si="390">I736-M736</f>
        <v>30.4194600551613</v>
      </c>
    </row>
    <row r="737" ht="28.5" spans="2:15">
      <c r="B737" s="410"/>
      <c r="C737" s="417" t="s">
        <v>773</v>
      </c>
      <c r="D737" s="412"/>
      <c r="E737" s="416"/>
      <c r="F737" s="414">
        <f ca="1" t="shared" si="388"/>
        <v>0</v>
      </c>
      <c r="G737" s="414">
        <f ca="1" t="shared" si="388"/>
        <v>0</v>
      </c>
      <c r="H737" s="414">
        <f ca="1" t="shared" si="388"/>
        <v>0</v>
      </c>
      <c r="I737" s="414">
        <f ca="1" t="shared" si="388"/>
        <v>0</v>
      </c>
      <c r="J737" s="414">
        <f ca="1" t="shared" si="388"/>
        <v>0</v>
      </c>
      <c r="K737" s="414">
        <f ca="1" t="shared" si="388"/>
        <v>0</v>
      </c>
      <c r="L737" s="414">
        <f ca="1" t="shared" si="388"/>
        <v>0</v>
      </c>
      <c r="M737" s="414">
        <f ca="1" t="shared" si="388"/>
        <v>0</v>
      </c>
      <c r="N737" s="414">
        <f ca="1" t="shared" si="389"/>
        <v>0</v>
      </c>
      <c r="O737" s="414">
        <f ca="1" t="shared" si="390"/>
        <v>0</v>
      </c>
    </row>
    <row r="738" ht="15" spans="2:15">
      <c r="B738" s="410"/>
      <c r="C738" s="417" t="s">
        <v>774</v>
      </c>
      <c r="D738" s="412"/>
      <c r="E738" s="416"/>
      <c r="F738" s="414">
        <f ca="1" t="shared" si="388"/>
        <v>0</v>
      </c>
      <c r="G738" s="414">
        <f ca="1" t="shared" si="388"/>
        <v>0</v>
      </c>
      <c r="H738" s="414">
        <f ca="1" t="shared" si="388"/>
        <v>0</v>
      </c>
      <c r="I738" s="414">
        <f ca="1" t="shared" si="388"/>
        <v>0</v>
      </c>
      <c r="J738" s="414">
        <f ca="1" t="shared" si="388"/>
        <v>0</v>
      </c>
      <c r="K738" s="414">
        <f ca="1" t="shared" si="388"/>
        <v>0</v>
      </c>
      <c r="L738" s="414">
        <f ca="1" t="shared" si="388"/>
        <v>0</v>
      </c>
      <c r="M738" s="414">
        <f ca="1" t="shared" si="388"/>
        <v>0</v>
      </c>
      <c r="N738" s="414">
        <f ca="1" t="shared" si="389"/>
        <v>0</v>
      </c>
      <c r="O738" s="414">
        <f ca="1" t="shared" si="390"/>
        <v>0</v>
      </c>
    </row>
    <row r="739" ht="15" spans="2:15">
      <c r="B739" s="410"/>
      <c r="C739" s="417" t="s">
        <v>775</v>
      </c>
      <c r="D739" s="412"/>
      <c r="E739" s="416"/>
      <c r="F739" s="414">
        <f ca="1" t="shared" si="388"/>
        <v>22.108</v>
      </c>
      <c r="G739" s="414">
        <f ca="1" t="shared" si="388"/>
        <v>0</v>
      </c>
      <c r="H739" s="414">
        <f ca="1" t="shared" si="388"/>
        <v>0</v>
      </c>
      <c r="I739" s="414">
        <f ca="1" t="shared" si="388"/>
        <v>22.108</v>
      </c>
      <c r="J739" s="414">
        <f ca="1" t="shared" si="388"/>
        <v>4.4413445081</v>
      </c>
      <c r="K739" s="414">
        <f ca="1" t="shared" si="388"/>
        <v>0</v>
      </c>
      <c r="L739" s="414">
        <f ca="1" t="shared" si="388"/>
        <v>0</v>
      </c>
      <c r="M739" s="414">
        <f ca="1" t="shared" si="388"/>
        <v>4.4413445081</v>
      </c>
      <c r="N739" s="414">
        <f ca="1" t="shared" si="389"/>
        <v>17.6666554919</v>
      </c>
      <c r="O739" s="414">
        <f ca="1" t="shared" si="390"/>
        <v>17.6666554919</v>
      </c>
    </row>
    <row r="740" ht="15" spans="2:15">
      <c r="B740" s="410">
        <v>4</v>
      </c>
      <c r="C740" s="411" t="s">
        <v>776</v>
      </c>
      <c r="D740" s="412"/>
      <c r="E740" s="416"/>
      <c r="F740" s="414">
        <f t="shared" si="388"/>
        <v>0</v>
      </c>
      <c r="G740" s="414">
        <f t="shared" si="388"/>
        <v>0</v>
      </c>
      <c r="H740" s="414">
        <f t="shared" si="388"/>
        <v>0</v>
      </c>
      <c r="I740" s="414">
        <f t="shared" si="388"/>
        <v>0</v>
      </c>
      <c r="J740" s="414">
        <f t="shared" si="388"/>
        <v>0</v>
      </c>
      <c r="K740" s="414">
        <f t="shared" si="388"/>
        <v>0</v>
      </c>
      <c r="L740" s="414">
        <f t="shared" si="388"/>
        <v>0</v>
      </c>
      <c r="M740" s="414">
        <f t="shared" si="388"/>
        <v>0</v>
      </c>
      <c r="N740" s="414"/>
      <c r="O740" s="414"/>
    </row>
    <row r="741" ht="15" spans="2:15">
      <c r="B741" s="410"/>
      <c r="C741" s="418" t="s">
        <v>777</v>
      </c>
      <c r="D741" s="412"/>
      <c r="E741" s="416"/>
      <c r="F741" s="414">
        <f ca="1" t="shared" si="388"/>
        <v>1006.47876508819</v>
      </c>
      <c r="G741" s="414">
        <f t="shared" si="388"/>
        <v>102.810140113349</v>
      </c>
      <c r="H741" s="414">
        <f ca="1" t="shared" si="388"/>
        <v>0</v>
      </c>
      <c r="I741" s="414">
        <f ca="1" t="shared" si="388"/>
        <v>1109.28890520154</v>
      </c>
      <c r="J741" s="414">
        <f ca="1" t="shared" si="388"/>
        <v>512.399480611754</v>
      </c>
      <c r="K741" s="414">
        <f t="shared" si="388"/>
        <v>39.4639373221001</v>
      </c>
      <c r="L741" s="414">
        <f ca="1" t="shared" si="388"/>
        <v>0</v>
      </c>
      <c r="M741" s="414">
        <f ca="1" t="shared" si="388"/>
        <v>551.863417933854</v>
      </c>
      <c r="N741" s="414">
        <f ca="1" t="shared" ref="N741:N744" si="391">F741-J741</f>
        <v>494.079284476434</v>
      </c>
      <c r="O741" s="414">
        <f ca="1" t="shared" ref="O741:O744" si="392">I741-M741</f>
        <v>557.425487267683</v>
      </c>
    </row>
    <row r="742" ht="15" spans="2:15">
      <c r="B742" s="410"/>
      <c r="C742" s="411" t="s">
        <v>778</v>
      </c>
      <c r="D742" s="412"/>
      <c r="E742" s="416"/>
      <c r="F742" s="414">
        <f t="shared" si="388"/>
        <v>0</v>
      </c>
      <c r="G742" s="414">
        <f t="shared" si="388"/>
        <v>0</v>
      </c>
      <c r="H742" s="414">
        <f t="shared" si="388"/>
        <v>0</v>
      </c>
      <c r="I742" s="414">
        <f t="shared" si="388"/>
        <v>0</v>
      </c>
      <c r="J742" s="414">
        <f t="shared" si="388"/>
        <v>0</v>
      </c>
      <c r="K742" s="414">
        <f t="shared" si="388"/>
        <v>0</v>
      </c>
      <c r="L742" s="414">
        <f t="shared" si="388"/>
        <v>0</v>
      </c>
      <c r="M742" s="414">
        <f t="shared" si="388"/>
        <v>0</v>
      </c>
      <c r="N742" s="414"/>
      <c r="O742" s="414"/>
    </row>
    <row r="743" ht="15" spans="2:15">
      <c r="B743" s="410"/>
      <c r="C743" s="418" t="s">
        <v>779</v>
      </c>
      <c r="D743" s="412"/>
      <c r="E743" s="416"/>
      <c r="F743" s="414">
        <f ca="1" t="shared" si="388"/>
        <v>0</v>
      </c>
      <c r="G743" s="414">
        <f ca="1" t="shared" si="388"/>
        <v>0</v>
      </c>
      <c r="H743" s="414">
        <f ca="1" t="shared" si="388"/>
        <v>0</v>
      </c>
      <c r="I743" s="414">
        <f ca="1" t="shared" si="388"/>
        <v>0</v>
      </c>
      <c r="J743" s="414">
        <f ca="1" t="shared" si="388"/>
        <v>0</v>
      </c>
      <c r="K743" s="414">
        <f ca="1" t="shared" si="388"/>
        <v>0</v>
      </c>
      <c r="L743" s="414">
        <f ca="1" t="shared" si="388"/>
        <v>0</v>
      </c>
      <c r="M743" s="414">
        <f ca="1" t="shared" si="388"/>
        <v>0</v>
      </c>
      <c r="N743" s="414">
        <f ca="1" t="shared" si="391"/>
        <v>0</v>
      </c>
      <c r="O743" s="414">
        <f ca="1" t="shared" si="392"/>
        <v>0</v>
      </c>
    </row>
    <row r="744" ht="15" spans="2:15">
      <c r="B744" s="410"/>
      <c r="C744" s="418" t="s">
        <v>780</v>
      </c>
      <c r="D744" s="412"/>
      <c r="E744" s="416"/>
      <c r="F744" s="414">
        <f ca="1" t="shared" si="388"/>
        <v>0</v>
      </c>
      <c r="G744" s="414">
        <f ca="1" t="shared" si="388"/>
        <v>0</v>
      </c>
      <c r="H744" s="414">
        <f ca="1" t="shared" si="388"/>
        <v>0</v>
      </c>
      <c r="I744" s="414">
        <f ca="1" t="shared" si="388"/>
        <v>0</v>
      </c>
      <c r="J744" s="414">
        <f ca="1" t="shared" si="388"/>
        <v>0</v>
      </c>
      <c r="K744" s="414">
        <f ca="1" t="shared" si="388"/>
        <v>0</v>
      </c>
      <c r="L744" s="414">
        <f ca="1" t="shared" si="388"/>
        <v>0</v>
      </c>
      <c r="M744" s="414">
        <f ca="1" t="shared" si="388"/>
        <v>0</v>
      </c>
      <c r="N744" s="414">
        <f ca="1" t="shared" si="391"/>
        <v>0</v>
      </c>
      <c r="O744" s="414">
        <f ca="1" t="shared" si="392"/>
        <v>0</v>
      </c>
    </row>
    <row r="745" ht="15" spans="2:15">
      <c r="B745" s="410">
        <v>5</v>
      </c>
      <c r="C745" s="411" t="s">
        <v>781</v>
      </c>
      <c r="D745" s="412"/>
      <c r="E745" s="416"/>
      <c r="F745" s="414">
        <f t="shared" si="388"/>
        <v>0</v>
      </c>
      <c r="G745" s="414">
        <f t="shared" si="388"/>
        <v>0</v>
      </c>
      <c r="H745" s="414">
        <f t="shared" si="388"/>
        <v>0</v>
      </c>
      <c r="I745" s="414">
        <f t="shared" si="388"/>
        <v>0</v>
      </c>
      <c r="J745" s="414">
        <f t="shared" si="388"/>
        <v>0</v>
      </c>
      <c r="K745" s="414">
        <f t="shared" si="388"/>
        <v>0</v>
      </c>
      <c r="L745" s="414">
        <f t="shared" si="388"/>
        <v>0</v>
      </c>
      <c r="M745" s="414">
        <f t="shared" si="388"/>
        <v>0</v>
      </c>
      <c r="N745" s="414"/>
      <c r="O745" s="414"/>
    </row>
    <row r="746" ht="15" spans="2:15">
      <c r="B746" s="410"/>
      <c r="C746" s="418" t="s">
        <v>782</v>
      </c>
      <c r="D746" s="412"/>
      <c r="E746" s="416"/>
      <c r="F746" s="414">
        <f ca="1" t="shared" si="388"/>
        <v>0</v>
      </c>
      <c r="G746" s="414">
        <f ca="1" t="shared" si="388"/>
        <v>0</v>
      </c>
      <c r="H746" s="414">
        <f ca="1" t="shared" si="388"/>
        <v>0</v>
      </c>
      <c r="I746" s="414">
        <f ca="1" t="shared" si="388"/>
        <v>0</v>
      </c>
      <c r="J746" s="414">
        <f ca="1" t="shared" si="388"/>
        <v>0</v>
      </c>
      <c r="K746" s="414">
        <f ca="1" t="shared" si="388"/>
        <v>0</v>
      </c>
      <c r="L746" s="414">
        <f ca="1" t="shared" si="388"/>
        <v>0</v>
      </c>
      <c r="M746" s="414">
        <f ca="1" t="shared" si="388"/>
        <v>0</v>
      </c>
      <c r="N746" s="414">
        <f ca="1" t="shared" ref="N746:N751" si="393">F746-J746</f>
        <v>0</v>
      </c>
      <c r="O746" s="414">
        <f ca="1" t="shared" ref="O746:O751" si="394">I746-M746</f>
        <v>0</v>
      </c>
    </row>
    <row r="747" ht="15" spans="2:15">
      <c r="B747" s="410"/>
      <c r="C747" s="418" t="s">
        <v>783</v>
      </c>
      <c r="D747" s="412"/>
      <c r="E747" s="416"/>
      <c r="F747" s="414">
        <f ca="1" t="shared" si="388"/>
        <v>0</v>
      </c>
      <c r="G747" s="414">
        <f ca="1" t="shared" si="388"/>
        <v>0</v>
      </c>
      <c r="H747" s="414">
        <f ca="1" t="shared" si="388"/>
        <v>0</v>
      </c>
      <c r="I747" s="414">
        <f ca="1" t="shared" si="388"/>
        <v>0</v>
      </c>
      <c r="J747" s="414">
        <f ca="1" t="shared" si="388"/>
        <v>0</v>
      </c>
      <c r="K747" s="414">
        <f ca="1" t="shared" si="388"/>
        <v>0</v>
      </c>
      <c r="L747" s="414">
        <f ca="1" t="shared" si="388"/>
        <v>0</v>
      </c>
      <c r="M747" s="414">
        <f ca="1" t="shared" si="388"/>
        <v>0</v>
      </c>
      <c r="N747" s="414">
        <f ca="1" t="shared" si="393"/>
        <v>0</v>
      </c>
      <c r="O747" s="414">
        <f ca="1" t="shared" si="394"/>
        <v>0</v>
      </c>
    </row>
    <row r="748" ht="15" spans="2:15">
      <c r="B748" s="410"/>
      <c r="C748" s="418" t="s">
        <v>784</v>
      </c>
      <c r="D748" s="412"/>
      <c r="E748" s="416"/>
      <c r="F748" s="414">
        <f ca="1" t="shared" si="388"/>
        <v>0</v>
      </c>
      <c r="G748" s="414">
        <f ca="1" t="shared" si="388"/>
        <v>0</v>
      </c>
      <c r="H748" s="414">
        <f ca="1" t="shared" si="388"/>
        <v>0</v>
      </c>
      <c r="I748" s="414">
        <f ca="1" t="shared" si="388"/>
        <v>0</v>
      </c>
      <c r="J748" s="414">
        <f ca="1" t="shared" si="388"/>
        <v>0</v>
      </c>
      <c r="K748" s="414">
        <f ca="1" t="shared" si="388"/>
        <v>0</v>
      </c>
      <c r="L748" s="414">
        <f ca="1" t="shared" si="388"/>
        <v>0</v>
      </c>
      <c r="M748" s="414">
        <f ca="1" t="shared" si="388"/>
        <v>0</v>
      </c>
      <c r="N748" s="414">
        <f ca="1" t="shared" si="393"/>
        <v>0</v>
      </c>
      <c r="O748" s="414">
        <f ca="1" t="shared" si="394"/>
        <v>0</v>
      </c>
    </row>
    <row r="749" ht="15" spans="2:15">
      <c r="B749" s="410"/>
      <c r="C749" s="418" t="s">
        <v>785</v>
      </c>
      <c r="D749" s="412"/>
      <c r="E749" s="416"/>
      <c r="F749" s="414">
        <f ca="1" t="shared" ref="F749:M764" si="395">10%*F115</f>
        <v>0</v>
      </c>
      <c r="G749" s="414">
        <f ca="1" t="shared" si="395"/>
        <v>0</v>
      </c>
      <c r="H749" s="414">
        <f ca="1" t="shared" si="395"/>
        <v>0</v>
      </c>
      <c r="I749" s="414">
        <f ca="1" t="shared" si="395"/>
        <v>0</v>
      </c>
      <c r="J749" s="414">
        <f ca="1" t="shared" si="395"/>
        <v>0</v>
      </c>
      <c r="K749" s="414">
        <f ca="1" t="shared" si="395"/>
        <v>0</v>
      </c>
      <c r="L749" s="414">
        <f ca="1" t="shared" si="395"/>
        <v>0</v>
      </c>
      <c r="M749" s="414">
        <f ca="1" t="shared" si="395"/>
        <v>0</v>
      </c>
      <c r="N749" s="414">
        <f ca="1" t="shared" si="393"/>
        <v>0</v>
      </c>
      <c r="O749" s="414">
        <f ca="1" t="shared" si="394"/>
        <v>0</v>
      </c>
    </row>
    <row r="750" ht="15" spans="2:15">
      <c r="B750" s="410">
        <v>6</v>
      </c>
      <c r="C750" s="411" t="s">
        <v>786</v>
      </c>
      <c r="D750" s="412"/>
      <c r="E750" s="416"/>
      <c r="F750" s="414">
        <f ca="1" t="shared" si="395"/>
        <v>0</v>
      </c>
      <c r="G750" s="414">
        <f ca="1" t="shared" si="395"/>
        <v>0</v>
      </c>
      <c r="H750" s="414">
        <f ca="1" t="shared" si="395"/>
        <v>0</v>
      </c>
      <c r="I750" s="414">
        <f ca="1" t="shared" si="395"/>
        <v>0</v>
      </c>
      <c r="J750" s="414">
        <f ca="1" t="shared" si="395"/>
        <v>0</v>
      </c>
      <c r="K750" s="414">
        <f ca="1" t="shared" si="395"/>
        <v>0</v>
      </c>
      <c r="L750" s="414">
        <f ca="1" t="shared" si="395"/>
        <v>0</v>
      </c>
      <c r="M750" s="414">
        <f ca="1" t="shared" si="395"/>
        <v>0</v>
      </c>
      <c r="N750" s="414">
        <f ca="1" t="shared" si="393"/>
        <v>0</v>
      </c>
      <c r="O750" s="414">
        <f ca="1" t="shared" si="394"/>
        <v>0</v>
      </c>
    </row>
    <row r="751" ht="15" spans="2:15">
      <c r="B751" s="410">
        <v>7</v>
      </c>
      <c r="C751" s="411" t="s">
        <v>787</v>
      </c>
      <c r="D751" s="412"/>
      <c r="E751" s="416"/>
      <c r="F751" s="414">
        <f ca="1" t="shared" si="395"/>
        <v>0</v>
      </c>
      <c r="G751" s="414">
        <f ca="1" t="shared" si="395"/>
        <v>0</v>
      </c>
      <c r="H751" s="414">
        <f ca="1" t="shared" si="395"/>
        <v>0</v>
      </c>
      <c r="I751" s="414">
        <f ca="1" t="shared" si="395"/>
        <v>0</v>
      </c>
      <c r="J751" s="414">
        <f ca="1" t="shared" si="395"/>
        <v>0</v>
      </c>
      <c r="K751" s="414">
        <f ca="1" t="shared" si="395"/>
        <v>0</v>
      </c>
      <c r="L751" s="414">
        <f ca="1" t="shared" si="395"/>
        <v>0</v>
      </c>
      <c r="M751" s="414">
        <f ca="1" t="shared" si="395"/>
        <v>0</v>
      </c>
      <c r="N751" s="414">
        <f ca="1" t="shared" si="393"/>
        <v>0</v>
      </c>
      <c r="O751" s="414">
        <f ca="1" t="shared" si="394"/>
        <v>0</v>
      </c>
    </row>
    <row r="752" ht="15" spans="2:15">
      <c r="B752" s="410">
        <v>8</v>
      </c>
      <c r="C752" s="411" t="s">
        <v>788</v>
      </c>
      <c r="D752" s="412"/>
      <c r="E752" s="416"/>
      <c r="F752" s="414">
        <f t="shared" si="395"/>
        <v>0</v>
      </c>
      <c r="G752" s="414">
        <f t="shared" si="395"/>
        <v>0</v>
      </c>
      <c r="H752" s="414">
        <f t="shared" si="395"/>
        <v>0</v>
      </c>
      <c r="I752" s="414">
        <f t="shared" si="395"/>
        <v>0</v>
      </c>
      <c r="J752" s="414">
        <f t="shared" si="395"/>
        <v>0</v>
      </c>
      <c r="K752" s="414">
        <f t="shared" si="395"/>
        <v>0</v>
      </c>
      <c r="L752" s="414">
        <f t="shared" si="395"/>
        <v>0</v>
      </c>
      <c r="M752" s="414">
        <f t="shared" si="395"/>
        <v>0</v>
      </c>
      <c r="N752" s="414"/>
      <c r="O752" s="414"/>
    </row>
    <row r="753" ht="15" spans="2:15">
      <c r="B753" s="410"/>
      <c r="C753" s="418" t="s">
        <v>789</v>
      </c>
      <c r="D753" s="412"/>
      <c r="E753" s="416"/>
      <c r="F753" s="414">
        <f ca="1" t="shared" si="395"/>
        <v>993.183182488406</v>
      </c>
      <c r="G753" s="414">
        <f t="shared" si="395"/>
        <v>119.390332090862</v>
      </c>
      <c r="H753" s="414">
        <f ca="1" t="shared" si="395"/>
        <v>0</v>
      </c>
      <c r="I753" s="414">
        <f ca="1" t="shared" si="395"/>
        <v>1112.57351457927</v>
      </c>
      <c r="J753" s="414">
        <f ca="1" t="shared" si="395"/>
        <v>451.184380528252</v>
      </c>
      <c r="K753" s="414">
        <f t="shared" si="395"/>
        <v>38.2435704297448</v>
      </c>
      <c r="L753" s="414">
        <f ca="1" t="shared" si="395"/>
        <v>0</v>
      </c>
      <c r="M753" s="414">
        <f ca="1" t="shared" si="395"/>
        <v>489.427950957997</v>
      </c>
      <c r="N753" s="414">
        <f ca="1" t="shared" ref="N753:O757" si="396">F753-J753</f>
        <v>541.998801960154</v>
      </c>
      <c r="O753" s="414">
        <f ca="1" t="shared" ref="O753:O755" si="397">I753-M753</f>
        <v>623.145563621271</v>
      </c>
    </row>
    <row r="754" ht="15" spans="2:15">
      <c r="B754" s="410"/>
      <c r="C754" s="418" t="s">
        <v>808</v>
      </c>
      <c r="D754" s="412"/>
      <c r="E754" s="416"/>
      <c r="F754" s="414">
        <f ca="1" t="shared" si="395"/>
        <v>0</v>
      </c>
      <c r="G754" s="414">
        <f ca="1" t="shared" si="395"/>
        <v>0</v>
      </c>
      <c r="H754" s="414">
        <f ca="1" t="shared" si="395"/>
        <v>0</v>
      </c>
      <c r="I754" s="414">
        <f ca="1" t="shared" si="395"/>
        <v>0</v>
      </c>
      <c r="J754" s="414">
        <f ca="1" t="shared" si="395"/>
        <v>0</v>
      </c>
      <c r="K754" s="414">
        <f ca="1" t="shared" si="395"/>
        <v>0</v>
      </c>
      <c r="L754" s="414">
        <f ca="1" t="shared" si="395"/>
        <v>0</v>
      </c>
      <c r="M754" s="414">
        <f ca="1" t="shared" si="395"/>
        <v>0</v>
      </c>
      <c r="N754" s="414">
        <f ca="1" t="shared" si="396"/>
        <v>0</v>
      </c>
      <c r="O754" s="414">
        <f ca="1" t="shared" si="397"/>
        <v>0</v>
      </c>
    </row>
    <row r="755" ht="30" spans="2:15">
      <c r="B755" s="420">
        <v>9</v>
      </c>
      <c r="C755" s="421" t="s">
        <v>791</v>
      </c>
      <c r="D755" s="412"/>
      <c r="E755" s="416"/>
      <c r="F755" s="414">
        <f ca="1" t="shared" si="395"/>
        <v>0</v>
      </c>
      <c r="G755" s="414">
        <f ca="1" t="shared" si="395"/>
        <v>0</v>
      </c>
      <c r="H755" s="414">
        <f ca="1" t="shared" si="395"/>
        <v>0</v>
      </c>
      <c r="I755" s="414">
        <f ca="1" t="shared" si="395"/>
        <v>0</v>
      </c>
      <c r="J755" s="414">
        <f ca="1" t="shared" si="395"/>
        <v>0</v>
      </c>
      <c r="K755" s="414">
        <f ca="1" t="shared" si="395"/>
        <v>0</v>
      </c>
      <c r="L755" s="414">
        <f ca="1" t="shared" si="395"/>
        <v>0</v>
      </c>
      <c r="M755" s="414">
        <f ca="1" t="shared" si="395"/>
        <v>0</v>
      </c>
      <c r="N755" s="414">
        <f ca="1" t="shared" si="396"/>
        <v>0</v>
      </c>
      <c r="O755" s="414">
        <f ca="1" t="shared" si="397"/>
        <v>0</v>
      </c>
    </row>
    <row r="756" ht="15" spans="2:15">
      <c r="B756" s="422">
        <v>10</v>
      </c>
      <c r="C756" s="423" t="s">
        <v>792</v>
      </c>
      <c r="D756" s="424"/>
      <c r="E756" s="416"/>
      <c r="F756" s="414">
        <f ca="1" t="shared" si="395"/>
        <v>191.057975504842</v>
      </c>
      <c r="G756" s="414">
        <f t="shared" si="395"/>
        <v>7.9412620137986</v>
      </c>
      <c r="H756" s="414">
        <f ca="1" t="shared" si="395"/>
        <v>0</v>
      </c>
      <c r="I756" s="414">
        <f ca="1" t="shared" si="395"/>
        <v>198.999237518641</v>
      </c>
      <c r="J756" s="414">
        <f ca="1" t="shared" si="395"/>
        <v>121.004203106683</v>
      </c>
      <c r="K756" s="414">
        <f t="shared" si="395"/>
        <v>5.58767675132107</v>
      </c>
      <c r="L756" s="414">
        <f ca="1" t="shared" si="395"/>
        <v>0</v>
      </c>
      <c r="M756" s="414">
        <f ca="1" t="shared" si="395"/>
        <v>126.591879858004</v>
      </c>
      <c r="N756" s="414">
        <f ca="1" t="shared" si="396"/>
        <v>70.0537723981586</v>
      </c>
      <c r="O756" s="414">
        <f t="shared" si="396"/>
        <v>2.35358526247753</v>
      </c>
    </row>
    <row r="757" ht="15" spans="2:15">
      <c r="B757" s="422">
        <v>11</v>
      </c>
      <c r="C757" s="423" t="s">
        <v>793</v>
      </c>
      <c r="D757" s="424"/>
      <c r="E757" s="416"/>
      <c r="F757" s="414">
        <f ca="1" t="shared" si="395"/>
        <v>0.708</v>
      </c>
      <c r="G757" s="414">
        <f ca="1" t="shared" si="395"/>
        <v>0</v>
      </c>
      <c r="H757" s="414">
        <f ca="1" t="shared" si="395"/>
        <v>0</v>
      </c>
      <c r="I757" s="414">
        <f ca="1" t="shared" si="395"/>
        <v>0.708</v>
      </c>
      <c r="J757" s="414">
        <f ca="1" t="shared" si="395"/>
        <v>0.6392199932</v>
      </c>
      <c r="K757" s="414">
        <f t="shared" si="395"/>
        <v>0</v>
      </c>
      <c r="L757" s="414">
        <f ca="1" t="shared" si="395"/>
        <v>0</v>
      </c>
      <c r="M757" s="414">
        <f ca="1" t="shared" si="395"/>
        <v>0.6392199932</v>
      </c>
      <c r="N757" s="414">
        <f ca="1" t="shared" si="396"/>
        <v>0.0687800068000001</v>
      </c>
      <c r="O757" s="414">
        <f ca="1" t="shared" si="396"/>
        <v>0</v>
      </c>
    </row>
    <row r="758" ht="15" spans="2:15">
      <c r="B758" s="422">
        <v>12</v>
      </c>
      <c r="C758" s="423" t="s">
        <v>794</v>
      </c>
      <c r="D758" s="424"/>
      <c r="E758" s="416"/>
      <c r="F758" s="414">
        <f t="shared" si="395"/>
        <v>0</v>
      </c>
      <c r="G758" s="414">
        <f t="shared" si="395"/>
        <v>0</v>
      </c>
      <c r="H758" s="414">
        <f t="shared" si="395"/>
        <v>0</v>
      </c>
      <c r="I758" s="414">
        <f t="shared" si="395"/>
        <v>0</v>
      </c>
      <c r="J758" s="414">
        <f t="shared" si="395"/>
        <v>0</v>
      </c>
      <c r="K758" s="414">
        <f t="shared" si="395"/>
        <v>0</v>
      </c>
      <c r="L758" s="414">
        <f t="shared" si="395"/>
        <v>0</v>
      </c>
      <c r="M758" s="414">
        <f t="shared" si="395"/>
        <v>0</v>
      </c>
      <c r="N758" s="414"/>
      <c r="O758" s="414"/>
    </row>
    <row r="759" ht="15" spans="2:15">
      <c r="B759" s="422"/>
      <c r="C759" s="425" t="s">
        <v>795</v>
      </c>
      <c r="D759" s="424"/>
      <c r="E759" s="416"/>
      <c r="F759" s="414">
        <f ca="1" t="shared" si="395"/>
        <v>0.26</v>
      </c>
      <c r="G759" s="414">
        <f ca="1" t="shared" si="395"/>
        <v>0</v>
      </c>
      <c r="H759" s="414">
        <f ca="1" t="shared" si="395"/>
        <v>0</v>
      </c>
      <c r="I759" s="414">
        <f ca="1" t="shared" si="395"/>
        <v>0.26</v>
      </c>
      <c r="J759" s="414">
        <f ca="1" t="shared" si="395"/>
        <v>0.1701644132</v>
      </c>
      <c r="K759" s="414">
        <f ca="1" t="shared" si="395"/>
        <v>0</v>
      </c>
      <c r="L759" s="414">
        <f ca="1" t="shared" si="395"/>
        <v>0</v>
      </c>
      <c r="M759" s="414">
        <f ca="1" t="shared" si="395"/>
        <v>0.1701644132</v>
      </c>
      <c r="N759" s="414">
        <f ca="1" t="shared" ref="N759:O760" si="398">F759-J759</f>
        <v>0.0898355868</v>
      </c>
      <c r="O759" s="414">
        <f ca="1" t="shared" si="398"/>
        <v>0</v>
      </c>
    </row>
    <row r="760" ht="15" spans="2:15">
      <c r="B760" s="422"/>
      <c r="C760" s="425" t="s">
        <v>796</v>
      </c>
      <c r="D760" s="424"/>
      <c r="E760" s="416"/>
      <c r="F760" s="414">
        <f ca="1" t="shared" si="395"/>
        <v>0</v>
      </c>
      <c r="G760" s="414">
        <f ca="1" t="shared" si="395"/>
        <v>0</v>
      </c>
      <c r="H760" s="414">
        <f ca="1" t="shared" si="395"/>
        <v>0</v>
      </c>
      <c r="I760" s="414">
        <f ca="1" t="shared" si="395"/>
        <v>0</v>
      </c>
      <c r="J760" s="414">
        <f ca="1" t="shared" si="395"/>
        <v>0</v>
      </c>
      <c r="K760" s="414">
        <f ca="1" t="shared" si="395"/>
        <v>0</v>
      </c>
      <c r="L760" s="414">
        <f ca="1" t="shared" si="395"/>
        <v>0</v>
      </c>
      <c r="M760" s="414">
        <f ca="1" t="shared" si="395"/>
        <v>0</v>
      </c>
      <c r="N760" s="414">
        <f ca="1" t="shared" si="398"/>
        <v>0</v>
      </c>
      <c r="O760" s="414">
        <f ca="1" t="shared" si="398"/>
        <v>0</v>
      </c>
    </row>
    <row r="761" ht="15" spans="2:15">
      <c r="B761" s="422">
        <v>13</v>
      </c>
      <c r="C761" s="425"/>
      <c r="D761" s="424"/>
      <c r="E761" s="416"/>
      <c r="F761" s="414">
        <f t="shared" si="395"/>
        <v>0</v>
      </c>
      <c r="G761" s="414">
        <f t="shared" si="395"/>
        <v>0</v>
      </c>
      <c r="H761" s="414">
        <f t="shared" si="395"/>
        <v>0</v>
      </c>
      <c r="I761" s="414">
        <f t="shared" si="395"/>
        <v>0</v>
      </c>
      <c r="J761" s="414">
        <f t="shared" si="395"/>
        <v>0</v>
      </c>
      <c r="K761" s="414">
        <f t="shared" si="395"/>
        <v>0</v>
      </c>
      <c r="L761" s="414">
        <f t="shared" si="395"/>
        <v>0</v>
      </c>
      <c r="M761" s="414">
        <f t="shared" si="395"/>
        <v>0</v>
      </c>
      <c r="N761" s="414"/>
      <c r="O761" s="414"/>
    </row>
    <row r="762" ht="15" spans="2:15">
      <c r="B762" s="422"/>
      <c r="C762" s="425" t="s">
        <v>797</v>
      </c>
      <c r="D762" s="424"/>
      <c r="E762" s="416"/>
      <c r="F762" s="414">
        <f ca="1" t="shared" si="395"/>
        <v>1.725</v>
      </c>
      <c r="G762" s="414">
        <f ca="1" t="shared" si="395"/>
        <v>0</v>
      </c>
      <c r="H762" s="414">
        <f ca="1" t="shared" si="395"/>
        <v>0</v>
      </c>
      <c r="I762" s="414">
        <f ca="1" t="shared" si="395"/>
        <v>1.725</v>
      </c>
      <c r="J762" s="414">
        <f ca="1" t="shared" si="395"/>
        <v>1.2050196043</v>
      </c>
      <c r="K762" s="414">
        <f t="shared" si="395"/>
        <v>0.0493995032</v>
      </c>
      <c r="L762" s="414">
        <f ca="1" t="shared" si="395"/>
        <v>0</v>
      </c>
      <c r="M762" s="414">
        <f ca="1" t="shared" si="395"/>
        <v>1.2544191075</v>
      </c>
      <c r="N762" s="414">
        <f ca="1" t="shared" ref="N762:O765" si="399">F762-J762</f>
        <v>0.5199803957</v>
      </c>
      <c r="O762" s="414">
        <f ca="1" t="shared" si="399"/>
        <v>-0.0493995032</v>
      </c>
    </row>
    <row r="763" ht="15" spans="2:15">
      <c r="B763" s="422"/>
      <c r="C763" s="425" t="s">
        <v>798</v>
      </c>
      <c r="D763" s="424"/>
      <c r="E763" s="416"/>
      <c r="F763" s="414">
        <f ca="1" t="shared" si="395"/>
        <v>5.15224317405487</v>
      </c>
      <c r="G763" s="414">
        <f t="shared" si="395"/>
        <v>0.0145388416073601</v>
      </c>
      <c r="H763" s="414">
        <f ca="1" t="shared" si="395"/>
        <v>0</v>
      </c>
      <c r="I763" s="414">
        <f ca="1" t="shared" si="395"/>
        <v>5.16678201566223</v>
      </c>
      <c r="J763" s="414">
        <f ca="1" t="shared" si="395"/>
        <v>3.46904127883247</v>
      </c>
      <c r="K763" s="414">
        <f t="shared" si="395"/>
        <v>0.16929835983727</v>
      </c>
      <c r="L763" s="414">
        <f ca="1" t="shared" si="395"/>
        <v>0</v>
      </c>
      <c r="M763" s="414">
        <f ca="1" t="shared" si="395"/>
        <v>3.63833963866974</v>
      </c>
      <c r="N763" s="414">
        <f ca="1" t="shared" si="399"/>
        <v>1.6832018952224</v>
      </c>
      <c r="O763" s="414">
        <f t="shared" si="399"/>
        <v>-0.15475951822991</v>
      </c>
    </row>
    <row r="764" ht="15" spans="2:15">
      <c r="B764" s="422"/>
      <c r="C764" s="425" t="s">
        <v>799</v>
      </c>
      <c r="D764" s="424"/>
      <c r="E764" s="416"/>
      <c r="F764" s="414">
        <f ca="1" t="shared" si="395"/>
        <v>0</v>
      </c>
      <c r="G764" s="414">
        <f ca="1" t="shared" si="395"/>
        <v>0</v>
      </c>
      <c r="H764" s="414">
        <f ca="1" t="shared" si="395"/>
        <v>0</v>
      </c>
      <c r="I764" s="414">
        <f ca="1" t="shared" si="395"/>
        <v>0</v>
      </c>
      <c r="J764" s="414">
        <f ca="1" t="shared" si="395"/>
        <v>0</v>
      </c>
      <c r="K764" s="414">
        <f ca="1" t="shared" si="395"/>
        <v>0</v>
      </c>
      <c r="L764" s="414">
        <f ca="1" t="shared" si="395"/>
        <v>0</v>
      </c>
      <c r="M764" s="414">
        <f ca="1" t="shared" si="395"/>
        <v>0</v>
      </c>
      <c r="N764" s="414">
        <f ca="1" t="shared" si="399"/>
        <v>0</v>
      </c>
      <c r="O764" s="414">
        <f ca="1" t="shared" si="399"/>
        <v>0</v>
      </c>
    </row>
    <row r="765" ht="15" spans="2:15">
      <c r="B765" s="422"/>
      <c r="C765" s="425" t="s">
        <v>800</v>
      </c>
      <c r="D765" s="424"/>
      <c r="E765" s="416"/>
      <c r="F765" s="414">
        <f ca="1" t="shared" ref="F765:M772" si="400">10%*F131</f>
        <v>0</v>
      </c>
      <c r="G765" s="414">
        <f ca="1" t="shared" si="400"/>
        <v>0</v>
      </c>
      <c r="H765" s="414">
        <f ca="1" t="shared" si="400"/>
        <v>0</v>
      </c>
      <c r="I765" s="414">
        <f ca="1" t="shared" si="400"/>
        <v>0</v>
      </c>
      <c r="J765" s="414">
        <f ca="1" t="shared" si="400"/>
        <v>0</v>
      </c>
      <c r="K765" s="414">
        <f ca="1" t="shared" si="400"/>
        <v>0</v>
      </c>
      <c r="L765" s="414">
        <f ca="1" t="shared" si="400"/>
        <v>0</v>
      </c>
      <c r="M765" s="414">
        <f ca="1" t="shared" si="400"/>
        <v>0</v>
      </c>
      <c r="N765" s="414">
        <f ca="1" t="shared" si="399"/>
        <v>0</v>
      </c>
      <c r="O765" s="414">
        <f ca="1" t="shared" si="399"/>
        <v>0</v>
      </c>
    </row>
    <row r="766" ht="15" spans="2:15">
      <c r="B766" s="422">
        <v>14</v>
      </c>
      <c r="C766" s="423" t="s">
        <v>801</v>
      </c>
      <c r="D766" s="424"/>
      <c r="E766" s="416"/>
      <c r="F766" s="414">
        <f t="shared" si="400"/>
        <v>0</v>
      </c>
      <c r="G766" s="414">
        <f t="shared" si="400"/>
        <v>0</v>
      </c>
      <c r="H766" s="414">
        <f t="shared" si="400"/>
        <v>0</v>
      </c>
      <c r="I766" s="414">
        <f t="shared" si="400"/>
        <v>0</v>
      </c>
      <c r="J766" s="414">
        <f t="shared" si="400"/>
        <v>0</v>
      </c>
      <c r="K766" s="414">
        <f t="shared" si="400"/>
        <v>0</v>
      </c>
      <c r="L766" s="414">
        <f t="shared" si="400"/>
        <v>0</v>
      </c>
      <c r="M766" s="414">
        <f t="shared" si="400"/>
        <v>0</v>
      </c>
      <c r="N766" s="414"/>
      <c r="O766" s="414"/>
    </row>
    <row r="767" ht="15" spans="2:15">
      <c r="B767" s="422"/>
      <c r="C767" s="425" t="s">
        <v>802</v>
      </c>
      <c r="D767" s="424"/>
      <c r="E767" s="416"/>
      <c r="F767" s="414">
        <f ca="1" t="shared" si="400"/>
        <v>0</v>
      </c>
      <c r="G767" s="414">
        <f ca="1" t="shared" si="400"/>
        <v>0</v>
      </c>
      <c r="H767" s="414">
        <f ca="1" t="shared" si="400"/>
        <v>0</v>
      </c>
      <c r="I767" s="414">
        <f ca="1" t="shared" si="400"/>
        <v>0</v>
      </c>
      <c r="J767" s="414">
        <f ca="1" t="shared" si="400"/>
        <v>0</v>
      </c>
      <c r="K767" s="414">
        <f ca="1" t="shared" si="400"/>
        <v>0</v>
      </c>
      <c r="L767" s="414">
        <f ca="1" t="shared" si="400"/>
        <v>0</v>
      </c>
      <c r="M767" s="414">
        <f ca="1" t="shared" si="400"/>
        <v>0</v>
      </c>
      <c r="N767" s="414">
        <f ca="1" t="shared" ref="N767:O772" si="401">F767-J767</f>
        <v>0</v>
      </c>
      <c r="O767" s="414">
        <f ca="1" t="shared" si="401"/>
        <v>0</v>
      </c>
    </row>
    <row r="768" ht="15" spans="2:15">
      <c r="B768" s="422"/>
      <c r="C768" s="425" t="s">
        <v>803</v>
      </c>
      <c r="D768" s="424"/>
      <c r="E768" s="416"/>
      <c r="F768" s="414">
        <f ca="1" t="shared" si="400"/>
        <v>0</v>
      </c>
      <c r="G768" s="414">
        <f ca="1" t="shared" si="400"/>
        <v>0</v>
      </c>
      <c r="H768" s="414">
        <f ca="1" t="shared" si="400"/>
        <v>0</v>
      </c>
      <c r="I768" s="414">
        <f ca="1" t="shared" si="400"/>
        <v>0</v>
      </c>
      <c r="J768" s="414">
        <f ca="1" t="shared" si="400"/>
        <v>0</v>
      </c>
      <c r="K768" s="414">
        <f ca="1" t="shared" si="400"/>
        <v>0</v>
      </c>
      <c r="L768" s="414">
        <f ca="1" t="shared" si="400"/>
        <v>0</v>
      </c>
      <c r="M768" s="414">
        <f ca="1" t="shared" si="400"/>
        <v>0</v>
      </c>
      <c r="N768" s="414">
        <f ca="1" t="shared" si="401"/>
        <v>0</v>
      </c>
      <c r="O768" s="414">
        <f ca="1" t="shared" si="401"/>
        <v>0</v>
      </c>
    </row>
    <row r="769" ht="15" spans="2:15">
      <c r="B769" s="422"/>
      <c r="C769" s="425" t="s">
        <v>804</v>
      </c>
      <c r="D769" s="424"/>
      <c r="E769" s="416"/>
      <c r="F769" s="414">
        <f ca="1" t="shared" si="400"/>
        <v>0</v>
      </c>
      <c r="G769" s="414">
        <f ca="1" t="shared" si="400"/>
        <v>0</v>
      </c>
      <c r="H769" s="414">
        <f ca="1" t="shared" si="400"/>
        <v>0</v>
      </c>
      <c r="I769" s="414">
        <f ca="1" t="shared" si="400"/>
        <v>0</v>
      </c>
      <c r="J769" s="414">
        <f ca="1" t="shared" si="400"/>
        <v>0</v>
      </c>
      <c r="K769" s="414">
        <f ca="1" t="shared" si="400"/>
        <v>0</v>
      </c>
      <c r="L769" s="414">
        <f ca="1" t="shared" si="400"/>
        <v>0</v>
      </c>
      <c r="M769" s="414">
        <f ca="1" t="shared" si="400"/>
        <v>0</v>
      </c>
      <c r="N769" s="414">
        <f ca="1" t="shared" si="401"/>
        <v>0</v>
      </c>
      <c r="O769" s="414">
        <f ca="1" t="shared" si="401"/>
        <v>0</v>
      </c>
    </row>
    <row r="770" ht="15" spans="2:15">
      <c r="B770" s="422">
        <v>15</v>
      </c>
      <c r="C770" s="423" t="s">
        <v>805</v>
      </c>
      <c r="D770" s="424"/>
      <c r="E770" s="416"/>
      <c r="F770" s="414">
        <f ca="1" t="shared" si="400"/>
        <v>19.75311723006</v>
      </c>
      <c r="G770" s="414">
        <f t="shared" si="400"/>
        <v>1.14180273285827</v>
      </c>
      <c r="H770" s="414">
        <f ca="1" t="shared" si="400"/>
        <v>0</v>
      </c>
      <c r="I770" s="414">
        <f ca="1" t="shared" si="400"/>
        <v>20.8949199629183</v>
      </c>
      <c r="J770" s="414">
        <f ca="1" t="shared" si="400"/>
        <v>15.9046054629545</v>
      </c>
      <c r="K770" s="414">
        <f t="shared" si="400"/>
        <v>1.24656815657338</v>
      </c>
      <c r="L770" s="414">
        <f ca="1" t="shared" si="400"/>
        <v>0</v>
      </c>
      <c r="M770" s="414">
        <f ca="1" t="shared" si="400"/>
        <v>17.1511736195279</v>
      </c>
      <c r="N770" s="414">
        <f ca="1" t="shared" si="401"/>
        <v>3.84851176710554</v>
      </c>
      <c r="O770" s="414">
        <f t="shared" si="401"/>
        <v>-0.10476542371511</v>
      </c>
    </row>
    <row r="771" ht="15" spans="2:15">
      <c r="B771" s="422">
        <v>16</v>
      </c>
      <c r="C771" s="423" t="s">
        <v>806</v>
      </c>
      <c r="D771" s="412"/>
      <c r="E771" s="416"/>
      <c r="F771" s="414">
        <f ca="1" t="shared" si="400"/>
        <v>7.08</v>
      </c>
      <c r="G771" s="414">
        <f ca="1" t="shared" si="400"/>
        <v>0</v>
      </c>
      <c r="H771" s="414">
        <f ca="1" t="shared" si="400"/>
        <v>0</v>
      </c>
      <c r="I771" s="414">
        <f ca="1" t="shared" si="400"/>
        <v>7.08</v>
      </c>
      <c r="J771" s="414">
        <f ca="1" t="shared" si="400"/>
        <v>5.3905021156</v>
      </c>
      <c r="K771" s="414">
        <f t="shared" si="400"/>
        <v>0.4515921614</v>
      </c>
      <c r="L771" s="414">
        <f ca="1" t="shared" si="400"/>
        <v>0</v>
      </c>
      <c r="M771" s="414">
        <f ca="1" t="shared" si="400"/>
        <v>5.842094277</v>
      </c>
      <c r="N771" s="414">
        <f ca="1" t="shared" si="401"/>
        <v>1.6894978844</v>
      </c>
      <c r="O771" s="414">
        <f ca="1" t="shared" si="401"/>
        <v>-0.4515921614</v>
      </c>
    </row>
    <row r="772" ht="15" spans="2:15">
      <c r="B772" s="422">
        <v>17</v>
      </c>
      <c r="C772" s="423" t="s">
        <v>807</v>
      </c>
      <c r="D772" s="412"/>
      <c r="E772" s="426"/>
      <c r="F772" s="414">
        <f ca="1" t="shared" si="400"/>
        <v>0</v>
      </c>
      <c r="G772" s="414">
        <f ca="1" t="shared" si="400"/>
        <v>0</v>
      </c>
      <c r="H772" s="414">
        <f ca="1" t="shared" si="400"/>
        <v>0</v>
      </c>
      <c r="I772" s="414">
        <f ca="1" t="shared" si="400"/>
        <v>0</v>
      </c>
      <c r="J772" s="414">
        <f ca="1" t="shared" si="400"/>
        <v>0</v>
      </c>
      <c r="K772" s="414">
        <f ca="1" t="shared" si="400"/>
        <v>0</v>
      </c>
      <c r="L772" s="414">
        <f ca="1" t="shared" si="400"/>
        <v>0</v>
      </c>
      <c r="M772" s="414">
        <f ca="1" t="shared" si="400"/>
        <v>0</v>
      </c>
      <c r="N772" s="414">
        <f ca="1" t="shared" si="401"/>
        <v>0</v>
      </c>
      <c r="O772" s="414">
        <f ca="1" t="shared" si="401"/>
        <v>0</v>
      </c>
    </row>
    <row r="773" ht="15.75" spans="2:15">
      <c r="B773" s="427"/>
      <c r="C773" s="428" t="s">
        <v>97</v>
      </c>
      <c r="D773" s="428"/>
      <c r="E773" s="429"/>
      <c r="F773" s="430">
        <f ca="1">SUM(F733:F772)</f>
        <v>2295.68993108909</v>
      </c>
      <c r="G773" s="430">
        <f ca="1" t="shared" ref="G773:O773" si="402">SUM(G733:G772)</f>
        <v>240.738388569545</v>
      </c>
      <c r="H773" s="430">
        <f ca="1" t="shared" si="402"/>
        <v>0</v>
      </c>
      <c r="I773" s="430">
        <f ca="1" t="shared" si="402"/>
        <v>2536.42831965863</v>
      </c>
      <c r="J773" s="430">
        <f ca="1" t="shared" si="402"/>
        <v>1129.74775797022</v>
      </c>
      <c r="K773" s="430">
        <f ca="1" t="shared" si="402"/>
        <v>87.1437853058882</v>
      </c>
      <c r="L773" s="430">
        <f ca="1" t="shared" si="402"/>
        <v>0</v>
      </c>
      <c r="M773" s="430">
        <f ca="1" t="shared" si="402"/>
        <v>1216.89154327611</v>
      </c>
      <c r="N773" s="430">
        <f ca="1" t="shared" si="402"/>
        <v>1165.94217311886</v>
      </c>
      <c r="O773" s="430">
        <f ca="1" t="shared" si="402"/>
        <v>1241.58319644833</v>
      </c>
    </row>
    <row r="774" ht="15.75" spans="15:15">
      <c r="O774" s="117" t="s">
        <v>851</v>
      </c>
    </row>
    <row r="775" ht="15" spans="2:15">
      <c r="B775" s="431" t="s">
        <v>654</v>
      </c>
      <c r="C775" s="432"/>
      <c r="D775" s="432"/>
      <c r="E775" s="432"/>
      <c r="F775" s="432"/>
      <c r="G775" s="432"/>
      <c r="H775" s="432"/>
      <c r="I775" s="432"/>
      <c r="J775" s="432"/>
      <c r="K775" s="432"/>
      <c r="L775" s="432"/>
      <c r="M775" s="432"/>
      <c r="N775" s="432"/>
      <c r="O775" s="442"/>
    </row>
    <row r="776" ht="15" spans="2:15">
      <c r="B776" s="406" t="s">
        <v>564</v>
      </c>
      <c r="C776" s="980" t="s">
        <v>671</v>
      </c>
      <c r="D776" s="408" t="s">
        <v>672</v>
      </c>
      <c r="E776" s="408" t="s">
        <v>673</v>
      </c>
      <c r="F776" s="408" t="s">
        <v>674</v>
      </c>
      <c r="G776" s="408"/>
      <c r="H776" s="408"/>
      <c r="I776" s="408"/>
      <c r="J776" s="408" t="s">
        <v>675</v>
      </c>
      <c r="K776" s="408"/>
      <c r="L776" s="408"/>
      <c r="M776" s="408"/>
      <c r="N776" s="408" t="s">
        <v>676</v>
      </c>
      <c r="O776" s="440"/>
    </row>
    <row r="777" ht="60.75" spans="2:15">
      <c r="B777" s="433"/>
      <c r="C777" s="434"/>
      <c r="D777" s="435"/>
      <c r="E777" s="435"/>
      <c r="F777" s="435" t="s">
        <v>677</v>
      </c>
      <c r="G777" s="435" t="s">
        <v>678</v>
      </c>
      <c r="H777" s="435" t="s">
        <v>679</v>
      </c>
      <c r="I777" s="435" t="s">
        <v>680</v>
      </c>
      <c r="J777" s="435" t="s">
        <v>681</v>
      </c>
      <c r="K777" s="435" t="s">
        <v>678</v>
      </c>
      <c r="L777" s="435" t="s">
        <v>682</v>
      </c>
      <c r="M777" s="435" t="s">
        <v>683</v>
      </c>
      <c r="N777" s="435" t="s">
        <v>677</v>
      </c>
      <c r="O777" s="443" t="s">
        <v>680</v>
      </c>
    </row>
    <row r="778" ht="15" spans="2:15">
      <c r="B778" s="410">
        <v>1</v>
      </c>
      <c r="C778" s="411" t="s">
        <v>684</v>
      </c>
      <c r="D778" s="405"/>
      <c r="E778" s="437"/>
      <c r="F778" s="414">
        <f ca="1">10%*F144</f>
        <v>11.3334512625867</v>
      </c>
      <c r="G778" s="414">
        <f t="shared" ref="G778:M778" si="403">10%*G144</f>
        <v>5.45641160438769</v>
      </c>
      <c r="H778" s="414">
        <f ca="1" t="shared" si="403"/>
        <v>0</v>
      </c>
      <c r="I778" s="414">
        <f ca="1" t="shared" si="403"/>
        <v>16.7898628669744</v>
      </c>
      <c r="J778" s="414">
        <f ca="1" t="shared" si="403"/>
        <v>0.000489906200000156</v>
      </c>
      <c r="K778" s="414">
        <f t="shared" si="403"/>
        <v>0</v>
      </c>
      <c r="L778" s="414">
        <f ca="1" t="shared" si="403"/>
        <v>0</v>
      </c>
      <c r="M778" s="414">
        <f ca="1" t="shared" si="403"/>
        <v>0.000489906200000156</v>
      </c>
      <c r="N778" s="414">
        <f ca="1">F778-J778</f>
        <v>11.3329613563867</v>
      </c>
      <c r="O778" s="414">
        <f ca="1">I778-M778</f>
        <v>16.7893729607744</v>
      </c>
    </row>
    <row r="779" ht="15" spans="2:15">
      <c r="B779" s="410">
        <v>2</v>
      </c>
      <c r="C779" s="411" t="s">
        <v>770</v>
      </c>
      <c r="D779" s="476"/>
      <c r="E779" s="477"/>
      <c r="F779" s="414">
        <f ca="1" t="shared" ref="F779:M794" si="404">10%*F145</f>
        <v>0</v>
      </c>
      <c r="G779" s="414">
        <f ca="1" t="shared" si="404"/>
        <v>0</v>
      </c>
      <c r="H779" s="414">
        <f ca="1" t="shared" si="404"/>
        <v>0</v>
      </c>
      <c r="I779" s="414">
        <f ca="1" t="shared" si="404"/>
        <v>0</v>
      </c>
      <c r="J779" s="414">
        <f ca="1" t="shared" si="404"/>
        <v>0</v>
      </c>
      <c r="K779" s="414">
        <f ca="1" t="shared" si="404"/>
        <v>0</v>
      </c>
      <c r="L779" s="414">
        <f ca="1" t="shared" si="404"/>
        <v>0</v>
      </c>
      <c r="M779" s="414">
        <f ca="1" t="shared" si="404"/>
        <v>0</v>
      </c>
      <c r="N779" s="414">
        <f ca="1">F779-J779</f>
        <v>0</v>
      </c>
      <c r="O779" s="414">
        <f ca="1">I779-M779</f>
        <v>0</v>
      </c>
    </row>
    <row r="780" ht="15" spans="2:15">
      <c r="B780" s="410">
        <v>3</v>
      </c>
      <c r="C780" s="415" t="s">
        <v>771</v>
      </c>
      <c r="D780" s="412"/>
      <c r="E780" s="416"/>
      <c r="F780" s="414">
        <f t="shared" si="404"/>
        <v>0</v>
      </c>
      <c r="G780" s="414">
        <f t="shared" si="404"/>
        <v>0</v>
      </c>
      <c r="H780" s="414">
        <f t="shared" si="404"/>
        <v>0</v>
      </c>
      <c r="I780" s="414">
        <f t="shared" si="404"/>
        <v>0</v>
      </c>
      <c r="J780" s="414">
        <f t="shared" si="404"/>
        <v>0</v>
      </c>
      <c r="K780" s="414">
        <f t="shared" si="404"/>
        <v>0</v>
      </c>
      <c r="L780" s="414">
        <f t="shared" si="404"/>
        <v>0</v>
      </c>
      <c r="M780" s="414">
        <f t="shared" si="404"/>
        <v>0</v>
      </c>
      <c r="N780" s="414"/>
      <c r="O780" s="414"/>
    </row>
    <row r="781" ht="15" spans="2:15">
      <c r="B781" s="410"/>
      <c r="C781" s="417" t="s">
        <v>772</v>
      </c>
      <c r="D781" s="412"/>
      <c r="E781" s="416"/>
      <c r="F781" s="414">
        <f ca="1" t="shared" si="404"/>
        <v>46.2905091180188</v>
      </c>
      <c r="G781" s="414">
        <f t="shared" si="404"/>
        <v>4.62204129438014</v>
      </c>
      <c r="H781" s="414">
        <f ca="1" t="shared" si="404"/>
        <v>0</v>
      </c>
      <c r="I781" s="414">
        <f ca="1" t="shared" si="404"/>
        <v>50.912550412399</v>
      </c>
      <c r="J781" s="414">
        <f ca="1" t="shared" si="404"/>
        <v>15.8710490628576</v>
      </c>
      <c r="K781" s="414">
        <f t="shared" si="404"/>
        <v>1.98825839579039</v>
      </c>
      <c r="L781" s="414">
        <f ca="1" t="shared" si="404"/>
        <v>0</v>
      </c>
      <c r="M781" s="414">
        <f ca="1" t="shared" si="404"/>
        <v>17.8593074586479</v>
      </c>
      <c r="N781" s="414">
        <f ca="1" t="shared" ref="N781:N784" si="405">F781-J781</f>
        <v>30.4194600551613</v>
      </c>
      <c r="O781" s="414">
        <f ca="1" t="shared" ref="O781:O784" si="406">I781-M781</f>
        <v>33.053242953751</v>
      </c>
    </row>
    <row r="782" ht="28.5" spans="2:15">
      <c r="B782" s="410"/>
      <c r="C782" s="417" t="s">
        <v>773</v>
      </c>
      <c r="D782" s="412"/>
      <c r="E782" s="416"/>
      <c r="F782" s="414">
        <f ca="1" t="shared" si="404"/>
        <v>0</v>
      </c>
      <c r="G782" s="414">
        <f ca="1" t="shared" si="404"/>
        <v>0</v>
      </c>
      <c r="H782" s="414">
        <f ca="1" t="shared" si="404"/>
        <v>0</v>
      </c>
      <c r="I782" s="414">
        <f ca="1" t="shared" si="404"/>
        <v>0</v>
      </c>
      <c r="J782" s="414">
        <f ca="1" t="shared" si="404"/>
        <v>0</v>
      </c>
      <c r="K782" s="414">
        <f ca="1" t="shared" si="404"/>
        <v>0</v>
      </c>
      <c r="L782" s="414">
        <f ca="1" t="shared" si="404"/>
        <v>0</v>
      </c>
      <c r="M782" s="414">
        <f ca="1" t="shared" si="404"/>
        <v>0</v>
      </c>
      <c r="N782" s="414">
        <f ca="1" t="shared" si="405"/>
        <v>0</v>
      </c>
      <c r="O782" s="414">
        <f ca="1" t="shared" si="406"/>
        <v>0</v>
      </c>
    </row>
    <row r="783" ht="15" spans="2:15">
      <c r="B783" s="410"/>
      <c r="C783" s="417" t="s">
        <v>774</v>
      </c>
      <c r="D783" s="412"/>
      <c r="E783" s="416"/>
      <c r="F783" s="414">
        <f ca="1" t="shared" si="404"/>
        <v>0</v>
      </c>
      <c r="G783" s="414">
        <f ca="1" t="shared" si="404"/>
        <v>0</v>
      </c>
      <c r="H783" s="414">
        <f ca="1" t="shared" si="404"/>
        <v>0</v>
      </c>
      <c r="I783" s="414">
        <f ca="1" t="shared" si="404"/>
        <v>0</v>
      </c>
      <c r="J783" s="414">
        <f ca="1" t="shared" si="404"/>
        <v>0</v>
      </c>
      <c r="K783" s="414">
        <f ca="1" t="shared" si="404"/>
        <v>0</v>
      </c>
      <c r="L783" s="414">
        <f ca="1" t="shared" si="404"/>
        <v>0</v>
      </c>
      <c r="M783" s="414">
        <f ca="1" t="shared" si="404"/>
        <v>0</v>
      </c>
      <c r="N783" s="414">
        <f ca="1" t="shared" si="405"/>
        <v>0</v>
      </c>
      <c r="O783" s="414">
        <f ca="1" t="shared" si="406"/>
        <v>0</v>
      </c>
    </row>
    <row r="784" ht="15" spans="2:15">
      <c r="B784" s="410"/>
      <c r="C784" s="417" t="s">
        <v>775</v>
      </c>
      <c r="D784" s="412"/>
      <c r="E784" s="416"/>
      <c r="F784" s="414">
        <f ca="1" t="shared" si="404"/>
        <v>22.108</v>
      </c>
      <c r="G784" s="414">
        <f ca="1" t="shared" si="404"/>
        <v>0</v>
      </c>
      <c r="H784" s="414">
        <f ca="1" t="shared" si="404"/>
        <v>0</v>
      </c>
      <c r="I784" s="414">
        <f ca="1" t="shared" si="404"/>
        <v>22.108</v>
      </c>
      <c r="J784" s="414">
        <f ca="1" t="shared" si="404"/>
        <v>4.4413445081</v>
      </c>
      <c r="K784" s="414">
        <f t="shared" si="404"/>
        <v>0</v>
      </c>
      <c r="L784" s="414">
        <f ca="1" t="shared" si="404"/>
        <v>0</v>
      </c>
      <c r="M784" s="414">
        <f ca="1" t="shared" si="404"/>
        <v>4.4413445081</v>
      </c>
      <c r="N784" s="414">
        <f ca="1" t="shared" si="405"/>
        <v>17.6666554919</v>
      </c>
      <c r="O784" s="414">
        <f ca="1" t="shared" si="406"/>
        <v>17.6666554919</v>
      </c>
    </row>
    <row r="785" ht="15" spans="2:15">
      <c r="B785" s="410">
        <v>4</v>
      </c>
      <c r="C785" s="411" t="s">
        <v>776</v>
      </c>
      <c r="D785" s="412"/>
      <c r="E785" s="416"/>
      <c r="F785" s="414">
        <f t="shared" si="404"/>
        <v>0</v>
      </c>
      <c r="G785" s="414">
        <f t="shared" si="404"/>
        <v>0</v>
      </c>
      <c r="H785" s="414">
        <f t="shared" si="404"/>
        <v>0</v>
      </c>
      <c r="I785" s="414">
        <f t="shared" si="404"/>
        <v>0</v>
      </c>
      <c r="J785" s="414">
        <f t="shared" si="404"/>
        <v>0</v>
      </c>
      <c r="K785" s="414">
        <f t="shared" si="404"/>
        <v>0</v>
      </c>
      <c r="L785" s="414">
        <f t="shared" si="404"/>
        <v>0</v>
      </c>
      <c r="M785" s="414">
        <f t="shared" si="404"/>
        <v>0</v>
      </c>
      <c r="N785" s="414"/>
      <c r="O785" s="414"/>
    </row>
    <row r="786" ht="15" spans="2:15">
      <c r="B786" s="410"/>
      <c r="C786" s="418" t="s">
        <v>777</v>
      </c>
      <c r="D786" s="412"/>
      <c r="E786" s="416"/>
      <c r="F786" s="414">
        <f ca="1" t="shared" si="404"/>
        <v>1109.28890520154</v>
      </c>
      <c r="G786" s="414">
        <f t="shared" si="404"/>
        <v>109.759833081481</v>
      </c>
      <c r="H786" s="414">
        <f ca="1" t="shared" si="404"/>
        <v>0</v>
      </c>
      <c r="I786" s="414">
        <f ca="1" t="shared" si="404"/>
        <v>1219.04873828302</v>
      </c>
      <c r="J786" s="414">
        <f ca="1" t="shared" si="404"/>
        <v>551.863417933854</v>
      </c>
      <c r="K786" s="414">
        <f t="shared" si="404"/>
        <v>42.2638665215524</v>
      </c>
      <c r="L786" s="414">
        <f ca="1" t="shared" si="404"/>
        <v>0</v>
      </c>
      <c r="M786" s="414">
        <f ca="1" t="shared" si="404"/>
        <v>594.127284455406</v>
      </c>
      <c r="N786" s="414">
        <f ca="1" t="shared" ref="N786:N789" si="407">F786-J786</f>
        <v>557.425487267683</v>
      </c>
      <c r="O786" s="414">
        <f ca="1" t="shared" ref="O786:O789" si="408">I786-M786</f>
        <v>624.921453827612</v>
      </c>
    </row>
    <row r="787" ht="15" spans="2:15">
      <c r="B787" s="410"/>
      <c r="C787" s="411" t="s">
        <v>778</v>
      </c>
      <c r="D787" s="412"/>
      <c r="E787" s="416"/>
      <c r="F787" s="414">
        <f t="shared" si="404"/>
        <v>0</v>
      </c>
      <c r="G787" s="414">
        <f t="shared" si="404"/>
        <v>0</v>
      </c>
      <c r="H787" s="414">
        <f t="shared" si="404"/>
        <v>0</v>
      </c>
      <c r="I787" s="414">
        <f t="shared" si="404"/>
        <v>0</v>
      </c>
      <c r="J787" s="414">
        <f t="shared" si="404"/>
        <v>0</v>
      </c>
      <c r="K787" s="414">
        <f t="shared" si="404"/>
        <v>0</v>
      </c>
      <c r="L787" s="414">
        <f t="shared" si="404"/>
        <v>0</v>
      </c>
      <c r="M787" s="414">
        <f t="shared" si="404"/>
        <v>0</v>
      </c>
      <c r="N787" s="414"/>
      <c r="O787" s="414"/>
    </row>
    <row r="788" ht="15" spans="2:15">
      <c r="B788" s="410"/>
      <c r="C788" s="418" t="s">
        <v>779</v>
      </c>
      <c r="D788" s="412"/>
      <c r="E788" s="416"/>
      <c r="F788" s="414">
        <f ca="1" t="shared" si="404"/>
        <v>0</v>
      </c>
      <c r="G788" s="414">
        <f ca="1" t="shared" si="404"/>
        <v>0</v>
      </c>
      <c r="H788" s="414">
        <f ca="1" t="shared" si="404"/>
        <v>0</v>
      </c>
      <c r="I788" s="414">
        <f ca="1" t="shared" si="404"/>
        <v>0</v>
      </c>
      <c r="J788" s="414">
        <f ca="1" t="shared" si="404"/>
        <v>0</v>
      </c>
      <c r="K788" s="414">
        <f ca="1" t="shared" si="404"/>
        <v>0</v>
      </c>
      <c r="L788" s="414">
        <f ca="1" t="shared" si="404"/>
        <v>0</v>
      </c>
      <c r="M788" s="414">
        <f ca="1" t="shared" si="404"/>
        <v>0</v>
      </c>
      <c r="N788" s="414">
        <f ca="1" t="shared" si="407"/>
        <v>0</v>
      </c>
      <c r="O788" s="414">
        <f ca="1" t="shared" si="408"/>
        <v>0</v>
      </c>
    </row>
    <row r="789" ht="15" spans="2:15">
      <c r="B789" s="410"/>
      <c r="C789" s="418" t="s">
        <v>780</v>
      </c>
      <c r="D789" s="412"/>
      <c r="E789" s="416"/>
      <c r="F789" s="414">
        <f ca="1" t="shared" si="404"/>
        <v>0</v>
      </c>
      <c r="G789" s="414">
        <f ca="1" t="shared" si="404"/>
        <v>0</v>
      </c>
      <c r="H789" s="414">
        <f ca="1" t="shared" si="404"/>
        <v>0</v>
      </c>
      <c r="I789" s="414">
        <f ca="1" t="shared" si="404"/>
        <v>0</v>
      </c>
      <c r="J789" s="414">
        <f ca="1" t="shared" si="404"/>
        <v>0</v>
      </c>
      <c r="K789" s="414">
        <f ca="1" t="shared" si="404"/>
        <v>0</v>
      </c>
      <c r="L789" s="414">
        <f ca="1" t="shared" si="404"/>
        <v>0</v>
      </c>
      <c r="M789" s="414">
        <f ca="1" t="shared" si="404"/>
        <v>0</v>
      </c>
      <c r="N789" s="414">
        <f ca="1" t="shared" si="407"/>
        <v>0</v>
      </c>
      <c r="O789" s="414">
        <f ca="1" t="shared" si="408"/>
        <v>0</v>
      </c>
    </row>
    <row r="790" ht="15" spans="2:15">
      <c r="B790" s="410">
        <v>5</v>
      </c>
      <c r="C790" s="411" t="s">
        <v>781</v>
      </c>
      <c r="D790" s="412"/>
      <c r="E790" s="416"/>
      <c r="F790" s="414">
        <f t="shared" si="404"/>
        <v>0</v>
      </c>
      <c r="G790" s="414">
        <f t="shared" si="404"/>
        <v>0</v>
      </c>
      <c r="H790" s="414">
        <f t="shared" si="404"/>
        <v>0</v>
      </c>
      <c r="I790" s="414">
        <f t="shared" si="404"/>
        <v>0</v>
      </c>
      <c r="J790" s="414">
        <f t="shared" si="404"/>
        <v>0</v>
      </c>
      <c r="K790" s="414">
        <f t="shared" si="404"/>
        <v>0</v>
      </c>
      <c r="L790" s="414">
        <f t="shared" si="404"/>
        <v>0</v>
      </c>
      <c r="M790" s="414">
        <f t="shared" si="404"/>
        <v>0</v>
      </c>
      <c r="N790" s="414"/>
      <c r="O790" s="414"/>
    </row>
    <row r="791" ht="15" spans="2:15">
      <c r="B791" s="410"/>
      <c r="C791" s="418" t="s">
        <v>782</v>
      </c>
      <c r="D791" s="412"/>
      <c r="E791" s="416"/>
      <c r="F791" s="414">
        <f ca="1" t="shared" si="404"/>
        <v>0</v>
      </c>
      <c r="G791" s="414">
        <f ca="1" t="shared" si="404"/>
        <v>0</v>
      </c>
      <c r="H791" s="414">
        <f ca="1" t="shared" si="404"/>
        <v>0</v>
      </c>
      <c r="I791" s="414">
        <f ca="1" t="shared" si="404"/>
        <v>0</v>
      </c>
      <c r="J791" s="414">
        <f ca="1" t="shared" si="404"/>
        <v>0</v>
      </c>
      <c r="K791" s="414">
        <f ca="1" t="shared" si="404"/>
        <v>0</v>
      </c>
      <c r="L791" s="414">
        <f ca="1" t="shared" si="404"/>
        <v>0</v>
      </c>
      <c r="M791" s="414">
        <f ca="1" t="shared" si="404"/>
        <v>0</v>
      </c>
      <c r="N791" s="414">
        <f ca="1" t="shared" ref="N791:N796" si="409">F791-J791</f>
        <v>0</v>
      </c>
      <c r="O791" s="414">
        <f ca="1" t="shared" ref="O791:O796" si="410">I791-M791</f>
        <v>0</v>
      </c>
    </row>
    <row r="792" ht="15" spans="2:15">
      <c r="B792" s="410"/>
      <c r="C792" s="418" t="s">
        <v>783</v>
      </c>
      <c r="D792" s="412"/>
      <c r="E792" s="416"/>
      <c r="F792" s="414">
        <f ca="1" t="shared" si="404"/>
        <v>0</v>
      </c>
      <c r="G792" s="414">
        <f ca="1" t="shared" si="404"/>
        <v>0</v>
      </c>
      <c r="H792" s="414">
        <f ca="1" t="shared" si="404"/>
        <v>0</v>
      </c>
      <c r="I792" s="414">
        <f ca="1" t="shared" si="404"/>
        <v>0</v>
      </c>
      <c r="J792" s="414">
        <f ca="1" t="shared" si="404"/>
        <v>0</v>
      </c>
      <c r="K792" s="414">
        <f ca="1" t="shared" si="404"/>
        <v>0</v>
      </c>
      <c r="L792" s="414">
        <f ca="1" t="shared" si="404"/>
        <v>0</v>
      </c>
      <c r="M792" s="414">
        <f ca="1" t="shared" si="404"/>
        <v>0</v>
      </c>
      <c r="N792" s="414">
        <f ca="1" t="shared" si="409"/>
        <v>0</v>
      </c>
      <c r="O792" s="414">
        <f ca="1" t="shared" si="410"/>
        <v>0</v>
      </c>
    </row>
    <row r="793" ht="15" spans="2:15">
      <c r="B793" s="410"/>
      <c r="C793" s="418" t="s">
        <v>784</v>
      </c>
      <c r="D793" s="412"/>
      <c r="E793" s="416"/>
      <c r="F793" s="414">
        <f ca="1" t="shared" si="404"/>
        <v>0</v>
      </c>
      <c r="G793" s="414">
        <f ca="1" t="shared" si="404"/>
        <v>0</v>
      </c>
      <c r="H793" s="414">
        <f ca="1" t="shared" si="404"/>
        <v>0</v>
      </c>
      <c r="I793" s="414">
        <f ca="1" t="shared" si="404"/>
        <v>0</v>
      </c>
      <c r="J793" s="414">
        <f ca="1" t="shared" si="404"/>
        <v>0</v>
      </c>
      <c r="K793" s="414">
        <f ca="1" t="shared" si="404"/>
        <v>0</v>
      </c>
      <c r="L793" s="414">
        <f ca="1" t="shared" si="404"/>
        <v>0</v>
      </c>
      <c r="M793" s="414">
        <f ca="1" t="shared" si="404"/>
        <v>0</v>
      </c>
      <c r="N793" s="414">
        <f ca="1" t="shared" si="409"/>
        <v>0</v>
      </c>
      <c r="O793" s="414">
        <f ca="1" t="shared" si="410"/>
        <v>0</v>
      </c>
    </row>
    <row r="794" ht="15" spans="2:15">
      <c r="B794" s="410"/>
      <c r="C794" s="418" t="s">
        <v>785</v>
      </c>
      <c r="D794" s="412"/>
      <c r="E794" s="416"/>
      <c r="F794" s="414">
        <f ca="1" t="shared" si="404"/>
        <v>0</v>
      </c>
      <c r="G794" s="414">
        <f ca="1" t="shared" si="404"/>
        <v>0</v>
      </c>
      <c r="H794" s="414">
        <f ca="1" t="shared" si="404"/>
        <v>0</v>
      </c>
      <c r="I794" s="414">
        <f ca="1" t="shared" si="404"/>
        <v>0</v>
      </c>
      <c r="J794" s="414">
        <f ca="1" t="shared" si="404"/>
        <v>0</v>
      </c>
      <c r="K794" s="414">
        <f ca="1" t="shared" si="404"/>
        <v>0</v>
      </c>
      <c r="L794" s="414">
        <f ca="1" t="shared" si="404"/>
        <v>0</v>
      </c>
      <c r="M794" s="414">
        <f ca="1" t="shared" si="404"/>
        <v>0</v>
      </c>
      <c r="N794" s="414">
        <f ca="1" t="shared" si="409"/>
        <v>0</v>
      </c>
      <c r="O794" s="414">
        <f ca="1" t="shared" si="410"/>
        <v>0</v>
      </c>
    </row>
    <row r="795" ht="15" spans="2:15">
      <c r="B795" s="410">
        <v>6</v>
      </c>
      <c r="C795" s="411" t="s">
        <v>786</v>
      </c>
      <c r="D795" s="412"/>
      <c r="E795" s="416"/>
      <c r="F795" s="414">
        <f ca="1" t="shared" ref="F795:M810" si="411">10%*F161</f>
        <v>0</v>
      </c>
      <c r="G795" s="414">
        <f ca="1" t="shared" si="411"/>
        <v>0</v>
      </c>
      <c r="H795" s="414">
        <f ca="1" t="shared" si="411"/>
        <v>0</v>
      </c>
      <c r="I795" s="414">
        <f ca="1" t="shared" si="411"/>
        <v>0</v>
      </c>
      <c r="J795" s="414">
        <f ca="1" t="shared" si="411"/>
        <v>0</v>
      </c>
      <c r="K795" s="414">
        <f ca="1" t="shared" si="411"/>
        <v>0</v>
      </c>
      <c r="L795" s="414">
        <f ca="1" t="shared" si="411"/>
        <v>0</v>
      </c>
      <c r="M795" s="414">
        <f ca="1" t="shared" si="411"/>
        <v>0</v>
      </c>
      <c r="N795" s="414">
        <f ca="1" t="shared" si="409"/>
        <v>0</v>
      </c>
      <c r="O795" s="414">
        <f ca="1" t="shared" si="410"/>
        <v>0</v>
      </c>
    </row>
    <row r="796" ht="15" spans="2:15">
      <c r="B796" s="410">
        <v>7</v>
      </c>
      <c r="C796" s="411" t="s">
        <v>787</v>
      </c>
      <c r="D796" s="412"/>
      <c r="E796" s="416"/>
      <c r="F796" s="414">
        <f ca="1" t="shared" si="411"/>
        <v>0</v>
      </c>
      <c r="G796" s="414">
        <f ca="1" t="shared" si="411"/>
        <v>0</v>
      </c>
      <c r="H796" s="414">
        <f ca="1" t="shared" si="411"/>
        <v>0</v>
      </c>
      <c r="I796" s="414">
        <f ca="1" t="shared" si="411"/>
        <v>0</v>
      </c>
      <c r="J796" s="414">
        <f ca="1" t="shared" si="411"/>
        <v>0</v>
      </c>
      <c r="K796" s="414">
        <f ca="1" t="shared" si="411"/>
        <v>0</v>
      </c>
      <c r="L796" s="414">
        <f ca="1" t="shared" si="411"/>
        <v>0</v>
      </c>
      <c r="M796" s="414">
        <f ca="1" t="shared" si="411"/>
        <v>0</v>
      </c>
      <c r="N796" s="414">
        <f ca="1" t="shared" si="409"/>
        <v>0</v>
      </c>
      <c r="O796" s="414">
        <f ca="1" t="shared" si="410"/>
        <v>0</v>
      </c>
    </row>
    <row r="797" ht="15" spans="2:15">
      <c r="B797" s="410">
        <v>8</v>
      </c>
      <c r="C797" s="411" t="s">
        <v>788</v>
      </c>
      <c r="D797" s="412"/>
      <c r="E797" s="416"/>
      <c r="F797" s="414">
        <f t="shared" si="411"/>
        <v>0</v>
      </c>
      <c r="G797" s="414">
        <f t="shared" si="411"/>
        <v>0</v>
      </c>
      <c r="H797" s="414">
        <f t="shared" si="411"/>
        <v>0</v>
      </c>
      <c r="I797" s="414">
        <f t="shared" si="411"/>
        <v>0</v>
      </c>
      <c r="J797" s="414">
        <f t="shared" si="411"/>
        <v>0</v>
      </c>
      <c r="K797" s="414">
        <f t="shared" si="411"/>
        <v>0</v>
      </c>
      <c r="L797" s="414">
        <f t="shared" si="411"/>
        <v>0</v>
      </c>
      <c r="M797" s="414">
        <f t="shared" si="411"/>
        <v>0</v>
      </c>
      <c r="N797" s="414"/>
      <c r="O797" s="414"/>
    </row>
    <row r="798" ht="15" spans="2:15">
      <c r="B798" s="410"/>
      <c r="C798" s="418" t="s">
        <v>789</v>
      </c>
      <c r="D798" s="412"/>
      <c r="E798" s="416"/>
      <c r="F798" s="414">
        <f ca="1" t="shared" si="411"/>
        <v>1112.57351457927</v>
      </c>
      <c r="G798" s="414">
        <f t="shared" si="411"/>
        <v>127.460802090028</v>
      </c>
      <c r="H798" s="414">
        <f ca="1" t="shared" si="411"/>
        <v>0</v>
      </c>
      <c r="I798" s="414">
        <f ca="1" t="shared" si="411"/>
        <v>1240.0343166693</v>
      </c>
      <c r="J798" s="414">
        <f ca="1" t="shared" si="411"/>
        <v>489.427950957997</v>
      </c>
      <c r="K798" s="414">
        <f t="shared" si="411"/>
        <v>40.4584440034846</v>
      </c>
      <c r="L798" s="414">
        <f ca="1" t="shared" si="411"/>
        <v>0</v>
      </c>
      <c r="M798" s="414">
        <f ca="1" t="shared" si="411"/>
        <v>529.886394961482</v>
      </c>
      <c r="N798" s="414">
        <f ca="1" t="shared" ref="N798:O802" si="412">F798-J798</f>
        <v>623.145563621271</v>
      </c>
      <c r="O798" s="414">
        <f ca="1" t="shared" ref="O798:O800" si="413">I798-M798</f>
        <v>710.147921707814</v>
      </c>
    </row>
    <row r="799" ht="15" spans="2:15">
      <c r="B799" s="410"/>
      <c r="C799" s="418" t="s">
        <v>808</v>
      </c>
      <c r="D799" s="412"/>
      <c r="E799" s="416"/>
      <c r="F799" s="414">
        <f ca="1" t="shared" si="411"/>
        <v>0</v>
      </c>
      <c r="G799" s="414">
        <f ca="1" t="shared" si="411"/>
        <v>0</v>
      </c>
      <c r="H799" s="414">
        <f ca="1" t="shared" si="411"/>
        <v>0</v>
      </c>
      <c r="I799" s="414">
        <f ca="1" t="shared" si="411"/>
        <v>0</v>
      </c>
      <c r="J799" s="414">
        <f ca="1" t="shared" si="411"/>
        <v>0</v>
      </c>
      <c r="K799" s="414">
        <f ca="1" t="shared" si="411"/>
        <v>0</v>
      </c>
      <c r="L799" s="414">
        <f ca="1" t="shared" si="411"/>
        <v>0</v>
      </c>
      <c r="M799" s="414">
        <f ca="1" t="shared" si="411"/>
        <v>0</v>
      </c>
      <c r="N799" s="414">
        <f ca="1" t="shared" si="412"/>
        <v>0</v>
      </c>
      <c r="O799" s="414">
        <f ca="1" t="shared" si="413"/>
        <v>0</v>
      </c>
    </row>
    <row r="800" ht="30" spans="2:15">
      <c r="B800" s="420">
        <v>9</v>
      </c>
      <c r="C800" s="421" t="s">
        <v>791</v>
      </c>
      <c r="D800" s="412"/>
      <c r="E800" s="416"/>
      <c r="F800" s="414">
        <f ca="1" t="shared" si="411"/>
        <v>0</v>
      </c>
      <c r="G800" s="414">
        <f ca="1" t="shared" si="411"/>
        <v>0</v>
      </c>
      <c r="H800" s="414">
        <f ca="1" t="shared" si="411"/>
        <v>0</v>
      </c>
      <c r="I800" s="414">
        <f ca="1" t="shared" si="411"/>
        <v>0</v>
      </c>
      <c r="J800" s="414">
        <f ca="1" t="shared" si="411"/>
        <v>0</v>
      </c>
      <c r="K800" s="414">
        <f ca="1" t="shared" si="411"/>
        <v>0</v>
      </c>
      <c r="L800" s="414">
        <f ca="1" t="shared" si="411"/>
        <v>0</v>
      </c>
      <c r="M800" s="414">
        <f ca="1" t="shared" si="411"/>
        <v>0</v>
      </c>
      <c r="N800" s="414">
        <f ca="1" t="shared" si="412"/>
        <v>0</v>
      </c>
      <c r="O800" s="414">
        <f ca="1" t="shared" si="413"/>
        <v>0</v>
      </c>
    </row>
    <row r="801" ht="15" spans="2:15">
      <c r="B801" s="422">
        <v>10</v>
      </c>
      <c r="C801" s="423" t="s">
        <v>792</v>
      </c>
      <c r="D801" s="424"/>
      <c r="E801" s="416"/>
      <c r="F801" s="414">
        <f ca="1" t="shared" si="411"/>
        <v>198.999237518641</v>
      </c>
      <c r="G801" s="414">
        <f t="shared" si="411"/>
        <v>8.47807027721061</v>
      </c>
      <c r="H801" s="414">
        <f ca="1" t="shared" si="411"/>
        <v>0</v>
      </c>
      <c r="I801" s="414">
        <f ca="1" t="shared" si="411"/>
        <v>207.477307795851</v>
      </c>
      <c r="J801" s="414">
        <f ca="1" t="shared" si="411"/>
        <v>126.591879858004</v>
      </c>
      <c r="K801" s="414">
        <f t="shared" si="411"/>
        <v>5.94955205588713</v>
      </c>
      <c r="L801" s="414">
        <f ca="1" t="shared" si="411"/>
        <v>0</v>
      </c>
      <c r="M801" s="414">
        <f ca="1" t="shared" si="411"/>
        <v>132.541431913892</v>
      </c>
      <c r="N801" s="414">
        <f ca="1" t="shared" si="412"/>
        <v>72.4073576606361</v>
      </c>
      <c r="O801" s="414">
        <f t="shared" si="412"/>
        <v>2.52851822132348</v>
      </c>
    </row>
    <row r="802" ht="15" spans="2:15">
      <c r="B802" s="422">
        <v>11</v>
      </c>
      <c r="C802" s="423" t="s">
        <v>793</v>
      </c>
      <c r="D802" s="424"/>
      <c r="E802" s="416"/>
      <c r="F802" s="414">
        <f ca="1" t="shared" si="411"/>
        <v>0.708</v>
      </c>
      <c r="G802" s="414">
        <f ca="1" t="shared" si="411"/>
        <v>0</v>
      </c>
      <c r="H802" s="414">
        <f ca="1" t="shared" si="411"/>
        <v>0</v>
      </c>
      <c r="I802" s="414">
        <f ca="1" t="shared" si="411"/>
        <v>0.708</v>
      </c>
      <c r="J802" s="414">
        <f ca="1" t="shared" si="411"/>
        <v>0.6392199932</v>
      </c>
      <c r="K802" s="414">
        <f t="shared" si="411"/>
        <v>0</v>
      </c>
      <c r="L802" s="414">
        <f ca="1" t="shared" si="411"/>
        <v>0</v>
      </c>
      <c r="M802" s="414">
        <f ca="1" t="shared" si="411"/>
        <v>0.6392199932</v>
      </c>
      <c r="N802" s="414">
        <f ca="1" t="shared" si="412"/>
        <v>0.0687800068000001</v>
      </c>
      <c r="O802" s="414">
        <f ca="1" t="shared" si="412"/>
        <v>0</v>
      </c>
    </row>
    <row r="803" ht="15" spans="2:15">
      <c r="B803" s="422">
        <v>12</v>
      </c>
      <c r="C803" s="423" t="s">
        <v>794</v>
      </c>
      <c r="D803" s="424"/>
      <c r="E803" s="416"/>
      <c r="F803" s="414">
        <f t="shared" si="411"/>
        <v>0</v>
      </c>
      <c r="G803" s="414">
        <f t="shared" si="411"/>
        <v>0</v>
      </c>
      <c r="H803" s="414">
        <f t="shared" si="411"/>
        <v>0</v>
      </c>
      <c r="I803" s="414">
        <f t="shared" si="411"/>
        <v>0</v>
      </c>
      <c r="J803" s="414">
        <f t="shared" si="411"/>
        <v>0</v>
      </c>
      <c r="K803" s="414">
        <f t="shared" si="411"/>
        <v>0</v>
      </c>
      <c r="L803" s="414">
        <f t="shared" si="411"/>
        <v>0</v>
      </c>
      <c r="M803" s="414">
        <f t="shared" si="411"/>
        <v>0</v>
      </c>
      <c r="N803" s="414"/>
      <c r="O803" s="414"/>
    </row>
    <row r="804" ht="15" spans="2:15">
      <c r="B804" s="422"/>
      <c r="C804" s="425" t="s">
        <v>795</v>
      </c>
      <c r="D804" s="424"/>
      <c r="E804" s="416"/>
      <c r="F804" s="414">
        <f ca="1" t="shared" si="411"/>
        <v>0.26</v>
      </c>
      <c r="G804" s="414">
        <f ca="1" t="shared" si="411"/>
        <v>0</v>
      </c>
      <c r="H804" s="414">
        <f ca="1" t="shared" si="411"/>
        <v>0</v>
      </c>
      <c r="I804" s="414">
        <f ca="1" t="shared" si="411"/>
        <v>0.26</v>
      </c>
      <c r="J804" s="414">
        <f ca="1" t="shared" si="411"/>
        <v>0.1701644132</v>
      </c>
      <c r="K804" s="414">
        <f ca="1" t="shared" si="411"/>
        <v>0</v>
      </c>
      <c r="L804" s="414">
        <f ca="1" t="shared" si="411"/>
        <v>0</v>
      </c>
      <c r="M804" s="414">
        <f ca="1" t="shared" si="411"/>
        <v>0.1701644132</v>
      </c>
      <c r="N804" s="414">
        <f ca="1" t="shared" ref="N804:O805" si="414">F804-J804</f>
        <v>0.0898355868</v>
      </c>
      <c r="O804" s="414">
        <f ca="1" t="shared" si="414"/>
        <v>0</v>
      </c>
    </row>
    <row r="805" ht="15" spans="2:15">
      <c r="B805" s="422"/>
      <c r="C805" s="425" t="s">
        <v>796</v>
      </c>
      <c r="D805" s="424"/>
      <c r="E805" s="416"/>
      <c r="F805" s="414">
        <f ca="1" t="shared" si="411"/>
        <v>0</v>
      </c>
      <c r="G805" s="414">
        <f ca="1" t="shared" si="411"/>
        <v>0</v>
      </c>
      <c r="H805" s="414">
        <f ca="1" t="shared" si="411"/>
        <v>0</v>
      </c>
      <c r="I805" s="414">
        <f ca="1" t="shared" si="411"/>
        <v>0</v>
      </c>
      <c r="J805" s="414">
        <f ca="1" t="shared" si="411"/>
        <v>0</v>
      </c>
      <c r="K805" s="414">
        <f ca="1" t="shared" si="411"/>
        <v>0</v>
      </c>
      <c r="L805" s="414">
        <f ca="1" t="shared" si="411"/>
        <v>0</v>
      </c>
      <c r="M805" s="414">
        <f ca="1" t="shared" si="411"/>
        <v>0</v>
      </c>
      <c r="N805" s="414">
        <f ca="1" t="shared" si="414"/>
        <v>0</v>
      </c>
      <c r="O805" s="414">
        <f ca="1" t="shared" si="414"/>
        <v>0</v>
      </c>
    </row>
    <row r="806" ht="15" spans="2:15">
      <c r="B806" s="422">
        <v>13</v>
      </c>
      <c r="C806" s="425"/>
      <c r="D806" s="424"/>
      <c r="E806" s="416"/>
      <c r="F806" s="414">
        <f t="shared" si="411"/>
        <v>0</v>
      </c>
      <c r="G806" s="414">
        <f t="shared" si="411"/>
        <v>0</v>
      </c>
      <c r="H806" s="414">
        <f t="shared" si="411"/>
        <v>0</v>
      </c>
      <c r="I806" s="414">
        <f t="shared" si="411"/>
        <v>0</v>
      </c>
      <c r="J806" s="414">
        <f t="shared" si="411"/>
        <v>0</v>
      </c>
      <c r="K806" s="414">
        <f t="shared" si="411"/>
        <v>0</v>
      </c>
      <c r="L806" s="414">
        <f t="shared" si="411"/>
        <v>0</v>
      </c>
      <c r="M806" s="414">
        <f t="shared" si="411"/>
        <v>0</v>
      </c>
      <c r="N806" s="414"/>
      <c r="O806" s="414"/>
    </row>
    <row r="807" ht="15" spans="2:15">
      <c r="B807" s="422"/>
      <c r="C807" s="425" t="s">
        <v>797</v>
      </c>
      <c r="D807" s="424"/>
      <c r="E807" s="416"/>
      <c r="F807" s="414">
        <f ca="1" t="shared" si="411"/>
        <v>1.725</v>
      </c>
      <c r="G807" s="414">
        <f ca="1" t="shared" si="411"/>
        <v>0</v>
      </c>
      <c r="H807" s="414">
        <f ca="1" t="shared" si="411"/>
        <v>0</v>
      </c>
      <c r="I807" s="414">
        <f ca="1" t="shared" si="411"/>
        <v>1.725</v>
      </c>
      <c r="J807" s="414">
        <f ca="1" t="shared" si="411"/>
        <v>1.2544191075</v>
      </c>
      <c r="K807" s="414">
        <f t="shared" si="411"/>
        <v>0.0472833391</v>
      </c>
      <c r="L807" s="414">
        <f ca="1" t="shared" si="411"/>
        <v>0</v>
      </c>
      <c r="M807" s="414">
        <f ca="1" t="shared" si="411"/>
        <v>1.3017024466</v>
      </c>
      <c r="N807" s="414">
        <f ca="1" t="shared" ref="N807:O810" si="415">F807-J807</f>
        <v>0.4705808925</v>
      </c>
      <c r="O807" s="414">
        <f ca="1" t="shared" si="415"/>
        <v>-0.0472833391</v>
      </c>
    </row>
    <row r="808" ht="15" spans="2:15">
      <c r="B808" s="422"/>
      <c r="C808" s="425" t="s">
        <v>798</v>
      </c>
      <c r="D808" s="424"/>
      <c r="E808" s="416"/>
      <c r="F808" s="414">
        <f ca="1" t="shared" si="411"/>
        <v>5.16678201566223</v>
      </c>
      <c r="G808" s="414">
        <f t="shared" si="411"/>
        <v>0.0155216287640751</v>
      </c>
      <c r="H808" s="414">
        <f ca="1" t="shared" si="411"/>
        <v>0</v>
      </c>
      <c r="I808" s="414">
        <f ca="1" t="shared" si="411"/>
        <v>5.18230364442631</v>
      </c>
      <c r="J808" s="414">
        <f ca="1" t="shared" si="411"/>
        <v>3.63833963866974</v>
      </c>
      <c r="K808" s="414">
        <f t="shared" si="411"/>
        <v>0.158589348803984</v>
      </c>
      <c r="L808" s="414">
        <f ca="1" t="shared" si="411"/>
        <v>0</v>
      </c>
      <c r="M808" s="414">
        <f ca="1" t="shared" si="411"/>
        <v>3.79692898747372</v>
      </c>
      <c r="N808" s="414">
        <f ca="1" t="shared" si="415"/>
        <v>1.52844237699249</v>
      </c>
      <c r="O808" s="414">
        <f t="shared" si="415"/>
        <v>-0.143067720039909</v>
      </c>
    </row>
    <row r="809" ht="15" spans="2:15">
      <c r="B809" s="422"/>
      <c r="C809" s="425" t="s">
        <v>799</v>
      </c>
      <c r="D809" s="424"/>
      <c r="E809" s="416"/>
      <c r="F809" s="414">
        <f ca="1" t="shared" si="411"/>
        <v>0</v>
      </c>
      <c r="G809" s="414">
        <f ca="1" t="shared" si="411"/>
        <v>0</v>
      </c>
      <c r="H809" s="414">
        <f ca="1" t="shared" si="411"/>
        <v>0</v>
      </c>
      <c r="I809" s="414">
        <f ca="1" t="shared" si="411"/>
        <v>0</v>
      </c>
      <c r="J809" s="414">
        <f ca="1" t="shared" si="411"/>
        <v>0</v>
      </c>
      <c r="K809" s="414">
        <f ca="1" t="shared" si="411"/>
        <v>0</v>
      </c>
      <c r="L809" s="414">
        <f ca="1" t="shared" si="411"/>
        <v>0</v>
      </c>
      <c r="M809" s="414">
        <f ca="1" t="shared" si="411"/>
        <v>0</v>
      </c>
      <c r="N809" s="414">
        <f ca="1" t="shared" si="415"/>
        <v>0</v>
      </c>
      <c r="O809" s="414">
        <f ca="1" t="shared" si="415"/>
        <v>0</v>
      </c>
    </row>
    <row r="810" ht="15" spans="2:15">
      <c r="B810" s="422"/>
      <c r="C810" s="425" t="s">
        <v>800</v>
      </c>
      <c r="D810" s="424"/>
      <c r="E810" s="416"/>
      <c r="F810" s="414">
        <f ca="1" t="shared" si="411"/>
        <v>0</v>
      </c>
      <c r="G810" s="414">
        <f ca="1" t="shared" si="411"/>
        <v>0</v>
      </c>
      <c r="H810" s="414">
        <f ca="1" t="shared" si="411"/>
        <v>0</v>
      </c>
      <c r="I810" s="414">
        <f ca="1" t="shared" si="411"/>
        <v>0</v>
      </c>
      <c r="J810" s="414">
        <f ca="1" t="shared" si="411"/>
        <v>0</v>
      </c>
      <c r="K810" s="414">
        <f ca="1" t="shared" si="411"/>
        <v>0</v>
      </c>
      <c r="L810" s="414">
        <f ca="1" t="shared" si="411"/>
        <v>0</v>
      </c>
      <c r="M810" s="414">
        <f ca="1" t="shared" si="411"/>
        <v>0</v>
      </c>
      <c r="N810" s="414">
        <f ca="1" t="shared" si="415"/>
        <v>0</v>
      </c>
      <c r="O810" s="414">
        <f ca="1" t="shared" si="415"/>
        <v>0</v>
      </c>
    </row>
    <row r="811" ht="15" spans="2:15">
      <c r="B811" s="422">
        <v>14</v>
      </c>
      <c r="C811" s="423" t="s">
        <v>801</v>
      </c>
      <c r="D811" s="424"/>
      <c r="E811" s="416"/>
      <c r="F811" s="414">
        <f t="shared" ref="F811:M817" si="416">10%*F177</f>
        <v>0</v>
      </c>
      <c r="G811" s="414">
        <f t="shared" si="416"/>
        <v>0</v>
      </c>
      <c r="H811" s="414">
        <f t="shared" si="416"/>
        <v>0</v>
      </c>
      <c r="I811" s="414">
        <f t="shared" si="416"/>
        <v>0</v>
      </c>
      <c r="J811" s="414">
        <f t="shared" si="416"/>
        <v>0</v>
      </c>
      <c r="K811" s="414">
        <f t="shared" si="416"/>
        <v>0</v>
      </c>
      <c r="L811" s="414">
        <f t="shared" si="416"/>
        <v>0</v>
      </c>
      <c r="M811" s="414">
        <f t="shared" si="416"/>
        <v>0</v>
      </c>
      <c r="N811" s="414"/>
      <c r="O811" s="414"/>
    </row>
    <row r="812" ht="15" spans="2:15">
      <c r="B812" s="422"/>
      <c r="C812" s="425" t="s">
        <v>802</v>
      </c>
      <c r="D812" s="424"/>
      <c r="E812" s="416"/>
      <c r="F812" s="414">
        <f ca="1" t="shared" si="416"/>
        <v>0</v>
      </c>
      <c r="G812" s="414">
        <f ca="1" t="shared" si="416"/>
        <v>0</v>
      </c>
      <c r="H812" s="414">
        <f ca="1" t="shared" si="416"/>
        <v>0</v>
      </c>
      <c r="I812" s="414">
        <f ca="1" t="shared" si="416"/>
        <v>0</v>
      </c>
      <c r="J812" s="414">
        <f ca="1" t="shared" si="416"/>
        <v>0</v>
      </c>
      <c r="K812" s="414">
        <f ca="1" t="shared" si="416"/>
        <v>0</v>
      </c>
      <c r="L812" s="414">
        <f ca="1" t="shared" si="416"/>
        <v>0</v>
      </c>
      <c r="M812" s="414">
        <f ca="1" t="shared" si="416"/>
        <v>0</v>
      </c>
      <c r="N812" s="414">
        <f ca="1" t="shared" ref="N812:O817" si="417">F812-J812</f>
        <v>0</v>
      </c>
      <c r="O812" s="414">
        <f ca="1" t="shared" si="417"/>
        <v>0</v>
      </c>
    </row>
    <row r="813" ht="15" spans="2:15">
      <c r="B813" s="422"/>
      <c r="C813" s="425" t="s">
        <v>803</v>
      </c>
      <c r="D813" s="424"/>
      <c r="E813" s="416"/>
      <c r="F813" s="414">
        <f ca="1" t="shared" si="416"/>
        <v>0</v>
      </c>
      <c r="G813" s="414">
        <f ca="1" t="shared" si="416"/>
        <v>0</v>
      </c>
      <c r="H813" s="414">
        <f ca="1" t="shared" si="416"/>
        <v>0</v>
      </c>
      <c r="I813" s="414">
        <f ca="1" t="shared" si="416"/>
        <v>0</v>
      </c>
      <c r="J813" s="414">
        <f ca="1" t="shared" si="416"/>
        <v>0</v>
      </c>
      <c r="K813" s="414">
        <f ca="1" t="shared" si="416"/>
        <v>0</v>
      </c>
      <c r="L813" s="414">
        <f ca="1" t="shared" si="416"/>
        <v>0</v>
      </c>
      <c r="M813" s="414">
        <f ca="1" t="shared" si="416"/>
        <v>0</v>
      </c>
      <c r="N813" s="414">
        <f ca="1" t="shared" si="417"/>
        <v>0</v>
      </c>
      <c r="O813" s="414">
        <f ca="1" t="shared" si="417"/>
        <v>0</v>
      </c>
    </row>
    <row r="814" ht="15" spans="2:15">
      <c r="B814" s="422"/>
      <c r="C814" s="425" t="s">
        <v>804</v>
      </c>
      <c r="D814" s="424"/>
      <c r="E814" s="416"/>
      <c r="F814" s="414">
        <f ca="1" t="shared" si="416"/>
        <v>0</v>
      </c>
      <c r="G814" s="414">
        <f ca="1" t="shared" si="416"/>
        <v>0</v>
      </c>
      <c r="H814" s="414">
        <f ca="1" t="shared" si="416"/>
        <v>0</v>
      </c>
      <c r="I814" s="414">
        <f ca="1" t="shared" si="416"/>
        <v>0</v>
      </c>
      <c r="J814" s="414">
        <f ca="1" t="shared" si="416"/>
        <v>0</v>
      </c>
      <c r="K814" s="414">
        <f ca="1" t="shared" si="416"/>
        <v>0</v>
      </c>
      <c r="L814" s="414">
        <f ca="1" t="shared" si="416"/>
        <v>0</v>
      </c>
      <c r="M814" s="414">
        <f ca="1" t="shared" si="416"/>
        <v>0</v>
      </c>
      <c r="N814" s="414">
        <f ca="1" t="shared" si="417"/>
        <v>0</v>
      </c>
      <c r="O814" s="414">
        <f ca="1" t="shared" si="417"/>
        <v>0</v>
      </c>
    </row>
    <row r="815" ht="15" spans="2:15">
      <c r="B815" s="422">
        <v>15</v>
      </c>
      <c r="C815" s="423" t="s">
        <v>805</v>
      </c>
      <c r="D815" s="424"/>
      <c r="E815" s="416"/>
      <c r="F815" s="414">
        <f ca="1" t="shared" si="416"/>
        <v>20.8949199629183</v>
      </c>
      <c r="G815" s="414">
        <f t="shared" si="416"/>
        <v>1.21898557119299</v>
      </c>
      <c r="H815" s="414">
        <f ca="1" t="shared" si="416"/>
        <v>0</v>
      </c>
      <c r="I815" s="414">
        <f ca="1" t="shared" si="416"/>
        <v>22.1139055341113</v>
      </c>
      <c r="J815" s="414">
        <f ca="1" t="shared" si="416"/>
        <v>17.1511736195279</v>
      </c>
      <c r="K815" s="414">
        <f t="shared" si="416"/>
        <v>0.999237306277221</v>
      </c>
      <c r="L815" s="414">
        <f ca="1" t="shared" si="416"/>
        <v>0</v>
      </c>
      <c r="M815" s="414">
        <f ca="1" t="shared" si="416"/>
        <v>18.1504109258051</v>
      </c>
      <c r="N815" s="414">
        <f ca="1" t="shared" si="417"/>
        <v>3.74374634339043</v>
      </c>
      <c r="O815" s="414">
        <f t="shared" si="417"/>
        <v>0.219748264915769</v>
      </c>
    </row>
    <row r="816" ht="15" spans="2:15">
      <c r="B816" s="422">
        <v>16</v>
      </c>
      <c r="C816" s="423" t="s">
        <v>806</v>
      </c>
      <c r="D816" s="412"/>
      <c r="E816" s="416"/>
      <c r="F816" s="414">
        <f ca="1" t="shared" si="416"/>
        <v>7.08</v>
      </c>
      <c r="G816" s="414">
        <f ca="1" t="shared" si="416"/>
        <v>0</v>
      </c>
      <c r="H816" s="414">
        <f ca="1" t="shared" si="416"/>
        <v>0</v>
      </c>
      <c r="I816" s="414">
        <f ca="1" t="shared" si="416"/>
        <v>7.08</v>
      </c>
      <c r="J816" s="414">
        <f ca="1" t="shared" si="416"/>
        <v>5.842094277</v>
      </c>
      <c r="K816" s="414">
        <f t="shared" si="416"/>
        <v>0.4466468187</v>
      </c>
      <c r="L816" s="414">
        <f t="shared" si="416"/>
        <v>0</v>
      </c>
      <c r="M816" s="414">
        <f ca="1" t="shared" si="416"/>
        <v>6.2887410957</v>
      </c>
      <c r="N816" s="414">
        <f ca="1" t="shared" si="417"/>
        <v>1.237905723</v>
      </c>
      <c r="O816" s="414">
        <f ca="1" t="shared" si="417"/>
        <v>-0.4466468187</v>
      </c>
    </row>
    <row r="817" ht="15" spans="2:15">
      <c r="B817" s="422">
        <v>17</v>
      </c>
      <c r="C817" s="423" t="s">
        <v>807</v>
      </c>
      <c r="D817" s="412"/>
      <c r="E817" s="426"/>
      <c r="F817" s="414">
        <f ca="1" t="shared" si="416"/>
        <v>0</v>
      </c>
      <c r="G817" s="414">
        <f ca="1" t="shared" si="416"/>
        <v>0</v>
      </c>
      <c r="H817" s="414">
        <f ca="1" t="shared" si="416"/>
        <v>0</v>
      </c>
      <c r="I817" s="414">
        <f ca="1" t="shared" si="416"/>
        <v>0</v>
      </c>
      <c r="J817" s="414">
        <f ca="1" t="shared" si="416"/>
        <v>0</v>
      </c>
      <c r="K817" s="414">
        <f ca="1" t="shared" si="416"/>
        <v>0</v>
      </c>
      <c r="L817" s="414">
        <f ca="1" t="shared" si="416"/>
        <v>0</v>
      </c>
      <c r="M817" s="414">
        <f ca="1" t="shared" si="416"/>
        <v>0</v>
      </c>
      <c r="N817" s="414">
        <f ca="1" t="shared" si="417"/>
        <v>0</v>
      </c>
      <c r="O817" s="414">
        <f ca="1" t="shared" si="417"/>
        <v>0</v>
      </c>
    </row>
    <row r="818" ht="15.75" spans="2:15">
      <c r="B818" s="427"/>
      <c r="C818" s="428" t="s">
        <v>97</v>
      </c>
      <c r="D818" s="428"/>
      <c r="E818" s="429"/>
      <c r="F818" s="430">
        <f ca="1">SUM(F778:F817)</f>
        <v>2536.42831965863</v>
      </c>
      <c r="G818" s="430">
        <f ca="1" t="shared" ref="G818:O818" si="418">SUM(G778:G817)</f>
        <v>257.011665547445</v>
      </c>
      <c r="H818" s="430">
        <f ca="1" t="shared" si="418"/>
        <v>0</v>
      </c>
      <c r="I818" s="430">
        <f ca="1" t="shared" si="418"/>
        <v>2793.43998520608</v>
      </c>
      <c r="J818" s="430">
        <f ca="1" t="shared" si="418"/>
        <v>1216.89154327611</v>
      </c>
      <c r="K818" s="430">
        <f ca="1" t="shared" si="418"/>
        <v>92.3118777895957</v>
      </c>
      <c r="L818" s="430">
        <f ca="1" t="shared" si="418"/>
        <v>0</v>
      </c>
      <c r="M818" s="430">
        <f ca="1" t="shared" si="418"/>
        <v>1309.20342106571</v>
      </c>
      <c r="N818" s="430">
        <f ca="1" t="shared" si="418"/>
        <v>1319.53677638252</v>
      </c>
      <c r="O818" s="430">
        <f ca="1" t="shared" si="418"/>
        <v>1404.68991555025</v>
      </c>
    </row>
    <row r="820" ht="15" hidden="1" spans="2:15">
      <c r="B820" s="431" t="s">
        <v>655</v>
      </c>
      <c r="C820" s="432"/>
      <c r="D820" s="432"/>
      <c r="E820" s="432"/>
      <c r="F820" s="432"/>
      <c r="G820" s="432"/>
      <c r="H820" s="432"/>
      <c r="I820" s="432"/>
      <c r="J820" s="432"/>
      <c r="K820" s="432"/>
      <c r="L820" s="432"/>
      <c r="M820" s="432"/>
      <c r="N820" s="432"/>
      <c r="O820" s="442"/>
    </row>
    <row r="821" ht="15" hidden="1" spans="2:15">
      <c r="B821" s="406" t="s">
        <v>564</v>
      </c>
      <c r="C821" s="980" t="s">
        <v>671</v>
      </c>
      <c r="D821" s="408" t="s">
        <v>672</v>
      </c>
      <c r="E821" s="408" t="s">
        <v>673</v>
      </c>
      <c r="F821" s="408" t="s">
        <v>674</v>
      </c>
      <c r="G821" s="408"/>
      <c r="H821" s="408"/>
      <c r="I821" s="408"/>
      <c r="J821" s="408" t="s">
        <v>675</v>
      </c>
      <c r="K821" s="408"/>
      <c r="L821" s="408"/>
      <c r="M821" s="408"/>
      <c r="N821" s="408" t="s">
        <v>676</v>
      </c>
      <c r="O821" s="440"/>
    </row>
    <row r="822" ht="60.75" hidden="1" spans="2:15">
      <c r="B822" s="433"/>
      <c r="C822" s="434"/>
      <c r="D822" s="435"/>
      <c r="E822" s="435"/>
      <c r="F822" s="435" t="s">
        <v>677</v>
      </c>
      <c r="G822" s="435" t="s">
        <v>678</v>
      </c>
      <c r="H822" s="435" t="s">
        <v>679</v>
      </c>
      <c r="I822" s="435" t="s">
        <v>680</v>
      </c>
      <c r="J822" s="435" t="s">
        <v>681</v>
      </c>
      <c r="K822" s="435" t="s">
        <v>678</v>
      </c>
      <c r="L822" s="435" t="s">
        <v>682</v>
      </c>
      <c r="M822" s="435" t="s">
        <v>683</v>
      </c>
      <c r="N822" s="435" t="s">
        <v>677</v>
      </c>
      <c r="O822" s="443" t="s">
        <v>680</v>
      </c>
    </row>
    <row r="823" ht="15" hidden="1" spans="2:15">
      <c r="B823" s="410">
        <v>1</v>
      </c>
      <c r="C823" s="411" t="s">
        <v>684</v>
      </c>
      <c r="D823" s="405"/>
      <c r="E823" s="437"/>
      <c r="F823" s="414">
        <f ca="1">10%*F189</f>
        <v>16.7898628669744</v>
      </c>
      <c r="G823" s="414">
        <f t="shared" ref="G823:M823" si="419">10%*G189</f>
        <v>7.38762959892847</v>
      </c>
      <c r="H823" s="414">
        <f ca="1" t="shared" si="419"/>
        <v>0</v>
      </c>
      <c r="I823" s="414">
        <f ca="1" t="shared" si="419"/>
        <v>24.1774924659029</v>
      </c>
      <c r="J823" s="414">
        <f ca="1" t="shared" si="419"/>
        <v>0.000489906200000156</v>
      </c>
      <c r="K823" s="414">
        <f t="shared" si="419"/>
        <v>0</v>
      </c>
      <c r="L823" s="414">
        <f ca="1" t="shared" si="419"/>
        <v>0</v>
      </c>
      <c r="M823" s="414">
        <f ca="1" t="shared" si="419"/>
        <v>0.000489906200000156</v>
      </c>
      <c r="N823" s="414">
        <f ca="1">F823-J823</f>
        <v>16.7893729607744</v>
      </c>
      <c r="O823" s="414">
        <f ca="1">I823-M823</f>
        <v>24.1770025597029</v>
      </c>
    </row>
    <row r="824" ht="15" hidden="1" spans="2:15">
      <c r="B824" s="410">
        <v>2</v>
      </c>
      <c r="C824" s="411" t="s">
        <v>770</v>
      </c>
      <c r="D824" s="476"/>
      <c r="E824" s="477"/>
      <c r="F824" s="414">
        <f ca="1" t="shared" ref="F824:M839" si="420">10%*F190</f>
        <v>0</v>
      </c>
      <c r="G824" s="414">
        <f ca="1" t="shared" si="420"/>
        <v>0</v>
      </c>
      <c r="H824" s="414">
        <f ca="1" t="shared" si="420"/>
        <v>0</v>
      </c>
      <c r="I824" s="414">
        <f ca="1" t="shared" si="420"/>
        <v>0</v>
      </c>
      <c r="J824" s="414">
        <f ca="1" t="shared" si="420"/>
        <v>0</v>
      </c>
      <c r="K824" s="414">
        <f ca="1" t="shared" si="420"/>
        <v>0</v>
      </c>
      <c r="L824" s="414">
        <f ca="1" t="shared" si="420"/>
        <v>0</v>
      </c>
      <c r="M824" s="414">
        <f ca="1" t="shared" si="420"/>
        <v>0</v>
      </c>
      <c r="N824" s="414">
        <f ca="1">F824-J824</f>
        <v>0</v>
      </c>
      <c r="O824" s="414">
        <f ca="1">I824-M824</f>
        <v>0</v>
      </c>
    </row>
    <row r="825" ht="15" hidden="1" spans="2:15">
      <c r="B825" s="410">
        <v>3</v>
      </c>
      <c r="C825" s="415" t="s">
        <v>771</v>
      </c>
      <c r="D825" s="412"/>
      <c r="E825" s="416"/>
      <c r="F825" s="414">
        <f t="shared" si="420"/>
        <v>0</v>
      </c>
      <c r="G825" s="414">
        <f t="shared" si="420"/>
        <v>0</v>
      </c>
      <c r="H825" s="414">
        <f t="shared" si="420"/>
        <v>0</v>
      </c>
      <c r="I825" s="414">
        <f t="shared" si="420"/>
        <v>0</v>
      </c>
      <c r="J825" s="414">
        <f t="shared" si="420"/>
        <v>0</v>
      </c>
      <c r="K825" s="414">
        <f t="shared" si="420"/>
        <v>0</v>
      </c>
      <c r="L825" s="414">
        <f t="shared" si="420"/>
        <v>0</v>
      </c>
      <c r="M825" s="414">
        <f t="shared" si="420"/>
        <v>0</v>
      </c>
      <c r="N825" s="414"/>
      <c r="O825" s="414"/>
    </row>
    <row r="826" ht="15" hidden="1" spans="2:15">
      <c r="B826" s="410"/>
      <c r="C826" s="417" t="s">
        <v>772</v>
      </c>
      <c r="D826" s="412"/>
      <c r="E826" s="416"/>
      <c r="F826" s="414">
        <f ca="1" t="shared" si="420"/>
        <v>50.912550412399</v>
      </c>
      <c r="G826" s="414">
        <f t="shared" si="420"/>
        <v>6.25794598163643</v>
      </c>
      <c r="H826" s="414">
        <f ca="1" t="shared" si="420"/>
        <v>0</v>
      </c>
      <c r="I826" s="414">
        <f ca="1" t="shared" si="420"/>
        <v>57.1704963940354</v>
      </c>
      <c r="J826" s="414">
        <f ca="1" t="shared" si="420"/>
        <v>17.8593074586479</v>
      </c>
      <c r="K826" s="414">
        <f t="shared" si="420"/>
        <v>2.06031743342208</v>
      </c>
      <c r="L826" s="414">
        <f ca="1" t="shared" si="420"/>
        <v>0</v>
      </c>
      <c r="M826" s="414">
        <f ca="1" t="shared" si="420"/>
        <v>19.91962489207</v>
      </c>
      <c r="N826" s="414">
        <f ca="1" t="shared" ref="N826:N829" si="421">F826-J826</f>
        <v>33.053242953751</v>
      </c>
      <c r="O826" s="414">
        <f ca="1" t="shared" ref="O826:O829" si="422">I826-M826</f>
        <v>37.2508715019654</v>
      </c>
    </row>
    <row r="827" ht="28.5" hidden="1" spans="2:15">
      <c r="B827" s="410"/>
      <c r="C827" s="417" t="s">
        <v>773</v>
      </c>
      <c r="D827" s="412"/>
      <c r="E827" s="416"/>
      <c r="F827" s="414">
        <f ca="1" t="shared" si="420"/>
        <v>0</v>
      </c>
      <c r="G827" s="414">
        <f ca="1" t="shared" si="420"/>
        <v>0</v>
      </c>
      <c r="H827" s="414">
        <f ca="1" t="shared" si="420"/>
        <v>0</v>
      </c>
      <c r="I827" s="414">
        <f ca="1" t="shared" si="420"/>
        <v>0</v>
      </c>
      <c r="J827" s="414">
        <f ca="1" t="shared" si="420"/>
        <v>0</v>
      </c>
      <c r="K827" s="414">
        <f ca="1" t="shared" si="420"/>
        <v>0</v>
      </c>
      <c r="L827" s="414">
        <f ca="1" t="shared" si="420"/>
        <v>0</v>
      </c>
      <c r="M827" s="414">
        <f ca="1" t="shared" si="420"/>
        <v>0</v>
      </c>
      <c r="N827" s="414">
        <f ca="1" t="shared" si="421"/>
        <v>0</v>
      </c>
      <c r="O827" s="414">
        <f ca="1" t="shared" si="422"/>
        <v>0</v>
      </c>
    </row>
    <row r="828" ht="15" hidden="1" spans="2:15">
      <c r="B828" s="410"/>
      <c r="C828" s="417" t="s">
        <v>774</v>
      </c>
      <c r="D828" s="412"/>
      <c r="E828" s="416"/>
      <c r="F828" s="414">
        <f ca="1" t="shared" si="420"/>
        <v>0</v>
      </c>
      <c r="G828" s="414">
        <f ca="1" t="shared" si="420"/>
        <v>0</v>
      </c>
      <c r="H828" s="414">
        <f ca="1" t="shared" si="420"/>
        <v>0</v>
      </c>
      <c r="I828" s="414">
        <f ca="1" t="shared" si="420"/>
        <v>0</v>
      </c>
      <c r="J828" s="414">
        <f ca="1" t="shared" si="420"/>
        <v>0</v>
      </c>
      <c r="K828" s="414">
        <f ca="1" t="shared" si="420"/>
        <v>0</v>
      </c>
      <c r="L828" s="414">
        <f ca="1" t="shared" si="420"/>
        <v>0</v>
      </c>
      <c r="M828" s="414">
        <f ca="1" t="shared" si="420"/>
        <v>0</v>
      </c>
      <c r="N828" s="414">
        <f ca="1" t="shared" si="421"/>
        <v>0</v>
      </c>
      <c r="O828" s="414">
        <f ca="1" t="shared" si="422"/>
        <v>0</v>
      </c>
    </row>
    <row r="829" ht="15" hidden="1" spans="2:15">
      <c r="B829" s="410"/>
      <c r="C829" s="417" t="s">
        <v>775</v>
      </c>
      <c r="D829" s="412"/>
      <c r="E829" s="416"/>
      <c r="F829" s="414">
        <f ca="1" t="shared" si="420"/>
        <v>22.108</v>
      </c>
      <c r="G829" s="414">
        <f ca="1" t="shared" si="420"/>
        <v>0</v>
      </c>
      <c r="H829" s="414">
        <f ca="1" t="shared" si="420"/>
        <v>0</v>
      </c>
      <c r="I829" s="414">
        <f ca="1" t="shared" si="420"/>
        <v>22.108</v>
      </c>
      <c r="J829" s="414">
        <f ca="1" t="shared" si="420"/>
        <v>4.4413445081</v>
      </c>
      <c r="K829" s="414">
        <f ca="1" t="shared" si="420"/>
        <v>0</v>
      </c>
      <c r="L829" s="414">
        <f ca="1" t="shared" si="420"/>
        <v>0</v>
      </c>
      <c r="M829" s="414">
        <f ca="1" t="shared" si="420"/>
        <v>4.4413445081</v>
      </c>
      <c r="N829" s="414">
        <f ca="1" t="shared" si="421"/>
        <v>17.6666554919</v>
      </c>
      <c r="O829" s="414">
        <f ca="1" t="shared" si="422"/>
        <v>17.6666554919</v>
      </c>
    </row>
    <row r="830" ht="15" hidden="1" spans="2:15">
      <c r="B830" s="410">
        <v>4</v>
      </c>
      <c r="C830" s="411" t="s">
        <v>776</v>
      </c>
      <c r="D830" s="412"/>
      <c r="E830" s="416"/>
      <c r="F830" s="414">
        <f t="shared" si="420"/>
        <v>0</v>
      </c>
      <c r="G830" s="414">
        <f t="shared" si="420"/>
        <v>0</v>
      </c>
      <c r="H830" s="414">
        <f t="shared" si="420"/>
        <v>0</v>
      </c>
      <c r="I830" s="414">
        <f t="shared" si="420"/>
        <v>0</v>
      </c>
      <c r="J830" s="414">
        <f t="shared" si="420"/>
        <v>0</v>
      </c>
      <c r="K830" s="414">
        <f t="shared" si="420"/>
        <v>0</v>
      </c>
      <c r="L830" s="414">
        <f t="shared" si="420"/>
        <v>0</v>
      </c>
      <c r="M830" s="414">
        <f t="shared" si="420"/>
        <v>0</v>
      </c>
      <c r="N830" s="414"/>
      <c r="O830" s="414"/>
    </row>
    <row r="831" ht="15" hidden="1" spans="2:15">
      <c r="B831" s="410"/>
      <c r="C831" s="418" t="s">
        <v>777</v>
      </c>
      <c r="D831" s="412"/>
      <c r="E831" s="416"/>
      <c r="F831" s="414">
        <f ca="1" t="shared" si="420"/>
        <v>1219.04873828302</v>
      </c>
      <c r="G831" s="414">
        <f t="shared" si="420"/>
        <v>148.607739011872</v>
      </c>
      <c r="H831" s="414">
        <f ca="1" t="shared" si="420"/>
        <v>0</v>
      </c>
      <c r="I831" s="414">
        <f ca="1" t="shared" si="420"/>
        <v>1367.65647729489</v>
      </c>
      <c r="J831" s="414">
        <f ca="1" t="shared" si="420"/>
        <v>594.127284455406</v>
      </c>
      <c r="K831" s="414">
        <f t="shared" si="420"/>
        <v>46.2754803045334</v>
      </c>
      <c r="L831" s="414">
        <f ca="1" t="shared" si="420"/>
        <v>0</v>
      </c>
      <c r="M831" s="414">
        <f ca="1" t="shared" si="420"/>
        <v>640.402764759939</v>
      </c>
      <c r="N831" s="414">
        <f ca="1" t="shared" ref="N831:N834" si="423">F831-J831</f>
        <v>624.921453827612</v>
      </c>
      <c r="O831" s="414">
        <f ca="1" t="shared" ref="O831:O834" si="424">I831-M831</f>
        <v>727.253712534951</v>
      </c>
    </row>
    <row r="832" ht="15" hidden="1" spans="2:15">
      <c r="B832" s="410"/>
      <c r="C832" s="411" t="s">
        <v>778</v>
      </c>
      <c r="D832" s="412"/>
      <c r="E832" s="416"/>
      <c r="F832" s="414">
        <f t="shared" si="420"/>
        <v>0</v>
      </c>
      <c r="G832" s="414">
        <f t="shared" si="420"/>
        <v>0</v>
      </c>
      <c r="H832" s="414">
        <f t="shared" si="420"/>
        <v>0</v>
      </c>
      <c r="I832" s="414">
        <f t="shared" si="420"/>
        <v>0</v>
      </c>
      <c r="J832" s="414">
        <f t="shared" si="420"/>
        <v>0</v>
      </c>
      <c r="K832" s="414">
        <f t="shared" si="420"/>
        <v>0</v>
      </c>
      <c r="L832" s="414">
        <f t="shared" si="420"/>
        <v>0</v>
      </c>
      <c r="M832" s="414">
        <f t="shared" si="420"/>
        <v>0</v>
      </c>
      <c r="N832" s="414"/>
      <c r="O832" s="414"/>
    </row>
    <row r="833" ht="15" hidden="1" spans="2:15">
      <c r="B833" s="410"/>
      <c r="C833" s="418" t="s">
        <v>779</v>
      </c>
      <c r="D833" s="412"/>
      <c r="E833" s="416"/>
      <c r="F833" s="414">
        <f ca="1" t="shared" si="420"/>
        <v>0</v>
      </c>
      <c r="G833" s="414">
        <f ca="1" t="shared" si="420"/>
        <v>0</v>
      </c>
      <c r="H833" s="414">
        <f ca="1" t="shared" si="420"/>
        <v>0</v>
      </c>
      <c r="I833" s="414">
        <f ca="1" t="shared" si="420"/>
        <v>0</v>
      </c>
      <c r="J833" s="414">
        <f ca="1" t="shared" si="420"/>
        <v>0</v>
      </c>
      <c r="K833" s="414">
        <f ca="1" t="shared" si="420"/>
        <v>0</v>
      </c>
      <c r="L833" s="414">
        <f ca="1" t="shared" si="420"/>
        <v>0</v>
      </c>
      <c r="M833" s="414">
        <f ca="1" t="shared" si="420"/>
        <v>0</v>
      </c>
      <c r="N833" s="414">
        <f ca="1" t="shared" si="423"/>
        <v>0</v>
      </c>
      <c r="O833" s="414">
        <f ca="1" t="shared" si="424"/>
        <v>0</v>
      </c>
    </row>
    <row r="834" ht="15" hidden="1" spans="2:15">
      <c r="B834" s="410"/>
      <c r="C834" s="418" t="s">
        <v>780</v>
      </c>
      <c r="D834" s="412"/>
      <c r="E834" s="416"/>
      <c r="F834" s="414">
        <f ca="1" t="shared" si="420"/>
        <v>0</v>
      </c>
      <c r="G834" s="414">
        <f ca="1" t="shared" si="420"/>
        <v>0</v>
      </c>
      <c r="H834" s="414">
        <f ca="1" t="shared" si="420"/>
        <v>0</v>
      </c>
      <c r="I834" s="414">
        <f ca="1" t="shared" si="420"/>
        <v>0</v>
      </c>
      <c r="J834" s="414">
        <f ca="1" t="shared" si="420"/>
        <v>0</v>
      </c>
      <c r="K834" s="414">
        <f ca="1" t="shared" si="420"/>
        <v>0</v>
      </c>
      <c r="L834" s="414">
        <f ca="1" t="shared" si="420"/>
        <v>0</v>
      </c>
      <c r="M834" s="414">
        <f ca="1" t="shared" si="420"/>
        <v>0</v>
      </c>
      <c r="N834" s="414">
        <f ca="1" t="shared" si="423"/>
        <v>0</v>
      </c>
      <c r="O834" s="414">
        <f ca="1" t="shared" si="424"/>
        <v>0</v>
      </c>
    </row>
    <row r="835" ht="15" hidden="1" spans="2:15">
      <c r="B835" s="410">
        <v>5</v>
      </c>
      <c r="C835" s="411" t="s">
        <v>781</v>
      </c>
      <c r="D835" s="412"/>
      <c r="E835" s="416"/>
      <c r="F835" s="414">
        <f t="shared" si="420"/>
        <v>0</v>
      </c>
      <c r="G835" s="414">
        <f t="shared" si="420"/>
        <v>0</v>
      </c>
      <c r="H835" s="414">
        <f t="shared" si="420"/>
        <v>0</v>
      </c>
      <c r="I835" s="414">
        <f t="shared" si="420"/>
        <v>0</v>
      </c>
      <c r="J835" s="414">
        <f t="shared" si="420"/>
        <v>0</v>
      </c>
      <c r="K835" s="414">
        <f t="shared" si="420"/>
        <v>0</v>
      </c>
      <c r="L835" s="414">
        <f t="shared" si="420"/>
        <v>0</v>
      </c>
      <c r="M835" s="414">
        <f t="shared" si="420"/>
        <v>0</v>
      </c>
      <c r="N835" s="414"/>
      <c r="O835" s="414"/>
    </row>
    <row r="836" ht="15" hidden="1" spans="2:15">
      <c r="B836" s="410"/>
      <c r="C836" s="418" t="s">
        <v>782</v>
      </c>
      <c r="D836" s="412"/>
      <c r="E836" s="416"/>
      <c r="F836" s="414">
        <f ca="1" t="shared" si="420"/>
        <v>0</v>
      </c>
      <c r="G836" s="414">
        <f ca="1" t="shared" si="420"/>
        <v>0</v>
      </c>
      <c r="H836" s="414">
        <f ca="1" t="shared" si="420"/>
        <v>0</v>
      </c>
      <c r="I836" s="414">
        <f ca="1" t="shared" si="420"/>
        <v>0</v>
      </c>
      <c r="J836" s="414">
        <f ca="1" t="shared" si="420"/>
        <v>0</v>
      </c>
      <c r="K836" s="414">
        <f ca="1" t="shared" si="420"/>
        <v>0</v>
      </c>
      <c r="L836" s="414">
        <f ca="1" t="shared" si="420"/>
        <v>0</v>
      </c>
      <c r="M836" s="414">
        <f ca="1" t="shared" si="420"/>
        <v>0</v>
      </c>
      <c r="N836" s="414">
        <f ca="1" t="shared" ref="N836:N841" si="425">F836-J836</f>
        <v>0</v>
      </c>
      <c r="O836" s="414">
        <f ca="1" t="shared" ref="O836:O841" si="426">I836-M836</f>
        <v>0</v>
      </c>
    </row>
    <row r="837" ht="15" hidden="1" spans="2:15">
      <c r="B837" s="410"/>
      <c r="C837" s="418" t="s">
        <v>783</v>
      </c>
      <c r="D837" s="412"/>
      <c r="E837" s="416"/>
      <c r="F837" s="414">
        <f ca="1" t="shared" si="420"/>
        <v>0</v>
      </c>
      <c r="G837" s="414">
        <f ca="1" t="shared" si="420"/>
        <v>0</v>
      </c>
      <c r="H837" s="414">
        <f ca="1" t="shared" si="420"/>
        <v>0</v>
      </c>
      <c r="I837" s="414">
        <f ca="1" t="shared" si="420"/>
        <v>0</v>
      </c>
      <c r="J837" s="414">
        <f ca="1" t="shared" si="420"/>
        <v>0</v>
      </c>
      <c r="K837" s="414">
        <f ca="1" t="shared" si="420"/>
        <v>0</v>
      </c>
      <c r="L837" s="414">
        <f ca="1" t="shared" si="420"/>
        <v>0</v>
      </c>
      <c r="M837" s="414">
        <f ca="1" t="shared" si="420"/>
        <v>0</v>
      </c>
      <c r="N837" s="414">
        <f ca="1" t="shared" si="425"/>
        <v>0</v>
      </c>
      <c r="O837" s="414">
        <f ca="1" t="shared" si="426"/>
        <v>0</v>
      </c>
    </row>
    <row r="838" ht="15" hidden="1" spans="2:15">
      <c r="B838" s="410"/>
      <c r="C838" s="418" t="s">
        <v>784</v>
      </c>
      <c r="D838" s="412"/>
      <c r="E838" s="416"/>
      <c r="F838" s="414">
        <f ca="1" t="shared" si="420"/>
        <v>0</v>
      </c>
      <c r="G838" s="414">
        <f ca="1" t="shared" si="420"/>
        <v>0</v>
      </c>
      <c r="H838" s="414">
        <f ca="1" t="shared" si="420"/>
        <v>0</v>
      </c>
      <c r="I838" s="414">
        <f ca="1" t="shared" si="420"/>
        <v>0</v>
      </c>
      <c r="J838" s="414">
        <f ca="1" t="shared" si="420"/>
        <v>0</v>
      </c>
      <c r="K838" s="414">
        <f ca="1" t="shared" si="420"/>
        <v>0</v>
      </c>
      <c r="L838" s="414">
        <f ca="1" t="shared" si="420"/>
        <v>0</v>
      </c>
      <c r="M838" s="414">
        <f ca="1" t="shared" si="420"/>
        <v>0</v>
      </c>
      <c r="N838" s="414">
        <f ca="1" t="shared" si="425"/>
        <v>0</v>
      </c>
      <c r="O838" s="414">
        <f ca="1" t="shared" si="426"/>
        <v>0</v>
      </c>
    </row>
    <row r="839" ht="15" hidden="1" spans="2:15">
      <c r="B839" s="410"/>
      <c r="C839" s="418" t="s">
        <v>785</v>
      </c>
      <c r="D839" s="412"/>
      <c r="E839" s="416"/>
      <c r="F839" s="414">
        <f ca="1" t="shared" si="420"/>
        <v>0</v>
      </c>
      <c r="G839" s="414">
        <f ca="1" t="shared" si="420"/>
        <v>0</v>
      </c>
      <c r="H839" s="414">
        <f ca="1" t="shared" si="420"/>
        <v>0</v>
      </c>
      <c r="I839" s="414">
        <f ca="1" t="shared" si="420"/>
        <v>0</v>
      </c>
      <c r="J839" s="414">
        <f ca="1" t="shared" si="420"/>
        <v>0</v>
      </c>
      <c r="K839" s="414">
        <f ca="1" t="shared" si="420"/>
        <v>0</v>
      </c>
      <c r="L839" s="414">
        <f ca="1" t="shared" si="420"/>
        <v>0</v>
      </c>
      <c r="M839" s="414">
        <f ca="1" t="shared" si="420"/>
        <v>0</v>
      </c>
      <c r="N839" s="414">
        <f ca="1" t="shared" si="425"/>
        <v>0</v>
      </c>
      <c r="O839" s="414">
        <f ca="1" t="shared" si="426"/>
        <v>0</v>
      </c>
    </row>
    <row r="840" ht="15" hidden="1" spans="2:15">
      <c r="B840" s="410">
        <v>6</v>
      </c>
      <c r="C840" s="411" t="s">
        <v>786</v>
      </c>
      <c r="D840" s="412"/>
      <c r="E840" s="416"/>
      <c r="F840" s="414">
        <f ca="1" t="shared" ref="F840:M855" si="427">10%*F206</f>
        <v>0</v>
      </c>
      <c r="G840" s="414">
        <f ca="1" t="shared" si="427"/>
        <v>0</v>
      </c>
      <c r="H840" s="414">
        <f ca="1" t="shared" si="427"/>
        <v>0</v>
      </c>
      <c r="I840" s="414">
        <f ca="1" t="shared" si="427"/>
        <v>0</v>
      </c>
      <c r="J840" s="414">
        <f ca="1" t="shared" si="427"/>
        <v>0</v>
      </c>
      <c r="K840" s="414">
        <f ca="1" t="shared" si="427"/>
        <v>0</v>
      </c>
      <c r="L840" s="414">
        <f ca="1" t="shared" si="427"/>
        <v>0</v>
      </c>
      <c r="M840" s="414">
        <f ca="1" t="shared" si="427"/>
        <v>0</v>
      </c>
      <c r="N840" s="414">
        <f ca="1" t="shared" si="425"/>
        <v>0</v>
      </c>
      <c r="O840" s="414">
        <f ca="1" t="shared" si="426"/>
        <v>0</v>
      </c>
    </row>
    <row r="841" ht="15" hidden="1" spans="2:15">
      <c r="B841" s="410">
        <v>7</v>
      </c>
      <c r="C841" s="411" t="s">
        <v>787</v>
      </c>
      <c r="D841" s="412"/>
      <c r="E841" s="416"/>
      <c r="F841" s="414">
        <f ca="1" t="shared" si="427"/>
        <v>0</v>
      </c>
      <c r="G841" s="414">
        <f ca="1" t="shared" si="427"/>
        <v>0</v>
      </c>
      <c r="H841" s="414">
        <f ca="1" t="shared" si="427"/>
        <v>0</v>
      </c>
      <c r="I841" s="414">
        <f ca="1" t="shared" si="427"/>
        <v>0</v>
      </c>
      <c r="J841" s="414">
        <f ca="1" t="shared" si="427"/>
        <v>0</v>
      </c>
      <c r="K841" s="414">
        <f ca="1" t="shared" si="427"/>
        <v>0</v>
      </c>
      <c r="L841" s="414">
        <f ca="1" t="shared" si="427"/>
        <v>0</v>
      </c>
      <c r="M841" s="414">
        <f ca="1" t="shared" si="427"/>
        <v>0</v>
      </c>
      <c r="N841" s="414">
        <f ca="1" t="shared" si="425"/>
        <v>0</v>
      </c>
      <c r="O841" s="414">
        <f ca="1" t="shared" si="426"/>
        <v>0</v>
      </c>
    </row>
    <row r="842" ht="15" hidden="1" spans="2:15">
      <c r="B842" s="410">
        <v>8</v>
      </c>
      <c r="C842" s="411" t="s">
        <v>788</v>
      </c>
      <c r="D842" s="412"/>
      <c r="E842" s="416"/>
      <c r="F842" s="414">
        <f t="shared" si="427"/>
        <v>0</v>
      </c>
      <c r="G842" s="414">
        <f t="shared" si="427"/>
        <v>0</v>
      </c>
      <c r="H842" s="414">
        <f t="shared" si="427"/>
        <v>0</v>
      </c>
      <c r="I842" s="414">
        <f t="shared" si="427"/>
        <v>0</v>
      </c>
      <c r="J842" s="414">
        <f t="shared" si="427"/>
        <v>0</v>
      </c>
      <c r="K842" s="414">
        <f t="shared" si="427"/>
        <v>0</v>
      </c>
      <c r="L842" s="414">
        <f t="shared" si="427"/>
        <v>0</v>
      </c>
      <c r="M842" s="414">
        <f t="shared" si="427"/>
        <v>0</v>
      </c>
      <c r="N842" s="414"/>
      <c r="O842" s="414"/>
    </row>
    <row r="843" ht="15" hidden="1" spans="2:15">
      <c r="B843" s="410"/>
      <c r="C843" s="418" t="s">
        <v>789</v>
      </c>
      <c r="D843" s="412"/>
      <c r="E843" s="416"/>
      <c r="F843" s="414">
        <f ca="1" t="shared" si="427"/>
        <v>1240.0343166693</v>
      </c>
      <c r="G843" s="414">
        <f t="shared" si="427"/>
        <v>172.573710067301</v>
      </c>
      <c r="H843" s="414">
        <f ca="1" t="shared" si="427"/>
        <v>0</v>
      </c>
      <c r="I843" s="414">
        <f ca="1" t="shared" si="427"/>
        <v>1412.6080267366</v>
      </c>
      <c r="J843" s="414">
        <f ca="1" t="shared" si="427"/>
        <v>529.886394961482</v>
      </c>
      <c r="K843" s="414">
        <f t="shared" si="427"/>
        <v>44.0351479138628</v>
      </c>
      <c r="L843" s="414">
        <f ca="1" t="shared" si="427"/>
        <v>0</v>
      </c>
      <c r="M843" s="414">
        <f ca="1" t="shared" si="427"/>
        <v>573.921542875345</v>
      </c>
      <c r="N843" s="414">
        <f ca="1" t="shared" ref="N843:O847" si="428">F843-J843</f>
        <v>710.147921707814</v>
      </c>
      <c r="O843" s="414">
        <f ca="1" t="shared" ref="O843:O845" si="429">I843-M843</f>
        <v>838.686483861252</v>
      </c>
    </row>
    <row r="844" ht="15" hidden="1" spans="2:15">
      <c r="B844" s="410"/>
      <c r="C844" s="418" t="s">
        <v>808</v>
      </c>
      <c r="D844" s="412"/>
      <c r="E844" s="416"/>
      <c r="F844" s="414">
        <f ca="1" t="shared" si="427"/>
        <v>0</v>
      </c>
      <c r="G844" s="414">
        <f ca="1" t="shared" si="427"/>
        <v>0</v>
      </c>
      <c r="H844" s="414">
        <f ca="1" t="shared" si="427"/>
        <v>0</v>
      </c>
      <c r="I844" s="414">
        <f ca="1" t="shared" si="427"/>
        <v>0</v>
      </c>
      <c r="J844" s="414">
        <f ca="1" t="shared" si="427"/>
        <v>0</v>
      </c>
      <c r="K844" s="414">
        <f ca="1" t="shared" si="427"/>
        <v>0</v>
      </c>
      <c r="L844" s="414">
        <f ca="1" t="shared" si="427"/>
        <v>0</v>
      </c>
      <c r="M844" s="414">
        <f ca="1" t="shared" si="427"/>
        <v>0</v>
      </c>
      <c r="N844" s="414">
        <f ca="1" t="shared" si="428"/>
        <v>0</v>
      </c>
      <c r="O844" s="414">
        <f ca="1" t="shared" si="429"/>
        <v>0</v>
      </c>
    </row>
    <row r="845" ht="30" hidden="1" spans="2:15">
      <c r="B845" s="420">
        <v>9</v>
      </c>
      <c r="C845" s="421" t="s">
        <v>791</v>
      </c>
      <c r="D845" s="412"/>
      <c r="E845" s="416"/>
      <c r="F845" s="414">
        <f ca="1" t="shared" si="427"/>
        <v>0</v>
      </c>
      <c r="G845" s="414">
        <f ca="1" t="shared" si="427"/>
        <v>0</v>
      </c>
      <c r="H845" s="414">
        <f ca="1" t="shared" si="427"/>
        <v>0</v>
      </c>
      <c r="I845" s="414">
        <f ca="1" t="shared" si="427"/>
        <v>0</v>
      </c>
      <c r="J845" s="414">
        <f ca="1" t="shared" si="427"/>
        <v>0</v>
      </c>
      <c r="K845" s="414">
        <f ca="1" t="shared" si="427"/>
        <v>0</v>
      </c>
      <c r="L845" s="414">
        <f ca="1" t="shared" si="427"/>
        <v>0</v>
      </c>
      <c r="M845" s="414">
        <f ca="1" t="shared" si="427"/>
        <v>0</v>
      </c>
      <c r="N845" s="414">
        <f ca="1" t="shared" si="428"/>
        <v>0</v>
      </c>
      <c r="O845" s="414">
        <f ca="1" t="shared" si="429"/>
        <v>0</v>
      </c>
    </row>
    <row r="846" ht="15" hidden="1" spans="2:15">
      <c r="B846" s="422">
        <v>10</v>
      </c>
      <c r="C846" s="423" t="s">
        <v>792</v>
      </c>
      <c r="D846" s="424"/>
      <c r="E846" s="416"/>
      <c r="F846" s="414">
        <f ca="1" t="shared" si="427"/>
        <v>207.477307795851</v>
      </c>
      <c r="G846" s="414">
        <f t="shared" si="427"/>
        <v>11.4787606696224</v>
      </c>
      <c r="H846" s="414">
        <f ca="1" t="shared" si="427"/>
        <v>0</v>
      </c>
      <c r="I846" s="414">
        <f ca="1" t="shared" si="427"/>
        <v>218.956068465474</v>
      </c>
      <c r="J846" s="414">
        <f ca="1" t="shared" si="427"/>
        <v>132.541431913892</v>
      </c>
      <c r="K846" s="414">
        <f t="shared" si="427"/>
        <v>6.56877051543748</v>
      </c>
      <c r="L846" s="414">
        <f ca="1" t="shared" si="427"/>
        <v>0</v>
      </c>
      <c r="M846" s="414">
        <f ca="1" t="shared" si="427"/>
        <v>139.110202429329</v>
      </c>
      <c r="N846" s="414">
        <f ca="1" t="shared" si="428"/>
        <v>74.9358758819596</v>
      </c>
      <c r="O846" s="414">
        <f t="shared" si="428"/>
        <v>4.90999015418492</v>
      </c>
    </row>
    <row r="847" ht="15" hidden="1" spans="2:15">
      <c r="B847" s="422">
        <v>11</v>
      </c>
      <c r="C847" s="423" t="s">
        <v>793</v>
      </c>
      <c r="D847" s="424"/>
      <c r="E847" s="416"/>
      <c r="F847" s="414">
        <f ca="1" t="shared" si="427"/>
        <v>0.708</v>
      </c>
      <c r="G847" s="414">
        <f ca="1" t="shared" si="427"/>
        <v>0</v>
      </c>
      <c r="H847" s="414">
        <f ca="1" t="shared" si="427"/>
        <v>0</v>
      </c>
      <c r="I847" s="414">
        <f ca="1" t="shared" si="427"/>
        <v>0.708</v>
      </c>
      <c r="J847" s="414">
        <f ca="1" t="shared" si="427"/>
        <v>0.6392199932</v>
      </c>
      <c r="K847" s="414">
        <f t="shared" si="427"/>
        <v>0.0441010919</v>
      </c>
      <c r="L847" s="414">
        <f ca="1" t="shared" si="427"/>
        <v>0</v>
      </c>
      <c r="M847" s="414">
        <f ca="1" t="shared" si="427"/>
        <v>0.6833210851</v>
      </c>
      <c r="N847" s="414">
        <f ca="1" t="shared" si="428"/>
        <v>0.0687800068000001</v>
      </c>
      <c r="O847" s="414">
        <f ca="1" t="shared" si="428"/>
        <v>-0.0441010919</v>
      </c>
    </row>
    <row r="848" ht="15" hidden="1" spans="2:15">
      <c r="B848" s="422">
        <v>12</v>
      </c>
      <c r="C848" s="423" t="s">
        <v>794</v>
      </c>
      <c r="D848" s="424"/>
      <c r="E848" s="416"/>
      <c r="F848" s="414">
        <f t="shared" si="427"/>
        <v>0</v>
      </c>
      <c r="G848" s="414">
        <f t="shared" si="427"/>
        <v>0</v>
      </c>
      <c r="H848" s="414">
        <f t="shared" si="427"/>
        <v>0</v>
      </c>
      <c r="I848" s="414">
        <f t="shared" si="427"/>
        <v>0</v>
      </c>
      <c r="J848" s="414">
        <f t="shared" si="427"/>
        <v>0</v>
      </c>
      <c r="K848" s="414">
        <f t="shared" si="427"/>
        <v>0</v>
      </c>
      <c r="L848" s="414">
        <f t="shared" si="427"/>
        <v>0</v>
      </c>
      <c r="M848" s="414">
        <f t="shared" si="427"/>
        <v>0</v>
      </c>
      <c r="N848" s="414"/>
      <c r="O848" s="414"/>
    </row>
    <row r="849" ht="15" hidden="1" spans="2:15">
      <c r="B849" s="422"/>
      <c r="C849" s="425" t="s">
        <v>795</v>
      </c>
      <c r="D849" s="424"/>
      <c r="E849" s="416"/>
      <c r="F849" s="414">
        <f ca="1" t="shared" si="427"/>
        <v>0.26</v>
      </c>
      <c r="G849" s="414">
        <f ca="1" t="shared" si="427"/>
        <v>0</v>
      </c>
      <c r="H849" s="414">
        <f ca="1" t="shared" si="427"/>
        <v>0</v>
      </c>
      <c r="I849" s="414">
        <f ca="1" t="shared" si="427"/>
        <v>0.26</v>
      </c>
      <c r="J849" s="414">
        <f ca="1" t="shared" si="427"/>
        <v>0.1701644132</v>
      </c>
      <c r="K849" s="414">
        <f ca="1" t="shared" si="427"/>
        <v>0</v>
      </c>
      <c r="L849" s="414">
        <f ca="1" t="shared" si="427"/>
        <v>0</v>
      </c>
      <c r="M849" s="414">
        <f ca="1" t="shared" si="427"/>
        <v>0.1701644132</v>
      </c>
      <c r="N849" s="414">
        <f ca="1" t="shared" ref="N849:O850" si="430">F849-J849</f>
        <v>0.0898355868</v>
      </c>
      <c r="O849" s="414">
        <f ca="1" t="shared" si="430"/>
        <v>0</v>
      </c>
    </row>
    <row r="850" ht="15" hidden="1" spans="2:15">
      <c r="B850" s="422"/>
      <c r="C850" s="425" t="s">
        <v>796</v>
      </c>
      <c r="D850" s="424"/>
      <c r="E850" s="416"/>
      <c r="F850" s="414">
        <f ca="1" t="shared" si="427"/>
        <v>0</v>
      </c>
      <c r="G850" s="414">
        <f ca="1" t="shared" si="427"/>
        <v>0</v>
      </c>
      <c r="H850" s="414">
        <f ca="1" t="shared" si="427"/>
        <v>0</v>
      </c>
      <c r="I850" s="414">
        <f ca="1" t="shared" si="427"/>
        <v>0</v>
      </c>
      <c r="J850" s="414">
        <f ca="1" t="shared" si="427"/>
        <v>0</v>
      </c>
      <c r="K850" s="414">
        <f ca="1" t="shared" si="427"/>
        <v>0</v>
      </c>
      <c r="L850" s="414">
        <f ca="1" t="shared" si="427"/>
        <v>0</v>
      </c>
      <c r="M850" s="414">
        <f ca="1" t="shared" si="427"/>
        <v>0</v>
      </c>
      <c r="N850" s="414">
        <f ca="1" t="shared" si="430"/>
        <v>0</v>
      </c>
      <c r="O850" s="414">
        <f ca="1" t="shared" si="430"/>
        <v>0</v>
      </c>
    </row>
    <row r="851" ht="15" hidden="1" spans="2:15">
      <c r="B851" s="422">
        <v>13</v>
      </c>
      <c r="C851" s="425"/>
      <c r="D851" s="424"/>
      <c r="E851" s="416"/>
      <c r="F851" s="414">
        <f t="shared" si="427"/>
        <v>0</v>
      </c>
      <c r="G851" s="414">
        <f t="shared" si="427"/>
        <v>0</v>
      </c>
      <c r="H851" s="414">
        <f t="shared" si="427"/>
        <v>0</v>
      </c>
      <c r="I851" s="414">
        <f t="shared" si="427"/>
        <v>0</v>
      </c>
      <c r="J851" s="414">
        <f t="shared" si="427"/>
        <v>0</v>
      </c>
      <c r="K851" s="414">
        <f t="shared" si="427"/>
        <v>0</v>
      </c>
      <c r="L851" s="414">
        <f t="shared" si="427"/>
        <v>0</v>
      </c>
      <c r="M851" s="414">
        <f t="shared" si="427"/>
        <v>0</v>
      </c>
      <c r="N851" s="414"/>
      <c r="O851" s="414"/>
    </row>
    <row r="852" ht="15" hidden="1" spans="2:15">
      <c r="B852" s="422"/>
      <c r="C852" s="425" t="s">
        <v>797</v>
      </c>
      <c r="D852" s="424"/>
      <c r="E852" s="416"/>
      <c r="F852" s="414">
        <f ca="1" t="shared" si="427"/>
        <v>1.725</v>
      </c>
      <c r="G852" s="414">
        <f ca="1" t="shared" si="427"/>
        <v>0</v>
      </c>
      <c r="H852" s="414">
        <f ca="1" t="shared" si="427"/>
        <v>0</v>
      </c>
      <c r="I852" s="414">
        <f ca="1" t="shared" si="427"/>
        <v>1.725</v>
      </c>
      <c r="J852" s="414">
        <f ca="1" t="shared" si="427"/>
        <v>1.3017024466</v>
      </c>
      <c r="K852" s="414">
        <f t="shared" si="427"/>
        <v>0.0441010919</v>
      </c>
      <c r="L852" s="414">
        <f ca="1" t="shared" si="427"/>
        <v>0</v>
      </c>
      <c r="M852" s="414">
        <f ca="1" t="shared" si="427"/>
        <v>1.3458035385</v>
      </c>
      <c r="N852" s="414">
        <f ca="1" t="shared" ref="N852:O855" si="431">F852-J852</f>
        <v>0.4232975534</v>
      </c>
      <c r="O852" s="414">
        <f ca="1" t="shared" si="431"/>
        <v>-0.0441010919</v>
      </c>
    </row>
    <row r="853" ht="15" hidden="1" spans="2:15">
      <c r="B853" s="422"/>
      <c r="C853" s="425" t="s">
        <v>798</v>
      </c>
      <c r="D853" s="424"/>
      <c r="E853" s="416"/>
      <c r="F853" s="414">
        <f ca="1" t="shared" si="427"/>
        <v>5.18230364442631</v>
      </c>
      <c r="G853" s="414">
        <f t="shared" si="427"/>
        <v>0.0210152848419375</v>
      </c>
      <c r="H853" s="414">
        <f ca="1" t="shared" si="427"/>
        <v>0</v>
      </c>
      <c r="I853" s="414">
        <f ca="1" t="shared" si="427"/>
        <v>5.20331892926824</v>
      </c>
      <c r="J853" s="414">
        <f ca="1" t="shared" si="427"/>
        <v>3.79692898747372</v>
      </c>
      <c r="K853" s="414">
        <f t="shared" si="427"/>
        <v>0.146913475316255</v>
      </c>
      <c r="L853" s="414">
        <f ca="1" t="shared" si="427"/>
        <v>0</v>
      </c>
      <c r="M853" s="414">
        <f ca="1" t="shared" si="427"/>
        <v>3.94384246278998</v>
      </c>
      <c r="N853" s="414">
        <f ca="1" t="shared" si="431"/>
        <v>1.38537465695258</v>
      </c>
      <c r="O853" s="414">
        <f t="shared" si="431"/>
        <v>-0.125898190474317</v>
      </c>
    </row>
    <row r="854" ht="15" hidden="1" spans="2:15">
      <c r="B854" s="422"/>
      <c r="C854" s="425" t="s">
        <v>799</v>
      </c>
      <c r="D854" s="424"/>
      <c r="E854" s="416"/>
      <c r="F854" s="414">
        <f ca="1" t="shared" si="427"/>
        <v>0</v>
      </c>
      <c r="G854" s="414">
        <f ca="1" t="shared" si="427"/>
        <v>0</v>
      </c>
      <c r="H854" s="414">
        <f ca="1" t="shared" si="427"/>
        <v>0</v>
      </c>
      <c r="I854" s="414">
        <f ca="1" t="shared" si="427"/>
        <v>0</v>
      </c>
      <c r="J854" s="414">
        <f ca="1" t="shared" si="427"/>
        <v>0</v>
      </c>
      <c r="K854" s="414">
        <f ca="1" t="shared" si="427"/>
        <v>0</v>
      </c>
      <c r="L854" s="414">
        <f ca="1" t="shared" si="427"/>
        <v>0</v>
      </c>
      <c r="M854" s="414">
        <f ca="1" t="shared" si="427"/>
        <v>0</v>
      </c>
      <c r="N854" s="414">
        <f ca="1" t="shared" si="431"/>
        <v>0</v>
      </c>
      <c r="O854" s="414">
        <f ca="1" t="shared" si="431"/>
        <v>0</v>
      </c>
    </row>
    <row r="855" ht="15" hidden="1" spans="2:15">
      <c r="B855" s="422"/>
      <c r="C855" s="425" t="s">
        <v>800</v>
      </c>
      <c r="D855" s="424"/>
      <c r="E855" s="416"/>
      <c r="F855" s="414">
        <f ca="1" t="shared" si="427"/>
        <v>0</v>
      </c>
      <c r="G855" s="414">
        <f ca="1" t="shared" si="427"/>
        <v>0</v>
      </c>
      <c r="H855" s="414">
        <f ca="1" t="shared" si="427"/>
        <v>0</v>
      </c>
      <c r="I855" s="414">
        <f ca="1" t="shared" si="427"/>
        <v>0</v>
      </c>
      <c r="J855" s="414">
        <f ca="1" t="shared" si="427"/>
        <v>0</v>
      </c>
      <c r="K855" s="414">
        <f ca="1" t="shared" si="427"/>
        <v>0</v>
      </c>
      <c r="L855" s="414">
        <f ca="1" t="shared" si="427"/>
        <v>0</v>
      </c>
      <c r="M855" s="414">
        <f ca="1" t="shared" si="427"/>
        <v>0</v>
      </c>
      <c r="N855" s="414">
        <f ca="1" t="shared" si="431"/>
        <v>0</v>
      </c>
      <c r="O855" s="414">
        <f ca="1" t="shared" si="431"/>
        <v>0</v>
      </c>
    </row>
    <row r="856" ht="15" hidden="1" spans="2:15">
      <c r="B856" s="422">
        <v>14</v>
      </c>
      <c r="C856" s="423" t="s">
        <v>801</v>
      </c>
      <c r="D856" s="424"/>
      <c r="E856" s="416"/>
      <c r="F856" s="414">
        <f t="shared" ref="F856:M862" si="432">10%*F222</f>
        <v>0</v>
      </c>
      <c r="G856" s="414">
        <f t="shared" si="432"/>
        <v>0</v>
      </c>
      <c r="H856" s="414">
        <f t="shared" si="432"/>
        <v>0</v>
      </c>
      <c r="I856" s="414">
        <f t="shared" si="432"/>
        <v>0</v>
      </c>
      <c r="J856" s="414">
        <f t="shared" si="432"/>
        <v>0</v>
      </c>
      <c r="K856" s="414">
        <f t="shared" si="432"/>
        <v>0</v>
      </c>
      <c r="L856" s="414">
        <f t="shared" si="432"/>
        <v>0</v>
      </c>
      <c r="M856" s="414">
        <f t="shared" si="432"/>
        <v>0</v>
      </c>
      <c r="N856" s="414"/>
      <c r="O856" s="414"/>
    </row>
    <row r="857" ht="15" hidden="1" spans="2:15">
      <c r="B857" s="422"/>
      <c r="C857" s="425" t="s">
        <v>802</v>
      </c>
      <c r="D857" s="424"/>
      <c r="E857" s="416"/>
      <c r="F857" s="414">
        <f ca="1" t="shared" si="432"/>
        <v>0</v>
      </c>
      <c r="G857" s="414">
        <f ca="1" t="shared" si="432"/>
        <v>0</v>
      </c>
      <c r="H857" s="414">
        <f ca="1" t="shared" si="432"/>
        <v>0</v>
      </c>
      <c r="I857" s="414">
        <f ca="1" t="shared" si="432"/>
        <v>0</v>
      </c>
      <c r="J857" s="414">
        <f ca="1" t="shared" si="432"/>
        <v>0</v>
      </c>
      <c r="K857" s="414">
        <f ca="1" t="shared" si="432"/>
        <v>0</v>
      </c>
      <c r="L857" s="414">
        <f ca="1" t="shared" si="432"/>
        <v>0</v>
      </c>
      <c r="M857" s="414">
        <f ca="1" t="shared" si="432"/>
        <v>0</v>
      </c>
      <c r="N857" s="414">
        <f ca="1" t="shared" ref="N857:O862" si="433">F857-J857</f>
        <v>0</v>
      </c>
      <c r="O857" s="414">
        <f ca="1" t="shared" si="433"/>
        <v>0</v>
      </c>
    </row>
    <row r="858" ht="15" hidden="1" spans="2:15">
      <c r="B858" s="422"/>
      <c r="C858" s="425" t="s">
        <v>803</v>
      </c>
      <c r="D858" s="424"/>
      <c r="E858" s="416"/>
      <c r="F858" s="414">
        <f ca="1" t="shared" si="432"/>
        <v>0</v>
      </c>
      <c r="G858" s="414">
        <f ca="1" t="shared" si="432"/>
        <v>0</v>
      </c>
      <c r="H858" s="414">
        <f ca="1" t="shared" si="432"/>
        <v>0</v>
      </c>
      <c r="I858" s="414">
        <f ca="1" t="shared" si="432"/>
        <v>0</v>
      </c>
      <c r="J858" s="414">
        <f ca="1" t="shared" si="432"/>
        <v>0</v>
      </c>
      <c r="K858" s="414">
        <f ca="1" t="shared" si="432"/>
        <v>0</v>
      </c>
      <c r="L858" s="414">
        <f ca="1" t="shared" si="432"/>
        <v>0</v>
      </c>
      <c r="M858" s="414">
        <f ca="1" t="shared" si="432"/>
        <v>0</v>
      </c>
      <c r="N858" s="414">
        <f ca="1" t="shared" si="433"/>
        <v>0</v>
      </c>
      <c r="O858" s="414">
        <f ca="1" t="shared" si="433"/>
        <v>0</v>
      </c>
    </row>
    <row r="859" ht="15" hidden="1" spans="2:15">
      <c r="B859" s="422"/>
      <c r="C859" s="425" t="s">
        <v>804</v>
      </c>
      <c r="D859" s="424"/>
      <c r="E859" s="416"/>
      <c r="F859" s="414">
        <f ca="1" t="shared" si="432"/>
        <v>0</v>
      </c>
      <c r="G859" s="414">
        <f ca="1" t="shared" si="432"/>
        <v>0</v>
      </c>
      <c r="H859" s="414">
        <f ca="1" t="shared" si="432"/>
        <v>0</v>
      </c>
      <c r="I859" s="414">
        <f ca="1" t="shared" si="432"/>
        <v>0</v>
      </c>
      <c r="J859" s="414">
        <f ca="1" t="shared" si="432"/>
        <v>0</v>
      </c>
      <c r="K859" s="414">
        <f ca="1" t="shared" si="432"/>
        <v>0</v>
      </c>
      <c r="L859" s="414">
        <f ca="1" t="shared" si="432"/>
        <v>0</v>
      </c>
      <c r="M859" s="414">
        <f ca="1" t="shared" si="432"/>
        <v>0</v>
      </c>
      <c r="N859" s="414">
        <f ca="1" t="shared" si="433"/>
        <v>0</v>
      </c>
      <c r="O859" s="414">
        <f ca="1" t="shared" si="433"/>
        <v>0</v>
      </c>
    </row>
    <row r="860" ht="15" hidden="1" spans="2:15">
      <c r="B860" s="422">
        <v>15</v>
      </c>
      <c r="C860" s="423" t="s">
        <v>805</v>
      </c>
      <c r="D860" s="424"/>
      <c r="E860" s="416"/>
      <c r="F860" s="414">
        <f ca="1" t="shared" si="432"/>
        <v>22.1139055341113</v>
      </c>
      <c r="G860" s="414">
        <f t="shared" si="432"/>
        <v>1.65042788912232</v>
      </c>
      <c r="H860" s="414">
        <f ca="1" t="shared" si="432"/>
        <v>0</v>
      </c>
      <c r="I860" s="414">
        <f ca="1" t="shared" si="432"/>
        <v>23.7643334232336</v>
      </c>
      <c r="J860" s="414">
        <f ca="1" t="shared" si="432"/>
        <v>18.1504109258051</v>
      </c>
      <c r="K860" s="414">
        <f t="shared" si="432"/>
        <v>0.992684042300869</v>
      </c>
      <c r="L860" s="414">
        <f ca="1" t="shared" si="432"/>
        <v>0</v>
      </c>
      <c r="M860" s="414">
        <f ca="1" t="shared" si="432"/>
        <v>19.143094968106</v>
      </c>
      <c r="N860" s="414">
        <f ca="1" t="shared" si="433"/>
        <v>3.9634946083062</v>
      </c>
      <c r="O860" s="414">
        <f t="shared" si="433"/>
        <v>0.657743846821451</v>
      </c>
    </row>
    <row r="861" ht="15" hidden="1" spans="2:15">
      <c r="B861" s="422">
        <v>16</v>
      </c>
      <c r="C861" s="423" t="s">
        <v>806</v>
      </c>
      <c r="D861" s="412"/>
      <c r="E861" s="416"/>
      <c r="F861" s="414">
        <f ca="1" t="shared" si="432"/>
        <v>7.08</v>
      </c>
      <c r="G861" s="414">
        <f ca="1" t="shared" si="432"/>
        <v>0</v>
      </c>
      <c r="H861" s="414">
        <f ca="1" t="shared" si="432"/>
        <v>0</v>
      </c>
      <c r="I861" s="414">
        <f ca="1" t="shared" si="432"/>
        <v>7.08</v>
      </c>
      <c r="J861" s="414">
        <f ca="1" t="shared" si="432"/>
        <v>6.2887410957</v>
      </c>
      <c r="K861" s="414">
        <f t="shared" si="432"/>
        <v>0.4152617751</v>
      </c>
      <c r="L861" s="414">
        <f ca="1" t="shared" si="432"/>
        <v>0</v>
      </c>
      <c r="M861" s="414">
        <f ca="1" t="shared" si="432"/>
        <v>6.7040028708</v>
      </c>
      <c r="N861" s="414">
        <f ca="1" t="shared" si="433"/>
        <v>0.791258904299999</v>
      </c>
      <c r="O861" s="414">
        <f ca="1" t="shared" si="433"/>
        <v>-0.4152617751</v>
      </c>
    </row>
    <row r="862" ht="15" hidden="1" spans="2:15">
      <c r="B862" s="422">
        <v>17</v>
      </c>
      <c r="C862" s="423" t="s">
        <v>807</v>
      </c>
      <c r="D862" s="412"/>
      <c r="E862" s="426"/>
      <c r="F862" s="414">
        <f ca="1" t="shared" si="432"/>
        <v>0</v>
      </c>
      <c r="G862" s="414">
        <f ca="1" t="shared" si="432"/>
        <v>0</v>
      </c>
      <c r="H862" s="414">
        <f ca="1" t="shared" si="432"/>
        <v>0</v>
      </c>
      <c r="I862" s="414">
        <f ca="1" t="shared" si="432"/>
        <v>0</v>
      </c>
      <c r="J862" s="414">
        <f ca="1" t="shared" si="432"/>
        <v>0</v>
      </c>
      <c r="K862" s="414">
        <f ca="1" t="shared" si="432"/>
        <v>0</v>
      </c>
      <c r="L862" s="414">
        <f ca="1" t="shared" si="432"/>
        <v>0</v>
      </c>
      <c r="M862" s="414">
        <f ca="1" t="shared" si="432"/>
        <v>0</v>
      </c>
      <c r="N862" s="414">
        <f ca="1" t="shared" si="433"/>
        <v>0</v>
      </c>
      <c r="O862" s="414">
        <f ca="1" t="shared" si="433"/>
        <v>0</v>
      </c>
    </row>
    <row r="863" ht="15.75" hidden="1" spans="2:15">
      <c r="B863" s="427"/>
      <c r="C863" s="428" t="s">
        <v>97</v>
      </c>
      <c r="D863" s="428"/>
      <c r="E863" s="429"/>
      <c r="F863" s="430">
        <f ca="1">SUM(F823:F862)</f>
        <v>2793.43998520608</v>
      </c>
      <c r="G863" s="430">
        <f ca="1" t="shared" ref="G863:O863" si="434">SUM(G823:G862)</f>
        <v>347.977228503325</v>
      </c>
      <c r="H863" s="430">
        <f ca="1" t="shared" si="434"/>
        <v>0</v>
      </c>
      <c r="I863" s="430">
        <f ca="1" t="shared" si="434"/>
        <v>3141.4172137094</v>
      </c>
      <c r="J863" s="430">
        <f ca="1" t="shared" si="434"/>
        <v>1309.20342106571</v>
      </c>
      <c r="K863" s="430">
        <f ca="1" t="shared" si="434"/>
        <v>100.582777643773</v>
      </c>
      <c r="L863" s="430">
        <f ca="1" t="shared" si="434"/>
        <v>0</v>
      </c>
      <c r="M863" s="430">
        <f ca="1" t="shared" si="434"/>
        <v>1409.78619870948</v>
      </c>
      <c r="N863" s="430">
        <f ca="1" t="shared" si="434"/>
        <v>1484.23656414037</v>
      </c>
      <c r="O863" s="430">
        <f ca="1" t="shared" si="434"/>
        <v>1649.9730978014</v>
      </c>
    </row>
    <row r="864" hidden="1"/>
    <row r="865" ht="15" hidden="1" spans="2:15">
      <c r="B865" s="431" t="s">
        <v>656</v>
      </c>
      <c r="C865" s="432"/>
      <c r="D865" s="432"/>
      <c r="E865" s="432"/>
      <c r="F865" s="432"/>
      <c r="G865" s="432"/>
      <c r="H865" s="432"/>
      <c r="I865" s="432"/>
      <c r="J865" s="432"/>
      <c r="K865" s="432"/>
      <c r="L865" s="432"/>
      <c r="M865" s="432"/>
      <c r="N865" s="432"/>
      <c r="O865" s="442"/>
    </row>
    <row r="866" ht="15" hidden="1" spans="2:15">
      <c r="B866" s="406" t="s">
        <v>564</v>
      </c>
      <c r="C866" s="980" t="s">
        <v>671</v>
      </c>
      <c r="D866" s="408" t="s">
        <v>672</v>
      </c>
      <c r="E866" s="408" t="s">
        <v>673</v>
      </c>
      <c r="F866" s="408" t="s">
        <v>674</v>
      </c>
      <c r="G866" s="408"/>
      <c r="H866" s="408"/>
      <c r="I866" s="408"/>
      <c r="J866" s="408" t="s">
        <v>675</v>
      </c>
      <c r="K866" s="408"/>
      <c r="L866" s="408"/>
      <c r="M866" s="408"/>
      <c r="N866" s="408" t="s">
        <v>676</v>
      </c>
      <c r="O866" s="440"/>
    </row>
    <row r="867" ht="60.75" hidden="1" spans="2:15">
      <c r="B867" s="433"/>
      <c r="C867" s="434"/>
      <c r="D867" s="435"/>
      <c r="E867" s="435"/>
      <c r="F867" s="435" t="s">
        <v>677</v>
      </c>
      <c r="G867" s="435" t="s">
        <v>678</v>
      </c>
      <c r="H867" s="435" t="s">
        <v>679</v>
      </c>
      <c r="I867" s="435" t="s">
        <v>680</v>
      </c>
      <c r="J867" s="435" t="s">
        <v>681</v>
      </c>
      <c r="K867" s="435" t="s">
        <v>678</v>
      </c>
      <c r="L867" s="435" t="s">
        <v>682</v>
      </c>
      <c r="M867" s="435" t="s">
        <v>683</v>
      </c>
      <c r="N867" s="435" t="s">
        <v>677</v>
      </c>
      <c r="O867" s="443" t="s">
        <v>680</v>
      </c>
    </row>
    <row r="868" ht="15" hidden="1" spans="2:15">
      <c r="B868" s="410">
        <v>1</v>
      </c>
      <c r="C868" s="411" t="s">
        <v>684</v>
      </c>
      <c r="D868" s="405"/>
      <c r="E868" s="437"/>
      <c r="F868" s="414">
        <f ca="1">10%*F234</f>
        <v>24.1774924659029</v>
      </c>
      <c r="G868" s="414">
        <f t="shared" ref="G868:M868" si="435">10%*G234</f>
        <v>8.7147490233361</v>
      </c>
      <c r="H868" s="414">
        <f ca="1" t="shared" si="435"/>
        <v>0</v>
      </c>
      <c r="I868" s="414">
        <f ca="1" t="shared" si="435"/>
        <v>32.892241489239</v>
      </c>
      <c r="J868" s="414">
        <f ca="1" t="shared" si="435"/>
        <v>0.000489906200000156</v>
      </c>
      <c r="K868" s="414">
        <f t="shared" si="435"/>
        <v>0</v>
      </c>
      <c r="L868" s="414">
        <f ca="1" t="shared" si="435"/>
        <v>0</v>
      </c>
      <c r="M868" s="414">
        <f ca="1" t="shared" si="435"/>
        <v>0.000489906200000156</v>
      </c>
      <c r="N868" s="414">
        <f ca="1">F868-J868</f>
        <v>24.1770025597029</v>
      </c>
      <c r="O868" s="414">
        <f ca="1">I868-M868</f>
        <v>32.891751583039</v>
      </c>
    </row>
    <row r="869" ht="15" hidden="1" spans="2:15">
      <c r="B869" s="410">
        <v>2</v>
      </c>
      <c r="C869" s="411" t="s">
        <v>770</v>
      </c>
      <c r="D869" s="476"/>
      <c r="E869" s="477"/>
      <c r="F869" s="414">
        <f ca="1" t="shared" ref="F869:M884" si="436">10%*F235</f>
        <v>0</v>
      </c>
      <c r="G869" s="414">
        <f ca="1" t="shared" si="436"/>
        <v>0</v>
      </c>
      <c r="H869" s="414">
        <f ca="1" t="shared" si="436"/>
        <v>0</v>
      </c>
      <c r="I869" s="414">
        <f ca="1" t="shared" si="436"/>
        <v>0</v>
      </c>
      <c r="J869" s="414">
        <f ca="1" t="shared" si="436"/>
        <v>0</v>
      </c>
      <c r="K869" s="414">
        <f ca="1" t="shared" si="436"/>
        <v>0</v>
      </c>
      <c r="L869" s="414">
        <f ca="1" t="shared" si="436"/>
        <v>0</v>
      </c>
      <c r="M869" s="414">
        <f ca="1" t="shared" si="436"/>
        <v>0</v>
      </c>
      <c r="N869" s="414">
        <f ca="1">F869-J869</f>
        <v>0</v>
      </c>
      <c r="O869" s="414">
        <f ca="1">I869-M869</f>
        <v>0</v>
      </c>
    </row>
    <row r="870" ht="15" hidden="1" spans="2:15">
      <c r="B870" s="410">
        <v>3</v>
      </c>
      <c r="C870" s="415" t="s">
        <v>771</v>
      </c>
      <c r="D870" s="412"/>
      <c r="E870" s="416"/>
      <c r="F870" s="414">
        <f t="shared" si="436"/>
        <v>0</v>
      </c>
      <c r="G870" s="414">
        <f t="shared" si="436"/>
        <v>0</v>
      </c>
      <c r="H870" s="414">
        <f t="shared" si="436"/>
        <v>0</v>
      </c>
      <c r="I870" s="414">
        <f t="shared" si="436"/>
        <v>0</v>
      </c>
      <c r="J870" s="414">
        <f t="shared" si="436"/>
        <v>0</v>
      </c>
      <c r="K870" s="414">
        <f t="shared" si="436"/>
        <v>0</v>
      </c>
      <c r="L870" s="414">
        <f t="shared" si="436"/>
        <v>0</v>
      </c>
      <c r="M870" s="414">
        <f t="shared" si="436"/>
        <v>0</v>
      </c>
      <c r="N870" s="414"/>
      <c r="O870" s="414"/>
    </row>
    <row r="871" ht="15" hidden="1" spans="2:15">
      <c r="B871" s="410"/>
      <c r="C871" s="417" t="s">
        <v>772</v>
      </c>
      <c r="D871" s="412"/>
      <c r="E871" s="416"/>
      <c r="F871" s="414">
        <f ca="1" t="shared" si="436"/>
        <v>57.1704963940354</v>
      </c>
      <c r="G871" s="414">
        <f t="shared" si="436"/>
        <v>7.38212817809198</v>
      </c>
      <c r="H871" s="414">
        <f ca="1" t="shared" si="436"/>
        <v>0</v>
      </c>
      <c r="I871" s="414">
        <f ca="1" t="shared" si="436"/>
        <v>64.5526245721274</v>
      </c>
      <c r="J871" s="414">
        <f ca="1" t="shared" si="436"/>
        <v>19.91962489207</v>
      </c>
      <c r="K871" s="414">
        <f t="shared" si="436"/>
        <v>2.15162217900308</v>
      </c>
      <c r="L871" s="414">
        <f ca="1" t="shared" si="436"/>
        <v>0</v>
      </c>
      <c r="M871" s="414">
        <f ca="1" t="shared" si="436"/>
        <v>22.0712470710731</v>
      </c>
      <c r="N871" s="414">
        <f ca="1" t="shared" ref="N871:N874" si="437">F871-J871</f>
        <v>37.2508715019654</v>
      </c>
      <c r="O871" s="414">
        <f ca="1" t="shared" ref="O871:O874" si="438">I871-M871</f>
        <v>42.4813775010543</v>
      </c>
    </row>
    <row r="872" ht="28.5" hidden="1" spans="2:15">
      <c r="B872" s="410"/>
      <c r="C872" s="417" t="s">
        <v>773</v>
      </c>
      <c r="D872" s="412"/>
      <c r="E872" s="416"/>
      <c r="F872" s="414">
        <f ca="1" t="shared" si="436"/>
        <v>0</v>
      </c>
      <c r="G872" s="414">
        <f ca="1" t="shared" si="436"/>
        <v>0</v>
      </c>
      <c r="H872" s="414">
        <f ca="1" t="shared" si="436"/>
        <v>0</v>
      </c>
      <c r="I872" s="414">
        <f ca="1" t="shared" si="436"/>
        <v>0</v>
      </c>
      <c r="J872" s="414">
        <f ca="1" t="shared" si="436"/>
        <v>0</v>
      </c>
      <c r="K872" s="414">
        <f ca="1" t="shared" si="436"/>
        <v>0</v>
      </c>
      <c r="L872" s="414">
        <f ca="1" t="shared" si="436"/>
        <v>0</v>
      </c>
      <c r="M872" s="414">
        <f ca="1" t="shared" si="436"/>
        <v>0</v>
      </c>
      <c r="N872" s="414">
        <f ca="1" t="shared" si="437"/>
        <v>0</v>
      </c>
      <c r="O872" s="414">
        <f ca="1" t="shared" si="438"/>
        <v>0</v>
      </c>
    </row>
    <row r="873" ht="15" hidden="1" spans="2:15">
      <c r="B873" s="410"/>
      <c r="C873" s="417" t="s">
        <v>774</v>
      </c>
      <c r="D873" s="412"/>
      <c r="E873" s="416"/>
      <c r="F873" s="414">
        <f ca="1" t="shared" si="436"/>
        <v>0</v>
      </c>
      <c r="G873" s="414">
        <f ca="1" t="shared" si="436"/>
        <v>0</v>
      </c>
      <c r="H873" s="414">
        <f ca="1" t="shared" si="436"/>
        <v>0</v>
      </c>
      <c r="I873" s="414">
        <f ca="1" t="shared" si="436"/>
        <v>0</v>
      </c>
      <c r="J873" s="414">
        <f ca="1" t="shared" si="436"/>
        <v>0</v>
      </c>
      <c r="K873" s="414">
        <f ca="1" t="shared" si="436"/>
        <v>0</v>
      </c>
      <c r="L873" s="414">
        <f ca="1" t="shared" si="436"/>
        <v>0</v>
      </c>
      <c r="M873" s="414">
        <f ca="1" t="shared" si="436"/>
        <v>0</v>
      </c>
      <c r="N873" s="414">
        <f ca="1" t="shared" si="437"/>
        <v>0</v>
      </c>
      <c r="O873" s="414">
        <f ca="1" t="shared" si="438"/>
        <v>0</v>
      </c>
    </row>
    <row r="874" ht="15" hidden="1" spans="2:15">
      <c r="B874" s="410"/>
      <c r="C874" s="417" t="s">
        <v>775</v>
      </c>
      <c r="D874" s="412"/>
      <c r="E874" s="416"/>
      <c r="F874" s="414">
        <f ca="1" t="shared" si="436"/>
        <v>22.108</v>
      </c>
      <c r="G874" s="414">
        <f ca="1" t="shared" si="436"/>
        <v>0</v>
      </c>
      <c r="H874" s="414">
        <f ca="1" t="shared" si="436"/>
        <v>0</v>
      </c>
      <c r="I874" s="414">
        <f ca="1" t="shared" si="436"/>
        <v>22.108</v>
      </c>
      <c r="J874" s="414">
        <f ca="1" t="shared" si="436"/>
        <v>4.4413445081</v>
      </c>
      <c r="K874" s="414">
        <f ca="1" t="shared" si="436"/>
        <v>0</v>
      </c>
      <c r="L874" s="414">
        <f ca="1" t="shared" si="436"/>
        <v>0</v>
      </c>
      <c r="M874" s="414">
        <f ca="1" t="shared" si="436"/>
        <v>4.4413445081</v>
      </c>
      <c r="N874" s="414">
        <f ca="1" t="shared" si="437"/>
        <v>17.6666554919</v>
      </c>
      <c r="O874" s="414">
        <f ca="1" t="shared" si="438"/>
        <v>17.6666554919</v>
      </c>
    </row>
    <row r="875" ht="15" hidden="1" spans="2:15">
      <c r="B875" s="410">
        <v>4</v>
      </c>
      <c r="C875" s="411" t="s">
        <v>776</v>
      </c>
      <c r="D875" s="412"/>
      <c r="E875" s="416"/>
      <c r="F875" s="414">
        <f t="shared" si="436"/>
        <v>0</v>
      </c>
      <c r="G875" s="414">
        <f t="shared" si="436"/>
        <v>0</v>
      </c>
      <c r="H875" s="414">
        <f t="shared" si="436"/>
        <v>0</v>
      </c>
      <c r="I875" s="414">
        <f t="shared" si="436"/>
        <v>0</v>
      </c>
      <c r="J875" s="414">
        <f t="shared" si="436"/>
        <v>0</v>
      </c>
      <c r="K875" s="414">
        <f t="shared" si="436"/>
        <v>0</v>
      </c>
      <c r="L875" s="414">
        <f t="shared" si="436"/>
        <v>0</v>
      </c>
      <c r="M875" s="414">
        <f t="shared" si="436"/>
        <v>0</v>
      </c>
      <c r="N875" s="414"/>
      <c r="O875" s="414"/>
    </row>
    <row r="876" ht="15" hidden="1" spans="2:15">
      <c r="B876" s="410"/>
      <c r="C876" s="418" t="s">
        <v>777</v>
      </c>
      <c r="D876" s="412"/>
      <c r="E876" s="416"/>
      <c r="F876" s="414">
        <f ca="1" t="shared" si="436"/>
        <v>1367.65647729489</v>
      </c>
      <c r="G876" s="414">
        <f t="shared" si="436"/>
        <v>175.303746766316</v>
      </c>
      <c r="H876" s="414">
        <f ca="1" t="shared" si="436"/>
        <v>0</v>
      </c>
      <c r="I876" s="414">
        <f ca="1" t="shared" si="436"/>
        <v>1542.96022406121</v>
      </c>
      <c r="J876" s="414">
        <f ca="1" t="shared" si="436"/>
        <v>640.402764759939</v>
      </c>
      <c r="K876" s="414">
        <f t="shared" si="436"/>
        <v>51.8048401678977</v>
      </c>
      <c r="L876" s="414">
        <f ca="1" t="shared" si="436"/>
        <v>0</v>
      </c>
      <c r="M876" s="414">
        <f ca="1" t="shared" si="436"/>
        <v>692.207604927837</v>
      </c>
      <c r="N876" s="414">
        <f ca="1" t="shared" ref="N876:N879" si="439">F876-J876</f>
        <v>727.253712534951</v>
      </c>
      <c r="O876" s="414">
        <f ca="1" t="shared" ref="O876:O879" si="440">I876-M876</f>
        <v>850.752619133369</v>
      </c>
    </row>
    <row r="877" ht="15" hidden="1" spans="2:15">
      <c r="B877" s="410"/>
      <c r="C877" s="411" t="s">
        <v>778</v>
      </c>
      <c r="D877" s="412"/>
      <c r="E877" s="416"/>
      <c r="F877" s="414">
        <f t="shared" si="436"/>
        <v>0</v>
      </c>
      <c r="G877" s="414">
        <f t="shared" si="436"/>
        <v>0</v>
      </c>
      <c r="H877" s="414">
        <f t="shared" si="436"/>
        <v>0</v>
      </c>
      <c r="I877" s="414">
        <f t="shared" si="436"/>
        <v>0</v>
      </c>
      <c r="J877" s="414">
        <f t="shared" si="436"/>
        <v>0</v>
      </c>
      <c r="K877" s="414">
        <f t="shared" si="436"/>
        <v>0</v>
      </c>
      <c r="L877" s="414">
        <f t="shared" si="436"/>
        <v>0</v>
      </c>
      <c r="M877" s="414">
        <f t="shared" si="436"/>
        <v>0</v>
      </c>
      <c r="N877" s="414"/>
      <c r="O877" s="414"/>
    </row>
    <row r="878" ht="15" hidden="1" spans="2:15">
      <c r="B878" s="410"/>
      <c r="C878" s="418" t="s">
        <v>779</v>
      </c>
      <c r="D878" s="412"/>
      <c r="E878" s="416"/>
      <c r="F878" s="414">
        <f ca="1" t="shared" si="436"/>
        <v>0</v>
      </c>
      <c r="G878" s="414">
        <f ca="1" t="shared" si="436"/>
        <v>0</v>
      </c>
      <c r="H878" s="414">
        <f ca="1" t="shared" si="436"/>
        <v>0</v>
      </c>
      <c r="I878" s="414">
        <f ca="1" t="shared" si="436"/>
        <v>0</v>
      </c>
      <c r="J878" s="414">
        <f ca="1" t="shared" si="436"/>
        <v>0</v>
      </c>
      <c r="K878" s="414">
        <f ca="1" t="shared" si="436"/>
        <v>0</v>
      </c>
      <c r="L878" s="414">
        <f ca="1" t="shared" si="436"/>
        <v>0</v>
      </c>
      <c r="M878" s="414">
        <f ca="1" t="shared" si="436"/>
        <v>0</v>
      </c>
      <c r="N878" s="414">
        <f ca="1" t="shared" si="439"/>
        <v>0</v>
      </c>
      <c r="O878" s="414">
        <f ca="1" t="shared" si="440"/>
        <v>0</v>
      </c>
    </row>
    <row r="879" ht="15" hidden="1" spans="2:15">
      <c r="B879" s="410"/>
      <c r="C879" s="418" t="s">
        <v>780</v>
      </c>
      <c r="D879" s="412"/>
      <c r="E879" s="416"/>
      <c r="F879" s="414">
        <f ca="1" t="shared" si="436"/>
        <v>0</v>
      </c>
      <c r="G879" s="414">
        <f ca="1" t="shared" si="436"/>
        <v>0</v>
      </c>
      <c r="H879" s="414">
        <f ca="1" t="shared" si="436"/>
        <v>0</v>
      </c>
      <c r="I879" s="414">
        <f ca="1" t="shared" si="436"/>
        <v>0</v>
      </c>
      <c r="J879" s="414">
        <f ca="1" t="shared" si="436"/>
        <v>0</v>
      </c>
      <c r="K879" s="414">
        <f ca="1" t="shared" si="436"/>
        <v>0</v>
      </c>
      <c r="L879" s="414">
        <f ca="1" t="shared" si="436"/>
        <v>0</v>
      </c>
      <c r="M879" s="414">
        <f ca="1" t="shared" si="436"/>
        <v>0</v>
      </c>
      <c r="N879" s="414">
        <f ca="1" t="shared" si="439"/>
        <v>0</v>
      </c>
      <c r="O879" s="414">
        <f ca="1" t="shared" si="440"/>
        <v>0</v>
      </c>
    </row>
    <row r="880" ht="15" hidden="1" spans="2:15">
      <c r="B880" s="410">
        <v>5</v>
      </c>
      <c r="C880" s="411" t="s">
        <v>781</v>
      </c>
      <c r="D880" s="412"/>
      <c r="E880" s="416"/>
      <c r="F880" s="414">
        <f t="shared" si="436"/>
        <v>0</v>
      </c>
      <c r="G880" s="414">
        <f t="shared" si="436"/>
        <v>0</v>
      </c>
      <c r="H880" s="414">
        <f t="shared" si="436"/>
        <v>0</v>
      </c>
      <c r="I880" s="414">
        <f t="shared" si="436"/>
        <v>0</v>
      </c>
      <c r="J880" s="414">
        <f t="shared" si="436"/>
        <v>0</v>
      </c>
      <c r="K880" s="414">
        <f t="shared" si="436"/>
        <v>0</v>
      </c>
      <c r="L880" s="414">
        <f t="shared" si="436"/>
        <v>0</v>
      </c>
      <c r="M880" s="414">
        <f t="shared" si="436"/>
        <v>0</v>
      </c>
      <c r="N880" s="414"/>
      <c r="O880" s="414"/>
    </row>
    <row r="881" ht="15" hidden="1" spans="2:15">
      <c r="B881" s="410"/>
      <c r="C881" s="418" t="s">
        <v>782</v>
      </c>
      <c r="D881" s="412"/>
      <c r="E881" s="416"/>
      <c r="F881" s="414">
        <f ca="1" t="shared" si="436"/>
        <v>0</v>
      </c>
      <c r="G881" s="414">
        <f ca="1" t="shared" si="436"/>
        <v>0</v>
      </c>
      <c r="H881" s="414">
        <f ca="1" t="shared" si="436"/>
        <v>0</v>
      </c>
      <c r="I881" s="414">
        <f ca="1" t="shared" si="436"/>
        <v>0</v>
      </c>
      <c r="J881" s="414">
        <f ca="1" t="shared" si="436"/>
        <v>0</v>
      </c>
      <c r="K881" s="414">
        <f ca="1" t="shared" si="436"/>
        <v>0</v>
      </c>
      <c r="L881" s="414">
        <f ca="1" t="shared" si="436"/>
        <v>0</v>
      </c>
      <c r="M881" s="414">
        <f ca="1" t="shared" si="436"/>
        <v>0</v>
      </c>
      <c r="N881" s="414">
        <f ca="1" t="shared" ref="N881:N886" si="441">F881-J881</f>
        <v>0</v>
      </c>
      <c r="O881" s="414">
        <f ca="1" t="shared" ref="O881:O886" si="442">I881-M881</f>
        <v>0</v>
      </c>
    </row>
    <row r="882" ht="15" hidden="1" spans="2:15">
      <c r="B882" s="410"/>
      <c r="C882" s="418" t="s">
        <v>783</v>
      </c>
      <c r="D882" s="412"/>
      <c r="E882" s="416"/>
      <c r="F882" s="414">
        <f ca="1" t="shared" si="436"/>
        <v>0</v>
      </c>
      <c r="G882" s="414">
        <f ca="1" t="shared" si="436"/>
        <v>0</v>
      </c>
      <c r="H882" s="414">
        <f ca="1" t="shared" si="436"/>
        <v>0</v>
      </c>
      <c r="I882" s="414">
        <f ca="1" t="shared" si="436"/>
        <v>0</v>
      </c>
      <c r="J882" s="414">
        <f ca="1" t="shared" si="436"/>
        <v>0</v>
      </c>
      <c r="K882" s="414">
        <f ca="1" t="shared" si="436"/>
        <v>0</v>
      </c>
      <c r="L882" s="414">
        <f ca="1" t="shared" si="436"/>
        <v>0</v>
      </c>
      <c r="M882" s="414">
        <f ca="1" t="shared" si="436"/>
        <v>0</v>
      </c>
      <c r="N882" s="414">
        <f ca="1" t="shared" si="441"/>
        <v>0</v>
      </c>
      <c r="O882" s="414">
        <f ca="1" t="shared" si="442"/>
        <v>0</v>
      </c>
    </row>
    <row r="883" ht="15" hidden="1" spans="2:15">
      <c r="B883" s="410"/>
      <c r="C883" s="418" t="s">
        <v>784</v>
      </c>
      <c r="D883" s="412"/>
      <c r="E883" s="416"/>
      <c r="F883" s="414">
        <f ca="1" t="shared" si="436"/>
        <v>0</v>
      </c>
      <c r="G883" s="414">
        <f ca="1" t="shared" si="436"/>
        <v>0</v>
      </c>
      <c r="H883" s="414">
        <f ca="1" t="shared" si="436"/>
        <v>0</v>
      </c>
      <c r="I883" s="414">
        <f ca="1" t="shared" si="436"/>
        <v>0</v>
      </c>
      <c r="J883" s="414">
        <f ca="1" t="shared" si="436"/>
        <v>0</v>
      </c>
      <c r="K883" s="414">
        <f ca="1" t="shared" si="436"/>
        <v>0</v>
      </c>
      <c r="L883" s="414">
        <f ca="1" t="shared" si="436"/>
        <v>0</v>
      </c>
      <c r="M883" s="414">
        <f ca="1" t="shared" si="436"/>
        <v>0</v>
      </c>
      <c r="N883" s="414">
        <f ca="1" t="shared" si="441"/>
        <v>0</v>
      </c>
      <c r="O883" s="414">
        <f ca="1" t="shared" si="442"/>
        <v>0</v>
      </c>
    </row>
    <row r="884" ht="15" hidden="1" spans="2:15">
      <c r="B884" s="410"/>
      <c r="C884" s="418" t="s">
        <v>785</v>
      </c>
      <c r="D884" s="412"/>
      <c r="E884" s="416"/>
      <c r="F884" s="414">
        <f ca="1" t="shared" si="436"/>
        <v>0</v>
      </c>
      <c r="G884" s="414">
        <f ca="1" t="shared" si="436"/>
        <v>0</v>
      </c>
      <c r="H884" s="414">
        <f ca="1" t="shared" si="436"/>
        <v>0</v>
      </c>
      <c r="I884" s="414">
        <f ca="1" t="shared" si="436"/>
        <v>0</v>
      </c>
      <c r="J884" s="414">
        <f ca="1" t="shared" si="436"/>
        <v>0</v>
      </c>
      <c r="K884" s="414">
        <f ca="1" t="shared" si="436"/>
        <v>0</v>
      </c>
      <c r="L884" s="414">
        <f ca="1" t="shared" si="436"/>
        <v>0</v>
      </c>
      <c r="M884" s="414">
        <f ca="1" t="shared" si="436"/>
        <v>0</v>
      </c>
      <c r="N884" s="414">
        <f ca="1" t="shared" si="441"/>
        <v>0</v>
      </c>
      <c r="O884" s="414">
        <f ca="1" t="shared" si="442"/>
        <v>0</v>
      </c>
    </row>
    <row r="885" ht="15" hidden="1" spans="2:15">
      <c r="B885" s="410">
        <v>6</v>
      </c>
      <c r="C885" s="411" t="s">
        <v>786</v>
      </c>
      <c r="D885" s="412"/>
      <c r="E885" s="416"/>
      <c r="F885" s="414">
        <f ca="1" t="shared" ref="F885:M900" si="443">10%*F251</f>
        <v>0</v>
      </c>
      <c r="G885" s="414">
        <f ca="1" t="shared" si="443"/>
        <v>0</v>
      </c>
      <c r="H885" s="414">
        <f ca="1" t="shared" si="443"/>
        <v>0</v>
      </c>
      <c r="I885" s="414">
        <f ca="1" t="shared" si="443"/>
        <v>0</v>
      </c>
      <c r="J885" s="414">
        <f ca="1" t="shared" si="443"/>
        <v>0</v>
      </c>
      <c r="K885" s="414">
        <f ca="1" t="shared" si="443"/>
        <v>0</v>
      </c>
      <c r="L885" s="414">
        <f ca="1" t="shared" si="443"/>
        <v>0</v>
      </c>
      <c r="M885" s="414">
        <f ca="1" t="shared" si="443"/>
        <v>0</v>
      </c>
      <c r="N885" s="414">
        <f ca="1" t="shared" si="441"/>
        <v>0</v>
      </c>
      <c r="O885" s="414">
        <f ca="1" t="shared" si="442"/>
        <v>0</v>
      </c>
    </row>
    <row r="886" ht="15" hidden="1" spans="2:15">
      <c r="B886" s="410">
        <v>7</v>
      </c>
      <c r="C886" s="411" t="s">
        <v>787</v>
      </c>
      <c r="D886" s="412"/>
      <c r="E886" s="416"/>
      <c r="F886" s="414">
        <f ca="1" t="shared" si="443"/>
        <v>0</v>
      </c>
      <c r="G886" s="414">
        <f ca="1" t="shared" si="443"/>
        <v>0</v>
      </c>
      <c r="H886" s="414">
        <f ca="1" t="shared" si="443"/>
        <v>0</v>
      </c>
      <c r="I886" s="414">
        <f ca="1" t="shared" si="443"/>
        <v>0</v>
      </c>
      <c r="J886" s="414">
        <f ca="1" t="shared" si="443"/>
        <v>0</v>
      </c>
      <c r="K886" s="414">
        <f ca="1" t="shared" si="443"/>
        <v>0</v>
      </c>
      <c r="L886" s="414">
        <f ca="1" t="shared" si="443"/>
        <v>0</v>
      </c>
      <c r="M886" s="414">
        <f ca="1" t="shared" si="443"/>
        <v>0</v>
      </c>
      <c r="N886" s="414">
        <f ca="1" t="shared" si="441"/>
        <v>0</v>
      </c>
      <c r="O886" s="414">
        <f ca="1" t="shared" si="442"/>
        <v>0</v>
      </c>
    </row>
    <row r="887" ht="15" hidden="1" spans="2:15">
      <c r="B887" s="410">
        <v>8</v>
      </c>
      <c r="C887" s="411" t="s">
        <v>788</v>
      </c>
      <c r="D887" s="412"/>
      <c r="E887" s="416"/>
      <c r="F887" s="414">
        <f t="shared" si="443"/>
        <v>0</v>
      </c>
      <c r="G887" s="414">
        <f t="shared" si="443"/>
        <v>0</v>
      </c>
      <c r="H887" s="414">
        <f t="shared" si="443"/>
        <v>0</v>
      </c>
      <c r="I887" s="414">
        <f t="shared" si="443"/>
        <v>0</v>
      </c>
      <c r="J887" s="414">
        <f t="shared" si="443"/>
        <v>0</v>
      </c>
      <c r="K887" s="414">
        <f t="shared" si="443"/>
        <v>0</v>
      </c>
      <c r="L887" s="414">
        <f t="shared" si="443"/>
        <v>0</v>
      </c>
      <c r="M887" s="414">
        <f t="shared" si="443"/>
        <v>0</v>
      </c>
      <c r="N887" s="414"/>
      <c r="O887" s="414"/>
    </row>
    <row r="888" ht="15" hidden="1" spans="2:15">
      <c r="B888" s="410"/>
      <c r="C888" s="418" t="s">
        <v>789</v>
      </c>
      <c r="D888" s="412"/>
      <c r="E888" s="416"/>
      <c r="F888" s="414">
        <f ca="1" t="shared" si="443"/>
        <v>1412.6080267366</v>
      </c>
      <c r="G888" s="414">
        <f t="shared" si="443"/>
        <v>203.574983169247</v>
      </c>
      <c r="H888" s="414">
        <f ca="1" t="shared" si="443"/>
        <v>0</v>
      </c>
      <c r="I888" s="414">
        <f ca="1" t="shared" si="443"/>
        <v>1616.18300990584</v>
      </c>
      <c r="J888" s="414">
        <f ca="1" t="shared" si="443"/>
        <v>573.921542875345</v>
      </c>
      <c r="K888" s="414">
        <f t="shared" si="443"/>
        <v>48.6108240658757</v>
      </c>
      <c r="L888" s="414">
        <f ca="1" t="shared" si="443"/>
        <v>0</v>
      </c>
      <c r="M888" s="414">
        <f ca="1" t="shared" si="443"/>
        <v>622.53236694122</v>
      </c>
      <c r="N888" s="414">
        <f ca="1" t="shared" ref="N888:O892" si="444">F888-J888</f>
        <v>838.686483861252</v>
      </c>
      <c r="O888" s="414">
        <f ca="1" t="shared" ref="O888:O890" si="445">I888-M888</f>
        <v>993.650642964624</v>
      </c>
    </row>
    <row r="889" ht="15" hidden="1" spans="2:15">
      <c r="B889" s="410"/>
      <c r="C889" s="418" t="s">
        <v>808</v>
      </c>
      <c r="D889" s="412"/>
      <c r="E889" s="416"/>
      <c r="F889" s="414">
        <f ca="1" t="shared" si="443"/>
        <v>0</v>
      </c>
      <c r="G889" s="414">
        <f ca="1" t="shared" si="443"/>
        <v>0</v>
      </c>
      <c r="H889" s="414">
        <f ca="1" t="shared" si="443"/>
        <v>0</v>
      </c>
      <c r="I889" s="414">
        <f ca="1" t="shared" si="443"/>
        <v>0</v>
      </c>
      <c r="J889" s="414">
        <f ca="1" t="shared" si="443"/>
        <v>0</v>
      </c>
      <c r="K889" s="414">
        <f ca="1" t="shared" si="443"/>
        <v>0</v>
      </c>
      <c r="L889" s="414">
        <f ca="1" t="shared" si="443"/>
        <v>0</v>
      </c>
      <c r="M889" s="414">
        <f ca="1" t="shared" si="443"/>
        <v>0</v>
      </c>
      <c r="N889" s="414">
        <f ca="1" t="shared" si="444"/>
        <v>0</v>
      </c>
      <c r="O889" s="414">
        <f ca="1" t="shared" si="445"/>
        <v>0</v>
      </c>
    </row>
    <row r="890" ht="30" hidden="1" spans="2:15">
      <c r="B890" s="420">
        <v>9</v>
      </c>
      <c r="C890" s="421" t="s">
        <v>791</v>
      </c>
      <c r="D890" s="412"/>
      <c r="E890" s="416"/>
      <c r="F890" s="414">
        <f ca="1" t="shared" si="443"/>
        <v>0</v>
      </c>
      <c r="G890" s="414">
        <f ca="1" t="shared" si="443"/>
        <v>0</v>
      </c>
      <c r="H890" s="414">
        <f ca="1" t="shared" si="443"/>
        <v>0</v>
      </c>
      <c r="I890" s="414">
        <f ca="1" t="shared" si="443"/>
        <v>0</v>
      </c>
      <c r="J890" s="414">
        <f ca="1" t="shared" si="443"/>
        <v>0</v>
      </c>
      <c r="K890" s="414">
        <f ca="1" t="shared" si="443"/>
        <v>0</v>
      </c>
      <c r="L890" s="414">
        <f ca="1" t="shared" si="443"/>
        <v>0</v>
      </c>
      <c r="M890" s="414">
        <f ca="1" t="shared" si="443"/>
        <v>0</v>
      </c>
      <c r="N890" s="414">
        <f ca="1" t="shared" si="444"/>
        <v>0</v>
      </c>
      <c r="O890" s="414">
        <f ca="1" t="shared" si="445"/>
        <v>0</v>
      </c>
    </row>
    <row r="891" ht="15" hidden="1" spans="2:15">
      <c r="B891" s="422">
        <v>10</v>
      </c>
      <c r="C891" s="423" t="s">
        <v>792</v>
      </c>
      <c r="D891" s="424"/>
      <c r="E891" s="416"/>
      <c r="F891" s="414">
        <f ca="1" t="shared" si="443"/>
        <v>218.956068465474</v>
      </c>
      <c r="G891" s="414">
        <f t="shared" si="443"/>
        <v>13.5408140046992</v>
      </c>
      <c r="H891" s="414">
        <f ca="1" t="shared" si="443"/>
        <v>0</v>
      </c>
      <c r="I891" s="414">
        <f ca="1" t="shared" si="443"/>
        <v>232.496882470173</v>
      </c>
      <c r="J891" s="414">
        <f ca="1" t="shared" si="443"/>
        <v>139.110202429329</v>
      </c>
      <c r="K891" s="414">
        <f t="shared" si="443"/>
        <v>7.3777049815896</v>
      </c>
      <c r="L891" s="414">
        <f ca="1" t="shared" si="443"/>
        <v>0</v>
      </c>
      <c r="M891" s="414">
        <f ca="1" t="shared" si="443"/>
        <v>146.487907410919</v>
      </c>
      <c r="N891" s="414">
        <f ca="1" t="shared" si="444"/>
        <v>79.8458660361446</v>
      </c>
      <c r="O891" s="414">
        <f t="shared" si="444"/>
        <v>6.1631090231096</v>
      </c>
    </row>
    <row r="892" ht="15" hidden="1" spans="2:15">
      <c r="B892" s="422">
        <v>11</v>
      </c>
      <c r="C892" s="423" t="s">
        <v>793</v>
      </c>
      <c r="D892" s="424"/>
      <c r="E892" s="416"/>
      <c r="F892" s="414">
        <f ca="1" t="shared" si="443"/>
        <v>0.708</v>
      </c>
      <c r="G892" s="414">
        <f ca="1" t="shared" si="443"/>
        <v>0</v>
      </c>
      <c r="H892" s="414">
        <f ca="1" t="shared" si="443"/>
        <v>0</v>
      </c>
      <c r="I892" s="414">
        <f ca="1" t="shared" si="443"/>
        <v>0.708</v>
      </c>
      <c r="J892" s="414">
        <f ca="1" t="shared" si="443"/>
        <v>0.6833210851</v>
      </c>
      <c r="K892" s="414">
        <f t="shared" si="443"/>
        <v>0</v>
      </c>
      <c r="L892" s="414">
        <f ca="1" t="shared" si="443"/>
        <v>0</v>
      </c>
      <c r="M892" s="414">
        <f ca="1" t="shared" si="443"/>
        <v>0.6833210851</v>
      </c>
      <c r="N892" s="414">
        <f ca="1" t="shared" si="444"/>
        <v>0.0246789149000001</v>
      </c>
      <c r="O892" s="414">
        <f ca="1" t="shared" si="444"/>
        <v>0</v>
      </c>
    </row>
    <row r="893" ht="15" hidden="1" spans="2:15">
      <c r="B893" s="422">
        <v>12</v>
      </c>
      <c r="C893" s="423" t="s">
        <v>794</v>
      </c>
      <c r="D893" s="424"/>
      <c r="E893" s="416"/>
      <c r="F893" s="414">
        <f t="shared" si="443"/>
        <v>0</v>
      </c>
      <c r="G893" s="414">
        <f t="shared" si="443"/>
        <v>0</v>
      </c>
      <c r="H893" s="414">
        <f t="shared" si="443"/>
        <v>0</v>
      </c>
      <c r="I893" s="414">
        <f t="shared" si="443"/>
        <v>0</v>
      </c>
      <c r="J893" s="414">
        <f t="shared" si="443"/>
        <v>0</v>
      </c>
      <c r="K893" s="414">
        <f t="shared" si="443"/>
        <v>0</v>
      </c>
      <c r="L893" s="414">
        <f t="shared" si="443"/>
        <v>0</v>
      </c>
      <c r="M893" s="414">
        <f t="shared" si="443"/>
        <v>0</v>
      </c>
      <c r="N893" s="414"/>
      <c r="O893" s="414"/>
    </row>
    <row r="894" ht="15" hidden="1" spans="2:15">
      <c r="B894" s="422"/>
      <c r="C894" s="425" t="s">
        <v>795</v>
      </c>
      <c r="D894" s="424"/>
      <c r="E894" s="416"/>
      <c r="F894" s="414">
        <f ca="1" t="shared" si="443"/>
        <v>0.26</v>
      </c>
      <c r="G894" s="414">
        <f ca="1" t="shared" si="443"/>
        <v>0</v>
      </c>
      <c r="H894" s="414">
        <f ca="1" t="shared" si="443"/>
        <v>0</v>
      </c>
      <c r="I894" s="414">
        <f ca="1" t="shared" si="443"/>
        <v>0.26</v>
      </c>
      <c r="J894" s="414">
        <f ca="1" t="shared" si="443"/>
        <v>0.1701644132</v>
      </c>
      <c r="K894" s="414">
        <f ca="1" t="shared" si="443"/>
        <v>0</v>
      </c>
      <c r="L894" s="414">
        <f ca="1" t="shared" si="443"/>
        <v>0</v>
      </c>
      <c r="M894" s="414">
        <f ca="1" t="shared" si="443"/>
        <v>0.1701644132</v>
      </c>
      <c r="N894" s="414">
        <f ca="1" t="shared" ref="N894:O895" si="446">F894-J894</f>
        <v>0.0898355868</v>
      </c>
      <c r="O894" s="414">
        <f ca="1" t="shared" si="446"/>
        <v>0</v>
      </c>
    </row>
    <row r="895" ht="15" hidden="1" spans="2:15">
      <c r="B895" s="422"/>
      <c r="C895" s="425" t="s">
        <v>796</v>
      </c>
      <c r="D895" s="424"/>
      <c r="E895" s="416"/>
      <c r="F895" s="414">
        <f ca="1" t="shared" si="443"/>
        <v>0</v>
      </c>
      <c r="G895" s="414">
        <f ca="1" t="shared" si="443"/>
        <v>0</v>
      </c>
      <c r="H895" s="414">
        <f ca="1" t="shared" si="443"/>
        <v>0</v>
      </c>
      <c r="I895" s="414">
        <f ca="1" t="shared" si="443"/>
        <v>0</v>
      </c>
      <c r="J895" s="414">
        <f ca="1" t="shared" si="443"/>
        <v>0</v>
      </c>
      <c r="K895" s="414">
        <f ca="1" t="shared" si="443"/>
        <v>0</v>
      </c>
      <c r="L895" s="414">
        <f ca="1" t="shared" si="443"/>
        <v>0</v>
      </c>
      <c r="M895" s="414">
        <f ca="1" t="shared" si="443"/>
        <v>0</v>
      </c>
      <c r="N895" s="414">
        <f ca="1" t="shared" si="446"/>
        <v>0</v>
      </c>
      <c r="O895" s="414">
        <f ca="1" t="shared" si="446"/>
        <v>0</v>
      </c>
    </row>
    <row r="896" ht="15" hidden="1" spans="2:15">
      <c r="B896" s="422">
        <v>13</v>
      </c>
      <c r="C896" s="425"/>
      <c r="D896" s="424"/>
      <c r="E896" s="416"/>
      <c r="F896" s="414">
        <f t="shared" si="443"/>
        <v>0</v>
      </c>
      <c r="G896" s="414">
        <f t="shared" si="443"/>
        <v>0</v>
      </c>
      <c r="H896" s="414">
        <f t="shared" si="443"/>
        <v>0</v>
      </c>
      <c r="I896" s="414">
        <f t="shared" si="443"/>
        <v>0</v>
      </c>
      <c r="J896" s="414">
        <f t="shared" si="443"/>
        <v>0</v>
      </c>
      <c r="K896" s="414">
        <f t="shared" si="443"/>
        <v>0</v>
      </c>
      <c r="L896" s="414">
        <f t="shared" si="443"/>
        <v>0</v>
      </c>
      <c r="M896" s="414">
        <f t="shared" si="443"/>
        <v>0</v>
      </c>
      <c r="N896" s="414"/>
      <c r="O896" s="414"/>
    </row>
    <row r="897" ht="15" hidden="1" spans="2:15">
      <c r="B897" s="422"/>
      <c r="C897" s="425" t="s">
        <v>797</v>
      </c>
      <c r="D897" s="424"/>
      <c r="E897" s="416"/>
      <c r="F897" s="414">
        <f ca="1" t="shared" si="443"/>
        <v>1.725</v>
      </c>
      <c r="G897" s="414">
        <f ca="1" t="shared" si="443"/>
        <v>0</v>
      </c>
      <c r="H897" s="414">
        <f ca="1" t="shared" si="443"/>
        <v>0</v>
      </c>
      <c r="I897" s="414">
        <f ca="1" t="shared" si="443"/>
        <v>1.725</v>
      </c>
      <c r="J897" s="414">
        <f ca="1" t="shared" si="443"/>
        <v>1.3458035385</v>
      </c>
      <c r="K897" s="414">
        <f t="shared" si="443"/>
        <v>0.0405165171</v>
      </c>
      <c r="L897" s="414">
        <f ca="1" t="shared" si="443"/>
        <v>0</v>
      </c>
      <c r="M897" s="414">
        <f ca="1" t="shared" si="443"/>
        <v>1.3863200556</v>
      </c>
      <c r="N897" s="414">
        <f ca="1" t="shared" ref="N897:O900" si="447">F897-J897</f>
        <v>0.3791964615</v>
      </c>
      <c r="O897" s="414">
        <f ca="1" t="shared" si="447"/>
        <v>-0.0405165171</v>
      </c>
    </row>
    <row r="898" ht="15" hidden="1" spans="2:15">
      <c r="B898" s="422"/>
      <c r="C898" s="425" t="s">
        <v>798</v>
      </c>
      <c r="D898" s="424"/>
      <c r="E898" s="416"/>
      <c r="F898" s="414">
        <f ca="1" t="shared" si="443"/>
        <v>5.20331892926824</v>
      </c>
      <c r="G898" s="414">
        <f t="shared" si="443"/>
        <v>0.0247904866640808</v>
      </c>
      <c r="H898" s="414">
        <f ca="1" t="shared" si="443"/>
        <v>0</v>
      </c>
      <c r="I898" s="414">
        <f ca="1" t="shared" si="443"/>
        <v>5.22810941593232</v>
      </c>
      <c r="J898" s="414">
        <f ca="1" t="shared" si="443"/>
        <v>3.94384246278998</v>
      </c>
      <c r="K898" s="414">
        <f t="shared" si="443"/>
        <v>0.140230618534025</v>
      </c>
      <c r="L898" s="414">
        <f ca="1" t="shared" si="443"/>
        <v>0</v>
      </c>
      <c r="M898" s="414">
        <f ca="1" t="shared" si="443"/>
        <v>4.084073081324</v>
      </c>
      <c r="N898" s="414">
        <f ca="1" t="shared" si="447"/>
        <v>1.25947646647826</v>
      </c>
      <c r="O898" s="414">
        <f t="shared" si="447"/>
        <v>-0.115440131869944</v>
      </c>
    </row>
    <row r="899" ht="15" hidden="1" spans="2:15">
      <c r="B899" s="422"/>
      <c r="C899" s="425" t="s">
        <v>799</v>
      </c>
      <c r="D899" s="424"/>
      <c r="E899" s="416"/>
      <c r="F899" s="414">
        <f ca="1" t="shared" si="443"/>
        <v>0</v>
      </c>
      <c r="G899" s="414">
        <f ca="1" t="shared" si="443"/>
        <v>0</v>
      </c>
      <c r="H899" s="414">
        <f ca="1" t="shared" si="443"/>
        <v>0</v>
      </c>
      <c r="I899" s="414">
        <f ca="1" t="shared" si="443"/>
        <v>0</v>
      </c>
      <c r="J899" s="414">
        <f ca="1" t="shared" si="443"/>
        <v>0</v>
      </c>
      <c r="K899" s="414">
        <f ca="1" t="shared" si="443"/>
        <v>0</v>
      </c>
      <c r="L899" s="414">
        <f ca="1" t="shared" si="443"/>
        <v>0</v>
      </c>
      <c r="M899" s="414">
        <f ca="1" t="shared" si="443"/>
        <v>0</v>
      </c>
      <c r="N899" s="414">
        <f ca="1" t="shared" si="447"/>
        <v>0</v>
      </c>
      <c r="O899" s="414">
        <f ca="1" t="shared" si="447"/>
        <v>0</v>
      </c>
    </row>
    <row r="900" ht="15" hidden="1" spans="2:15">
      <c r="B900" s="422"/>
      <c r="C900" s="425" t="s">
        <v>800</v>
      </c>
      <c r="D900" s="424"/>
      <c r="E900" s="416"/>
      <c r="F900" s="414">
        <f ca="1" t="shared" si="443"/>
        <v>0</v>
      </c>
      <c r="G900" s="414">
        <f ca="1" t="shared" si="443"/>
        <v>0</v>
      </c>
      <c r="H900" s="414">
        <f ca="1" t="shared" si="443"/>
        <v>0</v>
      </c>
      <c r="I900" s="414">
        <f ca="1" t="shared" si="443"/>
        <v>0</v>
      </c>
      <c r="J900" s="414">
        <f ca="1" t="shared" si="443"/>
        <v>0</v>
      </c>
      <c r="K900" s="414">
        <f ca="1" t="shared" si="443"/>
        <v>0</v>
      </c>
      <c r="L900" s="414">
        <f ca="1" t="shared" si="443"/>
        <v>0</v>
      </c>
      <c r="M900" s="414">
        <f ca="1" t="shared" si="443"/>
        <v>0</v>
      </c>
      <c r="N900" s="414">
        <f ca="1" t="shared" si="447"/>
        <v>0</v>
      </c>
      <c r="O900" s="414">
        <f ca="1" t="shared" si="447"/>
        <v>0</v>
      </c>
    </row>
    <row r="901" ht="15" hidden="1" spans="2:15">
      <c r="B901" s="422">
        <v>14</v>
      </c>
      <c r="C901" s="423" t="s">
        <v>801</v>
      </c>
      <c r="D901" s="424"/>
      <c r="E901" s="416"/>
      <c r="F901" s="414">
        <f t="shared" ref="F901:M907" si="448">10%*F267</f>
        <v>0</v>
      </c>
      <c r="G901" s="414">
        <f t="shared" si="448"/>
        <v>0</v>
      </c>
      <c r="H901" s="414">
        <f t="shared" si="448"/>
        <v>0</v>
      </c>
      <c r="I901" s="414">
        <f t="shared" si="448"/>
        <v>0</v>
      </c>
      <c r="J901" s="414">
        <f t="shared" si="448"/>
        <v>0</v>
      </c>
      <c r="K901" s="414">
        <f t="shared" si="448"/>
        <v>0</v>
      </c>
      <c r="L901" s="414">
        <f t="shared" si="448"/>
        <v>0</v>
      </c>
      <c r="M901" s="414">
        <f t="shared" si="448"/>
        <v>0</v>
      </c>
      <c r="N901" s="414"/>
      <c r="O901" s="414"/>
    </row>
    <row r="902" ht="15" hidden="1" spans="2:15">
      <c r="B902" s="422"/>
      <c r="C902" s="425" t="s">
        <v>802</v>
      </c>
      <c r="D902" s="424"/>
      <c r="E902" s="416"/>
      <c r="F902" s="414">
        <f ca="1" t="shared" si="448"/>
        <v>0</v>
      </c>
      <c r="G902" s="414">
        <f ca="1" t="shared" si="448"/>
        <v>0</v>
      </c>
      <c r="H902" s="414">
        <f ca="1" t="shared" si="448"/>
        <v>0</v>
      </c>
      <c r="I902" s="414">
        <f ca="1" t="shared" si="448"/>
        <v>0</v>
      </c>
      <c r="J902" s="414">
        <f ca="1" t="shared" si="448"/>
        <v>0</v>
      </c>
      <c r="K902" s="414">
        <f ca="1" t="shared" si="448"/>
        <v>0</v>
      </c>
      <c r="L902" s="414">
        <f ca="1" t="shared" si="448"/>
        <v>0</v>
      </c>
      <c r="M902" s="414">
        <f ca="1" t="shared" si="448"/>
        <v>0</v>
      </c>
      <c r="N902" s="414">
        <f ca="1" t="shared" ref="N902:O907" si="449">F902-J902</f>
        <v>0</v>
      </c>
      <c r="O902" s="414">
        <f ca="1" t="shared" si="449"/>
        <v>0</v>
      </c>
    </row>
    <row r="903" ht="15" hidden="1" spans="2:15">
      <c r="B903" s="422"/>
      <c r="C903" s="425" t="s">
        <v>803</v>
      </c>
      <c r="D903" s="424"/>
      <c r="E903" s="416"/>
      <c r="F903" s="414">
        <f ca="1" t="shared" si="448"/>
        <v>0</v>
      </c>
      <c r="G903" s="414">
        <f ca="1" t="shared" si="448"/>
        <v>0</v>
      </c>
      <c r="H903" s="414">
        <f ca="1" t="shared" si="448"/>
        <v>0</v>
      </c>
      <c r="I903" s="414">
        <f ca="1" t="shared" si="448"/>
        <v>0</v>
      </c>
      <c r="J903" s="414">
        <f ca="1" t="shared" si="448"/>
        <v>0</v>
      </c>
      <c r="K903" s="414">
        <f ca="1" t="shared" si="448"/>
        <v>0</v>
      </c>
      <c r="L903" s="414">
        <f ca="1" t="shared" si="448"/>
        <v>0</v>
      </c>
      <c r="M903" s="414">
        <f ca="1" t="shared" si="448"/>
        <v>0</v>
      </c>
      <c r="N903" s="414">
        <f ca="1" t="shared" si="449"/>
        <v>0</v>
      </c>
      <c r="O903" s="414">
        <f ca="1" t="shared" si="449"/>
        <v>0</v>
      </c>
    </row>
    <row r="904" ht="15" hidden="1" spans="2:15">
      <c r="B904" s="422"/>
      <c r="C904" s="425" t="s">
        <v>804</v>
      </c>
      <c r="D904" s="424"/>
      <c r="E904" s="416"/>
      <c r="F904" s="414">
        <f ca="1" t="shared" si="448"/>
        <v>0</v>
      </c>
      <c r="G904" s="414">
        <f ca="1" t="shared" si="448"/>
        <v>0</v>
      </c>
      <c r="H904" s="414">
        <f ca="1" t="shared" si="448"/>
        <v>0</v>
      </c>
      <c r="I904" s="414">
        <f ca="1" t="shared" si="448"/>
        <v>0</v>
      </c>
      <c r="J904" s="414">
        <f ca="1" t="shared" si="448"/>
        <v>0</v>
      </c>
      <c r="K904" s="414">
        <f ca="1" t="shared" si="448"/>
        <v>0</v>
      </c>
      <c r="L904" s="414">
        <f ca="1" t="shared" si="448"/>
        <v>0</v>
      </c>
      <c r="M904" s="414">
        <f ca="1" t="shared" si="448"/>
        <v>0</v>
      </c>
      <c r="N904" s="414">
        <f ca="1" t="shared" si="449"/>
        <v>0</v>
      </c>
      <c r="O904" s="414">
        <f ca="1" t="shared" si="449"/>
        <v>0</v>
      </c>
    </row>
    <row r="905" ht="15" hidden="1" spans="2:15">
      <c r="B905" s="422">
        <v>15</v>
      </c>
      <c r="C905" s="423" t="s">
        <v>805</v>
      </c>
      <c r="D905" s="424"/>
      <c r="E905" s="416"/>
      <c r="F905" s="414">
        <f ca="1" t="shared" si="448"/>
        <v>23.7643334232336</v>
      </c>
      <c r="G905" s="414">
        <f t="shared" si="448"/>
        <v>1.94691201585168</v>
      </c>
      <c r="H905" s="414">
        <f ca="1" t="shared" si="448"/>
        <v>0</v>
      </c>
      <c r="I905" s="414">
        <f ca="1" t="shared" si="448"/>
        <v>25.7112454390853</v>
      </c>
      <c r="J905" s="414">
        <f ca="1" t="shared" si="448"/>
        <v>19.143094968106</v>
      </c>
      <c r="K905" s="414">
        <f t="shared" si="448"/>
        <v>1.13389938517392</v>
      </c>
      <c r="L905" s="414">
        <f ca="1" t="shared" si="448"/>
        <v>0</v>
      </c>
      <c r="M905" s="414">
        <f ca="1" t="shared" si="448"/>
        <v>20.2769943532799</v>
      </c>
      <c r="N905" s="414">
        <f ca="1" t="shared" si="449"/>
        <v>4.62123845512766</v>
      </c>
      <c r="O905" s="414">
        <f t="shared" si="449"/>
        <v>0.81301263067776</v>
      </c>
    </row>
    <row r="906" ht="15" hidden="1" spans="2:15">
      <c r="B906" s="422">
        <v>16</v>
      </c>
      <c r="C906" s="423" t="s">
        <v>806</v>
      </c>
      <c r="D906" s="412"/>
      <c r="E906" s="416"/>
      <c r="F906" s="414">
        <f ca="1" t="shared" si="448"/>
        <v>7.08</v>
      </c>
      <c r="G906" s="414">
        <f ca="1" t="shared" si="448"/>
        <v>0</v>
      </c>
      <c r="H906" s="414">
        <f ca="1" t="shared" si="448"/>
        <v>0</v>
      </c>
      <c r="I906" s="414">
        <f ca="1" t="shared" si="448"/>
        <v>7.08</v>
      </c>
      <c r="J906" s="414">
        <f ca="1" t="shared" si="448"/>
        <v>6.7040028708</v>
      </c>
      <c r="K906" s="414">
        <f t="shared" si="448"/>
        <v>0.3046486616</v>
      </c>
      <c r="L906" s="414">
        <f ca="1" t="shared" si="448"/>
        <v>0</v>
      </c>
      <c r="M906" s="414">
        <f ca="1" t="shared" si="448"/>
        <v>7.0086515324</v>
      </c>
      <c r="N906" s="414">
        <f ca="1" t="shared" si="449"/>
        <v>0.3759971292</v>
      </c>
      <c r="O906" s="414">
        <f ca="1" t="shared" si="449"/>
        <v>-0.3046486616</v>
      </c>
    </row>
    <row r="907" ht="15" hidden="1" spans="2:15">
      <c r="B907" s="422">
        <v>17</v>
      </c>
      <c r="C907" s="423" t="s">
        <v>807</v>
      </c>
      <c r="D907" s="412"/>
      <c r="E907" s="426"/>
      <c r="F907" s="414">
        <f ca="1" t="shared" si="448"/>
        <v>0</v>
      </c>
      <c r="G907" s="414">
        <f ca="1" t="shared" si="448"/>
        <v>0</v>
      </c>
      <c r="H907" s="414">
        <f ca="1" t="shared" si="448"/>
        <v>0</v>
      </c>
      <c r="I907" s="414">
        <f ca="1" t="shared" si="448"/>
        <v>0</v>
      </c>
      <c r="J907" s="414">
        <f ca="1" t="shared" si="448"/>
        <v>0</v>
      </c>
      <c r="K907" s="414">
        <f ca="1" t="shared" si="448"/>
        <v>0</v>
      </c>
      <c r="L907" s="414">
        <f ca="1" t="shared" si="448"/>
        <v>0</v>
      </c>
      <c r="M907" s="414">
        <f ca="1" t="shared" si="448"/>
        <v>0</v>
      </c>
      <c r="N907" s="414">
        <f ca="1" t="shared" si="449"/>
        <v>0</v>
      </c>
      <c r="O907" s="414">
        <f ca="1" t="shared" si="449"/>
        <v>0</v>
      </c>
    </row>
    <row r="908" ht="15.75" hidden="1" spans="2:15">
      <c r="B908" s="427"/>
      <c r="C908" s="428" t="s">
        <v>97</v>
      </c>
      <c r="D908" s="428"/>
      <c r="E908" s="429"/>
      <c r="F908" s="430">
        <f ca="1">SUM(F868:F907)</f>
        <v>3141.4172137094</v>
      </c>
      <c r="G908" s="430">
        <f ca="1" t="shared" ref="G908:O908" si="450">SUM(G868:G907)</f>
        <v>410.488123644206</v>
      </c>
      <c r="H908" s="430">
        <f ca="1" t="shared" si="450"/>
        <v>0</v>
      </c>
      <c r="I908" s="430">
        <f ca="1" t="shared" si="450"/>
        <v>3551.90533735361</v>
      </c>
      <c r="J908" s="430">
        <f ca="1" t="shared" si="450"/>
        <v>1409.78619870948</v>
      </c>
      <c r="K908" s="430">
        <f ca="1" t="shared" si="450"/>
        <v>111.564286576774</v>
      </c>
      <c r="L908" s="430">
        <f ca="1" t="shared" si="450"/>
        <v>0</v>
      </c>
      <c r="M908" s="430">
        <f ca="1" t="shared" si="450"/>
        <v>1521.35048528625</v>
      </c>
      <c r="N908" s="430">
        <f ca="1" t="shared" si="450"/>
        <v>1731.63101499992</v>
      </c>
      <c r="O908" s="430">
        <f ca="1" t="shared" si="450"/>
        <v>1943.9585630172</v>
      </c>
    </row>
    <row r="909" hidden="1"/>
    <row r="910" ht="15" hidden="1" spans="2:15">
      <c r="B910" s="431" t="s">
        <v>657</v>
      </c>
      <c r="C910" s="432"/>
      <c r="D910" s="432"/>
      <c r="E910" s="432"/>
      <c r="F910" s="432"/>
      <c r="G910" s="432"/>
      <c r="H910" s="432"/>
      <c r="I910" s="432"/>
      <c r="J910" s="432"/>
      <c r="K910" s="432"/>
      <c r="L910" s="432"/>
      <c r="M910" s="432"/>
      <c r="N910" s="432"/>
      <c r="O910" s="442"/>
    </row>
    <row r="911" ht="15" hidden="1" spans="2:15">
      <c r="B911" s="406" t="s">
        <v>564</v>
      </c>
      <c r="C911" s="980" t="s">
        <v>671</v>
      </c>
      <c r="D911" s="408" t="s">
        <v>672</v>
      </c>
      <c r="E911" s="408" t="s">
        <v>673</v>
      </c>
      <c r="F911" s="408" t="s">
        <v>674</v>
      </c>
      <c r="G911" s="408"/>
      <c r="H911" s="408"/>
      <c r="I911" s="408"/>
      <c r="J911" s="408" t="s">
        <v>675</v>
      </c>
      <c r="K911" s="408"/>
      <c r="L911" s="408"/>
      <c r="M911" s="408"/>
      <c r="N911" s="408" t="s">
        <v>676</v>
      </c>
      <c r="O911" s="440"/>
    </row>
    <row r="912" ht="60.75" hidden="1" spans="2:15">
      <c r="B912" s="433"/>
      <c r="C912" s="434"/>
      <c r="D912" s="435"/>
      <c r="E912" s="435"/>
      <c r="F912" s="435" t="s">
        <v>677</v>
      </c>
      <c r="G912" s="435" t="s">
        <v>678</v>
      </c>
      <c r="H912" s="435" t="s">
        <v>679</v>
      </c>
      <c r="I912" s="435" t="s">
        <v>680</v>
      </c>
      <c r="J912" s="435" t="s">
        <v>681</v>
      </c>
      <c r="K912" s="435" t="s">
        <v>678</v>
      </c>
      <c r="L912" s="435" t="s">
        <v>682</v>
      </c>
      <c r="M912" s="435" t="s">
        <v>683</v>
      </c>
      <c r="N912" s="435" t="s">
        <v>677</v>
      </c>
      <c r="O912" s="443" t="s">
        <v>680</v>
      </c>
    </row>
    <row r="913" ht="15" hidden="1" spans="2:15">
      <c r="B913" s="410">
        <v>1</v>
      </c>
      <c r="C913" s="411" t="s">
        <v>684</v>
      </c>
      <c r="D913" s="405"/>
      <c r="E913" s="437"/>
      <c r="F913" s="414">
        <f ca="1">10%*F279</f>
        <v>32.892241489239</v>
      </c>
      <c r="G913" s="414">
        <f t="shared" ref="G913:M913" si="451">10%*G279</f>
        <v>10.0731376550811</v>
      </c>
      <c r="H913" s="414">
        <f ca="1" t="shared" si="451"/>
        <v>0</v>
      </c>
      <c r="I913" s="414">
        <f ca="1" t="shared" si="451"/>
        <v>42.9653791443201</v>
      </c>
      <c r="J913" s="414">
        <f ca="1" t="shared" si="451"/>
        <v>0.000489906200000156</v>
      </c>
      <c r="K913" s="414">
        <f t="shared" si="451"/>
        <v>0</v>
      </c>
      <c r="L913" s="414">
        <f ca="1" t="shared" si="451"/>
        <v>0</v>
      </c>
      <c r="M913" s="414">
        <f ca="1" t="shared" si="451"/>
        <v>0.000489906200000156</v>
      </c>
      <c r="N913" s="414">
        <f ca="1">F913-J913</f>
        <v>32.891751583039</v>
      </c>
      <c r="O913" s="414">
        <f ca="1">I913-M913</f>
        <v>42.9648892381201</v>
      </c>
    </row>
    <row r="914" ht="15" hidden="1" spans="2:15">
      <c r="B914" s="410">
        <v>2</v>
      </c>
      <c r="C914" s="411" t="s">
        <v>770</v>
      </c>
      <c r="D914" s="476"/>
      <c r="E914" s="477"/>
      <c r="F914" s="414">
        <f ca="1" t="shared" ref="F914:M929" si="452">10%*F280</f>
        <v>0</v>
      </c>
      <c r="G914" s="414">
        <f ca="1" t="shared" si="452"/>
        <v>0</v>
      </c>
      <c r="H914" s="414">
        <f ca="1" t="shared" si="452"/>
        <v>0</v>
      </c>
      <c r="I914" s="414">
        <f ca="1" t="shared" si="452"/>
        <v>0</v>
      </c>
      <c r="J914" s="414">
        <f ca="1" t="shared" si="452"/>
        <v>0</v>
      </c>
      <c r="K914" s="414">
        <f ca="1" t="shared" si="452"/>
        <v>0</v>
      </c>
      <c r="L914" s="414">
        <f ca="1" t="shared" si="452"/>
        <v>0</v>
      </c>
      <c r="M914" s="414">
        <f ca="1" t="shared" si="452"/>
        <v>0</v>
      </c>
      <c r="N914" s="414">
        <f ca="1">F914-J914</f>
        <v>0</v>
      </c>
      <c r="O914" s="414">
        <f ca="1">I914-M914</f>
        <v>0</v>
      </c>
    </row>
    <row r="915" ht="15" hidden="1" spans="2:15">
      <c r="B915" s="410">
        <v>3</v>
      </c>
      <c r="C915" s="415" t="s">
        <v>771</v>
      </c>
      <c r="D915" s="412"/>
      <c r="E915" s="416"/>
      <c r="F915" s="414">
        <f t="shared" si="452"/>
        <v>0</v>
      </c>
      <c r="G915" s="414">
        <f t="shared" si="452"/>
        <v>0</v>
      </c>
      <c r="H915" s="414">
        <f t="shared" si="452"/>
        <v>0</v>
      </c>
      <c r="I915" s="414">
        <f t="shared" si="452"/>
        <v>0</v>
      </c>
      <c r="J915" s="414">
        <f t="shared" si="452"/>
        <v>0</v>
      </c>
      <c r="K915" s="414">
        <f t="shared" si="452"/>
        <v>0</v>
      </c>
      <c r="L915" s="414">
        <f t="shared" si="452"/>
        <v>0</v>
      </c>
      <c r="M915" s="414">
        <f t="shared" si="452"/>
        <v>0</v>
      </c>
      <c r="N915" s="414"/>
      <c r="O915" s="414"/>
    </row>
    <row r="916" ht="15" hidden="1" spans="2:15">
      <c r="B916" s="410"/>
      <c r="C916" s="417" t="s">
        <v>772</v>
      </c>
      <c r="D916" s="412"/>
      <c r="E916" s="416"/>
      <c r="F916" s="414">
        <f ca="1" t="shared" si="452"/>
        <v>64.5526245721274</v>
      </c>
      <c r="G916" s="414">
        <f t="shared" si="452"/>
        <v>8.53279803311043</v>
      </c>
      <c r="H916" s="414">
        <f ca="1" t="shared" si="452"/>
        <v>0</v>
      </c>
      <c r="I916" s="414">
        <f ca="1" t="shared" si="452"/>
        <v>73.0854226052378</v>
      </c>
      <c r="J916" s="414">
        <f ca="1" t="shared" si="452"/>
        <v>22.0712470710731</v>
      </c>
      <c r="K916" s="414">
        <f t="shared" si="452"/>
        <v>2.26170746489282</v>
      </c>
      <c r="L916" s="414">
        <f ca="1" t="shared" si="452"/>
        <v>0</v>
      </c>
      <c r="M916" s="414">
        <f ca="1" t="shared" si="452"/>
        <v>24.3329545359659</v>
      </c>
      <c r="N916" s="414">
        <f ca="1" t="shared" ref="N916:N919" si="453">F916-J916</f>
        <v>42.4813775010543</v>
      </c>
      <c r="O916" s="414">
        <f ca="1" t="shared" ref="O916:O919" si="454">I916-M916</f>
        <v>48.7524680692719</v>
      </c>
    </row>
    <row r="917" ht="28.5" hidden="1" spans="2:15">
      <c r="B917" s="410"/>
      <c r="C917" s="417" t="s">
        <v>773</v>
      </c>
      <c r="D917" s="412"/>
      <c r="E917" s="416"/>
      <c r="F917" s="414">
        <f ca="1" t="shared" si="452"/>
        <v>0</v>
      </c>
      <c r="G917" s="414">
        <f ca="1" t="shared" si="452"/>
        <v>0</v>
      </c>
      <c r="H917" s="414">
        <f ca="1" t="shared" si="452"/>
        <v>0</v>
      </c>
      <c r="I917" s="414">
        <f ca="1" t="shared" si="452"/>
        <v>0</v>
      </c>
      <c r="J917" s="414">
        <f ca="1" t="shared" si="452"/>
        <v>0</v>
      </c>
      <c r="K917" s="414">
        <f ca="1" t="shared" si="452"/>
        <v>0</v>
      </c>
      <c r="L917" s="414">
        <f ca="1" t="shared" si="452"/>
        <v>0</v>
      </c>
      <c r="M917" s="414">
        <f ca="1" t="shared" si="452"/>
        <v>0</v>
      </c>
      <c r="N917" s="414">
        <f ca="1" t="shared" si="453"/>
        <v>0</v>
      </c>
      <c r="O917" s="414">
        <f ca="1" t="shared" si="454"/>
        <v>0</v>
      </c>
    </row>
    <row r="918" ht="15" hidden="1" spans="2:15">
      <c r="B918" s="410"/>
      <c r="C918" s="417" t="s">
        <v>774</v>
      </c>
      <c r="D918" s="412"/>
      <c r="E918" s="416"/>
      <c r="F918" s="414">
        <f ca="1" t="shared" si="452"/>
        <v>0</v>
      </c>
      <c r="G918" s="414">
        <f ca="1" t="shared" si="452"/>
        <v>0</v>
      </c>
      <c r="H918" s="414">
        <f ca="1" t="shared" si="452"/>
        <v>0</v>
      </c>
      <c r="I918" s="414">
        <f ca="1" t="shared" si="452"/>
        <v>0</v>
      </c>
      <c r="J918" s="414">
        <f ca="1" t="shared" si="452"/>
        <v>0</v>
      </c>
      <c r="K918" s="414">
        <f ca="1" t="shared" si="452"/>
        <v>0</v>
      </c>
      <c r="L918" s="414">
        <f ca="1" t="shared" si="452"/>
        <v>0</v>
      </c>
      <c r="M918" s="414">
        <f ca="1" t="shared" si="452"/>
        <v>0</v>
      </c>
      <c r="N918" s="414">
        <f ca="1" t="shared" si="453"/>
        <v>0</v>
      </c>
      <c r="O918" s="414">
        <f ca="1" t="shared" si="454"/>
        <v>0</v>
      </c>
    </row>
    <row r="919" ht="15" hidden="1" spans="2:15">
      <c r="B919" s="410"/>
      <c r="C919" s="417" t="s">
        <v>775</v>
      </c>
      <c r="D919" s="412"/>
      <c r="E919" s="416"/>
      <c r="F919" s="414">
        <f ca="1" t="shared" si="452"/>
        <v>22.108</v>
      </c>
      <c r="G919" s="414">
        <f ca="1" t="shared" si="452"/>
        <v>0</v>
      </c>
      <c r="H919" s="414">
        <f ca="1" t="shared" si="452"/>
        <v>0</v>
      </c>
      <c r="I919" s="414">
        <f ca="1" t="shared" si="452"/>
        <v>22.108</v>
      </c>
      <c r="J919" s="414">
        <f ca="1" t="shared" si="452"/>
        <v>4.4413445081</v>
      </c>
      <c r="K919" s="414">
        <f ca="1" t="shared" si="452"/>
        <v>0</v>
      </c>
      <c r="L919" s="414">
        <f ca="1" t="shared" si="452"/>
        <v>0</v>
      </c>
      <c r="M919" s="414">
        <f ca="1" t="shared" si="452"/>
        <v>4.4413445081</v>
      </c>
      <c r="N919" s="414">
        <f ca="1" t="shared" si="453"/>
        <v>17.6666554919</v>
      </c>
      <c r="O919" s="414">
        <f ca="1" t="shared" si="454"/>
        <v>17.6666554919</v>
      </c>
    </row>
    <row r="920" ht="15" hidden="1" spans="2:15">
      <c r="B920" s="410">
        <v>4</v>
      </c>
      <c r="C920" s="411" t="s">
        <v>776</v>
      </c>
      <c r="D920" s="412"/>
      <c r="E920" s="416"/>
      <c r="F920" s="414">
        <f t="shared" si="452"/>
        <v>0</v>
      </c>
      <c r="G920" s="414">
        <f t="shared" si="452"/>
        <v>0</v>
      </c>
      <c r="H920" s="414">
        <f t="shared" si="452"/>
        <v>0</v>
      </c>
      <c r="I920" s="414">
        <f t="shared" si="452"/>
        <v>0</v>
      </c>
      <c r="J920" s="414">
        <f t="shared" si="452"/>
        <v>0</v>
      </c>
      <c r="K920" s="414">
        <f t="shared" si="452"/>
        <v>0</v>
      </c>
      <c r="L920" s="414">
        <f t="shared" si="452"/>
        <v>0</v>
      </c>
      <c r="M920" s="414">
        <f t="shared" si="452"/>
        <v>0</v>
      </c>
      <c r="N920" s="414"/>
      <c r="O920" s="414"/>
    </row>
    <row r="921" ht="15" hidden="1" spans="2:15">
      <c r="B921" s="410"/>
      <c r="C921" s="418" t="s">
        <v>777</v>
      </c>
      <c r="D921" s="412"/>
      <c r="E921" s="416"/>
      <c r="F921" s="414">
        <f ca="1" t="shared" si="452"/>
        <v>1542.96022406121</v>
      </c>
      <c r="G921" s="414">
        <f t="shared" si="452"/>
        <v>202.628758200611</v>
      </c>
      <c r="H921" s="414">
        <f ca="1" t="shared" si="452"/>
        <v>0</v>
      </c>
      <c r="I921" s="414">
        <f ca="1" t="shared" si="452"/>
        <v>1745.58898226182</v>
      </c>
      <c r="J921" s="414">
        <f ca="1" t="shared" si="452"/>
        <v>692.207604927837</v>
      </c>
      <c r="K921" s="414">
        <f t="shared" si="452"/>
        <v>58.5478039893705</v>
      </c>
      <c r="L921" s="414">
        <f ca="1" t="shared" si="452"/>
        <v>0</v>
      </c>
      <c r="M921" s="414">
        <f ca="1" t="shared" si="452"/>
        <v>750.755408917208</v>
      </c>
      <c r="N921" s="414">
        <f ca="1" t="shared" ref="N921:N924" si="455">F921-J921</f>
        <v>850.752619133369</v>
      </c>
      <c r="O921" s="414">
        <f ca="1" t="shared" ref="O921:O924" si="456">I921-M921</f>
        <v>994.833573344609</v>
      </c>
    </row>
    <row r="922" ht="15" hidden="1" spans="2:15">
      <c r="B922" s="410"/>
      <c r="C922" s="411" t="s">
        <v>778</v>
      </c>
      <c r="D922" s="412"/>
      <c r="E922" s="416"/>
      <c r="F922" s="414">
        <f t="shared" si="452"/>
        <v>0</v>
      </c>
      <c r="G922" s="414">
        <f t="shared" si="452"/>
        <v>0</v>
      </c>
      <c r="H922" s="414">
        <f t="shared" si="452"/>
        <v>0</v>
      </c>
      <c r="I922" s="414">
        <f t="shared" si="452"/>
        <v>0</v>
      </c>
      <c r="J922" s="414">
        <f t="shared" si="452"/>
        <v>0</v>
      </c>
      <c r="K922" s="414">
        <f t="shared" si="452"/>
        <v>0</v>
      </c>
      <c r="L922" s="414">
        <f t="shared" si="452"/>
        <v>0</v>
      </c>
      <c r="M922" s="414">
        <f t="shared" si="452"/>
        <v>0</v>
      </c>
      <c r="N922" s="414"/>
      <c r="O922" s="414"/>
    </row>
    <row r="923" ht="15" hidden="1" spans="2:15">
      <c r="B923" s="410"/>
      <c r="C923" s="418" t="s">
        <v>779</v>
      </c>
      <c r="D923" s="412"/>
      <c r="E923" s="416"/>
      <c r="F923" s="414">
        <f ca="1" t="shared" si="452"/>
        <v>0</v>
      </c>
      <c r="G923" s="414">
        <f ca="1" t="shared" si="452"/>
        <v>0</v>
      </c>
      <c r="H923" s="414">
        <f ca="1" t="shared" si="452"/>
        <v>0</v>
      </c>
      <c r="I923" s="414">
        <f ca="1" t="shared" si="452"/>
        <v>0</v>
      </c>
      <c r="J923" s="414">
        <f ca="1" t="shared" si="452"/>
        <v>0</v>
      </c>
      <c r="K923" s="414">
        <f ca="1" t="shared" si="452"/>
        <v>0</v>
      </c>
      <c r="L923" s="414">
        <f ca="1" t="shared" si="452"/>
        <v>0</v>
      </c>
      <c r="M923" s="414">
        <f ca="1" t="shared" si="452"/>
        <v>0</v>
      </c>
      <c r="N923" s="414">
        <f ca="1" t="shared" si="455"/>
        <v>0</v>
      </c>
      <c r="O923" s="414">
        <f ca="1" t="shared" si="456"/>
        <v>0</v>
      </c>
    </row>
    <row r="924" ht="15" hidden="1" spans="2:15">
      <c r="B924" s="410"/>
      <c r="C924" s="418" t="s">
        <v>780</v>
      </c>
      <c r="D924" s="412"/>
      <c r="E924" s="416"/>
      <c r="F924" s="414">
        <f ca="1" t="shared" si="452"/>
        <v>0</v>
      </c>
      <c r="G924" s="414">
        <f ca="1" t="shared" si="452"/>
        <v>0</v>
      </c>
      <c r="H924" s="414">
        <f ca="1" t="shared" si="452"/>
        <v>0</v>
      </c>
      <c r="I924" s="414">
        <f ca="1" t="shared" si="452"/>
        <v>0</v>
      </c>
      <c r="J924" s="414">
        <f ca="1" t="shared" si="452"/>
        <v>0</v>
      </c>
      <c r="K924" s="414">
        <f ca="1" t="shared" si="452"/>
        <v>0</v>
      </c>
      <c r="L924" s="414">
        <f ca="1" t="shared" si="452"/>
        <v>0</v>
      </c>
      <c r="M924" s="414">
        <f ca="1" t="shared" si="452"/>
        <v>0</v>
      </c>
      <c r="N924" s="414">
        <f ca="1" t="shared" si="455"/>
        <v>0</v>
      </c>
      <c r="O924" s="414">
        <f ca="1" t="shared" si="456"/>
        <v>0</v>
      </c>
    </row>
    <row r="925" ht="15" hidden="1" spans="2:15">
      <c r="B925" s="410">
        <v>5</v>
      </c>
      <c r="C925" s="411" t="s">
        <v>781</v>
      </c>
      <c r="D925" s="412"/>
      <c r="E925" s="416"/>
      <c r="F925" s="414">
        <f t="shared" si="452"/>
        <v>0</v>
      </c>
      <c r="G925" s="414">
        <f t="shared" si="452"/>
        <v>0</v>
      </c>
      <c r="H925" s="414">
        <f t="shared" si="452"/>
        <v>0</v>
      </c>
      <c r="I925" s="414">
        <f t="shared" si="452"/>
        <v>0</v>
      </c>
      <c r="J925" s="414">
        <f t="shared" si="452"/>
        <v>0</v>
      </c>
      <c r="K925" s="414">
        <f t="shared" si="452"/>
        <v>0</v>
      </c>
      <c r="L925" s="414">
        <f t="shared" si="452"/>
        <v>0</v>
      </c>
      <c r="M925" s="414">
        <f t="shared" si="452"/>
        <v>0</v>
      </c>
      <c r="N925" s="414"/>
      <c r="O925" s="414"/>
    </row>
    <row r="926" ht="15" hidden="1" spans="2:15">
      <c r="B926" s="410"/>
      <c r="C926" s="418" t="s">
        <v>782</v>
      </c>
      <c r="D926" s="412"/>
      <c r="E926" s="416"/>
      <c r="F926" s="414">
        <f ca="1" t="shared" si="452"/>
        <v>0</v>
      </c>
      <c r="G926" s="414">
        <f ca="1" t="shared" si="452"/>
        <v>0</v>
      </c>
      <c r="H926" s="414">
        <f ca="1" t="shared" si="452"/>
        <v>0</v>
      </c>
      <c r="I926" s="414">
        <f ca="1" t="shared" si="452"/>
        <v>0</v>
      </c>
      <c r="J926" s="414">
        <f ca="1" t="shared" si="452"/>
        <v>0</v>
      </c>
      <c r="K926" s="414">
        <f ca="1" t="shared" si="452"/>
        <v>0</v>
      </c>
      <c r="L926" s="414">
        <f ca="1" t="shared" si="452"/>
        <v>0</v>
      </c>
      <c r="M926" s="414">
        <f ca="1" t="shared" si="452"/>
        <v>0</v>
      </c>
      <c r="N926" s="414">
        <f ca="1" t="shared" ref="N926:N931" si="457">F926-J926</f>
        <v>0</v>
      </c>
      <c r="O926" s="414">
        <f ca="1" t="shared" ref="O926:O931" si="458">I926-M926</f>
        <v>0</v>
      </c>
    </row>
    <row r="927" ht="15" hidden="1" spans="2:15">
      <c r="B927" s="410"/>
      <c r="C927" s="418" t="s">
        <v>783</v>
      </c>
      <c r="D927" s="412"/>
      <c r="E927" s="416"/>
      <c r="F927" s="414">
        <f ca="1" t="shared" si="452"/>
        <v>0</v>
      </c>
      <c r="G927" s="414">
        <f ca="1" t="shared" si="452"/>
        <v>0</v>
      </c>
      <c r="H927" s="414">
        <f ca="1" t="shared" si="452"/>
        <v>0</v>
      </c>
      <c r="I927" s="414">
        <f ca="1" t="shared" si="452"/>
        <v>0</v>
      </c>
      <c r="J927" s="414">
        <f ca="1" t="shared" si="452"/>
        <v>0</v>
      </c>
      <c r="K927" s="414">
        <f ca="1" t="shared" si="452"/>
        <v>0</v>
      </c>
      <c r="L927" s="414">
        <f ca="1" t="shared" si="452"/>
        <v>0</v>
      </c>
      <c r="M927" s="414">
        <f ca="1" t="shared" si="452"/>
        <v>0</v>
      </c>
      <c r="N927" s="414">
        <f ca="1" t="shared" si="457"/>
        <v>0</v>
      </c>
      <c r="O927" s="414">
        <f ca="1" t="shared" si="458"/>
        <v>0</v>
      </c>
    </row>
    <row r="928" ht="15" hidden="1" spans="2:15">
      <c r="B928" s="410"/>
      <c r="C928" s="418" t="s">
        <v>784</v>
      </c>
      <c r="D928" s="412"/>
      <c r="E928" s="416"/>
      <c r="F928" s="414">
        <f ca="1" t="shared" si="452"/>
        <v>0</v>
      </c>
      <c r="G928" s="414">
        <f ca="1" t="shared" si="452"/>
        <v>0</v>
      </c>
      <c r="H928" s="414">
        <f ca="1" t="shared" si="452"/>
        <v>0</v>
      </c>
      <c r="I928" s="414">
        <f ca="1" t="shared" si="452"/>
        <v>0</v>
      </c>
      <c r="J928" s="414">
        <f ca="1" t="shared" si="452"/>
        <v>0</v>
      </c>
      <c r="K928" s="414">
        <f ca="1" t="shared" si="452"/>
        <v>0</v>
      </c>
      <c r="L928" s="414">
        <f ca="1" t="shared" si="452"/>
        <v>0</v>
      </c>
      <c r="M928" s="414">
        <f ca="1" t="shared" si="452"/>
        <v>0</v>
      </c>
      <c r="N928" s="414">
        <f ca="1" t="shared" si="457"/>
        <v>0</v>
      </c>
      <c r="O928" s="414">
        <f ca="1" t="shared" si="458"/>
        <v>0</v>
      </c>
    </row>
    <row r="929" ht="15" hidden="1" spans="2:15">
      <c r="B929" s="410"/>
      <c r="C929" s="418" t="s">
        <v>785</v>
      </c>
      <c r="D929" s="412"/>
      <c r="E929" s="416"/>
      <c r="F929" s="414">
        <f ca="1" t="shared" si="452"/>
        <v>0</v>
      </c>
      <c r="G929" s="414">
        <f ca="1" t="shared" si="452"/>
        <v>0</v>
      </c>
      <c r="H929" s="414">
        <f ca="1" t="shared" si="452"/>
        <v>0</v>
      </c>
      <c r="I929" s="414">
        <f ca="1" t="shared" si="452"/>
        <v>0</v>
      </c>
      <c r="J929" s="414">
        <f ca="1" t="shared" si="452"/>
        <v>0</v>
      </c>
      <c r="K929" s="414">
        <f ca="1" t="shared" si="452"/>
        <v>0</v>
      </c>
      <c r="L929" s="414">
        <f ca="1" t="shared" si="452"/>
        <v>0</v>
      </c>
      <c r="M929" s="414">
        <f ca="1" t="shared" si="452"/>
        <v>0</v>
      </c>
      <c r="N929" s="414">
        <f ca="1" t="shared" si="457"/>
        <v>0</v>
      </c>
      <c r="O929" s="414">
        <f ca="1" t="shared" si="458"/>
        <v>0</v>
      </c>
    </row>
    <row r="930" ht="15" hidden="1" spans="2:15">
      <c r="B930" s="410">
        <v>6</v>
      </c>
      <c r="C930" s="411" t="s">
        <v>786</v>
      </c>
      <c r="D930" s="412"/>
      <c r="E930" s="416"/>
      <c r="F930" s="414">
        <f ca="1" t="shared" ref="F930:M945" si="459">10%*F296</f>
        <v>0</v>
      </c>
      <c r="G930" s="414">
        <f ca="1" t="shared" si="459"/>
        <v>0</v>
      </c>
      <c r="H930" s="414">
        <f ca="1" t="shared" si="459"/>
        <v>0</v>
      </c>
      <c r="I930" s="414">
        <f ca="1" t="shared" si="459"/>
        <v>0</v>
      </c>
      <c r="J930" s="414">
        <f ca="1" t="shared" si="459"/>
        <v>0</v>
      </c>
      <c r="K930" s="414">
        <f ca="1" t="shared" si="459"/>
        <v>0</v>
      </c>
      <c r="L930" s="414">
        <f ca="1" t="shared" si="459"/>
        <v>0</v>
      </c>
      <c r="M930" s="414">
        <f ca="1" t="shared" si="459"/>
        <v>0</v>
      </c>
      <c r="N930" s="414">
        <f ca="1" t="shared" si="457"/>
        <v>0</v>
      </c>
      <c r="O930" s="414">
        <f ca="1" t="shared" si="458"/>
        <v>0</v>
      </c>
    </row>
    <row r="931" ht="15" hidden="1" spans="2:15">
      <c r="B931" s="410">
        <v>7</v>
      </c>
      <c r="C931" s="411" t="s">
        <v>787</v>
      </c>
      <c r="D931" s="412"/>
      <c r="E931" s="416"/>
      <c r="F931" s="414">
        <f ca="1" t="shared" si="459"/>
        <v>0</v>
      </c>
      <c r="G931" s="414">
        <f ca="1" t="shared" si="459"/>
        <v>0</v>
      </c>
      <c r="H931" s="414">
        <f ca="1" t="shared" si="459"/>
        <v>0</v>
      </c>
      <c r="I931" s="414">
        <f ca="1" t="shared" si="459"/>
        <v>0</v>
      </c>
      <c r="J931" s="414">
        <f ca="1" t="shared" si="459"/>
        <v>0</v>
      </c>
      <c r="K931" s="414">
        <f ca="1" t="shared" si="459"/>
        <v>0</v>
      </c>
      <c r="L931" s="414">
        <f ca="1" t="shared" si="459"/>
        <v>0</v>
      </c>
      <c r="M931" s="414">
        <f ca="1" t="shared" si="459"/>
        <v>0</v>
      </c>
      <c r="N931" s="414">
        <f ca="1" t="shared" si="457"/>
        <v>0</v>
      </c>
      <c r="O931" s="414">
        <f ca="1" t="shared" si="458"/>
        <v>0</v>
      </c>
    </row>
    <row r="932" ht="15" hidden="1" spans="2:15">
      <c r="B932" s="410">
        <v>8</v>
      </c>
      <c r="C932" s="411" t="s">
        <v>788</v>
      </c>
      <c r="D932" s="412"/>
      <c r="E932" s="416"/>
      <c r="F932" s="414">
        <f t="shared" si="459"/>
        <v>0</v>
      </c>
      <c r="G932" s="414">
        <f t="shared" si="459"/>
        <v>0</v>
      </c>
      <c r="H932" s="414">
        <f t="shared" si="459"/>
        <v>0</v>
      </c>
      <c r="I932" s="414">
        <f t="shared" si="459"/>
        <v>0</v>
      </c>
      <c r="J932" s="414">
        <f t="shared" si="459"/>
        <v>0</v>
      </c>
      <c r="K932" s="414">
        <f t="shared" si="459"/>
        <v>0</v>
      </c>
      <c r="L932" s="414">
        <f t="shared" si="459"/>
        <v>0</v>
      </c>
      <c r="M932" s="414">
        <f t="shared" si="459"/>
        <v>0</v>
      </c>
      <c r="N932" s="414"/>
      <c r="O932" s="414"/>
    </row>
    <row r="933" ht="15" hidden="1" spans="2:15">
      <c r="B933" s="410"/>
      <c r="C933" s="418" t="s">
        <v>789</v>
      </c>
      <c r="D933" s="412"/>
      <c r="E933" s="416"/>
      <c r="F933" s="414">
        <f ca="1" t="shared" si="459"/>
        <v>1616.18300990584</v>
      </c>
      <c r="G933" s="414">
        <f t="shared" si="459"/>
        <v>235.306699378663</v>
      </c>
      <c r="H933" s="414">
        <f ca="1" t="shared" si="459"/>
        <v>0</v>
      </c>
      <c r="I933" s="414">
        <f ca="1" t="shared" si="459"/>
        <v>1851.48970928451</v>
      </c>
      <c r="J933" s="414">
        <f ca="1" t="shared" si="459"/>
        <v>622.53236694122</v>
      </c>
      <c r="K933" s="414">
        <f t="shared" si="459"/>
        <v>54.2561726676234</v>
      </c>
      <c r="L933" s="414">
        <f ca="1" t="shared" si="459"/>
        <v>0</v>
      </c>
      <c r="M933" s="414">
        <f ca="1" t="shared" si="459"/>
        <v>676.788539608844</v>
      </c>
      <c r="N933" s="414">
        <f ca="1" t="shared" ref="N933:O937" si="460">F933-J933</f>
        <v>993.650642964624</v>
      </c>
      <c r="O933" s="414">
        <f ca="1" t="shared" ref="O933:O935" si="461">I933-M933</f>
        <v>1174.70116967566</v>
      </c>
    </row>
    <row r="934" ht="15" hidden="1" spans="2:15">
      <c r="B934" s="410"/>
      <c r="C934" s="418" t="s">
        <v>808</v>
      </c>
      <c r="D934" s="412"/>
      <c r="E934" s="416"/>
      <c r="F934" s="414">
        <f ca="1" t="shared" si="459"/>
        <v>0</v>
      </c>
      <c r="G934" s="414">
        <f ca="1" t="shared" si="459"/>
        <v>0</v>
      </c>
      <c r="H934" s="414">
        <f ca="1" t="shared" si="459"/>
        <v>0</v>
      </c>
      <c r="I934" s="414">
        <f ca="1" t="shared" si="459"/>
        <v>0</v>
      </c>
      <c r="J934" s="414">
        <f ca="1" t="shared" si="459"/>
        <v>0</v>
      </c>
      <c r="K934" s="414">
        <f ca="1" t="shared" si="459"/>
        <v>0</v>
      </c>
      <c r="L934" s="414">
        <f ca="1" t="shared" si="459"/>
        <v>0</v>
      </c>
      <c r="M934" s="414">
        <f ca="1" t="shared" si="459"/>
        <v>0</v>
      </c>
      <c r="N934" s="414">
        <f ca="1" t="shared" si="460"/>
        <v>0</v>
      </c>
      <c r="O934" s="414">
        <f ca="1" t="shared" si="461"/>
        <v>0</v>
      </c>
    </row>
    <row r="935" ht="30" hidden="1" spans="2:15">
      <c r="B935" s="420">
        <v>9</v>
      </c>
      <c r="C935" s="421" t="s">
        <v>791</v>
      </c>
      <c r="D935" s="412"/>
      <c r="E935" s="416"/>
      <c r="F935" s="414">
        <f ca="1" t="shared" si="459"/>
        <v>0</v>
      </c>
      <c r="G935" s="414">
        <f ca="1" t="shared" si="459"/>
        <v>0</v>
      </c>
      <c r="H935" s="414">
        <f ca="1" t="shared" si="459"/>
        <v>0</v>
      </c>
      <c r="I935" s="414">
        <f ca="1" t="shared" si="459"/>
        <v>0</v>
      </c>
      <c r="J935" s="414">
        <f ca="1" t="shared" si="459"/>
        <v>0</v>
      </c>
      <c r="K935" s="414">
        <f ca="1" t="shared" si="459"/>
        <v>0</v>
      </c>
      <c r="L935" s="414">
        <f ca="1" t="shared" si="459"/>
        <v>0</v>
      </c>
      <c r="M935" s="414">
        <f ca="1" t="shared" si="459"/>
        <v>0</v>
      </c>
      <c r="N935" s="414">
        <f ca="1" t="shared" si="460"/>
        <v>0</v>
      </c>
      <c r="O935" s="414">
        <f ca="1" t="shared" si="461"/>
        <v>0</v>
      </c>
    </row>
    <row r="936" ht="15" hidden="1" spans="2:15">
      <c r="B936" s="422">
        <v>10</v>
      </c>
      <c r="C936" s="423" t="s">
        <v>792</v>
      </c>
      <c r="D936" s="424"/>
      <c r="E936" s="416"/>
      <c r="F936" s="414">
        <f ca="1" t="shared" si="459"/>
        <v>232.496882470173</v>
      </c>
      <c r="G936" s="414">
        <f t="shared" si="459"/>
        <v>15.6514528491802</v>
      </c>
      <c r="H936" s="414">
        <f ca="1" t="shared" si="459"/>
        <v>0</v>
      </c>
      <c r="I936" s="414">
        <f ca="1" t="shared" si="459"/>
        <v>248.148335319353</v>
      </c>
      <c r="J936" s="414">
        <f ca="1" t="shared" si="459"/>
        <v>146.487907410919</v>
      </c>
      <c r="K936" s="414">
        <f t="shared" si="459"/>
        <v>8.43717514678585</v>
      </c>
      <c r="L936" s="414">
        <f ca="1" t="shared" si="459"/>
        <v>0</v>
      </c>
      <c r="M936" s="414">
        <f ca="1" t="shared" si="459"/>
        <v>154.925082557705</v>
      </c>
      <c r="N936" s="414">
        <f ca="1" t="shared" si="460"/>
        <v>86.0089750592542</v>
      </c>
      <c r="O936" s="414">
        <f t="shared" si="460"/>
        <v>7.21427770239435</v>
      </c>
    </row>
    <row r="937" ht="15" hidden="1" spans="2:15">
      <c r="B937" s="422">
        <v>11</v>
      </c>
      <c r="C937" s="423" t="s">
        <v>793</v>
      </c>
      <c r="D937" s="424"/>
      <c r="E937" s="416"/>
      <c r="F937" s="414">
        <f ca="1" t="shared" si="459"/>
        <v>0.708</v>
      </c>
      <c r="G937" s="414">
        <f ca="1" t="shared" si="459"/>
        <v>0</v>
      </c>
      <c r="H937" s="414">
        <f ca="1" t="shared" si="459"/>
        <v>0</v>
      </c>
      <c r="I937" s="414">
        <f ca="1" t="shared" si="459"/>
        <v>0.708</v>
      </c>
      <c r="J937" s="414">
        <f ca="1" t="shared" si="459"/>
        <v>0.6833210851</v>
      </c>
      <c r="K937" s="414">
        <f t="shared" si="459"/>
        <v>0</v>
      </c>
      <c r="L937" s="414">
        <f ca="1" t="shared" si="459"/>
        <v>0</v>
      </c>
      <c r="M937" s="414">
        <f ca="1" t="shared" si="459"/>
        <v>0.6833210851</v>
      </c>
      <c r="N937" s="414">
        <f ca="1" t="shared" si="460"/>
        <v>0.0246789149000001</v>
      </c>
      <c r="O937" s="414">
        <f ca="1" t="shared" si="460"/>
        <v>0</v>
      </c>
    </row>
    <row r="938" ht="15" hidden="1" spans="2:15">
      <c r="B938" s="422">
        <v>12</v>
      </c>
      <c r="C938" s="423" t="s">
        <v>794</v>
      </c>
      <c r="D938" s="424"/>
      <c r="E938" s="416"/>
      <c r="F938" s="414">
        <f t="shared" si="459"/>
        <v>0</v>
      </c>
      <c r="G938" s="414">
        <f t="shared" si="459"/>
        <v>0</v>
      </c>
      <c r="H938" s="414">
        <f t="shared" si="459"/>
        <v>0</v>
      </c>
      <c r="I938" s="414">
        <f t="shared" si="459"/>
        <v>0</v>
      </c>
      <c r="J938" s="414">
        <f t="shared" si="459"/>
        <v>0</v>
      </c>
      <c r="K938" s="414">
        <f t="shared" si="459"/>
        <v>0</v>
      </c>
      <c r="L938" s="414">
        <f t="shared" si="459"/>
        <v>0</v>
      </c>
      <c r="M938" s="414">
        <f t="shared" si="459"/>
        <v>0</v>
      </c>
      <c r="N938" s="414"/>
      <c r="O938" s="414"/>
    </row>
    <row r="939" ht="15" hidden="1" spans="2:15">
      <c r="B939" s="422"/>
      <c r="C939" s="425" t="s">
        <v>795</v>
      </c>
      <c r="D939" s="424"/>
      <c r="E939" s="416"/>
      <c r="F939" s="414">
        <f ca="1" t="shared" si="459"/>
        <v>0.26</v>
      </c>
      <c r="G939" s="414">
        <f ca="1" t="shared" si="459"/>
        <v>0</v>
      </c>
      <c r="H939" s="414">
        <f ca="1" t="shared" si="459"/>
        <v>0</v>
      </c>
      <c r="I939" s="414">
        <f ca="1" t="shared" si="459"/>
        <v>0.26</v>
      </c>
      <c r="J939" s="414">
        <f ca="1" t="shared" si="459"/>
        <v>0.1701644132</v>
      </c>
      <c r="K939" s="414">
        <f ca="1" t="shared" si="459"/>
        <v>0</v>
      </c>
      <c r="L939" s="414">
        <f ca="1" t="shared" si="459"/>
        <v>0</v>
      </c>
      <c r="M939" s="414">
        <f ca="1" t="shared" si="459"/>
        <v>0.1701644132</v>
      </c>
      <c r="N939" s="414">
        <f ca="1" t="shared" ref="N939:O940" si="462">F939-J939</f>
        <v>0.0898355868</v>
      </c>
      <c r="O939" s="414">
        <f ca="1" t="shared" si="462"/>
        <v>0</v>
      </c>
    </row>
    <row r="940" ht="15" hidden="1" spans="2:15">
      <c r="B940" s="422"/>
      <c r="C940" s="425" t="s">
        <v>796</v>
      </c>
      <c r="D940" s="424"/>
      <c r="E940" s="416"/>
      <c r="F940" s="414">
        <f ca="1" t="shared" si="459"/>
        <v>0</v>
      </c>
      <c r="G940" s="414">
        <f ca="1" t="shared" si="459"/>
        <v>0</v>
      </c>
      <c r="H940" s="414">
        <f ca="1" t="shared" si="459"/>
        <v>0</v>
      </c>
      <c r="I940" s="414">
        <f ca="1" t="shared" si="459"/>
        <v>0</v>
      </c>
      <c r="J940" s="414">
        <f ca="1" t="shared" si="459"/>
        <v>0</v>
      </c>
      <c r="K940" s="414">
        <f ca="1" t="shared" si="459"/>
        <v>0</v>
      </c>
      <c r="L940" s="414">
        <f ca="1" t="shared" si="459"/>
        <v>0</v>
      </c>
      <c r="M940" s="414">
        <f ca="1" t="shared" si="459"/>
        <v>0</v>
      </c>
      <c r="N940" s="414">
        <f ca="1" t="shared" si="462"/>
        <v>0</v>
      </c>
      <c r="O940" s="414">
        <f ca="1" t="shared" si="462"/>
        <v>0</v>
      </c>
    </row>
    <row r="941" ht="15" hidden="1" spans="2:15">
      <c r="B941" s="422">
        <v>13</v>
      </c>
      <c r="C941" s="425"/>
      <c r="D941" s="424"/>
      <c r="E941" s="416"/>
      <c r="F941" s="414">
        <f t="shared" si="459"/>
        <v>0</v>
      </c>
      <c r="G941" s="414">
        <f t="shared" si="459"/>
        <v>0</v>
      </c>
      <c r="H941" s="414">
        <f t="shared" si="459"/>
        <v>0</v>
      </c>
      <c r="I941" s="414">
        <f t="shared" si="459"/>
        <v>0</v>
      </c>
      <c r="J941" s="414">
        <f t="shared" si="459"/>
        <v>0</v>
      </c>
      <c r="K941" s="414">
        <f t="shared" si="459"/>
        <v>0</v>
      </c>
      <c r="L941" s="414">
        <f t="shared" si="459"/>
        <v>0</v>
      </c>
      <c r="M941" s="414">
        <f t="shared" si="459"/>
        <v>0</v>
      </c>
      <c r="N941" s="414"/>
      <c r="O941" s="414"/>
    </row>
    <row r="942" ht="15" hidden="1" spans="2:15">
      <c r="B942" s="422"/>
      <c r="C942" s="425" t="s">
        <v>797</v>
      </c>
      <c r="D942" s="424"/>
      <c r="E942" s="416"/>
      <c r="F942" s="414">
        <f ca="1" t="shared" si="459"/>
        <v>1.725</v>
      </c>
      <c r="G942" s="414">
        <f ca="1" t="shared" si="459"/>
        <v>0</v>
      </c>
      <c r="H942" s="414">
        <f ca="1" t="shared" si="459"/>
        <v>0</v>
      </c>
      <c r="I942" s="414">
        <f ca="1" t="shared" si="459"/>
        <v>1.725</v>
      </c>
      <c r="J942" s="414">
        <f ca="1" t="shared" si="459"/>
        <v>1.3863200556</v>
      </c>
      <c r="K942" s="414">
        <f t="shared" si="459"/>
        <v>0.0332381284</v>
      </c>
      <c r="L942" s="414">
        <f ca="1" t="shared" si="459"/>
        <v>0</v>
      </c>
      <c r="M942" s="414">
        <f ca="1" t="shared" si="459"/>
        <v>1.419558184</v>
      </c>
      <c r="N942" s="414">
        <f ca="1" t="shared" ref="N942:O945" si="463">F942-J942</f>
        <v>0.3386799444</v>
      </c>
      <c r="O942" s="414">
        <f ca="1" t="shared" si="463"/>
        <v>-0.0332381284</v>
      </c>
    </row>
    <row r="943" ht="15" hidden="1" spans="2:15">
      <c r="B943" s="422"/>
      <c r="C943" s="425" t="s">
        <v>798</v>
      </c>
      <c r="D943" s="424"/>
      <c r="E943" s="416"/>
      <c r="F943" s="414">
        <f ca="1" t="shared" si="459"/>
        <v>5.22810941593232</v>
      </c>
      <c r="G943" s="414">
        <f t="shared" si="459"/>
        <v>0.0286546387090494</v>
      </c>
      <c r="H943" s="414">
        <f ca="1" t="shared" si="459"/>
        <v>0</v>
      </c>
      <c r="I943" s="414">
        <f ca="1" t="shared" si="459"/>
        <v>5.25676405464137</v>
      </c>
      <c r="J943" s="414">
        <f ca="1" t="shared" si="459"/>
        <v>4.084073081324</v>
      </c>
      <c r="K943" s="414">
        <f t="shared" si="459"/>
        <v>0.135981159975816</v>
      </c>
      <c r="L943" s="414">
        <f ca="1" t="shared" si="459"/>
        <v>0</v>
      </c>
      <c r="M943" s="414">
        <f ca="1" t="shared" si="459"/>
        <v>4.22005424129982</v>
      </c>
      <c r="N943" s="414">
        <f ca="1" t="shared" si="463"/>
        <v>1.14403633460832</v>
      </c>
      <c r="O943" s="414">
        <f t="shared" si="463"/>
        <v>-0.107326521266767</v>
      </c>
    </row>
    <row r="944" ht="15" hidden="1" spans="2:15">
      <c r="B944" s="422"/>
      <c r="C944" s="425" t="s">
        <v>799</v>
      </c>
      <c r="D944" s="424"/>
      <c r="E944" s="416"/>
      <c r="F944" s="414">
        <f ca="1" t="shared" si="459"/>
        <v>0</v>
      </c>
      <c r="G944" s="414">
        <f ca="1" t="shared" si="459"/>
        <v>0</v>
      </c>
      <c r="H944" s="414">
        <f ca="1" t="shared" si="459"/>
        <v>0</v>
      </c>
      <c r="I944" s="414">
        <f ca="1" t="shared" si="459"/>
        <v>0</v>
      </c>
      <c r="J944" s="414">
        <f ca="1" t="shared" si="459"/>
        <v>0</v>
      </c>
      <c r="K944" s="414">
        <f ca="1" t="shared" si="459"/>
        <v>0</v>
      </c>
      <c r="L944" s="414">
        <f ca="1" t="shared" si="459"/>
        <v>0</v>
      </c>
      <c r="M944" s="414">
        <f ca="1" t="shared" si="459"/>
        <v>0</v>
      </c>
      <c r="N944" s="414">
        <f ca="1" t="shared" si="463"/>
        <v>0</v>
      </c>
      <c r="O944" s="414">
        <f ca="1" t="shared" si="463"/>
        <v>0</v>
      </c>
    </row>
    <row r="945" ht="15" hidden="1" spans="2:15">
      <c r="B945" s="422"/>
      <c r="C945" s="425" t="s">
        <v>800</v>
      </c>
      <c r="D945" s="424"/>
      <c r="E945" s="416"/>
      <c r="F945" s="414">
        <f ca="1" t="shared" si="459"/>
        <v>0</v>
      </c>
      <c r="G945" s="414">
        <f ca="1" t="shared" si="459"/>
        <v>0</v>
      </c>
      <c r="H945" s="414">
        <f ca="1" t="shared" si="459"/>
        <v>0</v>
      </c>
      <c r="I945" s="414">
        <f ca="1" t="shared" si="459"/>
        <v>0</v>
      </c>
      <c r="J945" s="414">
        <f ca="1" t="shared" si="459"/>
        <v>0</v>
      </c>
      <c r="K945" s="414">
        <f ca="1" t="shared" si="459"/>
        <v>0</v>
      </c>
      <c r="L945" s="414">
        <f ca="1" t="shared" si="459"/>
        <v>0</v>
      </c>
      <c r="M945" s="414">
        <f ca="1" t="shared" si="459"/>
        <v>0</v>
      </c>
      <c r="N945" s="414">
        <f ca="1" t="shared" si="463"/>
        <v>0</v>
      </c>
      <c r="O945" s="414">
        <f ca="1" t="shared" si="463"/>
        <v>0</v>
      </c>
    </row>
    <row r="946" ht="15" hidden="1" spans="2:15">
      <c r="B946" s="422">
        <v>14</v>
      </c>
      <c r="C946" s="423" t="s">
        <v>801</v>
      </c>
      <c r="D946" s="424"/>
      <c r="E946" s="416"/>
      <c r="F946" s="414">
        <f t="shared" ref="F946:M952" si="464">10%*F312</f>
        <v>0</v>
      </c>
      <c r="G946" s="414">
        <f t="shared" si="464"/>
        <v>0</v>
      </c>
      <c r="H946" s="414">
        <f t="shared" si="464"/>
        <v>0</v>
      </c>
      <c r="I946" s="414">
        <f t="shared" si="464"/>
        <v>0</v>
      </c>
      <c r="J946" s="414">
        <f t="shared" si="464"/>
        <v>0</v>
      </c>
      <c r="K946" s="414">
        <f t="shared" si="464"/>
        <v>0</v>
      </c>
      <c r="L946" s="414">
        <f t="shared" si="464"/>
        <v>0</v>
      </c>
      <c r="M946" s="414">
        <f t="shared" si="464"/>
        <v>0</v>
      </c>
      <c r="N946" s="414"/>
      <c r="O946" s="414"/>
    </row>
    <row r="947" ht="15" hidden="1" spans="2:15">
      <c r="B947" s="422"/>
      <c r="C947" s="425" t="s">
        <v>802</v>
      </c>
      <c r="D947" s="424"/>
      <c r="E947" s="416"/>
      <c r="F947" s="414">
        <f ca="1" t="shared" si="464"/>
        <v>0</v>
      </c>
      <c r="G947" s="414">
        <f ca="1" t="shared" si="464"/>
        <v>0</v>
      </c>
      <c r="H947" s="414">
        <f ca="1" t="shared" si="464"/>
        <v>0</v>
      </c>
      <c r="I947" s="414">
        <f ca="1" t="shared" si="464"/>
        <v>0</v>
      </c>
      <c r="J947" s="414">
        <f ca="1" t="shared" si="464"/>
        <v>0</v>
      </c>
      <c r="K947" s="414">
        <f ca="1" t="shared" si="464"/>
        <v>0</v>
      </c>
      <c r="L947" s="414">
        <f ca="1" t="shared" si="464"/>
        <v>0</v>
      </c>
      <c r="M947" s="414">
        <f ca="1" t="shared" si="464"/>
        <v>0</v>
      </c>
      <c r="N947" s="414">
        <f ca="1" t="shared" ref="N947:O952" si="465">F947-J947</f>
        <v>0</v>
      </c>
      <c r="O947" s="414">
        <f ca="1" t="shared" si="465"/>
        <v>0</v>
      </c>
    </row>
    <row r="948" ht="15" hidden="1" spans="2:15">
      <c r="B948" s="422"/>
      <c r="C948" s="425" t="s">
        <v>803</v>
      </c>
      <c r="D948" s="424"/>
      <c r="E948" s="416"/>
      <c r="F948" s="414">
        <f ca="1" t="shared" si="464"/>
        <v>0</v>
      </c>
      <c r="G948" s="414">
        <f ca="1" t="shared" si="464"/>
        <v>0</v>
      </c>
      <c r="H948" s="414">
        <f ca="1" t="shared" si="464"/>
        <v>0</v>
      </c>
      <c r="I948" s="414">
        <f ca="1" t="shared" si="464"/>
        <v>0</v>
      </c>
      <c r="J948" s="414">
        <f ca="1" t="shared" si="464"/>
        <v>0</v>
      </c>
      <c r="K948" s="414">
        <f ca="1" t="shared" si="464"/>
        <v>0</v>
      </c>
      <c r="L948" s="414">
        <f ca="1" t="shared" si="464"/>
        <v>0</v>
      </c>
      <c r="M948" s="414">
        <f ca="1" t="shared" si="464"/>
        <v>0</v>
      </c>
      <c r="N948" s="414">
        <f ca="1" t="shared" si="465"/>
        <v>0</v>
      </c>
      <c r="O948" s="414">
        <f ca="1" t="shared" si="465"/>
        <v>0</v>
      </c>
    </row>
    <row r="949" ht="15" hidden="1" spans="2:15">
      <c r="B949" s="422"/>
      <c r="C949" s="425" t="s">
        <v>804</v>
      </c>
      <c r="D949" s="424"/>
      <c r="E949" s="416"/>
      <c r="F949" s="414">
        <f ca="1" t="shared" si="464"/>
        <v>0</v>
      </c>
      <c r="G949" s="414">
        <f ca="1" t="shared" si="464"/>
        <v>0</v>
      </c>
      <c r="H949" s="414">
        <f ca="1" t="shared" si="464"/>
        <v>0</v>
      </c>
      <c r="I949" s="414">
        <f ca="1" t="shared" si="464"/>
        <v>0</v>
      </c>
      <c r="J949" s="414">
        <f ca="1" t="shared" si="464"/>
        <v>0</v>
      </c>
      <c r="K949" s="414">
        <f ca="1" t="shared" si="464"/>
        <v>0</v>
      </c>
      <c r="L949" s="414">
        <f ca="1" t="shared" si="464"/>
        <v>0</v>
      </c>
      <c r="M949" s="414">
        <f ca="1" t="shared" si="464"/>
        <v>0</v>
      </c>
      <c r="N949" s="414">
        <f ca="1" t="shared" si="465"/>
        <v>0</v>
      </c>
      <c r="O949" s="414">
        <f ca="1" t="shared" si="465"/>
        <v>0</v>
      </c>
    </row>
    <row r="950" ht="15" hidden="1" spans="2:15">
      <c r="B950" s="422">
        <v>15</v>
      </c>
      <c r="C950" s="423" t="s">
        <v>805</v>
      </c>
      <c r="D950" s="424"/>
      <c r="E950" s="416"/>
      <c r="F950" s="414">
        <f ca="1" t="shared" si="464"/>
        <v>25.7112454390853</v>
      </c>
      <c r="G950" s="414">
        <f t="shared" si="464"/>
        <v>2.25038181656067</v>
      </c>
      <c r="H950" s="414">
        <f ca="1" t="shared" si="464"/>
        <v>0</v>
      </c>
      <c r="I950" s="414">
        <f ca="1" t="shared" si="464"/>
        <v>27.961627255646</v>
      </c>
      <c r="J950" s="414">
        <f ca="1" t="shared" si="464"/>
        <v>20.2769943532799</v>
      </c>
      <c r="K950" s="414">
        <f t="shared" si="464"/>
        <v>1.43337271774689</v>
      </c>
      <c r="L950" s="414">
        <f ca="1" t="shared" si="464"/>
        <v>0</v>
      </c>
      <c r="M950" s="414">
        <f ca="1" t="shared" si="464"/>
        <v>21.7103670710268</v>
      </c>
      <c r="N950" s="414">
        <f ca="1" t="shared" si="465"/>
        <v>5.43425108580541</v>
      </c>
      <c r="O950" s="414">
        <f t="shared" si="465"/>
        <v>0.81700909881378</v>
      </c>
    </row>
    <row r="951" ht="15" hidden="1" spans="2:15">
      <c r="B951" s="422">
        <v>16</v>
      </c>
      <c r="C951" s="423" t="s">
        <v>806</v>
      </c>
      <c r="D951" s="412"/>
      <c r="E951" s="416"/>
      <c r="F951" s="414">
        <f ca="1" t="shared" si="464"/>
        <v>7.08</v>
      </c>
      <c r="G951" s="414">
        <f ca="1" t="shared" si="464"/>
        <v>0</v>
      </c>
      <c r="H951" s="414">
        <f ca="1" t="shared" si="464"/>
        <v>0</v>
      </c>
      <c r="I951" s="414">
        <f ca="1" t="shared" si="464"/>
        <v>7.08</v>
      </c>
      <c r="J951" s="414">
        <f ca="1" t="shared" si="464"/>
        <v>7.0086515324</v>
      </c>
      <c r="K951" s="414">
        <f ca="1" t="shared" si="464"/>
        <v>0</v>
      </c>
      <c r="L951" s="414">
        <f ca="1" t="shared" si="464"/>
        <v>0</v>
      </c>
      <c r="M951" s="414">
        <f ca="1" t="shared" si="464"/>
        <v>7.0086515324</v>
      </c>
      <c r="N951" s="414">
        <f ca="1" t="shared" si="465"/>
        <v>0.0713484676000009</v>
      </c>
      <c r="O951" s="414">
        <f ca="1" t="shared" si="465"/>
        <v>0</v>
      </c>
    </row>
    <row r="952" ht="15" hidden="1" spans="2:15">
      <c r="B952" s="422">
        <v>17</v>
      </c>
      <c r="C952" s="423" t="s">
        <v>807</v>
      </c>
      <c r="D952" s="412"/>
      <c r="E952" s="426"/>
      <c r="F952" s="414">
        <f ca="1" t="shared" si="464"/>
        <v>0</v>
      </c>
      <c r="G952" s="414">
        <f ca="1" t="shared" si="464"/>
        <v>0</v>
      </c>
      <c r="H952" s="414">
        <f ca="1" t="shared" si="464"/>
        <v>0</v>
      </c>
      <c r="I952" s="414">
        <f ca="1" t="shared" si="464"/>
        <v>0</v>
      </c>
      <c r="J952" s="414">
        <f ca="1" t="shared" si="464"/>
        <v>0</v>
      </c>
      <c r="K952" s="414">
        <f ca="1" t="shared" si="464"/>
        <v>0</v>
      </c>
      <c r="L952" s="414">
        <f ca="1" t="shared" si="464"/>
        <v>0</v>
      </c>
      <c r="M952" s="414">
        <f ca="1" t="shared" si="464"/>
        <v>0</v>
      </c>
      <c r="N952" s="414">
        <f ca="1" t="shared" si="465"/>
        <v>0</v>
      </c>
      <c r="O952" s="414">
        <f ca="1" t="shared" si="465"/>
        <v>0</v>
      </c>
    </row>
    <row r="953" ht="15.75" hidden="1" spans="2:15">
      <c r="B953" s="427"/>
      <c r="C953" s="428" t="s">
        <v>97</v>
      </c>
      <c r="D953" s="428"/>
      <c r="E953" s="429"/>
      <c r="F953" s="430">
        <f ca="1">SUM(F913:F952)</f>
        <v>3551.90533735361</v>
      </c>
      <c r="G953" s="430">
        <f ca="1" t="shared" ref="G953:O953" si="466">SUM(G913:G952)</f>
        <v>474.471882571915</v>
      </c>
      <c r="H953" s="430">
        <f ca="1" t="shared" si="466"/>
        <v>0</v>
      </c>
      <c r="I953" s="430">
        <f ca="1" t="shared" si="466"/>
        <v>4026.37721992552</v>
      </c>
      <c r="J953" s="430">
        <f ca="1" t="shared" si="466"/>
        <v>1521.35048528625</v>
      </c>
      <c r="K953" s="430">
        <f ca="1" t="shared" si="466"/>
        <v>125.105451274795</v>
      </c>
      <c r="L953" s="430">
        <f ca="1" t="shared" si="466"/>
        <v>0</v>
      </c>
      <c r="M953" s="430">
        <f ca="1" t="shared" si="466"/>
        <v>1646.45593656105</v>
      </c>
      <c r="N953" s="430">
        <f ca="1" t="shared" si="466"/>
        <v>2030.55485206735</v>
      </c>
      <c r="O953" s="430">
        <f ca="1" t="shared" si="466"/>
        <v>2286.80947797111</v>
      </c>
    </row>
  </sheetData>
  <mergeCells count="168">
    <mergeCell ref="B6:O6"/>
    <mergeCell ref="F7:I7"/>
    <mergeCell ref="J7:M7"/>
    <mergeCell ref="N7:O7"/>
    <mergeCell ref="B51:O51"/>
    <mergeCell ref="F52:I52"/>
    <mergeCell ref="J52:M52"/>
    <mergeCell ref="N52:O52"/>
    <mergeCell ref="B96:O96"/>
    <mergeCell ref="F97:I97"/>
    <mergeCell ref="J97:M97"/>
    <mergeCell ref="N97:O97"/>
    <mergeCell ref="B141:O141"/>
    <mergeCell ref="F142:I142"/>
    <mergeCell ref="J142:M142"/>
    <mergeCell ref="N142:O142"/>
    <mergeCell ref="B186:O186"/>
    <mergeCell ref="F187:I187"/>
    <mergeCell ref="J187:M187"/>
    <mergeCell ref="N187:O187"/>
    <mergeCell ref="B231:O231"/>
    <mergeCell ref="F232:I232"/>
    <mergeCell ref="J232:M232"/>
    <mergeCell ref="N232:O232"/>
    <mergeCell ref="B276:O276"/>
    <mergeCell ref="F277:I277"/>
    <mergeCell ref="J277:M277"/>
    <mergeCell ref="N277:O277"/>
    <mergeCell ref="B323:O323"/>
    <mergeCell ref="F324:I324"/>
    <mergeCell ref="J324:M324"/>
    <mergeCell ref="N324:O324"/>
    <mergeCell ref="B368:O368"/>
    <mergeCell ref="F369:I369"/>
    <mergeCell ref="J369:M369"/>
    <mergeCell ref="N369:O369"/>
    <mergeCell ref="B413:O413"/>
    <mergeCell ref="F414:I414"/>
    <mergeCell ref="J414:M414"/>
    <mergeCell ref="N414:O414"/>
    <mergeCell ref="B458:O458"/>
    <mergeCell ref="F459:I459"/>
    <mergeCell ref="J459:M459"/>
    <mergeCell ref="N459:O459"/>
    <mergeCell ref="B503:O503"/>
    <mergeCell ref="F504:I504"/>
    <mergeCell ref="J504:M504"/>
    <mergeCell ref="N504:O504"/>
    <mergeCell ref="B548:O548"/>
    <mergeCell ref="F549:I549"/>
    <mergeCell ref="J549:M549"/>
    <mergeCell ref="N549:O549"/>
    <mergeCell ref="B593:O593"/>
    <mergeCell ref="F594:I594"/>
    <mergeCell ref="J594:M594"/>
    <mergeCell ref="N594:O594"/>
    <mergeCell ref="B640:O640"/>
    <mergeCell ref="F641:I641"/>
    <mergeCell ref="J641:M641"/>
    <mergeCell ref="N641:O641"/>
    <mergeCell ref="B685:O685"/>
    <mergeCell ref="F686:I686"/>
    <mergeCell ref="J686:M686"/>
    <mergeCell ref="N686:O686"/>
    <mergeCell ref="B730:O730"/>
    <mergeCell ref="F731:I731"/>
    <mergeCell ref="J731:M731"/>
    <mergeCell ref="N731:O731"/>
    <mergeCell ref="B775:O775"/>
    <mergeCell ref="F776:I776"/>
    <mergeCell ref="J776:M776"/>
    <mergeCell ref="N776:O776"/>
    <mergeCell ref="B820:O820"/>
    <mergeCell ref="F821:I821"/>
    <mergeCell ref="J821:M821"/>
    <mergeCell ref="N821:O821"/>
    <mergeCell ref="B865:O865"/>
    <mergeCell ref="F866:I866"/>
    <mergeCell ref="J866:M866"/>
    <mergeCell ref="N866:O866"/>
    <mergeCell ref="B910:O910"/>
    <mergeCell ref="F911:I911"/>
    <mergeCell ref="J911:M911"/>
    <mergeCell ref="N911:O911"/>
    <mergeCell ref="B7:B8"/>
    <mergeCell ref="B52:B53"/>
    <mergeCell ref="B97:B98"/>
    <mergeCell ref="B142:B143"/>
    <mergeCell ref="B187:B188"/>
    <mergeCell ref="B232:B233"/>
    <mergeCell ref="B277:B278"/>
    <mergeCell ref="B324:B325"/>
    <mergeCell ref="B369:B370"/>
    <mergeCell ref="B414:B415"/>
    <mergeCell ref="B459:B460"/>
    <mergeCell ref="B504:B505"/>
    <mergeCell ref="B549:B550"/>
    <mergeCell ref="B594:B595"/>
    <mergeCell ref="B641:B642"/>
    <mergeCell ref="B686:B687"/>
    <mergeCell ref="B731:B732"/>
    <mergeCell ref="B776:B777"/>
    <mergeCell ref="B821:B822"/>
    <mergeCell ref="B866:B867"/>
    <mergeCell ref="B911:B912"/>
    <mergeCell ref="C7:C8"/>
    <mergeCell ref="C52:C53"/>
    <mergeCell ref="C97:C98"/>
    <mergeCell ref="C142:C143"/>
    <mergeCell ref="C187:C188"/>
    <mergeCell ref="C232:C233"/>
    <mergeCell ref="C277:C278"/>
    <mergeCell ref="C324:C325"/>
    <mergeCell ref="C369:C370"/>
    <mergeCell ref="C414:C415"/>
    <mergeCell ref="C459:C460"/>
    <mergeCell ref="C504:C505"/>
    <mergeCell ref="C549:C550"/>
    <mergeCell ref="C594:C595"/>
    <mergeCell ref="C641:C642"/>
    <mergeCell ref="C686:C687"/>
    <mergeCell ref="C731:C732"/>
    <mergeCell ref="C776:C777"/>
    <mergeCell ref="C821:C822"/>
    <mergeCell ref="C866:C867"/>
    <mergeCell ref="C911:C912"/>
    <mergeCell ref="D7:D8"/>
    <mergeCell ref="D52:D53"/>
    <mergeCell ref="D97:D98"/>
    <mergeCell ref="D142:D143"/>
    <mergeCell ref="D187:D188"/>
    <mergeCell ref="D232:D233"/>
    <mergeCell ref="D277:D278"/>
    <mergeCell ref="D324:D325"/>
    <mergeCell ref="D369:D370"/>
    <mergeCell ref="D414:D415"/>
    <mergeCell ref="D459:D460"/>
    <mergeCell ref="D504:D505"/>
    <mergeCell ref="D549:D550"/>
    <mergeCell ref="D594:D595"/>
    <mergeCell ref="D641:D642"/>
    <mergeCell ref="D686:D687"/>
    <mergeCell ref="D731:D732"/>
    <mergeCell ref="D776:D777"/>
    <mergeCell ref="D821:D822"/>
    <mergeCell ref="D866:D867"/>
    <mergeCell ref="D911:D912"/>
    <mergeCell ref="E7:E8"/>
    <mergeCell ref="E52:E53"/>
    <mergeCell ref="E97:E98"/>
    <mergeCell ref="E142:E143"/>
    <mergeCell ref="E187:E188"/>
    <mergeCell ref="E232:E233"/>
    <mergeCell ref="E277:E278"/>
    <mergeCell ref="E324:E325"/>
    <mergeCell ref="E369:E370"/>
    <mergeCell ref="E414:E415"/>
    <mergeCell ref="E459:E460"/>
    <mergeCell ref="E504:E505"/>
    <mergeCell ref="E549:E550"/>
    <mergeCell ref="E594:E595"/>
    <mergeCell ref="E641:E642"/>
    <mergeCell ref="E686:E687"/>
    <mergeCell ref="E731:E732"/>
    <mergeCell ref="E776:E777"/>
    <mergeCell ref="E821:E822"/>
    <mergeCell ref="E866:E867"/>
    <mergeCell ref="E911:E912"/>
  </mergeCells>
  <printOptions horizontalCentered="1"/>
  <pageMargins left="0.275" right="0.236111111111111" top="0.401388888888889" bottom="1.22013888888889" header="0.5" footer="0.236111111111111"/>
  <pageSetup paperSize="9" scale="58" fitToHeight="17" orientation="landscape" horizontalDpi="600"/>
  <headerFooter alignWithMargins="0"/>
  <rowBreaks count="5" manualBreakCount="5">
    <brk id="140" max="14" man="1"/>
    <brk id="320" max="14" man="1"/>
    <brk id="457" max="14" man="1"/>
    <brk id="637" max="14" man="1"/>
    <brk id="774" max="14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</sheetPr>
  <dimension ref="B1:P277"/>
  <sheetViews>
    <sheetView showGridLines="0" view="pageBreakPreview" zoomScale="90" zoomScaleNormal="51" workbookViewId="0">
      <selection activeCell="Q105" sqref="Q105"/>
    </sheetView>
  </sheetViews>
  <sheetFormatPr defaultColWidth="9.28571428571429" defaultRowHeight="14.25"/>
  <cols>
    <col min="1" max="1" width="4.28571428571429" style="368" customWidth="1"/>
    <col min="2" max="2" width="6.28571428571429" style="368" customWidth="1"/>
    <col min="3" max="3" width="39.7142857142857" style="368" customWidth="1"/>
    <col min="4" max="4" width="13.7142857142857" style="368" customWidth="1"/>
    <col min="5" max="5" width="12.5714285714286" style="368" customWidth="1"/>
    <col min="6" max="6" width="13.4285714285714" style="368" customWidth="1"/>
    <col min="7" max="7" width="13.7142857142857" style="368" customWidth="1"/>
    <col min="8" max="8" width="12.5714285714286" style="368" customWidth="1"/>
    <col min="9" max="9" width="13.2857142857143" style="368" customWidth="1"/>
    <col min="10" max="10" width="12.5714285714286" style="368" customWidth="1"/>
    <col min="11" max="11" width="11.7142857142857" style="368" customWidth="1"/>
    <col min="12" max="12" width="13.7142857142857" style="368" customWidth="1"/>
    <col min="13" max="15" width="11.7142857142857" style="368" hidden="1" customWidth="1"/>
    <col min="16" max="18" width="11.7142857142857" style="368" customWidth="1"/>
    <col min="19" max="16384" width="9.28571428571429" style="368"/>
  </cols>
  <sheetData>
    <row r="1" ht="15" spans="2:2">
      <c r="B1" s="369"/>
    </row>
    <row r="2" ht="15" spans="8:8">
      <c r="H2" s="276" t="s">
        <v>758</v>
      </c>
    </row>
    <row r="3" ht="15" spans="8:8">
      <c r="H3" s="370" t="s">
        <v>686</v>
      </c>
    </row>
    <row r="4" ht="15" spans="2:8">
      <c r="B4" s="367" t="s">
        <v>811</v>
      </c>
      <c r="H4" s="370"/>
    </row>
    <row r="5" ht="15" spans="2:12">
      <c r="B5" s="276" t="s">
        <v>687</v>
      </c>
      <c r="C5" s="369" t="s">
        <v>688</v>
      </c>
      <c r="D5" s="371"/>
      <c r="E5" s="371"/>
      <c r="F5" s="371"/>
      <c r="G5" s="371"/>
      <c r="H5" s="371"/>
      <c r="I5" s="371"/>
      <c r="J5" s="371"/>
      <c r="K5" s="371"/>
      <c r="L5" s="371"/>
    </row>
    <row r="6" ht="15" spans="12:15">
      <c r="L6" s="371" t="s">
        <v>851</v>
      </c>
      <c r="O6" s="393" t="s">
        <v>109</v>
      </c>
    </row>
    <row r="7" s="366" customFormat="1" ht="15" customHeight="1" spans="2:16">
      <c r="B7" s="372" t="s">
        <v>3</v>
      </c>
      <c r="C7" s="373" t="s">
        <v>110</v>
      </c>
      <c r="D7" s="374" t="s">
        <v>112</v>
      </c>
      <c r="E7" s="375"/>
      <c r="F7" s="376"/>
      <c r="G7" s="374" t="s">
        <v>760</v>
      </c>
      <c r="H7" s="375"/>
      <c r="I7" s="375"/>
      <c r="J7" s="376"/>
      <c r="K7" s="285" t="s">
        <v>114</v>
      </c>
      <c r="L7" s="394"/>
      <c r="M7" s="394"/>
      <c r="N7" s="394"/>
      <c r="O7" s="286"/>
      <c r="P7" s="395"/>
    </row>
    <row r="8" s="366" customFormat="1" ht="30" spans="2:15">
      <c r="B8" s="377"/>
      <c r="C8" s="378"/>
      <c r="D8" s="379" t="s">
        <v>116</v>
      </c>
      <c r="E8" s="379" t="s">
        <v>237</v>
      </c>
      <c r="F8" s="379" t="s">
        <v>118</v>
      </c>
      <c r="G8" s="379" t="s">
        <v>116</v>
      </c>
      <c r="H8" s="379" t="s">
        <v>119</v>
      </c>
      <c r="I8" s="379" t="s">
        <v>120</v>
      </c>
      <c r="J8" s="379" t="s">
        <v>238</v>
      </c>
      <c r="K8" s="379" t="s">
        <v>514</v>
      </c>
      <c r="L8" s="379" t="s">
        <v>515</v>
      </c>
      <c r="M8" s="379" t="s">
        <v>516</v>
      </c>
      <c r="N8" s="379" t="s">
        <v>517</v>
      </c>
      <c r="O8" s="379" t="s">
        <v>518</v>
      </c>
    </row>
    <row r="9" s="366" customFormat="1" ht="15" spans="2:15">
      <c r="B9" s="380"/>
      <c r="C9" s="381"/>
      <c r="D9" s="379" t="s">
        <v>127</v>
      </c>
      <c r="E9" s="379" t="s">
        <v>128</v>
      </c>
      <c r="F9" s="379" t="s">
        <v>129</v>
      </c>
      <c r="G9" s="379" t="s">
        <v>127</v>
      </c>
      <c r="H9" s="379" t="s">
        <v>130</v>
      </c>
      <c r="I9" s="379" t="s">
        <v>131</v>
      </c>
      <c r="J9" s="379" t="s">
        <v>131</v>
      </c>
      <c r="K9" s="379" t="s">
        <v>132</v>
      </c>
      <c r="L9" s="379" t="s">
        <v>132</v>
      </c>
      <c r="M9" s="379" t="s">
        <v>132</v>
      </c>
      <c r="N9" s="379" t="s">
        <v>132</v>
      </c>
      <c r="O9" s="379" t="s">
        <v>132</v>
      </c>
    </row>
    <row r="10" spans="2:15">
      <c r="B10" s="382">
        <v>1</v>
      </c>
      <c r="C10" s="296" t="s">
        <v>689</v>
      </c>
      <c r="D10" s="383"/>
      <c r="E10" s="384">
        <f t="shared" ref="E10:E18" si="0">E114+E171</f>
        <v>0</v>
      </c>
      <c r="F10" s="384">
        <f>E10-D10</f>
        <v>0</v>
      </c>
      <c r="G10" s="385"/>
      <c r="H10" s="384">
        <f t="shared" ref="H10:I22" si="1">H114+H171</f>
        <v>0</v>
      </c>
      <c r="I10" s="384">
        <f t="shared" si="1"/>
        <v>0</v>
      </c>
      <c r="J10" s="396">
        <f>'[60]Interest cost'!D5</f>
        <v>4336.63357910525</v>
      </c>
      <c r="K10" s="396">
        <f>'[60]Interest cost'!E5</f>
        <v>4492.61691494078</v>
      </c>
      <c r="L10" s="396">
        <f>'[60]Interest cost'!F5</f>
        <v>4838.35181326025</v>
      </c>
      <c r="M10" s="396">
        <f>'[60]Interest cost'!G5</f>
        <v>5250.21873927692</v>
      </c>
      <c r="N10" s="396">
        <f>'[60]Interest cost'!H5</f>
        <v>6259.54476464899</v>
      </c>
      <c r="O10" s="396">
        <f>'[60]Interest cost'!I5</f>
        <v>7622.68193059912</v>
      </c>
    </row>
    <row r="11" spans="2:15">
      <c r="B11" s="386">
        <f>B10+1</f>
        <v>2</v>
      </c>
      <c r="C11" s="296" t="s">
        <v>690</v>
      </c>
      <c r="D11" s="383"/>
      <c r="E11" s="384">
        <f t="shared" si="0"/>
        <v>0</v>
      </c>
      <c r="F11" s="384">
        <f t="shared" ref="F11:F22" si="2">E11-D11</f>
        <v>0</v>
      </c>
      <c r="G11" s="385"/>
      <c r="H11" s="384">
        <f t="shared" si="1"/>
        <v>0</v>
      </c>
      <c r="I11" s="384">
        <f t="shared" si="1"/>
        <v>0</v>
      </c>
      <c r="J11" s="396">
        <f t="shared" ref="J11:J21" si="3">H11+I11</f>
        <v>0</v>
      </c>
      <c r="K11" s="397">
        <f t="shared" ref="K11:O13" si="4">K115+K172</f>
        <v>0</v>
      </c>
      <c r="L11" s="397">
        <f t="shared" si="4"/>
        <v>0</v>
      </c>
      <c r="M11" s="397">
        <f t="shared" si="4"/>
        <v>0</v>
      </c>
      <c r="N11" s="397">
        <f t="shared" si="4"/>
        <v>0</v>
      </c>
      <c r="O11" s="397">
        <f t="shared" si="4"/>
        <v>0</v>
      </c>
    </row>
    <row r="12" spans="2:15">
      <c r="B12" s="386">
        <f t="shared" ref="B12:B22" si="5">B11+1</f>
        <v>3</v>
      </c>
      <c r="C12" s="387" t="s">
        <v>691</v>
      </c>
      <c r="D12" s="383"/>
      <c r="E12" s="384">
        <f t="shared" si="0"/>
        <v>0</v>
      </c>
      <c r="F12" s="384">
        <f t="shared" si="2"/>
        <v>0</v>
      </c>
      <c r="G12" s="385"/>
      <c r="H12" s="384">
        <f t="shared" si="1"/>
        <v>0</v>
      </c>
      <c r="I12" s="384">
        <f t="shared" si="1"/>
        <v>0</v>
      </c>
      <c r="J12" s="396">
        <f t="shared" si="3"/>
        <v>0</v>
      </c>
      <c r="K12" s="397">
        <f t="shared" si="4"/>
        <v>0</v>
      </c>
      <c r="L12" s="397">
        <f t="shared" si="4"/>
        <v>0</v>
      </c>
      <c r="M12" s="397">
        <f t="shared" si="4"/>
        <v>0</v>
      </c>
      <c r="N12" s="397">
        <f t="shared" si="4"/>
        <v>0</v>
      </c>
      <c r="O12" s="397">
        <f t="shared" si="4"/>
        <v>0</v>
      </c>
    </row>
    <row r="13" ht="28.5" spans="2:15">
      <c r="B13" s="386">
        <f t="shared" si="5"/>
        <v>4</v>
      </c>
      <c r="C13" s="288" t="s">
        <v>692</v>
      </c>
      <c r="D13" s="388"/>
      <c r="E13" s="384">
        <f t="shared" si="0"/>
        <v>0</v>
      </c>
      <c r="F13" s="384">
        <f t="shared" si="2"/>
        <v>0</v>
      </c>
      <c r="G13" s="387"/>
      <c r="H13" s="384">
        <f t="shared" si="1"/>
        <v>0</v>
      </c>
      <c r="I13" s="384">
        <f t="shared" si="1"/>
        <v>0</v>
      </c>
      <c r="J13" s="396">
        <f t="shared" si="3"/>
        <v>0</v>
      </c>
      <c r="K13" s="397">
        <f t="shared" si="4"/>
        <v>0</v>
      </c>
      <c r="L13" s="397">
        <f t="shared" si="4"/>
        <v>0</v>
      </c>
      <c r="M13" s="397">
        <f t="shared" si="4"/>
        <v>0</v>
      </c>
      <c r="N13" s="397">
        <f t="shared" si="4"/>
        <v>0</v>
      </c>
      <c r="O13" s="397">
        <f t="shared" si="4"/>
        <v>0</v>
      </c>
    </row>
    <row r="14" s="367" customFormat="1" ht="28.5" spans="2:15">
      <c r="B14" s="386">
        <f t="shared" si="5"/>
        <v>5</v>
      </c>
      <c r="C14" s="389" t="s">
        <v>693</v>
      </c>
      <c r="D14" s="388"/>
      <c r="E14" s="384">
        <f t="shared" si="0"/>
        <v>0</v>
      </c>
      <c r="F14" s="384">
        <f t="shared" si="2"/>
        <v>0</v>
      </c>
      <c r="G14" s="387"/>
      <c r="H14" s="384">
        <f t="shared" si="1"/>
        <v>0</v>
      </c>
      <c r="I14" s="384">
        <f t="shared" si="1"/>
        <v>0</v>
      </c>
      <c r="J14" s="396">
        <f>'[60]Interest cost'!D6</f>
        <v>1024.65698316815</v>
      </c>
      <c r="K14" s="396">
        <f>'[60]Interest cost'!E6</f>
        <v>1208.97022744411</v>
      </c>
      <c r="L14" s="396">
        <f>'[60]Interest cost'!F6</f>
        <v>1328.83121950109</v>
      </c>
      <c r="M14" s="396">
        <f>'[60]Interest cost'!G6</f>
        <v>2007.13329516594</v>
      </c>
      <c r="N14" s="396">
        <f>'[60]Interest cost'!H6</f>
        <v>2471.50112828908</v>
      </c>
      <c r="O14" s="396">
        <f>'[60]Interest cost'!I6</f>
        <v>2944.73156265291</v>
      </c>
    </row>
    <row r="15" ht="28.5" spans="2:15">
      <c r="B15" s="386">
        <f t="shared" si="5"/>
        <v>6</v>
      </c>
      <c r="C15" s="288" t="s">
        <v>694</v>
      </c>
      <c r="D15" s="388"/>
      <c r="E15" s="384">
        <f t="shared" si="0"/>
        <v>0</v>
      </c>
      <c r="F15" s="384">
        <f t="shared" si="2"/>
        <v>0</v>
      </c>
      <c r="G15" s="387"/>
      <c r="H15" s="384">
        <f t="shared" si="1"/>
        <v>0</v>
      </c>
      <c r="I15" s="384">
        <f t="shared" si="1"/>
        <v>0</v>
      </c>
      <c r="J15" s="396">
        <f>'[60]Interest cost'!D7</f>
        <v>873.796219039222</v>
      </c>
      <c r="K15" s="396">
        <f>'[60]Interest cost'!E7</f>
        <v>871.437853058882</v>
      </c>
      <c r="L15" s="396">
        <f>'[60]Interest cost'!F7</f>
        <v>923.118777895958</v>
      </c>
      <c r="M15" s="396">
        <f>'[60]Interest cost'!G7</f>
        <v>1005.38676551873</v>
      </c>
      <c r="N15" s="396">
        <f>'[60]Interest cost'!H7</f>
        <v>1115.64286576774</v>
      </c>
      <c r="O15" s="396">
        <f>'[60]Interest cost'!I7</f>
        <v>1251.77504434195</v>
      </c>
    </row>
    <row r="16" spans="2:15">
      <c r="B16" s="386">
        <f t="shared" si="5"/>
        <v>7</v>
      </c>
      <c r="C16" s="296" t="s">
        <v>695</v>
      </c>
      <c r="D16" s="388"/>
      <c r="E16" s="384">
        <f t="shared" si="0"/>
        <v>0</v>
      </c>
      <c r="F16" s="384">
        <f t="shared" si="2"/>
        <v>0</v>
      </c>
      <c r="G16" s="387"/>
      <c r="H16" s="384">
        <f t="shared" si="1"/>
        <v>0</v>
      </c>
      <c r="I16" s="384">
        <f t="shared" si="1"/>
        <v>0</v>
      </c>
      <c r="J16" s="396">
        <f>'[60]Interest cost'!D9</f>
        <v>4492.61691494078</v>
      </c>
      <c r="K16" s="396">
        <f>'[60]Interest cost'!E9</f>
        <v>4838.35181326025</v>
      </c>
      <c r="L16" s="396">
        <f>'[60]Interest cost'!F9</f>
        <v>5250.21873927692</v>
      </c>
      <c r="M16" s="396">
        <f>'[60]Interest cost'!G9</f>
        <v>6259.54476464899</v>
      </c>
      <c r="N16" s="396">
        <f>'[60]Interest cost'!H9</f>
        <v>7622.68193059912</v>
      </c>
      <c r="O16" s="396">
        <f>'[60]Interest cost'!I9</f>
        <v>9326.73961918166</v>
      </c>
    </row>
    <row r="17" spans="2:15">
      <c r="B17" s="386">
        <f t="shared" si="5"/>
        <v>8</v>
      </c>
      <c r="C17" s="296" t="s">
        <v>696</v>
      </c>
      <c r="D17" s="388"/>
      <c r="E17" s="384">
        <f t="shared" si="0"/>
        <v>0</v>
      </c>
      <c r="F17" s="384">
        <f t="shared" si="2"/>
        <v>0</v>
      </c>
      <c r="G17" s="387"/>
      <c r="H17" s="384">
        <f t="shared" si="1"/>
        <v>0</v>
      </c>
      <c r="I17" s="384">
        <f t="shared" si="1"/>
        <v>0</v>
      </c>
      <c r="J17" s="396">
        <f t="shared" si="3"/>
        <v>0</v>
      </c>
      <c r="K17" s="397">
        <f t="shared" ref="K17:O18" si="6">K121+K178</f>
        <v>0</v>
      </c>
      <c r="L17" s="397">
        <f t="shared" si="6"/>
        <v>0</v>
      </c>
      <c r="M17" s="397">
        <f t="shared" si="6"/>
        <v>0</v>
      </c>
      <c r="N17" s="397">
        <f t="shared" si="6"/>
        <v>0</v>
      </c>
      <c r="O17" s="397">
        <f t="shared" si="6"/>
        <v>0</v>
      </c>
    </row>
    <row r="18" spans="2:15">
      <c r="B18" s="386">
        <f t="shared" si="5"/>
        <v>9</v>
      </c>
      <c r="C18" s="296" t="s">
        <v>697</v>
      </c>
      <c r="D18" s="388"/>
      <c r="E18" s="384">
        <f t="shared" si="0"/>
        <v>0</v>
      </c>
      <c r="F18" s="384">
        <f t="shared" si="2"/>
        <v>0</v>
      </c>
      <c r="G18" s="387"/>
      <c r="H18" s="384">
        <f t="shared" si="1"/>
        <v>0</v>
      </c>
      <c r="I18" s="384">
        <f t="shared" si="1"/>
        <v>0</v>
      </c>
      <c r="J18" s="396">
        <f t="shared" si="3"/>
        <v>0</v>
      </c>
      <c r="K18" s="397">
        <f t="shared" si="6"/>
        <v>0</v>
      </c>
      <c r="L18" s="397">
        <f t="shared" si="6"/>
        <v>0</v>
      </c>
      <c r="M18" s="397">
        <f t="shared" si="6"/>
        <v>0</v>
      </c>
      <c r="N18" s="397">
        <f t="shared" si="6"/>
        <v>0</v>
      </c>
      <c r="O18" s="397">
        <f t="shared" si="6"/>
        <v>0</v>
      </c>
    </row>
    <row r="19" ht="28.5" spans="2:15">
      <c r="B19" s="386">
        <f t="shared" si="5"/>
        <v>10</v>
      </c>
      <c r="C19" s="288" t="s">
        <v>698</v>
      </c>
      <c r="D19" s="388"/>
      <c r="E19" s="384"/>
      <c r="F19" s="384">
        <f t="shared" si="2"/>
        <v>0</v>
      </c>
      <c r="G19" s="387"/>
      <c r="H19" s="384"/>
      <c r="I19" s="384"/>
      <c r="J19" s="398">
        <f>'[60]Interest cost'!D12</f>
        <v>0.102788696309569</v>
      </c>
      <c r="K19" s="398">
        <f>'[60]Interest cost'!E12</f>
        <v>0.102189425887538</v>
      </c>
      <c r="L19" s="398">
        <f>'[60]Interest cost'!F12</f>
        <v>0.0997458570704077</v>
      </c>
      <c r="M19" s="398">
        <f>'[60]Interest cost'!G12</f>
        <v>0.099763744116817</v>
      </c>
      <c r="N19" s="398">
        <f>'[60]Interest cost'!H12</f>
        <v>0.0996497716822462</v>
      </c>
      <c r="O19" s="398">
        <f>'[60]Interest cost'!I12</f>
        <v>0.0999029608712046</v>
      </c>
    </row>
    <row r="20" spans="2:15">
      <c r="B20" s="386">
        <f t="shared" si="5"/>
        <v>11</v>
      </c>
      <c r="C20" s="296" t="s">
        <v>699</v>
      </c>
      <c r="D20" s="388"/>
      <c r="E20" s="384">
        <f>E124+E181</f>
        <v>0</v>
      </c>
      <c r="F20" s="384">
        <f t="shared" si="2"/>
        <v>0</v>
      </c>
      <c r="G20" s="387"/>
      <c r="H20" s="384">
        <f t="shared" si="1"/>
        <v>0</v>
      </c>
      <c r="I20" s="384">
        <f t="shared" si="1"/>
        <v>0</v>
      </c>
      <c r="J20" s="396">
        <f>'[60]Interest cost'!D14</f>
        <v>453.773573836805</v>
      </c>
      <c r="K20" s="396">
        <f>'[60]Interest cost'!E14</f>
        <v>476.763168654716</v>
      </c>
      <c r="L20" s="396">
        <f>'[60]Interest cost'!F14</f>
        <v>503.146558189048</v>
      </c>
      <c r="M20" s="396">
        <f>'[60]Interest cost'!G14</f>
        <v>574.128550525372</v>
      </c>
      <c r="N20" s="396">
        <f>'[60]Interest cost'!H14</f>
        <v>691.680360311329</v>
      </c>
      <c r="O20" s="396">
        <f>'[60]Interest cost'!I14</f>
        <v>846.64869893865</v>
      </c>
    </row>
    <row r="21" spans="2:15">
      <c r="B21" s="386">
        <f t="shared" si="5"/>
        <v>12</v>
      </c>
      <c r="C21" s="296" t="s">
        <v>700</v>
      </c>
      <c r="D21" s="388"/>
      <c r="E21" s="384">
        <f>E125+E182</f>
        <v>0</v>
      </c>
      <c r="F21" s="384">
        <f t="shared" si="2"/>
        <v>0</v>
      </c>
      <c r="G21" s="387"/>
      <c r="H21" s="384">
        <f t="shared" si="1"/>
        <v>0</v>
      </c>
      <c r="I21" s="384">
        <f t="shared" si="1"/>
        <v>0</v>
      </c>
      <c r="J21" s="396">
        <f t="shared" si="3"/>
        <v>0</v>
      </c>
      <c r="K21" s="397">
        <f>K125+K182</f>
        <v>0</v>
      </c>
      <c r="L21" s="397">
        <f>L125+L182</f>
        <v>0</v>
      </c>
      <c r="M21" s="397">
        <f>M125+M182</f>
        <v>0</v>
      </c>
      <c r="N21" s="397">
        <f>N125+N182</f>
        <v>0</v>
      </c>
      <c r="O21" s="397">
        <f>O125+O182</f>
        <v>0</v>
      </c>
    </row>
    <row r="22" spans="2:15">
      <c r="B22" s="386">
        <f t="shared" si="5"/>
        <v>13</v>
      </c>
      <c r="C22" s="296" t="s">
        <v>701</v>
      </c>
      <c r="D22" s="388"/>
      <c r="E22" s="384">
        <f>E126+E183</f>
        <v>0</v>
      </c>
      <c r="F22" s="384">
        <f t="shared" si="2"/>
        <v>0</v>
      </c>
      <c r="G22" s="387"/>
      <c r="H22" s="384">
        <f t="shared" si="1"/>
        <v>0</v>
      </c>
      <c r="I22" s="384">
        <f t="shared" si="1"/>
        <v>0</v>
      </c>
      <c r="J22" s="396">
        <f>J20+J21</f>
        <v>453.773573836805</v>
      </c>
      <c r="K22" s="396">
        <f t="shared" ref="K22:O22" si="7">K20+K21</f>
        <v>476.763168654716</v>
      </c>
      <c r="L22" s="396">
        <f t="shared" si="7"/>
        <v>503.146558189048</v>
      </c>
      <c r="M22" s="396">
        <f t="shared" si="7"/>
        <v>574.128550525372</v>
      </c>
      <c r="N22" s="396">
        <f t="shared" si="7"/>
        <v>691.680360311329</v>
      </c>
      <c r="O22" s="396">
        <f t="shared" si="7"/>
        <v>846.64869893865</v>
      </c>
    </row>
    <row r="24" ht="15" spans="2:3">
      <c r="B24" s="276" t="s">
        <v>702</v>
      </c>
      <c r="C24" s="369" t="s">
        <v>703</v>
      </c>
    </row>
    <row r="25" ht="15" spans="12:12">
      <c r="L25" s="371" t="s">
        <v>851</v>
      </c>
    </row>
    <row r="26" ht="15" customHeight="1" spans="2:12">
      <c r="B26" s="372" t="s">
        <v>3</v>
      </c>
      <c r="C26" s="373" t="s">
        <v>110</v>
      </c>
      <c r="D26" s="374" t="s">
        <v>112</v>
      </c>
      <c r="E26" s="374" t="s">
        <v>760</v>
      </c>
      <c r="F26" s="375"/>
      <c r="G26" s="376"/>
      <c r="H26" s="285" t="s">
        <v>114</v>
      </c>
      <c r="I26" s="394"/>
      <c r="J26" s="394"/>
      <c r="K26" s="394"/>
      <c r="L26" s="286"/>
    </row>
    <row r="27" ht="15" spans="2:12">
      <c r="B27" s="377"/>
      <c r="C27" s="378"/>
      <c r="D27" s="379" t="s">
        <v>237</v>
      </c>
      <c r="E27" s="379" t="s">
        <v>119</v>
      </c>
      <c r="F27" s="379" t="s">
        <v>120</v>
      </c>
      <c r="G27" s="379" t="s">
        <v>238</v>
      </c>
      <c r="H27" s="379" t="s">
        <v>514</v>
      </c>
      <c r="I27" s="379" t="s">
        <v>515</v>
      </c>
      <c r="J27" s="379" t="s">
        <v>516</v>
      </c>
      <c r="K27" s="379" t="s">
        <v>517</v>
      </c>
      <c r="L27" s="379" t="s">
        <v>518</v>
      </c>
    </row>
    <row r="28" ht="15" spans="2:12">
      <c r="B28" s="380"/>
      <c r="C28" s="381"/>
      <c r="D28" s="379" t="s">
        <v>128</v>
      </c>
      <c r="E28" s="379" t="s">
        <v>130</v>
      </c>
      <c r="F28" s="379" t="s">
        <v>131</v>
      </c>
      <c r="G28" s="379" t="s">
        <v>131</v>
      </c>
      <c r="H28" s="379" t="s">
        <v>132</v>
      </c>
      <c r="I28" s="379" t="s">
        <v>132</v>
      </c>
      <c r="J28" s="379" t="s">
        <v>132</v>
      </c>
      <c r="K28" s="379" t="s">
        <v>132</v>
      </c>
      <c r="L28" s="379" t="s">
        <v>132</v>
      </c>
    </row>
    <row r="29" ht="15" spans="2:12">
      <c r="B29" s="386">
        <v>1</v>
      </c>
      <c r="C29" s="390" t="s">
        <v>812</v>
      </c>
      <c r="D29" s="296"/>
      <c r="E29" s="296"/>
      <c r="F29" s="296"/>
      <c r="G29" s="296"/>
      <c r="H29" s="296"/>
      <c r="I29" s="296"/>
      <c r="J29" s="296"/>
      <c r="K29" s="296"/>
      <c r="L29" s="296"/>
    </row>
    <row r="30" spans="2:12">
      <c r="B30" s="296"/>
      <c r="C30" s="296" t="s">
        <v>704</v>
      </c>
      <c r="D30" s="296"/>
      <c r="E30" s="296"/>
      <c r="F30" s="296"/>
      <c r="G30" s="391">
        <f>'[60]Loan Portfolio'!$C$13</f>
        <v>5187.68</v>
      </c>
      <c r="H30" s="384">
        <f>G33</f>
        <v>6836.0349916</v>
      </c>
      <c r="I30" s="384">
        <f t="shared" ref="I30:L30" si="8">H33</f>
        <v>6695.0149576</v>
      </c>
      <c r="J30" s="384">
        <f t="shared" si="8"/>
        <v>6299.9549576</v>
      </c>
      <c r="K30" s="384">
        <f t="shared" si="8"/>
        <v>5342.8449576</v>
      </c>
      <c r="L30" s="384">
        <f t="shared" si="8"/>
        <v>4385.7349576</v>
      </c>
    </row>
    <row r="31" spans="2:12">
      <c r="B31" s="296"/>
      <c r="C31" s="296" t="s">
        <v>705</v>
      </c>
      <c r="D31" s="296"/>
      <c r="E31" s="296"/>
      <c r="F31" s="296"/>
      <c r="G31" s="391">
        <f>'[60]Loan Portfolio'!$D$13</f>
        <v>2069.45</v>
      </c>
      <c r="H31" s="391">
        <f>'[60]Loan Portfolio'!$K$13</f>
        <v>465.6228228</v>
      </c>
      <c r="I31" s="391">
        <f>'[60]Loan Portfolio'!$Q$13</f>
        <v>328.4</v>
      </c>
      <c r="J31" s="296">
        <v>0</v>
      </c>
      <c r="K31" s="296">
        <v>0</v>
      </c>
      <c r="L31" s="296">
        <v>0</v>
      </c>
    </row>
    <row r="32" spans="2:12">
      <c r="B32" s="296"/>
      <c r="C32" s="296" t="s">
        <v>706</v>
      </c>
      <c r="D32" s="296"/>
      <c r="E32" s="296"/>
      <c r="F32" s="296"/>
      <c r="G32" s="391">
        <f>'[60]Loan Portfolio'!$E$13</f>
        <v>421.0952378</v>
      </c>
      <c r="H32" s="391">
        <f>'[60]Loan Portfolio'!$J$13</f>
        <v>606.6428568</v>
      </c>
      <c r="I32" s="391">
        <f>'[60]Loan Portfolio'!$P$13</f>
        <v>723.46</v>
      </c>
      <c r="J32" s="391">
        <f>'[60]Loan Portfolio'!$V$13</f>
        <v>957.11</v>
      </c>
      <c r="K32" s="391">
        <f>'[60]Loan Portfolio'!$AA$13</f>
        <v>957.11</v>
      </c>
      <c r="L32" s="391">
        <f>'[60]Loan Portfolio'!$AF$13</f>
        <v>957.11</v>
      </c>
    </row>
    <row r="33" spans="2:12">
      <c r="B33" s="296"/>
      <c r="C33" s="296" t="s">
        <v>707</v>
      </c>
      <c r="D33" s="384">
        <f>D137+D194</f>
        <v>0</v>
      </c>
      <c r="E33" s="384">
        <f t="shared" ref="E33:F34" si="9">E137+E194</f>
        <v>0</v>
      </c>
      <c r="F33" s="384">
        <f t="shared" si="9"/>
        <v>0</v>
      </c>
      <c r="G33" s="384">
        <f>'[60]Loan Portfolio'!$G$13</f>
        <v>6836.0349916</v>
      </c>
      <c r="H33" s="384">
        <f>'[60]Loan Portfolio'!$M$13</f>
        <v>6695.0149576</v>
      </c>
      <c r="I33" s="384">
        <f>'[60]Loan Portfolio'!$S$13</f>
        <v>6299.9549576</v>
      </c>
      <c r="J33" s="384">
        <f>'[60]Loan Portfolio'!$X$13</f>
        <v>5342.8449576</v>
      </c>
      <c r="K33" s="384">
        <f>'[60]Loan Portfolio'!$AC$13</f>
        <v>4385.7349576</v>
      </c>
      <c r="L33" s="384">
        <f>'[60]Loan Portfolio'!$AH$13</f>
        <v>3428.6249576</v>
      </c>
    </row>
    <row r="34" spans="2:12">
      <c r="B34" s="296"/>
      <c r="C34" s="296" t="s">
        <v>708</v>
      </c>
      <c r="D34" s="384">
        <f>D138+D195</f>
        <v>0</v>
      </c>
      <c r="E34" s="384">
        <f t="shared" si="9"/>
        <v>0</v>
      </c>
      <c r="F34" s="384">
        <f t="shared" si="9"/>
        <v>0</v>
      </c>
      <c r="G34" s="384">
        <f>'[60]Loan Portfolio'!$H$13</f>
        <v>6011.8574958</v>
      </c>
      <c r="H34" s="384">
        <f>'[60]Loan Portfolio'!$N$13</f>
        <v>6353.4362267</v>
      </c>
      <c r="I34" s="384">
        <f>'[60]Loan Portfolio'!$T$13</f>
        <v>6497.4849576</v>
      </c>
      <c r="J34" s="384">
        <f>'[60]Loan Portfolio'!$Y$13</f>
        <v>5821.3999576</v>
      </c>
      <c r="K34" s="384">
        <f>'[60]Loan Portfolio'!$AD$13</f>
        <v>4864.2899576</v>
      </c>
      <c r="L34" s="384">
        <f>'[60]Loan Portfolio'!$AI$13</f>
        <v>3907.1799576</v>
      </c>
    </row>
    <row r="35" spans="2:12">
      <c r="B35" s="296"/>
      <c r="C35" s="296" t="s">
        <v>709</v>
      </c>
      <c r="D35" s="296"/>
      <c r="E35" s="296"/>
      <c r="F35" s="296"/>
      <c r="G35" s="392">
        <f>'[60]Loan Portfolio'!$I$13</f>
        <v>0.105696315330815</v>
      </c>
      <c r="H35" s="392">
        <f>'[60]Loan Portfolio'!$O$13</f>
        <v>0.104721284083083</v>
      </c>
      <c r="I35" s="392">
        <f>'[60]Loan Portfolio'!$U$13</f>
        <v>0.0990521723712809</v>
      </c>
      <c r="J35" s="392">
        <f>'[60]Loan Portfolio'!$Z$13</f>
        <v>0.0992665001904868</v>
      </c>
      <c r="K35" s="392">
        <f>'[60]Loan Portfolio'!$AE$13</f>
        <v>0.099484201027926</v>
      </c>
      <c r="L35" s="392">
        <f>'[60]Loan Portfolio'!$AJ$13</f>
        <v>0.0998111180524039</v>
      </c>
    </row>
    <row r="36" spans="2:12">
      <c r="B36" s="296"/>
      <c r="C36" s="296" t="s">
        <v>699</v>
      </c>
      <c r="D36" s="384">
        <f t="shared" ref="D36:F36" si="10">D140+D197</f>
        <v>0</v>
      </c>
      <c r="E36" s="384">
        <f t="shared" si="10"/>
        <v>0</v>
      </c>
      <c r="F36" s="384">
        <f t="shared" si="10"/>
        <v>0</v>
      </c>
      <c r="G36" s="384">
        <f>'[60]Loan Portfolio'!$F$13</f>
        <v>635.4311856</v>
      </c>
      <c r="H36" s="384">
        <f>'[60]Loan Portfolio'!$L$13</f>
        <v>665.34</v>
      </c>
      <c r="I36" s="384">
        <f>'[60]Loan Portfolio'!$R$13</f>
        <v>643.59</v>
      </c>
      <c r="J36" s="384">
        <f>'[60]Loan Portfolio'!$W$13</f>
        <v>577.87</v>
      </c>
      <c r="K36" s="384">
        <f>'[60]Loan Portfolio'!$AB$13</f>
        <v>483.92</v>
      </c>
      <c r="L36" s="384">
        <f>'[60]Loan Portfolio'!$AG$13</f>
        <v>389.98</v>
      </c>
    </row>
    <row r="37" spans="2:12">
      <c r="B37" s="296"/>
      <c r="C37" s="296" t="s">
        <v>700</v>
      </c>
      <c r="D37" s="296"/>
      <c r="E37" s="296"/>
      <c r="F37" s="296"/>
      <c r="G37" s="296">
        <v>0</v>
      </c>
      <c r="H37" s="296">
        <v>0</v>
      </c>
      <c r="I37" s="296">
        <v>0</v>
      </c>
      <c r="J37" s="296">
        <v>0</v>
      </c>
      <c r="K37" s="296">
        <v>0</v>
      </c>
      <c r="L37" s="296">
        <v>0</v>
      </c>
    </row>
    <row r="38" spans="2:12">
      <c r="B38" s="296"/>
      <c r="C38" s="296" t="s">
        <v>701</v>
      </c>
      <c r="D38" s="384">
        <f t="shared" ref="D38:F38" si="11">D142+D199</f>
        <v>0</v>
      </c>
      <c r="E38" s="384">
        <f t="shared" si="11"/>
        <v>0</v>
      </c>
      <c r="F38" s="384">
        <f t="shared" si="11"/>
        <v>0</v>
      </c>
      <c r="G38" s="384">
        <f>G36+G37</f>
        <v>635.4311856</v>
      </c>
      <c r="H38" s="384">
        <f t="shared" ref="H38:L38" si="12">H36+H37</f>
        <v>665.34</v>
      </c>
      <c r="I38" s="384">
        <f t="shared" si="12"/>
        <v>643.59</v>
      </c>
      <c r="J38" s="384">
        <f t="shared" si="12"/>
        <v>577.87</v>
      </c>
      <c r="K38" s="384">
        <f t="shared" si="12"/>
        <v>483.92</v>
      </c>
      <c r="L38" s="384">
        <f t="shared" si="12"/>
        <v>389.98</v>
      </c>
    </row>
    <row r="39" ht="15" spans="2:12">
      <c r="B39" s="386">
        <v>2</v>
      </c>
      <c r="C39" s="390" t="s">
        <v>813</v>
      </c>
      <c r="D39" s="296"/>
      <c r="E39" s="296"/>
      <c r="F39" s="296"/>
      <c r="G39" s="296"/>
      <c r="H39" s="296"/>
      <c r="I39" s="296"/>
      <c r="J39" s="296"/>
      <c r="K39" s="296"/>
      <c r="L39" s="296"/>
    </row>
    <row r="40" spans="2:12">
      <c r="B40" s="296"/>
      <c r="C40" s="296" t="s">
        <v>704</v>
      </c>
      <c r="D40" s="296"/>
      <c r="E40" s="296"/>
      <c r="F40" s="296"/>
      <c r="G40" s="391">
        <f>'[60]Loan Portfolio'!$C$14</f>
        <v>5361.25</v>
      </c>
      <c r="H40" s="384">
        <f>G43</f>
        <v>6017.520044</v>
      </c>
      <c r="I40" s="384">
        <f t="shared" ref="I40:L40" si="13">H43</f>
        <v>6100.0076416</v>
      </c>
      <c r="J40" s="384">
        <f t="shared" si="13"/>
        <v>5928.4476416</v>
      </c>
      <c r="K40" s="384">
        <f t="shared" si="13"/>
        <v>5194.8476416</v>
      </c>
      <c r="L40" s="384">
        <f t="shared" si="13"/>
        <v>4461.2476416</v>
      </c>
    </row>
    <row r="41" spans="2:12">
      <c r="B41" s="296"/>
      <c r="C41" s="296" t="s">
        <v>705</v>
      </c>
      <c r="D41" s="296"/>
      <c r="E41" s="296"/>
      <c r="F41" s="296"/>
      <c r="G41" s="391">
        <f>'[60]Loan Portfolio'!$D$14</f>
        <v>934.82</v>
      </c>
      <c r="H41" s="391">
        <f>'[60]Loan Portfolio'!$K$14</f>
        <v>465.62</v>
      </c>
      <c r="I41" s="296">
        <v>0</v>
      </c>
      <c r="J41" s="296">
        <v>0</v>
      </c>
      <c r="K41" s="296">
        <v>0</v>
      </c>
      <c r="L41" s="296">
        <v>0</v>
      </c>
    </row>
    <row r="42" spans="2:12">
      <c r="B42" s="296"/>
      <c r="C42" s="296" t="s">
        <v>706</v>
      </c>
      <c r="D42" s="296"/>
      <c r="E42" s="296"/>
      <c r="F42" s="296"/>
      <c r="G42" s="391">
        <f>'[60]Loan Portfolio'!$E$14</f>
        <v>278.5471516</v>
      </c>
      <c r="H42" s="391">
        <f>'[60]Loan Portfolio'!$J$14</f>
        <v>383.1324024</v>
      </c>
      <c r="I42" s="391">
        <f>'[60]Loan Portfolio'!$P$14</f>
        <v>499.95</v>
      </c>
      <c r="J42" s="391">
        <f>'[60]Loan Portfolio'!$V$14</f>
        <v>733.6</v>
      </c>
      <c r="K42" s="391">
        <f>'[60]Loan Portfolio'!$AA$14</f>
        <v>733.6</v>
      </c>
      <c r="L42" s="391">
        <f>'[60]Loan Portfolio'!$AF$14</f>
        <v>733.6</v>
      </c>
    </row>
    <row r="43" spans="2:12">
      <c r="B43" s="296"/>
      <c r="C43" s="296" t="s">
        <v>707</v>
      </c>
      <c r="D43" s="384">
        <f t="shared" ref="D43:F44" si="14">D147+D204</f>
        <v>0</v>
      </c>
      <c r="E43" s="384">
        <f t="shared" si="14"/>
        <v>0</v>
      </c>
      <c r="F43" s="384">
        <f t="shared" si="14"/>
        <v>0</v>
      </c>
      <c r="G43" s="384">
        <f>'[60]Loan Portfolio'!$G$14</f>
        <v>6017.520044</v>
      </c>
      <c r="H43" s="384">
        <f>'[60]Loan Portfolio'!$M$14</f>
        <v>6100.0076416</v>
      </c>
      <c r="I43" s="384">
        <f>'[60]Loan Portfolio'!$S$14</f>
        <v>5928.4476416</v>
      </c>
      <c r="J43" s="384">
        <f>'[60]Loan Portfolio'!$X$14</f>
        <v>5194.8476416</v>
      </c>
      <c r="K43" s="384">
        <f>'[60]Loan Portfolio'!$AC$14</f>
        <v>4461.2476416</v>
      </c>
      <c r="L43" s="384">
        <f>'[60]Loan Portfolio'!$AH$14</f>
        <v>3727.6476416</v>
      </c>
    </row>
    <row r="44" spans="2:12">
      <c r="B44" s="296"/>
      <c r="C44" s="296" t="s">
        <v>708</v>
      </c>
      <c r="D44" s="384">
        <f t="shared" si="14"/>
        <v>0</v>
      </c>
      <c r="E44" s="384">
        <f t="shared" si="14"/>
        <v>0</v>
      </c>
      <c r="F44" s="384">
        <f t="shared" si="14"/>
        <v>0</v>
      </c>
      <c r="G44" s="384">
        <f>'[60]Loan Portfolio'!$H$14</f>
        <v>5689.385022</v>
      </c>
      <c r="H44" s="384">
        <f>'[60]Loan Portfolio'!$N$14</f>
        <v>5894.6963318</v>
      </c>
      <c r="I44" s="384">
        <f>'[60]Loan Portfolio'!$T$14</f>
        <v>6014.2276416</v>
      </c>
      <c r="J44" s="384">
        <f>'[60]Loan Portfolio'!$Y$14</f>
        <v>5561.6476416</v>
      </c>
      <c r="K44" s="384">
        <f>'[60]Loan Portfolio'!$AD$14</f>
        <v>4828.0476416</v>
      </c>
      <c r="L44" s="384">
        <f>'[60]Loan Portfolio'!$AI$14</f>
        <v>4094.4476416</v>
      </c>
    </row>
    <row r="45" spans="2:12">
      <c r="B45" s="296"/>
      <c r="C45" s="296" t="s">
        <v>709</v>
      </c>
      <c r="D45" s="296"/>
      <c r="E45" s="296"/>
      <c r="F45" s="296"/>
      <c r="G45" s="392">
        <f>'[60]Loan Portfolio'!$I$14</f>
        <v>0.0987805239277758</v>
      </c>
      <c r="H45" s="392">
        <f>'[60]Loan Portfolio'!$O$14</f>
        <v>0.101396232537985</v>
      </c>
      <c r="I45" s="392">
        <f>'[60]Loan Portfolio'!$U$14</f>
        <v>0.0993460899064084</v>
      </c>
      <c r="J45" s="392">
        <f>'[60]Loan Portfolio'!$Z$14</f>
        <v>0.0994867053175669</v>
      </c>
      <c r="K45" s="392">
        <f>'[60]Loan Portfolio'!$AE$14</f>
        <v>0.0996075506497338</v>
      </c>
      <c r="L45" s="392">
        <f>'[60]Loan Portfolio'!$AJ$14</f>
        <v>0.0997716995693137</v>
      </c>
    </row>
    <row r="46" spans="2:12">
      <c r="B46" s="296"/>
      <c r="C46" s="296" t="s">
        <v>699</v>
      </c>
      <c r="D46" s="384">
        <f t="shared" ref="D46:F46" si="15">D150+D207</f>
        <v>0</v>
      </c>
      <c r="E46" s="384">
        <f t="shared" si="15"/>
        <v>0</v>
      </c>
      <c r="F46" s="384">
        <f t="shared" si="15"/>
        <v>0</v>
      </c>
      <c r="G46" s="384">
        <f>'[60]Loan Portfolio'!$F$14</f>
        <v>562.0004333</v>
      </c>
      <c r="H46" s="384">
        <f>'[60]Loan Portfolio'!$L$14</f>
        <v>597.7</v>
      </c>
      <c r="I46" s="384">
        <f>'[60]Loan Portfolio'!$R$14</f>
        <v>597.49</v>
      </c>
      <c r="J46" s="384">
        <f>'[60]Loan Portfolio'!$W$14</f>
        <v>553.31</v>
      </c>
      <c r="K46" s="384">
        <f>'[60]Loan Portfolio'!$AB$14</f>
        <v>480.91</v>
      </c>
      <c r="L46" s="384">
        <f>'[60]Loan Portfolio'!$AG$14</f>
        <v>408.51</v>
      </c>
    </row>
    <row r="47" spans="2:12">
      <c r="B47" s="296"/>
      <c r="C47" s="296" t="s">
        <v>700</v>
      </c>
      <c r="D47" s="296"/>
      <c r="E47" s="296"/>
      <c r="F47" s="296"/>
      <c r="G47" s="296">
        <v>0</v>
      </c>
      <c r="H47" s="296">
        <v>0</v>
      </c>
      <c r="I47" s="296">
        <v>0</v>
      </c>
      <c r="J47" s="296">
        <v>0</v>
      </c>
      <c r="K47" s="296">
        <v>0</v>
      </c>
      <c r="L47" s="296">
        <v>0</v>
      </c>
    </row>
    <row r="48" spans="2:12">
      <c r="B48" s="296"/>
      <c r="C48" s="296" t="s">
        <v>701</v>
      </c>
      <c r="D48" s="384">
        <f t="shared" ref="D48:F48" si="16">D152+D209</f>
        <v>0</v>
      </c>
      <c r="E48" s="384">
        <f t="shared" si="16"/>
        <v>0</v>
      </c>
      <c r="F48" s="384">
        <f t="shared" si="16"/>
        <v>0</v>
      </c>
      <c r="G48" s="384">
        <f>SUM(G46:G47)</f>
        <v>562.0004333</v>
      </c>
      <c r="H48" s="384">
        <f t="shared" ref="H48:L48" si="17">SUM(H46:H47)</f>
        <v>597.7</v>
      </c>
      <c r="I48" s="384">
        <f t="shared" si="17"/>
        <v>597.49</v>
      </c>
      <c r="J48" s="384">
        <f t="shared" si="17"/>
        <v>553.31</v>
      </c>
      <c r="K48" s="384">
        <f t="shared" si="17"/>
        <v>480.91</v>
      </c>
      <c r="L48" s="384">
        <f t="shared" si="17"/>
        <v>408.51</v>
      </c>
    </row>
    <row r="49" spans="2:12">
      <c r="B49" s="296"/>
      <c r="C49" s="296"/>
      <c r="D49" s="384"/>
      <c r="E49" s="384"/>
      <c r="F49" s="384"/>
      <c r="G49" s="384"/>
      <c r="H49" s="384"/>
      <c r="I49" s="384"/>
      <c r="J49" s="384"/>
      <c r="K49" s="384"/>
      <c r="L49" s="384"/>
    </row>
    <row r="50" ht="15" spans="2:12">
      <c r="B50" s="386">
        <v>3</v>
      </c>
      <c r="C50" s="390" t="s">
        <v>814</v>
      </c>
      <c r="D50" s="384"/>
      <c r="E50" s="384"/>
      <c r="F50" s="384"/>
      <c r="G50" s="384"/>
      <c r="H50" s="384"/>
      <c r="I50" s="384"/>
      <c r="J50" s="384"/>
      <c r="K50" s="384"/>
      <c r="L50" s="384"/>
    </row>
    <row r="51" spans="2:12">
      <c r="B51" s="296"/>
      <c r="C51" s="296" t="s">
        <v>704</v>
      </c>
      <c r="D51" s="384"/>
      <c r="E51" s="384"/>
      <c r="F51" s="384"/>
      <c r="G51" s="384">
        <f>'[60]Loan Portfolio'!$C$15</f>
        <v>1318.82</v>
      </c>
      <c r="H51" s="384">
        <f>G54</f>
        <v>871.5563477</v>
      </c>
      <c r="I51" s="384">
        <f t="shared" ref="I51:L51" si="18">H54</f>
        <v>457.9294445</v>
      </c>
      <c r="J51" s="384">
        <f t="shared" si="18"/>
        <v>138.3692061</v>
      </c>
      <c r="K51" s="384">
        <f t="shared" si="18"/>
        <v>14.4064920999999</v>
      </c>
      <c r="L51" s="384">
        <f t="shared" si="18"/>
        <v>-7.63833440942108e-14</v>
      </c>
    </row>
    <row r="52" spans="2:12">
      <c r="B52" s="296"/>
      <c r="C52" s="296" t="s">
        <v>705</v>
      </c>
      <c r="D52" s="384"/>
      <c r="E52" s="384"/>
      <c r="F52" s="384"/>
      <c r="G52" s="384">
        <f>'[60]Loan Portfolio'!$D$15</f>
        <v>0</v>
      </c>
      <c r="H52" s="384">
        <v>0</v>
      </c>
      <c r="I52" s="384">
        <v>0</v>
      </c>
      <c r="J52" s="384">
        <v>0</v>
      </c>
      <c r="K52" s="384">
        <v>0</v>
      </c>
      <c r="L52" s="384">
        <v>0</v>
      </c>
    </row>
    <row r="53" spans="2:12">
      <c r="B53" s="296"/>
      <c r="C53" s="296" t="s">
        <v>706</v>
      </c>
      <c r="D53" s="384"/>
      <c r="E53" s="384"/>
      <c r="F53" s="384"/>
      <c r="G53" s="384">
        <f>'[60]Loan Portfolio'!$E$15</f>
        <v>447.26</v>
      </c>
      <c r="H53" s="384">
        <f>'[60]Loan Portfolio'!$J$15</f>
        <v>413.6269032</v>
      </c>
      <c r="I53" s="384">
        <f>'[60]Loan Portfolio'!$P$15</f>
        <v>319.5602384</v>
      </c>
      <c r="J53" s="384">
        <f>'[60]Loan Portfolio'!$V$15</f>
        <v>123.962714</v>
      </c>
      <c r="K53" s="384">
        <f>'[60]Loan Portfolio'!$AA$15</f>
        <v>14.4064921</v>
      </c>
      <c r="L53" s="384">
        <f>'[60]Loan Portfolio'!$AF$15</f>
        <v>0</v>
      </c>
    </row>
    <row r="54" spans="2:12">
      <c r="B54" s="296"/>
      <c r="C54" s="296" t="s">
        <v>707</v>
      </c>
      <c r="D54" s="384"/>
      <c r="E54" s="384"/>
      <c r="F54" s="384"/>
      <c r="G54" s="384">
        <f>'[60]Loan Portfolio'!$G$15</f>
        <v>871.5563477</v>
      </c>
      <c r="H54" s="384">
        <f>'[60]Loan Portfolio'!$M$15</f>
        <v>457.9294445</v>
      </c>
      <c r="I54" s="384">
        <f>'[60]Loan Portfolio'!$S$15</f>
        <v>138.3692061</v>
      </c>
      <c r="J54" s="384">
        <f>'[60]Loan Portfolio'!$X$15</f>
        <v>14.4064920999999</v>
      </c>
      <c r="K54" s="384">
        <f>'[60]Loan Portfolio'!$AC$15</f>
        <v>-7.63833440942108e-14</v>
      </c>
      <c r="L54" s="384">
        <f>'[60]Loan Portfolio'!$AH$15</f>
        <v>-7.63833440942108e-14</v>
      </c>
    </row>
    <row r="55" spans="2:12">
      <c r="B55" s="296"/>
      <c r="C55" s="296" t="s">
        <v>708</v>
      </c>
      <c r="D55" s="384"/>
      <c r="E55" s="384"/>
      <c r="F55" s="384"/>
      <c r="G55" s="384">
        <f>'[60]Loan Portfolio'!$H$15</f>
        <v>1095.18817385</v>
      </c>
      <c r="H55" s="384">
        <f>'[60]Loan Portfolio'!$N$15</f>
        <v>776.558809175</v>
      </c>
      <c r="I55" s="384">
        <f>'[60]Loan Portfolio'!$T$15</f>
        <v>298.1493253</v>
      </c>
      <c r="J55" s="384">
        <f>'[60]Loan Portfolio'!$Y$15</f>
        <v>76.3878490999999</v>
      </c>
      <c r="K55" s="384">
        <f>'[60]Loan Portfolio'!$AD$15</f>
        <v>7.20324604999992</v>
      </c>
      <c r="L55" s="384">
        <f>'[60]Loan Portfolio'!$AI$15</f>
        <v>-7.63833440942108e-14</v>
      </c>
    </row>
    <row r="56" spans="2:12">
      <c r="B56" s="296"/>
      <c r="C56" s="296" t="s">
        <v>709</v>
      </c>
      <c r="D56" s="296"/>
      <c r="E56" s="296"/>
      <c r="F56" s="296"/>
      <c r="G56" s="392">
        <f>'[60]Loan Portfolio'!$I$15</f>
        <v>0.106883431902391</v>
      </c>
      <c r="H56" s="392">
        <f>'[60]Loan Portfolio'!$O$15</f>
        <v>0.100356980140493</v>
      </c>
      <c r="I56" s="392">
        <f>'[60]Loan Portfolio'!$U$15</f>
        <v>0.107132359552808</v>
      </c>
      <c r="J56" s="392">
        <f>'[60]Loan Portfolio'!$Z$15</f>
        <v>0.117012983506038</v>
      </c>
      <c r="K56" s="392">
        <f>'[60]Loan Portfolio'!$AE$15</f>
        <v>0.0491761000236836</v>
      </c>
      <c r="L56" s="392">
        <f>'[60]Loan Portfolio'!$AJ$15</f>
        <v>0</v>
      </c>
    </row>
    <row r="57" spans="2:12">
      <c r="B57" s="296"/>
      <c r="C57" s="296" t="s">
        <v>699</v>
      </c>
      <c r="D57" s="384"/>
      <c r="E57" s="384"/>
      <c r="F57" s="384"/>
      <c r="G57" s="384">
        <f>'[60]Loan Portfolio'!$F$15</f>
        <v>117.0574706</v>
      </c>
      <c r="H57" s="384">
        <f>'[60]Loan Portfolio'!$L$15</f>
        <v>77.9330969903</v>
      </c>
      <c r="I57" s="384">
        <f>'[60]Loan Portfolio'!$R$15</f>
        <v>31.9414407184667</v>
      </c>
      <c r="J57" s="384">
        <f>'[60]Loan Portfolio'!$W$15</f>
        <v>8.9383701268</v>
      </c>
      <c r="K57" s="384">
        <f>'[60]Loan Portfolio'!$AB$15</f>
        <v>0.35422754825</v>
      </c>
      <c r="L57" s="384">
        <f>'[60]Loan Portfolio'!$AG$15</f>
        <v>0</v>
      </c>
    </row>
    <row r="58" spans="2:12">
      <c r="B58" s="296"/>
      <c r="C58" s="296" t="s">
        <v>700</v>
      </c>
      <c r="D58" s="296"/>
      <c r="E58" s="296"/>
      <c r="F58" s="296"/>
      <c r="G58" s="296">
        <v>0</v>
      </c>
      <c r="H58" s="296">
        <v>0</v>
      </c>
      <c r="I58" s="296">
        <v>0</v>
      </c>
      <c r="J58" s="296">
        <v>0</v>
      </c>
      <c r="K58" s="296">
        <v>0</v>
      </c>
      <c r="L58" s="296">
        <v>0</v>
      </c>
    </row>
    <row r="59" spans="2:12">
      <c r="B59" s="296"/>
      <c r="C59" s="296" t="s">
        <v>701</v>
      </c>
      <c r="D59" s="384"/>
      <c r="E59" s="384"/>
      <c r="F59" s="384"/>
      <c r="G59" s="384">
        <f>G58+G57</f>
        <v>117.0574706</v>
      </c>
      <c r="H59" s="384">
        <f t="shared" ref="H59:L59" si="19">H58+H57</f>
        <v>77.9330969903</v>
      </c>
      <c r="I59" s="384">
        <f t="shared" si="19"/>
        <v>31.9414407184667</v>
      </c>
      <c r="J59" s="384">
        <f t="shared" si="19"/>
        <v>8.9383701268</v>
      </c>
      <c r="K59" s="384">
        <f t="shared" si="19"/>
        <v>0.35422754825</v>
      </c>
      <c r="L59" s="384">
        <f t="shared" si="19"/>
        <v>0</v>
      </c>
    </row>
    <row r="60" spans="2:12">
      <c r="B60" s="296"/>
      <c r="C60" s="296"/>
      <c r="D60" s="384"/>
      <c r="E60" s="384"/>
      <c r="F60" s="384"/>
      <c r="G60" s="384"/>
      <c r="H60" s="384"/>
      <c r="I60" s="384"/>
      <c r="J60" s="384"/>
      <c r="K60" s="384"/>
      <c r="L60" s="384"/>
    </row>
    <row r="61" ht="15" spans="2:12">
      <c r="B61" s="386">
        <v>4</v>
      </c>
      <c r="C61" s="390" t="s">
        <v>815</v>
      </c>
      <c r="D61" s="384"/>
      <c r="E61" s="384"/>
      <c r="F61" s="384"/>
      <c r="G61" s="384"/>
      <c r="H61" s="384"/>
      <c r="I61" s="384"/>
      <c r="J61" s="384"/>
      <c r="K61" s="384"/>
      <c r="L61" s="384"/>
    </row>
    <row r="62" spans="2:12">
      <c r="B62" s="296"/>
      <c r="C62" s="296" t="s">
        <v>704</v>
      </c>
      <c r="D62" s="384"/>
      <c r="E62" s="384"/>
      <c r="F62" s="384"/>
      <c r="G62" s="384">
        <f>'[60]Loan Portfolio'!$C$16</f>
        <v>425.34</v>
      </c>
      <c r="H62" s="384">
        <f>G65</f>
        <v>360.4716994</v>
      </c>
      <c r="I62" s="384">
        <f t="shared" ref="I62:L62" si="20">H65</f>
        <v>279.977701</v>
      </c>
      <c r="J62" s="384">
        <f t="shared" si="20"/>
        <v>199.4837026</v>
      </c>
      <c r="K62" s="384">
        <f t="shared" si="20"/>
        <v>118.9897042</v>
      </c>
      <c r="L62" s="384">
        <f t="shared" si="20"/>
        <v>60.3432058</v>
      </c>
    </row>
    <row r="63" spans="2:12">
      <c r="B63" s="296"/>
      <c r="C63" s="296" t="s">
        <v>705</v>
      </c>
      <c r="D63" s="384"/>
      <c r="E63" s="384"/>
      <c r="F63" s="384"/>
      <c r="G63" s="384">
        <f>'[60]Loan Portfolio'!$D$16</f>
        <v>0.00319780000000947</v>
      </c>
      <c r="H63" s="384">
        <v>0</v>
      </c>
      <c r="I63" s="384">
        <v>0</v>
      </c>
      <c r="J63" s="384">
        <v>0</v>
      </c>
      <c r="K63" s="384">
        <v>0</v>
      </c>
      <c r="L63" s="384">
        <v>0</v>
      </c>
    </row>
    <row r="64" spans="2:12">
      <c r="B64" s="296"/>
      <c r="C64" s="296" t="s">
        <v>706</v>
      </c>
      <c r="D64" s="384"/>
      <c r="E64" s="384"/>
      <c r="F64" s="384"/>
      <c r="G64" s="384">
        <f>'[60]Loan Portfolio'!$E$16</f>
        <v>64.8714984</v>
      </c>
      <c r="H64" s="384">
        <f>'[60]Loan Portfolio'!$J$16</f>
        <v>80.4939984</v>
      </c>
      <c r="I64" s="384">
        <f>'[60]Loan Portfolio'!$P$16</f>
        <v>80.4939984</v>
      </c>
      <c r="J64" s="384">
        <f>'[60]Loan Portfolio'!$V$16</f>
        <v>80.4939984</v>
      </c>
      <c r="K64" s="384">
        <f>'[60]Loan Portfolio'!$AA$16</f>
        <v>58.6464984</v>
      </c>
      <c r="L64" s="384">
        <f>'[60]Loan Portfolio'!$AF$16</f>
        <v>42.9999984</v>
      </c>
    </row>
    <row r="65" spans="2:12">
      <c r="B65" s="296"/>
      <c r="C65" s="296" t="s">
        <v>707</v>
      </c>
      <c r="D65" s="384"/>
      <c r="E65" s="384"/>
      <c r="F65" s="384"/>
      <c r="G65" s="384">
        <f>'[60]Loan Portfolio'!$G$16</f>
        <v>360.4716994</v>
      </c>
      <c r="H65" s="384">
        <f>'[60]Loan Portfolio'!$M$16</f>
        <v>279.977701</v>
      </c>
      <c r="I65" s="384">
        <f>'[60]Loan Portfolio'!$S$16</f>
        <v>199.4837026</v>
      </c>
      <c r="J65" s="384">
        <f>'[60]Loan Portfolio'!$X$16</f>
        <v>118.9897042</v>
      </c>
      <c r="K65" s="384">
        <f>'[60]Loan Portfolio'!$AC$16</f>
        <v>60.3432058</v>
      </c>
      <c r="L65" s="384">
        <f>'[60]Loan Portfolio'!$AH$16</f>
        <v>17.3432074</v>
      </c>
    </row>
    <row r="66" spans="2:12">
      <c r="B66" s="296"/>
      <c r="C66" s="296" t="s">
        <v>708</v>
      </c>
      <c r="D66" s="384"/>
      <c r="E66" s="384"/>
      <c r="F66" s="384"/>
      <c r="G66" s="384">
        <f>'[60]Loan Portfolio'!$H$16</f>
        <v>392.9058497</v>
      </c>
      <c r="H66" s="384">
        <f>'[60]Loan Portfolio'!$N$16</f>
        <v>336.44177535</v>
      </c>
      <c r="I66" s="384">
        <f>'[60]Loan Portfolio'!$T$16</f>
        <v>239.7307018</v>
      </c>
      <c r="J66" s="384">
        <f>'[60]Loan Portfolio'!$Y$16</f>
        <v>159.2367034</v>
      </c>
      <c r="K66" s="384">
        <f>'[60]Loan Portfolio'!$AD$16</f>
        <v>89.666455</v>
      </c>
      <c r="L66" s="384">
        <f>'[60]Loan Portfolio'!$AI$16</f>
        <v>38.8432066</v>
      </c>
    </row>
    <row r="67" spans="2:12">
      <c r="B67" s="296"/>
      <c r="C67" s="296" t="s">
        <v>709</v>
      </c>
      <c r="D67" s="296"/>
      <c r="E67" s="296"/>
      <c r="F67" s="296"/>
      <c r="G67" s="392">
        <f>'[60]Loan Portfolio'!$I$16</f>
        <v>0.120037412871331</v>
      </c>
      <c r="H67" s="392">
        <f>'[60]Loan Portfolio'!$O$16</f>
        <v>0.114189415091315</v>
      </c>
      <c r="I67" s="392">
        <f>'[60]Loan Portfolio'!$U$16</f>
        <v>0.120288346517909</v>
      </c>
      <c r="J67" s="392">
        <f>'[60]Loan Portfolio'!$Z$16</f>
        <v>0.120923942204018</v>
      </c>
      <c r="K67" s="392">
        <f>'[60]Loan Portfolio'!$AE$16</f>
        <v>0.115193079823441</v>
      </c>
      <c r="L67" s="392">
        <f>'[60]Loan Portfolio'!$AJ$16</f>
        <v>0.122977496350675</v>
      </c>
    </row>
    <row r="68" spans="2:12">
      <c r="B68" s="296"/>
      <c r="C68" s="296" t="s">
        <v>699</v>
      </c>
      <c r="D68" s="384"/>
      <c r="E68" s="384"/>
      <c r="F68" s="384"/>
      <c r="G68" s="384">
        <f>'[60]Loan Portfolio'!$F$16</f>
        <v>47.1634017</v>
      </c>
      <c r="H68" s="384">
        <f>'[60]Loan Portfolio'!$L$16</f>
        <v>38.4180895395</v>
      </c>
      <c r="I68" s="384">
        <f>'[60]Loan Portfolio'!$R$16</f>
        <v>28.8368097291</v>
      </c>
      <c r="J68" s="384">
        <f>'[60]Loan Portfolio'!$W$16</f>
        <v>19.2555299187</v>
      </c>
      <c r="K68" s="384">
        <f>'[60]Loan Portfolio'!$AB$16</f>
        <v>10.3289551083</v>
      </c>
      <c r="L68" s="384">
        <f>'[60]Loan Portfolio'!$AG$16</f>
        <v>4.7768402979</v>
      </c>
    </row>
    <row r="69" spans="2:12">
      <c r="B69" s="296"/>
      <c r="C69" s="296" t="s">
        <v>700</v>
      </c>
      <c r="D69" s="296"/>
      <c r="E69" s="296"/>
      <c r="F69" s="296"/>
      <c r="G69" s="296">
        <v>0</v>
      </c>
      <c r="H69" s="296">
        <v>0</v>
      </c>
      <c r="I69" s="296">
        <v>0</v>
      </c>
      <c r="J69" s="296">
        <v>0</v>
      </c>
      <c r="K69" s="296">
        <v>0</v>
      </c>
      <c r="L69" s="296">
        <v>0</v>
      </c>
    </row>
    <row r="70" spans="2:12">
      <c r="B70" s="296"/>
      <c r="C70" s="296" t="s">
        <v>701</v>
      </c>
      <c r="D70" s="384"/>
      <c r="E70" s="384"/>
      <c r="F70" s="384"/>
      <c r="G70" s="384">
        <f>G69+G68</f>
        <v>47.1634017</v>
      </c>
      <c r="H70" s="384">
        <f t="shared" ref="H70:L70" si="21">H69+H68</f>
        <v>38.4180895395</v>
      </c>
      <c r="I70" s="384">
        <f t="shared" si="21"/>
        <v>28.8368097291</v>
      </c>
      <c r="J70" s="384">
        <f t="shared" si="21"/>
        <v>19.2555299187</v>
      </c>
      <c r="K70" s="384">
        <f t="shared" si="21"/>
        <v>10.3289551083</v>
      </c>
      <c r="L70" s="384">
        <f t="shared" si="21"/>
        <v>4.7768402979</v>
      </c>
    </row>
    <row r="71" spans="2:12">
      <c r="B71" s="296"/>
      <c r="C71" s="296"/>
      <c r="D71" s="384"/>
      <c r="E71" s="384"/>
      <c r="F71" s="384"/>
      <c r="G71" s="384"/>
      <c r="H71" s="384"/>
      <c r="I71" s="384"/>
      <c r="J71" s="384"/>
      <c r="K71" s="384"/>
      <c r="L71" s="384"/>
    </row>
    <row r="72" ht="15" spans="2:12">
      <c r="B72" s="386">
        <v>5</v>
      </c>
      <c r="C72" s="390" t="s">
        <v>816</v>
      </c>
      <c r="D72" s="384"/>
      <c r="E72" s="384"/>
      <c r="F72" s="384"/>
      <c r="G72" s="384"/>
      <c r="H72" s="384"/>
      <c r="I72" s="384"/>
      <c r="J72" s="384"/>
      <c r="K72" s="384"/>
      <c r="L72" s="384"/>
    </row>
    <row r="73" spans="2:12">
      <c r="B73" s="296"/>
      <c r="C73" s="296" t="s">
        <v>704</v>
      </c>
      <c r="D73" s="384"/>
      <c r="E73" s="384"/>
      <c r="F73" s="384"/>
      <c r="G73" s="384">
        <f>'[60]Loan Portfolio'!$C$17</f>
        <v>698.67</v>
      </c>
      <c r="H73" s="384">
        <f>G76</f>
        <v>264.0000001</v>
      </c>
      <c r="I73" s="384">
        <f t="shared" ref="I73:L73" si="22">H76</f>
        <v>0</v>
      </c>
      <c r="J73" s="384">
        <f t="shared" si="22"/>
        <v>0</v>
      </c>
      <c r="K73" s="384">
        <f t="shared" si="22"/>
        <v>0</v>
      </c>
      <c r="L73" s="384">
        <f t="shared" si="22"/>
        <v>0</v>
      </c>
    </row>
    <row r="74" spans="2:12">
      <c r="B74" s="296"/>
      <c r="C74" s="296" t="s">
        <v>705</v>
      </c>
      <c r="D74" s="384"/>
      <c r="E74" s="384"/>
      <c r="F74" s="384"/>
      <c r="G74" s="384">
        <v>0</v>
      </c>
      <c r="H74" s="384">
        <v>0</v>
      </c>
      <c r="I74" s="384">
        <v>0</v>
      </c>
      <c r="J74" s="384">
        <v>0</v>
      </c>
      <c r="K74" s="384">
        <v>0</v>
      </c>
      <c r="L74" s="384">
        <v>0</v>
      </c>
    </row>
    <row r="75" spans="2:12">
      <c r="B75" s="296"/>
      <c r="C75" s="296" t="s">
        <v>706</v>
      </c>
      <c r="D75" s="384"/>
      <c r="E75" s="384"/>
      <c r="F75" s="384"/>
      <c r="G75" s="384">
        <f>'[60]Loan Portfolio'!$E$17</f>
        <v>434.69</v>
      </c>
      <c r="H75" s="384">
        <f>'[60]Loan Portfolio'!$J$17</f>
        <v>264.0000001</v>
      </c>
      <c r="I75" s="384">
        <v>0</v>
      </c>
      <c r="J75" s="384">
        <v>0</v>
      </c>
      <c r="K75" s="384">
        <v>0</v>
      </c>
      <c r="L75" s="384">
        <v>0</v>
      </c>
    </row>
    <row r="76" spans="2:12">
      <c r="B76" s="296"/>
      <c r="C76" s="296" t="s">
        <v>707</v>
      </c>
      <c r="D76" s="384"/>
      <c r="E76" s="384"/>
      <c r="F76" s="384"/>
      <c r="G76" s="384">
        <f>'[60]Loan Portfolio'!$G$17</f>
        <v>264.0000001</v>
      </c>
      <c r="H76" s="384">
        <f>'[60]Loan Portfolio'!$M$17</f>
        <v>0</v>
      </c>
      <c r="I76" s="384">
        <v>0</v>
      </c>
      <c r="J76" s="384">
        <v>0</v>
      </c>
      <c r="K76" s="384">
        <v>0</v>
      </c>
      <c r="L76" s="384">
        <v>0</v>
      </c>
    </row>
    <row r="77" spans="2:12">
      <c r="B77" s="296"/>
      <c r="C77" s="296" t="s">
        <v>708</v>
      </c>
      <c r="D77" s="384"/>
      <c r="E77" s="384"/>
      <c r="F77" s="384"/>
      <c r="G77" s="384">
        <f>'[60]Loan Portfolio'!$H$17</f>
        <v>481.33500005</v>
      </c>
      <c r="H77" s="384">
        <f>'[60]Loan Portfolio'!$N$17</f>
        <v>240.667500025</v>
      </c>
      <c r="I77" s="384">
        <v>0</v>
      </c>
      <c r="J77" s="384">
        <v>0</v>
      </c>
      <c r="K77" s="384">
        <v>0</v>
      </c>
      <c r="L77" s="384">
        <v>0</v>
      </c>
    </row>
    <row r="78" spans="2:12">
      <c r="B78" s="296"/>
      <c r="C78" s="296" t="s">
        <v>709</v>
      </c>
      <c r="D78" s="296"/>
      <c r="E78" s="296"/>
      <c r="F78" s="296"/>
      <c r="G78" s="392">
        <f>'[60]Loan Portfolio'!$I$17</f>
        <v>0.103699394797418</v>
      </c>
      <c r="H78" s="392">
        <f>'[60]Loan Portfolio'!$O$17</f>
        <v>0.0653675022252346</v>
      </c>
      <c r="I78" s="392">
        <v>0</v>
      </c>
      <c r="J78" s="392">
        <v>0</v>
      </c>
      <c r="K78" s="392">
        <v>0</v>
      </c>
      <c r="L78" s="392">
        <v>0</v>
      </c>
    </row>
    <row r="79" spans="2:12">
      <c r="B79" s="296"/>
      <c r="C79" s="296" t="s">
        <v>699</v>
      </c>
      <c r="D79" s="384"/>
      <c r="E79" s="384"/>
      <c r="F79" s="384"/>
      <c r="G79" s="384">
        <f>'[60]Loan Portfolio'!$F$17</f>
        <v>49.9141482</v>
      </c>
      <c r="H79" s="384">
        <f>'[60]Loan Portfolio'!$L$17</f>
        <v>15.7318333434258</v>
      </c>
      <c r="I79" s="384">
        <v>0</v>
      </c>
      <c r="J79" s="384">
        <v>0</v>
      </c>
      <c r="K79" s="384">
        <v>0</v>
      </c>
      <c r="L79" s="384">
        <v>0</v>
      </c>
    </row>
    <row r="80" spans="2:12">
      <c r="B80" s="296"/>
      <c r="C80" s="296" t="s">
        <v>700</v>
      </c>
      <c r="D80" s="296"/>
      <c r="E80" s="296"/>
      <c r="F80" s="296"/>
      <c r="G80" s="296">
        <v>0</v>
      </c>
      <c r="H80" s="296">
        <v>0</v>
      </c>
      <c r="I80" s="296">
        <v>0</v>
      </c>
      <c r="J80" s="296">
        <v>0</v>
      </c>
      <c r="K80" s="296">
        <v>0</v>
      </c>
      <c r="L80" s="296">
        <v>0</v>
      </c>
    </row>
    <row r="81" spans="2:12">
      <c r="B81" s="296"/>
      <c r="C81" s="296" t="s">
        <v>701</v>
      </c>
      <c r="D81" s="384"/>
      <c r="E81" s="384"/>
      <c r="F81" s="384"/>
      <c r="G81" s="384">
        <f>G80+G79</f>
        <v>49.9141482</v>
      </c>
      <c r="H81" s="384">
        <f t="shared" ref="H81:L81" si="23">H80+H79</f>
        <v>15.7318333434258</v>
      </c>
      <c r="I81" s="384">
        <f t="shared" si="23"/>
        <v>0</v>
      </c>
      <c r="J81" s="384">
        <f t="shared" si="23"/>
        <v>0</v>
      </c>
      <c r="K81" s="384">
        <f t="shared" si="23"/>
        <v>0</v>
      </c>
      <c r="L81" s="384">
        <f t="shared" si="23"/>
        <v>0</v>
      </c>
    </row>
    <row r="82" spans="2:12">
      <c r="B82" s="296"/>
      <c r="C82" s="296"/>
      <c r="D82" s="384"/>
      <c r="E82" s="384"/>
      <c r="F82" s="384"/>
      <c r="G82" s="384"/>
      <c r="H82" s="384"/>
      <c r="I82" s="384"/>
      <c r="J82" s="384"/>
      <c r="K82" s="384"/>
      <c r="L82" s="384"/>
    </row>
    <row r="83" ht="15" spans="2:12">
      <c r="B83" s="386">
        <v>6</v>
      </c>
      <c r="C83" s="390" t="s">
        <v>817</v>
      </c>
      <c r="D83" s="384"/>
      <c r="E83" s="384"/>
      <c r="F83" s="384"/>
      <c r="G83" s="384"/>
      <c r="H83" s="384"/>
      <c r="I83" s="384"/>
      <c r="J83" s="384"/>
      <c r="K83" s="384"/>
      <c r="L83" s="384"/>
    </row>
    <row r="84" spans="2:12">
      <c r="B84" s="296"/>
      <c r="C84" s="296" t="s">
        <v>704</v>
      </c>
      <c r="D84" s="384"/>
      <c r="E84" s="384"/>
      <c r="F84" s="384"/>
      <c r="G84" s="384">
        <f>'[60]Loan Portfolio'!$C$18</f>
        <v>2024.65</v>
      </c>
      <c r="H84" s="384">
        <f>G87</f>
        <v>2024.65</v>
      </c>
      <c r="I84" s="384">
        <f t="shared" ref="I84:L84" si="24">H87</f>
        <v>2024.65</v>
      </c>
      <c r="J84" s="384">
        <f t="shared" si="24"/>
        <v>2024.65</v>
      </c>
      <c r="K84" s="384">
        <f t="shared" si="24"/>
        <v>2024.65</v>
      </c>
      <c r="L84" s="384">
        <f t="shared" si="24"/>
        <v>2024.65</v>
      </c>
    </row>
    <row r="85" spans="2:12">
      <c r="B85" s="296"/>
      <c r="C85" s="296" t="s">
        <v>705</v>
      </c>
      <c r="D85" s="384"/>
      <c r="E85" s="384"/>
      <c r="F85" s="384"/>
      <c r="G85" s="384">
        <v>0</v>
      </c>
      <c r="H85" s="384">
        <v>0</v>
      </c>
      <c r="I85" s="384">
        <v>0</v>
      </c>
      <c r="J85" s="384">
        <v>0</v>
      </c>
      <c r="K85" s="384">
        <v>0</v>
      </c>
      <c r="L85" s="384">
        <v>0</v>
      </c>
    </row>
    <row r="86" spans="2:12">
      <c r="B86" s="296"/>
      <c r="C86" s="296" t="s">
        <v>706</v>
      </c>
      <c r="D86" s="384"/>
      <c r="E86" s="384"/>
      <c r="F86" s="384"/>
      <c r="G86" s="384">
        <f>'[60]Loan Portfolio'!$E$18</f>
        <v>0</v>
      </c>
      <c r="H86" s="384">
        <f>'[60]Loan Portfolio'!$J$18</f>
        <v>0</v>
      </c>
      <c r="I86" s="384">
        <f>'[60]Loan Portfolio'!$P$18</f>
        <v>0</v>
      </c>
      <c r="J86" s="384">
        <f>'[60]Loan Portfolio'!$V$18</f>
        <v>0</v>
      </c>
      <c r="K86" s="384">
        <f>'[60]Loan Portfolio'!$AA$18</f>
        <v>0</v>
      </c>
      <c r="L86" s="384">
        <f>'[60]Loan Portfolio'!$AF$18</f>
        <v>2024.65</v>
      </c>
    </row>
    <row r="87" spans="2:12">
      <c r="B87" s="296"/>
      <c r="C87" s="296" t="s">
        <v>707</v>
      </c>
      <c r="D87" s="384"/>
      <c r="E87" s="384"/>
      <c r="F87" s="384"/>
      <c r="G87" s="384">
        <f>'[60]Loan Portfolio'!$G$18</f>
        <v>2024.65</v>
      </c>
      <c r="H87" s="384">
        <f>'[60]Loan Portfolio'!$M$18</f>
        <v>2024.65</v>
      </c>
      <c r="I87" s="384">
        <f>'[60]Loan Portfolio'!$S$18</f>
        <v>2024.65</v>
      </c>
      <c r="J87" s="384">
        <f>'[60]Loan Portfolio'!$X$18</f>
        <v>2024.65</v>
      </c>
      <c r="K87" s="384">
        <f>'[60]Loan Portfolio'!$AC$18</f>
        <v>2024.65</v>
      </c>
      <c r="L87" s="384">
        <f>'[60]Loan Portfolio'!$AH$18</f>
        <v>0</v>
      </c>
    </row>
    <row r="88" spans="2:12">
      <c r="B88" s="296"/>
      <c r="C88" s="296" t="s">
        <v>708</v>
      </c>
      <c r="D88" s="384"/>
      <c r="E88" s="384"/>
      <c r="F88" s="384"/>
      <c r="G88" s="384">
        <f>'[60]Loan Portfolio'!$H$18</f>
        <v>2024.65</v>
      </c>
      <c r="H88" s="384">
        <f>'[60]Loan Portfolio'!$N$18</f>
        <v>2024.65</v>
      </c>
      <c r="I88" s="384">
        <f>'[60]Loan Portfolio'!$T$18</f>
        <v>2024.65</v>
      </c>
      <c r="J88" s="384">
        <f>'[60]Loan Portfolio'!$Y$18</f>
        <v>2024.65</v>
      </c>
      <c r="K88" s="384">
        <f>'[60]Loan Portfolio'!$AD$18</f>
        <v>2024.65</v>
      </c>
      <c r="L88" s="384">
        <f>'[60]Loan Portfolio'!$AI$18</f>
        <v>0</v>
      </c>
    </row>
    <row r="89" spans="2:12">
      <c r="B89" s="296"/>
      <c r="C89" s="296" t="s">
        <v>709</v>
      </c>
      <c r="D89" s="296"/>
      <c r="E89" s="296"/>
      <c r="F89" s="296"/>
      <c r="G89" s="392">
        <f>'[60]Loan Portfolio'!$I$18</f>
        <v>0.0996394438544934</v>
      </c>
      <c r="H89" s="392">
        <f>'[60]Loan Portfolio'!$O$18</f>
        <v>0.0996394438544934</v>
      </c>
      <c r="I89" s="392">
        <f>'[60]Loan Portfolio'!$U$18</f>
        <v>0.0996394438544934</v>
      </c>
      <c r="J89" s="392">
        <f>'[60]Loan Portfolio'!$Z$18</f>
        <v>0.0996394438544934</v>
      </c>
      <c r="K89" s="392">
        <f>'[60]Loan Portfolio'!$AE$18</f>
        <v>0.0996394438544934</v>
      </c>
      <c r="L89" s="392">
        <f>'[60]Loan Portfolio'!$AJ$18</f>
        <v>0</v>
      </c>
    </row>
    <row r="90" spans="2:12">
      <c r="B90" s="296"/>
      <c r="C90" s="296" t="s">
        <v>699</v>
      </c>
      <c r="D90" s="384"/>
      <c r="E90" s="384"/>
      <c r="F90" s="384"/>
      <c r="G90" s="384">
        <f>'[60]Loan Portfolio'!$F$18</f>
        <v>201.735</v>
      </c>
      <c r="H90" s="384">
        <f>'[60]Loan Portfolio'!$L$18</f>
        <v>201.735</v>
      </c>
      <c r="I90" s="384">
        <f>'[60]Loan Portfolio'!$R$18</f>
        <v>201.735</v>
      </c>
      <c r="J90" s="384">
        <f>'[60]Loan Portfolio'!$W$18</f>
        <v>201.735</v>
      </c>
      <c r="K90" s="384">
        <f>'[60]Loan Portfolio'!$AB$18</f>
        <v>201.735</v>
      </c>
      <c r="L90" s="384">
        <f>'[60]Loan Portfolio'!$AG$18</f>
        <v>201.735</v>
      </c>
    </row>
    <row r="91" spans="2:12">
      <c r="B91" s="296"/>
      <c r="C91" s="296" t="s">
        <v>700</v>
      </c>
      <c r="D91" s="296"/>
      <c r="E91" s="296"/>
      <c r="F91" s="296"/>
      <c r="G91" s="296">
        <v>0</v>
      </c>
      <c r="H91" s="296">
        <v>0</v>
      </c>
      <c r="I91" s="296">
        <v>0</v>
      </c>
      <c r="J91" s="296">
        <v>0</v>
      </c>
      <c r="K91" s="296">
        <v>0</v>
      </c>
      <c r="L91" s="296">
        <v>0</v>
      </c>
    </row>
    <row r="92" spans="2:12">
      <c r="B92" s="296"/>
      <c r="C92" s="296" t="s">
        <v>701</v>
      </c>
      <c r="D92" s="384"/>
      <c r="E92" s="384"/>
      <c r="F92" s="384"/>
      <c r="G92" s="384">
        <f>G91+G90</f>
        <v>201.735</v>
      </c>
      <c r="H92" s="384">
        <f t="shared" ref="H92:L92" si="25">H91+H90</f>
        <v>201.735</v>
      </c>
      <c r="I92" s="384">
        <f t="shared" si="25"/>
        <v>201.735</v>
      </c>
      <c r="J92" s="384">
        <f t="shared" si="25"/>
        <v>201.735</v>
      </c>
      <c r="K92" s="384">
        <f t="shared" si="25"/>
        <v>201.735</v>
      </c>
      <c r="L92" s="384">
        <f t="shared" si="25"/>
        <v>201.735</v>
      </c>
    </row>
    <row r="93" spans="2:12">
      <c r="B93" s="296"/>
      <c r="C93" s="296"/>
      <c r="D93" s="384"/>
      <c r="E93" s="384"/>
      <c r="F93" s="384"/>
      <c r="G93" s="384"/>
      <c r="H93" s="384"/>
      <c r="I93" s="384"/>
      <c r="J93" s="384"/>
      <c r="K93" s="384"/>
      <c r="L93" s="384"/>
    </row>
    <row r="94" spans="2:12">
      <c r="B94" s="296"/>
      <c r="C94" s="296"/>
      <c r="D94" s="384"/>
      <c r="E94" s="384"/>
      <c r="F94" s="384"/>
      <c r="G94" s="384"/>
      <c r="H94" s="384"/>
      <c r="I94" s="384"/>
      <c r="J94" s="384"/>
      <c r="K94" s="384"/>
      <c r="L94" s="384"/>
    </row>
    <row r="95" spans="2:12">
      <c r="B95" s="296"/>
      <c r="C95" s="296"/>
      <c r="D95" s="384"/>
      <c r="E95" s="384"/>
      <c r="F95" s="384"/>
      <c r="G95" s="384"/>
      <c r="H95" s="384"/>
      <c r="I95" s="384"/>
      <c r="J95" s="384"/>
      <c r="K95" s="384"/>
      <c r="L95" s="384"/>
    </row>
    <row r="96" spans="2:12">
      <c r="B96" s="296"/>
      <c r="C96" s="296" t="s">
        <v>710</v>
      </c>
      <c r="D96" s="296"/>
      <c r="E96" s="296"/>
      <c r="F96" s="296"/>
      <c r="G96" s="296"/>
      <c r="H96" s="296"/>
      <c r="I96" s="296"/>
      <c r="J96" s="296"/>
      <c r="K96" s="296"/>
      <c r="L96" s="296"/>
    </row>
    <row r="97" ht="15" spans="2:12">
      <c r="B97" s="386"/>
      <c r="C97" s="390" t="s">
        <v>97</v>
      </c>
      <c r="D97" s="296"/>
      <c r="E97" s="296"/>
      <c r="F97" s="296"/>
      <c r="G97" s="296"/>
      <c r="H97" s="296"/>
      <c r="I97" s="296"/>
      <c r="J97" s="296"/>
      <c r="K97" s="296"/>
      <c r="L97" s="296"/>
    </row>
    <row r="98" spans="2:12">
      <c r="B98" s="296"/>
      <c r="C98" s="296" t="s">
        <v>704</v>
      </c>
      <c r="D98" s="296"/>
      <c r="E98" s="296"/>
      <c r="F98" s="296"/>
      <c r="G98" s="391">
        <f>G30+G40+G51+G62+G73+G84</f>
        <v>15016.41</v>
      </c>
      <c r="H98" s="391">
        <f t="shared" ref="H98:L101" si="26">H30+H40+H51+H62+H73+H84</f>
        <v>16374.2330828</v>
      </c>
      <c r="I98" s="391">
        <f t="shared" si="26"/>
        <v>15557.5797447</v>
      </c>
      <c r="J98" s="391">
        <f t="shared" si="26"/>
        <v>14590.9055079</v>
      </c>
      <c r="K98" s="391">
        <f t="shared" si="26"/>
        <v>12695.7387955</v>
      </c>
      <c r="L98" s="391">
        <f t="shared" si="26"/>
        <v>10931.975805</v>
      </c>
    </row>
    <row r="99" spans="2:12">
      <c r="B99" s="296"/>
      <c r="C99" s="296" t="s">
        <v>705</v>
      </c>
      <c r="D99" s="296"/>
      <c r="E99" s="296"/>
      <c r="F99" s="296"/>
      <c r="G99" s="391">
        <f>G31+G41+G52+G63+G74+G85</f>
        <v>3004.2731978</v>
      </c>
      <c r="H99" s="391">
        <f t="shared" si="26"/>
        <v>931.2428228</v>
      </c>
      <c r="I99" s="391">
        <f t="shared" si="26"/>
        <v>328.4</v>
      </c>
      <c r="J99" s="391">
        <f t="shared" si="26"/>
        <v>0</v>
      </c>
      <c r="K99" s="391">
        <f t="shared" si="26"/>
        <v>0</v>
      </c>
      <c r="L99" s="391">
        <f t="shared" si="26"/>
        <v>0</v>
      </c>
    </row>
    <row r="100" spans="2:12">
      <c r="B100" s="296"/>
      <c r="C100" s="296" t="s">
        <v>706</v>
      </c>
      <c r="D100" s="296"/>
      <c r="E100" s="296"/>
      <c r="F100" s="296"/>
      <c r="G100" s="391">
        <f>G32+G42+G53+G64+G75+G86</f>
        <v>1646.4638878</v>
      </c>
      <c r="H100" s="391">
        <f t="shared" si="26"/>
        <v>1747.8961609</v>
      </c>
      <c r="I100" s="391">
        <f t="shared" si="26"/>
        <v>1623.4642368</v>
      </c>
      <c r="J100" s="391">
        <f t="shared" si="26"/>
        <v>1895.1667124</v>
      </c>
      <c r="K100" s="391">
        <f t="shared" si="26"/>
        <v>1763.7629905</v>
      </c>
      <c r="L100" s="391">
        <f t="shared" si="26"/>
        <v>3758.3599984</v>
      </c>
    </row>
    <row r="101" spans="2:12">
      <c r="B101" s="296"/>
      <c r="C101" s="296" t="s">
        <v>707</v>
      </c>
      <c r="D101" s="384">
        <f t="shared" ref="D101:F102" si="27">D158+D215</f>
        <v>0</v>
      </c>
      <c r="E101" s="384">
        <f t="shared" si="27"/>
        <v>0</v>
      </c>
      <c r="F101" s="384">
        <f t="shared" si="27"/>
        <v>0</v>
      </c>
      <c r="G101" s="384">
        <f>G33+G43+G54+G65+G76+G87</f>
        <v>16374.2330828</v>
      </c>
      <c r="H101" s="384">
        <f t="shared" si="26"/>
        <v>15557.5797447</v>
      </c>
      <c r="I101" s="384">
        <f t="shared" si="26"/>
        <v>14590.9055079</v>
      </c>
      <c r="J101" s="384">
        <f t="shared" si="26"/>
        <v>12695.7387955</v>
      </c>
      <c r="K101" s="384">
        <f t="shared" si="26"/>
        <v>10931.975805</v>
      </c>
      <c r="L101" s="384">
        <f t="shared" si="26"/>
        <v>7173.6158066</v>
      </c>
    </row>
    <row r="102" spans="2:12">
      <c r="B102" s="296"/>
      <c r="C102" s="296" t="s">
        <v>708</v>
      </c>
      <c r="D102" s="384">
        <f t="shared" si="27"/>
        <v>0</v>
      </c>
      <c r="E102" s="384">
        <f t="shared" si="27"/>
        <v>0</v>
      </c>
      <c r="F102" s="384">
        <f t="shared" si="27"/>
        <v>0</v>
      </c>
      <c r="G102" s="384">
        <f>AVERAGE(G98,G101)</f>
        <v>15695.3215414</v>
      </c>
      <c r="H102" s="384">
        <f t="shared" ref="H102:L102" si="28">AVERAGE(H98,H101)</f>
        <v>15965.90641375</v>
      </c>
      <c r="I102" s="384">
        <f t="shared" si="28"/>
        <v>15074.2426263</v>
      </c>
      <c r="J102" s="384">
        <f t="shared" si="28"/>
        <v>13643.3221517</v>
      </c>
      <c r="K102" s="384">
        <f t="shared" si="28"/>
        <v>11813.85730025</v>
      </c>
      <c r="L102" s="384">
        <f t="shared" si="28"/>
        <v>9052.7958058</v>
      </c>
    </row>
    <row r="103" spans="2:12">
      <c r="B103" s="296"/>
      <c r="C103" s="296" t="s">
        <v>709</v>
      </c>
      <c r="D103" s="296"/>
      <c r="E103" s="296"/>
      <c r="F103" s="296"/>
      <c r="G103" s="392">
        <f>AVERAGE(G35,G45,G56,G67,G78,G89)</f>
        <v>0.105789420447371</v>
      </c>
      <c r="H103" s="392">
        <f t="shared" ref="H103:L103" si="29">AVERAGE(H35,H45,H56,H67,H78,H89)</f>
        <v>0.097611809655434</v>
      </c>
      <c r="I103" s="392">
        <f t="shared" si="29"/>
        <v>0.0875764020338166</v>
      </c>
      <c r="J103" s="392">
        <f t="shared" si="29"/>
        <v>0.0893882625121005</v>
      </c>
      <c r="K103" s="392">
        <f t="shared" si="29"/>
        <v>0.0771833958965463</v>
      </c>
      <c r="L103" s="392">
        <f t="shared" si="29"/>
        <v>0.0537600523287321</v>
      </c>
    </row>
    <row r="104" spans="2:12">
      <c r="B104" s="296"/>
      <c r="C104" s="296" t="s">
        <v>699</v>
      </c>
      <c r="D104" s="384">
        <f t="shared" ref="D104:F104" si="30">D161+D218</f>
        <v>0</v>
      </c>
      <c r="E104" s="384">
        <f t="shared" si="30"/>
        <v>0</v>
      </c>
      <c r="F104" s="384">
        <f t="shared" si="30"/>
        <v>0</v>
      </c>
      <c r="G104" s="384">
        <f>G103*G102</f>
        <v>1660.39896959984</v>
      </c>
      <c r="H104" s="384">
        <f t="shared" ref="H104:L104" si="31">H103*H102</f>
        <v>1558.46101783544</v>
      </c>
      <c r="I104" s="384">
        <f t="shared" si="31"/>
        <v>1320.14793259614</v>
      </c>
      <c r="J104" s="384">
        <f t="shared" si="31"/>
        <v>1219.55286203332</v>
      </c>
      <c r="K104" s="384">
        <f t="shared" si="31"/>
        <v>911.833625070499</v>
      </c>
      <c r="L104" s="384">
        <f t="shared" si="31"/>
        <v>486.678776241134</v>
      </c>
    </row>
    <row r="105" spans="2:12">
      <c r="B105" s="296"/>
      <c r="C105" s="296" t="s">
        <v>700</v>
      </c>
      <c r="D105" s="296"/>
      <c r="E105" s="296"/>
      <c r="F105" s="296"/>
      <c r="G105" s="296">
        <v>0</v>
      </c>
      <c r="H105" s="296">
        <v>0</v>
      </c>
      <c r="I105" s="296">
        <v>0</v>
      </c>
      <c r="J105" s="296">
        <v>0</v>
      </c>
      <c r="K105" s="296">
        <v>0</v>
      </c>
      <c r="L105" s="296">
        <v>0</v>
      </c>
    </row>
    <row r="106" spans="2:12">
      <c r="B106" s="296"/>
      <c r="C106" s="296" t="s">
        <v>701</v>
      </c>
      <c r="D106" s="384">
        <f t="shared" ref="D106:F106" si="32">D163+D220</f>
        <v>0</v>
      </c>
      <c r="E106" s="384">
        <f t="shared" si="32"/>
        <v>0</v>
      </c>
      <c r="F106" s="384">
        <f t="shared" si="32"/>
        <v>0</v>
      </c>
      <c r="G106" s="384">
        <f>G104+G105</f>
        <v>1660.39896959984</v>
      </c>
      <c r="H106" s="384">
        <f t="shared" ref="H106:L106" si="33">H104+H105</f>
        <v>1558.46101783544</v>
      </c>
      <c r="I106" s="384">
        <f t="shared" si="33"/>
        <v>1320.14793259614</v>
      </c>
      <c r="J106" s="384">
        <f t="shared" si="33"/>
        <v>1219.55286203332</v>
      </c>
      <c r="K106" s="384">
        <f t="shared" si="33"/>
        <v>911.833625070499</v>
      </c>
      <c r="L106" s="384">
        <f t="shared" si="33"/>
        <v>486.678776241134</v>
      </c>
    </row>
    <row r="108" ht="15" hidden="1" spans="2:8">
      <c r="B108" s="367" t="s">
        <v>764</v>
      </c>
      <c r="H108" s="370"/>
    </row>
    <row r="109" ht="15" hidden="1" spans="2:12">
      <c r="B109" s="276" t="s">
        <v>687</v>
      </c>
      <c r="C109" s="369" t="s">
        <v>688</v>
      </c>
      <c r="D109" s="371"/>
      <c r="E109" s="371"/>
      <c r="F109" s="371"/>
      <c r="G109" s="371"/>
      <c r="H109" s="371"/>
      <c r="I109" s="371"/>
      <c r="J109" s="371"/>
      <c r="K109" s="371"/>
      <c r="L109" s="371"/>
    </row>
    <row r="110" ht="15" hidden="1" spans="15:15">
      <c r="O110" s="393" t="s">
        <v>109</v>
      </c>
    </row>
    <row r="111" s="366" customFormat="1" ht="15" hidden="1" customHeight="1" spans="2:15">
      <c r="B111" s="372" t="s">
        <v>3</v>
      </c>
      <c r="C111" s="373" t="s">
        <v>110</v>
      </c>
      <c r="D111" s="374" t="s">
        <v>112</v>
      </c>
      <c r="E111" s="375"/>
      <c r="F111" s="376"/>
      <c r="G111" s="374" t="s">
        <v>760</v>
      </c>
      <c r="H111" s="375"/>
      <c r="I111" s="375"/>
      <c r="J111" s="376"/>
      <c r="K111" s="285" t="s">
        <v>114</v>
      </c>
      <c r="L111" s="394"/>
      <c r="M111" s="394"/>
      <c r="N111" s="394"/>
      <c r="O111" s="286"/>
    </row>
    <row r="112" s="366" customFormat="1" ht="30" hidden="1" spans="2:15">
      <c r="B112" s="377"/>
      <c r="C112" s="378"/>
      <c r="D112" s="379" t="s">
        <v>116</v>
      </c>
      <c r="E112" s="379" t="s">
        <v>237</v>
      </c>
      <c r="F112" s="379" t="s">
        <v>118</v>
      </c>
      <c r="G112" s="379" t="s">
        <v>116</v>
      </c>
      <c r="H112" s="379" t="s">
        <v>119</v>
      </c>
      <c r="I112" s="379" t="s">
        <v>120</v>
      </c>
      <c r="J112" s="379" t="s">
        <v>238</v>
      </c>
      <c r="K112" s="379" t="s">
        <v>514</v>
      </c>
      <c r="L112" s="379" t="s">
        <v>515</v>
      </c>
      <c r="M112" s="379" t="s">
        <v>516</v>
      </c>
      <c r="N112" s="379" t="s">
        <v>517</v>
      </c>
      <c r="O112" s="379" t="s">
        <v>518</v>
      </c>
    </row>
    <row r="113" s="366" customFormat="1" ht="15" hidden="1" spans="2:15">
      <c r="B113" s="380"/>
      <c r="C113" s="381"/>
      <c r="D113" s="379" t="s">
        <v>127</v>
      </c>
      <c r="E113" s="379" t="s">
        <v>128</v>
      </c>
      <c r="F113" s="379" t="s">
        <v>129</v>
      </c>
      <c r="G113" s="379" t="s">
        <v>127</v>
      </c>
      <c r="H113" s="379" t="s">
        <v>130</v>
      </c>
      <c r="I113" s="379" t="s">
        <v>131</v>
      </c>
      <c r="J113" s="379" t="s">
        <v>131</v>
      </c>
      <c r="K113" s="379" t="s">
        <v>132</v>
      </c>
      <c r="L113" s="379" t="s">
        <v>132</v>
      </c>
      <c r="M113" s="379" t="s">
        <v>132</v>
      </c>
      <c r="N113" s="379" t="s">
        <v>132</v>
      </c>
      <c r="O113" s="379" t="s">
        <v>132</v>
      </c>
    </row>
    <row r="114" hidden="1" spans="2:15">
      <c r="B114" s="382">
        <v>1</v>
      </c>
      <c r="C114" s="296" t="s">
        <v>689</v>
      </c>
      <c r="D114" s="383"/>
      <c r="E114" s="384"/>
      <c r="F114" s="384">
        <f>E114</f>
        <v>0</v>
      </c>
      <c r="G114" s="385"/>
      <c r="H114" s="384"/>
      <c r="I114" s="384"/>
      <c r="J114" s="400">
        <f>F121</f>
        <v>0</v>
      </c>
      <c r="K114" s="384">
        <f>J121</f>
        <v>0</v>
      </c>
      <c r="L114" s="384">
        <f>K121</f>
        <v>0</v>
      </c>
      <c r="M114" s="384">
        <f>L121</f>
        <v>0</v>
      </c>
      <c r="N114" s="384">
        <f>M121</f>
        <v>0</v>
      </c>
      <c r="O114" s="384">
        <f>N121</f>
        <v>0</v>
      </c>
    </row>
    <row r="115" hidden="1" spans="2:15">
      <c r="B115" s="386">
        <f>B114+1</f>
        <v>2</v>
      </c>
      <c r="C115" s="296" t="s">
        <v>690</v>
      </c>
      <c r="D115" s="383"/>
      <c r="E115" s="384"/>
      <c r="F115" s="384">
        <f t="shared" ref="F115:F120" si="34">E115</f>
        <v>0</v>
      </c>
      <c r="G115" s="385"/>
      <c r="H115" s="384"/>
      <c r="I115" s="384"/>
      <c r="J115" s="400">
        <f t="shared" ref="J115:J126" si="35">H115+I115</f>
        <v>0</v>
      </c>
      <c r="K115" s="384"/>
      <c r="L115" s="384"/>
      <c r="M115" s="384"/>
      <c r="N115" s="384"/>
      <c r="O115" s="384"/>
    </row>
    <row r="116" hidden="1" spans="2:15">
      <c r="B116" s="386">
        <f t="shared" ref="B116:B126" si="36">B115+1</f>
        <v>3</v>
      </c>
      <c r="C116" s="387" t="s">
        <v>691</v>
      </c>
      <c r="D116" s="383"/>
      <c r="E116" s="384">
        <f>E114-E115</f>
        <v>0</v>
      </c>
      <c r="F116" s="384">
        <f t="shared" si="34"/>
        <v>0</v>
      </c>
      <c r="G116" s="385"/>
      <c r="H116" s="384">
        <f>H114-H115</f>
        <v>0</v>
      </c>
      <c r="I116" s="384">
        <f>I114-I115</f>
        <v>0</v>
      </c>
      <c r="J116" s="400">
        <f t="shared" si="35"/>
        <v>0</v>
      </c>
      <c r="K116" s="384">
        <f>K114-K115</f>
        <v>0</v>
      </c>
      <c r="L116" s="384">
        <f>L114-L115</f>
        <v>0</v>
      </c>
      <c r="M116" s="384">
        <f>M114-M115</f>
        <v>0</v>
      </c>
      <c r="N116" s="384">
        <f>N114-N115</f>
        <v>0</v>
      </c>
      <c r="O116" s="384">
        <f>O114-O115</f>
        <v>0</v>
      </c>
    </row>
    <row r="117" ht="28.5" hidden="1" spans="2:15">
      <c r="B117" s="386">
        <f t="shared" si="36"/>
        <v>4</v>
      </c>
      <c r="C117" s="288" t="s">
        <v>692</v>
      </c>
      <c r="D117" s="388"/>
      <c r="E117" s="399"/>
      <c r="F117" s="384">
        <f t="shared" si="34"/>
        <v>0</v>
      </c>
      <c r="G117" s="387"/>
      <c r="H117" s="399"/>
      <c r="I117" s="399"/>
      <c r="J117" s="400">
        <f t="shared" si="35"/>
        <v>0</v>
      </c>
      <c r="K117" s="399"/>
      <c r="L117" s="399"/>
      <c r="M117" s="399"/>
      <c r="N117" s="399"/>
      <c r="O117" s="399"/>
    </row>
    <row r="118" s="367" customFormat="1" ht="28.5" hidden="1" spans="2:15">
      <c r="B118" s="386">
        <f t="shared" si="36"/>
        <v>5</v>
      </c>
      <c r="C118" s="389" t="s">
        <v>693</v>
      </c>
      <c r="D118" s="388"/>
      <c r="E118" s="384"/>
      <c r="F118" s="384">
        <f t="shared" si="34"/>
        <v>0</v>
      </c>
      <c r="G118" s="387"/>
      <c r="H118" s="384"/>
      <c r="I118" s="384"/>
      <c r="J118" s="400">
        <f t="shared" si="35"/>
        <v>0</v>
      </c>
      <c r="K118" s="384"/>
      <c r="L118" s="384"/>
      <c r="M118" s="384"/>
      <c r="N118" s="384"/>
      <c r="O118" s="384"/>
    </row>
    <row r="119" ht="28.5" hidden="1" spans="2:15">
      <c r="B119" s="386">
        <f t="shared" si="36"/>
        <v>6</v>
      </c>
      <c r="C119" s="288" t="s">
        <v>694</v>
      </c>
      <c r="D119" s="388"/>
      <c r="E119" s="384"/>
      <c r="F119" s="384">
        <f t="shared" si="34"/>
        <v>0</v>
      </c>
      <c r="G119" s="387"/>
      <c r="H119" s="384"/>
      <c r="I119" s="384"/>
      <c r="J119" s="400">
        <f t="shared" si="35"/>
        <v>0</v>
      </c>
      <c r="K119" s="384"/>
      <c r="L119" s="384"/>
      <c r="M119" s="384"/>
      <c r="N119" s="384"/>
      <c r="O119" s="384"/>
    </row>
    <row r="120" hidden="1" spans="2:15">
      <c r="B120" s="386">
        <f t="shared" si="36"/>
        <v>7</v>
      </c>
      <c r="C120" s="296" t="s">
        <v>695</v>
      </c>
      <c r="D120" s="388"/>
      <c r="E120" s="384">
        <f>E116-E117+E118-E119</f>
        <v>0</v>
      </c>
      <c r="F120" s="384">
        <f t="shared" si="34"/>
        <v>0</v>
      </c>
      <c r="G120" s="387"/>
      <c r="H120" s="384">
        <f>H116-H117+H118-H119</f>
        <v>0</v>
      </c>
      <c r="I120" s="384">
        <f>I116-I117+I118-I119</f>
        <v>0</v>
      </c>
      <c r="J120" s="400">
        <f t="shared" si="35"/>
        <v>0</v>
      </c>
      <c r="K120" s="384">
        <f>K116-K117+K118-K119</f>
        <v>0</v>
      </c>
      <c r="L120" s="384">
        <f>L116-L117+L118-L119</f>
        <v>0</v>
      </c>
      <c r="M120" s="384">
        <f>M116-M117+M118-M119</f>
        <v>0</v>
      </c>
      <c r="N120" s="384">
        <f>N116-N117+N118-N119</f>
        <v>0</v>
      </c>
      <c r="O120" s="384">
        <f>O116-O117+O118-O119</f>
        <v>0</v>
      </c>
    </row>
    <row r="121" hidden="1" spans="2:15">
      <c r="B121" s="386">
        <f t="shared" si="36"/>
        <v>8</v>
      </c>
      <c r="C121" s="296" t="s">
        <v>696</v>
      </c>
      <c r="D121" s="388"/>
      <c r="E121" s="384">
        <f>E114-E117+E118-E119</f>
        <v>0</v>
      </c>
      <c r="F121" s="384">
        <f t="shared" ref="F121:F126" si="37">E121</f>
        <v>0</v>
      </c>
      <c r="G121" s="387"/>
      <c r="H121" s="384">
        <f>H114-H117+H118-H119</f>
        <v>0</v>
      </c>
      <c r="I121" s="384">
        <f>I114-I117+I118-I119</f>
        <v>0</v>
      </c>
      <c r="J121" s="400">
        <f t="shared" si="35"/>
        <v>0</v>
      </c>
      <c r="K121" s="384">
        <f>K114-K117+K118-K119</f>
        <v>0</v>
      </c>
      <c r="L121" s="384">
        <f>L114-L117+L118-L119</f>
        <v>0</v>
      </c>
      <c r="M121" s="384">
        <f>M114-M117+M118-M119</f>
        <v>0</v>
      </c>
      <c r="N121" s="384">
        <f>N114-N117+N118-N119</f>
        <v>0</v>
      </c>
      <c r="O121" s="384">
        <f>O114-O117+O118-O119</f>
        <v>0</v>
      </c>
    </row>
    <row r="122" hidden="1" spans="2:15">
      <c r="B122" s="386">
        <f t="shared" si="36"/>
        <v>9</v>
      </c>
      <c r="C122" s="296" t="s">
        <v>697</v>
      </c>
      <c r="D122" s="388"/>
      <c r="E122" s="384">
        <f>AVERAGE(E116,E120)</f>
        <v>0</v>
      </c>
      <c r="F122" s="384">
        <f t="shared" si="37"/>
        <v>0</v>
      </c>
      <c r="G122" s="387"/>
      <c r="H122" s="384">
        <f>AVERAGE(H116,H120)</f>
        <v>0</v>
      </c>
      <c r="I122" s="384">
        <f>AVERAGE(I116,I120)</f>
        <v>0</v>
      </c>
      <c r="J122" s="400">
        <f t="shared" si="35"/>
        <v>0</v>
      </c>
      <c r="K122" s="384">
        <f>AVERAGE(K116,K120)</f>
        <v>0</v>
      </c>
      <c r="L122" s="384">
        <f>AVERAGE(L116,L120)</f>
        <v>0</v>
      </c>
      <c r="M122" s="384">
        <f>AVERAGE(M116,M120)</f>
        <v>0</v>
      </c>
      <c r="N122" s="384">
        <f>AVERAGE(N116,N120)</f>
        <v>0</v>
      </c>
      <c r="O122" s="384">
        <f>AVERAGE(O116,O120)</f>
        <v>0</v>
      </c>
    </row>
    <row r="123" ht="28.5" hidden="1" spans="2:15">
      <c r="B123" s="386">
        <f t="shared" si="36"/>
        <v>10</v>
      </c>
      <c r="C123" s="288" t="s">
        <v>698</v>
      </c>
      <c r="D123" s="388"/>
      <c r="E123" s="384"/>
      <c r="F123" s="384">
        <f t="shared" si="37"/>
        <v>0</v>
      </c>
      <c r="G123" s="387"/>
      <c r="H123" s="384"/>
      <c r="I123" s="384"/>
      <c r="J123" s="400">
        <f t="shared" si="35"/>
        <v>0</v>
      </c>
      <c r="K123" s="384"/>
      <c r="L123" s="384"/>
      <c r="M123" s="384"/>
      <c r="N123" s="384"/>
      <c r="O123" s="384"/>
    </row>
    <row r="124" hidden="1" spans="2:15">
      <c r="B124" s="386">
        <f t="shared" si="36"/>
        <v>11</v>
      </c>
      <c r="C124" s="296" t="s">
        <v>699</v>
      </c>
      <c r="D124" s="388"/>
      <c r="E124" s="384">
        <f>E122*E123</f>
        <v>0</v>
      </c>
      <c r="F124" s="384">
        <f t="shared" si="37"/>
        <v>0</v>
      </c>
      <c r="G124" s="387"/>
      <c r="H124" s="384">
        <f>H122*H123</f>
        <v>0</v>
      </c>
      <c r="I124" s="384">
        <f>I122*I123</f>
        <v>0</v>
      </c>
      <c r="J124" s="400">
        <f t="shared" si="35"/>
        <v>0</v>
      </c>
      <c r="K124" s="384">
        <f>K122*K123</f>
        <v>0</v>
      </c>
      <c r="L124" s="384">
        <f>L122*L123</f>
        <v>0</v>
      </c>
      <c r="M124" s="384">
        <f>M122*M123</f>
        <v>0</v>
      </c>
      <c r="N124" s="384">
        <f>N122*N123</f>
        <v>0</v>
      </c>
      <c r="O124" s="384">
        <f>O122*O123</f>
        <v>0</v>
      </c>
    </row>
    <row r="125" hidden="1" spans="2:15">
      <c r="B125" s="386">
        <f t="shared" si="36"/>
        <v>12</v>
      </c>
      <c r="C125" s="296" t="s">
        <v>700</v>
      </c>
      <c r="D125" s="388"/>
      <c r="E125" s="384"/>
      <c r="F125" s="384">
        <f t="shared" si="37"/>
        <v>0</v>
      </c>
      <c r="G125" s="387"/>
      <c r="H125" s="384"/>
      <c r="I125" s="384"/>
      <c r="J125" s="400">
        <f t="shared" si="35"/>
        <v>0</v>
      </c>
      <c r="K125" s="384"/>
      <c r="L125" s="384"/>
      <c r="M125" s="384"/>
      <c r="N125" s="384"/>
      <c r="O125" s="384"/>
    </row>
    <row r="126" hidden="1" spans="2:15">
      <c r="B126" s="386">
        <f t="shared" si="36"/>
        <v>13</v>
      </c>
      <c r="C126" s="296" t="s">
        <v>701</v>
      </c>
      <c r="D126" s="388"/>
      <c r="E126" s="384">
        <f>E124+E125</f>
        <v>0</v>
      </c>
      <c r="F126" s="384">
        <f t="shared" si="37"/>
        <v>0</v>
      </c>
      <c r="G126" s="387"/>
      <c r="H126" s="384">
        <f>H124+H125</f>
        <v>0</v>
      </c>
      <c r="I126" s="384">
        <f>I124+I125</f>
        <v>0</v>
      </c>
      <c r="J126" s="400">
        <f t="shared" si="35"/>
        <v>0</v>
      </c>
      <c r="K126" s="384">
        <f>K124+K125</f>
        <v>0</v>
      </c>
      <c r="L126" s="384">
        <f>L124+L125</f>
        <v>0</v>
      </c>
      <c r="M126" s="384">
        <f>M124+M125</f>
        <v>0</v>
      </c>
      <c r="N126" s="384">
        <f>N124+N125</f>
        <v>0</v>
      </c>
      <c r="O126" s="384">
        <f>O124+O125</f>
        <v>0</v>
      </c>
    </row>
    <row r="127" hidden="1"/>
    <row r="128" ht="15" hidden="1" spans="2:3">
      <c r="B128" s="276" t="s">
        <v>702</v>
      </c>
      <c r="C128" s="369" t="s">
        <v>703</v>
      </c>
    </row>
    <row r="129" ht="15" hidden="1" spans="12:12">
      <c r="L129" s="393" t="s">
        <v>109</v>
      </c>
    </row>
    <row r="130" ht="15" hidden="1" customHeight="1" spans="2:12">
      <c r="B130" s="372" t="s">
        <v>3</v>
      </c>
      <c r="C130" s="373" t="s">
        <v>110</v>
      </c>
      <c r="D130" s="374" t="s">
        <v>112</v>
      </c>
      <c r="E130" s="374" t="s">
        <v>760</v>
      </c>
      <c r="F130" s="375"/>
      <c r="G130" s="376"/>
      <c r="H130" s="285" t="s">
        <v>114</v>
      </c>
      <c r="I130" s="394"/>
      <c r="J130" s="394"/>
      <c r="K130" s="394"/>
      <c r="L130" s="286"/>
    </row>
    <row r="131" ht="15" hidden="1" spans="2:12">
      <c r="B131" s="377"/>
      <c r="C131" s="378"/>
      <c r="D131" s="379" t="s">
        <v>237</v>
      </c>
      <c r="E131" s="379" t="s">
        <v>119</v>
      </c>
      <c r="F131" s="379" t="s">
        <v>120</v>
      </c>
      <c r="G131" s="379" t="s">
        <v>238</v>
      </c>
      <c r="H131" s="379" t="s">
        <v>514</v>
      </c>
      <c r="I131" s="379" t="s">
        <v>515</v>
      </c>
      <c r="J131" s="379" t="s">
        <v>516</v>
      </c>
      <c r="K131" s="379" t="s">
        <v>517</v>
      </c>
      <c r="L131" s="379" t="s">
        <v>518</v>
      </c>
    </row>
    <row r="132" ht="15" hidden="1" spans="2:12">
      <c r="B132" s="380"/>
      <c r="C132" s="381"/>
      <c r="D132" s="379" t="s">
        <v>128</v>
      </c>
      <c r="E132" s="379" t="s">
        <v>130</v>
      </c>
      <c r="F132" s="379" t="s">
        <v>131</v>
      </c>
      <c r="G132" s="379" t="s">
        <v>131</v>
      </c>
      <c r="H132" s="379" t="s">
        <v>132</v>
      </c>
      <c r="I132" s="379" t="s">
        <v>132</v>
      </c>
      <c r="J132" s="379" t="s">
        <v>132</v>
      </c>
      <c r="K132" s="379" t="s">
        <v>132</v>
      </c>
      <c r="L132" s="379" t="s">
        <v>132</v>
      </c>
    </row>
    <row r="133" ht="15" hidden="1" spans="2:12">
      <c r="B133" s="386">
        <v>1</v>
      </c>
      <c r="C133" s="390" t="s">
        <v>663</v>
      </c>
      <c r="D133" s="296"/>
      <c r="E133" s="296"/>
      <c r="F133" s="296"/>
      <c r="G133" s="296"/>
      <c r="H133" s="296"/>
      <c r="I133" s="296"/>
      <c r="J133" s="296"/>
      <c r="K133" s="296"/>
      <c r="L133" s="296"/>
    </row>
    <row r="134" hidden="1" spans="2:12">
      <c r="B134" s="296"/>
      <c r="C134" s="296" t="s">
        <v>704</v>
      </c>
      <c r="D134" s="296"/>
      <c r="E134" s="296"/>
      <c r="F134" s="296"/>
      <c r="G134" s="296"/>
      <c r="H134" s="296"/>
      <c r="I134" s="296"/>
      <c r="J134" s="296"/>
      <c r="K134" s="296"/>
      <c r="L134" s="296"/>
    </row>
    <row r="135" hidden="1" spans="2:12">
      <c r="B135" s="296"/>
      <c r="C135" s="296" t="s">
        <v>705</v>
      </c>
      <c r="D135" s="296"/>
      <c r="E135" s="296"/>
      <c r="F135" s="296"/>
      <c r="G135" s="296"/>
      <c r="H135" s="296"/>
      <c r="I135" s="296"/>
      <c r="J135" s="296"/>
      <c r="K135" s="296"/>
      <c r="L135" s="296"/>
    </row>
    <row r="136" hidden="1" spans="2:12">
      <c r="B136" s="296"/>
      <c r="C136" s="296" t="s">
        <v>706</v>
      </c>
      <c r="D136" s="296"/>
      <c r="E136" s="296"/>
      <c r="F136" s="296"/>
      <c r="G136" s="296"/>
      <c r="H136" s="296"/>
      <c r="I136" s="296"/>
      <c r="J136" s="296"/>
      <c r="K136" s="296"/>
      <c r="L136" s="296"/>
    </row>
    <row r="137" hidden="1" spans="2:12">
      <c r="B137" s="296"/>
      <c r="C137" s="296" t="s">
        <v>707</v>
      </c>
      <c r="D137" s="384">
        <f>D134+D135-D136</f>
        <v>0</v>
      </c>
      <c r="E137" s="384">
        <f t="shared" ref="E137:L137" si="38">E134+E135-E136</f>
        <v>0</v>
      </c>
      <c r="F137" s="384">
        <f t="shared" si="38"/>
        <v>0</v>
      </c>
      <c r="G137" s="384">
        <f t="shared" si="38"/>
        <v>0</v>
      </c>
      <c r="H137" s="384">
        <f t="shared" si="38"/>
        <v>0</v>
      </c>
      <c r="I137" s="384">
        <f t="shared" si="38"/>
        <v>0</v>
      </c>
      <c r="J137" s="384">
        <f t="shared" si="38"/>
        <v>0</v>
      </c>
      <c r="K137" s="384">
        <f t="shared" si="38"/>
        <v>0</v>
      </c>
      <c r="L137" s="384">
        <f t="shared" si="38"/>
        <v>0</v>
      </c>
    </row>
    <row r="138" hidden="1" spans="2:12">
      <c r="B138" s="296"/>
      <c r="C138" s="296" t="s">
        <v>708</v>
      </c>
      <c r="D138" s="384">
        <f t="shared" ref="D138:L138" si="39">AVERAGE(D137,D134)</f>
        <v>0</v>
      </c>
      <c r="E138" s="384">
        <f t="shared" si="39"/>
        <v>0</v>
      </c>
      <c r="F138" s="384">
        <f t="shared" si="39"/>
        <v>0</v>
      </c>
      <c r="G138" s="384">
        <f t="shared" si="39"/>
        <v>0</v>
      </c>
      <c r="H138" s="384">
        <f t="shared" si="39"/>
        <v>0</v>
      </c>
      <c r="I138" s="384">
        <f t="shared" si="39"/>
        <v>0</v>
      </c>
      <c r="J138" s="384">
        <f t="shared" si="39"/>
        <v>0</v>
      </c>
      <c r="K138" s="384">
        <f t="shared" si="39"/>
        <v>0</v>
      </c>
      <c r="L138" s="384">
        <f t="shared" si="39"/>
        <v>0</v>
      </c>
    </row>
    <row r="139" hidden="1" spans="2:12">
      <c r="B139" s="296"/>
      <c r="C139" s="296" t="s">
        <v>709</v>
      </c>
      <c r="D139" s="296"/>
      <c r="E139" s="296"/>
      <c r="F139" s="296"/>
      <c r="G139" s="296"/>
      <c r="H139" s="296"/>
      <c r="I139" s="296"/>
      <c r="J139" s="296"/>
      <c r="K139" s="296"/>
      <c r="L139" s="296"/>
    </row>
    <row r="140" hidden="1" spans="2:12">
      <c r="B140" s="296"/>
      <c r="C140" s="296" t="s">
        <v>699</v>
      </c>
      <c r="D140" s="384">
        <f>D138*D139</f>
        <v>0</v>
      </c>
      <c r="E140" s="384">
        <f t="shared" ref="E140:L140" si="40">E138*E139</f>
        <v>0</v>
      </c>
      <c r="F140" s="384">
        <f t="shared" si="40"/>
        <v>0</v>
      </c>
      <c r="G140" s="384">
        <f t="shared" si="40"/>
        <v>0</v>
      </c>
      <c r="H140" s="384">
        <f t="shared" si="40"/>
        <v>0</v>
      </c>
      <c r="I140" s="384">
        <f t="shared" si="40"/>
        <v>0</v>
      </c>
      <c r="J140" s="384">
        <f t="shared" si="40"/>
        <v>0</v>
      </c>
      <c r="K140" s="384">
        <f t="shared" si="40"/>
        <v>0</v>
      </c>
      <c r="L140" s="384">
        <f t="shared" si="40"/>
        <v>0</v>
      </c>
    </row>
    <row r="141" hidden="1" spans="2:12">
      <c r="B141" s="296"/>
      <c r="C141" s="296" t="s">
        <v>700</v>
      </c>
      <c r="D141" s="296"/>
      <c r="E141" s="296"/>
      <c r="F141" s="296"/>
      <c r="G141" s="296"/>
      <c r="H141" s="296"/>
      <c r="I141" s="296"/>
      <c r="J141" s="296"/>
      <c r="K141" s="296"/>
      <c r="L141" s="296"/>
    </row>
    <row r="142" hidden="1" spans="2:12">
      <c r="B142" s="296"/>
      <c r="C142" s="296" t="s">
        <v>701</v>
      </c>
      <c r="D142" s="384">
        <f>D140+D141</f>
        <v>0</v>
      </c>
      <c r="E142" s="384">
        <f t="shared" ref="E142:L142" si="41">E140+E141</f>
        <v>0</v>
      </c>
      <c r="F142" s="384">
        <f t="shared" si="41"/>
        <v>0</v>
      </c>
      <c r="G142" s="384">
        <f t="shared" si="41"/>
        <v>0</v>
      </c>
      <c r="H142" s="384">
        <f t="shared" si="41"/>
        <v>0</v>
      </c>
      <c r="I142" s="384">
        <f t="shared" si="41"/>
        <v>0</v>
      </c>
      <c r="J142" s="384">
        <f t="shared" si="41"/>
        <v>0</v>
      </c>
      <c r="K142" s="384">
        <f t="shared" si="41"/>
        <v>0</v>
      </c>
      <c r="L142" s="384">
        <f t="shared" si="41"/>
        <v>0</v>
      </c>
    </row>
    <row r="143" ht="15" hidden="1" spans="2:12">
      <c r="B143" s="386">
        <v>2</v>
      </c>
      <c r="C143" s="390" t="s">
        <v>664</v>
      </c>
      <c r="D143" s="296"/>
      <c r="E143" s="296"/>
      <c r="F143" s="296"/>
      <c r="G143" s="296"/>
      <c r="H143" s="296"/>
      <c r="I143" s="296"/>
      <c r="J143" s="296"/>
      <c r="K143" s="296"/>
      <c r="L143" s="296"/>
    </row>
    <row r="144" hidden="1" spans="2:12">
      <c r="B144" s="296"/>
      <c r="C144" s="296" t="s">
        <v>704</v>
      </c>
      <c r="D144" s="296"/>
      <c r="E144" s="296"/>
      <c r="F144" s="296"/>
      <c r="G144" s="296"/>
      <c r="H144" s="296"/>
      <c r="I144" s="296"/>
      <c r="J144" s="296"/>
      <c r="K144" s="296"/>
      <c r="L144" s="296"/>
    </row>
    <row r="145" hidden="1" spans="2:12">
      <c r="B145" s="296"/>
      <c r="C145" s="296" t="s">
        <v>705</v>
      </c>
      <c r="D145" s="296"/>
      <c r="E145" s="296"/>
      <c r="F145" s="296"/>
      <c r="G145" s="296"/>
      <c r="H145" s="296"/>
      <c r="I145" s="296"/>
      <c r="J145" s="296"/>
      <c r="K145" s="296"/>
      <c r="L145" s="296"/>
    </row>
    <row r="146" hidden="1" spans="2:12">
      <c r="B146" s="296"/>
      <c r="C146" s="296" t="s">
        <v>706</v>
      </c>
      <c r="D146" s="296"/>
      <c r="E146" s="296"/>
      <c r="F146" s="296"/>
      <c r="G146" s="296"/>
      <c r="H146" s="296"/>
      <c r="I146" s="296"/>
      <c r="J146" s="296"/>
      <c r="K146" s="296"/>
      <c r="L146" s="296"/>
    </row>
    <row r="147" hidden="1" spans="2:12">
      <c r="B147" s="296"/>
      <c r="C147" s="296" t="s">
        <v>707</v>
      </c>
      <c r="D147" s="384">
        <f>D144+D145-D146</f>
        <v>0</v>
      </c>
      <c r="E147" s="384">
        <f t="shared" ref="E147:L147" si="42">E144+E145-E146</f>
        <v>0</v>
      </c>
      <c r="F147" s="384">
        <f t="shared" si="42"/>
        <v>0</v>
      </c>
      <c r="G147" s="384">
        <f t="shared" si="42"/>
        <v>0</v>
      </c>
      <c r="H147" s="384">
        <f t="shared" si="42"/>
        <v>0</v>
      </c>
      <c r="I147" s="384">
        <f t="shared" si="42"/>
        <v>0</v>
      </c>
      <c r="J147" s="384">
        <f t="shared" si="42"/>
        <v>0</v>
      </c>
      <c r="K147" s="384">
        <f t="shared" si="42"/>
        <v>0</v>
      </c>
      <c r="L147" s="384">
        <f t="shared" si="42"/>
        <v>0</v>
      </c>
    </row>
    <row r="148" hidden="1" spans="2:12">
      <c r="B148" s="296"/>
      <c r="C148" s="296" t="s">
        <v>708</v>
      </c>
      <c r="D148" s="384">
        <f t="shared" ref="D148:L148" si="43">AVERAGE(D147,D144)</f>
        <v>0</v>
      </c>
      <c r="E148" s="384">
        <f t="shared" si="43"/>
        <v>0</v>
      </c>
      <c r="F148" s="384">
        <f t="shared" si="43"/>
        <v>0</v>
      </c>
      <c r="G148" s="384">
        <f t="shared" si="43"/>
        <v>0</v>
      </c>
      <c r="H148" s="384">
        <f t="shared" si="43"/>
        <v>0</v>
      </c>
      <c r="I148" s="384">
        <f t="shared" si="43"/>
        <v>0</v>
      </c>
      <c r="J148" s="384">
        <f t="shared" si="43"/>
        <v>0</v>
      </c>
      <c r="K148" s="384">
        <f t="shared" si="43"/>
        <v>0</v>
      </c>
      <c r="L148" s="384">
        <f t="shared" si="43"/>
        <v>0</v>
      </c>
    </row>
    <row r="149" hidden="1" spans="2:12">
      <c r="B149" s="296"/>
      <c r="C149" s="296" t="s">
        <v>709</v>
      </c>
      <c r="D149" s="296"/>
      <c r="E149" s="296"/>
      <c r="F149" s="296"/>
      <c r="G149" s="296"/>
      <c r="H149" s="296"/>
      <c r="I149" s="296"/>
      <c r="J149" s="296"/>
      <c r="K149" s="296"/>
      <c r="L149" s="296"/>
    </row>
    <row r="150" hidden="1" spans="2:12">
      <c r="B150" s="296"/>
      <c r="C150" s="296" t="s">
        <v>699</v>
      </c>
      <c r="D150" s="384">
        <f>D148*D149</f>
        <v>0</v>
      </c>
      <c r="E150" s="384">
        <f t="shared" ref="E150:L150" si="44">E148*E149</f>
        <v>0</v>
      </c>
      <c r="F150" s="384">
        <f t="shared" si="44"/>
        <v>0</v>
      </c>
      <c r="G150" s="384">
        <f t="shared" si="44"/>
        <v>0</v>
      </c>
      <c r="H150" s="384">
        <f t="shared" si="44"/>
        <v>0</v>
      </c>
      <c r="I150" s="384">
        <f t="shared" si="44"/>
        <v>0</v>
      </c>
      <c r="J150" s="384">
        <f t="shared" si="44"/>
        <v>0</v>
      </c>
      <c r="K150" s="384">
        <f t="shared" si="44"/>
        <v>0</v>
      </c>
      <c r="L150" s="384">
        <f t="shared" si="44"/>
        <v>0</v>
      </c>
    </row>
    <row r="151" hidden="1" spans="2:12">
      <c r="B151" s="296"/>
      <c r="C151" s="296" t="s">
        <v>700</v>
      </c>
      <c r="D151" s="296"/>
      <c r="E151" s="296"/>
      <c r="F151" s="296"/>
      <c r="G151" s="296"/>
      <c r="H151" s="296"/>
      <c r="I151" s="296"/>
      <c r="J151" s="296"/>
      <c r="K151" s="296"/>
      <c r="L151" s="296"/>
    </row>
    <row r="152" hidden="1" spans="2:12">
      <c r="B152" s="296"/>
      <c r="C152" s="296" t="s">
        <v>701</v>
      </c>
      <c r="D152" s="384">
        <f>D150+D151</f>
        <v>0</v>
      </c>
      <c r="E152" s="384">
        <f t="shared" ref="E152:L152" si="45">E150+E151</f>
        <v>0</v>
      </c>
      <c r="F152" s="384">
        <f t="shared" si="45"/>
        <v>0</v>
      </c>
      <c r="G152" s="384">
        <f t="shared" si="45"/>
        <v>0</v>
      </c>
      <c r="H152" s="384">
        <f t="shared" si="45"/>
        <v>0</v>
      </c>
      <c r="I152" s="384">
        <f t="shared" si="45"/>
        <v>0</v>
      </c>
      <c r="J152" s="384">
        <f t="shared" si="45"/>
        <v>0</v>
      </c>
      <c r="K152" s="384">
        <f t="shared" si="45"/>
        <v>0</v>
      </c>
      <c r="L152" s="384">
        <f t="shared" si="45"/>
        <v>0</v>
      </c>
    </row>
    <row r="153" hidden="1" spans="2:12">
      <c r="B153" s="296"/>
      <c r="C153" s="296" t="s">
        <v>710</v>
      </c>
      <c r="D153" s="296"/>
      <c r="E153" s="296"/>
      <c r="F153" s="296"/>
      <c r="G153" s="296"/>
      <c r="H153" s="296"/>
      <c r="I153" s="296"/>
      <c r="J153" s="296"/>
      <c r="K153" s="296"/>
      <c r="L153" s="296"/>
    </row>
    <row r="154" ht="15" hidden="1" spans="2:12">
      <c r="B154" s="386"/>
      <c r="C154" s="390" t="s">
        <v>97</v>
      </c>
      <c r="D154" s="296"/>
      <c r="E154" s="296"/>
      <c r="F154" s="296"/>
      <c r="G154" s="296"/>
      <c r="H154" s="296"/>
      <c r="I154" s="296"/>
      <c r="J154" s="296"/>
      <c r="K154" s="296"/>
      <c r="L154" s="296"/>
    </row>
    <row r="155" hidden="1" spans="2:12">
      <c r="B155" s="296"/>
      <c r="C155" s="296" t="s">
        <v>704</v>
      </c>
      <c r="D155" s="296">
        <f>D134+D144</f>
        <v>0</v>
      </c>
      <c r="E155" s="296">
        <f t="shared" ref="E155:L157" si="46">E134+E144</f>
        <v>0</v>
      </c>
      <c r="F155" s="296">
        <f t="shared" si="46"/>
        <v>0</v>
      </c>
      <c r="G155" s="296">
        <f t="shared" si="46"/>
        <v>0</v>
      </c>
      <c r="H155" s="296">
        <f t="shared" si="46"/>
        <v>0</v>
      </c>
      <c r="I155" s="296">
        <f t="shared" si="46"/>
        <v>0</v>
      </c>
      <c r="J155" s="296">
        <f t="shared" si="46"/>
        <v>0</v>
      </c>
      <c r="K155" s="296">
        <f t="shared" si="46"/>
        <v>0</v>
      </c>
      <c r="L155" s="296">
        <f t="shared" si="46"/>
        <v>0</v>
      </c>
    </row>
    <row r="156" hidden="1" spans="2:12">
      <c r="B156" s="296"/>
      <c r="C156" s="296" t="s">
        <v>705</v>
      </c>
      <c r="D156" s="296">
        <f>D135+D145</f>
        <v>0</v>
      </c>
      <c r="E156" s="296">
        <f t="shared" si="46"/>
        <v>0</v>
      </c>
      <c r="F156" s="296">
        <f t="shared" si="46"/>
        <v>0</v>
      </c>
      <c r="G156" s="296">
        <f t="shared" si="46"/>
        <v>0</v>
      </c>
      <c r="H156" s="296">
        <f t="shared" si="46"/>
        <v>0</v>
      </c>
      <c r="I156" s="296">
        <f t="shared" si="46"/>
        <v>0</v>
      </c>
      <c r="J156" s="296">
        <f t="shared" si="46"/>
        <v>0</v>
      </c>
      <c r="K156" s="296">
        <f t="shared" si="46"/>
        <v>0</v>
      </c>
      <c r="L156" s="296">
        <f t="shared" si="46"/>
        <v>0</v>
      </c>
    </row>
    <row r="157" hidden="1" spans="2:12">
      <c r="B157" s="296"/>
      <c r="C157" s="296" t="s">
        <v>706</v>
      </c>
      <c r="D157" s="296">
        <f>D136+D146</f>
        <v>0</v>
      </c>
      <c r="E157" s="296">
        <f t="shared" si="46"/>
        <v>0</v>
      </c>
      <c r="F157" s="296">
        <f t="shared" si="46"/>
        <v>0</v>
      </c>
      <c r="G157" s="296">
        <f t="shared" si="46"/>
        <v>0</v>
      </c>
      <c r="H157" s="296">
        <f t="shared" si="46"/>
        <v>0</v>
      </c>
      <c r="I157" s="296">
        <f t="shared" si="46"/>
        <v>0</v>
      </c>
      <c r="J157" s="296">
        <f t="shared" si="46"/>
        <v>0</v>
      </c>
      <c r="K157" s="296">
        <f t="shared" si="46"/>
        <v>0</v>
      </c>
      <c r="L157" s="296">
        <f t="shared" si="46"/>
        <v>0</v>
      </c>
    </row>
    <row r="158" hidden="1" spans="2:12">
      <c r="B158" s="296"/>
      <c r="C158" s="296" t="s">
        <v>707</v>
      </c>
      <c r="D158" s="384">
        <f>D155+D156-D157</f>
        <v>0</v>
      </c>
      <c r="E158" s="384">
        <f t="shared" ref="E158:L158" si="47">E155+E156-E157</f>
        <v>0</v>
      </c>
      <c r="F158" s="384">
        <f t="shared" si="47"/>
        <v>0</v>
      </c>
      <c r="G158" s="384">
        <f t="shared" si="47"/>
        <v>0</v>
      </c>
      <c r="H158" s="384">
        <f t="shared" si="47"/>
        <v>0</v>
      </c>
      <c r="I158" s="384">
        <f t="shared" si="47"/>
        <v>0</v>
      </c>
      <c r="J158" s="384">
        <f t="shared" si="47"/>
        <v>0</v>
      </c>
      <c r="K158" s="384">
        <f t="shared" si="47"/>
        <v>0</v>
      </c>
      <c r="L158" s="384">
        <f t="shared" si="47"/>
        <v>0</v>
      </c>
    </row>
    <row r="159" hidden="1" spans="2:12">
      <c r="B159" s="296"/>
      <c r="C159" s="296" t="s">
        <v>708</v>
      </c>
      <c r="D159" s="384">
        <f t="shared" ref="D159:L159" si="48">AVERAGE(D158,D155)</f>
        <v>0</v>
      </c>
      <c r="E159" s="384">
        <f t="shared" si="48"/>
        <v>0</v>
      </c>
      <c r="F159" s="384">
        <f t="shared" si="48"/>
        <v>0</v>
      </c>
      <c r="G159" s="384">
        <f t="shared" si="48"/>
        <v>0</v>
      </c>
      <c r="H159" s="384">
        <f t="shared" si="48"/>
        <v>0</v>
      </c>
      <c r="I159" s="384">
        <f t="shared" si="48"/>
        <v>0</v>
      </c>
      <c r="J159" s="384">
        <f t="shared" si="48"/>
        <v>0</v>
      </c>
      <c r="K159" s="384">
        <f t="shared" si="48"/>
        <v>0</v>
      </c>
      <c r="L159" s="384">
        <f t="shared" si="48"/>
        <v>0</v>
      </c>
    </row>
    <row r="160" hidden="1" spans="2:12">
      <c r="B160" s="296"/>
      <c r="C160" s="296" t="s">
        <v>709</v>
      </c>
      <c r="D160" s="296"/>
      <c r="E160" s="296"/>
      <c r="F160" s="296"/>
      <c r="G160" s="296"/>
      <c r="H160" s="296"/>
      <c r="I160" s="296"/>
      <c r="J160" s="296"/>
      <c r="K160" s="296"/>
      <c r="L160" s="296"/>
    </row>
    <row r="161" hidden="1" spans="2:12">
      <c r="B161" s="296"/>
      <c r="C161" s="296" t="s">
        <v>699</v>
      </c>
      <c r="D161" s="384">
        <f>D159*D160</f>
        <v>0</v>
      </c>
      <c r="E161" s="384">
        <f t="shared" ref="E161:L161" si="49">E159*E160</f>
        <v>0</v>
      </c>
      <c r="F161" s="384">
        <f t="shared" si="49"/>
        <v>0</v>
      </c>
      <c r="G161" s="384">
        <f t="shared" si="49"/>
        <v>0</v>
      </c>
      <c r="H161" s="384">
        <f t="shared" si="49"/>
        <v>0</v>
      </c>
      <c r="I161" s="384">
        <f t="shared" si="49"/>
        <v>0</v>
      </c>
      <c r="J161" s="384">
        <f t="shared" si="49"/>
        <v>0</v>
      </c>
      <c r="K161" s="384">
        <f t="shared" si="49"/>
        <v>0</v>
      </c>
      <c r="L161" s="384">
        <f t="shared" si="49"/>
        <v>0</v>
      </c>
    </row>
    <row r="162" hidden="1" spans="2:12">
      <c r="B162" s="296"/>
      <c r="C162" s="296" t="s">
        <v>700</v>
      </c>
      <c r="D162" s="296"/>
      <c r="E162" s="296"/>
      <c r="F162" s="296"/>
      <c r="G162" s="296"/>
      <c r="H162" s="296"/>
      <c r="I162" s="296"/>
      <c r="J162" s="296"/>
      <c r="K162" s="296"/>
      <c r="L162" s="296"/>
    </row>
    <row r="163" hidden="1" spans="2:12">
      <c r="B163" s="296"/>
      <c r="C163" s="296" t="s">
        <v>701</v>
      </c>
      <c r="D163" s="384">
        <f>D161+D162</f>
        <v>0</v>
      </c>
      <c r="E163" s="384">
        <f t="shared" ref="E163:L163" si="50">E161+E162</f>
        <v>0</v>
      </c>
      <c r="F163" s="384">
        <f t="shared" si="50"/>
        <v>0</v>
      </c>
      <c r="G163" s="384">
        <f t="shared" si="50"/>
        <v>0</v>
      </c>
      <c r="H163" s="384">
        <f t="shared" si="50"/>
        <v>0</v>
      </c>
      <c r="I163" s="384">
        <f t="shared" si="50"/>
        <v>0</v>
      </c>
      <c r="J163" s="384">
        <f t="shared" si="50"/>
        <v>0</v>
      </c>
      <c r="K163" s="384">
        <f t="shared" si="50"/>
        <v>0</v>
      </c>
      <c r="L163" s="384">
        <f t="shared" si="50"/>
        <v>0</v>
      </c>
    </row>
    <row r="164" hidden="1"/>
    <row r="165" ht="15" hidden="1" spans="2:8">
      <c r="B165" s="367" t="s">
        <v>153</v>
      </c>
      <c r="H165" s="370"/>
    </row>
    <row r="166" ht="15" hidden="1" spans="2:12">
      <c r="B166" s="276" t="s">
        <v>687</v>
      </c>
      <c r="C166" s="369" t="s">
        <v>688</v>
      </c>
      <c r="D166" s="371"/>
      <c r="E166" s="371"/>
      <c r="F166" s="371"/>
      <c r="G166" s="371"/>
      <c r="H166" s="371"/>
      <c r="I166" s="371"/>
      <c r="J166" s="371"/>
      <c r="K166" s="371"/>
      <c r="L166" s="371"/>
    </row>
    <row r="167" ht="15" hidden="1" spans="15:15">
      <c r="O167" s="393" t="s">
        <v>109</v>
      </c>
    </row>
    <row r="168" s="366" customFormat="1" ht="15" hidden="1" customHeight="1" spans="2:15">
      <c r="B168" s="372" t="s">
        <v>3</v>
      </c>
      <c r="C168" s="373" t="s">
        <v>110</v>
      </c>
      <c r="D168" s="374" t="s">
        <v>112</v>
      </c>
      <c r="E168" s="375"/>
      <c r="F168" s="376"/>
      <c r="G168" s="374" t="s">
        <v>760</v>
      </c>
      <c r="H168" s="375"/>
      <c r="I168" s="375"/>
      <c r="J168" s="376"/>
      <c r="K168" s="285" t="s">
        <v>114</v>
      </c>
      <c r="L168" s="394"/>
      <c r="M168" s="394"/>
      <c r="N168" s="394"/>
      <c r="O168" s="286"/>
    </row>
    <row r="169" s="366" customFormat="1" ht="30" hidden="1" spans="2:15">
      <c r="B169" s="377"/>
      <c r="C169" s="378"/>
      <c r="D169" s="379" t="s">
        <v>116</v>
      </c>
      <c r="E169" s="379" t="s">
        <v>237</v>
      </c>
      <c r="F169" s="379" t="s">
        <v>118</v>
      </c>
      <c r="G169" s="379" t="s">
        <v>116</v>
      </c>
      <c r="H169" s="379" t="s">
        <v>119</v>
      </c>
      <c r="I169" s="379" t="s">
        <v>120</v>
      </c>
      <c r="J169" s="379" t="s">
        <v>238</v>
      </c>
      <c r="K169" s="379" t="s">
        <v>514</v>
      </c>
      <c r="L169" s="379" t="s">
        <v>515</v>
      </c>
      <c r="M169" s="379" t="s">
        <v>516</v>
      </c>
      <c r="N169" s="379" t="s">
        <v>517</v>
      </c>
      <c r="O169" s="379" t="s">
        <v>518</v>
      </c>
    </row>
    <row r="170" s="366" customFormat="1" ht="15" hidden="1" spans="2:15">
      <c r="B170" s="380"/>
      <c r="C170" s="381"/>
      <c r="D170" s="379" t="s">
        <v>127</v>
      </c>
      <c r="E170" s="379" t="s">
        <v>128</v>
      </c>
      <c r="F170" s="379" t="s">
        <v>129</v>
      </c>
      <c r="G170" s="379" t="s">
        <v>127</v>
      </c>
      <c r="H170" s="379" t="s">
        <v>130</v>
      </c>
      <c r="I170" s="379" t="s">
        <v>131</v>
      </c>
      <c r="J170" s="379" t="s">
        <v>131</v>
      </c>
      <c r="K170" s="379" t="s">
        <v>132</v>
      </c>
      <c r="L170" s="379" t="s">
        <v>132</v>
      </c>
      <c r="M170" s="379" t="s">
        <v>132</v>
      </c>
      <c r="N170" s="379" t="s">
        <v>132</v>
      </c>
      <c r="O170" s="379" t="s">
        <v>132</v>
      </c>
    </row>
    <row r="171" hidden="1" spans="2:15">
      <c r="B171" s="382">
        <v>1</v>
      </c>
      <c r="C171" s="296" t="s">
        <v>689</v>
      </c>
      <c r="D171" s="383"/>
      <c r="E171" s="384"/>
      <c r="F171" s="384">
        <f>E171</f>
        <v>0</v>
      </c>
      <c r="G171" s="385"/>
      <c r="H171" s="384"/>
      <c r="I171" s="384"/>
      <c r="J171" s="400">
        <f>F178</f>
        <v>0</v>
      </c>
      <c r="K171" s="384">
        <f>J178</f>
        <v>0</v>
      </c>
      <c r="L171" s="384">
        <f>K178</f>
        <v>0</v>
      </c>
      <c r="M171" s="384">
        <f>L178</f>
        <v>0</v>
      </c>
      <c r="N171" s="384">
        <f>M178</f>
        <v>0</v>
      </c>
      <c r="O171" s="384">
        <f>N178</f>
        <v>0</v>
      </c>
    </row>
    <row r="172" hidden="1" spans="2:15">
      <c r="B172" s="386">
        <f>B171+1</f>
        <v>2</v>
      </c>
      <c r="C172" s="296" t="s">
        <v>690</v>
      </c>
      <c r="D172" s="383"/>
      <c r="E172" s="384"/>
      <c r="F172" s="384">
        <f t="shared" ref="F172:F183" si="51">E172</f>
        <v>0</v>
      </c>
      <c r="G172" s="385"/>
      <c r="H172" s="384"/>
      <c r="I172" s="384"/>
      <c r="J172" s="400">
        <f t="shared" ref="J172:J183" si="52">H172+I172</f>
        <v>0</v>
      </c>
      <c r="K172" s="384"/>
      <c r="L172" s="384"/>
      <c r="M172" s="384"/>
      <c r="N172" s="384"/>
      <c r="O172" s="384"/>
    </row>
    <row r="173" hidden="1" spans="2:15">
      <c r="B173" s="386">
        <f t="shared" ref="B173:B183" si="53">B172+1</f>
        <v>3</v>
      </c>
      <c r="C173" s="387" t="s">
        <v>691</v>
      </c>
      <c r="D173" s="383"/>
      <c r="E173" s="384">
        <f>E171-E172</f>
        <v>0</v>
      </c>
      <c r="F173" s="384">
        <f t="shared" si="51"/>
        <v>0</v>
      </c>
      <c r="G173" s="385"/>
      <c r="H173" s="384">
        <f>H171-H172</f>
        <v>0</v>
      </c>
      <c r="I173" s="384">
        <f>I171-I172</f>
        <v>0</v>
      </c>
      <c r="J173" s="400">
        <f t="shared" si="52"/>
        <v>0</v>
      </c>
      <c r="K173" s="384">
        <f>K171-K172</f>
        <v>0</v>
      </c>
      <c r="L173" s="384">
        <f>L171-L172</f>
        <v>0</v>
      </c>
      <c r="M173" s="384">
        <f>M171-M172</f>
        <v>0</v>
      </c>
      <c r="N173" s="384">
        <f>N171-N172</f>
        <v>0</v>
      </c>
      <c r="O173" s="384">
        <f>O171-O172</f>
        <v>0</v>
      </c>
    </row>
    <row r="174" ht="28.5" hidden="1" spans="2:15">
      <c r="B174" s="386">
        <f t="shared" si="53"/>
        <v>4</v>
      </c>
      <c r="C174" s="288" t="s">
        <v>692</v>
      </c>
      <c r="D174" s="388"/>
      <c r="E174" s="399"/>
      <c r="F174" s="384">
        <f t="shared" si="51"/>
        <v>0</v>
      </c>
      <c r="G174" s="387"/>
      <c r="H174" s="399"/>
      <c r="I174" s="399"/>
      <c r="J174" s="400">
        <f t="shared" si="52"/>
        <v>0</v>
      </c>
      <c r="K174" s="399"/>
      <c r="L174" s="399"/>
      <c r="M174" s="399"/>
      <c r="N174" s="399"/>
      <c r="O174" s="399"/>
    </row>
    <row r="175" s="367" customFormat="1" ht="28.5" hidden="1" spans="2:15">
      <c r="B175" s="386">
        <f t="shared" si="53"/>
        <v>5</v>
      </c>
      <c r="C175" s="389" t="s">
        <v>693</v>
      </c>
      <c r="D175" s="388"/>
      <c r="E175" s="384"/>
      <c r="F175" s="384">
        <f t="shared" si="51"/>
        <v>0</v>
      </c>
      <c r="G175" s="387"/>
      <c r="H175" s="384"/>
      <c r="I175" s="384"/>
      <c r="J175" s="400">
        <f t="shared" si="52"/>
        <v>0</v>
      </c>
      <c r="K175" s="384"/>
      <c r="L175" s="384"/>
      <c r="M175" s="384"/>
      <c r="N175" s="384"/>
      <c r="O175" s="384"/>
    </row>
    <row r="176" ht="28.5" hidden="1" spans="2:15">
      <c r="B176" s="386">
        <f t="shared" si="53"/>
        <v>6</v>
      </c>
      <c r="C176" s="288" t="s">
        <v>694</v>
      </c>
      <c r="D176" s="388"/>
      <c r="E176" s="384"/>
      <c r="F176" s="384">
        <f t="shared" si="51"/>
        <v>0</v>
      </c>
      <c r="G176" s="387"/>
      <c r="H176" s="384"/>
      <c r="I176" s="384"/>
      <c r="J176" s="400">
        <f t="shared" si="52"/>
        <v>0</v>
      </c>
      <c r="K176" s="384"/>
      <c r="L176" s="384"/>
      <c r="M176" s="384"/>
      <c r="N176" s="384"/>
      <c r="O176" s="384"/>
    </row>
    <row r="177" hidden="1" spans="2:15">
      <c r="B177" s="386">
        <f t="shared" si="53"/>
        <v>7</v>
      </c>
      <c r="C177" s="296" t="s">
        <v>695</v>
      </c>
      <c r="D177" s="388"/>
      <c r="E177" s="384">
        <f>E173-E174+E175-E176</f>
        <v>0</v>
      </c>
      <c r="F177" s="384">
        <f t="shared" si="51"/>
        <v>0</v>
      </c>
      <c r="G177" s="387"/>
      <c r="H177" s="384">
        <f>H173-H174+H175-H176</f>
        <v>0</v>
      </c>
      <c r="I177" s="384">
        <f>I173-I174+I175-I176</f>
        <v>0</v>
      </c>
      <c r="J177" s="400">
        <f t="shared" si="52"/>
        <v>0</v>
      </c>
      <c r="K177" s="384">
        <f>K173-K174+K175-K176</f>
        <v>0</v>
      </c>
      <c r="L177" s="384">
        <f>L173-L174+L175-L176</f>
        <v>0</v>
      </c>
      <c r="M177" s="384">
        <f>M173-M174+M175-M176</f>
        <v>0</v>
      </c>
      <c r="N177" s="384">
        <f>N173-N174+N175-N176</f>
        <v>0</v>
      </c>
      <c r="O177" s="384">
        <f>O173-O174+O175-O176</f>
        <v>0</v>
      </c>
    </row>
    <row r="178" hidden="1" spans="2:15">
      <c r="B178" s="386">
        <f t="shared" si="53"/>
        <v>8</v>
      </c>
      <c r="C178" s="296" t="s">
        <v>696</v>
      </c>
      <c r="D178" s="388"/>
      <c r="E178" s="384">
        <f>E171-E174+E175-E176</f>
        <v>0</v>
      </c>
      <c r="F178" s="384">
        <f t="shared" si="51"/>
        <v>0</v>
      </c>
      <c r="G178" s="387"/>
      <c r="H178" s="384">
        <f>H171-H174+H175-H176</f>
        <v>0</v>
      </c>
      <c r="I178" s="384">
        <f>I171-I174+I175-I176</f>
        <v>0</v>
      </c>
      <c r="J178" s="400">
        <f t="shared" si="52"/>
        <v>0</v>
      </c>
      <c r="K178" s="384">
        <f>K171-K174+K175-K176</f>
        <v>0</v>
      </c>
      <c r="L178" s="384">
        <f>L171-L174+L175-L176</f>
        <v>0</v>
      </c>
      <c r="M178" s="384">
        <f>M171-M174+M175-M176</f>
        <v>0</v>
      </c>
      <c r="N178" s="384">
        <f>N171-N174+N175-N176</f>
        <v>0</v>
      </c>
      <c r="O178" s="384">
        <f>O171-O174+O175-O176</f>
        <v>0</v>
      </c>
    </row>
    <row r="179" hidden="1" spans="2:15">
      <c r="B179" s="386">
        <f t="shared" si="53"/>
        <v>9</v>
      </c>
      <c r="C179" s="296" t="s">
        <v>697</v>
      </c>
      <c r="D179" s="388"/>
      <c r="E179" s="384">
        <f>AVERAGE(E173,E177)</f>
        <v>0</v>
      </c>
      <c r="F179" s="384">
        <f t="shared" si="51"/>
        <v>0</v>
      </c>
      <c r="G179" s="387"/>
      <c r="H179" s="384">
        <f>AVERAGE(H173,H177)</f>
        <v>0</v>
      </c>
      <c r="I179" s="384">
        <f>AVERAGE(I173,I177)</f>
        <v>0</v>
      </c>
      <c r="J179" s="400">
        <f t="shared" si="52"/>
        <v>0</v>
      </c>
      <c r="K179" s="384">
        <f>AVERAGE(K173,K177)</f>
        <v>0</v>
      </c>
      <c r="L179" s="384">
        <f>AVERAGE(L173,L177)</f>
        <v>0</v>
      </c>
      <c r="M179" s="384">
        <f>AVERAGE(M173,M177)</f>
        <v>0</v>
      </c>
      <c r="N179" s="384">
        <f>AVERAGE(N173,N177)</f>
        <v>0</v>
      </c>
      <c r="O179" s="384">
        <f>AVERAGE(O173,O177)</f>
        <v>0</v>
      </c>
    </row>
    <row r="180" ht="28.5" hidden="1" spans="2:15">
      <c r="B180" s="386">
        <f t="shared" si="53"/>
        <v>10</v>
      </c>
      <c r="C180" s="288" t="s">
        <v>698</v>
      </c>
      <c r="D180" s="388"/>
      <c r="E180" s="384"/>
      <c r="F180" s="384">
        <f t="shared" si="51"/>
        <v>0</v>
      </c>
      <c r="G180" s="387"/>
      <c r="H180" s="384"/>
      <c r="I180" s="384"/>
      <c r="J180" s="400">
        <f t="shared" si="52"/>
        <v>0</v>
      </c>
      <c r="K180" s="384"/>
      <c r="L180" s="384"/>
      <c r="M180" s="384"/>
      <c r="N180" s="384"/>
      <c r="O180" s="384"/>
    </row>
    <row r="181" hidden="1" spans="2:15">
      <c r="B181" s="386">
        <f t="shared" si="53"/>
        <v>11</v>
      </c>
      <c r="C181" s="296" t="s">
        <v>699</v>
      </c>
      <c r="D181" s="388"/>
      <c r="E181" s="384">
        <f>E179*E180</f>
        <v>0</v>
      </c>
      <c r="F181" s="384">
        <f t="shared" si="51"/>
        <v>0</v>
      </c>
      <c r="G181" s="387"/>
      <c r="H181" s="384">
        <f>H179*H180</f>
        <v>0</v>
      </c>
      <c r="I181" s="384">
        <f>I179*I180</f>
        <v>0</v>
      </c>
      <c r="J181" s="400">
        <f t="shared" si="52"/>
        <v>0</v>
      </c>
      <c r="K181" s="384">
        <f>K179*K180</f>
        <v>0</v>
      </c>
      <c r="L181" s="384">
        <f>L179*L180</f>
        <v>0</v>
      </c>
      <c r="M181" s="384">
        <f>M179*M180</f>
        <v>0</v>
      </c>
      <c r="N181" s="384">
        <f>N179*N180</f>
        <v>0</v>
      </c>
      <c r="O181" s="384">
        <f>O179*O180</f>
        <v>0</v>
      </c>
    </row>
    <row r="182" hidden="1" spans="2:15">
      <c r="B182" s="386">
        <f t="shared" si="53"/>
        <v>12</v>
      </c>
      <c r="C182" s="296" t="s">
        <v>700</v>
      </c>
      <c r="D182" s="388"/>
      <c r="E182" s="384"/>
      <c r="F182" s="384">
        <f t="shared" si="51"/>
        <v>0</v>
      </c>
      <c r="G182" s="387"/>
      <c r="H182" s="384"/>
      <c r="I182" s="384"/>
      <c r="J182" s="400">
        <f t="shared" si="52"/>
        <v>0</v>
      </c>
      <c r="K182" s="384"/>
      <c r="L182" s="384"/>
      <c r="M182" s="384"/>
      <c r="N182" s="384"/>
      <c r="O182" s="384"/>
    </row>
    <row r="183" hidden="1" spans="2:15">
      <c r="B183" s="386">
        <f t="shared" si="53"/>
        <v>13</v>
      </c>
      <c r="C183" s="296" t="s">
        <v>701</v>
      </c>
      <c r="D183" s="388"/>
      <c r="E183" s="384">
        <f>E181+E182</f>
        <v>0</v>
      </c>
      <c r="F183" s="384">
        <f t="shared" si="51"/>
        <v>0</v>
      </c>
      <c r="G183" s="387"/>
      <c r="H183" s="384">
        <f>H181+H182</f>
        <v>0</v>
      </c>
      <c r="I183" s="384">
        <f>I181+I182</f>
        <v>0</v>
      </c>
      <c r="J183" s="400">
        <f t="shared" si="52"/>
        <v>0</v>
      </c>
      <c r="K183" s="384">
        <f>K181+K182</f>
        <v>0</v>
      </c>
      <c r="L183" s="384">
        <f>L181+L182</f>
        <v>0</v>
      </c>
      <c r="M183" s="384">
        <f>M181+M182</f>
        <v>0</v>
      </c>
      <c r="N183" s="384">
        <f>N181+N182</f>
        <v>0</v>
      </c>
      <c r="O183" s="384">
        <f>O181+O182</f>
        <v>0</v>
      </c>
    </row>
    <row r="184" hidden="1"/>
    <row r="185" ht="15" hidden="1" spans="2:3">
      <c r="B185" s="276" t="s">
        <v>702</v>
      </c>
      <c r="C185" s="369" t="s">
        <v>703</v>
      </c>
    </row>
    <row r="186" ht="15" hidden="1" spans="12:12">
      <c r="L186" s="393" t="s">
        <v>109</v>
      </c>
    </row>
    <row r="187" ht="15" hidden="1" customHeight="1" spans="2:12">
      <c r="B187" s="372" t="s">
        <v>3</v>
      </c>
      <c r="C187" s="373" t="s">
        <v>110</v>
      </c>
      <c r="D187" s="374" t="s">
        <v>112</v>
      </c>
      <c r="E187" s="374" t="s">
        <v>760</v>
      </c>
      <c r="F187" s="375"/>
      <c r="G187" s="376"/>
      <c r="H187" s="285" t="s">
        <v>114</v>
      </c>
      <c r="I187" s="394"/>
      <c r="J187" s="394"/>
      <c r="K187" s="394"/>
      <c r="L187" s="286"/>
    </row>
    <row r="188" ht="15" hidden="1" spans="2:12">
      <c r="B188" s="377"/>
      <c r="C188" s="378"/>
      <c r="D188" s="379" t="s">
        <v>237</v>
      </c>
      <c r="E188" s="379" t="s">
        <v>119</v>
      </c>
      <c r="F188" s="379" t="s">
        <v>120</v>
      </c>
      <c r="G188" s="379" t="s">
        <v>238</v>
      </c>
      <c r="H188" s="379" t="s">
        <v>514</v>
      </c>
      <c r="I188" s="379" t="s">
        <v>515</v>
      </c>
      <c r="J188" s="379" t="s">
        <v>516</v>
      </c>
      <c r="K188" s="379" t="s">
        <v>517</v>
      </c>
      <c r="L188" s="379" t="s">
        <v>518</v>
      </c>
    </row>
    <row r="189" ht="15" hidden="1" spans="2:12">
      <c r="B189" s="380"/>
      <c r="C189" s="381"/>
      <c r="D189" s="379" t="s">
        <v>128</v>
      </c>
      <c r="E189" s="379" t="s">
        <v>130</v>
      </c>
      <c r="F189" s="379" t="s">
        <v>131</v>
      </c>
      <c r="G189" s="379" t="s">
        <v>131</v>
      </c>
      <c r="H189" s="379" t="s">
        <v>132</v>
      </c>
      <c r="I189" s="379" t="s">
        <v>132</v>
      </c>
      <c r="J189" s="379" t="s">
        <v>132</v>
      </c>
      <c r="K189" s="379" t="s">
        <v>132</v>
      </c>
      <c r="L189" s="379" t="s">
        <v>132</v>
      </c>
    </row>
    <row r="190" ht="15" hidden="1" spans="2:12">
      <c r="B190" s="386">
        <v>1</v>
      </c>
      <c r="C190" s="390" t="s">
        <v>663</v>
      </c>
      <c r="D190" s="296"/>
      <c r="E190" s="296"/>
      <c r="F190" s="296"/>
      <c r="G190" s="296"/>
      <c r="H190" s="296"/>
      <c r="I190" s="296"/>
      <c r="J190" s="296"/>
      <c r="K190" s="296"/>
      <c r="L190" s="296"/>
    </row>
    <row r="191" hidden="1" spans="2:12">
      <c r="B191" s="296"/>
      <c r="C191" s="296" t="s">
        <v>704</v>
      </c>
      <c r="D191" s="296"/>
      <c r="E191" s="296"/>
      <c r="F191" s="296"/>
      <c r="G191" s="296"/>
      <c r="H191" s="296"/>
      <c r="I191" s="296"/>
      <c r="J191" s="296"/>
      <c r="K191" s="296"/>
      <c r="L191" s="296"/>
    </row>
    <row r="192" hidden="1" spans="2:12">
      <c r="B192" s="296"/>
      <c r="C192" s="296" t="s">
        <v>705</v>
      </c>
      <c r="D192" s="296"/>
      <c r="E192" s="296"/>
      <c r="F192" s="296"/>
      <c r="G192" s="296"/>
      <c r="H192" s="296"/>
      <c r="I192" s="296"/>
      <c r="J192" s="296"/>
      <c r="K192" s="296"/>
      <c r="L192" s="296"/>
    </row>
    <row r="193" hidden="1" spans="2:12">
      <c r="B193" s="296"/>
      <c r="C193" s="296" t="s">
        <v>706</v>
      </c>
      <c r="D193" s="296"/>
      <c r="E193" s="296"/>
      <c r="F193" s="296"/>
      <c r="G193" s="296"/>
      <c r="H193" s="296"/>
      <c r="I193" s="296"/>
      <c r="J193" s="296"/>
      <c r="K193" s="296"/>
      <c r="L193" s="296"/>
    </row>
    <row r="194" hidden="1" spans="2:12">
      <c r="B194" s="296"/>
      <c r="C194" s="296" t="s">
        <v>707</v>
      </c>
      <c r="D194" s="384">
        <f>D191+D192-D193</f>
        <v>0</v>
      </c>
      <c r="E194" s="384">
        <f t="shared" ref="E194:L194" si="54">E191+E192-E193</f>
        <v>0</v>
      </c>
      <c r="F194" s="384">
        <f t="shared" si="54"/>
        <v>0</v>
      </c>
      <c r="G194" s="384">
        <f t="shared" si="54"/>
        <v>0</v>
      </c>
      <c r="H194" s="384">
        <f t="shared" si="54"/>
        <v>0</v>
      </c>
      <c r="I194" s="384">
        <f t="shared" si="54"/>
        <v>0</v>
      </c>
      <c r="J194" s="384">
        <f t="shared" si="54"/>
        <v>0</v>
      </c>
      <c r="K194" s="384">
        <f t="shared" si="54"/>
        <v>0</v>
      </c>
      <c r="L194" s="384">
        <f t="shared" si="54"/>
        <v>0</v>
      </c>
    </row>
    <row r="195" hidden="1" spans="2:12">
      <c r="B195" s="296"/>
      <c r="C195" s="296" t="s">
        <v>708</v>
      </c>
      <c r="D195" s="384">
        <f t="shared" ref="D195:L195" si="55">AVERAGE(D194,D191)</f>
        <v>0</v>
      </c>
      <c r="E195" s="384">
        <f t="shared" si="55"/>
        <v>0</v>
      </c>
      <c r="F195" s="384">
        <f t="shared" si="55"/>
        <v>0</v>
      </c>
      <c r="G195" s="384">
        <f t="shared" si="55"/>
        <v>0</v>
      </c>
      <c r="H195" s="384">
        <f t="shared" si="55"/>
        <v>0</v>
      </c>
      <c r="I195" s="384">
        <f t="shared" si="55"/>
        <v>0</v>
      </c>
      <c r="J195" s="384">
        <f t="shared" si="55"/>
        <v>0</v>
      </c>
      <c r="K195" s="384">
        <f t="shared" si="55"/>
        <v>0</v>
      </c>
      <c r="L195" s="384">
        <f t="shared" si="55"/>
        <v>0</v>
      </c>
    </row>
    <row r="196" hidden="1" spans="2:12">
      <c r="B196" s="296"/>
      <c r="C196" s="296" t="s">
        <v>709</v>
      </c>
      <c r="D196" s="296"/>
      <c r="E196" s="296"/>
      <c r="F196" s="296"/>
      <c r="G196" s="296"/>
      <c r="H196" s="296"/>
      <c r="I196" s="296"/>
      <c r="J196" s="296"/>
      <c r="K196" s="296"/>
      <c r="L196" s="296"/>
    </row>
    <row r="197" hidden="1" spans="2:12">
      <c r="B197" s="296"/>
      <c r="C197" s="296" t="s">
        <v>699</v>
      </c>
      <c r="D197" s="384">
        <f>D195*D196</f>
        <v>0</v>
      </c>
      <c r="E197" s="384">
        <f t="shared" ref="E197:L197" si="56">E195*E196</f>
        <v>0</v>
      </c>
      <c r="F197" s="384">
        <f t="shared" si="56"/>
        <v>0</v>
      </c>
      <c r="G197" s="384">
        <f t="shared" si="56"/>
        <v>0</v>
      </c>
      <c r="H197" s="384">
        <f t="shared" si="56"/>
        <v>0</v>
      </c>
      <c r="I197" s="384">
        <f t="shared" si="56"/>
        <v>0</v>
      </c>
      <c r="J197" s="384">
        <f t="shared" si="56"/>
        <v>0</v>
      </c>
      <c r="K197" s="384">
        <f t="shared" si="56"/>
        <v>0</v>
      </c>
      <c r="L197" s="384">
        <f t="shared" si="56"/>
        <v>0</v>
      </c>
    </row>
    <row r="198" hidden="1" spans="2:12">
      <c r="B198" s="296"/>
      <c r="C198" s="296" t="s">
        <v>700</v>
      </c>
      <c r="D198" s="296"/>
      <c r="E198" s="296"/>
      <c r="F198" s="296"/>
      <c r="G198" s="296"/>
      <c r="H198" s="296"/>
      <c r="I198" s="296"/>
      <c r="J198" s="296"/>
      <c r="K198" s="296"/>
      <c r="L198" s="296"/>
    </row>
    <row r="199" hidden="1" spans="2:12">
      <c r="B199" s="296"/>
      <c r="C199" s="296" t="s">
        <v>701</v>
      </c>
      <c r="D199" s="384">
        <f>D197+D198</f>
        <v>0</v>
      </c>
      <c r="E199" s="384">
        <f t="shared" ref="E199:L199" si="57">E197+E198</f>
        <v>0</v>
      </c>
      <c r="F199" s="384">
        <f t="shared" si="57"/>
        <v>0</v>
      </c>
      <c r="G199" s="384">
        <f t="shared" si="57"/>
        <v>0</v>
      </c>
      <c r="H199" s="384">
        <f t="shared" si="57"/>
        <v>0</v>
      </c>
      <c r="I199" s="384">
        <f t="shared" si="57"/>
        <v>0</v>
      </c>
      <c r="J199" s="384">
        <f t="shared" si="57"/>
        <v>0</v>
      </c>
      <c r="K199" s="384">
        <f t="shared" si="57"/>
        <v>0</v>
      </c>
      <c r="L199" s="384">
        <f t="shared" si="57"/>
        <v>0</v>
      </c>
    </row>
    <row r="200" ht="15" hidden="1" spans="2:12">
      <c r="B200" s="386">
        <v>2</v>
      </c>
      <c r="C200" s="390" t="s">
        <v>664</v>
      </c>
      <c r="D200" s="296"/>
      <c r="E200" s="296"/>
      <c r="F200" s="296"/>
      <c r="G200" s="296"/>
      <c r="H200" s="296"/>
      <c r="I200" s="296"/>
      <c r="J200" s="296"/>
      <c r="K200" s="296"/>
      <c r="L200" s="296"/>
    </row>
    <row r="201" hidden="1" spans="2:12">
      <c r="B201" s="296"/>
      <c r="C201" s="296" t="s">
        <v>704</v>
      </c>
      <c r="D201" s="296"/>
      <c r="E201" s="296"/>
      <c r="F201" s="296"/>
      <c r="G201" s="296"/>
      <c r="H201" s="296"/>
      <c r="I201" s="296"/>
      <c r="J201" s="296"/>
      <c r="K201" s="296"/>
      <c r="L201" s="296"/>
    </row>
    <row r="202" hidden="1" spans="2:12">
      <c r="B202" s="296"/>
      <c r="C202" s="296" t="s">
        <v>705</v>
      </c>
      <c r="D202" s="296"/>
      <c r="E202" s="296"/>
      <c r="F202" s="296"/>
      <c r="G202" s="296"/>
      <c r="H202" s="296"/>
      <c r="I202" s="296"/>
      <c r="J202" s="296"/>
      <c r="K202" s="296"/>
      <c r="L202" s="296"/>
    </row>
    <row r="203" hidden="1" spans="2:12">
      <c r="B203" s="296"/>
      <c r="C203" s="296" t="s">
        <v>706</v>
      </c>
      <c r="D203" s="296"/>
      <c r="E203" s="296"/>
      <c r="F203" s="296"/>
      <c r="G203" s="296"/>
      <c r="H203" s="296"/>
      <c r="I203" s="296"/>
      <c r="J203" s="296"/>
      <c r="K203" s="296"/>
      <c r="L203" s="296"/>
    </row>
    <row r="204" hidden="1" spans="2:12">
      <c r="B204" s="296"/>
      <c r="C204" s="296" t="s">
        <v>707</v>
      </c>
      <c r="D204" s="384">
        <f>D201+D202-D203</f>
        <v>0</v>
      </c>
      <c r="E204" s="384">
        <f t="shared" ref="E204:L204" si="58">E201+E202-E203</f>
        <v>0</v>
      </c>
      <c r="F204" s="384">
        <f t="shared" si="58"/>
        <v>0</v>
      </c>
      <c r="G204" s="384">
        <f t="shared" si="58"/>
        <v>0</v>
      </c>
      <c r="H204" s="384">
        <f t="shared" si="58"/>
        <v>0</v>
      </c>
      <c r="I204" s="384">
        <f t="shared" si="58"/>
        <v>0</v>
      </c>
      <c r="J204" s="384">
        <f t="shared" si="58"/>
        <v>0</v>
      </c>
      <c r="K204" s="384">
        <f t="shared" si="58"/>
        <v>0</v>
      </c>
      <c r="L204" s="384">
        <f t="shared" si="58"/>
        <v>0</v>
      </c>
    </row>
    <row r="205" hidden="1" spans="2:12">
      <c r="B205" s="296"/>
      <c r="C205" s="296" t="s">
        <v>708</v>
      </c>
      <c r="D205" s="384">
        <f t="shared" ref="D205:L205" si="59">AVERAGE(D204,D201)</f>
        <v>0</v>
      </c>
      <c r="E205" s="384">
        <f t="shared" si="59"/>
        <v>0</v>
      </c>
      <c r="F205" s="384">
        <f t="shared" si="59"/>
        <v>0</v>
      </c>
      <c r="G205" s="384">
        <f t="shared" si="59"/>
        <v>0</v>
      </c>
      <c r="H205" s="384">
        <f t="shared" si="59"/>
        <v>0</v>
      </c>
      <c r="I205" s="384">
        <f t="shared" si="59"/>
        <v>0</v>
      </c>
      <c r="J205" s="384">
        <f t="shared" si="59"/>
        <v>0</v>
      </c>
      <c r="K205" s="384">
        <f t="shared" si="59"/>
        <v>0</v>
      </c>
      <c r="L205" s="384">
        <f t="shared" si="59"/>
        <v>0</v>
      </c>
    </row>
    <row r="206" hidden="1" spans="2:12">
      <c r="B206" s="296"/>
      <c r="C206" s="296" t="s">
        <v>709</v>
      </c>
      <c r="D206" s="296"/>
      <c r="E206" s="296"/>
      <c r="F206" s="296"/>
      <c r="G206" s="296"/>
      <c r="H206" s="296"/>
      <c r="I206" s="296"/>
      <c r="J206" s="296"/>
      <c r="K206" s="296"/>
      <c r="L206" s="296"/>
    </row>
    <row r="207" hidden="1" spans="2:12">
      <c r="B207" s="296"/>
      <c r="C207" s="296" t="s">
        <v>699</v>
      </c>
      <c r="D207" s="384">
        <f>D205*D206</f>
        <v>0</v>
      </c>
      <c r="E207" s="384">
        <f t="shared" ref="E207:L207" si="60">E205*E206</f>
        <v>0</v>
      </c>
      <c r="F207" s="384">
        <f t="shared" si="60"/>
        <v>0</v>
      </c>
      <c r="G207" s="384">
        <f t="shared" si="60"/>
        <v>0</v>
      </c>
      <c r="H207" s="384">
        <f t="shared" si="60"/>
        <v>0</v>
      </c>
      <c r="I207" s="384">
        <f t="shared" si="60"/>
        <v>0</v>
      </c>
      <c r="J207" s="384">
        <f t="shared" si="60"/>
        <v>0</v>
      </c>
      <c r="K207" s="384">
        <f t="shared" si="60"/>
        <v>0</v>
      </c>
      <c r="L207" s="384">
        <f t="shared" si="60"/>
        <v>0</v>
      </c>
    </row>
    <row r="208" hidden="1" spans="2:12">
      <c r="B208" s="296"/>
      <c r="C208" s="296" t="s">
        <v>700</v>
      </c>
      <c r="D208" s="296"/>
      <c r="E208" s="296"/>
      <c r="F208" s="296"/>
      <c r="G208" s="296"/>
      <c r="H208" s="296"/>
      <c r="I208" s="296"/>
      <c r="J208" s="296"/>
      <c r="K208" s="296"/>
      <c r="L208" s="296"/>
    </row>
    <row r="209" hidden="1" spans="2:12">
      <c r="B209" s="296"/>
      <c r="C209" s="296" t="s">
        <v>701</v>
      </c>
      <c r="D209" s="384">
        <f>D207+D208</f>
        <v>0</v>
      </c>
      <c r="E209" s="384">
        <f t="shared" ref="E209:L209" si="61">E207+E208</f>
        <v>0</v>
      </c>
      <c r="F209" s="384">
        <f t="shared" si="61"/>
        <v>0</v>
      </c>
      <c r="G209" s="384">
        <f t="shared" si="61"/>
        <v>0</v>
      </c>
      <c r="H209" s="384">
        <f t="shared" si="61"/>
        <v>0</v>
      </c>
      <c r="I209" s="384">
        <f t="shared" si="61"/>
        <v>0</v>
      </c>
      <c r="J209" s="384">
        <f t="shared" si="61"/>
        <v>0</v>
      </c>
      <c r="K209" s="384">
        <f t="shared" si="61"/>
        <v>0</v>
      </c>
      <c r="L209" s="384">
        <f t="shared" si="61"/>
        <v>0</v>
      </c>
    </row>
    <row r="210" hidden="1" spans="2:12">
      <c r="B210" s="296"/>
      <c r="C210" s="296" t="s">
        <v>710</v>
      </c>
      <c r="D210" s="296"/>
      <c r="E210" s="296"/>
      <c r="F210" s="296"/>
      <c r="G210" s="296"/>
      <c r="H210" s="296"/>
      <c r="I210" s="296"/>
      <c r="J210" s="296"/>
      <c r="K210" s="296"/>
      <c r="L210" s="296"/>
    </row>
    <row r="211" ht="15" hidden="1" spans="2:12">
      <c r="B211" s="386"/>
      <c r="C211" s="390" t="s">
        <v>97</v>
      </c>
      <c r="D211" s="296"/>
      <c r="E211" s="296"/>
      <c r="F211" s="296"/>
      <c r="G211" s="296"/>
      <c r="H211" s="296"/>
      <c r="I211" s="296"/>
      <c r="J211" s="296"/>
      <c r="K211" s="296"/>
      <c r="L211" s="296"/>
    </row>
    <row r="212" hidden="1" spans="2:12">
      <c r="B212" s="296"/>
      <c r="C212" s="296" t="s">
        <v>704</v>
      </c>
      <c r="D212" s="296"/>
      <c r="E212" s="296"/>
      <c r="F212" s="296"/>
      <c r="G212" s="296"/>
      <c r="H212" s="296"/>
      <c r="I212" s="296"/>
      <c r="J212" s="296"/>
      <c r="K212" s="296"/>
      <c r="L212" s="296"/>
    </row>
    <row r="213" hidden="1" spans="2:12">
      <c r="B213" s="296"/>
      <c r="C213" s="296" t="s">
        <v>705</v>
      </c>
      <c r="D213" s="296"/>
      <c r="E213" s="296"/>
      <c r="F213" s="296"/>
      <c r="G213" s="296"/>
      <c r="H213" s="296"/>
      <c r="I213" s="296"/>
      <c r="J213" s="296"/>
      <c r="K213" s="296"/>
      <c r="L213" s="296"/>
    </row>
    <row r="214" hidden="1" spans="2:12">
      <c r="B214" s="296"/>
      <c r="C214" s="296" t="s">
        <v>706</v>
      </c>
      <c r="D214" s="296"/>
      <c r="E214" s="296"/>
      <c r="F214" s="296"/>
      <c r="G214" s="296"/>
      <c r="H214" s="296"/>
      <c r="I214" s="296"/>
      <c r="J214" s="296"/>
      <c r="K214" s="296"/>
      <c r="L214" s="296"/>
    </row>
    <row r="215" hidden="1" spans="2:12">
      <c r="B215" s="296"/>
      <c r="C215" s="296" t="s">
        <v>707</v>
      </c>
      <c r="D215" s="384">
        <f>D212+D213-D214</f>
        <v>0</v>
      </c>
      <c r="E215" s="384">
        <f t="shared" ref="E215:L215" si="62">E212+E213-E214</f>
        <v>0</v>
      </c>
      <c r="F215" s="384">
        <f t="shared" si="62"/>
        <v>0</v>
      </c>
      <c r="G215" s="384">
        <f t="shared" si="62"/>
        <v>0</v>
      </c>
      <c r="H215" s="384">
        <f t="shared" si="62"/>
        <v>0</v>
      </c>
      <c r="I215" s="384">
        <f t="shared" si="62"/>
        <v>0</v>
      </c>
      <c r="J215" s="384">
        <f t="shared" si="62"/>
        <v>0</v>
      </c>
      <c r="K215" s="384">
        <f t="shared" si="62"/>
        <v>0</v>
      </c>
      <c r="L215" s="384">
        <f t="shared" si="62"/>
        <v>0</v>
      </c>
    </row>
    <row r="216" hidden="1" spans="2:12">
      <c r="B216" s="296"/>
      <c r="C216" s="296" t="s">
        <v>708</v>
      </c>
      <c r="D216" s="384">
        <f t="shared" ref="D216:L216" si="63">AVERAGE(D215,D212)</f>
        <v>0</v>
      </c>
      <c r="E216" s="384">
        <f t="shared" si="63"/>
        <v>0</v>
      </c>
      <c r="F216" s="384">
        <f t="shared" si="63"/>
        <v>0</v>
      </c>
      <c r="G216" s="384">
        <f t="shared" si="63"/>
        <v>0</v>
      </c>
      <c r="H216" s="384">
        <f t="shared" si="63"/>
        <v>0</v>
      </c>
      <c r="I216" s="384">
        <f t="shared" si="63"/>
        <v>0</v>
      </c>
      <c r="J216" s="384">
        <f t="shared" si="63"/>
        <v>0</v>
      </c>
      <c r="K216" s="384">
        <f t="shared" si="63"/>
        <v>0</v>
      </c>
      <c r="L216" s="384">
        <f t="shared" si="63"/>
        <v>0</v>
      </c>
    </row>
    <row r="217" hidden="1" spans="2:12">
      <c r="B217" s="296"/>
      <c r="C217" s="296" t="s">
        <v>709</v>
      </c>
      <c r="D217" s="296"/>
      <c r="E217" s="296"/>
      <c r="F217" s="296"/>
      <c r="G217" s="296"/>
      <c r="H217" s="296"/>
      <c r="I217" s="296"/>
      <c r="J217" s="296"/>
      <c r="K217" s="296"/>
      <c r="L217" s="296"/>
    </row>
    <row r="218" hidden="1" spans="2:12">
      <c r="B218" s="296"/>
      <c r="C218" s="296" t="s">
        <v>699</v>
      </c>
      <c r="D218" s="384">
        <f>D216*D217</f>
        <v>0</v>
      </c>
      <c r="E218" s="384">
        <f t="shared" ref="E218:L218" si="64">E216*E217</f>
        <v>0</v>
      </c>
      <c r="F218" s="384">
        <f t="shared" si="64"/>
        <v>0</v>
      </c>
      <c r="G218" s="384">
        <f t="shared" si="64"/>
        <v>0</v>
      </c>
      <c r="H218" s="384">
        <f t="shared" si="64"/>
        <v>0</v>
      </c>
      <c r="I218" s="384">
        <f t="shared" si="64"/>
        <v>0</v>
      </c>
      <c r="J218" s="384">
        <f t="shared" si="64"/>
        <v>0</v>
      </c>
      <c r="K218" s="384">
        <f t="shared" si="64"/>
        <v>0</v>
      </c>
      <c r="L218" s="384">
        <f t="shared" si="64"/>
        <v>0</v>
      </c>
    </row>
    <row r="219" hidden="1" spans="2:12">
      <c r="B219" s="296"/>
      <c r="C219" s="296" t="s">
        <v>700</v>
      </c>
      <c r="D219" s="296"/>
      <c r="E219" s="296"/>
      <c r="F219" s="296"/>
      <c r="G219" s="296"/>
      <c r="H219" s="296"/>
      <c r="I219" s="296"/>
      <c r="J219" s="296"/>
      <c r="K219" s="296"/>
      <c r="L219" s="296"/>
    </row>
    <row r="220" hidden="1" spans="2:12">
      <c r="B220" s="296"/>
      <c r="C220" s="296" t="s">
        <v>701</v>
      </c>
      <c r="D220" s="384">
        <f>D218+D219</f>
        <v>0</v>
      </c>
      <c r="E220" s="384">
        <f t="shared" ref="E220:L220" si="65">E218+E219</f>
        <v>0</v>
      </c>
      <c r="F220" s="384">
        <f t="shared" si="65"/>
        <v>0</v>
      </c>
      <c r="G220" s="384">
        <f t="shared" si="65"/>
        <v>0</v>
      </c>
      <c r="H220" s="384">
        <f t="shared" si="65"/>
        <v>0</v>
      </c>
      <c r="I220" s="384">
        <f t="shared" si="65"/>
        <v>0</v>
      </c>
      <c r="J220" s="384">
        <f t="shared" si="65"/>
        <v>0</v>
      </c>
      <c r="K220" s="384">
        <f t="shared" si="65"/>
        <v>0</v>
      </c>
      <c r="L220" s="384">
        <f t="shared" si="65"/>
        <v>0</v>
      </c>
    </row>
    <row r="221" hidden="1"/>
    <row r="222" ht="15" hidden="1" spans="2:8">
      <c r="B222" s="367" t="s">
        <v>764</v>
      </c>
      <c r="H222" s="370"/>
    </row>
    <row r="223" ht="15" hidden="1" spans="2:12">
      <c r="B223" s="276" t="s">
        <v>687</v>
      </c>
      <c r="C223" s="369" t="s">
        <v>688</v>
      </c>
      <c r="D223" s="371"/>
      <c r="E223" s="371"/>
      <c r="F223" s="371"/>
      <c r="G223" s="371"/>
      <c r="H223" s="371"/>
      <c r="I223" s="371"/>
      <c r="J223" s="371"/>
      <c r="K223" s="371"/>
      <c r="L223" s="371"/>
    </row>
    <row r="224" ht="15" hidden="1" spans="15:15">
      <c r="O224" s="393" t="s">
        <v>109</v>
      </c>
    </row>
    <row r="225" s="366" customFormat="1" ht="15" hidden="1" customHeight="1" spans="2:15">
      <c r="B225" s="372" t="s">
        <v>3</v>
      </c>
      <c r="C225" s="401" t="s">
        <v>110</v>
      </c>
      <c r="D225" s="374" t="s">
        <v>112</v>
      </c>
      <c r="E225" s="375"/>
      <c r="F225" s="376"/>
      <c r="G225" s="374" t="s">
        <v>760</v>
      </c>
      <c r="H225" s="375"/>
      <c r="I225" s="375"/>
      <c r="J225" s="376"/>
      <c r="K225" s="403" t="s">
        <v>114</v>
      </c>
      <c r="L225" s="403"/>
      <c r="M225" s="403"/>
      <c r="N225" s="403"/>
      <c r="O225" s="403"/>
    </row>
    <row r="226" s="366" customFormat="1" ht="30" hidden="1" spans="2:15">
      <c r="B226" s="377"/>
      <c r="C226" s="401"/>
      <c r="D226" s="379" t="s">
        <v>116</v>
      </c>
      <c r="E226" s="379" t="s">
        <v>237</v>
      </c>
      <c r="F226" s="379" t="s">
        <v>118</v>
      </c>
      <c r="G226" s="379" t="s">
        <v>116</v>
      </c>
      <c r="H226" s="379" t="s">
        <v>119</v>
      </c>
      <c r="I226" s="379" t="s">
        <v>120</v>
      </c>
      <c r="J226" s="379" t="s">
        <v>238</v>
      </c>
      <c r="K226" s="379" t="s">
        <v>514</v>
      </c>
      <c r="L226" s="379" t="s">
        <v>515</v>
      </c>
      <c r="M226" s="379" t="s">
        <v>516</v>
      </c>
      <c r="N226" s="379" t="s">
        <v>517</v>
      </c>
      <c r="O226" s="379" t="s">
        <v>518</v>
      </c>
    </row>
    <row r="227" s="366" customFormat="1" ht="15" hidden="1" spans="2:15">
      <c r="B227" s="402"/>
      <c r="C227" s="386"/>
      <c r="D227" s="379" t="s">
        <v>127</v>
      </c>
      <c r="E227" s="379" t="s">
        <v>128</v>
      </c>
      <c r="F227" s="379" t="s">
        <v>129</v>
      </c>
      <c r="G227" s="379" t="s">
        <v>127</v>
      </c>
      <c r="H227" s="379" t="s">
        <v>130</v>
      </c>
      <c r="I227" s="379" t="s">
        <v>131</v>
      </c>
      <c r="J227" s="379" t="s">
        <v>131</v>
      </c>
      <c r="K227" s="379" t="s">
        <v>132</v>
      </c>
      <c r="L227" s="379" t="s">
        <v>132</v>
      </c>
      <c r="M227" s="379" t="s">
        <v>132</v>
      </c>
      <c r="N227" s="379" t="s">
        <v>132</v>
      </c>
      <c r="O227" s="379" t="s">
        <v>132</v>
      </c>
    </row>
    <row r="228" hidden="1" spans="2:15">
      <c r="B228" s="382">
        <v>1</v>
      </c>
      <c r="C228" s="296" t="s">
        <v>689</v>
      </c>
      <c r="D228" s="383"/>
      <c r="E228" s="384"/>
      <c r="F228" s="384">
        <f>E228-D228</f>
        <v>0</v>
      </c>
      <c r="G228" s="385"/>
      <c r="H228" s="384"/>
      <c r="I228" s="384"/>
      <c r="J228" s="400">
        <f>F235</f>
        <v>0</v>
      </c>
      <c r="K228" s="384">
        <f>J235</f>
        <v>0</v>
      </c>
      <c r="L228" s="384">
        <f>K235</f>
        <v>0</v>
      </c>
      <c r="M228" s="384">
        <f>L235</f>
        <v>0</v>
      </c>
      <c r="N228" s="384">
        <f>M235</f>
        <v>0</v>
      </c>
      <c r="O228" s="384">
        <f>N235</f>
        <v>0</v>
      </c>
    </row>
    <row r="229" hidden="1" spans="2:15">
      <c r="B229" s="386">
        <f>B228+1</f>
        <v>2</v>
      </c>
      <c r="C229" s="296" t="s">
        <v>690</v>
      </c>
      <c r="D229" s="383"/>
      <c r="E229" s="384"/>
      <c r="F229" s="384">
        <f t="shared" ref="F229:F240" si="66">E229-D229</f>
        <v>0</v>
      </c>
      <c r="G229" s="385"/>
      <c r="H229" s="384"/>
      <c r="I229" s="384"/>
      <c r="J229" s="400">
        <f t="shared" ref="J229:J240" si="67">H229+I229</f>
        <v>0</v>
      </c>
      <c r="K229" s="384"/>
      <c r="L229" s="384"/>
      <c r="M229" s="384"/>
      <c r="N229" s="384"/>
      <c r="O229" s="384"/>
    </row>
    <row r="230" hidden="1" spans="2:15">
      <c r="B230" s="386">
        <f t="shared" ref="B230:B240" si="68">B229+1</f>
        <v>3</v>
      </c>
      <c r="C230" s="387" t="s">
        <v>691</v>
      </c>
      <c r="D230" s="383"/>
      <c r="E230" s="384">
        <f>E228-E229</f>
        <v>0</v>
      </c>
      <c r="F230" s="384">
        <f t="shared" si="66"/>
        <v>0</v>
      </c>
      <c r="G230" s="385"/>
      <c r="H230" s="384">
        <f>H228-H229</f>
        <v>0</v>
      </c>
      <c r="I230" s="384">
        <f>I228-I229</f>
        <v>0</v>
      </c>
      <c r="J230" s="400">
        <f t="shared" si="67"/>
        <v>0</v>
      </c>
      <c r="K230" s="384">
        <f>K228-K229</f>
        <v>0</v>
      </c>
      <c r="L230" s="384">
        <f>L228-L229</f>
        <v>0</v>
      </c>
      <c r="M230" s="384">
        <f>M228-M229</f>
        <v>0</v>
      </c>
      <c r="N230" s="384">
        <f>N228-N229</f>
        <v>0</v>
      </c>
      <c r="O230" s="384">
        <f>O228-O229</f>
        <v>0</v>
      </c>
    </row>
    <row r="231" ht="28.5" hidden="1" spans="2:15">
      <c r="B231" s="386">
        <f t="shared" si="68"/>
        <v>4</v>
      </c>
      <c r="C231" s="288" t="s">
        <v>692</v>
      </c>
      <c r="D231" s="388"/>
      <c r="E231" s="399"/>
      <c r="F231" s="384">
        <f t="shared" si="66"/>
        <v>0</v>
      </c>
      <c r="G231" s="387"/>
      <c r="H231" s="399"/>
      <c r="I231" s="399"/>
      <c r="J231" s="400">
        <f t="shared" si="67"/>
        <v>0</v>
      </c>
      <c r="K231" s="399"/>
      <c r="L231" s="399"/>
      <c r="M231" s="399"/>
      <c r="N231" s="399"/>
      <c r="O231" s="399"/>
    </row>
    <row r="232" s="367" customFormat="1" ht="28.5" hidden="1" spans="2:15">
      <c r="B232" s="386">
        <f t="shared" si="68"/>
        <v>5</v>
      </c>
      <c r="C232" s="389" t="s">
        <v>693</v>
      </c>
      <c r="D232" s="388"/>
      <c r="E232" s="384"/>
      <c r="F232" s="384">
        <f t="shared" si="66"/>
        <v>0</v>
      </c>
      <c r="G232" s="387"/>
      <c r="H232" s="384"/>
      <c r="I232" s="384"/>
      <c r="J232" s="400">
        <f t="shared" si="67"/>
        <v>0</v>
      </c>
      <c r="K232" s="384"/>
      <c r="L232" s="384"/>
      <c r="M232" s="384"/>
      <c r="N232" s="384"/>
      <c r="O232" s="384"/>
    </row>
    <row r="233" ht="28.5" hidden="1" spans="2:15">
      <c r="B233" s="386">
        <f t="shared" si="68"/>
        <v>6</v>
      </c>
      <c r="C233" s="288" t="s">
        <v>694</v>
      </c>
      <c r="D233" s="388"/>
      <c r="E233" s="384"/>
      <c r="F233" s="384">
        <f t="shared" si="66"/>
        <v>0</v>
      </c>
      <c r="G233" s="387"/>
      <c r="H233" s="384"/>
      <c r="I233" s="384"/>
      <c r="J233" s="400">
        <f t="shared" si="67"/>
        <v>0</v>
      </c>
      <c r="K233" s="384"/>
      <c r="L233" s="384"/>
      <c r="M233" s="384"/>
      <c r="N233" s="384"/>
      <c r="O233" s="384"/>
    </row>
    <row r="234" hidden="1" spans="2:15">
      <c r="B234" s="386">
        <f t="shared" si="68"/>
        <v>7</v>
      </c>
      <c r="C234" s="296" t="s">
        <v>695</v>
      </c>
      <c r="D234" s="388"/>
      <c r="E234" s="384">
        <f>E230-E231+E232-E233</f>
        <v>0</v>
      </c>
      <c r="F234" s="384">
        <f t="shared" si="66"/>
        <v>0</v>
      </c>
      <c r="G234" s="387"/>
      <c r="H234" s="384">
        <f>H230-H231+H232-H233</f>
        <v>0</v>
      </c>
      <c r="I234" s="384">
        <f>I230-I231+I232-I233</f>
        <v>0</v>
      </c>
      <c r="J234" s="400">
        <f t="shared" si="67"/>
        <v>0</v>
      </c>
      <c r="K234" s="384">
        <f>K230-K231+K232-K233</f>
        <v>0</v>
      </c>
      <c r="L234" s="384">
        <f>L230-L231+L232-L233</f>
        <v>0</v>
      </c>
      <c r="M234" s="384">
        <f>M230-M231+M232-M233</f>
        <v>0</v>
      </c>
      <c r="N234" s="384">
        <f>N230-N231+N232-N233</f>
        <v>0</v>
      </c>
      <c r="O234" s="384">
        <f>O230-O231+O232-O233</f>
        <v>0</v>
      </c>
    </row>
    <row r="235" hidden="1" spans="2:15">
      <c r="B235" s="386">
        <f t="shared" si="68"/>
        <v>8</v>
      </c>
      <c r="C235" s="296" t="s">
        <v>696</v>
      </c>
      <c r="D235" s="388"/>
      <c r="E235" s="384">
        <f>E228-E231+E232-E233</f>
        <v>0</v>
      </c>
      <c r="F235" s="384">
        <f t="shared" si="66"/>
        <v>0</v>
      </c>
      <c r="G235" s="387"/>
      <c r="H235" s="384">
        <f>H228-H231+H232-H233</f>
        <v>0</v>
      </c>
      <c r="I235" s="384">
        <f>I228-I231+I232-I233</f>
        <v>0</v>
      </c>
      <c r="J235" s="400">
        <f t="shared" si="67"/>
        <v>0</v>
      </c>
      <c r="K235" s="384">
        <f>K228-K231+K232-K233</f>
        <v>0</v>
      </c>
      <c r="L235" s="384">
        <f>L228-L231+L232-L233</f>
        <v>0</v>
      </c>
      <c r="M235" s="384">
        <f>M228-M231+M232-M233</f>
        <v>0</v>
      </c>
      <c r="N235" s="384">
        <f>N228-N231+N232-N233</f>
        <v>0</v>
      </c>
      <c r="O235" s="384">
        <f>O228-O231+O232-O233</f>
        <v>0</v>
      </c>
    </row>
    <row r="236" hidden="1" spans="2:15">
      <c r="B236" s="386">
        <f t="shared" si="68"/>
        <v>9</v>
      </c>
      <c r="C236" s="296" t="s">
        <v>697</v>
      </c>
      <c r="D236" s="388"/>
      <c r="E236" s="384">
        <f>AVERAGE(E230,E234)</f>
        <v>0</v>
      </c>
      <c r="F236" s="384">
        <f t="shared" si="66"/>
        <v>0</v>
      </c>
      <c r="G236" s="387"/>
      <c r="H236" s="384">
        <f>AVERAGE(H230,H234)</f>
        <v>0</v>
      </c>
      <c r="I236" s="384">
        <f>AVERAGE(I230,I234)</f>
        <v>0</v>
      </c>
      <c r="J236" s="400">
        <f t="shared" si="67"/>
        <v>0</v>
      </c>
      <c r="K236" s="384">
        <f>AVERAGE(K230,K234)</f>
        <v>0</v>
      </c>
      <c r="L236" s="384">
        <f>AVERAGE(L230,L234)</f>
        <v>0</v>
      </c>
      <c r="M236" s="384">
        <f>AVERAGE(M230,M234)</f>
        <v>0</v>
      </c>
      <c r="N236" s="384">
        <f>AVERAGE(N230,N234)</f>
        <v>0</v>
      </c>
      <c r="O236" s="384">
        <f>AVERAGE(O230,O234)</f>
        <v>0</v>
      </c>
    </row>
    <row r="237" ht="28.5" hidden="1" spans="2:15">
      <c r="B237" s="386">
        <f t="shared" si="68"/>
        <v>10</v>
      </c>
      <c r="C237" s="288" t="s">
        <v>698</v>
      </c>
      <c r="D237" s="388"/>
      <c r="E237" s="384"/>
      <c r="F237" s="384">
        <f t="shared" si="66"/>
        <v>0</v>
      </c>
      <c r="G237" s="387"/>
      <c r="H237" s="384"/>
      <c r="I237" s="384"/>
      <c r="J237" s="400">
        <f t="shared" si="67"/>
        <v>0</v>
      </c>
      <c r="K237" s="384"/>
      <c r="L237" s="384"/>
      <c r="M237" s="384"/>
      <c r="N237" s="384"/>
      <c r="O237" s="384"/>
    </row>
    <row r="238" hidden="1" spans="2:15">
      <c r="B238" s="386">
        <f t="shared" si="68"/>
        <v>11</v>
      </c>
      <c r="C238" s="296" t="s">
        <v>699</v>
      </c>
      <c r="D238" s="388"/>
      <c r="E238" s="384">
        <f>E236*E237</f>
        <v>0</v>
      </c>
      <c r="F238" s="384">
        <f t="shared" si="66"/>
        <v>0</v>
      </c>
      <c r="G238" s="387"/>
      <c r="H238" s="384">
        <f>H236*H237</f>
        <v>0</v>
      </c>
      <c r="I238" s="384">
        <f>I236*I237</f>
        <v>0</v>
      </c>
      <c r="J238" s="400">
        <f t="shared" si="67"/>
        <v>0</v>
      </c>
      <c r="K238" s="384">
        <f>K236*K237</f>
        <v>0</v>
      </c>
      <c r="L238" s="384">
        <f>L236*L237</f>
        <v>0</v>
      </c>
      <c r="M238" s="384">
        <f>M236*M237</f>
        <v>0</v>
      </c>
      <c r="N238" s="384">
        <f>N236*N237</f>
        <v>0</v>
      </c>
      <c r="O238" s="384">
        <f>O236*O237</f>
        <v>0</v>
      </c>
    </row>
    <row r="239" hidden="1" spans="2:15">
      <c r="B239" s="386">
        <f t="shared" si="68"/>
        <v>12</v>
      </c>
      <c r="C239" s="296" t="s">
        <v>700</v>
      </c>
      <c r="D239" s="388"/>
      <c r="E239" s="384"/>
      <c r="F239" s="384">
        <f t="shared" si="66"/>
        <v>0</v>
      </c>
      <c r="G239" s="387"/>
      <c r="H239" s="384"/>
      <c r="I239" s="384"/>
      <c r="J239" s="400">
        <f t="shared" si="67"/>
        <v>0</v>
      </c>
      <c r="K239" s="384"/>
      <c r="L239" s="384"/>
      <c r="M239" s="384"/>
      <c r="N239" s="384"/>
      <c r="O239" s="384"/>
    </row>
    <row r="240" hidden="1" spans="2:15">
      <c r="B240" s="386">
        <f t="shared" si="68"/>
        <v>13</v>
      </c>
      <c r="C240" s="296" t="s">
        <v>701</v>
      </c>
      <c r="D240" s="388"/>
      <c r="E240" s="384">
        <f>E238+E239</f>
        <v>0</v>
      </c>
      <c r="F240" s="384">
        <f t="shared" si="66"/>
        <v>0</v>
      </c>
      <c r="G240" s="387"/>
      <c r="H240" s="384">
        <f>H238+H239</f>
        <v>0</v>
      </c>
      <c r="I240" s="384">
        <f>I238+I239</f>
        <v>0</v>
      </c>
      <c r="J240" s="400">
        <f t="shared" si="67"/>
        <v>0</v>
      </c>
      <c r="K240" s="384">
        <f>K238+K239</f>
        <v>0</v>
      </c>
      <c r="L240" s="384">
        <f>L238+L239</f>
        <v>0</v>
      </c>
      <c r="M240" s="384">
        <f>M238+M239</f>
        <v>0</v>
      </c>
      <c r="N240" s="384">
        <f>N238+N239</f>
        <v>0</v>
      </c>
      <c r="O240" s="384">
        <f>O238+O239</f>
        <v>0</v>
      </c>
    </row>
    <row r="241" hidden="1"/>
    <row r="242" ht="15" hidden="1" spans="2:3">
      <c r="B242" s="276" t="s">
        <v>702</v>
      </c>
      <c r="C242" s="369" t="s">
        <v>703</v>
      </c>
    </row>
    <row r="243" ht="15" hidden="1" spans="12:12">
      <c r="L243" s="393" t="s">
        <v>109</v>
      </c>
    </row>
    <row r="244" ht="15" hidden="1" customHeight="1" spans="2:12">
      <c r="B244" s="372" t="s">
        <v>3</v>
      </c>
      <c r="C244" s="401" t="s">
        <v>110</v>
      </c>
      <c r="D244" s="374" t="s">
        <v>112</v>
      </c>
      <c r="E244" s="374" t="s">
        <v>760</v>
      </c>
      <c r="F244" s="375"/>
      <c r="G244" s="376"/>
      <c r="H244" s="285" t="s">
        <v>114</v>
      </c>
      <c r="I244" s="394"/>
      <c r="J244" s="394"/>
      <c r="K244" s="394"/>
      <c r="L244" s="286"/>
    </row>
    <row r="245" ht="15" hidden="1" spans="2:12">
      <c r="B245" s="377"/>
      <c r="C245" s="401"/>
      <c r="D245" s="379" t="s">
        <v>237</v>
      </c>
      <c r="E245" s="379" t="s">
        <v>119</v>
      </c>
      <c r="F245" s="379" t="s">
        <v>120</v>
      </c>
      <c r="G245" s="379" t="s">
        <v>238</v>
      </c>
      <c r="H245" s="379" t="s">
        <v>514</v>
      </c>
      <c r="I245" s="379" t="s">
        <v>515</v>
      </c>
      <c r="J245" s="379" t="s">
        <v>516</v>
      </c>
      <c r="K245" s="379" t="s">
        <v>517</v>
      </c>
      <c r="L245" s="379" t="s">
        <v>518</v>
      </c>
    </row>
    <row r="246" ht="15" hidden="1" spans="2:12">
      <c r="B246" s="402"/>
      <c r="C246" s="386"/>
      <c r="D246" s="379" t="s">
        <v>128</v>
      </c>
      <c r="E246" s="379" t="s">
        <v>130</v>
      </c>
      <c r="F246" s="379" t="s">
        <v>131</v>
      </c>
      <c r="G246" s="379" t="s">
        <v>131</v>
      </c>
      <c r="H246" s="379" t="s">
        <v>132</v>
      </c>
      <c r="I246" s="379" t="s">
        <v>132</v>
      </c>
      <c r="J246" s="379" t="s">
        <v>132</v>
      </c>
      <c r="K246" s="379" t="s">
        <v>132</v>
      </c>
      <c r="L246" s="379" t="s">
        <v>132</v>
      </c>
    </row>
    <row r="247" ht="15" hidden="1" spans="2:12">
      <c r="B247" s="386">
        <v>1</v>
      </c>
      <c r="C247" s="390" t="s">
        <v>663</v>
      </c>
      <c r="D247" s="296"/>
      <c r="E247" s="296"/>
      <c r="F247" s="296"/>
      <c r="G247" s="296"/>
      <c r="H247" s="296"/>
      <c r="I247" s="296"/>
      <c r="J247" s="296"/>
      <c r="K247" s="296"/>
      <c r="L247" s="296"/>
    </row>
    <row r="248" hidden="1" spans="2:12">
      <c r="B248" s="296"/>
      <c r="C248" s="296" t="s">
        <v>704</v>
      </c>
      <c r="D248" s="296"/>
      <c r="E248" s="296"/>
      <c r="F248" s="296"/>
      <c r="G248" s="296"/>
      <c r="H248" s="296"/>
      <c r="I248" s="296"/>
      <c r="J248" s="296"/>
      <c r="K248" s="296"/>
      <c r="L248" s="296"/>
    </row>
    <row r="249" hidden="1" spans="2:12">
      <c r="B249" s="296"/>
      <c r="C249" s="296" t="s">
        <v>705</v>
      </c>
      <c r="D249" s="296"/>
      <c r="E249" s="296"/>
      <c r="F249" s="296"/>
      <c r="G249" s="296"/>
      <c r="H249" s="296"/>
      <c r="I249" s="296"/>
      <c r="J249" s="296"/>
      <c r="K249" s="296"/>
      <c r="L249" s="296"/>
    </row>
    <row r="250" hidden="1" spans="2:12">
      <c r="B250" s="296"/>
      <c r="C250" s="296" t="s">
        <v>706</v>
      </c>
      <c r="D250" s="296"/>
      <c r="E250" s="296"/>
      <c r="F250" s="296"/>
      <c r="G250" s="296"/>
      <c r="H250" s="296"/>
      <c r="I250" s="296"/>
      <c r="J250" s="296"/>
      <c r="K250" s="296"/>
      <c r="L250" s="296"/>
    </row>
    <row r="251" hidden="1" spans="2:12">
      <c r="B251" s="296"/>
      <c r="C251" s="296" t="s">
        <v>707</v>
      </c>
      <c r="D251" s="384">
        <f t="shared" ref="D251:L251" si="69">D248+D249-D250</f>
        <v>0</v>
      </c>
      <c r="E251" s="384">
        <f t="shared" si="69"/>
        <v>0</v>
      </c>
      <c r="F251" s="384">
        <f t="shared" si="69"/>
        <v>0</v>
      </c>
      <c r="G251" s="384">
        <f t="shared" si="69"/>
        <v>0</v>
      </c>
      <c r="H251" s="384">
        <f t="shared" si="69"/>
        <v>0</v>
      </c>
      <c r="I251" s="384">
        <f t="shared" si="69"/>
        <v>0</v>
      </c>
      <c r="J251" s="384">
        <f t="shared" si="69"/>
        <v>0</v>
      </c>
      <c r="K251" s="384">
        <f t="shared" si="69"/>
        <v>0</v>
      </c>
      <c r="L251" s="384">
        <f t="shared" si="69"/>
        <v>0</v>
      </c>
    </row>
    <row r="252" hidden="1" spans="2:12">
      <c r="B252" s="296"/>
      <c r="C252" s="296" t="s">
        <v>708</v>
      </c>
      <c r="D252" s="384">
        <f>AVERAGE(D251,D248)</f>
        <v>0</v>
      </c>
      <c r="E252" s="384">
        <f t="shared" ref="E252:L252" si="70">AVERAGE(E251,E248)</f>
        <v>0</v>
      </c>
      <c r="F252" s="384">
        <f t="shared" si="70"/>
        <v>0</v>
      </c>
      <c r="G252" s="384">
        <f t="shared" si="70"/>
        <v>0</v>
      </c>
      <c r="H252" s="384">
        <f t="shared" si="70"/>
        <v>0</v>
      </c>
      <c r="I252" s="384">
        <f t="shared" si="70"/>
        <v>0</v>
      </c>
      <c r="J252" s="384">
        <f t="shared" si="70"/>
        <v>0</v>
      </c>
      <c r="K252" s="384">
        <f t="shared" si="70"/>
        <v>0</v>
      </c>
      <c r="L252" s="384">
        <f t="shared" si="70"/>
        <v>0</v>
      </c>
    </row>
    <row r="253" hidden="1" spans="2:12">
      <c r="B253" s="296"/>
      <c r="C253" s="296" t="s">
        <v>709</v>
      </c>
      <c r="D253" s="296"/>
      <c r="E253" s="296"/>
      <c r="F253" s="296"/>
      <c r="G253" s="296"/>
      <c r="H253" s="296"/>
      <c r="I253" s="296"/>
      <c r="J253" s="296"/>
      <c r="K253" s="296"/>
      <c r="L253" s="296"/>
    </row>
    <row r="254" hidden="1" spans="2:12">
      <c r="B254" s="296"/>
      <c r="C254" s="296" t="s">
        <v>699</v>
      </c>
      <c r="D254" s="384">
        <f t="shared" ref="D254:L254" si="71">D252*D253</f>
        <v>0</v>
      </c>
      <c r="E254" s="384">
        <f t="shared" si="71"/>
        <v>0</v>
      </c>
      <c r="F254" s="384">
        <f t="shared" si="71"/>
        <v>0</v>
      </c>
      <c r="G254" s="384">
        <f t="shared" si="71"/>
        <v>0</v>
      </c>
      <c r="H254" s="384">
        <f t="shared" si="71"/>
        <v>0</v>
      </c>
      <c r="I254" s="384">
        <f t="shared" si="71"/>
        <v>0</v>
      </c>
      <c r="J254" s="384">
        <f t="shared" si="71"/>
        <v>0</v>
      </c>
      <c r="K254" s="384">
        <f t="shared" si="71"/>
        <v>0</v>
      </c>
      <c r="L254" s="384">
        <f t="shared" si="71"/>
        <v>0</v>
      </c>
    </row>
    <row r="255" hidden="1" spans="2:12">
      <c r="B255" s="296"/>
      <c r="C255" s="296" t="s">
        <v>700</v>
      </c>
      <c r="D255" s="296"/>
      <c r="E255" s="296"/>
      <c r="F255" s="296"/>
      <c r="G255" s="296"/>
      <c r="H255" s="296"/>
      <c r="I255" s="296"/>
      <c r="J255" s="296"/>
      <c r="K255" s="296"/>
      <c r="L255" s="296"/>
    </row>
    <row r="256" hidden="1" spans="2:12">
      <c r="B256" s="296"/>
      <c r="C256" s="296" t="s">
        <v>701</v>
      </c>
      <c r="D256" s="384">
        <f t="shared" ref="D256:L256" si="72">D254+D255</f>
        <v>0</v>
      </c>
      <c r="E256" s="384">
        <f t="shared" si="72"/>
        <v>0</v>
      </c>
      <c r="F256" s="384">
        <f t="shared" si="72"/>
        <v>0</v>
      </c>
      <c r="G256" s="384">
        <f t="shared" si="72"/>
        <v>0</v>
      </c>
      <c r="H256" s="384">
        <f t="shared" si="72"/>
        <v>0</v>
      </c>
      <c r="I256" s="384">
        <f t="shared" si="72"/>
        <v>0</v>
      </c>
      <c r="J256" s="384">
        <f t="shared" si="72"/>
        <v>0</v>
      </c>
      <c r="K256" s="384">
        <f t="shared" si="72"/>
        <v>0</v>
      </c>
      <c r="L256" s="384">
        <f t="shared" si="72"/>
        <v>0</v>
      </c>
    </row>
    <row r="257" ht="15" hidden="1" spans="2:12">
      <c r="B257" s="386">
        <v>2</v>
      </c>
      <c r="C257" s="390" t="s">
        <v>664</v>
      </c>
      <c r="D257" s="296"/>
      <c r="E257" s="296"/>
      <c r="F257" s="296"/>
      <c r="G257" s="296"/>
      <c r="H257" s="296"/>
      <c r="I257" s="296"/>
      <c r="J257" s="296"/>
      <c r="K257" s="296"/>
      <c r="L257" s="296"/>
    </row>
    <row r="258" hidden="1" spans="2:12">
      <c r="B258" s="296"/>
      <c r="C258" s="296" t="s">
        <v>704</v>
      </c>
      <c r="D258" s="296"/>
      <c r="E258" s="296"/>
      <c r="F258" s="296"/>
      <c r="G258" s="296"/>
      <c r="H258" s="296"/>
      <c r="I258" s="296"/>
      <c r="J258" s="296"/>
      <c r="K258" s="296"/>
      <c r="L258" s="296"/>
    </row>
    <row r="259" hidden="1" spans="2:12">
      <c r="B259" s="296"/>
      <c r="C259" s="296" t="s">
        <v>705</v>
      </c>
      <c r="D259" s="296"/>
      <c r="E259" s="296"/>
      <c r="F259" s="296"/>
      <c r="G259" s="296"/>
      <c r="H259" s="296"/>
      <c r="I259" s="296"/>
      <c r="J259" s="296"/>
      <c r="K259" s="296"/>
      <c r="L259" s="296"/>
    </row>
    <row r="260" hidden="1" spans="2:12">
      <c r="B260" s="296"/>
      <c r="C260" s="296" t="s">
        <v>706</v>
      </c>
      <c r="D260" s="296"/>
      <c r="E260" s="296"/>
      <c r="F260" s="296"/>
      <c r="G260" s="296"/>
      <c r="H260" s="296"/>
      <c r="I260" s="296"/>
      <c r="J260" s="296"/>
      <c r="K260" s="296"/>
      <c r="L260" s="296"/>
    </row>
    <row r="261" hidden="1" spans="2:12">
      <c r="B261" s="296"/>
      <c r="C261" s="296" t="s">
        <v>707</v>
      </c>
      <c r="D261" s="384">
        <f t="shared" ref="D261:L261" si="73">D258+D259-D260</f>
        <v>0</v>
      </c>
      <c r="E261" s="384">
        <f t="shared" si="73"/>
        <v>0</v>
      </c>
      <c r="F261" s="384">
        <f t="shared" si="73"/>
        <v>0</v>
      </c>
      <c r="G261" s="384">
        <f t="shared" si="73"/>
        <v>0</v>
      </c>
      <c r="H261" s="384">
        <f t="shared" si="73"/>
        <v>0</v>
      </c>
      <c r="I261" s="384">
        <f t="shared" si="73"/>
        <v>0</v>
      </c>
      <c r="J261" s="384">
        <f t="shared" si="73"/>
        <v>0</v>
      </c>
      <c r="K261" s="384">
        <f t="shared" si="73"/>
        <v>0</v>
      </c>
      <c r="L261" s="384">
        <f t="shared" si="73"/>
        <v>0</v>
      </c>
    </row>
    <row r="262" hidden="1" spans="2:12">
      <c r="B262" s="296"/>
      <c r="C262" s="296" t="s">
        <v>708</v>
      </c>
      <c r="D262" s="384">
        <f>AVERAGE(D261,D258)</f>
        <v>0</v>
      </c>
      <c r="E262" s="384">
        <f t="shared" ref="E262:L262" si="74">AVERAGE(E261,E258)</f>
        <v>0</v>
      </c>
      <c r="F262" s="384">
        <f t="shared" si="74"/>
        <v>0</v>
      </c>
      <c r="G262" s="384">
        <f t="shared" si="74"/>
        <v>0</v>
      </c>
      <c r="H262" s="384">
        <f t="shared" si="74"/>
        <v>0</v>
      </c>
      <c r="I262" s="384">
        <f t="shared" si="74"/>
        <v>0</v>
      </c>
      <c r="J262" s="384">
        <f t="shared" si="74"/>
        <v>0</v>
      </c>
      <c r="K262" s="384">
        <f t="shared" si="74"/>
        <v>0</v>
      </c>
      <c r="L262" s="384">
        <f t="shared" si="74"/>
        <v>0</v>
      </c>
    </row>
    <row r="263" hidden="1" spans="2:12">
      <c r="B263" s="296"/>
      <c r="C263" s="296" t="s">
        <v>709</v>
      </c>
      <c r="D263" s="296"/>
      <c r="E263" s="296"/>
      <c r="F263" s="296"/>
      <c r="G263" s="296"/>
      <c r="H263" s="296"/>
      <c r="I263" s="296"/>
      <c r="J263" s="296"/>
      <c r="K263" s="296"/>
      <c r="L263" s="296"/>
    </row>
    <row r="264" hidden="1" spans="2:12">
      <c r="B264" s="296"/>
      <c r="C264" s="296" t="s">
        <v>699</v>
      </c>
      <c r="D264" s="384">
        <f t="shared" ref="D264:L264" si="75">D262*D263</f>
        <v>0</v>
      </c>
      <c r="E264" s="384">
        <f t="shared" si="75"/>
        <v>0</v>
      </c>
      <c r="F264" s="384">
        <f t="shared" si="75"/>
        <v>0</v>
      </c>
      <c r="G264" s="384">
        <f t="shared" si="75"/>
        <v>0</v>
      </c>
      <c r="H264" s="384">
        <f t="shared" si="75"/>
        <v>0</v>
      </c>
      <c r="I264" s="384">
        <f t="shared" si="75"/>
        <v>0</v>
      </c>
      <c r="J264" s="384">
        <f t="shared" si="75"/>
        <v>0</v>
      </c>
      <c r="K264" s="384">
        <f t="shared" si="75"/>
        <v>0</v>
      </c>
      <c r="L264" s="384">
        <f t="shared" si="75"/>
        <v>0</v>
      </c>
    </row>
    <row r="265" hidden="1" spans="2:12">
      <c r="B265" s="296"/>
      <c r="C265" s="296" t="s">
        <v>700</v>
      </c>
      <c r="D265" s="296"/>
      <c r="E265" s="296"/>
      <c r="F265" s="296"/>
      <c r="G265" s="296"/>
      <c r="H265" s="296"/>
      <c r="I265" s="296"/>
      <c r="J265" s="296"/>
      <c r="K265" s="296"/>
      <c r="L265" s="296"/>
    </row>
    <row r="266" hidden="1" spans="2:12">
      <c r="B266" s="296"/>
      <c r="C266" s="296" t="s">
        <v>701</v>
      </c>
      <c r="D266" s="384">
        <f t="shared" ref="D266:L266" si="76">D264+D265</f>
        <v>0</v>
      </c>
      <c r="E266" s="384">
        <f t="shared" si="76"/>
        <v>0</v>
      </c>
      <c r="F266" s="384">
        <f t="shared" si="76"/>
        <v>0</v>
      </c>
      <c r="G266" s="384">
        <f t="shared" si="76"/>
        <v>0</v>
      </c>
      <c r="H266" s="384">
        <f t="shared" si="76"/>
        <v>0</v>
      </c>
      <c r="I266" s="384">
        <f t="shared" si="76"/>
        <v>0</v>
      </c>
      <c r="J266" s="384">
        <f t="shared" si="76"/>
        <v>0</v>
      </c>
      <c r="K266" s="384">
        <f t="shared" si="76"/>
        <v>0</v>
      </c>
      <c r="L266" s="384">
        <f t="shared" si="76"/>
        <v>0</v>
      </c>
    </row>
    <row r="267" hidden="1" spans="2:12">
      <c r="B267" s="296"/>
      <c r="C267" s="296" t="s">
        <v>710</v>
      </c>
      <c r="D267" s="296"/>
      <c r="E267" s="296"/>
      <c r="F267" s="296"/>
      <c r="G267" s="296"/>
      <c r="H267" s="296"/>
      <c r="I267" s="296"/>
      <c r="J267" s="296"/>
      <c r="K267" s="296"/>
      <c r="L267" s="296"/>
    </row>
    <row r="268" ht="15" hidden="1" spans="2:12">
      <c r="B268" s="386"/>
      <c r="C268" s="390" t="s">
        <v>97</v>
      </c>
      <c r="D268" s="296"/>
      <c r="E268" s="296"/>
      <c r="F268" s="296"/>
      <c r="G268" s="296"/>
      <c r="H268" s="296"/>
      <c r="I268" s="296"/>
      <c r="J268" s="296"/>
      <c r="K268" s="296"/>
      <c r="L268" s="296"/>
    </row>
    <row r="269" hidden="1" spans="2:12">
      <c r="B269" s="296"/>
      <c r="C269" s="296" t="s">
        <v>704</v>
      </c>
      <c r="D269" s="296"/>
      <c r="E269" s="296"/>
      <c r="F269" s="296"/>
      <c r="G269" s="296"/>
      <c r="H269" s="296"/>
      <c r="I269" s="296"/>
      <c r="J269" s="296"/>
      <c r="K269" s="296"/>
      <c r="L269" s="296"/>
    </row>
    <row r="270" hidden="1" spans="2:12">
      <c r="B270" s="296"/>
      <c r="C270" s="296" t="s">
        <v>705</v>
      </c>
      <c r="D270" s="296"/>
      <c r="E270" s="296"/>
      <c r="F270" s="296"/>
      <c r="G270" s="296"/>
      <c r="H270" s="296"/>
      <c r="I270" s="296"/>
      <c r="J270" s="296"/>
      <c r="K270" s="296"/>
      <c r="L270" s="296"/>
    </row>
    <row r="271" hidden="1" spans="2:12">
      <c r="B271" s="296"/>
      <c r="C271" s="296" t="s">
        <v>706</v>
      </c>
      <c r="D271" s="296"/>
      <c r="E271" s="296"/>
      <c r="F271" s="296"/>
      <c r="G271" s="296"/>
      <c r="H271" s="296"/>
      <c r="I271" s="296"/>
      <c r="J271" s="296"/>
      <c r="K271" s="296"/>
      <c r="L271" s="296"/>
    </row>
    <row r="272" hidden="1" spans="2:12">
      <c r="B272" s="296"/>
      <c r="C272" s="296" t="s">
        <v>707</v>
      </c>
      <c r="D272" s="384">
        <f>D269+D270-D271</f>
        <v>0</v>
      </c>
      <c r="E272" s="384">
        <f t="shared" ref="E272:L272" si="77">E269+E270-E271</f>
        <v>0</v>
      </c>
      <c r="F272" s="384">
        <f t="shared" si="77"/>
        <v>0</v>
      </c>
      <c r="G272" s="384">
        <f t="shared" si="77"/>
        <v>0</v>
      </c>
      <c r="H272" s="384">
        <f t="shared" si="77"/>
        <v>0</v>
      </c>
      <c r="I272" s="384">
        <f t="shared" si="77"/>
        <v>0</v>
      </c>
      <c r="J272" s="384">
        <f t="shared" si="77"/>
        <v>0</v>
      </c>
      <c r="K272" s="384">
        <f t="shared" si="77"/>
        <v>0</v>
      </c>
      <c r="L272" s="384">
        <f t="shared" si="77"/>
        <v>0</v>
      </c>
    </row>
    <row r="273" hidden="1" spans="2:12">
      <c r="B273" s="296"/>
      <c r="C273" s="296" t="s">
        <v>708</v>
      </c>
      <c r="D273" s="384">
        <f>AVERAGE(D272,D269)</f>
        <v>0</v>
      </c>
      <c r="E273" s="384">
        <f t="shared" ref="E273:L273" si="78">AVERAGE(E272,E269)</f>
        <v>0</v>
      </c>
      <c r="F273" s="384">
        <f t="shared" si="78"/>
        <v>0</v>
      </c>
      <c r="G273" s="384">
        <f t="shared" si="78"/>
        <v>0</v>
      </c>
      <c r="H273" s="384">
        <f t="shared" si="78"/>
        <v>0</v>
      </c>
      <c r="I273" s="384">
        <f t="shared" si="78"/>
        <v>0</v>
      </c>
      <c r="J273" s="384">
        <f t="shared" si="78"/>
        <v>0</v>
      </c>
      <c r="K273" s="384">
        <f t="shared" si="78"/>
        <v>0</v>
      </c>
      <c r="L273" s="384">
        <f t="shared" si="78"/>
        <v>0</v>
      </c>
    </row>
    <row r="274" hidden="1" spans="2:12">
      <c r="B274" s="296"/>
      <c r="C274" s="296" t="s">
        <v>709</v>
      </c>
      <c r="D274" s="296"/>
      <c r="E274" s="296"/>
      <c r="F274" s="296"/>
      <c r="G274" s="296"/>
      <c r="H274" s="296"/>
      <c r="I274" s="296"/>
      <c r="J274" s="296"/>
      <c r="K274" s="296"/>
      <c r="L274" s="296"/>
    </row>
    <row r="275" hidden="1" spans="2:12">
      <c r="B275" s="296"/>
      <c r="C275" s="296" t="s">
        <v>699</v>
      </c>
      <c r="D275" s="384">
        <f>D273*D274</f>
        <v>0</v>
      </c>
      <c r="E275" s="384">
        <f t="shared" ref="E275:L275" si="79">E273*E274</f>
        <v>0</v>
      </c>
      <c r="F275" s="384">
        <f t="shared" si="79"/>
        <v>0</v>
      </c>
      <c r="G275" s="384">
        <f t="shared" si="79"/>
        <v>0</v>
      </c>
      <c r="H275" s="384">
        <f t="shared" si="79"/>
        <v>0</v>
      </c>
      <c r="I275" s="384">
        <f t="shared" si="79"/>
        <v>0</v>
      </c>
      <c r="J275" s="384">
        <f t="shared" si="79"/>
        <v>0</v>
      </c>
      <c r="K275" s="384">
        <f t="shared" si="79"/>
        <v>0</v>
      </c>
      <c r="L275" s="384">
        <f t="shared" si="79"/>
        <v>0</v>
      </c>
    </row>
    <row r="276" hidden="1" spans="2:12">
      <c r="B276" s="296"/>
      <c r="C276" s="296" t="s">
        <v>700</v>
      </c>
      <c r="D276" s="296"/>
      <c r="E276" s="296"/>
      <c r="F276" s="296"/>
      <c r="G276" s="296"/>
      <c r="H276" s="296"/>
      <c r="I276" s="296"/>
      <c r="J276" s="296"/>
      <c r="K276" s="296"/>
      <c r="L276" s="296"/>
    </row>
    <row r="277" hidden="1" spans="2:12">
      <c r="B277" s="296"/>
      <c r="C277" s="296" t="s">
        <v>701</v>
      </c>
      <c r="D277" s="384">
        <f>D275+D276</f>
        <v>0</v>
      </c>
      <c r="E277" s="384">
        <f t="shared" ref="E277:L277" si="80">E275+E276</f>
        <v>0</v>
      </c>
      <c r="F277" s="384">
        <f t="shared" si="80"/>
        <v>0</v>
      </c>
      <c r="G277" s="384">
        <f t="shared" si="80"/>
        <v>0</v>
      </c>
      <c r="H277" s="384">
        <f t="shared" si="80"/>
        <v>0</v>
      </c>
      <c r="I277" s="384">
        <f t="shared" si="80"/>
        <v>0</v>
      </c>
      <c r="J277" s="384">
        <f t="shared" si="80"/>
        <v>0</v>
      </c>
      <c r="K277" s="384">
        <f t="shared" si="80"/>
        <v>0</v>
      </c>
      <c r="L277" s="384">
        <f t="shared" si="80"/>
        <v>0</v>
      </c>
    </row>
  </sheetData>
  <mergeCells count="36">
    <mergeCell ref="D7:F7"/>
    <mergeCell ref="G7:J7"/>
    <mergeCell ref="K7:O7"/>
    <mergeCell ref="E26:G26"/>
    <mergeCell ref="H26:L26"/>
    <mergeCell ref="D111:F111"/>
    <mergeCell ref="G111:J111"/>
    <mergeCell ref="K111:O111"/>
    <mergeCell ref="E130:G130"/>
    <mergeCell ref="H130:L130"/>
    <mergeCell ref="D168:F168"/>
    <mergeCell ref="G168:J168"/>
    <mergeCell ref="K168:O168"/>
    <mergeCell ref="E187:G187"/>
    <mergeCell ref="H187:L187"/>
    <mergeCell ref="D225:F225"/>
    <mergeCell ref="G225:J225"/>
    <mergeCell ref="K225:O225"/>
    <mergeCell ref="E244:G244"/>
    <mergeCell ref="H244:L244"/>
    <mergeCell ref="B7:B9"/>
    <mergeCell ref="B26:B28"/>
    <mergeCell ref="B111:B113"/>
    <mergeCell ref="B130:B132"/>
    <mergeCell ref="B168:B170"/>
    <mergeCell ref="B187:B189"/>
    <mergeCell ref="B225:B227"/>
    <mergeCell ref="B244:B246"/>
    <mergeCell ref="C7:C9"/>
    <mergeCell ref="C26:C28"/>
    <mergeCell ref="C111:C113"/>
    <mergeCell ref="C130:C132"/>
    <mergeCell ref="C168:C170"/>
    <mergeCell ref="C187:C189"/>
    <mergeCell ref="C225:C227"/>
    <mergeCell ref="C244:C246"/>
  </mergeCells>
  <printOptions horizontalCentered="1"/>
  <pageMargins left="0.432638888888889" right="0.236111111111111" top="0.538888888888889" bottom="0.35" header="0.236111111111111" footer="0.236111111111111"/>
  <pageSetup paperSize="9" scale="75" fitToHeight="9" orientation="landscape" horizontalDpi="600"/>
  <headerFooter alignWithMargins="0"/>
  <rowBreaks count="2" manualBreakCount="2">
    <brk id="23" max="16383" man="1"/>
    <brk id="70" max="14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  <pageSetUpPr fitToPage="1"/>
  </sheetPr>
  <dimension ref="B1:P58"/>
  <sheetViews>
    <sheetView showGridLines="0" view="pageBreakPreview" zoomScale="90" zoomScaleNormal="53" workbookViewId="0">
      <selection activeCell="R14" sqref="R14"/>
    </sheetView>
  </sheetViews>
  <sheetFormatPr defaultColWidth="9.28571428571429" defaultRowHeight="14.25"/>
  <cols>
    <col min="1" max="1" width="4.28571428571429" style="12" customWidth="1"/>
    <col min="2" max="2" width="6.28571428571429" style="12" customWidth="1"/>
    <col min="3" max="3" width="41" style="12" customWidth="1"/>
    <col min="4" max="4" width="16.2857142857143" style="12" hidden="1" customWidth="1"/>
    <col min="5" max="5" width="14.5714285714286" style="12" hidden="1" customWidth="1"/>
    <col min="6" max="6" width="15.4285714285714" style="12" hidden="1" customWidth="1"/>
    <col min="7" max="7" width="17.8571428571429" style="12" hidden="1" customWidth="1"/>
    <col min="8" max="8" width="15.7142857142857" style="12" hidden="1" customWidth="1"/>
    <col min="9" max="9" width="17.1428571428571" style="12" hidden="1" customWidth="1"/>
    <col min="10" max="10" width="12.5714285714286" style="12" hidden="1" customWidth="1"/>
    <col min="11" max="11" width="11.7142857142857" style="12" customWidth="1"/>
    <col min="12" max="12" width="13.7142857142857" style="12" customWidth="1"/>
    <col min="13" max="15" width="11.7142857142857" style="12" hidden="1" customWidth="1"/>
    <col min="16" max="18" width="11.7142857142857" style="12" customWidth="1"/>
    <col min="19" max="16384" width="9.28571428571429" style="12"/>
  </cols>
  <sheetData>
    <row r="1" ht="15" spans="2:2">
      <c r="B1" s="14"/>
    </row>
    <row r="2" ht="15" spans="8:8">
      <c r="H2" s="2" t="s">
        <v>758</v>
      </c>
    </row>
    <row r="3" ht="15" spans="8:8">
      <c r="H3" s="3" t="s">
        <v>711</v>
      </c>
    </row>
    <row r="4" ht="15" spans="2:12">
      <c r="B4" s="322" t="s">
        <v>809</v>
      </c>
      <c r="C4" s="14"/>
      <c r="D4" s="117"/>
      <c r="E4" s="117"/>
      <c r="F4" s="117"/>
      <c r="G4" s="117"/>
      <c r="H4" s="117"/>
      <c r="I4" s="117"/>
      <c r="J4" s="117"/>
      <c r="K4" s="117"/>
      <c r="L4" s="117"/>
    </row>
    <row r="5" ht="15" spans="12:15">
      <c r="L5" s="117" t="s">
        <v>851</v>
      </c>
      <c r="O5" s="33" t="s">
        <v>109</v>
      </c>
    </row>
    <row r="6" s="15" customFormat="1" ht="15" spans="2:16">
      <c r="B6" s="16" t="s">
        <v>3</v>
      </c>
      <c r="C6" s="6" t="s">
        <v>110</v>
      </c>
      <c r="D6" s="306" t="s">
        <v>112</v>
      </c>
      <c r="E6" s="307"/>
      <c r="F6" s="308"/>
      <c r="G6" s="306" t="s">
        <v>760</v>
      </c>
      <c r="H6" s="307"/>
      <c r="I6" s="307"/>
      <c r="J6" s="307"/>
      <c r="K6" s="135" t="s">
        <v>114</v>
      </c>
      <c r="L6" s="135"/>
      <c r="M6" s="135"/>
      <c r="N6" s="135"/>
      <c r="O6" s="135"/>
      <c r="P6" s="336"/>
    </row>
    <row r="7" s="15" customFormat="1" ht="30" spans="2:15">
      <c r="B7" s="309"/>
      <c r="C7" s="6"/>
      <c r="D7" s="5" t="s">
        <v>116</v>
      </c>
      <c r="E7" s="5" t="s">
        <v>237</v>
      </c>
      <c r="F7" s="5" t="s">
        <v>118</v>
      </c>
      <c r="G7" s="5" t="s">
        <v>116</v>
      </c>
      <c r="H7" s="5" t="s">
        <v>119</v>
      </c>
      <c r="I7" s="5" t="s">
        <v>120</v>
      </c>
      <c r="J7" s="5" t="s">
        <v>238</v>
      </c>
      <c r="K7" s="5" t="s">
        <v>514</v>
      </c>
      <c r="L7" s="5" t="s">
        <v>515</v>
      </c>
      <c r="M7" s="5" t="s">
        <v>516</v>
      </c>
      <c r="N7" s="5" t="s">
        <v>517</v>
      </c>
      <c r="O7" s="5" t="s">
        <v>518</v>
      </c>
    </row>
    <row r="8" s="15" customFormat="1" ht="15" spans="2:15">
      <c r="B8" s="310"/>
      <c r="C8" s="100"/>
      <c r="D8" s="5" t="s">
        <v>127</v>
      </c>
      <c r="E8" s="5" t="s">
        <v>128</v>
      </c>
      <c r="F8" s="5" t="s">
        <v>129</v>
      </c>
      <c r="G8" s="5" t="s">
        <v>127</v>
      </c>
      <c r="H8" s="5" t="s">
        <v>130</v>
      </c>
      <c r="I8" s="5" t="s">
        <v>131</v>
      </c>
      <c r="J8" s="5" t="s">
        <v>131</v>
      </c>
      <c r="K8" s="5" t="s">
        <v>132</v>
      </c>
      <c r="L8" s="5" t="s">
        <v>132</v>
      </c>
      <c r="M8" s="5" t="s">
        <v>132</v>
      </c>
      <c r="N8" s="5" t="s">
        <v>132</v>
      </c>
      <c r="O8" s="5" t="s">
        <v>132</v>
      </c>
    </row>
    <row r="9" spans="2:15">
      <c r="B9" s="100">
        <v>1</v>
      </c>
      <c r="C9" s="312" t="s">
        <v>712</v>
      </c>
      <c r="D9" s="333"/>
      <c r="E9" s="351">
        <f>E24+E39</f>
        <v>510.475877125833</v>
      </c>
      <c r="F9" s="352">
        <f>E9-D9</f>
        <v>510.475877125833</v>
      </c>
      <c r="G9" s="334"/>
      <c r="H9" s="351">
        <f t="shared" ref="H9:I11" si="0">H24+H39</f>
        <v>0</v>
      </c>
      <c r="I9" s="351">
        <f t="shared" si="0"/>
        <v>0</v>
      </c>
      <c r="J9" s="352">
        <f>H9+I9</f>
        <v>0</v>
      </c>
      <c r="K9" s="360">
        <f>'[60]Int on Working cap'!E65</f>
        <v>300.321526260033</v>
      </c>
      <c r="L9" s="360">
        <f>'[60]Int on Working cap'!F65</f>
        <v>318.552567628742</v>
      </c>
      <c r="M9" s="360">
        <f>'[60]Int on Working cap'!G4</f>
        <v>395.629026688354</v>
      </c>
      <c r="N9" s="360">
        <f>'[60]Int on Working cap'!H4</f>
        <v>424.799240547575</v>
      </c>
      <c r="O9" s="360">
        <f>'[60]Int on Working cap'!I4</f>
        <v>456.259525067406</v>
      </c>
    </row>
    <row r="10" s="11" customFormat="1" ht="15" spans="2:15">
      <c r="B10" s="100">
        <f t="shared" ref="B10:B17" si="1">B9+1</f>
        <v>2</v>
      </c>
      <c r="C10" s="342" t="s">
        <v>713</v>
      </c>
      <c r="D10" s="333"/>
      <c r="E10" s="351">
        <f ca="1">E25+E40</f>
        <v>0</v>
      </c>
      <c r="F10" s="352">
        <f ca="1" t="shared" ref="F10:F17" si="2">E10-D10</f>
        <v>0</v>
      </c>
      <c r="G10" s="334"/>
      <c r="H10" s="351">
        <f t="shared" si="0"/>
        <v>0</v>
      </c>
      <c r="I10" s="351">
        <f t="shared" si="0"/>
        <v>0</v>
      </c>
      <c r="J10" s="352">
        <f>H10+I10</f>
        <v>0</v>
      </c>
      <c r="K10" s="360">
        <f>'[60]Int on Working cap'!E66</f>
        <v>206.608841552051</v>
      </c>
      <c r="L10" s="360">
        <f>'[60]Int on Working cap'!F66</f>
        <v>228.27529652331</v>
      </c>
      <c r="M10" s="360">
        <f>'[60]Int on Working cap'!G5</f>
        <v>314.13810776431</v>
      </c>
      <c r="N10" s="360">
        <f>'[60]Int on Working cap'!H5</f>
        <v>355.186920128731</v>
      </c>
      <c r="O10" s="360">
        <f>'[60]Int on Working cap'!I5</f>
        <v>402.634108385922</v>
      </c>
    </row>
    <row r="11" spans="2:15">
      <c r="B11" s="100">
        <f t="shared" si="1"/>
        <v>3</v>
      </c>
      <c r="C11" s="312" t="s">
        <v>714</v>
      </c>
      <c r="D11" s="333"/>
      <c r="E11" s="351" t="e">
        <f>E26+E41</f>
        <v>#N/A</v>
      </c>
      <c r="F11" s="352" t="e">
        <f t="shared" si="2"/>
        <v>#N/A</v>
      </c>
      <c r="G11" s="334"/>
      <c r="H11" s="351">
        <f t="shared" si="0"/>
        <v>0</v>
      </c>
      <c r="I11" s="351">
        <f t="shared" si="0"/>
        <v>0</v>
      </c>
      <c r="J11" s="352">
        <f>H11+I11</f>
        <v>0</v>
      </c>
      <c r="K11" s="360">
        <f>'[60]Int on Working cap'!E67</f>
        <v>682.3324620465</v>
      </c>
      <c r="L11" s="360">
        <f>'[60]Int on Working cap'!F67</f>
        <v>741.577333415516</v>
      </c>
      <c r="M11" s="360">
        <f>'[60]Int on Working cap'!G6</f>
        <v>742.717609931084</v>
      </c>
      <c r="N11" s="360">
        <f>'[60]Int on Working cap'!H6</f>
        <v>824.166169036709</v>
      </c>
      <c r="O11" s="360">
        <f>'[60]Int on Working cap'!I6</f>
        <v>918.722088008256</v>
      </c>
    </row>
    <row r="12" spans="2:15">
      <c r="B12" s="100"/>
      <c r="C12" s="312" t="s">
        <v>147</v>
      </c>
      <c r="D12" s="333"/>
      <c r="E12" s="351"/>
      <c r="F12" s="352">
        <f t="shared" si="2"/>
        <v>0</v>
      </c>
      <c r="G12" s="334"/>
      <c r="H12" s="351"/>
      <c r="I12" s="351"/>
      <c r="J12" s="352"/>
      <c r="K12" s="361"/>
      <c r="L12" s="361"/>
      <c r="M12" s="361"/>
      <c r="N12" s="361"/>
      <c r="O12" s="361"/>
    </row>
    <row r="13" spans="2:15">
      <c r="B13" s="100">
        <f>B11+1</f>
        <v>4</v>
      </c>
      <c r="C13" s="55" t="s">
        <v>715</v>
      </c>
      <c r="D13" s="333"/>
      <c r="E13" s="351"/>
      <c r="F13" s="352">
        <f t="shared" si="2"/>
        <v>0</v>
      </c>
      <c r="G13" s="334"/>
      <c r="H13" s="351"/>
      <c r="I13" s="351"/>
      <c r="J13" s="352">
        <f>H13+I13</f>
        <v>0</v>
      </c>
      <c r="K13" s="361">
        <v>0</v>
      </c>
      <c r="L13" s="361">
        <v>0</v>
      </c>
      <c r="M13" s="361"/>
      <c r="N13" s="361"/>
      <c r="O13" s="361"/>
    </row>
    <row r="14" ht="28.5" spans="2:15">
      <c r="B14" s="100">
        <f>B13+1</f>
        <v>5</v>
      </c>
      <c r="C14" s="312" t="s">
        <v>716</v>
      </c>
      <c r="D14" s="333"/>
      <c r="E14" s="351">
        <f>E29+E44</f>
        <v>0</v>
      </c>
      <c r="F14" s="352">
        <f t="shared" si="2"/>
        <v>0</v>
      </c>
      <c r="G14" s="334"/>
      <c r="H14" s="351">
        <f>H29+H44</f>
        <v>0</v>
      </c>
      <c r="I14" s="351">
        <f>I29+I44</f>
        <v>0</v>
      </c>
      <c r="J14" s="352">
        <f>H14+I14</f>
        <v>0</v>
      </c>
      <c r="K14" s="360">
        <f>K29+K44</f>
        <v>0</v>
      </c>
      <c r="L14" s="360">
        <f t="shared" ref="L14:O14" si="3">L29+L44</f>
        <v>0</v>
      </c>
      <c r="M14" s="360">
        <f t="shared" si="3"/>
        <v>0</v>
      </c>
      <c r="N14" s="360">
        <f t="shared" si="3"/>
        <v>0</v>
      </c>
      <c r="O14" s="360">
        <f t="shared" si="3"/>
        <v>0</v>
      </c>
    </row>
    <row r="15" spans="2:15">
      <c r="B15" s="100">
        <f>B14+1</f>
        <v>6</v>
      </c>
      <c r="C15" s="55" t="s">
        <v>717</v>
      </c>
      <c r="D15" s="333"/>
      <c r="E15" s="351" t="e">
        <f ca="1">E30+E45</f>
        <v>#N/A</v>
      </c>
      <c r="F15" s="352" t="e">
        <f ca="1" t="shared" si="2"/>
        <v>#N/A</v>
      </c>
      <c r="G15" s="334"/>
      <c r="H15" s="351">
        <f>H30+H45</f>
        <v>0</v>
      </c>
      <c r="I15" s="351">
        <f>I30+I45</f>
        <v>0</v>
      </c>
      <c r="J15" s="352">
        <f>H15+I15</f>
        <v>0</v>
      </c>
      <c r="K15" s="360">
        <f>'[60]Int on Working cap'!E70</f>
        <v>1189.26282985858</v>
      </c>
      <c r="L15" s="360">
        <f>'[60]Int on Working cap'!F70</f>
        <v>1288.40519756757</v>
      </c>
      <c r="M15" s="360">
        <f>'[60]Int on Working cap'!G9</f>
        <v>1452.48474438375</v>
      </c>
      <c r="N15" s="360">
        <f>'[60]Int on Working cap'!H9</f>
        <v>1604.15232971302</v>
      </c>
      <c r="O15" s="360">
        <f>'[60]Int on Working cap'!I9</f>
        <v>1777.61572146159</v>
      </c>
    </row>
    <row r="16" spans="2:15">
      <c r="B16" s="100">
        <f t="shared" si="1"/>
        <v>7</v>
      </c>
      <c r="C16" s="55" t="s">
        <v>718</v>
      </c>
      <c r="D16" s="333"/>
      <c r="E16" s="351"/>
      <c r="F16" s="352">
        <f t="shared" si="2"/>
        <v>0</v>
      </c>
      <c r="G16" s="334"/>
      <c r="H16" s="351"/>
      <c r="I16" s="351"/>
      <c r="J16" s="352">
        <f>H16+I16</f>
        <v>0</v>
      </c>
      <c r="K16" s="362">
        <f>'[60]Int on Working cap'!E10</f>
        <v>0.105</v>
      </c>
      <c r="L16" s="362">
        <f>'[60]Int on Working cap'!F10</f>
        <v>0.105</v>
      </c>
      <c r="M16" s="362">
        <f>'[60]Int on Working cap'!G10</f>
        <v>0.105</v>
      </c>
      <c r="N16" s="362">
        <f>'[60]Int on Working cap'!H10</f>
        <v>0.105</v>
      </c>
      <c r="O16" s="362">
        <f>'[60]Int on Working cap'!I10</f>
        <v>0.105</v>
      </c>
    </row>
    <row r="17" spans="2:15">
      <c r="B17" s="100">
        <f t="shared" si="1"/>
        <v>8</v>
      </c>
      <c r="C17" s="312" t="s">
        <v>58</v>
      </c>
      <c r="D17" s="333"/>
      <c r="E17" s="352" t="e">
        <f ca="1">E15*E16</f>
        <v>#N/A</v>
      </c>
      <c r="F17" s="352" t="e">
        <f ca="1" t="shared" si="2"/>
        <v>#N/A</v>
      </c>
      <c r="G17" s="334"/>
      <c r="H17" s="352">
        <f>H15*H16</f>
        <v>0</v>
      </c>
      <c r="I17" s="352">
        <f>I15*I16</f>
        <v>0</v>
      </c>
      <c r="J17" s="352">
        <f>H17+I17</f>
        <v>0</v>
      </c>
      <c r="K17" s="363">
        <f>'[60]Int on Working cap'!E72</f>
        <v>124.872597135151</v>
      </c>
      <c r="L17" s="363">
        <f>'[60]Int on Working cap'!F72</f>
        <v>135</v>
      </c>
      <c r="M17" s="363">
        <f t="shared" ref="M17:O17" si="4">M15*M16</f>
        <v>152.510898160294</v>
      </c>
      <c r="N17" s="363">
        <f t="shared" si="4"/>
        <v>168.435994619867</v>
      </c>
      <c r="O17" s="363">
        <f t="shared" si="4"/>
        <v>186.649650753467</v>
      </c>
    </row>
    <row r="19" ht="15" hidden="1" spans="2:12">
      <c r="B19" s="322" t="s">
        <v>768</v>
      </c>
      <c r="C19" s="14"/>
      <c r="D19" s="117"/>
      <c r="E19" s="117"/>
      <c r="F19" s="117"/>
      <c r="G19" s="117"/>
      <c r="H19" s="117"/>
      <c r="I19" s="117"/>
      <c r="J19" s="117"/>
      <c r="K19" s="117"/>
      <c r="L19" s="117"/>
    </row>
    <row r="20" ht="15" hidden="1" spans="15:15">
      <c r="O20" s="33" t="s">
        <v>109</v>
      </c>
    </row>
    <row r="21" ht="13.9" hidden="1" customHeight="1" spans="2:15">
      <c r="B21" s="16" t="s">
        <v>3</v>
      </c>
      <c r="C21" s="6" t="s">
        <v>110</v>
      </c>
      <c r="D21" s="306" t="s">
        <v>112</v>
      </c>
      <c r="E21" s="307"/>
      <c r="F21" s="308"/>
      <c r="G21" s="306" t="s">
        <v>760</v>
      </c>
      <c r="H21" s="307"/>
      <c r="I21" s="307"/>
      <c r="J21" s="307"/>
      <c r="K21" s="135" t="s">
        <v>114</v>
      </c>
      <c r="L21" s="135"/>
      <c r="M21" s="135"/>
      <c r="N21" s="135"/>
      <c r="O21" s="135"/>
    </row>
    <row r="22" ht="30" hidden="1" spans="2:15">
      <c r="B22" s="309"/>
      <c r="C22" s="6"/>
      <c r="D22" s="5" t="s">
        <v>116</v>
      </c>
      <c r="E22" s="5" t="s">
        <v>237</v>
      </c>
      <c r="F22" s="5" t="s">
        <v>118</v>
      </c>
      <c r="G22" s="5" t="s">
        <v>116</v>
      </c>
      <c r="H22" s="5" t="s">
        <v>119</v>
      </c>
      <c r="I22" s="5" t="s">
        <v>120</v>
      </c>
      <c r="J22" s="5" t="s">
        <v>238</v>
      </c>
      <c r="K22" s="5" t="s">
        <v>514</v>
      </c>
      <c r="L22" s="5" t="s">
        <v>515</v>
      </c>
      <c r="M22" s="5" t="s">
        <v>516</v>
      </c>
      <c r="N22" s="5" t="s">
        <v>517</v>
      </c>
      <c r="O22" s="5" t="s">
        <v>518</v>
      </c>
    </row>
    <row r="23" ht="15" hidden="1" spans="2:15">
      <c r="B23" s="310"/>
      <c r="C23" s="100"/>
      <c r="D23" s="5" t="s">
        <v>127</v>
      </c>
      <c r="E23" s="5" t="s">
        <v>128</v>
      </c>
      <c r="F23" s="5" t="s">
        <v>129</v>
      </c>
      <c r="G23" s="5" t="s">
        <v>127</v>
      </c>
      <c r="H23" s="5" t="s">
        <v>130</v>
      </c>
      <c r="I23" s="5" t="s">
        <v>131</v>
      </c>
      <c r="J23" s="5" t="s">
        <v>131</v>
      </c>
      <c r="K23" s="5" t="s">
        <v>132</v>
      </c>
      <c r="L23" s="5" t="s">
        <v>132</v>
      </c>
      <c r="M23" s="5" t="s">
        <v>132</v>
      </c>
      <c r="N23" s="5" t="s">
        <v>132</v>
      </c>
      <c r="O23" s="5" t="s">
        <v>132</v>
      </c>
    </row>
    <row r="24" hidden="1" spans="2:15">
      <c r="B24" s="100">
        <v>1</v>
      </c>
      <c r="C24" s="312" t="s">
        <v>712</v>
      </c>
      <c r="D24" s="333"/>
      <c r="E24" s="351">
        <f>'F15'!F21/12</f>
        <v>468.411</v>
      </c>
      <c r="F24" s="352">
        <f>E24</f>
        <v>468.411</v>
      </c>
      <c r="G24" s="334"/>
      <c r="H24" s="351">
        <f>'F15'!I21/12</f>
        <v>0</v>
      </c>
      <c r="I24" s="351">
        <f>'F15'!J21/12</f>
        <v>0</v>
      </c>
      <c r="J24" s="352">
        <f>H24+I24</f>
        <v>0</v>
      </c>
      <c r="K24" s="351">
        <f>90%*K9</f>
        <v>270.28937363403</v>
      </c>
      <c r="L24" s="351">
        <f t="shared" ref="L24:O26" si="5">90%*L9</f>
        <v>286.697310865868</v>
      </c>
      <c r="M24" s="351">
        <f t="shared" si="5"/>
        <v>356.066124019519</v>
      </c>
      <c r="N24" s="351">
        <f t="shared" si="5"/>
        <v>382.319316492818</v>
      </c>
      <c r="O24" s="351">
        <f t="shared" si="5"/>
        <v>410.633572560665</v>
      </c>
    </row>
    <row r="25" hidden="1" spans="2:15">
      <c r="B25" s="100">
        <f t="shared" ref="B25:B32" si="6">B24+1</f>
        <v>2</v>
      </c>
      <c r="C25" s="342" t="s">
        <v>713</v>
      </c>
      <c r="D25" s="333"/>
      <c r="E25" s="351">
        <f ca="1">'F17'!F366*1%</f>
        <v>0</v>
      </c>
      <c r="F25" s="352">
        <f ca="1" t="shared" ref="F25:F32" si="7">E25</f>
        <v>0</v>
      </c>
      <c r="G25" s="334"/>
      <c r="H25" s="351"/>
      <c r="I25" s="351"/>
      <c r="J25" s="352">
        <f ca="1">'F17'!F411*1%</f>
        <v>183.89601</v>
      </c>
      <c r="K25" s="351">
        <f>90%*K10</f>
        <v>185.947957396846</v>
      </c>
      <c r="L25" s="351">
        <f t="shared" si="5"/>
        <v>205.447766870979</v>
      </c>
      <c r="M25" s="351">
        <f t="shared" si="5"/>
        <v>282.724296987879</v>
      </c>
      <c r="N25" s="351">
        <f t="shared" si="5"/>
        <v>319.668228115858</v>
      </c>
      <c r="O25" s="351">
        <f t="shared" si="5"/>
        <v>362.37069754733</v>
      </c>
    </row>
    <row r="26" hidden="1" spans="2:15">
      <c r="B26" s="100">
        <f t="shared" si="6"/>
        <v>3</v>
      </c>
      <c r="C26" s="312" t="s">
        <v>714</v>
      </c>
      <c r="D26" s="333"/>
      <c r="E26" s="351" t="e">
        <f>'[61]F1'!F44*45/365</f>
        <v>#N/A</v>
      </c>
      <c r="F26" s="352" t="e">
        <f t="shared" si="7"/>
        <v>#N/A</v>
      </c>
      <c r="G26" s="334"/>
      <c r="H26" s="351">
        <f>'[61]F1'!I44*45/365</f>
        <v>0</v>
      </c>
      <c r="I26" s="351">
        <f>'[61]F1'!J44*45/365</f>
        <v>0</v>
      </c>
      <c r="J26" s="352">
        <f>H26+I26</f>
        <v>0</v>
      </c>
      <c r="K26" s="351">
        <f>90%*K11</f>
        <v>614.09921584185</v>
      </c>
      <c r="L26" s="351">
        <f t="shared" si="5"/>
        <v>667.419600073964</v>
      </c>
      <c r="M26" s="351">
        <f t="shared" si="5"/>
        <v>668.445848937976</v>
      </c>
      <c r="N26" s="351">
        <f t="shared" si="5"/>
        <v>741.749552133038</v>
      </c>
      <c r="O26" s="351">
        <f t="shared" si="5"/>
        <v>826.84987920743</v>
      </c>
    </row>
    <row r="27" hidden="1" spans="2:15">
      <c r="B27" s="100"/>
      <c r="C27" s="312" t="s">
        <v>147</v>
      </c>
      <c r="D27" s="333"/>
      <c r="E27" s="351"/>
      <c r="F27" s="352">
        <f t="shared" si="7"/>
        <v>0</v>
      </c>
      <c r="G27" s="334"/>
      <c r="H27" s="351"/>
      <c r="I27" s="351"/>
      <c r="J27" s="352"/>
      <c r="K27" s="55"/>
      <c r="L27" s="55"/>
      <c r="M27" s="55"/>
      <c r="N27" s="55"/>
      <c r="O27" s="55"/>
    </row>
    <row r="28" hidden="1" spans="2:15">
      <c r="B28" s="100">
        <f>B26+1</f>
        <v>4</v>
      </c>
      <c r="C28" s="55" t="s">
        <v>715</v>
      </c>
      <c r="D28" s="333"/>
      <c r="E28" s="351"/>
      <c r="F28" s="352">
        <f t="shared" si="7"/>
        <v>0</v>
      </c>
      <c r="G28" s="334"/>
      <c r="H28" s="351"/>
      <c r="I28" s="351"/>
      <c r="J28" s="352">
        <f>H28+I28</f>
        <v>0</v>
      </c>
      <c r="K28" s="55"/>
      <c r="L28" s="55"/>
      <c r="M28" s="55"/>
      <c r="N28" s="55"/>
      <c r="O28" s="55"/>
    </row>
    <row r="29" ht="28.5" hidden="1" spans="2:15">
      <c r="B29" s="100">
        <f>B28+1</f>
        <v>5</v>
      </c>
      <c r="C29" s="312" t="s">
        <v>716</v>
      </c>
      <c r="D29" s="333"/>
      <c r="E29" s="351"/>
      <c r="F29" s="352">
        <f t="shared" si="7"/>
        <v>0</v>
      </c>
      <c r="G29" s="334"/>
      <c r="H29" s="351"/>
      <c r="I29" s="351"/>
      <c r="J29" s="352"/>
      <c r="K29" s="351"/>
      <c r="L29" s="351"/>
      <c r="M29" s="351"/>
      <c r="N29" s="351"/>
      <c r="O29" s="351"/>
    </row>
    <row r="30" hidden="1" spans="2:15">
      <c r="B30" s="100">
        <f>B29+1</f>
        <v>6</v>
      </c>
      <c r="C30" s="55" t="s">
        <v>717</v>
      </c>
      <c r="D30" s="333"/>
      <c r="E30" s="351" t="e">
        <f ca="1">SUM(E24:E26)-E28-E29</f>
        <v>#N/A</v>
      </c>
      <c r="F30" s="352" t="e">
        <f ca="1" t="shared" si="7"/>
        <v>#N/A</v>
      </c>
      <c r="G30" s="334"/>
      <c r="H30" s="351">
        <f>SUM(H24:H26)-H28-H29</f>
        <v>0</v>
      </c>
      <c r="I30" s="351">
        <f>SUM(I24:I26)-I28-I29</f>
        <v>0</v>
      </c>
      <c r="J30" s="352">
        <f>H30+I30</f>
        <v>0</v>
      </c>
      <c r="K30" s="351">
        <f>SUM(K24:K26)-K28-K29</f>
        <v>1070.33654687273</v>
      </c>
      <c r="L30" s="351">
        <f>SUM(L24:L26)-L28-L29</f>
        <v>1159.56467781081</v>
      </c>
      <c r="M30" s="351">
        <f>SUM(M24:M26)-M28-M29</f>
        <v>1307.23626994537</v>
      </c>
      <c r="N30" s="351">
        <f>SUM(N24:N26)-N28-N29</f>
        <v>1443.73709674171</v>
      </c>
      <c r="O30" s="351">
        <f>SUM(O24:O26)-O28-O29</f>
        <v>1599.85414931543</v>
      </c>
    </row>
    <row r="31" hidden="1" spans="2:15">
      <c r="B31" s="100">
        <f t="shared" si="6"/>
        <v>7</v>
      </c>
      <c r="C31" s="55" t="s">
        <v>718</v>
      </c>
      <c r="D31" s="333"/>
      <c r="E31" s="351"/>
      <c r="F31" s="352">
        <f t="shared" si="7"/>
        <v>0</v>
      </c>
      <c r="G31" s="334"/>
      <c r="H31" s="351"/>
      <c r="I31" s="351"/>
      <c r="J31" s="352">
        <f>H31+I31</f>
        <v>0</v>
      </c>
      <c r="K31" s="364">
        <f>K16</f>
        <v>0.105</v>
      </c>
      <c r="L31" s="364">
        <f t="shared" ref="L31:O31" si="8">L16</f>
        <v>0.105</v>
      </c>
      <c r="M31" s="364">
        <f t="shared" si="8"/>
        <v>0.105</v>
      </c>
      <c r="N31" s="364">
        <f t="shared" si="8"/>
        <v>0.105</v>
      </c>
      <c r="O31" s="364">
        <f t="shared" si="8"/>
        <v>0.105</v>
      </c>
    </row>
    <row r="32" hidden="1" spans="2:15">
      <c r="B32" s="100">
        <f t="shared" si="6"/>
        <v>8</v>
      </c>
      <c r="C32" s="312" t="s">
        <v>58</v>
      </c>
      <c r="D32" s="333"/>
      <c r="E32" s="352" t="e">
        <f ca="1">E30*E31</f>
        <v>#N/A</v>
      </c>
      <c r="F32" s="352" t="e">
        <f ca="1" t="shared" si="7"/>
        <v>#N/A</v>
      </c>
      <c r="G32" s="334"/>
      <c r="H32" s="352">
        <f>H30*H31</f>
        <v>0</v>
      </c>
      <c r="I32" s="352">
        <f>I30*I31</f>
        <v>0</v>
      </c>
      <c r="J32" s="352">
        <f>H32+I32</f>
        <v>0</v>
      </c>
      <c r="K32" s="352">
        <f>K30*K31</f>
        <v>112.385337421636</v>
      </c>
      <c r="L32" s="352">
        <f>L30*L31</f>
        <v>121.754291170135</v>
      </c>
      <c r="M32" s="352">
        <f>M30*M31</f>
        <v>137.259808344264</v>
      </c>
      <c r="N32" s="352">
        <f>N30*N31</f>
        <v>151.59239515788</v>
      </c>
      <c r="O32" s="352">
        <f>O30*O31</f>
        <v>167.98468567812</v>
      </c>
    </row>
    <row r="33" hidden="1"/>
    <row r="34" ht="15" hidden="1" spans="2:12">
      <c r="B34" s="322" t="s">
        <v>769</v>
      </c>
      <c r="C34" s="14"/>
      <c r="D34" s="117"/>
      <c r="E34" s="117"/>
      <c r="F34" s="117"/>
      <c r="G34" s="117"/>
      <c r="H34" s="117"/>
      <c r="I34" s="117"/>
      <c r="J34" s="117"/>
      <c r="K34" s="117"/>
      <c r="L34" s="117"/>
    </row>
    <row r="35" ht="15" hidden="1" spans="15:15">
      <c r="O35" s="33" t="s">
        <v>109</v>
      </c>
    </row>
    <row r="36" ht="13.9" hidden="1" customHeight="1" spans="2:15">
      <c r="B36" s="16" t="s">
        <v>3</v>
      </c>
      <c r="C36" s="6" t="s">
        <v>110</v>
      </c>
      <c r="D36" s="306" t="s">
        <v>112</v>
      </c>
      <c r="E36" s="307"/>
      <c r="F36" s="308"/>
      <c r="G36" s="306" t="s">
        <v>760</v>
      </c>
      <c r="H36" s="307"/>
      <c r="I36" s="307"/>
      <c r="J36" s="307"/>
      <c r="K36" s="135" t="s">
        <v>114</v>
      </c>
      <c r="L36" s="135"/>
      <c r="M36" s="135"/>
      <c r="N36" s="135"/>
      <c r="O36" s="135"/>
    </row>
    <row r="37" ht="30" hidden="1" spans="2:15">
      <c r="B37" s="309"/>
      <c r="C37" s="6"/>
      <c r="D37" s="5" t="s">
        <v>116</v>
      </c>
      <c r="E37" s="5" t="s">
        <v>237</v>
      </c>
      <c r="F37" s="5" t="s">
        <v>118</v>
      </c>
      <c r="G37" s="5" t="s">
        <v>116</v>
      </c>
      <c r="H37" s="5" t="s">
        <v>119</v>
      </c>
      <c r="I37" s="5" t="s">
        <v>120</v>
      </c>
      <c r="J37" s="5" t="s">
        <v>238</v>
      </c>
      <c r="K37" s="5" t="s">
        <v>514</v>
      </c>
      <c r="L37" s="5" t="s">
        <v>515</v>
      </c>
      <c r="M37" s="5" t="s">
        <v>516</v>
      </c>
      <c r="N37" s="5" t="s">
        <v>517</v>
      </c>
      <c r="O37" s="5" t="s">
        <v>518</v>
      </c>
    </row>
    <row r="38" ht="15" hidden="1" spans="2:15">
      <c r="B38" s="310"/>
      <c r="C38" s="100"/>
      <c r="D38" s="5" t="s">
        <v>127</v>
      </c>
      <c r="E38" s="5" t="s">
        <v>128</v>
      </c>
      <c r="F38" s="5" t="s">
        <v>129</v>
      </c>
      <c r="G38" s="5" t="s">
        <v>127</v>
      </c>
      <c r="H38" s="5" t="s">
        <v>130</v>
      </c>
      <c r="I38" s="5" t="s">
        <v>131</v>
      </c>
      <c r="J38" s="5" t="s">
        <v>131</v>
      </c>
      <c r="K38" s="5" t="s">
        <v>132</v>
      </c>
      <c r="L38" s="5" t="s">
        <v>132</v>
      </c>
      <c r="M38" s="5" t="s">
        <v>132</v>
      </c>
      <c r="N38" s="5" t="s">
        <v>132</v>
      </c>
      <c r="O38" s="5" t="s">
        <v>132</v>
      </c>
    </row>
    <row r="39" hidden="1" spans="2:15">
      <c r="B39" s="100">
        <v>1</v>
      </c>
      <c r="C39" s="312" t="s">
        <v>712</v>
      </c>
      <c r="D39" s="333"/>
      <c r="E39" s="351">
        <f>'F15'!F31/12</f>
        <v>42.0648771258333</v>
      </c>
      <c r="F39" s="352">
        <f>E39</f>
        <v>42.0648771258333</v>
      </c>
      <c r="G39" s="334"/>
      <c r="H39" s="351">
        <f>'F15'!I31/12</f>
        <v>0</v>
      </c>
      <c r="I39" s="351">
        <f>'F15'!J31/12</f>
        <v>0</v>
      </c>
      <c r="J39" s="352">
        <f>H39+I39</f>
        <v>0</v>
      </c>
      <c r="K39" s="360">
        <f>10%*K9</f>
        <v>30.0321526260033</v>
      </c>
      <c r="L39" s="360">
        <f t="shared" ref="L39:O39" si="9">10%*L9</f>
        <v>31.8552567628742</v>
      </c>
      <c r="M39" s="360">
        <f t="shared" si="9"/>
        <v>39.5629026688354</v>
      </c>
      <c r="N39" s="360">
        <f t="shared" si="9"/>
        <v>42.4799240547575</v>
      </c>
      <c r="O39" s="360">
        <f t="shared" si="9"/>
        <v>45.6259525067406</v>
      </c>
    </row>
    <row r="40" hidden="1" spans="2:15">
      <c r="B40" s="100">
        <f t="shared" ref="B40:B47" si="10">B39+1</f>
        <v>2</v>
      </c>
      <c r="C40" s="342" t="s">
        <v>713</v>
      </c>
      <c r="D40" s="333"/>
      <c r="E40" s="351">
        <f ca="1">'F17'!F683*1%</f>
        <v>0</v>
      </c>
      <c r="F40" s="352">
        <f ca="1" t="shared" ref="F40:F47" si="11">E40</f>
        <v>0</v>
      </c>
      <c r="G40" s="334"/>
      <c r="H40" s="351"/>
      <c r="I40" s="351"/>
      <c r="J40" s="352">
        <f ca="1">'F17'!F728*1%</f>
        <v>20.43289</v>
      </c>
      <c r="K40" s="360">
        <f t="shared" ref="K40:O41" si="12">10%*K10</f>
        <v>20.6608841552051</v>
      </c>
      <c r="L40" s="360">
        <f t="shared" si="12"/>
        <v>22.827529652331</v>
      </c>
      <c r="M40" s="360">
        <f t="shared" si="12"/>
        <v>31.413810776431</v>
      </c>
      <c r="N40" s="360">
        <f t="shared" si="12"/>
        <v>35.5186920128731</v>
      </c>
      <c r="O40" s="360">
        <f t="shared" si="12"/>
        <v>40.2634108385922</v>
      </c>
    </row>
    <row r="41" hidden="1" spans="2:15">
      <c r="B41" s="100">
        <f t="shared" si="10"/>
        <v>3</v>
      </c>
      <c r="C41" s="312" t="s">
        <v>714</v>
      </c>
      <c r="D41" s="333"/>
      <c r="E41" s="351" t="e">
        <f>'[61]F1'!F67*45/365</f>
        <v>#N/A</v>
      </c>
      <c r="F41" s="352" t="e">
        <f t="shared" si="11"/>
        <v>#N/A</v>
      </c>
      <c r="G41" s="334"/>
      <c r="H41" s="351">
        <f>'[61]F1'!I67*45/365</f>
        <v>0</v>
      </c>
      <c r="I41" s="351">
        <f>'[61]F1'!J67*45/365</f>
        <v>0</v>
      </c>
      <c r="J41" s="352">
        <f>H41+I41</f>
        <v>0</v>
      </c>
      <c r="K41" s="360">
        <f t="shared" si="12"/>
        <v>68.23324620465</v>
      </c>
      <c r="L41" s="360">
        <f t="shared" si="12"/>
        <v>74.1577333415516</v>
      </c>
      <c r="M41" s="360">
        <f t="shared" si="12"/>
        <v>74.2717609931084</v>
      </c>
      <c r="N41" s="360">
        <f t="shared" si="12"/>
        <v>82.4166169036709</v>
      </c>
      <c r="O41" s="360">
        <f t="shared" si="12"/>
        <v>91.8722088008256</v>
      </c>
    </row>
    <row r="42" hidden="1" spans="2:15">
      <c r="B42" s="100"/>
      <c r="C42" s="312" t="s">
        <v>147</v>
      </c>
      <c r="D42" s="333"/>
      <c r="E42" s="351"/>
      <c r="F42" s="352">
        <f t="shared" si="11"/>
        <v>0</v>
      </c>
      <c r="G42" s="334"/>
      <c r="H42" s="351"/>
      <c r="I42" s="351"/>
      <c r="J42" s="352"/>
      <c r="K42" s="345"/>
      <c r="L42" s="345"/>
      <c r="M42" s="345"/>
      <c r="N42" s="345"/>
      <c r="O42" s="345"/>
    </row>
    <row r="43" hidden="1" spans="2:15">
      <c r="B43" s="100">
        <f>B41+1</f>
        <v>4</v>
      </c>
      <c r="C43" s="55" t="s">
        <v>715</v>
      </c>
      <c r="D43" s="333"/>
      <c r="E43" s="351"/>
      <c r="F43" s="352">
        <f t="shared" si="11"/>
        <v>0</v>
      </c>
      <c r="G43" s="334"/>
      <c r="H43" s="351"/>
      <c r="I43" s="351"/>
      <c r="J43" s="352">
        <f>H43+I43</f>
        <v>0</v>
      </c>
      <c r="K43" s="345"/>
      <c r="L43" s="345"/>
      <c r="M43" s="345"/>
      <c r="N43" s="345"/>
      <c r="O43" s="345"/>
    </row>
    <row r="44" ht="28.5" hidden="1" spans="2:15">
      <c r="B44" s="100">
        <f>B43+1</f>
        <v>5</v>
      </c>
      <c r="C44" s="312" t="s">
        <v>716</v>
      </c>
      <c r="D44" s="333"/>
      <c r="E44" s="351">
        <f>('[61]F14'!G15+'[61]F14'!G20+'[61]F14'!G25+'[61]F12'!F90)*45/365</f>
        <v>0</v>
      </c>
      <c r="F44" s="352">
        <f t="shared" si="11"/>
        <v>0</v>
      </c>
      <c r="G44" s="334"/>
      <c r="H44" s="351">
        <f>('[61]F14'!J15+'[61]F14'!J20+'[61]F14'!J25+'[61]F12'!I90)*45/365</f>
        <v>0</v>
      </c>
      <c r="I44" s="351">
        <f>('[61]F14'!K15+'[61]F14'!K20+'[61]F14'!K25+'[61]F12'!J90)*45/365</f>
        <v>0</v>
      </c>
      <c r="J44" s="352">
        <f>H44+I44</f>
        <v>0</v>
      </c>
      <c r="K44" s="337">
        <f>('[61]F14'!M15+'[61]F14'!M20+'[61]F14'!M25+'[61]F12'!L90)*45/365</f>
        <v>0</v>
      </c>
      <c r="L44" s="337">
        <f>('[61]F14'!N15+'[61]F14'!N20+'[61]F14'!N25+'[61]F12'!M90)*45/365</f>
        <v>0</v>
      </c>
      <c r="M44" s="337">
        <f>('[61]F14'!O15+'[61]F14'!O20+'[61]F14'!O25+'[61]F12'!N90)*45/365</f>
        <v>0</v>
      </c>
      <c r="N44" s="337">
        <f>('[61]F14'!P15+'[61]F14'!P20+'[61]F14'!P25+'[61]F12'!O90)*45/365</f>
        <v>0</v>
      </c>
      <c r="O44" s="337">
        <f>('[61]F14'!Q15+'[61]F14'!Q20+'[61]F14'!Q25+'[61]F12'!P90)*45/365</f>
        <v>0</v>
      </c>
    </row>
    <row r="45" hidden="1" spans="2:15">
      <c r="B45" s="100">
        <f>B44+1</f>
        <v>6</v>
      </c>
      <c r="C45" s="55" t="s">
        <v>717</v>
      </c>
      <c r="D45" s="333"/>
      <c r="E45" s="351" t="e">
        <f ca="1">SUM(E39:E41)-E43-E44</f>
        <v>#N/A</v>
      </c>
      <c r="F45" s="352" t="e">
        <f ca="1" t="shared" si="11"/>
        <v>#N/A</v>
      </c>
      <c r="G45" s="334"/>
      <c r="H45" s="351">
        <f>SUM(H39:H41)-H43-H44</f>
        <v>0</v>
      </c>
      <c r="I45" s="351">
        <f>SUM(I39:I41)-I43-I44</f>
        <v>0</v>
      </c>
      <c r="J45" s="352">
        <f>H45+I45</f>
        <v>0</v>
      </c>
      <c r="K45" s="337">
        <f>SUM(K39:K41)-K43-K44</f>
        <v>118.926282985858</v>
      </c>
      <c r="L45" s="337">
        <f>SUM(L39:L41)-L43-L44</f>
        <v>128.840519756757</v>
      </c>
      <c r="M45" s="337">
        <f>SUM(M39:M41)-M43-M44</f>
        <v>145.248474438375</v>
      </c>
      <c r="N45" s="337">
        <f>SUM(N39:N41)-N43-N44</f>
        <v>160.415232971302</v>
      </c>
      <c r="O45" s="337">
        <f>SUM(O39:O41)-O43-O44</f>
        <v>177.761572146158</v>
      </c>
    </row>
    <row r="46" hidden="1" spans="2:15">
      <c r="B46" s="100">
        <f t="shared" si="10"/>
        <v>7</v>
      </c>
      <c r="C46" s="55" t="s">
        <v>718</v>
      </c>
      <c r="D46" s="333"/>
      <c r="E46" s="351"/>
      <c r="F46" s="352">
        <f t="shared" si="11"/>
        <v>0</v>
      </c>
      <c r="G46" s="334"/>
      <c r="H46" s="351"/>
      <c r="I46" s="351"/>
      <c r="J46" s="352">
        <f>H46+I46</f>
        <v>0</v>
      </c>
      <c r="K46" s="362">
        <f>K31</f>
        <v>0.105</v>
      </c>
      <c r="L46" s="362">
        <f t="shared" ref="L46:O46" si="13">L31</f>
        <v>0.105</v>
      </c>
      <c r="M46" s="362">
        <f t="shared" si="13"/>
        <v>0.105</v>
      </c>
      <c r="N46" s="362">
        <f t="shared" si="13"/>
        <v>0.105</v>
      </c>
      <c r="O46" s="362">
        <f t="shared" si="13"/>
        <v>0.105</v>
      </c>
    </row>
    <row r="47" hidden="1" spans="2:15">
      <c r="B47" s="100">
        <f t="shared" si="10"/>
        <v>8</v>
      </c>
      <c r="C47" s="312" t="s">
        <v>58</v>
      </c>
      <c r="D47" s="333"/>
      <c r="E47" s="352" t="e">
        <f ca="1">E45*E46</f>
        <v>#N/A</v>
      </c>
      <c r="F47" s="352" t="e">
        <f ca="1" t="shared" si="11"/>
        <v>#N/A</v>
      </c>
      <c r="G47" s="334"/>
      <c r="H47" s="352">
        <f>H45*H46</f>
        <v>0</v>
      </c>
      <c r="I47" s="352">
        <f>I45*I46</f>
        <v>0</v>
      </c>
      <c r="J47" s="352">
        <f>H47+I47</f>
        <v>0</v>
      </c>
      <c r="K47" s="365">
        <f>K45*K46</f>
        <v>12.4872597135151</v>
      </c>
      <c r="L47" s="365">
        <f>L45*L46</f>
        <v>13.5282545744595</v>
      </c>
      <c r="M47" s="365">
        <f>M45*M46</f>
        <v>15.2510898160294</v>
      </c>
      <c r="N47" s="365">
        <f>N45*N46</f>
        <v>16.8435994619867</v>
      </c>
      <c r="O47" s="365">
        <f>O45*O46</f>
        <v>18.6649650753466</v>
      </c>
    </row>
    <row r="48" hidden="1"/>
    <row r="49" hidden="1"/>
    <row r="50" ht="15" hidden="1" spans="2:2">
      <c r="B50" s="11" t="s">
        <v>854</v>
      </c>
    </row>
    <row r="51" hidden="1"/>
    <row r="52" ht="15" hidden="1" spans="2:9">
      <c r="B52" s="55"/>
      <c r="C52" s="55"/>
      <c r="D52" s="135" t="s">
        <v>820</v>
      </c>
      <c r="E52" s="135" t="s">
        <v>821</v>
      </c>
      <c r="F52" s="135" t="s">
        <v>822</v>
      </c>
      <c r="G52" s="135" t="s">
        <v>823</v>
      </c>
      <c r="H52" s="135" t="s">
        <v>824</v>
      </c>
      <c r="I52" s="135" t="s">
        <v>825</v>
      </c>
    </row>
    <row r="53" hidden="1" spans="2:9">
      <c r="B53" s="353" t="s">
        <v>283</v>
      </c>
      <c r="C53" s="354" t="s">
        <v>826</v>
      </c>
      <c r="D53" s="355">
        <f>'[58]TSSPDCL_Int on CSD '!F8</f>
        <v>4581</v>
      </c>
      <c r="E53" s="355">
        <f>'[58]TSSPDCL_Int on CSD '!G8</f>
        <v>4663</v>
      </c>
      <c r="F53" s="355"/>
      <c r="G53" s="355"/>
      <c r="H53" s="355"/>
      <c r="I53" s="355"/>
    </row>
    <row r="54" hidden="1" spans="2:9">
      <c r="B54" s="353" t="s">
        <v>285</v>
      </c>
      <c r="C54" s="354" t="s">
        <v>827</v>
      </c>
      <c r="D54" s="355">
        <f>'[58]TSSPDCL_Int on CSD '!F9</f>
        <v>82</v>
      </c>
      <c r="E54" s="355">
        <f>'[58]TSSPDCL_Int on CSD '!G9</f>
        <v>941.588339980783</v>
      </c>
      <c r="F54" s="355"/>
      <c r="G54" s="355"/>
      <c r="H54" s="355"/>
      <c r="I54" s="355"/>
    </row>
    <row r="55" hidden="1" spans="2:9">
      <c r="B55" s="353" t="s">
        <v>828</v>
      </c>
      <c r="C55" s="354" t="s">
        <v>829</v>
      </c>
      <c r="D55" s="355">
        <f>'[58]TSSPDCL_Int on CSD '!F10</f>
        <v>4663</v>
      </c>
      <c r="E55" s="355">
        <f>'[58]TSSPDCL_Int on CSD '!G10</f>
        <v>5604.58833998078</v>
      </c>
      <c r="F55" s="355"/>
      <c r="G55" s="355"/>
      <c r="H55" s="355"/>
      <c r="I55" s="355"/>
    </row>
    <row r="56" hidden="1" spans="2:9">
      <c r="B56" s="353" t="s">
        <v>830</v>
      </c>
      <c r="C56" s="354" t="s">
        <v>831</v>
      </c>
      <c r="D56" s="355">
        <f>'[58]TSSPDCL_Int on CSD '!F11</f>
        <v>4622</v>
      </c>
      <c r="E56" s="355">
        <f>'[58]TSSPDCL_Int on CSD '!G11</f>
        <v>5133.79416999039</v>
      </c>
      <c r="F56" s="355"/>
      <c r="G56" s="355"/>
      <c r="H56" s="355"/>
      <c r="I56" s="355"/>
    </row>
    <row r="57" ht="15" hidden="1" spans="2:9">
      <c r="B57" s="353" t="s">
        <v>832</v>
      </c>
      <c r="C57" s="354" t="s">
        <v>833</v>
      </c>
      <c r="D57" s="356">
        <f>'[58]TSSPDCL_Int on CSD '!F12</f>
        <v>0.0675</v>
      </c>
      <c r="E57" s="356">
        <f>'[58]TSSPDCL_Int on CSD '!G12</f>
        <v>0.065</v>
      </c>
      <c r="F57" s="356"/>
      <c r="G57" s="356"/>
      <c r="H57" s="356"/>
      <c r="I57" s="356"/>
    </row>
    <row r="58" ht="15" hidden="1" spans="2:9">
      <c r="B58" s="357" t="s">
        <v>834</v>
      </c>
      <c r="C58" s="358" t="s">
        <v>835</v>
      </c>
      <c r="D58" s="359">
        <f>'[58]TSSPDCL_Int on CSD '!F13</f>
        <v>311.985</v>
      </c>
      <c r="E58" s="359">
        <f>'[58]TSSPDCL_Int on CSD '!G13</f>
        <v>333.696621049375</v>
      </c>
      <c r="F58" s="359">
        <f>E58*1.03</f>
        <v>343.707519680856</v>
      </c>
      <c r="G58" s="359">
        <f t="shared" ref="G58:I58" si="14">F58*1.03</f>
        <v>354.018745271282</v>
      </c>
      <c r="H58" s="359">
        <f t="shared" si="14"/>
        <v>364.63930762942</v>
      </c>
      <c r="I58" s="359">
        <f t="shared" si="14"/>
        <v>375.578486858303</v>
      </c>
    </row>
  </sheetData>
  <mergeCells count="15">
    <mergeCell ref="D6:F6"/>
    <mergeCell ref="G6:J6"/>
    <mergeCell ref="K6:O6"/>
    <mergeCell ref="D21:F21"/>
    <mergeCell ref="G21:J21"/>
    <mergeCell ref="K21:O21"/>
    <mergeCell ref="D36:F36"/>
    <mergeCell ref="G36:J36"/>
    <mergeCell ref="K36:O36"/>
    <mergeCell ref="B6:B8"/>
    <mergeCell ref="B21:B23"/>
    <mergeCell ref="B36:B38"/>
    <mergeCell ref="C6:C8"/>
    <mergeCell ref="C21:C23"/>
    <mergeCell ref="C36:C38"/>
  </mergeCells>
  <printOptions horizontalCentered="1"/>
  <pageMargins left="0.432638888888889" right="0.236111111111111" top="0.984027777777778" bottom="0.984027777777778" header="0.236111111111111" footer="0.236111111111111"/>
  <pageSetup paperSize="9" orientation="portrait" horizontalDpi="600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</sheetPr>
  <dimension ref="B1:P59"/>
  <sheetViews>
    <sheetView showGridLines="0" view="pageBreakPreview" zoomScale="90" zoomScaleNormal="54" workbookViewId="0">
      <selection activeCell="W19" sqref="W19"/>
    </sheetView>
  </sheetViews>
  <sheetFormatPr defaultColWidth="9.28571428571429" defaultRowHeight="14.25"/>
  <cols>
    <col min="1" max="1" width="4.28571428571429" style="12" customWidth="1"/>
    <col min="2" max="2" width="6.28571428571429" style="12" customWidth="1"/>
    <col min="3" max="3" width="51.2857142857143" style="12" customWidth="1"/>
    <col min="4" max="4" width="13.7142857142857" style="12" hidden="1" customWidth="1"/>
    <col min="5" max="5" width="12.5714285714286" style="12" hidden="1" customWidth="1"/>
    <col min="6" max="6" width="13.4285714285714" style="12" hidden="1" customWidth="1"/>
    <col min="7" max="7" width="13.7142857142857" style="12" hidden="1" customWidth="1"/>
    <col min="8" max="8" width="12.5714285714286" style="12" hidden="1" customWidth="1"/>
    <col min="9" max="9" width="13.2857142857143" style="12" hidden="1" customWidth="1"/>
    <col min="10" max="10" width="12.5714285714286" style="12" hidden="1" customWidth="1"/>
    <col min="11" max="11" width="13.5714285714286" style="12" customWidth="1"/>
    <col min="12" max="12" width="13.7142857142857" style="12" customWidth="1"/>
    <col min="13" max="15" width="11.7142857142857" style="12" hidden="1" customWidth="1"/>
    <col min="16" max="18" width="11.7142857142857" style="12" customWidth="1"/>
    <col min="19" max="16384" width="9.28571428571429" style="12"/>
  </cols>
  <sheetData>
    <row r="1" ht="15" spans="2:2">
      <c r="B1" s="14"/>
    </row>
    <row r="2" ht="9" customHeight="1" spans="8:8">
      <c r="H2" s="2" t="s">
        <v>758</v>
      </c>
    </row>
    <row r="3" ht="5" customHeight="1" spans="8:8">
      <c r="H3" s="3" t="s">
        <v>719</v>
      </c>
    </row>
    <row r="4" ht="15" spans="2:12">
      <c r="B4" s="322" t="s">
        <v>763</v>
      </c>
      <c r="C4" s="14"/>
      <c r="D4" s="117"/>
      <c r="E4" s="117"/>
      <c r="F4" s="117"/>
      <c r="G4" s="117"/>
      <c r="H4" s="117"/>
      <c r="I4" s="117"/>
      <c r="J4" s="117"/>
      <c r="K4" s="117"/>
      <c r="L4" s="117"/>
    </row>
    <row r="5" ht="15" spans="12:15">
      <c r="L5" s="117" t="s">
        <v>851</v>
      </c>
      <c r="O5" s="33" t="s">
        <v>109</v>
      </c>
    </row>
    <row r="6" s="15" customFormat="1" ht="15" customHeight="1" spans="2:16">
      <c r="B6" s="16" t="s">
        <v>3</v>
      </c>
      <c r="C6" s="6" t="s">
        <v>110</v>
      </c>
      <c r="D6" s="306" t="s">
        <v>112</v>
      </c>
      <c r="E6" s="307"/>
      <c r="F6" s="308"/>
      <c r="G6" s="306" t="s">
        <v>760</v>
      </c>
      <c r="H6" s="307"/>
      <c r="I6" s="307"/>
      <c r="J6" s="307"/>
      <c r="K6" s="135" t="s">
        <v>114</v>
      </c>
      <c r="L6" s="135"/>
      <c r="M6" s="135"/>
      <c r="N6" s="135"/>
      <c r="O6" s="135"/>
      <c r="P6" s="336"/>
    </row>
    <row r="7" s="15" customFormat="1" ht="23" customHeight="1" spans="2:15">
      <c r="B7" s="309"/>
      <c r="C7" s="6"/>
      <c r="D7" s="5" t="s">
        <v>116</v>
      </c>
      <c r="E7" s="5" t="s">
        <v>237</v>
      </c>
      <c r="F7" s="5" t="s">
        <v>118</v>
      </c>
      <c r="G7" s="5" t="s">
        <v>116</v>
      </c>
      <c r="H7" s="5" t="s">
        <v>119</v>
      </c>
      <c r="I7" s="5" t="s">
        <v>120</v>
      </c>
      <c r="J7" s="5" t="s">
        <v>238</v>
      </c>
      <c r="K7" s="5" t="s">
        <v>514</v>
      </c>
      <c r="L7" s="5" t="s">
        <v>515</v>
      </c>
      <c r="M7" s="5" t="s">
        <v>516</v>
      </c>
      <c r="N7" s="5" t="s">
        <v>517</v>
      </c>
      <c r="O7" s="5" t="s">
        <v>518</v>
      </c>
    </row>
    <row r="8" s="15" customFormat="1" ht="15" spans="2:15">
      <c r="B8" s="310"/>
      <c r="C8" s="100"/>
      <c r="D8" s="5" t="s">
        <v>127</v>
      </c>
      <c r="E8" s="5" t="s">
        <v>128</v>
      </c>
      <c r="F8" s="5" t="s">
        <v>129</v>
      </c>
      <c r="G8" s="5" t="s">
        <v>127</v>
      </c>
      <c r="H8" s="5" t="s">
        <v>130</v>
      </c>
      <c r="I8" s="5" t="s">
        <v>131</v>
      </c>
      <c r="J8" s="5" t="s">
        <v>131</v>
      </c>
      <c r="K8" s="5" t="s">
        <v>132</v>
      </c>
      <c r="L8" s="5" t="s">
        <v>132</v>
      </c>
      <c r="M8" s="5" t="s">
        <v>132</v>
      </c>
      <c r="N8" s="5" t="s">
        <v>132</v>
      </c>
      <c r="O8" s="5" t="s">
        <v>132</v>
      </c>
    </row>
    <row r="9" spans="2:15">
      <c r="B9" s="311">
        <v>1</v>
      </c>
      <c r="C9" s="55" t="s">
        <v>720</v>
      </c>
      <c r="D9" s="20"/>
      <c r="E9" s="147">
        <f>E28+E47</f>
        <v>0</v>
      </c>
      <c r="F9" s="147">
        <f>E9-D9</f>
        <v>0</v>
      </c>
      <c r="G9" s="208"/>
      <c r="H9" s="147">
        <f t="shared" ref="H9:I13" si="0">H28+H47</f>
        <v>0</v>
      </c>
      <c r="I9" s="147">
        <f t="shared" si="0"/>
        <v>0</v>
      </c>
      <c r="J9" s="344">
        <f>H9+I9</f>
        <v>0</v>
      </c>
      <c r="K9" s="147">
        <f>[60]RoE!E4</f>
        <v>1522.12448755697</v>
      </c>
      <c r="L9" s="147">
        <f>[60]RoE!F4</f>
        <v>1916.57694386067</v>
      </c>
      <c r="M9" s="147">
        <f>[60]RoE!G4</f>
        <v>2345.84981047062</v>
      </c>
      <c r="N9" s="147">
        <f>[60]RoE!H4</f>
        <v>3004.63676817337</v>
      </c>
      <c r="O9" s="147">
        <f>[60]RoE!I4</f>
        <v>3815.83798472829</v>
      </c>
    </row>
    <row r="10" spans="2:15">
      <c r="B10" s="100">
        <f>B9+1</f>
        <v>2</v>
      </c>
      <c r="C10" s="55" t="s">
        <v>639</v>
      </c>
      <c r="D10" s="20"/>
      <c r="E10" s="147">
        <f>E29+E48</f>
        <v>0</v>
      </c>
      <c r="F10" s="147">
        <f t="shared" ref="F10:F21" si="1">E10-D10</f>
        <v>0</v>
      </c>
      <c r="G10" s="208"/>
      <c r="H10" s="147">
        <f t="shared" si="0"/>
        <v>0</v>
      </c>
      <c r="I10" s="147">
        <f t="shared" si="0"/>
        <v>0</v>
      </c>
      <c r="J10" s="344">
        <f>[61]F16.1!H17</f>
        <v>0</v>
      </c>
      <c r="K10" s="147">
        <f>[60]RoE!E5</f>
        <v>1611.96030325881</v>
      </c>
      <c r="L10" s="147">
        <f>[60]RoE!F5</f>
        <v>1771.77495933478</v>
      </c>
      <c r="M10" s="147">
        <f>[60]RoE!G5</f>
        <v>2676.17772688792</v>
      </c>
      <c r="N10" s="147">
        <f>[60]RoE!H5</f>
        <v>3295.33483771877</v>
      </c>
      <c r="O10" s="147">
        <f>[60]RoE!I5</f>
        <v>3926.30875020388</v>
      </c>
    </row>
    <row r="11" spans="2:15">
      <c r="B11" s="100">
        <f t="shared" ref="B11:B21" si="2">B10+1</f>
        <v>3</v>
      </c>
      <c r="C11" s="334" t="s">
        <v>721</v>
      </c>
      <c r="D11" s="20"/>
      <c r="E11" s="341">
        <f>E30+E49</f>
        <v>0</v>
      </c>
      <c r="F11" s="147">
        <f t="shared" si="1"/>
        <v>0</v>
      </c>
      <c r="G11" s="208"/>
      <c r="H11" s="341">
        <f t="shared" si="0"/>
        <v>0</v>
      </c>
      <c r="I11" s="341">
        <f t="shared" si="0"/>
        <v>0</v>
      </c>
      <c r="J11" s="344">
        <f>J10*30%</f>
        <v>0</v>
      </c>
      <c r="K11" s="147">
        <f>[60]RoE!E6</f>
        <v>402.990075814702</v>
      </c>
      <c r="L11" s="147">
        <f>[60]RoE!F6</f>
        <v>442.943739833696</v>
      </c>
      <c r="M11" s="147">
        <f>[60]RoE!G6</f>
        <v>669.044431721979</v>
      </c>
      <c r="N11" s="147">
        <f>[60]RoE!H6</f>
        <v>823.833709429693</v>
      </c>
      <c r="O11" s="147">
        <f>[60]RoE!I6</f>
        <v>981.577187550971</v>
      </c>
    </row>
    <row r="12" ht="28.5" spans="2:15">
      <c r="B12" s="100">
        <f t="shared" si="2"/>
        <v>4</v>
      </c>
      <c r="C12" s="312" t="s">
        <v>722</v>
      </c>
      <c r="D12" s="333"/>
      <c r="E12" s="341">
        <f t="shared" ref="E12:E13" si="3">E31+E50</f>
        <v>0</v>
      </c>
      <c r="F12" s="147">
        <f t="shared" si="1"/>
        <v>0</v>
      </c>
      <c r="G12" s="334"/>
      <c r="H12" s="341">
        <f t="shared" si="0"/>
        <v>0</v>
      </c>
      <c r="I12" s="341">
        <f t="shared" si="0"/>
        <v>0</v>
      </c>
      <c r="J12" s="344">
        <f>H12+I12</f>
        <v>0</v>
      </c>
      <c r="K12" s="147">
        <f>[60]RoE!E8</f>
        <v>0</v>
      </c>
      <c r="L12" s="147">
        <f>[60]RoE!F8</f>
        <v>0</v>
      </c>
      <c r="M12" s="147">
        <f>[60]RoE!G8</f>
        <v>0</v>
      </c>
      <c r="N12" s="147">
        <f>[60]RoE!H8</f>
        <v>0</v>
      </c>
      <c r="O12" s="147">
        <f>[60]RoE!I8</f>
        <v>0</v>
      </c>
    </row>
    <row r="13" s="11" customFormat="1" ht="15" spans="2:15">
      <c r="B13" s="100">
        <f t="shared" si="2"/>
        <v>5</v>
      </c>
      <c r="C13" s="342" t="s">
        <v>723</v>
      </c>
      <c r="D13" s="333"/>
      <c r="E13" s="341">
        <f t="shared" si="3"/>
        <v>0</v>
      </c>
      <c r="F13" s="147">
        <f t="shared" si="1"/>
        <v>0</v>
      </c>
      <c r="G13" s="334"/>
      <c r="H13" s="341">
        <f t="shared" si="0"/>
        <v>0</v>
      </c>
      <c r="I13" s="341">
        <f t="shared" si="0"/>
        <v>0</v>
      </c>
      <c r="J13" s="344">
        <f>H13+I13</f>
        <v>0</v>
      </c>
      <c r="K13" s="147">
        <f>[60]RoE!E9</f>
        <v>1916.57694386067</v>
      </c>
      <c r="L13" s="147">
        <f>[60]RoE!F9</f>
        <v>2345.84981047062</v>
      </c>
      <c r="M13" s="147">
        <f>[60]RoE!G9</f>
        <v>3004.63676817337</v>
      </c>
      <c r="N13" s="147">
        <f>[60]RoE!H9</f>
        <v>3815.83798472829</v>
      </c>
      <c r="O13" s="147">
        <f>[60]RoE!I9</f>
        <v>4785.28366656461</v>
      </c>
    </row>
    <row r="14" s="11" customFormat="1" ht="15" spans="2:15">
      <c r="B14" s="100"/>
      <c r="C14" s="211" t="s">
        <v>724</v>
      </c>
      <c r="D14" s="333"/>
      <c r="E14" s="334"/>
      <c r="F14" s="55"/>
      <c r="G14" s="334"/>
      <c r="H14" s="334"/>
      <c r="I14" s="334"/>
      <c r="J14" s="345"/>
      <c r="K14" s="55"/>
      <c r="L14" s="55"/>
      <c r="M14" s="55"/>
      <c r="N14" s="55"/>
      <c r="O14" s="55"/>
    </row>
    <row r="15" s="11" customFormat="1" ht="15" spans="2:15">
      <c r="B15" s="100">
        <f>B13+1</f>
        <v>6</v>
      </c>
      <c r="C15" s="342" t="s">
        <v>725</v>
      </c>
      <c r="D15" s="333"/>
      <c r="E15" s="334"/>
      <c r="F15" s="147">
        <f t="shared" si="1"/>
        <v>0</v>
      </c>
      <c r="G15" s="334"/>
      <c r="H15" s="334"/>
      <c r="I15" s="334"/>
      <c r="J15" s="344"/>
      <c r="K15" s="346">
        <f>[60]RoE!E11</f>
        <v>0.11</v>
      </c>
      <c r="L15" s="346">
        <f>[60]RoE!F11</f>
        <v>0.16</v>
      </c>
      <c r="M15" s="346">
        <f>[60]RoE!G11</f>
        <v>0.14</v>
      </c>
      <c r="N15" s="346">
        <f>[60]RoE!H11</f>
        <v>0.14</v>
      </c>
      <c r="O15" s="346">
        <f>[60]RoE!I11</f>
        <v>0.14</v>
      </c>
    </row>
    <row r="16" s="11" customFormat="1" ht="15" spans="2:15">
      <c r="B16" s="100">
        <f>B15+1</f>
        <v>7</v>
      </c>
      <c r="C16" s="342" t="s">
        <v>726</v>
      </c>
      <c r="D16" s="333"/>
      <c r="E16" s="334"/>
      <c r="F16" s="147">
        <f t="shared" si="1"/>
        <v>0</v>
      </c>
      <c r="G16" s="334"/>
      <c r="H16" s="334"/>
      <c r="I16" s="334"/>
      <c r="J16" s="344"/>
      <c r="K16" s="346">
        <v>0</v>
      </c>
      <c r="L16" s="346">
        <v>0</v>
      </c>
      <c r="M16" s="346">
        <f>[60]RoE!G12</f>
        <v>1</v>
      </c>
      <c r="N16" s="346">
        <f>[60]RoE!H12</f>
        <v>1</v>
      </c>
      <c r="O16" s="346">
        <f>[60]RoE!I12</f>
        <v>1</v>
      </c>
    </row>
    <row r="17" s="11" customFormat="1" ht="15" spans="2:15">
      <c r="B17" s="100">
        <f>B16+1</f>
        <v>8</v>
      </c>
      <c r="C17" s="343" t="s">
        <v>724</v>
      </c>
      <c r="D17" s="333"/>
      <c r="E17" s="341">
        <f>E15/(1-E16)</f>
        <v>0</v>
      </c>
      <c r="F17" s="147">
        <f t="shared" si="1"/>
        <v>0</v>
      </c>
      <c r="G17" s="334"/>
      <c r="H17" s="341">
        <f>H15/(1-H16)</f>
        <v>0</v>
      </c>
      <c r="I17" s="341">
        <f>I15/(1-I16)</f>
        <v>0</v>
      </c>
      <c r="J17" s="347">
        <f t="shared" ref="J17" si="4">J15/(1-J16)</f>
        <v>0</v>
      </c>
      <c r="K17" s="346">
        <f>[60]RoE!E13</f>
        <v>0.11</v>
      </c>
      <c r="L17" s="346">
        <f>[60]RoE!F13</f>
        <v>0.16</v>
      </c>
      <c r="M17" s="346">
        <f>[60]RoE!G13</f>
        <v>0.14</v>
      </c>
      <c r="N17" s="346">
        <f>[60]RoE!H13</f>
        <v>0.14</v>
      </c>
      <c r="O17" s="346">
        <f>[60]RoE!I13</f>
        <v>0.14</v>
      </c>
    </row>
    <row r="18" ht="15" spans="2:15">
      <c r="B18" s="100"/>
      <c r="C18" s="211" t="s">
        <v>727</v>
      </c>
      <c r="D18" s="333"/>
      <c r="E18" s="334"/>
      <c r="F18" s="55"/>
      <c r="G18" s="334"/>
      <c r="H18" s="334"/>
      <c r="I18" s="334"/>
      <c r="J18" s="345"/>
      <c r="K18" s="55"/>
      <c r="L18" s="55"/>
      <c r="M18" s="55"/>
      <c r="N18" s="55"/>
      <c r="O18" s="55"/>
    </row>
    <row r="19" ht="28.5" spans="2:15">
      <c r="B19" s="100">
        <f>B17+1</f>
        <v>9</v>
      </c>
      <c r="C19" s="312" t="s">
        <v>728</v>
      </c>
      <c r="D19" s="333"/>
      <c r="E19" s="341">
        <f>E38+E57</f>
        <v>0</v>
      </c>
      <c r="F19" s="147">
        <f t="shared" si="1"/>
        <v>0</v>
      </c>
      <c r="G19" s="334"/>
      <c r="H19" s="341">
        <f t="shared" ref="H19:J20" si="5">H38+H57</f>
        <v>0</v>
      </c>
      <c r="I19" s="341">
        <f t="shared" si="5"/>
        <v>0</v>
      </c>
      <c r="J19" s="347">
        <f t="shared" si="5"/>
        <v>0</v>
      </c>
      <c r="K19" s="147">
        <f>[60]RoE!E15</f>
        <v>167.433693631266</v>
      </c>
      <c r="L19" s="147">
        <f>[60]RoE!F15</f>
        <v>306.652311017707</v>
      </c>
      <c r="M19" s="147">
        <f>[60]RoE!G15</f>
        <v>328.418973465886</v>
      </c>
      <c r="N19" s="147">
        <f>[60]RoE!H15</f>
        <v>420.649147544272</v>
      </c>
      <c r="O19" s="147">
        <f>[60]RoE!I15</f>
        <v>534.21731786196</v>
      </c>
    </row>
    <row r="20" spans="2:15">
      <c r="B20" s="100">
        <f t="shared" si="2"/>
        <v>10</v>
      </c>
      <c r="C20" s="312" t="s">
        <v>729</v>
      </c>
      <c r="D20" s="333"/>
      <c r="E20" s="341">
        <f>E39+E58</f>
        <v>0</v>
      </c>
      <c r="F20" s="147">
        <f t="shared" si="1"/>
        <v>0</v>
      </c>
      <c r="G20" s="334"/>
      <c r="H20" s="341">
        <f t="shared" si="5"/>
        <v>0</v>
      </c>
      <c r="I20" s="341">
        <f t="shared" si="5"/>
        <v>0</v>
      </c>
      <c r="J20" s="347">
        <f t="shared" si="5"/>
        <v>0</v>
      </c>
      <c r="K20" s="147">
        <f>[60]RoE!E16</f>
        <v>22.1644541698086</v>
      </c>
      <c r="L20" s="147">
        <f>[60]RoE!F16</f>
        <v>35.4354991866957</v>
      </c>
      <c r="M20" s="147">
        <f>[60]RoE!G16</f>
        <v>46.8331102205385</v>
      </c>
      <c r="N20" s="147">
        <f>[60]RoE!H16</f>
        <v>57.6683596600785</v>
      </c>
      <c r="O20" s="147">
        <f>[60]RoE!I16</f>
        <v>68.7104031285679</v>
      </c>
    </row>
    <row r="21" ht="15" spans="2:15">
      <c r="B21" s="100">
        <f t="shared" si="2"/>
        <v>11</v>
      </c>
      <c r="C21" s="54" t="s">
        <v>730</v>
      </c>
      <c r="D21" s="333"/>
      <c r="E21" s="147">
        <f>E19+E20</f>
        <v>0</v>
      </c>
      <c r="F21" s="147">
        <f t="shared" si="1"/>
        <v>0</v>
      </c>
      <c r="G21" s="334"/>
      <c r="H21" s="147">
        <f>H19+H20</f>
        <v>0</v>
      </c>
      <c r="I21" s="147">
        <f>I19+I20</f>
        <v>0</v>
      </c>
      <c r="J21" s="344">
        <f>H21+I21</f>
        <v>0</v>
      </c>
      <c r="K21" s="147">
        <f>K19+K20</f>
        <v>189.598147801075</v>
      </c>
      <c r="L21" s="147">
        <f>L19+L20</f>
        <v>342.087810204403</v>
      </c>
      <c r="M21" s="147">
        <f>M19+M20</f>
        <v>375.252083686424</v>
      </c>
      <c r="N21" s="147">
        <f>N19+N20</f>
        <v>478.317507204351</v>
      </c>
      <c r="O21" s="147">
        <f>O19+O20</f>
        <v>602.927720990528</v>
      </c>
    </row>
    <row r="23" ht="15" spans="2:12">
      <c r="B23" s="322" t="s">
        <v>768</v>
      </c>
      <c r="C23" s="14"/>
      <c r="D23" s="117"/>
      <c r="E23" s="117"/>
      <c r="F23" s="117"/>
      <c r="G23" s="117"/>
      <c r="H23" s="117"/>
      <c r="I23" s="117"/>
      <c r="J23" s="117"/>
      <c r="K23" s="117"/>
      <c r="L23" s="117"/>
    </row>
    <row r="24" ht="15" spans="12:15">
      <c r="L24" s="117" t="s">
        <v>851</v>
      </c>
      <c r="O24" s="33" t="s">
        <v>109</v>
      </c>
    </row>
    <row r="25" ht="13.9" customHeight="1" spans="2:16">
      <c r="B25" s="16" t="s">
        <v>3</v>
      </c>
      <c r="C25" s="6" t="s">
        <v>110</v>
      </c>
      <c r="D25" s="306" t="s">
        <v>112</v>
      </c>
      <c r="E25" s="307"/>
      <c r="F25" s="308"/>
      <c r="G25" s="306" t="s">
        <v>760</v>
      </c>
      <c r="H25" s="307"/>
      <c r="I25" s="307"/>
      <c r="J25" s="307"/>
      <c r="K25" s="135" t="s">
        <v>114</v>
      </c>
      <c r="L25" s="135"/>
      <c r="M25" s="135"/>
      <c r="N25" s="135"/>
      <c r="O25" s="135"/>
      <c r="P25" s="339"/>
    </row>
    <row r="26" ht="22" customHeight="1" spans="2:15">
      <c r="B26" s="309"/>
      <c r="C26" s="6"/>
      <c r="D26" s="5" t="s">
        <v>116</v>
      </c>
      <c r="E26" s="5" t="s">
        <v>237</v>
      </c>
      <c r="F26" s="5" t="s">
        <v>118</v>
      </c>
      <c r="G26" s="5" t="s">
        <v>116</v>
      </c>
      <c r="H26" s="5" t="s">
        <v>119</v>
      </c>
      <c r="I26" s="5" t="s">
        <v>120</v>
      </c>
      <c r="J26" s="5" t="s">
        <v>238</v>
      </c>
      <c r="K26" s="5" t="s">
        <v>514</v>
      </c>
      <c r="L26" s="5" t="s">
        <v>515</v>
      </c>
      <c r="M26" s="5" t="s">
        <v>516</v>
      </c>
      <c r="N26" s="5" t="s">
        <v>517</v>
      </c>
      <c r="O26" s="5" t="s">
        <v>518</v>
      </c>
    </row>
    <row r="27" ht="12" customHeight="1" spans="2:15">
      <c r="B27" s="310"/>
      <c r="C27" s="100"/>
      <c r="D27" s="5" t="s">
        <v>127</v>
      </c>
      <c r="E27" s="5" t="s">
        <v>128</v>
      </c>
      <c r="F27" s="5" t="s">
        <v>129</v>
      </c>
      <c r="G27" s="5" t="s">
        <v>127</v>
      </c>
      <c r="H27" s="5" t="s">
        <v>130</v>
      </c>
      <c r="I27" s="5" t="s">
        <v>131</v>
      </c>
      <c r="J27" s="5" t="s">
        <v>131</v>
      </c>
      <c r="K27" s="5" t="s">
        <v>132</v>
      </c>
      <c r="L27" s="5" t="s">
        <v>132</v>
      </c>
      <c r="M27" s="5" t="s">
        <v>132</v>
      </c>
      <c r="N27" s="5" t="s">
        <v>132</v>
      </c>
      <c r="O27" s="5" t="s">
        <v>132</v>
      </c>
    </row>
    <row r="28" spans="2:15">
      <c r="B28" s="311">
        <v>1</v>
      </c>
      <c r="C28" s="55" t="s">
        <v>720</v>
      </c>
      <c r="D28" s="20"/>
      <c r="E28" s="55"/>
      <c r="F28" s="147">
        <f>E28</f>
        <v>0</v>
      </c>
      <c r="G28" s="208"/>
      <c r="H28" s="208"/>
      <c r="I28" s="208"/>
      <c r="J28" s="344">
        <f>H28+I28</f>
        <v>0</v>
      </c>
      <c r="K28" s="348">
        <f t="shared" ref="K28:O32" si="6">90%*K9</f>
        <v>1369.91203880127</v>
      </c>
      <c r="L28" s="348">
        <f t="shared" si="6"/>
        <v>1724.9192494746</v>
      </c>
      <c r="M28" s="348">
        <f t="shared" si="6"/>
        <v>2111.26482942356</v>
      </c>
      <c r="N28" s="348">
        <f t="shared" si="6"/>
        <v>2704.17309135603</v>
      </c>
      <c r="O28" s="348">
        <f t="shared" si="6"/>
        <v>3434.25418625546</v>
      </c>
    </row>
    <row r="29" spans="2:15">
      <c r="B29" s="100">
        <f>B28+1</f>
        <v>2</v>
      </c>
      <c r="C29" s="55" t="s">
        <v>639</v>
      </c>
      <c r="D29" s="20"/>
      <c r="E29" s="147">
        <f>[61]F16.1!H11</f>
        <v>0</v>
      </c>
      <c r="F29" s="147">
        <f t="shared" ref="F29:F40" si="7">E29</f>
        <v>0</v>
      </c>
      <c r="G29" s="208"/>
      <c r="H29" s="147"/>
      <c r="I29" s="147"/>
      <c r="J29" s="344">
        <f>[61]F16.1!H17</f>
        <v>0</v>
      </c>
      <c r="K29" s="348">
        <f t="shared" si="6"/>
        <v>1450.76427293293</v>
      </c>
      <c r="L29" s="348">
        <f t="shared" si="6"/>
        <v>1594.5974634013</v>
      </c>
      <c r="M29" s="348">
        <f t="shared" si="6"/>
        <v>2408.55995419913</v>
      </c>
      <c r="N29" s="348">
        <f t="shared" si="6"/>
        <v>2965.80135394689</v>
      </c>
      <c r="O29" s="348">
        <f t="shared" si="6"/>
        <v>3533.67787518349</v>
      </c>
    </row>
    <row r="30" spans="2:15">
      <c r="B30" s="100">
        <f t="shared" ref="B30:B40" si="8">B29+1</f>
        <v>3</v>
      </c>
      <c r="C30" s="334" t="s">
        <v>721</v>
      </c>
      <c r="D30" s="20"/>
      <c r="E30" s="341">
        <f>E29*25%</f>
        <v>0</v>
      </c>
      <c r="F30" s="147">
        <f t="shared" si="7"/>
        <v>0</v>
      </c>
      <c r="G30" s="208"/>
      <c r="H30" s="341">
        <f>H29*25%</f>
        <v>0</v>
      </c>
      <c r="I30" s="341">
        <f>I29*25%</f>
        <v>0</v>
      </c>
      <c r="J30" s="344">
        <f>H30+I30</f>
        <v>0</v>
      </c>
      <c r="K30" s="348">
        <f t="shared" si="6"/>
        <v>362.691068233232</v>
      </c>
      <c r="L30" s="348">
        <f t="shared" si="6"/>
        <v>398.649365850326</v>
      </c>
      <c r="M30" s="348">
        <f t="shared" si="6"/>
        <v>602.139988549781</v>
      </c>
      <c r="N30" s="348">
        <f t="shared" si="6"/>
        <v>741.450338486724</v>
      </c>
      <c r="O30" s="348">
        <f t="shared" si="6"/>
        <v>883.419468795874</v>
      </c>
    </row>
    <row r="31" ht="28.5" spans="2:15">
      <c r="B31" s="100">
        <f t="shared" si="8"/>
        <v>4</v>
      </c>
      <c r="C31" s="312" t="s">
        <v>722</v>
      </c>
      <c r="D31" s="333"/>
      <c r="E31" s="341"/>
      <c r="F31" s="147">
        <f t="shared" si="7"/>
        <v>0</v>
      </c>
      <c r="G31" s="334"/>
      <c r="H31" s="341"/>
      <c r="I31" s="341"/>
      <c r="J31" s="344"/>
      <c r="K31" s="348">
        <f>90%*K12</f>
        <v>0</v>
      </c>
      <c r="L31" s="348">
        <f t="shared" si="6"/>
        <v>0</v>
      </c>
      <c r="M31" s="348">
        <f t="shared" si="6"/>
        <v>0</v>
      </c>
      <c r="N31" s="348">
        <f t="shared" si="6"/>
        <v>0</v>
      </c>
      <c r="O31" s="348">
        <f t="shared" si="6"/>
        <v>0</v>
      </c>
    </row>
    <row r="32" spans="2:15">
      <c r="B32" s="100">
        <f t="shared" si="8"/>
        <v>5</v>
      </c>
      <c r="C32" s="342" t="s">
        <v>723</v>
      </c>
      <c r="D32" s="333"/>
      <c r="E32" s="341">
        <f>E28+E30-E31</f>
        <v>0</v>
      </c>
      <c r="F32" s="147">
        <f t="shared" si="7"/>
        <v>0</v>
      </c>
      <c r="G32" s="334"/>
      <c r="H32" s="341">
        <f>H28+H30-H31</f>
        <v>0</v>
      </c>
      <c r="I32" s="341">
        <f>I28+I30-I31</f>
        <v>0</v>
      </c>
      <c r="J32" s="344">
        <f>H32+I32</f>
        <v>0</v>
      </c>
      <c r="K32" s="348">
        <f t="shared" si="6"/>
        <v>1724.9192494746</v>
      </c>
      <c r="L32" s="348">
        <f>90%*L13</f>
        <v>2111.26482942356</v>
      </c>
      <c r="M32" s="348">
        <f t="shared" si="6"/>
        <v>2704.17309135603</v>
      </c>
      <c r="N32" s="348">
        <f t="shared" si="6"/>
        <v>3434.25418625546</v>
      </c>
      <c r="O32" s="348">
        <f t="shared" si="6"/>
        <v>4306.75529990815</v>
      </c>
    </row>
    <row r="33" ht="15" spans="2:15">
      <c r="B33" s="100"/>
      <c r="C33" s="211" t="s">
        <v>724</v>
      </c>
      <c r="D33" s="333"/>
      <c r="E33" s="334"/>
      <c r="F33" s="147">
        <f t="shared" si="7"/>
        <v>0</v>
      </c>
      <c r="G33" s="334"/>
      <c r="H33" s="334"/>
      <c r="I33" s="334"/>
      <c r="J33" s="345"/>
      <c r="K33" s="345"/>
      <c r="L33" s="345"/>
      <c r="M33" s="345"/>
      <c r="N33" s="345"/>
      <c r="O33" s="345"/>
    </row>
    <row r="34" spans="2:15">
      <c r="B34" s="100">
        <f>B32+1</f>
        <v>6</v>
      </c>
      <c r="C34" s="342" t="s">
        <v>725</v>
      </c>
      <c r="D34" s="333"/>
      <c r="E34" s="334"/>
      <c r="F34" s="147">
        <f t="shared" si="7"/>
        <v>0</v>
      </c>
      <c r="G34" s="334"/>
      <c r="H34" s="334"/>
      <c r="I34" s="334"/>
      <c r="J34" s="344"/>
      <c r="K34" s="349">
        <f>K15</f>
        <v>0.11</v>
      </c>
      <c r="L34" s="349">
        <f t="shared" ref="L34:O34" si="9">L15</f>
        <v>0.16</v>
      </c>
      <c r="M34" s="349">
        <f t="shared" si="9"/>
        <v>0.14</v>
      </c>
      <c r="N34" s="349">
        <f t="shared" si="9"/>
        <v>0.14</v>
      </c>
      <c r="O34" s="349">
        <f t="shared" si="9"/>
        <v>0.14</v>
      </c>
    </row>
    <row r="35" spans="2:15">
      <c r="B35" s="100">
        <f>B34+1</f>
        <v>7</v>
      </c>
      <c r="C35" s="342" t="s">
        <v>726</v>
      </c>
      <c r="D35" s="333"/>
      <c r="E35" s="334"/>
      <c r="F35" s="147">
        <f t="shared" si="7"/>
        <v>0</v>
      </c>
      <c r="G35" s="334"/>
      <c r="H35" s="334"/>
      <c r="I35" s="334"/>
      <c r="J35" s="344"/>
      <c r="K35" s="349">
        <f t="shared" ref="K35:O36" si="10">K16</f>
        <v>0</v>
      </c>
      <c r="L35" s="349">
        <f t="shared" si="10"/>
        <v>0</v>
      </c>
      <c r="M35" s="349">
        <f t="shared" si="10"/>
        <v>1</v>
      </c>
      <c r="N35" s="349">
        <f t="shared" si="10"/>
        <v>1</v>
      </c>
      <c r="O35" s="349">
        <f t="shared" si="10"/>
        <v>1</v>
      </c>
    </row>
    <row r="36" ht="15" spans="2:15">
      <c r="B36" s="100">
        <f>B35+1</f>
        <v>8</v>
      </c>
      <c r="C36" s="343" t="s">
        <v>724</v>
      </c>
      <c r="D36" s="333"/>
      <c r="E36" s="341">
        <f>E34/(1-E35)</f>
        <v>0</v>
      </c>
      <c r="F36" s="147">
        <f t="shared" si="7"/>
        <v>0</v>
      </c>
      <c r="G36" s="334"/>
      <c r="H36" s="341">
        <f>H34/(1-H35)</f>
        <v>0</v>
      </c>
      <c r="I36" s="341">
        <f>I34/(1-I35)</f>
        <v>0</v>
      </c>
      <c r="J36" s="347">
        <f t="shared" ref="J36" si="11">J34/(1-J35)</f>
        <v>0</v>
      </c>
      <c r="K36" s="349">
        <f t="shared" si="10"/>
        <v>0.11</v>
      </c>
      <c r="L36" s="349">
        <f t="shared" si="10"/>
        <v>0.16</v>
      </c>
      <c r="M36" s="349">
        <f t="shared" si="10"/>
        <v>0.14</v>
      </c>
      <c r="N36" s="349">
        <f t="shared" si="10"/>
        <v>0.14</v>
      </c>
      <c r="O36" s="349">
        <f t="shared" si="10"/>
        <v>0.14</v>
      </c>
    </row>
    <row r="37" ht="15" spans="2:15">
      <c r="B37" s="100"/>
      <c r="C37" s="211" t="s">
        <v>727</v>
      </c>
      <c r="D37" s="333"/>
      <c r="E37" s="334"/>
      <c r="F37" s="147">
        <f t="shared" si="7"/>
        <v>0</v>
      </c>
      <c r="G37" s="334"/>
      <c r="H37" s="334"/>
      <c r="I37" s="334"/>
      <c r="J37" s="345"/>
      <c r="K37" s="345"/>
      <c r="L37" s="345"/>
      <c r="M37" s="345"/>
      <c r="N37" s="345"/>
      <c r="O37" s="345"/>
    </row>
    <row r="38" ht="28.5" spans="2:15">
      <c r="B38" s="100">
        <f>B36+1</f>
        <v>9</v>
      </c>
      <c r="C38" s="312" t="s">
        <v>728</v>
      </c>
      <c r="D38" s="333"/>
      <c r="E38" s="341">
        <f>E28*E36</f>
        <v>0</v>
      </c>
      <c r="F38" s="147">
        <f t="shared" si="7"/>
        <v>0</v>
      </c>
      <c r="G38" s="334"/>
      <c r="H38" s="341">
        <f>H28*H36</f>
        <v>0</v>
      </c>
      <c r="I38" s="341">
        <f>I28*I36</f>
        <v>0</v>
      </c>
      <c r="J38" s="344">
        <f>H38+I38</f>
        <v>0</v>
      </c>
      <c r="K38" s="350">
        <f>K19*90%</f>
        <v>150.690324268139</v>
      </c>
      <c r="L38" s="350">
        <f>L19*90%</f>
        <v>275.987079915936</v>
      </c>
      <c r="M38" s="350">
        <f t="shared" ref="M38:O39" si="12">M19*90%</f>
        <v>295.577076119297</v>
      </c>
      <c r="N38" s="350">
        <f t="shared" si="12"/>
        <v>378.584232789845</v>
      </c>
      <c r="O38" s="350">
        <f t="shared" si="12"/>
        <v>480.795586075764</v>
      </c>
    </row>
    <row r="39" spans="2:15">
      <c r="B39" s="100">
        <f t="shared" si="8"/>
        <v>10</v>
      </c>
      <c r="C39" s="312" t="s">
        <v>729</v>
      </c>
      <c r="D39" s="333"/>
      <c r="E39" s="341">
        <f>(E30+E31)*E36/2</f>
        <v>0</v>
      </c>
      <c r="F39" s="147">
        <f t="shared" si="7"/>
        <v>0</v>
      </c>
      <c r="G39" s="334"/>
      <c r="H39" s="341">
        <f>(H30+H31)*H36/2</f>
        <v>0</v>
      </c>
      <c r="I39" s="341">
        <f>(I30+I31)*I36/2</f>
        <v>0</v>
      </c>
      <c r="J39" s="341">
        <f>(J30+J31)*J36/2</f>
        <v>0</v>
      </c>
      <c r="K39" s="350">
        <f>K20*90%</f>
        <v>19.9480087528277</v>
      </c>
      <c r="L39" s="350">
        <f>L20*90%</f>
        <v>31.8919492680261</v>
      </c>
      <c r="M39" s="350">
        <f t="shared" si="12"/>
        <v>42.1497991984847</v>
      </c>
      <c r="N39" s="350">
        <f t="shared" si="12"/>
        <v>51.9015236940707</v>
      </c>
      <c r="O39" s="350">
        <f t="shared" si="12"/>
        <v>61.8393628157111</v>
      </c>
    </row>
    <row r="40" ht="15" spans="2:15">
      <c r="B40" s="100">
        <f t="shared" si="8"/>
        <v>11</v>
      </c>
      <c r="C40" s="54" t="s">
        <v>730</v>
      </c>
      <c r="D40" s="333"/>
      <c r="E40" s="147">
        <f>E38+E39</f>
        <v>0</v>
      </c>
      <c r="F40" s="147">
        <f t="shared" si="7"/>
        <v>0</v>
      </c>
      <c r="G40" s="334"/>
      <c r="H40" s="147">
        <f>H38+H39</f>
        <v>0</v>
      </c>
      <c r="I40" s="147">
        <f>I38+I39</f>
        <v>0</v>
      </c>
      <c r="J40" s="344">
        <f>H40+I40</f>
        <v>0</v>
      </c>
      <c r="K40" s="350">
        <f>K38+K39</f>
        <v>170.638333020967</v>
      </c>
      <c r="L40" s="350">
        <f>L38+L39</f>
        <v>307.879029183962</v>
      </c>
      <c r="M40" s="350">
        <f>M38+M39</f>
        <v>337.726875317782</v>
      </c>
      <c r="N40" s="350">
        <f>N38+N39</f>
        <v>430.485756483915</v>
      </c>
      <c r="O40" s="350">
        <f>O38+O39</f>
        <v>542.634948891475</v>
      </c>
    </row>
    <row r="42" ht="15" spans="2:12">
      <c r="B42" s="322" t="s">
        <v>769</v>
      </c>
      <c r="C42" s="14"/>
      <c r="D42" s="117"/>
      <c r="E42" s="117"/>
      <c r="F42" s="117"/>
      <c r="G42" s="117"/>
      <c r="H42" s="117"/>
      <c r="I42" s="117"/>
      <c r="J42" s="117"/>
      <c r="K42" s="117"/>
      <c r="L42" s="117"/>
    </row>
    <row r="43" ht="15" spans="12:15">
      <c r="L43" s="117" t="s">
        <v>851</v>
      </c>
      <c r="O43" s="33" t="s">
        <v>109</v>
      </c>
    </row>
    <row r="44" ht="13.9" customHeight="1" spans="2:16">
      <c r="B44" s="16" t="s">
        <v>3</v>
      </c>
      <c r="C44" s="6" t="s">
        <v>110</v>
      </c>
      <c r="D44" s="306" t="s">
        <v>112</v>
      </c>
      <c r="E44" s="307"/>
      <c r="F44" s="308"/>
      <c r="G44" s="306" t="s">
        <v>760</v>
      </c>
      <c r="H44" s="307"/>
      <c r="I44" s="307"/>
      <c r="J44" s="307"/>
      <c r="K44" s="135" t="s">
        <v>114</v>
      </c>
      <c r="L44" s="135"/>
      <c r="M44" s="135"/>
      <c r="N44" s="135"/>
      <c r="O44" s="135"/>
      <c r="P44" s="339"/>
    </row>
    <row r="45" ht="24" customHeight="1" spans="2:15">
      <c r="B45" s="309"/>
      <c r="C45" s="6"/>
      <c r="D45" s="5" t="s">
        <v>116</v>
      </c>
      <c r="E45" s="5" t="s">
        <v>237</v>
      </c>
      <c r="F45" s="5" t="s">
        <v>118</v>
      </c>
      <c r="G45" s="5" t="s">
        <v>116</v>
      </c>
      <c r="H45" s="5" t="s">
        <v>119</v>
      </c>
      <c r="I45" s="5" t="s">
        <v>120</v>
      </c>
      <c r="J45" s="5" t="s">
        <v>238</v>
      </c>
      <c r="K45" s="5" t="s">
        <v>514</v>
      </c>
      <c r="L45" s="5" t="s">
        <v>515</v>
      </c>
      <c r="M45" s="5" t="s">
        <v>516</v>
      </c>
      <c r="N45" s="5" t="s">
        <v>517</v>
      </c>
      <c r="O45" s="5" t="s">
        <v>518</v>
      </c>
    </row>
    <row r="46" ht="13" customHeight="1" spans="2:15">
      <c r="B46" s="310"/>
      <c r="C46" s="100"/>
      <c r="D46" s="5" t="s">
        <v>127</v>
      </c>
      <c r="E46" s="5" t="s">
        <v>128</v>
      </c>
      <c r="F46" s="5" t="s">
        <v>129</v>
      </c>
      <c r="G46" s="5" t="s">
        <v>127</v>
      </c>
      <c r="H46" s="5" t="s">
        <v>130</v>
      </c>
      <c r="I46" s="5" t="s">
        <v>131</v>
      </c>
      <c r="J46" s="5" t="s">
        <v>131</v>
      </c>
      <c r="K46" s="5" t="s">
        <v>132</v>
      </c>
      <c r="L46" s="5" t="s">
        <v>132</v>
      </c>
      <c r="M46" s="5" t="s">
        <v>132</v>
      </c>
      <c r="N46" s="5" t="s">
        <v>132</v>
      </c>
      <c r="O46" s="5" t="s">
        <v>132</v>
      </c>
    </row>
    <row r="47" spans="2:15">
      <c r="B47" s="311">
        <v>1</v>
      </c>
      <c r="C47" s="55" t="s">
        <v>720</v>
      </c>
      <c r="D47" s="20"/>
      <c r="E47" s="55"/>
      <c r="F47" s="147">
        <f>E47</f>
        <v>0</v>
      </c>
      <c r="G47" s="208"/>
      <c r="H47" s="208"/>
      <c r="I47" s="208"/>
      <c r="J47" s="344">
        <f>H47+I47</f>
        <v>0</v>
      </c>
      <c r="K47" s="348">
        <f t="shared" ref="K47:O51" si="13">10%*K9</f>
        <v>152.212448755697</v>
      </c>
      <c r="L47" s="348">
        <f t="shared" si="13"/>
        <v>191.657694386067</v>
      </c>
      <c r="M47" s="348">
        <f t="shared" si="13"/>
        <v>234.584981047062</v>
      </c>
      <c r="N47" s="348">
        <f t="shared" si="13"/>
        <v>300.463676817337</v>
      </c>
      <c r="O47" s="348">
        <f t="shared" si="13"/>
        <v>381.583798472829</v>
      </c>
    </row>
    <row r="48" spans="2:15">
      <c r="B48" s="100">
        <f>B47+1</f>
        <v>2</v>
      </c>
      <c r="C48" s="55" t="s">
        <v>639</v>
      </c>
      <c r="D48" s="20"/>
      <c r="E48" s="147">
        <f>[61]F16.1!H11</f>
        <v>0</v>
      </c>
      <c r="F48" s="147">
        <f t="shared" ref="F48:F58" si="14">E48</f>
        <v>0</v>
      </c>
      <c r="G48" s="208"/>
      <c r="H48" s="147"/>
      <c r="I48" s="147"/>
      <c r="J48" s="344">
        <f>[61]F16.1!H55</f>
        <v>0</v>
      </c>
      <c r="K48" s="348">
        <f t="shared" si="13"/>
        <v>161.196030325881</v>
      </c>
      <c r="L48" s="348">
        <f t="shared" si="13"/>
        <v>177.177495933478</v>
      </c>
      <c r="M48" s="348">
        <f t="shared" si="13"/>
        <v>267.617772688792</v>
      </c>
      <c r="N48" s="348">
        <f t="shared" si="13"/>
        <v>329.533483771877</v>
      </c>
      <c r="O48" s="348">
        <f t="shared" si="13"/>
        <v>392.630875020388</v>
      </c>
    </row>
    <row r="49" spans="2:15">
      <c r="B49" s="100">
        <f t="shared" ref="B49:B59" si="15">B48+1</f>
        <v>3</v>
      </c>
      <c r="C49" s="334" t="s">
        <v>721</v>
      </c>
      <c r="D49" s="20"/>
      <c r="E49" s="341">
        <f>E48*25%</f>
        <v>0</v>
      </c>
      <c r="F49" s="147">
        <f t="shared" si="14"/>
        <v>0</v>
      </c>
      <c r="G49" s="208"/>
      <c r="H49" s="341">
        <f>H48*25%</f>
        <v>0</v>
      </c>
      <c r="I49" s="341">
        <f>I48*25%</f>
        <v>0</v>
      </c>
      <c r="J49" s="344">
        <f>H49+I49</f>
        <v>0</v>
      </c>
      <c r="K49" s="348">
        <f t="shared" si="13"/>
        <v>40.2990075814702</v>
      </c>
      <c r="L49" s="348">
        <f t="shared" si="13"/>
        <v>44.2943739833696</v>
      </c>
      <c r="M49" s="348">
        <f t="shared" si="13"/>
        <v>66.9044431721979</v>
      </c>
      <c r="N49" s="348">
        <f t="shared" si="13"/>
        <v>82.3833709429693</v>
      </c>
      <c r="O49" s="348">
        <f t="shared" si="13"/>
        <v>98.1577187550971</v>
      </c>
    </row>
    <row r="50" ht="28.5" spans="2:15">
      <c r="B50" s="100">
        <f t="shared" si="15"/>
        <v>4</v>
      </c>
      <c r="C50" s="312" t="s">
        <v>722</v>
      </c>
      <c r="D50" s="333"/>
      <c r="E50" s="341"/>
      <c r="F50" s="147"/>
      <c r="G50" s="334"/>
      <c r="H50" s="341"/>
      <c r="I50" s="341"/>
      <c r="J50" s="344"/>
      <c r="K50" s="348">
        <f t="shared" si="13"/>
        <v>0</v>
      </c>
      <c r="L50" s="348">
        <f t="shared" si="13"/>
        <v>0</v>
      </c>
      <c r="M50" s="348">
        <f t="shared" si="13"/>
        <v>0</v>
      </c>
      <c r="N50" s="348">
        <f t="shared" si="13"/>
        <v>0</v>
      </c>
      <c r="O50" s="348">
        <f t="shared" si="13"/>
        <v>0</v>
      </c>
    </row>
    <row r="51" spans="2:15">
      <c r="B51" s="100">
        <f t="shared" si="15"/>
        <v>5</v>
      </c>
      <c r="C51" s="342" t="s">
        <v>723</v>
      </c>
      <c r="D51" s="333"/>
      <c r="E51" s="341">
        <f>E47+E49-E50</f>
        <v>0</v>
      </c>
      <c r="F51" s="147">
        <f t="shared" si="14"/>
        <v>0</v>
      </c>
      <c r="G51" s="334"/>
      <c r="H51" s="341">
        <f>H47+H49-H50</f>
        <v>0</v>
      </c>
      <c r="I51" s="341">
        <f>I47+I49-I50</f>
        <v>0</v>
      </c>
      <c r="J51" s="344">
        <f>H51+I51</f>
        <v>0</v>
      </c>
      <c r="K51" s="348">
        <f t="shared" si="13"/>
        <v>191.657694386067</v>
      </c>
      <c r="L51" s="348">
        <f t="shared" si="13"/>
        <v>234.584981047062</v>
      </c>
      <c r="M51" s="348">
        <f t="shared" si="13"/>
        <v>300.463676817337</v>
      </c>
      <c r="N51" s="348">
        <f t="shared" si="13"/>
        <v>381.583798472829</v>
      </c>
      <c r="O51" s="348">
        <f t="shared" si="13"/>
        <v>478.528366656461</v>
      </c>
    </row>
    <row r="52" ht="15" spans="2:15">
      <c r="B52" s="100"/>
      <c r="C52" s="211" t="s">
        <v>724</v>
      </c>
      <c r="D52" s="333"/>
      <c r="E52" s="334"/>
      <c r="F52" s="147">
        <f t="shared" si="14"/>
        <v>0</v>
      </c>
      <c r="G52" s="334"/>
      <c r="H52" s="334"/>
      <c r="I52" s="334"/>
      <c r="J52" s="345"/>
      <c r="K52" s="345"/>
      <c r="L52" s="345"/>
      <c r="M52" s="345"/>
      <c r="N52" s="345"/>
      <c r="O52" s="345"/>
    </row>
    <row r="53" spans="2:15">
      <c r="B53" s="100">
        <f>B51+1</f>
        <v>6</v>
      </c>
      <c r="C53" s="342" t="s">
        <v>725</v>
      </c>
      <c r="D53" s="333"/>
      <c r="E53" s="334"/>
      <c r="F53" s="147">
        <f t="shared" si="14"/>
        <v>0</v>
      </c>
      <c r="G53" s="334"/>
      <c r="H53" s="334"/>
      <c r="I53" s="334"/>
      <c r="J53" s="344"/>
      <c r="K53" s="349">
        <f t="shared" ref="K53:O55" si="16">K34</f>
        <v>0.11</v>
      </c>
      <c r="L53" s="349">
        <f t="shared" si="16"/>
        <v>0.16</v>
      </c>
      <c r="M53" s="349">
        <f t="shared" si="16"/>
        <v>0.14</v>
      </c>
      <c r="N53" s="349">
        <f t="shared" si="16"/>
        <v>0.14</v>
      </c>
      <c r="O53" s="349">
        <f t="shared" si="16"/>
        <v>0.14</v>
      </c>
    </row>
    <row r="54" spans="2:15">
      <c r="B54" s="100">
        <f>B53+1</f>
        <v>7</v>
      </c>
      <c r="C54" s="342" t="s">
        <v>726</v>
      </c>
      <c r="D54" s="333"/>
      <c r="E54" s="334"/>
      <c r="F54" s="147">
        <f t="shared" si="14"/>
        <v>0</v>
      </c>
      <c r="G54" s="334"/>
      <c r="H54" s="334"/>
      <c r="I54" s="334"/>
      <c r="J54" s="344"/>
      <c r="K54" s="349">
        <f t="shared" si="16"/>
        <v>0</v>
      </c>
      <c r="L54" s="349">
        <f t="shared" si="16"/>
        <v>0</v>
      </c>
      <c r="M54" s="349">
        <f t="shared" si="16"/>
        <v>1</v>
      </c>
      <c r="N54" s="349">
        <f t="shared" si="16"/>
        <v>1</v>
      </c>
      <c r="O54" s="349">
        <f t="shared" si="16"/>
        <v>1</v>
      </c>
    </row>
    <row r="55" ht="15" spans="2:15">
      <c r="B55" s="100">
        <f>B54+1</f>
        <v>8</v>
      </c>
      <c r="C55" s="343" t="s">
        <v>724</v>
      </c>
      <c r="D55" s="333"/>
      <c r="E55" s="341">
        <f>E53/(1-E54)</f>
        <v>0</v>
      </c>
      <c r="F55" s="147">
        <f t="shared" si="14"/>
        <v>0</v>
      </c>
      <c r="G55" s="334"/>
      <c r="H55" s="341">
        <f>H53/(1-H54)</f>
        <v>0</v>
      </c>
      <c r="I55" s="341">
        <f>I53/(1-I54)</f>
        <v>0</v>
      </c>
      <c r="J55" s="347">
        <f t="shared" ref="J55" si="17">J53/(1-J54)</f>
        <v>0</v>
      </c>
      <c r="K55" s="349">
        <f>K36</f>
        <v>0.11</v>
      </c>
      <c r="L55" s="349">
        <f>L36</f>
        <v>0.16</v>
      </c>
      <c r="M55" s="349">
        <f t="shared" si="16"/>
        <v>0.14</v>
      </c>
      <c r="N55" s="349">
        <f>N36</f>
        <v>0.14</v>
      </c>
      <c r="O55" s="349">
        <f>O36</f>
        <v>0.14</v>
      </c>
    </row>
    <row r="56" ht="15" spans="2:15">
      <c r="B56" s="100"/>
      <c r="C56" s="211" t="s">
        <v>727</v>
      </c>
      <c r="D56" s="333"/>
      <c r="E56" s="334"/>
      <c r="F56" s="147">
        <f t="shared" si="14"/>
        <v>0</v>
      </c>
      <c r="G56" s="334"/>
      <c r="H56" s="334"/>
      <c r="I56" s="334"/>
      <c r="J56" s="345"/>
      <c r="K56" s="345"/>
      <c r="L56" s="345"/>
      <c r="M56" s="345"/>
      <c r="N56" s="345"/>
      <c r="O56" s="345"/>
    </row>
    <row r="57" ht="28.5" spans="2:15">
      <c r="B57" s="100">
        <f>B55+1</f>
        <v>9</v>
      </c>
      <c r="C57" s="312" t="s">
        <v>728</v>
      </c>
      <c r="D57" s="333"/>
      <c r="E57" s="341">
        <f>E47*E55</f>
        <v>0</v>
      </c>
      <c r="F57" s="147">
        <f t="shared" si="14"/>
        <v>0</v>
      </c>
      <c r="G57" s="334"/>
      <c r="H57" s="341">
        <f>H47*H55</f>
        <v>0</v>
      </c>
      <c r="I57" s="341">
        <f>I47*I55</f>
        <v>0</v>
      </c>
      <c r="J57" s="344">
        <f>H57+I57</f>
        <v>0</v>
      </c>
      <c r="K57" s="350">
        <f t="shared" ref="K57:O58" si="18">K19*10%</f>
        <v>16.7433693631266</v>
      </c>
      <c r="L57" s="350">
        <f t="shared" si="18"/>
        <v>30.6652311017707</v>
      </c>
      <c r="M57" s="350">
        <f t="shared" si="18"/>
        <v>32.8418973465886</v>
      </c>
      <c r="N57" s="350">
        <f t="shared" si="18"/>
        <v>42.0649147544272</v>
      </c>
      <c r="O57" s="350">
        <f t="shared" si="18"/>
        <v>53.421731786196</v>
      </c>
    </row>
    <row r="58" spans="2:15">
      <c r="B58" s="100">
        <f t="shared" si="15"/>
        <v>10</v>
      </c>
      <c r="C58" s="312" t="s">
        <v>729</v>
      </c>
      <c r="D58" s="333"/>
      <c r="E58" s="341">
        <f>(E49+E50)*E55/2</f>
        <v>0</v>
      </c>
      <c r="F58" s="147">
        <f t="shared" si="14"/>
        <v>0</v>
      </c>
      <c r="G58" s="334"/>
      <c r="H58" s="341">
        <f>(H49+H50)*H55/2</f>
        <v>0</v>
      </c>
      <c r="I58" s="341">
        <f>(I49+I50)*I55/2</f>
        <v>0</v>
      </c>
      <c r="J58" s="341">
        <f>(J49+J50)*J55/2</f>
        <v>0</v>
      </c>
      <c r="K58" s="350">
        <f t="shared" si="18"/>
        <v>2.21644541698086</v>
      </c>
      <c r="L58" s="350">
        <f t="shared" si="18"/>
        <v>3.54354991866957</v>
      </c>
      <c r="M58" s="350">
        <f t="shared" si="18"/>
        <v>4.68331102205385</v>
      </c>
      <c r="N58" s="350">
        <f t="shared" si="18"/>
        <v>5.76683596600785</v>
      </c>
      <c r="O58" s="350">
        <f t="shared" si="18"/>
        <v>6.87104031285679</v>
      </c>
    </row>
    <row r="59" ht="15" spans="2:15">
      <c r="B59" s="100">
        <f t="shared" si="15"/>
        <v>11</v>
      </c>
      <c r="C59" s="54" t="s">
        <v>730</v>
      </c>
      <c r="D59" s="333"/>
      <c r="E59" s="147">
        <f>E57+E58</f>
        <v>0</v>
      </c>
      <c r="F59" s="147">
        <f>F57+F58</f>
        <v>0</v>
      </c>
      <c r="G59" s="334"/>
      <c r="H59" s="147">
        <f>H57+H58</f>
        <v>0</v>
      </c>
      <c r="I59" s="147">
        <f>I57+I58</f>
        <v>0</v>
      </c>
      <c r="J59" s="344">
        <f>H59+I59</f>
        <v>0</v>
      </c>
      <c r="K59" s="147">
        <f>K57+K58</f>
        <v>18.9598147801075</v>
      </c>
      <c r="L59" s="147">
        <f>L57+L58</f>
        <v>34.2087810204403</v>
      </c>
      <c r="M59" s="147">
        <f>M57+M58</f>
        <v>37.5252083686425</v>
      </c>
      <c r="N59" s="147">
        <f>N57+N58</f>
        <v>47.8317507204351</v>
      </c>
      <c r="O59" s="147">
        <f>O57+O58</f>
        <v>60.2927720990528</v>
      </c>
    </row>
  </sheetData>
  <mergeCells count="15">
    <mergeCell ref="D6:F6"/>
    <mergeCell ref="G6:J6"/>
    <mergeCell ref="K6:O6"/>
    <mergeCell ref="D25:F25"/>
    <mergeCell ref="G25:J25"/>
    <mergeCell ref="K25:O25"/>
    <mergeCell ref="D44:F44"/>
    <mergeCell ref="G44:J44"/>
    <mergeCell ref="K44:O44"/>
    <mergeCell ref="B6:B8"/>
    <mergeCell ref="B25:B27"/>
    <mergeCell ref="B44:B46"/>
    <mergeCell ref="C6:C8"/>
    <mergeCell ref="C25:C27"/>
    <mergeCell ref="C44:C46"/>
  </mergeCells>
  <printOptions horizontalCentered="1"/>
  <pageMargins left="0.472222222222222" right="0.236111111111111" top="0.432638888888889" bottom="0.314583333333333" header="0.236111111111111" footer="0.236111111111111"/>
  <pageSetup paperSize="9" scale="83" fitToHeight="8" orientation="portrait" horizontalDpi="600"/>
  <headerFooter alignWithMargins="0"/>
  <rowBreaks count="2" manualBreakCount="2">
    <brk id="59" max="16383" man="1"/>
    <brk id="60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</sheetPr>
  <dimension ref="B1:P49"/>
  <sheetViews>
    <sheetView showGridLines="0" view="pageBreakPreview" zoomScale="90" zoomScaleNormal="64" workbookViewId="0">
      <selection activeCell="L48" sqref="L48"/>
    </sheetView>
  </sheetViews>
  <sheetFormatPr defaultColWidth="9.28571428571429" defaultRowHeight="14.25"/>
  <cols>
    <col min="1" max="1" width="4.28571428571429" style="12" customWidth="1"/>
    <col min="2" max="2" width="6.28571428571429" style="12" customWidth="1"/>
    <col min="3" max="3" width="43.5714285714286" style="12" customWidth="1"/>
    <col min="4" max="4" width="13.7142857142857" style="12" customWidth="1"/>
    <col min="5" max="5" width="12.5714285714286" style="12" customWidth="1"/>
    <col min="6" max="6" width="13.4285714285714" style="12" customWidth="1"/>
    <col min="7" max="7" width="13.7142857142857" style="12" customWidth="1"/>
    <col min="8" max="8" width="12.5714285714286" style="12" customWidth="1"/>
    <col min="9" max="9" width="13.2857142857143" style="12" customWidth="1"/>
    <col min="10" max="10" width="12.5714285714286" style="12" customWidth="1"/>
    <col min="11" max="11" width="11.7142857142857" style="12" customWidth="1"/>
    <col min="12" max="12" width="13.7142857142857" style="12" customWidth="1"/>
    <col min="13" max="15" width="11.7142857142857" style="12" hidden="1" customWidth="1"/>
    <col min="16" max="18" width="11.7142857142857" style="12" customWidth="1"/>
    <col min="19" max="16384" width="9.28571428571429" style="12"/>
  </cols>
  <sheetData>
    <row r="1" ht="15" spans="2:2">
      <c r="B1" s="14"/>
    </row>
    <row r="2" ht="15" spans="8:8">
      <c r="H2" s="2" t="s">
        <v>758</v>
      </c>
    </row>
    <row r="3" ht="15" spans="8:8">
      <c r="H3" s="3" t="s">
        <v>731</v>
      </c>
    </row>
    <row r="4" ht="15" hidden="1" spans="2:12">
      <c r="B4" s="322" t="s">
        <v>809</v>
      </c>
      <c r="C4" s="14"/>
      <c r="D4" s="117"/>
      <c r="E4" s="117"/>
      <c r="F4" s="117"/>
      <c r="G4" s="117"/>
      <c r="H4" s="117"/>
      <c r="I4" s="117"/>
      <c r="J4" s="117"/>
      <c r="K4" s="117"/>
      <c r="L4" s="117"/>
    </row>
    <row r="5" ht="15" hidden="1" spans="12:15">
      <c r="L5" s="117" t="s">
        <v>851</v>
      </c>
      <c r="O5" s="33" t="s">
        <v>109</v>
      </c>
    </row>
    <row r="6" s="15" customFormat="1" ht="15" hidden="1" customHeight="1" spans="2:16">
      <c r="B6" s="16" t="s">
        <v>3</v>
      </c>
      <c r="C6" s="6" t="s">
        <v>110</v>
      </c>
      <c r="D6" s="306" t="s">
        <v>112</v>
      </c>
      <c r="E6" s="307"/>
      <c r="F6" s="308"/>
      <c r="G6" s="306" t="s">
        <v>760</v>
      </c>
      <c r="H6" s="307"/>
      <c r="I6" s="307"/>
      <c r="J6" s="307"/>
      <c r="K6" s="135" t="s">
        <v>114</v>
      </c>
      <c r="L6" s="135"/>
      <c r="M6" s="135"/>
      <c r="N6" s="135"/>
      <c r="O6" s="135"/>
      <c r="P6" s="336"/>
    </row>
    <row r="7" s="15" customFormat="1" ht="30" hidden="1" spans="2:15">
      <c r="B7" s="309"/>
      <c r="C7" s="6"/>
      <c r="D7" s="5" t="s">
        <v>116</v>
      </c>
      <c r="E7" s="5" t="s">
        <v>237</v>
      </c>
      <c r="F7" s="5" t="s">
        <v>118</v>
      </c>
      <c r="G7" s="5" t="s">
        <v>116</v>
      </c>
      <c r="H7" s="5" t="s">
        <v>119</v>
      </c>
      <c r="I7" s="5" t="s">
        <v>120</v>
      </c>
      <c r="J7" s="5" t="s">
        <v>238</v>
      </c>
      <c r="K7" s="5" t="s">
        <v>514</v>
      </c>
      <c r="L7" s="5" t="s">
        <v>515</v>
      </c>
      <c r="M7" s="5" t="s">
        <v>516</v>
      </c>
      <c r="N7" s="5" t="s">
        <v>517</v>
      </c>
      <c r="O7" s="5" t="s">
        <v>518</v>
      </c>
    </row>
    <row r="8" s="15" customFormat="1" ht="15" hidden="1" spans="2:15">
      <c r="B8" s="310"/>
      <c r="C8" s="100"/>
      <c r="D8" s="5" t="s">
        <v>127</v>
      </c>
      <c r="E8" s="5" t="s">
        <v>128</v>
      </c>
      <c r="F8" s="5" t="s">
        <v>129</v>
      </c>
      <c r="G8" s="5" t="s">
        <v>127</v>
      </c>
      <c r="H8" s="5" t="s">
        <v>130</v>
      </c>
      <c r="I8" s="5" t="s">
        <v>131</v>
      </c>
      <c r="J8" s="5" t="s">
        <v>131</v>
      </c>
      <c r="K8" s="5" t="s">
        <v>132</v>
      </c>
      <c r="L8" s="5" t="s">
        <v>132</v>
      </c>
      <c r="M8" s="5" t="s">
        <v>132</v>
      </c>
      <c r="N8" s="5" t="s">
        <v>132</v>
      </c>
      <c r="O8" s="5" t="s">
        <v>132</v>
      </c>
    </row>
    <row r="9" hidden="1" spans="2:15">
      <c r="B9" s="311">
        <v>1</v>
      </c>
      <c r="C9" s="327" t="s">
        <v>732</v>
      </c>
      <c r="D9" s="328">
        <f t="shared" ref="D9:I9" si="0">D29+D48</f>
        <v>66.2</v>
      </c>
      <c r="E9" s="328">
        <f t="shared" si="0"/>
        <v>0</v>
      </c>
      <c r="F9" s="328">
        <f t="shared" si="0"/>
        <v>0</v>
      </c>
      <c r="G9" s="328">
        <f t="shared" si="0"/>
        <v>28.18</v>
      </c>
      <c r="H9" s="328">
        <f t="shared" si="0"/>
        <v>0</v>
      </c>
      <c r="I9" s="328">
        <f t="shared" si="0"/>
        <v>0</v>
      </c>
      <c r="J9" s="337">
        <f>'[60]SP NTI'!D33</f>
        <v>0.4</v>
      </c>
      <c r="K9" s="337">
        <f>'[60]SP NTI'!E33</f>
        <v>0.408</v>
      </c>
      <c r="L9" s="337">
        <f>'[60]SP NTI'!F33</f>
        <v>0.41616</v>
      </c>
      <c r="M9" s="337">
        <f>'[60]NTI proj'!M6</f>
        <v>123.32298168</v>
      </c>
      <c r="N9" s="337">
        <f>'[60]NTI proj'!N6</f>
        <v>125.7894413136</v>
      </c>
      <c r="O9" s="337">
        <f>'[60]NTI proj'!O6</f>
        <v>128.305230139872</v>
      </c>
    </row>
    <row r="10" hidden="1" spans="2:15">
      <c r="B10" s="311">
        <f>B9+1</f>
        <v>2</v>
      </c>
      <c r="C10" s="327" t="s">
        <v>733</v>
      </c>
      <c r="D10" s="328"/>
      <c r="E10" s="328"/>
      <c r="F10" s="328"/>
      <c r="G10" s="328"/>
      <c r="H10" s="328"/>
      <c r="I10" s="328"/>
      <c r="J10" s="337">
        <f>'[60]SP NTI'!D34</f>
        <v>0</v>
      </c>
      <c r="K10" s="337">
        <f>'[60]SP NTI'!E34</f>
        <v>0</v>
      </c>
      <c r="L10" s="337">
        <f>'[60]SP NTI'!F34</f>
        <v>0</v>
      </c>
      <c r="M10" s="337">
        <f>'[60]NTI proj'!M7</f>
        <v>0.02122416</v>
      </c>
      <c r="N10" s="337">
        <f>'[60]NTI proj'!N7</f>
        <v>0.0216486432</v>
      </c>
      <c r="O10" s="337">
        <f>'[60]NTI proj'!O7</f>
        <v>0.022081616064</v>
      </c>
    </row>
    <row r="11" hidden="1" spans="2:15">
      <c r="B11" s="311">
        <f>B10+1</f>
        <v>3</v>
      </c>
      <c r="C11" s="327" t="s">
        <v>734</v>
      </c>
      <c r="D11" s="328"/>
      <c r="E11" s="328"/>
      <c r="F11" s="328"/>
      <c r="G11" s="328"/>
      <c r="H11" s="328"/>
      <c r="I11" s="328"/>
      <c r="J11" s="337">
        <f>'[60]SP NTI'!D35</f>
        <v>1.7</v>
      </c>
      <c r="K11" s="337">
        <f>'[60]SP NTI'!E35</f>
        <v>1.734</v>
      </c>
      <c r="L11" s="337">
        <f>'[60]SP NTI'!F35</f>
        <v>1.76868</v>
      </c>
      <c r="M11" s="337">
        <f>'[60]NTI proj'!M8</f>
        <v>7.31172312</v>
      </c>
      <c r="N11" s="337">
        <f>'[60]NTI proj'!N8</f>
        <v>7.4579575824</v>
      </c>
      <c r="O11" s="337">
        <f>'[60]NTI proj'!O8</f>
        <v>7.607116734048</v>
      </c>
    </row>
    <row r="12" hidden="1" spans="2:15">
      <c r="B12" s="100">
        <f t="shared" ref="B12:B20" si="1">B11+1</f>
        <v>4</v>
      </c>
      <c r="C12" s="327" t="s">
        <v>735</v>
      </c>
      <c r="D12" s="328"/>
      <c r="E12" s="328"/>
      <c r="F12" s="328"/>
      <c r="G12" s="328"/>
      <c r="H12" s="328"/>
      <c r="I12" s="328"/>
      <c r="J12" s="337">
        <f>'[60]SP NTI'!D36</f>
        <v>0</v>
      </c>
      <c r="K12" s="337">
        <f>'[60]SP NTI'!E36</f>
        <v>0</v>
      </c>
      <c r="L12" s="337">
        <f>'[60]SP NTI'!F36</f>
        <v>0</v>
      </c>
      <c r="M12" s="337">
        <f>'[60]NTI proj'!M9</f>
        <v>12.16144368</v>
      </c>
      <c r="N12" s="337">
        <f>'[60]NTI proj'!N9</f>
        <v>12.4046725536</v>
      </c>
      <c r="O12" s="337">
        <f>'[60]NTI proj'!O9</f>
        <v>12.652766004672</v>
      </c>
    </row>
    <row r="13" hidden="1" spans="2:15">
      <c r="B13" s="100">
        <f t="shared" si="1"/>
        <v>5</v>
      </c>
      <c r="C13" s="327" t="s">
        <v>855</v>
      </c>
      <c r="D13" s="328"/>
      <c r="E13" s="328"/>
      <c r="F13" s="328"/>
      <c r="G13" s="328"/>
      <c r="H13" s="328"/>
      <c r="I13" s="328"/>
      <c r="J13" s="337">
        <f>'[60]SP NTI'!D37</f>
        <v>0.02</v>
      </c>
      <c r="K13" s="337">
        <f>'[60]SP NTI'!E37</f>
        <v>0.0204</v>
      </c>
      <c r="L13" s="337">
        <f>'[60]SP NTI'!F37</f>
        <v>0.020808</v>
      </c>
      <c r="M13" s="337">
        <f>'[60]NTI proj'!M10</f>
        <v>9.98596728</v>
      </c>
      <c r="N13" s="337">
        <f>'[60]NTI proj'!N10</f>
        <v>10.1856866256</v>
      </c>
      <c r="O13" s="337">
        <f>'[60]NTI proj'!O10</f>
        <v>10.389400358112</v>
      </c>
    </row>
    <row r="14" s="11" customFormat="1" ht="15" hidden="1" spans="2:15">
      <c r="B14" s="100">
        <f t="shared" si="1"/>
        <v>6</v>
      </c>
      <c r="C14" s="327" t="s">
        <v>737</v>
      </c>
      <c r="D14" s="328"/>
      <c r="E14" s="328"/>
      <c r="F14" s="328"/>
      <c r="G14" s="328"/>
      <c r="H14" s="328"/>
      <c r="I14" s="328"/>
      <c r="J14" s="337">
        <f>'[60]SP NTI'!D38</f>
        <v>0.01</v>
      </c>
      <c r="K14" s="337">
        <f>'[60]SP NTI'!E38</f>
        <v>0.0102</v>
      </c>
      <c r="L14" s="337">
        <f>'[60]SP NTI'!F38</f>
        <v>0.010404</v>
      </c>
      <c r="M14" s="337">
        <f>'[60]NTI proj'!M11</f>
        <v>0.30775032</v>
      </c>
      <c r="N14" s="337">
        <f>'[60]NTI proj'!N11</f>
        <v>0.3139053264</v>
      </c>
      <c r="O14" s="337">
        <f>'[60]NTI proj'!O11</f>
        <v>0.320183432928</v>
      </c>
    </row>
    <row r="15" s="11" customFormat="1" ht="15" hidden="1" spans="2:15">
      <c r="B15" s="100">
        <f t="shared" si="1"/>
        <v>7</v>
      </c>
      <c r="C15" s="327" t="s">
        <v>738</v>
      </c>
      <c r="D15" s="328"/>
      <c r="E15" s="328"/>
      <c r="F15" s="328"/>
      <c r="G15" s="328"/>
      <c r="H15" s="328"/>
      <c r="I15" s="328"/>
      <c r="J15" s="337">
        <f>'[60]SP NTI'!D39</f>
        <v>7.11</v>
      </c>
      <c r="K15" s="337">
        <f>'[60]SP NTI'!E39</f>
        <v>7.2522</v>
      </c>
      <c r="L15" s="337">
        <f>'[60]SP NTI'!F39</f>
        <v>7.397244</v>
      </c>
      <c r="M15" s="337">
        <f>'[60]NTI proj'!M12</f>
        <v>0.4244832</v>
      </c>
      <c r="N15" s="337">
        <f>'[60]NTI proj'!N12</f>
        <v>0.432972864</v>
      </c>
      <c r="O15" s="337">
        <f>'[60]NTI proj'!O12</f>
        <v>0.44163232128</v>
      </c>
    </row>
    <row r="16" s="11" customFormat="1" ht="15" hidden="1" spans="2:15">
      <c r="B16" s="100">
        <f t="shared" si="1"/>
        <v>8</v>
      </c>
      <c r="C16" s="327" t="s">
        <v>739</v>
      </c>
      <c r="D16" s="328"/>
      <c r="E16" s="328"/>
      <c r="F16" s="328"/>
      <c r="G16" s="328"/>
      <c r="H16" s="328"/>
      <c r="I16" s="328"/>
      <c r="J16" s="337">
        <f>'[60]SP NTI'!D40</f>
        <v>0.06</v>
      </c>
      <c r="K16" s="337">
        <f>'[60]SP NTI'!E40</f>
        <v>0.0612</v>
      </c>
      <c r="L16" s="337">
        <f>'[60]SP NTI'!F40</f>
        <v>0.062424</v>
      </c>
      <c r="M16" s="337">
        <f>'[60]NTI proj'!M13</f>
        <v>0.530604</v>
      </c>
      <c r="N16" s="337">
        <f>'[60]NTI proj'!N13</f>
        <v>0.54121608</v>
      </c>
      <c r="O16" s="337">
        <f>'[60]NTI proj'!O13</f>
        <v>0.5520404016</v>
      </c>
    </row>
    <row r="17" s="11" customFormat="1" ht="38.25" hidden="1" spans="2:15">
      <c r="B17" s="100">
        <f t="shared" si="1"/>
        <v>9</v>
      </c>
      <c r="C17" s="329" t="s">
        <v>740</v>
      </c>
      <c r="D17" s="328"/>
      <c r="E17" s="328"/>
      <c r="F17" s="328"/>
      <c r="G17" s="328"/>
      <c r="H17" s="328"/>
      <c r="I17" s="328"/>
      <c r="J17" s="337">
        <f>'[60]SP NTI'!D41</f>
        <v>0.61</v>
      </c>
      <c r="K17" s="337">
        <f>'[60]SP NTI'!E41</f>
        <v>0.6222</v>
      </c>
      <c r="L17" s="337">
        <f>'[60]SP NTI'!F41</f>
        <v>0.634644</v>
      </c>
      <c r="M17" s="337">
        <f>'[60]NTI proj'!M14</f>
        <v>5.50766952</v>
      </c>
      <c r="N17" s="337">
        <f>'[60]NTI proj'!N14</f>
        <v>5.6178229104</v>
      </c>
      <c r="O17" s="337">
        <f>'[60]NTI proj'!O14</f>
        <v>5.730179368608</v>
      </c>
    </row>
    <row r="18" s="11" customFormat="1" ht="15" hidden="1" spans="2:15">
      <c r="B18" s="100">
        <f t="shared" si="1"/>
        <v>10</v>
      </c>
      <c r="C18" s="327" t="s">
        <v>741</v>
      </c>
      <c r="D18" s="328"/>
      <c r="E18" s="328"/>
      <c r="F18" s="328"/>
      <c r="G18" s="328"/>
      <c r="H18" s="328"/>
      <c r="I18" s="328"/>
      <c r="J18" s="337">
        <f>'[60]SP NTI'!D42</f>
        <v>116.21</v>
      </c>
      <c r="K18" s="337">
        <f>'[60]SP NTI'!E42</f>
        <v>118.5342</v>
      </c>
      <c r="L18" s="337">
        <f>'[60]SP NTI'!F42</f>
        <v>120.904884</v>
      </c>
      <c r="M18" s="337">
        <f>'[60]NTI proj'!M15</f>
        <v>0.12734496</v>
      </c>
      <c r="N18" s="337">
        <f>'[60]NTI proj'!N15</f>
        <v>0.1298918592</v>
      </c>
      <c r="O18" s="337">
        <f>'[60]NTI proj'!O15</f>
        <v>0.132489696384</v>
      </c>
    </row>
    <row r="19" s="11" customFormat="1" ht="15" hidden="1" spans="2:15">
      <c r="B19" s="100">
        <f t="shared" si="1"/>
        <v>11</v>
      </c>
      <c r="C19" s="327" t="s">
        <v>742</v>
      </c>
      <c r="D19" s="328"/>
      <c r="E19" s="328"/>
      <c r="F19" s="328"/>
      <c r="G19" s="328"/>
      <c r="H19" s="328"/>
      <c r="I19" s="328"/>
      <c r="J19" s="337">
        <f>'[60]SP NTI'!D43</f>
        <v>0</v>
      </c>
      <c r="K19" s="337">
        <f>'[60]SP NTI'!E43</f>
        <v>0</v>
      </c>
      <c r="L19" s="337">
        <f>'[60]SP NTI'!F43</f>
        <v>0</v>
      </c>
      <c r="M19" s="337">
        <f>'[60]NTI proj'!M16</f>
        <v>0.0530604</v>
      </c>
      <c r="N19" s="337">
        <f>'[60]NTI proj'!N16</f>
        <v>0.054121608</v>
      </c>
      <c r="O19" s="337">
        <f>'[60]NTI proj'!O16</f>
        <v>0.05520404016</v>
      </c>
    </row>
    <row r="20" s="11" customFormat="1" ht="15" hidden="1" spans="2:15">
      <c r="B20" s="100">
        <f t="shared" si="1"/>
        <v>12</v>
      </c>
      <c r="C20" s="327" t="s">
        <v>743</v>
      </c>
      <c r="D20" s="328">
        <f t="shared" ref="D20:O20" si="2">D40+D48</f>
        <v>66.2</v>
      </c>
      <c r="E20" s="328">
        <f t="shared" si="2"/>
        <v>0</v>
      </c>
      <c r="F20" s="328">
        <f t="shared" si="2"/>
        <v>0</v>
      </c>
      <c r="G20" s="328">
        <f t="shared" si="2"/>
        <v>28.18</v>
      </c>
      <c r="H20" s="328">
        <f t="shared" si="2"/>
        <v>0</v>
      </c>
      <c r="I20" s="328">
        <f t="shared" si="2"/>
        <v>0</v>
      </c>
      <c r="J20" s="337">
        <f>'[60]SP NTI'!D44</f>
        <v>0.29</v>
      </c>
      <c r="K20" s="337">
        <f>'[60]SP NTI'!E44</f>
        <v>0.2958</v>
      </c>
      <c r="L20" s="337">
        <f>'[60]SP NTI'!F44</f>
        <v>0.301716</v>
      </c>
      <c r="M20" s="337">
        <f t="shared" si="2"/>
        <v>0</v>
      </c>
      <c r="N20" s="337">
        <f t="shared" si="2"/>
        <v>0</v>
      </c>
      <c r="O20" s="337">
        <f t="shared" si="2"/>
        <v>0</v>
      </c>
    </row>
    <row r="21" s="11" customFormat="1" ht="15" hidden="1" spans="2:15">
      <c r="B21" s="100">
        <v>13</v>
      </c>
      <c r="C21" s="327" t="s">
        <v>856</v>
      </c>
      <c r="D21" s="330"/>
      <c r="E21" s="330"/>
      <c r="F21" s="330"/>
      <c r="G21" s="330"/>
      <c r="H21" s="330"/>
      <c r="I21" s="330"/>
      <c r="J21" s="337">
        <f>'[60]SP NTI'!D45</f>
        <v>1.82999999999999</v>
      </c>
      <c r="K21" s="337">
        <f>'[60]SP NTI'!E45</f>
        <v>1.86659999999999</v>
      </c>
      <c r="L21" s="337">
        <f>'[60]SP NTI'!F45</f>
        <v>1.90393199999999</v>
      </c>
      <c r="M21" s="338"/>
      <c r="N21" s="338"/>
      <c r="O21" s="338"/>
    </row>
    <row r="22" ht="15" hidden="1" spans="2:15">
      <c r="B22" s="100"/>
      <c r="C22" s="175" t="s">
        <v>97</v>
      </c>
      <c r="D22" s="331">
        <f>SUM(D9:D20)</f>
        <v>132.4</v>
      </c>
      <c r="E22" s="331">
        <f>SUM(E9:E20)</f>
        <v>0</v>
      </c>
      <c r="F22" s="331">
        <f>E22-D22</f>
        <v>-132.4</v>
      </c>
      <c r="G22" s="331">
        <f t="shared" ref="G22:O22" si="3">SUM(G9:G20)</f>
        <v>56.36</v>
      </c>
      <c r="H22" s="331">
        <f t="shared" si="3"/>
        <v>0</v>
      </c>
      <c r="I22" s="331">
        <f t="shared" si="3"/>
        <v>0</v>
      </c>
      <c r="J22" s="324">
        <f>SUM(J9:J21)</f>
        <v>128.24</v>
      </c>
      <c r="K22" s="324">
        <f t="shared" ref="K22:L22" si="4">SUM(K9:K21)</f>
        <v>130.8048</v>
      </c>
      <c r="L22" s="324">
        <f t="shared" si="4"/>
        <v>133.420896</v>
      </c>
      <c r="M22" s="324">
        <f t="shared" si="3"/>
        <v>159.75425232</v>
      </c>
      <c r="N22" s="324">
        <f t="shared" si="3"/>
        <v>162.9493373664</v>
      </c>
      <c r="O22" s="324">
        <f t="shared" si="3"/>
        <v>166.208324113728</v>
      </c>
    </row>
    <row r="23" hidden="1"/>
    <row r="24" ht="15" hidden="1" spans="2:12">
      <c r="B24" s="322" t="s">
        <v>768</v>
      </c>
      <c r="C24" s="14"/>
      <c r="D24" s="117"/>
      <c r="E24" s="117"/>
      <c r="F24" s="117"/>
      <c r="G24" s="117"/>
      <c r="H24" s="117"/>
      <c r="I24" s="117"/>
      <c r="J24" s="117"/>
      <c r="K24" s="117"/>
      <c r="L24" s="117"/>
    </row>
    <row r="25" ht="15" hidden="1" spans="12:15">
      <c r="L25" s="117" t="s">
        <v>851</v>
      </c>
      <c r="O25" s="33" t="s">
        <v>109</v>
      </c>
    </row>
    <row r="26" ht="13.9" hidden="1" customHeight="1" spans="2:16">
      <c r="B26" s="16" t="s">
        <v>3</v>
      </c>
      <c r="C26" s="6" t="s">
        <v>110</v>
      </c>
      <c r="D26" s="306" t="s">
        <v>112</v>
      </c>
      <c r="E26" s="307"/>
      <c r="F26" s="308"/>
      <c r="G26" s="306" t="s">
        <v>760</v>
      </c>
      <c r="H26" s="307"/>
      <c r="I26" s="307"/>
      <c r="J26" s="307"/>
      <c r="K26" s="135" t="s">
        <v>114</v>
      </c>
      <c r="L26" s="135"/>
      <c r="M26" s="135"/>
      <c r="N26" s="135"/>
      <c r="O26" s="135"/>
      <c r="P26" s="339"/>
    </row>
    <row r="27" ht="30" hidden="1" spans="2:15">
      <c r="B27" s="309"/>
      <c r="C27" s="6"/>
      <c r="D27" s="5" t="s">
        <v>116</v>
      </c>
      <c r="E27" s="5" t="s">
        <v>237</v>
      </c>
      <c r="F27" s="5" t="s">
        <v>118</v>
      </c>
      <c r="G27" s="5" t="s">
        <v>116</v>
      </c>
      <c r="H27" s="5" t="s">
        <v>119</v>
      </c>
      <c r="I27" s="5" t="s">
        <v>120</v>
      </c>
      <c r="J27" s="5" t="s">
        <v>238</v>
      </c>
      <c r="K27" s="5" t="s">
        <v>514</v>
      </c>
      <c r="L27" s="5" t="s">
        <v>515</v>
      </c>
      <c r="M27" s="5" t="s">
        <v>516</v>
      </c>
      <c r="N27" s="5" t="s">
        <v>517</v>
      </c>
      <c r="O27" s="5" t="s">
        <v>518</v>
      </c>
    </row>
    <row r="28" ht="15" hidden="1" spans="2:15">
      <c r="B28" s="310"/>
      <c r="C28" s="100"/>
      <c r="D28" s="5" t="s">
        <v>127</v>
      </c>
      <c r="E28" s="5" t="s">
        <v>128</v>
      </c>
      <c r="F28" s="5" t="s">
        <v>129</v>
      </c>
      <c r="G28" s="5" t="s">
        <v>127</v>
      </c>
      <c r="H28" s="5" t="s">
        <v>130</v>
      </c>
      <c r="I28" s="5" t="s">
        <v>131</v>
      </c>
      <c r="J28" s="5" t="s">
        <v>131</v>
      </c>
      <c r="K28" s="5" t="s">
        <v>132</v>
      </c>
      <c r="L28" s="5" t="s">
        <v>132</v>
      </c>
      <c r="M28" s="5" t="s">
        <v>132</v>
      </c>
      <c r="N28" s="5" t="s">
        <v>132</v>
      </c>
      <c r="O28" s="5" t="s">
        <v>132</v>
      </c>
    </row>
    <row r="29" hidden="1" spans="2:15">
      <c r="B29" s="311">
        <v>1</v>
      </c>
      <c r="C29" s="332" t="s">
        <v>836</v>
      </c>
      <c r="D29" s="20"/>
      <c r="E29" s="55"/>
      <c r="F29" s="55"/>
      <c r="G29" s="208"/>
      <c r="H29" s="208"/>
      <c r="I29" s="208"/>
      <c r="J29" s="340">
        <f t="shared" ref="J29:O39" si="5">J9</f>
        <v>0.4</v>
      </c>
      <c r="K29" s="340">
        <f t="shared" si="5"/>
        <v>0.408</v>
      </c>
      <c r="L29" s="340">
        <f t="shared" si="5"/>
        <v>0.41616</v>
      </c>
      <c r="M29" s="340">
        <f t="shared" si="5"/>
        <v>123.32298168</v>
      </c>
      <c r="N29" s="340">
        <f t="shared" si="5"/>
        <v>125.7894413136</v>
      </c>
      <c r="O29" s="340">
        <f t="shared" si="5"/>
        <v>128.305230139872</v>
      </c>
    </row>
    <row r="30" hidden="1" spans="2:15">
      <c r="B30" s="311">
        <f>B29+1</f>
        <v>2</v>
      </c>
      <c r="C30" s="332" t="s">
        <v>837</v>
      </c>
      <c r="D30" s="20"/>
      <c r="E30" s="55"/>
      <c r="F30" s="55"/>
      <c r="G30" s="208"/>
      <c r="H30" s="208"/>
      <c r="I30" s="208"/>
      <c r="J30" s="340">
        <f t="shared" si="5"/>
        <v>0</v>
      </c>
      <c r="K30" s="340">
        <f t="shared" si="5"/>
        <v>0</v>
      </c>
      <c r="L30" s="340">
        <f t="shared" si="5"/>
        <v>0</v>
      </c>
      <c r="M30" s="340">
        <f t="shared" si="5"/>
        <v>0.02122416</v>
      </c>
      <c r="N30" s="340">
        <f t="shared" si="5"/>
        <v>0.0216486432</v>
      </c>
      <c r="O30" s="340">
        <f t="shared" si="5"/>
        <v>0.022081616064</v>
      </c>
    </row>
    <row r="31" hidden="1" spans="2:15">
      <c r="B31" s="311">
        <f>B30+1</f>
        <v>3</v>
      </c>
      <c r="C31" s="332" t="s">
        <v>838</v>
      </c>
      <c r="D31" s="20"/>
      <c r="E31" s="55"/>
      <c r="F31" s="55"/>
      <c r="G31" s="208"/>
      <c r="H31" s="208"/>
      <c r="I31" s="208"/>
      <c r="J31" s="340">
        <f t="shared" si="5"/>
        <v>1.7</v>
      </c>
      <c r="K31" s="340">
        <f t="shared" si="5"/>
        <v>1.734</v>
      </c>
      <c r="L31" s="340">
        <f t="shared" si="5"/>
        <v>1.76868</v>
      </c>
      <c r="M31" s="340">
        <f t="shared" si="5"/>
        <v>7.31172312</v>
      </c>
      <c r="N31" s="340">
        <f t="shared" si="5"/>
        <v>7.4579575824</v>
      </c>
      <c r="O31" s="340">
        <f t="shared" si="5"/>
        <v>7.607116734048</v>
      </c>
    </row>
    <row r="32" hidden="1" spans="2:15">
      <c r="B32" s="100">
        <f t="shared" ref="B32:B40" si="6">B31+1</f>
        <v>4</v>
      </c>
      <c r="C32" s="332" t="s">
        <v>839</v>
      </c>
      <c r="D32" s="20"/>
      <c r="E32" s="55"/>
      <c r="F32" s="55"/>
      <c r="G32" s="208"/>
      <c r="H32" s="208"/>
      <c r="I32" s="208"/>
      <c r="J32" s="340">
        <f t="shared" si="5"/>
        <v>0</v>
      </c>
      <c r="K32" s="340">
        <f t="shared" si="5"/>
        <v>0</v>
      </c>
      <c r="L32" s="340">
        <f t="shared" si="5"/>
        <v>0</v>
      </c>
      <c r="M32" s="340">
        <f t="shared" si="5"/>
        <v>12.16144368</v>
      </c>
      <c r="N32" s="340">
        <f t="shared" si="5"/>
        <v>12.4046725536</v>
      </c>
      <c r="O32" s="340">
        <f t="shared" si="5"/>
        <v>12.652766004672</v>
      </c>
    </row>
    <row r="33" hidden="1" spans="2:15">
      <c r="B33" s="100">
        <f t="shared" si="6"/>
        <v>5</v>
      </c>
      <c r="C33" s="332" t="s">
        <v>840</v>
      </c>
      <c r="D33" s="333"/>
      <c r="E33" s="334"/>
      <c r="F33" s="21"/>
      <c r="G33" s="334"/>
      <c r="H33" s="334"/>
      <c r="I33" s="334"/>
      <c r="J33" s="340">
        <f t="shared" si="5"/>
        <v>0.02</v>
      </c>
      <c r="K33" s="340">
        <f t="shared" si="5"/>
        <v>0.0204</v>
      </c>
      <c r="L33" s="340">
        <f t="shared" si="5"/>
        <v>0.020808</v>
      </c>
      <c r="M33" s="340">
        <f t="shared" si="5"/>
        <v>9.98596728</v>
      </c>
      <c r="N33" s="340">
        <f t="shared" si="5"/>
        <v>10.1856866256</v>
      </c>
      <c r="O33" s="340">
        <f t="shared" si="5"/>
        <v>10.389400358112</v>
      </c>
    </row>
    <row r="34" hidden="1" spans="2:15">
      <c r="B34" s="100">
        <f t="shared" si="6"/>
        <v>6</v>
      </c>
      <c r="C34" s="332" t="s">
        <v>841</v>
      </c>
      <c r="D34" s="333"/>
      <c r="E34" s="334"/>
      <c r="F34" s="21"/>
      <c r="G34" s="334"/>
      <c r="H34" s="334"/>
      <c r="I34" s="334"/>
      <c r="J34" s="340">
        <f t="shared" si="5"/>
        <v>0.01</v>
      </c>
      <c r="K34" s="340">
        <f t="shared" si="5"/>
        <v>0.0102</v>
      </c>
      <c r="L34" s="340">
        <f t="shared" si="5"/>
        <v>0.010404</v>
      </c>
      <c r="M34" s="340">
        <f t="shared" si="5"/>
        <v>0.30775032</v>
      </c>
      <c r="N34" s="340">
        <f t="shared" si="5"/>
        <v>0.3139053264</v>
      </c>
      <c r="O34" s="340">
        <f t="shared" si="5"/>
        <v>0.320183432928</v>
      </c>
    </row>
    <row r="35" hidden="1" spans="2:15">
      <c r="B35" s="100">
        <f t="shared" si="6"/>
        <v>7</v>
      </c>
      <c r="C35" s="332" t="s">
        <v>842</v>
      </c>
      <c r="D35" s="333"/>
      <c r="E35" s="334"/>
      <c r="F35" s="21"/>
      <c r="G35" s="334"/>
      <c r="H35" s="334"/>
      <c r="I35" s="334"/>
      <c r="J35" s="340">
        <f t="shared" si="5"/>
        <v>7.11</v>
      </c>
      <c r="K35" s="340">
        <f t="shared" si="5"/>
        <v>7.2522</v>
      </c>
      <c r="L35" s="340">
        <f t="shared" si="5"/>
        <v>7.397244</v>
      </c>
      <c r="M35" s="340">
        <f t="shared" si="5"/>
        <v>0.4244832</v>
      </c>
      <c r="N35" s="340">
        <f t="shared" si="5"/>
        <v>0.432972864</v>
      </c>
      <c r="O35" s="340">
        <f t="shared" si="5"/>
        <v>0.44163232128</v>
      </c>
    </row>
    <row r="36" hidden="1" spans="2:15">
      <c r="B36" s="100">
        <f t="shared" si="6"/>
        <v>8</v>
      </c>
      <c r="C36" s="332" t="s">
        <v>843</v>
      </c>
      <c r="D36" s="333"/>
      <c r="E36" s="334"/>
      <c r="F36" s="21"/>
      <c r="G36" s="334"/>
      <c r="H36" s="334"/>
      <c r="I36" s="334"/>
      <c r="J36" s="340">
        <f t="shared" si="5"/>
        <v>0.06</v>
      </c>
      <c r="K36" s="340">
        <f t="shared" si="5"/>
        <v>0.0612</v>
      </c>
      <c r="L36" s="340">
        <f t="shared" si="5"/>
        <v>0.062424</v>
      </c>
      <c r="M36" s="340">
        <f t="shared" si="5"/>
        <v>0.530604</v>
      </c>
      <c r="N36" s="340">
        <f t="shared" si="5"/>
        <v>0.54121608</v>
      </c>
      <c r="O36" s="340">
        <f t="shared" si="5"/>
        <v>0.5520404016</v>
      </c>
    </row>
    <row r="37" hidden="1" spans="2:15">
      <c r="B37" s="100">
        <f t="shared" si="6"/>
        <v>9</v>
      </c>
      <c r="C37" s="332" t="s">
        <v>844</v>
      </c>
      <c r="D37" s="333"/>
      <c r="E37" s="334"/>
      <c r="F37" s="21"/>
      <c r="G37" s="334"/>
      <c r="H37" s="334"/>
      <c r="I37" s="334"/>
      <c r="J37" s="340">
        <f t="shared" si="5"/>
        <v>0.61</v>
      </c>
      <c r="K37" s="340">
        <f t="shared" si="5"/>
        <v>0.6222</v>
      </c>
      <c r="L37" s="340">
        <f t="shared" si="5"/>
        <v>0.634644</v>
      </c>
      <c r="M37" s="340">
        <f t="shared" si="5"/>
        <v>5.50766952</v>
      </c>
      <c r="N37" s="340">
        <f t="shared" si="5"/>
        <v>5.6178229104</v>
      </c>
      <c r="O37" s="340">
        <f t="shared" si="5"/>
        <v>5.730179368608</v>
      </c>
    </row>
    <row r="38" hidden="1" spans="2:15">
      <c r="B38" s="100">
        <f t="shared" si="6"/>
        <v>10</v>
      </c>
      <c r="C38" s="332" t="s">
        <v>845</v>
      </c>
      <c r="D38" s="333"/>
      <c r="E38" s="334"/>
      <c r="F38" s="21"/>
      <c r="G38" s="334"/>
      <c r="H38" s="334"/>
      <c r="I38" s="334"/>
      <c r="J38" s="340">
        <f t="shared" si="5"/>
        <v>116.21</v>
      </c>
      <c r="K38" s="340">
        <f t="shared" si="5"/>
        <v>118.5342</v>
      </c>
      <c r="L38" s="340">
        <f t="shared" si="5"/>
        <v>120.904884</v>
      </c>
      <c r="M38" s="340">
        <f t="shared" si="5"/>
        <v>0.12734496</v>
      </c>
      <c r="N38" s="340">
        <f t="shared" si="5"/>
        <v>0.1298918592</v>
      </c>
      <c r="O38" s="340">
        <f t="shared" si="5"/>
        <v>0.132489696384</v>
      </c>
    </row>
    <row r="39" hidden="1" spans="2:15">
      <c r="B39" s="100">
        <f t="shared" si="6"/>
        <v>11</v>
      </c>
      <c r="C39" s="332" t="s">
        <v>846</v>
      </c>
      <c r="D39" s="333"/>
      <c r="E39" s="334"/>
      <c r="F39" s="21"/>
      <c r="G39" s="334"/>
      <c r="H39" s="334"/>
      <c r="I39" s="334"/>
      <c r="J39" s="340">
        <f t="shared" si="5"/>
        <v>0</v>
      </c>
      <c r="K39" s="340">
        <f t="shared" si="5"/>
        <v>0</v>
      </c>
      <c r="L39" s="340">
        <f t="shared" si="5"/>
        <v>0</v>
      </c>
      <c r="M39" s="340">
        <f t="shared" si="5"/>
        <v>0.0530604</v>
      </c>
      <c r="N39" s="340">
        <f t="shared" si="5"/>
        <v>0.054121608</v>
      </c>
      <c r="O39" s="340">
        <f t="shared" si="5"/>
        <v>0.05520404016</v>
      </c>
    </row>
    <row r="40" hidden="1" spans="2:15">
      <c r="B40" s="100">
        <f t="shared" si="6"/>
        <v>12</v>
      </c>
      <c r="C40" s="335" t="s">
        <v>440</v>
      </c>
      <c r="D40" s="333"/>
      <c r="E40" s="334"/>
      <c r="F40" s="21"/>
      <c r="G40" s="334"/>
      <c r="H40" s="334"/>
      <c r="I40" s="334"/>
      <c r="J40" s="318">
        <v>0</v>
      </c>
      <c r="K40" s="318">
        <v>0</v>
      </c>
      <c r="L40" s="318">
        <v>0</v>
      </c>
      <c r="M40" s="318">
        <v>0</v>
      </c>
      <c r="N40" s="318">
        <v>0</v>
      </c>
      <c r="O40" s="318">
        <v>0</v>
      </c>
    </row>
    <row r="41" ht="15" hidden="1" spans="2:15">
      <c r="B41" s="100"/>
      <c r="C41" s="175" t="s">
        <v>97</v>
      </c>
      <c r="D41" s="324">
        <f>SUM(D29:D40)</f>
        <v>0</v>
      </c>
      <c r="E41" s="324">
        <f>SUM(E29:E40)</f>
        <v>0</v>
      </c>
      <c r="F41" s="324">
        <f>E41</f>
        <v>0</v>
      </c>
      <c r="G41" s="324">
        <f t="shared" ref="G41:O41" si="7">SUM(G29:G40)</f>
        <v>0</v>
      </c>
      <c r="H41" s="324">
        <f t="shared" si="7"/>
        <v>0</v>
      </c>
      <c r="I41" s="324">
        <f t="shared" si="7"/>
        <v>0</v>
      </c>
      <c r="J41" s="323">
        <f t="shared" si="7"/>
        <v>126.12</v>
      </c>
      <c r="K41" s="323">
        <f t="shared" si="7"/>
        <v>128.6424</v>
      </c>
      <c r="L41" s="323">
        <f t="shared" si="7"/>
        <v>131.215248</v>
      </c>
      <c r="M41" s="323">
        <f t="shared" si="7"/>
        <v>159.75425232</v>
      </c>
      <c r="N41" s="323">
        <f t="shared" si="7"/>
        <v>162.9493373664</v>
      </c>
      <c r="O41" s="323">
        <f t="shared" si="7"/>
        <v>166.208324113728</v>
      </c>
    </row>
    <row r="42" hidden="1"/>
    <row r="43" ht="15" spans="2:12">
      <c r="B43" s="322" t="s">
        <v>769</v>
      </c>
      <c r="C43" s="14"/>
      <c r="D43" s="117"/>
      <c r="E43" s="117"/>
      <c r="F43" s="117"/>
      <c r="G43" s="117"/>
      <c r="H43" s="117"/>
      <c r="I43" s="117"/>
      <c r="J43" s="117"/>
      <c r="K43" s="117"/>
      <c r="L43" s="117"/>
    </row>
    <row r="44" ht="15" spans="12:15">
      <c r="L44" s="117" t="s">
        <v>851</v>
      </c>
      <c r="O44" s="33" t="s">
        <v>109</v>
      </c>
    </row>
    <row r="45" ht="13.9" customHeight="1" spans="2:16">
      <c r="B45" s="16" t="s">
        <v>3</v>
      </c>
      <c r="C45" s="6" t="s">
        <v>110</v>
      </c>
      <c r="D45" s="306" t="s">
        <v>163</v>
      </c>
      <c r="E45" s="307"/>
      <c r="F45" s="308"/>
      <c r="G45" s="306" t="s">
        <v>848</v>
      </c>
      <c r="H45" s="307"/>
      <c r="I45" s="307"/>
      <c r="J45" s="307"/>
      <c r="K45" s="135" t="s">
        <v>114</v>
      </c>
      <c r="L45" s="135"/>
      <c r="M45" s="135"/>
      <c r="N45" s="135"/>
      <c r="O45" s="135"/>
      <c r="P45" s="339"/>
    </row>
    <row r="46" ht="30" spans="2:15">
      <c r="B46" s="309"/>
      <c r="C46" s="6"/>
      <c r="D46" s="5" t="s">
        <v>116</v>
      </c>
      <c r="E46" s="5" t="s">
        <v>237</v>
      </c>
      <c r="F46" s="5" t="s">
        <v>118</v>
      </c>
      <c r="G46" s="5" t="s">
        <v>116</v>
      </c>
      <c r="H46" s="5" t="s">
        <v>119</v>
      </c>
      <c r="I46" s="5" t="s">
        <v>120</v>
      </c>
      <c r="J46" s="5" t="s">
        <v>238</v>
      </c>
      <c r="K46" s="5" t="s">
        <v>514</v>
      </c>
      <c r="L46" s="5" t="s">
        <v>515</v>
      </c>
      <c r="M46" s="5" t="s">
        <v>516</v>
      </c>
      <c r="N46" s="5" t="s">
        <v>517</v>
      </c>
      <c r="O46" s="5" t="s">
        <v>518</v>
      </c>
    </row>
    <row r="47" ht="15" spans="2:15">
      <c r="B47" s="310"/>
      <c r="C47" s="100"/>
      <c r="D47" s="5" t="s">
        <v>127</v>
      </c>
      <c r="E47" s="5" t="s">
        <v>128</v>
      </c>
      <c r="F47" s="5" t="s">
        <v>129</v>
      </c>
      <c r="G47" s="5" t="s">
        <v>127</v>
      </c>
      <c r="H47" s="5" t="s">
        <v>130</v>
      </c>
      <c r="I47" s="5" t="s">
        <v>130</v>
      </c>
      <c r="J47" s="5" t="s">
        <v>130</v>
      </c>
      <c r="K47" s="5" t="s">
        <v>132</v>
      </c>
      <c r="L47" s="5" t="s">
        <v>132</v>
      </c>
      <c r="M47" s="5" t="s">
        <v>132</v>
      </c>
      <c r="N47" s="5" t="s">
        <v>132</v>
      </c>
      <c r="O47" s="5" t="s">
        <v>132</v>
      </c>
    </row>
    <row r="48" spans="2:15">
      <c r="B48" s="311">
        <v>1</v>
      </c>
      <c r="C48" t="s">
        <v>849</v>
      </c>
      <c r="D48" s="20">
        <v>66.2</v>
      </c>
      <c r="E48" s="55"/>
      <c r="F48" s="55"/>
      <c r="G48" s="208">
        <v>28.18</v>
      </c>
      <c r="H48" s="208"/>
      <c r="I48" s="208"/>
      <c r="J48" s="208">
        <f>'[17]Rev_SP-12me'!$BG$2</f>
        <v>78.24</v>
      </c>
      <c r="K48" s="340">
        <f>'[17]Rev_SP-12me'!$BG$3</f>
        <v>79.8048</v>
      </c>
      <c r="L48" s="208">
        <v>81.4</v>
      </c>
      <c r="M48" s="208"/>
      <c r="N48" s="208"/>
      <c r="O48" s="208"/>
    </row>
    <row r="49" ht="15" spans="2:15">
      <c r="B49" s="100"/>
      <c r="C49" s="175" t="s">
        <v>97</v>
      </c>
      <c r="D49" s="324">
        <f>SUM(D48:D48)</f>
        <v>66.2</v>
      </c>
      <c r="E49" s="324">
        <f>SUM(E48:E48)</f>
        <v>0</v>
      </c>
      <c r="F49" s="324">
        <f>E49</f>
        <v>0</v>
      </c>
      <c r="G49" s="324">
        <f t="shared" ref="G49:O49" si="8">SUM(G48:G48)</f>
        <v>28.18</v>
      </c>
      <c r="H49" s="324">
        <f t="shared" si="8"/>
        <v>0</v>
      </c>
      <c r="I49" s="324">
        <f t="shared" si="8"/>
        <v>0</v>
      </c>
      <c r="J49" s="324">
        <f t="shared" si="8"/>
        <v>78.24</v>
      </c>
      <c r="K49" s="324">
        <f t="shared" si="8"/>
        <v>79.8048</v>
      </c>
      <c r="L49" s="324">
        <f t="shared" si="8"/>
        <v>81.4</v>
      </c>
      <c r="M49" s="324">
        <f t="shared" si="8"/>
        <v>0</v>
      </c>
      <c r="N49" s="324">
        <f t="shared" si="8"/>
        <v>0</v>
      </c>
      <c r="O49" s="324">
        <f t="shared" si="8"/>
        <v>0</v>
      </c>
    </row>
  </sheetData>
  <mergeCells count="15">
    <mergeCell ref="D6:F6"/>
    <mergeCell ref="G6:J6"/>
    <mergeCell ref="K6:O6"/>
    <mergeCell ref="D26:F26"/>
    <mergeCell ref="G26:J26"/>
    <mergeCell ref="K26:O26"/>
    <mergeCell ref="D45:F45"/>
    <mergeCell ref="G45:J45"/>
    <mergeCell ref="K45:O45"/>
    <mergeCell ref="B6:B8"/>
    <mergeCell ref="B26:B28"/>
    <mergeCell ref="B45:B47"/>
    <mergeCell ref="C6:C8"/>
    <mergeCell ref="C26:C28"/>
    <mergeCell ref="C45:C47"/>
  </mergeCells>
  <printOptions horizontalCentered="1"/>
  <pageMargins left="0.629861111111111" right="0.236111111111111" top="0.984027777777778" bottom="0.984027777777778" header="0.236111111111111" footer="0.236111111111111"/>
  <pageSetup paperSize="9" scale="75" orientation="landscape" horizont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S824"/>
  <sheetViews>
    <sheetView showGridLines="0" zoomScale="92" zoomScaleNormal="92" zoomScaleSheetLayoutView="70" topLeftCell="C1" workbookViewId="0">
      <pane xSplit="2" ySplit="7" topLeftCell="E86" activePane="bottomRight" state="frozen"/>
      <selection/>
      <selection pane="topRight"/>
      <selection pane="bottomLeft"/>
      <selection pane="bottomRight" activeCell="A86" sqref="A86"/>
    </sheetView>
  </sheetViews>
  <sheetFormatPr defaultColWidth="9.14285714285714" defaultRowHeight="14.25"/>
  <cols>
    <col min="1" max="1" width="3.14285714285714" style="12" customWidth="1"/>
    <col min="2" max="2" width="8.42857142857143" style="12" customWidth="1"/>
    <col min="3" max="3" width="21.5714285714286" style="12" customWidth="1"/>
    <col min="4" max="4" width="45.8571428571429" style="12" customWidth="1"/>
    <col min="5" max="5" width="13.5714285714286" style="12" customWidth="1"/>
    <col min="6" max="6" width="12.5714285714286" style="12" customWidth="1"/>
    <col min="7" max="7" width="13.4285714285714" style="12" customWidth="1"/>
    <col min="8" max="8" width="13.5714285714286" style="12" customWidth="1"/>
    <col min="9" max="9" width="12.5714285714286" style="12" customWidth="1"/>
    <col min="10" max="10" width="14.5714285714286" style="12" customWidth="1"/>
    <col min="11" max="11" width="12.5714285714286" style="12" customWidth="1"/>
    <col min="12" max="12" width="11.8571428571429" style="12" customWidth="1"/>
    <col min="13" max="13" width="13.8571428571429" style="12" customWidth="1"/>
    <col min="14" max="16" width="11.8571428571429" style="12" customWidth="1"/>
    <col min="17" max="17" width="11.4285714285714" style="12" customWidth="1"/>
    <col min="18" max="18" width="12.4285714285714" style="12" customWidth="1"/>
    <col min="19" max="19" width="12.5714285714286" style="12" customWidth="1"/>
    <col min="20" max="16384" width="9.14285714285714" style="12"/>
  </cols>
  <sheetData>
    <row r="2" ht="15" spans="10:10">
      <c r="J2" s="2" t="s">
        <v>105</v>
      </c>
    </row>
    <row r="3" ht="15" spans="10:10">
      <c r="J3" s="3" t="s">
        <v>271</v>
      </c>
    </row>
    <row r="4" ht="15" spans="2:19">
      <c r="B4" s="14"/>
      <c r="C4" s="14" t="s">
        <v>235</v>
      </c>
      <c r="D4" s="655"/>
      <c r="E4" s="655"/>
      <c r="F4" s="655"/>
      <c r="G4" s="655"/>
      <c r="S4" s="3" t="s">
        <v>236</v>
      </c>
    </row>
    <row r="5" ht="13.7" customHeight="1" spans="2:19">
      <c r="B5" s="656"/>
      <c r="C5" s="658" t="s">
        <v>159</v>
      </c>
      <c r="D5" s="873"/>
      <c r="E5" s="16" t="s">
        <v>160</v>
      </c>
      <c r="F5" s="16" t="s">
        <v>161</v>
      </c>
      <c r="G5" s="16" t="s">
        <v>162</v>
      </c>
      <c r="H5" s="306" t="s">
        <v>163</v>
      </c>
      <c r="I5" s="307"/>
      <c r="J5" s="308"/>
      <c r="K5" s="306" t="s">
        <v>164</v>
      </c>
      <c r="L5" s="307"/>
      <c r="M5" s="307"/>
      <c r="N5" s="307"/>
      <c r="O5" s="135" t="s">
        <v>114</v>
      </c>
      <c r="P5" s="135"/>
      <c r="Q5" s="135"/>
      <c r="R5" s="135"/>
      <c r="S5" s="135"/>
    </row>
    <row r="6" ht="45" spans="2:19">
      <c r="B6" s="656"/>
      <c r="C6" s="660"/>
      <c r="D6" s="874"/>
      <c r="E6" s="535"/>
      <c r="F6" s="535"/>
      <c r="G6" s="535"/>
      <c r="H6" s="5" t="s">
        <v>116</v>
      </c>
      <c r="I6" s="5" t="s">
        <v>237</v>
      </c>
      <c r="J6" s="5" t="s">
        <v>118</v>
      </c>
      <c r="K6" s="5" t="s">
        <v>116</v>
      </c>
      <c r="L6" s="5" t="s">
        <v>119</v>
      </c>
      <c r="M6" s="5" t="s">
        <v>120</v>
      </c>
      <c r="N6" s="5" t="s">
        <v>238</v>
      </c>
      <c r="O6" s="5" t="s">
        <v>165</v>
      </c>
      <c r="P6" s="5" t="s">
        <v>166</v>
      </c>
      <c r="Q6" s="5" t="s">
        <v>167</v>
      </c>
      <c r="R6" s="5" t="s">
        <v>168</v>
      </c>
      <c r="S6" s="5" t="s">
        <v>169</v>
      </c>
    </row>
    <row r="7" ht="15" spans="2:19">
      <c r="B7" s="656"/>
      <c r="C7" s="662"/>
      <c r="D7" s="875"/>
      <c r="E7" s="5" t="s">
        <v>128</v>
      </c>
      <c r="F7" s="5" t="s">
        <v>128</v>
      </c>
      <c r="G7" s="5" t="s">
        <v>128</v>
      </c>
      <c r="H7" s="5" t="s">
        <v>127</v>
      </c>
      <c r="I7" s="5" t="s">
        <v>128</v>
      </c>
      <c r="J7" s="5" t="s">
        <v>129</v>
      </c>
      <c r="K7" s="5" t="s">
        <v>127</v>
      </c>
      <c r="L7" s="5" t="s">
        <v>130</v>
      </c>
      <c r="M7" s="5" t="s">
        <v>131</v>
      </c>
      <c r="N7" s="5" t="s">
        <v>131</v>
      </c>
      <c r="O7" s="5" t="s">
        <v>132</v>
      </c>
      <c r="P7" s="5" t="s">
        <v>132</v>
      </c>
      <c r="Q7" s="5" t="s">
        <v>132</v>
      </c>
      <c r="R7" s="5" t="s">
        <v>132</v>
      </c>
      <c r="S7" s="5" t="s">
        <v>132</v>
      </c>
    </row>
    <row r="8" ht="15" spans="2:19">
      <c r="B8" s="656"/>
      <c r="C8" s="44" t="s">
        <v>170</v>
      </c>
      <c r="D8" s="45"/>
      <c r="E8" s="880"/>
      <c r="F8" s="45"/>
      <c r="G8" s="45"/>
      <c r="H8" s="47"/>
      <c r="I8" s="47"/>
      <c r="J8" s="749"/>
      <c r="K8" s="47"/>
      <c r="L8" s="147"/>
      <c r="M8" s="55"/>
      <c r="N8" s="55"/>
      <c r="O8" s="55"/>
      <c r="P8" s="55"/>
      <c r="Q8" s="55"/>
      <c r="R8" s="55"/>
      <c r="S8" s="55"/>
    </row>
    <row r="9" spans="2:19">
      <c r="B9" s="656"/>
      <c r="C9" s="47" t="s">
        <v>171</v>
      </c>
      <c r="D9" s="47" t="s">
        <v>172</v>
      </c>
      <c r="E9" s="899">
        <f t="shared" ref="E9:E17" si="0">Q86</f>
        <v>0</v>
      </c>
      <c r="F9" s="900">
        <f t="shared" ref="F9:F17" si="1">Q160</f>
        <v>0</v>
      </c>
      <c r="G9" s="900">
        <f t="shared" ref="G9:G17" si="2">Q233</f>
        <v>0</v>
      </c>
      <c r="H9" s="900"/>
      <c r="I9" s="900">
        <f t="shared" ref="I9:I17" si="3">Q306</f>
        <v>0</v>
      </c>
      <c r="J9" s="900"/>
      <c r="K9" s="900"/>
      <c r="L9" s="901">
        <f t="shared" ref="L9:L17" si="4">E381+F381+G381+H381+I381+J381</f>
        <v>0</v>
      </c>
      <c r="M9" s="901">
        <f t="shared" ref="M9:M17" si="5">K381+L381+M381+N381+O381+P381</f>
        <v>0</v>
      </c>
      <c r="N9" s="901">
        <f t="shared" ref="N9:N17" si="6">L9+M9</f>
        <v>0</v>
      </c>
      <c r="O9" s="901">
        <f t="shared" ref="O9:O17" si="7">Q455</f>
        <v>0</v>
      </c>
      <c r="P9" s="901">
        <f t="shared" ref="P9:P17" si="8">Q529</f>
        <v>0</v>
      </c>
      <c r="Q9" s="901">
        <f t="shared" ref="Q9:Q17" si="9">Q603</f>
        <v>0</v>
      </c>
      <c r="R9" s="901">
        <f t="shared" ref="R9:R17" si="10">Q677</f>
        <v>0</v>
      </c>
      <c r="S9" s="901">
        <f t="shared" ref="S9:S17" si="11">Q751</f>
        <v>0</v>
      </c>
    </row>
    <row r="10" spans="3:19">
      <c r="C10" s="55" t="s">
        <v>173</v>
      </c>
      <c r="D10" s="55" t="s">
        <v>174</v>
      </c>
      <c r="E10" s="899">
        <f t="shared" si="0"/>
        <v>0</v>
      </c>
      <c r="F10" s="900">
        <f t="shared" si="1"/>
        <v>0</v>
      </c>
      <c r="G10" s="900">
        <f t="shared" si="2"/>
        <v>0</v>
      </c>
      <c r="H10" s="901"/>
      <c r="I10" s="900">
        <f t="shared" si="3"/>
        <v>0</v>
      </c>
      <c r="J10" s="901"/>
      <c r="K10" s="901"/>
      <c r="L10" s="901">
        <f t="shared" si="4"/>
        <v>0</v>
      </c>
      <c r="M10" s="901">
        <f t="shared" si="5"/>
        <v>0</v>
      </c>
      <c r="N10" s="901">
        <f t="shared" si="6"/>
        <v>0</v>
      </c>
      <c r="O10" s="901">
        <f t="shared" si="7"/>
        <v>0</v>
      </c>
      <c r="P10" s="901">
        <f t="shared" si="8"/>
        <v>0</v>
      </c>
      <c r="Q10" s="901">
        <f t="shared" si="9"/>
        <v>0</v>
      </c>
      <c r="R10" s="901">
        <f t="shared" si="10"/>
        <v>0</v>
      </c>
      <c r="S10" s="901">
        <f t="shared" si="11"/>
        <v>0</v>
      </c>
    </row>
    <row r="11" spans="3:19">
      <c r="C11" s="55" t="s">
        <v>175</v>
      </c>
      <c r="D11" s="55" t="s">
        <v>176</v>
      </c>
      <c r="E11" s="899">
        <f t="shared" si="0"/>
        <v>0</v>
      </c>
      <c r="F11" s="900">
        <f t="shared" si="1"/>
        <v>0</v>
      </c>
      <c r="G11" s="900">
        <f t="shared" si="2"/>
        <v>0</v>
      </c>
      <c r="H11" s="901"/>
      <c r="I11" s="900">
        <f t="shared" si="3"/>
        <v>0</v>
      </c>
      <c r="J11" s="901"/>
      <c r="K11" s="901"/>
      <c r="L11" s="901">
        <f t="shared" si="4"/>
        <v>0</v>
      </c>
      <c r="M11" s="901">
        <f t="shared" si="5"/>
        <v>0</v>
      </c>
      <c r="N11" s="901">
        <f t="shared" si="6"/>
        <v>0</v>
      </c>
      <c r="O11" s="901">
        <f t="shared" si="7"/>
        <v>0</v>
      </c>
      <c r="P11" s="901">
        <f t="shared" si="8"/>
        <v>0</v>
      </c>
      <c r="Q11" s="901">
        <f t="shared" si="9"/>
        <v>0</v>
      </c>
      <c r="R11" s="901">
        <f t="shared" si="10"/>
        <v>0</v>
      </c>
      <c r="S11" s="901">
        <f t="shared" si="11"/>
        <v>0</v>
      </c>
    </row>
    <row r="12" spans="3:19">
      <c r="C12" s="55" t="s">
        <v>177</v>
      </c>
      <c r="D12" s="55" t="s">
        <v>178</v>
      </c>
      <c r="E12" s="899">
        <f t="shared" si="0"/>
        <v>0</v>
      </c>
      <c r="F12" s="900">
        <f t="shared" si="1"/>
        <v>0</v>
      </c>
      <c r="G12" s="900">
        <f t="shared" si="2"/>
        <v>0</v>
      </c>
      <c r="H12" s="901"/>
      <c r="I12" s="900">
        <f t="shared" si="3"/>
        <v>0</v>
      </c>
      <c r="J12" s="901"/>
      <c r="K12" s="901"/>
      <c r="L12" s="901">
        <f t="shared" si="4"/>
        <v>0</v>
      </c>
      <c r="M12" s="901">
        <f t="shared" si="5"/>
        <v>0</v>
      </c>
      <c r="N12" s="901">
        <f t="shared" si="6"/>
        <v>0</v>
      </c>
      <c r="O12" s="901">
        <f t="shared" si="7"/>
        <v>0</v>
      </c>
      <c r="P12" s="901">
        <f t="shared" si="8"/>
        <v>0</v>
      </c>
      <c r="Q12" s="901">
        <f t="shared" si="9"/>
        <v>0</v>
      </c>
      <c r="R12" s="901">
        <f t="shared" si="10"/>
        <v>0</v>
      </c>
      <c r="S12" s="901">
        <f t="shared" si="11"/>
        <v>0</v>
      </c>
    </row>
    <row r="13" spans="3:19">
      <c r="C13" s="55" t="s">
        <v>179</v>
      </c>
      <c r="D13" s="55" t="s">
        <v>180</v>
      </c>
      <c r="E13" s="899">
        <f t="shared" si="0"/>
        <v>10811.7515050174</v>
      </c>
      <c r="F13" s="900">
        <f t="shared" si="1"/>
        <v>11722.1715773557</v>
      </c>
      <c r="G13" s="900">
        <f t="shared" si="2"/>
        <v>11694.8537815522</v>
      </c>
      <c r="H13" s="900">
        <v>10391.18</v>
      </c>
      <c r="I13" s="900">
        <f t="shared" si="3"/>
        <v>12090.1421547067</v>
      </c>
      <c r="J13" s="905">
        <f>I13-H13</f>
        <v>1698.96215470665</v>
      </c>
      <c r="K13" s="900">
        <v>11410.74</v>
      </c>
      <c r="L13" s="901">
        <f t="shared" si="4"/>
        <v>6232.63362030742</v>
      </c>
      <c r="M13" s="901">
        <f t="shared" si="5"/>
        <v>7169.20947951948</v>
      </c>
      <c r="N13" s="901">
        <f t="shared" si="6"/>
        <v>13401.8430998269</v>
      </c>
      <c r="O13" s="901">
        <f t="shared" si="7"/>
        <v>12090.1421547067</v>
      </c>
      <c r="P13" s="901">
        <f t="shared" si="8"/>
        <v>0</v>
      </c>
      <c r="Q13" s="901">
        <f t="shared" si="9"/>
        <v>0</v>
      </c>
      <c r="R13" s="901">
        <f t="shared" si="10"/>
        <v>0</v>
      </c>
      <c r="S13" s="901">
        <f t="shared" si="11"/>
        <v>0</v>
      </c>
    </row>
    <row r="14" spans="3:19">
      <c r="C14" s="55" t="s">
        <v>181</v>
      </c>
      <c r="D14" s="55" t="s">
        <v>182</v>
      </c>
      <c r="E14" s="899">
        <f t="shared" si="0"/>
        <v>0</v>
      </c>
      <c r="F14" s="900">
        <f t="shared" si="1"/>
        <v>0</v>
      </c>
      <c r="G14" s="900">
        <f t="shared" si="2"/>
        <v>0</v>
      </c>
      <c r="H14" s="901"/>
      <c r="I14" s="900">
        <f t="shared" si="3"/>
        <v>0</v>
      </c>
      <c r="J14" s="901"/>
      <c r="K14" s="901"/>
      <c r="L14" s="901">
        <f t="shared" si="4"/>
        <v>0</v>
      </c>
      <c r="M14" s="901">
        <f t="shared" si="5"/>
        <v>0</v>
      </c>
      <c r="N14" s="901">
        <f t="shared" si="6"/>
        <v>0</v>
      </c>
      <c r="O14" s="901">
        <f t="shared" si="7"/>
        <v>0</v>
      </c>
      <c r="P14" s="901">
        <f t="shared" si="8"/>
        <v>0</v>
      </c>
      <c r="Q14" s="901">
        <f t="shared" si="9"/>
        <v>0</v>
      </c>
      <c r="R14" s="901">
        <f t="shared" si="10"/>
        <v>0</v>
      </c>
      <c r="S14" s="901">
        <f t="shared" si="11"/>
        <v>0</v>
      </c>
    </row>
    <row r="15" spans="3:19">
      <c r="C15" s="55" t="s">
        <v>183</v>
      </c>
      <c r="D15" s="55" t="s">
        <v>184</v>
      </c>
      <c r="E15" s="899">
        <f t="shared" si="0"/>
        <v>0</v>
      </c>
      <c r="F15" s="900">
        <f t="shared" si="1"/>
        <v>0</v>
      </c>
      <c r="G15" s="900">
        <f t="shared" si="2"/>
        <v>0</v>
      </c>
      <c r="H15" s="901"/>
      <c r="I15" s="900">
        <f t="shared" si="3"/>
        <v>0</v>
      </c>
      <c r="J15" s="901"/>
      <c r="K15" s="901"/>
      <c r="L15" s="901">
        <f t="shared" si="4"/>
        <v>0</v>
      </c>
      <c r="M15" s="901">
        <f t="shared" si="5"/>
        <v>0</v>
      </c>
      <c r="N15" s="901">
        <f t="shared" si="6"/>
        <v>0</v>
      </c>
      <c r="O15" s="901">
        <f t="shared" si="7"/>
        <v>0</v>
      </c>
      <c r="P15" s="901">
        <f t="shared" si="8"/>
        <v>0</v>
      </c>
      <c r="Q15" s="901">
        <f t="shared" si="9"/>
        <v>0</v>
      </c>
      <c r="R15" s="901">
        <f t="shared" si="10"/>
        <v>0</v>
      </c>
      <c r="S15" s="901">
        <f t="shared" si="11"/>
        <v>0</v>
      </c>
    </row>
    <row r="16" spans="3:19">
      <c r="C16" s="55" t="s">
        <v>185</v>
      </c>
      <c r="D16" s="55" t="s">
        <v>186</v>
      </c>
      <c r="E16" s="899">
        <f t="shared" si="0"/>
        <v>0</v>
      </c>
      <c r="F16" s="900">
        <f t="shared" si="1"/>
        <v>0</v>
      </c>
      <c r="G16" s="900">
        <f t="shared" si="2"/>
        <v>0</v>
      </c>
      <c r="H16" s="901"/>
      <c r="I16" s="900">
        <f t="shared" si="3"/>
        <v>0</v>
      </c>
      <c r="J16" s="901"/>
      <c r="K16" s="901"/>
      <c r="L16" s="901">
        <f t="shared" si="4"/>
        <v>0</v>
      </c>
      <c r="M16" s="901">
        <f t="shared" si="5"/>
        <v>0</v>
      </c>
      <c r="N16" s="901">
        <f t="shared" si="6"/>
        <v>0</v>
      </c>
      <c r="O16" s="901">
        <f t="shared" si="7"/>
        <v>0</v>
      </c>
      <c r="P16" s="901">
        <f t="shared" si="8"/>
        <v>0</v>
      </c>
      <c r="Q16" s="901">
        <f t="shared" si="9"/>
        <v>0</v>
      </c>
      <c r="R16" s="901">
        <f t="shared" si="10"/>
        <v>0</v>
      </c>
      <c r="S16" s="901">
        <f t="shared" si="11"/>
        <v>0</v>
      </c>
    </row>
    <row r="17" spans="3:19">
      <c r="C17" s="55" t="s">
        <v>187</v>
      </c>
      <c r="D17" s="55" t="s">
        <v>188</v>
      </c>
      <c r="E17" s="899">
        <f t="shared" si="0"/>
        <v>0</v>
      </c>
      <c r="F17" s="900">
        <f t="shared" si="1"/>
        <v>0</v>
      </c>
      <c r="G17" s="900">
        <f t="shared" si="2"/>
        <v>0</v>
      </c>
      <c r="H17" s="901"/>
      <c r="I17" s="900">
        <f t="shared" si="3"/>
        <v>0</v>
      </c>
      <c r="J17" s="901"/>
      <c r="K17" s="901"/>
      <c r="L17" s="901">
        <f t="shared" si="4"/>
        <v>0</v>
      </c>
      <c r="M17" s="901">
        <f t="shared" si="5"/>
        <v>0</v>
      </c>
      <c r="N17" s="901">
        <f t="shared" si="6"/>
        <v>0</v>
      </c>
      <c r="O17" s="901">
        <f t="shared" si="7"/>
        <v>0</v>
      </c>
      <c r="P17" s="901">
        <f t="shared" si="8"/>
        <v>0</v>
      </c>
      <c r="Q17" s="901">
        <f t="shared" si="9"/>
        <v>0</v>
      </c>
      <c r="R17" s="901">
        <f t="shared" si="10"/>
        <v>0</v>
      </c>
      <c r="S17" s="901">
        <f t="shared" si="11"/>
        <v>0</v>
      </c>
    </row>
    <row r="18" ht="15" spans="3:19">
      <c r="C18" s="55"/>
      <c r="D18" s="55"/>
      <c r="E18" s="902"/>
      <c r="F18" s="900"/>
      <c r="G18" s="900"/>
      <c r="H18" s="901"/>
      <c r="I18" s="900"/>
      <c r="J18" s="901"/>
      <c r="K18" s="901"/>
      <c r="L18" s="901"/>
      <c r="M18" s="901"/>
      <c r="N18" s="901"/>
      <c r="O18" s="901"/>
      <c r="P18" s="901"/>
      <c r="Q18" s="901"/>
      <c r="R18" s="901"/>
      <c r="S18" s="901"/>
    </row>
    <row r="19" ht="15" spans="3:19">
      <c r="C19" s="55"/>
      <c r="D19" s="55"/>
      <c r="E19" s="902"/>
      <c r="F19" s="900"/>
      <c r="G19" s="900"/>
      <c r="H19" s="901"/>
      <c r="I19" s="900"/>
      <c r="J19" s="901"/>
      <c r="K19" s="901"/>
      <c r="L19" s="901"/>
      <c r="M19" s="901"/>
      <c r="N19" s="901"/>
      <c r="O19" s="901"/>
      <c r="P19" s="901"/>
      <c r="Q19" s="901"/>
      <c r="R19" s="901"/>
      <c r="S19" s="901"/>
    </row>
    <row r="20" ht="15" spans="3:19">
      <c r="C20" s="55"/>
      <c r="D20" s="55"/>
      <c r="E20" s="902"/>
      <c r="F20" s="900"/>
      <c r="G20" s="900"/>
      <c r="H20" s="901"/>
      <c r="I20" s="900"/>
      <c r="J20" s="901"/>
      <c r="K20" s="901"/>
      <c r="L20" s="901"/>
      <c r="M20" s="901"/>
      <c r="N20" s="901"/>
      <c r="O20" s="901"/>
      <c r="P20" s="901"/>
      <c r="Q20" s="901"/>
      <c r="R20" s="901"/>
      <c r="S20" s="901"/>
    </row>
    <row r="21" ht="15" spans="3:19">
      <c r="C21" s="55"/>
      <c r="D21" s="55"/>
      <c r="E21" s="902"/>
      <c r="F21" s="900"/>
      <c r="G21" s="900"/>
      <c r="H21" s="901"/>
      <c r="I21" s="900"/>
      <c r="J21" s="901"/>
      <c r="K21" s="901"/>
      <c r="L21" s="901"/>
      <c r="M21" s="901"/>
      <c r="N21" s="901"/>
      <c r="O21" s="901"/>
      <c r="P21" s="901"/>
      <c r="Q21" s="901"/>
      <c r="R21" s="901"/>
      <c r="S21" s="901"/>
    </row>
    <row r="22" ht="15" spans="3:19">
      <c r="C22" s="537" t="s">
        <v>189</v>
      </c>
      <c r="D22" s="540"/>
      <c r="E22" s="903">
        <f>Q99</f>
        <v>10811.7515050174</v>
      </c>
      <c r="F22" s="903">
        <f>Q173</f>
        <v>11722.1715773557</v>
      </c>
      <c r="G22" s="903">
        <f>Q246</f>
        <v>11694.8537815522</v>
      </c>
      <c r="H22" s="903">
        <f>SUM(H9:H21)</f>
        <v>10391.18</v>
      </c>
      <c r="I22" s="903">
        <f>Q319</f>
        <v>12090.1421547067</v>
      </c>
      <c r="J22" s="903">
        <f>I22-H22</f>
        <v>1698.96215470665</v>
      </c>
      <c r="K22" s="903">
        <f>SUM(K9:K21)</f>
        <v>11410.74</v>
      </c>
      <c r="L22" s="903">
        <f>SUM(E394:J394)</f>
        <v>6232.63362030742</v>
      </c>
      <c r="M22" s="903">
        <f>SUM(K394:P394)</f>
        <v>7169.20947951948</v>
      </c>
      <c r="N22" s="903">
        <f>L22+M22</f>
        <v>13401.8430998269</v>
      </c>
      <c r="O22" s="903">
        <f>Q468</f>
        <v>12090.1421547067</v>
      </c>
      <c r="P22" s="903">
        <f>Q542</f>
        <v>0</v>
      </c>
      <c r="Q22" s="903">
        <f>Q616</f>
        <v>0</v>
      </c>
      <c r="R22" s="903">
        <f>Q690</f>
        <v>0</v>
      </c>
      <c r="S22" s="903">
        <f>Q764</f>
        <v>0</v>
      </c>
    </row>
    <row r="23" ht="15" spans="3:19">
      <c r="C23" s="44" t="s">
        <v>190</v>
      </c>
      <c r="D23" s="45"/>
      <c r="E23" s="904"/>
      <c r="F23" s="902"/>
      <c r="G23" s="902"/>
      <c r="H23" s="901"/>
      <c r="I23" s="901"/>
      <c r="J23" s="901"/>
      <c r="K23" s="901"/>
      <c r="L23" s="901"/>
      <c r="M23" s="901"/>
      <c r="N23" s="901"/>
      <c r="O23" s="901"/>
      <c r="P23" s="901"/>
      <c r="Q23" s="901"/>
      <c r="R23" s="901"/>
      <c r="S23" s="901"/>
    </row>
    <row r="24" spans="3:19">
      <c r="C24" s="55" t="s">
        <v>191</v>
      </c>
      <c r="D24" s="55" t="s">
        <v>192</v>
      </c>
      <c r="E24" s="899">
        <f t="shared" ref="E24:E34" si="12">Q101</f>
        <v>0</v>
      </c>
      <c r="F24" s="900">
        <f t="shared" ref="F24:F34" si="13">Q175</f>
        <v>0</v>
      </c>
      <c r="G24" s="900">
        <f t="shared" ref="G24:G34" si="14">Q248</f>
        <v>0</v>
      </c>
      <c r="H24" s="901"/>
      <c r="I24" s="900">
        <f t="shared" ref="I24:I34" si="15">Q321</f>
        <v>0</v>
      </c>
      <c r="J24" s="901"/>
      <c r="K24" s="901"/>
      <c r="L24" s="901">
        <f t="shared" ref="L24:L34" si="16">E396+F396+G396+H396+I396+J396</f>
        <v>0</v>
      </c>
      <c r="M24" s="901">
        <f t="shared" ref="M24:M34" si="17">K396+L396+M396+N396+O396+P396</f>
        <v>0</v>
      </c>
      <c r="N24" s="901">
        <f t="shared" ref="N24:N34" si="18">L24+M24</f>
        <v>0</v>
      </c>
      <c r="O24" s="901">
        <f t="shared" ref="O24:O34" si="19">Q470</f>
        <v>0</v>
      </c>
      <c r="P24" s="901">
        <f t="shared" ref="P24:P34" si="20">Q544</f>
        <v>0</v>
      </c>
      <c r="Q24" s="901">
        <f t="shared" ref="Q24:Q34" si="21">Q618</f>
        <v>0</v>
      </c>
      <c r="R24" s="901">
        <f t="shared" ref="R24:R34" si="22">Q692</f>
        <v>0</v>
      </c>
      <c r="S24" s="901">
        <f t="shared" ref="S24:S34" si="23">Q766</f>
        <v>0</v>
      </c>
    </row>
    <row r="25" spans="3:19">
      <c r="C25" s="55" t="s">
        <v>193</v>
      </c>
      <c r="D25" s="55" t="s">
        <v>194</v>
      </c>
      <c r="E25" s="899">
        <f t="shared" si="12"/>
        <v>0</v>
      </c>
      <c r="F25" s="900">
        <f t="shared" si="13"/>
        <v>0</v>
      </c>
      <c r="G25" s="900">
        <f t="shared" si="14"/>
        <v>0</v>
      </c>
      <c r="H25" s="901"/>
      <c r="I25" s="900">
        <f t="shared" si="15"/>
        <v>0</v>
      </c>
      <c r="J25" s="901"/>
      <c r="K25" s="901"/>
      <c r="L25" s="901">
        <f t="shared" si="16"/>
        <v>0</v>
      </c>
      <c r="M25" s="901">
        <f t="shared" si="17"/>
        <v>0</v>
      </c>
      <c r="N25" s="901">
        <f t="shared" si="18"/>
        <v>0</v>
      </c>
      <c r="O25" s="901">
        <f t="shared" si="19"/>
        <v>0</v>
      </c>
      <c r="P25" s="901">
        <f t="shared" si="20"/>
        <v>0</v>
      </c>
      <c r="Q25" s="901">
        <f t="shared" si="21"/>
        <v>0</v>
      </c>
      <c r="R25" s="901">
        <f t="shared" si="22"/>
        <v>0</v>
      </c>
      <c r="S25" s="901">
        <f t="shared" si="23"/>
        <v>0</v>
      </c>
    </row>
    <row r="26" spans="3:19">
      <c r="C26" s="55" t="s">
        <v>239</v>
      </c>
      <c r="D26" s="55" t="s">
        <v>196</v>
      </c>
      <c r="E26" s="899">
        <f t="shared" si="12"/>
        <v>0</v>
      </c>
      <c r="F26" s="900">
        <f t="shared" si="13"/>
        <v>0</v>
      </c>
      <c r="G26" s="900">
        <f t="shared" si="14"/>
        <v>0</v>
      </c>
      <c r="H26" s="901"/>
      <c r="I26" s="900">
        <f t="shared" si="15"/>
        <v>0</v>
      </c>
      <c r="J26" s="901"/>
      <c r="K26" s="901"/>
      <c r="L26" s="901">
        <f t="shared" si="16"/>
        <v>0</v>
      </c>
      <c r="M26" s="901">
        <f t="shared" si="17"/>
        <v>0</v>
      </c>
      <c r="N26" s="901">
        <f t="shared" si="18"/>
        <v>0</v>
      </c>
      <c r="O26" s="901">
        <f t="shared" si="19"/>
        <v>0</v>
      </c>
      <c r="P26" s="901">
        <f t="shared" si="20"/>
        <v>0</v>
      </c>
      <c r="Q26" s="901">
        <f t="shared" si="21"/>
        <v>0</v>
      </c>
      <c r="R26" s="901">
        <f t="shared" si="22"/>
        <v>0</v>
      </c>
      <c r="S26" s="901">
        <f t="shared" si="23"/>
        <v>0</v>
      </c>
    </row>
    <row r="27" spans="3:19">
      <c r="C27" s="55" t="s">
        <v>197</v>
      </c>
      <c r="D27" s="55" t="s">
        <v>198</v>
      </c>
      <c r="E27" s="899">
        <f t="shared" si="12"/>
        <v>0</v>
      </c>
      <c r="F27" s="900">
        <f t="shared" si="13"/>
        <v>0</v>
      </c>
      <c r="G27" s="900">
        <f t="shared" si="14"/>
        <v>0</v>
      </c>
      <c r="H27" s="901"/>
      <c r="I27" s="900">
        <f t="shared" si="15"/>
        <v>0</v>
      </c>
      <c r="J27" s="901"/>
      <c r="K27" s="901"/>
      <c r="L27" s="901">
        <f t="shared" si="16"/>
        <v>0</v>
      </c>
      <c r="M27" s="901">
        <f t="shared" si="17"/>
        <v>0</v>
      </c>
      <c r="N27" s="901">
        <f t="shared" si="18"/>
        <v>0</v>
      </c>
      <c r="O27" s="901">
        <f t="shared" si="19"/>
        <v>0</v>
      </c>
      <c r="P27" s="901">
        <f t="shared" si="20"/>
        <v>0</v>
      </c>
      <c r="Q27" s="901">
        <f t="shared" si="21"/>
        <v>0</v>
      </c>
      <c r="R27" s="901">
        <f t="shared" si="22"/>
        <v>0</v>
      </c>
      <c r="S27" s="901">
        <f t="shared" si="23"/>
        <v>0</v>
      </c>
    </row>
    <row r="28" spans="3:19">
      <c r="C28" s="55" t="s">
        <v>199</v>
      </c>
      <c r="D28" s="55" t="s">
        <v>200</v>
      </c>
      <c r="E28" s="899">
        <f t="shared" si="12"/>
        <v>0</v>
      </c>
      <c r="F28" s="900">
        <f t="shared" si="13"/>
        <v>0</v>
      </c>
      <c r="G28" s="900">
        <f t="shared" si="14"/>
        <v>0</v>
      </c>
      <c r="H28" s="901"/>
      <c r="I28" s="900">
        <f t="shared" si="15"/>
        <v>0</v>
      </c>
      <c r="J28" s="901"/>
      <c r="K28" s="901"/>
      <c r="L28" s="901">
        <f t="shared" si="16"/>
        <v>0</v>
      </c>
      <c r="M28" s="901">
        <f t="shared" si="17"/>
        <v>0</v>
      </c>
      <c r="N28" s="901">
        <f t="shared" si="18"/>
        <v>0</v>
      </c>
      <c r="O28" s="901">
        <f t="shared" si="19"/>
        <v>0</v>
      </c>
      <c r="P28" s="901">
        <f t="shared" si="20"/>
        <v>0</v>
      </c>
      <c r="Q28" s="901">
        <f t="shared" si="21"/>
        <v>0</v>
      </c>
      <c r="R28" s="901">
        <f t="shared" si="22"/>
        <v>0</v>
      </c>
      <c r="S28" s="901">
        <f t="shared" si="23"/>
        <v>0</v>
      </c>
    </row>
    <row r="29" spans="3:19">
      <c r="C29" s="55" t="s">
        <v>201</v>
      </c>
      <c r="D29" s="55" t="s">
        <v>202</v>
      </c>
      <c r="E29" s="899">
        <f t="shared" si="12"/>
        <v>0</v>
      </c>
      <c r="F29" s="900">
        <f t="shared" si="13"/>
        <v>0</v>
      </c>
      <c r="G29" s="900">
        <f t="shared" si="14"/>
        <v>0</v>
      </c>
      <c r="H29" s="901"/>
      <c r="I29" s="900">
        <f t="shared" si="15"/>
        <v>0</v>
      </c>
      <c r="J29" s="901"/>
      <c r="K29" s="901"/>
      <c r="L29" s="901">
        <f t="shared" si="16"/>
        <v>0</v>
      </c>
      <c r="M29" s="901">
        <f t="shared" si="17"/>
        <v>0</v>
      </c>
      <c r="N29" s="901">
        <f t="shared" si="18"/>
        <v>0</v>
      </c>
      <c r="O29" s="901">
        <f t="shared" si="19"/>
        <v>0</v>
      </c>
      <c r="P29" s="901">
        <f t="shared" si="20"/>
        <v>0</v>
      </c>
      <c r="Q29" s="901">
        <f t="shared" si="21"/>
        <v>0</v>
      </c>
      <c r="R29" s="901">
        <f t="shared" si="22"/>
        <v>0</v>
      </c>
      <c r="S29" s="901">
        <f t="shared" si="23"/>
        <v>0</v>
      </c>
    </row>
    <row r="30" spans="3:19">
      <c r="C30" s="55" t="s">
        <v>203</v>
      </c>
      <c r="D30" s="55" t="s">
        <v>204</v>
      </c>
      <c r="E30" s="899">
        <f t="shared" si="12"/>
        <v>0</v>
      </c>
      <c r="F30" s="900">
        <f t="shared" si="13"/>
        <v>0</v>
      </c>
      <c r="G30" s="900">
        <f t="shared" si="14"/>
        <v>0</v>
      </c>
      <c r="H30" s="901"/>
      <c r="I30" s="900">
        <f t="shared" si="15"/>
        <v>0</v>
      </c>
      <c r="J30" s="901"/>
      <c r="K30" s="901"/>
      <c r="L30" s="901">
        <f t="shared" si="16"/>
        <v>0</v>
      </c>
      <c r="M30" s="901">
        <f t="shared" si="17"/>
        <v>0</v>
      </c>
      <c r="N30" s="901">
        <f t="shared" si="18"/>
        <v>0</v>
      </c>
      <c r="O30" s="901">
        <f t="shared" si="19"/>
        <v>0</v>
      </c>
      <c r="P30" s="901">
        <f t="shared" si="20"/>
        <v>0</v>
      </c>
      <c r="Q30" s="901">
        <f t="shared" si="21"/>
        <v>0</v>
      </c>
      <c r="R30" s="901">
        <f t="shared" si="22"/>
        <v>0</v>
      </c>
      <c r="S30" s="901">
        <f t="shared" si="23"/>
        <v>0</v>
      </c>
    </row>
    <row r="31" spans="3:19">
      <c r="C31" s="55" t="s">
        <v>205</v>
      </c>
      <c r="D31" s="55" t="s">
        <v>206</v>
      </c>
      <c r="E31" s="899">
        <f t="shared" si="12"/>
        <v>0</v>
      </c>
      <c r="F31" s="900">
        <f t="shared" si="13"/>
        <v>0</v>
      </c>
      <c r="G31" s="900">
        <f t="shared" si="14"/>
        <v>0</v>
      </c>
      <c r="H31" s="901"/>
      <c r="I31" s="900">
        <f t="shared" si="15"/>
        <v>0</v>
      </c>
      <c r="J31" s="901"/>
      <c r="K31" s="901"/>
      <c r="L31" s="901">
        <f t="shared" si="16"/>
        <v>0</v>
      </c>
      <c r="M31" s="901">
        <f t="shared" si="17"/>
        <v>0</v>
      </c>
      <c r="N31" s="901">
        <f t="shared" si="18"/>
        <v>0</v>
      </c>
      <c r="O31" s="901">
        <f t="shared" si="19"/>
        <v>0</v>
      </c>
      <c r="P31" s="901">
        <f t="shared" si="20"/>
        <v>0</v>
      </c>
      <c r="Q31" s="901">
        <f t="shared" si="21"/>
        <v>0</v>
      </c>
      <c r="R31" s="901">
        <f t="shared" si="22"/>
        <v>0</v>
      </c>
      <c r="S31" s="901">
        <f t="shared" si="23"/>
        <v>0</v>
      </c>
    </row>
    <row r="32" spans="3:19">
      <c r="C32" s="55" t="s">
        <v>207</v>
      </c>
      <c r="D32" s="55" t="s">
        <v>186</v>
      </c>
      <c r="E32" s="899">
        <f t="shared" si="12"/>
        <v>0</v>
      </c>
      <c r="F32" s="900">
        <f t="shared" si="13"/>
        <v>0</v>
      </c>
      <c r="G32" s="900">
        <f t="shared" si="14"/>
        <v>0</v>
      </c>
      <c r="H32" s="901"/>
      <c r="I32" s="900">
        <f t="shared" si="15"/>
        <v>0</v>
      </c>
      <c r="J32" s="901"/>
      <c r="K32" s="901"/>
      <c r="L32" s="901">
        <f t="shared" si="16"/>
        <v>0</v>
      </c>
      <c r="M32" s="901">
        <f t="shared" si="17"/>
        <v>0</v>
      </c>
      <c r="N32" s="901">
        <f t="shared" si="18"/>
        <v>0</v>
      </c>
      <c r="O32" s="901">
        <f t="shared" si="19"/>
        <v>0</v>
      </c>
      <c r="P32" s="901">
        <f t="shared" si="20"/>
        <v>0</v>
      </c>
      <c r="Q32" s="901">
        <f t="shared" si="21"/>
        <v>0</v>
      </c>
      <c r="R32" s="901">
        <f t="shared" si="22"/>
        <v>0</v>
      </c>
      <c r="S32" s="901">
        <f t="shared" si="23"/>
        <v>0</v>
      </c>
    </row>
    <row r="33" spans="3:19">
      <c r="C33" s="55" t="s">
        <v>208</v>
      </c>
      <c r="D33" s="55" t="s">
        <v>209</v>
      </c>
      <c r="E33" s="899">
        <f t="shared" si="12"/>
        <v>0</v>
      </c>
      <c r="F33" s="900">
        <f t="shared" si="13"/>
        <v>0</v>
      </c>
      <c r="G33" s="900">
        <f t="shared" si="14"/>
        <v>0</v>
      </c>
      <c r="H33" s="901"/>
      <c r="I33" s="900">
        <f t="shared" si="15"/>
        <v>0</v>
      </c>
      <c r="J33" s="901"/>
      <c r="K33" s="901"/>
      <c r="L33" s="901">
        <f t="shared" si="16"/>
        <v>0</v>
      </c>
      <c r="M33" s="901">
        <f t="shared" si="17"/>
        <v>0</v>
      </c>
      <c r="N33" s="901">
        <f t="shared" si="18"/>
        <v>0</v>
      </c>
      <c r="O33" s="901">
        <f t="shared" si="19"/>
        <v>0</v>
      </c>
      <c r="P33" s="901">
        <f t="shared" si="20"/>
        <v>0</v>
      </c>
      <c r="Q33" s="901">
        <f t="shared" si="21"/>
        <v>0</v>
      </c>
      <c r="R33" s="901">
        <f t="shared" si="22"/>
        <v>0</v>
      </c>
      <c r="S33" s="901">
        <f t="shared" si="23"/>
        <v>0</v>
      </c>
    </row>
    <row r="34" spans="3:19">
      <c r="C34" s="55" t="s">
        <v>210</v>
      </c>
      <c r="D34" s="55" t="s">
        <v>188</v>
      </c>
      <c r="E34" s="899">
        <f t="shared" si="12"/>
        <v>0</v>
      </c>
      <c r="F34" s="900">
        <f t="shared" si="13"/>
        <v>0</v>
      </c>
      <c r="G34" s="900">
        <f t="shared" si="14"/>
        <v>0</v>
      </c>
      <c r="H34" s="901"/>
      <c r="I34" s="900">
        <f t="shared" si="15"/>
        <v>0</v>
      </c>
      <c r="J34" s="901"/>
      <c r="K34" s="901"/>
      <c r="L34" s="901">
        <f t="shared" si="16"/>
        <v>0</v>
      </c>
      <c r="M34" s="901">
        <f t="shared" si="17"/>
        <v>0</v>
      </c>
      <c r="N34" s="901">
        <f t="shared" si="18"/>
        <v>0</v>
      </c>
      <c r="O34" s="901">
        <f t="shared" si="19"/>
        <v>0</v>
      </c>
      <c r="P34" s="901">
        <f t="shared" si="20"/>
        <v>0</v>
      </c>
      <c r="Q34" s="901">
        <f t="shared" si="21"/>
        <v>0</v>
      </c>
      <c r="R34" s="901">
        <f t="shared" si="22"/>
        <v>0</v>
      </c>
      <c r="S34" s="901">
        <f t="shared" si="23"/>
        <v>0</v>
      </c>
    </row>
    <row r="35" ht="15" spans="3:19">
      <c r="C35" s="55"/>
      <c r="D35" s="55"/>
      <c r="E35" s="902"/>
      <c r="F35" s="900"/>
      <c r="G35" s="900"/>
      <c r="H35" s="901"/>
      <c r="I35" s="900"/>
      <c r="J35" s="901"/>
      <c r="K35" s="901"/>
      <c r="L35" s="901"/>
      <c r="M35" s="901"/>
      <c r="N35" s="901"/>
      <c r="O35" s="901"/>
      <c r="P35" s="901"/>
      <c r="Q35" s="901"/>
      <c r="R35" s="901"/>
      <c r="S35" s="901"/>
    </row>
    <row r="36" ht="15" spans="3:19">
      <c r="C36" s="55"/>
      <c r="D36" s="55"/>
      <c r="E36" s="902"/>
      <c r="F36" s="900"/>
      <c r="G36" s="900"/>
      <c r="H36" s="901"/>
      <c r="I36" s="900"/>
      <c r="J36" s="901"/>
      <c r="K36" s="901"/>
      <c r="L36" s="901"/>
      <c r="M36" s="901"/>
      <c r="N36" s="901"/>
      <c r="O36" s="901"/>
      <c r="P36" s="901"/>
      <c r="Q36" s="901"/>
      <c r="R36" s="901"/>
      <c r="S36" s="901"/>
    </row>
    <row r="37" ht="15" spans="3:19">
      <c r="C37" s="55"/>
      <c r="D37" s="55"/>
      <c r="E37" s="902"/>
      <c r="F37" s="900"/>
      <c r="G37" s="900"/>
      <c r="H37" s="901"/>
      <c r="I37" s="900"/>
      <c r="J37" s="901"/>
      <c r="K37" s="901"/>
      <c r="L37" s="901"/>
      <c r="M37" s="901"/>
      <c r="N37" s="901"/>
      <c r="O37" s="901"/>
      <c r="P37" s="901"/>
      <c r="Q37" s="901"/>
      <c r="R37" s="901"/>
      <c r="S37" s="901"/>
    </row>
    <row r="38" ht="15" spans="3:19">
      <c r="C38" s="55"/>
      <c r="D38" s="55"/>
      <c r="E38" s="902"/>
      <c r="F38" s="900"/>
      <c r="G38" s="900"/>
      <c r="H38" s="901"/>
      <c r="I38" s="900"/>
      <c r="J38" s="901"/>
      <c r="K38" s="901"/>
      <c r="L38" s="901"/>
      <c r="M38" s="901"/>
      <c r="N38" s="901"/>
      <c r="O38" s="901"/>
      <c r="P38" s="901"/>
      <c r="Q38" s="901"/>
      <c r="R38" s="901"/>
      <c r="S38" s="901"/>
    </row>
    <row r="39" ht="15" spans="3:19">
      <c r="C39" s="537" t="s">
        <v>211</v>
      </c>
      <c r="D39" s="540"/>
      <c r="E39" s="903">
        <f>Q116</f>
        <v>0</v>
      </c>
      <c r="F39" s="903">
        <f>Q190</f>
        <v>0</v>
      </c>
      <c r="G39" s="903">
        <f>Q263</f>
        <v>0</v>
      </c>
      <c r="H39" s="903">
        <f>SUM(H24:H38)</f>
        <v>0</v>
      </c>
      <c r="I39" s="903">
        <f>Q336</f>
        <v>0</v>
      </c>
      <c r="J39" s="903">
        <f>I39-H39</f>
        <v>0</v>
      </c>
      <c r="K39" s="903">
        <f>SUM(K24:K38)</f>
        <v>0</v>
      </c>
      <c r="L39" s="903">
        <f>SUM(E411:J411)</f>
        <v>0</v>
      </c>
      <c r="M39" s="903">
        <f>SUM(K411:P411)</f>
        <v>0</v>
      </c>
      <c r="N39" s="903">
        <f>L39+M39</f>
        <v>0</v>
      </c>
      <c r="O39" s="903">
        <f>Q485</f>
        <v>0</v>
      </c>
      <c r="P39" s="903">
        <f>Q559</f>
        <v>0</v>
      </c>
      <c r="Q39" s="903">
        <f>Q633</f>
        <v>0</v>
      </c>
      <c r="R39" s="903">
        <f>Q707</f>
        <v>0</v>
      </c>
      <c r="S39" s="903">
        <f>Q781</f>
        <v>0</v>
      </c>
    </row>
    <row r="40" ht="15" spans="3:19">
      <c r="C40" s="44" t="s">
        <v>212</v>
      </c>
      <c r="D40" s="45"/>
      <c r="E40" s="902"/>
      <c r="F40" s="902"/>
      <c r="G40" s="902"/>
      <c r="H40" s="901"/>
      <c r="I40" s="901"/>
      <c r="J40" s="901"/>
      <c r="K40" s="901"/>
      <c r="L40" s="901"/>
      <c r="M40" s="901"/>
      <c r="N40" s="901"/>
      <c r="O40" s="901"/>
      <c r="P40" s="901"/>
      <c r="Q40" s="901"/>
      <c r="R40" s="901"/>
      <c r="S40" s="901"/>
    </row>
    <row r="41" spans="3:19">
      <c r="C41" s="55" t="s">
        <v>191</v>
      </c>
      <c r="D41" s="55" t="s">
        <v>192</v>
      </c>
      <c r="E41" s="899">
        <f t="shared" ref="E41:E47" si="24">Q118</f>
        <v>0</v>
      </c>
      <c r="F41" s="900">
        <f t="shared" ref="F41:F47" si="25">Q192</f>
        <v>0</v>
      </c>
      <c r="G41" s="900">
        <f t="shared" ref="G41:G47" si="26">Q265</f>
        <v>0</v>
      </c>
      <c r="H41" s="901"/>
      <c r="I41" s="900">
        <f t="shared" ref="I41:I47" si="27">Q338</f>
        <v>0</v>
      </c>
      <c r="J41" s="901"/>
      <c r="K41" s="901"/>
      <c r="L41" s="901">
        <f t="shared" ref="L41:L47" si="28">E413+F413+G413+H413+I413+J413</f>
        <v>0</v>
      </c>
      <c r="M41" s="901">
        <f t="shared" ref="M41:M47" si="29">K413+L413+M413+N413+O413+P413</f>
        <v>0</v>
      </c>
      <c r="N41" s="901">
        <f t="shared" ref="N41:N47" si="30">L41+M41</f>
        <v>0</v>
      </c>
      <c r="O41" s="901">
        <f t="shared" ref="O41:O47" si="31">Q487</f>
        <v>0</v>
      </c>
      <c r="P41" s="901">
        <f t="shared" ref="P41:P47" si="32">Q561</f>
        <v>0</v>
      </c>
      <c r="Q41" s="901">
        <f t="shared" ref="Q41:Q47" si="33">Q635</f>
        <v>0</v>
      </c>
      <c r="R41" s="901">
        <f t="shared" ref="R41:R47" si="34">Q709</f>
        <v>0</v>
      </c>
      <c r="S41" s="901">
        <f t="shared" ref="S41:S47" si="35">Q783</f>
        <v>0</v>
      </c>
    </row>
    <row r="42" spans="3:19">
      <c r="C42" s="55" t="s">
        <v>193</v>
      </c>
      <c r="D42" s="55" t="s">
        <v>194</v>
      </c>
      <c r="E42" s="899">
        <f t="shared" si="24"/>
        <v>0</v>
      </c>
      <c r="F42" s="900">
        <f t="shared" si="25"/>
        <v>0</v>
      </c>
      <c r="G42" s="900">
        <f t="shared" si="26"/>
        <v>0</v>
      </c>
      <c r="H42" s="901"/>
      <c r="I42" s="900">
        <f t="shared" si="27"/>
        <v>0</v>
      </c>
      <c r="J42" s="901"/>
      <c r="K42" s="901"/>
      <c r="L42" s="901">
        <f t="shared" si="28"/>
        <v>0</v>
      </c>
      <c r="M42" s="901">
        <f t="shared" si="29"/>
        <v>0</v>
      </c>
      <c r="N42" s="901">
        <f t="shared" si="30"/>
        <v>0</v>
      </c>
      <c r="O42" s="901">
        <f t="shared" si="31"/>
        <v>0</v>
      </c>
      <c r="P42" s="901">
        <f t="shared" si="32"/>
        <v>0</v>
      </c>
      <c r="Q42" s="901">
        <f t="shared" si="33"/>
        <v>0</v>
      </c>
      <c r="R42" s="901">
        <f t="shared" si="34"/>
        <v>0</v>
      </c>
      <c r="S42" s="901">
        <f t="shared" si="35"/>
        <v>0</v>
      </c>
    </row>
    <row r="43" spans="3:19">
      <c r="C43" s="55" t="s">
        <v>239</v>
      </c>
      <c r="D43" s="55" t="s">
        <v>196</v>
      </c>
      <c r="E43" s="899">
        <f t="shared" si="24"/>
        <v>0</v>
      </c>
      <c r="F43" s="900">
        <f t="shared" si="25"/>
        <v>0</v>
      </c>
      <c r="G43" s="900">
        <f t="shared" si="26"/>
        <v>0</v>
      </c>
      <c r="H43" s="901"/>
      <c r="I43" s="900">
        <f t="shared" si="27"/>
        <v>0</v>
      </c>
      <c r="J43" s="901"/>
      <c r="K43" s="901"/>
      <c r="L43" s="901">
        <f t="shared" si="28"/>
        <v>0</v>
      </c>
      <c r="M43" s="901">
        <f t="shared" si="29"/>
        <v>0</v>
      </c>
      <c r="N43" s="901">
        <f t="shared" si="30"/>
        <v>0</v>
      </c>
      <c r="O43" s="901">
        <f t="shared" si="31"/>
        <v>0</v>
      </c>
      <c r="P43" s="901">
        <f t="shared" si="32"/>
        <v>0</v>
      </c>
      <c r="Q43" s="901">
        <f t="shared" si="33"/>
        <v>0</v>
      </c>
      <c r="R43" s="901">
        <f t="shared" si="34"/>
        <v>0</v>
      </c>
      <c r="S43" s="901">
        <f t="shared" si="35"/>
        <v>0</v>
      </c>
    </row>
    <row r="44" spans="3:19">
      <c r="C44" s="55" t="s">
        <v>197</v>
      </c>
      <c r="D44" s="55" t="s">
        <v>198</v>
      </c>
      <c r="E44" s="899">
        <f t="shared" si="24"/>
        <v>0</v>
      </c>
      <c r="F44" s="900">
        <f t="shared" si="25"/>
        <v>0</v>
      </c>
      <c r="G44" s="900">
        <f t="shared" si="26"/>
        <v>0</v>
      </c>
      <c r="H44" s="901"/>
      <c r="I44" s="900">
        <f t="shared" si="27"/>
        <v>0</v>
      </c>
      <c r="J44" s="901"/>
      <c r="K44" s="901"/>
      <c r="L44" s="901">
        <f t="shared" si="28"/>
        <v>0</v>
      </c>
      <c r="M44" s="901">
        <f t="shared" si="29"/>
        <v>0</v>
      </c>
      <c r="N44" s="901">
        <f t="shared" si="30"/>
        <v>0</v>
      </c>
      <c r="O44" s="901">
        <f t="shared" si="31"/>
        <v>0</v>
      </c>
      <c r="P44" s="901">
        <f t="shared" si="32"/>
        <v>0</v>
      </c>
      <c r="Q44" s="901">
        <f t="shared" si="33"/>
        <v>0</v>
      </c>
      <c r="R44" s="901">
        <f t="shared" si="34"/>
        <v>0</v>
      </c>
      <c r="S44" s="901">
        <f t="shared" si="35"/>
        <v>0</v>
      </c>
    </row>
    <row r="45" spans="3:19">
      <c r="C45" s="55" t="s">
        <v>199</v>
      </c>
      <c r="D45" s="55" t="s">
        <v>200</v>
      </c>
      <c r="E45" s="899">
        <f t="shared" si="24"/>
        <v>0</v>
      </c>
      <c r="F45" s="900">
        <f t="shared" si="25"/>
        <v>0</v>
      </c>
      <c r="G45" s="900">
        <f t="shared" si="26"/>
        <v>0</v>
      </c>
      <c r="H45" s="901"/>
      <c r="I45" s="900">
        <f t="shared" si="27"/>
        <v>0</v>
      </c>
      <c r="J45" s="901"/>
      <c r="K45" s="901"/>
      <c r="L45" s="901">
        <f t="shared" si="28"/>
        <v>0</v>
      </c>
      <c r="M45" s="901">
        <f t="shared" si="29"/>
        <v>0</v>
      </c>
      <c r="N45" s="901">
        <f t="shared" si="30"/>
        <v>0</v>
      </c>
      <c r="O45" s="901">
        <f t="shared" si="31"/>
        <v>0</v>
      </c>
      <c r="P45" s="901">
        <f t="shared" si="32"/>
        <v>0</v>
      </c>
      <c r="Q45" s="901">
        <f t="shared" si="33"/>
        <v>0</v>
      </c>
      <c r="R45" s="901">
        <f t="shared" si="34"/>
        <v>0</v>
      </c>
      <c r="S45" s="901">
        <f t="shared" si="35"/>
        <v>0</v>
      </c>
    </row>
    <row r="46" spans="3:19">
      <c r="C46" s="55" t="s">
        <v>201</v>
      </c>
      <c r="D46" s="55" t="s">
        <v>202</v>
      </c>
      <c r="E46" s="899">
        <f t="shared" si="24"/>
        <v>0</v>
      </c>
      <c r="F46" s="900">
        <f t="shared" si="25"/>
        <v>0</v>
      </c>
      <c r="G46" s="900">
        <f t="shared" si="26"/>
        <v>0</v>
      </c>
      <c r="H46" s="901"/>
      <c r="I46" s="900">
        <f t="shared" si="27"/>
        <v>0</v>
      </c>
      <c r="J46" s="901"/>
      <c r="K46" s="901"/>
      <c r="L46" s="901">
        <f t="shared" si="28"/>
        <v>0</v>
      </c>
      <c r="M46" s="901">
        <f t="shared" si="29"/>
        <v>0</v>
      </c>
      <c r="N46" s="901">
        <f t="shared" si="30"/>
        <v>0</v>
      </c>
      <c r="O46" s="901">
        <f t="shared" si="31"/>
        <v>0</v>
      </c>
      <c r="P46" s="901">
        <f t="shared" si="32"/>
        <v>0</v>
      </c>
      <c r="Q46" s="901">
        <f t="shared" si="33"/>
        <v>0</v>
      </c>
      <c r="R46" s="901">
        <f t="shared" si="34"/>
        <v>0</v>
      </c>
      <c r="S46" s="901">
        <f t="shared" si="35"/>
        <v>0</v>
      </c>
    </row>
    <row r="47" spans="3:19">
      <c r="C47" s="55" t="s">
        <v>203</v>
      </c>
      <c r="D47" s="55" t="s">
        <v>204</v>
      </c>
      <c r="E47" s="899">
        <f t="shared" si="24"/>
        <v>0</v>
      </c>
      <c r="F47" s="900">
        <f t="shared" si="25"/>
        <v>0</v>
      </c>
      <c r="G47" s="900">
        <f t="shared" si="26"/>
        <v>0</v>
      </c>
      <c r="H47" s="901"/>
      <c r="I47" s="900">
        <f t="shared" si="27"/>
        <v>0</v>
      </c>
      <c r="J47" s="901"/>
      <c r="K47" s="901"/>
      <c r="L47" s="901">
        <f t="shared" si="28"/>
        <v>0</v>
      </c>
      <c r="M47" s="901">
        <f t="shared" si="29"/>
        <v>0</v>
      </c>
      <c r="N47" s="901">
        <f t="shared" si="30"/>
        <v>0</v>
      </c>
      <c r="O47" s="901">
        <f t="shared" si="31"/>
        <v>0</v>
      </c>
      <c r="P47" s="901">
        <f t="shared" si="32"/>
        <v>0</v>
      </c>
      <c r="Q47" s="901">
        <f t="shared" si="33"/>
        <v>0</v>
      </c>
      <c r="R47" s="901">
        <f t="shared" si="34"/>
        <v>0</v>
      </c>
      <c r="S47" s="901">
        <f t="shared" si="35"/>
        <v>0</v>
      </c>
    </row>
    <row r="48" spans="3:19">
      <c r="C48" s="55" t="s">
        <v>269</v>
      </c>
      <c r="D48" s="55" t="s">
        <v>229</v>
      </c>
      <c r="E48" s="899">
        <v>0</v>
      </c>
      <c r="F48" s="900">
        <v>0</v>
      </c>
      <c r="G48" s="900">
        <v>0</v>
      </c>
      <c r="H48" s="901"/>
      <c r="I48" s="900">
        <v>0</v>
      </c>
      <c r="J48" s="901"/>
      <c r="K48" s="901"/>
      <c r="L48" s="901">
        <v>0</v>
      </c>
      <c r="M48" s="901">
        <v>0</v>
      </c>
      <c r="N48" s="901">
        <v>0</v>
      </c>
      <c r="O48" s="901">
        <v>0</v>
      </c>
      <c r="P48" s="901">
        <v>0</v>
      </c>
      <c r="Q48" s="901">
        <v>0</v>
      </c>
      <c r="R48" s="901">
        <v>0</v>
      </c>
      <c r="S48" s="901">
        <v>0</v>
      </c>
    </row>
    <row r="49" spans="3:19">
      <c r="C49" s="55" t="s">
        <v>205</v>
      </c>
      <c r="D49" s="55" t="s">
        <v>206</v>
      </c>
      <c r="E49" s="899">
        <f>Q125</f>
        <v>0</v>
      </c>
      <c r="F49" s="900">
        <f>Q199</f>
        <v>0</v>
      </c>
      <c r="G49" s="900">
        <f>Q272</f>
        <v>0</v>
      </c>
      <c r="H49" s="901"/>
      <c r="I49" s="900">
        <f>Q345</f>
        <v>0</v>
      </c>
      <c r="J49" s="901"/>
      <c r="K49" s="901"/>
      <c r="L49" s="901">
        <f>E420+F420+G420+H420+I420+J420</f>
        <v>0</v>
      </c>
      <c r="M49" s="901">
        <f>K420+L420+M420+N420+O420+P420</f>
        <v>0</v>
      </c>
      <c r="N49" s="901">
        <f>L49+M49</f>
        <v>0</v>
      </c>
      <c r="O49" s="901">
        <f>Q494</f>
        <v>0</v>
      </c>
      <c r="P49" s="901">
        <f>Q568</f>
        <v>0</v>
      </c>
      <c r="Q49" s="901">
        <f>Q642</f>
        <v>0</v>
      </c>
      <c r="R49" s="901">
        <f>Q716</f>
        <v>0</v>
      </c>
      <c r="S49" s="901">
        <f>Q790</f>
        <v>0</v>
      </c>
    </row>
    <row r="50" spans="3:19">
      <c r="C50" s="55" t="s">
        <v>231</v>
      </c>
      <c r="D50" s="55" t="s">
        <v>186</v>
      </c>
      <c r="E50" s="899">
        <f>Q126</f>
        <v>0</v>
      </c>
      <c r="F50" s="900">
        <f>Q200</f>
        <v>0</v>
      </c>
      <c r="G50" s="900">
        <f>Q273</f>
        <v>0</v>
      </c>
      <c r="H50" s="901"/>
      <c r="I50" s="900">
        <f>Q346</f>
        <v>0</v>
      </c>
      <c r="J50" s="901"/>
      <c r="K50" s="901"/>
      <c r="L50" s="901">
        <f>E421+F421+G421+H421+I421+J421</f>
        <v>0</v>
      </c>
      <c r="M50" s="901">
        <f>K421+L421+M421+N421+O421+P421</f>
        <v>0</v>
      </c>
      <c r="N50" s="901">
        <f>L50+M50</f>
        <v>0</v>
      </c>
      <c r="O50" s="901">
        <f>Q495</f>
        <v>0</v>
      </c>
      <c r="P50" s="901">
        <f>Q569</f>
        <v>0</v>
      </c>
      <c r="Q50" s="901">
        <f>Q643</f>
        <v>0</v>
      </c>
      <c r="R50" s="901">
        <f>Q717</f>
        <v>0</v>
      </c>
      <c r="S50" s="901">
        <f>Q791</f>
        <v>0</v>
      </c>
    </row>
    <row r="51" spans="3:19">
      <c r="C51" s="55" t="s">
        <v>208</v>
      </c>
      <c r="D51" s="55" t="s">
        <v>209</v>
      </c>
      <c r="E51" s="899">
        <f>Q127</f>
        <v>0</v>
      </c>
      <c r="F51" s="900">
        <f>Q201</f>
        <v>0</v>
      </c>
      <c r="G51" s="900">
        <f>Q274</f>
        <v>0</v>
      </c>
      <c r="H51" s="901"/>
      <c r="I51" s="900">
        <f>Q347</f>
        <v>0</v>
      </c>
      <c r="J51" s="901"/>
      <c r="K51" s="901"/>
      <c r="L51" s="901">
        <f>E422+F422+G422+H422+I422+J422</f>
        <v>0</v>
      </c>
      <c r="M51" s="901">
        <f>K422+L422+M422+N422+O422+P422</f>
        <v>0</v>
      </c>
      <c r="N51" s="901">
        <f>L51+M51</f>
        <v>0</v>
      </c>
      <c r="O51" s="901">
        <f>Q496</f>
        <v>0</v>
      </c>
      <c r="P51" s="901">
        <f>Q570</f>
        <v>0</v>
      </c>
      <c r="Q51" s="901">
        <f>Q644</f>
        <v>0</v>
      </c>
      <c r="R51" s="901">
        <f>Q718</f>
        <v>0</v>
      </c>
      <c r="S51" s="901">
        <f>Q792</f>
        <v>0</v>
      </c>
    </row>
    <row r="52" spans="3:19">
      <c r="C52" s="55" t="s">
        <v>210</v>
      </c>
      <c r="D52" s="55" t="s">
        <v>188</v>
      </c>
      <c r="E52" s="899">
        <f>Q128</f>
        <v>0</v>
      </c>
      <c r="F52" s="900">
        <f>Q202</f>
        <v>0</v>
      </c>
      <c r="G52" s="900">
        <f>Q275</f>
        <v>0</v>
      </c>
      <c r="H52" s="901"/>
      <c r="I52" s="900">
        <f>Q348</f>
        <v>0</v>
      </c>
      <c r="J52" s="901"/>
      <c r="K52" s="901"/>
      <c r="L52" s="901">
        <f>E423+F423+G423+H423+I423+J423</f>
        <v>0</v>
      </c>
      <c r="M52" s="901">
        <f>K423+L423+M423+N423+O423+P423</f>
        <v>0</v>
      </c>
      <c r="N52" s="901">
        <f>L52+M52</f>
        <v>0</v>
      </c>
      <c r="O52" s="901">
        <f>Q497</f>
        <v>0</v>
      </c>
      <c r="P52" s="901">
        <f>Q571</f>
        <v>0</v>
      </c>
      <c r="Q52" s="901">
        <f>Q645</f>
        <v>0</v>
      </c>
      <c r="R52" s="901">
        <f>Q719</f>
        <v>0</v>
      </c>
      <c r="S52" s="901">
        <f>Q793</f>
        <v>0</v>
      </c>
    </row>
    <row r="53" ht="15" spans="3:19">
      <c r="C53" s="55"/>
      <c r="D53" s="55"/>
      <c r="E53" s="902"/>
      <c r="F53" s="900"/>
      <c r="G53" s="900"/>
      <c r="H53" s="901"/>
      <c r="I53" s="900"/>
      <c r="J53" s="901"/>
      <c r="K53" s="901"/>
      <c r="L53" s="901"/>
      <c r="M53" s="901"/>
      <c r="N53" s="901"/>
      <c r="O53" s="901"/>
      <c r="P53" s="901"/>
      <c r="Q53" s="901"/>
      <c r="R53" s="901"/>
      <c r="S53" s="901"/>
    </row>
    <row r="54" ht="15" spans="3:19">
      <c r="C54" s="55"/>
      <c r="D54" s="55"/>
      <c r="E54" s="902"/>
      <c r="F54" s="900"/>
      <c r="G54" s="900"/>
      <c r="H54" s="901"/>
      <c r="I54" s="900"/>
      <c r="J54" s="901"/>
      <c r="K54" s="901"/>
      <c r="L54" s="901"/>
      <c r="M54" s="901"/>
      <c r="N54" s="901"/>
      <c r="O54" s="901"/>
      <c r="P54" s="901"/>
      <c r="Q54" s="901"/>
      <c r="R54" s="901"/>
      <c r="S54" s="901"/>
    </row>
    <row r="55" ht="15" spans="3:19">
      <c r="C55" s="55"/>
      <c r="D55" s="55"/>
      <c r="E55" s="902"/>
      <c r="F55" s="900"/>
      <c r="G55" s="900"/>
      <c r="H55" s="901"/>
      <c r="I55" s="900"/>
      <c r="J55" s="901"/>
      <c r="K55" s="901"/>
      <c r="L55" s="901"/>
      <c r="M55" s="901"/>
      <c r="N55" s="901"/>
      <c r="O55" s="901"/>
      <c r="P55" s="901"/>
      <c r="Q55" s="901"/>
      <c r="R55" s="901"/>
      <c r="S55" s="901"/>
    </row>
    <row r="56" ht="15" spans="3:19">
      <c r="C56" s="55"/>
      <c r="D56" s="55"/>
      <c r="E56" s="902"/>
      <c r="F56" s="900"/>
      <c r="G56" s="900"/>
      <c r="H56" s="901"/>
      <c r="I56" s="900"/>
      <c r="J56" s="901"/>
      <c r="K56" s="901"/>
      <c r="L56" s="901"/>
      <c r="M56" s="901"/>
      <c r="N56" s="901"/>
      <c r="O56" s="901"/>
      <c r="P56" s="901"/>
      <c r="Q56" s="901"/>
      <c r="R56" s="901"/>
      <c r="S56" s="901"/>
    </row>
    <row r="57" ht="15" spans="3:19">
      <c r="C57" s="537" t="s">
        <v>211</v>
      </c>
      <c r="D57" s="540"/>
      <c r="E57" s="903">
        <f>Q133</f>
        <v>0</v>
      </c>
      <c r="F57" s="903">
        <f>Q207</f>
        <v>0</v>
      </c>
      <c r="G57" s="903">
        <f>Q280</f>
        <v>0</v>
      </c>
      <c r="H57" s="903">
        <f>SUM(H41:H56)</f>
        <v>0</v>
      </c>
      <c r="I57" s="903">
        <f>Q353</f>
        <v>0</v>
      </c>
      <c r="J57" s="903">
        <f>I57-H57</f>
        <v>0</v>
      </c>
      <c r="K57" s="903">
        <f>SUM(K41:K56)</f>
        <v>0</v>
      </c>
      <c r="L57" s="903">
        <f>SUM(E428:J428)</f>
        <v>0</v>
      </c>
      <c r="M57" s="903">
        <f>SUM(K428:P428)</f>
        <v>0</v>
      </c>
      <c r="N57" s="903">
        <f>L57+M57</f>
        <v>0</v>
      </c>
      <c r="O57" s="903">
        <f>Q502</f>
        <v>0</v>
      </c>
      <c r="P57" s="903">
        <f>Q576</f>
        <v>0</v>
      </c>
      <c r="Q57" s="903">
        <f>Q650</f>
        <v>0</v>
      </c>
      <c r="R57" s="903">
        <f>Q724</f>
        <v>0</v>
      </c>
      <c r="S57" s="903">
        <f>Q798</f>
        <v>0</v>
      </c>
    </row>
    <row r="58" ht="15" spans="3:19">
      <c r="C58" s="44" t="s">
        <v>219</v>
      </c>
      <c r="D58" s="45"/>
      <c r="E58" s="902"/>
      <c r="F58" s="902"/>
      <c r="G58" s="902"/>
      <c r="H58" s="901"/>
      <c r="I58" s="901"/>
      <c r="J58" s="901"/>
      <c r="K58" s="901"/>
      <c r="L58" s="901"/>
      <c r="M58" s="901"/>
      <c r="N58" s="901"/>
      <c r="O58" s="901"/>
      <c r="P58" s="901"/>
      <c r="Q58" s="901"/>
      <c r="R58" s="901"/>
      <c r="S58" s="901"/>
    </row>
    <row r="59" spans="3:19">
      <c r="C59" s="55" t="s">
        <v>191</v>
      </c>
      <c r="D59" s="55" t="s">
        <v>192</v>
      </c>
      <c r="E59" s="899">
        <f t="shared" ref="E59:E71" si="36">Q135</f>
        <v>0</v>
      </c>
      <c r="F59" s="900">
        <f t="shared" ref="F59:F71" si="37">Q209</f>
        <v>0</v>
      </c>
      <c r="G59" s="900">
        <f>Q282</f>
        <v>0</v>
      </c>
      <c r="H59" s="901"/>
      <c r="I59" s="900">
        <f t="shared" ref="I59:I71" si="38">Q355</f>
        <v>0</v>
      </c>
      <c r="J59" s="901"/>
      <c r="K59" s="901"/>
      <c r="L59" s="901">
        <f t="shared" ref="L59:L71" si="39">E430+F430+G430+H430+I430+J430</f>
        <v>0</v>
      </c>
      <c r="M59" s="901">
        <f t="shared" ref="M59:M71" si="40">K430+L430+M430+N430+O430+P430</f>
        <v>0</v>
      </c>
      <c r="N59" s="901">
        <f t="shared" ref="N59:N71" si="41">L59+M59</f>
        <v>0</v>
      </c>
      <c r="O59" s="901">
        <f t="shared" ref="O59:O71" si="42">Q504</f>
        <v>0</v>
      </c>
      <c r="P59" s="901">
        <f t="shared" ref="P59:P71" si="43">Q578</f>
        <v>0</v>
      </c>
      <c r="Q59" s="901">
        <f t="shared" ref="Q59:Q71" si="44">Q652</f>
        <v>0</v>
      </c>
      <c r="R59" s="901">
        <f t="shared" ref="R59:R71" si="45">Q726</f>
        <v>0</v>
      </c>
      <c r="S59" s="901">
        <f t="shared" ref="S59:S71" si="46">Q800</f>
        <v>0</v>
      </c>
    </row>
    <row r="60" spans="3:19">
      <c r="C60" s="55" t="s">
        <v>193</v>
      </c>
      <c r="D60" s="55" t="s">
        <v>194</v>
      </c>
      <c r="E60" s="899">
        <f t="shared" si="36"/>
        <v>0</v>
      </c>
      <c r="F60" s="900">
        <f t="shared" si="37"/>
        <v>0</v>
      </c>
      <c r="G60" s="900">
        <f>Q283</f>
        <v>0</v>
      </c>
      <c r="H60" s="901"/>
      <c r="I60" s="900">
        <f t="shared" si="38"/>
        <v>0</v>
      </c>
      <c r="J60" s="901"/>
      <c r="K60" s="901"/>
      <c r="L60" s="901">
        <f t="shared" si="39"/>
        <v>0</v>
      </c>
      <c r="M60" s="901">
        <f t="shared" si="40"/>
        <v>0</v>
      </c>
      <c r="N60" s="901">
        <f t="shared" si="41"/>
        <v>0</v>
      </c>
      <c r="O60" s="901">
        <f t="shared" si="42"/>
        <v>0</v>
      </c>
      <c r="P60" s="901">
        <f t="shared" si="43"/>
        <v>0</v>
      </c>
      <c r="Q60" s="901">
        <f t="shared" si="44"/>
        <v>0</v>
      </c>
      <c r="R60" s="901">
        <f t="shared" si="45"/>
        <v>0</v>
      </c>
      <c r="S60" s="901">
        <f t="shared" si="46"/>
        <v>0</v>
      </c>
    </row>
    <row r="61" spans="3:19">
      <c r="C61" s="55" t="s">
        <v>239</v>
      </c>
      <c r="D61" s="55" t="s">
        <v>196</v>
      </c>
      <c r="E61" s="899">
        <f t="shared" si="36"/>
        <v>0</v>
      </c>
      <c r="F61" s="900">
        <f t="shared" si="37"/>
        <v>0</v>
      </c>
      <c r="G61" s="900">
        <f>Q284</f>
        <v>0</v>
      </c>
      <c r="H61" s="901"/>
      <c r="I61" s="900">
        <f t="shared" si="38"/>
        <v>0</v>
      </c>
      <c r="J61" s="901"/>
      <c r="K61" s="901"/>
      <c r="L61" s="901">
        <f t="shared" si="39"/>
        <v>0</v>
      </c>
      <c r="M61" s="901">
        <f t="shared" si="40"/>
        <v>0</v>
      </c>
      <c r="N61" s="901">
        <f t="shared" si="41"/>
        <v>0</v>
      </c>
      <c r="O61" s="901">
        <f t="shared" si="42"/>
        <v>0</v>
      </c>
      <c r="P61" s="901">
        <f t="shared" si="43"/>
        <v>0</v>
      </c>
      <c r="Q61" s="901">
        <f t="shared" si="44"/>
        <v>0</v>
      </c>
      <c r="R61" s="901">
        <f t="shared" si="45"/>
        <v>0</v>
      </c>
      <c r="S61" s="901">
        <f t="shared" si="46"/>
        <v>0</v>
      </c>
    </row>
    <row r="62" spans="3:19">
      <c r="C62" s="55" t="s">
        <v>197</v>
      </c>
      <c r="D62" s="55" t="s">
        <v>198</v>
      </c>
      <c r="E62" s="899">
        <f t="shared" si="36"/>
        <v>0</v>
      </c>
      <c r="F62" s="900">
        <f t="shared" si="37"/>
        <v>0</v>
      </c>
      <c r="G62" s="900">
        <f>Q285</f>
        <v>0</v>
      </c>
      <c r="H62" s="901"/>
      <c r="I62" s="900">
        <f t="shared" si="38"/>
        <v>0</v>
      </c>
      <c r="J62" s="901"/>
      <c r="K62" s="901"/>
      <c r="L62" s="901">
        <f t="shared" si="39"/>
        <v>0</v>
      </c>
      <c r="M62" s="901">
        <f t="shared" si="40"/>
        <v>0</v>
      </c>
      <c r="N62" s="901">
        <f t="shared" si="41"/>
        <v>0</v>
      </c>
      <c r="O62" s="901">
        <f t="shared" si="42"/>
        <v>0</v>
      </c>
      <c r="P62" s="901">
        <f t="shared" si="43"/>
        <v>0</v>
      </c>
      <c r="Q62" s="901">
        <f t="shared" si="44"/>
        <v>0</v>
      </c>
      <c r="R62" s="901">
        <f t="shared" si="45"/>
        <v>0</v>
      </c>
      <c r="S62" s="901">
        <f t="shared" si="46"/>
        <v>0</v>
      </c>
    </row>
    <row r="63" spans="3:19">
      <c r="C63" s="55" t="s">
        <v>199</v>
      </c>
      <c r="D63" s="55" t="s">
        <v>200</v>
      </c>
      <c r="E63" s="899">
        <f t="shared" si="36"/>
        <v>0</v>
      </c>
      <c r="F63" s="900">
        <f t="shared" si="37"/>
        <v>0</v>
      </c>
      <c r="G63" s="900">
        <f>Q285</f>
        <v>0</v>
      </c>
      <c r="H63" s="901"/>
      <c r="I63" s="900">
        <f t="shared" si="38"/>
        <v>0</v>
      </c>
      <c r="J63" s="901"/>
      <c r="K63" s="901"/>
      <c r="L63" s="901">
        <f t="shared" si="39"/>
        <v>0</v>
      </c>
      <c r="M63" s="901">
        <f t="shared" si="40"/>
        <v>0</v>
      </c>
      <c r="N63" s="901">
        <f t="shared" si="41"/>
        <v>0</v>
      </c>
      <c r="O63" s="901">
        <f t="shared" si="42"/>
        <v>0</v>
      </c>
      <c r="P63" s="901">
        <f t="shared" si="43"/>
        <v>0</v>
      </c>
      <c r="Q63" s="901">
        <f t="shared" si="44"/>
        <v>0</v>
      </c>
      <c r="R63" s="901">
        <f t="shared" si="45"/>
        <v>0</v>
      </c>
      <c r="S63" s="901">
        <f t="shared" si="46"/>
        <v>0</v>
      </c>
    </row>
    <row r="64" spans="3:19">
      <c r="C64" s="55" t="s">
        <v>201</v>
      </c>
      <c r="D64" s="55" t="s">
        <v>240</v>
      </c>
      <c r="E64" s="899">
        <f t="shared" si="36"/>
        <v>0</v>
      </c>
      <c r="F64" s="900">
        <f t="shared" si="37"/>
        <v>0</v>
      </c>
      <c r="G64" s="900">
        <f t="shared" ref="G64:G71" si="47">Q287</f>
        <v>0</v>
      </c>
      <c r="H64" s="901"/>
      <c r="I64" s="900">
        <f t="shared" si="38"/>
        <v>0</v>
      </c>
      <c r="J64" s="901"/>
      <c r="K64" s="901"/>
      <c r="L64" s="901">
        <f t="shared" si="39"/>
        <v>0</v>
      </c>
      <c r="M64" s="901">
        <f t="shared" si="40"/>
        <v>0</v>
      </c>
      <c r="N64" s="901">
        <f t="shared" si="41"/>
        <v>0</v>
      </c>
      <c r="O64" s="901">
        <f t="shared" si="42"/>
        <v>0</v>
      </c>
      <c r="P64" s="901">
        <f t="shared" si="43"/>
        <v>0</v>
      </c>
      <c r="Q64" s="901">
        <f t="shared" si="44"/>
        <v>0</v>
      </c>
      <c r="R64" s="901">
        <f t="shared" si="45"/>
        <v>0</v>
      </c>
      <c r="S64" s="901">
        <f t="shared" si="46"/>
        <v>0</v>
      </c>
    </row>
    <row r="65" spans="3:19">
      <c r="C65" s="55" t="s">
        <v>203</v>
      </c>
      <c r="D65" s="55" t="s">
        <v>220</v>
      </c>
      <c r="E65" s="899">
        <f t="shared" si="36"/>
        <v>0</v>
      </c>
      <c r="F65" s="900">
        <f t="shared" si="37"/>
        <v>0</v>
      </c>
      <c r="G65" s="900">
        <f t="shared" si="47"/>
        <v>0</v>
      </c>
      <c r="H65" s="901"/>
      <c r="I65" s="900">
        <f t="shared" si="38"/>
        <v>0</v>
      </c>
      <c r="J65" s="901"/>
      <c r="K65" s="901"/>
      <c r="L65" s="901">
        <f t="shared" si="39"/>
        <v>0</v>
      </c>
      <c r="M65" s="901">
        <f t="shared" si="40"/>
        <v>0</v>
      </c>
      <c r="N65" s="901">
        <f t="shared" si="41"/>
        <v>0</v>
      </c>
      <c r="O65" s="901">
        <f t="shared" si="42"/>
        <v>0</v>
      </c>
      <c r="P65" s="901">
        <f t="shared" si="43"/>
        <v>0</v>
      </c>
      <c r="Q65" s="901">
        <f t="shared" si="44"/>
        <v>0</v>
      </c>
      <c r="R65" s="901">
        <f t="shared" si="45"/>
        <v>0</v>
      </c>
      <c r="S65" s="901">
        <f t="shared" si="46"/>
        <v>0</v>
      </c>
    </row>
    <row r="66" spans="3:19">
      <c r="C66" s="55" t="s">
        <v>241</v>
      </c>
      <c r="D66" s="55" t="s">
        <v>229</v>
      </c>
      <c r="E66" s="899">
        <f t="shared" si="36"/>
        <v>0</v>
      </c>
      <c r="F66" s="900">
        <f t="shared" si="37"/>
        <v>0</v>
      </c>
      <c r="G66" s="900">
        <f t="shared" si="47"/>
        <v>0</v>
      </c>
      <c r="H66" s="901"/>
      <c r="I66" s="900">
        <f t="shared" si="38"/>
        <v>0</v>
      </c>
      <c r="J66" s="901"/>
      <c r="K66" s="901"/>
      <c r="L66" s="901">
        <f t="shared" si="39"/>
        <v>0</v>
      </c>
      <c r="M66" s="901">
        <f t="shared" si="40"/>
        <v>0</v>
      </c>
      <c r="N66" s="901">
        <f t="shared" si="41"/>
        <v>0</v>
      </c>
      <c r="O66" s="901">
        <f t="shared" si="42"/>
        <v>0</v>
      </c>
      <c r="P66" s="901">
        <f t="shared" si="43"/>
        <v>0</v>
      </c>
      <c r="Q66" s="901">
        <f t="shared" si="44"/>
        <v>0</v>
      </c>
      <c r="R66" s="901">
        <f t="shared" si="45"/>
        <v>0</v>
      </c>
      <c r="S66" s="901">
        <f t="shared" si="46"/>
        <v>0</v>
      </c>
    </row>
    <row r="67" spans="3:19">
      <c r="C67" s="55" t="s">
        <v>242</v>
      </c>
      <c r="D67" s="55" t="s">
        <v>243</v>
      </c>
      <c r="E67" s="899">
        <f t="shared" si="36"/>
        <v>0</v>
      </c>
      <c r="F67" s="900">
        <f t="shared" si="37"/>
        <v>0</v>
      </c>
      <c r="G67" s="900">
        <f t="shared" si="47"/>
        <v>0</v>
      </c>
      <c r="H67" s="901"/>
      <c r="I67" s="900">
        <f t="shared" si="38"/>
        <v>0</v>
      </c>
      <c r="J67" s="901"/>
      <c r="K67" s="901"/>
      <c r="L67" s="901">
        <f t="shared" si="39"/>
        <v>0</v>
      </c>
      <c r="M67" s="901">
        <f t="shared" si="40"/>
        <v>0</v>
      </c>
      <c r="N67" s="901">
        <f t="shared" si="41"/>
        <v>0</v>
      </c>
      <c r="O67" s="901">
        <f t="shared" si="42"/>
        <v>0</v>
      </c>
      <c r="P67" s="901">
        <f t="shared" si="43"/>
        <v>0</v>
      </c>
      <c r="Q67" s="901">
        <f t="shared" si="44"/>
        <v>0</v>
      </c>
      <c r="R67" s="901">
        <f t="shared" si="45"/>
        <v>0</v>
      </c>
      <c r="S67" s="901">
        <f t="shared" si="46"/>
        <v>0</v>
      </c>
    </row>
    <row r="68" spans="3:19">
      <c r="C68" s="55" t="s">
        <v>205</v>
      </c>
      <c r="D68" s="55" t="s">
        <v>206</v>
      </c>
      <c r="E68" s="899">
        <f t="shared" si="36"/>
        <v>0</v>
      </c>
      <c r="F68" s="900">
        <f t="shared" si="37"/>
        <v>0</v>
      </c>
      <c r="G68" s="900">
        <f t="shared" si="47"/>
        <v>0</v>
      </c>
      <c r="H68" s="901"/>
      <c r="I68" s="900">
        <f t="shared" si="38"/>
        <v>0</v>
      </c>
      <c r="J68" s="901"/>
      <c r="K68" s="901"/>
      <c r="L68" s="901">
        <f t="shared" si="39"/>
        <v>0</v>
      </c>
      <c r="M68" s="901">
        <f t="shared" si="40"/>
        <v>0</v>
      </c>
      <c r="N68" s="901">
        <f t="shared" si="41"/>
        <v>0</v>
      </c>
      <c r="O68" s="901">
        <f t="shared" si="42"/>
        <v>0</v>
      </c>
      <c r="P68" s="901">
        <f t="shared" si="43"/>
        <v>0</v>
      </c>
      <c r="Q68" s="901">
        <f t="shared" si="44"/>
        <v>0</v>
      </c>
      <c r="R68" s="901">
        <f t="shared" si="45"/>
        <v>0</v>
      </c>
      <c r="S68" s="901">
        <f t="shared" si="46"/>
        <v>0</v>
      </c>
    </row>
    <row r="69" spans="3:19">
      <c r="C69" s="55" t="s">
        <v>207</v>
      </c>
      <c r="D69" s="55" t="s">
        <v>186</v>
      </c>
      <c r="E69" s="899">
        <f t="shared" si="36"/>
        <v>0</v>
      </c>
      <c r="F69" s="900">
        <f t="shared" si="37"/>
        <v>0</v>
      </c>
      <c r="G69" s="900">
        <f t="shared" si="47"/>
        <v>0</v>
      </c>
      <c r="H69" s="901"/>
      <c r="I69" s="900">
        <f t="shared" si="38"/>
        <v>0</v>
      </c>
      <c r="J69" s="901"/>
      <c r="K69" s="901"/>
      <c r="L69" s="901">
        <f t="shared" si="39"/>
        <v>0</v>
      </c>
      <c r="M69" s="901">
        <f t="shared" si="40"/>
        <v>0</v>
      </c>
      <c r="N69" s="901">
        <f t="shared" si="41"/>
        <v>0</v>
      </c>
      <c r="O69" s="901">
        <f t="shared" si="42"/>
        <v>0</v>
      </c>
      <c r="P69" s="901">
        <f t="shared" si="43"/>
        <v>0</v>
      </c>
      <c r="Q69" s="901">
        <f t="shared" si="44"/>
        <v>0</v>
      </c>
      <c r="R69" s="901">
        <f t="shared" si="45"/>
        <v>0</v>
      </c>
      <c r="S69" s="901">
        <f t="shared" si="46"/>
        <v>0</v>
      </c>
    </row>
    <row r="70" spans="3:19">
      <c r="C70" s="55" t="s">
        <v>208</v>
      </c>
      <c r="D70" s="55" t="s">
        <v>209</v>
      </c>
      <c r="E70" s="899">
        <f t="shared" si="36"/>
        <v>0</v>
      </c>
      <c r="F70" s="900">
        <f t="shared" si="37"/>
        <v>0</v>
      </c>
      <c r="G70" s="900">
        <f t="shared" si="47"/>
        <v>0</v>
      </c>
      <c r="H70" s="901"/>
      <c r="I70" s="900">
        <f t="shared" si="38"/>
        <v>0</v>
      </c>
      <c r="J70" s="901"/>
      <c r="K70" s="901"/>
      <c r="L70" s="901">
        <f t="shared" si="39"/>
        <v>0</v>
      </c>
      <c r="M70" s="901">
        <f t="shared" si="40"/>
        <v>0</v>
      </c>
      <c r="N70" s="901">
        <f t="shared" si="41"/>
        <v>0</v>
      </c>
      <c r="O70" s="901">
        <f t="shared" si="42"/>
        <v>0</v>
      </c>
      <c r="P70" s="901">
        <f t="shared" si="43"/>
        <v>0</v>
      </c>
      <c r="Q70" s="901">
        <f t="shared" si="44"/>
        <v>0</v>
      </c>
      <c r="R70" s="901">
        <f t="shared" si="45"/>
        <v>0</v>
      </c>
      <c r="S70" s="901">
        <f t="shared" si="46"/>
        <v>0</v>
      </c>
    </row>
    <row r="71" spans="3:19">
      <c r="C71" s="55" t="s">
        <v>210</v>
      </c>
      <c r="D71" s="55" t="s">
        <v>188</v>
      </c>
      <c r="E71" s="899">
        <f t="shared" si="36"/>
        <v>0</v>
      </c>
      <c r="F71" s="900">
        <f t="shared" si="37"/>
        <v>0</v>
      </c>
      <c r="G71" s="900">
        <f t="shared" si="47"/>
        <v>0</v>
      </c>
      <c r="H71" s="901"/>
      <c r="I71" s="900">
        <f t="shared" si="38"/>
        <v>0</v>
      </c>
      <c r="J71" s="901"/>
      <c r="K71" s="901"/>
      <c r="L71" s="901">
        <f t="shared" si="39"/>
        <v>0</v>
      </c>
      <c r="M71" s="901">
        <f t="shared" si="40"/>
        <v>0</v>
      </c>
      <c r="N71" s="901">
        <f t="shared" si="41"/>
        <v>0</v>
      </c>
      <c r="O71" s="901">
        <f t="shared" si="42"/>
        <v>0</v>
      </c>
      <c r="P71" s="901">
        <f t="shared" si="43"/>
        <v>0</v>
      </c>
      <c r="Q71" s="901">
        <f t="shared" si="44"/>
        <v>0</v>
      </c>
      <c r="R71" s="901">
        <f t="shared" si="45"/>
        <v>0</v>
      </c>
      <c r="S71" s="901">
        <f t="shared" si="46"/>
        <v>0</v>
      </c>
    </row>
    <row r="72" ht="15" spans="3:19">
      <c r="C72" s="55"/>
      <c r="D72" s="55"/>
      <c r="E72" s="902"/>
      <c r="F72" s="900"/>
      <c r="G72" s="900"/>
      <c r="H72" s="901"/>
      <c r="I72" s="900"/>
      <c r="J72" s="901"/>
      <c r="K72" s="901"/>
      <c r="L72" s="901"/>
      <c r="M72" s="901"/>
      <c r="N72" s="901"/>
      <c r="O72" s="901"/>
      <c r="P72" s="901"/>
      <c r="Q72" s="901"/>
      <c r="R72" s="901"/>
      <c r="S72" s="901"/>
    </row>
    <row r="73" ht="15" spans="3:19">
      <c r="C73" s="55"/>
      <c r="D73" s="55"/>
      <c r="E73" s="902"/>
      <c r="F73" s="900"/>
      <c r="G73" s="900"/>
      <c r="H73" s="901"/>
      <c r="I73" s="900"/>
      <c r="J73" s="901"/>
      <c r="K73" s="901"/>
      <c r="L73" s="901"/>
      <c r="M73" s="901"/>
      <c r="N73" s="901"/>
      <c r="O73" s="901"/>
      <c r="P73" s="901"/>
      <c r="Q73" s="901"/>
      <c r="R73" s="901"/>
      <c r="S73" s="901"/>
    </row>
    <row r="74" ht="15" spans="3:19">
      <c r="C74" s="55"/>
      <c r="D74" s="55"/>
      <c r="E74" s="902"/>
      <c r="F74" s="900"/>
      <c r="G74" s="900"/>
      <c r="H74" s="901"/>
      <c r="I74" s="900"/>
      <c r="J74" s="901"/>
      <c r="K74" s="901"/>
      <c r="L74" s="901"/>
      <c r="M74" s="901"/>
      <c r="N74" s="901"/>
      <c r="O74" s="901"/>
      <c r="P74" s="901"/>
      <c r="Q74" s="901"/>
      <c r="R74" s="901"/>
      <c r="S74" s="901"/>
    </row>
    <row r="75" ht="15" spans="3:19">
      <c r="C75" s="55"/>
      <c r="D75" s="55"/>
      <c r="E75" s="902"/>
      <c r="F75" s="900"/>
      <c r="G75" s="900"/>
      <c r="H75" s="901"/>
      <c r="I75" s="900"/>
      <c r="J75" s="901"/>
      <c r="K75" s="901"/>
      <c r="L75" s="901"/>
      <c r="M75" s="901"/>
      <c r="N75" s="901"/>
      <c r="O75" s="901"/>
      <c r="P75" s="901"/>
      <c r="Q75" s="901"/>
      <c r="R75" s="901"/>
      <c r="S75" s="901"/>
    </row>
    <row r="76" ht="15" spans="3:19">
      <c r="C76" s="537" t="s">
        <v>211</v>
      </c>
      <c r="D76" s="540"/>
      <c r="E76" s="903">
        <f>Q152</f>
        <v>0</v>
      </c>
      <c r="F76" s="903">
        <f>Q225</f>
        <v>0</v>
      </c>
      <c r="G76" s="903">
        <f>Q299</f>
        <v>0</v>
      </c>
      <c r="H76" s="903">
        <f>SUM(H59:H75)</f>
        <v>0</v>
      </c>
      <c r="I76" s="903">
        <f>Q372</f>
        <v>0</v>
      </c>
      <c r="J76" s="903">
        <f>I76-H76</f>
        <v>0</v>
      </c>
      <c r="K76" s="903">
        <f>SUM(K59:K75)</f>
        <v>0</v>
      </c>
      <c r="L76" s="903">
        <f>SUM(E447:J447)</f>
        <v>0</v>
      </c>
      <c r="M76" s="903">
        <f>SUM(K447:P447)</f>
        <v>0</v>
      </c>
      <c r="N76" s="903">
        <f>L76+M76</f>
        <v>0</v>
      </c>
      <c r="O76" s="903">
        <f>Q521</f>
        <v>0</v>
      </c>
      <c r="P76" s="903">
        <f>Q595</f>
        <v>0</v>
      </c>
      <c r="Q76" s="903">
        <f>Q669</f>
        <v>0</v>
      </c>
      <c r="R76" s="903">
        <f>Q743</f>
        <v>0</v>
      </c>
      <c r="S76" s="903">
        <f>Q817</f>
        <v>0</v>
      </c>
    </row>
    <row r="77" ht="15" spans="3:19">
      <c r="C77" s="537" t="s">
        <v>223</v>
      </c>
      <c r="D77" s="540"/>
      <c r="E77" s="903">
        <f>Q153</f>
        <v>0</v>
      </c>
      <c r="F77" s="903">
        <f>Q226</f>
        <v>0</v>
      </c>
      <c r="G77" s="903">
        <f>Q300</f>
        <v>0</v>
      </c>
      <c r="H77" s="903">
        <f>SUM(H60:H76)</f>
        <v>0</v>
      </c>
      <c r="I77" s="903">
        <f>Q373</f>
        <v>0</v>
      </c>
      <c r="J77" s="903">
        <f>I77-H77</f>
        <v>0</v>
      </c>
      <c r="K77" s="903">
        <f>SUM(K60:K76)</f>
        <v>0</v>
      </c>
      <c r="L77" s="903">
        <f>SUM(E448:J448)</f>
        <v>0</v>
      </c>
      <c r="M77" s="903">
        <f>SUM(K448:P448)</f>
        <v>0</v>
      </c>
      <c r="N77" s="903">
        <f>L77+M77</f>
        <v>0</v>
      </c>
      <c r="O77" s="903">
        <f>Q522</f>
        <v>0</v>
      </c>
      <c r="P77" s="903">
        <f>Q596</f>
        <v>0</v>
      </c>
      <c r="Q77" s="903">
        <f>Q670</f>
        <v>0</v>
      </c>
      <c r="R77" s="903">
        <f>Q744</f>
        <v>0</v>
      </c>
      <c r="S77" s="903">
        <f>Q818</f>
        <v>0</v>
      </c>
    </row>
    <row r="78" ht="15" spans="3:19">
      <c r="C78" s="537" t="s">
        <v>224</v>
      </c>
      <c r="D78" s="540"/>
      <c r="E78" s="903">
        <f>Q154</f>
        <v>10811.7515050174</v>
      </c>
      <c r="F78" s="903">
        <f>Q227</f>
        <v>11722.1715773557</v>
      </c>
      <c r="G78" s="903">
        <f>Q301</f>
        <v>11694.8537815522</v>
      </c>
      <c r="H78" s="903">
        <f>SUM(H75:H77)</f>
        <v>0</v>
      </c>
      <c r="I78" s="903">
        <f>Q374</f>
        <v>12090.1421547067</v>
      </c>
      <c r="J78" s="903">
        <f>I78-H78</f>
        <v>12090.1421547067</v>
      </c>
      <c r="K78" s="903">
        <f>SUM(K75:K77)</f>
        <v>0</v>
      </c>
      <c r="L78" s="903">
        <f>SUM(E449:J449)</f>
        <v>6232.63362030742</v>
      </c>
      <c r="M78" s="903">
        <f>SUM(K449:P449)</f>
        <v>7169.20947951948</v>
      </c>
      <c r="N78" s="903">
        <f>L78+M78</f>
        <v>13401.8430998269</v>
      </c>
      <c r="O78" s="903">
        <f>Q523</f>
        <v>12090.1421547067</v>
      </c>
      <c r="P78" s="903">
        <f>Q597</f>
        <v>0</v>
      </c>
      <c r="Q78" s="903">
        <f>Q671</f>
        <v>0</v>
      </c>
      <c r="R78" s="903">
        <f>Q745</f>
        <v>0</v>
      </c>
      <c r="S78" s="903">
        <f>Q819</f>
        <v>0</v>
      </c>
    </row>
    <row r="79" spans="5:19">
      <c r="E79" s="906"/>
      <c r="F79" s="906"/>
      <c r="G79" s="906"/>
      <c r="H79" s="906"/>
      <c r="I79" s="906"/>
      <c r="J79" s="906"/>
      <c r="K79" s="906"/>
      <c r="L79" s="906"/>
      <c r="M79" s="906"/>
      <c r="N79" s="906"/>
      <c r="O79" s="906"/>
      <c r="P79" s="906"/>
      <c r="Q79" s="906"/>
      <c r="R79" s="906"/>
      <c r="S79" s="906"/>
    </row>
    <row r="80" spans="5:19">
      <c r="E80" s="906"/>
      <c r="F80" s="906"/>
      <c r="G80" s="906"/>
      <c r="H80" s="906"/>
      <c r="I80" s="906"/>
      <c r="J80" s="906"/>
      <c r="K80" s="906"/>
      <c r="L80" s="906"/>
      <c r="M80" s="906"/>
      <c r="N80" s="906"/>
      <c r="O80" s="906"/>
      <c r="P80" s="906"/>
      <c r="Q80" s="906"/>
      <c r="R80" s="906"/>
      <c r="S80" s="906"/>
    </row>
    <row r="81" ht="15" spans="3:19">
      <c r="C81" s="14" t="s">
        <v>244</v>
      </c>
      <c r="E81" s="906"/>
      <c r="F81" s="906"/>
      <c r="G81" s="906"/>
      <c r="H81" s="906"/>
      <c r="I81" s="906"/>
      <c r="J81" s="906"/>
      <c r="K81" s="906"/>
      <c r="L81" s="906"/>
      <c r="M81" s="906"/>
      <c r="N81" s="906"/>
      <c r="O81" s="906"/>
      <c r="P81" s="906"/>
      <c r="Q81" s="906"/>
      <c r="R81" s="906"/>
      <c r="S81" s="906"/>
    </row>
    <row r="82" ht="15" spans="3:19">
      <c r="C82" s="14"/>
      <c r="E82" s="906"/>
      <c r="F82" s="906"/>
      <c r="G82" s="906"/>
      <c r="H82" s="906"/>
      <c r="I82" s="906"/>
      <c r="J82" s="906"/>
      <c r="K82" s="906"/>
      <c r="L82" s="906"/>
      <c r="M82" s="906"/>
      <c r="N82" s="906"/>
      <c r="O82" s="906"/>
      <c r="P82" s="906"/>
      <c r="Q82" s="909" t="s">
        <v>236</v>
      </c>
      <c r="R82" s="906"/>
      <c r="S82" s="906"/>
    </row>
    <row r="83" ht="15" spans="3:19">
      <c r="C83" s="6" t="s">
        <v>159</v>
      </c>
      <c r="D83" s="6"/>
      <c r="E83" s="907" t="s">
        <v>245</v>
      </c>
      <c r="F83" s="907"/>
      <c r="G83" s="907"/>
      <c r="H83" s="907"/>
      <c r="I83" s="907"/>
      <c r="J83" s="907"/>
      <c r="K83" s="907"/>
      <c r="L83" s="907"/>
      <c r="M83" s="907"/>
      <c r="N83" s="907"/>
      <c r="O83" s="907"/>
      <c r="P83" s="907"/>
      <c r="Q83" s="907"/>
      <c r="R83" s="906"/>
      <c r="S83" s="906"/>
    </row>
    <row r="84" ht="15" spans="3:19">
      <c r="C84" s="6"/>
      <c r="D84" s="6"/>
      <c r="E84" s="907" t="s">
        <v>246</v>
      </c>
      <c r="F84" s="907" t="s">
        <v>247</v>
      </c>
      <c r="G84" s="907" t="s">
        <v>248</v>
      </c>
      <c r="H84" s="907" t="s">
        <v>249</v>
      </c>
      <c r="I84" s="907" t="s">
        <v>250</v>
      </c>
      <c r="J84" s="907" t="s">
        <v>251</v>
      </c>
      <c r="K84" s="907" t="s">
        <v>252</v>
      </c>
      <c r="L84" s="907" t="s">
        <v>253</v>
      </c>
      <c r="M84" s="907" t="s">
        <v>254</v>
      </c>
      <c r="N84" s="907" t="s">
        <v>255</v>
      </c>
      <c r="O84" s="907" t="s">
        <v>256</v>
      </c>
      <c r="P84" s="907" t="s">
        <v>257</v>
      </c>
      <c r="Q84" s="907" t="s">
        <v>97</v>
      </c>
      <c r="R84" s="906"/>
      <c r="S84" s="906"/>
    </row>
    <row r="85" ht="15" spans="3:19">
      <c r="C85" s="44" t="s">
        <v>170</v>
      </c>
      <c r="D85" s="45"/>
      <c r="E85" s="901"/>
      <c r="F85" s="901"/>
      <c r="G85" s="901"/>
      <c r="H85" s="901"/>
      <c r="I85" s="901"/>
      <c r="J85" s="901"/>
      <c r="K85" s="901"/>
      <c r="L85" s="901"/>
      <c r="M85" s="901"/>
      <c r="N85" s="901"/>
      <c r="O85" s="901"/>
      <c r="P85" s="901"/>
      <c r="Q85" s="910"/>
      <c r="R85" s="906"/>
      <c r="S85" s="906"/>
    </row>
    <row r="86" ht="15" spans="3:19">
      <c r="C86" s="47" t="s">
        <v>171</v>
      </c>
      <c r="D86" s="47" t="s">
        <v>172</v>
      </c>
      <c r="E86" s="901"/>
      <c r="F86" s="901"/>
      <c r="G86" s="901"/>
      <c r="H86" s="901"/>
      <c r="I86" s="901"/>
      <c r="J86" s="901"/>
      <c r="K86" s="901"/>
      <c r="L86" s="901"/>
      <c r="M86" s="901"/>
      <c r="N86" s="901"/>
      <c r="O86" s="901"/>
      <c r="P86" s="901"/>
      <c r="Q86" s="908">
        <f t="shared" ref="Q86:Q99" si="48">SUM(E86:P86)</f>
        <v>0</v>
      </c>
      <c r="R86" s="906"/>
      <c r="S86" s="906"/>
    </row>
    <row r="87" ht="15" spans="3:19">
      <c r="C87" s="55" t="s">
        <v>173</v>
      </c>
      <c r="D87" s="55" t="s">
        <v>174</v>
      </c>
      <c r="E87" s="901"/>
      <c r="F87" s="901"/>
      <c r="G87" s="901"/>
      <c r="H87" s="901"/>
      <c r="I87" s="901"/>
      <c r="J87" s="901"/>
      <c r="K87" s="901"/>
      <c r="L87" s="901"/>
      <c r="M87" s="901"/>
      <c r="N87" s="901"/>
      <c r="O87" s="901"/>
      <c r="P87" s="901"/>
      <c r="Q87" s="908">
        <f t="shared" si="48"/>
        <v>0</v>
      </c>
      <c r="R87" s="906"/>
      <c r="S87" s="906"/>
    </row>
    <row r="88" ht="15" spans="3:19">
      <c r="C88" s="55" t="s">
        <v>175</v>
      </c>
      <c r="D88" s="55" t="s">
        <v>176</v>
      </c>
      <c r="E88" s="901"/>
      <c r="F88" s="901"/>
      <c r="G88" s="901"/>
      <c r="H88" s="901"/>
      <c r="I88" s="901"/>
      <c r="J88" s="901"/>
      <c r="K88" s="901"/>
      <c r="L88" s="901"/>
      <c r="M88" s="901"/>
      <c r="N88" s="901"/>
      <c r="O88" s="901"/>
      <c r="P88" s="901"/>
      <c r="Q88" s="908">
        <f t="shared" si="48"/>
        <v>0</v>
      </c>
      <c r="R88" s="906"/>
      <c r="S88" s="906"/>
    </row>
    <row r="89" ht="15" spans="3:19">
      <c r="C89" s="55" t="s">
        <v>177</v>
      </c>
      <c r="D89" s="55" t="s">
        <v>178</v>
      </c>
      <c r="E89" s="901"/>
      <c r="F89" s="901"/>
      <c r="G89" s="901"/>
      <c r="H89" s="901"/>
      <c r="I89" s="901"/>
      <c r="J89" s="901"/>
      <c r="K89" s="901"/>
      <c r="L89" s="901"/>
      <c r="M89" s="901"/>
      <c r="N89" s="901"/>
      <c r="O89" s="901"/>
      <c r="P89" s="901"/>
      <c r="Q89" s="908">
        <f t="shared" si="48"/>
        <v>0</v>
      </c>
      <c r="R89" s="906"/>
      <c r="S89" s="906"/>
    </row>
    <row r="90" ht="15" spans="3:19">
      <c r="C90" s="55" t="s">
        <v>179</v>
      </c>
      <c r="D90" s="55" t="s">
        <v>180</v>
      </c>
      <c r="E90" s="901">
        <f>[10]Sales_SP!CG50</f>
        <v>802.377567767668</v>
      </c>
      <c r="F90" s="901">
        <f>[10]Sales_SP!CH50</f>
        <v>648.463570739027</v>
      </c>
      <c r="G90" s="901">
        <f>[10]Sales_SP!CI50</f>
        <v>572.828362114617</v>
      </c>
      <c r="H90" s="901">
        <f>[10]Sales_SP!CJ50</f>
        <v>775.777760796966</v>
      </c>
      <c r="I90" s="901">
        <f>[10]Sales_SP!CK50</f>
        <v>1062.65022473165</v>
      </c>
      <c r="J90" s="901">
        <f>[10]Sales_SP!CL50</f>
        <v>817.341928974418</v>
      </c>
      <c r="K90" s="901">
        <f>[10]Sales_SP!CM50</f>
        <v>677.255958547175</v>
      </c>
      <c r="L90" s="901">
        <f>[10]Sales_SP!CN50</f>
        <v>638.082519</v>
      </c>
      <c r="M90" s="901">
        <f>[10]Sales_SP!CO50</f>
        <v>1026.65</v>
      </c>
      <c r="N90" s="901">
        <f>[10]Sales_SP!CP50</f>
        <v>1220.51768290285</v>
      </c>
      <c r="O90" s="901">
        <f>[10]Sales_SP!CQ50</f>
        <v>1210.22</v>
      </c>
      <c r="P90" s="901">
        <f>[10]Sales_SP!CR50</f>
        <v>1359.58592944303</v>
      </c>
      <c r="Q90" s="908">
        <f t="shared" si="48"/>
        <v>10811.7515050174</v>
      </c>
      <c r="R90" s="906"/>
      <c r="S90" s="906"/>
    </row>
    <row r="91" ht="15" spans="3:19">
      <c r="C91" s="55" t="s">
        <v>181</v>
      </c>
      <c r="D91" s="55" t="s">
        <v>182</v>
      </c>
      <c r="E91" s="901"/>
      <c r="F91" s="901"/>
      <c r="G91" s="901"/>
      <c r="H91" s="901"/>
      <c r="I91" s="901"/>
      <c r="J91" s="901"/>
      <c r="K91" s="901"/>
      <c r="L91" s="901"/>
      <c r="M91" s="901"/>
      <c r="N91" s="901"/>
      <c r="O91" s="901"/>
      <c r="P91" s="901"/>
      <c r="Q91" s="908">
        <f t="shared" si="48"/>
        <v>0</v>
      </c>
      <c r="R91" s="906"/>
      <c r="S91" s="906"/>
    </row>
    <row r="92" ht="15" spans="3:19">
      <c r="C92" s="55" t="s">
        <v>183</v>
      </c>
      <c r="D92" s="55" t="s">
        <v>184</v>
      </c>
      <c r="E92" s="901"/>
      <c r="F92" s="901"/>
      <c r="G92" s="901"/>
      <c r="H92" s="901"/>
      <c r="I92" s="901"/>
      <c r="J92" s="901"/>
      <c r="K92" s="901"/>
      <c r="L92" s="901"/>
      <c r="M92" s="901"/>
      <c r="N92" s="901"/>
      <c r="O92" s="901"/>
      <c r="P92" s="901"/>
      <c r="Q92" s="908">
        <f t="shared" si="48"/>
        <v>0</v>
      </c>
      <c r="R92" s="906"/>
      <c r="S92" s="906"/>
    </row>
    <row r="93" ht="15" spans="3:19">
      <c r="C93" s="55" t="s">
        <v>185</v>
      </c>
      <c r="D93" s="55" t="s">
        <v>186</v>
      </c>
      <c r="E93" s="901"/>
      <c r="F93" s="901"/>
      <c r="G93" s="901"/>
      <c r="H93" s="901"/>
      <c r="I93" s="901"/>
      <c r="J93" s="901"/>
      <c r="K93" s="901"/>
      <c r="L93" s="901"/>
      <c r="M93" s="901"/>
      <c r="N93" s="901"/>
      <c r="O93" s="901"/>
      <c r="P93" s="901"/>
      <c r="Q93" s="908">
        <f t="shared" si="48"/>
        <v>0</v>
      </c>
      <c r="R93" s="906"/>
      <c r="S93" s="906"/>
    </row>
    <row r="94" ht="15" spans="3:19">
      <c r="C94" s="55" t="s">
        <v>187</v>
      </c>
      <c r="D94" s="55" t="s">
        <v>188</v>
      </c>
      <c r="E94" s="901"/>
      <c r="F94" s="901"/>
      <c r="G94" s="901"/>
      <c r="H94" s="901"/>
      <c r="I94" s="901"/>
      <c r="J94" s="901"/>
      <c r="K94" s="901"/>
      <c r="L94" s="901"/>
      <c r="M94" s="901"/>
      <c r="N94" s="901"/>
      <c r="O94" s="901"/>
      <c r="P94" s="901"/>
      <c r="Q94" s="908">
        <f t="shared" si="48"/>
        <v>0</v>
      </c>
      <c r="R94" s="906"/>
      <c r="S94" s="906"/>
    </row>
    <row r="95" ht="15" spans="3:19">
      <c r="C95" s="55"/>
      <c r="D95" s="55"/>
      <c r="E95" s="901"/>
      <c r="F95" s="901"/>
      <c r="G95" s="901"/>
      <c r="H95" s="901"/>
      <c r="I95" s="901"/>
      <c r="J95" s="901"/>
      <c r="K95" s="901"/>
      <c r="L95" s="901"/>
      <c r="M95" s="901"/>
      <c r="N95" s="901"/>
      <c r="O95" s="901"/>
      <c r="P95" s="901"/>
      <c r="Q95" s="908">
        <f t="shared" si="48"/>
        <v>0</v>
      </c>
      <c r="R95" s="906"/>
      <c r="S95" s="906"/>
    </row>
    <row r="96" ht="15" spans="3:19">
      <c r="C96" s="55"/>
      <c r="D96" s="55"/>
      <c r="E96" s="901"/>
      <c r="F96" s="901"/>
      <c r="G96" s="901"/>
      <c r="H96" s="901"/>
      <c r="I96" s="901"/>
      <c r="J96" s="901"/>
      <c r="K96" s="901"/>
      <c r="L96" s="901"/>
      <c r="M96" s="901"/>
      <c r="N96" s="901"/>
      <c r="O96" s="901"/>
      <c r="P96" s="901"/>
      <c r="Q96" s="908">
        <f t="shared" si="48"/>
        <v>0</v>
      </c>
      <c r="R96" s="906"/>
      <c r="S96" s="906"/>
    </row>
    <row r="97" ht="15" spans="3:19">
      <c r="C97" s="55"/>
      <c r="D97" s="55"/>
      <c r="E97" s="901"/>
      <c r="F97" s="901"/>
      <c r="G97" s="901"/>
      <c r="H97" s="901"/>
      <c r="I97" s="901"/>
      <c r="J97" s="901"/>
      <c r="K97" s="901"/>
      <c r="L97" s="901"/>
      <c r="M97" s="901"/>
      <c r="N97" s="901"/>
      <c r="O97" s="901"/>
      <c r="P97" s="901"/>
      <c r="Q97" s="908">
        <f t="shared" si="48"/>
        <v>0</v>
      </c>
      <c r="R97" s="906"/>
      <c r="S97" s="906"/>
    </row>
    <row r="98" ht="15" spans="3:19">
      <c r="C98" s="55" t="s">
        <v>258</v>
      </c>
      <c r="D98" s="55" t="s">
        <v>258</v>
      </c>
      <c r="E98" s="901"/>
      <c r="F98" s="901"/>
      <c r="G98" s="901"/>
      <c r="H98" s="901"/>
      <c r="I98" s="901"/>
      <c r="J98" s="901"/>
      <c r="K98" s="901"/>
      <c r="L98" s="901"/>
      <c r="M98" s="901"/>
      <c r="N98" s="901"/>
      <c r="O98" s="901"/>
      <c r="P98" s="901"/>
      <c r="Q98" s="908">
        <f t="shared" si="48"/>
        <v>0</v>
      </c>
      <c r="R98" s="906"/>
      <c r="S98" s="906"/>
    </row>
    <row r="99" ht="15" spans="3:19">
      <c r="C99" s="537" t="s">
        <v>189</v>
      </c>
      <c r="D99" s="540"/>
      <c r="E99" s="908">
        <f t="shared" ref="E99:P99" si="49">SUM(E86:E98)</f>
        <v>802.377567767668</v>
      </c>
      <c r="F99" s="908">
        <f t="shared" si="49"/>
        <v>648.463570739027</v>
      </c>
      <c r="G99" s="908">
        <f t="shared" si="49"/>
        <v>572.828362114617</v>
      </c>
      <c r="H99" s="908">
        <f t="shared" si="49"/>
        <v>775.777760796966</v>
      </c>
      <c r="I99" s="908">
        <f t="shared" si="49"/>
        <v>1062.65022473165</v>
      </c>
      <c r="J99" s="908">
        <f t="shared" si="49"/>
        <v>817.341928974418</v>
      </c>
      <c r="K99" s="908">
        <f t="shared" si="49"/>
        <v>677.255958547175</v>
      </c>
      <c r="L99" s="908">
        <f t="shared" si="49"/>
        <v>638.082519</v>
      </c>
      <c r="M99" s="908">
        <f t="shared" si="49"/>
        <v>1026.65</v>
      </c>
      <c r="N99" s="908">
        <f t="shared" si="49"/>
        <v>1220.51768290285</v>
      </c>
      <c r="O99" s="908">
        <f t="shared" si="49"/>
        <v>1210.22</v>
      </c>
      <c r="P99" s="908">
        <f t="shared" si="49"/>
        <v>1359.58592944303</v>
      </c>
      <c r="Q99" s="908">
        <f t="shared" si="48"/>
        <v>10811.7515050174</v>
      </c>
      <c r="R99" s="906"/>
      <c r="S99" s="906"/>
    </row>
    <row r="100" ht="15" spans="3:19">
      <c r="C100" s="44" t="s">
        <v>190</v>
      </c>
      <c r="D100" s="45"/>
      <c r="E100" s="901"/>
      <c r="F100" s="901"/>
      <c r="G100" s="901"/>
      <c r="H100" s="901"/>
      <c r="I100" s="901"/>
      <c r="J100" s="901"/>
      <c r="K100" s="901"/>
      <c r="L100" s="901"/>
      <c r="M100" s="901"/>
      <c r="N100" s="901"/>
      <c r="O100" s="901"/>
      <c r="P100" s="901"/>
      <c r="Q100" s="910"/>
      <c r="R100" s="906"/>
      <c r="S100" s="906"/>
    </row>
    <row r="101" ht="15" spans="3:19">
      <c r="C101" s="55" t="s">
        <v>191</v>
      </c>
      <c r="D101" s="55" t="s">
        <v>192</v>
      </c>
      <c r="E101" s="901"/>
      <c r="F101" s="901"/>
      <c r="G101" s="901"/>
      <c r="H101" s="901"/>
      <c r="I101" s="901"/>
      <c r="J101" s="901"/>
      <c r="K101" s="901"/>
      <c r="L101" s="901"/>
      <c r="M101" s="901"/>
      <c r="N101" s="901"/>
      <c r="O101" s="901"/>
      <c r="P101" s="901"/>
      <c r="Q101" s="908">
        <f t="shared" ref="Q101:Q116" si="50">SUM(E101:P101)</f>
        <v>0</v>
      </c>
      <c r="R101" s="906"/>
      <c r="S101" s="906"/>
    </row>
    <row r="102" ht="15" spans="3:19">
      <c r="C102" s="55" t="s">
        <v>193</v>
      </c>
      <c r="D102" s="55" t="s">
        <v>194</v>
      </c>
      <c r="E102" s="901"/>
      <c r="F102" s="901"/>
      <c r="G102" s="901"/>
      <c r="H102" s="901"/>
      <c r="I102" s="901"/>
      <c r="J102" s="901"/>
      <c r="K102" s="901"/>
      <c r="L102" s="901"/>
      <c r="M102" s="901"/>
      <c r="N102" s="901"/>
      <c r="O102" s="901"/>
      <c r="P102" s="901"/>
      <c r="Q102" s="908">
        <f t="shared" si="50"/>
        <v>0</v>
      </c>
      <c r="R102" s="906"/>
      <c r="S102" s="906"/>
    </row>
    <row r="103" ht="15" spans="3:19">
      <c r="C103" s="55" t="s">
        <v>239</v>
      </c>
      <c r="D103" s="55" t="s">
        <v>196</v>
      </c>
      <c r="E103" s="901"/>
      <c r="F103" s="901"/>
      <c r="G103" s="901"/>
      <c r="H103" s="901"/>
      <c r="I103" s="901"/>
      <c r="J103" s="901"/>
      <c r="K103" s="901"/>
      <c r="L103" s="901"/>
      <c r="M103" s="901"/>
      <c r="N103" s="901"/>
      <c r="O103" s="901"/>
      <c r="P103" s="901"/>
      <c r="Q103" s="908">
        <f t="shared" si="50"/>
        <v>0</v>
      </c>
      <c r="R103" s="906"/>
      <c r="S103" s="906"/>
    </row>
    <row r="104" ht="15" spans="3:19">
      <c r="C104" s="55" t="s">
        <v>197</v>
      </c>
      <c r="D104" s="55" t="s">
        <v>198</v>
      </c>
      <c r="E104" s="901"/>
      <c r="F104" s="901"/>
      <c r="G104" s="901"/>
      <c r="H104" s="901"/>
      <c r="I104" s="901"/>
      <c r="J104" s="901"/>
      <c r="K104" s="901"/>
      <c r="L104" s="901"/>
      <c r="M104" s="901"/>
      <c r="N104" s="901"/>
      <c r="O104" s="901"/>
      <c r="P104" s="901"/>
      <c r="Q104" s="908">
        <f t="shared" si="50"/>
        <v>0</v>
      </c>
      <c r="R104" s="906"/>
      <c r="S104" s="906"/>
    </row>
    <row r="105" ht="15" spans="3:19">
      <c r="C105" s="55" t="s">
        <v>199</v>
      </c>
      <c r="D105" s="55" t="s">
        <v>200</v>
      </c>
      <c r="E105" s="901"/>
      <c r="F105" s="901"/>
      <c r="G105" s="901"/>
      <c r="H105" s="901"/>
      <c r="I105" s="901"/>
      <c r="J105" s="901"/>
      <c r="K105" s="901"/>
      <c r="L105" s="901"/>
      <c r="M105" s="901"/>
      <c r="N105" s="901"/>
      <c r="O105" s="901"/>
      <c r="P105" s="901"/>
      <c r="Q105" s="908">
        <f t="shared" si="50"/>
        <v>0</v>
      </c>
      <c r="R105" s="906"/>
      <c r="S105" s="906"/>
    </row>
    <row r="106" ht="15" spans="3:19">
      <c r="C106" s="55" t="s">
        <v>201</v>
      </c>
      <c r="D106" s="55" t="s">
        <v>202</v>
      </c>
      <c r="E106" s="901"/>
      <c r="F106" s="901"/>
      <c r="G106" s="901"/>
      <c r="H106" s="901"/>
      <c r="I106" s="901"/>
      <c r="J106" s="901"/>
      <c r="K106" s="901"/>
      <c r="L106" s="901"/>
      <c r="M106" s="901"/>
      <c r="N106" s="901"/>
      <c r="O106" s="901"/>
      <c r="P106" s="901"/>
      <c r="Q106" s="908">
        <f t="shared" si="50"/>
        <v>0</v>
      </c>
      <c r="R106" s="906"/>
      <c r="S106" s="906"/>
    </row>
    <row r="107" ht="15" spans="3:19">
      <c r="C107" s="55" t="s">
        <v>203</v>
      </c>
      <c r="D107" s="55" t="s">
        <v>204</v>
      </c>
      <c r="E107" s="901"/>
      <c r="F107" s="901"/>
      <c r="G107" s="901"/>
      <c r="H107" s="901"/>
      <c r="I107" s="901"/>
      <c r="J107" s="901"/>
      <c r="K107" s="901"/>
      <c r="L107" s="901"/>
      <c r="M107" s="901"/>
      <c r="N107" s="901"/>
      <c r="O107" s="901"/>
      <c r="P107" s="901"/>
      <c r="Q107" s="908">
        <f t="shared" si="50"/>
        <v>0</v>
      </c>
      <c r="R107" s="906"/>
      <c r="S107" s="906"/>
    </row>
    <row r="108" ht="15" spans="3:19">
      <c r="C108" s="55" t="s">
        <v>205</v>
      </c>
      <c r="D108" s="55" t="s">
        <v>206</v>
      </c>
      <c r="E108" s="901"/>
      <c r="F108" s="901"/>
      <c r="G108" s="901"/>
      <c r="H108" s="901"/>
      <c r="I108" s="901"/>
      <c r="J108" s="901"/>
      <c r="K108" s="901"/>
      <c r="L108" s="901"/>
      <c r="M108" s="901"/>
      <c r="N108" s="901"/>
      <c r="O108" s="901"/>
      <c r="P108" s="901"/>
      <c r="Q108" s="908">
        <f t="shared" si="50"/>
        <v>0</v>
      </c>
      <c r="R108" s="906"/>
      <c r="S108" s="906"/>
    </row>
    <row r="109" ht="15" spans="3:19">
      <c r="C109" s="55" t="s">
        <v>207</v>
      </c>
      <c r="D109" s="55" t="s">
        <v>186</v>
      </c>
      <c r="E109" s="901"/>
      <c r="F109" s="901"/>
      <c r="G109" s="901"/>
      <c r="H109" s="901"/>
      <c r="I109" s="901"/>
      <c r="J109" s="901"/>
      <c r="K109" s="901"/>
      <c r="L109" s="901"/>
      <c r="M109" s="901"/>
      <c r="N109" s="901"/>
      <c r="O109" s="901"/>
      <c r="P109" s="901"/>
      <c r="Q109" s="908">
        <f t="shared" si="50"/>
        <v>0</v>
      </c>
      <c r="R109" s="906"/>
      <c r="S109" s="906"/>
    </row>
    <row r="110" ht="15" spans="3:19">
      <c r="C110" s="55" t="s">
        <v>208</v>
      </c>
      <c r="D110" s="55" t="s">
        <v>209</v>
      </c>
      <c r="E110" s="901"/>
      <c r="F110" s="901"/>
      <c r="G110" s="901"/>
      <c r="H110" s="901"/>
      <c r="I110" s="901"/>
      <c r="J110" s="901"/>
      <c r="K110" s="901"/>
      <c r="L110" s="901"/>
      <c r="M110" s="901"/>
      <c r="N110" s="901"/>
      <c r="O110" s="901"/>
      <c r="P110" s="901"/>
      <c r="Q110" s="908">
        <f t="shared" si="50"/>
        <v>0</v>
      </c>
      <c r="R110" s="906"/>
      <c r="S110" s="906"/>
    </row>
    <row r="111" ht="15" spans="3:19">
      <c r="C111" s="55" t="s">
        <v>210</v>
      </c>
      <c r="D111" s="55" t="s">
        <v>188</v>
      </c>
      <c r="E111" s="901"/>
      <c r="F111" s="901"/>
      <c r="G111" s="901"/>
      <c r="H111" s="901"/>
      <c r="I111" s="901"/>
      <c r="J111" s="901"/>
      <c r="K111" s="901"/>
      <c r="L111" s="901"/>
      <c r="M111" s="901"/>
      <c r="N111" s="901"/>
      <c r="O111" s="901"/>
      <c r="P111" s="901"/>
      <c r="Q111" s="908">
        <f t="shared" si="50"/>
        <v>0</v>
      </c>
      <c r="R111" s="906"/>
      <c r="S111" s="906"/>
    </row>
    <row r="112" ht="15" spans="3:19">
      <c r="C112" s="55"/>
      <c r="D112" s="55"/>
      <c r="E112" s="901"/>
      <c r="F112" s="901"/>
      <c r="G112" s="901"/>
      <c r="H112" s="901"/>
      <c r="I112" s="901"/>
      <c r="J112" s="901"/>
      <c r="K112" s="901"/>
      <c r="L112" s="901"/>
      <c r="M112" s="901"/>
      <c r="N112" s="901"/>
      <c r="O112" s="901"/>
      <c r="P112" s="901"/>
      <c r="Q112" s="908">
        <f t="shared" si="50"/>
        <v>0</v>
      </c>
      <c r="R112" s="906"/>
      <c r="S112" s="906"/>
    </row>
    <row r="113" ht="15" spans="3:19">
      <c r="C113" s="55"/>
      <c r="D113" s="55"/>
      <c r="E113" s="901"/>
      <c r="F113" s="901"/>
      <c r="G113" s="901"/>
      <c r="H113" s="901"/>
      <c r="I113" s="901"/>
      <c r="J113" s="901"/>
      <c r="K113" s="901"/>
      <c r="L113" s="901"/>
      <c r="M113" s="901"/>
      <c r="N113" s="901"/>
      <c r="O113" s="901"/>
      <c r="P113" s="901"/>
      <c r="Q113" s="908">
        <f t="shared" si="50"/>
        <v>0</v>
      </c>
      <c r="R113" s="906"/>
      <c r="S113" s="906"/>
    </row>
    <row r="114" ht="15" spans="3:19">
      <c r="C114" s="55"/>
      <c r="D114" s="55"/>
      <c r="E114" s="901"/>
      <c r="F114" s="901"/>
      <c r="G114" s="901"/>
      <c r="H114" s="901"/>
      <c r="I114" s="901"/>
      <c r="J114" s="901"/>
      <c r="K114" s="901"/>
      <c r="L114" s="901"/>
      <c r="M114" s="901"/>
      <c r="N114" s="901"/>
      <c r="O114" s="901"/>
      <c r="P114" s="901"/>
      <c r="Q114" s="908">
        <f t="shared" si="50"/>
        <v>0</v>
      </c>
      <c r="R114" s="906"/>
      <c r="S114" s="906"/>
    </row>
    <row r="115" ht="15" spans="3:19">
      <c r="C115" s="55" t="s">
        <v>258</v>
      </c>
      <c r="D115" s="55" t="s">
        <v>258</v>
      </c>
      <c r="E115" s="901"/>
      <c r="F115" s="901"/>
      <c r="G115" s="901"/>
      <c r="H115" s="901"/>
      <c r="I115" s="901"/>
      <c r="J115" s="901"/>
      <c r="K115" s="901"/>
      <c r="L115" s="901"/>
      <c r="M115" s="901"/>
      <c r="N115" s="901"/>
      <c r="O115" s="901"/>
      <c r="P115" s="901"/>
      <c r="Q115" s="908">
        <f t="shared" si="50"/>
        <v>0</v>
      </c>
      <c r="R115" s="906"/>
      <c r="S115" s="906"/>
    </row>
    <row r="116" ht="15" spans="3:19">
      <c r="C116" s="537" t="s">
        <v>211</v>
      </c>
      <c r="D116" s="540"/>
      <c r="E116" s="908">
        <f t="shared" ref="E116:P116" si="51">SUM(E101:E115)</f>
        <v>0</v>
      </c>
      <c r="F116" s="908">
        <f t="shared" si="51"/>
        <v>0</v>
      </c>
      <c r="G116" s="908">
        <f t="shared" si="51"/>
        <v>0</v>
      </c>
      <c r="H116" s="908">
        <f t="shared" si="51"/>
        <v>0</v>
      </c>
      <c r="I116" s="908">
        <f t="shared" si="51"/>
        <v>0</v>
      </c>
      <c r="J116" s="908">
        <f t="shared" si="51"/>
        <v>0</v>
      </c>
      <c r="K116" s="908">
        <f t="shared" si="51"/>
        <v>0</v>
      </c>
      <c r="L116" s="908">
        <f t="shared" si="51"/>
        <v>0</v>
      </c>
      <c r="M116" s="908">
        <f t="shared" si="51"/>
        <v>0</v>
      </c>
      <c r="N116" s="908">
        <f t="shared" si="51"/>
        <v>0</v>
      </c>
      <c r="O116" s="908">
        <f t="shared" si="51"/>
        <v>0</v>
      </c>
      <c r="P116" s="908">
        <f t="shared" si="51"/>
        <v>0</v>
      </c>
      <c r="Q116" s="908">
        <f t="shared" si="50"/>
        <v>0</v>
      </c>
      <c r="R116" s="906"/>
      <c r="S116" s="906"/>
    </row>
    <row r="117" ht="15" spans="3:19">
      <c r="C117" s="44" t="s">
        <v>212</v>
      </c>
      <c r="D117" s="45"/>
      <c r="E117" s="901"/>
      <c r="F117" s="901"/>
      <c r="G117" s="901"/>
      <c r="H117" s="901"/>
      <c r="I117" s="901"/>
      <c r="J117" s="901"/>
      <c r="K117" s="901"/>
      <c r="L117" s="901"/>
      <c r="M117" s="901"/>
      <c r="N117" s="901"/>
      <c r="O117" s="901"/>
      <c r="P117" s="901"/>
      <c r="Q117" s="910"/>
      <c r="R117" s="906"/>
      <c r="S117" s="906"/>
    </row>
    <row r="118" ht="15" spans="3:19">
      <c r="C118" s="55" t="s">
        <v>191</v>
      </c>
      <c r="D118" s="55" t="s">
        <v>192</v>
      </c>
      <c r="E118" s="901"/>
      <c r="F118" s="901"/>
      <c r="G118" s="901"/>
      <c r="H118" s="901"/>
      <c r="I118" s="901"/>
      <c r="J118" s="901"/>
      <c r="K118" s="901"/>
      <c r="L118" s="901"/>
      <c r="M118" s="901"/>
      <c r="N118" s="901"/>
      <c r="O118" s="901"/>
      <c r="P118" s="901"/>
      <c r="Q118" s="908">
        <f t="shared" ref="Q118:Q133" si="52">SUM(E118:P118)</f>
        <v>0</v>
      </c>
      <c r="R118" s="906"/>
      <c r="S118" s="906"/>
    </row>
    <row r="119" ht="15" spans="3:19">
      <c r="C119" s="55" t="s">
        <v>193</v>
      </c>
      <c r="D119" s="55" t="s">
        <v>194</v>
      </c>
      <c r="E119" s="901"/>
      <c r="F119" s="901"/>
      <c r="G119" s="901"/>
      <c r="H119" s="901"/>
      <c r="I119" s="901"/>
      <c r="J119" s="901"/>
      <c r="K119" s="901"/>
      <c r="L119" s="901"/>
      <c r="M119" s="901"/>
      <c r="N119" s="901"/>
      <c r="O119" s="901"/>
      <c r="P119" s="901"/>
      <c r="Q119" s="908">
        <f t="shared" si="52"/>
        <v>0</v>
      </c>
      <c r="R119" s="906"/>
      <c r="S119" s="906"/>
    </row>
    <row r="120" ht="15" spans="3:19">
      <c r="C120" s="55" t="s">
        <v>239</v>
      </c>
      <c r="D120" s="55" t="s">
        <v>196</v>
      </c>
      <c r="E120" s="901"/>
      <c r="F120" s="901"/>
      <c r="G120" s="901"/>
      <c r="H120" s="901"/>
      <c r="I120" s="901"/>
      <c r="J120" s="901"/>
      <c r="K120" s="901"/>
      <c r="L120" s="901"/>
      <c r="M120" s="901"/>
      <c r="N120" s="901"/>
      <c r="O120" s="901"/>
      <c r="P120" s="901"/>
      <c r="Q120" s="908">
        <f t="shared" si="52"/>
        <v>0</v>
      </c>
      <c r="R120" s="906"/>
      <c r="S120" s="906"/>
    </row>
    <row r="121" ht="15" spans="3:19">
      <c r="C121" s="55" t="s">
        <v>197</v>
      </c>
      <c r="D121" s="55" t="s">
        <v>198</v>
      </c>
      <c r="E121" s="901"/>
      <c r="F121" s="901"/>
      <c r="G121" s="901"/>
      <c r="H121" s="901"/>
      <c r="I121" s="901"/>
      <c r="J121" s="901"/>
      <c r="K121" s="901"/>
      <c r="L121" s="901"/>
      <c r="M121" s="901"/>
      <c r="N121" s="901"/>
      <c r="O121" s="901"/>
      <c r="P121" s="901"/>
      <c r="Q121" s="908">
        <f t="shared" si="52"/>
        <v>0</v>
      </c>
      <c r="R121" s="906"/>
      <c r="S121" s="906"/>
    </row>
    <row r="122" ht="15" spans="3:19">
      <c r="C122" s="55" t="s">
        <v>199</v>
      </c>
      <c r="D122" s="55" t="s">
        <v>200</v>
      </c>
      <c r="E122" s="901"/>
      <c r="F122" s="901"/>
      <c r="G122" s="901"/>
      <c r="H122" s="901"/>
      <c r="I122" s="901"/>
      <c r="J122" s="901"/>
      <c r="K122" s="901"/>
      <c r="L122" s="901"/>
      <c r="M122" s="901"/>
      <c r="N122" s="901"/>
      <c r="O122" s="901"/>
      <c r="P122" s="901"/>
      <c r="Q122" s="908">
        <f t="shared" si="52"/>
        <v>0</v>
      </c>
      <c r="R122" s="906"/>
      <c r="S122" s="906"/>
    </row>
    <row r="123" ht="15" spans="3:19">
      <c r="C123" s="55" t="s">
        <v>201</v>
      </c>
      <c r="D123" s="55" t="s">
        <v>202</v>
      </c>
      <c r="E123" s="901"/>
      <c r="F123" s="901"/>
      <c r="G123" s="901"/>
      <c r="H123" s="901"/>
      <c r="I123" s="901"/>
      <c r="J123" s="901"/>
      <c r="K123" s="901"/>
      <c r="L123" s="901"/>
      <c r="M123" s="901"/>
      <c r="N123" s="901"/>
      <c r="O123" s="901"/>
      <c r="P123" s="901"/>
      <c r="Q123" s="908">
        <f t="shared" si="52"/>
        <v>0</v>
      </c>
      <c r="R123" s="906"/>
      <c r="S123" s="906"/>
    </row>
    <row r="124" ht="15" spans="3:19">
      <c r="C124" s="55" t="s">
        <v>203</v>
      </c>
      <c r="D124" s="55" t="s">
        <v>204</v>
      </c>
      <c r="E124" s="901"/>
      <c r="F124" s="901"/>
      <c r="G124" s="901"/>
      <c r="H124" s="901"/>
      <c r="I124" s="901"/>
      <c r="J124" s="901"/>
      <c r="K124" s="901"/>
      <c r="L124" s="901"/>
      <c r="M124" s="901"/>
      <c r="N124" s="901"/>
      <c r="O124" s="901"/>
      <c r="P124" s="901"/>
      <c r="Q124" s="908">
        <f t="shared" si="52"/>
        <v>0</v>
      </c>
      <c r="R124" s="906"/>
      <c r="S124" s="906"/>
    </row>
    <row r="125" ht="15" spans="3:19">
      <c r="C125" s="55" t="s">
        <v>205</v>
      </c>
      <c r="D125" s="55" t="s">
        <v>206</v>
      </c>
      <c r="E125" s="901"/>
      <c r="F125" s="901"/>
      <c r="G125" s="901"/>
      <c r="H125" s="901"/>
      <c r="I125" s="901"/>
      <c r="J125" s="901"/>
      <c r="K125" s="901"/>
      <c r="L125" s="901"/>
      <c r="M125" s="901"/>
      <c r="N125" s="901"/>
      <c r="O125" s="901"/>
      <c r="P125" s="901"/>
      <c r="Q125" s="908">
        <f t="shared" si="52"/>
        <v>0</v>
      </c>
      <c r="R125" s="906"/>
      <c r="S125" s="906"/>
    </row>
    <row r="126" ht="15" spans="3:19">
      <c r="C126" s="55" t="s">
        <v>231</v>
      </c>
      <c r="D126" s="55" t="s">
        <v>186</v>
      </c>
      <c r="E126" s="901"/>
      <c r="F126" s="901"/>
      <c r="G126" s="901"/>
      <c r="H126" s="901"/>
      <c r="I126" s="901"/>
      <c r="J126" s="901"/>
      <c r="K126" s="901"/>
      <c r="L126" s="901"/>
      <c r="M126" s="901"/>
      <c r="N126" s="901"/>
      <c r="O126" s="901"/>
      <c r="P126" s="901"/>
      <c r="Q126" s="908">
        <f t="shared" si="52"/>
        <v>0</v>
      </c>
      <c r="R126" s="906"/>
      <c r="S126" s="906"/>
    </row>
    <row r="127" ht="15" spans="3:19">
      <c r="C127" s="55" t="s">
        <v>208</v>
      </c>
      <c r="D127" s="55" t="s">
        <v>209</v>
      </c>
      <c r="E127" s="901"/>
      <c r="F127" s="901"/>
      <c r="G127" s="901"/>
      <c r="H127" s="901"/>
      <c r="I127" s="901"/>
      <c r="J127" s="901"/>
      <c r="K127" s="901"/>
      <c r="L127" s="901"/>
      <c r="M127" s="901"/>
      <c r="N127" s="901"/>
      <c r="O127" s="901"/>
      <c r="P127" s="901"/>
      <c r="Q127" s="908">
        <f t="shared" si="52"/>
        <v>0</v>
      </c>
      <c r="R127" s="906"/>
      <c r="S127" s="906"/>
    </row>
    <row r="128" ht="15" spans="3:19">
      <c r="C128" s="55" t="s">
        <v>210</v>
      </c>
      <c r="D128" s="55" t="s">
        <v>188</v>
      </c>
      <c r="E128" s="901"/>
      <c r="F128" s="901"/>
      <c r="G128" s="901"/>
      <c r="H128" s="901"/>
      <c r="I128" s="901"/>
      <c r="J128" s="901"/>
      <c r="K128" s="901"/>
      <c r="L128" s="901"/>
      <c r="M128" s="901"/>
      <c r="N128" s="901"/>
      <c r="O128" s="901"/>
      <c r="P128" s="901"/>
      <c r="Q128" s="908">
        <f t="shared" si="52"/>
        <v>0</v>
      </c>
      <c r="R128" s="906"/>
      <c r="S128" s="906"/>
    </row>
    <row r="129" ht="15" spans="3:19">
      <c r="C129" s="55"/>
      <c r="D129" s="55"/>
      <c r="E129" s="901"/>
      <c r="F129" s="901"/>
      <c r="G129" s="901"/>
      <c r="H129" s="901"/>
      <c r="I129" s="901"/>
      <c r="J129" s="901"/>
      <c r="K129" s="901"/>
      <c r="L129" s="901"/>
      <c r="M129" s="901"/>
      <c r="N129" s="901"/>
      <c r="O129" s="901"/>
      <c r="P129" s="901"/>
      <c r="Q129" s="908">
        <f t="shared" si="52"/>
        <v>0</v>
      </c>
      <c r="R129" s="906"/>
      <c r="S129" s="906"/>
    </row>
    <row r="130" ht="15" spans="3:19">
      <c r="C130" s="55"/>
      <c r="D130" s="55"/>
      <c r="E130" s="901"/>
      <c r="F130" s="901"/>
      <c r="G130" s="901"/>
      <c r="H130" s="901"/>
      <c r="I130" s="901"/>
      <c r="J130" s="901"/>
      <c r="K130" s="901"/>
      <c r="L130" s="901"/>
      <c r="M130" s="901"/>
      <c r="N130" s="901"/>
      <c r="O130" s="901"/>
      <c r="P130" s="901"/>
      <c r="Q130" s="908">
        <f t="shared" si="52"/>
        <v>0</v>
      </c>
      <c r="R130" s="906"/>
      <c r="S130" s="906"/>
    </row>
    <row r="131" ht="15" spans="3:19">
      <c r="C131" s="55"/>
      <c r="D131" s="55"/>
      <c r="E131" s="901"/>
      <c r="F131" s="901"/>
      <c r="G131" s="901"/>
      <c r="H131" s="901"/>
      <c r="I131" s="901"/>
      <c r="J131" s="901"/>
      <c r="K131" s="901"/>
      <c r="L131" s="901"/>
      <c r="M131" s="901"/>
      <c r="N131" s="901"/>
      <c r="O131" s="901"/>
      <c r="P131" s="901"/>
      <c r="Q131" s="908">
        <f t="shared" si="52"/>
        <v>0</v>
      </c>
      <c r="R131" s="906"/>
      <c r="S131" s="906"/>
    </row>
    <row r="132" ht="15" spans="3:19">
      <c r="C132" s="55" t="s">
        <v>258</v>
      </c>
      <c r="D132" s="55" t="s">
        <v>258</v>
      </c>
      <c r="E132" s="901"/>
      <c r="F132" s="901"/>
      <c r="G132" s="901"/>
      <c r="H132" s="901"/>
      <c r="I132" s="901"/>
      <c r="J132" s="901"/>
      <c r="K132" s="901"/>
      <c r="L132" s="901"/>
      <c r="M132" s="901"/>
      <c r="N132" s="901"/>
      <c r="O132" s="901"/>
      <c r="P132" s="901"/>
      <c r="Q132" s="908">
        <f t="shared" si="52"/>
        <v>0</v>
      </c>
      <c r="R132" s="906"/>
      <c r="S132" s="906"/>
    </row>
    <row r="133" ht="15" spans="3:19">
      <c r="C133" s="537" t="s">
        <v>211</v>
      </c>
      <c r="D133" s="540"/>
      <c r="E133" s="908">
        <f t="shared" ref="E133:P133" si="53">SUM(E118:E132)</f>
        <v>0</v>
      </c>
      <c r="F133" s="908">
        <f t="shared" si="53"/>
        <v>0</v>
      </c>
      <c r="G133" s="908">
        <f t="shared" si="53"/>
        <v>0</v>
      </c>
      <c r="H133" s="908">
        <f t="shared" si="53"/>
        <v>0</v>
      </c>
      <c r="I133" s="908">
        <f t="shared" si="53"/>
        <v>0</v>
      </c>
      <c r="J133" s="908">
        <f t="shared" si="53"/>
        <v>0</v>
      </c>
      <c r="K133" s="908">
        <f t="shared" si="53"/>
        <v>0</v>
      </c>
      <c r="L133" s="908">
        <f t="shared" si="53"/>
        <v>0</v>
      </c>
      <c r="M133" s="908">
        <f t="shared" si="53"/>
        <v>0</v>
      </c>
      <c r="N133" s="908">
        <f t="shared" si="53"/>
        <v>0</v>
      </c>
      <c r="O133" s="908">
        <f t="shared" si="53"/>
        <v>0</v>
      </c>
      <c r="P133" s="908">
        <f t="shared" si="53"/>
        <v>0</v>
      </c>
      <c r="Q133" s="908">
        <f t="shared" si="52"/>
        <v>0</v>
      </c>
      <c r="R133" s="906"/>
      <c r="S133" s="906"/>
    </row>
    <row r="134" ht="15" spans="3:19">
      <c r="C134" s="44" t="s">
        <v>219</v>
      </c>
      <c r="D134" s="45"/>
      <c r="E134" s="901"/>
      <c r="F134" s="901"/>
      <c r="G134" s="901"/>
      <c r="H134" s="901"/>
      <c r="I134" s="901"/>
      <c r="J134" s="901"/>
      <c r="K134" s="901"/>
      <c r="L134" s="901"/>
      <c r="M134" s="901"/>
      <c r="N134" s="901"/>
      <c r="O134" s="901"/>
      <c r="P134" s="901"/>
      <c r="Q134" s="910"/>
      <c r="R134" s="906"/>
      <c r="S134" s="906"/>
    </row>
    <row r="135" ht="15" spans="3:19">
      <c r="C135" s="55" t="s">
        <v>191</v>
      </c>
      <c r="D135" s="55" t="s">
        <v>192</v>
      </c>
      <c r="E135" s="901"/>
      <c r="F135" s="901"/>
      <c r="G135" s="901"/>
      <c r="H135" s="901"/>
      <c r="I135" s="901"/>
      <c r="J135" s="901"/>
      <c r="K135" s="901"/>
      <c r="L135" s="901"/>
      <c r="M135" s="901"/>
      <c r="N135" s="901"/>
      <c r="O135" s="901"/>
      <c r="P135" s="901"/>
      <c r="Q135" s="908">
        <f t="shared" ref="Q135:Q154" si="54">SUM(E135:P135)</f>
        <v>0</v>
      </c>
      <c r="R135" s="906"/>
      <c r="S135" s="906"/>
    </row>
    <row r="136" ht="15" spans="3:19">
      <c r="C136" s="55" t="s">
        <v>193</v>
      </c>
      <c r="D136" s="55" t="s">
        <v>194</v>
      </c>
      <c r="E136" s="901"/>
      <c r="F136" s="901"/>
      <c r="G136" s="901"/>
      <c r="H136" s="901"/>
      <c r="I136" s="901"/>
      <c r="J136" s="901"/>
      <c r="K136" s="901"/>
      <c r="L136" s="901"/>
      <c r="M136" s="901"/>
      <c r="N136" s="901"/>
      <c r="O136" s="901"/>
      <c r="P136" s="901"/>
      <c r="Q136" s="908">
        <f t="shared" si="54"/>
        <v>0</v>
      </c>
      <c r="R136" s="906"/>
      <c r="S136" s="906"/>
    </row>
    <row r="137" ht="15" spans="3:19">
      <c r="C137" s="55" t="s">
        <v>239</v>
      </c>
      <c r="D137" s="55" t="s">
        <v>196</v>
      </c>
      <c r="E137" s="901"/>
      <c r="F137" s="901"/>
      <c r="G137" s="901"/>
      <c r="H137" s="901"/>
      <c r="I137" s="901"/>
      <c r="J137" s="901"/>
      <c r="K137" s="901"/>
      <c r="L137" s="901"/>
      <c r="M137" s="901"/>
      <c r="N137" s="901"/>
      <c r="O137" s="901"/>
      <c r="P137" s="901"/>
      <c r="Q137" s="908">
        <f t="shared" si="54"/>
        <v>0</v>
      </c>
      <c r="R137" s="906"/>
      <c r="S137" s="906"/>
    </row>
    <row r="138" ht="15" spans="3:19">
      <c r="C138" s="55" t="s">
        <v>197</v>
      </c>
      <c r="D138" s="55" t="s">
        <v>198</v>
      </c>
      <c r="E138" s="901"/>
      <c r="F138" s="901"/>
      <c r="G138" s="901"/>
      <c r="H138" s="901"/>
      <c r="I138" s="901"/>
      <c r="J138" s="901"/>
      <c r="K138" s="901"/>
      <c r="L138" s="901"/>
      <c r="M138" s="901"/>
      <c r="N138" s="901"/>
      <c r="O138" s="901"/>
      <c r="P138" s="901"/>
      <c r="Q138" s="908">
        <f t="shared" si="54"/>
        <v>0</v>
      </c>
      <c r="R138" s="906"/>
      <c r="S138" s="906"/>
    </row>
    <row r="139" ht="15" spans="3:19">
      <c r="C139" s="55" t="s">
        <v>199</v>
      </c>
      <c r="D139" s="55" t="s">
        <v>200</v>
      </c>
      <c r="E139" s="901"/>
      <c r="F139" s="901"/>
      <c r="G139" s="901"/>
      <c r="H139" s="901"/>
      <c r="I139" s="901"/>
      <c r="J139" s="901"/>
      <c r="K139" s="901"/>
      <c r="L139" s="901"/>
      <c r="M139" s="901"/>
      <c r="N139" s="901"/>
      <c r="O139" s="901"/>
      <c r="P139" s="901"/>
      <c r="Q139" s="908">
        <f t="shared" si="54"/>
        <v>0</v>
      </c>
      <c r="R139" s="906"/>
      <c r="S139" s="906"/>
    </row>
    <row r="140" ht="15" spans="3:19">
      <c r="C140" s="55" t="s">
        <v>201</v>
      </c>
      <c r="D140" s="55" t="s">
        <v>240</v>
      </c>
      <c r="E140" s="901"/>
      <c r="F140" s="901"/>
      <c r="G140" s="901"/>
      <c r="H140" s="901"/>
      <c r="I140" s="901"/>
      <c r="J140" s="901"/>
      <c r="K140" s="901"/>
      <c r="L140" s="901"/>
      <c r="M140" s="901"/>
      <c r="N140" s="901"/>
      <c r="O140" s="901"/>
      <c r="P140" s="901"/>
      <c r="Q140" s="908">
        <f t="shared" si="54"/>
        <v>0</v>
      </c>
      <c r="R140" s="906"/>
      <c r="S140" s="906"/>
    </row>
    <row r="141" ht="15" spans="3:19">
      <c r="C141" s="55" t="s">
        <v>203</v>
      </c>
      <c r="D141" s="55" t="s">
        <v>220</v>
      </c>
      <c r="E141" s="901"/>
      <c r="F141" s="901"/>
      <c r="G141" s="901"/>
      <c r="H141" s="901"/>
      <c r="I141" s="901"/>
      <c r="J141" s="901"/>
      <c r="K141" s="901"/>
      <c r="L141" s="901"/>
      <c r="M141" s="901"/>
      <c r="N141" s="901"/>
      <c r="O141" s="901"/>
      <c r="P141" s="901"/>
      <c r="Q141" s="908">
        <f t="shared" si="54"/>
        <v>0</v>
      </c>
      <c r="R141" s="906"/>
      <c r="S141" s="906"/>
    </row>
    <row r="142" ht="15" spans="3:19">
      <c r="C142" s="55" t="s">
        <v>241</v>
      </c>
      <c r="D142" s="55" t="s">
        <v>229</v>
      </c>
      <c r="E142" s="901"/>
      <c r="F142" s="901"/>
      <c r="G142" s="901"/>
      <c r="H142" s="901"/>
      <c r="I142" s="901"/>
      <c r="J142" s="901"/>
      <c r="K142" s="901"/>
      <c r="L142" s="901"/>
      <c r="M142" s="901"/>
      <c r="N142" s="901"/>
      <c r="O142" s="901"/>
      <c r="P142" s="901"/>
      <c r="Q142" s="908">
        <f t="shared" si="54"/>
        <v>0</v>
      </c>
      <c r="R142" s="906"/>
      <c r="S142" s="906"/>
    </row>
    <row r="143" ht="15" spans="3:19">
      <c r="C143" s="55" t="s">
        <v>259</v>
      </c>
      <c r="D143" s="55" t="s">
        <v>243</v>
      </c>
      <c r="E143" s="901"/>
      <c r="F143" s="901"/>
      <c r="G143" s="901"/>
      <c r="H143" s="901"/>
      <c r="I143" s="901"/>
      <c r="J143" s="901"/>
      <c r="K143" s="901"/>
      <c r="L143" s="901"/>
      <c r="M143" s="901"/>
      <c r="N143" s="901"/>
      <c r="O143" s="901"/>
      <c r="P143" s="901"/>
      <c r="Q143" s="908">
        <f t="shared" si="54"/>
        <v>0</v>
      </c>
      <c r="R143" s="906"/>
      <c r="S143" s="906"/>
    </row>
    <row r="144" ht="15" spans="3:19">
      <c r="C144" s="55" t="s">
        <v>205</v>
      </c>
      <c r="D144" s="55" t="s">
        <v>206</v>
      </c>
      <c r="E144" s="901"/>
      <c r="F144" s="901"/>
      <c r="G144" s="901"/>
      <c r="H144" s="901"/>
      <c r="I144" s="901"/>
      <c r="J144" s="901"/>
      <c r="K144" s="901"/>
      <c r="L144" s="901"/>
      <c r="M144" s="901"/>
      <c r="N144" s="901"/>
      <c r="O144" s="901"/>
      <c r="P144" s="901"/>
      <c r="Q144" s="908">
        <f t="shared" si="54"/>
        <v>0</v>
      </c>
      <c r="R144" s="906"/>
      <c r="S144" s="906"/>
    </row>
    <row r="145" ht="15" spans="3:19">
      <c r="C145" s="55" t="s">
        <v>207</v>
      </c>
      <c r="D145" s="55" t="s">
        <v>186</v>
      </c>
      <c r="E145" s="901"/>
      <c r="F145" s="901"/>
      <c r="G145" s="901"/>
      <c r="H145" s="901"/>
      <c r="I145" s="901"/>
      <c r="J145" s="901"/>
      <c r="K145" s="901"/>
      <c r="L145" s="901"/>
      <c r="M145" s="901"/>
      <c r="N145" s="901"/>
      <c r="O145" s="901"/>
      <c r="P145" s="901"/>
      <c r="Q145" s="908">
        <f t="shared" si="54"/>
        <v>0</v>
      </c>
      <c r="R145" s="906"/>
      <c r="S145" s="906"/>
    </row>
    <row r="146" ht="15" spans="3:19">
      <c r="C146" s="55" t="s">
        <v>208</v>
      </c>
      <c r="D146" s="55" t="s">
        <v>209</v>
      </c>
      <c r="E146" s="901"/>
      <c r="F146" s="901"/>
      <c r="G146" s="901"/>
      <c r="H146" s="901"/>
      <c r="I146" s="901"/>
      <c r="J146" s="901"/>
      <c r="K146" s="901"/>
      <c r="L146" s="901"/>
      <c r="M146" s="901"/>
      <c r="N146" s="901"/>
      <c r="O146" s="901"/>
      <c r="P146" s="901"/>
      <c r="Q146" s="908">
        <f t="shared" si="54"/>
        <v>0</v>
      </c>
      <c r="R146" s="906"/>
      <c r="S146" s="906"/>
    </row>
    <row r="147" ht="15" spans="3:19">
      <c r="C147" s="55" t="s">
        <v>210</v>
      </c>
      <c r="D147" s="55" t="s">
        <v>188</v>
      </c>
      <c r="E147" s="901"/>
      <c r="F147" s="901"/>
      <c r="G147" s="901"/>
      <c r="H147" s="901"/>
      <c r="I147" s="901"/>
      <c r="J147" s="901"/>
      <c r="K147" s="901"/>
      <c r="L147" s="901"/>
      <c r="M147" s="901"/>
      <c r="N147" s="901"/>
      <c r="O147" s="901"/>
      <c r="P147" s="901"/>
      <c r="Q147" s="908">
        <f t="shared" si="54"/>
        <v>0</v>
      </c>
      <c r="R147" s="906"/>
      <c r="S147" s="906"/>
    </row>
    <row r="148" ht="15" spans="3:19">
      <c r="C148" s="55"/>
      <c r="D148" s="55"/>
      <c r="E148" s="901"/>
      <c r="F148" s="901"/>
      <c r="G148" s="901"/>
      <c r="H148" s="901"/>
      <c r="I148" s="901"/>
      <c r="J148" s="901"/>
      <c r="K148" s="901"/>
      <c r="L148" s="901"/>
      <c r="M148" s="901"/>
      <c r="N148" s="901"/>
      <c r="O148" s="901"/>
      <c r="P148" s="901"/>
      <c r="Q148" s="908">
        <f t="shared" si="54"/>
        <v>0</v>
      </c>
      <c r="R148" s="906"/>
      <c r="S148" s="906"/>
    </row>
    <row r="149" ht="15" spans="3:19">
      <c r="C149" s="55"/>
      <c r="D149" s="55"/>
      <c r="E149" s="901"/>
      <c r="F149" s="901"/>
      <c r="G149" s="901"/>
      <c r="H149" s="901"/>
      <c r="I149" s="901"/>
      <c r="J149" s="901"/>
      <c r="K149" s="901"/>
      <c r="L149" s="901"/>
      <c r="M149" s="901"/>
      <c r="N149" s="901"/>
      <c r="O149" s="901"/>
      <c r="P149" s="901"/>
      <c r="Q149" s="908">
        <f t="shared" si="54"/>
        <v>0</v>
      </c>
      <c r="R149" s="906"/>
      <c r="S149" s="906"/>
    </row>
    <row r="150" ht="15" spans="3:19">
      <c r="C150" s="55"/>
      <c r="D150" s="55"/>
      <c r="E150" s="901"/>
      <c r="F150" s="901"/>
      <c r="G150" s="901"/>
      <c r="H150" s="901"/>
      <c r="I150" s="901"/>
      <c r="J150" s="901"/>
      <c r="K150" s="901"/>
      <c r="L150" s="901"/>
      <c r="M150" s="901"/>
      <c r="N150" s="901"/>
      <c r="O150" s="901"/>
      <c r="P150" s="901"/>
      <c r="Q150" s="908">
        <f t="shared" si="54"/>
        <v>0</v>
      </c>
      <c r="R150" s="906"/>
      <c r="S150" s="906"/>
    </row>
    <row r="151" ht="15" spans="3:19">
      <c r="C151" s="55" t="s">
        <v>258</v>
      </c>
      <c r="D151" s="55" t="s">
        <v>258</v>
      </c>
      <c r="E151" s="901"/>
      <c r="F151" s="901"/>
      <c r="G151" s="901"/>
      <c r="H151" s="901"/>
      <c r="I151" s="901"/>
      <c r="J151" s="901"/>
      <c r="K151" s="901"/>
      <c r="L151" s="901"/>
      <c r="M151" s="901"/>
      <c r="N151" s="901"/>
      <c r="O151" s="901"/>
      <c r="P151" s="901"/>
      <c r="Q151" s="908">
        <f t="shared" si="54"/>
        <v>0</v>
      </c>
      <c r="R151" s="906"/>
      <c r="S151" s="906"/>
    </row>
    <row r="152" ht="15" spans="3:19">
      <c r="C152" s="537" t="s">
        <v>211</v>
      </c>
      <c r="D152" s="540"/>
      <c r="E152" s="908">
        <f t="shared" ref="E152:P152" si="55">SUM(E135:E151)</f>
        <v>0</v>
      </c>
      <c r="F152" s="908">
        <f t="shared" si="55"/>
        <v>0</v>
      </c>
      <c r="G152" s="908">
        <f t="shared" si="55"/>
        <v>0</v>
      </c>
      <c r="H152" s="908">
        <f t="shared" si="55"/>
        <v>0</v>
      </c>
      <c r="I152" s="908">
        <f t="shared" si="55"/>
        <v>0</v>
      </c>
      <c r="J152" s="908">
        <f t="shared" si="55"/>
        <v>0</v>
      </c>
      <c r="K152" s="908">
        <f t="shared" si="55"/>
        <v>0</v>
      </c>
      <c r="L152" s="908">
        <f t="shared" si="55"/>
        <v>0</v>
      </c>
      <c r="M152" s="908">
        <f t="shared" si="55"/>
        <v>0</v>
      </c>
      <c r="N152" s="908">
        <f t="shared" si="55"/>
        <v>0</v>
      </c>
      <c r="O152" s="908">
        <f t="shared" si="55"/>
        <v>0</v>
      </c>
      <c r="P152" s="908">
        <f t="shared" si="55"/>
        <v>0</v>
      </c>
      <c r="Q152" s="908">
        <f t="shared" si="54"/>
        <v>0</v>
      </c>
      <c r="R152" s="906"/>
      <c r="S152" s="906"/>
    </row>
    <row r="153" ht="15" spans="3:19">
      <c r="C153" s="537" t="s">
        <v>223</v>
      </c>
      <c r="D153" s="540"/>
      <c r="E153" s="908">
        <f t="shared" ref="E153:P153" si="56">E116+E133+E152</f>
        <v>0</v>
      </c>
      <c r="F153" s="908">
        <f t="shared" si="56"/>
        <v>0</v>
      </c>
      <c r="G153" s="908">
        <f t="shared" si="56"/>
        <v>0</v>
      </c>
      <c r="H153" s="908">
        <f t="shared" si="56"/>
        <v>0</v>
      </c>
      <c r="I153" s="908">
        <f t="shared" si="56"/>
        <v>0</v>
      </c>
      <c r="J153" s="908">
        <f t="shared" si="56"/>
        <v>0</v>
      </c>
      <c r="K153" s="908">
        <f t="shared" si="56"/>
        <v>0</v>
      </c>
      <c r="L153" s="908">
        <f t="shared" si="56"/>
        <v>0</v>
      </c>
      <c r="M153" s="908">
        <f t="shared" si="56"/>
        <v>0</v>
      </c>
      <c r="N153" s="908">
        <f t="shared" si="56"/>
        <v>0</v>
      </c>
      <c r="O153" s="908">
        <f t="shared" si="56"/>
        <v>0</v>
      </c>
      <c r="P153" s="908">
        <f t="shared" si="56"/>
        <v>0</v>
      </c>
      <c r="Q153" s="908">
        <f t="shared" si="54"/>
        <v>0</v>
      </c>
      <c r="R153" s="906"/>
      <c r="S153" s="906"/>
    </row>
    <row r="154" ht="15" spans="3:19">
      <c r="C154" s="537" t="s">
        <v>224</v>
      </c>
      <c r="D154" s="540"/>
      <c r="E154" s="908">
        <f t="shared" ref="E154:P154" si="57">E153+E99</f>
        <v>802.377567767668</v>
      </c>
      <c r="F154" s="908">
        <f t="shared" si="57"/>
        <v>648.463570739027</v>
      </c>
      <c r="G154" s="908">
        <f t="shared" si="57"/>
        <v>572.828362114617</v>
      </c>
      <c r="H154" s="908">
        <f t="shared" si="57"/>
        <v>775.777760796966</v>
      </c>
      <c r="I154" s="908">
        <f t="shared" si="57"/>
        <v>1062.65022473165</v>
      </c>
      <c r="J154" s="908">
        <f t="shared" si="57"/>
        <v>817.341928974418</v>
      </c>
      <c r="K154" s="908">
        <f t="shared" si="57"/>
        <v>677.255958547175</v>
      </c>
      <c r="L154" s="908">
        <f t="shared" si="57"/>
        <v>638.082519</v>
      </c>
      <c r="M154" s="908">
        <f t="shared" si="57"/>
        <v>1026.65</v>
      </c>
      <c r="N154" s="908">
        <f t="shared" si="57"/>
        <v>1220.51768290285</v>
      </c>
      <c r="O154" s="908">
        <f t="shared" si="57"/>
        <v>1210.22</v>
      </c>
      <c r="P154" s="908">
        <f t="shared" si="57"/>
        <v>1359.58592944303</v>
      </c>
      <c r="Q154" s="908">
        <f t="shared" si="54"/>
        <v>10811.7515050174</v>
      </c>
      <c r="R154" s="906"/>
      <c r="S154" s="906"/>
    </row>
    <row r="155" ht="15" spans="3:19">
      <c r="C155" s="3"/>
      <c r="D155" s="3"/>
      <c r="E155" s="906"/>
      <c r="F155" s="906"/>
      <c r="G155" s="906"/>
      <c r="H155" s="906"/>
      <c r="I155" s="906"/>
      <c r="J155" s="906"/>
      <c r="K155" s="906"/>
      <c r="L155" s="906"/>
      <c r="M155" s="906"/>
      <c r="N155" s="906"/>
      <c r="O155" s="906"/>
      <c r="P155" s="906"/>
      <c r="Q155" s="906"/>
      <c r="R155" s="906"/>
      <c r="S155" s="906"/>
    </row>
    <row r="156" ht="15" spans="3:19">
      <c r="C156" s="14"/>
      <c r="E156" s="906"/>
      <c r="F156" s="906"/>
      <c r="G156" s="906"/>
      <c r="H156" s="906"/>
      <c r="I156" s="906"/>
      <c r="J156" s="906"/>
      <c r="K156" s="906"/>
      <c r="L156" s="906"/>
      <c r="M156" s="906"/>
      <c r="N156" s="906"/>
      <c r="O156" s="906"/>
      <c r="P156" s="906"/>
      <c r="Q156" s="909" t="s">
        <v>236</v>
      </c>
      <c r="R156" s="906"/>
      <c r="S156" s="906"/>
    </row>
    <row r="157" ht="15" spans="3:19">
      <c r="C157" s="6" t="s">
        <v>159</v>
      </c>
      <c r="D157" s="6"/>
      <c r="E157" s="907" t="s">
        <v>260</v>
      </c>
      <c r="F157" s="907"/>
      <c r="G157" s="907"/>
      <c r="H157" s="907"/>
      <c r="I157" s="907"/>
      <c r="J157" s="907"/>
      <c r="K157" s="907"/>
      <c r="L157" s="907"/>
      <c r="M157" s="907"/>
      <c r="N157" s="907"/>
      <c r="O157" s="907"/>
      <c r="P157" s="907"/>
      <c r="Q157" s="907"/>
      <c r="R157" s="906"/>
      <c r="S157" s="906"/>
    </row>
    <row r="158" ht="15" spans="3:19">
      <c r="C158" s="6"/>
      <c r="D158" s="6"/>
      <c r="E158" s="907" t="s">
        <v>246</v>
      </c>
      <c r="F158" s="907" t="s">
        <v>247</v>
      </c>
      <c r="G158" s="907" t="s">
        <v>248</v>
      </c>
      <c r="H158" s="907" t="s">
        <v>249</v>
      </c>
      <c r="I158" s="907" t="s">
        <v>250</v>
      </c>
      <c r="J158" s="907" t="s">
        <v>251</v>
      </c>
      <c r="K158" s="907" t="s">
        <v>252</v>
      </c>
      <c r="L158" s="907" t="s">
        <v>253</v>
      </c>
      <c r="M158" s="907" t="s">
        <v>254</v>
      </c>
      <c r="N158" s="907" t="s">
        <v>255</v>
      </c>
      <c r="O158" s="907" t="s">
        <v>256</v>
      </c>
      <c r="P158" s="907" t="s">
        <v>257</v>
      </c>
      <c r="Q158" s="907" t="s">
        <v>97</v>
      </c>
      <c r="R158" s="906"/>
      <c r="S158" s="906"/>
    </row>
    <row r="159" ht="15" spans="3:19">
      <c r="C159" s="44" t="s">
        <v>170</v>
      </c>
      <c r="D159" s="45"/>
      <c r="E159" s="901"/>
      <c r="F159" s="901"/>
      <c r="G159" s="901"/>
      <c r="H159" s="901"/>
      <c r="I159" s="901"/>
      <c r="J159" s="901"/>
      <c r="K159" s="901"/>
      <c r="L159" s="901"/>
      <c r="M159" s="901"/>
      <c r="N159" s="901"/>
      <c r="O159" s="901"/>
      <c r="P159" s="901"/>
      <c r="Q159" s="910"/>
      <c r="R159" s="906"/>
      <c r="S159" s="906"/>
    </row>
    <row r="160" ht="15" spans="3:19">
      <c r="C160" s="47" t="s">
        <v>171</v>
      </c>
      <c r="D160" s="47" t="s">
        <v>172</v>
      </c>
      <c r="E160" s="901"/>
      <c r="F160" s="901"/>
      <c r="G160" s="901"/>
      <c r="H160" s="901"/>
      <c r="I160" s="901"/>
      <c r="J160" s="901"/>
      <c r="K160" s="901"/>
      <c r="L160" s="901"/>
      <c r="M160" s="901"/>
      <c r="N160" s="901"/>
      <c r="O160" s="901"/>
      <c r="P160" s="901"/>
      <c r="Q160" s="908">
        <f t="shared" ref="Q160:Q173" si="58">SUM(E160:P160)</f>
        <v>0</v>
      </c>
      <c r="R160" s="906"/>
      <c r="S160" s="906"/>
    </row>
    <row r="161" ht="15" spans="3:19">
      <c r="C161" s="55" t="s">
        <v>173</v>
      </c>
      <c r="D161" s="55" t="s">
        <v>174</v>
      </c>
      <c r="E161" s="901"/>
      <c r="F161" s="901"/>
      <c r="G161" s="901"/>
      <c r="H161" s="901"/>
      <c r="I161" s="901"/>
      <c r="J161" s="901"/>
      <c r="K161" s="901"/>
      <c r="L161" s="901"/>
      <c r="M161" s="901"/>
      <c r="N161" s="901"/>
      <c r="O161" s="901"/>
      <c r="P161" s="901"/>
      <c r="Q161" s="908">
        <f t="shared" si="58"/>
        <v>0</v>
      </c>
      <c r="R161" s="906"/>
      <c r="S161" s="906"/>
    </row>
    <row r="162" ht="15" spans="3:19">
      <c r="C162" s="55" t="s">
        <v>175</v>
      </c>
      <c r="D162" s="55" t="s">
        <v>176</v>
      </c>
      <c r="E162" s="901"/>
      <c r="F162" s="901"/>
      <c r="G162" s="901"/>
      <c r="H162" s="901"/>
      <c r="I162" s="901"/>
      <c r="J162" s="901"/>
      <c r="K162" s="901"/>
      <c r="L162" s="901"/>
      <c r="M162" s="901"/>
      <c r="N162" s="901"/>
      <c r="O162" s="901"/>
      <c r="P162" s="901"/>
      <c r="Q162" s="908">
        <f t="shared" si="58"/>
        <v>0</v>
      </c>
      <c r="R162" s="906"/>
      <c r="S162" s="906"/>
    </row>
    <row r="163" ht="15" spans="3:19">
      <c r="C163" s="55" t="s">
        <v>177</v>
      </c>
      <c r="D163" s="55" t="s">
        <v>178</v>
      </c>
      <c r="E163" s="901"/>
      <c r="F163" s="901"/>
      <c r="G163" s="901"/>
      <c r="H163" s="901"/>
      <c r="I163" s="901"/>
      <c r="J163" s="901"/>
      <c r="K163" s="901"/>
      <c r="L163" s="901"/>
      <c r="M163" s="901"/>
      <c r="N163" s="901"/>
      <c r="O163" s="901"/>
      <c r="P163" s="901"/>
      <c r="Q163" s="908">
        <f t="shared" si="58"/>
        <v>0</v>
      </c>
      <c r="R163" s="906"/>
      <c r="S163" s="906"/>
    </row>
    <row r="164" ht="15" spans="3:19">
      <c r="C164" s="55" t="s">
        <v>179</v>
      </c>
      <c r="D164" s="55" t="s">
        <v>180</v>
      </c>
      <c r="E164" s="901">
        <f>[10]Sales_SP!CT50</f>
        <v>698.392580121226</v>
      </c>
      <c r="F164" s="901">
        <f>[10]Sales_SP!CU50</f>
        <v>649.929131899179</v>
      </c>
      <c r="G164" s="901">
        <f>[10]Sales_SP!CV50</f>
        <v>555.860327512743</v>
      </c>
      <c r="H164" s="901">
        <f>[10]Sales_SP!CW50</f>
        <v>1003.79557287347</v>
      </c>
      <c r="I164" s="901">
        <f>[10]Sales_SP!CX50</f>
        <v>935.45656875768</v>
      </c>
      <c r="J164" s="901">
        <f>[10]Sales_SP!CY50</f>
        <v>741.91</v>
      </c>
      <c r="K164" s="901">
        <f>[10]Sales_SP!CZ50</f>
        <v>611.16</v>
      </c>
      <c r="L164" s="901">
        <f>[10]Sales_SP!DA50</f>
        <v>503.074009414208</v>
      </c>
      <c r="M164" s="901">
        <f>[10]Sales_SP!DB50</f>
        <v>1078.51</v>
      </c>
      <c r="N164" s="901">
        <f>[10]Sales_SP!DC50</f>
        <v>1493.8831956607</v>
      </c>
      <c r="O164" s="901">
        <f>[10]Sales_SP!DD50</f>
        <v>1387.12311687039</v>
      </c>
      <c r="P164" s="901">
        <f>[10]Sales_SP!DE50</f>
        <v>2063.07707424606</v>
      </c>
      <c r="Q164" s="908">
        <f t="shared" si="58"/>
        <v>11722.1715773557</v>
      </c>
      <c r="R164" s="906"/>
      <c r="S164" s="906"/>
    </row>
    <row r="165" ht="15" spans="3:19">
      <c r="C165" s="55" t="s">
        <v>181</v>
      </c>
      <c r="D165" s="55" t="s">
        <v>182</v>
      </c>
      <c r="E165" s="901"/>
      <c r="F165" s="901"/>
      <c r="G165" s="901"/>
      <c r="H165" s="901"/>
      <c r="I165" s="901"/>
      <c r="J165" s="901"/>
      <c r="K165" s="901"/>
      <c r="L165" s="901"/>
      <c r="M165" s="901"/>
      <c r="N165" s="901"/>
      <c r="O165" s="901"/>
      <c r="P165" s="901"/>
      <c r="Q165" s="908">
        <f t="shared" si="58"/>
        <v>0</v>
      </c>
      <c r="R165" s="906"/>
      <c r="S165" s="906"/>
    </row>
    <row r="166" ht="15" spans="3:19">
      <c r="C166" s="55" t="s">
        <v>183</v>
      </c>
      <c r="D166" s="55" t="s">
        <v>184</v>
      </c>
      <c r="E166" s="901"/>
      <c r="F166" s="901"/>
      <c r="G166" s="901"/>
      <c r="H166" s="901"/>
      <c r="I166" s="901"/>
      <c r="J166" s="901"/>
      <c r="K166" s="901"/>
      <c r="L166" s="901"/>
      <c r="M166" s="901"/>
      <c r="N166" s="901"/>
      <c r="O166" s="901"/>
      <c r="P166" s="901"/>
      <c r="Q166" s="908">
        <f t="shared" si="58"/>
        <v>0</v>
      </c>
      <c r="R166" s="906"/>
      <c r="S166" s="906"/>
    </row>
    <row r="167" ht="15" spans="3:19">
      <c r="C167" s="55" t="s">
        <v>185</v>
      </c>
      <c r="D167" s="55" t="s">
        <v>186</v>
      </c>
      <c r="E167" s="901"/>
      <c r="F167" s="901"/>
      <c r="G167" s="901"/>
      <c r="H167" s="901"/>
      <c r="I167" s="901"/>
      <c r="J167" s="901"/>
      <c r="K167" s="901"/>
      <c r="L167" s="901"/>
      <c r="M167" s="901"/>
      <c r="N167" s="901"/>
      <c r="O167" s="901"/>
      <c r="P167" s="901"/>
      <c r="Q167" s="908">
        <f t="shared" si="58"/>
        <v>0</v>
      </c>
      <c r="R167" s="906"/>
      <c r="S167" s="906"/>
    </row>
    <row r="168" ht="15" spans="3:19">
      <c r="C168" s="55" t="s">
        <v>187</v>
      </c>
      <c r="D168" s="55" t="s">
        <v>188</v>
      </c>
      <c r="E168" s="901"/>
      <c r="F168" s="901"/>
      <c r="G168" s="901"/>
      <c r="H168" s="901"/>
      <c r="I168" s="901"/>
      <c r="J168" s="901"/>
      <c r="K168" s="901"/>
      <c r="L168" s="901"/>
      <c r="M168" s="901"/>
      <c r="N168" s="901"/>
      <c r="O168" s="901"/>
      <c r="P168" s="901"/>
      <c r="Q168" s="908">
        <f t="shared" si="58"/>
        <v>0</v>
      </c>
      <c r="R168" s="906"/>
      <c r="S168" s="906"/>
    </row>
    <row r="169" ht="15" spans="3:19">
      <c r="C169" s="55"/>
      <c r="D169" s="55"/>
      <c r="E169" s="901"/>
      <c r="F169" s="901"/>
      <c r="G169" s="901"/>
      <c r="H169" s="901"/>
      <c r="I169" s="901"/>
      <c r="J169" s="901"/>
      <c r="K169" s="901"/>
      <c r="L169" s="901"/>
      <c r="M169" s="901"/>
      <c r="N169" s="901"/>
      <c r="O169" s="901"/>
      <c r="P169" s="901"/>
      <c r="Q169" s="908">
        <f t="shared" si="58"/>
        <v>0</v>
      </c>
      <c r="R169" s="906"/>
      <c r="S169" s="906"/>
    </row>
    <row r="170" ht="15" spans="3:19">
      <c r="C170" s="55"/>
      <c r="D170" s="55"/>
      <c r="E170" s="901"/>
      <c r="F170" s="901"/>
      <c r="G170" s="901"/>
      <c r="H170" s="901"/>
      <c r="I170" s="901"/>
      <c r="J170" s="901"/>
      <c r="K170" s="901"/>
      <c r="L170" s="901"/>
      <c r="M170" s="901"/>
      <c r="N170" s="901"/>
      <c r="O170" s="901"/>
      <c r="P170" s="901"/>
      <c r="Q170" s="908">
        <f t="shared" si="58"/>
        <v>0</v>
      </c>
      <c r="R170" s="906"/>
      <c r="S170" s="906"/>
    </row>
    <row r="171" ht="15" spans="3:19">
      <c r="C171" s="55"/>
      <c r="D171" s="55"/>
      <c r="E171" s="901"/>
      <c r="F171" s="901"/>
      <c r="G171" s="901"/>
      <c r="H171" s="901"/>
      <c r="I171" s="901"/>
      <c r="J171" s="901"/>
      <c r="K171" s="901"/>
      <c r="L171" s="901"/>
      <c r="M171" s="901"/>
      <c r="N171" s="901"/>
      <c r="O171" s="901"/>
      <c r="P171" s="901"/>
      <c r="Q171" s="908">
        <f t="shared" si="58"/>
        <v>0</v>
      </c>
      <c r="R171" s="906"/>
      <c r="S171" s="906"/>
    </row>
    <row r="172" ht="15" spans="3:19">
      <c r="C172" s="55" t="s">
        <v>258</v>
      </c>
      <c r="D172" s="55" t="s">
        <v>258</v>
      </c>
      <c r="E172" s="901"/>
      <c r="F172" s="901"/>
      <c r="G172" s="901"/>
      <c r="H172" s="901"/>
      <c r="I172" s="901"/>
      <c r="J172" s="901"/>
      <c r="K172" s="901"/>
      <c r="L172" s="901"/>
      <c r="M172" s="901"/>
      <c r="N172" s="901"/>
      <c r="O172" s="901"/>
      <c r="P172" s="901"/>
      <c r="Q172" s="908">
        <f t="shared" si="58"/>
        <v>0</v>
      </c>
      <c r="R172" s="906"/>
      <c r="S172" s="906"/>
    </row>
    <row r="173" ht="15" spans="3:19">
      <c r="C173" s="537" t="s">
        <v>189</v>
      </c>
      <c r="D173" s="540"/>
      <c r="E173" s="908">
        <f t="shared" ref="E173:P173" si="59">SUM(E160:E172)</f>
        <v>698.392580121226</v>
      </c>
      <c r="F173" s="908">
        <f t="shared" si="59"/>
        <v>649.929131899179</v>
      </c>
      <c r="G173" s="908">
        <f t="shared" si="59"/>
        <v>555.860327512743</v>
      </c>
      <c r="H173" s="908">
        <f t="shared" si="59"/>
        <v>1003.79557287347</v>
      </c>
      <c r="I173" s="908">
        <f t="shared" si="59"/>
        <v>935.45656875768</v>
      </c>
      <c r="J173" s="908">
        <f t="shared" si="59"/>
        <v>741.91</v>
      </c>
      <c r="K173" s="908">
        <f t="shared" si="59"/>
        <v>611.16</v>
      </c>
      <c r="L173" s="908">
        <f t="shared" si="59"/>
        <v>503.074009414208</v>
      </c>
      <c r="M173" s="908">
        <f t="shared" si="59"/>
        <v>1078.51</v>
      </c>
      <c r="N173" s="908">
        <f t="shared" si="59"/>
        <v>1493.8831956607</v>
      </c>
      <c r="O173" s="908">
        <f t="shared" si="59"/>
        <v>1387.12311687039</v>
      </c>
      <c r="P173" s="908">
        <f t="shared" si="59"/>
        <v>2063.07707424606</v>
      </c>
      <c r="Q173" s="908">
        <f t="shared" si="58"/>
        <v>11722.1715773557</v>
      </c>
      <c r="R173" s="906"/>
      <c r="S173" s="906"/>
    </row>
    <row r="174" ht="15" spans="3:19">
      <c r="C174" s="44" t="s">
        <v>190</v>
      </c>
      <c r="D174" s="45"/>
      <c r="E174" s="901"/>
      <c r="F174" s="901"/>
      <c r="G174" s="901"/>
      <c r="H174" s="901"/>
      <c r="I174" s="901"/>
      <c r="J174" s="901"/>
      <c r="K174" s="901"/>
      <c r="L174" s="901"/>
      <c r="M174" s="901"/>
      <c r="N174" s="901"/>
      <c r="O174" s="901"/>
      <c r="P174" s="901"/>
      <c r="Q174" s="910"/>
      <c r="R174" s="906"/>
      <c r="S174" s="906"/>
    </row>
    <row r="175" ht="15" spans="3:19">
      <c r="C175" s="55" t="s">
        <v>191</v>
      </c>
      <c r="D175" s="55" t="s">
        <v>192</v>
      </c>
      <c r="E175" s="901"/>
      <c r="F175" s="901"/>
      <c r="G175" s="901"/>
      <c r="H175" s="901"/>
      <c r="I175" s="901"/>
      <c r="J175" s="901"/>
      <c r="K175" s="901"/>
      <c r="L175" s="901"/>
      <c r="M175" s="901"/>
      <c r="N175" s="901"/>
      <c r="O175" s="901"/>
      <c r="P175" s="901"/>
      <c r="Q175" s="908">
        <f t="shared" ref="Q175:Q190" si="60">SUM(E175:P175)</f>
        <v>0</v>
      </c>
      <c r="R175" s="906"/>
      <c r="S175" s="906"/>
    </row>
    <row r="176" ht="15" spans="3:19">
      <c r="C176" s="55" t="s">
        <v>193</v>
      </c>
      <c r="D176" s="55" t="s">
        <v>194</v>
      </c>
      <c r="E176" s="901"/>
      <c r="F176" s="901"/>
      <c r="G176" s="901"/>
      <c r="H176" s="901"/>
      <c r="I176" s="901"/>
      <c r="J176" s="901"/>
      <c r="K176" s="901"/>
      <c r="L176" s="901"/>
      <c r="M176" s="901"/>
      <c r="N176" s="901"/>
      <c r="O176" s="901"/>
      <c r="P176" s="901"/>
      <c r="Q176" s="908">
        <f t="shared" si="60"/>
        <v>0</v>
      </c>
      <c r="R176" s="906"/>
      <c r="S176" s="906"/>
    </row>
    <row r="177" ht="15" spans="3:19">
      <c r="C177" s="55" t="s">
        <v>239</v>
      </c>
      <c r="D177" s="55" t="s">
        <v>196</v>
      </c>
      <c r="E177" s="901"/>
      <c r="F177" s="901"/>
      <c r="G177" s="901"/>
      <c r="H177" s="901"/>
      <c r="I177" s="901"/>
      <c r="J177" s="901"/>
      <c r="K177" s="901"/>
      <c r="L177" s="901"/>
      <c r="M177" s="901"/>
      <c r="N177" s="901"/>
      <c r="O177" s="901"/>
      <c r="P177" s="901"/>
      <c r="Q177" s="908">
        <f t="shared" si="60"/>
        <v>0</v>
      </c>
      <c r="R177" s="906"/>
      <c r="S177" s="906"/>
    </row>
    <row r="178" ht="15" spans="3:19">
      <c r="C178" s="55" t="s">
        <v>197</v>
      </c>
      <c r="D178" s="55" t="s">
        <v>198</v>
      </c>
      <c r="E178" s="901"/>
      <c r="F178" s="901"/>
      <c r="G178" s="901"/>
      <c r="H178" s="901"/>
      <c r="I178" s="901"/>
      <c r="J178" s="901"/>
      <c r="K178" s="901"/>
      <c r="L178" s="901"/>
      <c r="M178" s="901"/>
      <c r="N178" s="901"/>
      <c r="O178" s="901"/>
      <c r="P178" s="901"/>
      <c r="Q178" s="908">
        <f t="shared" si="60"/>
        <v>0</v>
      </c>
      <c r="R178" s="906"/>
      <c r="S178" s="906"/>
    </row>
    <row r="179" ht="15" spans="3:19">
      <c r="C179" s="55" t="s">
        <v>199</v>
      </c>
      <c r="D179" s="55" t="s">
        <v>200</v>
      </c>
      <c r="E179" s="901"/>
      <c r="F179" s="901"/>
      <c r="G179" s="901"/>
      <c r="H179" s="901"/>
      <c r="I179" s="901"/>
      <c r="J179" s="901"/>
      <c r="K179" s="901"/>
      <c r="L179" s="901"/>
      <c r="M179" s="901"/>
      <c r="N179" s="901"/>
      <c r="O179" s="901"/>
      <c r="P179" s="901"/>
      <c r="Q179" s="908">
        <f t="shared" si="60"/>
        <v>0</v>
      </c>
      <c r="R179" s="906"/>
      <c r="S179" s="906"/>
    </row>
    <row r="180" ht="15" spans="3:19">
      <c r="C180" s="55" t="s">
        <v>201</v>
      </c>
      <c r="D180" s="55" t="s">
        <v>202</v>
      </c>
      <c r="E180" s="901"/>
      <c r="F180" s="901"/>
      <c r="G180" s="901"/>
      <c r="H180" s="901"/>
      <c r="I180" s="901"/>
      <c r="J180" s="901"/>
      <c r="K180" s="901"/>
      <c r="L180" s="901"/>
      <c r="M180" s="901"/>
      <c r="N180" s="901"/>
      <c r="O180" s="901"/>
      <c r="P180" s="901"/>
      <c r="Q180" s="908">
        <f t="shared" si="60"/>
        <v>0</v>
      </c>
      <c r="R180" s="906"/>
      <c r="S180" s="906"/>
    </row>
    <row r="181" ht="15" spans="3:19">
      <c r="C181" s="55" t="s">
        <v>203</v>
      </c>
      <c r="D181" s="55" t="s">
        <v>204</v>
      </c>
      <c r="E181" s="901"/>
      <c r="F181" s="901"/>
      <c r="G181" s="901"/>
      <c r="H181" s="901"/>
      <c r="I181" s="901"/>
      <c r="J181" s="901"/>
      <c r="K181" s="901"/>
      <c r="L181" s="901"/>
      <c r="M181" s="901"/>
      <c r="N181" s="901"/>
      <c r="O181" s="901"/>
      <c r="P181" s="901"/>
      <c r="Q181" s="908">
        <f t="shared" si="60"/>
        <v>0</v>
      </c>
      <c r="R181" s="906"/>
      <c r="S181" s="906"/>
    </row>
    <row r="182" ht="15" spans="3:19">
      <c r="C182" s="55" t="s">
        <v>205</v>
      </c>
      <c r="D182" s="55" t="s">
        <v>206</v>
      </c>
      <c r="E182" s="901"/>
      <c r="F182" s="901"/>
      <c r="G182" s="901"/>
      <c r="H182" s="901"/>
      <c r="I182" s="901"/>
      <c r="J182" s="901"/>
      <c r="K182" s="901"/>
      <c r="L182" s="901"/>
      <c r="M182" s="901"/>
      <c r="N182" s="901"/>
      <c r="O182" s="901"/>
      <c r="P182" s="901"/>
      <c r="Q182" s="908">
        <f t="shared" si="60"/>
        <v>0</v>
      </c>
      <c r="R182" s="906"/>
      <c r="S182" s="906"/>
    </row>
    <row r="183" ht="15" spans="3:19">
      <c r="C183" s="55" t="s">
        <v>207</v>
      </c>
      <c r="D183" s="55" t="s">
        <v>186</v>
      </c>
      <c r="E183" s="901"/>
      <c r="F183" s="901"/>
      <c r="G183" s="901"/>
      <c r="H183" s="901"/>
      <c r="I183" s="901"/>
      <c r="J183" s="901"/>
      <c r="K183" s="901"/>
      <c r="L183" s="901"/>
      <c r="M183" s="901"/>
      <c r="N183" s="901"/>
      <c r="O183" s="901"/>
      <c r="P183" s="901"/>
      <c r="Q183" s="908">
        <f t="shared" si="60"/>
        <v>0</v>
      </c>
      <c r="R183" s="906"/>
      <c r="S183" s="906"/>
    </row>
    <row r="184" ht="15" spans="3:19">
      <c r="C184" s="55" t="s">
        <v>208</v>
      </c>
      <c r="D184" s="55" t="s">
        <v>209</v>
      </c>
      <c r="E184" s="901"/>
      <c r="F184" s="901"/>
      <c r="G184" s="901"/>
      <c r="H184" s="901"/>
      <c r="I184" s="901"/>
      <c r="J184" s="901"/>
      <c r="K184" s="901"/>
      <c r="L184" s="901"/>
      <c r="M184" s="901"/>
      <c r="N184" s="901"/>
      <c r="O184" s="901"/>
      <c r="P184" s="901"/>
      <c r="Q184" s="908">
        <f t="shared" si="60"/>
        <v>0</v>
      </c>
      <c r="R184" s="906"/>
      <c r="S184" s="906"/>
    </row>
    <row r="185" ht="15" spans="3:19">
      <c r="C185" s="55" t="s">
        <v>210</v>
      </c>
      <c r="D185" s="55" t="s">
        <v>188</v>
      </c>
      <c r="E185" s="901"/>
      <c r="F185" s="901"/>
      <c r="G185" s="901"/>
      <c r="H185" s="901"/>
      <c r="I185" s="901"/>
      <c r="J185" s="901"/>
      <c r="K185" s="901"/>
      <c r="L185" s="901"/>
      <c r="M185" s="901"/>
      <c r="N185" s="901"/>
      <c r="O185" s="901"/>
      <c r="P185" s="901"/>
      <c r="Q185" s="908">
        <f t="shared" si="60"/>
        <v>0</v>
      </c>
      <c r="R185" s="906"/>
      <c r="S185" s="906"/>
    </row>
    <row r="186" ht="15" spans="3:19">
      <c r="C186" s="55"/>
      <c r="D186" s="55"/>
      <c r="E186" s="901"/>
      <c r="F186" s="901"/>
      <c r="G186" s="901"/>
      <c r="H186" s="901"/>
      <c r="I186" s="901"/>
      <c r="J186" s="901"/>
      <c r="K186" s="901"/>
      <c r="L186" s="901"/>
      <c r="M186" s="901"/>
      <c r="N186" s="901"/>
      <c r="O186" s="901"/>
      <c r="P186" s="901"/>
      <c r="Q186" s="908">
        <f t="shared" si="60"/>
        <v>0</v>
      </c>
      <c r="R186" s="906"/>
      <c r="S186" s="906"/>
    </row>
    <row r="187" ht="15" spans="3:19">
      <c r="C187" s="55"/>
      <c r="D187" s="55"/>
      <c r="E187" s="901"/>
      <c r="F187" s="901"/>
      <c r="G187" s="901"/>
      <c r="H187" s="901"/>
      <c r="I187" s="901"/>
      <c r="J187" s="901"/>
      <c r="K187" s="901"/>
      <c r="L187" s="901"/>
      <c r="M187" s="901"/>
      <c r="N187" s="901"/>
      <c r="O187" s="901"/>
      <c r="P187" s="901"/>
      <c r="Q187" s="908">
        <f t="shared" si="60"/>
        <v>0</v>
      </c>
      <c r="R187" s="906"/>
      <c r="S187" s="906"/>
    </row>
    <row r="188" ht="15" spans="3:19">
      <c r="C188" s="55"/>
      <c r="D188" s="55"/>
      <c r="E188" s="901"/>
      <c r="F188" s="901"/>
      <c r="G188" s="901"/>
      <c r="H188" s="901"/>
      <c r="I188" s="901"/>
      <c r="J188" s="901"/>
      <c r="K188" s="901"/>
      <c r="L188" s="901"/>
      <c r="M188" s="901"/>
      <c r="N188" s="901"/>
      <c r="O188" s="901"/>
      <c r="P188" s="901"/>
      <c r="Q188" s="908">
        <f t="shared" si="60"/>
        <v>0</v>
      </c>
      <c r="R188" s="906"/>
      <c r="S188" s="906"/>
    </row>
    <row r="189" ht="15" spans="3:19">
      <c r="C189" s="55" t="s">
        <v>258</v>
      </c>
      <c r="D189" s="55" t="s">
        <v>258</v>
      </c>
      <c r="E189" s="901"/>
      <c r="F189" s="901"/>
      <c r="G189" s="901"/>
      <c r="H189" s="901"/>
      <c r="I189" s="901"/>
      <c r="J189" s="901"/>
      <c r="K189" s="901"/>
      <c r="L189" s="901"/>
      <c r="M189" s="901"/>
      <c r="N189" s="901"/>
      <c r="O189" s="901"/>
      <c r="P189" s="901"/>
      <c r="Q189" s="908">
        <f t="shared" si="60"/>
        <v>0</v>
      </c>
      <c r="R189" s="906"/>
      <c r="S189" s="906"/>
    </row>
    <row r="190" ht="15" spans="3:19">
      <c r="C190" s="537" t="s">
        <v>211</v>
      </c>
      <c r="D190" s="540"/>
      <c r="E190" s="908">
        <f t="shared" ref="E190:P190" si="61">SUM(E175:E189)</f>
        <v>0</v>
      </c>
      <c r="F190" s="908">
        <f t="shared" si="61"/>
        <v>0</v>
      </c>
      <c r="G190" s="908">
        <f t="shared" si="61"/>
        <v>0</v>
      </c>
      <c r="H190" s="908">
        <f t="shared" si="61"/>
        <v>0</v>
      </c>
      <c r="I190" s="908">
        <f t="shared" si="61"/>
        <v>0</v>
      </c>
      <c r="J190" s="908">
        <f t="shared" si="61"/>
        <v>0</v>
      </c>
      <c r="K190" s="908">
        <f t="shared" si="61"/>
        <v>0</v>
      </c>
      <c r="L190" s="908">
        <f t="shared" si="61"/>
        <v>0</v>
      </c>
      <c r="M190" s="908">
        <f t="shared" si="61"/>
        <v>0</v>
      </c>
      <c r="N190" s="908">
        <f t="shared" si="61"/>
        <v>0</v>
      </c>
      <c r="O190" s="908">
        <f t="shared" si="61"/>
        <v>0</v>
      </c>
      <c r="P190" s="908">
        <f t="shared" si="61"/>
        <v>0</v>
      </c>
      <c r="Q190" s="908">
        <f t="shared" si="60"/>
        <v>0</v>
      </c>
      <c r="R190" s="906"/>
      <c r="S190" s="906"/>
    </row>
    <row r="191" ht="15" spans="3:19">
      <c r="C191" s="44" t="s">
        <v>212</v>
      </c>
      <c r="D191" s="45"/>
      <c r="E191" s="901"/>
      <c r="F191" s="901"/>
      <c r="G191" s="901"/>
      <c r="H191" s="901"/>
      <c r="I191" s="901"/>
      <c r="J191" s="901"/>
      <c r="K191" s="901"/>
      <c r="L191" s="901"/>
      <c r="M191" s="901"/>
      <c r="N191" s="901"/>
      <c r="O191" s="901"/>
      <c r="P191" s="901"/>
      <c r="Q191" s="910"/>
      <c r="R191" s="906"/>
      <c r="S191" s="906"/>
    </row>
    <row r="192" ht="15" spans="3:19">
      <c r="C192" s="55" t="s">
        <v>191</v>
      </c>
      <c r="D192" s="55" t="s">
        <v>192</v>
      </c>
      <c r="E192" s="901"/>
      <c r="F192" s="901"/>
      <c r="G192" s="901"/>
      <c r="H192" s="901"/>
      <c r="I192" s="901"/>
      <c r="J192" s="901"/>
      <c r="K192" s="901"/>
      <c r="L192" s="901"/>
      <c r="M192" s="901"/>
      <c r="N192" s="901"/>
      <c r="O192" s="901"/>
      <c r="P192" s="901"/>
      <c r="Q192" s="908">
        <f t="shared" ref="Q192:Q207" si="62">SUM(E192:P192)</f>
        <v>0</v>
      </c>
      <c r="R192" s="906"/>
      <c r="S192" s="906"/>
    </row>
    <row r="193" ht="15" spans="3:19">
      <c r="C193" s="55" t="s">
        <v>193</v>
      </c>
      <c r="D193" s="55" t="s">
        <v>194</v>
      </c>
      <c r="E193" s="901"/>
      <c r="F193" s="901"/>
      <c r="G193" s="901"/>
      <c r="H193" s="901"/>
      <c r="I193" s="901"/>
      <c r="J193" s="901"/>
      <c r="K193" s="901"/>
      <c r="L193" s="901"/>
      <c r="M193" s="901"/>
      <c r="N193" s="901"/>
      <c r="O193" s="901"/>
      <c r="P193" s="901"/>
      <c r="Q193" s="908">
        <f t="shared" si="62"/>
        <v>0</v>
      </c>
      <c r="R193" s="906"/>
      <c r="S193" s="906"/>
    </row>
    <row r="194" ht="15" spans="3:19">
      <c r="C194" s="55" t="s">
        <v>239</v>
      </c>
      <c r="D194" s="55" t="s">
        <v>196</v>
      </c>
      <c r="E194" s="901"/>
      <c r="F194" s="901"/>
      <c r="G194" s="901"/>
      <c r="H194" s="901"/>
      <c r="I194" s="901"/>
      <c r="J194" s="901"/>
      <c r="K194" s="901"/>
      <c r="L194" s="901"/>
      <c r="M194" s="901"/>
      <c r="N194" s="901"/>
      <c r="O194" s="901"/>
      <c r="P194" s="901"/>
      <c r="Q194" s="908">
        <f t="shared" si="62"/>
        <v>0</v>
      </c>
      <c r="R194" s="906"/>
      <c r="S194" s="906"/>
    </row>
    <row r="195" ht="15" spans="3:19">
      <c r="C195" s="55" t="s">
        <v>197</v>
      </c>
      <c r="D195" s="55" t="s">
        <v>198</v>
      </c>
      <c r="E195" s="901"/>
      <c r="F195" s="901"/>
      <c r="G195" s="901"/>
      <c r="H195" s="901"/>
      <c r="I195" s="901"/>
      <c r="J195" s="901"/>
      <c r="K195" s="901"/>
      <c r="L195" s="901"/>
      <c r="M195" s="901"/>
      <c r="N195" s="901"/>
      <c r="O195" s="901"/>
      <c r="P195" s="901"/>
      <c r="Q195" s="908">
        <f t="shared" si="62"/>
        <v>0</v>
      </c>
      <c r="R195" s="906"/>
      <c r="S195" s="906"/>
    </row>
    <row r="196" ht="15" spans="3:19">
      <c r="C196" s="55" t="s">
        <v>199</v>
      </c>
      <c r="D196" s="55" t="s">
        <v>200</v>
      </c>
      <c r="E196" s="901"/>
      <c r="F196" s="901"/>
      <c r="G196" s="901"/>
      <c r="H196" s="901"/>
      <c r="I196" s="901"/>
      <c r="J196" s="901"/>
      <c r="K196" s="901"/>
      <c r="L196" s="901"/>
      <c r="M196" s="901"/>
      <c r="N196" s="901"/>
      <c r="O196" s="901"/>
      <c r="P196" s="901"/>
      <c r="Q196" s="908">
        <f t="shared" si="62"/>
        <v>0</v>
      </c>
      <c r="R196" s="906"/>
      <c r="S196" s="906"/>
    </row>
    <row r="197" ht="15" spans="3:19">
      <c r="C197" s="55" t="s">
        <v>201</v>
      </c>
      <c r="D197" s="55" t="s">
        <v>202</v>
      </c>
      <c r="E197" s="901"/>
      <c r="F197" s="901"/>
      <c r="G197" s="901"/>
      <c r="H197" s="901"/>
      <c r="I197" s="901"/>
      <c r="J197" s="901"/>
      <c r="K197" s="901"/>
      <c r="L197" s="901"/>
      <c r="M197" s="901"/>
      <c r="N197" s="901"/>
      <c r="O197" s="901"/>
      <c r="P197" s="901"/>
      <c r="Q197" s="908">
        <f t="shared" si="62"/>
        <v>0</v>
      </c>
      <c r="R197" s="906"/>
      <c r="S197" s="906"/>
    </row>
    <row r="198" ht="15" spans="3:19">
      <c r="C198" s="55" t="s">
        <v>203</v>
      </c>
      <c r="D198" s="55" t="s">
        <v>204</v>
      </c>
      <c r="E198" s="901"/>
      <c r="F198" s="901"/>
      <c r="G198" s="901"/>
      <c r="H198" s="901"/>
      <c r="I198" s="901"/>
      <c r="J198" s="901"/>
      <c r="K198" s="901"/>
      <c r="L198" s="901"/>
      <c r="M198" s="901"/>
      <c r="N198" s="901"/>
      <c r="O198" s="901"/>
      <c r="P198" s="901"/>
      <c r="Q198" s="908">
        <f t="shared" si="62"/>
        <v>0</v>
      </c>
      <c r="R198" s="906"/>
      <c r="S198" s="906"/>
    </row>
    <row r="199" ht="15" spans="3:19">
      <c r="C199" s="55" t="s">
        <v>205</v>
      </c>
      <c r="D199" s="55" t="s">
        <v>206</v>
      </c>
      <c r="E199" s="901"/>
      <c r="F199" s="901"/>
      <c r="G199" s="901"/>
      <c r="H199" s="901"/>
      <c r="I199" s="901"/>
      <c r="J199" s="901"/>
      <c r="K199" s="901"/>
      <c r="L199" s="901"/>
      <c r="M199" s="901"/>
      <c r="N199" s="901"/>
      <c r="O199" s="901"/>
      <c r="P199" s="901"/>
      <c r="Q199" s="908">
        <f t="shared" si="62"/>
        <v>0</v>
      </c>
      <c r="R199" s="906"/>
      <c r="S199" s="906"/>
    </row>
    <row r="200" ht="15" spans="3:19">
      <c r="C200" s="55" t="s">
        <v>231</v>
      </c>
      <c r="D200" s="55" t="s">
        <v>186</v>
      </c>
      <c r="E200" s="901"/>
      <c r="F200" s="901"/>
      <c r="G200" s="901"/>
      <c r="H200" s="901"/>
      <c r="I200" s="901"/>
      <c r="J200" s="901"/>
      <c r="K200" s="901"/>
      <c r="L200" s="901"/>
      <c r="M200" s="901"/>
      <c r="N200" s="901"/>
      <c r="O200" s="901"/>
      <c r="P200" s="901"/>
      <c r="Q200" s="908">
        <f t="shared" si="62"/>
        <v>0</v>
      </c>
      <c r="R200" s="906"/>
      <c r="S200" s="906"/>
    </row>
    <row r="201" ht="15" spans="3:19">
      <c r="C201" s="55" t="s">
        <v>208</v>
      </c>
      <c r="D201" s="55" t="s">
        <v>209</v>
      </c>
      <c r="E201" s="901"/>
      <c r="F201" s="901"/>
      <c r="G201" s="901"/>
      <c r="H201" s="901"/>
      <c r="I201" s="901"/>
      <c r="J201" s="901"/>
      <c r="K201" s="901"/>
      <c r="L201" s="901"/>
      <c r="M201" s="901"/>
      <c r="N201" s="901"/>
      <c r="O201" s="901"/>
      <c r="P201" s="901"/>
      <c r="Q201" s="908">
        <f t="shared" si="62"/>
        <v>0</v>
      </c>
      <c r="R201" s="906"/>
      <c r="S201" s="906"/>
    </row>
    <row r="202" ht="15" spans="3:19">
      <c r="C202" s="55" t="s">
        <v>210</v>
      </c>
      <c r="D202" s="55" t="s">
        <v>188</v>
      </c>
      <c r="E202" s="901"/>
      <c r="F202" s="901"/>
      <c r="G202" s="901"/>
      <c r="H202" s="901"/>
      <c r="I202" s="901"/>
      <c r="J202" s="901"/>
      <c r="K202" s="901"/>
      <c r="L202" s="901"/>
      <c r="M202" s="901"/>
      <c r="N202" s="901"/>
      <c r="O202" s="901"/>
      <c r="P202" s="901"/>
      <c r="Q202" s="908">
        <f t="shared" si="62"/>
        <v>0</v>
      </c>
      <c r="R202" s="906"/>
      <c r="S202" s="906"/>
    </row>
    <row r="203" ht="15" spans="3:19">
      <c r="C203" s="55"/>
      <c r="D203" s="55"/>
      <c r="E203" s="901"/>
      <c r="F203" s="901"/>
      <c r="G203" s="901"/>
      <c r="H203" s="901"/>
      <c r="I203" s="901"/>
      <c r="J203" s="901"/>
      <c r="K203" s="901"/>
      <c r="L203" s="901"/>
      <c r="M203" s="901"/>
      <c r="N203" s="901"/>
      <c r="O203" s="901"/>
      <c r="P203" s="901"/>
      <c r="Q203" s="908">
        <f t="shared" si="62"/>
        <v>0</v>
      </c>
      <c r="R203" s="906"/>
      <c r="S203" s="906"/>
    </row>
    <row r="204" ht="15" spans="3:19">
      <c r="C204" s="55"/>
      <c r="D204" s="55"/>
      <c r="E204" s="901"/>
      <c r="F204" s="901"/>
      <c r="G204" s="901"/>
      <c r="H204" s="901"/>
      <c r="I204" s="901"/>
      <c r="J204" s="901"/>
      <c r="K204" s="901"/>
      <c r="L204" s="901"/>
      <c r="M204" s="901"/>
      <c r="N204" s="901"/>
      <c r="O204" s="901"/>
      <c r="P204" s="901"/>
      <c r="Q204" s="908">
        <f t="shared" si="62"/>
        <v>0</v>
      </c>
      <c r="R204" s="906"/>
      <c r="S204" s="906"/>
    </row>
    <row r="205" ht="15" spans="3:19">
      <c r="C205" s="55"/>
      <c r="D205" s="55"/>
      <c r="E205" s="901"/>
      <c r="F205" s="901"/>
      <c r="G205" s="901"/>
      <c r="H205" s="901"/>
      <c r="I205" s="901"/>
      <c r="J205" s="901"/>
      <c r="K205" s="901"/>
      <c r="L205" s="901"/>
      <c r="M205" s="901"/>
      <c r="N205" s="901"/>
      <c r="O205" s="901"/>
      <c r="P205" s="901"/>
      <c r="Q205" s="908">
        <f t="shared" si="62"/>
        <v>0</v>
      </c>
      <c r="R205" s="906"/>
      <c r="S205" s="906"/>
    </row>
    <row r="206" ht="15" spans="3:19">
      <c r="C206" s="55" t="s">
        <v>258</v>
      </c>
      <c r="D206" s="55" t="s">
        <v>258</v>
      </c>
      <c r="E206" s="901"/>
      <c r="F206" s="901"/>
      <c r="G206" s="901"/>
      <c r="H206" s="901"/>
      <c r="I206" s="901"/>
      <c r="J206" s="901"/>
      <c r="K206" s="901"/>
      <c r="L206" s="901"/>
      <c r="M206" s="901"/>
      <c r="N206" s="901"/>
      <c r="O206" s="901"/>
      <c r="P206" s="901"/>
      <c r="Q206" s="908">
        <f t="shared" si="62"/>
        <v>0</v>
      </c>
      <c r="R206" s="906"/>
      <c r="S206" s="906"/>
    </row>
    <row r="207" ht="15" spans="3:19">
      <c r="C207" s="537" t="s">
        <v>211</v>
      </c>
      <c r="D207" s="540"/>
      <c r="E207" s="908">
        <f t="shared" ref="E207:P207" si="63">SUM(E192:E206)</f>
        <v>0</v>
      </c>
      <c r="F207" s="908">
        <f t="shared" si="63"/>
        <v>0</v>
      </c>
      <c r="G207" s="908">
        <f t="shared" si="63"/>
        <v>0</v>
      </c>
      <c r="H207" s="908">
        <f t="shared" si="63"/>
        <v>0</v>
      </c>
      <c r="I207" s="908">
        <f t="shared" si="63"/>
        <v>0</v>
      </c>
      <c r="J207" s="908">
        <f t="shared" si="63"/>
        <v>0</v>
      </c>
      <c r="K207" s="908">
        <f t="shared" si="63"/>
        <v>0</v>
      </c>
      <c r="L207" s="908">
        <f t="shared" si="63"/>
        <v>0</v>
      </c>
      <c r="M207" s="908">
        <f t="shared" si="63"/>
        <v>0</v>
      </c>
      <c r="N207" s="908">
        <f t="shared" si="63"/>
        <v>0</v>
      </c>
      <c r="O207" s="908">
        <f t="shared" si="63"/>
        <v>0</v>
      </c>
      <c r="P207" s="908">
        <f t="shared" si="63"/>
        <v>0</v>
      </c>
      <c r="Q207" s="908">
        <f t="shared" si="62"/>
        <v>0</v>
      </c>
      <c r="R207" s="906"/>
      <c r="S207" s="906"/>
    </row>
    <row r="208" ht="15" spans="3:19">
      <c r="C208" s="44" t="s">
        <v>219</v>
      </c>
      <c r="D208" s="45"/>
      <c r="E208" s="901"/>
      <c r="F208" s="901"/>
      <c r="G208" s="901"/>
      <c r="H208" s="901"/>
      <c r="I208" s="901"/>
      <c r="J208" s="901"/>
      <c r="K208" s="901"/>
      <c r="L208" s="901"/>
      <c r="M208" s="901"/>
      <c r="N208" s="901"/>
      <c r="O208" s="901"/>
      <c r="P208" s="901"/>
      <c r="Q208" s="910"/>
      <c r="R208" s="906"/>
      <c r="S208" s="906"/>
    </row>
    <row r="209" ht="15" spans="3:19">
      <c r="C209" s="55" t="s">
        <v>191</v>
      </c>
      <c r="D209" s="55" t="s">
        <v>192</v>
      </c>
      <c r="E209" s="901"/>
      <c r="F209" s="901"/>
      <c r="G209" s="901"/>
      <c r="H209" s="901"/>
      <c r="I209" s="901"/>
      <c r="J209" s="901"/>
      <c r="K209" s="901"/>
      <c r="L209" s="901"/>
      <c r="M209" s="901"/>
      <c r="N209" s="901"/>
      <c r="O209" s="901"/>
      <c r="P209" s="901"/>
      <c r="Q209" s="908">
        <f t="shared" ref="Q209:Q227" si="64">SUM(E209:P209)</f>
        <v>0</v>
      </c>
      <c r="R209" s="906"/>
      <c r="S209" s="906"/>
    </row>
    <row r="210" ht="15" spans="3:19">
      <c r="C210" s="55" t="s">
        <v>193</v>
      </c>
      <c r="D210" s="55" t="s">
        <v>194</v>
      </c>
      <c r="E210" s="901"/>
      <c r="F210" s="901"/>
      <c r="G210" s="901"/>
      <c r="H210" s="901"/>
      <c r="I210" s="901"/>
      <c r="J210" s="901"/>
      <c r="K210" s="901"/>
      <c r="L210" s="901"/>
      <c r="M210" s="901"/>
      <c r="N210" s="901"/>
      <c r="O210" s="901"/>
      <c r="P210" s="901"/>
      <c r="Q210" s="908">
        <f t="shared" si="64"/>
        <v>0</v>
      </c>
      <c r="R210" s="906"/>
      <c r="S210" s="906"/>
    </row>
    <row r="211" ht="15" spans="3:19">
      <c r="C211" s="55" t="s">
        <v>239</v>
      </c>
      <c r="D211" s="55" t="s">
        <v>196</v>
      </c>
      <c r="E211" s="901"/>
      <c r="F211" s="901"/>
      <c r="G211" s="901"/>
      <c r="H211" s="901"/>
      <c r="I211" s="901"/>
      <c r="J211" s="901"/>
      <c r="K211" s="901"/>
      <c r="L211" s="901"/>
      <c r="M211" s="901"/>
      <c r="N211" s="901"/>
      <c r="O211" s="901"/>
      <c r="P211" s="901"/>
      <c r="Q211" s="908">
        <f t="shared" si="64"/>
        <v>0</v>
      </c>
      <c r="R211" s="906"/>
      <c r="S211" s="906"/>
    </row>
    <row r="212" ht="15" spans="3:19">
      <c r="C212" s="55" t="s">
        <v>197</v>
      </c>
      <c r="D212" s="55" t="s">
        <v>198</v>
      </c>
      <c r="E212" s="901"/>
      <c r="F212" s="901"/>
      <c r="G212" s="901"/>
      <c r="H212" s="901"/>
      <c r="I212" s="901"/>
      <c r="J212" s="901"/>
      <c r="K212" s="901"/>
      <c r="L212" s="901"/>
      <c r="M212" s="901"/>
      <c r="N212" s="901"/>
      <c r="O212" s="901"/>
      <c r="P212" s="901"/>
      <c r="Q212" s="908">
        <f t="shared" si="64"/>
        <v>0</v>
      </c>
      <c r="R212" s="906"/>
      <c r="S212" s="906"/>
    </row>
    <row r="213" ht="15" spans="3:19">
      <c r="C213" s="55" t="s">
        <v>199</v>
      </c>
      <c r="D213" s="55" t="s">
        <v>200</v>
      </c>
      <c r="E213" s="901"/>
      <c r="F213" s="901"/>
      <c r="G213" s="901"/>
      <c r="H213" s="901"/>
      <c r="I213" s="901"/>
      <c r="J213" s="901"/>
      <c r="K213" s="901"/>
      <c r="L213" s="901"/>
      <c r="M213" s="901"/>
      <c r="N213" s="901"/>
      <c r="O213" s="901"/>
      <c r="P213" s="901"/>
      <c r="Q213" s="908">
        <f t="shared" si="64"/>
        <v>0</v>
      </c>
      <c r="R213" s="906"/>
      <c r="S213" s="906"/>
    </row>
    <row r="214" ht="15" spans="3:19">
      <c r="C214" s="55" t="s">
        <v>201</v>
      </c>
      <c r="D214" s="55" t="s">
        <v>240</v>
      </c>
      <c r="E214" s="901"/>
      <c r="F214" s="901"/>
      <c r="G214" s="901"/>
      <c r="H214" s="901"/>
      <c r="I214" s="901"/>
      <c r="J214" s="901"/>
      <c r="K214" s="901"/>
      <c r="L214" s="901"/>
      <c r="M214" s="901"/>
      <c r="N214" s="901"/>
      <c r="O214" s="901"/>
      <c r="P214" s="901"/>
      <c r="Q214" s="908">
        <f t="shared" si="64"/>
        <v>0</v>
      </c>
      <c r="R214" s="906"/>
      <c r="S214" s="906"/>
    </row>
    <row r="215" ht="15" spans="3:19">
      <c r="C215" s="55" t="s">
        <v>203</v>
      </c>
      <c r="D215" s="55" t="s">
        <v>220</v>
      </c>
      <c r="E215" s="901"/>
      <c r="F215" s="901"/>
      <c r="G215" s="901"/>
      <c r="H215" s="901"/>
      <c r="I215" s="901"/>
      <c r="J215" s="901"/>
      <c r="K215" s="901"/>
      <c r="L215" s="901"/>
      <c r="M215" s="901"/>
      <c r="N215" s="901"/>
      <c r="O215" s="901"/>
      <c r="P215" s="901"/>
      <c r="Q215" s="908">
        <f t="shared" si="64"/>
        <v>0</v>
      </c>
      <c r="R215" s="906"/>
      <c r="S215" s="906"/>
    </row>
    <row r="216" ht="15" spans="3:19">
      <c r="C216" s="55" t="s">
        <v>241</v>
      </c>
      <c r="D216" s="55" t="s">
        <v>229</v>
      </c>
      <c r="E216" s="901"/>
      <c r="F216" s="901"/>
      <c r="G216" s="901"/>
      <c r="H216" s="901"/>
      <c r="I216" s="901"/>
      <c r="J216" s="901"/>
      <c r="K216" s="901"/>
      <c r="L216" s="901"/>
      <c r="M216" s="901"/>
      <c r="N216" s="901"/>
      <c r="O216" s="901"/>
      <c r="P216" s="901"/>
      <c r="Q216" s="908">
        <f t="shared" si="64"/>
        <v>0</v>
      </c>
      <c r="R216" s="906"/>
      <c r="S216" s="906"/>
    </row>
    <row r="217" ht="15" spans="3:19">
      <c r="C217" s="55" t="s">
        <v>259</v>
      </c>
      <c r="D217" s="55" t="s">
        <v>243</v>
      </c>
      <c r="E217" s="901"/>
      <c r="F217" s="901"/>
      <c r="G217" s="901"/>
      <c r="H217" s="901"/>
      <c r="I217" s="901"/>
      <c r="J217" s="901"/>
      <c r="K217" s="901"/>
      <c r="L217" s="901"/>
      <c r="M217" s="901"/>
      <c r="N217" s="901"/>
      <c r="O217" s="901"/>
      <c r="P217" s="901"/>
      <c r="Q217" s="908">
        <f t="shared" si="64"/>
        <v>0</v>
      </c>
      <c r="R217" s="906"/>
      <c r="S217" s="906"/>
    </row>
    <row r="218" ht="15" spans="3:19">
      <c r="C218" s="55" t="s">
        <v>205</v>
      </c>
      <c r="D218" s="55" t="s">
        <v>206</v>
      </c>
      <c r="E218" s="901"/>
      <c r="F218" s="901"/>
      <c r="G218" s="901"/>
      <c r="H218" s="901"/>
      <c r="I218" s="901"/>
      <c r="J218" s="901"/>
      <c r="K218" s="901"/>
      <c r="L218" s="901"/>
      <c r="M218" s="901"/>
      <c r="N218" s="901"/>
      <c r="O218" s="901"/>
      <c r="P218" s="901"/>
      <c r="Q218" s="908">
        <f t="shared" si="64"/>
        <v>0</v>
      </c>
      <c r="R218" s="906"/>
      <c r="S218" s="906"/>
    </row>
    <row r="219" ht="15" spans="3:19">
      <c r="C219" s="55" t="s">
        <v>207</v>
      </c>
      <c r="D219" s="55" t="s">
        <v>186</v>
      </c>
      <c r="E219" s="901"/>
      <c r="F219" s="901"/>
      <c r="G219" s="901"/>
      <c r="H219" s="901"/>
      <c r="I219" s="901"/>
      <c r="J219" s="901"/>
      <c r="K219" s="901"/>
      <c r="L219" s="901"/>
      <c r="M219" s="901"/>
      <c r="N219" s="901"/>
      <c r="O219" s="901"/>
      <c r="P219" s="901"/>
      <c r="Q219" s="908">
        <f t="shared" si="64"/>
        <v>0</v>
      </c>
      <c r="R219" s="906"/>
      <c r="S219" s="906"/>
    </row>
    <row r="220" ht="15" spans="3:19">
      <c r="C220" s="55" t="s">
        <v>208</v>
      </c>
      <c r="D220" s="55" t="s">
        <v>209</v>
      </c>
      <c r="E220" s="901"/>
      <c r="F220" s="901"/>
      <c r="G220" s="901"/>
      <c r="H220" s="901"/>
      <c r="I220" s="901"/>
      <c r="J220" s="901"/>
      <c r="K220" s="901"/>
      <c r="L220" s="901"/>
      <c r="M220" s="901"/>
      <c r="N220" s="901"/>
      <c r="O220" s="901"/>
      <c r="P220" s="901"/>
      <c r="Q220" s="908">
        <f t="shared" si="64"/>
        <v>0</v>
      </c>
      <c r="R220" s="906"/>
      <c r="S220" s="906"/>
    </row>
    <row r="221" ht="15" spans="3:19">
      <c r="C221" s="55" t="s">
        <v>210</v>
      </c>
      <c r="D221" s="55" t="s">
        <v>188</v>
      </c>
      <c r="E221" s="901"/>
      <c r="F221" s="901"/>
      <c r="G221" s="901"/>
      <c r="H221" s="901"/>
      <c r="I221" s="901"/>
      <c r="J221" s="901"/>
      <c r="K221" s="901"/>
      <c r="L221" s="901"/>
      <c r="M221" s="901"/>
      <c r="N221" s="901"/>
      <c r="O221" s="901"/>
      <c r="P221" s="901"/>
      <c r="Q221" s="908">
        <f t="shared" si="64"/>
        <v>0</v>
      </c>
      <c r="R221" s="906"/>
      <c r="S221" s="906"/>
    </row>
    <row r="222" ht="15" spans="3:19">
      <c r="C222" s="55"/>
      <c r="D222" s="55"/>
      <c r="E222" s="901"/>
      <c r="F222" s="901"/>
      <c r="G222" s="901"/>
      <c r="H222" s="901"/>
      <c r="I222" s="901"/>
      <c r="J222" s="901"/>
      <c r="K222" s="901"/>
      <c r="L222" s="901"/>
      <c r="M222" s="901"/>
      <c r="N222" s="901"/>
      <c r="O222" s="901"/>
      <c r="P222" s="901"/>
      <c r="Q222" s="908">
        <f t="shared" si="64"/>
        <v>0</v>
      </c>
      <c r="R222" s="906"/>
      <c r="S222" s="906"/>
    </row>
    <row r="223" ht="15" spans="3:19">
      <c r="C223" s="55"/>
      <c r="D223" s="55"/>
      <c r="E223" s="901"/>
      <c r="F223" s="901"/>
      <c r="G223" s="901"/>
      <c r="H223" s="901"/>
      <c r="I223" s="901"/>
      <c r="J223" s="901"/>
      <c r="K223" s="901"/>
      <c r="L223" s="901"/>
      <c r="M223" s="901"/>
      <c r="N223" s="901"/>
      <c r="O223" s="901"/>
      <c r="P223" s="901"/>
      <c r="Q223" s="908">
        <f t="shared" si="64"/>
        <v>0</v>
      </c>
      <c r="R223" s="906"/>
      <c r="S223" s="906"/>
    </row>
    <row r="224" ht="15" spans="3:19">
      <c r="C224" s="55" t="s">
        <v>258</v>
      </c>
      <c r="D224" s="55" t="s">
        <v>258</v>
      </c>
      <c r="E224" s="901"/>
      <c r="F224" s="901"/>
      <c r="G224" s="901"/>
      <c r="H224" s="901"/>
      <c r="I224" s="901"/>
      <c r="J224" s="901"/>
      <c r="K224" s="901"/>
      <c r="L224" s="901"/>
      <c r="M224" s="901"/>
      <c r="N224" s="901"/>
      <c r="O224" s="901"/>
      <c r="P224" s="901"/>
      <c r="Q224" s="908">
        <f t="shared" si="64"/>
        <v>0</v>
      </c>
      <c r="R224" s="906"/>
      <c r="S224" s="906"/>
    </row>
    <row r="225" ht="15" spans="3:19">
      <c r="C225" s="537" t="s">
        <v>211</v>
      </c>
      <c r="D225" s="540"/>
      <c r="E225" s="908">
        <f t="shared" ref="E225:P225" si="65">SUM(E209:E224)</f>
        <v>0</v>
      </c>
      <c r="F225" s="908">
        <f t="shared" si="65"/>
        <v>0</v>
      </c>
      <c r="G225" s="908">
        <f t="shared" si="65"/>
        <v>0</v>
      </c>
      <c r="H225" s="908">
        <f t="shared" si="65"/>
        <v>0</v>
      </c>
      <c r="I225" s="908">
        <f t="shared" si="65"/>
        <v>0</v>
      </c>
      <c r="J225" s="908">
        <f t="shared" si="65"/>
        <v>0</v>
      </c>
      <c r="K225" s="908">
        <f t="shared" si="65"/>
        <v>0</v>
      </c>
      <c r="L225" s="908">
        <f t="shared" si="65"/>
        <v>0</v>
      </c>
      <c r="M225" s="908">
        <f t="shared" si="65"/>
        <v>0</v>
      </c>
      <c r="N225" s="908">
        <f t="shared" si="65"/>
        <v>0</v>
      </c>
      <c r="O225" s="908">
        <f t="shared" si="65"/>
        <v>0</v>
      </c>
      <c r="P225" s="908">
        <f t="shared" si="65"/>
        <v>0</v>
      </c>
      <c r="Q225" s="908">
        <f t="shared" si="64"/>
        <v>0</v>
      </c>
      <c r="R225" s="906"/>
      <c r="S225" s="906"/>
    </row>
    <row r="226" ht="15" spans="3:19">
      <c r="C226" s="537" t="s">
        <v>223</v>
      </c>
      <c r="D226" s="540"/>
      <c r="E226" s="908">
        <f t="shared" ref="E226:P226" si="66">E225+E207+E190</f>
        <v>0</v>
      </c>
      <c r="F226" s="908">
        <f t="shared" si="66"/>
        <v>0</v>
      </c>
      <c r="G226" s="908">
        <f t="shared" si="66"/>
        <v>0</v>
      </c>
      <c r="H226" s="908">
        <f t="shared" si="66"/>
        <v>0</v>
      </c>
      <c r="I226" s="908">
        <f t="shared" si="66"/>
        <v>0</v>
      </c>
      <c r="J226" s="908">
        <f t="shared" si="66"/>
        <v>0</v>
      </c>
      <c r="K226" s="908">
        <f t="shared" si="66"/>
        <v>0</v>
      </c>
      <c r="L226" s="908">
        <f t="shared" si="66"/>
        <v>0</v>
      </c>
      <c r="M226" s="908">
        <f t="shared" si="66"/>
        <v>0</v>
      </c>
      <c r="N226" s="908">
        <f t="shared" si="66"/>
        <v>0</v>
      </c>
      <c r="O226" s="908">
        <f t="shared" si="66"/>
        <v>0</v>
      </c>
      <c r="P226" s="908">
        <f t="shared" si="66"/>
        <v>0</v>
      </c>
      <c r="Q226" s="908">
        <f t="shared" si="64"/>
        <v>0</v>
      </c>
      <c r="R226" s="906"/>
      <c r="S226" s="906"/>
    </row>
    <row r="227" ht="15" spans="3:19">
      <c r="C227" s="537" t="s">
        <v>224</v>
      </c>
      <c r="D227" s="540"/>
      <c r="E227" s="908">
        <f t="shared" ref="E227:P227" si="67">E226+E173</f>
        <v>698.392580121226</v>
      </c>
      <c r="F227" s="908">
        <f t="shared" si="67"/>
        <v>649.929131899179</v>
      </c>
      <c r="G227" s="908">
        <f t="shared" si="67"/>
        <v>555.860327512743</v>
      </c>
      <c r="H227" s="908">
        <f t="shared" si="67"/>
        <v>1003.79557287347</v>
      </c>
      <c r="I227" s="908">
        <f t="shared" si="67"/>
        <v>935.45656875768</v>
      </c>
      <c r="J227" s="908">
        <f t="shared" si="67"/>
        <v>741.91</v>
      </c>
      <c r="K227" s="908">
        <f t="shared" si="67"/>
        <v>611.16</v>
      </c>
      <c r="L227" s="908">
        <f t="shared" si="67"/>
        <v>503.074009414208</v>
      </c>
      <c r="M227" s="908">
        <f t="shared" si="67"/>
        <v>1078.51</v>
      </c>
      <c r="N227" s="908">
        <f t="shared" si="67"/>
        <v>1493.8831956607</v>
      </c>
      <c r="O227" s="908">
        <f t="shared" si="67"/>
        <v>1387.12311687039</v>
      </c>
      <c r="P227" s="908">
        <f t="shared" si="67"/>
        <v>2063.07707424606</v>
      </c>
      <c r="Q227" s="908">
        <f t="shared" si="64"/>
        <v>11722.1715773557</v>
      </c>
      <c r="R227" s="906"/>
      <c r="S227" s="906"/>
    </row>
    <row r="228" ht="15" spans="3:19">
      <c r="C228" s="3"/>
      <c r="D228" s="3"/>
      <c r="E228" s="906"/>
      <c r="F228" s="906"/>
      <c r="G228" s="906"/>
      <c r="H228" s="906"/>
      <c r="I228" s="906"/>
      <c r="J228" s="906"/>
      <c r="K228" s="906"/>
      <c r="L228" s="906"/>
      <c r="M228" s="906"/>
      <c r="N228" s="906"/>
      <c r="O228" s="906"/>
      <c r="P228" s="906"/>
      <c r="Q228" s="906"/>
      <c r="R228" s="906"/>
      <c r="S228" s="906"/>
    </row>
    <row r="229" ht="15" spans="3:19">
      <c r="C229" s="14"/>
      <c r="E229" s="906"/>
      <c r="F229" s="906"/>
      <c r="G229" s="906"/>
      <c r="H229" s="906"/>
      <c r="I229" s="906"/>
      <c r="J229" s="906"/>
      <c r="K229" s="906"/>
      <c r="L229" s="906"/>
      <c r="M229" s="906"/>
      <c r="N229" s="906"/>
      <c r="O229" s="906"/>
      <c r="P229" s="906"/>
      <c r="Q229" s="909" t="s">
        <v>236</v>
      </c>
      <c r="R229" s="906"/>
      <c r="S229" s="906"/>
    </row>
    <row r="230" ht="15" spans="3:19">
      <c r="C230" s="6" t="s">
        <v>159</v>
      </c>
      <c r="D230" s="6"/>
      <c r="E230" s="907" t="s">
        <v>261</v>
      </c>
      <c r="F230" s="907"/>
      <c r="G230" s="907"/>
      <c r="H230" s="907"/>
      <c r="I230" s="907"/>
      <c r="J230" s="907"/>
      <c r="K230" s="907"/>
      <c r="L230" s="907"/>
      <c r="M230" s="907"/>
      <c r="N230" s="907"/>
      <c r="O230" s="907"/>
      <c r="P230" s="907"/>
      <c r="Q230" s="907"/>
      <c r="R230" s="906"/>
      <c r="S230" s="906"/>
    </row>
    <row r="231" ht="15" spans="3:19">
      <c r="C231" s="6"/>
      <c r="D231" s="6"/>
      <c r="E231" s="907" t="s">
        <v>246</v>
      </c>
      <c r="F231" s="907" t="s">
        <v>247</v>
      </c>
      <c r="G231" s="907" t="s">
        <v>248</v>
      </c>
      <c r="H231" s="907" t="s">
        <v>249</v>
      </c>
      <c r="I231" s="907" t="s">
        <v>250</v>
      </c>
      <c r="J231" s="907" t="s">
        <v>251</v>
      </c>
      <c r="K231" s="907" t="s">
        <v>252</v>
      </c>
      <c r="L231" s="907" t="s">
        <v>253</v>
      </c>
      <c r="M231" s="907" t="s">
        <v>254</v>
      </c>
      <c r="N231" s="907" t="s">
        <v>255</v>
      </c>
      <c r="O231" s="907" t="s">
        <v>256</v>
      </c>
      <c r="P231" s="907" t="s">
        <v>257</v>
      </c>
      <c r="Q231" s="907" t="s">
        <v>97</v>
      </c>
      <c r="R231" s="906"/>
      <c r="S231" s="906"/>
    </row>
    <row r="232" ht="15" spans="3:19">
      <c r="C232" s="44" t="s">
        <v>170</v>
      </c>
      <c r="D232" s="45"/>
      <c r="E232" s="901"/>
      <c r="F232" s="901"/>
      <c r="G232" s="901"/>
      <c r="H232" s="901"/>
      <c r="I232" s="901"/>
      <c r="J232" s="901"/>
      <c r="K232" s="901"/>
      <c r="L232" s="901"/>
      <c r="M232" s="901"/>
      <c r="N232" s="901"/>
      <c r="O232" s="901"/>
      <c r="P232" s="901"/>
      <c r="Q232" s="910"/>
      <c r="R232" s="906"/>
      <c r="S232" s="906"/>
    </row>
    <row r="233" ht="15" spans="3:19">
      <c r="C233" s="47" t="s">
        <v>171</v>
      </c>
      <c r="D233" s="47" t="s">
        <v>172</v>
      </c>
      <c r="E233" s="901"/>
      <c r="F233" s="901"/>
      <c r="G233" s="901"/>
      <c r="H233" s="901"/>
      <c r="I233" s="901"/>
      <c r="J233" s="901"/>
      <c r="K233" s="901"/>
      <c r="L233" s="901"/>
      <c r="M233" s="901"/>
      <c r="N233" s="901"/>
      <c r="O233" s="901"/>
      <c r="P233" s="901"/>
      <c r="Q233" s="908">
        <f t="shared" ref="Q233:Q246" si="68">SUM(E233:P233)</f>
        <v>0</v>
      </c>
      <c r="R233" s="906"/>
      <c r="S233" s="906"/>
    </row>
    <row r="234" ht="15" spans="3:19">
      <c r="C234" s="55" t="s">
        <v>173</v>
      </c>
      <c r="D234" s="55" t="s">
        <v>174</v>
      </c>
      <c r="E234" s="901"/>
      <c r="F234" s="901"/>
      <c r="G234" s="901"/>
      <c r="H234" s="901"/>
      <c r="I234" s="901"/>
      <c r="J234" s="901"/>
      <c r="K234" s="901"/>
      <c r="L234" s="901"/>
      <c r="M234" s="901"/>
      <c r="N234" s="901"/>
      <c r="O234" s="901"/>
      <c r="P234" s="901"/>
      <c r="Q234" s="908">
        <f t="shared" si="68"/>
        <v>0</v>
      </c>
      <c r="R234" s="906"/>
      <c r="S234" s="906"/>
    </row>
    <row r="235" ht="15" spans="3:19">
      <c r="C235" s="55" t="s">
        <v>175</v>
      </c>
      <c r="D235" s="55" t="s">
        <v>176</v>
      </c>
      <c r="E235" s="901"/>
      <c r="F235" s="901"/>
      <c r="G235" s="901"/>
      <c r="H235" s="901"/>
      <c r="I235" s="901"/>
      <c r="J235" s="901"/>
      <c r="K235" s="901"/>
      <c r="L235" s="901"/>
      <c r="M235" s="901"/>
      <c r="N235" s="901"/>
      <c r="O235" s="901"/>
      <c r="P235" s="901"/>
      <c r="Q235" s="908">
        <f t="shared" si="68"/>
        <v>0</v>
      </c>
      <c r="R235" s="906"/>
      <c r="S235" s="906"/>
    </row>
    <row r="236" ht="15" spans="3:19">
      <c r="C236" s="55" t="s">
        <v>177</v>
      </c>
      <c r="D236" s="55" t="s">
        <v>178</v>
      </c>
      <c r="E236" s="901"/>
      <c r="F236" s="901"/>
      <c r="G236" s="901"/>
      <c r="H236" s="901"/>
      <c r="I236" s="901"/>
      <c r="J236" s="901"/>
      <c r="K236" s="901"/>
      <c r="L236" s="901"/>
      <c r="M236" s="901"/>
      <c r="N236" s="901"/>
      <c r="O236" s="901"/>
      <c r="P236" s="901"/>
      <c r="Q236" s="908">
        <f t="shared" si="68"/>
        <v>0</v>
      </c>
      <c r="R236" s="906"/>
      <c r="S236" s="906"/>
    </row>
    <row r="237" ht="15" spans="3:19">
      <c r="C237" s="55" t="s">
        <v>179</v>
      </c>
      <c r="D237" s="55" t="s">
        <v>180</v>
      </c>
      <c r="E237" s="901">
        <f>[10]Sales_SP!DG50</f>
        <v>1070.32382417063</v>
      </c>
      <c r="F237" s="901">
        <f>[10]Sales_SP!DH50</f>
        <v>554.053225937373</v>
      </c>
      <c r="G237" s="901">
        <f>[10]Sales_SP!DI50</f>
        <v>543.294797946933</v>
      </c>
      <c r="H237" s="901">
        <f>[10]Sales_SP!DJ50</f>
        <v>933.235051580384</v>
      </c>
      <c r="I237" s="901">
        <f>[10]Sales_SP!DK50</f>
        <v>1426.45524215359</v>
      </c>
      <c r="J237" s="901">
        <f>[10]Sales_SP!DL50</f>
        <v>869.256606885458</v>
      </c>
      <c r="K237" s="901">
        <f>[10]Sales_SP!DM50</f>
        <v>1002.08512667881</v>
      </c>
      <c r="L237" s="901">
        <f>[10]Sales_SP!DN50</f>
        <v>392.484269219235</v>
      </c>
      <c r="M237" s="901">
        <f>[10]Sales_SP!DO50</f>
        <v>879.60843068295</v>
      </c>
      <c r="N237" s="901">
        <f>[10]Sales_SP!DP50</f>
        <v>1163.68503778621</v>
      </c>
      <c r="O237" s="901">
        <f>[10]Sales_SP!DQ50</f>
        <v>1194.89266866097</v>
      </c>
      <c r="P237" s="901">
        <f>[10]Sales_SP!DR50</f>
        <v>1665.47949984963</v>
      </c>
      <c r="Q237" s="908">
        <f t="shared" si="68"/>
        <v>11694.8537815522</v>
      </c>
      <c r="R237" s="906"/>
      <c r="S237" s="906"/>
    </row>
    <row r="238" ht="15" spans="3:19">
      <c r="C238" s="55" t="s">
        <v>181</v>
      </c>
      <c r="D238" s="55" t="s">
        <v>182</v>
      </c>
      <c r="E238" s="901"/>
      <c r="F238" s="901"/>
      <c r="G238" s="901"/>
      <c r="H238" s="901"/>
      <c r="I238" s="901"/>
      <c r="J238" s="901"/>
      <c r="K238" s="901"/>
      <c r="L238" s="901"/>
      <c r="M238" s="901"/>
      <c r="N238" s="901"/>
      <c r="O238" s="901"/>
      <c r="P238" s="901"/>
      <c r="Q238" s="908">
        <f t="shared" si="68"/>
        <v>0</v>
      </c>
      <c r="R238" s="906"/>
      <c r="S238" s="906"/>
    </row>
    <row r="239" ht="15" spans="3:19">
      <c r="C239" s="55" t="s">
        <v>183</v>
      </c>
      <c r="D239" s="55" t="s">
        <v>184</v>
      </c>
      <c r="E239" s="901"/>
      <c r="F239" s="901"/>
      <c r="G239" s="901"/>
      <c r="H239" s="901"/>
      <c r="I239" s="901"/>
      <c r="J239" s="901"/>
      <c r="K239" s="901"/>
      <c r="L239" s="901"/>
      <c r="M239" s="901"/>
      <c r="N239" s="901"/>
      <c r="O239" s="901"/>
      <c r="P239" s="901"/>
      <c r="Q239" s="908">
        <f t="shared" si="68"/>
        <v>0</v>
      </c>
      <c r="R239" s="906"/>
      <c r="S239" s="906"/>
    </row>
    <row r="240" ht="15" spans="3:19">
      <c r="C240" s="55" t="s">
        <v>185</v>
      </c>
      <c r="D240" s="55" t="s">
        <v>186</v>
      </c>
      <c r="E240" s="901"/>
      <c r="F240" s="901"/>
      <c r="G240" s="901"/>
      <c r="H240" s="901"/>
      <c r="I240" s="901"/>
      <c r="J240" s="901"/>
      <c r="K240" s="901"/>
      <c r="L240" s="901"/>
      <c r="M240" s="901"/>
      <c r="N240" s="901"/>
      <c r="O240" s="901"/>
      <c r="P240" s="901"/>
      <c r="Q240" s="908">
        <f t="shared" si="68"/>
        <v>0</v>
      </c>
      <c r="R240" s="906"/>
      <c r="S240" s="906"/>
    </row>
    <row r="241" ht="15" spans="3:19">
      <c r="C241" s="55" t="s">
        <v>187</v>
      </c>
      <c r="D241" s="55" t="s">
        <v>188</v>
      </c>
      <c r="E241" s="901"/>
      <c r="F241" s="901"/>
      <c r="G241" s="901"/>
      <c r="H241" s="901"/>
      <c r="I241" s="901"/>
      <c r="J241" s="901"/>
      <c r="K241" s="901"/>
      <c r="L241" s="901"/>
      <c r="M241" s="901"/>
      <c r="N241" s="901"/>
      <c r="O241" s="901"/>
      <c r="P241" s="901"/>
      <c r="Q241" s="908">
        <f t="shared" si="68"/>
        <v>0</v>
      </c>
      <c r="R241" s="906"/>
      <c r="S241" s="906"/>
    </row>
    <row r="242" ht="15" spans="3:19">
      <c r="C242" s="55"/>
      <c r="D242" s="55"/>
      <c r="E242" s="901"/>
      <c r="F242" s="901"/>
      <c r="G242" s="901"/>
      <c r="H242" s="901"/>
      <c r="I242" s="901"/>
      <c r="J242" s="901"/>
      <c r="K242" s="901"/>
      <c r="L242" s="901"/>
      <c r="M242" s="901"/>
      <c r="N242" s="901"/>
      <c r="O242" s="901"/>
      <c r="P242" s="901"/>
      <c r="Q242" s="908">
        <f t="shared" si="68"/>
        <v>0</v>
      </c>
      <c r="R242" s="906"/>
      <c r="S242" s="906"/>
    </row>
    <row r="243" ht="15" spans="3:19">
      <c r="C243" s="55"/>
      <c r="D243" s="55"/>
      <c r="E243" s="901"/>
      <c r="F243" s="901"/>
      <c r="G243" s="901"/>
      <c r="H243" s="901"/>
      <c r="I243" s="901"/>
      <c r="J243" s="901"/>
      <c r="K243" s="901"/>
      <c r="L243" s="901"/>
      <c r="M243" s="901"/>
      <c r="N243" s="901"/>
      <c r="O243" s="901"/>
      <c r="P243" s="901"/>
      <c r="Q243" s="908">
        <f t="shared" si="68"/>
        <v>0</v>
      </c>
      <c r="R243" s="906"/>
      <c r="S243" s="906"/>
    </row>
    <row r="244" ht="15" spans="3:19">
      <c r="C244" s="55"/>
      <c r="D244" s="55"/>
      <c r="E244" s="901"/>
      <c r="F244" s="901"/>
      <c r="G244" s="901"/>
      <c r="H244" s="901"/>
      <c r="I244" s="901"/>
      <c r="J244" s="901"/>
      <c r="K244" s="901"/>
      <c r="L244" s="901"/>
      <c r="M244" s="901"/>
      <c r="N244" s="901"/>
      <c r="O244" s="901"/>
      <c r="P244" s="901"/>
      <c r="Q244" s="908">
        <f t="shared" si="68"/>
        <v>0</v>
      </c>
      <c r="R244" s="906"/>
      <c r="S244" s="906"/>
    </row>
    <row r="245" ht="15" spans="3:19">
      <c r="C245" s="55" t="s">
        <v>258</v>
      </c>
      <c r="D245" s="55" t="s">
        <v>258</v>
      </c>
      <c r="E245" s="901"/>
      <c r="F245" s="901"/>
      <c r="G245" s="901"/>
      <c r="H245" s="901"/>
      <c r="I245" s="901"/>
      <c r="J245" s="901"/>
      <c r="K245" s="901"/>
      <c r="L245" s="901"/>
      <c r="M245" s="901"/>
      <c r="N245" s="901"/>
      <c r="O245" s="901"/>
      <c r="P245" s="901"/>
      <c r="Q245" s="908">
        <f t="shared" si="68"/>
        <v>0</v>
      </c>
      <c r="R245" s="906"/>
      <c r="S245" s="906"/>
    </row>
    <row r="246" ht="15" spans="3:19">
      <c r="C246" s="537" t="s">
        <v>189</v>
      </c>
      <c r="D246" s="540"/>
      <c r="E246" s="908">
        <f t="shared" ref="E246:P246" si="69">SUM(E233:E245)</f>
        <v>1070.32382417063</v>
      </c>
      <c r="F246" s="908">
        <f t="shared" si="69"/>
        <v>554.053225937373</v>
      </c>
      <c r="G246" s="908">
        <f t="shared" si="69"/>
        <v>543.294797946933</v>
      </c>
      <c r="H246" s="908">
        <f t="shared" si="69"/>
        <v>933.235051580384</v>
      </c>
      <c r="I246" s="908">
        <f t="shared" si="69"/>
        <v>1426.45524215359</v>
      </c>
      <c r="J246" s="908">
        <f t="shared" si="69"/>
        <v>869.256606885458</v>
      </c>
      <c r="K246" s="908">
        <f t="shared" si="69"/>
        <v>1002.08512667881</v>
      </c>
      <c r="L246" s="908">
        <f t="shared" si="69"/>
        <v>392.484269219235</v>
      </c>
      <c r="M246" s="908">
        <f t="shared" si="69"/>
        <v>879.60843068295</v>
      </c>
      <c r="N246" s="908">
        <f t="shared" si="69"/>
        <v>1163.68503778621</v>
      </c>
      <c r="O246" s="908">
        <f t="shared" si="69"/>
        <v>1194.89266866097</v>
      </c>
      <c r="P246" s="908">
        <f t="shared" si="69"/>
        <v>1665.47949984963</v>
      </c>
      <c r="Q246" s="908">
        <f t="shared" si="68"/>
        <v>11694.8537815522</v>
      </c>
      <c r="R246" s="906"/>
      <c r="S246" s="906"/>
    </row>
    <row r="247" ht="15" spans="3:19">
      <c r="C247" s="44" t="s">
        <v>190</v>
      </c>
      <c r="D247" s="45"/>
      <c r="E247" s="901"/>
      <c r="F247" s="901"/>
      <c r="G247" s="901"/>
      <c r="H247" s="901"/>
      <c r="I247" s="901"/>
      <c r="J247" s="901"/>
      <c r="K247" s="901"/>
      <c r="L247" s="901"/>
      <c r="M247" s="901"/>
      <c r="N247" s="901"/>
      <c r="O247" s="901"/>
      <c r="P247" s="901"/>
      <c r="Q247" s="910"/>
      <c r="R247" s="906"/>
      <c r="S247" s="906"/>
    </row>
    <row r="248" ht="15" spans="3:19">
      <c r="C248" s="55" t="s">
        <v>191</v>
      </c>
      <c r="D248" s="55" t="s">
        <v>192</v>
      </c>
      <c r="E248" s="901"/>
      <c r="F248" s="901"/>
      <c r="G248" s="901"/>
      <c r="H248" s="901"/>
      <c r="I248" s="901"/>
      <c r="J248" s="901"/>
      <c r="K248" s="901"/>
      <c r="L248" s="901"/>
      <c r="M248" s="901"/>
      <c r="N248" s="901"/>
      <c r="O248" s="901"/>
      <c r="P248" s="901"/>
      <c r="Q248" s="908">
        <f t="shared" ref="Q248:Q263" si="70">SUM(E248:P248)</f>
        <v>0</v>
      </c>
      <c r="R248" s="906"/>
      <c r="S248" s="906"/>
    </row>
    <row r="249" ht="15" spans="3:19">
      <c r="C249" s="55" t="s">
        <v>193</v>
      </c>
      <c r="D249" s="55" t="s">
        <v>194</v>
      </c>
      <c r="E249" s="901"/>
      <c r="F249" s="901"/>
      <c r="G249" s="901"/>
      <c r="H249" s="901"/>
      <c r="I249" s="901"/>
      <c r="J249" s="901"/>
      <c r="K249" s="901"/>
      <c r="L249" s="901"/>
      <c r="M249" s="901"/>
      <c r="N249" s="901"/>
      <c r="O249" s="901"/>
      <c r="P249" s="901"/>
      <c r="Q249" s="908">
        <f t="shared" si="70"/>
        <v>0</v>
      </c>
      <c r="R249" s="906"/>
      <c r="S249" s="906"/>
    </row>
    <row r="250" ht="15" spans="3:19">
      <c r="C250" s="55" t="s">
        <v>239</v>
      </c>
      <c r="D250" s="55" t="s">
        <v>196</v>
      </c>
      <c r="E250" s="901"/>
      <c r="F250" s="901"/>
      <c r="G250" s="901"/>
      <c r="H250" s="901"/>
      <c r="I250" s="901"/>
      <c r="J250" s="901"/>
      <c r="K250" s="901"/>
      <c r="L250" s="901"/>
      <c r="M250" s="901"/>
      <c r="N250" s="901"/>
      <c r="O250" s="901"/>
      <c r="P250" s="901"/>
      <c r="Q250" s="908">
        <f t="shared" si="70"/>
        <v>0</v>
      </c>
      <c r="R250" s="906"/>
      <c r="S250" s="906"/>
    </row>
    <row r="251" ht="15" spans="3:19">
      <c r="C251" s="55" t="s">
        <v>197</v>
      </c>
      <c r="D251" s="55" t="s">
        <v>198</v>
      </c>
      <c r="E251" s="901"/>
      <c r="F251" s="901"/>
      <c r="G251" s="901"/>
      <c r="H251" s="901"/>
      <c r="I251" s="901"/>
      <c r="J251" s="901"/>
      <c r="K251" s="901"/>
      <c r="L251" s="901"/>
      <c r="M251" s="901"/>
      <c r="N251" s="901"/>
      <c r="O251" s="901"/>
      <c r="P251" s="901"/>
      <c r="Q251" s="908">
        <f t="shared" si="70"/>
        <v>0</v>
      </c>
      <c r="R251" s="906"/>
      <c r="S251" s="906"/>
    </row>
    <row r="252" ht="15" spans="3:19">
      <c r="C252" s="55" t="s">
        <v>199</v>
      </c>
      <c r="D252" s="55" t="s">
        <v>200</v>
      </c>
      <c r="E252" s="901"/>
      <c r="F252" s="901"/>
      <c r="G252" s="901"/>
      <c r="H252" s="901"/>
      <c r="I252" s="901"/>
      <c r="J252" s="901"/>
      <c r="K252" s="901"/>
      <c r="L252" s="901"/>
      <c r="M252" s="901"/>
      <c r="N252" s="901"/>
      <c r="O252" s="901"/>
      <c r="P252" s="901"/>
      <c r="Q252" s="908">
        <f t="shared" si="70"/>
        <v>0</v>
      </c>
      <c r="R252" s="906"/>
      <c r="S252" s="906"/>
    </row>
    <row r="253" ht="15" spans="3:19">
      <c r="C253" s="55" t="s">
        <v>201</v>
      </c>
      <c r="D253" s="55" t="s">
        <v>202</v>
      </c>
      <c r="E253" s="901"/>
      <c r="F253" s="901"/>
      <c r="G253" s="901"/>
      <c r="H253" s="901"/>
      <c r="I253" s="901"/>
      <c r="J253" s="901"/>
      <c r="K253" s="901"/>
      <c r="L253" s="901"/>
      <c r="M253" s="901"/>
      <c r="N253" s="901"/>
      <c r="O253" s="901"/>
      <c r="P253" s="901"/>
      <c r="Q253" s="908">
        <f t="shared" si="70"/>
        <v>0</v>
      </c>
      <c r="R253" s="906"/>
      <c r="S253" s="906"/>
    </row>
    <row r="254" ht="15" spans="3:19">
      <c r="C254" s="55" t="s">
        <v>203</v>
      </c>
      <c r="D254" s="55" t="s">
        <v>204</v>
      </c>
      <c r="E254" s="901"/>
      <c r="F254" s="901"/>
      <c r="G254" s="901"/>
      <c r="H254" s="901"/>
      <c r="I254" s="901"/>
      <c r="J254" s="901"/>
      <c r="K254" s="901"/>
      <c r="L254" s="901"/>
      <c r="M254" s="901"/>
      <c r="N254" s="901"/>
      <c r="O254" s="901"/>
      <c r="P254" s="901"/>
      <c r="Q254" s="908">
        <f t="shared" si="70"/>
        <v>0</v>
      </c>
      <c r="R254" s="906"/>
      <c r="S254" s="906"/>
    </row>
    <row r="255" ht="15" spans="3:19">
      <c r="C255" s="55" t="s">
        <v>205</v>
      </c>
      <c r="D255" s="55" t="s">
        <v>206</v>
      </c>
      <c r="E255" s="901"/>
      <c r="F255" s="901"/>
      <c r="G255" s="901"/>
      <c r="H255" s="901"/>
      <c r="I255" s="901"/>
      <c r="J255" s="901"/>
      <c r="K255" s="901"/>
      <c r="L255" s="901"/>
      <c r="M255" s="901"/>
      <c r="N255" s="901"/>
      <c r="O255" s="901"/>
      <c r="P255" s="901"/>
      <c r="Q255" s="908">
        <f t="shared" si="70"/>
        <v>0</v>
      </c>
      <c r="R255" s="906"/>
      <c r="S255" s="906"/>
    </row>
    <row r="256" ht="15" spans="3:19">
      <c r="C256" s="55" t="s">
        <v>207</v>
      </c>
      <c r="D256" s="55" t="s">
        <v>186</v>
      </c>
      <c r="E256" s="901"/>
      <c r="F256" s="901"/>
      <c r="G256" s="901"/>
      <c r="H256" s="901"/>
      <c r="I256" s="901"/>
      <c r="J256" s="901"/>
      <c r="K256" s="901"/>
      <c r="L256" s="901"/>
      <c r="M256" s="901"/>
      <c r="N256" s="901"/>
      <c r="O256" s="901"/>
      <c r="P256" s="901"/>
      <c r="Q256" s="908">
        <f t="shared" si="70"/>
        <v>0</v>
      </c>
      <c r="R256" s="906"/>
      <c r="S256" s="906"/>
    </row>
    <row r="257" ht="15" spans="3:19">
      <c r="C257" s="55" t="s">
        <v>208</v>
      </c>
      <c r="D257" s="55" t="s">
        <v>209</v>
      </c>
      <c r="E257" s="901"/>
      <c r="F257" s="901"/>
      <c r="G257" s="901"/>
      <c r="H257" s="901"/>
      <c r="I257" s="901"/>
      <c r="J257" s="901"/>
      <c r="K257" s="901"/>
      <c r="L257" s="901"/>
      <c r="M257" s="901"/>
      <c r="N257" s="901"/>
      <c r="O257" s="901"/>
      <c r="P257" s="901"/>
      <c r="Q257" s="908">
        <f t="shared" si="70"/>
        <v>0</v>
      </c>
      <c r="R257" s="906"/>
      <c r="S257" s="906"/>
    </row>
    <row r="258" ht="15" spans="3:19">
      <c r="C258" s="55" t="s">
        <v>210</v>
      </c>
      <c r="D258" s="55" t="s">
        <v>188</v>
      </c>
      <c r="E258" s="901"/>
      <c r="F258" s="901"/>
      <c r="G258" s="901"/>
      <c r="H258" s="901"/>
      <c r="I258" s="901"/>
      <c r="J258" s="901"/>
      <c r="K258" s="901"/>
      <c r="L258" s="901"/>
      <c r="M258" s="901"/>
      <c r="N258" s="901"/>
      <c r="O258" s="901"/>
      <c r="P258" s="901"/>
      <c r="Q258" s="908">
        <f t="shared" si="70"/>
        <v>0</v>
      </c>
      <c r="R258" s="906"/>
      <c r="S258" s="906"/>
    </row>
    <row r="259" ht="15" spans="3:19">
      <c r="C259" s="55"/>
      <c r="D259" s="55"/>
      <c r="E259" s="901"/>
      <c r="F259" s="901"/>
      <c r="G259" s="901"/>
      <c r="H259" s="901"/>
      <c r="I259" s="901"/>
      <c r="J259" s="901"/>
      <c r="K259" s="901"/>
      <c r="L259" s="901"/>
      <c r="M259" s="901"/>
      <c r="N259" s="901"/>
      <c r="O259" s="901"/>
      <c r="P259" s="901"/>
      <c r="Q259" s="908">
        <f t="shared" si="70"/>
        <v>0</v>
      </c>
      <c r="R259" s="906"/>
      <c r="S259" s="906"/>
    </row>
    <row r="260" ht="15" spans="3:19">
      <c r="C260" s="55"/>
      <c r="D260" s="55"/>
      <c r="E260" s="901"/>
      <c r="F260" s="901"/>
      <c r="G260" s="901"/>
      <c r="H260" s="901"/>
      <c r="I260" s="901"/>
      <c r="J260" s="901"/>
      <c r="K260" s="901"/>
      <c r="L260" s="901"/>
      <c r="M260" s="901"/>
      <c r="N260" s="901"/>
      <c r="O260" s="901"/>
      <c r="P260" s="901"/>
      <c r="Q260" s="908">
        <f t="shared" si="70"/>
        <v>0</v>
      </c>
      <c r="R260" s="906"/>
      <c r="S260" s="906"/>
    </row>
    <row r="261" ht="15" spans="3:19">
      <c r="C261" s="55"/>
      <c r="D261" s="55"/>
      <c r="E261" s="901"/>
      <c r="F261" s="901"/>
      <c r="G261" s="901"/>
      <c r="H261" s="901"/>
      <c r="I261" s="901"/>
      <c r="J261" s="901"/>
      <c r="K261" s="901"/>
      <c r="L261" s="901"/>
      <c r="M261" s="901"/>
      <c r="N261" s="901"/>
      <c r="O261" s="901"/>
      <c r="P261" s="901"/>
      <c r="Q261" s="908">
        <f t="shared" si="70"/>
        <v>0</v>
      </c>
      <c r="R261" s="906"/>
      <c r="S261" s="906"/>
    </row>
    <row r="262" ht="15" spans="3:19">
      <c r="C262" s="55" t="s">
        <v>258</v>
      </c>
      <c r="D262" s="55" t="s">
        <v>258</v>
      </c>
      <c r="E262" s="901"/>
      <c r="F262" s="901"/>
      <c r="G262" s="901"/>
      <c r="H262" s="901"/>
      <c r="I262" s="901"/>
      <c r="J262" s="901"/>
      <c r="K262" s="901"/>
      <c r="L262" s="901"/>
      <c r="M262" s="901"/>
      <c r="N262" s="901"/>
      <c r="O262" s="901"/>
      <c r="P262" s="901"/>
      <c r="Q262" s="908">
        <f t="shared" si="70"/>
        <v>0</v>
      </c>
      <c r="R262" s="906"/>
      <c r="S262" s="906"/>
    </row>
    <row r="263" ht="15" spans="3:19">
      <c r="C263" s="537" t="s">
        <v>211</v>
      </c>
      <c r="D263" s="540"/>
      <c r="E263" s="908">
        <f t="shared" ref="E263:P263" si="71">SUM(E248:E262)</f>
        <v>0</v>
      </c>
      <c r="F263" s="908">
        <f t="shared" si="71"/>
        <v>0</v>
      </c>
      <c r="G263" s="908">
        <f t="shared" si="71"/>
        <v>0</v>
      </c>
      <c r="H263" s="908">
        <f t="shared" si="71"/>
        <v>0</v>
      </c>
      <c r="I263" s="908">
        <f t="shared" si="71"/>
        <v>0</v>
      </c>
      <c r="J263" s="908">
        <f t="shared" si="71"/>
        <v>0</v>
      </c>
      <c r="K263" s="908">
        <f t="shared" si="71"/>
        <v>0</v>
      </c>
      <c r="L263" s="908">
        <f t="shared" si="71"/>
        <v>0</v>
      </c>
      <c r="M263" s="908">
        <f t="shared" si="71"/>
        <v>0</v>
      </c>
      <c r="N263" s="908">
        <f t="shared" si="71"/>
        <v>0</v>
      </c>
      <c r="O263" s="908">
        <f t="shared" si="71"/>
        <v>0</v>
      </c>
      <c r="P263" s="908">
        <f t="shared" si="71"/>
        <v>0</v>
      </c>
      <c r="Q263" s="908">
        <f t="shared" si="70"/>
        <v>0</v>
      </c>
      <c r="R263" s="906"/>
      <c r="S263" s="906"/>
    </row>
    <row r="264" ht="15" spans="3:19">
      <c r="C264" s="44" t="s">
        <v>212</v>
      </c>
      <c r="D264" s="45"/>
      <c r="E264" s="901"/>
      <c r="F264" s="901"/>
      <c r="G264" s="901"/>
      <c r="H264" s="901"/>
      <c r="I264" s="901"/>
      <c r="J264" s="901"/>
      <c r="K264" s="901"/>
      <c r="L264" s="901"/>
      <c r="M264" s="901"/>
      <c r="N264" s="901"/>
      <c r="O264" s="901"/>
      <c r="P264" s="901"/>
      <c r="Q264" s="910"/>
      <c r="R264" s="906"/>
      <c r="S264" s="906"/>
    </row>
    <row r="265" ht="15" spans="3:19">
      <c r="C265" s="55" t="s">
        <v>191</v>
      </c>
      <c r="D265" s="55" t="s">
        <v>192</v>
      </c>
      <c r="E265" s="901"/>
      <c r="F265" s="901"/>
      <c r="G265" s="901"/>
      <c r="H265" s="901"/>
      <c r="I265" s="901"/>
      <c r="J265" s="901"/>
      <c r="K265" s="901"/>
      <c r="L265" s="901"/>
      <c r="M265" s="901"/>
      <c r="N265" s="901"/>
      <c r="O265" s="901"/>
      <c r="P265" s="901"/>
      <c r="Q265" s="908">
        <f t="shared" ref="Q265:Q280" si="72">SUM(E265:P265)</f>
        <v>0</v>
      </c>
      <c r="R265" s="906"/>
      <c r="S265" s="906"/>
    </row>
    <row r="266" ht="15" spans="3:19">
      <c r="C266" s="55" t="s">
        <v>193</v>
      </c>
      <c r="D266" s="55" t="s">
        <v>194</v>
      </c>
      <c r="E266" s="901"/>
      <c r="F266" s="901"/>
      <c r="G266" s="901"/>
      <c r="H266" s="901"/>
      <c r="I266" s="901"/>
      <c r="J266" s="901"/>
      <c r="K266" s="901"/>
      <c r="L266" s="901"/>
      <c r="M266" s="901"/>
      <c r="N266" s="901"/>
      <c r="O266" s="901"/>
      <c r="P266" s="901"/>
      <c r="Q266" s="908">
        <f t="shared" si="72"/>
        <v>0</v>
      </c>
      <c r="R266" s="906"/>
      <c r="S266" s="906"/>
    </row>
    <row r="267" ht="15" spans="3:19">
      <c r="C267" s="55" t="s">
        <v>239</v>
      </c>
      <c r="D267" s="55" t="s">
        <v>196</v>
      </c>
      <c r="E267" s="901"/>
      <c r="F267" s="901"/>
      <c r="G267" s="901"/>
      <c r="H267" s="901"/>
      <c r="I267" s="901"/>
      <c r="J267" s="901"/>
      <c r="K267" s="901"/>
      <c r="L267" s="901"/>
      <c r="M267" s="901"/>
      <c r="N267" s="901"/>
      <c r="O267" s="901"/>
      <c r="P267" s="901"/>
      <c r="Q267" s="908">
        <f t="shared" si="72"/>
        <v>0</v>
      </c>
      <c r="R267" s="906"/>
      <c r="S267" s="906"/>
    </row>
    <row r="268" ht="15" spans="3:19">
      <c r="C268" s="55" t="s">
        <v>197</v>
      </c>
      <c r="D268" s="55" t="s">
        <v>198</v>
      </c>
      <c r="E268" s="901"/>
      <c r="F268" s="901"/>
      <c r="G268" s="901"/>
      <c r="H268" s="901"/>
      <c r="I268" s="901"/>
      <c r="J268" s="901"/>
      <c r="K268" s="901"/>
      <c r="L268" s="901"/>
      <c r="M268" s="901"/>
      <c r="N268" s="901"/>
      <c r="O268" s="901"/>
      <c r="P268" s="901"/>
      <c r="Q268" s="908">
        <f t="shared" si="72"/>
        <v>0</v>
      </c>
      <c r="R268" s="906"/>
      <c r="S268" s="906"/>
    </row>
    <row r="269" ht="15" spans="3:19">
      <c r="C269" s="55" t="s">
        <v>199</v>
      </c>
      <c r="D269" s="55" t="s">
        <v>200</v>
      </c>
      <c r="E269" s="901"/>
      <c r="F269" s="901"/>
      <c r="G269" s="901"/>
      <c r="H269" s="901"/>
      <c r="I269" s="901"/>
      <c r="J269" s="901"/>
      <c r="K269" s="901"/>
      <c r="L269" s="901"/>
      <c r="M269" s="901"/>
      <c r="N269" s="901"/>
      <c r="O269" s="901"/>
      <c r="P269" s="901"/>
      <c r="Q269" s="908">
        <f t="shared" si="72"/>
        <v>0</v>
      </c>
      <c r="R269" s="906"/>
      <c r="S269" s="906"/>
    </row>
    <row r="270" ht="15" spans="3:19">
      <c r="C270" s="55" t="s">
        <v>201</v>
      </c>
      <c r="D270" s="55" t="s">
        <v>202</v>
      </c>
      <c r="E270" s="901"/>
      <c r="F270" s="901"/>
      <c r="G270" s="901"/>
      <c r="H270" s="901"/>
      <c r="I270" s="901"/>
      <c r="J270" s="901"/>
      <c r="K270" s="901"/>
      <c r="L270" s="901"/>
      <c r="M270" s="901"/>
      <c r="N270" s="901"/>
      <c r="O270" s="901"/>
      <c r="P270" s="901"/>
      <c r="Q270" s="908">
        <f t="shared" si="72"/>
        <v>0</v>
      </c>
      <c r="R270" s="906"/>
      <c r="S270" s="906"/>
    </row>
    <row r="271" ht="15" spans="3:19">
      <c r="C271" s="55" t="s">
        <v>203</v>
      </c>
      <c r="D271" s="55" t="s">
        <v>204</v>
      </c>
      <c r="E271" s="901"/>
      <c r="F271" s="901"/>
      <c r="G271" s="901"/>
      <c r="H271" s="901"/>
      <c r="I271" s="901"/>
      <c r="J271" s="901"/>
      <c r="K271" s="901"/>
      <c r="L271" s="901"/>
      <c r="M271" s="901"/>
      <c r="N271" s="901"/>
      <c r="O271" s="901"/>
      <c r="P271" s="901"/>
      <c r="Q271" s="908">
        <f t="shared" si="72"/>
        <v>0</v>
      </c>
      <c r="R271" s="906"/>
      <c r="S271" s="906"/>
    </row>
    <row r="272" ht="15" spans="3:19">
      <c r="C272" s="55" t="s">
        <v>205</v>
      </c>
      <c r="D272" s="55" t="s">
        <v>206</v>
      </c>
      <c r="E272" s="901"/>
      <c r="F272" s="901"/>
      <c r="G272" s="901"/>
      <c r="H272" s="901"/>
      <c r="I272" s="901"/>
      <c r="J272" s="901"/>
      <c r="K272" s="901"/>
      <c r="L272" s="901"/>
      <c r="M272" s="901"/>
      <c r="N272" s="901"/>
      <c r="O272" s="901"/>
      <c r="P272" s="901"/>
      <c r="Q272" s="908">
        <f t="shared" si="72"/>
        <v>0</v>
      </c>
      <c r="R272" s="906"/>
      <c r="S272" s="906"/>
    </row>
    <row r="273" ht="15" spans="3:19">
      <c r="C273" s="55" t="s">
        <v>231</v>
      </c>
      <c r="D273" s="55" t="s">
        <v>186</v>
      </c>
      <c r="E273" s="901"/>
      <c r="F273" s="901"/>
      <c r="G273" s="901"/>
      <c r="H273" s="901"/>
      <c r="I273" s="901"/>
      <c r="J273" s="901"/>
      <c r="K273" s="901"/>
      <c r="L273" s="901"/>
      <c r="M273" s="901"/>
      <c r="N273" s="901"/>
      <c r="O273" s="901"/>
      <c r="P273" s="901"/>
      <c r="Q273" s="908">
        <f t="shared" si="72"/>
        <v>0</v>
      </c>
      <c r="R273" s="906"/>
      <c r="S273" s="906"/>
    </row>
    <row r="274" ht="15" spans="3:19">
      <c r="C274" s="55" t="s">
        <v>208</v>
      </c>
      <c r="D274" s="55" t="s">
        <v>209</v>
      </c>
      <c r="E274" s="901"/>
      <c r="F274" s="901"/>
      <c r="G274" s="901"/>
      <c r="H274" s="901"/>
      <c r="I274" s="901"/>
      <c r="J274" s="901"/>
      <c r="K274" s="901"/>
      <c r="L274" s="901"/>
      <c r="M274" s="901"/>
      <c r="N274" s="901"/>
      <c r="O274" s="901"/>
      <c r="P274" s="901"/>
      <c r="Q274" s="908">
        <f t="shared" si="72"/>
        <v>0</v>
      </c>
      <c r="R274" s="906"/>
      <c r="S274" s="906"/>
    </row>
    <row r="275" ht="15" spans="3:19">
      <c r="C275" s="55" t="s">
        <v>210</v>
      </c>
      <c r="D275" s="55" t="s">
        <v>188</v>
      </c>
      <c r="E275" s="901"/>
      <c r="F275" s="901"/>
      <c r="G275" s="901"/>
      <c r="H275" s="901"/>
      <c r="I275" s="901"/>
      <c r="J275" s="901"/>
      <c r="K275" s="901"/>
      <c r="L275" s="901"/>
      <c r="M275" s="901"/>
      <c r="N275" s="901"/>
      <c r="O275" s="901"/>
      <c r="P275" s="901"/>
      <c r="Q275" s="908">
        <f t="shared" si="72"/>
        <v>0</v>
      </c>
      <c r="R275" s="906"/>
      <c r="S275" s="906"/>
    </row>
    <row r="276" ht="15" spans="3:19">
      <c r="C276" s="55"/>
      <c r="D276" s="55"/>
      <c r="E276" s="901"/>
      <c r="F276" s="901"/>
      <c r="G276" s="901"/>
      <c r="H276" s="901"/>
      <c r="I276" s="901"/>
      <c r="J276" s="901"/>
      <c r="K276" s="901"/>
      <c r="L276" s="901"/>
      <c r="M276" s="901"/>
      <c r="N276" s="901"/>
      <c r="O276" s="901"/>
      <c r="P276" s="901"/>
      <c r="Q276" s="908">
        <f t="shared" si="72"/>
        <v>0</v>
      </c>
      <c r="R276" s="906"/>
      <c r="S276" s="906"/>
    </row>
    <row r="277" ht="15" spans="3:19">
      <c r="C277" s="55"/>
      <c r="D277" s="55"/>
      <c r="E277" s="901"/>
      <c r="F277" s="901"/>
      <c r="G277" s="901"/>
      <c r="H277" s="901"/>
      <c r="I277" s="901"/>
      <c r="J277" s="901"/>
      <c r="K277" s="901"/>
      <c r="L277" s="901"/>
      <c r="M277" s="901"/>
      <c r="N277" s="901"/>
      <c r="O277" s="901"/>
      <c r="P277" s="901"/>
      <c r="Q277" s="908">
        <f t="shared" si="72"/>
        <v>0</v>
      </c>
      <c r="R277" s="906"/>
      <c r="S277" s="906"/>
    </row>
    <row r="278" ht="15" spans="3:19">
      <c r="C278" s="55"/>
      <c r="D278" s="55"/>
      <c r="E278" s="901"/>
      <c r="F278" s="901"/>
      <c r="G278" s="901"/>
      <c r="H278" s="901"/>
      <c r="I278" s="901"/>
      <c r="J278" s="901"/>
      <c r="K278" s="901"/>
      <c r="L278" s="901"/>
      <c r="M278" s="901"/>
      <c r="N278" s="901"/>
      <c r="O278" s="901"/>
      <c r="P278" s="901"/>
      <c r="Q278" s="908">
        <f t="shared" si="72"/>
        <v>0</v>
      </c>
      <c r="R278" s="906"/>
      <c r="S278" s="906"/>
    </row>
    <row r="279" ht="15" spans="3:19">
      <c r="C279" s="55" t="s">
        <v>258</v>
      </c>
      <c r="D279" s="55" t="s">
        <v>258</v>
      </c>
      <c r="E279" s="901"/>
      <c r="F279" s="901"/>
      <c r="G279" s="901"/>
      <c r="H279" s="901"/>
      <c r="I279" s="901"/>
      <c r="J279" s="901"/>
      <c r="K279" s="901"/>
      <c r="L279" s="901"/>
      <c r="M279" s="901"/>
      <c r="N279" s="901"/>
      <c r="O279" s="901"/>
      <c r="P279" s="901"/>
      <c r="Q279" s="908">
        <f t="shared" si="72"/>
        <v>0</v>
      </c>
      <c r="R279" s="906"/>
      <c r="S279" s="906"/>
    </row>
    <row r="280" ht="15" spans="3:19">
      <c r="C280" s="537" t="s">
        <v>211</v>
      </c>
      <c r="D280" s="540"/>
      <c r="E280" s="908">
        <f t="shared" ref="E280:P280" si="73">SUM(E265:E279)</f>
        <v>0</v>
      </c>
      <c r="F280" s="908">
        <f t="shared" si="73"/>
        <v>0</v>
      </c>
      <c r="G280" s="908">
        <f t="shared" si="73"/>
        <v>0</v>
      </c>
      <c r="H280" s="908">
        <f t="shared" si="73"/>
        <v>0</v>
      </c>
      <c r="I280" s="908">
        <f t="shared" si="73"/>
        <v>0</v>
      </c>
      <c r="J280" s="908">
        <f t="shared" si="73"/>
        <v>0</v>
      </c>
      <c r="K280" s="908">
        <f t="shared" si="73"/>
        <v>0</v>
      </c>
      <c r="L280" s="908">
        <f t="shared" si="73"/>
        <v>0</v>
      </c>
      <c r="M280" s="908">
        <f t="shared" si="73"/>
        <v>0</v>
      </c>
      <c r="N280" s="908">
        <f t="shared" si="73"/>
        <v>0</v>
      </c>
      <c r="O280" s="908">
        <f t="shared" si="73"/>
        <v>0</v>
      </c>
      <c r="P280" s="908">
        <f t="shared" si="73"/>
        <v>0</v>
      </c>
      <c r="Q280" s="908">
        <f t="shared" si="72"/>
        <v>0</v>
      </c>
      <c r="R280" s="906"/>
      <c r="S280" s="906"/>
    </row>
    <row r="281" ht="15" spans="3:19">
      <c r="C281" s="44" t="s">
        <v>219</v>
      </c>
      <c r="D281" s="45"/>
      <c r="E281" s="901"/>
      <c r="F281" s="901"/>
      <c r="G281" s="901"/>
      <c r="H281" s="901"/>
      <c r="I281" s="901"/>
      <c r="J281" s="901"/>
      <c r="K281" s="901"/>
      <c r="L281" s="901"/>
      <c r="M281" s="901"/>
      <c r="N281" s="901"/>
      <c r="O281" s="901"/>
      <c r="P281" s="901"/>
      <c r="Q281" s="910"/>
      <c r="R281" s="906"/>
      <c r="S281" s="906"/>
    </row>
    <row r="282" ht="15" spans="3:19">
      <c r="C282" s="55" t="s">
        <v>191</v>
      </c>
      <c r="D282" s="55" t="s">
        <v>192</v>
      </c>
      <c r="E282" s="901"/>
      <c r="F282" s="901"/>
      <c r="G282" s="901"/>
      <c r="H282" s="901"/>
      <c r="I282" s="901"/>
      <c r="J282" s="901"/>
      <c r="K282" s="901"/>
      <c r="L282" s="901"/>
      <c r="M282" s="901"/>
      <c r="N282" s="901"/>
      <c r="O282" s="901"/>
      <c r="P282" s="901"/>
      <c r="Q282" s="908">
        <f t="shared" ref="Q282:Q301" si="74">SUM(E282:P282)</f>
        <v>0</v>
      </c>
      <c r="R282" s="906"/>
      <c r="S282" s="906"/>
    </row>
    <row r="283" ht="15" spans="3:19">
      <c r="C283" s="55" t="s">
        <v>193</v>
      </c>
      <c r="D283" s="55" t="s">
        <v>194</v>
      </c>
      <c r="E283" s="901"/>
      <c r="F283" s="901"/>
      <c r="G283" s="901"/>
      <c r="H283" s="901"/>
      <c r="I283" s="901"/>
      <c r="J283" s="901"/>
      <c r="K283" s="901"/>
      <c r="L283" s="901"/>
      <c r="M283" s="901"/>
      <c r="N283" s="901"/>
      <c r="O283" s="901"/>
      <c r="P283" s="901"/>
      <c r="Q283" s="908">
        <f t="shared" si="74"/>
        <v>0</v>
      </c>
      <c r="R283" s="906"/>
      <c r="S283" s="906"/>
    </row>
    <row r="284" ht="15" spans="3:19">
      <c r="C284" s="55" t="s">
        <v>239</v>
      </c>
      <c r="D284" s="55" t="s">
        <v>196</v>
      </c>
      <c r="E284" s="901"/>
      <c r="F284" s="901"/>
      <c r="G284" s="901"/>
      <c r="H284" s="901"/>
      <c r="I284" s="901"/>
      <c r="J284" s="901"/>
      <c r="K284" s="901"/>
      <c r="L284" s="901"/>
      <c r="M284" s="901"/>
      <c r="N284" s="901"/>
      <c r="O284" s="901"/>
      <c r="P284" s="901"/>
      <c r="Q284" s="908">
        <f t="shared" si="74"/>
        <v>0</v>
      </c>
      <c r="R284" s="906"/>
      <c r="S284" s="906"/>
    </row>
    <row r="285" ht="15" spans="3:19">
      <c r="C285" s="55" t="s">
        <v>197</v>
      </c>
      <c r="D285" s="55" t="s">
        <v>198</v>
      </c>
      <c r="E285" s="901"/>
      <c r="F285" s="901"/>
      <c r="G285" s="901"/>
      <c r="H285" s="901"/>
      <c r="I285" s="901"/>
      <c r="J285" s="901"/>
      <c r="K285" s="901"/>
      <c r="L285" s="901"/>
      <c r="M285" s="901"/>
      <c r="N285" s="901"/>
      <c r="O285" s="901"/>
      <c r="P285" s="901"/>
      <c r="Q285" s="908">
        <f t="shared" si="74"/>
        <v>0</v>
      </c>
      <c r="R285" s="906"/>
      <c r="S285" s="906"/>
    </row>
    <row r="286" ht="15" spans="3:19">
      <c r="C286" s="55" t="s">
        <v>199</v>
      </c>
      <c r="D286" s="55" t="s">
        <v>200</v>
      </c>
      <c r="E286" s="901"/>
      <c r="F286" s="901"/>
      <c r="G286" s="901"/>
      <c r="H286" s="901"/>
      <c r="I286" s="901"/>
      <c r="J286" s="901"/>
      <c r="K286" s="901"/>
      <c r="L286" s="901"/>
      <c r="M286" s="901"/>
      <c r="N286" s="901"/>
      <c r="O286" s="901"/>
      <c r="P286" s="901"/>
      <c r="Q286" s="908">
        <f t="shared" si="74"/>
        <v>0</v>
      </c>
      <c r="R286" s="906"/>
      <c r="S286" s="906"/>
    </row>
    <row r="287" ht="15" spans="3:19">
      <c r="C287" s="55" t="s">
        <v>201</v>
      </c>
      <c r="D287" s="55" t="s">
        <v>240</v>
      </c>
      <c r="E287" s="901"/>
      <c r="F287" s="901"/>
      <c r="G287" s="901"/>
      <c r="H287" s="901"/>
      <c r="I287" s="901"/>
      <c r="J287" s="901"/>
      <c r="K287" s="901"/>
      <c r="L287" s="901"/>
      <c r="M287" s="901"/>
      <c r="N287" s="901"/>
      <c r="O287" s="901"/>
      <c r="P287" s="901"/>
      <c r="Q287" s="908">
        <f t="shared" si="74"/>
        <v>0</v>
      </c>
      <c r="R287" s="906"/>
      <c r="S287" s="906"/>
    </row>
    <row r="288" ht="15" spans="3:19">
      <c r="C288" s="55" t="s">
        <v>203</v>
      </c>
      <c r="D288" s="55" t="s">
        <v>220</v>
      </c>
      <c r="E288" s="901"/>
      <c r="F288" s="901"/>
      <c r="G288" s="901"/>
      <c r="H288" s="901"/>
      <c r="I288" s="901"/>
      <c r="J288" s="901"/>
      <c r="K288" s="901"/>
      <c r="L288" s="901"/>
      <c r="M288" s="901"/>
      <c r="N288" s="901"/>
      <c r="O288" s="901"/>
      <c r="P288" s="901"/>
      <c r="Q288" s="908">
        <f t="shared" si="74"/>
        <v>0</v>
      </c>
      <c r="R288" s="906"/>
      <c r="S288" s="906"/>
    </row>
    <row r="289" ht="15" spans="3:19">
      <c r="C289" s="55" t="s">
        <v>241</v>
      </c>
      <c r="D289" s="55" t="s">
        <v>229</v>
      </c>
      <c r="E289" s="901"/>
      <c r="F289" s="901"/>
      <c r="G289" s="901"/>
      <c r="H289" s="901"/>
      <c r="I289" s="901"/>
      <c r="J289" s="901"/>
      <c r="K289" s="901"/>
      <c r="L289" s="901"/>
      <c r="M289" s="901"/>
      <c r="N289" s="901"/>
      <c r="O289" s="901"/>
      <c r="P289" s="901"/>
      <c r="Q289" s="908">
        <f t="shared" si="74"/>
        <v>0</v>
      </c>
      <c r="R289" s="906"/>
      <c r="S289" s="906"/>
    </row>
    <row r="290" ht="15" spans="3:19">
      <c r="C290" s="55" t="s">
        <v>259</v>
      </c>
      <c r="D290" s="55" t="s">
        <v>243</v>
      </c>
      <c r="E290" s="901"/>
      <c r="F290" s="901"/>
      <c r="G290" s="901"/>
      <c r="H290" s="901"/>
      <c r="I290" s="901"/>
      <c r="J290" s="901"/>
      <c r="K290" s="901"/>
      <c r="L290" s="901"/>
      <c r="M290" s="901"/>
      <c r="N290" s="901"/>
      <c r="O290" s="901"/>
      <c r="P290" s="901"/>
      <c r="Q290" s="908">
        <f t="shared" si="74"/>
        <v>0</v>
      </c>
      <c r="R290" s="906"/>
      <c r="S290" s="906"/>
    </row>
    <row r="291" ht="15" spans="3:19">
      <c r="C291" s="55" t="s">
        <v>205</v>
      </c>
      <c r="D291" s="55" t="s">
        <v>206</v>
      </c>
      <c r="E291" s="901"/>
      <c r="F291" s="901"/>
      <c r="G291" s="901"/>
      <c r="H291" s="901"/>
      <c r="I291" s="901"/>
      <c r="J291" s="901"/>
      <c r="K291" s="901"/>
      <c r="L291" s="901"/>
      <c r="M291" s="901"/>
      <c r="N291" s="901"/>
      <c r="O291" s="901"/>
      <c r="P291" s="901"/>
      <c r="Q291" s="908">
        <f t="shared" si="74"/>
        <v>0</v>
      </c>
      <c r="R291" s="906"/>
      <c r="S291" s="906"/>
    </row>
    <row r="292" ht="15" spans="3:19">
      <c r="C292" s="55" t="s">
        <v>207</v>
      </c>
      <c r="D292" s="55" t="s">
        <v>186</v>
      </c>
      <c r="E292" s="901"/>
      <c r="F292" s="901"/>
      <c r="G292" s="901"/>
      <c r="H292" s="901"/>
      <c r="I292" s="901"/>
      <c r="J292" s="901"/>
      <c r="K292" s="901"/>
      <c r="L292" s="901"/>
      <c r="M292" s="901"/>
      <c r="N292" s="901"/>
      <c r="O292" s="901"/>
      <c r="P292" s="901"/>
      <c r="Q292" s="908">
        <f t="shared" si="74"/>
        <v>0</v>
      </c>
      <c r="R292" s="906"/>
      <c r="S292" s="906"/>
    </row>
    <row r="293" ht="15" spans="3:19">
      <c r="C293" s="55" t="s">
        <v>208</v>
      </c>
      <c r="D293" s="55" t="s">
        <v>209</v>
      </c>
      <c r="E293" s="901"/>
      <c r="F293" s="901"/>
      <c r="G293" s="901"/>
      <c r="H293" s="901"/>
      <c r="I293" s="901"/>
      <c r="J293" s="901"/>
      <c r="K293" s="901"/>
      <c r="L293" s="901"/>
      <c r="M293" s="901"/>
      <c r="N293" s="901"/>
      <c r="O293" s="901"/>
      <c r="P293" s="901"/>
      <c r="Q293" s="908">
        <f t="shared" si="74"/>
        <v>0</v>
      </c>
      <c r="R293" s="906"/>
      <c r="S293" s="906"/>
    </row>
    <row r="294" ht="15" spans="3:19">
      <c r="C294" s="55" t="s">
        <v>210</v>
      </c>
      <c r="D294" s="55" t="s">
        <v>188</v>
      </c>
      <c r="E294" s="901"/>
      <c r="F294" s="901"/>
      <c r="G294" s="901"/>
      <c r="H294" s="901"/>
      <c r="I294" s="901"/>
      <c r="J294" s="901"/>
      <c r="K294" s="901"/>
      <c r="L294" s="901"/>
      <c r="M294" s="901"/>
      <c r="N294" s="901"/>
      <c r="O294" s="901"/>
      <c r="P294" s="901"/>
      <c r="Q294" s="908">
        <f t="shared" si="74"/>
        <v>0</v>
      </c>
      <c r="R294" s="906"/>
      <c r="S294" s="906"/>
    </row>
    <row r="295" ht="15" spans="3:19">
      <c r="C295" s="55"/>
      <c r="D295" s="55"/>
      <c r="E295" s="901"/>
      <c r="F295" s="901"/>
      <c r="G295" s="901"/>
      <c r="H295" s="901"/>
      <c r="I295" s="901"/>
      <c r="J295" s="901"/>
      <c r="K295" s="901"/>
      <c r="L295" s="901"/>
      <c r="M295" s="901"/>
      <c r="N295" s="901"/>
      <c r="O295" s="901"/>
      <c r="P295" s="901"/>
      <c r="Q295" s="908">
        <f t="shared" si="74"/>
        <v>0</v>
      </c>
      <c r="R295" s="906"/>
      <c r="S295" s="906"/>
    </row>
    <row r="296" ht="15" spans="3:19">
      <c r="C296" s="55"/>
      <c r="D296" s="55"/>
      <c r="E296" s="901"/>
      <c r="F296" s="901"/>
      <c r="G296" s="901"/>
      <c r="H296" s="901"/>
      <c r="I296" s="901"/>
      <c r="J296" s="901"/>
      <c r="K296" s="901"/>
      <c r="L296" s="901"/>
      <c r="M296" s="901"/>
      <c r="N296" s="901"/>
      <c r="O296" s="901"/>
      <c r="P296" s="901"/>
      <c r="Q296" s="908">
        <f t="shared" si="74"/>
        <v>0</v>
      </c>
      <c r="R296" s="906"/>
      <c r="S296" s="906"/>
    </row>
    <row r="297" ht="15" spans="3:19">
      <c r="C297" s="55"/>
      <c r="D297" s="55"/>
      <c r="E297" s="901"/>
      <c r="F297" s="901"/>
      <c r="G297" s="901"/>
      <c r="H297" s="901"/>
      <c r="I297" s="901"/>
      <c r="J297" s="901"/>
      <c r="K297" s="901"/>
      <c r="L297" s="901"/>
      <c r="M297" s="901"/>
      <c r="N297" s="901"/>
      <c r="O297" s="901"/>
      <c r="P297" s="901"/>
      <c r="Q297" s="908">
        <f t="shared" si="74"/>
        <v>0</v>
      </c>
      <c r="R297" s="906"/>
      <c r="S297" s="906"/>
    </row>
    <row r="298" ht="15" spans="3:19">
      <c r="C298" s="55" t="s">
        <v>258</v>
      </c>
      <c r="D298" s="55" t="s">
        <v>258</v>
      </c>
      <c r="E298" s="901"/>
      <c r="F298" s="901"/>
      <c r="G298" s="901"/>
      <c r="H298" s="901"/>
      <c r="I298" s="901"/>
      <c r="J298" s="901"/>
      <c r="K298" s="901"/>
      <c r="L298" s="901"/>
      <c r="M298" s="901"/>
      <c r="N298" s="901"/>
      <c r="O298" s="901"/>
      <c r="P298" s="901"/>
      <c r="Q298" s="908">
        <f t="shared" si="74"/>
        <v>0</v>
      </c>
      <c r="R298" s="906"/>
      <c r="S298" s="906"/>
    </row>
    <row r="299" ht="15" spans="3:19">
      <c r="C299" s="537" t="s">
        <v>211</v>
      </c>
      <c r="D299" s="540"/>
      <c r="E299" s="908">
        <f t="shared" ref="E299:P299" si="75">SUM(E282:E298)</f>
        <v>0</v>
      </c>
      <c r="F299" s="908">
        <f t="shared" si="75"/>
        <v>0</v>
      </c>
      <c r="G299" s="908">
        <f t="shared" si="75"/>
        <v>0</v>
      </c>
      <c r="H299" s="908">
        <f t="shared" si="75"/>
        <v>0</v>
      </c>
      <c r="I299" s="908">
        <f t="shared" si="75"/>
        <v>0</v>
      </c>
      <c r="J299" s="908">
        <f t="shared" si="75"/>
        <v>0</v>
      </c>
      <c r="K299" s="908">
        <f t="shared" si="75"/>
        <v>0</v>
      </c>
      <c r="L299" s="908">
        <f t="shared" si="75"/>
        <v>0</v>
      </c>
      <c r="M299" s="908">
        <f t="shared" si="75"/>
        <v>0</v>
      </c>
      <c r="N299" s="908">
        <f t="shared" si="75"/>
        <v>0</v>
      </c>
      <c r="O299" s="908">
        <f t="shared" si="75"/>
        <v>0</v>
      </c>
      <c r="P299" s="908">
        <f t="shared" si="75"/>
        <v>0</v>
      </c>
      <c r="Q299" s="908">
        <f t="shared" si="74"/>
        <v>0</v>
      </c>
      <c r="R299" s="906"/>
      <c r="S299" s="906"/>
    </row>
    <row r="300" ht="15" spans="3:19">
      <c r="C300" s="537" t="s">
        <v>223</v>
      </c>
      <c r="D300" s="540"/>
      <c r="E300" s="908">
        <f t="shared" ref="E300:P300" si="76">E299+E280+E263</f>
        <v>0</v>
      </c>
      <c r="F300" s="908">
        <f t="shared" si="76"/>
        <v>0</v>
      </c>
      <c r="G300" s="908">
        <f t="shared" si="76"/>
        <v>0</v>
      </c>
      <c r="H300" s="908">
        <f t="shared" si="76"/>
        <v>0</v>
      </c>
      <c r="I300" s="908">
        <f t="shared" si="76"/>
        <v>0</v>
      </c>
      <c r="J300" s="908">
        <f t="shared" si="76"/>
        <v>0</v>
      </c>
      <c r="K300" s="908">
        <f t="shared" si="76"/>
        <v>0</v>
      </c>
      <c r="L300" s="908">
        <f t="shared" si="76"/>
        <v>0</v>
      </c>
      <c r="M300" s="908">
        <f t="shared" si="76"/>
        <v>0</v>
      </c>
      <c r="N300" s="908">
        <f t="shared" si="76"/>
        <v>0</v>
      </c>
      <c r="O300" s="908">
        <f t="shared" si="76"/>
        <v>0</v>
      </c>
      <c r="P300" s="908">
        <f t="shared" si="76"/>
        <v>0</v>
      </c>
      <c r="Q300" s="908">
        <f t="shared" si="74"/>
        <v>0</v>
      </c>
      <c r="R300" s="906"/>
      <c r="S300" s="906"/>
    </row>
    <row r="301" ht="15" spans="3:19">
      <c r="C301" s="537" t="s">
        <v>224</v>
      </c>
      <c r="D301" s="540"/>
      <c r="E301" s="908">
        <f t="shared" ref="E301:P301" si="77">E300+E246</f>
        <v>1070.32382417063</v>
      </c>
      <c r="F301" s="908">
        <f t="shared" si="77"/>
        <v>554.053225937373</v>
      </c>
      <c r="G301" s="908">
        <f t="shared" si="77"/>
        <v>543.294797946933</v>
      </c>
      <c r="H301" s="908">
        <f t="shared" si="77"/>
        <v>933.235051580384</v>
      </c>
      <c r="I301" s="908">
        <f t="shared" si="77"/>
        <v>1426.45524215359</v>
      </c>
      <c r="J301" s="908">
        <f t="shared" si="77"/>
        <v>869.256606885458</v>
      </c>
      <c r="K301" s="908">
        <f t="shared" si="77"/>
        <v>1002.08512667881</v>
      </c>
      <c r="L301" s="908">
        <f t="shared" si="77"/>
        <v>392.484269219235</v>
      </c>
      <c r="M301" s="908">
        <f t="shared" si="77"/>
        <v>879.60843068295</v>
      </c>
      <c r="N301" s="908">
        <f t="shared" si="77"/>
        <v>1163.68503778621</v>
      </c>
      <c r="O301" s="908">
        <f t="shared" si="77"/>
        <v>1194.89266866097</v>
      </c>
      <c r="P301" s="908">
        <f t="shared" si="77"/>
        <v>1665.47949984963</v>
      </c>
      <c r="Q301" s="908">
        <f t="shared" si="74"/>
        <v>11694.8537815522</v>
      </c>
      <c r="R301" s="906"/>
      <c r="S301" s="906"/>
    </row>
    <row r="302" ht="15" spans="3:19">
      <c r="C302" s="14"/>
      <c r="E302" s="906"/>
      <c r="F302" s="906"/>
      <c r="G302" s="906"/>
      <c r="H302" s="906"/>
      <c r="I302" s="906"/>
      <c r="J302" s="906"/>
      <c r="K302" s="906"/>
      <c r="L302" s="906"/>
      <c r="M302" s="906"/>
      <c r="N302" s="906"/>
      <c r="O302" s="906"/>
      <c r="P302" s="906"/>
      <c r="Q302" s="909" t="s">
        <v>236</v>
      </c>
      <c r="R302" s="906"/>
      <c r="S302" s="906"/>
    </row>
    <row r="303" ht="15" spans="3:19">
      <c r="C303" s="6" t="s">
        <v>159</v>
      </c>
      <c r="D303" s="6"/>
      <c r="E303" s="907" t="s">
        <v>262</v>
      </c>
      <c r="F303" s="907"/>
      <c r="G303" s="907"/>
      <c r="H303" s="907"/>
      <c r="I303" s="907"/>
      <c r="J303" s="907"/>
      <c r="K303" s="907"/>
      <c r="L303" s="907"/>
      <c r="M303" s="907"/>
      <c r="N303" s="907"/>
      <c r="O303" s="907"/>
      <c r="P303" s="907"/>
      <c r="Q303" s="907"/>
      <c r="R303" s="906"/>
      <c r="S303" s="906"/>
    </row>
    <row r="304" ht="15" spans="3:19">
      <c r="C304" s="6"/>
      <c r="D304" s="6"/>
      <c r="E304" s="907" t="s">
        <v>246</v>
      </c>
      <c r="F304" s="907" t="s">
        <v>247</v>
      </c>
      <c r="G304" s="907" t="s">
        <v>248</v>
      </c>
      <c r="H304" s="907" t="s">
        <v>249</v>
      </c>
      <c r="I304" s="907" t="s">
        <v>250</v>
      </c>
      <c r="J304" s="907" t="s">
        <v>251</v>
      </c>
      <c r="K304" s="907" t="s">
        <v>252</v>
      </c>
      <c r="L304" s="907" t="s">
        <v>253</v>
      </c>
      <c r="M304" s="907" t="s">
        <v>254</v>
      </c>
      <c r="N304" s="907" t="s">
        <v>255</v>
      </c>
      <c r="O304" s="907" t="s">
        <v>256</v>
      </c>
      <c r="P304" s="907" t="s">
        <v>257</v>
      </c>
      <c r="Q304" s="907" t="s">
        <v>97</v>
      </c>
      <c r="R304" s="906"/>
      <c r="S304" s="906"/>
    </row>
    <row r="305" ht="15" spans="3:19">
      <c r="C305" s="44" t="s">
        <v>170</v>
      </c>
      <c r="D305" s="45"/>
      <c r="E305" s="901"/>
      <c r="F305" s="901"/>
      <c r="G305" s="901"/>
      <c r="H305" s="901"/>
      <c r="I305" s="901"/>
      <c r="J305" s="901"/>
      <c r="K305" s="901"/>
      <c r="L305" s="901"/>
      <c r="M305" s="901"/>
      <c r="N305" s="901"/>
      <c r="O305" s="901"/>
      <c r="P305" s="901"/>
      <c r="Q305" s="910"/>
      <c r="R305" s="906"/>
      <c r="S305" s="906"/>
    </row>
    <row r="306" ht="15" spans="3:19">
      <c r="C306" s="47" t="s">
        <v>171</v>
      </c>
      <c r="D306" s="47" t="s">
        <v>172</v>
      </c>
      <c r="E306" s="901"/>
      <c r="F306" s="901"/>
      <c r="G306" s="901"/>
      <c r="H306" s="901"/>
      <c r="I306" s="901"/>
      <c r="J306" s="901"/>
      <c r="K306" s="901"/>
      <c r="L306" s="901"/>
      <c r="M306" s="901"/>
      <c r="N306" s="901"/>
      <c r="O306" s="901"/>
      <c r="P306" s="901"/>
      <c r="Q306" s="908">
        <f t="shared" ref="Q306:Q319" si="78">SUM(E306:P306)</f>
        <v>0</v>
      </c>
      <c r="R306" s="906"/>
      <c r="S306" s="906"/>
    </row>
    <row r="307" ht="15" spans="3:19">
      <c r="C307" s="55" t="s">
        <v>173</v>
      </c>
      <c r="D307" s="55" t="s">
        <v>174</v>
      </c>
      <c r="E307" s="901"/>
      <c r="F307" s="901"/>
      <c r="G307" s="901"/>
      <c r="H307" s="901"/>
      <c r="I307" s="901"/>
      <c r="J307" s="901"/>
      <c r="K307" s="901"/>
      <c r="L307" s="901"/>
      <c r="M307" s="901"/>
      <c r="N307" s="901"/>
      <c r="O307" s="901"/>
      <c r="P307" s="901"/>
      <c r="Q307" s="908">
        <f t="shared" si="78"/>
        <v>0</v>
      </c>
      <c r="R307" s="906"/>
      <c r="S307" s="906"/>
    </row>
    <row r="308" ht="15" spans="3:19">
      <c r="C308" s="55" t="s">
        <v>175</v>
      </c>
      <c r="D308" s="55" t="s">
        <v>176</v>
      </c>
      <c r="E308" s="901"/>
      <c r="F308" s="901"/>
      <c r="G308" s="901"/>
      <c r="H308" s="901"/>
      <c r="I308" s="901"/>
      <c r="J308" s="901"/>
      <c r="K308" s="901"/>
      <c r="L308" s="901"/>
      <c r="M308" s="901"/>
      <c r="N308" s="901"/>
      <c r="O308" s="901"/>
      <c r="P308" s="901"/>
      <c r="Q308" s="908">
        <f t="shared" si="78"/>
        <v>0</v>
      </c>
      <c r="R308" s="906"/>
      <c r="S308" s="906"/>
    </row>
    <row r="309" ht="15" spans="3:19">
      <c r="C309" s="55" t="s">
        <v>177</v>
      </c>
      <c r="D309" s="55" t="s">
        <v>178</v>
      </c>
      <c r="E309" s="901"/>
      <c r="F309" s="901"/>
      <c r="G309" s="901"/>
      <c r="H309" s="901"/>
      <c r="I309" s="901"/>
      <c r="J309" s="901"/>
      <c r="K309" s="901"/>
      <c r="L309" s="901"/>
      <c r="M309" s="901"/>
      <c r="N309" s="901"/>
      <c r="O309" s="901"/>
      <c r="P309" s="901"/>
      <c r="Q309" s="908">
        <f t="shared" si="78"/>
        <v>0</v>
      </c>
      <c r="R309" s="906"/>
      <c r="S309" s="906"/>
    </row>
    <row r="310" ht="15" spans="3:19">
      <c r="C310" s="55" t="s">
        <v>179</v>
      </c>
      <c r="D310" s="55" t="s">
        <v>180</v>
      </c>
      <c r="E310" s="901">
        <f>[10]Sales_SP!DV49</f>
        <v>1251.18063758848</v>
      </c>
      <c r="F310" s="901">
        <f>[10]Sales_SP!DW49</f>
        <v>590.251484162004</v>
      </c>
      <c r="G310" s="901">
        <f>[10]Sales_SP!DX49</f>
        <v>540.590557148526</v>
      </c>
      <c r="H310" s="901">
        <f>[10]Sales_SP!DY49</f>
        <v>777.719655</v>
      </c>
      <c r="I310" s="901">
        <f>[10]Sales_SP!DZ49</f>
        <v>958.649791</v>
      </c>
      <c r="J310" s="901">
        <f>[10]Sales_SP!EA49</f>
        <v>1040.701889</v>
      </c>
      <c r="K310" s="901">
        <f>[10]Sales_SP!EB49</f>
        <v>698.01559578761</v>
      </c>
      <c r="L310" s="901">
        <f>[10]Sales_SP!EC49</f>
        <v>590.561511158625</v>
      </c>
      <c r="M310" s="901">
        <f>[10]Sales_SP!ED49</f>
        <v>1038.27985912042</v>
      </c>
      <c r="N310" s="901">
        <f>[10]Sales_SP!EE49</f>
        <v>1395.44374725091</v>
      </c>
      <c r="O310" s="901">
        <f>[10]Sales_SP!EF49</f>
        <v>1485.08742749008</v>
      </c>
      <c r="P310" s="901">
        <f>[10]Sales_SP!EG49</f>
        <v>1723.66</v>
      </c>
      <c r="Q310" s="908">
        <f t="shared" si="78"/>
        <v>12090.1421547067</v>
      </c>
      <c r="R310" s="906"/>
      <c r="S310" s="906"/>
    </row>
    <row r="311" ht="15" spans="3:19">
      <c r="C311" s="55" t="s">
        <v>181</v>
      </c>
      <c r="D311" s="55" t="s">
        <v>182</v>
      </c>
      <c r="E311" s="901"/>
      <c r="F311" s="901"/>
      <c r="G311" s="901"/>
      <c r="H311" s="901"/>
      <c r="I311" s="901"/>
      <c r="J311" s="901"/>
      <c r="K311" s="901"/>
      <c r="L311" s="901"/>
      <c r="M311" s="901"/>
      <c r="N311" s="901"/>
      <c r="O311" s="901"/>
      <c r="P311" s="901"/>
      <c r="Q311" s="908">
        <f t="shared" si="78"/>
        <v>0</v>
      </c>
      <c r="R311" s="906"/>
      <c r="S311" s="906"/>
    </row>
    <row r="312" ht="15" spans="3:19">
      <c r="C312" s="55" t="s">
        <v>183</v>
      </c>
      <c r="D312" s="55" t="s">
        <v>184</v>
      </c>
      <c r="E312" s="901"/>
      <c r="F312" s="901"/>
      <c r="G312" s="901"/>
      <c r="H312" s="901"/>
      <c r="I312" s="901"/>
      <c r="J312" s="901"/>
      <c r="K312" s="901"/>
      <c r="L312" s="901"/>
      <c r="M312" s="901"/>
      <c r="N312" s="901"/>
      <c r="O312" s="901"/>
      <c r="P312" s="901"/>
      <c r="Q312" s="908">
        <f t="shared" si="78"/>
        <v>0</v>
      </c>
      <c r="R312" s="906"/>
      <c r="S312" s="906"/>
    </row>
    <row r="313" ht="15" spans="3:19">
      <c r="C313" s="55" t="s">
        <v>185</v>
      </c>
      <c r="D313" s="55" t="s">
        <v>186</v>
      </c>
      <c r="E313" s="901"/>
      <c r="F313" s="901"/>
      <c r="G313" s="901"/>
      <c r="H313" s="901"/>
      <c r="I313" s="901"/>
      <c r="J313" s="901"/>
      <c r="K313" s="901"/>
      <c r="L313" s="901"/>
      <c r="M313" s="901"/>
      <c r="N313" s="901"/>
      <c r="O313" s="901"/>
      <c r="P313" s="901"/>
      <c r="Q313" s="908">
        <f t="shared" si="78"/>
        <v>0</v>
      </c>
      <c r="R313" s="906"/>
      <c r="S313" s="906"/>
    </row>
    <row r="314" ht="15" spans="3:19">
      <c r="C314" s="55" t="s">
        <v>187</v>
      </c>
      <c r="D314" s="55" t="s">
        <v>188</v>
      </c>
      <c r="E314" s="901"/>
      <c r="F314" s="901"/>
      <c r="G314" s="901"/>
      <c r="H314" s="901"/>
      <c r="I314" s="901"/>
      <c r="J314" s="901"/>
      <c r="K314" s="901"/>
      <c r="L314" s="901"/>
      <c r="M314" s="901"/>
      <c r="N314" s="901"/>
      <c r="O314" s="901"/>
      <c r="P314" s="901"/>
      <c r="Q314" s="908">
        <f t="shared" si="78"/>
        <v>0</v>
      </c>
      <c r="R314" s="906"/>
      <c r="S314" s="906"/>
    </row>
    <row r="315" ht="15" spans="3:19">
      <c r="C315" s="55"/>
      <c r="D315" s="55"/>
      <c r="E315" s="901"/>
      <c r="F315" s="901"/>
      <c r="G315" s="901"/>
      <c r="H315" s="901"/>
      <c r="I315" s="901"/>
      <c r="J315" s="901"/>
      <c r="K315" s="901"/>
      <c r="L315" s="901"/>
      <c r="M315" s="901"/>
      <c r="N315" s="901"/>
      <c r="O315" s="901"/>
      <c r="P315" s="901"/>
      <c r="Q315" s="908">
        <f t="shared" si="78"/>
        <v>0</v>
      </c>
      <c r="R315" s="906"/>
      <c r="S315" s="906"/>
    </row>
    <row r="316" ht="15" spans="3:19">
      <c r="C316" s="55"/>
      <c r="D316" s="55"/>
      <c r="E316" s="901"/>
      <c r="F316" s="901"/>
      <c r="G316" s="901"/>
      <c r="H316" s="901"/>
      <c r="I316" s="901"/>
      <c r="J316" s="901"/>
      <c r="K316" s="901"/>
      <c r="L316" s="901"/>
      <c r="M316" s="901"/>
      <c r="N316" s="901"/>
      <c r="O316" s="901"/>
      <c r="P316" s="901"/>
      <c r="Q316" s="908">
        <f t="shared" si="78"/>
        <v>0</v>
      </c>
      <c r="R316" s="906"/>
      <c r="S316" s="906"/>
    </row>
    <row r="317" ht="15" spans="3:19">
      <c r="C317" s="55"/>
      <c r="D317" s="55"/>
      <c r="E317" s="901"/>
      <c r="F317" s="901"/>
      <c r="G317" s="901"/>
      <c r="H317" s="901"/>
      <c r="I317" s="901"/>
      <c r="J317" s="901"/>
      <c r="K317" s="901"/>
      <c r="L317" s="901"/>
      <c r="M317" s="901"/>
      <c r="N317" s="901"/>
      <c r="O317" s="901"/>
      <c r="P317" s="901"/>
      <c r="Q317" s="908">
        <f t="shared" si="78"/>
        <v>0</v>
      </c>
      <c r="R317" s="906"/>
      <c r="S317" s="906"/>
    </row>
    <row r="318" ht="15" spans="3:19">
      <c r="C318" s="55" t="s">
        <v>258</v>
      </c>
      <c r="D318" s="55" t="s">
        <v>258</v>
      </c>
      <c r="E318" s="901"/>
      <c r="F318" s="901"/>
      <c r="G318" s="901"/>
      <c r="H318" s="901"/>
      <c r="I318" s="901"/>
      <c r="J318" s="901"/>
      <c r="K318" s="901"/>
      <c r="L318" s="901"/>
      <c r="M318" s="901"/>
      <c r="N318" s="901"/>
      <c r="O318" s="901"/>
      <c r="P318" s="901"/>
      <c r="Q318" s="908">
        <f t="shared" si="78"/>
        <v>0</v>
      </c>
      <c r="R318" s="906"/>
      <c r="S318" s="906"/>
    </row>
    <row r="319" ht="15" spans="3:19">
      <c r="C319" s="537" t="s">
        <v>189</v>
      </c>
      <c r="D319" s="540"/>
      <c r="E319" s="908">
        <f t="shared" ref="E319:P319" si="79">SUM(E306:E318)</f>
        <v>1251.18063758848</v>
      </c>
      <c r="F319" s="908">
        <f t="shared" si="79"/>
        <v>590.251484162004</v>
      </c>
      <c r="G319" s="908">
        <f t="shared" si="79"/>
        <v>540.590557148526</v>
      </c>
      <c r="H319" s="908">
        <f t="shared" si="79"/>
        <v>777.719655</v>
      </c>
      <c r="I319" s="908">
        <f t="shared" si="79"/>
        <v>958.649791</v>
      </c>
      <c r="J319" s="908">
        <f t="shared" si="79"/>
        <v>1040.701889</v>
      </c>
      <c r="K319" s="908">
        <f t="shared" si="79"/>
        <v>698.01559578761</v>
      </c>
      <c r="L319" s="908">
        <f t="shared" si="79"/>
        <v>590.561511158625</v>
      </c>
      <c r="M319" s="908">
        <f t="shared" si="79"/>
        <v>1038.27985912042</v>
      </c>
      <c r="N319" s="908">
        <f t="shared" si="79"/>
        <v>1395.44374725091</v>
      </c>
      <c r="O319" s="908">
        <f t="shared" si="79"/>
        <v>1485.08742749008</v>
      </c>
      <c r="P319" s="908">
        <f t="shared" si="79"/>
        <v>1723.66</v>
      </c>
      <c r="Q319" s="908">
        <f t="shared" si="78"/>
        <v>12090.1421547067</v>
      </c>
      <c r="R319" s="906"/>
      <c r="S319" s="906"/>
    </row>
    <row r="320" ht="15" spans="3:19">
      <c r="C320" s="44" t="s">
        <v>190</v>
      </c>
      <c r="D320" s="45"/>
      <c r="E320" s="901"/>
      <c r="F320" s="901"/>
      <c r="G320" s="901"/>
      <c r="H320" s="901"/>
      <c r="I320" s="901"/>
      <c r="J320" s="901"/>
      <c r="K320" s="901"/>
      <c r="L320" s="901"/>
      <c r="M320" s="901"/>
      <c r="N320" s="901"/>
      <c r="O320" s="901"/>
      <c r="P320" s="901"/>
      <c r="Q320" s="910"/>
      <c r="R320" s="906"/>
      <c r="S320" s="906"/>
    </row>
    <row r="321" ht="15" spans="3:19">
      <c r="C321" s="55" t="s">
        <v>191</v>
      </c>
      <c r="D321" s="55" t="s">
        <v>192</v>
      </c>
      <c r="E321" s="901"/>
      <c r="F321" s="901"/>
      <c r="G321" s="901"/>
      <c r="H321" s="901"/>
      <c r="I321" s="901"/>
      <c r="J321" s="901"/>
      <c r="K321" s="901"/>
      <c r="L321" s="901"/>
      <c r="M321" s="901"/>
      <c r="N321" s="901"/>
      <c r="O321" s="901"/>
      <c r="P321" s="901"/>
      <c r="Q321" s="908">
        <f t="shared" ref="Q321:Q336" si="80">SUM(E321:P321)</f>
        <v>0</v>
      </c>
      <c r="R321" s="906"/>
      <c r="S321" s="906"/>
    </row>
    <row r="322" ht="15" spans="3:19">
      <c r="C322" s="55" t="s">
        <v>193</v>
      </c>
      <c r="D322" s="55" t="s">
        <v>194</v>
      </c>
      <c r="E322" s="901"/>
      <c r="F322" s="901"/>
      <c r="G322" s="901"/>
      <c r="H322" s="901"/>
      <c r="I322" s="901"/>
      <c r="J322" s="901"/>
      <c r="K322" s="901"/>
      <c r="L322" s="901"/>
      <c r="M322" s="901"/>
      <c r="N322" s="901"/>
      <c r="O322" s="901"/>
      <c r="P322" s="901"/>
      <c r="Q322" s="908">
        <f t="shared" si="80"/>
        <v>0</v>
      </c>
      <c r="R322" s="906"/>
      <c r="S322" s="906"/>
    </row>
    <row r="323" ht="15" spans="3:19">
      <c r="C323" s="55" t="s">
        <v>239</v>
      </c>
      <c r="D323" s="55" t="s">
        <v>196</v>
      </c>
      <c r="E323" s="901"/>
      <c r="F323" s="901"/>
      <c r="G323" s="901"/>
      <c r="H323" s="901"/>
      <c r="I323" s="901"/>
      <c r="J323" s="901"/>
      <c r="K323" s="901"/>
      <c r="L323" s="901"/>
      <c r="M323" s="901"/>
      <c r="N323" s="901"/>
      <c r="O323" s="901"/>
      <c r="P323" s="901"/>
      <c r="Q323" s="908">
        <f t="shared" si="80"/>
        <v>0</v>
      </c>
      <c r="R323" s="906"/>
      <c r="S323" s="906"/>
    </row>
    <row r="324" ht="15" spans="3:19">
      <c r="C324" s="55" t="s">
        <v>197</v>
      </c>
      <c r="D324" s="55" t="s">
        <v>198</v>
      </c>
      <c r="E324" s="901"/>
      <c r="F324" s="901"/>
      <c r="G324" s="901"/>
      <c r="H324" s="901"/>
      <c r="I324" s="901"/>
      <c r="J324" s="901"/>
      <c r="K324" s="901"/>
      <c r="L324" s="901"/>
      <c r="M324" s="901"/>
      <c r="N324" s="901"/>
      <c r="O324" s="901"/>
      <c r="P324" s="901"/>
      <c r="Q324" s="908">
        <f t="shared" si="80"/>
        <v>0</v>
      </c>
      <c r="R324" s="906"/>
      <c r="S324" s="906"/>
    </row>
    <row r="325" ht="15" spans="3:19">
      <c r="C325" s="55" t="s">
        <v>199</v>
      </c>
      <c r="D325" s="55" t="s">
        <v>200</v>
      </c>
      <c r="E325" s="901"/>
      <c r="F325" s="901"/>
      <c r="G325" s="901"/>
      <c r="H325" s="901"/>
      <c r="I325" s="901"/>
      <c r="J325" s="901"/>
      <c r="K325" s="901"/>
      <c r="L325" s="901"/>
      <c r="M325" s="901"/>
      <c r="N325" s="901"/>
      <c r="O325" s="901"/>
      <c r="P325" s="901"/>
      <c r="Q325" s="908">
        <f t="shared" si="80"/>
        <v>0</v>
      </c>
      <c r="R325" s="906"/>
      <c r="S325" s="906"/>
    </row>
    <row r="326" ht="15" spans="3:19">
      <c r="C326" s="55" t="s">
        <v>201</v>
      </c>
      <c r="D326" s="55" t="s">
        <v>202</v>
      </c>
      <c r="E326" s="901"/>
      <c r="F326" s="901"/>
      <c r="G326" s="901"/>
      <c r="H326" s="901"/>
      <c r="I326" s="901"/>
      <c r="J326" s="901"/>
      <c r="K326" s="901"/>
      <c r="L326" s="901"/>
      <c r="M326" s="901"/>
      <c r="N326" s="901"/>
      <c r="O326" s="901"/>
      <c r="P326" s="901"/>
      <c r="Q326" s="908">
        <f t="shared" si="80"/>
        <v>0</v>
      </c>
      <c r="R326" s="906"/>
      <c r="S326" s="906"/>
    </row>
    <row r="327" ht="15" spans="3:19">
      <c r="C327" s="55" t="s">
        <v>203</v>
      </c>
      <c r="D327" s="55" t="s">
        <v>204</v>
      </c>
      <c r="E327" s="901"/>
      <c r="F327" s="901"/>
      <c r="G327" s="901"/>
      <c r="H327" s="901"/>
      <c r="I327" s="901"/>
      <c r="J327" s="901"/>
      <c r="K327" s="901"/>
      <c r="L327" s="901"/>
      <c r="M327" s="901"/>
      <c r="N327" s="901"/>
      <c r="O327" s="901"/>
      <c r="P327" s="901"/>
      <c r="Q327" s="908">
        <f t="shared" si="80"/>
        <v>0</v>
      </c>
      <c r="R327" s="906"/>
      <c r="S327" s="906"/>
    </row>
    <row r="328" ht="15" spans="3:19">
      <c r="C328" s="55" t="s">
        <v>205</v>
      </c>
      <c r="D328" s="55" t="s">
        <v>206</v>
      </c>
      <c r="E328" s="901"/>
      <c r="F328" s="901"/>
      <c r="G328" s="901"/>
      <c r="H328" s="901"/>
      <c r="I328" s="901"/>
      <c r="J328" s="901"/>
      <c r="K328" s="901"/>
      <c r="L328" s="901"/>
      <c r="M328" s="901"/>
      <c r="N328" s="901"/>
      <c r="O328" s="901"/>
      <c r="P328" s="901"/>
      <c r="Q328" s="908">
        <f t="shared" si="80"/>
        <v>0</v>
      </c>
      <c r="R328" s="906"/>
      <c r="S328" s="906"/>
    </row>
    <row r="329" ht="15" spans="3:19">
      <c r="C329" s="55" t="s">
        <v>207</v>
      </c>
      <c r="D329" s="55" t="s">
        <v>186</v>
      </c>
      <c r="E329" s="901"/>
      <c r="F329" s="901"/>
      <c r="G329" s="901"/>
      <c r="H329" s="901"/>
      <c r="I329" s="901"/>
      <c r="J329" s="901"/>
      <c r="K329" s="901"/>
      <c r="L329" s="901"/>
      <c r="M329" s="901"/>
      <c r="N329" s="901"/>
      <c r="O329" s="901"/>
      <c r="P329" s="901"/>
      <c r="Q329" s="908">
        <f t="shared" si="80"/>
        <v>0</v>
      </c>
      <c r="R329" s="906"/>
      <c r="S329" s="906"/>
    </row>
    <row r="330" ht="15" spans="3:19">
      <c r="C330" s="55" t="s">
        <v>208</v>
      </c>
      <c r="D330" s="55" t="s">
        <v>209</v>
      </c>
      <c r="E330" s="901"/>
      <c r="F330" s="901"/>
      <c r="G330" s="901"/>
      <c r="H330" s="901"/>
      <c r="I330" s="901"/>
      <c r="J330" s="901"/>
      <c r="K330" s="901"/>
      <c r="L330" s="901"/>
      <c r="M330" s="901"/>
      <c r="N330" s="901"/>
      <c r="O330" s="901"/>
      <c r="P330" s="901"/>
      <c r="Q330" s="908">
        <f t="shared" si="80"/>
        <v>0</v>
      </c>
      <c r="R330" s="906"/>
      <c r="S330" s="906"/>
    </row>
    <row r="331" ht="15" spans="3:19">
      <c r="C331" s="55" t="s">
        <v>210</v>
      </c>
      <c r="D331" s="55" t="s">
        <v>188</v>
      </c>
      <c r="E331" s="901"/>
      <c r="F331" s="901"/>
      <c r="G331" s="901"/>
      <c r="H331" s="901"/>
      <c r="I331" s="901"/>
      <c r="J331" s="901"/>
      <c r="K331" s="901"/>
      <c r="L331" s="901"/>
      <c r="M331" s="901"/>
      <c r="N331" s="901"/>
      <c r="O331" s="901"/>
      <c r="P331" s="901"/>
      <c r="Q331" s="908">
        <f t="shared" si="80"/>
        <v>0</v>
      </c>
      <c r="R331" s="906"/>
      <c r="S331" s="906"/>
    </row>
    <row r="332" ht="15" spans="3:19">
      <c r="C332" s="55"/>
      <c r="D332" s="55"/>
      <c r="E332" s="901"/>
      <c r="F332" s="901"/>
      <c r="G332" s="901"/>
      <c r="H332" s="901"/>
      <c r="I332" s="901"/>
      <c r="J332" s="901"/>
      <c r="K332" s="901"/>
      <c r="L332" s="901"/>
      <c r="M332" s="901"/>
      <c r="N332" s="901"/>
      <c r="O332" s="901"/>
      <c r="P332" s="901"/>
      <c r="Q332" s="908">
        <f t="shared" si="80"/>
        <v>0</v>
      </c>
      <c r="R332" s="906"/>
      <c r="S332" s="906"/>
    </row>
    <row r="333" ht="15" spans="3:19">
      <c r="C333" s="55"/>
      <c r="D333" s="55"/>
      <c r="E333" s="901"/>
      <c r="F333" s="901"/>
      <c r="G333" s="901"/>
      <c r="H333" s="901"/>
      <c r="I333" s="901"/>
      <c r="J333" s="901"/>
      <c r="K333" s="901"/>
      <c r="L333" s="901"/>
      <c r="M333" s="901"/>
      <c r="N333" s="901"/>
      <c r="O333" s="901"/>
      <c r="P333" s="901"/>
      <c r="Q333" s="908">
        <f t="shared" si="80"/>
        <v>0</v>
      </c>
      <c r="R333" s="906"/>
      <c r="S333" s="906"/>
    </row>
    <row r="334" ht="15" spans="3:19">
      <c r="C334" s="55"/>
      <c r="D334" s="55"/>
      <c r="E334" s="901"/>
      <c r="F334" s="901"/>
      <c r="G334" s="901"/>
      <c r="H334" s="901"/>
      <c r="I334" s="901"/>
      <c r="J334" s="901"/>
      <c r="K334" s="901"/>
      <c r="L334" s="901"/>
      <c r="M334" s="901"/>
      <c r="N334" s="901"/>
      <c r="O334" s="901"/>
      <c r="P334" s="901"/>
      <c r="Q334" s="908">
        <f t="shared" si="80"/>
        <v>0</v>
      </c>
      <c r="R334" s="906"/>
      <c r="S334" s="906"/>
    </row>
    <row r="335" ht="15" spans="3:19">
      <c r="C335" s="55" t="s">
        <v>258</v>
      </c>
      <c r="D335" s="55" t="s">
        <v>258</v>
      </c>
      <c r="E335" s="901"/>
      <c r="F335" s="901"/>
      <c r="G335" s="901"/>
      <c r="H335" s="901"/>
      <c r="I335" s="901"/>
      <c r="J335" s="901"/>
      <c r="K335" s="901"/>
      <c r="L335" s="901"/>
      <c r="M335" s="901"/>
      <c r="N335" s="901"/>
      <c r="O335" s="901"/>
      <c r="P335" s="901"/>
      <c r="Q335" s="908">
        <f t="shared" si="80"/>
        <v>0</v>
      </c>
      <c r="R335" s="906"/>
      <c r="S335" s="906"/>
    </row>
    <row r="336" ht="15" spans="3:19">
      <c r="C336" s="537" t="s">
        <v>211</v>
      </c>
      <c r="D336" s="540"/>
      <c r="E336" s="908">
        <f t="shared" ref="E336:P336" si="81">SUM(E321:E335)</f>
        <v>0</v>
      </c>
      <c r="F336" s="908">
        <f t="shared" si="81"/>
        <v>0</v>
      </c>
      <c r="G336" s="908">
        <f t="shared" si="81"/>
        <v>0</v>
      </c>
      <c r="H336" s="908">
        <f t="shared" si="81"/>
        <v>0</v>
      </c>
      <c r="I336" s="908">
        <f t="shared" si="81"/>
        <v>0</v>
      </c>
      <c r="J336" s="908">
        <f t="shared" si="81"/>
        <v>0</v>
      </c>
      <c r="K336" s="908">
        <f t="shared" si="81"/>
        <v>0</v>
      </c>
      <c r="L336" s="908">
        <f t="shared" si="81"/>
        <v>0</v>
      </c>
      <c r="M336" s="908">
        <f t="shared" si="81"/>
        <v>0</v>
      </c>
      <c r="N336" s="908">
        <f t="shared" si="81"/>
        <v>0</v>
      </c>
      <c r="O336" s="908">
        <f t="shared" si="81"/>
        <v>0</v>
      </c>
      <c r="P336" s="908">
        <f t="shared" si="81"/>
        <v>0</v>
      </c>
      <c r="Q336" s="908">
        <f t="shared" si="80"/>
        <v>0</v>
      </c>
      <c r="R336" s="906"/>
      <c r="S336" s="906"/>
    </row>
    <row r="337" ht="15" spans="3:19">
      <c r="C337" s="44" t="s">
        <v>212</v>
      </c>
      <c r="D337" s="45"/>
      <c r="E337" s="901"/>
      <c r="F337" s="901"/>
      <c r="G337" s="901"/>
      <c r="H337" s="901"/>
      <c r="I337" s="901"/>
      <c r="J337" s="901"/>
      <c r="K337" s="901"/>
      <c r="L337" s="901"/>
      <c r="M337" s="901"/>
      <c r="N337" s="901"/>
      <c r="O337" s="901"/>
      <c r="P337" s="901"/>
      <c r="Q337" s="910"/>
      <c r="R337" s="906"/>
      <c r="S337" s="906"/>
    </row>
    <row r="338" ht="15" spans="3:19">
      <c r="C338" s="55" t="s">
        <v>191</v>
      </c>
      <c r="D338" s="55" t="s">
        <v>192</v>
      </c>
      <c r="E338" s="901"/>
      <c r="F338" s="901"/>
      <c r="G338" s="901"/>
      <c r="H338" s="901"/>
      <c r="I338" s="901"/>
      <c r="J338" s="901"/>
      <c r="K338" s="901"/>
      <c r="L338" s="901"/>
      <c r="M338" s="901"/>
      <c r="N338" s="901"/>
      <c r="O338" s="901"/>
      <c r="P338" s="901"/>
      <c r="Q338" s="908">
        <f t="shared" ref="Q338:Q353" si="82">SUM(E338:P338)</f>
        <v>0</v>
      </c>
      <c r="R338" s="906"/>
      <c r="S338" s="906"/>
    </row>
    <row r="339" ht="15" spans="3:19">
      <c r="C339" s="55" t="s">
        <v>193</v>
      </c>
      <c r="D339" s="55" t="s">
        <v>194</v>
      </c>
      <c r="E339" s="901"/>
      <c r="F339" s="901"/>
      <c r="G339" s="901"/>
      <c r="H339" s="901"/>
      <c r="I339" s="901"/>
      <c r="J339" s="901"/>
      <c r="K339" s="901"/>
      <c r="L339" s="901"/>
      <c r="M339" s="901"/>
      <c r="N339" s="901"/>
      <c r="O339" s="901"/>
      <c r="P339" s="901"/>
      <c r="Q339" s="908">
        <f t="shared" si="82"/>
        <v>0</v>
      </c>
      <c r="R339" s="906"/>
      <c r="S339" s="906"/>
    </row>
    <row r="340" ht="15" spans="3:19">
      <c r="C340" s="55" t="s">
        <v>239</v>
      </c>
      <c r="D340" s="55" t="s">
        <v>196</v>
      </c>
      <c r="E340" s="901"/>
      <c r="F340" s="901"/>
      <c r="G340" s="901"/>
      <c r="H340" s="901"/>
      <c r="I340" s="901"/>
      <c r="J340" s="901"/>
      <c r="K340" s="901"/>
      <c r="L340" s="901"/>
      <c r="M340" s="901"/>
      <c r="N340" s="901"/>
      <c r="O340" s="901"/>
      <c r="P340" s="901"/>
      <c r="Q340" s="908">
        <f t="shared" si="82"/>
        <v>0</v>
      </c>
      <c r="R340" s="906"/>
      <c r="S340" s="906"/>
    </row>
    <row r="341" ht="15" spans="3:19">
      <c r="C341" s="55" t="s">
        <v>197</v>
      </c>
      <c r="D341" s="55" t="s">
        <v>198</v>
      </c>
      <c r="E341" s="901"/>
      <c r="F341" s="901"/>
      <c r="G341" s="901"/>
      <c r="H341" s="901"/>
      <c r="I341" s="901"/>
      <c r="J341" s="901"/>
      <c r="K341" s="901"/>
      <c r="L341" s="901"/>
      <c r="M341" s="901"/>
      <c r="N341" s="901"/>
      <c r="O341" s="901"/>
      <c r="P341" s="901"/>
      <c r="Q341" s="908">
        <f t="shared" si="82"/>
        <v>0</v>
      </c>
      <c r="R341" s="906"/>
      <c r="S341" s="906"/>
    </row>
    <row r="342" ht="15" spans="3:19">
      <c r="C342" s="55" t="s">
        <v>199</v>
      </c>
      <c r="D342" s="55" t="s">
        <v>200</v>
      </c>
      <c r="E342" s="901"/>
      <c r="F342" s="901"/>
      <c r="G342" s="901"/>
      <c r="H342" s="901"/>
      <c r="I342" s="901"/>
      <c r="J342" s="901"/>
      <c r="K342" s="901"/>
      <c r="L342" s="901"/>
      <c r="M342" s="901"/>
      <c r="N342" s="901"/>
      <c r="O342" s="901"/>
      <c r="P342" s="901"/>
      <c r="Q342" s="908">
        <f t="shared" si="82"/>
        <v>0</v>
      </c>
      <c r="R342" s="906"/>
      <c r="S342" s="906"/>
    </row>
    <row r="343" ht="15" spans="3:19">
      <c r="C343" s="55" t="s">
        <v>201</v>
      </c>
      <c r="D343" s="55" t="s">
        <v>202</v>
      </c>
      <c r="E343" s="901"/>
      <c r="F343" s="901"/>
      <c r="G343" s="901"/>
      <c r="H343" s="901"/>
      <c r="I343" s="901"/>
      <c r="J343" s="901"/>
      <c r="K343" s="901"/>
      <c r="L343" s="901"/>
      <c r="M343" s="901"/>
      <c r="N343" s="901"/>
      <c r="O343" s="901"/>
      <c r="P343" s="901"/>
      <c r="Q343" s="908">
        <f t="shared" si="82"/>
        <v>0</v>
      </c>
      <c r="R343" s="906"/>
      <c r="S343" s="906"/>
    </row>
    <row r="344" ht="15" spans="3:19">
      <c r="C344" s="55" t="s">
        <v>203</v>
      </c>
      <c r="D344" s="55" t="s">
        <v>204</v>
      </c>
      <c r="E344" s="901"/>
      <c r="F344" s="901"/>
      <c r="G344" s="901"/>
      <c r="H344" s="901"/>
      <c r="I344" s="901"/>
      <c r="J344" s="901"/>
      <c r="K344" s="901"/>
      <c r="L344" s="901"/>
      <c r="M344" s="901"/>
      <c r="N344" s="901"/>
      <c r="O344" s="901"/>
      <c r="P344" s="901"/>
      <c r="Q344" s="908">
        <f t="shared" si="82"/>
        <v>0</v>
      </c>
      <c r="R344" s="906"/>
      <c r="S344" s="906"/>
    </row>
    <row r="345" ht="15" spans="3:19">
      <c r="C345" s="55" t="s">
        <v>205</v>
      </c>
      <c r="D345" s="55" t="s">
        <v>206</v>
      </c>
      <c r="E345" s="901"/>
      <c r="F345" s="901"/>
      <c r="G345" s="901"/>
      <c r="H345" s="901"/>
      <c r="I345" s="901"/>
      <c r="J345" s="901"/>
      <c r="K345" s="901"/>
      <c r="L345" s="901"/>
      <c r="M345" s="901"/>
      <c r="N345" s="901"/>
      <c r="O345" s="901"/>
      <c r="P345" s="901"/>
      <c r="Q345" s="908">
        <f t="shared" si="82"/>
        <v>0</v>
      </c>
      <c r="R345" s="906"/>
      <c r="S345" s="906"/>
    </row>
    <row r="346" ht="15" spans="3:19">
      <c r="C346" s="55" t="s">
        <v>231</v>
      </c>
      <c r="D346" s="55" t="s">
        <v>186</v>
      </c>
      <c r="E346" s="901"/>
      <c r="F346" s="901"/>
      <c r="G346" s="901"/>
      <c r="H346" s="901"/>
      <c r="I346" s="901"/>
      <c r="J346" s="901"/>
      <c r="K346" s="901"/>
      <c r="L346" s="901"/>
      <c r="M346" s="901"/>
      <c r="N346" s="901"/>
      <c r="O346" s="901"/>
      <c r="P346" s="901"/>
      <c r="Q346" s="908">
        <f t="shared" si="82"/>
        <v>0</v>
      </c>
      <c r="R346" s="906"/>
      <c r="S346" s="906"/>
    </row>
    <row r="347" ht="15" spans="3:19">
      <c r="C347" s="55" t="s">
        <v>208</v>
      </c>
      <c r="D347" s="55" t="s">
        <v>209</v>
      </c>
      <c r="E347" s="901"/>
      <c r="F347" s="901"/>
      <c r="G347" s="901"/>
      <c r="H347" s="901"/>
      <c r="I347" s="901"/>
      <c r="J347" s="901"/>
      <c r="K347" s="901"/>
      <c r="L347" s="901"/>
      <c r="M347" s="901"/>
      <c r="N347" s="901"/>
      <c r="O347" s="901"/>
      <c r="P347" s="901"/>
      <c r="Q347" s="908">
        <f t="shared" si="82"/>
        <v>0</v>
      </c>
      <c r="R347" s="906"/>
      <c r="S347" s="906"/>
    </row>
    <row r="348" ht="15" spans="3:19">
      <c r="C348" s="55" t="s">
        <v>210</v>
      </c>
      <c r="D348" s="55" t="s">
        <v>188</v>
      </c>
      <c r="E348" s="901"/>
      <c r="F348" s="901"/>
      <c r="G348" s="901"/>
      <c r="H348" s="901"/>
      <c r="I348" s="901"/>
      <c r="J348" s="901"/>
      <c r="K348" s="901"/>
      <c r="L348" s="901"/>
      <c r="M348" s="901"/>
      <c r="N348" s="901"/>
      <c r="O348" s="901"/>
      <c r="P348" s="901"/>
      <c r="Q348" s="908">
        <f t="shared" si="82"/>
        <v>0</v>
      </c>
      <c r="R348" s="906"/>
      <c r="S348" s="906"/>
    </row>
    <row r="349" ht="15" spans="3:19">
      <c r="C349" s="55"/>
      <c r="D349" s="55"/>
      <c r="E349" s="901"/>
      <c r="F349" s="901"/>
      <c r="G349" s="901"/>
      <c r="H349" s="901"/>
      <c r="I349" s="901"/>
      <c r="J349" s="901"/>
      <c r="K349" s="901"/>
      <c r="L349" s="901"/>
      <c r="M349" s="901"/>
      <c r="N349" s="901"/>
      <c r="O349" s="901"/>
      <c r="P349" s="901"/>
      <c r="Q349" s="908">
        <f t="shared" si="82"/>
        <v>0</v>
      </c>
      <c r="R349" s="906"/>
      <c r="S349" s="906"/>
    </row>
    <row r="350" ht="15" spans="3:19">
      <c r="C350" s="55"/>
      <c r="D350" s="55"/>
      <c r="E350" s="901"/>
      <c r="F350" s="901"/>
      <c r="G350" s="901"/>
      <c r="H350" s="901"/>
      <c r="I350" s="901"/>
      <c r="J350" s="901"/>
      <c r="K350" s="901"/>
      <c r="L350" s="901"/>
      <c r="M350" s="901"/>
      <c r="N350" s="901"/>
      <c r="O350" s="901"/>
      <c r="P350" s="901"/>
      <c r="Q350" s="908">
        <f t="shared" si="82"/>
        <v>0</v>
      </c>
      <c r="R350" s="906"/>
      <c r="S350" s="906"/>
    </row>
    <row r="351" ht="15" spans="3:19">
      <c r="C351" s="55"/>
      <c r="D351" s="55"/>
      <c r="E351" s="901"/>
      <c r="F351" s="901"/>
      <c r="G351" s="901"/>
      <c r="H351" s="901"/>
      <c r="I351" s="901"/>
      <c r="J351" s="901"/>
      <c r="K351" s="901"/>
      <c r="L351" s="901"/>
      <c r="M351" s="901"/>
      <c r="N351" s="901"/>
      <c r="O351" s="901"/>
      <c r="P351" s="901"/>
      <c r="Q351" s="908">
        <f t="shared" si="82"/>
        <v>0</v>
      </c>
      <c r="R351" s="906"/>
      <c r="S351" s="906"/>
    </row>
    <row r="352" ht="15" spans="3:19">
      <c r="C352" s="55" t="s">
        <v>258</v>
      </c>
      <c r="D352" s="55" t="s">
        <v>258</v>
      </c>
      <c r="E352" s="901"/>
      <c r="F352" s="901"/>
      <c r="G352" s="901"/>
      <c r="H352" s="901"/>
      <c r="I352" s="901"/>
      <c r="J352" s="901"/>
      <c r="K352" s="901"/>
      <c r="L352" s="901"/>
      <c r="M352" s="901"/>
      <c r="N352" s="901"/>
      <c r="O352" s="901"/>
      <c r="P352" s="901"/>
      <c r="Q352" s="908">
        <f t="shared" si="82"/>
        <v>0</v>
      </c>
      <c r="R352" s="906"/>
      <c r="S352" s="906"/>
    </row>
    <row r="353" ht="15" spans="3:19">
      <c r="C353" s="537" t="s">
        <v>211</v>
      </c>
      <c r="D353" s="540"/>
      <c r="E353" s="908">
        <f t="shared" ref="E353:P353" si="83">SUM(E338:E352)</f>
        <v>0</v>
      </c>
      <c r="F353" s="908">
        <f t="shared" si="83"/>
        <v>0</v>
      </c>
      <c r="G353" s="908">
        <f t="shared" si="83"/>
        <v>0</v>
      </c>
      <c r="H353" s="908">
        <f t="shared" si="83"/>
        <v>0</v>
      </c>
      <c r="I353" s="908">
        <f t="shared" si="83"/>
        <v>0</v>
      </c>
      <c r="J353" s="908">
        <f t="shared" si="83"/>
        <v>0</v>
      </c>
      <c r="K353" s="908">
        <f t="shared" si="83"/>
        <v>0</v>
      </c>
      <c r="L353" s="908">
        <f t="shared" si="83"/>
        <v>0</v>
      </c>
      <c r="M353" s="908">
        <f t="shared" si="83"/>
        <v>0</v>
      </c>
      <c r="N353" s="908">
        <f t="shared" si="83"/>
        <v>0</v>
      </c>
      <c r="O353" s="908">
        <f t="shared" si="83"/>
        <v>0</v>
      </c>
      <c r="P353" s="908">
        <f t="shared" si="83"/>
        <v>0</v>
      </c>
      <c r="Q353" s="908">
        <f t="shared" si="82"/>
        <v>0</v>
      </c>
      <c r="R353" s="906"/>
      <c r="S353" s="906"/>
    </row>
    <row r="354" ht="15" spans="3:19">
      <c r="C354" s="44" t="s">
        <v>219</v>
      </c>
      <c r="D354" s="45"/>
      <c r="E354" s="901"/>
      <c r="F354" s="901"/>
      <c r="G354" s="901"/>
      <c r="H354" s="901"/>
      <c r="I354" s="901"/>
      <c r="J354" s="901"/>
      <c r="K354" s="901"/>
      <c r="L354" s="901"/>
      <c r="M354" s="901"/>
      <c r="N354" s="901"/>
      <c r="O354" s="901"/>
      <c r="P354" s="901"/>
      <c r="Q354" s="910"/>
      <c r="R354" s="906"/>
      <c r="S354" s="906"/>
    </row>
    <row r="355" ht="15" spans="3:19">
      <c r="C355" s="55" t="s">
        <v>191</v>
      </c>
      <c r="D355" s="55" t="s">
        <v>192</v>
      </c>
      <c r="E355" s="901"/>
      <c r="F355" s="901"/>
      <c r="G355" s="901"/>
      <c r="H355" s="901"/>
      <c r="I355" s="901"/>
      <c r="J355" s="901"/>
      <c r="K355" s="901"/>
      <c r="L355" s="901"/>
      <c r="M355" s="901"/>
      <c r="N355" s="901"/>
      <c r="O355" s="901"/>
      <c r="P355" s="901"/>
      <c r="Q355" s="908">
        <f t="shared" ref="Q355:Q374" si="84">SUM(E355:P355)</f>
        <v>0</v>
      </c>
      <c r="R355" s="906"/>
      <c r="S355" s="906"/>
    </row>
    <row r="356" ht="15" spans="3:19">
      <c r="C356" s="55" t="s">
        <v>193</v>
      </c>
      <c r="D356" s="55" t="s">
        <v>194</v>
      </c>
      <c r="E356" s="901"/>
      <c r="F356" s="901"/>
      <c r="G356" s="901"/>
      <c r="H356" s="901"/>
      <c r="I356" s="901"/>
      <c r="J356" s="901"/>
      <c r="K356" s="901"/>
      <c r="L356" s="901"/>
      <c r="M356" s="901"/>
      <c r="N356" s="901"/>
      <c r="O356" s="901"/>
      <c r="P356" s="901"/>
      <c r="Q356" s="908">
        <f t="shared" si="84"/>
        <v>0</v>
      </c>
      <c r="R356" s="906"/>
      <c r="S356" s="906"/>
    </row>
    <row r="357" ht="15" spans="3:19">
      <c r="C357" s="55" t="s">
        <v>239</v>
      </c>
      <c r="D357" s="55" t="s">
        <v>196</v>
      </c>
      <c r="E357" s="901"/>
      <c r="F357" s="901"/>
      <c r="G357" s="901"/>
      <c r="H357" s="901"/>
      <c r="I357" s="901"/>
      <c r="J357" s="901"/>
      <c r="K357" s="901"/>
      <c r="L357" s="901"/>
      <c r="M357" s="901"/>
      <c r="N357" s="901"/>
      <c r="O357" s="901"/>
      <c r="P357" s="901"/>
      <c r="Q357" s="908">
        <f t="shared" si="84"/>
        <v>0</v>
      </c>
      <c r="R357" s="906"/>
      <c r="S357" s="906"/>
    </row>
    <row r="358" ht="15" spans="3:19">
      <c r="C358" s="55" t="s">
        <v>197</v>
      </c>
      <c r="D358" s="55" t="s">
        <v>198</v>
      </c>
      <c r="E358" s="901"/>
      <c r="F358" s="901"/>
      <c r="G358" s="901"/>
      <c r="H358" s="901"/>
      <c r="I358" s="901"/>
      <c r="J358" s="901"/>
      <c r="K358" s="901"/>
      <c r="L358" s="901"/>
      <c r="M358" s="901"/>
      <c r="N358" s="901"/>
      <c r="O358" s="901"/>
      <c r="P358" s="901"/>
      <c r="Q358" s="908">
        <f t="shared" si="84"/>
        <v>0</v>
      </c>
      <c r="R358" s="906"/>
      <c r="S358" s="906"/>
    </row>
    <row r="359" ht="15" spans="3:19">
      <c r="C359" s="55" t="s">
        <v>199</v>
      </c>
      <c r="D359" s="55" t="s">
        <v>200</v>
      </c>
      <c r="E359" s="901"/>
      <c r="F359" s="901"/>
      <c r="G359" s="901"/>
      <c r="H359" s="901"/>
      <c r="I359" s="901"/>
      <c r="J359" s="901"/>
      <c r="K359" s="901"/>
      <c r="L359" s="901"/>
      <c r="M359" s="901"/>
      <c r="N359" s="901"/>
      <c r="O359" s="901"/>
      <c r="P359" s="901"/>
      <c r="Q359" s="908">
        <f t="shared" si="84"/>
        <v>0</v>
      </c>
      <c r="R359" s="906"/>
      <c r="S359" s="906"/>
    </row>
    <row r="360" ht="15" spans="3:19">
      <c r="C360" s="55" t="s">
        <v>201</v>
      </c>
      <c r="D360" s="55" t="s">
        <v>240</v>
      </c>
      <c r="E360" s="901"/>
      <c r="F360" s="901"/>
      <c r="G360" s="901"/>
      <c r="H360" s="901"/>
      <c r="I360" s="901"/>
      <c r="J360" s="901"/>
      <c r="K360" s="901"/>
      <c r="L360" s="901"/>
      <c r="M360" s="901"/>
      <c r="N360" s="901"/>
      <c r="O360" s="901"/>
      <c r="P360" s="901"/>
      <c r="Q360" s="908">
        <f t="shared" si="84"/>
        <v>0</v>
      </c>
      <c r="R360" s="906"/>
      <c r="S360" s="906"/>
    </row>
    <row r="361" ht="15" spans="3:19">
      <c r="C361" s="55" t="s">
        <v>203</v>
      </c>
      <c r="D361" s="55" t="s">
        <v>220</v>
      </c>
      <c r="E361" s="901"/>
      <c r="F361" s="901"/>
      <c r="G361" s="901"/>
      <c r="H361" s="901"/>
      <c r="I361" s="901"/>
      <c r="J361" s="901"/>
      <c r="K361" s="901"/>
      <c r="L361" s="901"/>
      <c r="M361" s="901"/>
      <c r="N361" s="901"/>
      <c r="O361" s="901"/>
      <c r="P361" s="901"/>
      <c r="Q361" s="908">
        <f t="shared" si="84"/>
        <v>0</v>
      </c>
      <c r="R361" s="906"/>
      <c r="S361" s="906"/>
    </row>
    <row r="362" ht="15" spans="3:19">
      <c r="C362" s="55" t="s">
        <v>241</v>
      </c>
      <c r="D362" s="55" t="s">
        <v>229</v>
      </c>
      <c r="E362" s="901"/>
      <c r="F362" s="901"/>
      <c r="G362" s="901"/>
      <c r="H362" s="901"/>
      <c r="I362" s="901"/>
      <c r="J362" s="901"/>
      <c r="K362" s="901"/>
      <c r="L362" s="901"/>
      <c r="M362" s="901"/>
      <c r="N362" s="901"/>
      <c r="O362" s="901"/>
      <c r="P362" s="901"/>
      <c r="Q362" s="908">
        <f t="shared" si="84"/>
        <v>0</v>
      </c>
      <c r="R362" s="906"/>
      <c r="S362" s="906"/>
    </row>
    <row r="363" ht="15" spans="3:19">
      <c r="C363" s="55" t="s">
        <v>259</v>
      </c>
      <c r="D363" s="55" t="s">
        <v>243</v>
      </c>
      <c r="E363" s="901"/>
      <c r="F363" s="901"/>
      <c r="G363" s="901"/>
      <c r="H363" s="901"/>
      <c r="I363" s="901"/>
      <c r="J363" s="901"/>
      <c r="K363" s="901"/>
      <c r="L363" s="901"/>
      <c r="M363" s="901"/>
      <c r="N363" s="901"/>
      <c r="O363" s="901"/>
      <c r="P363" s="901"/>
      <c r="Q363" s="908">
        <f t="shared" si="84"/>
        <v>0</v>
      </c>
      <c r="R363" s="906"/>
      <c r="S363" s="906"/>
    </row>
    <row r="364" ht="15" spans="3:19">
      <c r="C364" s="55" t="s">
        <v>205</v>
      </c>
      <c r="D364" s="55" t="s">
        <v>206</v>
      </c>
      <c r="E364" s="901"/>
      <c r="F364" s="901"/>
      <c r="G364" s="901"/>
      <c r="H364" s="901"/>
      <c r="I364" s="901"/>
      <c r="J364" s="901"/>
      <c r="K364" s="901"/>
      <c r="L364" s="901"/>
      <c r="M364" s="901"/>
      <c r="N364" s="901"/>
      <c r="O364" s="901"/>
      <c r="P364" s="901"/>
      <c r="Q364" s="908">
        <f t="shared" si="84"/>
        <v>0</v>
      </c>
      <c r="R364" s="906"/>
      <c r="S364" s="906"/>
    </row>
    <row r="365" ht="15" spans="3:19">
      <c r="C365" s="55" t="s">
        <v>207</v>
      </c>
      <c r="D365" s="55" t="s">
        <v>186</v>
      </c>
      <c r="E365" s="901"/>
      <c r="F365" s="901"/>
      <c r="G365" s="901"/>
      <c r="H365" s="901"/>
      <c r="I365" s="901"/>
      <c r="J365" s="901"/>
      <c r="K365" s="901"/>
      <c r="L365" s="901"/>
      <c r="M365" s="901"/>
      <c r="N365" s="901"/>
      <c r="O365" s="901"/>
      <c r="P365" s="901"/>
      <c r="Q365" s="908">
        <f t="shared" si="84"/>
        <v>0</v>
      </c>
      <c r="R365" s="906"/>
      <c r="S365" s="906"/>
    </row>
    <row r="366" ht="15" spans="3:19">
      <c r="C366" s="55" t="s">
        <v>208</v>
      </c>
      <c r="D366" s="55" t="s">
        <v>209</v>
      </c>
      <c r="E366" s="901"/>
      <c r="F366" s="901"/>
      <c r="G366" s="901"/>
      <c r="H366" s="901"/>
      <c r="I366" s="901"/>
      <c r="J366" s="901"/>
      <c r="K366" s="901"/>
      <c r="L366" s="901"/>
      <c r="M366" s="901"/>
      <c r="N366" s="901"/>
      <c r="O366" s="901"/>
      <c r="P366" s="901"/>
      <c r="Q366" s="908">
        <f t="shared" si="84"/>
        <v>0</v>
      </c>
      <c r="R366" s="906"/>
      <c r="S366" s="906"/>
    </row>
    <row r="367" ht="15" spans="3:19">
      <c r="C367" s="55" t="s">
        <v>210</v>
      </c>
      <c r="D367" s="55" t="s">
        <v>188</v>
      </c>
      <c r="E367" s="901"/>
      <c r="F367" s="901"/>
      <c r="G367" s="901"/>
      <c r="H367" s="901"/>
      <c r="I367" s="901"/>
      <c r="J367" s="901"/>
      <c r="K367" s="901"/>
      <c r="L367" s="901"/>
      <c r="M367" s="901"/>
      <c r="N367" s="901"/>
      <c r="O367" s="901"/>
      <c r="P367" s="901"/>
      <c r="Q367" s="908">
        <f t="shared" si="84"/>
        <v>0</v>
      </c>
      <c r="R367" s="906"/>
      <c r="S367" s="906"/>
    </row>
    <row r="368" ht="15" spans="3:19">
      <c r="C368" s="55"/>
      <c r="D368" s="55"/>
      <c r="E368" s="901"/>
      <c r="F368" s="901"/>
      <c r="G368" s="901"/>
      <c r="H368" s="901"/>
      <c r="I368" s="901"/>
      <c r="J368" s="901"/>
      <c r="K368" s="901"/>
      <c r="L368" s="901"/>
      <c r="M368" s="901"/>
      <c r="N368" s="901"/>
      <c r="O368" s="901"/>
      <c r="P368" s="901"/>
      <c r="Q368" s="908">
        <f t="shared" si="84"/>
        <v>0</v>
      </c>
      <c r="R368" s="906"/>
      <c r="S368" s="906"/>
    </row>
    <row r="369" ht="15" spans="3:19">
      <c r="C369" s="55"/>
      <c r="D369" s="55"/>
      <c r="E369" s="901"/>
      <c r="F369" s="901"/>
      <c r="G369" s="901"/>
      <c r="H369" s="901"/>
      <c r="I369" s="901"/>
      <c r="J369" s="901"/>
      <c r="K369" s="901"/>
      <c r="L369" s="901"/>
      <c r="M369" s="901"/>
      <c r="N369" s="901"/>
      <c r="O369" s="901"/>
      <c r="P369" s="901"/>
      <c r="Q369" s="908">
        <f t="shared" si="84"/>
        <v>0</v>
      </c>
      <c r="R369" s="906"/>
      <c r="S369" s="906"/>
    </row>
    <row r="370" ht="15" spans="3:19">
      <c r="C370" s="55"/>
      <c r="D370" s="55"/>
      <c r="E370" s="901"/>
      <c r="F370" s="901"/>
      <c r="G370" s="901"/>
      <c r="H370" s="901"/>
      <c r="I370" s="901"/>
      <c r="J370" s="901"/>
      <c r="K370" s="901"/>
      <c r="L370" s="901"/>
      <c r="M370" s="901"/>
      <c r="N370" s="901"/>
      <c r="O370" s="901"/>
      <c r="P370" s="901"/>
      <c r="Q370" s="908">
        <f t="shared" si="84"/>
        <v>0</v>
      </c>
      <c r="R370" s="906"/>
      <c r="S370" s="906"/>
    </row>
    <row r="371" ht="15" spans="3:19">
      <c r="C371" s="55" t="s">
        <v>258</v>
      </c>
      <c r="D371" s="55" t="s">
        <v>258</v>
      </c>
      <c r="E371" s="901"/>
      <c r="F371" s="901"/>
      <c r="G371" s="901"/>
      <c r="H371" s="901"/>
      <c r="I371" s="901"/>
      <c r="J371" s="901"/>
      <c r="K371" s="901"/>
      <c r="L371" s="901"/>
      <c r="M371" s="901"/>
      <c r="N371" s="901"/>
      <c r="O371" s="901"/>
      <c r="P371" s="901"/>
      <c r="Q371" s="908">
        <f t="shared" si="84"/>
        <v>0</v>
      </c>
      <c r="R371" s="906"/>
      <c r="S371" s="906"/>
    </row>
    <row r="372" ht="15" spans="3:19">
      <c r="C372" s="537" t="s">
        <v>211</v>
      </c>
      <c r="D372" s="540"/>
      <c r="E372" s="908">
        <f t="shared" ref="E372:P372" si="85">SUM(E355:E371)</f>
        <v>0</v>
      </c>
      <c r="F372" s="908">
        <f t="shared" si="85"/>
        <v>0</v>
      </c>
      <c r="G372" s="908">
        <f t="shared" si="85"/>
        <v>0</v>
      </c>
      <c r="H372" s="908">
        <f t="shared" si="85"/>
        <v>0</v>
      </c>
      <c r="I372" s="908">
        <f t="shared" si="85"/>
        <v>0</v>
      </c>
      <c r="J372" s="908">
        <f t="shared" si="85"/>
        <v>0</v>
      </c>
      <c r="K372" s="908">
        <f t="shared" si="85"/>
        <v>0</v>
      </c>
      <c r="L372" s="908">
        <f t="shared" si="85"/>
        <v>0</v>
      </c>
      <c r="M372" s="908">
        <f t="shared" si="85"/>
        <v>0</v>
      </c>
      <c r="N372" s="908">
        <f t="shared" si="85"/>
        <v>0</v>
      </c>
      <c r="O372" s="908">
        <f t="shared" si="85"/>
        <v>0</v>
      </c>
      <c r="P372" s="908">
        <f t="shared" si="85"/>
        <v>0</v>
      </c>
      <c r="Q372" s="908">
        <f t="shared" si="84"/>
        <v>0</v>
      </c>
      <c r="R372" s="906"/>
      <c r="S372" s="906"/>
    </row>
    <row r="373" ht="15" spans="3:19">
      <c r="C373" s="537" t="s">
        <v>223</v>
      </c>
      <c r="D373" s="540"/>
      <c r="E373" s="908">
        <f t="shared" ref="E373:P373" si="86">E372+E353+E336</f>
        <v>0</v>
      </c>
      <c r="F373" s="908">
        <f t="shared" si="86"/>
        <v>0</v>
      </c>
      <c r="G373" s="908">
        <f t="shared" si="86"/>
        <v>0</v>
      </c>
      <c r="H373" s="908">
        <f t="shared" si="86"/>
        <v>0</v>
      </c>
      <c r="I373" s="908">
        <f t="shared" si="86"/>
        <v>0</v>
      </c>
      <c r="J373" s="908">
        <f t="shared" si="86"/>
        <v>0</v>
      </c>
      <c r="K373" s="908">
        <f t="shared" si="86"/>
        <v>0</v>
      </c>
      <c r="L373" s="908">
        <f t="shared" si="86"/>
        <v>0</v>
      </c>
      <c r="M373" s="908">
        <f t="shared" si="86"/>
        <v>0</v>
      </c>
      <c r="N373" s="908">
        <f t="shared" si="86"/>
        <v>0</v>
      </c>
      <c r="O373" s="908">
        <f t="shared" si="86"/>
        <v>0</v>
      </c>
      <c r="P373" s="908">
        <f t="shared" si="86"/>
        <v>0</v>
      </c>
      <c r="Q373" s="908">
        <f t="shared" si="84"/>
        <v>0</v>
      </c>
      <c r="R373" s="906"/>
      <c r="S373" s="906"/>
    </row>
    <row r="374" ht="15" spans="3:19">
      <c r="C374" s="537" t="s">
        <v>224</v>
      </c>
      <c r="D374" s="540"/>
      <c r="E374" s="908">
        <f t="shared" ref="E374:P374" si="87">E373+E319</f>
        <v>1251.18063758848</v>
      </c>
      <c r="F374" s="908">
        <f t="shared" si="87"/>
        <v>590.251484162004</v>
      </c>
      <c r="G374" s="908">
        <f t="shared" si="87"/>
        <v>540.590557148526</v>
      </c>
      <c r="H374" s="908">
        <f t="shared" si="87"/>
        <v>777.719655</v>
      </c>
      <c r="I374" s="908">
        <f t="shared" si="87"/>
        <v>958.649791</v>
      </c>
      <c r="J374" s="908">
        <f t="shared" si="87"/>
        <v>1040.701889</v>
      </c>
      <c r="K374" s="908">
        <f t="shared" si="87"/>
        <v>698.01559578761</v>
      </c>
      <c r="L374" s="908">
        <f t="shared" si="87"/>
        <v>590.561511158625</v>
      </c>
      <c r="M374" s="908">
        <f t="shared" si="87"/>
        <v>1038.27985912042</v>
      </c>
      <c r="N374" s="908">
        <f t="shared" si="87"/>
        <v>1395.44374725091</v>
      </c>
      <c r="O374" s="908">
        <f t="shared" si="87"/>
        <v>1485.08742749008</v>
      </c>
      <c r="P374" s="908">
        <f t="shared" si="87"/>
        <v>1723.66</v>
      </c>
      <c r="Q374" s="908">
        <f t="shared" si="84"/>
        <v>12090.1421547067</v>
      </c>
      <c r="R374" s="906"/>
      <c r="S374" s="906"/>
    </row>
    <row r="375" ht="15" spans="3:19">
      <c r="C375" s="3"/>
      <c r="D375" s="3"/>
      <c r="E375" s="906"/>
      <c r="F375" s="906"/>
      <c r="G375" s="906"/>
      <c r="H375" s="906"/>
      <c r="I375" s="906"/>
      <c r="J375" s="906"/>
      <c r="K375" s="906"/>
      <c r="L375" s="906"/>
      <c r="M375" s="906"/>
      <c r="N375" s="906"/>
      <c r="O375" s="906"/>
      <c r="P375" s="906"/>
      <c r="Q375" s="906"/>
      <c r="R375" s="906"/>
      <c r="S375" s="906"/>
    </row>
    <row r="376" ht="15" spans="3:19">
      <c r="C376" s="14"/>
      <c r="E376" s="906"/>
      <c r="F376" s="906"/>
      <c r="G376" s="906"/>
      <c r="H376" s="906"/>
      <c r="I376" s="906"/>
      <c r="J376" s="906"/>
      <c r="K376" s="906"/>
      <c r="L376" s="906"/>
      <c r="M376" s="906"/>
      <c r="N376" s="906"/>
      <c r="O376" s="906"/>
      <c r="P376" s="906"/>
      <c r="Q376" s="909" t="s">
        <v>236</v>
      </c>
      <c r="R376" s="906"/>
      <c r="S376" s="906"/>
    </row>
    <row r="377" ht="15" spans="3:19">
      <c r="C377" s="658" t="s">
        <v>159</v>
      </c>
      <c r="D377" s="873"/>
      <c r="E377" s="907" t="s">
        <v>164</v>
      </c>
      <c r="F377" s="907"/>
      <c r="G377" s="907"/>
      <c r="H377" s="907"/>
      <c r="I377" s="907"/>
      <c r="J377" s="907"/>
      <c r="K377" s="907"/>
      <c r="L377" s="907"/>
      <c r="M377" s="907"/>
      <c r="N377" s="907"/>
      <c r="O377" s="907"/>
      <c r="P377" s="907"/>
      <c r="Q377" s="907"/>
      <c r="R377" s="906"/>
      <c r="S377" s="906"/>
    </row>
    <row r="378" ht="15" spans="3:19">
      <c r="C378" s="660"/>
      <c r="D378" s="874"/>
      <c r="E378" s="907" t="s">
        <v>246</v>
      </c>
      <c r="F378" s="907" t="s">
        <v>247</v>
      </c>
      <c r="G378" s="907" t="s">
        <v>248</v>
      </c>
      <c r="H378" s="907" t="s">
        <v>249</v>
      </c>
      <c r="I378" s="907" t="s">
        <v>250</v>
      </c>
      <c r="J378" s="907" t="s">
        <v>251</v>
      </c>
      <c r="K378" s="907" t="s">
        <v>252</v>
      </c>
      <c r="L378" s="907" t="s">
        <v>253</v>
      </c>
      <c r="M378" s="907" t="s">
        <v>254</v>
      </c>
      <c r="N378" s="907" t="s">
        <v>255</v>
      </c>
      <c r="O378" s="907" t="s">
        <v>256</v>
      </c>
      <c r="P378" s="907" t="s">
        <v>257</v>
      </c>
      <c r="Q378" s="907" t="s">
        <v>97</v>
      </c>
      <c r="R378" s="906"/>
      <c r="S378" s="906"/>
    </row>
    <row r="379" ht="15" spans="3:19">
      <c r="C379" s="662"/>
      <c r="D379" s="875"/>
      <c r="E379" s="907" t="s">
        <v>130</v>
      </c>
      <c r="F379" s="907" t="s">
        <v>130</v>
      </c>
      <c r="G379" s="907" t="s">
        <v>130</v>
      </c>
      <c r="H379" s="907" t="s">
        <v>130</v>
      </c>
      <c r="I379" s="907" t="s">
        <v>130</v>
      </c>
      <c r="J379" s="907" t="s">
        <v>130</v>
      </c>
      <c r="K379" s="907" t="s">
        <v>131</v>
      </c>
      <c r="L379" s="907" t="s">
        <v>131</v>
      </c>
      <c r="M379" s="907" t="s">
        <v>131</v>
      </c>
      <c r="N379" s="907" t="s">
        <v>131</v>
      </c>
      <c r="O379" s="907" t="s">
        <v>131</v>
      </c>
      <c r="P379" s="907" t="s">
        <v>131</v>
      </c>
      <c r="Q379" s="907" t="s">
        <v>131</v>
      </c>
      <c r="R379" s="906"/>
      <c r="S379" s="906"/>
    </row>
    <row r="380" ht="15" spans="3:19">
      <c r="C380" s="44" t="s">
        <v>170</v>
      </c>
      <c r="D380" s="45"/>
      <c r="E380" s="901"/>
      <c r="F380" s="901"/>
      <c r="G380" s="901"/>
      <c r="H380" s="901"/>
      <c r="I380" s="901"/>
      <c r="J380" s="901"/>
      <c r="K380" s="901"/>
      <c r="L380" s="901"/>
      <c r="M380" s="901"/>
      <c r="N380" s="901"/>
      <c r="O380" s="901"/>
      <c r="P380" s="901"/>
      <c r="Q380" s="910"/>
      <c r="R380" s="906"/>
      <c r="S380" s="906"/>
    </row>
    <row r="381" ht="15" spans="3:19">
      <c r="C381" s="47" t="s">
        <v>171</v>
      </c>
      <c r="D381" s="47" t="s">
        <v>172</v>
      </c>
      <c r="E381" s="901"/>
      <c r="F381" s="901"/>
      <c r="G381" s="901"/>
      <c r="H381" s="901"/>
      <c r="I381" s="901"/>
      <c r="J381" s="901"/>
      <c r="K381" s="901"/>
      <c r="L381" s="901"/>
      <c r="M381" s="901"/>
      <c r="N381" s="901"/>
      <c r="O381" s="901"/>
      <c r="P381" s="901"/>
      <c r="Q381" s="908">
        <f t="shared" ref="Q381:Q394" si="88">SUM(E381:P381)</f>
        <v>0</v>
      </c>
      <c r="R381" s="906"/>
      <c r="S381" s="906"/>
    </row>
    <row r="382" ht="15" spans="3:19">
      <c r="C382" s="55" t="s">
        <v>173</v>
      </c>
      <c r="D382" s="55" t="s">
        <v>174</v>
      </c>
      <c r="E382" s="901"/>
      <c r="F382" s="901"/>
      <c r="G382" s="901"/>
      <c r="H382" s="901"/>
      <c r="I382" s="901"/>
      <c r="J382" s="901"/>
      <c r="K382" s="901"/>
      <c r="L382" s="901"/>
      <c r="M382" s="901"/>
      <c r="N382" s="901"/>
      <c r="O382" s="901"/>
      <c r="P382" s="901"/>
      <c r="Q382" s="908">
        <f t="shared" si="88"/>
        <v>0</v>
      </c>
      <c r="R382" s="906"/>
      <c r="S382" s="906"/>
    </row>
    <row r="383" ht="15" spans="3:19">
      <c r="C383" s="55" t="s">
        <v>175</v>
      </c>
      <c r="D383" s="55" t="s">
        <v>176</v>
      </c>
      <c r="E383" s="901"/>
      <c r="F383" s="901"/>
      <c r="G383" s="901"/>
      <c r="H383" s="901"/>
      <c r="I383" s="901"/>
      <c r="J383" s="901"/>
      <c r="K383" s="901"/>
      <c r="L383" s="901"/>
      <c r="M383" s="901"/>
      <c r="N383" s="901"/>
      <c r="O383" s="901"/>
      <c r="P383" s="901"/>
      <c r="Q383" s="908">
        <f t="shared" si="88"/>
        <v>0</v>
      </c>
      <c r="R383" s="906"/>
      <c r="S383" s="906"/>
    </row>
    <row r="384" ht="15" spans="3:19">
      <c r="C384" s="55" t="s">
        <v>177</v>
      </c>
      <c r="D384" s="55" t="s">
        <v>178</v>
      </c>
      <c r="E384" s="901"/>
      <c r="F384" s="901"/>
      <c r="G384" s="901"/>
      <c r="H384" s="901"/>
      <c r="I384" s="901"/>
      <c r="J384" s="901"/>
      <c r="K384" s="901"/>
      <c r="L384" s="901"/>
      <c r="M384" s="901"/>
      <c r="N384" s="901"/>
      <c r="O384" s="901"/>
      <c r="P384" s="901"/>
      <c r="Q384" s="908">
        <f t="shared" si="88"/>
        <v>0</v>
      </c>
      <c r="R384" s="906"/>
      <c r="S384" s="906"/>
    </row>
    <row r="385" ht="15" spans="3:19">
      <c r="C385" s="55" t="s">
        <v>179</v>
      </c>
      <c r="D385" s="55" t="s">
        <v>180</v>
      </c>
      <c r="E385" s="901">
        <f>[10]Sales_SP!FE49</f>
        <v>1263.75544428518</v>
      </c>
      <c r="F385" s="901">
        <f>[10]Sales_SP!FF49</f>
        <v>488.999782403279</v>
      </c>
      <c r="G385" s="901">
        <f>[10]Sales_SP!FG49</f>
        <v>631.266541266266</v>
      </c>
      <c r="H385" s="901">
        <f>[10]Sales_SP!FH49</f>
        <v>976.774006825415</v>
      </c>
      <c r="I385" s="901">
        <f>[10]Sales_SP!FI49</f>
        <v>1637.25784552728</v>
      </c>
      <c r="J385" s="901">
        <f>[10]Sales_SP!FJ49</f>
        <v>1234.58</v>
      </c>
      <c r="K385" s="901">
        <f>[10]Sales_SP!FK49</f>
        <v>722.000471575119</v>
      </c>
      <c r="L385" s="901">
        <f>[10]Sales_SP!FL49</f>
        <v>610.8541014324</v>
      </c>
      <c r="M385" s="901">
        <f>[10]Sales_SP!FM49</f>
        <v>1073.95673167737</v>
      </c>
      <c r="N385" s="901">
        <f>[10]Sales_SP!FN49</f>
        <v>1443.39331334693</v>
      </c>
      <c r="O385" s="901">
        <f>[10]Sales_SP!FO49</f>
        <v>1536.11728656041</v>
      </c>
      <c r="P385" s="901">
        <f>[10]Sales_SP!FP49</f>
        <v>1782.88757492725</v>
      </c>
      <c r="Q385" s="908">
        <f t="shared" si="88"/>
        <v>13401.8430998269</v>
      </c>
      <c r="R385" s="906"/>
      <c r="S385" s="906"/>
    </row>
    <row r="386" ht="15" spans="3:19">
      <c r="C386" s="55" t="s">
        <v>181</v>
      </c>
      <c r="D386" s="55" t="s">
        <v>182</v>
      </c>
      <c r="E386" s="901"/>
      <c r="F386" s="901"/>
      <c r="G386" s="901"/>
      <c r="H386" s="901"/>
      <c r="I386" s="901"/>
      <c r="J386" s="901"/>
      <c r="K386" s="901"/>
      <c r="L386" s="901"/>
      <c r="M386" s="901"/>
      <c r="N386" s="901"/>
      <c r="O386" s="901"/>
      <c r="P386" s="901"/>
      <c r="Q386" s="908">
        <f t="shared" si="88"/>
        <v>0</v>
      </c>
      <c r="R386" s="906"/>
      <c r="S386" s="906"/>
    </row>
    <row r="387" ht="15" spans="3:19">
      <c r="C387" s="55" t="s">
        <v>183</v>
      </c>
      <c r="D387" s="55" t="s">
        <v>184</v>
      </c>
      <c r="E387" s="901"/>
      <c r="F387" s="901"/>
      <c r="G387" s="901"/>
      <c r="H387" s="901"/>
      <c r="I387" s="901"/>
      <c r="J387" s="901"/>
      <c r="K387" s="901"/>
      <c r="L387" s="901"/>
      <c r="M387" s="901"/>
      <c r="N387" s="901"/>
      <c r="O387" s="901"/>
      <c r="P387" s="901"/>
      <c r="Q387" s="908">
        <f t="shared" si="88"/>
        <v>0</v>
      </c>
      <c r="R387" s="906"/>
      <c r="S387" s="906"/>
    </row>
    <row r="388" ht="15" spans="3:19">
      <c r="C388" s="55" t="s">
        <v>185</v>
      </c>
      <c r="D388" s="55" t="s">
        <v>186</v>
      </c>
      <c r="E388" s="901"/>
      <c r="F388" s="901"/>
      <c r="G388" s="901"/>
      <c r="H388" s="901"/>
      <c r="I388" s="901"/>
      <c r="J388" s="901"/>
      <c r="K388" s="901"/>
      <c r="L388" s="901"/>
      <c r="M388" s="901"/>
      <c r="N388" s="901"/>
      <c r="O388" s="901"/>
      <c r="P388" s="901"/>
      <c r="Q388" s="908">
        <f t="shared" si="88"/>
        <v>0</v>
      </c>
      <c r="R388" s="906"/>
      <c r="S388" s="906"/>
    </row>
    <row r="389" ht="15" spans="3:19">
      <c r="C389" s="55" t="s">
        <v>187</v>
      </c>
      <c r="D389" s="55" t="s">
        <v>188</v>
      </c>
      <c r="E389" s="901"/>
      <c r="F389" s="901"/>
      <c r="G389" s="901"/>
      <c r="H389" s="901"/>
      <c r="I389" s="901"/>
      <c r="J389" s="901"/>
      <c r="K389" s="901"/>
      <c r="L389" s="901"/>
      <c r="M389" s="901"/>
      <c r="N389" s="901"/>
      <c r="O389" s="901"/>
      <c r="P389" s="901"/>
      <c r="Q389" s="908">
        <f t="shared" si="88"/>
        <v>0</v>
      </c>
      <c r="R389" s="906"/>
      <c r="S389" s="906"/>
    </row>
    <row r="390" ht="15" spans="3:19">
      <c r="C390" s="55"/>
      <c r="D390" s="55"/>
      <c r="E390" s="901"/>
      <c r="F390" s="901"/>
      <c r="G390" s="901"/>
      <c r="H390" s="901"/>
      <c r="I390" s="901"/>
      <c r="J390" s="901"/>
      <c r="K390" s="901"/>
      <c r="L390" s="901"/>
      <c r="M390" s="901"/>
      <c r="N390" s="901"/>
      <c r="O390" s="901"/>
      <c r="P390" s="901"/>
      <c r="Q390" s="908">
        <f t="shared" si="88"/>
        <v>0</v>
      </c>
      <c r="R390" s="906"/>
      <c r="S390" s="906"/>
    </row>
    <row r="391" ht="15" spans="3:19">
      <c r="C391" s="55"/>
      <c r="D391" s="55"/>
      <c r="E391" s="901"/>
      <c r="F391" s="901"/>
      <c r="G391" s="901"/>
      <c r="H391" s="901"/>
      <c r="I391" s="901"/>
      <c r="J391" s="901"/>
      <c r="K391" s="901"/>
      <c r="L391" s="901"/>
      <c r="M391" s="901"/>
      <c r="N391" s="901"/>
      <c r="O391" s="901"/>
      <c r="P391" s="901"/>
      <c r="Q391" s="908">
        <f t="shared" si="88"/>
        <v>0</v>
      </c>
      <c r="R391" s="906"/>
      <c r="S391" s="906"/>
    </row>
    <row r="392" ht="15" spans="3:19">
      <c r="C392" s="55"/>
      <c r="D392" s="55"/>
      <c r="E392" s="901"/>
      <c r="F392" s="901"/>
      <c r="G392" s="901"/>
      <c r="H392" s="901"/>
      <c r="I392" s="901"/>
      <c r="J392" s="901"/>
      <c r="K392" s="901"/>
      <c r="L392" s="901"/>
      <c r="M392" s="901"/>
      <c r="N392" s="901"/>
      <c r="O392" s="901"/>
      <c r="P392" s="901"/>
      <c r="Q392" s="908">
        <f t="shared" si="88"/>
        <v>0</v>
      </c>
      <c r="R392" s="906"/>
      <c r="S392" s="906"/>
    </row>
    <row r="393" ht="15" spans="3:19">
      <c r="C393" s="55" t="s">
        <v>258</v>
      </c>
      <c r="D393" s="55" t="s">
        <v>258</v>
      </c>
      <c r="E393" s="901"/>
      <c r="F393" s="901"/>
      <c r="G393" s="901"/>
      <c r="H393" s="901"/>
      <c r="I393" s="901"/>
      <c r="J393" s="901"/>
      <c r="K393" s="901"/>
      <c r="L393" s="901"/>
      <c r="M393" s="901"/>
      <c r="N393" s="901"/>
      <c r="O393" s="901"/>
      <c r="P393" s="901"/>
      <c r="Q393" s="908">
        <f t="shared" si="88"/>
        <v>0</v>
      </c>
      <c r="R393" s="906"/>
      <c r="S393" s="906"/>
    </row>
    <row r="394" ht="15" spans="3:19">
      <c r="C394" s="537" t="s">
        <v>189</v>
      </c>
      <c r="D394" s="540"/>
      <c r="E394" s="908">
        <f t="shared" ref="E394:P394" si="89">SUM(E381:E393)</f>
        <v>1263.75544428518</v>
      </c>
      <c r="F394" s="908">
        <f t="shared" si="89"/>
        <v>488.999782403279</v>
      </c>
      <c r="G394" s="908">
        <f t="shared" si="89"/>
        <v>631.266541266266</v>
      </c>
      <c r="H394" s="908">
        <f t="shared" si="89"/>
        <v>976.774006825415</v>
      </c>
      <c r="I394" s="908">
        <f t="shared" si="89"/>
        <v>1637.25784552728</v>
      </c>
      <c r="J394" s="908">
        <f t="shared" si="89"/>
        <v>1234.58</v>
      </c>
      <c r="K394" s="908">
        <f t="shared" si="89"/>
        <v>722.000471575119</v>
      </c>
      <c r="L394" s="908">
        <f t="shared" si="89"/>
        <v>610.8541014324</v>
      </c>
      <c r="M394" s="908">
        <f t="shared" si="89"/>
        <v>1073.95673167737</v>
      </c>
      <c r="N394" s="908">
        <f t="shared" si="89"/>
        <v>1443.39331334693</v>
      </c>
      <c r="O394" s="908">
        <f t="shared" si="89"/>
        <v>1536.11728656041</v>
      </c>
      <c r="P394" s="908">
        <f t="shared" si="89"/>
        <v>1782.88757492725</v>
      </c>
      <c r="Q394" s="908">
        <f t="shared" si="88"/>
        <v>13401.8430998269</v>
      </c>
      <c r="R394" s="906"/>
      <c r="S394" s="906"/>
    </row>
    <row r="395" ht="15" spans="3:19">
      <c r="C395" s="44" t="s">
        <v>190</v>
      </c>
      <c r="D395" s="45"/>
      <c r="E395" s="901"/>
      <c r="F395" s="901"/>
      <c r="G395" s="901"/>
      <c r="H395" s="901"/>
      <c r="I395" s="901"/>
      <c r="J395" s="901"/>
      <c r="K395" s="901"/>
      <c r="L395" s="901"/>
      <c r="M395" s="901"/>
      <c r="N395" s="901"/>
      <c r="O395" s="901"/>
      <c r="P395" s="901"/>
      <c r="Q395" s="910"/>
      <c r="R395" s="906"/>
      <c r="S395" s="906"/>
    </row>
    <row r="396" ht="15" spans="3:19">
      <c r="C396" s="55" t="s">
        <v>191</v>
      </c>
      <c r="D396" s="55" t="s">
        <v>192</v>
      </c>
      <c r="E396" s="901"/>
      <c r="F396" s="901"/>
      <c r="G396" s="901"/>
      <c r="H396" s="901"/>
      <c r="I396" s="901"/>
      <c r="J396" s="901"/>
      <c r="K396" s="901"/>
      <c r="L396" s="901"/>
      <c r="M396" s="901"/>
      <c r="N396" s="901"/>
      <c r="O396" s="901"/>
      <c r="P396" s="901"/>
      <c r="Q396" s="908">
        <f t="shared" ref="Q396:Q411" si="90">SUM(E396:P396)</f>
        <v>0</v>
      </c>
      <c r="R396" s="906"/>
      <c r="S396" s="906"/>
    </row>
    <row r="397" ht="15" spans="3:19">
      <c r="C397" s="55" t="s">
        <v>193</v>
      </c>
      <c r="D397" s="55" t="s">
        <v>194</v>
      </c>
      <c r="E397" s="901"/>
      <c r="F397" s="901"/>
      <c r="G397" s="901"/>
      <c r="H397" s="901"/>
      <c r="I397" s="901"/>
      <c r="J397" s="901"/>
      <c r="K397" s="901"/>
      <c r="L397" s="901"/>
      <c r="M397" s="901"/>
      <c r="N397" s="901"/>
      <c r="O397" s="901"/>
      <c r="P397" s="901"/>
      <c r="Q397" s="908">
        <f t="shared" si="90"/>
        <v>0</v>
      </c>
      <c r="R397" s="906"/>
      <c r="S397" s="906"/>
    </row>
    <row r="398" ht="15" spans="3:19">
      <c r="C398" s="55" t="s">
        <v>239</v>
      </c>
      <c r="D398" s="55" t="s">
        <v>196</v>
      </c>
      <c r="E398" s="901"/>
      <c r="F398" s="901"/>
      <c r="G398" s="901"/>
      <c r="H398" s="901"/>
      <c r="I398" s="901"/>
      <c r="J398" s="901"/>
      <c r="K398" s="901"/>
      <c r="L398" s="901"/>
      <c r="M398" s="901"/>
      <c r="N398" s="901"/>
      <c r="O398" s="901"/>
      <c r="P398" s="901"/>
      <c r="Q398" s="908">
        <f t="shared" si="90"/>
        <v>0</v>
      </c>
      <c r="R398" s="906"/>
      <c r="S398" s="906"/>
    </row>
    <row r="399" ht="15" spans="3:19">
      <c r="C399" s="55" t="s">
        <v>197</v>
      </c>
      <c r="D399" s="55" t="s">
        <v>198</v>
      </c>
      <c r="E399" s="901"/>
      <c r="F399" s="901"/>
      <c r="G399" s="901"/>
      <c r="H399" s="901"/>
      <c r="I399" s="901"/>
      <c r="J399" s="901"/>
      <c r="K399" s="901"/>
      <c r="L399" s="901"/>
      <c r="M399" s="901"/>
      <c r="N399" s="901"/>
      <c r="O399" s="901"/>
      <c r="P399" s="901"/>
      <c r="Q399" s="908">
        <f t="shared" si="90"/>
        <v>0</v>
      </c>
      <c r="R399" s="906"/>
      <c r="S399" s="906"/>
    </row>
    <row r="400" ht="15" spans="3:19">
      <c r="C400" s="55" t="s">
        <v>199</v>
      </c>
      <c r="D400" s="55" t="s">
        <v>200</v>
      </c>
      <c r="E400" s="901"/>
      <c r="F400" s="901"/>
      <c r="G400" s="901"/>
      <c r="H400" s="901"/>
      <c r="I400" s="901"/>
      <c r="J400" s="901"/>
      <c r="K400" s="901"/>
      <c r="L400" s="901"/>
      <c r="M400" s="901"/>
      <c r="N400" s="901"/>
      <c r="O400" s="901"/>
      <c r="P400" s="901"/>
      <c r="Q400" s="908">
        <f t="shared" si="90"/>
        <v>0</v>
      </c>
      <c r="R400" s="906"/>
      <c r="S400" s="906"/>
    </row>
    <row r="401" ht="15" spans="3:19">
      <c r="C401" s="55" t="s">
        <v>201</v>
      </c>
      <c r="D401" s="55" t="s">
        <v>202</v>
      </c>
      <c r="E401" s="901"/>
      <c r="F401" s="901"/>
      <c r="G401" s="901"/>
      <c r="H401" s="901"/>
      <c r="I401" s="901"/>
      <c r="J401" s="901"/>
      <c r="K401" s="901"/>
      <c r="L401" s="901"/>
      <c r="M401" s="901"/>
      <c r="N401" s="901"/>
      <c r="O401" s="901"/>
      <c r="P401" s="901"/>
      <c r="Q401" s="908">
        <f t="shared" si="90"/>
        <v>0</v>
      </c>
      <c r="R401" s="906"/>
      <c r="S401" s="906"/>
    </row>
    <row r="402" ht="15" spans="3:19">
      <c r="C402" s="55" t="s">
        <v>203</v>
      </c>
      <c r="D402" s="55" t="s">
        <v>204</v>
      </c>
      <c r="E402" s="901"/>
      <c r="F402" s="901"/>
      <c r="G402" s="901"/>
      <c r="H402" s="901"/>
      <c r="I402" s="901"/>
      <c r="J402" s="901"/>
      <c r="K402" s="901"/>
      <c r="L402" s="901"/>
      <c r="M402" s="901"/>
      <c r="N402" s="901"/>
      <c r="O402" s="901"/>
      <c r="P402" s="901"/>
      <c r="Q402" s="908">
        <f t="shared" si="90"/>
        <v>0</v>
      </c>
      <c r="R402" s="906"/>
      <c r="S402" s="906"/>
    </row>
    <row r="403" ht="15" spans="3:19">
      <c r="C403" s="55" t="s">
        <v>205</v>
      </c>
      <c r="D403" s="55" t="s">
        <v>206</v>
      </c>
      <c r="E403" s="901"/>
      <c r="F403" s="901"/>
      <c r="G403" s="901"/>
      <c r="H403" s="901"/>
      <c r="I403" s="901"/>
      <c r="J403" s="901"/>
      <c r="K403" s="901"/>
      <c r="L403" s="901"/>
      <c r="M403" s="901"/>
      <c r="N403" s="901"/>
      <c r="O403" s="901"/>
      <c r="P403" s="901"/>
      <c r="Q403" s="908">
        <f t="shared" si="90"/>
        <v>0</v>
      </c>
      <c r="R403" s="906"/>
      <c r="S403" s="906"/>
    </row>
    <row r="404" ht="15" spans="3:19">
      <c r="C404" s="55" t="s">
        <v>207</v>
      </c>
      <c r="D404" s="55" t="s">
        <v>186</v>
      </c>
      <c r="E404" s="901"/>
      <c r="F404" s="901"/>
      <c r="G404" s="901"/>
      <c r="H404" s="901"/>
      <c r="I404" s="901"/>
      <c r="J404" s="901"/>
      <c r="K404" s="901"/>
      <c r="L404" s="901"/>
      <c r="M404" s="901"/>
      <c r="N404" s="901"/>
      <c r="O404" s="901"/>
      <c r="P404" s="901"/>
      <c r="Q404" s="908">
        <f t="shared" si="90"/>
        <v>0</v>
      </c>
      <c r="R404" s="906"/>
      <c r="S404" s="906"/>
    </row>
    <row r="405" ht="15" spans="3:19">
      <c r="C405" s="55" t="s">
        <v>208</v>
      </c>
      <c r="D405" s="55" t="s">
        <v>209</v>
      </c>
      <c r="E405" s="901"/>
      <c r="F405" s="901"/>
      <c r="G405" s="901"/>
      <c r="H405" s="901"/>
      <c r="I405" s="901"/>
      <c r="J405" s="901"/>
      <c r="K405" s="901"/>
      <c r="L405" s="901"/>
      <c r="M405" s="901"/>
      <c r="N405" s="901"/>
      <c r="O405" s="901"/>
      <c r="P405" s="901"/>
      <c r="Q405" s="908">
        <f t="shared" si="90"/>
        <v>0</v>
      </c>
      <c r="R405" s="906"/>
      <c r="S405" s="906"/>
    </row>
    <row r="406" ht="15" spans="3:19">
      <c r="C406" s="55" t="s">
        <v>210</v>
      </c>
      <c r="D406" s="55" t="s">
        <v>188</v>
      </c>
      <c r="E406" s="901"/>
      <c r="F406" s="901"/>
      <c r="G406" s="901"/>
      <c r="H406" s="901"/>
      <c r="I406" s="901"/>
      <c r="J406" s="901"/>
      <c r="K406" s="901"/>
      <c r="L406" s="901"/>
      <c r="M406" s="901"/>
      <c r="N406" s="901"/>
      <c r="O406" s="901"/>
      <c r="P406" s="901"/>
      <c r="Q406" s="908">
        <f t="shared" si="90"/>
        <v>0</v>
      </c>
      <c r="R406" s="906"/>
      <c r="S406" s="906"/>
    </row>
    <row r="407" ht="15" spans="3:19">
      <c r="C407" s="55"/>
      <c r="D407" s="55"/>
      <c r="E407" s="901"/>
      <c r="F407" s="901"/>
      <c r="G407" s="901"/>
      <c r="H407" s="901"/>
      <c r="I407" s="901"/>
      <c r="J407" s="901"/>
      <c r="K407" s="901"/>
      <c r="L407" s="901"/>
      <c r="M407" s="901"/>
      <c r="N407" s="901"/>
      <c r="O407" s="901"/>
      <c r="P407" s="901"/>
      <c r="Q407" s="908">
        <f t="shared" si="90"/>
        <v>0</v>
      </c>
      <c r="R407" s="906"/>
      <c r="S407" s="906"/>
    </row>
    <row r="408" ht="15" spans="3:19">
      <c r="C408" s="55"/>
      <c r="D408" s="55"/>
      <c r="E408" s="901"/>
      <c r="F408" s="901"/>
      <c r="G408" s="901"/>
      <c r="H408" s="901"/>
      <c r="I408" s="901"/>
      <c r="J408" s="901"/>
      <c r="K408" s="901"/>
      <c r="L408" s="901"/>
      <c r="M408" s="901"/>
      <c r="N408" s="901"/>
      <c r="O408" s="901"/>
      <c r="P408" s="901"/>
      <c r="Q408" s="908">
        <f t="shared" si="90"/>
        <v>0</v>
      </c>
      <c r="R408" s="906"/>
      <c r="S408" s="906"/>
    </row>
    <row r="409" ht="15" spans="3:19">
      <c r="C409" s="55"/>
      <c r="D409" s="55"/>
      <c r="E409" s="901"/>
      <c r="F409" s="901"/>
      <c r="G409" s="901"/>
      <c r="H409" s="901"/>
      <c r="I409" s="901"/>
      <c r="J409" s="901"/>
      <c r="K409" s="901"/>
      <c r="L409" s="901"/>
      <c r="M409" s="901"/>
      <c r="N409" s="901"/>
      <c r="O409" s="901"/>
      <c r="P409" s="901"/>
      <c r="Q409" s="908">
        <f t="shared" si="90"/>
        <v>0</v>
      </c>
      <c r="R409" s="906"/>
      <c r="S409" s="906"/>
    </row>
    <row r="410" ht="15" spans="3:19">
      <c r="C410" s="55" t="s">
        <v>258</v>
      </c>
      <c r="D410" s="55" t="s">
        <v>258</v>
      </c>
      <c r="E410" s="901"/>
      <c r="F410" s="901"/>
      <c r="G410" s="901"/>
      <c r="H410" s="901"/>
      <c r="I410" s="901"/>
      <c r="J410" s="901"/>
      <c r="K410" s="901"/>
      <c r="L410" s="901"/>
      <c r="M410" s="901"/>
      <c r="N410" s="901"/>
      <c r="O410" s="901"/>
      <c r="P410" s="901"/>
      <c r="Q410" s="908">
        <f t="shared" si="90"/>
        <v>0</v>
      </c>
      <c r="R410" s="906"/>
      <c r="S410" s="906"/>
    </row>
    <row r="411" ht="15" spans="3:19">
      <c r="C411" s="537" t="s">
        <v>211</v>
      </c>
      <c r="D411" s="540"/>
      <c r="E411" s="908">
        <f t="shared" ref="E411:P411" si="91">SUM(E396:E410)</f>
        <v>0</v>
      </c>
      <c r="F411" s="908">
        <f t="shared" si="91"/>
        <v>0</v>
      </c>
      <c r="G411" s="908">
        <f t="shared" si="91"/>
        <v>0</v>
      </c>
      <c r="H411" s="908">
        <f t="shared" si="91"/>
        <v>0</v>
      </c>
      <c r="I411" s="908">
        <f t="shared" si="91"/>
        <v>0</v>
      </c>
      <c r="J411" s="908">
        <f t="shared" si="91"/>
        <v>0</v>
      </c>
      <c r="K411" s="908">
        <f t="shared" si="91"/>
        <v>0</v>
      </c>
      <c r="L411" s="908">
        <f t="shared" si="91"/>
        <v>0</v>
      </c>
      <c r="M411" s="908">
        <f t="shared" si="91"/>
        <v>0</v>
      </c>
      <c r="N411" s="908">
        <f t="shared" si="91"/>
        <v>0</v>
      </c>
      <c r="O411" s="908">
        <f t="shared" si="91"/>
        <v>0</v>
      </c>
      <c r="P411" s="908">
        <f t="shared" si="91"/>
        <v>0</v>
      </c>
      <c r="Q411" s="908">
        <f t="shared" si="90"/>
        <v>0</v>
      </c>
      <c r="R411" s="906"/>
      <c r="S411" s="906"/>
    </row>
    <row r="412" ht="15" spans="3:19">
      <c r="C412" s="44" t="s">
        <v>212</v>
      </c>
      <c r="D412" s="45"/>
      <c r="E412" s="901"/>
      <c r="F412" s="901"/>
      <c r="G412" s="901"/>
      <c r="H412" s="901"/>
      <c r="I412" s="901"/>
      <c r="J412" s="901"/>
      <c r="K412" s="901"/>
      <c r="L412" s="901"/>
      <c r="M412" s="901"/>
      <c r="N412" s="901"/>
      <c r="O412" s="901"/>
      <c r="P412" s="901"/>
      <c r="Q412" s="910"/>
      <c r="R412" s="906"/>
      <c r="S412" s="906"/>
    </row>
    <row r="413" ht="15" spans="3:19">
      <c r="C413" s="55" t="s">
        <v>191</v>
      </c>
      <c r="D413" s="55" t="s">
        <v>192</v>
      </c>
      <c r="E413" s="901"/>
      <c r="F413" s="901"/>
      <c r="G413" s="901"/>
      <c r="H413" s="901"/>
      <c r="I413" s="901"/>
      <c r="J413" s="901"/>
      <c r="K413" s="901"/>
      <c r="L413" s="901"/>
      <c r="M413" s="901"/>
      <c r="N413" s="901"/>
      <c r="O413" s="901"/>
      <c r="P413" s="901"/>
      <c r="Q413" s="908">
        <f t="shared" ref="Q413:Q428" si="92">SUM(E413:P413)</f>
        <v>0</v>
      </c>
      <c r="R413" s="906"/>
      <c r="S413" s="906"/>
    </row>
    <row r="414" ht="15" spans="3:19">
      <c r="C414" s="55" t="s">
        <v>193</v>
      </c>
      <c r="D414" s="55" t="s">
        <v>194</v>
      </c>
      <c r="E414" s="901"/>
      <c r="F414" s="901"/>
      <c r="G414" s="901"/>
      <c r="H414" s="901"/>
      <c r="I414" s="901"/>
      <c r="J414" s="901"/>
      <c r="K414" s="901"/>
      <c r="L414" s="901"/>
      <c r="M414" s="901"/>
      <c r="N414" s="901"/>
      <c r="O414" s="901"/>
      <c r="P414" s="901"/>
      <c r="Q414" s="908">
        <f t="shared" si="92"/>
        <v>0</v>
      </c>
      <c r="R414" s="906"/>
      <c r="S414" s="906"/>
    </row>
    <row r="415" ht="15" spans="3:19">
      <c r="C415" s="55" t="s">
        <v>239</v>
      </c>
      <c r="D415" s="55" t="s">
        <v>196</v>
      </c>
      <c r="E415" s="901"/>
      <c r="F415" s="901"/>
      <c r="G415" s="901"/>
      <c r="H415" s="901"/>
      <c r="I415" s="901"/>
      <c r="J415" s="901"/>
      <c r="K415" s="901"/>
      <c r="L415" s="901"/>
      <c r="M415" s="901"/>
      <c r="N415" s="901"/>
      <c r="O415" s="901"/>
      <c r="P415" s="901"/>
      <c r="Q415" s="908">
        <f t="shared" si="92"/>
        <v>0</v>
      </c>
      <c r="R415" s="906"/>
      <c r="S415" s="906"/>
    </row>
    <row r="416" ht="15" spans="3:19">
      <c r="C416" s="55" t="s">
        <v>197</v>
      </c>
      <c r="D416" s="55" t="s">
        <v>198</v>
      </c>
      <c r="E416" s="901"/>
      <c r="F416" s="901"/>
      <c r="G416" s="901"/>
      <c r="H416" s="901"/>
      <c r="I416" s="901"/>
      <c r="J416" s="901"/>
      <c r="K416" s="901"/>
      <c r="L416" s="901"/>
      <c r="M416" s="901"/>
      <c r="N416" s="901"/>
      <c r="O416" s="901"/>
      <c r="P416" s="901"/>
      <c r="Q416" s="908">
        <f t="shared" si="92"/>
        <v>0</v>
      </c>
      <c r="R416" s="906"/>
      <c r="S416" s="906"/>
    </row>
    <row r="417" ht="15" spans="3:19">
      <c r="C417" s="55" t="s">
        <v>199</v>
      </c>
      <c r="D417" s="55" t="s">
        <v>200</v>
      </c>
      <c r="E417" s="901"/>
      <c r="F417" s="901"/>
      <c r="G417" s="901"/>
      <c r="H417" s="901"/>
      <c r="I417" s="901"/>
      <c r="J417" s="901"/>
      <c r="K417" s="901"/>
      <c r="L417" s="901"/>
      <c r="M417" s="901"/>
      <c r="N417" s="901"/>
      <c r="O417" s="901"/>
      <c r="P417" s="901"/>
      <c r="Q417" s="908">
        <f t="shared" si="92"/>
        <v>0</v>
      </c>
      <c r="R417" s="906"/>
      <c r="S417" s="906"/>
    </row>
    <row r="418" ht="15" spans="3:19">
      <c r="C418" s="55" t="s">
        <v>201</v>
      </c>
      <c r="D418" s="55" t="s">
        <v>202</v>
      </c>
      <c r="E418" s="901"/>
      <c r="F418" s="901"/>
      <c r="G418" s="901"/>
      <c r="H418" s="901"/>
      <c r="I418" s="901"/>
      <c r="J418" s="901"/>
      <c r="K418" s="901"/>
      <c r="L418" s="901"/>
      <c r="M418" s="901"/>
      <c r="N418" s="901"/>
      <c r="O418" s="901"/>
      <c r="P418" s="901"/>
      <c r="Q418" s="908">
        <f t="shared" si="92"/>
        <v>0</v>
      </c>
      <c r="R418" s="906"/>
      <c r="S418" s="906"/>
    </row>
    <row r="419" ht="15" spans="3:19">
      <c r="C419" s="55" t="s">
        <v>203</v>
      </c>
      <c r="D419" s="55" t="s">
        <v>204</v>
      </c>
      <c r="E419" s="901"/>
      <c r="F419" s="901"/>
      <c r="G419" s="901"/>
      <c r="H419" s="901"/>
      <c r="I419" s="901"/>
      <c r="J419" s="901"/>
      <c r="K419" s="901"/>
      <c r="L419" s="901"/>
      <c r="M419" s="901"/>
      <c r="N419" s="901"/>
      <c r="O419" s="901"/>
      <c r="P419" s="901"/>
      <c r="Q419" s="908">
        <f t="shared" si="92"/>
        <v>0</v>
      </c>
      <c r="R419" s="906"/>
      <c r="S419" s="906"/>
    </row>
    <row r="420" ht="15" spans="3:19">
      <c r="C420" s="55" t="s">
        <v>205</v>
      </c>
      <c r="D420" s="55" t="s">
        <v>206</v>
      </c>
      <c r="E420" s="901"/>
      <c r="F420" s="901"/>
      <c r="G420" s="901"/>
      <c r="H420" s="901"/>
      <c r="I420" s="901"/>
      <c r="J420" s="901"/>
      <c r="K420" s="901"/>
      <c r="L420" s="901"/>
      <c r="M420" s="901"/>
      <c r="N420" s="901"/>
      <c r="O420" s="901"/>
      <c r="P420" s="901"/>
      <c r="Q420" s="908">
        <f t="shared" si="92"/>
        <v>0</v>
      </c>
      <c r="R420" s="906"/>
      <c r="S420" s="906"/>
    </row>
    <row r="421" ht="15" spans="3:19">
      <c r="C421" s="55" t="s">
        <v>231</v>
      </c>
      <c r="D421" s="55" t="s">
        <v>186</v>
      </c>
      <c r="E421" s="901"/>
      <c r="F421" s="901"/>
      <c r="G421" s="901"/>
      <c r="H421" s="901"/>
      <c r="I421" s="901"/>
      <c r="J421" s="901"/>
      <c r="K421" s="901"/>
      <c r="L421" s="901"/>
      <c r="M421" s="901"/>
      <c r="N421" s="901"/>
      <c r="O421" s="901"/>
      <c r="P421" s="901"/>
      <c r="Q421" s="908">
        <f t="shared" si="92"/>
        <v>0</v>
      </c>
      <c r="R421" s="906"/>
      <c r="S421" s="906"/>
    </row>
    <row r="422" ht="15" spans="3:19">
      <c r="C422" s="55" t="s">
        <v>208</v>
      </c>
      <c r="D422" s="55" t="s">
        <v>209</v>
      </c>
      <c r="E422" s="901"/>
      <c r="F422" s="901"/>
      <c r="G422" s="901"/>
      <c r="H422" s="901"/>
      <c r="I422" s="901"/>
      <c r="J422" s="901"/>
      <c r="K422" s="901"/>
      <c r="L422" s="901"/>
      <c r="M422" s="901"/>
      <c r="N422" s="901"/>
      <c r="O422" s="901"/>
      <c r="P422" s="901"/>
      <c r="Q422" s="908">
        <f t="shared" si="92"/>
        <v>0</v>
      </c>
      <c r="R422" s="906"/>
      <c r="S422" s="906"/>
    </row>
    <row r="423" ht="15" spans="3:19">
      <c r="C423" s="55" t="s">
        <v>210</v>
      </c>
      <c r="D423" s="55" t="s">
        <v>188</v>
      </c>
      <c r="E423" s="901"/>
      <c r="F423" s="901"/>
      <c r="G423" s="901"/>
      <c r="H423" s="901"/>
      <c r="I423" s="901"/>
      <c r="J423" s="901"/>
      <c r="K423" s="901"/>
      <c r="L423" s="901"/>
      <c r="M423" s="901"/>
      <c r="N423" s="901"/>
      <c r="O423" s="901"/>
      <c r="P423" s="901"/>
      <c r="Q423" s="908">
        <f t="shared" si="92"/>
        <v>0</v>
      </c>
      <c r="R423" s="906"/>
      <c r="S423" s="906"/>
    </row>
    <row r="424" ht="15" spans="3:19">
      <c r="C424" s="55"/>
      <c r="D424" s="55"/>
      <c r="E424" s="901"/>
      <c r="F424" s="901"/>
      <c r="G424" s="901"/>
      <c r="H424" s="901"/>
      <c r="I424" s="901"/>
      <c r="J424" s="901"/>
      <c r="K424" s="901"/>
      <c r="L424" s="901"/>
      <c r="M424" s="901"/>
      <c r="N424" s="901"/>
      <c r="O424" s="901"/>
      <c r="P424" s="901"/>
      <c r="Q424" s="908">
        <f t="shared" si="92"/>
        <v>0</v>
      </c>
      <c r="R424" s="906"/>
      <c r="S424" s="906"/>
    </row>
    <row r="425" ht="15" spans="3:19">
      <c r="C425" s="55"/>
      <c r="D425" s="55"/>
      <c r="E425" s="901"/>
      <c r="F425" s="901"/>
      <c r="G425" s="901"/>
      <c r="H425" s="901"/>
      <c r="I425" s="901"/>
      <c r="J425" s="901"/>
      <c r="K425" s="901"/>
      <c r="L425" s="901"/>
      <c r="M425" s="901"/>
      <c r="N425" s="901"/>
      <c r="O425" s="901"/>
      <c r="P425" s="901"/>
      <c r="Q425" s="908">
        <f t="shared" si="92"/>
        <v>0</v>
      </c>
      <c r="R425" s="906"/>
      <c r="S425" s="906"/>
    </row>
    <row r="426" ht="15" spans="3:19">
      <c r="C426" s="55"/>
      <c r="D426" s="55"/>
      <c r="E426" s="901"/>
      <c r="F426" s="901"/>
      <c r="G426" s="901"/>
      <c r="H426" s="901"/>
      <c r="I426" s="901"/>
      <c r="J426" s="901"/>
      <c r="K426" s="901"/>
      <c r="L426" s="901"/>
      <c r="M426" s="901"/>
      <c r="N426" s="901"/>
      <c r="O426" s="901"/>
      <c r="P426" s="901"/>
      <c r="Q426" s="908">
        <f t="shared" si="92"/>
        <v>0</v>
      </c>
      <c r="R426" s="906"/>
      <c r="S426" s="906"/>
    </row>
    <row r="427" ht="15" spans="3:19">
      <c r="C427" s="55" t="s">
        <v>258</v>
      </c>
      <c r="D427" s="55" t="s">
        <v>258</v>
      </c>
      <c r="E427" s="901"/>
      <c r="F427" s="901"/>
      <c r="G427" s="901"/>
      <c r="H427" s="901"/>
      <c r="I427" s="901"/>
      <c r="J427" s="901"/>
      <c r="K427" s="901"/>
      <c r="L427" s="901"/>
      <c r="M427" s="901"/>
      <c r="N427" s="901"/>
      <c r="O427" s="901"/>
      <c r="P427" s="901"/>
      <c r="Q427" s="908">
        <f t="shared" si="92"/>
        <v>0</v>
      </c>
      <c r="R427" s="906"/>
      <c r="S427" s="906"/>
    </row>
    <row r="428" ht="15" spans="3:19">
      <c r="C428" s="537" t="s">
        <v>211</v>
      </c>
      <c r="D428" s="540"/>
      <c r="E428" s="908">
        <f t="shared" ref="E428:P428" si="93">SUM(E413:E427)</f>
        <v>0</v>
      </c>
      <c r="F428" s="908">
        <f t="shared" si="93"/>
        <v>0</v>
      </c>
      <c r="G428" s="908">
        <f t="shared" si="93"/>
        <v>0</v>
      </c>
      <c r="H428" s="908">
        <f t="shared" si="93"/>
        <v>0</v>
      </c>
      <c r="I428" s="908">
        <f t="shared" si="93"/>
        <v>0</v>
      </c>
      <c r="J428" s="908">
        <f t="shared" si="93"/>
        <v>0</v>
      </c>
      <c r="K428" s="908">
        <f t="shared" si="93"/>
        <v>0</v>
      </c>
      <c r="L428" s="908">
        <f t="shared" si="93"/>
        <v>0</v>
      </c>
      <c r="M428" s="908">
        <f t="shared" si="93"/>
        <v>0</v>
      </c>
      <c r="N428" s="908">
        <f t="shared" si="93"/>
        <v>0</v>
      </c>
      <c r="O428" s="908">
        <f t="shared" si="93"/>
        <v>0</v>
      </c>
      <c r="P428" s="908">
        <f t="shared" si="93"/>
        <v>0</v>
      </c>
      <c r="Q428" s="908">
        <f t="shared" si="92"/>
        <v>0</v>
      </c>
      <c r="R428" s="906"/>
      <c r="S428" s="906"/>
    </row>
    <row r="429" ht="15" spans="3:19">
      <c r="C429" s="44" t="s">
        <v>219</v>
      </c>
      <c r="D429" s="45"/>
      <c r="E429" s="901"/>
      <c r="F429" s="901"/>
      <c r="G429" s="901"/>
      <c r="H429" s="901"/>
      <c r="I429" s="901"/>
      <c r="J429" s="901"/>
      <c r="K429" s="901"/>
      <c r="L429" s="901"/>
      <c r="M429" s="901"/>
      <c r="N429" s="901"/>
      <c r="O429" s="901"/>
      <c r="P429" s="901"/>
      <c r="Q429" s="910"/>
      <c r="R429" s="906"/>
      <c r="S429" s="906"/>
    </row>
    <row r="430" ht="15" spans="3:19">
      <c r="C430" s="55" t="s">
        <v>191</v>
      </c>
      <c r="D430" s="55" t="s">
        <v>192</v>
      </c>
      <c r="E430" s="901"/>
      <c r="F430" s="901"/>
      <c r="G430" s="901"/>
      <c r="H430" s="901"/>
      <c r="I430" s="901"/>
      <c r="J430" s="901"/>
      <c r="K430" s="901"/>
      <c r="L430" s="901"/>
      <c r="M430" s="901"/>
      <c r="N430" s="901"/>
      <c r="O430" s="901"/>
      <c r="P430" s="901"/>
      <c r="Q430" s="908">
        <f t="shared" ref="Q430:Q449" si="94">SUM(E430:P430)</f>
        <v>0</v>
      </c>
      <c r="R430" s="906"/>
      <c r="S430" s="906"/>
    </row>
    <row r="431" ht="15" spans="3:19">
      <c r="C431" s="55" t="s">
        <v>193</v>
      </c>
      <c r="D431" s="55" t="s">
        <v>194</v>
      </c>
      <c r="E431" s="901"/>
      <c r="F431" s="901"/>
      <c r="G431" s="901"/>
      <c r="H431" s="901"/>
      <c r="I431" s="901"/>
      <c r="J431" s="901"/>
      <c r="K431" s="901"/>
      <c r="L431" s="901"/>
      <c r="M431" s="901"/>
      <c r="N431" s="901"/>
      <c r="O431" s="901"/>
      <c r="P431" s="901"/>
      <c r="Q431" s="908">
        <f t="shared" si="94"/>
        <v>0</v>
      </c>
      <c r="R431" s="906"/>
      <c r="S431" s="906"/>
    </row>
    <row r="432" ht="15" spans="3:19">
      <c r="C432" s="55" t="s">
        <v>239</v>
      </c>
      <c r="D432" s="55" t="s">
        <v>196</v>
      </c>
      <c r="E432" s="901"/>
      <c r="F432" s="901"/>
      <c r="G432" s="901"/>
      <c r="H432" s="901"/>
      <c r="I432" s="901"/>
      <c r="J432" s="901"/>
      <c r="K432" s="901"/>
      <c r="L432" s="901"/>
      <c r="M432" s="901"/>
      <c r="N432" s="901"/>
      <c r="O432" s="901"/>
      <c r="P432" s="901"/>
      <c r="Q432" s="908">
        <f t="shared" si="94"/>
        <v>0</v>
      </c>
      <c r="R432" s="906"/>
      <c r="S432" s="906"/>
    </row>
    <row r="433" ht="15" spans="3:19">
      <c r="C433" s="55" t="s">
        <v>197</v>
      </c>
      <c r="D433" s="55" t="s">
        <v>198</v>
      </c>
      <c r="E433" s="901"/>
      <c r="F433" s="901"/>
      <c r="G433" s="901"/>
      <c r="H433" s="901"/>
      <c r="I433" s="901"/>
      <c r="J433" s="901"/>
      <c r="K433" s="901"/>
      <c r="L433" s="901"/>
      <c r="M433" s="901"/>
      <c r="N433" s="901"/>
      <c r="O433" s="901"/>
      <c r="P433" s="901"/>
      <c r="Q433" s="908">
        <f t="shared" si="94"/>
        <v>0</v>
      </c>
      <c r="R433" s="906"/>
      <c r="S433" s="906"/>
    </row>
    <row r="434" ht="15" spans="3:19">
      <c r="C434" s="55" t="s">
        <v>199</v>
      </c>
      <c r="D434" s="55" t="s">
        <v>200</v>
      </c>
      <c r="E434" s="901"/>
      <c r="F434" s="901"/>
      <c r="G434" s="901"/>
      <c r="H434" s="901"/>
      <c r="I434" s="901"/>
      <c r="J434" s="901"/>
      <c r="K434" s="901"/>
      <c r="L434" s="901"/>
      <c r="M434" s="901"/>
      <c r="N434" s="901"/>
      <c r="O434" s="901"/>
      <c r="P434" s="901"/>
      <c r="Q434" s="908">
        <f t="shared" si="94"/>
        <v>0</v>
      </c>
      <c r="R434" s="906"/>
      <c r="S434" s="906"/>
    </row>
    <row r="435" ht="15" spans="3:19">
      <c r="C435" s="55" t="s">
        <v>201</v>
      </c>
      <c r="D435" s="55" t="s">
        <v>240</v>
      </c>
      <c r="E435" s="901"/>
      <c r="F435" s="901"/>
      <c r="G435" s="901"/>
      <c r="H435" s="901"/>
      <c r="I435" s="901"/>
      <c r="J435" s="901"/>
      <c r="K435" s="901"/>
      <c r="L435" s="901"/>
      <c r="M435" s="901"/>
      <c r="N435" s="901"/>
      <c r="O435" s="901"/>
      <c r="P435" s="901"/>
      <c r="Q435" s="908">
        <f t="shared" si="94"/>
        <v>0</v>
      </c>
      <c r="R435" s="906"/>
      <c r="S435" s="906"/>
    </row>
    <row r="436" ht="15" spans="3:19">
      <c r="C436" s="55" t="s">
        <v>203</v>
      </c>
      <c r="D436" s="55" t="s">
        <v>220</v>
      </c>
      <c r="E436" s="901"/>
      <c r="F436" s="901"/>
      <c r="G436" s="901"/>
      <c r="H436" s="901"/>
      <c r="I436" s="901"/>
      <c r="J436" s="901"/>
      <c r="K436" s="901"/>
      <c r="L436" s="901"/>
      <c r="M436" s="901"/>
      <c r="N436" s="901"/>
      <c r="O436" s="901"/>
      <c r="P436" s="901"/>
      <c r="Q436" s="908">
        <f t="shared" si="94"/>
        <v>0</v>
      </c>
      <c r="R436" s="906"/>
      <c r="S436" s="906"/>
    </row>
    <row r="437" ht="15" spans="3:19">
      <c r="C437" s="55" t="s">
        <v>241</v>
      </c>
      <c r="D437" s="55" t="s">
        <v>229</v>
      </c>
      <c r="E437" s="901"/>
      <c r="F437" s="901"/>
      <c r="G437" s="901"/>
      <c r="H437" s="901"/>
      <c r="I437" s="901"/>
      <c r="J437" s="901"/>
      <c r="K437" s="901"/>
      <c r="L437" s="901"/>
      <c r="M437" s="901"/>
      <c r="N437" s="901"/>
      <c r="O437" s="901"/>
      <c r="P437" s="901"/>
      <c r="Q437" s="908">
        <f t="shared" si="94"/>
        <v>0</v>
      </c>
      <c r="R437" s="906"/>
      <c r="S437" s="906"/>
    </row>
    <row r="438" ht="15" spans="3:19">
      <c r="C438" s="55" t="s">
        <v>259</v>
      </c>
      <c r="D438" s="55" t="s">
        <v>243</v>
      </c>
      <c r="E438" s="901"/>
      <c r="F438" s="901"/>
      <c r="G438" s="901"/>
      <c r="H438" s="901"/>
      <c r="I438" s="901"/>
      <c r="J438" s="901"/>
      <c r="K438" s="901"/>
      <c r="L438" s="901"/>
      <c r="M438" s="901"/>
      <c r="N438" s="901"/>
      <c r="O438" s="901"/>
      <c r="P438" s="901"/>
      <c r="Q438" s="908">
        <f t="shared" si="94"/>
        <v>0</v>
      </c>
      <c r="R438" s="906"/>
      <c r="S438" s="906"/>
    </row>
    <row r="439" ht="15" spans="3:19">
      <c r="C439" s="55" t="s">
        <v>205</v>
      </c>
      <c r="D439" s="55" t="s">
        <v>206</v>
      </c>
      <c r="E439" s="901"/>
      <c r="F439" s="901"/>
      <c r="G439" s="901"/>
      <c r="H439" s="901"/>
      <c r="I439" s="901"/>
      <c r="J439" s="901"/>
      <c r="K439" s="901"/>
      <c r="L439" s="901"/>
      <c r="M439" s="901"/>
      <c r="N439" s="901"/>
      <c r="O439" s="901"/>
      <c r="P439" s="901"/>
      <c r="Q439" s="908">
        <f t="shared" si="94"/>
        <v>0</v>
      </c>
      <c r="R439" s="906"/>
      <c r="S439" s="906"/>
    </row>
    <row r="440" ht="15" spans="3:19">
      <c r="C440" s="55" t="s">
        <v>207</v>
      </c>
      <c r="D440" s="55" t="s">
        <v>186</v>
      </c>
      <c r="E440" s="901"/>
      <c r="F440" s="901"/>
      <c r="G440" s="901"/>
      <c r="H440" s="901"/>
      <c r="I440" s="901"/>
      <c r="J440" s="901"/>
      <c r="K440" s="901"/>
      <c r="L440" s="901"/>
      <c r="M440" s="901"/>
      <c r="N440" s="901"/>
      <c r="O440" s="901"/>
      <c r="P440" s="901"/>
      <c r="Q440" s="908">
        <f t="shared" si="94"/>
        <v>0</v>
      </c>
      <c r="R440" s="906"/>
      <c r="S440" s="906"/>
    </row>
    <row r="441" ht="15" spans="3:19">
      <c r="C441" s="55" t="s">
        <v>208</v>
      </c>
      <c r="D441" s="55" t="s">
        <v>209</v>
      </c>
      <c r="E441" s="901"/>
      <c r="F441" s="901"/>
      <c r="G441" s="901"/>
      <c r="H441" s="901"/>
      <c r="I441" s="901"/>
      <c r="J441" s="901"/>
      <c r="K441" s="901"/>
      <c r="L441" s="901"/>
      <c r="M441" s="901"/>
      <c r="N441" s="901"/>
      <c r="O441" s="901"/>
      <c r="P441" s="901"/>
      <c r="Q441" s="908">
        <f t="shared" si="94"/>
        <v>0</v>
      </c>
      <c r="R441" s="906"/>
      <c r="S441" s="906"/>
    </row>
    <row r="442" ht="15" spans="3:19">
      <c r="C442" s="55" t="s">
        <v>210</v>
      </c>
      <c r="D442" s="55" t="s">
        <v>188</v>
      </c>
      <c r="E442" s="901"/>
      <c r="F442" s="901"/>
      <c r="G442" s="901"/>
      <c r="H442" s="901"/>
      <c r="I442" s="901"/>
      <c r="J442" s="901"/>
      <c r="K442" s="901"/>
      <c r="L442" s="901"/>
      <c r="M442" s="901"/>
      <c r="N442" s="901"/>
      <c r="O442" s="901"/>
      <c r="P442" s="901"/>
      <c r="Q442" s="908">
        <f t="shared" si="94"/>
        <v>0</v>
      </c>
      <c r="R442" s="906"/>
      <c r="S442" s="906"/>
    </row>
    <row r="443" ht="15" spans="3:19">
      <c r="C443" s="55"/>
      <c r="D443" s="55"/>
      <c r="E443" s="901"/>
      <c r="F443" s="901"/>
      <c r="G443" s="901"/>
      <c r="H443" s="901"/>
      <c r="I443" s="901"/>
      <c r="J443" s="901"/>
      <c r="K443" s="901"/>
      <c r="L443" s="901"/>
      <c r="M443" s="901"/>
      <c r="N443" s="901"/>
      <c r="O443" s="901"/>
      <c r="P443" s="901"/>
      <c r="Q443" s="908">
        <f t="shared" si="94"/>
        <v>0</v>
      </c>
      <c r="R443" s="906"/>
      <c r="S443" s="906"/>
    </row>
    <row r="444" ht="15" spans="3:19">
      <c r="C444" s="55"/>
      <c r="D444" s="55"/>
      <c r="E444" s="901"/>
      <c r="F444" s="901"/>
      <c r="G444" s="901"/>
      <c r="H444" s="901"/>
      <c r="I444" s="901"/>
      <c r="J444" s="901"/>
      <c r="K444" s="901"/>
      <c r="L444" s="901"/>
      <c r="M444" s="901"/>
      <c r="N444" s="901"/>
      <c r="O444" s="901"/>
      <c r="P444" s="901"/>
      <c r="Q444" s="908">
        <f t="shared" si="94"/>
        <v>0</v>
      </c>
      <c r="R444" s="906"/>
      <c r="S444" s="906"/>
    </row>
    <row r="445" ht="15" spans="3:19">
      <c r="C445" s="55"/>
      <c r="D445" s="55"/>
      <c r="E445" s="901"/>
      <c r="F445" s="901"/>
      <c r="G445" s="901"/>
      <c r="H445" s="901"/>
      <c r="I445" s="901"/>
      <c r="J445" s="901"/>
      <c r="K445" s="901"/>
      <c r="L445" s="901"/>
      <c r="M445" s="901"/>
      <c r="N445" s="901"/>
      <c r="O445" s="901"/>
      <c r="P445" s="901"/>
      <c r="Q445" s="908">
        <f t="shared" si="94"/>
        <v>0</v>
      </c>
      <c r="R445" s="906"/>
      <c r="S445" s="906"/>
    </row>
    <row r="446" ht="15" spans="3:19">
      <c r="C446" s="55" t="s">
        <v>258</v>
      </c>
      <c r="D446" s="55" t="s">
        <v>258</v>
      </c>
      <c r="E446" s="901"/>
      <c r="F446" s="901"/>
      <c r="G446" s="901"/>
      <c r="H446" s="901"/>
      <c r="I446" s="901"/>
      <c r="J446" s="901"/>
      <c r="K446" s="901"/>
      <c r="L446" s="901"/>
      <c r="M446" s="901"/>
      <c r="N446" s="901"/>
      <c r="O446" s="901"/>
      <c r="P446" s="901"/>
      <c r="Q446" s="908">
        <f t="shared" si="94"/>
        <v>0</v>
      </c>
      <c r="R446" s="906"/>
      <c r="S446" s="906"/>
    </row>
    <row r="447" ht="15" spans="3:19">
      <c r="C447" s="537" t="s">
        <v>211</v>
      </c>
      <c r="D447" s="540"/>
      <c r="E447" s="908">
        <f t="shared" ref="E447:P447" si="95">SUM(E430:E446)</f>
        <v>0</v>
      </c>
      <c r="F447" s="908">
        <f t="shared" si="95"/>
        <v>0</v>
      </c>
      <c r="G447" s="908">
        <f t="shared" si="95"/>
        <v>0</v>
      </c>
      <c r="H447" s="908">
        <f t="shared" si="95"/>
        <v>0</v>
      </c>
      <c r="I447" s="908">
        <f t="shared" si="95"/>
        <v>0</v>
      </c>
      <c r="J447" s="908">
        <f t="shared" si="95"/>
        <v>0</v>
      </c>
      <c r="K447" s="908">
        <f t="shared" si="95"/>
        <v>0</v>
      </c>
      <c r="L447" s="908">
        <f t="shared" si="95"/>
        <v>0</v>
      </c>
      <c r="M447" s="908">
        <f t="shared" si="95"/>
        <v>0</v>
      </c>
      <c r="N447" s="908">
        <f t="shared" si="95"/>
        <v>0</v>
      </c>
      <c r="O447" s="908">
        <f t="shared" si="95"/>
        <v>0</v>
      </c>
      <c r="P447" s="908">
        <f t="shared" si="95"/>
        <v>0</v>
      </c>
      <c r="Q447" s="908">
        <f t="shared" si="94"/>
        <v>0</v>
      </c>
      <c r="R447" s="906"/>
      <c r="S447" s="906"/>
    </row>
    <row r="448" ht="15" spans="3:19">
      <c r="C448" s="537" t="s">
        <v>223</v>
      </c>
      <c r="D448" s="540"/>
      <c r="E448" s="908">
        <f t="shared" ref="E448:P448" si="96">E447+E428+E411</f>
        <v>0</v>
      </c>
      <c r="F448" s="908">
        <f t="shared" si="96"/>
        <v>0</v>
      </c>
      <c r="G448" s="908">
        <f t="shared" si="96"/>
        <v>0</v>
      </c>
      <c r="H448" s="908">
        <f t="shared" si="96"/>
        <v>0</v>
      </c>
      <c r="I448" s="908">
        <f t="shared" si="96"/>
        <v>0</v>
      </c>
      <c r="J448" s="908">
        <f t="shared" si="96"/>
        <v>0</v>
      </c>
      <c r="K448" s="908">
        <f t="shared" si="96"/>
        <v>0</v>
      </c>
      <c r="L448" s="908">
        <f t="shared" si="96"/>
        <v>0</v>
      </c>
      <c r="M448" s="908">
        <f t="shared" si="96"/>
        <v>0</v>
      </c>
      <c r="N448" s="908">
        <f t="shared" si="96"/>
        <v>0</v>
      </c>
      <c r="O448" s="908">
        <f t="shared" si="96"/>
        <v>0</v>
      </c>
      <c r="P448" s="908">
        <f t="shared" si="96"/>
        <v>0</v>
      </c>
      <c r="Q448" s="908">
        <f t="shared" si="94"/>
        <v>0</v>
      </c>
      <c r="R448" s="906"/>
      <c r="S448" s="906"/>
    </row>
    <row r="449" ht="15" spans="3:19">
      <c r="C449" s="537" t="s">
        <v>224</v>
      </c>
      <c r="D449" s="540"/>
      <c r="E449" s="908">
        <f t="shared" ref="E449:P449" si="97">E448+E394</f>
        <v>1263.75544428518</v>
      </c>
      <c r="F449" s="908">
        <f t="shared" si="97"/>
        <v>488.999782403279</v>
      </c>
      <c r="G449" s="908">
        <f t="shared" si="97"/>
        <v>631.266541266266</v>
      </c>
      <c r="H449" s="908">
        <f t="shared" si="97"/>
        <v>976.774006825415</v>
      </c>
      <c r="I449" s="908">
        <f t="shared" si="97"/>
        <v>1637.25784552728</v>
      </c>
      <c r="J449" s="908">
        <f t="shared" si="97"/>
        <v>1234.58</v>
      </c>
      <c r="K449" s="908">
        <f t="shared" si="97"/>
        <v>722.000471575119</v>
      </c>
      <c r="L449" s="908">
        <f t="shared" si="97"/>
        <v>610.8541014324</v>
      </c>
      <c r="M449" s="908">
        <f t="shared" si="97"/>
        <v>1073.95673167737</v>
      </c>
      <c r="N449" s="908">
        <f t="shared" si="97"/>
        <v>1443.39331334693</v>
      </c>
      <c r="O449" s="908">
        <f t="shared" si="97"/>
        <v>1536.11728656041</v>
      </c>
      <c r="P449" s="908">
        <f t="shared" si="97"/>
        <v>1782.88757492725</v>
      </c>
      <c r="Q449" s="908">
        <f t="shared" si="94"/>
        <v>13401.8430998269</v>
      </c>
      <c r="R449" s="906"/>
      <c r="S449" s="906"/>
    </row>
    <row r="450" spans="5:19">
      <c r="E450" s="906"/>
      <c r="F450" s="906"/>
      <c r="G450" s="906"/>
      <c r="H450" s="906"/>
      <c r="I450" s="906"/>
      <c r="J450" s="906"/>
      <c r="K450" s="906"/>
      <c r="L450" s="906"/>
      <c r="M450" s="906"/>
      <c r="N450" s="906"/>
      <c r="O450" s="906"/>
      <c r="P450" s="906"/>
      <c r="Q450" s="906"/>
      <c r="R450" s="906"/>
      <c r="S450" s="906"/>
    </row>
    <row r="451" ht="15" spans="3:19">
      <c r="C451" s="14"/>
      <c r="E451" s="906"/>
      <c r="F451" s="906"/>
      <c r="G451" s="906"/>
      <c r="H451" s="906"/>
      <c r="I451" s="906"/>
      <c r="J451" s="906"/>
      <c r="K451" s="906"/>
      <c r="L451" s="906"/>
      <c r="M451" s="906"/>
      <c r="N451" s="906"/>
      <c r="O451" s="906"/>
      <c r="P451" s="906"/>
      <c r="Q451" s="909" t="s">
        <v>236</v>
      </c>
      <c r="R451" s="906"/>
      <c r="S451" s="906"/>
    </row>
    <row r="452" ht="15" spans="3:19">
      <c r="C452" s="6" t="s">
        <v>159</v>
      </c>
      <c r="D452" s="6"/>
      <c r="E452" s="907" t="s">
        <v>263</v>
      </c>
      <c r="F452" s="907"/>
      <c r="G452" s="907"/>
      <c r="H452" s="907"/>
      <c r="I452" s="907"/>
      <c r="J452" s="907"/>
      <c r="K452" s="907"/>
      <c r="L452" s="907"/>
      <c r="M452" s="907"/>
      <c r="N452" s="907"/>
      <c r="O452" s="907"/>
      <c r="P452" s="907"/>
      <c r="Q452" s="907"/>
      <c r="R452" s="906"/>
      <c r="S452" s="906"/>
    </row>
    <row r="453" ht="15" spans="3:19">
      <c r="C453" s="6"/>
      <c r="D453" s="6"/>
      <c r="E453" s="907" t="s">
        <v>246</v>
      </c>
      <c r="F453" s="907" t="s">
        <v>247</v>
      </c>
      <c r="G453" s="907" t="s">
        <v>248</v>
      </c>
      <c r="H453" s="907" t="s">
        <v>249</v>
      </c>
      <c r="I453" s="907" t="s">
        <v>250</v>
      </c>
      <c r="J453" s="907" t="s">
        <v>251</v>
      </c>
      <c r="K453" s="907" t="s">
        <v>252</v>
      </c>
      <c r="L453" s="907" t="s">
        <v>253</v>
      </c>
      <c r="M453" s="907" t="s">
        <v>254</v>
      </c>
      <c r="N453" s="907" t="s">
        <v>255</v>
      </c>
      <c r="O453" s="907" t="s">
        <v>256</v>
      </c>
      <c r="P453" s="907" t="s">
        <v>257</v>
      </c>
      <c r="Q453" s="907" t="s">
        <v>97</v>
      </c>
      <c r="R453" s="906"/>
      <c r="S453" s="906"/>
    </row>
    <row r="454" ht="15" spans="3:19">
      <c r="C454" s="44" t="s">
        <v>170</v>
      </c>
      <c r="D454" s="45"/>
      <c r="E454" s="901"/>
      <c r="F454" s="901"/>
      <c r="G454" s="901"/>
      <c r="H454" s="901"/>
      <c r="I454" s="901"/>
      <c r="J454" s="901"/>
      <c r="K454" s="901"/>
      <c r="L454" s="901"/>
      <c r="M454" s="901"/>
      <c r="N454" s="901"/>
      <c r="O454" s="901"/>
      <c r="P454" s="901"/>
      <c r="Q454" s="910"/>
      <c r="R454" s="906"/>
      <c r="S454" s="906"/>
    </row>
    <row r="455" ht="15" spans="3:19">
      <c r="C455" s="47" t="s">
        <v>171</v>
      </c>
      <c r="D455" s="47" t="s">
        <v>172</v>
      </c>
      <c r="E455" s="901"/>
      <c r="F455" s="901"/>
      <c r="G455" s="901"/>
      <c r="H455" s="901"/>
      <c r="I455" s="901"/>
      <c r="J455" s="901"/>
      <c r="K455" s="901"/>
      <c r="L455" s="901"/>
      <c r="M455" s="901"/>
      <c r="N455" s="901"/>
      <c r="O455" s="901"/>
      <c r="P455" s="901"/>
      <c r="Q455" s="908">
        <f t="shared" ref="Q455:Q468" si="98">SUM(E455:P455)</f>
        <v>0</v>
      </c>
      <c r="R455" s="906"/>
      <c r="S455" s="906"/>
    </row>
    <row r="456" ht="15" spans="3:19">
      <c r="C456" s="55" t="s">
        <v>173</v>
      </c>
      <c r="D456" s="55" t="s">
        <v>174</v>
      </c>
      <c r="E456" s="901"/>
      <c r="F456" s="901"/>
      <c r="G456" s="901"/>
      <c r="H456" s="901"/>
      <c r="I456" s="901"/>
      <c r="J456" s="901"/>
      <c r="K456" s="901"/>
      <c r="L456" s="901"/>
      <c r="M456" s="901"/>
      <c r="N456" s="901"/>
      <c r="O456" s="901"/>
      <c r="P456" s="901"/>
      <c r="Q456" s="908">
        <f t="shared" si="98"/>
        <v>0</v>
      </c>
      <c r="R456" s="906"/>
      <c r="S456" s="906"/>
    </row>
    <row r="457" ht="15" spans="3:19">
      <c r="C457" s="55" t="s">
        <v>175</v>
      </c>
      <c r="D457" s="55" t="s">
        <v>176</v>
      </c>
      <c r="E457" s="901"/>
      <c r="F457" s="901"/>
      <c r="G457" s="901"/>
      <c r="H457" s="901"/>
      <c r="I457" s="901"/>
      <c r="J457" s="901"/>
      <c r="K457" s="901"/>
      <c r="L457" s="901"/>
      <c r="M457" s="901"/>
      <c r="N457" s="901"/>
      <c r="O457" s="901"/>
      <c r="P457" s="901"/>
      <c r="Q457" s="908">
        <f t="shared" si="98"/>
        <v>0</v>
      </c>
      <c r="R457" s="906"/>
      <c r="S457" s="906"/>
    </row>
    <row r="458" ht="15" spans="3:19">
      <c r="C458" s="55" t="s">
        <v>177</v>
      </c>
      <c r="D458" s="55" t="s">
        <v>178</v>
      </c>
      <c r="E458" s="901"/>
      <c r="F458" s="901"/>
      <c r="G458" s="901"/>
      <c r="H458" s="901"/>
      <c r="I458" s="901"/>
      <c r="J458" s="901"/>
      <c r="K458" s="901"/>
      <c r="L458" s="901"/>
      <c r="M458" s="901"/>
      <c r="N458" s="901"/>
      <c r="O458" s="901"/>
      <c r="P458" s="901"/>
      <c r="Q458" s="908">
        <f t="shared" si="98"/>
        <v>0</v>
      </c>
      <c r="R458" s="906"/>
      <c r="S458" s="906"/>
    </row>
    <row r="459" ht="15" spans="3:19">
      <c r="C459" s="55" t="s">
        <v>179</v>
      </c>
      <c r="D459" s="55" t="s">
        <v>180</v>
      </c>
      <c r="E459" s="901">
        <f>[10]Sales_SP!FZ49</f>
        <v>1251.18063758848</v>
      </c>
      <c r="F459" s="901">
        <f>[10]Sales_SP!GA49</f>
        <v>590.251484162004</v>
      </c>
      <c r="G459" s="901">
        <f>[10]Sales_SP!GB49</f>
        <v>540.590557148526</v>
      </c>
      <c r="H459" s="901">
        <f>[10]Sales_SP!GC49</f>
        <v>777.719655</v>
      </c>
      <c r="I459" s="901">
        <f>[10]Sales_SP!GD49</f>
        <v>958.649791</v>
      </c>
      <c r="J459" s="901">
        <f>[10]Sales_SP!GE49</f>
        <v>1040.701889</v>
      </c>
      <c r="K459" s="901">
        <f>[10]Sales_SP!GF49</f>
        <v>698.01559578761</v>
      </c>
      <c r="L459" s="901">
        <f>[10]Sales_SP!GG49</f>
        <v>590.561511158625</v>
      </c>
      <c r="M459" s="901">
        <f>[10]Sales_SP!GH49</f>
        <v>1038.27985912042</v>
      </c>
      <c r="N459" s="901">
        <f>[10]Sales_SP!GI49</f>
        <v>1395.44374725091</v>
      </c>
      <c r="O459" s="901">
        <f>[10]Sales_SP!GJ49</f>
        <v>1485.08742749008</v>
      </c>
      <c r="P459" s="901">
        <f>[10]Sales_SP!GK49</f>
        <v>1723.66</v>
      </c>
      <c r="Q459" s="908">
        <f t="shared" si="98"/>
        <v>12090.1421547067</v>
      </c>
      <c r="R459" s="906"/>
      <c r="S459" s="906"/>
    </row>
    <row r="460" ht="15" spans="3:19">
      <c r="C460" s="55" t="s">
        <v>181</v>
      </c>
      <c r="D460" s="55" t="s">
        <v>182</v>
      </c>
      <c r="E460" s="901"/>
      <c r="F460" s="901"/>
      <c r="G460" s="901"/>
      <c r="H460" s="901"/>
      <c r="I460" s="901"/>
      <c r="J460" s="901"/>
      <c r="K460" s="901"/>
      <c r="L460" s="901"/>
      <c r="M460" s="901"/>
      <c r="N460" s="901"/>
      <c r="O460" s="901"/>
      <c r="P460" s="901"/>
      <c r="Q460" s="908">
        <f t="shared" si="98"/>
        <v>0</v>
      </c>
      <c r="R460" s="906"/>
      <c r="S460" s="906"/>
    </row>
    <row r="461" ht="15" spans="3:19">
      <c r="C461" s="55" t="s">
        <v>183</v>
      </c>
      <c r="D461" s="55" t="s">
        <v>184</v>
      </c>
      <c r="E461" s="901"/>
      <c r="F461" s="901"/>
      <c r="G461" s="901"/>
      <c r="H461" s="901"/>
      <c r="I461" s="901"/>
      <c r="J461" s="901"/>
      <c r="K461" s="901"/>
      <c r="L461" s="901"/>
      <c r="M461" s="901"/>
      <c r="N461" s="901"/>
      <c r="O461" s="901"/>
      <c r="P461" s="901"/>
      <c r="Q461" s="908">
        <f t="shared" si="98"/>
        <v>0</v>
      </c>
      <c r="R461" s="906"/>
      <c r="S461" s="906"/>
    </row>
    <row r="462" ht="15" spans="3:19">
      <c r="C462" s="55" t="s">
        <v>185</v>
      </c>
      <c r="D462" s="55" t="s">
        <v>186</v>
      </c>
      <c r="E462" s="901"/>
      <c r="F462" s="901"/>
      <c r="G462" s="901"/>
      <c r="H462" s="901"/>
      <c r="I462" s="901"/>
      <c r="J462" s="901"/>
      <c r="K462" s="901"/>
      <c r="L462" s="901"/>
      <c r="M462" s="901"/>
      <c r="N462" s="901"/>
      <c r="O462" s="901"/>
      <c r="P462" s="901"/>
      <c r="Q462" s="908">
        <f t="shared" si="98"/>
        <v>0</v>
      </c>
      <c r="R462" s="906"/>
      <c r="S462" s="906"/>
    </row>
    <row r="463" ht="15" spans="3:19">
      <c r="C463" s="55" t="s">
        <v>187</v>
      </c>
      <c r="D463" s="55" t="s">
        <v>188</v>
      </c>
      <c r="E463" s="901"/>
      <c r="F463" s="901"/>
      <c r="G463" s="901"/>
      <c r="H463" s="901"/>
      <c r="I463" s="901"/>
      <c r="J463" s="901"/>
      <c r="K463" s="901"/>
      <c r="L463" s="901"/>
      <c r="M463" s="901"/>
      <c r="N463" s="901"/>
      <c r="O463" s="901"/>
      <c r="P463" s="901"/>
      <c r="Q463" s="908">
        <f t="shared" si="98"/>
        <v>0</v>
      </c>
      <c r="R463" s="906"/>
      <c r="S463" s="906"/>
    </row>
    <row r="464" ht="15" spans="3:19">
      <c r="C464" s="55"/>
      <c r="D464" s="55"/>
      <c r="E464" s="901"/>
      <c r="F464" s="901"/>
      <c r="G464" s="901"/>
      <c r="H464" s="901"/>
      <c r="I464" s="901"/>
      <c r="J464" s="901"/>
      <c r="K464" s="901"/>
      <c r="L464" s="901"/>
      <c r="M464" s="901"/>
      <c r="N464" s="901"/>
      <c r="O464" s="901"/>
      <c r="P464" s="901"/>
      <c r="Q464" s="908">
        <f t="shared" si="98"/>
        <v>0</v>
      </c>
      <c r="R464" s="906"/>
      <c r="S464" s="906"/>
    </row>
    <row r="465" ht="15" spans="3:19">
      <c r="C465" s="55"/>
      <c r="D465" s="55"/>
      <c r="E465" s="901"/>
      <c r="F465" s="901"/>
      <c r="G465" s="901"/>
      <c r="H465" s="901"/>
      <c r="I465" s="901"/>
      <c r="J465" s="901"/>
      <c r="K465" s="901"/>
      <c r="L465" s="901"/>
      <c r="M465" s="901"/>
      <c r="N465" s="901"/>
      <c r="O465" s="901"/>
      <c r="P465" s="901"/>
      <c r="Q465" s="908">
        <f t="shared" si="98"/>
        <v>0</v>
      </c>
      <c r="R465" s="906"/>
      <c r="S465" s="906"/>
    </row>
    <row r="466" ht="15" spans="3:19">
      <c r="C466" s="55"/>
      <c r="D466" s="55"/>
      <c r="E466" s="901"/>
      <c r="F466" s="901"/>
      <c r="G466" s="901"/>
      <c r="H466" s="901"/>
      <c r="I466" s="901"/>
      <c r="J466" s="901"/>
      <c r="K466" s="901"/>
      <c r="L466" s="901"/>
      <c r="M466" s="901"/>
      <c r="N466" s="901"/>
      <c r="O466" s="901"/>
      <c r="P466" s="901"/>
      <c r="Q466" s="908">
        <f t="shared" si="98"/>
        <v>0</v>
      </c>
      <c r="R466" s="906"/>
      <c r="S466" s="906"/>
    </row>
    <row r="467" ht="15" spans="3:19">
      <c r="C467" s="55" t="s">
        <v>258</v>
      </c>
      <c r="D467" s="55" t="s">
        <v>258</v>
      </c>
      <c r="E467" s="901"/>
      <c r="F467" s="901"/>
      <c r="G467" s="901"/>
      <c r="H467" s="901"/>
      <c r="I467" s="901"/>
      <c r="J467" s="901"/>
      <c r="K467" s="901"/>
      <c r="L467" s="901"/>
      <c r="M467" s="901"/>
      <c r="N467" s="901"/>
      <c r="O467" s="901"/>
      <c r="P467" s="901"/>
      <c r="Q467" s="908">
        <f t="shared" si="98"/>
        <v>0</v>
      </c>
      <c r="R467" s="906"/>
      <c r="S467" s="906"/>
    </row>
    <row r="468" ht="15" spans="3:19">
      <c r="C468" s="537" t="s">
        <v>189</v>
      </c>
      <c r="D468" s="540"/>
      <c r="E468" s="908">
        <f t="shared" ref="E468:P468" si="99">SUM(E455:E467)</f>
        <v>1251.18063758848</v>
      </c>
      <c r="F468" s="908">
        <f t="shared" si="99"/>
        <v>590.251484162004</v>
      </c>
      <c r="G468" s="908">
        <f t="shared" si="99"/>
        <v>540.590557148526</v>
      </c>
      <c r="H468" s="908">
        <f t="shared" si="99"/>
        <v>777.719655</v>
      </c>
      <c r="I468" s="908">
        <f t="shared" si="99"/>
        <v>958.649791</v>
      </c>
      <c r="J468" s="908">
        <f t="shared" si="99"/>
        <v>1040.701889</v>
      </c>
      <c r="K468" s="908">
        <f t="shared" si="99"/>
        <v>698.01559578761</v>
      </c>
      <c r="L468" s="908">
        <f t="shared" si="99"/>
        <v>590.561511158625</v>
      </c>
      <c r="M468" s="908">
        <f t="shared" si="99"/>
        <v>1038.27985912042</v>
      </c>
      <c r="N468" s="908">
        <f t="shared" si="99"/>
        <v>1395.44374725091</v>
      </c>
      <c r="O468" s="908">
        <f t="shared" si="99"/>
        <v>1485.08742749008</v>
      </c>
      <c r="P468" s="908">
        <f t="shared" si="99"/>
        <v>1723.66</v>
      </c>
      <c r="Q468" s="908">
        <f t="shared" si="98"/>
        <v>12090.1421547067</v>
      </c>
      <c r="R468" s="906"/>
      <c r="S468" s="906"/>
    </row>
    <row r="469" ht="15" spans="3:19">
      <c r="C469" s="44" t="s">
        <v>190</v>
      </c>
      <c r="D469" s="45"/>
      <c r="E469" s="901"/>
      <c r="F469" s="901"/>
      <c r="G469" s="901"/>
      <c r="H469" s="901"/>
      <c r="I469" s="901"/>
      <c r="J469" s="901"/>
      <c r="K469" s="901"/>
      <c r="L469" s="901"/>
      <c r="M469" s="901"/>
      <c r="N469" s="901"/>
      <c r="O469" s="901"/>
      <c r="P469" s="901"/>
      <c r="Q469" s="910"/>
      <c r="R469" s="906"/>
      <c r="S469" s="906"/>
    </row>
    <row r="470" ht="15" spans="3:19">
      <c r="C470" s="55" t="s">
        <v>191</v>
      </c>
      <c r="D470" s="55" t="s">
        <v>192</v>
      </c>
      <c r="E470" s="901"/>
      <c r="F470" s="901"/>
      <c r="G470" s="901"/>
      <c r="H470" s="901"/>
      <c r="I470" s="901"/>
      <c r="J470" s="901"/>
      <c r="K470" s="901"/>
      <c r="L470" s="901"/>
      <c r="M470" s="901"/>
      <c r="N470" s="901"/>
      <c r="O470" s="901"/>
      <c r="P470" s="901"/>
      <c r="Q470" s="908">
        <f t="shared" ref="Q470:Q485" si="100">SUM(E470:P470)</f>
        <v>0</v>
      </c>
      <c r="R470" s="906"/>
      <c r="S470" s="906"/>
    </row>
    <row r="471" ht="15" spans="3:19">
      <c r="C471" s="55" t="s">
        <v>193</v>
      </c>
      <c r="D471" s="55" t="s">
        <v>194</v>
      </c>
      <c r="E471" s="901"/>
      <c r="F471" s="901"/>
      <c r="G471" s="901"/>
      <c r="H471" s="901"/>
      <c r="I471" s="901"/>
      <c r="J471" s="901"/>
      <c r="K471" s="901"/>
      <c r="L471" s="901"/>
      <c r="M471" s="901"/>
      <c r="N471" s="901"/>
      <c r="O471" s="901"/>
      <c r="P471" s="901"/>
      <c r="Q471" s="908">
        <f t="shared" si="100"/>
        <v>0</v>
      </c>
      <c r="R471" s="906"/>
      <c r="S471" s="906"/>
    </row>
    <row r="472" ht="15" spans="3:19">
      <c r="C472" s="55" t="s">
        <v>239</v>
      </c>
      <c r="D472" s="55" t="s">
        <v>196</v>
      </c>
      <c r="E472" s="901"/>
      <c r="F472" s="901"/>
      <c r="G472" s="901"/>
      <c r="H472" s="901"/>
      <c r="I472" s="901"/>
      <c r="J472" s="901"/>
      <c r="K472" s="901"/>
      <c r="L472" s="901"/>
      <c r="M472" s="901"/>
      <c r="N472" s="901"/>
      <c r="O472" s="901"/>
      <c r="P472" s="901"/>
      <c r="Q472" s="908">
        <f t="shared" si="100"/>
        <v>0</v>
      </c>
      <c r="R472" s="906"/>
      <c r="S472" s="906"/>
    </row>
    <row r="473" ht="15" spans="3:19">
      <c r="C473" s="55" t="s">
        <v>197</v>
      </c>
      <c r="D473" s="55" t="s">
        <v>198</v>
      </c>
      <c r="E473" s="901"/>
      <c r="F473" s="901"/>
      <c r="G473" s="901"/>
      <c r="H473" s="901"/>
      <c r="I473" s="901"/>
      <c r="J473" s="901"/>
      <c r="K473" s="901"/>
      <c r="L473" s="901"/>
      <c r="M473" s="901"/>
      <c r="N473" s="901"/>
      <c r="O473" s="901"/>
      <c r="P473" s="901"/>
      <c r="Q473" s="908">
        <f t="shared" si="100"/>
        <v>0</v>
      </c>
      <c r="R473" s="906"/>
      <c r="S473" s="906"/>
    </row>
    <row r="474" ht="15" spans="3:19">
      <c r="C474" s="55" t="s">
        <v>199</v>
      </c>
      <c r="D474" s="55" t="s">
        <v>200</v>
      </c>
      <c r="E474" s="901"/>
      <c r="F474" s="901"/>
      <c r="G474" s="901"/>
      <c r="H474" s="901"/>
      <c r="I474" s="901"/>
      <c r="J474" s="901"/>
      <c r="K474" s="901"/>
      <c r="L474" s="901"/>
      <c r="M474" s="901"/>
      <c r="N474" s="901"/>
      <c r="O474" s="901"/>
      <c r="P474" s="901"/>
      <c r="Q474" s="908">
        <f t="shared" si="100"/>
        <v>0</v>
      </c>
      <c r="R474" s="906"/>
      <c r="S474" s="906"/>
    </row>
    <row r="475" ht="15" spans="3:19">
      <c r="C475" s="55" t="s">
        <v>201</v>
      </c>
      <c r="D475" s="55" t="s">
        <v>202</v>
      </c>
      <c r="E475" s="901"/>
      <c r="F475" s="901"/>
      <c r="G475" s="901"/>
      <c r="H475" s="901"/>
      <c r="I475" s="901"/>
      <c r="J475" s="901"/>
      <c r="K475" s="901"/>
      <c r="L475" s="901"/>
      <c r="M475" s="901"/>
      <c r="N475" s="901"/>
      <c r="O475" s="901"/>
      <c r="P475" s="901"/>
      <c r="Q475" s="908">
        <f t="shared" si="100"/>
        <v>0</v>
      </c>
      <c r="R475" s="906"/>
      <c r="S475" s="906"/>
    </row>
    <row r="476" ht="15" spans="3:19">
      <c r="C476" s="55" t="s">
        <v>203</v>
      </c>
      <c r="D476" s="55" t="s">
        <v>204</v>
      </c>
      <c r="E476" s="901"/>
      <c r="F476" s="901"/>
      <c r="G476" s="901"/>
      <c r="H476" s="901"/>
      <c r="I476" s="901"/>
      <c r="J476" s="901"/>
      <c r="K476" s="901"/>
      <c r="L476" s="901"/>
      <c r="M476" s="901"/>
      <c r="N476" s="901"/>
      <c r="O476" s="901"/>
      <c r="P476" s="901"/>
      <c r="Q476" s="908">
        <f t="shared" si="100"/>
        <v>0</v>
      </c>
      <c r="R476" s="906"/>
      <c r="S476" s="906"/>
    </row>
    <row r="477" ht="15" spans="3:19">
      <c r="C477" s="55" t="s">
        <v>205</v>
      </c>
      <c r="D477" s="55" t="s">
        <v>206</v>
      </c>
      <c r="E477" s="901"/>
      <c r="F477" s="901"/>
      <c r="G477" s="901"/>
      <c r="H477" s="901"/>
      <c r="I477" s="901"/>
      <c r="J477" s="901"/>
      <c r="K477" s="901"/>
      <c r="L477" s="901"/>
      <c r="M477" s="901"/>
      <c r="N477" s="901"/>
      <c r="O477" s="901"/>
      <c r="P477" s="901"/>
      <c r="Q477" s="908">
        <f t="shared" si="100"/>
        <v>0</v>
      </c>
      <c r="R477" s="906"/>
      <c r="S477" s="906"/>
    </row>
    <row r="478" ht="15" spans="3:19">
      <c r="C478" s="55" t="s">
        <v>207</v>
      </c>
      <c r="D478" s="55" t="s">
        <v>186</v>
      </c>
      <c r="E478" s="901"/>
      <c r="F478" s="901"/>
      <c r="G478" s="901"/>
      <c r="H478" s="901"/>
      <c r="I478" s="901"/>
      <c r="J478" s="901"/>
      <c r="K478" s="901"/>
      <c r="L478" s="901"/>
      <c r="M478" s="901"/>
      <c r="N478" s="901"/>
      <c r="O478" s="901"/>
      <c r="P478" s="901"/>
      <c r="Q478" s="908">
        <f t="shared" si="100"/>
        <v>0</v>
      </c>
      <c r="R478" s="906"/>
      <c r="S478" s="906"/>
    </row>
    <row r="479" ht="15" spans="3:19">
      <c r="C479" s="55" t="s">
        <v>208</v>
      </c>
      <c r="D479" s="55" t="s">
        <v>209</v>
      </c>
      <c r="E479" s="901"/>
      <c r="F479" s="901"/>
      <c r="G479" s="901"/>
      <c r="H479" s="901"/>
      <c r="I479" s="901"/>
      <c r="J479" s="901"/>
      <c r="K479" s="901"/>
      <c r="L479" s="901"/>
      <c r="M479" s="901"/>
      <c r="N479" s="901"/>
      <c r="O479" s="901"/>
      <c r="P479" s="901"/>
      <c r="Q479" s="908">
        <f t="shared" si="100"/>
        <v>0</v>
      </c>
      <c r="R479" s="906"/>
      <c r="S479" s="906"/>
    </row>
    <row r="480" ht="15" spans="3:19">
      <c r="C480" s="55" t="s">
        <v>210</v>
      </c>
      <c r="D480" s="55" t="s">
        <v>188</v>
      </c>
      <c r="E480" s="901"/>
      <c r="F480" s="901"/>
      <c r="G480" s="901"/>
      <c r="H480" s="901"/>
      <c r="I480" s="901"/>
      <c r="J480" s="901"/>
      <c r="K480" s="901"/>
      <c r="L480" s="901"/>
      <c r="M480" s="901"/>
      <c r="N480" s="901"/>
      <c r="O480" s="901"/>
      <c r="P480" s="901"/>
      <c r="Q480" s="908">
        <f t="shared" si="100"/>
        <v>0</v>
      </c>
      <c r="R480" s="906"/>
      <c r="S480" s="906"/>
    </row>
    <row r="481" ht="15" spans="3:19">
      <c r="C481" s="55"/>
      <c r="D481" s="55"/>
      <c r="E481" s="901"/>
      <c r="F481" s="901"/>
      <c r="G481" s="901"/>
      <c r="H481" s="901"/>
      <c r="I481" s="901"/>
      <c r="J481" s="901"/>
      <c r="K481" s="901"/>
      <c r="L481" s="901"/>
      <c r="M481" s="901"/>
      <c r="N481" s="901"/>
      <c r="O481" s="901"/>
      <c r="P481" s="901"/>
      <c r="Q481" s="908">
        <f t="shared" si="100"/>
        <v>0</v>
      </c>
      <c r="R481" s="906"/>
      <c r="S481" s="906"/>
    </row>
    <row r="482" ht="15" spans="3:19">
      <c r="C482" s="55"/>
      <c r="D482" s="55"/>
      <c r="E482" s="901"/>
      <c r="F482" s="901"/>
      <c r="G482" s="901"/>
      <c r="H482" s="901"/>
      <c r="I482" s="901"/>
      <c r="J482" s="901"/>
      <c r="K482" s="901"/>
      <c r="L482" s="901"/>
      <c r="M482" s="901"/>
      <c r="N482" s="901"/>
      <c r="O482" s="901"/>
      <c r="P482" s="901"/>
      <c r="Q482" s="908">
        <f t="shared" si="100"/>
        <v>0</v>
      </c>
      <c r="R482" s="906"/>
      <c r="S482" s="906"/>
    </row>
    <row r="483" ht="15" spans="3:19">
      <c r="C483" s="55"/>
      <c r="D483" s="55"/>
      <c r="E483" s="901"/>
      <c r="F483" s="901"/>
      <c r="G483" s="901"/>
      <c r="H483" s="901"/>
      <c r="I483" s="901"/>
      <c r="J483" s="901"/>
      <c r="K483" s="901"/>
      <c r="L483" s="901"/>
      <c r="M483" s="901"/>
      <c r="N483" s="901"/>
      <c r="O483" s="901"/>
      <c r="P483" s="901"/>
      <c r="Q483" s="908">
        <f t="shared" si="100"/>
        <v>0</v>
      </c>
      <c r="R483" s="906"/>
      <c r="S483" s="906"/>
    </row>
    <row r="484" ht="15" spans="3:19">
      <c r="C484" s="55" t="s">
        <v>258</v>
      </c>
      <c r="D484" s="55" t="s">
        <v>258</v>
      </c>
      <c r="E484" s="901"/>
      <c r="F484" s="901"/>
      <c r="G484" s="901"/>
      <c r="H484" s="901"/>
      <c r="I484" s="901"/>
      <c r="J484" s="901"/>
      <c r="K484" s="901"/>
      <c r="L484" s="901"/>
      <c r="M484" s="901"/>
      <c r="N484" s="901"/>
      <c r="O484" s="901"/>
      <c r="P484" s="901"/>
      <c r="Q484" s="908">
        <f t="shared" si="100"/>
        <v>0</v>
      </c>
      <c r="R484" s="906"/>
      <c r="S484" s="906"/>
    </row>
    <row r="485" ht="15" spans="3:19">
      <c r="C485" s="537" t="s">
        <v>211</v>
      </c>
      <c r="D485" s="540"/>
      <c r="E485" s="908">
        <f t="shared" ref="E485:P485" si="101">SUM(E470:E484)</f>
        <v>0</v>
      </c>
      <c r="F485" s="908">
        <f t="shared" si="101"/>
        <v>0</v>
      </c>
      <c r="G485" s="908">
        <f t="shared" si="101"/>
        <v>0</v>
      </c>
      <c r="H485" s="908">
        <f t="shared" si="101"/>
        <v>0</v>
      </c>
      <c r="I485" s="908">
        <f t="shared" si="101"/>
        <v>0</v>
      </c>
      <c r="J485" s="908">
        <f t="shared" si="101"/>
        <v>0</v>
      </c>
      <c r="K485" s="908">
        <f t="shared" si="101"/>
        <v>0</v>
      </c>
      <c r="L485" s="908">
        <f t="shared" si="101"/>
        <v>0</v>
      </c>
      <c r="M485" s="908">
        <f t="shared" si="101"/>
        <v>0</v>
      </c>
      <c r="N485" s="908">
        <f t="shared" si="101"/>
        <v>0</v>
      </c>
      <c r="O485" s="908">
        <f t="shared" si="101"/>
        <v>0</v>
      </c>
      <c r="P485" s="908">
        <f t="shared" si="101"/>
        <v>0</v>
      </c>
      <c r="Q485" s="908">
        <f t="shared" si="100"/>
        <v>0</v>
      </c>
      <c r="R485" s="906"/>
      <c r="S485" s="906"/>
    </row>
    <row r="486" ht="15" spans="3:19">
      <c r="C486" s="44" t="s">
        <v>212</v>
      </c>
      <c r="D486" s="45"/>
      <c r="E486" s="901"/>
      <c r="F486" s="901"/>
      <c r="G486" s="901"/>
      <c r="H486" s="901"/>
      <c r="I486" s="901"/>
      <c r="J486" s="901"/>
      <c r="K486" s="901"/>
      <c r="L486" s="901"/>
      <c r="M486" s="901"/>
      <c r="N486" s="901"/>
      <c r="O486" s="901"/>
      <c r="P486" s="901"/>
      <c r="Q486" s="910"/>
      <c r="R486" s="906"/>
      <c r="S486" s="906"/>
    </row>
    <row r="487" ht="15" spans="3:19">
      <c r="C487" s="55" t="s">
        <v>191</v>
      </c>
      <c r="D487" s="55" t="s">
        <v>192</v>
      </c>
      <c r="E487" s="901"/>
      <c r="F487" s="901"/>
      <c r="G487" s="901"/>
      <c r="H487" s="901"/>
      <c r="I487" s="901"/>
      <c r="J487" s="901"/>
      <c r="K487" s="901"/>
      <c r="L487" s="901"/>
      <c r="M487" s="901"/>
      <c r="N487" s="901"/>
      <c r="O487" s="901"/>
      <c r="P487" s="901"/>
      <c r="Q487" s="908">
        <f t="shared" ref="Q487:Q502" si="102">SUM(E487:P487)</f>
        <v>0</v>
      </c>
      <c r="R487" s="906"/>
      <c r="S487" s="906"/>
    </row>
    <row r="488" ht="15" spans="3:19">
      <c r="C488" s="55" t="s">
        <v>193</v>
      </c>
      <c r="D488" s="55" t="s">
        <v>194</v>
      </c>
      <c r="E488" s="901"/>
      <c r="F488" s="901"/>
      <c r="G488" s="901"/>
      <c r="H488" s="901"/>
      <c r="I488" s="901"/>
      <c r="J488" s="901"/>
      <c r="K488" s="901"/>
      <c r="L488" s="901"/>
      <c r="M488" s="901"/>
      <c r="N488" s="901"/>
      <c r="O488" s="901"/>
      <c r="P488" s="901"/>
      <c r="Q488" s="908">
        <f t="shared" si="102"/>
        <v>0</v>
      </c>
      <c r="R488" s="906"/>
      <c r="S488" s="906"/>
    </row>
    <row r="489" ht="15" spans="3:19">
      <c r="C489" s="55" t="s">
        <v>239</v>
      </c>
      <c r="D489" s="55" t="s">
        <v>196</v>
      </c>
      <c r="E489" s="901"/>
      <c r="F489" s="901"/>
      <c r="G489" s="901"/>
      <c r="H489" s="901"/>
      <c r="I489" s="901"/>
      <c r="J489" s="901"/>
      <c r="K489" s="901"/>
      <c r="L489" s="901"/>
      <c r="M489" s="901"/>
      <c r="N489" s="901"/>
      <c r="O489" s="901"/>
      <c r="P489" s="901"/>
      <c r="Q489" s="908">
        <f t="shared" si="102"/>
        <v>0</v>
      </c>
      <c r="R489" s="906"/>
      <c r="S489" s="906"/>
    </row>
    <row r="490" ht="15" spans="3:19">
      <c r="C490" s="55" t="s">
        <v>197</v>
      </c>
      <c r="D490" s="55" t="s">
        <v>198</v>
      </c>
      <c r="E490" s="901"/>
      <c r="F490" s="901"/>
      <c r="G490" s="901"/>
      <c r="H490" s="901"/>
      <c r="I490" s="901"/>
      <c r="J490" s="901"/>
      <c r="K490" s="901"/>
      <c r="L490" s="901"/>
      <c r="M490" s="901"/>
      <c r="N490" s="901"/>
      <c r="O490" s="901"/>
      <c r="P490" s="901"/>
      <c r="Q490" s="908">
        <f t="shared" si="102"/>
        <v>0</v>
      </c>
      <c r="R490" s="906"/>
      <c r="S490" s="906"/>
    </row>
    <row r="491" ht="15" spans="3:19">
      <c r="C491" s="55" t="s">
        <v>199</v>
      </c>
      <c r="D491" s="55" t="s">
        <v>200</v>
      </c>
      <c r="E491" s="901"/>
      <c r="F491" s="901"/>
      <c r="G491" s="901"/>
      <c r="H491" s="901"/>
      <c r="I491" s="901"/>
      <c r="J491" s="901"/>
      <c r="K491" s="901"/>
      <c r="L491" s="901"/>
      <c r="M491" s="901"/>
      <c r="N491" s="901"/>
      <c r="O491" s="901"/>
      <c r="P491" s="901"/>
      <c r="Q491" s="908">
        <f t="shared" si="102"/>
        <v>0</v>
      </c>
      <c r="R491" s="906"/>
      <c r="S491" s="906"/>
    </row>
    <row r="492" ht="15" spans="3:19">
      <c r="C492" s="55" t="s">
        <v>201</v>
      </c>
      <c r="D492" s="55" t="s">
        <v>202</v>
      </c>
      <c r="E492" s="901"/>
      <c r="F492" s="901"/>
      <c r="G492" s="901"/>
      <c r="H492" s="901"/>
      <c r="I492" s="901"/>
      <c r="J492" s="901"/>
      <c r="K492" s="901"/>
      <c r="L492" s="901"/>
      <c r="M492" s="901"/>
      <c r="N492" s="901"/>
      <c r="O492" s="901"/>
      <c r="P492" s="901"/>
      <c r="Q492" s="908">
        <f t="shared" si="102"/>
        <v>0</v>
      </c>
      <c r="R492" s="906"/>
      <c r="S492" s="906"/>
    </row>
    <row r="493" ht="15" spans="3:19">
      <c r="C493" s="55" t="s">
        <v>203</v>
      </c>
      <c r="D493" s="55" t="s">
        <v>204</v>
      </c>
      <c r="E493" s="901"/>
      <c r="F493" s="901"/>
      <c r="G493" s="901"/>
      <c r="H493" s="901"/>
      <c r="I493" s="901"/>
      <c r="J493" s="901"/>
      <c r="K493" s="901"/>
      <c r="L493" s="901"/>
      <c r="M493" s="901"/>
      <c r="N493" s="901"/>
      <c r="O493" s="901"/>
      <c r="P493" s="901"/>
      <c r="Q493" s="908">
        <f t="shared" si="102"/>
        <v>0</v>
      </c>
      <c r="R493" s="906"/>
      <c r="S493" s="906"/>
    </row>
    <row r="494" ht="15" spans="3:19">
      <c r="C494" s="55" t="s">
        <v>205</v>
      </c>
      <c r="D494" s="55" t="s">
        <v>206</v>
      </c>
      <c r="E494" s="901"/>
      <c r="F494" s="901"/>
      <c r="G494" s="901"/>
      <c r="H494" s="901"/>
      <c r="I494" s="901"/>
      <c r="J494" s="901"/>
      <c r="K494" s="901"/>
      <c r="L494" s="901"/>
      <c r="M494" s="901"/>
      <c r="N494" s="901"/>
      <c r="O494" s="901"/>
      <c r="P494" s="901"/>
      <c r="Q494" s="908">
        <f t="shared" si="102"/>
        <v>0</v>
      </c>
      <c r="R494" s="906"/>
      <c r="S494" s="906"/>
    </row>
    <row r="495" ht="15" spans="3:19">
      <c r="C495" s="55" t="s">
        <v>231</v>
      </c>
      <c r="D495" s="55" t="s">
        <v>186</v>
      </c>
      <c r="E495" s="901"/>
      <c r="F495" s="901"/>
      <c r="G495" s="901"/>
      <c r="H495" s="901"/>
      <c r="I495" s="901"/>
      <c r="J495" s="901"/>
      <c r="K495" s="901"/>
      <c r="L495" s="901"/>
      <c r="M495" s="901"/>
      <c r="N495" s="901"/>
      <c r="O495" s="901"/>
      <c r="P495" s="901"/>
      <c r="Q495" s="908">
        <f t="shared" si="102"/>
        <v>0</v>
      </c>
      <c r="R495" s="906"/>
      <c r="S495" s="906"/>
    </row>
    <row r="496" ht="15" spans="3:19">
      <c r="C496" s="55" t="s">
        <v>208</v>
      </c>
      <c r="D496" s="55" t="s">
        <v>209</v>
      </c>
      <c r="E496" s="901"/>
      <c r="F496" s="901"/>
      <c r="G496" s="901"/>
      <c r="H496" s="901"/>
      <c r="I496" s="901"/>
      <c r="J496" s="901"/>
      <c r="K496" s="901"/>
      <c r="L496" s="901"/>
      <c r="M496" s="901"/>
      <c r="N496" s="901"/>
      <c r="O496" s="901"/>
      <c r="P496" s="901"/>
      <c r="Q496" s="908">
        <f t="shared" si="102"/>
        <v>0</v>
      </c>
      <c r="R496" s="906"/>
      <c r="S496" s="906"/>
    </row>
    <row r="497" ht="15" spans="3:19">
      <c r="C497" s="55" t="s">
        <v>210</v>
      </c>
      <c r="D497" s="55" t="s">
        <v>188</v>
      </c>
      <c r="E497" s="901"/>
      <c r="F497" s="901"/>
      <c r="G497" s="901"/>
      <c r="H497" s="901"/>
      <c r="I497" s="901"/>
      <c r="J497" s="901"/>
      <c r="K497" s="901"/>
      <c r="L497" s="901"/>
      <c r="M497" s="901"/>
      <c r="N497" s="901"/>
      <c r="O497" s="901"/>
      <c r="P497" s="901"/>
      <c r="Q497" s="908">
        <f t="shared" si="102"/>
        <v>0</v>
      </c>
      <c r="R497" s="906"/>
      <c r="S497" s="906"/>
    </row>
    <row r="498" ht="15" spans="3:19">
      <c r="C498" s="55"/>
      <c r="D498" s="55"/>
      <c r="E498" s="901"/>
      <c r="F498" s="901"/>
      <c r="G498" s="901"/>
      <c r="H498" s="901"/>
      <c r="I498" s="901"/>
      <c r="J498" s="901"/>
      <c r="K498" s="901"/>
      <c r="L498" s="901"/>
      <c r="M498" s="901"/>
      <c r="N498" s="901"/>
      <c r="O498" s="901"/>
      <c r="P498" s="901"/>
      <c r="Q498" s="908">
        <f t="shared" si="102"/>
        <v>0</v>
      </c>
      <c r="R498" s="906"/>
      <c r="S498" s="906"/>
    </row>
    <row r="499" ht="15" spans="3:19">
      <c r="C499" s="55"/>
      <c r="D499" s="55"/>
      <c r="E499" s="901"/>
      <c r="F499" s="901"/>
      <c r="G499" s="901"/>
      <c r="H499" s="901"/>
      <c r="I499" s="901"/>
      <c r="J499" s="901"/>
      <c r="K499" s="901"/>
      <c r="L499" s="901"/>
      <c r="M499" s="901"/>
      <c r="N499" s="901"/>
      <c r="O499" s="901"/>
      <c r="P499" s="901"/>
      <c r="Q499" s="908">
        <f t="shared" si="102"/>
        <v>0</v>
      </c>
      <c r="R499" s="906"/>
      <c r="S499" s="906"/>
    </row>
    <row r="500" ht="15" spans="3:19">
      <c r="C500" s="55"/>
      <c r="D500" s="55"/>
      <c r="E500" s="901"/>
      <c r="F500" s="901"/>
      <c r="G500" s="901"/>
      <c r="H500" s="901"/>
      <c r="I500" s="901"/>
      <c r="J500" s="901"/>
      <c r="K500" s="901"/>
      <c r="L500" s="901"/>
      <c r="M500" s="901"/>
      <c r="N500" s="901"/>
      <c r="O500" s="901"/>
      <c r="P500" s="901"/>
      <c r="Q500" s="908">
        <f t="shared" si="102"/>
        <v>0</v>
      </c>
      <c r="R500" s="906"/>
      <c r="S500" s="906"/>
    </row>
    <row r="501" ht="15" spans="3:19">
      <c r="C501" s="55" t="s">
        <v>258</v>
      </c>
      <c r="D501" s="55" t="s">
        <v>258</v>
      </c>
      <c r="E501" s="901"/>
      <c r="F501" s="901"/>
      <c r="G501" s="901"/>
      <c r="H501" s="901"/>
      <c r="I501" s="901"/>
      <c r="J501" s="901"/>
      <c r="K501" s="901"/>
      <c r="L501" s="901"/>
      <c r="M501" s="901"/>
      <c r="N501" s="901"/>
      <c r="O501" s="901"/>
      <c r="P501" s="901"/>
      <c r="Q501" s="908">
        <f t="shared" si="102"/>
        <v>0</v>
      </c>
      <c r="R501" s="906"/>
      <c r="S501" s="906"/>
    </row>
    <row r="502" ht="15" spans="3:19">
      <c r="C502" s="537" t="s">
        <v>211</v>
      </c>
      <c r="D502" s="540"/>
      <c r="E502" s="908">
        <f t="shared" ref="E502:P502" si="103">SUM(E487:E501)</f>
        <v>0</v>
      </c>
      <c r="F502" s="908">
        <f t="shared" si="103"/>
        <v>0</v>
      </c>
      <c r="G502" s="908">
        <f t="shared" si="103"/>
        <v>0</v>
      </c>
      <c r="H502" s="908">
        <f t="shared" si="103"/>
        <v>0</v>
      </c>
      <c r="I502" s="908">
        <f t="shared" si="103"/>
        <v>0</v>
      </c>
      <c r="J502" s="908">
        <f t="shared" si="103"/>
        <v>0</v>
      </c>
      <c r="K502" s="908">
        <f t="shared" si="103"/>
        <v>0</v>
      </c>
      <c r="L502" s="908">
        <f t="shared" si="103"/>
        <v>0</v>
      </c>
      <c r="M502" s="908">
        <f t="shared" si="103"/>
        <v>0</v>
      </c>
      <c r="N502" s="908">
        <f t="shared" si="103"/>
        <v>0</v>
      </c>
      <c r="O502" s="908">
        <f t="shared" si="103"/>
        <v>0</v>
      </c>
      <c r="P502" s="908">
        <f t="shared" si="103"/>
        <v>0</v>
      </c>
      <c r="Q502" s="908">
        <f t="shared" si="102"/>
        <v>0</v>
      </c>
      <c r="R502" s="906"/>
      <c r="S502" s="906"/>
    </row>
    <row r="503" ht="15" spans="3:19">
      <c r="C503" s="44" t="s">
        <v>219</v>
      </c>
      <c r="D503" s="45"/>
      <c r="E503" s="901"/>
      <c r="F503" s="901"/>
      <c r="G503" s="901"/>
      <c r="H503" s="901"/>
      <c r="I503" s="901"/>
      <c r="J503" s="901"/>
      <c r="K503" s="901"/>
      <c r="L503" s="901"/>
      <c r="M503" s="901"/>
      <c r="N503" s="901"/>
      <c r="O503" s="901"/>
      <c r="P503" s="901"/>
      <c r="Q503" s="910"/>
      <c r="R503" s="906"/>
      <c r="S503" s="906"/>
    </row>
    <row r="504" ht="15" spans="3:19">
      <c r="C504" s="55" t="s">
        <v>191</v>
      </c>
      <c r="D504" s="55" t="s">
        <v>192</v>
      </c>
      <c r="E504" s="901"/>
      <c r="F504" s="901"/>
      <c r="G504" s="901"/>
      <c r="H504" s="901"/>
      <c r="I504" s="901"/>
      <c r="J504" s="901"/>
      <c r="K504" s="901"/>
      <c r="L504" s="901"/>
      <c r="M504" s="901"/>
      <c r="N504" s="901"/>
      <c r="O504" s="901"/>
      <c r="P504" s="901"/>
      <c r="Q504" s="908">
        <f t="shared" ref="Q504:Q523" si="104">SUM(E504:P504)</f>
        <v>0</v>
      </c>
      <c r="R504" s="906"/>
      <c r="S504" s="906"/>
    </row>
    <row r="505" ht="15" spans="3:19">
      <c r="C505" s="55" t="s">
        <v>193</v>
      </c>
      <c r="D505" s="55" t="s">
        <v>194</v>
      </c>
      <c r="E505" s="901"/>
      <c r="F505" s="901"/>
      <c r="G505" s="901"/>
      <c r="H505" s="901"/>
      <c r="I505" s="901"/>
      <c r="J505" s="901"/>
      <c r="K505" s="901"/>
      <c r="L505" s="901"/>
      <c r="M505" s="901"/>
      <c r="N505" s="901"/>
      <c r="O505" s="901"/>
      <c r="P505" s="901"/>
      <c r="Q505" s="908">
        <f t="shared" si="104"/>
        <v>0</v>
      </c>
      <c r="R505" s="906"/>
      <c r="S505" s="906"/>
    </row>
    <row r="506" ht="15" spans="3:19">
      <c r="C506" s="55" t="s">
        <v>239</v>
      </c>
      <c r="D506" s="55" t="s">
        <v>196</v>
      </c>
      <c r="E506" s="901"/>
      <c r="F506" s="901"/>
      <c r="G506" s="901"/>
      <c r="H506" s="901"/>
      <c r="I506" s="901"/>
      <c r="J506" s="901"/>
      <c r="K506" s="901"/>
      <c r="L506" s="901"/>
      <c r="M506" s="901"/>
      <c r="N506" s="901"/>
      <c r="O506" s="901"/>
      <c r="P506" s="901"/>
      <c r="Q506" s="908">
        <f t="shared" si="104"/>
        <v>0</v>
      </c>
      <c r="R506" s="906"/>
      <c r="S506" s="906"/>
    </row>
    <row r="507" ht="15" spans="3:19">
      <c r="C507" s="55" t="s">
        <v>197</v>
      </c>
      <c r="D507" s="55" t="s">
        <v>198</v>
      </c>
      <c r="E507" s="901"/>
      <c r="F507" s="901"/>
      <c r="G507" s="901"/>
      <c r="H507" s="901"/>
      <c r="I507" s="901"/>
      <c r="J507" s="901"/>
      <c r="K507" s="901"/>
      <c r="L507" s="901"/>
      <c r="M507" s="901"/>
      <c r="N507" s="901"/>
      <c r="O507" s="901"/>
      <c r="P507" s="901"/>
      <c r="Q507" s="908">
        <f t="shared" si="104"/>
        <v>0</v>
      </c>
      <c r="R507" s="906"/>
      <c r="S507" s="906"/>
    </row>
    <row r="508" ht="15" spans="3:19">
      <c r="C508" s="55" t="s">
        <v>199</v>
      </c>
      <c r="D508" s="55" t="s">
        <v>200</v>
      </c>
      <c r="E508" s="901"/>
      <c r="F508" s="901"/>
      <c r="G508" s="901"/>
      <c r="H508" s="901"/>
      <c r="I508" s="901"/>
      <c r="J508" s="901"/>
      <c r="K508" s="901"/>
      <c r="L508" s="901"/>
      <c r="M508" s="901"/>
      <c r="N508" s="901"/>
      <c r="O508" s="901"/>
      <c r="P508" s="901"/>
      <c r="Q508" s="908">
        <f t="shared" si="104"/>
        <v>0</v>
      </c>
      <c r="R508" s="906"/>
      <c r="S508" s="906"/>
    </row>
    <row r="509" ht="15" spans="3:19">
      <c r="C509" s="55" t="s">
        <v>201</v>
      </c>
      <c r="D509" s="55" t="s">
        <v>240</v>
      </c>
      <c r="E509" s="901"/>
      <c r="F509" s="901"/>
      <c r="G509" s="901"/>
      <c r="H509" s="901"/>
      <c r="I509" s="901"/>
      <c r="J509" s="901"/>
      <c r="K509" s="901"/>
      <c r="L509" s="901"/>
      <c r="M509" s="901"/>
      <c r="N509" s="901"/>
      <c r="O509" s="901"/>
      <c r="P509" s="901"/>
      <c r="Q509" s="908">
        <f t="shared" si="104"/>
        <v>0</v>
      </c>
      <c r="R509" s="906"/>
      <c r="S509" s="906"/>
    </row>
    <row r="510" ht="15" spans="3:19">
      <c r="C510" s="55" t="s">
        <v>203</v>
      </c>
      <c r="D510" s="55" t="s">
        <v>220</v>
      </c>
      <c r="E510" s="901"/>
      <c r="F510" s="901"/>
      <c r="G510" s="901"/>
      <c r="H510" s="901"/>
      <c r="I510" s="901"/>
      <c r="J510" s="901"/>
      <c r="K510" s="901"/>
      <c r="L510" s="901"/>
      <c r="M510" s="901"/>
      <c r="N510" s="901"/>
      <c r="O510" s="901"/>
      <c r="P510" s="901"/>
      <c r="Q510" s="908">
        <f t="shared" si="104"/>
        <v>0</v>
      </c>
      <c r="R510" s="906"/>
      <c r="S510" s="906"/>
    </row>
    <row r="511" ht="15" spans="3:19">
      <c r="C511" s="55" t="s">
        <v>241</v>
      </c>
      <c r="D511" s="55" t="s">
        <v>229</v>
      </c>
      <c r="E511" s="901"/>
      <c r="F511" s="901"/>
      <c r="G511" s="901"/>
      <c r="H511" s="901"/>
      <c r="I511" s="901"/>
      <c r="J511" s="901"/>
      <c r="K511" s="901"/>
      <c r="L511" s="901"/>
      <c r="M511" s="901"/>
      <c r="N511" s="901"/>
      <c r="O511" s="901"/>
      <c r="P511" s="901"/>
      <c r="Q511" s="908">
        <f t="shared" si="104"/>
        <v>0</v>
      </c>
      <c r="R511" s="906"/>
      <c r="S511" s="906"/>
    </row>
    <row r="512" ht="15" spans="3:19">
      <c r="C512" s="55" t="s">
        <v>259</v>
      </c>
      <c r="D512" s="55" t="s">
        <v>243</v>
      </c>
      <c r="E512" s="901"/>
      <c r="F512" s="901"/>
      <c r="G512" s="901"/>
      <c r="H512" s="901"/>
      <c r="I512" s="901"/>
      <c r="J512" s="901"/>
      <c r="K512" s="901"/>
      <c r="L512" s="901"/>
      <c r="M512" s="901"/>
      <c r="N512" s="901"/>
      <c r="O512" s="901"/>
      <c r="P512" s="901"/>
      <c r="Q512" s="908">
        <f t="shared" si="104"/>
        <v>0</v>
      </c>
      <c r="R512" s="906"/>
      <c r="S512" s="906"/>
    </row>
    <row r="513" ht="15" spans="3:19">
      <c r="C513" s="55" t="s">
        <v>205</v>
      </c>
      <c r="D513" s="55" t="s">
        <v>206</v>
      </c>
      <c r="E513" s="901"/>
      <c r="F513" s="901"/>
      <c r="G513" s="901"/>
      <c r="H513" s="901"/>
      <c r="I513" s="901"/>
      <c r="J513" s="901"/>
      <c r="K513" s="901"/>
      <c r="L513" s="901"/>
      <c r="M513" s="901"/>
      <c r="N513" s="901"/>
      <c r="O513" s="901"/>
      <c r="P513" s="901"/>
      <c r="Q513" s="908">
        <f t="shared" si="104"/>
        <v>0</v>
      </c>
      <c r="R513" s="906"/>
      <c r="S513" s="906"/>
    </row>
    <row r="514" ht="15" spans="3:19">
      <c r="C514" s="55" t="s">
        <v>207</v>
      </c>
      <c r="D514" s="55" t="s">
        <v>186</v>
      </c>
      <c r="E514" s="901"/>
      <c r="F514" s="901"/>
      <c r="G514" s="901"/>
      <c r="H514" s="901"/>
      <c r="I514" s="901"/>
      <c r="J514" s="901"/>
      <c r="K514" s="901"/>
      <c r="L514" s="901"/>
      <c r="M514" s="901"/>
      <c r="N514" s="901"/>
      <c r="O514" s="901"/>
      <c r="P514" s="901"/>
      <c r="Q514" s="908">
        <f t="shared" si="104"/>
        <v>0</v>
      </c>
      <c r="R514" s="906"/>
      <c r="S514" s="906"/>
    </row>
    <row r="515" ht="15" spans="3:19">
      <c r="C515" s="55" t="s">
        <v>208</v>
      </c>
      <c r="D515" s="55" t="s">
        <v>209</v>
      </c>
      <c r="E515" s="901"/>
      <c r="F515" s="901"/>
      <c r="G515" s="901"/>
      <c r="H515" s="901"/>
      <c r="I515" s="901"/>
      <c r="J515" s="901"/>
      <c r="K515" s="901"/>
      <c r="L515" s="901"/>
      <c r="M515" s="901"/>
      <c r="N515" s="901"/>
      <c r="O515" s="901"/>
      <c r="P515" s="901"/>
      <c r="Q515" s="908">
        <f t="shared" si="104"/>
        <v>0</v>
      </c>
      <c r="R515" s="906"/>
      <c r="S515" s="906"/>
    </row>
    <row r="516" ht="15" spans="3:19">
      <c r="C516" s="55" t="s">
        <v>210</v>
      </c>
      <c r="D516" s="55" t="s">
        <v>188</v>
      </c>
      <c r="E516" s="901"/>
      <c r="F516" s="901"/>
      <c r="G516" s="901"/>
      <c r="H516" s="901"/>
      <c r="I516" s="901"/>
      <c r="J516" s="901"/>
      <c r="K516" s="901"/>
      <c r="L516" s="901"/>
      <c r="M516" s="901"/>
      <c r="N516" s="901"/>
      <c r="O516" s="901"/>
      <c r="P516" s="901"/>
      <c r="Q516" s="908">
        <f t="shared" si="104"/>
        <v>0</v>
      </c>
      <c r="R516" s="906"/>
      <c r="S516" s="906"/>
    </row>
    <row r="517" ht="15" spans="3:19">
      <c r="C517" s="55"/>
      <c r="D517" s="55"/>
      <c r="E517" s="901"/>
      <c r="F517" s="901"/>
      <c r="G517" s="901"/>
      <c r="H517" s="901"/>
      <c r="I517" s="901"/>
      <c r="J517" s="901"/>
      <c r="K517" s="901"/>
      <c r="L517" s="901"/>
      <c r="M517" s="901"/>
      <c r="N517" s="901"/>
      <c r="O517" s="901"/>
      <c r="P517" s="901"/>
      <c r="Q517" s="908">
        <f t="shared" si="104"/>
        <v>0</v>
      </c>
      <c r="R517" s="906"/>
      <c r="S517" s="906"/>
    </row>
    <row r="518" ht="15" spans="3:19">
      <c r="C518" s="55"/>
      <c r="D518" s="55"/>
      <c r="E518" s="901"/>
      <c r="F518" s="901"/>
      <c r="G518" s="901"/>
      <c r="H518" s="901"/>
      <c r="I518" s="901"/>
      <c r="J518" s="901"/>
      <c r="K518" s="901"/>
      <c r="L518" s="901"/>
      <c r="M518" s="901"/>
      <c r="N518" s="901"/>
      <c r="O518" s="901"/>
      <c r="P518" s="901"/>
      <c r="Q518" s="908">
        <f t="shared" si="104"/>
        <v>0</v>
      </c>
      <c r="R518" s="906"/>
      <c r="S518" s="906"/>
    </row>
    <row r="519" ht="15" spans="3:19">
      <c r="C519" s="55"/>
      <c r="D519" s="55"/>
      <c r="E519" s="901"/>
      <c r="F519" s="901"/>
      <c r="G519" s="901"/>
      <c r="H519" s="901"/>
      <c r="I519" s="901"/>
      <c r="J519" s="901"/>
      <c r="K519" s="901"/>
      <c r="L519" s="901"/>
      <c r="M519" s="901"/>
      <c r="N519" s="901"/>
      <c r="O519" s="901"/>
      <c r="P519" s="901"/>
      <c r="Q519" s="908">
        <f t="shared" si="104"/>
        <v>0</v>
      </c>
      <c r="R519" s="906"/>
      <c r="S519" s="906"/>
    </row>
    <row r="520" ht="15" spans="3:19">
      <c r="C520" s="55" t="s">
        <v>258</v>
      </c>
      <c r="D520" s="55" t="s">
        <v>258</v>
      </c>
      <c r="E520" s="901"/>
      <c r="F520" s="901"/>
      <c r="G520" s="901"/>
      <c r="H520" s="901"/>
      <c r="I520" s="901"/>
      <c r="J520" s="901"/>
      <c r="K520" s="901"/>
      <c r="L520" s="901"/>
      <c r="M520" s="901"/>
      <c r="N520" s="901"/>
      <c r="O520" s="901"/>
      <c r="P520" s="901"/>
      <c r="Q520" s="908">
        <f t="shared" si="104"/>
        <v>0</v>
      </c>
      <c r="R520" s="906"/>
      <c r="S520" s="906"/>
    </row>
    <row r="521" ht="15" spans="3:19">
      <c r="C521" s="537" t="s">
        <v>211</v>
      </c>
      <c r="D521" s="540"/>
      <c r="E521" s="908">
        <f t="shared" ref="E521:P521" si="105">SUM(E504:E520)</f>
        <v>0</v>
      </c>
      <c r="F521" s="908">
        <f t="shared" si="105"/>
        <v>0</v>
      </c>
      <c r="G521" s="908">
        <f t="shared" si="105"/>
        <v>0</v>
      </c>
      <c r="H521" s="908">
        <f t="shared" si="105"/>
        <v>0</v>
      </c>
      <c r="I521" s="908">
        <f t="shared" si="105"/>
        <v>0</v>
      </c>
      <c r="J521" s="908">
        <f t="shared" si="105"/>
        <v>0</v>
      </c>
      <c r="K521" s="908">
        <f t="shared" si="105"/>
        <v>0</v>
      </c>
      <c r="L521" s="908">
        <f t="shared" si="105"/>
        <v>0</v>
      </c>
      <c r="M521" s="908">
        <f t="shared" si="105"/>
        <v>0</v>
      </c>
      <c r="N521" s="908">
        <f t="shared" si="105"/>
        <v>0</v>
      </c>
      <c r="O521" s="908">
        <f t="shared" si="105"/>
        <v>0</v>
      </c>
      <c r="P521" s="908">
        <f t="shared" si="105"/>
        <v>0</v>
      </c>
      <c r="Q521" s="908">
        <f t="shared" si="104"/>
        <v>0</v>
      </c>
      <c r="R521" s="906"/>
      <c r="S521" s="906"/>
    </row>
    <row r="522" ht="15" spans="3:19">
      <c r="C522" s="537" t="s">
        <v>223</v>
      </c>
      <c r="D522" s="540"/>
      <c r="E522" s="908">
        <f t="shared" ref="E522:P522" si="106">E521+E502+E485</f>
        <v>0</v>
      </c>
      <c r="F522" s="908">
        <f t="shared" si="106"/>
        <v>0</v>
      </c>
      <c r="G522" s="908">
        <f t="shared" si="106"/>
        <v>0</v>
      </c>
      <c r="H522" s="908">
        <f t="shared" si="106"/>
        <v>0</v>
      </c>
      <c r="I522" s="908">
        <f t="shared" si="106"/>
        <v>0</v>
      </c>
      <c r="J522" s="908">
        <f t="shared" si="106"/>
        <v>0</v>
      </c>
      <c r="K522" s="908">
        <f t="shared" si="106"/>
        <v>0</v>
      </c>
      <c r="L522" s="908">
        <f t="shared" si="106"/>
        <v>0</v>
      </c>
      <c r="M522" s="908">
        <f t="shared" si="106"/>
        <v>0</v>
      </c>
      <c r="N522" s="908">
        <f t="shared" si="106"/>
        <v>0</v>
      </c>
      <c r="O522" s="908">
        <f t="shared" si="106"/>
        <v>0</v>
      </c>
      <c r="P522" s="908">
        <f t="shared" si="106"/>
        <v>0</v>
      </c>
      <c r="Q522" s="908">
        <f t="shared" si="104"/>
        <v>0</v>
      </c>
      <c r="R522" s="906"/>
      <c r="S522" s="906"/>
    </row>
    <row r="523" ht="15" spans="3:19">
      <c r="C523" s="537" t="s">
        <v>224</v>
      </c>
      <c r="D523" s="540"/>
      <c r="E523" s="908">
        <f t="shared" ref="E523:P523" si="107">E522+E468</f>
        <v>1251.18063758848</v>
      </c>
      <c r="F523" s="908">
        <f t="shared" si="107"/>
        <v>590.251484162004</v>
      </c>
      <c r="G523" s="908">
        <f t="shared" si="107"/>
        <v>540.590557148526</v>
      </c>
      <c r="H523" s="908">
        <f t="shared" si="107"/>
        <v>777.719655</v>
      </c>
      <c r="I523" s="908">
        <f t="shared" si="107"/>
        <v>958.649791</v>
      </c>
      <c r="J523" s="908">
        <f t="shared" si="107"/>
        <v>1040.701889</v>
      </c>
      <c r="K523" s="908">
        <f t="shared" si="107"/>
        <v>698.01559578761</v>
      </c>
      <c r="L523" s="908">
        <f t="shared" si="107"/>
        <v>590.561511158625</v>
      </c>
      <c r="M523" s="908">
        <f t="shared" si="107"/>
        <v>1038.27985912042</v>
      </c>
      <c r="N523" s="908">
        <f t="shared" si="107"/>
        <v>1395.44374725091</v>
      </c>
      <c r="O523" s="908">
        <f t="shared" si="107"/>
        <v>1485.08742749008</v>
      </c>
      <c r="P523" s="908">
        <f t="shared" si="107"/>
        <v>1723.66</v>
      </c>
      <c r="Q523" s="908">
        <f t="shared" si="104"/>
        <v>12090.1421547067</v>
      </c>
      <c r="R523" s="906"/>
      <c r="S523" s="906"/>
    </row>
    <row r="524" spans="5:19">
      <c r="E524" s="906"/>
      <c r="F524" s="906"/>
      <c r="G524" s="906"/>
      <c r="H524" s="906"/>
      <c r="I524" s="906"/>
      <c r="J524" s="906"/>
      <c r="K524" s="906"/>
      <c r="L524" s="906"/>
      <c r="M524" s="906"/>
      <c r="N524" s="906"/>
      <c r="O524" s="906"/>
      <c r="P524" s="906"/>
      <c r="Q524" s="906"/>
      <c r="R524" s="906"/>
      <c r="S524" s="906"/>
    </row>
    <row r="525" ht="15" spans="3:19">
      <c r="C525" s="14"/>
      <c r="E525" s="906"/>
      <c r="F525" s="906"/>
      <c r="G525" s="906"/>
      <c r="H525" s="906"/>
      <c r="I525" s="906"/>
      <c r="J525" s="906"/>
      <c r="K525" s="906"/>
      <c r="L525" s="906"/>
      <c r="M525" s="906"/>
      <c r="N525" s="906"/>
      <c r="O525" s="906"/>
      <c r="P525" s="906"/>
      <c r="Q525" s="909" t="s">
        <v>236</v>
      </c>
      <c r="R525" s="906"/>
      <c r="S525" s="906"/>
    </row>
    <row r="526" ht="15" spans="3:19">
      <c r="C526" s="6" t="s">
        <v>159</v>
      </c>
      <c r="D526" s="6"/>
      <c r="E526" s="907" t="s">
        <v>264</v>
      </c>
      <c r="F526" s="907"/>
      <c r="G526" s="907"/>
      <c r="H526" s="907"/>
      <c r="I526" s="907"/>
      <c r="J526" s="907"/>
      <c r="K526" s="907"/>
      <c r="L526" s="907"/>
      <c r="M526" s="907"/>
      <c r="N526" s="907"/>
      <c r="O526" s="907"/>
      <c r="P526" s="907"/>
      <c r="Q526" s="907"/>
      <c r="R526" s="906"/>
      <c r="S526" s="906"/>
    </row>
    <row r="527" ht="15" spans="3:19">
      <c r="C527" s="6"/>
      <c r="D527" s="6"/>
      <c r="E527" s="907" t="s">
        <v>246</v>
      </c>
      <c r="F527" s="907" t="s">
        <v>247</v>
      </c>
      <c r="G527" s="907" t="s">
        <v>248</v>
      </c>
      <c r="H527" s="907" t="s">
        <v>249</v>
      </c>
      <c r="I527" s="907" t="s">
        <v>250</v>
      </c>
      <c r="J527" s="907" t="s">
        <v>251</v>
      </c>
      <c r="K527" s="907" t="s">
        <v>252</v>
      </c>
      <c r="L527" s="907" t="s">
        <v>253</v>
      </c>
      <c r="M527" s="907" t="s">
        <v>254</v>
      </c>
      <c r="N527" s="907" t="s">
        <v>255</v>
      </c>
      <c r="O527" s="907" t="s">
        <v>256</v>
      </c>
      <c r="P527" s="907" t="s">
        <v>257</v>
      </c>
      <c r="Q527" s="907" t="s">
        <v>97</v>
      </c>
      <c r="R527" s="906"/>
      <c r="S527" s="906"/>
    </row>
    <row r="528" ht="15" spans="3:19">
      <c r="C528" s="44" t="s">
        <v>170</v>
      </c>
      <c r="D528" s="45"/>
      <c r="E528" s="901"/>
      <c r="F528" s="901"/>
      <c r="G528" s="901"/>
      <c r="H528" s="901"/>
      <c r="I528" s="901"/>
      <c r="J528" s="901"/>
      <c r="K528" s="901"/>
      <c r="L528" s="901"/>
      <c r="M528" s="901"/>
      <c r="N528" s="901"/>
      <c r="O528" s="901"/>
      <c r="P528" s="901"/>
      <c r="Q528" s="910"/>
      <c r="R528" s="906"/>
      <c r="S528" s="906"/>
    </row>
    <row r="529" ht="15" spans="3:19">
      <c r="C529" s="47" t="s">
        <v>171</v>
      </c>
      <c r="D529" s="47" t="s">
        <v>172</v>
      </c>
      <c r="E529" s="901"/>
      <c r="F529" s="901"/>
      <c r="G529" s="901"/>
      <c r="H529" s="901"/>
      <c r="I529" s="901"/>
      <c r="J529" s="901"/>
      <c r="K529" s="901"/>
      <c r="L529" s="901"/>
      <c r="M529" s="901"/>
      <c r="N529" s="901"/>
      <c r="O529" s="901"/>
      <c r="P529" s="901"/>
      <c r="Q529" s="908">
        <f t="shared" ref="Q529:Q542" si="108">SUM(E529:P529)</f>
        <v>0</v>
      </c>
      <c r="R529" s="906"/>
      <c r="S529" s="906"/>
    </row>
    <row r="530" ht="15" spans="3:19">
      <c r="C530" s="55" t="s">
        <v>173</v>
      </c>
      <c r="D530" s="55" t="s">
        <v>174</v>
      </c>
      <c r="E530" s="901"/>
      <c r="F530" s="901"/>
      <c r="G530" s="901"/>
      <c r="H530" s="901"/>
      <c r="I530" s="901"/>
      <c r="J530" s="901"/>
      <c r="K530" s="901"/>
      <c r="L530" s="901"/>
      <c r="M530" s="901"/>
      <c r="N530" s="901"/>
      <c r="O530" s="901"/>
      <c r="P530" s="901"/>
      <c r="Q530" s="908">
        <f t="shared" si="108"/>
        <v>0</v>
      </c>
      <c r="R530" s="906"/>
      <c r="S530" s="906"/>
    </row>
    <row r="531" ht="15" spans="3:19">
      <c r="C531" s="55" t="s">
        <v>175</v>
      </c>
      <c r="D531" s="55" t="s">
        <v>176</v>
      </c>
      <c r="E531" s="901"/>
      <c r="F531" s="901"/>
      <c r="G531" s="901"/>
      <c r="H531" s="901"/>
      <c r="I531" s="901"/>
      <c r="J531" s="901"/>
      <c r="K531" s="901"/>
      <c r="L531" s="901"/>
      <c r="M531" s="901"/>
      <c r="N531" s="901"/>
      <c r="O531" s="901"/>
      <c r="P531" s="901"/>
      <c r="Q531" s="908">
        <f t="shared" si="108"/>
        <v>0</v>
      </c>
      <c r="R531" s="906"/>
      <c r="S531" s="906"/>
    </row>
    <row r="532" ht="15" spans="3:19">
      <c r="C532" s="55" t="s">
        <v>177</v>
      </c>
      <c r="D532" s="55" t="s">
        <v>178</v>
      </c>
      <c r="E532" s="901"/>
      <c r="F532" s="901"/>
      <c r="G532" s="901"/>
      <c r="H532" s="901"/>
      <c r="I532" s="901"/>
      <c r="J532" s="901"/>
      <c r="K532" s="901"/>
      <c r="L532" s="901"/>
      <c r="M532" s="901"/>
      <c r="N532" s="901"/>
      <c r="O532" s="901"/>
      <c r="P532" s="901"/>
      <c r="Q532" s="908">
        <f t="shared" si="108"/>
        <v>0</v>
      </c>
      <c r="R532" s="906"/>
      <c r="S532" s="906"/>
    </row>
    <row r="533" ht="15" spans="3:19">
      <c r="C533" s="55" t="s">
        <v>179</v>
      </c>
      <c r="D533" s="55" t="s">
        <v>180</v>
      </c>
      <c r="E533" s="901"/>
      <c r="F533" s="901"/>
      <c r="G533" s="901"/>
      <c r="H533" s="901"/>
      <c r="I533" s="901"/>
      <c r="J533" s="901"/>
      <c r="K533" s="901"/>
      <c r="L533" s="901"/>
      <c r="M533" s="901"/>
      <c r="N533" s="901"/>
      <c r="O533" s="901"/>
      <c r="P533" s="901"/>
      <c r="Q533" s="908">
        <f t="shared" si="108"/>
        <v>0</v>
      </c>
      <c r="R533" s="906"/>
      <c r="S533" s="906"/>
    </row>
    <row r="534" ht="15" spans="3:19">
      <c r="C534" s="55" t="s">
        <v>181</v>
      </c>
      <c r="D534" s="55" t="s">
        <v>182</v>
      </c>
      <c r="E534" s="901"/>
      <c r="F534" s="901"/>
      <c r="G534" s="901"/>
      <c r="H534" s="901"/>
      <c r="I534" s="901"/>
      <c r="J534" s="901"/>
      <c r="K534" s="901"/>
      <c r="L534" s="901"/>
      <c r="M534" s="901"/>
      <c r="N534" s="901"/>
      <c r="O534" s="901"/>
      <c r="P534" s="901"/>
      <c r="Q534" s="908">
        <f t="shared" si="108"/>
        <v>0</v>
      </c>
      <c r="R534" s="906"/>
      <c r="S534" s="906"/>
    </row>
    <row r="535" ht="15" spans="3:19">
      <c r="C535" s="55" t="s">
        <v>183</v>
      </c>
      <c r="D535" s="55" t="s">
        <v>184</v>
      </c>
      <c r="E535" s="901"/>
      <c r="F535" s="901"/>
      <c r="G535" s="901"/>
      <c r="H535" s="901"/>
      <c r="I535" s="901"/>
      <c r="J535" s="901"/>
      <c r="K535" s="901"/>
      <c r="L535" s="901"/>
      <c r="M535" s="901"/>
      <c r="N535" s="901"/>
      <c r="O535" s="901"/>
      <c r="P535" s="901"/>
      <c r="Q535" s="908">
        <f t="shared" si="108"/>
        <v>0</v>
      </c>
      <c r="R535" s="906"/>
      <c r="S535" s="906"/>
    </row>
    <row r="536" ht="15" spans="3:19">
      <c r="C536" s="55" t="s">
        <v>185</v>
      </c>
      <c r="D536" s="55" t="s">
        <v>186</v>
      </c>
      <c r="E536" s="901"/>
      <c r="F536" s="901"/>
      <c r="G536" s="901"/>
      <c r="H536" s="901"/>
      <c r="I536" s="901"/>
      <c r="J536" s="901"/>
      <c r="K536" s="901"/>
      <c r="L536" s="901"/>
      <c r="M536" s="901"/>
      <c r="N536" s="901"/>
      <c r="O536" s="901"/>
      <c r="P536" s="901"/>
      <c r="Q536" s="908">
        <f t="shared" si="108"/>
        <v>0</v>
      </c>
      <c r="R536" s="906"/>
      <c r="S536" s="906"/>
    </row>
    <row r="537" ht="15" spans="3:19">
      <c r="C537" s="55" t="s">
        <v>187</v>
      </c>
      <c r="D537" s="55" t="s">
        <v>188</v>
      </c>
      <c r="E537" s="901"/>
      <c r="F537" s="901"/>
      <c r="G537" s="901"/>
      <c r="H537" s="901"/>
      <c r="I537" s="901"/>
      <c r="J537" s="901"/>
      <c r="K537" s="901"/>
      <c r="L537" s="901"/>
      <c r="M537" s="901"/>
      <c r="N537" s="901"/>
      <c r="O537" s="901"/>
      <c r="P537" s="901"/>
      <c r="Q537" s="908">
        <f t="shared" si="108"/>
        <v>0</v>
      </c>
      <c r="R537" s="906"/>
      <c r="S537" s="906"/>
    </row>
    <row r="538" ht="15" spans="3:19">
      <c r="C538" s="55"/>
      <c r="D538" s="55"/>
      <c r="E538" s="901"/>
      <c r="F538" s="901"/>
      <c r="G538" s="901"/>
      <c r="H538" s="901"/>
      <c r="I538" s="901"/>
      <c r="J538" s="901"/>
      <c r="K538" s="901"/>
      <c r="L538" s="901"/>
      <c r="M538" s="901"/>
      <c r="N538" s="901"/>
      <c r="O538" s="901"/>
      <c r="P538" s="901"/>
      <c r="Q538" s="908">
        <f t="shared" si="108"/>
        <v>0</v>
      </c>
      <c r="R538" s="906"/>
      <c r="S538" s="906"/>
    </row>
    <row r="539" ht="15" spans="3:19">
      <c r="C539" s="55"/>
      <c r="D539" s="55"/>
      <c r="E539" s="901"/>
      <c r="F539" s="901"/>
      <c r="G539" s="901"/>
      <c r="H539" s="901"/>
      <c r="I539" s="901"/>
      <c r="J539" s="901"/>
      <c r="K539" s="901"/>
      <c r="L539" s="901"/>
      <c r="M539" s="901"/>
      <c r="N539" s="901"/>
      <c r="O539" s="901"/>
      <c r="P539" s="901"/>
      <c r="Q539" s="908">
        <f t="shared" si="108"/>
        <v>0</v>
      </c>
      <c r="R539" s="906"/>
      <c r="S539" s="906"/>
    </row>
    <row r="540" ht="15" spans="3:19">
      <c r="C540" s="55"/>
      <c r="D540" s="55"/>
      <c r="E540" s="901"/>
      <c r="F540" s="901"/>
      <c r="G540" s="901"/>
      <c r="H540" s="901"/>
      <c r="I540" s="901"/>
      <c r="J540" s="901"/>
      <c r="K540" s="901"/>
      <c r="L540" s="901"/>
      <c r="M540" s="901"/>
      <c r="N540" s="901"/>
      <c r="O540" s="901"/>
      <c r="P540" s="901"/>
      <c r="Q540" s="908">
        <f t="shared" si="108"/>
        <v>0</v>
      </c>
      <c r="R540" s="906"/>
      <c r="S540" s="906"/>
    </row>
    <row r="541" ht="15" spans="3:19">
      <c r="C541" s="55" t="s">
        <v>258</v>
      </c>
      <c r="D541" s="55" t="s">
        <v>258</v>
      </c>
      <c r="E541" s="901"/>
      <c r="F541" s="901"/>
      <c r="G541" s="901"/>
      <c r="H541" s="901"/>
      <c r="I541" s="901"/>
      <c r="J541" s="901"/>
      <c r="K541" s="901"/>
      <c r="L541" s="901"/>
      <c r="M541" s="901"/>
      <c r="N541" s="901"/>
      <c r="O541" s="901"/>
      <c r="P541" s="901"/>
      <c r="Q541" s="908">
        <f t="shared" si="108"/>
        <v>0</v>
      </c>
      <c r="R541" s="906"/>
      <c r="S541" s="906"/>
    </row>
    <row r="542" ht="15" spans="3:19">
      <c r="C542" s="537" t="s">
        <v>189</v>
      </c>
      <c r="D542" s="540"/>
      <c r="E542" s="908">
        <f t="shared" ref="E542:P542" si="109">SUM(E529:E541)</f>
        <v>0</v>
      </c>
      <c r="F542" s="908">
        <f t="shared" si="109"/>
        <v>0</v>
      </c>
      <c r="G542" s="908">
        <f t="shared" si="109"/>
        <v>0</v>
      </c>
      <c r="H542" s="908">
        <f t="shared" si="109"/>
        <v>0</v>
      </c>
      <c r="I542" s="908">
        <f t="shared" si="109"/>
        <v>0</v>
      </c>
      <c r="J542" s="908">
        <f t="shared" si="109"/>
        <v>0</v>
      </c>
      <c r="K542" s="908">
        <f t="shared" si="109"/>
        <v>0</v>
      </c>
      <c r="L542" s="908">
        <f t="shared" si="109"/>
        <v>0</v>
      </c>
      <c r="M542" s="908">
        <f t="shared" si="109"/>
        <v>0</v>
      </c>
      <c r="N542" s="908">
        <f t="shared" si="109"/>
        <v>0</v>
      </c>
      <c r="O542" s="908">
        <f t="shared" si="109"/>
        <v>0</v>
      </c>
      <c r="P542" s="908">
        <f t="shared" si="109"/>
        <v>0</v>
      </c>
      <c r="Q542" s="908">
        <f t="shared" si="108"/>
        <v>0</v>
      </c>
      <c r="R542" s="906"/>
      <c r="S542" s="906"/>
    </row>
    <row r="543" ht="15" spans="3:19">
      <c r="C543" s="44" t="s">
        <v>190</v>
      </c>
      <c r="D543" s="45"/>
      <c r="E543" s="901"/>
      <c r="F543" s="901"/>
      <c r="G543" s="901"/>
      <c r="H543" s="901"/>
      <c r="I543" s="901"/>
      <c r="J543" s="901"/>
      <c r="K543" s="901"/>
      <c r="L543" s="901"/>
      <c r="M543" s="901"/>
      <c r="N543" s="901"/>
      <c r="O543" s="901"/>
      <c r="P543" s="901"/>
      <c r="Q543" s="910"/>
      <c r="R543" s="906"/>
      <c r="S543" s="906"/>
    </row>
    <row r="544" ht="15" spans="3:19">
      <c r="C544" s="55" t="s">
        <v>191</v>
      </c>
      <c r="D544" s="55" t="s">
        <v>192</v>
      </c>
      <c r="E544" s="901"/>
      <c r="F544" s="901"/>
      <c r="G544" s="901"/>
      <c r="H544" s="901"/>
      <c r="I544" s="901"/>
      <c r="J544" s="901"/>
      <c r="K544" s="901"/>
      <c r="L544" s="901"/>
      <c r="M544" s="901"/>
      <c r="N544" s="901"/>
      <c r="O544" s="901"/>
      <c r="P544" s="901"/>
      <c r="Q544" s="908">
        <f t="shared" ref="Q544:Q559" si="110">SUM(E544:P544)</f>
        <v>0</v>
      </c>
      <c r="R544" s="906"/>
      <c r="S544" s="906"/>
    </row>
    <row r="545" ht="15" spans="3:19">
      <c r="C545" s="55" t="s">
        <v>193</v>
      </c>
      <c r="D545" s="55" t="s">
        <v>194</v>
      </c>
      <c r="E545" s="901"/>
      <c r="F545" s="901"/>
      <c r="G545" s="901"/>
      <c r="H545" s="901"/>
      <c r="I545" s="901"/>
      <c r="J545" s="901"/>
      <c r="K545" s="901"/>
      <c r="L545" s="901"/>
      <c r="M545" s="901"/>
      <c r="N545" s="901"/>
      <c r="O545" s="901"/>
      <c r="P545" s="901"/>
      <c r="Q545" s="908">
        <f t="shared" si="110"/>
        <v>0</v>
      </c>
      <c r="R545" s="906"/>
      <c r="S545" s="906"/>
    </row>
    <row r="546" ht="15" spans="3:19">
      <c r="C546" s="55" t="s">
        <v>239</v>
      </c>
      <c r="D546" s="55" t="s">
        <v>196</v>
      </c>
      <c r="E546" s="901"/>
      <c r="F546" s="901"/>
      <c r="G546" s="901"/>
      <c r="H546" s="901"/>
      <c r="I546" s="901"/>
      <c r="J546" s="901"/>
      <c r="K546" s="901"/>
      <c r="L546" s="901"/>
      <c r="M546" s="901"/>
      <c r="N546" s="901"/>
      <c r="O546" s="901"/>
      <c r="P546" s="901"/>
      <c r="Q546" s="908">
        <f t="shared" si="110"/>
        <v>0</v>
      </c>
      <c r="R546" s="906"/>
      <c r="S546" s="906"/>
    </row>
    <row r="547" ht="15" spans="3:19">
      <c r="C547" s="55" t="s">
        <v>197</v>
      </c>
      <c r="D547" s="55" t="s">
        <v>198</v>
      </c>
      <c r="E547" s="901"/>
      <c r="F547" s="901"/>
      <c r="G547" s="901"/>
      <c r="H547" s="901"/>
      <c r="I547" s="901"/>
      <c r="J547" s="901"/>
      <c r="K547" s="901"/>
      <c r="L547" s="901"/>
      <c r="M547" s="901"/>
      <c r="N547" s="901"/>
      <c r="O547" s="901"/>
      <c r="P547" s="901"/>
      <c r="Q547" s="908">
        <f t="shared" si="110"/>
        <v>0</v>
      </c>
      <c r="R547" s="906"/>
      <c r="S547" s="906"/>
    </row>
    <row r="548" ht="15" spans="3:19">
      <c r="C548" s="55" t="s">
        <v>199</v>
      </c>
      <c r="D548" s="55" t="s">
        <v>200</v>
      </c>
      <c r="E548" s="901"/>
      <c r="F548" s="901"/>
      <c r="G548" s="901"/>
      <c r="H548" s="901"/>
      <c r="I548" s="901"/>
      <c r="J548" s="901"/>
      <c r="K548" s="901"/>
      <c r="L548" s="901"/>
      <c r="M548" s="901"/>
      <c r="N548" s="901"/>
      <c r="O548" s="901"/>
      <c r="P548" s="901"/>
      <c r="Q548" s="908">
        <f t="shared" si="110"/>
        <v>0</v>
      </c>
      <c r="R548" s="906"/>
      <c r="S548" s="906"/>
    </row>
    <row r="549" ht="15" spans="3:19">
      <c r="C549" s="55" t="s">
        <v>201</v>
      </c>
      <c r="D549" s="55" t="s">
        <v>202</v>
      </c>
      <c r="E549" s="901"/>
      <c r="F549" s="901"/>
      <c r="G549" s="901"/>
      <c r="H549" s="901"/>
      <c r="I549" s="901"/>
      <c r="J549" s="901"/>
      <c r="K549" s="901"/>
      <c r="L549" s="901"/>
      <c r="M549" s="901"/>
      <c r="N549" s="901"/>
      <c r="O549" s="901"/>
      <c r="P549" s="901"/>
      <c r="Q549" s="908">
        <f t="shared" si="110"/>
        <v>0</v>
      </c>
      <c r="R549" s="906"/>
      <c r="S549" s="906"/>
    </row>
    <row r="550" ht="15" spans="3:19">
      <c r="C550" s="55" t="s">
        <v>203</v>
      </c>
      <c r="D550" s="55" t="s">
        <v>204</v>
      </c>
      <c r="E550" s="901"/>
      <c r="F550" s="901"/>
      <c r="G550" s="901"/>
      <c r="H550" s="901"/>
      <c r="I550" s="901"/>
      <c r="J550" s="901"/>
      <c r="K550" s="901"/>
      <c r="L550" s="901"/>
      <c r="M550" s="901"/>
      <c r="N550" s="901"/>
      <c r="O550" s="901"/>
      <c r="P550" s="901"/>
      <c r="Q550" s="908">
        <f t="shared" si="110"/>
        <v>0</v>
      </c>
      <c r="R550" s="906"/>
      <c r="S550" s="906"/>
    </row>
    <row r="551" ht="15" spans="3:19">
      <c r="C551" s="55" t="s">
        <v>205</v>
      </c>
      <c r="D551" s="55" t="s">
        <v>206</v>
      </c>
      <c r="E551" s="901"/>
      <c r="F551" s="901"/>
      <c r="G551" s="901"/>
      <c r="H551" s="901"/>
      <c r="I551" s="901"/>
      <c r="J551" s="901"/>
      <c r="K551" s="901"/>
      <c r="L551" s="901"/>
      <c r="M551" s="901"/>
      <c r="N551" s="901"/>
      <c r="O551" s="901"/>
      <c r="P551" s="901"/>
      <c r="Q551" s="908">
        <f t="shared" si="110"/>
        <v>0</v>
      </c>
      <c r="R551" s="906"/>
      <c r="S551" s="906"/>
    </row>
    <row r="552" ht="15" spans="3:19">
      <c r="C552" s="55" t="s">
        <v>207</v>
      </c>
      <c r="D552" s="55" t="s">
        <v>186</v>
      </c>
      <c r="E552" s="901"/>
      <c r="F552" s="901"/>
      <c r="G552" s="901"/>
      <c r="H552" s="901"/>
      <c r="I552" s="901"/>
      <c r="J552" s="901"/>
      <c r="K552" s="901"/>
      <c r="L552" s="901"/>
      <c r="M552" s="901"/>
      <c r="N552" s="901"/>
      <c r="O552" s="901"/>
      <c r="P552" s="901"/>
      <c r="Q552" s="908">
        <f t="shared" si="110"/>
        <v>0</v>
      </c>
      <c r="R552" s="906"/>
      <c r="S552" s="906"/>
    </row>
    <row r="553" ht="15" spans="3:19">
      <c r="C553" s="55" t="s">
        <v>208</v>
      </c>
      <c r="D553" s="55" t="s">
        <v>209</v>
      </c>
      <c r="E553" s="901"/>
      <c r="F553" s="901"/>
      <c r="G553" s="901"/>
      <c r="H553" s="901"/>
      <c r="I553" s="901"/>
      <c r="J553" s="901"/>
      <c r="K553" s="901"/>
      <c r="L553" s="901"/>
      <c r="M553" s="901"/>
      <c r="N553" s="901"/>
      <c r="O553" s="901"/>
      <c r="P553" s="901"/>
      <c r="Q553" s="908">
        <f t="shared" si="110"/>
        <v>0</v>
      </c>
      <c r="R553" s="906"/>
      <c r="S553" s="906"/>
    </row>
    <row r="554" ht="15" spans="3:19">
      <c r="C554" s="55" t="s">
        <v>210</v>
      </c>
      <c r="D554" s="55" t="s">
        <v>188</v>
      </c>
      <c r="E554" s="901"/>
      <c r="F554" s="901"/>
      <c r="G554" s="901"/>
      <c r="H554" s="901"/>
      <c r="I554" s="901"/>
      <c r="J554" s="901"/>
      <c r="K554" s="901"/>
      <c r="L554" s="901"/>
      <c r="M554" s="901"/>
      <c r="N554" s="901"/>
      <c r="O554" s="901"/>
      <c r="P554" s="901"/>
      <c r="Q554" s="908">
        <f t="shared" si="110"/>
        <v>0</v>
      </c>
      <c r="R554" s="906"/>
      <c r="S554" s="906"/>
    </row>
    <row r="555" ht="15" spans="3:19">
      <c r="C555" s="55"/>
      <c r="D555" s="55"/>
      <c r="E555" s="901"/>
      <c r="F555" s="901"/>
      <c r="G555" s="901"/>
      <c r="H555" s="901"/>
      <c r="I555" s="901"/>
      <c r="J555" s="901"/>
      <c r="K555" s="901"/>
      <c r="L555" s="901"/>
      <c r="M555" s="901"/>
      <c r="N555" s="901"/>
      <c r="O555" s="901"/>
      <c r="P555" s="901"/>
      <c r="Q555" s="908">
        <f t="shared" si="110"/>
        <v>0</v>
      </c>
      <c r="R555" s="906"/>
      <c r="S555" s="906"/>
    </row>
    <row r="556" ht="15" spans="3:19">
      <c r="C556" s="55"/>
      <c r="D556" s="55"/>
      <c r="E556" s="901"/>
      <c r="F556" s="901"/>
      <c r="G556" s="901"/>
      <c r="H556" s="901"/>
      <c r="I556" s="901"/>
      <c r="J556" s="901"/>
      <c r="K556" s="901"/>
      <c r="L556" s="901"/>
      <c r="M556" s="901"/>
      <c r="N556" s="901"/>
      <c r="O556" s="901"/>
      <c r="P556" s="901"/>
      <c r="Q556" s="908">
        <f t="shared" si="110"/>
        <v>0</v>
      </c>
      <c r="R556" s="906"/>
      <c r="S556" s="906"/>
    </row>
    <row r="557" ht="15" spans="3:19">
      <c r="C557" s="55"/>
      <c r="D557" s="55"/>
      <c r="E557" s="901"/>
      <c r="F557" s="901"/>
      <c r="G557" s="901"/>
      <c r="H557" s="901"/>
      <c r="I557" s="901"/>
      <c r="J557" s="901"/>
      <c r="K557" s="901"/>
      <c r="L557" s="901"/>
      <c r="M557" s="901"/>
      <c r="N557" s="901"/>
      <c r="O557" s="901"/>
      <c r="P557" s="901"/>
      <c r="Q557" s="908">
        <f t="shared" si="110"/>
        <v>0</v>
      </c>
      <c r="R557" s="906"/>
      <c r="S557" s="906"/>
    </row>
    <row r="558" ht="15" spans="3:19">
      <c r="C558" s="55" t="s">
        <v>258</v>
      </c>
      <c r="D558" s="55" t="s">
        <v>258</v>
      </c>
      <c r="E558" s="901"/>
      <c r="F558" s="901"/>
      <c r="G558" s="901"/>
      <c r="H558" s="901"/>
      <c r="I558" s="901"/>
      <c r="J558" s="901"/>
      <c r="K558" s="901"/>
      <c r="L558" s="901"/>
      <c r="M558" s="901"/>
      <c r="N558" s="901"/>
      <c r="O558" s="901"/>
      <c r="P558" s="901"/>
      <c r="Q558" s="908">
        <f t="shared" si="110"/>
        <v>0</v>
      </c>
      <c r="R558" s="906"/>
      <c r="S558" s="906"/>
    </row>
    <row r="559" ht="15" spans="3:19">
      <c r="C559" s="537" t="s">
        <v>211</v>
      </c>
      <c r="D559" s="540"/>
      <c r="E559" s="908">
        <f t="shared" ref="E559:P559" si="111">SUM(E544:E558)</f>
        <v>0</v>
      </c>
      <c r="F559" s="908">
        <f t="shared" si="111"/>
        <v>0</v>
      </c>
      <c r="G559" s="908">
        <f t="shared" si="111"/>
        <v>0</v>
      </c>
      <c r="H559" s="908">
        <f t="shared" si="111"/>
        <v>0</v>
      </c>
      <c r="I559" s="908">
        <f t="shared" si="111"/>
        <v>0</v>
      </c>
      <c r="J559" s="908">
        <f t="shared" si="111"/>
        <v>0</v>
      </c>
      <c r="K559" s="908">
        <f t="shared" si="111"/>
        <v>0</v>
      </c>
      <c r="L559" s="908">
        <f t="shared" si="111"/>
        <v>0</v>
      </c>
      <c r="M559" s="908">
        <f t="shared" si="111"/>
        <v>0</v>
      </c>
      <c r="N559" s="908">
        <f t="shared" si="111"/>
        <v>0</v>
      </c>
      <c r="O559" s="908">
        <f t="shared" si="111"/>
        <v>0</v>
      </c>
      <c r="P559" s="908">
        <f t="shared" si="111"/>
        <v>0</v>
      </c>
      <c r="Q559" s="908">
        <f t="shared" si="110"/>
        <v>0</v>
      </c>
      <c r="R559" s="906"/>
      <c r="S559" s="906"/>
    </row>
    <row r="560" ht="15" spans="3:19">
      <c r="C560" s="44" t="s">
        <v>212</v>
      </c>
      <c r="D560" s="45"/>
      <c r="E560" s="901"/>
      <c r="F560" s="901"/>
      <c r="G560" s="901"/>
      <c r="H560" s="901"/>
      <c r="I560" s="901"/>
      <c r="J560" s="901"/>
      <c r="K560" s="901"/>
      <c r="L560" s="901"/>
      <c r="M560" s="901"/>
      <c r="N560" s="901"/>
      <c r="O560" s="901"/>
      <c r="P560" s="901"/>
      <c r="Q560" s="910"/>
      <c r="R560" s="906"/>
      <c r="S560" s="906"/>
    </row>
    <row r="561" ht="15" spans="3:19">
      <c r="C561" s="55" t="s">
        <v>191</v>
      </c>
      <c r="D561" s="55" t="s">
        <v>192</v>
      </c>
      <c r="E561" s="901"/>
      <c r="F561" s="901"/>
      <c r="G561" s="901"/>
      <c r="H561" s="901"/>
      <c r="I561" s="901"/>
      <c r="J561" s="901"/>
      <c r="K561" s="901"/>
      <c r="L561" s="901"/>
      <c r="M561" s="901"/>
      <c r="N561" s="901"/>
      <c r="O561" s="901"/>
      <c r="P561" s="901"/>
      <c r="Q561" s="908">
        <f t="shared" ref="Q561:Q576" si="112">SUM(E561:P561)</f>
        <v>0</v>
      </c>
      <c r="R561" s="906"/>
      <c r="S561" s="906"/>
    </row>
    <row r="562" ht="15" spans="3:19">
      <c r="C562" s="55" t="s">
        <v>193</v>
      </c>
      <c r="D562" s="55" t="s">
        <v>194</v>
      </c>
      <c r="E562" s="901"/>
      <c r="F562" s="901"/>
      <c r="G562" s="901"/>
      <c r="H562" s="901"/>
      <c r="I562" s="901"/>
      <c r="J562" s="901"/>
      <c r="K562" s="901"/>
      <c r="L562" s="901"/>
      <c r="M562" s="901"/>
      <c r="N562" s="901"/>
      <c r="O562" s="901"/>
      <c r="P562" s="901"/>
      <c r="Q562" s="908">
        <f t="shared" si="112"/>
        <v>0</v>
      </c>
      <c r="R562" s="906"/>
      <c r="S562" s="906"/>
    </row>
    <row r="563" ht="15" spans="3:19">
      <c r="C563" s="55" t="s">
        <v>239</v>
      </c>
      <c r="D563" s="55" t="s">
        <v>196</v>
      </c>
      <c r="E563" s="901"/>
      <c r="F563" s="901"/>
      <c r="G563" s="901"/>
      <c r="H563" s="901"/>
      <c r="I563" s="901"/>
      <c r="J563" s="901"/>
      <c r="K563" s="901"/>
      <c r="L563" s="901"/>
      <c r="M563" s="901"/>
      <c r="N563" s="901"/>
      <c r="O563" s="901"/>
      <c r="P563" s="901"/>
      <c r="Q563" s="908">
        <f t="shared" si="112"/>
        <v>0</v>
      </c>
      <c r="R563" s="906"/>
      <c r="S563" s="906"/>
    </row>
    <row r="564" ht="15" spans="3:19">
      <c r="C564" s="55" t="s">
        <v>197</v>
      </c>
      <c r="D564" s="55" t="s">
        <v>198</v>
      </c>
      <c r="E564" s="901"/>
      <c r="F564" s="901"/>
      <c r="G564" s="901"/>
      <c r="H564" s="901"/>
      <c r="I564" s="901"/>
      <c r="J564" s="901"/>
      <c r="K564" s="901"/>
      <c r="L564" s="901"/>
      <c r="M564" s="901"/>
      <c r="N564" s="901"/>
      <c r="O564" s="901"/>
      <c r="P564" s="901"/>
      <c r="Q564" s="908">
        <f t="shared" si="112"/>
        <v>0</v>
      </c>
      <c r="R564" s="906"/>
      <c r="S564" s="906"/>
    </row>
    <row r="565" ht="15" spans="3:19">
      <c r="C565" s="55" t="s">
        <v>199</v>
      </c>
      <c r="D565" s="55" t="s">
        <v>200</v>
      </c>
      <c r="E565" s="901"/>
      <c r="F565" s="901"/>
      <c r="G565" s="901"/>
      <c r="H565" s="901"/>
      <c r="I565" s="901"/>
      <c r="J565" s="901"/>
      <c r="K565" s="901"/>
      <c r="L565" s="901"/>
      <c r="M565" s="901"/>
      <c r="N565" s="901"/>
      <c r="O565" s="901"/>
      <c r="P565" s="901"/>
      <c r="Q565" s="908">
        <f t="shared" si="112"/>
        <v>0</v>
      </c>
      <c r="R565" s="906"/>
      <c r="S565" s="906"/>
    </row>
    <row r="566" ht="15" spans="3:19">
      <c r="C566" s="55" t="s">
        <v>201</v>
      </c>
      <c r="D566" s="55" t="s">
        <v>202</v>
      </c>
      <c r="E566" s="901"/>
      <c r="F566" s="901"/>
      <c r="G566" s="901"/>
      <c r="H566" s="901"/>
      <c r="I566" s="901"/>
      <c r="J566" s="901"/>
      <c r="K566" s="901"/>
      <c r="L566" s="901"/>
      <c r="M566" s="901"/>
      <c r="N566" s="901"/>
      <c r="O566" s="901"/>
      <c r="P566" s="901"/>
      <c r="Q566" s="908">
        <f t="shared" si="112"/>
        <v>0</v>
      </c>
      <c r="R566" s="906"/>
      <c r="S566" s="906"/>
    </row>
    <row r="567" ht="15" spans="3:19">
      <c r="C567" s="55" t="s">
        <v>203</v>
      </c>
      <c r="D567" s="55" t="s">
        <v>204</v>
      </c>
      <c r="E567" s="901"/>
      <c r="F567" s="901"/>
      <c r="G567" s="901"/>
      <c r="H567" s="901"/>
      <c r="I567" s="901"/>
      <c r="J567" s="901"/>
      <c r="K567" s="901"/>
      <c r="L567" s="901"/>
      <c r="M567" s="901"/>
      <c r="N567" s="901"/>
      <c r="O567" s="901"/>
      <c r="P567" s="901"/>
      <c r="Q567" s="908">
        <f t="shared" si="112"/>
        <v>0</v>
      </c>
      <c r="R567" s="906"/>
      <c r="S567" s="906"/>
    </row>
    <row r="568" ht="15" spans="3:19">
      <c r="C568" s="55" t="s">
        <v>205</v>
      </c>
      <c r="D568" s="55" t="s">
        <v>206</v>
      </c>
      <c r="E568" s="901"/>
      <c r="F568" s="901"/>
      <c r="G568" s="901"/>
      <c r="H568" s="901"/>
      <c r="I568" s="901"/>
      <c r="J568" s="901"/>
      <c r="K568" s="901"/>
      <c r="L568" s="901"/>
      <c r="M568" s="901"/>
      <c r="N568" s="901"/>
      <c r="O568" s="901"/>
      <c r="P568" s="901"/>
      <c r="Q568" s="908">
        <f t="shared" si="112"/>
        <v>0</v>
      </c>
      <c r="R568" s="906"/>
      <c r="S568" s="906"/>
    </row>
    <row r="569" ht="15" spans="3:19">
      <c r="C569" s="55" t="s">
        <v>231</v>
      </c>
      <c r="D569" s="55" t="s">
        <v>186</v>
      </c>
      <c r="E569" s="901"/>
      <c r="F569" s="901"/>
      <c r="G569" s="901"/>
      <c r="H569" s="901"/>
      <c r="I569" s="901"/>
      <c r="J569" s="901"/>
      <c r="K569" s="901"/>
      <c r="L569" s="901"/>
      <c r="M569" s="901"/>
      <c r="N569" s="901"/>
      <c r="O569" s="901"/>
      <c r="P569" s="901"/>
      <c r="Q569" s="908">
        <f t="shared" si="112"/>
        <v>0</v>
      </c>
      <c r="R569" s="906"/>
      <c r="S569" s="906"/>
    </row>
    <row r="570" ht="15" spans="3:19">
      <c r="C570" s="55" t="s">
        <v>208</v>
      </c>
      <c r="D570" s="55" t="s">
        <v>209</v>
      </c>
      <c r="E570" s="901"/>
      <c r="F570" s="901"/>
      <c r="G570" s="901"/>
      <c r="H570" s="901"/>
      <c r="I570" s="901"/>
      <c r="J570" s="901"/>
      <c r="K570" s="901"/>
      <c r="L570" s="901"/>
      <c r="M570" s="901"/>
      <c r="N570" s="901"/>
      <c r="O570" s="901"/>
      <c r="P570" s="901"/>
      <c r="Q570" s="908">
        <f t="shared" si="112"/>
        <v>0</v>
      </c>
      <c r="R570" s="906"/>
      <c r="S570" s="906"/>
    </row>
    <row r="571" ht="15" spans="3:19">
      <c r="C571" s="55" t="s">
        <v>210</v>
      </c>
      <c r="D571" s="55" t="s">
        <v>188</v>
      </c>
      <c r="E571" s="901"/>
      <c r="F571" s="901"/>
      <c r="G571" s="901"/>
      <c r="H571" s="901"/>
      <c r="I571" s="901"/>
      <c r="J571" s="901"/>
      <c r="K571" s="901"/>
      <c r="L571" s="901"/>
      <c r="M571" s="901"/>
      <c r="N571" s="901"/>
      <c r="O571" s="901"/>
      <c r="P571" s="901"/>
      <c r="Q571" s="908">
        <f t="shared" si="112"/>
        <v>0</v>
      </c>
      <c r="R571" s="906"/>
      <c r="S571" s="906"/>
    </row>
    <row r="572" ht="15" spans="3:19">
      <c r="C572" s="55"/>
      <c r="D572" s="55"/>
      <c r="E572" s="901"/>
      <c r="F572" s="901"/>
      <c r="G572" s="901"/>
      <c r="H572" s="901"/>
      <c r="I572" s="901"/>
      <c r="J572" s="901"/>
      <c r="K572" s="901"/>
      <c r="L572" s="901"/>
      <c r="M572" s="901"/>
      <c r="N572" s="901"/>
      <c r="O572" s="901"/>
      <c r="P572" s="901"/>
      <c r="Q572" s="908">
        <f t="shared" si="112"/>
        <v>0</v>
      </c>
      <c r="R572" s="906"/>
      <c r="S572" s="906"/>
    </row>
    <row r="573" ht="15" spans="3:19">
      <c r="C573" s="55"/>
      <c r="D573" s="55"/>
      <c r="E573" s="901"/>
      <c r="F573" s="901"/>
      <c r="G573" s="901"/>
      <c r="H573" s="901"/>
      <c r="I573" s="901"/>
      <c r="J573" s="901"/>
      <c r="K573" s="901"/>
      <c r="L573" s="901"/>
      <c r="M573" s="901"/>
      <c r="N573" s="901"/>
      <c r="O573" s="901"/>
      <c r="P573" s="901"/>
      <c r="Q573" s="908">
        <f t="shared" si="112"/>
        <v>0</v>
      </c>
      <c r="R573" s="906"/>
      <c r="S573" s="906"/>
    </row>
    <row r="574" ht="15" spans="3:19">
      <c r="C574" s="55"/>
      <c r="D574" s="55"/>
      <c r="E574" s="901"/>
      <c r="F574" s="901"/>
      <c r="G574" s="901"/>
      <c r="H574" s="901"/>
      <c r="I574" s="901"/>
      <c r="J574" s="901"/>
      <c r="K574" s="901"/>
      <c r="L574" s="901"/>
      <c r="M574" s="901"/>
      <c r="N574" s="901"/>
      <c r="O574" s="901"/>
      <c r="P574" s="901"/>
      <c r="Q574" s="908">
        <f t="shared" si="112"/>
        <v>0</v>
      </c>
      <c r="R574" s="906"/>
      <c r="S574" s="906"/>
    </row>
    <row r="575" ht="15" spans="3:19">
      <c r="C575" s="55" t="s">
        <v>258</v>
      </c>
      <c r="D575" s="55" t="s">
        <v>258</v>
      </c>
      <c r="E575" s="901"/>
      <c r="F575" s="901"/>
      <c r="G575" s="901"/>
      <c r="H575" s="901"/>
      <c r="I575" s="901"/>
      <c r="J575" s="901"/>
      <c r="K575" s="901"/>
      <c r="L575" s="901"/>
      <c r="M575" s="901"/>
      <c r="N575" s="901"/>
      <c r="O575" s="901"/>
      <c r="P575" s="901"/>
      <c r="Q575" s="908">
        <f t="shared" si="112"/>
        <v>0</v>
      </c>
      <c r="R575" s="906"/>
      <c r="S575" s="906"/>
    </row>
    <row r="576" ht="15" spans="3:19">
      <c r="C576" s="537" t="s">
        <v>211</v>
      </c>
      <c r="D576" s="540"/>
      <c r="E576" s="908">
        <f t="shared" ref="E576:P576" si="113">SUM(E561:E575)</f>
        <v>0</v>
      </c>
      <c r="F576" s="908">
        <f t="shared" si="113"/>
        <v>0</v>
      </c>
      <c r="G576" s="908">
        <f t="shared" si="113"/>
        <v>0</v>
      </c>
      <c r="H576" s="908">
        <f t="shared" si="113"/>
        <v>0</v>
      </c>
      <c r="I576" s="908">
        <f t="shared" si="113"/>
        <v>0</v>
      </c>
      <c r="J576" s="908">
        <f t="shared" si="113"/>
        <v>0</v>
      </c>
      <c r="K576" s="908">
        <f t="shared" si="113"/>
        <v>0</v>
      </c>
      <c r="L576" s="908">
        <f t="shared" si="113"/>
        <v>0</v>
      </c>
      <c r="M576" s="908">
        <f t="shared" si="113"/>
        <v>0</v>
      </c>
      <c r="N576" s="908">
        <f t="shared" si="113"/>
        <v>0</v>
      </c>
      <c r="O576" s="908">
        <f t="shared" si="113"/>
        <v>0</v>
      </c>
      <c r="P576" s="908">
        <f t="shared" si="113"/>
        <v>0</v>
      </c>
      <c r="Q576" s="908">
        <f t="shared" si="112"/>
        <v>0</v>
      </c>
      <c r="R576" s="906"/>
      <c r="S576" s="906"/>
    </row>
    <row r="577" ht="15" spans="3:19">
      <c r="C577" s="44" t="s">
        <v>219</v>
      </c>
      <c r="D577" s="45"/>
      <c r="E577" s="901"/>
      <c r="F577" s="901"/>
      <c r="G577" s="901"/>
      <c r="H577" s="901"/>
      <c r="I577" s="901"/>
      <c r="J577" s="901"/>
      <c r="K577" s="901"/>
      <c r="L577" s="901"/>
      <c r="M577" s="901"/>
      <c r="N577" s="901"/>
      <c r="O577" s="901"/>
      <c r="P577" s="901"/>
      <c r="Q577" s="910"/>
      <c r="R577" s="906"/>
      <c r="S577" s="906"/>
    </row>
    <row r="578" ht="15" spans="3:19">
      <c r="C578" s="55" t="s">
        <v>191</v>
      </c>
      <c r="D578" s="55" t="s">
        <v>192</v>
      </c>
      <c r="E578" s="901"/>
      <c r="F578" s="901"/>
      <c r="G578" s="901"/>
      <c r="H578" s="901"/>
      <c r="I578" s="901"/>
      <c r="J578" s="901"/>
      <c r="K578" s="901"/>
      <c r="L578" s="901"/>
      <c r="M578" s="901"/>
      <c r="N578" s="901"/>
      <c r="O578" s="901"/>
      <c r="P578" s="901"/>
      <c r="Q578" s="908">
        <f t="shared" ref="Q578:Q597" si="114">SUM(E578:P578)</f>
        <v>0</v>
      </c>
      <c r="R578" s="906"/>
      <c r="S578" s="906"/>
    </row>
    <row r="579" ht="15" spans="3:19">
      <c r="C579" s="55" t="s">
        <v>193</v>
      </c>
      <c r="D579" s="55" t="s">
        <v>194</v>
      </c>
      <c r="E579" s="901"/>
      <c r="F579" s="901"/>
      <c r="G579" s="901"/>
      <c r="H579" s="901"/>
      <c r="I579" s="901"/>
      <c r="J579" s="901"/>
      <c r="K579" s="901"/>
      <c r="L579" s="901"/>
      <c r="M579" s="901"/>
      <c r="N579" s="901"/>
      <c r="O579" s="901"/>
      <c r="P579" s="901"/>
      <c r="Q579" s="908">
        <f t="shared" si="114"/>
        <v>0</v>
      </c>
      <c r="R579" s="906"/>
      <c r="S579" s="906"/>
    </row>
    <row r="580" ht="15" spans="3:19">
      <c r="C580" s="55" t="s">
        <v>239</v>
      </c>
      <c r="D580" s="55" t="s">
        <v>196</v>
      </c>
      <c r="E580" s="901"/>
      <c r="F580" s="901"/>
      <c r="G580" s="901"/>
      <c r="H580" s="901"/>
      <c r="I580" s="901"/>
      <c r="J580" s="901"/>
      <c r="K580" s="901"/>
      <c r="L580" s="901"/>
      <c r="M580" s="901"/>
      <c r="N580" s="901"/>
      <c r="O580" s="901"/>
      <c r="P580" s="901"/>
      <c r="Q580" s="908">
        <f t="shared" si="114"/>
        <v>0</v>
      </c>
      <c r="R580" s="906"/>
      <c r="S580" s="906"/>
    </row>
    <row r="581" ht="15" spans="3:19">
      <c r="C581" s="55" t="s">
        <v>197</v>
      </c>
      <c r="D581" s="55" t="s">
        <v>198</v>
      </c>
      <c r="E581" s="901"/>
      <c r="F581" s="901"/>
      <c r="G581" s="901"/>
      <c r="H581" s="901"/>
      <c r="I581" s="901"/>
      <c r="J581" s="901"/>
      <c r="K581" s="901"/>
      <c r="L581" s="901"/>
      <c r="M581" s="901"/>
      <c r="N581" s="901"/>
      <c r="O581" s="901"/>
      <c r="P581" s="901"/>
      <c r="Q581" s="908">
        <f t="shared" si="114"/>
        <v>0</v>
      </c>
      <c r="R581" s="906"/>
      <c r="S581" s="906"/>
    </row>
    <row r="582" ht="15" spans="3:19">
      <c r="C582" s="55" t="s">
        <v>199</v>
      </c>
      <c r="D582" s="55" t="s">
        <v>200</v>
      </c>
      <c r="E582" s="901"/>
      <c r="F582" s="901"/>
      <c r="G582" s="901"/>
      <c r="H582" s="901"/>
      <c r="I582" s="901"/>
      <c r="J582" s="901"/>
      <c r="K582" s="901"/>
      <c r="L582" s="901"/>
      <c r="M582" s="901"/>
      <c r="N582" s="901"/>
      <c r="O582" s="901"/>
      <c r="P582" s="901"/>
      <c r="Q582" s="908">
        <f t="shared" si="114"/>
        <v>0</v>
      </c>
      <c r="R582" s="906"/>
      <c r="S582" s="906"/>
    </row>
    <row r="583" ht="15" spans="3:19">
      <c r="C583" s="55" t="s">
        <v>201</v>
      </c>
      <c r="D583" s="55" t="s">
        <v>240</v>
      </c>
      <c r="E583" s="901"/>
      <c r="F583" s="901"/>
      <c r="G583" s="901"/>
      <c r="H583" s="901"/>
      <c r="I583" s="901"/>
      <c r="J583" s="901"/>
      <c r="K583" s="901"/>
      <c r="L583" s="901"/>
      <c r="M583" s="901"/>
      <c r="N583" s="901"/>
      <c r="O583" s="901"/>
      <c r="P583" s="901"/>
      <c r="Q583" s="908">
        <f t="shared" si="114"/>
        <v>0</v>
      </c>
      <c r="R583" s="906"/>
      <c r="S583" s="906"/>
    </row>
    <row r="584" ht="15" spans="3:19">
      <c r="C584" s="55" t="s">
        <v>203</v>
      </c>
      <c r="D584" s="55" t="s">
        <v>220</v>
      </c>
      <c r="E584" s="901"/>
      <c r="F584" s="901"/>
      <c r="G584" s="901"/>
      <c r="H584" s="901"/>
      <c r="I584" s="901"/>
      <c r="J584" s="901"/>
      <c r="K584" s="901"/>
      <c r="L584" s="901"/>
      <c r="M584" s="901"/>
      <c r="N584" s="901"/>
      <c r="O584" s="901"/>
      <c r="P584" s="901"/>
      <c r="Q584" s="908">
        <f t="shared" si="114"/>
        <v>0</v>
      </c>
      <c r="R584" s="906"/>
      <c r="S584" s="906"/>
    </row>
    <row r="585" ht="15" spans="3:19">
      <c r="C585" s="55" t="s">
        <v>241</v>
      </c>
      <c r="D585" s="55" t="s">
        <v>229</v>
      </c>
      <c r="E585" s="901"/>
      <c r="F585" s="901"/>
      <c r="G585" s="901"/>
      <c r="H585" s="901"/>
      <c r="I585" s="901"/>
      <c r="J585" s="901"/>
      <c r="K585" s="901"/>
      <c r="L585" s="901"/>
      <c r="M585" s="901"/>
      <c r="N585" s="901"/>
      <c r="O585" s="901"/>
      <c r="P585" s="901"/>
      <c r="Q585" s="908">
        <f t="shared" si="114"/>
        <v>0</v>
      </c>
      <c r="R585" s="906"/>
      <c r="S585" s="906"/>
    </row>
    <row r="586" ht="15" spans="3:19">
      <c r="C586" s="55" t="s">
        <v>259</v>
      </c>
      <c r="D586" s="55" t="s">
        <v>243</v>
      </c>
      <c r="E586" s="901"/>
      <c r="F586" s="901"/>
      <c r="G586" s="901"/>
      <c r="H586" s="901"/>
      <c r="I586" s="901"/>
      <c r="J586" s="901"/>
      <c r="K586" s="901"/>
      <c r="L586" s="901"/>
      <c r="M586" s="901"/>
      <c r="N586" s="901"/>
      <c r="O586" s="901"/>
      <c r="P586" s="901"/>
      <c r="Q586" s="908">
        <f t="shared" si="114"/>
        <v>0</v>
      </c>
      <c r="R586" s="906"/>
      <c r="S586" s="906"/>
    </row>
    <row r="587" ht="15" spans="3:19">
      <c r="C587" s="55" t="s">
        <v>205</v>
      </c>
      <c r="D587" s="55" t="s">
        <v>206</v>
      </c>
      <c r="E587" s="901"/>
      <c r="F587" s="901"/>
      <c r="G587" s="901"/>
      <c r="H587" s="901"/>
      <c r="I587" s="901"/>
      <c r="J587" s="901"/>
      <c r="K587" s="901"/>
      <c r="L587" s="901"/>
      <c r="M587" s="901"/>
      <c r="N587" s="901"/>
      <c r="O587" s="901"/>
      <c r="P587" s="901"/>
      <c r="Q587" s="908">
        <f t="shared" si="114"/>
        <v>0</v>
      </c>
      <c r="R587" s="906"/>
      <c r="S587" s="906"/>
    </row>
    <row r="588" ht="15" spans="3:19">
      <c r="C588" s="55" t="s">
        <v>207</v>
      </c>
      <c r="D588" s="55" t="s">
        <v>186</v>
      </c>
      <c r="E588" s="901"/>
      <c r="F588" s="901"/>
      <c r="G588" s="901"/>
      <c r="H588" s="901"/>
      <c r="I588" s="901"/>
      <c r="J588" s="901"/>
      <c r="K588" s="901"/>
      <c r="L588" s="901"/>
      <c r="M588" s="901"/>
      <c r="N588" s="901"/>
      <c r="O588" s="901"/>
      <c r="P588" s="901"/>
      <c r="Q588" s="908">
        <f t="shared" si="114"/>
        <v>0</v>
      </c>
      <c r="R588" s="906"/>
      <c r="S588" s="906"/>
    </row>
    <row r="589" ht="15" spans="3:19">
      <c r="C589" s="55" t="s">
        <v>208</v>
      </c>
      <c r="D589" s="55" t="s">
        <v>209</v>
      </c>
      <c r="E589" s="901"/>
      <c r="F589" s="901"/>
      <c r="G589" s="901"/>
      <c r="H589" s="901"/>
      <c r="I589" s="901"/>
      <c r="J589" s="901"/>
      <c r="K589" s="901"/>
      <c r="L589" s="901"/>
      <c r="M589" s="901"/>
      <c r="N589" s="901"/>
      <c r="O589" s="901"/>
      <c r="P589" s="901"/>
      <c r="Q589" s="908">
        <f t="shared" si="114"/>
        <v>0</v>
      </c>
      <c r="R589" s="906"/>
      <c r="S589" s="906"/>
    </row>
    <row r="590" ht="15" spans="3:19">
      <c r="C590" s="55" t="s">
        <v>210</v>
      </c>
      <c r="D590" s="55" t="s">
        <v>188</v>
      </c>
      <c r="E590" s="901"/>
      <c r="F590" s="901"/>
      <c r="G590" s="901"/>
      <c r="H590" s="901"/>
      <c r="I590" s="901"/>
      <c r="J590" s="901"/>
      <c r="K590" s="901"/>
      <c r="L590" s="901"/>
      <c r="M590" s="901"/>
      <c r="N590" s="901"/>
      <c r="O590" s="901"/>
      <c r="P590" s="901"/>
      <c r="Q590" s="908">
        <f t="shared" si="114"/>
        <v>0</v>
      </c>
      <c r="R590" s="906"/>
      <c r="S590" s="906"/>
    </row>
    <row r="591" ht="15" spans="3:19">
      <c r="C591" s="55"/>
      <c r="D591" s="55"/>
      <c r="E591" s="901"/>
      <c r="F591" s="901"/>
      <c r="G591" s="901"/>
      <c r="H591" s="901"/>
      <c r="I591" s="901"/>
      <c r="J591" s="901"/>
      <c r="K591" s="901"/>
      <c r="L591" s="901"/>
      <c r="M591" s="901"/>
      <c r="N591" s="901"/>
      <c r="O591" s="901"/>
      <c r="P591" s="901"/>
      <c r="Q591" s="908">
        <f t="shared" si="114"/>
        <v>0</v>
      </c>
      <c r="R591" s="906"/>
      <c r="S591" s="906"/>
    </row>
    <row r="592" ht="15" spans="3:19">
      <c r="C592" s="55"/>
      <c r="D592" s="55"/>
      <c r="E592" s="901"/>
      <c r="F592" s="901"/>
      <c r="G592" s="901"/>
      <c r="H592" s="901"/>
      <c r="I592" s="901"/>
      <c r="J592" s="901"/>
      <c r="K592" s="901"/>
      <c r="L592" s="901"/>
      <c r="M592" s="901"/>
      <c r="N592" s="901"/>
      <c r="O592" s="901"/>
      <c r="P592" s="901"/>
      <c r="Q592" s="908">
        <f t="shared" si="114"/>
        <v>0</v>
      </c>
      <c r="R592" s="906"/>
      <c r="S592" s="906"/>
    </row>
    <row r="593" ht="15" spans="3:19">
      <c r="C593" s="55"/>
      <c r="D593" s="55"/>
      <c r="E593" s="901"/>
      <c r="F593" s="901"/>
      <c r="G593" s="901"/>
      <c r="H593" s="901"/>
      <c r="I593" s="901"/>
      <c r="J593" s="901"/>
      <c r="K593" s="901"/>
      <c r="L593" s="901"/>
      <c r="M593" s="901"/>
      <c r="N593" s="901"/>
      <c r="O593" s="901"/>
      <c r="P593" s="901"/>
      <c r="Q593" s="908">
        <f t="shared" si="114"/>
        <v>0</v>
      </c>
      <c r="R593" s="906"/>
      <c r="S593" s="906"/>
    </row>
    <row r="594" ht="15" spans="3:19">
      <c r="C594" s="55" t="s">
        <v>258</v>
      </c>
      <c r="D594" s="55" t="s">
        <v>258</v>
      </c>
      <c r="E594" s="901"/>
      <c r="F594" s="901"/>
      <c r="G594" s="901"/>
      <c r="H594" s="901"/>
      <c r="I594" s="901"/>
      <c r="J594" s="901"/>
      <c r="K594" s="901"/>
      <c r="L594" s="901"/>
      <c r="M594" s="901"/>
      <c r="N594" s="901"/>
      <c r="O594" s="901"/>
      <c r="P594" s="901"/>
      <c r="Q594" s="908">
        <f t="shared" si="114"/>
        <v>0</v>
      </c>
      <c r="R594" s="906"/>
      <c r="S594" s="906"/>
    </row>
    <row r="595" ht="15" spans="3:19">
      <c r="C595" s="537" t="s">
        <v>211</v>
      </c>
      <c r="D595" s="540"/>
      <c r="E595" s="908">
        <f t="shared" ref="E595:P595" si="115">SUM(E578:E594)</f>
        <v>0</v>
      </c>
      <c r="F595" s="908">
        <f t="shared" si="115"/>
        <v>0</v>
      </c>
      <c r="G595" s="908">
        <f t="shared" si="115"/>
        <v>0</v>
      </c>
      <c r="H595" s="908">
        <f t="shared" si="115"/>
        <v>0</v>
      </c>
      <c r="I595" s="908">
        <f t="shared" si="115"/>
        <v>0</v>
      </c>
      <c r="J595" s="908">
        <f t="shared" si="115"/>
        <v>0</v>
      </c>
      <c r="K595" s="908">
        <f t="shared" si="115"/>
        <v>0</v>
      </c>
      <c r="L595" s="908">
        <f t="shared" si="115"/>
        <v>0</v>
      </c>
      <c r="M595" s="908">
        <f t="shared" si="115"/>
        <v>0</v>
      </c>
      <c r="N595" s="908">
        <f t="shared" si="115"/>
        <v>0</v>
      </c>
      <c r="O595" s="908">
        <f t="shared" si="115"/>
        <v>0</v>
      </c>
      <c r="P595" s="908">
        <f t="shared" si="115"/>
        <v>0</v>
      </c>
      <c r="Q595" s="908">
        <f t="shared" si="114"/>
        <v>0</v>
      </c>
      <c r="R595" s="906"/>
      <c r="S595" s="906"/>
    </row>
    <row r="596" ht="15" spans="3:19">
      <c r="C596" s="537" t="s">
        <v>223</v>
      </c>
      <c r="D596" s="540"/>
      <c r="E596" s="908">
        <f t="shared" ref="E596:P596" si="116">E595+E576+E559</f>
        <v>0</v>
      </c>
      <c r="F596" s="908">
        <f t="shared" si="116"/>
        <v>0</v>
      </c>
      <c r="G596" s="908">
        <f t="shared" si="116"/>
        <v>0</v>
      </c>
      <c r="H596" s="908">
        <f t="shared" si="116"/>
        <v>0</v>
      </c>
      <c r="I596" s="908">
        <f t="shared" si="116"/>
        <v>0</v>
      </c>
      <c r="J596" s="908">
        <f t="shared" si="116"/>
        <v>0</v>
      </c>
      <c r="K596" s="908">
        <f t="shared" si="116"/>
        <v>0</v>
      </c>
      <c r="L596" s="908">
        <f t="shared" si="116"/>
        <v>0</v>
      </c>
      <c r="M596" s="908">
        <f t="shared" si="116"/>
        <v>0</v>
      </c>
      <c r="N596" s="908">
        <f t="shared" si="116"/>
        <v>0</v>
      </c>
      <c r="O596" s="908">
        <f t="shared" si="116"/>
        <v>0</v>
      </c>
      <c r="P596" s="908">
        <f t="shared" si="116"/>
        <v>0</v>
      </c>
      <c r="Q596" s="908">
        <f t="shared" si="114"/>
        <v>0</v>
      </c>
      <c r="R596" s="906"/>
      <c r="S596" s="906"/>
    </row>
    <row r="597" ht="15" spans="3:19">
      <c r="C597" s="537" t="s">
        <v>224</v>
      </c>
      <c r="D597" s="540"/>
      <c r="E597" s="908">
        <f t="shared" ref="E597:P597" si="117">E596+E542</f>
        <v>0</v>
      </c>
      <c r="F597" s="908">
        <f t="shared" si="117"/>
        <v>0</v>
      </c>
      <c r="G597" s="908">
        <f t="shared" si="117"/>
        <v>0</v>
      </c>
      <c r="H597" s="908">
        <f t="shared" si="117"/>
        <v>0</v>
      </c>
      <c r="I597" s="908">
        <f t="shared" si="117"/>
        <v>0</v>
      </c>
      <c r="J597" s="908">
        <f t="shared" si="117"/>
        <v>0</v>
      </c>
      <c r="K597" s="908">
        <f t="shared" si="117"/>
        <v>0</v>
      </c>
      <c r="L597" s="908">
        <f t="shared" si="117"/>
        <v>0</v>
      </c>
      <c r="M597" s="908">
        <f t="shared" si="117"/>
        <v>0</v>
      </c>
      <c r="N597" s="908">
        <f t="shared" si="117"/>
        <v>0</v>
      </c>
      <c r="O597" s="908">
        <f t="shared" si="117"/>
        <v>0</v>
      </c>
      <c r="P597" s="908">
        <f t="shared" si="117"/>
        <v>0</v>
      </c>
      <c r="Q597" s="908">
        <f t="shared" si="114"/>
        <v>0</v>
      </c>
      <c r="R597" s="906"/>
      <c r="S597" s="906"/>
    </row>
    <row r="598" spans="5:19">
      <c r="E598" s="906"/>
      <c r="F598" s="906"/>
      <c r="G598" s="906"/>
      <c r="H598" s="906"/>
      <c r="I598" s="906"/>
      <c r="J598" s="906"/>
      <c r="K598" s="906"/>
      <c r="L598" s="906"/>
      <c r="M598" s="906"/>
      <c r="N598" s="906"/>
      <c r="O598" s="906"/>
      <c r="P598" s="906"/>
      <c r="Q598" s="906"/>
      <c r="R598" s="906"/>
      <c r="S598" s="906"/>
    </row>
    <row r="599" ht="15" spans="3:19">
      <c r="C599" s="14"/>
      <c r="E599" s="906"/>
      <c r="F599" s="906"/>
      <c r="G599" s="906"/>
      <c r="H599" s="906"/>
      <c r="I599" s="906"/>
      <c r="J599" s="906"/>
      <c r="K599" s="906"/>
      <c r="L599" s="906"/>
      <c r="M599" s="906"/>
      <c r="N599" s="906"/>
      <c r="O599" s="906"/>
      <c r="P599" s="906"/>
      <c r="Q599" s="909" t="s">
        <v>236</v>
      </c>
      <c r="R599" s="906"/>
      <c r="S599" s="906"/>
    </row>
    <row r="600" ht="15" spans="3:19">
      <c r="C600" s="6" t="s">
        <v>159</v>
      </c>
      <c r="D600" s="6"/>
      <c r="E600" s="907" t="s">
        <v>265</v>
      </c>
      <c r="F600" s="907"/>
      <c r="G600" s="907"/>
      <c r="H600" s="907"/>
      <c r="I600" s="907"/>
      <c r="J600" s="907"/>
      <c r="K600" s="907"/>
      <c r="L600" s="907"/>
      <c r="M600" s="907"/>
      <c r="N600" s="907"/>
      <c r="O600" s="907"/>
      <c r="P600" s="907"/>
      <c r="Q600" s="907"/>
      <c r="R600" s="906"/>
      <c r="S600" s="906"/>
    </row>
    <row r="601" ht="15" spans="3:19">
      <c r="C601" s="6"/>
      <c r="D601" s="6"/>
      <c r="E601" s="907" t="s">
        <v>246</v>
      </c>
      <c r="F601" s="907" t="s">
        <v>247</v>
      </c>
      <c r="G601" s="907" t="s">
        <v>248</v>
      </c>
      <c r="H601" s="907" t="s">
        <v>249</v>
      </c>
      <c r="I601" s="907" t="s">
        <v>250</v>
      </c>
      <c r="J601" s="907" t="s">
        <v>251</v>
      </c>
      <c r="K601" s="907" t="s">
        <v>252</v>
      </c>
      <c r="L601" s="907" t="s">
        <v>253</v>
      </c>
      <c r="M601" s="907" t="s">
        <v>254</v>
      </c>
      <c r="N601" s="907" t="s">
        <v>255</v>
      </c>
      <c r="O601" s="907" t="s">
        <v>256</v>
      </c>
      <c r="P601" s="907" t="s">
        <v>257</v>
      </c>
      <c r="Q601" s="907" t="s">
        <v>97</v>
      </c>
      <c r="R601" s="906"/>
      <c r="S601" s="906"/>
    </row>
    <row r="602" ht="15" spans="3:19">
      <c r="C602" s="44" t="s">
        <v>170</v>
      </c>
      <c r="D602" s="45"/>
      <c r="E602" s="901"/>
      <c r="F602" s="901"/>
      <c r="G602" s="901"/>
      <c r="H602" s="901"/>
      <c r="I602" s="901"/>
      <c r="J602" s="901"/>
      <c r="K602" s="901"/>
      <c r="L602" s="901"/>
      <c r="M602" s="901"/>
      <c r="N602" s="901"/>
      <c r="O602" s="901"/>
      <c r="P602" s="901"/>
      <c r="Q602" s="910"/>
      <c r="R602" s="906"/>
      <c r="S602" s="906"/>
    </row>
    <row r="603" ht="15" spans="3:19">
      <c r="C603" s="47" t="s">
        <v>171</v>
      </c>
      <c r="D603" s="47" t="s">
        <v>172</v>
      </c>
      <c r="E603" s="901"/>
      <c r="F603" s="901"/>
      <c r="G603" s="901"/>
      <c r="H603" s="901"/>
      <c r="I603" s="901"/>
      <c r="J603" s="901"/>
      <c r="K603" s="901"/>
      <c r="L603" s="901"/>
      <c r="M603" s="901"/>
      <c r="N603" s="901"/>
      <c r="O603" s="901"/>
      <c r="P603" s="901"/>
      <c r="Q603" s="908">
        <f t="shared" ref="Q603:Q616" si="118">SUM(E603:P603)</f>
        <v>0</v>
      </c>
      <c r="R603" s="906"/>
      <c r="S603" s="906"/>
    </row>
    <row r="604" ht="15" spans="3:19">
      <c r="C604" s="55" t="s">
        <v>173</v>
      </c>
      <c r="D604" s="55" t="s">
        <v>174</v>
      </c>
      <c r="E604" s="901"/>
      <c r="F604" s="901"/>
      <c r="G604" s="901"/>
      <c r="H604" s="901"/>
      <c r="I604" s="901"/>
      <c r="J604" s="901"/>
      <c r="K604" s="901"/>
      <c r="L604" s="901"/>
      <c r="M604" s="901"/>
      <c r="N604" s="901"/>
      <c r="O604" s="901"/>
      <c r="P604" s="901"/>
      <c r="Q604" s="908">
        <f t="shared" si="118"/>
        <v>0</v>
      </c>
      <c r="R604" s="906"/>
      <c r="S604" s="906"/>
    </row>
    <row r="605" ht="15" spans="3:19">
      <c r="C605" s="55" t="s">
        <v>175</v>
      </c>
      <c r="D605" s="55" t="s">
        <v>176</v>
      </c>
      <c r="E605" s="901"/>
      <c r="F605" s="901"/>
      <c r="G605" s="901"/>
      <c r="H605" s="901"/>
      <c r="I605" s="901"/>
      <c r="J605" s="901"/>
      <c r="K605" s="901"/>
      <c r="L605" s="901"/>
      <c r="M605" s="901"/>
      <c r="N605" s="901"/>
      <c r="O605" s="901"/>
      <c r="P605" s="901"/>
      <c r="Q605" s="908">
        <f t="shared" si="118"/>
        <v>0</v>
      </c>
      <c r="R605" s="906"/>
      <c r="S605" s="906"/>
    </row>
    <row r="606" ht="15" spans="3:19">
      <c r="C606" s="55" t="s">
        <v>177</v>
      </c>
      <c r="D606" s="55" t="s">
        <v>178</v>
      </c>
      <c r="E606" s="901"/>
      <c r="F606" s="901"/>
      <c r="G606" s="901"/>
      <c r="H606" s="901"/>
      <c r="I606" s="901"/>
      <c r="J606" s="901"/>
      <c r="K606" s="901"/>
      <c r="L606" s="901"/>
      <c r="M606" s="901"/>
      <c r="N606" s="901"/>
      <c r="O606" s="901"/>
      <c r="P606" s="901"/>
      <c r="Q606" s="908">
        <f t="shared" si="118"/>
        <v>0</v>
      </c>
      <c r="R606" s="906"/>
      <c r="S606" s="906"/>
    </row>
    <row r="607" ht="15" spans="3:19">
      <c r="C607" s="55" t="s">
        <v>179</v>
      </c>
      <c r="D607" s="55" t="s">
        <v>180</v>
      </c>
      <c r="E607" s="901"/>
      <c r="F607" s="901"/>
      <c r="G607" s="901"/>
      <c r="H607" s="901"/>
      <c r="I607" s="901"/>
      <c r="J607" s="901"/>
      <c r="K607" s="901"/>
      <c r="L607" s="901"/>
      <c r="M607" s="901"/>
      <c r="N607" s="901"/>
      <c r="O607" s="901"/>
      <c r="P607" s="901"/>
      <c r="Q607" s="908">
        <f t="shared" si="118"/>
        <v>0</v>
      </c>
      <c r="R607" s="906"/>
      <c r="S607" s="906"/>
    </row>
    <row r="608" ht="15" spans="3:19">
      <c r="C608" s="55" t="s">
        <v>181</v>
      </c>
      <c r="D608" s="55" t="s">
        <v>182</v>
      </c>
      <c r="E608" s="901"/>
      <c r="F608" s="901"/>
      <c r="G608" s="901"/>
      <c r="H608" s="901"/>
      <c r="I608" s="901"/>
      <c r="J608" s="901"/>
      <c r="K608" s="901"/>
      <c r="L608" s="901"/>
      <c r="M608" s="901"/>
      <c r="N608" s="901"/>
      <c r="O608" s="901"/>
      <c r="P608" s="901"/>
      <c r="Q608" s="908">
        <f t="shared" si="118"/>
        <v>0</v>
      </c>
      <c r="R608" s="906"/>
      <c r="S608" s="906"/>
    </row>
    <row r="609" ht="15" spans="3:19">
      <c r="C609" s="55" t="s">
        <v>183</v>
      </c>
      <c r="D609" s="55" t="s">
        <v>184</v>
      </c>
      <c r="E609" s="901"/>
      <c r="F609" s="901"/>
      <c r="G609" s="901"/>
      <c r="H609" s="901"/>
      <c r="I609" s="901"/>
      <c r="J609" s="901"/>
      <c r="K609" s="901"/>
      <c r="L609" s="901"/>
      <c r="M609" s="901"/>
      <c r="N609" s="901"/>
      <c r="O609" s="901"/>
      <c r="P609" s="901"/>
      <c r="Q609" s="908">
        <f t="shared" si="118"/>
        <v>0</v>
      </c>
      <c r="R609" s="906"/>
      <c r="S609" s="906"/>
    </row>
    <row r="610" ht="15" spans="3:19">
      <c r="C610" s="55" t="s">
        <v>185</v>
      </c>
      <c r="D610" s="55" t="s">
        <v>186</v>
      </c>
      <c r="E610" s="901"/>
      <c r="F610" s="901"/>
      <c r="G610" s="901"/>
      <c r="H610" s="901"/>
      <c r="I610" s="901"/>
      <c r="J610" s="901"/>
      <c r="K610" s="901"/>
      <c r="L610" s="901"/>
      <c r="M610" s="901"/>
      <c r="N610" s="901"/>
      <c r="O610" s="901"/>
      <c r="P610" s="901"/>
      <c r="Q610" s="908">
        <f t="shared" si="118"/>
        <v>0</v>
      </c>
      <c r="R610" s="906"/>
      <c r="S610" s="906"/>
    </row>
    <row r="611" ht="15" spans="3:19">
      <c r="C611" s="55" t="s">
        <v>187</v>
      </c>
      <c r="D611" s="55" t="s">
        <v>188</v>
      </c>
      <c r="E611" s="901"/>
      <c r="F611" s="901"/>
      <c r="G611" s="901"/>
      <c r="H611" s="901"/>
      <c r="I611" s="901"/>
      <c r="J611" s="901"/>
      <c r="K611" s="901"/>
      <c r="L611" s="901"/>
      <c r="M611" s="901"/>
      <c r="N611" s="901"/>
      <c r="O611" s="901"/>
      <c r="P611" s="901"/>
      <c r="Q611" s="908">
        <f t="shared" si="118"/>
        <v>0</v>
      </c>
      <c r="R611" s="906"/>
      <c r="S611" s="906"/>
    </row>
    <row r="612" ht="15" spans="3:19">
      <c r="C612" s="55"/>
      <c r="D612" s="55"/>
      <c r="E612" s="901"/>
      <c r="F612" s="901"/>
      <c r="G612" s="901"/>
      <c r="H612" s="901"/>
      <c r="I612" s="901"/>
      <c r="J612" s="901"/>
      <c r="K612" s="901"/>
      <c r="L612" s="901"/>
      <c r="M612" s="901"/>
      <c r="N612" s="901"/>
      <c r="O612" s="901"/>
      <c r="P612" s="901"/>
      <c r="Q612" s="908">
        <f t="shared" si="118"/>
        <v>0</v>
      </c>
      <c r="R612" s="906"/>
      <c r="S612" s="906"/>
    </row>
    <row r="613" ht="15" spans="3:19">
      <c r="C613" s="55"/>
      <c r="D613" s="55"/>
      <c r="E613" s="901"/>
      <c r="F613" s="901"/>
      <c r="G613" s="901"/>
      <c r="H613" s="901"/>
      <c r="I613" s="901"/>
      <c r="J613" s="901"/>
      <c r="K613" s="901"/>
      <c r="L613" s="901"/>
      <c r="M613" s="901"/>
      <c r="N613" s="901"/>
      <c r="O613" s="901"/>
      <c r="P613" s="901"/>
      <c r="Q613" s="908">
        <f t="shared" si="118"/>
        <v>0</v>
      </c>
      <c r="R613" s="906"/>
      <c r="S613" s="906"/>
    </row>
    <row r="614" ht="15" spans="3:19">
      <c r="C614" s="55"/>
      <c r="D614" s="55"/>
      <c r="E614" s="901"/>
      <c r="F614" s="901"/>
      <c r="G614" s="901"/>
      <c r="H614" s="901"/>
      <c r="I614" s="901"/>
      <c r="J614" s="901"/>
      <c r="K614" s="901"/>
      <c r="L614" s="901"/>
      <c r="M614" s="901"/>
      <c r="N614" s="901"/>
      <c r="O614" s="901"/>
      <c r="P614" s="901"/>
      <c r="Q614" s="908">
        <f t="shared" si="118"/>
        <v>0</v>
      </c>
      <c r="R614" s="906"/>
      <c r="S614" s="906"/>
    </row>
    <row r="615" ht="15" spans="3:19">
      <c r="C615" s="55" t="s">
        <v>258</v>
      </c>
      <c r="D615" s="55" t="s">
        <v>258</v>
      </c>
      <c r="E615" s="901"/>
      <c r="F615" s="901"/>
      <c r="G615" s="901"/>
      <c r="H615" s="901"/>
      <c r="I615" s="901"/>
      <c r="J615" s="901"/>
      <c r="K615" s="901"/>
      <c r="L615" s="901"/>
      <c r="M615" s="901"/>
      <c r="N615" s="901"/>
      <c r="O615" s="901"/>
      <c r="P615" s="901"/>
      <c r="Q615" s="908">
        <f t="shared" si="118"/>
        <v>0</v>
      </c>
      <c r="R615" s="906"/>
      <c r="S615" s="906"/>
    </row>
    <row r="616" ht="15" spans="3:19">
      <c r="C616" s="537" t="s">
        <v>189</v>
      </c>
      <c r="D616" s="540"/>
      <c r="E616" s="908">
        <f t="shared" ref="E616:P616" si="119">SUM(E603:E615)</f>
        <v>0</v>
      </c>
      <c r="F616" s="908">
        <f t="shared" si="119"/>
        <v>0</v>
      </c>
      <c r="G616" s="908">
        <f t="shared" si="119"/>
        <v>0</v>
      </c>
      <c r="H616" s="908">
        <f t="shared" si="119"/>
        <v>0</v>
      </c>
      <c r="I616" s="908">
        <f t="shared" si="119"/>
        <v>0</v>
      </c>
      <c r="J616" s="908">
        <f t="shared" si="119"/>
        <v>0</v>
      </c>
      <c r="K616" s="908">
        <f t="shared" si="119"/>
        <v>0</v>
      </c>
      <c r="L616" s="908">
        <f t="shared" si="119"/>
        <v>0</v>
      </c>
      <c r="M616" s="908">
        <f t="shared" si="119"/>
        <v>0</v>
      </c>
      <c r="N616" s="908">
        <f t="shared" si="119"/>
        <v>0</v>
      </c>
      <c r="O616" s="908">
        <f t="shared" si="119"/>
        <v>0</v>
      </c>
      <c r="P616" s="908">
        <f t="shared" si="119"/>
        <v>0</v>
      </c>
      <c r="Q616" s="908">
        <f t="shared" si="118"/>
        <v>0</v>
      </c>
      <c r="R616" s="906"/>
      <c r="S616" s="906"/>
    </row>
    <row r="617" ht="15" spans="3:19">
      <c r="C617" s="44" t="s">
        <v>190</v>
      </c>
      <c r="D617" s="45"/>
      <c r="E617" s="901"/>
      <c r="F617" s="901"/>
      <c r="G617" s="901"/>
      <c r="H617" s="901"/>
      <c r="I617" s="901"/>
      <c r="J617" s="901"/>
      <c r="K617" s="901"/>
      <c r="L617" s="901"/>
      <c r="M617" s="901"/>
      <c r="N617" s="901"/>
      <c r="O617" s="901"/>
      <c r="P617" s="901"/>
      <c r="Q617" s="910"/>
      <c r="R617" s="906"/>
      <c r="S617" s="906"/>
    </row>
    <row r="618" ht="15" spans="3:19">
      <c r="C618" s="55" t="s">
        <v>191</v>
      </c>
      <c r="D618" s="55" t="s">
        <v>192</v>
      </c>
      <c r="E618" s="901"/>
      <c r="F618" s="901"/>
      <c r="G618" s="901"/>
      <c r="H618" s="901"/>
      <c r="I618" s="901"/>
      <c r="J618" s="901"/>
      <c r="K618" s="901"/>
      <c r="L618" s="901"/>
      <c r="M618" s="901"/>
      <c r="N618" s="901"/>
      <c r="O618" s="901"/>
      <c r="P618" s="901"/>
      <c r="Q618" s="908">
        <f t="shared" ref="Q618:Q633" si="120">SUM(E618:P618)</f>
        <v>0</v>
      </c>
      <c r="R618" s="906"/>
      <c r="S618" s="906"/>
    </row>
    <row r="619" ht="15" spans="3:19">
      <c r="C619" s="55" t="s">
        <v>193</v>
      </c>
      <c r="D619" s="55" t="s">
        <v>194</v>
      </c>
      <c r="E619" s="901"/>
      <c r="F619" s="901"/>
      <c r="G619" s="901"/>
      <c r="H619" s="901"/>
      <c r="I619" s="901"/>
      <c r="J619" s="901"/>
      <c r="K619" s="901"/>
      <c r="L619" s="901"/>
      <c r="M619" s="901"/>
      <c r="N619" s="901"/>
      <c r="O619" s="901"/>
      <c r="P619" s="901"/>
      <c r="Q619" s="908">
        <f t="shared" si="120"/>
        <v>0</v>
      </c>
      <c r="R619" s="906"/>
      <c r="S619" s="906"/>
    </row>
    <row r="620" ht="15" spans="3:19">
      <c r="C620" s="55" t="s">
        <v>239</v>
      </c>
      <c r="D620" s="55" t="s">
        <v>196</v>
      </c>
      <c r="E620" s="901"/>
      <c r="F620" s="901"/>
      <c r="G620" s="901"/>
      <c r="H620" s="901"/>
      <c r="I620" s="901"/>
      <c r="J620" s="901"/>
      <c r="K620" s="901"/>
      <c r="L620" s="901"/>
      <c r="M620" s="901"/>
      <c r="N620" s="901"/>
      <c r="O620" s="901"/>
      <c r="P620" s="901"/>
      <c r="Q620" s="908">
        <f t="shared" si="120"/>
        <v>0</v>
      </c>
      <c r="R620" s="906"/>
      <c r="S620" s="906"/>
    </row>
    <row r="621" ht="15" spans="3:19">
      <c r="C621" s="55" t="s">
        <v>197</v>
      </c>
      <c r="D621" s="55" t="s">
        <v>198</v>
      </c>
      <c r="E621" s="901"/>
      <c r="F621" s="901"/>
      <c r="G621" s="901"/>
      <c r="H621" s="901"/>
      <c r="I621" s="901"/>
      <c r="J621" s="901"/>
      <c r="K621" s="901"/>
      <c r="L621" s="901"/>
      <c r="M621" s="901"/>
      <c r="N621" s="901"/>
      <c r="O621" s="901"/>
      <c r="P621" s="901"/>
      <c r="Q621" s="908">
        <f t="shared" si="120"/>
        <v>0</v>
      </c>
      <c r="R621" s="906"/>
      <c r="S621" s="906"/>
    </row>
    <row r="622" ht="15" spans="3:19">
      <c r="C622" s="55" t="s">
        <v>199</v>
      </c>
      <c r="D622" s="55" t="s">
        <v>200</v>
      </c>
      <c r="E622" s="901"/>
      <c r="F622" s="901"/>
      <c r="G622" s="901"/>
      <c r="H622" s="901"/>
      <c r="I622" s="901"/>
      <c r="J622" s="901"/>
      <c r="K622" s="901"/>
      <c r="L622" s="901"/>
      <c r="M622" s="901"/>
      <c r="N622" s="901"/>
      <c r="O622" s="901"/>
      <c r="P622" s="901"/>
      <c r="Q622" s="908">
        <f t="shared" si="120"/>
        <v>0</v>
      </c>
      <c r="R622" s="906"/>
      <c r="S622" s="906"/>
    </row>
    <row r="623" ht="15" spans="3:19">
      <c r="C623" s="55" t="s">
        <v>201</v>
      </c>
      <c r="D623" s="55" t="s">
        <v>202</v>
      </c>
      <c r="E623" s="901"/>
      <c r="F623" s="901"/>
      <c r="G623" s="901"/>
      <c r="H623" s="901"/>
      <c r="I623" s="901"/>
      <c r="J623" s="901"/>
      <c r="K623" s="901"/>
      <c r="L623" s="901"/>
      <c r="M623" s="901"/>
      <c r="N623" s="901"/>
      <c r="O623" s="901"/>
      <c r="P623" s="901"/>
      <c r="Q623" s="908">
        <f t="shared" si="120"/>
        <v>0</v>
      </c>
      <c r="R623" s="906"/>
      <c r="S623" s="906"/>
    </row>
    <row r="624" ht="15" spans="3:19">
      <c r="C624" s="55" t="s">
        <v>203</v>
      </c>
      <c r="D624" s="55" t="s">
        <v>204</v>
      </c>
      <c r="E624" s="901"/>
      <c r="F624" s="901"/>
      <c r="G624" s="901"/>
      <c r="H624" s="901"/>
      <c r="I624" s="901"/>
      <c r="J624" s="901"/>
      <c r="K624" s="901"/>
      <c r="L624" s="901"/>
      <c r="M624" s="901"/>
      <c r="N624" s="901"/>
      <c r="O624" s="901"/>
      <c r="P624" s="901"/>
      <c r="Q624" s="908">
        <f t="shared" si="120"/>
        <v>0</v>
      </c>
      <c r="R624" s="906"/>
      <c r="S624" s="906"/>
    </row>
    <row r="625" ht="15" spans="3:19">
      <c r="C625" s="55" t="s">
        <v>205</v>
      </c>
      <c r="D625" s="55" t="s">
        <v>206</v>
      </c>
      <c r="E625" s="901"/>
      <c r="F625" s="901"/>
      <c r="G625" s="901"/>
      <c r="H625" s="901"/>
      <c r="I625" s="901"/>
      <c r="J625" s="901"/>
      <c r="K625" s="901"/>
      <c r="L625" s="901"/>
      <c r="M625" s="901"/>
      <c r="N625" s="901"/>
      <c r="O625" s="901"/>
      <c r="P625" s="901"/>
      <c r="Q625" s="908">
        <f t="shared" si="120"/>
        <v>0</v>
      </c>
      <c r="R625" s="906"/>
      <c r="S625" s="906"/>
    </row>
    <row r="626" ht="15" spans="3:19">
      <c r="C626" s="55" t="s">
        <v>207</v>
      </c>
      <c r="D626" s="55" t="s">
        <v>186</v>
      </c>
      <c r="E626" s="901"/>
      <c r="F626" s="901"/>
      <c r="G626" s="901"/>
      <c r="H626" s="901"/>
      <c r="I626" s="901"/>
      <c r="J626" s="901"/>
      <c r="K626" s="901"/>
      <c r="L626" s="901"/>
      <c r="M626" s="901"/>
      <c r="N626" s="901"/>
      <c r="O626" s="901"/>
      <c r="P626" s="901"/>
      <c r="Q626" s="908">
        <f t="shared" si="120"/>
        <v>0</v>
      </c>
      <c r="R626" s="906"/>
      <c r="S626" s="906"/>
    </row>
    <row r="627" ht="15" spans="3:19">
      <c r="C627" s="55" t="s">
        <v>208</v>
      </c>
      <c r="D627" s="55" t="s">
        <v>209</v>
      </c>
      <c r="E627" s="901"/>
      <c r="F627" s="901"/>
      <c r="G627" s="901"/>
      <c r="H627" s="901"/>
      <c r="I627" s="901"/>
      <c r="J627" s="901"/>
      <c r="K627" s="901"/>
      <c r="L627" s="901"/>
      <c r="M627" s="901"/>
      <c r="N627" s="901"/>
      <c r="O627" s="901"/>
      <c r="P627" s="901"/>
      <c r="Q627" s="908">
        <f t="shared" si="120"/>
        <v>0</v>
      </c>
      <c r="R627" s="906"/>
      <c r="S627" s="906"/>
    </row>
    <row r="628" ht="15" spans="3:19">
      <c r="C628" s="55" t="s">
        <v>210</v>
      </c>
      <c r="D628" s="55" t="s">
        <v>188</v>
      </c>
      <c r="E628" s="901"/>
      <c r="F628" s="901"/>
      <c r="G628" s="901"/>
      <c r="H628" s="901"/>
      <c r="I628" s="901"/>
      <c r="J628" s="901"/>
      <c r="K628" s="901"/>
      <c r="L628" s="901"/>
      <c r="M628" s="901"/>
      <c r="N628" s="901"/>
      <c r="O628" s="901"/>
      <c r="P628" s="901"/>
      <c r="Q628" s="908">
        <f t="shared" si="120"/>
        <v>0</v>
      </c>
      <c r="R628" s="906"/>
      <c r="S628" s="906"/>
    </row>
    <row r="629" ht="15" spans="3:19">
      <c r="C629" s="55"/>
      <c r="D629" s="55"/>
      <c r="E629" s="901"/>
      <c r="F629" s="901"/>
      <c r="G629" s="901"/>
      <c r="H629" s="901"/>
      <c r="I629" s="901"/>
      <c r="J629" s="901"/>
      <c r="K629" s="901"/>
      <c r="L629" s="901"/>
      <c r="M629" s="901"/>
      <c r="N629" s="901"/>
      <c r="O629" s="901"/>
      <c r="P629" s="901"/>
      <c r="Q629" s="908">
        <f t="shared" si="120"/>
        <v>0</v>
      </c>
      <c r="R629" s="906"/>
      <c r="S629" s="906"/>
    </row>
    <row r="630" ht="15" spans="3:19">
      <c r="C630" s="55"/>
      <c r="D630" s="55"/>
      <c r="E630" s="901"/>
      <c r="F630" s="901"/>
      <c r="G630" s="901"/>
      <c r="H630" s="901"/>
      <c r="I630" s="901"/>
      <c r="J630" s="901"/>
      <c r="K630" s="901"/>
      <c r="L630" s="901"/>
      <c r="M630" s="901"/>
      <c r="N630" s="901"/>
      <c r="O630" s="901"/>
      <c r="P630" s="901"/>
      <c r="Q630" s="908">
        <f t="shared" si="120"/>
        <v>0</v>
      </c>
      <c r="R630" s="906"/>
      <c r="S630" s="906"/>
    </row>
    <row r="631" ht="15" spans="3:19">
      <c r="C631" s="55"/>
      <c r="D631" s="55"/>
      <c r="E631" s="901"/>
      <c r="F631" s="901"/>
      <c r="G631" s="901"/>
      <c r="H631" s="901"/>
      <c r="I631" s="901"/>
      <c r="J631" s="901"/>
      <c r="K631" s="901"/>
      <c r="L631" s="901"/>
      <c r="M631" s="901"/>
      <c r="N631" s="901"/>
      <c r="O631" s="901"/>
      <c r="P631" s="901"/>
      <c r="Q631" s="908">
        <f t="shared" si="120"/>
        <v>0</v>
      </c>
      <c r="R631" s="906"/>
      <c r="S631" s="906"/>
    </row>
    <row r="632" ht="15" spans="3:19">
      <c r="C632" s="55" t="s">
        <v>258</v>
      </c>
      <c r="D632" s="55" t="s">
        <v>258</v>
      </c>
      <c r="E632" s="901"/>
      <c r="F632" s="901"/>
      <c r="G632" s="901"/>
      <c r="H632" s="901"/>
      <c r="I632" s="901"/>
      <c r="J632" s="901"/>
      <c r="K632" s="901"/>
      <c r="L632" s="901"/>
      <c r="M632" s="901"/>
      <c r="N632" s="901"/>
      <c r="O632" s="901"/>
      <c r="P632" s="901"/>
      <c r="Q632" s="908">
        <f t="shared" si="120"/>
        <v>0</v>
      </c>
      <c r="R632" s="906"/>
      <c r="S632" s="906"/>
    </row>
    <row r="633" ht="15" spans="3:19">
      <c r="C633" s="537" t="s">
        <v>211</v>
      </c>
      <c r="D633" s="540"/>
      <c r="E633" s="908">
        <f t="shared" ref="E633:P633" si="121">SUM(E618:E632)</f>
        <v>0</v>
      </c>
      <c r="F633" s="908">
        <f t="shared" si="121"/>
        <v>0</v>
      </c>
      <c r="G633" s="908">
        <f t="shared" si="121"/>
        <v>0</v>
      </c>
      <c r="H633" s="908">
        <f t="shared" si="121"/>
        <v>0</v>
      </c>
      <c r="I633" s="908">
        <f t="shared" si="121"/>
        <v>0</v>
      </c>
      <c r="J633" s="908">
        <f t="shared" si="121"/>
        <v>0</v>
      </c>
      <c r="K633" s="908">
        <f t="shared" si="121"/>
        <v>0</v>
      </c>
      <c r="L633" s="908">
        <f t="shared" si="121"/>
        <v>0</v>
      </c>
      <c r="M633" s="908">
        <f t="shared" si="121"/>
        <v>0</v>
      </c>
      <c r="N633" s="908">
        <f t="shared" si="121"/>
        <v>0</v>
      </c>
      <c r="O633" s="908">
        <f t="shared" si="121"/>
        <v>0</v>
      </c>
      <c r="P633" s="908">
        <f t="shared" si="121"/>
        <v>0</v>
      </c>
      <c r="Q633" s="908">
        <f t="shared" si="120"/>
        <v>0</v>
      </c>
      <c r="R633" s="906"/>
      <c r="S633" s="906"/>
    </row>
    <row r="634" ht="15" spans="3:19">
      <c r="C634" s="44" t="s">
        <v>212</v>
      </c>
      <c r="D634" s="45"/>
      <c r="E634" s="901"/>
      <c r="F634" s="901"/>
      <c r="G634" s="901"/>
      <c r="H634" s="901"/>
      <c r="I634" s="901"/>
      <c r="J634" s="901"/>
      <c r="K634" s="901"/>
      <c r="L634" s="901"/>
      <c r="M634" s="901"/>
      <c r="N634" s="901"/>
      <c r="O634" s="901"/>
      <c r="P634" s="901"/>
      <c r="Q634" s="910"/>
      <c r="R634" s="906"/>
      <c r="S634" s="906"/>
    </row>
    <row r="635" ht="15" spans="3:19">
      <c r="C635" s="55" t="s">
        <v>191</v>
      </c>
      <c r="D635" s="55" t="s">
        <v>192</v>
      </c>
      <c r="E635" s="901"/>
      <c r="F635" s="901"/>
      <c r="G635" s="901"/>
      <c r="H635" s="901"/>
      <c r="I635" s="901"/>
      <c r="J635" s="901"/>
      <c r="K635" s="901"/>
      <c r="L635" s="901"/>
      <c r="M635" s="901"/>
      <c r="N635" s="901"/>
      <c r="O635" s="901"/>
      <c r="P635" s="901"/>
      <c r="Q635" s="908">
        <f t="shared" ref="Q635:Q650" si="122">SUM(E635:P635)</f>
        <v>0</v>
      </c>
      <c r="R635" s="906"/>
      <c r="S635" s="906"/>
    </row>
    <row r="636" ht="15" spans="3:19">
      <c r="C636" s="55" t="s">
        <v>193</v>
      </c>
      <c r="D636" s="55" t="s">
        <v>194</v>
      </c>
      <c r="E636" s="901"/>
      <c r="F636" s="901"/>
      <c r="G636" s="901"/>
      <c r="H636" s="901"/>
      <c r="I636" s="901"/>
      <c r="J636" s="901"/>
      <c r="K636" s="901"/>
      <c r="L636" s="901"/>
      <c r="M636" s="901"/>
      <c r="N636" s="901"/>
      <c r="O636" s="901"/>
      <c r="P636" s="901"/>
      <c r="Q636" s="908">
        <f t="shared" si="122"/>
        <v>0</v>
      </c>
      <c r="R636" s="906"/>
      <c r="S636" s="906"/>
    </row>
    <row r="637" ht="15" spans="3:19">
      <c r="C637" s="55" t="s">
        <v>239</v>
      </c>
      <c r="D637" s="55" t="s">
        <v>196</v>
      </c>
      <c r="E637" s="901"/>
      <c r="F637" s="901"/>
      <c r="G637" s="901"/>
      <c r="H637" s="901"/>
      <c r="I637" s="901"/>
      <c r="J637" s="901"/>
      <c r="K637" s="901"/>
      <c r="L637" s="901"/>
      <c r="M637" s="901"/>
      <c r="N637" s="901"/>
      <c r="O637" s="901"/>
      <c r="P637" s="901"/>
      <c r="Q637" s="908">
        <f t="shared" si="122"/>
        <v>0</v>
      </c>
      <c r="R637" s="906"/>
      <c r="S637" s="906"/>
    </row>
    <row r="638" ht="15" spans="3:19">
      <c r="C638" s="55" t="s">
        <v>197</v>
      </c>
      <c r="D638" s="55" t="s">
        <v>198</v>
      </c>
      <c r="E638" s="901"/>
      <c r="F638" s="901"/>
      <c r="G638" s="901"/>
      <c r="H638" s="901"/>
      <c r="I638" s="901"/>
      <c r="J638" s="901"/>
      <c r="K638" s="901"/>
      <c r="L638" s="901"/>
      <c r="M638" s="901"/>
      <c r="N638" s="901"/>
      <c r="O638" s="901"/>
      <c r="P638" s="901"/>
      <c r="Q638" s="908">
        <f t="shared" si="122"/>
        <v>0</v>
      </c>
      <c r="R638" s="906"/>
      <c r="S638" s="906"/>
    </row>
    <row r="639" ht="15" spans="3:19">
      <c r="C639" s="55" t="s">
        <v>199</v>
      </c>
      <c r="D639" s="55" t="s">
        <v>200</v>
      </c>
      <c r="E639" s="901"/>
      <c r="F639" s="901"/>
      <c r="G639" s="901"/>
      <c r="H639" s="901"/>
      <c r="I639" s="901"/>
      <c r="J639" s="901"/>
      <c r="K639" s="901"/>
      <c r="L639" s="901"/>
      <c r="M639" s="901"/>
      <c r="N639" s="901"/>
      <c r="O639" s="901"/>
      <c r="P639" s="901"/>
      <c r="Q639" s="908">
        <f t="shared" si="122"/>
        <v>0</v>
      </c>
      <c r="R639" s="906"/>
      <c r="S639" s="906"/>
    </row>
    <row r="640" ht="15" spans="3:19">
      <c r="C640" s="55" t="s">
        <v>201</v>
      </c>
      <c r="D640" s="55" t="s">
        <v>202</v>
      </c>
      <c r="E640" s="901"/>
      <c r="F640" s="901"/>
      <c r="G640" s="901"/>
      <c r="H640" s="901"/>
      <c r="I640" s="901"/>
      <c r="J640" s="901"/>
      <c r="K640" s="901"/>
      <c r="L640" s="901"/>
      <c r="M640" s="901"/>
      <c r="N640" s="901"/>
      <c r="O640" s="901"/>
      <c r="P640" s="901"/>
      <c r="Q640" s="908">
        <f t="shared" si="122"/>
        <v>0</v>
      </c>
      <c r="R640" s="906"/>
      <c r="S640" s="906"/>
    </row>
    <row r="641" ht="15" spans="3:19">
      <c r="C641" s="55" t="s">
        <v>203</v>
      </c>
      <c r="D641" s="55" t="s">
        <v>204</v>
      </c>
      <c r="E641" s="901"/>
      <c r="F641" s="901"/>
      <c r="G641" s="901"/>
      <c r="H641" s="901"/>
      <c r="I641" s="901"/>
      <c r="J641" s="901"/>
      <c r="K641" s="901"/>
      <c r="L641" s="901"/>
      <c r="M641" s="901"/>
      <c r="N641" s="901"/>
      <c r="O641" s="901"/>
      <c r="P641" s="901"/>
      <c r="Q641" s="908">
        <f t="shared" si="122"/>
        <v>0</v>
      </c>
      <c r="R641" s="906"/>
      <c r="S641" s="906"/>
    </row>
    <row r="642" ht="15" spans="3:19">
      <c r="C642" s="55" t="s">
        <v>205</v>
      </c>
      <c r="D642" s="55" t="s">
        <v>206</v>
      </c>
      <c r="E642" s="901"/>
      <c r="F642" s="901"/>
      <c r="G642" s="901"/>
      <c r="H642" s="901"/>
      <c r="I642" s="901"/>
      <c r="J642" s="901"/>
      <c r="K642" s="901"/>
      <c r="L642" s="901"/>
      <c r="M642" s="901"/>
      <c r="N642" s="901"/>
      <c r="O642" s="901"/>
      <c r="P642" s="901"/>
      <c r="Q642" s="908">
        <f t="shared" si="122"/>
        <v>0</v>
      </c>
      <c r="R642" s="906"/>
      <c r="S642" s="906"/>
    </row>
    <row r="643" ht="15" spans="3:19">
      <c r="C643" s="55" t="s">
        <v>231</v>
      </c>
      <c r="D643" s="55" t="s">
        <v>186</v>
      </c>
      <c r="E643" s="901"/>
      <c r="F643" s="901"/>
      <c r="G643" s="901"/>
      <c r="H643" s="901"/>
      <c r="I643" s="901"/>
      <c r="J643" s="901"/>
      <c r="K643" s="901"/>
      <c r="L643" s="901"/>
      <c r="M643" s="901"/>
      <c r="N643" s="901"/>
      <c r="O643" s="901"/>
      <c r="P643" s="901"/>
      <c r="Q643" s="908">
        <f t="shared" si="122"/>
        <v>0</v>
      </c>
      <c r="R643" s="906"/>
      <c r="S643" s="906"/>
    </row>
    <row r="644" ht="15" spans="3:19">
      <c r="C644" s="55" t="s">
        <v>208</v>
      </c>
      <c r="D644" s="55" t="s">
        <v>209</v>
      </c>
      <c r="E644" s="901"/>
      <c r="F644" s="901"/>
      <c r="G644" s="901"/>
      <c r="H644" s="901"/>
      <c r="I644" s="901"/>
      <c r="J644" s="901"/>
      <c r="K644" s="901"/>
      <c r="L644" s="901"/>
      <c r="M644" s="901"/>
      <c r="N644" s="901"/>
      <c r="O644" s="901"/>
      <c r="P644" s="901"/>
      <c r="Q644" s="908">
        <f t="shared" si="122"/>
        <v>0</v>
      </c>
      <c r="R644" s="906"/>
      <c r="S644" s="906"/>
    </row>
    <row r="645" ht="15" spans="3:19">
      <c r="C645" s="55" t="s">
        <v>210</v>
      </c>
      <c r="D645" s="55" t="s">
        <v>188</v>
      </c>
      <c r="E645" s="901"/>
      <c r="F645" s="901"/>
      <c r="G645" s="901"/>
      <c r="H645" s="901"/>
      <c r="I645" s="901"/>
      <c r="J645" s="901"/>
      <c r="K645" s="901"/>
      <c r="L645" s="901"/>
      <c r="M645" s="901"/>
      <c r="N645" s="901"/>
      <c r="O645" s="901"/>
      <c r="P645" s="901"/>
      <c r="Q645" s="908">
        <f t="shared" si="122"/>
        <v>0</v>
      </c>
      <c r="R645" s="906"/>
      <c r="S645" s="906"/>
    </row>
    <row r="646" ht="15" spans="3:19">
      <c r="C646" s="55"/>
      <c r="D646" s="55"/>
      <c r="E646" s="901"/>
      <c r="F646" s="901"/>
      <c r="G646" s="901"/>
      <c r="H646" s="901"/>
      <c r="I646" s="901"/>
      <c r="J646" s="901"/>
      <c r="K646" s="901"/>
      <c r="L646" s="901"/>
      <c r="M646" s="901"/>
      <c r="N646" s="901"/>
      <c r="O646" s="901"/>
      <c r="P646" s="901"/>
      <c r="Q646" s="908">
        <f t="shared" si="122"/>
        <v>0</v>
      </c>
      <c r="R646" s="906"/>
      <c r="S646" s="906"/>
    </row>
    <row r="647" ht="15" spans="3:19">
      <c r="C647" s="55"/>
      <c r="D647" s="55"/>
      <c r="E647" s="901"/>
      <c r="F647" s="901"/>
      <c r="G647" s="901"/>
      <c r="H647" s="901"/>
      <c r="I647" s="901"/>
      <c r="J647" s="901"/>
      <c r="K647" s="901"/>
      <c r="L647" s="901"/>
      <c r="M647" s="901"/>
      <c r="N647" s="901"/>
      <c r="O647" s="901"/>
      <c r="P647" s="901"/>
      <c r="Q647" s="908">
        <f t="shared" si="122"/>
        <v>0</v>
      </c>
      <c r="R647" s="906"/>
      <c r="S647" s="906"/>
    </row>
    <row r="648" ht="15" spans="3:19">
      <c r="C648" s="55"/>
      <c r="D648" s="55"/>
      <c r="E648" s="901"/>
      <c r="F648" s="901"/>
      <c r="G648" s="901"/>
      <c r="H648" s="901"/>
      <c r="I648" s="901"/>
      <c r="J648" s="901"/>
      <c r="K648" s="901"/>
      <c r="L648" s="901"/>
      <c r="M648" s="901"/>
      <c r="N648" s="901"/>
      <c r="O648" s="901"/>
      <c r="P648" s="901"/>
      <c r="Q648" s="908">
        <f t="shared" si="122"/>
        <v>0</v>
      </c>
      <c r="R648" s="906"/>
      <c r="S648" s="906"/>
    </row>
    <row r="649" ht="15" spans="3:19">
      <c r="C649" s="55" t="s">
        <v>258</v>
      </c>
      <c r="D649" s="55" t="s">
        <v>258</v>
      </c>
      <c r="E649" s="901"/>
      <c r="F649" s="901"/>
      <c r="G649" s="901"/>
      <c r="H649" s="901"/>
      <c r="I649" s="901"/>
      <c r="J649" s="901"/>
      <c r="K649" s="901"/>
      <c r="L649" s="901"/>
      <c r="M649" s="901"/>
      <c r="N649" s="901"/>
      <c r="O649" s="901"/>
      <c r="P649" s="901"/>
      <c r="Q649" s="908">
        <f t="shared" si="122"/>
        <v>0</v>
      </c>
      <c r="R649" s="906"/>
      <c r="S649" s="906"/>
    </row>
    <row r="650" ht="15" spans="3:19">
      <c r="C650" s="537" t="s">
        <v>211</v>
      </c>
      <c r="D650" s="540"/>
      <c r="E650" s="908">
        <f t="shared" ref="E650:P650" si="123">SUM(E635:E649)</f>
        <v>0</v>
      </c>
      <c r="F650" s="908">
        <f t="shared" si="123"/>
        <v>0</v>
      </c>
      <c r="G650" s="908">
        <f t="shared" si="123"/>
        <v>0</v>
      </c>
      <c r="H650" s="908">
        <f t="shared" si="123"/>
        <v>0</v>
      </c>
      <c r="I650" s="908">
        <f t="shared" si="123"/>
        <v>0</v>
      </c>
      <c r="J650" s="908">
        <f t="shared" si="123"/>
        <v>0</v>
      </c>
      <c r="K650" s="908">
        <f t="shared" si="123"/>
        <v>0</v>
      </c>
      <c r="L650" s="908">
        <f t="shared" si="123"/>
        <v>0</v>
      </c>
      <c r="M650" s="908">
        <f t="shared" si="123"/>
        <v>0</v>
      </c>
      <c r="N650" s="908">
        <f t="shared" si="123"/>
        <v>0</v>
      </c>
      <c r="O650" s="908">
        <f t="shared" si="123"/>
        <v>0</v>
      </c>
      <c r="P650" s="908">
        <f t="shared" si="123"/>
        <v>0</v>
      </c>
      <c r="Q650" s="908">
        <f t="shared" si="122"/>
        <v>0</v>
      </c>
      <c r="R650" s="906"/>
      <c r="S650" s="906"/>
    </row>
    <row r="651" ht="15" spans="3:19">
      <c r="C651" s="44" t="s">
        <v>219</v>
      </c>
      <c r="D651" s="45"/>
      <c r="E651" s="901"/>
      <c r="F651" s="901"/>
      <c r="G651" s="901"/>
      <c r="H651" s="901"/>
      <c r="I651" s="901"/>
      <c r="J651" s="901"/>
      <c r="K651" s="901"/>
      <c r="L651" s="901"/>
      <c r="M651" s="901"/>
      <c r="N651" s="901"/>
      <c r="O651" s="901"/>
      <c r="P651" s="901"/>
      <c r="Q651" s="910"/>
      <c r="R651" s="906"/>
      <c r="S651" s="906"/>
    </row>
    <row r="652" ht="15" spans="3:19">
      <c r="C652" s="55" t="s">
        <v>191</v>
      </c>
      <c r="D652" s="55" t="s">
        <v>192</v>
      </c>
      <c r="E652" s="901"/>
      <c r="F652" s="901"/>
      <c r="G652" s="901"/>
      <c r="H652" s="901"/>
      <c r="I652" s="901"/>
      <c r="J652" s="901"/>
      <c r="K652" s="901"/>
      <c r="L652" s="901"/>
      <c r="M652" s="901"/>
      <c r="N652" s="901"/>
      <c r="O652" s="901"/>
      <c r="P652" s="901"/>
      <c r="Q652" s="908">
        <f t="shared" ref="Q652:Q671" si="124">SUM(E652:P652)</f>
        <v>0</v>
      </c>
      <c r="R652" s="906"/>
      <c r="S652" s="906"/>
    </row>
    <row r="653" ht="15" spans="3:19">
      <c r="C653" s="55" t="s">
        <v>193</v>
      </c>
      <c r="D653" s="55" t="s">
        <v>194</v>
      </c>
      <c r="E653" s="901"/>
      <c r="F653" s="901"/>
      <c r="G653" s="901"/>
      <c r="H653" s="901"/>
      <c r="I653" s="901"/>
      <c r="J653" s="901"/>
      <c r="K653" s="901"/>
      <c r="L653" s="901"/>
      <c r="M653" s="901"/>
      <c r="N653" s="901"/>
      <c r="O653" s="901"/>
      <c r="P653" s="901"/>
      <c r="Q653" s="908">
        <f t="shared" si="124"/>
        <v>0</v>
      </c>
      <c r="R653" s="906"/>
      <c r="S653" s="906"/>
    </row>
    <row r="654" ht="15" spans="3:19">
      <c r="C654" s="55" t="s">
        <v>239</v>
      </c>
      <c r="D654" s="55" t="s">
        <v>196</v>
      </c>
      <c r="E654" s="901"/>
      <c r="F654" s="901"/>
      <c r="G654" s="901"/>
      <c r="H654" s="901"/>
      <c r="I654" s="901"/>
      <c r="J654" s="901"/>
      <c r="K654" s="901"/>
      <c r="L654" s="901"/>
      <c r="M654" s="901"/>
      <c r="N654" s="901"/>
      <c r="O654" s="901"/>
      <c r="P654" s="901"/>
      <c r="Q654" s="908">
        <f t="shared" si="124"/>
        <v>0</v>
      </c>
      <c r="R654" s="906"/>
      <c r="S654" s="906"/>
    </row>
    <row r="655" ht="15" spans="3:19">
      <c r="C655" s="55" t="s">
        <v>197</v>
      </c>
      <c r="D655" s="55" t="s">
        <v>198</v>
      </c>
      <c r="E655" s="901"/>
      <c r="F655" s="901"/>
      <c r="G655" s="901"/>
      <c r="H655" s="901"/>
      <c r="I655" s="901"/>
      <c r="J655" s="901"/>
      <c r="K655" s="901"/>
      <c r="L655" s="901"/>
      <c r="M655" s="901"/>
      <c r="N655" s="901"/>
      <c r="O655" s="901"/>
      <c r="P655" s="901"/>
      <c r="Q655" s="908">
        <f t="shared" si="124"/>
        <v>0</v>
      </c>
      <c r="R655" s="906"/>
      <c r="S655" s="906"/>
    </row>
    <row r="656" ht="15" spans="3:19">
      <c r="C656" s="55" t="s">
        <v>199</v>
      </c>
      <c r="D656" s="55" t="s">
        <v>200</v>
      </c>
      <c r="E656" s="901"/>
      <c r="F656" s="901"/>
      <c r="G656" s="901"/>
      <c r="H656" s="901"/>
      <c r="I656" s="901"/>
      <c r="J656" s="901"/>
      <c r="K656" s="901"/>
      <c r="L656" s="901"/>
      <c r="M656" s="901"/>
      <c r="N656" s="901"/>
      <c r="O656" s="901"/>
      <c r="P656" s="901"/>
      <c r="Q656" s="908">
        <f t="shared" si="124"/>
        <v>0</v>
      </c>
      <c r="R656" s="906"/>
      <c r="S656" s="906"/>
    </row>
    <row r="657" ht="15" spans="3:19">
      <c r="C657" s="55" t="s">
        <v>201</v>
      </c>
      <c r="D657" s="55" t="s">
        <v>240</v>
      </c>
      <c r="E657" s="901"/>
      <c r="F657" s="901"/>
      <c r="G657" s="901"/>
      <c r="H657" s="901"/>
      <c r="I657" s="901"/>
      <c r="J657" s="901"/>
      <c r="K657" s="901"/>
      <c r="L657" s="901"/>
      <c r="M657" s="901"/>
      <c r="N657" s="901"/>
      <c r="O657" s="901"/>
      <c r="P657" s="901"/>
      <c r="Q657" s="908">
        <f t="shared" si="124"/>
        <v>0</v>
      </c>
      <c r="R657" s="906"/>
      <c r="S657" s="906"/>
    </row>
    <row r="658" ht="15" spans="3:19">
      <c r="C658" s="55" t="s">
        <v>203</v>
      </c>
      <c r="D658" s="55" t="s">
        <v>220</v>
      </c>
      <c r="E658" s="901"/>
      <c r="F658" s="901"/>
      <c r="G658" s="901"/>
      <c r="H658" s="901"/>
      <c r="I658" s="901"/>
      <c r="J658" s="901"/>
      <c r="K658" s="901"/>
      <c r="L658" s="901"/>
      <c r="M658" s="901"/>
      <c r="N658" s="901"/>
      <c r="O658" s="901"/>
      <c r="P658" s="901"/>
      <c r="Q658" s="908">
        <f t="shared" si="124"/>
        <v>0</v>
      </c>
      <c r="R658" s="906"/>
      <c r="S658" s="906"/>
    </row>
    <row r="659" ht="15" spans="3:19">
      <c r="C659" s="55" t="s">
        <v>241</v>
      </c>
      <c r="D659" s="55" t="s">
        <v>229</v>
      </c>
      <c r="E659" s="901"/>
      <c r="F659" s="901"/>
      <c r="G659" s="901"/>
      <c r="H659" s="901"/>
      <c r="I659" s="901"/>
      <c r="J659" s="901"/>
      <c r="K659" s="901"/>
      <c r="L659" s="901"/>
      <c r="M659" s="901"/>
      <c r="N659" s="901"/>
      <c r="O659" s="901"/>
      <c r="P659" s="901"/>
      <c r="Q659" s="908">
        <f t="shared" si="124"/>
        <v>0</v>
      </c>
      <c r="R659" s="906"/>
      <c r="S659" s="906"/>
    </row>
    <row r="660" ht="15" spans="3:19">
      <c r="C660" s="55" t="s">
        <v>259</v>
      </c>
      <c r="D660" s="55" t="s">
        <v>243</v>
      </c>
      <c r="E660" s="901"/>
      <c r="F660" s="901"/>
      <c r="G660" s="901"/>
      <c r="H660" s="901"/>
      <c r="I660" s="901"/>
      <c r="J660" s="901"/>
      <c r="K660" s="901"/>
      <c r="L660" s="901"/>
      <c r="M660" s="901"/>
      <c r="N660" s="901"/>
      <c r="O660" s="901"/>
      <c r="P660" s="901"/>
      <c r="Q660" s="908">
        <f t="shared" si="124"/>
        <v>0</v>
      </c>
      <c r="R660" s="906"/>
      <c r="S660" s="906"/>
    </row>
    <row r="661" ht="15" spans="3:19">
      <c r="C661" s="55" t="s">
        <v>205</v>
      </c>
      <c r="D661" s="55" t="s">
        <v>206</v>
      </c>
      <c r="E661" s="901"/>
      <c r="F661" s="901"/>
      <c r="G661" s="901"/>
      <c r="H661" s="901"/>
      <c r="I661" s="901"/>
      <c r="J661" s="901"/>
      <c r="K661" s="901"/>
      <c r="L661" s="901"/>
      <c r="M661" s="901"/>
      <c r="N661" s="901"/>
      <c r="O661" s="901"/>
      <c r="P661" s="901"/>
      <c r="Q661" s="908">
        <f t="shared" si="124"/>
        <v>0</v>
      </c>
      <c r="R661" s="906"/>
      <c r="S661" s="906"/>
    </row>
    <row r="662" ht="15" spans="3:19">
      <c r="C662" s="55" t="s">
        <v>207</v>
      </c>
      <c r="D662" s="55" t="s">
        <v>186</v>
      </c>
      <c r="E662" s="901"/>
      <c r="F662" s="901"/>
      <c r="G662" s="901"/>
      <c r="H662" s="901"/>
      <c r="I662" s="901"/>
      <c r="J662" s="901"/>
      <c r="K662" s="901"/>
      <c r="L662" s="901"/>
      <c r="M662" s="901"/>
      <c r="N662" s="901"/>
      <c r="O662" s="901"/>
      <c r="P662" s="901"/>
      <c r="Q662" s="908">
        <f t="shared" si="124"/>
        <v>0</v>
      </c>
      <c r="R662" s="906"/>
      <c r="S662" s="906"/>
    </row>
    <row r="663" ht="15" spans="3:19">
      <c r="C663" s="55" t="s">
        <v>208</v>
      </c>
      <c r="D663" s="55" t="s">
        <v>209</v>
      </c>
      <c r="E663" s="901"/>
      <c r="F663" s="901"/>
      <c r="G663" s="901"/>
      <c r="H663" s="901"/>
      <c r="I663" s="901"/>
      <c r="J663" s="901"/>
      <c r="K663" s="901"/>
      <c r="L663" s="901"/>
      <c r="M663" s="901"/>
      <c r="N663" s="901"/>
      <c r="O663" s="901"/>
      <c r="P663" s="901"/>
      <c r="Q663" s="908">
        <f t="shared" si="124"/>
        <v>0</v>
      </c>
      <c r="R663" s="906"/>
      <c r="S663" s="906"/>
    </row>
    <row r="664" ht="15" spans="3:19">
      <c r="C664" s="55" t="s">
        <v>210</v>
      </c>
      <c r="D664" s="55" t="s">
        <v>188</v>
      </c>
      <c r="E664" s="901"/>
      <c r="F664" s="901"/>
      <c r="G664" s="901"/>
      <c r="H664" s="901"/>
      <c r="I664" s="901"/>
      <c r="J664" s="901"/>
      <c r="K664" s="901"/>
      <c r="L664" s="901"/>
      <c r="M664" s="901"/>
      <c r="N664" s="901"/>
      <c r="O664" s="901"/>
      <c r="P664" s="901"/>
      <c r="Q664" s="908">
        <f t="shared" si="124"/>
        <v>0</v>
      </c>
      <c r="R664" s="906"/>
      <c r="S664" s="906"/>
    </row>
    <row r="665" ht="15" spans="3:19">
      <c r="C665" s="55"/>
      <c r="D665" s="55"/>
      <c r="E665" s="901"/>
      <c r="F665" s="901"/>
      <c r="G665" s="901"/>
      <c r="H665" s="901"/>
      <c r="I665" s="901"/>
      <c r="J665" s="901"/>
      <c r="K665" s="901"/>
      <c r="L665" s="901"/>
      <c r="M665" s="901"/>
      <c r="N665" s="901"/>
      <c r="O665" s="901"/>
      <c r="P665" s="901"/>
      <c r="Q665" s="908">
        <f t="shared" si="124"/>
        <v>0</v>
      </c>
      <c r="R665" s="906"/>
      <c r="S665" s="906"/>
    </row>
    <row r="666" ht="15" spans="3:19">
      <c r="C666" s="55"/>
      <c r="D666" s="55"/>
      <c r="E666" s="901"/>
      <c r="F666" s="901"/>
      <c r="G666" s="901"/>
      <c r="H666" s="901"/>
      <c r="I666" s="901"/>
      <c r="J666" s="901"/>
      <c r="K666" s="901"/>
      <c r="L666" s="901"/>
      <c r="M666" s="901"/>
      <c r="N666" s="901"/>
      <c r="O666" s="901"/>
      <c r="P666" s="901"/>
      <c r="Q666" s="908">
        <f t="shared" si="124"/>
        <v>0</v>
      </c>
      <c r="R666" s="906"/>
      <c r="S666" s="906"/>
    </row>
    <row r="667" ht="15" spans="3:19">
      <c r="C667" s="55"/>
      <c r="D667" s="55"/>
      <c r="E667" s="901"/>
      <c r="F667" s="901"/>
      <c r="G667" s="901"/>
      <c r="H667" s="901"/>
      <c r="I667" s="901"/>
      <c r="J667" s="901"/>
      <c r="K667" s="901"/>
      <c r="L667" s="901"/>
      <c r="M667" s="901"/>
      <c r="N667" s="901"/>
      <c r="O667" s="901"/>
      <c r="P667" s="901"/>
      <c r="Q667" s="908">
        <f t="shared" si="124"/>
        <v>0</v>
      </c>
      <c r="R667" s="906"/>
      <c r="S667" s="906"/>
    </row>
    <row r="668" ht="15" spans="3:19">
      <c r="C668" s="55" t="s">
        <v>258</v>
      </c>
      <c r="D668" s="55" t="s">
        <v>258</v>
      </c>
      <c r="E668" s="901"/>
      <c r="F668" s="901"/>
      <c r="G668" s="901"/>
      <c r="H668" s="901"/>
      <c r="I668" s="901"/>
      <c r="J668" s="901"/>
      <c r="K668" s="901"/>
      <c r="L668" s="901"/>
      <c r="M668" s="901"/>
      <c r="N668" s="901"/>
      <c r="O668" s="901"/>
      <c r="P668" s="901"/>
      <c r="Q668" s="908">
        <f t="shared" si="124"/>
        <v>0</v>
      </c>
      <c r="R668" s="906"/>
      <c r="S668" s="906"/>
    </row>
    <row r="669" ht="15" spans="3:19">
      <c r="C669" s="537" t="s">
        <v>211</v>
      </c>
      <c r="D669" s="540"/>
      <c r="E669" s="908">
        <f t="shared" ref="E669:P669" si="125">SUM(E652:E668)</f>
        <v>0</v>
      </c>
      <c r="F669" s="908">
        <f t="shared" si="125"/>
        <v>0</v>
      </c>
      <c r="G669" s="908">
        <f t="shared" si="125"/>
        <v>0</v>
      </c>
      <c r="H669" s="908">
        <f t="shared" si="125"/>
        <v>0</v>
      </c>
      <c r="I669" s="908">
        <f t="shared" si="125"/>
        <v>0</v>
      </c>
      <c r="J669" s="908">
        <f t="shared" si="125"/>
        <v>0</v>
      </c>
      <c r="K669" s="908">
        <f t="shared" si="125"/>
        <v>0</v>
      </c>
      <c r="L669" s="908">
        <f t="shared" si="125"/>
        <v>0</v>
      </c>
      <c r="M669" s="908">
        <f t="shared" si="125"/>
        <v>0</v>
      </c>
      <c r="N669" s="908">
        <f t="shared" si="125"/>
        <v>0</v>
      </c>
      <c r="O669" s="908">
        <f t="shared" si="125"/>
        <v>0</v>
      </c>
      <c r="P669" s="908">
        <f t="shared" si="125"/>
        <v>0</v>
      </c>
      <c r="Q669" s="908">
        <f t="shared" si="124"/>
        <v>0</v>
      </c>
      <c r="R669" s="906"/>
      <c r="S669" s="906"/>
    </row>
    <row r="670" ht="15" spans="3:19">
      <c r="C670" s="537" t="s">
        <v>223</v>
      </c>
      <c r="D670" s="540"/>
      <c r="E670" s="908">
        <f t="shared" ref="E670:P670" si="126">E669+E650+E633</f>
        <v>0</v>
      </c>
      <c r="F670" s="908">
        <f t="shared" si="126"/>
        <v>0</v>
      </c>
      <c r="G670" s="908">
        <f t="shared" si="126"/>
        <v>0</v>
      </c>
      <c r="H670" s="908">
        <f t="shared" si="126"/>
        <v>0</v>
      </c>
      <c r="I670" s="908">
        <f t="shared" si="126"/>
        <v>0</v>
      </c>
      <c r="J670" s="908">
        <f t="shared" si="126"/>
        <v>0</v>
      </c>
      <c r="K670" s="908">
        <f t="shared" si="126"/>
        <v>0</v>
      </c>
      <c r="L670" s="908">
        <f t="shared" si="126"/>
        <v>0</v>
      </c>
      <c r="M670" s="908">
        <f t="shared" si="126"/>
        <v>0</v>
      </c>
      <c r="N670" s="908">
        <f t="shared" si="126"/>
        <v>0</v>
      </c>
      <c r="O670" s="908">
        <f t="shared" si="126"/>
        <v>0</v>
      </c>
      <c r="P670" s="908">
        <f t="shared" si="126"/>
        <v>0</v>
      </c>
      <c r="Q670" s="908">
        <f t="shared" si="124"/>
        <v>0</v>
      </c>
      <c r="R670" s="906"/>
      <c r="S670" s="906"/>
    </row>
    <row r="671" ht="15" spans="3:19">
      <c r="C671" s="537" t="s">
        <v>224</v>
      </c>
      <c r="D671" s="540"/>
      <c r="E671" s="908">
        <f t="shared" ref="E671:P671" si="127">E670+E616</f>
        <v>0</v>
      </c>
      <c r="F671" s="908">
        <f t="shared" si="127"/>
        <v>0</v>
      </c>
      <c r="G671" s="908">
        <f t="shared" si="127"/>
        <v>0</v>
      </c>
      <c r="H671" s="908">
        <f t="shared" si="127"/>
        <v>0</v>
      </c>
      <c r="I671" s="908">
        <f t="shared" si="127"/>
        <v>0</v>
      </c>
      <c r="J671" s="908">
        <f t="shared" si="127"/>
        <v>0</v>
      </c>
      <c r="K671" s="908">
        <f t="shared" si="127"/>
        <v>0</v>
      </c>
      <c r="L671" s="908">
        <f t="shared" si="127"/>
        <v>0</v>
      </c>
      <c r="M671" s="908">
        <f t="shared" si="127"/>
        <v>0</v>
      </c>
      <c r="N671" s="908">
        <f t="shared" si="127"/>
        <v>0</v>
      </c>
      <c r="O671" s="908">
        <f t="shared" si="127"/>
        <v>0</v>
      </c>
      <c r="P671" s="908">
        <f t="shared" si="127"/>
        <v>0</v>
      </c>
      <c r="Q671" s="908">
        <f t="shared" si="124"/>
        <v>0</v>
      </c>
      <c r="R671" s="906"/>
      <c r="S671" s="906"/>
    </row>
    <row r="672" spans="5:19">
      <c r="E672" s="906"/>
      <c r="F672" s="906"/>
      <c r="G672" s="906"/>
      <c r="H672" s="906"/>
      <c r="I672" s="906"/>
      <c r="J672" s="906"/>
      <c r="K672" s="906"/>
      <c r="L672" s="906"/>
      <c r="M672" s="906"/>
      <c r="N672" s="906"/>
      <c r="O672" s="906"/>
      <c r="P672" s="906"/>
      <c r="Q672" s="906"/>
      <c r="R672" s="906"/>
      <c r="S672" s="906"/>
    </row>
    <row r="673" ht="15" spans="3:19">
      <c r="C673" s="14"/>
      <c r="E673" s="906"/>
      <c r="F673" s="906"/>
      <c r="G673" s="906"/>
      <c r="H673" s="906"/>
      <c r="I673" s="906"/>
      <c r="J673" s="906"/>
      <c r="K673" s="906"/>
      <c r="L673" s="906"/>
      <c r="M673" s="906"/>
      <c r="N673" s="906"/>
      <c r="O673" s="906"/>
      <c r="P673" s="906"/>
      <c r="Q673" s="909" t="s">
        <v>236</v>
      </c>
      <c r="R673" s="906"/>
      <c r="S673" s="906"/>
    </row>
    <row r="674" ht="15" spans="3:19">
      <c r="C674" s="6" t="s">
        <v>159</v>
      </c>
      <c r="D674" s="6"/>
      <c r="E674" s="907" t="s">
        <v>266</v>
      </c>
      <c r="F674" s="907"/>
      <c r="G674" s="907"/>
      <c r="H674" s="907"/>
      <c r="I674" s="907"/>
      <c r="J674" s="907"/>
      <c r="K674" s="907"/>
      <c r="L674" s="907"/>
      <c r="M674" s="907"/>
      <c r="N674" s="907"/>
      <c r="O674" s="907"/>
      <c r="P674" s="907"/>
      <c r="Q674" s="907"/>
      <c r="R674" s="906"/>
      <c r="S674" s="906"/>
    </row>
    <row r="675" ht="15" spans="3:19">
      <c r="C675" s="6"/>
      <c r="D675" s="6"/>
      <c r="E675" s="907" t="s">
        <v>246</v>
      </c>
      <c r="F675" s="907" t="s">
        <v>247</v>
      </c>
      <c r="G675" s="907" t="s">
        <v>248</v>
      </c>
      <c r="H675" s="907" t="s">
        <v>249</v>
      </c>
      <c r="I675" s="907" t="s">
        <v>250</v>
      </c>
      <c r="J675" s="907" t="s">
        <v>251</v>
      </c>
      <c r="K675" s="907" t="s">
        <v>252</v>
      </c>
      <c r="L675" s="907" t="s">
        <v>253</v>
      </c>
      <c r="M675" s="907" t="s">
        <v>254</v>
      </c>
      <c r="N675" s="907" t="s">
        <v>255</v>
      </c>
      <c r="O675" s="907" t="s">
        <v>256</v>
      </c>
      <c r="P675" s="907" t="s">
        <v>257</v>
      </c>
      <c r="Q675" s="907" t="s">
        <v>97</v>
      </c>
      <c r="R675" s="906"/>
      <c r="S675" s="906"/>
    </row>
    <row r="676" ht="15" spans="3:19">
      <c r="C676" s="44" t="s">
        <v>170</v>
      </c>
      <c r="D676" s="45"/>
      <c r="E676" s="901"/>
      <c r="F676" s="901"/>
      <c r="G676" s="901"/>
      <c r="H676" s="901"/>
      <c r="I676" s="901"/>
      <c r="J676" s="901"/>
      <c r="K676" s="901"/>
      <c r="L676" s="901"/>
      <c r="M676" s="901"/>
      <c r="N676" s="901"/>
      <c r="O676" s="901"/>
      <c r="P676" s="901"/>
      <c r="Q676" s="910"/>
      <c r="R676" s="906"/>
      <c r="S676" s="906"/>
    </row>
    <row r="677" ht="15" spans="3:19">
      <c r="C677" s="47" t="s">
        <v>171</v>
      </c>
      <c r="D677" s="47" t="s">
        <v>172</v>
      </c>
      <c r="E677" s="901"/>
      <c r="F677" s="901"/>
      <c r="G677" s="901"/>
      <c r="H677" s="901"/>
      <c r="I677" s="901"/>
      <c r="J677" s="901"/>
      <c r="K677" s="901"/>
      <c r="L677" s="901"/>
      <c r="M677" s="901"/>
      <c r="N677" s="901"/>
      <c r="O677" s="901"/>
      <c r="P677" s="901"/>
      <c r="Q677" s="908">
        <f t="shared" ref="Q677:Q690" si="128">SUM(E677:P677)</f>
        <v>0</v>
      </c>
      <c r="R677" s="906"/>
      <c r="S677" s="906"/>
    </row>
    <row r="678" ht="15" spans="3:19">
      <c r="C678" s="55" t="s">
        <v>173</v>
      </c>
      <c r="D678" s="55" t="s">
        <v>174</v>
      </c>
      <c r="E678" s="901"/>
      <c r="F678" s="901"/>
      <c r="G678" s="901"/>
      <c r="H678" s="901"/>
      <c r="I678" s="901"/>
      <c r="J678" s="901"/>
      <c r="K678" s="901"/>
      <c r="L678" s="901"/>
      <c r="M678" s="901"/>
      <c r="N678" s="901"/>
      <c r="O678" s="901"/>
      <c r="P678" s="901"/>
      <c r="Q678" s="908">
        <f t="shared" si="128"/>
        <v>0</v>
      </c>
      <c r="R678" s="906"/>
      <c r="S678" s="906"/>
    </row>
    <row r="679" ht="15" spans="3:19">
      <c r="C679" s="55" t="s">
        <v>175</v>
      </c>
      <c r="D679" s="55" t="s">
        <v>176</v>
      </c>
      <c r="E679" s="901"/>
      <c r="F679" s="901"/>
      <c r="G679" s="901"/>
      <c r="H679" s="901"/>
      <c r="I679" s="901"/>
      <c r="J679" s="901"/>
      <c r="K679" s="901"/>
      <c r="L679" s="901"/>
      <c r="M679" s="901"/>
      <c r="N679" s="901"/>
      <c r="O679" s="901"/>
      <c r="P679" s="901"/>
      <c r="Q679" s="908">
        <f t="shared" si="128"/>
        <v>0</v>
      </c>
      <c r="R679" s="906"/>
      <c r="S679" s="906"/>
    </row>
    <row r="680" ht="15" spans="3:19">
      <c r="C680" s="55" t="s">
        <v>177</v>
      </c>
      <c r="D680" s="55" t="s">
        <v>178</v>
      </c>
      <c r="E680" s="901"/>
      <c r="F680" s="901"/>
      <c r="G680" s="901"/>
      <c r="H680" s="901"/>
      <c r="I680" s="901"/>
      <c r="J680" s="901"/>
      <c r="K680" s="901"/>
      <c r="L680" s="901"/>
      <c r="M680" s="901"/>
      <c r="N680" s="901"/>
      <c r="O680" s="901"/>
      <c r="P680" s="901"/>
      <c r="Q680" s="908">
        <f t="shared" si="128"/>
        <v>0</v>
      </c>
      <c r="R680" s="906"/>
      <c r="S680" s="906"/>
    </row>
    <row r="681" ht="15" spans="3:19">
      <c r="C681" s="55" t="s">
        <v>179</v>
      </c>
      <c r="D681" s="55" t="s">
        <v>180</v>
      </c>
      <c r="E681" s="901"/>
      <c r="F681" s="901"/>
      <c r="G681" s="901"/>
      <c r="H681" s="901"/>
      <c r="I681" s="901"/>
      <c r="J681" s="901"/>
      <c r="K681" s="901"/>
      <c r="L681" s="901"/>
      <c r="M681" s="901"/>
      <c r="N681" s="901"/>
      <c r="O681" s="901"/>
      <c r="P681" s="901"/>
      <c r="Q681" s="908">
        <f t="shared" si="128"/>
        <v>0</v>
      </c>
      <c r="R681" s="906"/>
      <c r="S681" s="906"/>
    </row>
    <row r="682" ht="15" spans="3:19">
      <c r="C682" s="55" t="s">
        <v>181</v>
      </c>
      <c r="D682" s="55" t="s">
        <v>182</v>
      </c>
      <c r="E682" s="901"/>
      <c r="F682" s="901"/>
      <c r="G682" s="901"/>
      <c r="H682" s="901"/>
      <c r="I682" s="901"/>
      <c r="J682" s="901"/>
      <c r="K682" s="901"/>
      <c r="L682" s="901"/>
      <c r="M682" s="901"/>
      <c r="N682" s="901"/>
      <c r="O682" s="901"/>
      <c r="P682" s="901"/>
      <c r="Q682" s="908">
        <f t="shared" si="128"/>
        <v>0</v>
      </c>
      <c r="R682" s="906"/>
      <c r="S682" s="906"/>
    </row>
    <row r="683" ht="15" spans="3:19">
      <c r="C683" s="55" t="s">
        <v>183</v>
      </c>
      <c r="D683" s="55" t="s">
        <v>184</v>
      </c>
      <c r="E683" s="901"/>
      <c r="F683" s="901"/>
      <c r="G683" s="901"/>
      <c r="H683" s="901"/>
      <c r="I683" s="901"/>
      <c r="J683" s="901"/>
      <c r="K683" s="901"/>
      <c r="L683" s="901"/>
      <c r="M683" s="901"/>
      <c r="N683" s="901"/>
      <c r="O683" s="901"/>
      <c r="P683" s="901"/>
      <c r="Q683" s="908">
        <f t="shared" si="128"/>
        <v>0</v>
      </c>
      <c r="R683" s="906"/>
      <c r="S683" s="906"/>
    </row>
    <row r="684" ht="15" spans="3:19">
      <c r="C684" s="55" t="s">
        <v>185</v>
      </c>
      <c r="D684" s="55" t="s">
        <v>186</v>
      </c>
      <c r="E684" s="901"/>
      <c r="F684" s="901"/>
      <c r="G684" s="901"/>
      <c r="H684" s="901"/>
      <c r="I684" s="901"/>
      <c r="J684" s="901"/>
      <c r="K684" s="901"/>
      <c r="L684" s="901"/>
      <c r="M684" s="901"/>
      <c r="N684" s="901"/>
      <c r="O684" s="901"/>
      <c r="P684" s="901"/>
      <c r="Q684" s="908">
        <f t="shared" si="128"/>
        <v>0</v>
      </c>
      <c r="R684" s="906"/>
      <c r="S684" s="906"/>
    </row>
    <row r="685" ht="15" spans="3:19">
      <c r="C685" s="55" t="s">
        <v>187</v>
      </c>
      <c r="D685" s="55" t="s">
        <v>188</v>
      </c>
      <c r="E685" s="901"/>
      <c r="F685" s="901"/>
      <c r="G685" s="901"/>
      <c r="H685" s="901"/>
      <c r="I685" s="901"/>
      <c r="J685" s="901"/>
      <c r="K685" s="901"/>
      <c r="L685" s="901"/>
      <c r="M685" s="901"/>
      <c r="N685" s="901"/>
      <c r="O685" s="901"/>
      <c r="P685" s="901"/>
      <c r="Q685" s="908">
        <f t="shared" si="128"/>
        <v>0</v>
      </c>
      <c r="R685" s="906"/>
      <c r="S685" s="906"/>
    </row>
    <row r="686" ht="15" spans="3:19">
      <c r="C686" s="55"/>
      <c r="D686" s="55"/>
      <c r="E686" s="901"/>
      <c r="F686" s="901"/>
      <c r="G686" s="901"/>
      <c r="H686" s="901"/>
      <c r="I686" s="901"/>
      <c r="J686" s="901"/>
      <c r="K686" s="901"/>
      <c r="L686" s="901"/>
      <c r="M686" s="901"/>
      <c r="N686" s="901"/>
      <c r="O686" s="901"/>
      <c r="P686" s="901"/>
      <c r="Q686" s="908">
        <f t="shared" si="128"/>
        <v>0</v>
      </c>
      <c r="R686" s="906"/>
      <c r="S686" s="906"/>
    </row>
    <row r="687" ht="15" spans="3:19">
      <c r="C687" s="55"/>
      <c r="D687" s="55"/>
      <c r="E687" s="901"/>
      <c r="F687" s="901"/>
      <c r="G687" s="901"/>
      <c r="H687" s="901"/>
      <c r="I687" s="901"/>
      <c r="J687" s="901"/>
      <c r="K687" s="901"/>
      <c r="L687" s="901"/>
      <c r="M687" s="901"/>
      <c r="N687" s="901"/>
      <c r="O687" s="901"/>
      <c r="P687" s="901"/>
      <c r="Q687" s="908">
        <f t="shared" si="128"/>
        <v>0</v>
      </c>
      <c r="R687" s="906"/>
      <c r="S687" s="906"/>
    </row>
    <row r="688" ht="15" spans="3:19">
      <c r="C688" s="55"/>
      <c r="D688" s="55"/>
      <c r="E688" s="901"/>
      <c r="F688" s="901"/>
      <c r="G688" s="901"/>
      <c r="H688" s="901"/>
      <c r="I688" s="901"/>
      <c r="J688" s="901"/>
      <c r="K688" s="901"/>
      <c r="L688" s="901"/>
      <c r="M688" s="901"/>
      <c r="N688" s="901"/>
      <c r="O688" s="901"/>
      <c r="P688" s="901"/>
      <c r="Q688" s="908">
        <f t="shared" si="128"/>
        <v>0</v>
      </c>
      <c r="R688" s="906"/>
      <c r="S688" s="906"/>
    </row>
    <row r="689" ht="15" spans="3:19">
      <c r="C689" s="55" t="s">
        <v>258</v>
      </c>
      <c r="D689" s="55" t="s">
        <v>258</v>
      </c>
      <c r="E689" s="901"/>
      <c r="F689" s="901"/>
      <c r="G689" s="901"/>
      <c r="H689" s="901"/>
      <c r="I689" s="901"/>
      <c r="J689" s="901"/>
      <c r="K689" s="901"/>
      <c r="L689" s="901"/>
      <c r="M689" s="901"/>
      <c r="N689" s="901"/>
      <c r="O689" s="901"/>
      <c r="P689" s="901"/>
      <c r="Q689" s="908">
        <f t="shared" si="128"/>
        <v>0</v>
      </c>
      <c r="R689" s="906"/>
      <c r="S689" s="906"/>
    </row>
    <row r="690" ht="15" spans="3:19">
      <c r="C690" s="537" t="s">
        <v>189</v>
      </c>
      <c r="D690" s="540"/>
      <c r="E690" s="908">
        <f t="shared" ref="E690:P690" si="129">SUM(E677:E689)</f>
        <v>0</v>
      </c>
      <c r="F690" s="908">
        <f t="shared" si="129"/>
        <v>0</v>
      </c>
      <c r="G690" s="908">
        <f t="shared" si="129"/>
        <v>0</v>
      </c>
      <c r="H690" s="908">
        <f t="shared" si="129"/>
        <v>0</v>
      </c>
      <c r="I690" s="908">
        <f t="shared" si="129"/>
        <v>0</v>
      </c>
      <c r="J690" s="908">
        <f t="shared" si="129"/>
        <v>0</v>
      </c>
      <c r="K690" s="908">
        <f t="shared" si="129"/>
        <v>0</v>
      </c>
      <c r="L690" s="908">
        <f t="shared" si="129"/>
        <v>0</v>
      </c>
      <c r="M690" s="908">
        <f t="shared" si="129"/>
        <v>0</v>
      </c>
      <c r="N690" s="908">
        <f t="shared" si="129"/>
        <v>0</v>
      </c>
      <c r="O690" s="908">
        <f t="shared" si="129"/>
        <v>0</v>
      </c>
      <c r="P690" s="908">
        <f t="shared" si="129"/>
        <v>0</v>
      </c>
      <c r="Q690" s="908">
        <f t="shared" si="128"/>
        <v>0</v>
      </c>
      <c r="R690" s="906"/>
      <c r="S690" s="906"/>
    </row>
    <row r="691" ht="15" spans="3:19">
      <c r="C691" s="44" t="s">
        <v>190</v>
      </c>
      <c r="D691" s="45"/>
      <c r="E691" s="901"/>
      <c r="F691" s="901"/>
      <c r="G691" s="901"/>
      <c r="H691" s="901"/>
      <c r="I691" s="901"/>
      <c r="J691" s="901"/>
      <c r="K691" s="901"/>
      <c r="L691" s="901"/>
      <c r="M691" s="901"/>
      <c r="N691" s="901"/>
      <c r="O691" s="901"/>
      <c r="P691" s="901"/>
      <c r="Q691" s="910"/>
      <c r="R691" s="906"/>
      <c r="S691" s="906"/>
    </row>
    <row r="692" ht="15" spans="3:19">
      <c r="C692" s="55" t="s">
        <v>191</v>
      </c>
      <c r="D692" s="55" t="s">
        <v>192</v>
      </c>
      <c r="E692" s="901"/>
      <c r="F692" s="901"/>
      <c r="G692" s="901"/>
      <c r="H692" s="901"/>
      <c r="I692" s="901"/>
      <c r="J692" s="901"/>
      <c r="K692" s="901"/>
      <c r="L692" s="901"/>
      <c r="M692" s="901"/>
      <c r="N692" s="901"/>
      <c r="O692" s="901"/>
      <c r="P692" s="901"/>
      <c r="Q692" s="908">
        <f t="shared" ref="Q692:Q707" si="130">SUM(E692:P692)</f>
        <v>0</v>
      </c>
      <c r="R692" s="906"/>
      <c r="S692" s="906"/>
    </row>
    <row r="693" ht="15" spans="3:19">
      <c r="C693" s="55" t="s">
        <v>193</v>
      </c>
      <c r="D693" s="55" t="s">
        <v>194</v>
      </c>
      <c r="E693" s="901"/>
      <c r="F693" s="901"/>
      <c r="G693" s="901"/>
      <c r="H693" s="901"/>
      <c r="I693" s="901"/>
      <c r="J693" s="901"/>
      <c r="K693" s="901"/>
      <c r="L693" s="901"/>
      <c r="M693" s="901"/>
      <c r="N693" s="901"/>
      <c r="O693" s="901"/>
      <c r="P693" s="901"/>
      <c r="Q693" s="908">
        <f t="shared" si="130"/>
        <v>0</v>
      </c>
      <c r="R693" s="906"/>
      <c r="S693" s="906"/>
    </row>
    <row r="694" ht="15" spans="3:19">
      <c r="C694" s="55" t="s">
        <v>239</v>
      </c>
      <c r="D694" s="55" t="s">
        <v>196</v>
      </c>
      <c r="E694" s="901"/>
      <c r="F694" s="901"/>
      <c r="G694" s="901"/>
      <c r="H694" s="901"/>
      <c r="I694" s="901"/>
      <c r="J694" s="901"/>
      <c r="K694" s="901"/>
      <c r="L694" s="901"/>
      <c r="M694" s="901"/>
      <c r="N694" s="901"/>
      <c r="O694" s="901"/>
      <c r="P694" s="901"/>
      <c r="Q694" s="908">
        <f t="shared" si="130"/>
        <v>0</v>
      </c>
      <c r="R694" s="906"/>
      <c r="S694" s="906"/>
    </row>
    <row r="695" ht="15" spans="3:19">
      <c r="C695" s="55" t="s">
        <v>197</v>
      </c>
      <c r="D695" s="55" t="s">
        <v>198</v>
      </c>
      <c r="E695" s="901"/>
      <c r="F695" s="901"/>
      <c r="G695" s="901"/>
      <c r="H695" s="901"/>
      <c r="I695" s="901"/>
      <c r="J695" s="901"/>
      <c r="K695" s="901"/>
      <c r="L695" s="901"/>
      <c r="M695" s="901"/>
      <c r="N695" s="901"/>
      <c r="O695" s="901"/>
      <c r="P695" s="901"/>
      <c r="Q695" s="908">
        <f t="shared" si="130"/>
        <v>0</v>
      </c>
      <c r="R695" s="906"/>
      <c r="S695" s="906"/>
    </row>
    <row r="696" ht="15" spans="3:19">
      <c r="C696" s="55" t="s">
        <v>199</v>
      </c>
      <c r="D696" s="55" t="s">
        <v>200</v>
      </c>
      <c r="E696" s="901"/>
      <c r="F696" s="901"/>
      <c r="G696" s="901"/>
      <c r="H696" s="901"/>
      <c r="I696" s="901"/>
      <c r="J696" s="901"/>
      <c r="K696" s="901"/>
      <c r="L696" s="901"/>
      <c r="M696" s="901"/>
      <c r="N696" s="901"/>
      <c r="O696" s="901"/>
      <c r="P696" s="901"/>
      <c r="Q696" s="908">
        <f t="shared" si="130"/>
        <v>0</v>
      </c>
      <c r="R696" s="906"/>
      <c r="S696" s="906"/>
    </row>
    <row r="697" ht="15" spans="3:19">
      <c r="C697" s="55" t="s">
        <v>201</v>
      </c>
      <c r="D697" s="55" t="s">
        <v>202</v>
      </c>
      <c r="E697" s="901"/>
      <c r="F697" s="901"/>
      <c r="G697" s="901"/>
      <c r="H697" s="901"/>
      <c r="I697" s="901"/>
      <c r="J697" s="901"/>
      <c r="K697" s="901"/>
      <c r="L697" s="901"/>
      <c r="M697" s="901"/>
      <c r="N697" s="901"/>
      <c r="O697" s="901"/>
      <c r="P697" s="901"/>
      <c r="Q697" s="908">
        <f t="shared" si="130"/>
        <v>0</v>
      </c>
      <c r="R697" s="906"/>
      <c r="S697" s="906"/>
    </row>
    <row r="698" ht="15" spans="3:19">
      <c r="C698" s="55" t="s">
        <v>203</v>
      </c>
      <c r="D698" s="55" t="s">
        <v>204</v>
      </c>
      <c r="E698" s="901"/>
      <c r="F698" s="901"/>
      <c r="G698" s="901"/>
      <c r="H698" s="901"/>
      <c r="I698" s="901"/>
      <c r="J698" s="901"/>
      <c r="K698" s="901"/>
      <c r="L698" s="901"/>
      <c r="M698" s="901"/>
      <c r="N698" s="901"/>
      <c r="O698" s="901"/>
      <c r="P698" s="901"/>
      <c r="Q698" s="908">
        <f t="shared" si="130"/>
        <v>0</v>
      </c>
      <c r="R698" s="906"/>
      <c r="S698" s="906"/>
    </row>
    <row r="699" ht="15" spans="3:19">
      <c r="C699" s="55" t="s">
        <v>205</v>
      </c>
      <c r="D699" s="55" t="s">
        <v>206</v>
      </c>
      <c r="E699" s="901"/>
      <c r="F699" s="901"/>
      <c r="G699" s="901"/>
      <c r="H699" s="901"/>
      <c r="I699" s="901"/>
      <c r="J699" s="901"/>
      <c r="K699" s="901"/>
      <c r="L699" s="901"/>
      <c r="M699" s="901"/>
      <c r="N699" s="901"/>
      <c r="O699" s="901"/>
      <c r="P699" s="901"/>
      <c r="Q699" s="908">
        <f t="shared" si="130"/>
        <v>0</v>
      </c>
      <c r="R699" s="906"/>
      <c r="S699" s="906"/>
    </row>
    <row r="700" ht="15" spans="3:19">
      <c r="C700" s="55" t="s">
        <v>207</v>
      </c>
      <c r="D700" s="55" t="s">
        <v>186</v>
      </c>
      <c r="E700" s="901"/>
      <c r="F700" s="901"/>
      <c r="G700" s="901"/>
      <c r="H700" s="901"/>
      <c r="I700" s="901"/>
      <c r="J700" s="901"/>
      <c r="K700" s="901"/>
      <c r="L700" s="901"/>
      <c r="M700" s="901"/>
      <c r="N700" s="901"/>
      <c r="O700" s="901"/>
      <c r="P700" s="901"/>
      <c r="Q700" s="908">
        <f t="shared" si="130"/>
        <v>0</v>
      </c>
      <c r="R700" s="906"/>
      <c r="S700" s="906"/>
    </row>
    <row r="701" ht="15" spans="3:19">
      <c r="C701" s="55" t="s">
        <v>208</v>
      </c>
      <c r="D701" s="55" t="s">
        <v>209</v>
      </c>
      <c r="E701" s="901"/>
      <c r="F701" s="901"/>
      <c r="G701" s="901"/>
      <c r="H701" s="901"/>
      <c r="I701" s="901"/>
      <c r="J701" s="901"/>
      <c r="K701" s="901"/>
      <c r="L701" s="901"/>
      <c r="M701" s="901"/>
      <c r="N701" s="901"/>
      <c r="O701" s="901"/>
      <c r="P701" s="901"/>
      <c r="Q701" s="908">
        <f t="shared" si="130"/>
        <v>0</v>
      </c>
      <c r="R701" s="906"/>
      <c r="S701" s="906"/>
    </row>
    <row r="702" ht="15" spans="3:19">
      <c r="C702" s="55" t="s">
        <v>210</v>
      </c>
      <c r="D702" s="55" t="s">
        <v>188</v>
      </c>
      <c r="E702" s="901"/>
      <c r="F702" s="901"/>
      <c r="G702" s="901"/>
      <c r="H702" s="901"/>
      <c r="I702" s="901"/>
      <c r="J702" s="901"/>
      <c r="K702" s="901"/>
      <c r="L702" s="901"/>
      <c r="M702" s="901"/>
      <c r="N702" s="901"/>
      <c r="O702" s="901"/>
      <c r="P702" s="901"/>
      <c r="Q702" s="908">
        <f t="shared" si="130"/>
        <v>0</v>
      </c>
      <c r="R702" s="906"/>
      <c r="S702" s="906"/>
    </row>
    <row r="703" ht="15" spans="3:19">
      <c r="C703" s="55"/>
      <c r="D703" s="55"/>
      <c r="E703" s="901"/>
      <c r="F703" s="901"/>
      <c r="G703" s="901"/>
      <c r="H703" s="901"/>
      <c r="I703" s="901"/>
      <c r="J703" s="901"/>
      <c r="K703" s="901"/>
      <c r="L703" s="901"/>
      <c r="M703" s="901"/>
      <c r="N703" s="901"/>
      <c r="O703" s="901"/>
      <c r="P703" s="901"/>
      <c r="Q703" s="908">
        <f t="shared" si="130"/>
        <v>0</v>
      </c>
      <c r="R703" s="906"/>
      <c r="S703" s="906"/>
    </row>
    <row r="704" ht="15" spans="3:19">
      <c r="C704" s="55"/>
      <c r="D704" s="55"/>
      <c r="E704" s="901"/>
      <c r="F704" s="901"/>
      <c r="G704" s="901"/>
      <c r="H704" s="901"/>
      <c r="I704" s="901"/>
      <c r="J704" s="901"/>
      <c r="K704" s="901"/>
      <c r="L704" s="901"/>
      <c r="M704" s="901"/>
      <c r="N704" s="901"/>
      <c r="O704" s="901"/>
      <c r="P704" s="901"/>
      <c r="Q704" s="908">
        <f t="shared" si="130"/>
        <v>0</v>
      </c>
      <c r="R704" s="906"/>
      <c r="S704" s="906"/>
    </row>
    <row r="705" ht="15" spans="3:19">
      <c r="C705" s="55"/>
      <c r="D705" s="55"/>
      <c r="E705" s="901"/>
      <c r="F705" s="901"/>
      <c r="G705" s="901"/>
      <c r="H705" s="901"/>
      <c r="I705" s="901"/>
      <c r="J705" s="901"/>
      <c r="K705" s="901"/>
      <c r="L705" s="901"/>
      <c r="M705" s="901"/>
      <c r="N705" s="901"/>
      <c r="O705" s="901"/>
      <c r="P705" s="901"/>
      <c r="Q705" s="908">
        <f t="shared" si="130"/>
        <v>0</v>
      </c>
      <c r="R705" s="906"/>
      <c r="S705" s="906"/>
    </row>
    <row r="706" ht="15" spans="3:19">
      <c r="C706" s="55" t="s">
        <v>258</v>
      </c>
      <c r="D706" s="55" t="s">
        <v>258</v>
      </c>
      <c r="E706" s="901"/>
      <c r="F706" s="901"/>
      <c r="G706" s="901"/>
      <c r="H706" s="901"/>
      <c r="I706" s="901"/>
      <c r="J706" s="901"/>
      <c r="K706" s="901"/>
      <c r="L706" s="901"/>
      <c r="M706" s="901"/>
      <c r="N706" s="901"/>
      <c r="O706" s="901"/>
      <c r="P706" s="901"/>
      <c r="Q706" s="908">
        <f t="shared" si="130"/>
        <v>0</v>
      </c>
      <c r="R706" s="906"/>
      <c r="S706" s="906"/>
    </row>
    <row r="707" ht="15" spans="3:19">
      <c r="C707" s="537" t="s">
        <v>211</v>
      </c>
      <c r="D707" s="540"/>
      <c r="E707" s="908">
        <f t="shared" ref="E707:P707" si="131">SUM(E692:E706)</f>
        <v>0</v>
      </c>
      <c r="F707" s="908">
        <f t="shared" si="131"/>
        <v>0</v>
      </c>
      <c r="G707" s="908">
        <f t="shared" si="131"/>
        <v>0</v>
      </c>
      <c r="H707" s="908">
        <f t="shared" si="131"/>
        <v>0</v>
      </c>
      <c r="I707" s="908">
        <f t="shared" si="131"/>
        <v>0</v>
      </c>
      <c r="J707" s="908">
        <f t="shared" si="131"/>
        <v>0</v>
      </c>
      <c r="K707" s="908">
        <f t="shared" si="131"/>
        <v>0</v>
      </c>
      <c r="L707" s="908">
        <f t="shared" si="131"/>
        <v>0</v>
      </c>
      <c r="M707" s="908">
        <f t="shared" si="131"/>
        <v>0</v>
      </c>
      <c r="N707" s="908">
        <f t="shared" si="131"/>
        <v>0</v>
      </c>
      <c r="O707" s="908">
        <f t="shared" si="131"/>
        <v>0</v>
      </c>
      <c r="P707" s="908">
        <f t="shared" si="131"/>
        <v>0</v>
      </c>
      <c r="Q707" s="908">
        <f t="shared" si="130"/>
        <v>0</v>
      </c>
      <c r="R707" s="906"/>
      <c r="S707" s="906"/>
    </row>
    <row r="708" ht="15" spans="3:19">
      <c r="C708" s="44" t="s">
        <v>212</v>
      </c>
      <c r="D708" s="45"/>
      <c r="E708" s="901"/>
      <c r="F708" s="901"/>
      <c r="G708" s="901"/>
      <c r="H708" s="901"/>
      <c r="I708" s="901"/>
      <c r="J708" s="901"/>
      <c r="K708" s="901"/>
      <c r="L708" s="901"/>
      <c r="M708" s="901"/>
      <c r="N708" s="901"/>
      <c r="O708" s="901"/>
      <c r="P708" s="901"/>
      <c r="Q708" s="910"/>
      <c r="R708" s="906"/>
      <c r="S708" s="906"/>
    </row>
    <row r="709" ht="15" spans="3:19">
      <c r="C709" s="55" t="s">
        <v>191</v>
      </c>
      <c r="D709" s="55" t="s">
        <v>192</v>
      </c>
      <c r="E709" s="901"/>
      <c r="F709" s="901"/>
      <c r="G709" s="901"/>
      <c r="H709" s="901"/>
      <c r="I709" s="901"/>
      <c r="J709" s="901"/>
      <c r="K709" s="901"/>
      <c r="L709" s="901"/>
      <c r="M709" s="901"/>
      <c r="N709" s="901"/>
      <c r="O709" s="901"/>
      <c r="P709" s="901"/>
      <c r="Q709" s="908">
        <f t="shared" ref="Q709:Q724" si="132">SUM(E709:P709)</f>
        <v>0</v>
      </c>
      <c r="R709" s="906"/>
      <c r="S709" s="906"/>
    </row>
    <row r="710" ht="15" spans="3:19">
      <c r="C710" s="55" t="s">
        <v>193</v>
      </c>
      <c r="D710" s="55" t="s">
        <v>194</v>
      </c>
      <c r="E710" s="901"/>
      <c r="F710" s="901"/>
      <c r="G710" s="901"/>
      <c r="H710" s="901"/>
      <c r="I710" s="901"/>
      <c r="J710" s="901"/>
      <c r="K710" s="901"/>
      <c r="L710" s="901"/>
      <c r="M710" s="901"/>
      <c r="N710" s="901"/>
      <c r="O710" s="901"/>
      <c r="P710" s="901"/>
      <c r="Q710" s="908">
        <f t="shared" si="132"/>
        <v>0</v>
      </c>
      <c r="R710" s="906"/>
      <c r="S710" s="906"/>
    </row>
    <row r="711" ht="15" spans="3:19">
      <c r="C711" s="55" t="s">
        <v>239</v>
      </c>
      <c r="D711" s="55" t="s">
        <v>196</v>
      </c>
      <c r="E711" s="901"/>
      <c r="F711" s="901"/>
      <c r="G711" s="901"/>
      <c r="H711" s="901"/>
      <c r="I711" s="901"/>
      <c r="J711" s="901"/>
      <c r="K711" s="901"/>
      <c r="L711" s="901"/>
      <c r="M711" s="901"/>
      <c r="N711" s="901"/>
      <c r="O711" s="901"/>
      <c r="P711" s="901"/>
      <c r="Q711" s="908">
        <f t="shared" si="132"/>
        <v>0</v>
      </c>
      <c r="R711" s="906"/>
      <c r="S711" s="906"/>
    </row>
    <row r="712" ht="15" spans="3:19">
      <c r="C712" s="55" t="s">
        <v>197</v>
      </c>
      <c r="D712" s="55" t="s">
        <v>198</v>
      </c>
      <c r="E712" s="901"/>
      <c r="F712" s="901"/>
      <c r="G712" s="901"/>
      <c r="H712" s="901"/>
      <c r="I712" s="901"/>
      <c r="J712" s="901"/>
      <c r="K712" s="901"/>
      <c r="L712" s="901"/>
      <c r="M712" s="901"/>
      <c r="N712" s="901"/>
      <c r="O712" s="901"/>
      <c r="P712" s="901"/>
      <c r="Q712" s="908">
        <f t="shared" si="132"/>
        <v>0</v>
      </c>
      <c r="R712" s="906"/>
      <c r="S712" s="906"/>
    </row>
    <row r="713" ht="15" spans="3:19">
      <c r="C713" s="55" t="s">
        <v>199</v>
      </c>
      <c r="D713" s="55" t="s">
        <v>200</v>
      </c>
      <c r="E713" s="901"/>
      <c r="F713" s="901"/>
      <c r="G713" s="901"/>
      <c r="H713" s="901"/>
      <c r="I713" s="901"/>
      <c r="J713" s="901"/>
      <c r="K713" s="901"/>
      <c r="L713" s="901"/>
      <c r="M713" s="901"/>
      <c r="N713" s="901"/>
      <c r="O713" s="901"/>
      <c r="P713" s="901"/>
      <c r="Q713" s="908">
        <f t="shared" si="132"/>
        <v>0</v>
      </c>
      <c r="R713" s="906"/>
      <c r="S713" s="906"/>
    </row>
    <row r="714" ht="15" spans="3:19">
      <c r="C714" s="55" t="s">
        <v>201</v>
      </c>
      <c r="D714" s="55" t="s">
        <v>202</v>
      </c>
      <c r="E714" s="901"/>
      <c r="F714" s="901"/>
      <c r="G714" s="901"/>
      <c r="H714" s="901"/>
      <c r="I714" s="901"/>
      <c r="J714" s="901"/>
      <c r="K714" s="901"/>
      <c r="L714" s="901"/>
      <c r="M714" s="901"/>
      <c r="N714" s="901"/>
      <c r="O714" s="901"/>
      <c r="P714" s="901"/>
      <c r="Q714" s="908">
        <f t="shared" si="132"/>
        <v>0</v>
      </c>
      <c r="R714" s="906"/>
      <c r="S714" s="906"/>
    </row>
    <row r="715" ht="15" spans="3:19">
      <c r="C715" s="55" t="s">
        <v>203</v>
      </c>
      <c r="D715" s="55" t="s">
        <v>204</v>
      </c>
      <c r="E715" s="901"/>
      <c r="F715" s="901"/>
      <c r="G715" s="901"/>
      <c r="H715" s="901"/>
      <c r="I715" s="901"/>
      <c r="J715" s="901"/>
      <c r="K715" s="901"/>
      <c r="L715" s="901"/>
      <c r="M715" s="901"/>
      <c r="N715" s="901"/>
      <c r="O715" s="901"/>
      <c r="P715" s="901"/>
      <c r="Q715" s="908">
        <f t="shared" si="132"/>
        <v>0</v>
      </c>
      <c r="R715" s="906"/>
      <c r="S715" s="906"/>
    </row>
    <row r="716" ht="15" spans="3:19">
      <c r="C716" s="55" t="s">
        <v>205</v>
      </c>
      <c r="D716" s="55" t="s">
        <v>206</v>
      </c>
      <c r="E716" s="901"/>
      <c r="F716" s="901"/>
      <c r="G716" s="901"/>
      <c r="H716" s="901"/>
      <c r="I716" s="901"/>
      <c r="J716" s="901"/>
      <c r="K716" s="901"/>
      <c r="L716" s="901"/>
      <c r="M716" s="901"/>
      <c r="N716" s="901"/>
      <c r="O716" s="901"/>
      <c r="P716" s="901"/>
      <c r="Q716" s="908">
        <f t="shared" si="132"/>
        <v>0</v>
      </c>
      <c r="R716" s="906"/>
      <c r="S716" s="906"/>
    </row>
    <row r="717" ht="15" spans="3:19">
      <c r="C717" s="55" t="s">
        <v>231</v>
      </c>
      <c r="D717" s="55" t="s">
        <v>186</v>
      </c>
      <c r="E717" s="901"/>
      <c r="F717" s="901"/>
      <c r="G717" s="901"/>
      <c r="H717" s="901"/>
      <c r="I717" s="901"/>
      <c r="J717" s="901"/>
      <c r="K717" s="901"/>
      <c r="L717" s="901"/>
      <c r="M717" s="901"/>
      <c r="N717" s="901"/>
      <c r="O717" s="901"/>
      <c r="P717" s="901"/>
      <c r="Q717" s="908">
        <f t="shared" si="132"/>
        <v>0</v>
      </c>
      <c r="R717" s="906"/>
      <c r="S717" s="906"/>
    </row>
    <row r="718" ht="15" spans="3:19">
      <c r="C718" s="55" t="s">
        <v>208</v>
      </c>
      <c r="D718" s="55" t="s">
        <v>209</v>
      </c>
      <c r="E718" s="901"/>
      <c r="F718" s="901"/>
      <c r="G718" s="901"/>
      <c r="H718" s="901"/>
      <c r="I718" s="901"/>
      <c r="J718" s="901"/>
      <c r="K718" s="901"/>
      <c r="L718" s="901"/>
      <c r="M718" s="901"/>
      <c r="N718" s="901"/>
      <c r="O718" s="901"/>
      <c r="P718" s="901"/>
      <c r="Q718" s="908">
        <f t="shared" si="132"/>
        <v>0</v>
      </c>
      <c r="R718" s="906"/>
      <c r="S718" s="906"/>
    </row>
    <row r="719" ht="15" spans="3:19">
      <c r="C719" s="55" t="s">
        <v>210</v>
      </c>
      <c r="D719" s="55" t="s">
        <v>188</v>
      </c>
      <c r="E719" s="901"/>
      <c r="F719" s="901"/>
      <c r="G719" s="901"/>
      <c r="H719" s="901"/>
      <c r="I719" s="901"/>
      <c r="J719" s="901"/>
      <c r="K719" s="901"/>
      <c r="L719" s="901"/>
      <c r="M719" s="901"/>
      <c r="N719" s="901"/>
      <c r="O719" s="901"/>
      <c r="P719" s="901"/>
      <c r="Q719" s="908">
        <f t="shared" si="132"/>
        <v>0</v>
      </c>
      <c r="R719" s="906"/>
      <c r="S719" s="906"/>
    </row>
    <row r="720" ht="15" spans="3:19">
      <c r="C720" s="55"/>
      <c r="D720" s="55"/>
      <c r="E720" s="901"/>
      <c r="F720" s="901"/>
      <c r="G720" s="901"/>
      <c r="H720" s="901"/>
      <c r="I720" s="901"/>
      <c r="J720" s="901"/>
      <c r="K720" s="901"/>
      <c r="L720" s="901"/>
      <c r="M720" s="901"/>
      <c r="N720" s="901"/>
      <c r="O720" s="901"/>
      <c r="P720" s="901"/>
      <c r="Q720" s="908">
        <f t="shared" si="132"/>
        <v>0</v>
      </c>
      <c r="R720" s="906"/>
      <c r="S720" s="906"/>
    </row>
    <row r="721" ht="15" spans="3:19">
      <c r="C721" s="55"/>
      <c r="D721" s="55"/>
      <c r="E721" s="901"/>
      <c r="F721" s="901"/>
      <c r="G721" s="901"/>
      <c r="H721" s="901"/>
      <c r="I721" s="901"/>
      <c r="J721" s="901"/>
      <c r="K721" s="901"/>
      <c r="L721" s="901"/>
      <c r="M721" s="901"/>
      <c r="N721" s="901"/>
      <c r="O721" s="901"/>
      <c r="P721" s="901"/>
      <c r="Q721" s="908">
        <f t="shared" si="132"/>
        <v>0</v>
      </c>
      <c r="R721" s="906"/>
      <c r="S721" s="906"/>
    </row>
    <row r="722" ht="15" spans="3:19">
      <c r="C722" s="55"/>
      <c r="D722" s="55"/>
      <c r="E722" s="901"/>
      <c r="F722" s="901"/>
      <c r="G722" s="901"/>
      <c r="H722" s="901"/>
      <c r="I722" s="901"/>
      <c r="J722" s="901"/>
      <c r="K722" s="901"/>
      <c r="L722" s="901"/>
      <c r="M722" s="901"/>
      <c r="N722" s="901"/>
      <c r="O722" s="901"/>
      <c r="P722" s="901"/>
      <c r="Q722" s="908">
        <f t="shared" si="132"/>
        <v>0</v>
      </c>
      <c r="R722" s="906"/>
      <c r="S722" s="906"/>
    </row>
    <row r="723" ht="15" spans="3:19">
      <c r="C723" s="55" t="s">
        <v>258</v>
      </c>
      <c r="D723" s="55" t="s">
        <v>258</v>
      </c>
      <c r="E723" s="901"/>
      <c r="F723" s="901"/>
      <c r="G723" s="901"/>
      <c r="H723" s="901"/>
      <c r="I723" s="901"/>
      <c r="J723" s="901"/>
      <c r="K723" s="901"/>
      <c r="L723" s="901"/>
      <c r="M723" s="901"/>
      <c r="N723" s="901"/>
      <c r="O723" s="901"/>
      <c r="P723" s="901"/>
      <c r="Q723" s="908">
        <f t="shared" si="132"/>
        <v>0</v>
      </c>
      <c r="R723" s="906"/>
      <c r="S723" s="906"/>
    </row>
    <row r="724" ht="15" spans="3:19">
      <c r="C724" s="537" t="s">
        <v>211</v>
      </c>
      <c r="D724" s="540"/>
      <c r="E724" s="908">
        <f t="shared" ref="E724:P724" si="133">SUM(E709:E723)</f>
        <v>0</v>
      </c>
      <c r="F724" s="908">
        <f t="shared" si="133"/>
        <v>0</v>
      </c>
      <c r="G724" s="908">
        <f t="shared" si="133"/>
        <v>0</v>
      </c>
      <c r="H724" s="908">
        <f t="shared" si="133"/>
        <v>0</v>
      </c>
      <c r="I724" s="908">
        <f t="shared" si="133"/>
        <v>0</v>
      </c>
      <c r="J724" s="908">
        <f t="shared" si="133"/>
        <v>0</v>
      </c>
      <c r="K724" s="908">
        <f t="shared" si="133"/>
        <v>0</v>
      </c>
      <c r="L724" s="908">
        <f t="shared" si="133"/>
        <v>0</v>
      </c>
      <c r="M724" s="908">
        <f t="shared" si="133"/>
        <v>0</v>
      </c>
      <c r="N724" s="908">
        <f t="shared" si="133"/>
        <v>0</v>
      </c>
      <c r="O724" s="908">
        <f t="shared" si="133"/>
        <v>0</v>
      </c>
      <c r="P724" s="908">
        <f t="shared" si="133"/>
        <v>0</v>
      </c>
      <c r="Q724" s="908">
        <f t="shared" si="132"/>
        <v>0</v>
      </c>
      <c r="R724" s="906"/>
      <c r="S724" s="906"/>
    </row>
    <row r="725" ht="15" spans="3:19">
      <c r="C725" s="44" t="s">
        <v>219</v>
      </c>
      <c r="D725" s="45"/>
      <c r="E725" s="901"/>
      <c r="F725" s="901"/>
      <c r="G725" s="901"/>
      <c r="H725" s="901"/>
      <c r="I725" s="901"/>
      <c r="J725" s="901"/>
      <c r="K725" s="901"/>
      <c r="L725" s="901"/>
      <c r="M725" s="901"/>
      <c r="N725" s="901"/>
      <c r="O725" s="901"/>
      <c r="P725" s="901"/>
      <c r="Q725" s="910"/>
      <c r="R725" s="906"/>
      <c r="S725" s="906"/>
    </row>
    <row r="726" ht="15" spans="3:19">
      <c r="C726" s="55" t="s">
        <v>191</v>
      </c>
      <c r="D726" s="55" t="s">
        <v>192</v>
      </c>
      <c r="E726" s="901"/>
      <c r="F726" s="901"/>
      <c r="G726" s="901"/>
      <c r="H726" s="901"/>
      <c r="I726" s="901"/>
      <c r="J726" s="901"/>
      <c r="K726" s="901"/>
      <c r="L726" s="901"/>
      <c r="M726" s="901"/>
      <c r="N726" s="901"/>
      <c r="O726" s="901"/>
      <c r="P726" s="901"/>
      <c r="Q726" s="908">
        <f t="shared" ref="Q726:Q745" si="134">SUM(E726:P726)</f>
        <v>0</v>
      </c>
      <c r="R726" s="906"/>
      <c r="S726" s="906"/>
    </row>
    <row r="727" ht="15" spans="3:19">
      <c r="C727" s="55" t="s">
        <v>193</v>
      </c>
      <c r="D727" s="55" t="s">
        <v>194</v>
      </c>
      <c r="E727" s="901"/>
      <c r="F727" s="901"/>
      <c r="G727" s="901"/>
      <c r="H727" s="901"/>
      <c r="I727" s="901"/>
      <c r="J727" s="901"/>
      <c r="K727" s="901"/>
      <c r="L727" s="901"/>
      <c r="M727" s="901"/>
      <c r="N727" s="901"/>
      <c r="O727" s="901"/>
      <c r="P727" s="901"/>
      <c r="Q727" s="908">
        <f t="shared" si="134"/>
        <v>0</v>
      </c>
      <c r="R727" s="906"/>
      <c r="S727" s="906"/>
    </row>
    <row r="728" ht="15" spans="3:19">
      <c r="C728" s="55" t="s">
        <v>239</v>
      </c>
      <c r="D728" s="55" t="s">
        <v>196</v>
      </c>
      <c r="E728" s="901"/>
      <c r="F728" s="901"/>
      <c r="G728" s="901"/>
      <c r="H728" s="901"/>
      <c r="I728" s="901"/>
      <c r="J728" s="901"/>
      <c r="K728" s="901"/>
      <c r="L728" s="901"/>
      <c r="M728" s="901"/>
      <c r="N728" s="901"/>
      <c r="O728" s="901"/>
      <c r="P728" s="901"/>
      <c r="Q728" s="908">
        <f t="shared" si="134"/>
        <v>0</v>
      </c>
      <c r="R728" s="906"/>
      <c r="S728" s="906"/>
    </row>
    <row r="729" ht="15" spans="3:19">
      <c r="C729" s="55" t="s">
        <v>197</v>
      </c>
      <c r="D729" s="55" t="s">
        <v>198</v>
      </c>
      <c r="E729" s="901"/>
      <c r="F729" s="901"/>
      <c r="G729" s="901"/>
      <c r="H729" s="901"/>
      <c r="I729" s="901"/>
      <c r="J729" s="901"/>
      <c r="K729" s="901"/>
      <c r="L729" s="901"/>
      <c r="M729" s="901"/>
      <c r="N729" s="901"/>
      <c r="O729" s="901"/>
      <c r="P729" s="901"/>
      <c r="Q729" s="908">
        <f t="shared" si="134"/>
        <v>0</v>
      </c>
      <c r="R729" s="906"/>
      <c r="S729" s="906"/>
    </row>
    <row r="730" ht="15" spans="3:19">
      <c r="C730" s="55" t="s">
        <v>199</v>
      </c>
      <c r="D730" s="55" t="s">
        <v>200</v>
      </c>
      <c r="E730" s="901"/>
      <c r="F730" s="901"/>
      <c r="G730" s="901"/>
      <c r="H730" s="901"/>
      <c r="I730" s="901"/>
      <c r="J730" s="901"/>
      <c r="K730" s="901"/>
      <c r="L730" s="901"/>
      <c r="M730" s="901"/>
      <c r="N730" s="901"/>
      <c r="O730" s="901"/>
      <c r="P730" s="901"/>
      <c r="Q730" s="908">
        <f t="shared" si="134"/>
        <v>0</v>
      </c>
      <c r="R730" s="906"/>
      <c r="S730" s="906"/>
    </row>
    <row r="731" ht="15" spans="3:19">
      <c r="C731" s="55" t="s">
        <v>201</v>
      </c>
      <c r="D731" s="55" t="s">
        <v>240</v>
      </c>
      <c r="E731" s="901"/>
      <c r="F731" s="901"/>
      <c r="G731" s="901"/>
      <c r="H731" s="901"/>
      <c r="I731" s="901"/>
      <c r="J731" s="901"/>
      <c r="K731" s="901"/>
      <c r="L731" s="901"/>
      <c r="M731" s="901"/>
      <c r="N731" s="901"/>
      <c r="O731" s="901"/>
      <c r="P731" s="901"/>
      <c r="Q731" s="908">
        <f t="shared" si="134"/>
        <v>0</v>
      </c>
      <c r="R731" s="906"/>
      <c r="S731" s="906"/>
    </row>
    <row r="732" ht="15" spans="3:19">
      <c r="C732" s="55" t="s">
        <v>203</v>
      </c>
      <c r="D732" s="55" t="s">
        <v>220</v>
      </c>
      <c r="E732" s="901"/>
      <c r="F732" s="901"/>
      <c r="G732" s="901"/>
      <c r="H732" s="901"/>
      <c r="I732" s="901"/>
      <c r="J732" s="901"/>
      <c r="K732" s="901"/>
      <c r="L732" s="901"/>
      <c r="M732" s="901"/>
      <c r="N732" s="901"/>
      <c r="O732" s="901"/>
      <c r="P732" s="901"/>
      <c r="Q732" s="908">
        <f t="shared" si="134"/>
        <v>0</v>
      </c>
      <c r="R732" s="906"/>
      <c r="S732" s="906"/>
    </row>
    <row r="733" ht="15" spans="3:19">
      <c r="C733" s="55" t="s">
        <v>241</v>
      </c>
      <c r="D733" s="55" t="s">
        <v>229</v>
      </c>
      <c r="E733" s="901"/>
      <c r="F733" s="901"/>
      <c r="G733" s="901"/>
      <c r="H733" s="901"/>
      <c r="I733" s="901"/>
      <c r="J733" s="901"/>
      <c r="K733" s="901"/>
      <c r="L733" s="901"/>
      <c r="M733" s="901"/>
      <c r="N733" s="901"/>
      <c r="O733" s="901"/>
      <c r="P733" s="901"/>
      <c r="Q733" s="908">
        <f t="shared" si="134"/>
        <v>0</v>
      </c>
      <c r="R733" s="906"/>
      <c r="S733" s="906"/>
    </row>
    <row r="734" ht="15" spans="3:19">
      <c r="C734" s="55" t="s">
        <v>259</v>
      </c>
      <c r="D734" s="55" t="s">
        <v>243</v>
      </c>
      <c r="E734" s="901"/>
      <c r="F734" s="901"/>
      <c r="G734" s="901"/>
      <c r="H734" s="901"/>
      <c r="I734" s="901"/>
      <c r="J734" s="901"/>
      <c r="K734" s="901"/>
      <c r="L734" s="901"/>
      <c r="M734" s="901"/>
      <c r="N734" s="901"/>
      <c r="O734" s="901"/>
      <c r="P734" s="901"/>
      <c r="Q734" s="908">
        <f t="shared" si="134"/>
        <v>0</v>
      </c>
      <c r="R734" s="906"/>
      <c r="S734" s="906"/>
    </row>
    <row r="735" ht="15" spans="3:19">
      <c r="C735" s="55" t="s">
        <v>205</v>
      </c>
      <c r="D735" s="55" t="s">
        <v>206</v>
      </c>
      <c r="E735" s="901"/>
      <c r="F735" s="901"/>
      <c r="G735" s="901"/>
      <c r="H735" s="901"/>
      <c r="I735" s="901"/>
      <c r="J735" s="901"/>
      <c r="K735" s="901"/>
      <c r="L735" s="901"/>
      <c r="M735" s="901"/>
      <c r="N735" s="901"/>
      <c r="O735" s="901"/>
      <c r="P735" s="901"/>
      <c r="Q735" s="908">
        <f t="shared" si="134"/>
        <v>0</v>
      </c>
      <c r="R735" s="906"/>
      <c r="S735" s="906"/>
    </row>
    <row r="736" ht="15" spans="3:19">
      <c r="C736" s="55" t="s">
        <v>207</v>
      </c>
      <c r="D736" s="55" t="s">
        <v>186</v>
      </c>
      <c r="E736" s="901"/>
      <c r="F736" s="901"/>
      <c r="G736" s="901"/>
      <c r="H736" s="901"/>
      <c r="I736" s="901"/>
      <c r="J736" s="901"/>
      <c r="K736" s="901"/>
      <c r="L736" s="901"/>
      <c r="M736" s="901"/>
      <c r="N736" s="901"/>
      <c r="O736" s="901"/>
      <c r="P736" s="901"/>
      <c r="Q736" s="908">
        <f t="shared" si="134"/>
        <v>0</v>
      </c>
      <c r="R736" s="906"/>
      <c r="S736" s="906"/>
    </row>
    <row r="737" ht="15" spans="3:19">
      <c r="C737" s="55" t="s">
        <v>208</v>
      </c>
      <c r="D737" s="55" t="s">
        <v>209</v>
      </c>
      <c r="E737" s="901"/>
      <c r="F737" s="901"/>
      <c r="G737" s="901"/>
      <c r="H737" s="901"/>
      <c r="I737" s="901"/>
      <c r="J737" s="901"/>
      <c r="K737" s="901"/>
      <c r="L737" s="901"/>
      <c r="M737" s="901"/>
      <c r="N737" s="901"/>
      <c r="O737" s="901"/>
      <c r="P737" s="901"/>
      <c r="Q737" s="908">
        <f t="shared" si="134"/>
        <v>0</v>
      </c>
      <c r="R737" s="906"/>
      <c r="S737" s="906"/>
    </row>
    <row r="738" ht="15" spans="3:19">
      <c r="C738" s="55" t="s">
        <v>210</v>
      </c>
      <c r="D738" s="55" t="s">
        <v>188</v>
      </c>
      <c r="E738" s="901"/>
      <c r="F738" s="901"/>
      <c r="G738" s="901"/>
      <c r="H738" s="901"/>
      <c r="I738" s="901"/>
      <c r="J738" s="901"/>
      <c r="K738" s="901"/>
      <c r="L738" s="901"/>
      <c r="M738" s="901"/>
      <c r="N738" s="901"/>
      <c r="O738" s="901"/>
      <c r="P738" s="901"/>
      <c r="Q738" s="908">
        <f t="shared" si="134"/>
        <v>0</v>
      </c>
      <c r="R738" s="906"/>
      <c r="S738" s="906"/>
    </row>
    <row r="739" ht="15" spans="3:19">
      <c r="C739" s="55"/>
      <c r="D739" s="55"/>
      <c r="E739" s="901"/>
      <c r="F739" s="901"/>
      <c r="G739" s="901"/>
      <c r="H739" s="901"/>
      <c r="I739" s="901"/>
      <c r="J739" s="901"/>
      <c r="K739" s="901"/>
      <c r="L739" s="901"/>
      <c r="M739" s="901"/>
      <c r="N739" s="901"/>
      <c r="O739" s="901"/>
      <c r="P739" s="901"/>
      <c r="Q739" s="908">
        <f t="shared" si="134"/>
        <v>0</v>
      </c>
      <c r="R739" s="906"/>
      <c r="S739" s="906"/>
    </row>
    <row r="740" ht="15" spans="3:19">
      <c r="C740" s="55"/>
      <c r="D740" s="55"/>
      <c r="E740" s="901"/>
      <c r="F740" s="901"/>
      <c r="G740" s="901"/>
      <c r="H740" s="901"/>
      <c r="I740" s="901"/>
      <c r="J740" s="901"/>
      <c r="K740" s="901"/>
      <c r="L740" s="901"/>
      <c r="M740" s="901"/>
      <c r="N740" s="901"/>
      <c r="O740" s="901"/>
      <c r="P740" s="901"/>
      <c r="Q740" s="908">
        <f t="shared" si="134"/>
        <v>0</v>
      </c>
      <c r="R740" s="906"/>
      <c r="S740" s="906"/>
    </row>
    <row r="741" ht="15" spans="3:19">
      <c r="C741" s="55"/>
      <c r="D741" s="55"/>
      <c r="E741" s="901"/>
      <c r="F741" s="901"/>
      <c r="G741" s="901"/>
      <c r="H741" s="901"/>
      <c r="I741" s="901"/>
      <c r="J741" s="901"/>
      <c r="K741" s="901"/>
      <c r="L741" s="901"/>
      <c r="M741" s="901"/>
      <c r="N741" s="901"/>
      <c r="O741" s="901"/>
      <c r="P741" s="901"/>
      <c r="Q741" s="908">
        <f t="shared" si="134"/>
        <v>0</v>
      </c>
      <c r="R741" s="906"/>
      <c r="S741" s="906"/>
    </row>
    <row r="742" ht="15" spans="3:19">
      <c r="C742" s="55" t="s">
        <v>258</v>
      </c>
      <c r="D742" s="55" t="s">
        <v>258</v>
      </c>
      <c r="E742" s="901"/>
      <c r="F742" s="901"/>
      <c r="G742" s="901"/>
      <c r="H742" s="901"/>
      <c r="I742" s="901"/>
      <c r="J742" s="901"/>
      <c r="K742" s="901"/>
      <c r="L742" s="901"/>
      <c r="M742" s="901"/>
      <c r="N742" s="901"/>
      <c r="O742" s="901"/>
      <c r="P742" s="901"/>
      <c r="Q742" s="908">
        <f t="shared" si="134"/>
        <v>0</v>
      </c>
      <c r="R742" s="906"/>
      <c r="S742" s="906"/>
    </row>
    <row r="743" ht="15" spans="3:19">
      <c r="C743" s="537" t="s">
        <v>211</v>
      </c>
      <c r="D743" s="540"/>
      <c r="E743" s="908">
        <f t="shared" ref="E743:P743" si="135">SUM(E726:E742)</f>
        <v>0</v>
      </c>
      <c r="F743" s="908">
        <f t="shared" si="135"/>
        <v>0</v>
      </c>
      <c r="G743" s="908">
        <f t="shared" si="135"/>
        <v>0</v>
      </c>
      <c r="H743" s="908">
        <f t="shared" si="135"/>
        <v>0</v>
      </c>
      <c r="I743" s="908">
        <f t="shared" si="135"/>
        <v>0</v>
      </c>
      <c r="J743" s="908">
        <f t="shared" si="135"/>
        <v>0</v>
      </c>
      <c r="K743" s="908">
        <f t="shared" si="135"/>
        <v>0</v>
      </c>
      <c r="L743" s="908">
        <f t="shared" si="135"/>
        <v>0</v>
      </c>
      <c r="M743" s="908">
        <f t="shared" si="135"/>
        <v>0</v>
      </c>
      <c r="N743" s="908">
        <f t="shared" si="135"/>
        <v>0</v>
      </c>
      <c r="O743" s="908">
        <f t="shared" si="135"/>
        <v>0</v>
      </c>
      <c r="P743" s="908">
        <f t="shared" si="135"/>
        <v>0</v>
      </c>
      <c r="Q743" s="908">
        <f t="shared" si="134"/>
        <v>0</v>
      </c>
      <c r="R743" s="906"/>
      <c r="S743" s="906"/>
    </row>
    <row r="744" ht="15" spans="3:19">
      <c r="C744" s="537" t="s">
        <v>223</v>
      </c>
      <c r="D744" s="540"/>
      <c r="E744" s="908">
        <f t="shared" ref="E744:P744" si="136">E743+E724+E707</f>
        <v>0</v>
      </c>
      <c r="F744" s="908">
        <f t="shared" si="136"/>
        <v>0</v>
      </c>
      <c r="G744" s="908">
        <f t="shared" si="136"/>
        <v>0</v>
      </c>
      <c r="H744" s="908">
        <f t="shared" si="136"/>
        <v>0</v>
      </c>
      <c r="I744" s="908">
        <f t="shared" si="136"/>
        <v>0</v>
      </c>
      <c r="J744" s="908">
        <f t="shared" si="136"/>
        <v>0</v>
      </c>
      <c r="K744" s="908">
        <f t="shared" si="136"/>
        <v>0</v>
      </c>
      <c r="L744" s="908">
        <f t="shared" si="136"/>
        <v>0</v>
      </c>
      <c r="M744" s="908">
        <f t="shared" si="136"/>
        <v>0</v>
      </c>
      <c r="N744" s="908">
        <f t="shared" si="136"/>
        <v>0</v>
      </c>
      <c r="O744" s="908">
        <f t="shared" si="136"/>
        <v>0</v>
      </c>
      <c r="P744" s="908">
        <f t="shared" si="136"/>
        <v>0</v>
      </c>
      <c r="Q744" s="908">
        <f t="shared" si="134"/>
        <v>0</v>
      </c>
      <c r="R744" s="906"/>
      <c r="S744" s="906"/>
    </row>
    <row r="745" ht="15" spans="3:19">
      <c r="C745" s="537" t="s">
        <v>224</v>
      </c>
      <c r="D745" s="540"/>
      <c r="E745" s="908">
        <f t="shared" ref="E745:P745" si="137">E744+E690</f>
        <v>0</v>
      </c>
      <c r="F745" s="908">
        <f t="shared" si="137"/>
        <v>0</v>
      </c>
      <c r="G745" s="908">
        <f t="shared" si="137"/>
        <v>0</v>
      </c>
      <c r="H745" s="908">
        <f t="shared" si="137"/>
        <v>0</v>
      </c>
      <c r="I745" s="908">
        <f t="shared" si="137"/>
        <v>0</v>
      </c>
      <c r="J745" s="908">
        <f t="shared" si="137"/>
        <v>0</v>
      </c>
      <c r="K745" s="908">
        <f t="shared" si="137"/>
        <v>0</v>
      </c>
      <c r="L745" s="908">
        <f t="shared" si="137"/>
        <v>0</v>
      </c>
      <c r="M745" s="908">
        <f t="shared" si="137"/>
        <v>0</v>
      </c>
      <c r="N745" s="908">
        <f t="shared" si="137"/>
        <v>0</v>
      </c>
      <c r="O745" s="908">
        <f t="shared" si="137"/>
        <v>0</v>
      </c>
      <c r="P745" s="908">
        <f t="shared" si="137"/>
        <v>0</v>
      </c>
      <c r="Q745" s="908">
        <f t="shared" si="134"/>
        <v>0</v>
      </c>
      <c r="R745" s="906"/>
      <c r="S745" s="906"/>
    </row>
    <row r="746" spans="5:19">
      <c r="E746" s="906"/>
      <c r="F746" s="906"/>
      <c r="G746" s="906"/>
      <c r="H746" s="906"/>
      <c r="I746" s="906"/>
      <c r="J746" s="906"/>
      <c r="K746" s="906"/>
      <c r="L746" s="906"/>
      <c r="M746" s="906"/>
      <c r="N746" s="906"/>
      <c r="O746" s="906"/>
      <c r="P746" s="906"/>
      <c r="Q746" s="906"/>
      <c r="R746" s="906"/>
      <c r="S746" s="906"/>
    </row>
    <row r="747" ht="15" spans="3:19">
      <c r="C747" s="14"/>
      <c r="E747" s="906"/>
      <c r="F747" s="906"/>
      <c r="G747" s="906"/>
      <c r="H747" s="906"/>
      <c r="I747" s="906"/>
      <c r="J747" s="906"/>
      <c r="K747" s="906"/>
      <c r="L747" s="906"/>
      <c r="M747" s="906"/>
      <c r="N747" s="906"/>
      <c r="O747" s="906"/>
      <c r="P747" s="906"/>
      <c r="Q747" s="909" t="s">
        <v>236</v>
      </c>
      <c r="R747" s="906"/>
      <c r="S747" s="906"/>
    </row>
    <row r="748" ht="15" spans="3:19">
      <c r="C748" s="6" t="s">
        <v>159</v>
      </c>
      <c r="D748" s="6"/>
      <c r="E748" s="907" t="s">
        <v>267</v>
      </c>
      <c r="F748" s="907"/>
      <c r="G748" s="907"/>
      <c r="H748" s="907"/>
      <c r="I748" s="907"/>
      <c r="J748" s="907"/>
      <c r="K748" s="907"/>
      <c r="L748" s="907"/>
      <c r="M748" s="907"/>
      <c r="N748" s="907"/>
      <c r="O748" s="907"/>
      <c r="P748" s="907"/>
      <c r="Q748" s="907"/>
      <c r="R748" s="906"/>
      <c r="S748" s="906"/>
    </row>
    <row r="749" ht="15" spans="3:19">
      <c r="C749" s="6"/>
      <c r="D749" s="6"/>
      <c r="E749" s="907" t="s">
        <v>246</v>
      </c>
      <c r="F749" s="907" t="s">
        <v>247</v>
      </c>
      <c r="G749" s="907" t="s">
        <v>248</v>
      </c>
      <c r="H749" s="907" t="s">
        <v>249</v>
      </c>
      <c r="I749" s="907" t="s">
        <v>250</v>
      </c>
      <c r="J749" s="907" t="s">
        <v>251</v>
      </c>
      <c r="K749" s="907" t="s">
        <v>252</v>
      </c>
      <c r="L749" s="907" t="s">
        <v>253</v>
      </c>
      <c r="M749" s="907" t="s">
        <v>254</v>
      </c>
      <c r="N749" s="907" t="s">
        <v>255</v>
      </c>
      <c r="O749" s="907" t="s">
        <v>256</v>
      </c>
      <c r="P749" s="907" t="s">
        <v>257</v>
      </c>
      <c r="Q749" s="907" t="s">
        <v>97</v>
      </c>
      <c r="R749" s="906"/>
      <c r="S749" s="906"/>
    </row>
    <row r="750" ht="15" spans="3:19">
      <c r="C750" s="44" t="s">
        <v>170</v>
      </c>
      <c r="D750" s="45"/>
      <c r="E750" s="901"/>
      <c r="F750" s="901"/>
      <c r="G750" s="901"/>
      <c r="H750" s="901"/>
      <c r="I750" s="901"/>
      <c r="J750" s="901"/>
      <c r="K750" s="901"/>
      <c r="L750" s="901"/>
      <c r="M750" s="901"/>
      <c r="N750" s="901"/>
      <c r="O750" s="901"/>
      <c r="P750" s="901"/>
      <c r="Q750" s="910"/>
      <c r="R750" s="906"/>
      <c r="S750" s="906"/>
    </row>
    <row r="751" ht="15" spans="3:19">
      <c r="C751" s="47" t="s">
        <v>171</v>
      </c>
      <c r="D751" s="47" t="s">
        <v>172</v>
      </c>
      <c r="E751" s="901"/>
      <c r="F751" s="901"/>
      <c r="G751" s="901"/>
      <c r="H751" s="901"/>
      <c r="I751" s="901"/>
      <c r="J751" s="901"/>
      <c r="K751" s="901"/>
      <c r="L751" s="901"/>
      <c r="M751" s="901"/>
      <c r="N751" s="901"/>
      <c r="O751" s="901"/>
      <c r="P751" s="901"/>
      <c r="Q751" s="908">
        <f t="shared" ref="Q751:Q764" si="138">SUM(E751:P751)</f>
        <v>0</v>
      </c>
      <c r="R751" s="906"/>
      <c r="S751" s="906"/>
    </row>
    <row r="752" ht="15" spans="3:19">
      <c r="C752" s="55" t="s">
        <v>173</v>
      </c>
      <c r="D752" s="55" t="s">
        <v>174</v>
      </c>
      <c r="E752" s="901"/>
      <c r="F752" s="901"/>
      <c r="G752" s="901"/>
      <c r="H752" s="901"/>
      <c r="I752" s="901"/>
      <c r="J752" s="901"/>
      <c r="K752" s="901"/>
      <c r="L752" s="901"/>
      <c r="M752" s="901"/>
      <c r="N752" s="901"/>
      <c r="O752" s="901"/>
      <c r="P752" s="901"/>
      <c r="Q752" s="908">
        <f t="shared" si="138"/>
        <v>0</v>
      </c>
      <c r="R752" s="906"/>
      <c r="S752" s="906"/>
    </row>
    <row r="753" ht="15" spans="3:19">
      <c r="C753" s="55" t="s">
        <v>175</v>
      </c>
      <c r="D753" s="55" t="s">
        <v>176</v>
      </c>
      <c r="E753" s="901"/>
      <c r="F753" s="901"/>
      <c r="G753" s="901"/>
      <c r="H753" s="901"/>
      <c r="I753" s="901"/>
      <c r="J753" s="901"/>
      <c r="K753" s="901"/>
      <c r="L753" s="901"/>
      <c r="M753" s="901"/>
      <c r="N753" s="901"/>
      <c r="O753" s="901"/>
      <c r="P753" s="901"/>
      <c r="Q753" s="908">
        <f t="shared" si="138"/>
        <v>0</v>
      </c>
      <c r="R753" s="906"/>
      <c r="S753" s="906"/>
    </row>
    <row r="754" ht="15" spans="3:19">
      <c r="C754" s="55" t="s">
        <v>177</v>
      </c>
      <c r="D754" s="55" t="s">
        <v>178</v>
      </c>
      <c r="E754" s="901"/>
      <c r="F754" s="901"/>
      <c r="G754" s="901"/>
      <c r="H754" s="901"/>
      <c r="I754" s="901"/>
      <c r="J754" s="901"/>
      <c r="K754" s="901"/>
      <c r="L754" s="901"/>
      <c r="M754" s="901"/>
      <c r="N754" s="901"/>
      <c r="O754" s="901"/>
      <c r="P754" s="901"/>
      <c r="Q754" s="908">
        <f t="shared" si="138"/>
        <v>0</v>
      </c>
      <c r="R754" s="906"/>
      <c r="S754" s="906"/>
    </row>
    <row r="755" ht="15" spans="3:19">
      <c r="C755" s="55" t="s">
        <v>179</v>
      </c>
      <c r="D755" s="55" t="s">
        <v>180</v>
      </c>
      <c r="E755" s="901"/>
      <c r="F755" s="901"/>
      <c r="G755" s="901"/>
      <c r="H755" s="901"/>
      <c r="I755" s="901"/>
      <c r="J755" s="901"/>
      <c r="K755" s="901"/>
      <c r="L755" s="901"/>
      <c r="M755" s="901"/>
      <c r="N755" s="901"/>
      <c r="O755" s="901"/>
      <c r="P755" s="901"/>
      <c r="Q755" s="908">
        <f t="shared" si="138"/>
        <v>0</v>
      </c>
      <c r="R755" s="906"/>
      <c r="S755" s="906"/>
    </row>
    <row r="756" ht="15" spans="3:19">
      <c r="C756" s="55" t="s">
        <v>181</v>
      </c>
      <c r="D756" s="55" t="s">
        <v>182</v>
      </c>
      <c r="E756" s="901"/>
      <c r="F756" s="901"/>
      <c r="G756" s="901"/>
      <c r="H756" s="901"/>
      <c r="I756" s="901"/>
      <c r="J756" s="901"/>
      <c r="K756" s="901"/>
      <c r="L756" s="901"/>
      <c r="M756" s="901"/>
      <c r="N756" s="901"/>
      <c r="O756" s="901"/>
      <c r="P756" s="901"/>
      <c r="Q756" s="908">
        <f t="shared" si="138"/>
        <v>0</v>
      </c>
      <c r="R756" s="906"/>
      <c r="S756" s="906"/>
    </row>
    <row r="757" ht="15" spans="3:19">
      <c r="C757" s="55" t="s">
        <v>183</v>
      </c>
      <c r="D757" s="55" t="s">
        <v>184</v>
      </c>
      <c r="E757" s="901"/>
      <c r="F757" s="901"/>
      <c r="G757" s="901"/>
      <c r="H757" s="901"/>
      <c r="I757" s="901"/>
      <c r="J757" s="901"/>
      <c r="K757" s="901"/>
      <c r="L757" s="901"/>
      <c r="M757" s="901"/>
      <c r="N757" s="901"/>
      <c r="O757" s="901"/>
      <c r="P757" s="901"/>
      <c r="Q757" s="908">
        <f t="shared" si="138"/>
        <v>0</v>
      </c>
      <c r="R757" s="906"/>
      <c r="S757" s="906"/>
    </row>
    <row r="758" ht="15" spans="3:19">
      <c r="C758" s="55" t="s">
        <v>185</v>
      </c>
      <c r="D758" s="55" t="s">
        <v>186</v>
      </c>
      <c r="E758" s="901"/>
      <c r="F758" s="901"/>
      <c r="G758" s="901"/>
      <c r="H758" s="901"/>
      <c r="I758" s="901"/>
      <c r="J758" s="901"/>
      <c r="K758" s="901"/>
      <c r="L758" s="901"/>
      <c r="M758" s="901"/>
      <c r="N758" s="901"/>
      <c r="O758" s="901"/>
      <c r="P758" s="901"/>
      <c r="Q758" s="908">
        <f t="shared" si="138"/>
        <v>0</v>
      </c>
      <c r="R758" s="906"/>
      <c r="S758" s="906"/>
    </row>
    <row r="759" ht="15" spans="3:19">
      <c r="C759" s="55" t="s">
        <v>187</v>
      </c>
      <c r="D759" s="55" t="s">
        <v>188</v>
      </c>
      <c r="E759" s="901"/>
      <c r="F759" s="901"/>
      <c r="G759" s="901"/>
      <c r="H759" s="901"/>
      <c r="I759" s="901"/>
      <c r="J759" s="901"/>
      <c r="K759" s="901"/>
      <c r="L759" s="901"/>
      <c r="M759" s="901"/>
      <c r="N759" s="901"/>
      <c r="O759" s="901"/>
      <c r="P759" s="901"/>
      <c r="Q759" s="908">
        <f t="shared" si="138"/>
        <v>0</v>
      </c>
      <c r="R759" s="906"/>
      <c r="S759" s="906"/>
    </row>
    <row r="760" ht="15" spans="3:19">
      <c r="C760" s="55"/>
      <c r="D760" s="55"/>
      <c r="E760" s="901"/>
      <c r="F760" s="901"/>
      <c r="G760" s="901"/>
      <c r="H760" s="901"/>
      <c r="I760" s="901"/>
      <c r="J760" s="901"/>
      <c r="K760" s="901"/>
      <c r="L760" s="901"/>
      <c r="M760" s="901"/>
      <c r="N760" s="901"/>
      <c r="O760" s="901"/>
      <c r="P760" s="901"/>
      <c r="Q760" s="908">
        <f t="shared" si="138"/>
        <v>0</v>
      </c>
      <c r="R760" s="906"/>
      <c r="S760" s="906"/>
    </row>
    <row r="761" ht="15" spans="3:19">
      <c r="C761" s="55"/>
      <c r="D761" s="55"/>
      <c r="E761" s="901"/>
      <c r="F761" s="901"/>
      <c r="G761" s="901"/>
      <c r="H761" s="901"/>
      <c r="I761" s="901"/>
      <c r="J761" s="901"/>
      <c r="K761" s="901"/>
      <c r="L761" s="901"/>
      <c r="M761" s="901"/>
      <c r="N761" s="901"/>
      <c r="O761" s="901"/>
      <c r="P761" s="901"/>
      <c r="Q761" s="908">
        <f t="shared" si="138"/>
        <v>0</v>
      </c>
      <c r="R761" s="906"/>
      <c r="S761" s="906"/>
    </row>
    <row r="762" ht="15" spans="3:19">
      <c r="C762" s="55"/>
      <c r="D762" s="55"/>
      <c r="E762" s="901"/>
      <c r="F762" s="901"/>
      <c r="G762" s="901"/>
      <c r="H762" s="901"/>
      <c r="I762" s="901"/>
      <c r="J762" s="901"/>
      <c r="K762" s="901"/>
      <c r="L762" s="901"/>
      <c r="M762" s="901"/>
      <c r="N762" s="901"/>
      <c r="O762" s="901"/>
      <c r="P762" s="901"/>
      <c r="Q762" s="908">
        <f t="shared" si="138"/>
        <v>0</v>
      </c>
      <c r="R762" s="906"/>
      <c r="S762" s="906"/>
    </row>
    <row r="763" ht="15" spans="3:19">
      <c r="C763" s="55" t="s">
        <v>258</v>
      </c>
      <c r="D763" s="55" t="s">
        <v>258</v>
      </c>
      <c r="E763" s="901"/>
      <c r="F763" s="901"/>
      <c r="G763" s="901"/>
      <c r="H763" s="901"/>
      <c r="I763" s="901"/>
      <c r="J763" s="901"/>
      <c r="K763" s="901"/>
      <c r="L763" s="901"/>
      <c r="M763" s="901"/>
      <c r="N763" s="901"/>
      <c r="O763" s="901"/>
      <c r="P763" s="901"/>
      <c r="Q763" s="908">
        <f t="shared" si="138"/>
        <v>0</v>
      </c>
      <c r="R763" s="906"/>
      <c r="S763" s="906"/>
    </row>
    <row r="764" ht="15" spans="3:19">
      <c r="C764" s="537" t="s">
        <v>189</v>
      </c>
      <c r="D764" s="540"/>
      <c r="E764" s="908">
        <f t="shared" ref="E764:P764" si="139">SUM(E751:E763)</f>
        <v>0</v>
      </c>
      <c r="F764" s="908">
        <f t="shared" si="139"/>
        <v>0</v>
      </c>
      <c r="G764" s="908">
        <f t="shared" si="139"/>
        <v>0</v>
      </c>
      <c r="H764" s="908">
        <f t="shared" si="139"/>
        <v>0</v>
      </c>
      <c r="I764" s="908">
        <f t="shared" si="139"/>
        <v>0</v>
      </c>
      <c r="J764" s="908">
        <f t="shared" si="139"/>
        <v>0</v>
      </c>
      <c r="K764" s="908">
        <f t="shared" si="139"/>
        <v>0</v>
      </c>
      <c r="L764" s="908">
        <f t="shared" si="139"/>
        <v>0</v>
      </c>
      <c r="M764" s="908">
        <f t="shared" si="139"/>
        <v>0</v>
      </c>
      <c r="N764" s="908">
        <f t="shared" si="139"/>
        <v>0</v>
      </c>
      <c r="O764" s="908">
        <f t="shared" si="139"/>
        <v>0</v>
      </c>
      <c r="P764" s="908">
        <f t="shared" si="139"/>
        <v>0</v>
      </c>
      <c r="Q764" s="908">
        <f t="shared" si="138"/>
        <v>0</v>
      </c>
      <c r="R764" s="906"/>
      <c r="S764" s="906"/>
    </row>
    <row r="765" ht="15" spans="3:19">
      <c r="C765" s="44" t="s">
        <v>190</v>
      </c>
      <c r="D765" s="45"/>
      <c r="E765" s="901"/>
      <c r="F765" s="901"/>
      <c r="G765" s="901"/>
      <c r="H765" s="901"/>
      <c r="I765" s="901"/>
      <c r="J765" s="901"/>
      <c r="K765" s="901"/>
      <c r="L765" s="901"/>
      <c r="M765" s="901"/>
      <c r="N765" s="901"/>
      <c r="O765" s="901"/>
      <c r="P765" s="901"/>
      <c r="Q765" s="910"/>
      <c r="R765" s="906"/>
      <c r="S765" s="906"/>
    </row>
    <row r="766" ht="15" spans="3:19">
      <c r="C766" s="55" t="s">
        <v>191</v>
      </c>
      <c r="D766" s="55" t="s">
        <v>192</v>
      </c>
      <c r="E766" s="901"/>
      <c r="F766" s="901"/>
      <c r="G766" s="901"/>
      <c r="H766" s="901"/>
      <c r="I766" s="901"/>
      <c r="J766" s="901"/>
      <c r="K766" s="901"/>
      <c r="L766" s="901"/>
      <c r="M766" s="901"/>
      <c r="N766" s="901"/>
      <c r="O766" s="901"/>
      <c r="P766" s="901"/>
      <c r="Q766" s="908">
        <f t="shared" ref="Q766:Q781" si="140">SUM(E766:P766)</f>
        <v>0</v>
      </c>
      <c r="R766" s="906"/>
      <c r="S766" s="906"/>
    </row>
    <row r="767" ht="15" spans="3:19">
      <c r="C767" s="55" t="s">
        <v>193</v>
      </c>
      <c r="D767" s="55" t="s">
        <v>194</v>
      </c>
      <c r="E767" s="901"/>
      <c r="F767" s="901"/>
      <c r="G767" s="901"/>
      <c r="H767" s="901"/>
      <c r="I767" s="901"/>
      <c r="J767" s="901"/>
      <c r="K767" s="901"/>
      <c r="L767" s="901"/>
      <c r="M767" s="901"/>
      <c r="N767" s="901"/>
      <c r="O767" s="901"/>
      <c r="P767" s="901"/>
      <c r="Q767" s="908">
        <f t="shared" si="140"/>
        <v>0</v>
      </c>
      <c r="R767" s="906"/>
      <c r="S767" s="906"/>
    </row>
    <row r="768" ht="15" spans="3:19">
      <c r="C768" s="55" t="s">
        <v>239</v>
      </c>
      <c r="D768" s="55" t="s">
        <v>196</v>
      </c>
      <c r="E768" s="901"/>
      <c r="F768" s="901"/>
      <c r="G768" s="901"/>
      <c r="H768" s="901"/>
      <c r="I768" s="901"/>
      <c r="J768" s="901"/>
      <c r="K768" s="901"/>
      <c r="L768" s="901"/>
      <c r="M768" s="901"/>
      <c r="N768" s="901"/>
      <c r="O768" s="901"/>
      <c r="P768" s="901"/>
      <c r="Q768" s="908">
        <f t="shared" si="140"/>
        <v>0</v>
      </c>
      <c r="R768" s="906"/>
      <c r="S768" s="906"/>
    </row>
    <row r="769" ht="15" spans="3:19">
      <c r="C769" s="55" t="s">
        <v>197</v>
      </c>
      <c r="D769" s="55" t="s">
        <v>198</v>
      </c>
      <c r="E769" s="901"/>
      <c r="F769" s="901"/>
      <c r="G769" s="901"/>
      <c r="H769" s="901"/>
      <c r="I769" s="901"/>
      <c r="J769" s="901"/>
      <c r="K769" s="901"/>
      <c r="L769" s="901"/>
      <c r="M769" s="901"/>
      <c r="N769" s="901"/>
      <c r="O769" s="901"/>
      <c r="P769" s="901"/>
      <c r="Q769" s="908">
        <f t="shared" si="140"/>
        <v>0</v>
      </c>
      <c r="R769" s="906"/>
      <c r="S769" s="906"/>
    </row>
    <row r="770" ht="15" spans="3:19">
      <c r="C770" s="55" t="s">
        <v>199</v>
      </c>
      <c r="D770" s="55" t="s">
        <v>200</v>
      </c>
      <c r="E770" s="901"/>
      <c r="F770" s="901"/>
      <c r="G770" s="901"/>
      <c r="H770" s="901"/>
      <c r="I770" s="901"/>
      <c r="J770" s="901"/>
      <c r="K770" s="901"/>
      <c r="L770" s="901"/>
      <c r="M770" s="901"/>
      <c r="N770" s="901"/>
      <c r="O770" s="901"/>
      <c r="P770" s="901"/>
      <c r="Q770" s="908">
        <f t="shared" si="140"/>
        <v>0</v>
      </c>
      <c r="R770" s="906"/>
      <c r="S770" s="906"/>
    </row>
    <row r="771" ht="15" spans="3:19">
      <c r="C771" s="55" t="s">
        <v>201</v>
      </c>
      <c r="D771" s="55" t="s">
        <v>202</v>
      </c>
      <c r="E771" s="901"/>
      <c r="F771" s="901"/>
      <c r="G771" s="901"/>
      <c r="H771" s="901"/>
      <c r="I771" s="901"/>
      <c r="J771" s="901"/>
      <c r="K771" s="901"/>
      <c r="L771" s="901"/>
      <c r="M771" s="901"/>
      <c r="N771" s="901"/>
      <c r="O771" s="901"/>
      <c r="P771" s="901"/>
      <c r="Q771" s="908">
        <f t="shared" si="140"/>
        <v>0</v>
      </c>
      <c r="R771" s="906"/>
      <c r="S771" s="906"/>
    </row>
    <row r="772" ht="15" spans="3:19">
      <c r="C772" s="55" t="s">
        <v>203</v>
      </c>
      <c r="D772" s="55" t="s">
        <v>204</v>
      </c>
      <c r="E772" s="901"/>
      <c r="F772" s="901"/>
      <c r="G772" s="901"/>
      <c r="H772" s="901"/>
      <c r="I772" s="901"/>
      <c r="J772" s="901"/>
      <c r="K772" s="901"/>
      <c r="L772" s="901"/>
      <c r="M772" s="901"/>
      <c r="N772" s="901"/>
      <c r="O772" s="901"/>
      <c r="P772" s="901"/>
      <c r="Q772" s="908">
        <f t="shared" si="140"/>
        <v>0</v>
      </c>
      <c r="R772" s="906"/>
      <c r="S772" s="906"/>
    </row>
    <row r="773" ht="15" spans="3:19">
      <c r="C773" s="55" t="s">
        <v>205</v>
      </c>
      <c r="D773" s="55" t="s">
        <v>206</v>
      </c>
      <c r="E773" s="901"/>
      <c r="F773" s="901"/>
      <c r="G773" s="901"/>
      <c r="H773" s="901"/>
      <c r="I773" s="901"/>
      <c r="J773" s="901"/>
      <c r="K773" s="901"/>
      <c r="L773" s="901"/>
      <c r="M773" s="901"/>
      <c r="N773" s="901"/>
      <c r="O773" s="901"/>
      <c r="P773" s="901"/>
      <c r="Q773" s="908">
        <f t="shared" si="140"/>
        <v>0</v>
      </c>
      <c r="R773" s="906"/>
      <c r="S773" s="906"/>
    </row>
    <row r="774" ht="15" spans="3:19">
      <c r="C774" s="55" t="s">
        <v>207</v>
      </c>
      <c r="D774" s="55" t="s">
        <v>186</v>
      </c>
      <c r="E774" s="901"/>
      <c r="F774" s="901"/>
      <c r="G774" s="901"/>
      <c r="H774" s="901"/>
      <c r="I774" s="901"/>
      <c r="J774" s="901"/>
      <c r="K774" s="901"/>
      <c r="L774" s="901"/>
      <c r="M774" s="901"/>
      <c r="N774" s="901"/>
      <c r="O774" s="901"/>
      <c r="P774" s="901"/>
      <c r="Q774" s="908">
        <f t="shared" si="140"/>
        <v>0</v>
      </c>
      <c r="R774" s="906"/>
      <c r="S774" s="906"/>
    </row>
    <row r="775" ht="15" spans="3:19">
      <c r="C775" s="55" t="s">
        <v>208</v>
      </c>
      <c r="D775" s="55" t="s">
        <v>209</v>
      </c>
      <c r="E775" s="901"/>
      <c r="F775" s="901"/>
      <c r="G775" s="901"/>
      <c r="H775" s="901"/>
      <c r="I775" s="901"/>
      <c r="J775" s="901"/>
      <c r="K775" s="901"/>
      <c r="L775" s="901"/>
      <c r="M775" s="901"/>
      <c r="N775" s="901"/>
      <c r="O775" s="901"/>
      <c r="P775" s="901"/>
      <c r="Q775" s="908">
        <f t="shared" si="140"/>
        <v>0</v>
      </c>
      <c r="R775" s="906"/>
      <c r="S775" s="906"/>
    </row>
    <row r="776" ht="15" spans="3:19">
      <c r="C776" s="55" t="s">
        <v>210</v>
      </c>
      <c r="D776" s="55" t="s">
        <v>188</v>
      </c>
      <c r="E776" s="901"/>
      <c r="F776" s="901"/>
      <c r="G776" s="901"/>
      <c r="H776" s="901"/>
      <c r="I776" s="901"/>
      <c r="J776" s="901"/>
      <c r="K776" s="901"/>
      <c r="L776" s="901"/>
      <c r="M776" s="901"/>
      <c r="N776" s="901"/>
      <c r="O776" s="901"/>
      <c r="P776" s="901"/>
      <c r="Q776" s="908">
        <f t="shared" si="140"/>
        <v>0</v>
      </c>
      <c r="R776" s="906"/>
      <c r="S776" s="906"/>
    </row>
    <row r="777" ht="15" spans="3:19">
      <c r="C777" s="55"/>
      <c r="D777" s="55"/>
      <c r="E777" s="901"/>
      <c r="F777" s="901"/>
      <c r="G777" s="901"/>
      <c r="H777" s="901"/>
      <c r="I777" s="901"/>
      <c r="J777" s="901"/>
      <c r="K777" s="901"/>
      <c r="L777" s="901"/>
      <c r="M777" s="901"/>
      <c r="N777" s="901"/>
      <c r="O777" s="901"/>
      <c r="P777" s="901"/>
      <c r="Q777" s="908">
        <f t="shared" si="140"/>
        <v>0</v>
      </c>
      <c r="R777" s="906"/>
      <c r="S777" s="906"/>
    </row>
    <row r="778" ht="15" spans="3:19">
      <c r="C778" s="55"/>
      <c r="D778" s="55"/>
      <c r="E778" s="901"/>
      <c r="F778" s="901"/>
      <c r="G778" s="901"/>
      <c r="H778" s="901"/>
      <c r="I778" s="901"/>
      <c r="J778" s="901"/>
      <c r="K778" s="901"/>
      <c r="L778" s="901"/>
      <c r="M778" s="901"/>
      <c r="N778" s="901"/>
      <c r="O778" s="901"/>
      <c r="P778" s="901"/>
      <c r="Q778" s="908">
        <f t="shared" si="140"/>
        <v>0</v>
      </c>
      <c r="R778" s="906"/>
      <c r="S778" s="906"/>
    </row>
    <row r="779" ht="15" spans="3:19">
      <c r="C779" s="55"/>
      <c r="D779" s="55"/>
      <c r="E779" s="901"/>
      <c r="F779" s="901"/>
      <c r="G779" s="901"/>
      <c r="H779" s="901"/>
      <c r="I779" s="901"/>
      <c r="J779" s="901"/>
      <c r="K779" s="901"/>
      <c r="L779" s="901"/>
      <c r="M779" s="901"/>
      <c r="N779" s="901"/>
      <c r="O779" s="901"/>
      <c r="P779" s="901"/>
      <c r="Q779" s="908">
        <f t="shared" si="140"/>
        <v>0</v>
      </c>
      <c r="R779" s="906"/>
      <c r="S779" s="906"/>
    </row>
    <row r="780" ht="15" spans="3:19">
      <c r="C780" s="55" t="s">
        <v>258</v>
      </c>
      <c r="D780" s="55" t="s">
        <v>258</v>
      </c>
      <c r="E780" s="901"/>
      <c r="F780" s="901"/>
      <c r="G780" s="901"/>
      <c r="H780" s="901"/>
      <c r="I780" s="901"/>
      <c r="J780" s="901"/>
      <c r="K780" s="901"/>
      <c r="L780" s="901"/>
      <c r="M780" s="901"/>
      <c r="N780" s="901"/>
      <c r="O780" s="901"/>
      <c r="P780" s="901"/>
      <c r="Q780" s="908">
        <f t="shared" si="140"/>
        <v>0</v>
      </c>
      <c r="R780" s="906"/>
      <c r="S780" s="906"/>
    </row>
    <row r="781" ht="15" spans="3:19">
      <c r="C781" s="537" t="s">
        <v>211</v>
      </c>
      <c r="D781" s="540"/>
      <c r="E781" s="908">
        <f t="shared" ref="E781:P781" si="141">SUM(E766:E780)</f>
        <v>0</v>
      </c>
      <c r="F781" s="908">
        <f t="shared" si="141"/>
        <v>0</v>
      </c>
      <c r="G781" s="908">
        <f t="shared" si="141"/>
        <v>0</v>
      </c>
      <c r="H781" s="908">
        <f t="shared" si="141"/>
        <v>0</v>
      </c>
      <c r="I781" s="908">
        <f t="shared" si="141"/>
        <v>0</v>
      </c>
      <c r="J781" s="908">
        <f t="shared" si="141"/>
        <v>0</v>
      </c>
      <c r="K781" s="908">
        <f t="shared" si="141"/>
        <v>0</v>
      </c>
      <c r="L781" s="908">
        <f t="shared" si="141"/>
        <v>0</v>
      </c>
      <c r="M781" s="908">
        <f t="shared" si="141"/>
        <v>0</v>
      </c>
      <c r="N781" s="908">
        <f t="shared" si="141"/>
        <v>0</v>
      </c>
      <c r="O781" s="908">
        <f t="shared" si="141"/>
        <v>0</v>
      </c>
      <c r="P781" s="908">
        <f t="shared" si="141"/>
        <v>0</v>
      </c>
      <c r="Q781" s="908">
        <f t="shared" si="140"/>
        <v>0</v>
      </c>
      <c r="R781" s="906"/>
      <c r="S781" s="906"/>
    </row>
    <row r="782" ht="15" spans="3:19">
      <c r="C782" s="44" t="s">
        <v>212</v>
      </c>
      <c r="D782" s="45"/>
      <c r="E782" s="901"/>
      <c r="F782" s="901"/>
      <c r="G782" s="901"/>
      <c r="H782" s="901"/>
      <c r="I782" s="901"/>
      <c r="J782" s="901"/>
      <c r="K782" s="901"/>
      <c r="L782" s="901"/>
      <c r="M782" s="901"/>
      <c r="N782" s="901"/>
      <c r="O782" s="901"/>
      <c r="P782" s="901"/>
      <c r="Q782" s="910"/>
      <c r="R782" s="906"/>
      <c r="S782" s="906"/>
    </row>
    <row r="783" ht="15" spans="3:19">
      <c r="C783" s="55" t="s">
        <v>191</v>
      </c>
      <c r="D783" s="55" t="s">
        <v>192</v>
      </c>
      <c r="E783" s="901"/>
      <c r="F783" s="901"/>
      <c r="G783" s="901"/>
      <c r="H783" s="901"/>
      <c r="I783" s="901"/>
      <c r="J783" s="901"/>
      <c r="K783" s="901"/>
      <c r="L783" s="901"/>
      <c r="M783" s="901"/>
      <c r="N783" s="901"/>
      <c r="O783" s="901"/>
      <c r="P783" s="901"/>
      <c r="Q783" s="908">
        <f t="shared" ref="Q783:Q798" si="142">SUM(E783:P783)</f>
        <v>0</v>
      </c>
      <c r="R783" s="906"/>
      <c r="S783" s="906"/>
    </row>
    <row r="784" ht="15" spans="3:19">
      <c r="C784" s="55" t="s">
        <v>193</v>
      </c>
      <c r="D784" s="55" t="s">
        <v>194</v>
      </c>
      <c r="E784" s="901"/>
      <c r="F784" s="901"/>
      <c r="G784" s="901"/>
      <c r="H784" s="901"/>
      <c r="I784" s="901"/>
      <c r="J784" s="901"/>
      <c r="K784" s="901"/>
      <c r="L784" s="901"/>
      <c r="M784" s="901"/>
      <c r="N784" s="901"/>
      <c r="O784" s="901"/>
      <c r="P784" s="901"/>
      <c r="Q784" s="908">
        <f t="shared" si="142"/>
        <v>0</v>
      </c>
      <c r="R784" s="906"/>
      <c r="S784" s="906"/>
    </row>
    <row r="785" ht="15" spans="3:19">
      <c r="C785" s="55" t="s">
        <v>239</v>
      </c>
      <c r="D785" s="55" t="s">
        <v>196</v>
      </c>
      <c r="E785" s="901"/>
      <c r="F785" s="901"/>
      <c r="G785" s="901"/>
      <c r="H785" s="901"/>
      <c r="I785" s="901"/>
      <c r="J785" s="901"/>
      <c r="K785" s="901"/>
      <c r="L785" s="901"/>
      <c r="M785" s="901"/>
      <c r="N785" s="901"/>
      <c r="O785" s="901"/>
      <c r="P785" s="901"/>
      <c r="Q785" s="908">
        <f t="shared" si="142"/>
        <v>0</v>
      </c>
      <c r="R785" s="906"/>
      <c r="S785" s="906"/>
    </row>
    <row r="786" ht="15" spans="3:19">
      <c r="C786" s="55" t="s">
        <v>197</v>
      </c>
      <c r="D786" s="55" t="s">
        <v>198</v>
      </c>
      <c r="E786" s="901"/>
      <c r="F786" s="901"/>
      <c r="G786" s="901"/>
      <c r="H786" s="901"/>
      <c r="I786" s="901"/>
      <c r="J786" s="901"/>
      <c r="K786" s="901"/>
      <c r="L786" s="901"/>
      <c r="M786" s="901"/>
      <c r="N786" s="901"/>
      <c r="O786" s="901"/>
      <c r="P786" s="901"/>
      <c r="Q786" s="908">
        <f t="shared" si="142"/>
        <v>0</v>
      </c>
      <c r="R786" s="906"/>
      <c r="S786" s="906"/>
    </row>
    <row r="787" ht="15" spans="3:19">
      <c r="C787" s="55" t="s">
        <v>199</v>
      </c>
      <c r="D787" s="55" t="s">
        <v>200</v>
      </c>
      <c r="E787" s="901"/>
      <c r="F787" s="901"/>
      <c r="G787" s="901"/>
      <c r="H787" s="901"/>
      <c r="I787" s="901"/>
      <c r="J787" s="901"/>
      <c r="K787" s="901"/>
      <c r="L787" s="901"/>
      <c r="M787" s="901"/>
      <c r="N787" s="901"/>
      <c r="O787" s="901"/>
      <c r="P787" s="901"/>
      <c r="Q787" s="908">
        <f t="shared" si="142"/>
        <v>0</v>
      </c>
      <c r="R787" s="906"/>
      <c r="S787" s="906"/>
    </row>
    <row r="788" ht="15" spans="3:19">
      <c r="C788" s="55" t="s">
        <v>201</v>
      </c>
      <c r="D788" s="55" t="s">
        <v>202</v>
      </c>
      <c r="E788" s="901"/>
      <c r="F788" s="901"/>
      <c r="G788" s="901"/>
      <c r="H788" s="901"/>
      <c r="I788" s="901"/>
      <c r="J788" s="901"/>
      <c r="K788" s="901"/>
      <c r="L788" s="901"/>
      <c r="M788" s="901"/>
      <c r="N788" s="901"/>
      <c r="O788" s="901"/>
      <c r="P788" s="901"/>
      <c r="Q788" s="908">
        <f t="shared" si="142"/>
        <v>0</v>
      </c>
      <c r="R788" s="906"/>
      <c r="S788" s="906"/>
    </row>
    <row r="789" ht="15" spans="3:19">
      <c r="C789" s="55" t="s">
        <v>203</v>
      </c>
      <c r="D789" s="55" t="s">
        <v>204</v>
      </c>
      <c r="E789" s="901"/>
      <c r="F789" s="901"/>
      <c r="G789" s="901"/>
      <c r="H789" s="901"/>
      <c r="I789" s="901"/>
      <c r="J789" s="901"/>
      <c r="K789" s="901"/>
      <c r="L789" s="901"/>
      <c r="M789" s="901"/>
      <c r="N789" s="901"/>
      <c r="O789" s="901"/>
      <c r="P789" s="901"/>
      <c r="Q789" s="908">
        <f t="shared" si="142"/>
        <v>0</v>
      </c>
      <c r="R789" s="906"/>
      <c r="S789" s="906"/>
    </row>
    <row r="790" ht="15" spans="3:19">
      <c r="C790" s="55" t="s">
        <v>205</v>
      </c>
      <c r="D790" s="55" t="s">
        <v>206</v>
      </c>
      <c r="E790" s="901"/>
      <c r="F790" s="901"/>
      <c r="G790" s="901"/>
      <c r="H790" s="901"/>
      <c r="I790" s="901"/>
      <c r="J790" s="901"/>
      <c r="K790" s="901"/>
      <c r="L790" s="901"/>
      <c r="M790" s="901"/>
      <c r="N790" s="901"/>
      <c r="O790" s="901"/>
      <c r="P790" s="901"/>
      <c r="Q790" s="908">
        <f t="shared" si="142"/>
        <v>0</v>
      </c>
      <c r="R790" s="906"/>
      <c r="S790" s="906"/>
    </row>
    <row r="791" ht="15" spans="3:19">
      <c r="C791" s="55" t="s">
        <v>231</v>
      </c>
      <c r="D791" s="55" t="s">
        <v>186</v>
      </c>
      <c r="E791" s="901"/>
      <c r="F791" s="901"/>
      <c r="G791" s="901"/>
      <c r="H791" s="901"/>
      <c r="I791" s="901"/>
      <c r="J791" s="901"/>
      <c r="K791" s="901"/>
      <c r="L791" s="901"/>
      <c r="M791" s="901"/>
      <c r="N791" s="901"/>
      <c r="O791" s="901"/>
      <c r="P791" s="901"/>
      <c r="Q791" s="908">
        <f t="shared" si="142"/>
        <v>0</v>
      </c>
      <c r="R791" s="906"/>
      <c r="S791" s="906"/>
    </row>
    <row r="792" ht="15" spans="3:19">
      <c r="C792" s="55" t="s">
        <v>208</v>
      </c>
      <c r="D792" s="55" t="s">
        <v>209</v>
      </c>
      <c r="E792" s="901"/>
      <c r="F792" s="901"/>
      <c r="G792" s="901"/>
      <c r="H792" s="901"/>
      <c r="I792" s="901"/>
      <c r="J792" s="901"/>
      <c r="K792" s="901"/>
      <c r="L792" s="901"/>
      <c r="M792" s="901"/>
      <c r="N792" s="901"/>
      <c r="O792" s="901"/>
      <c r="P792" s="901"/>
      <c r="Q792" s="908">
        <f t="shared" si="142"/>
        <v>0</v>
      </c>
      <c r="R792" s="906"/>
      <c r="S792" s="906"/>
    </row>
    <row r="793" ht="15" spans="3:19">
      <c r="C793" s="55" t="s">
        <v>210</v>
      </c>
      <c r="D793" s="55" t="s">
        <v>188</v>
      </c>
      <c r="E793" s="901"/>
      <c r="F793" s="901"/>
      <c r="G793" s="901"/>
      <c r="H793" s="901"/>
      <c r="I793" s="901"/>
      <c r="J793" s="901"/>
      <c r="K793" s="901"/>
      <c r="L793" s="901"/>
      <c r="M793" s="901"/>
      <c r="N793" s="901"/>
      <c r="O793" s="901"/>
      <c r="P793" s="901"/>
      <c r="Q793" s="908">
        <f t="shared" si="142"/>
        <v>0</v>
      </c>
      <c r="R793" s="906"/>
      <c r="S793" s="906"/>
    </row>
    <row r="794" ht="15" spans="3:19">
      <c r="C794" s="55"/>
      <c r="D794" s="55"/>
      <c r="E794" s="901"/>
      <c r="F794" s="901"/>
      <c r="G794" s="901"/>
      <c r="H794" s="901"/>
      <c r="I794" s="901"/>
      <c r="J794" s="901"/>
      <c r="K794" s="901"/>
      <c r="L794" s="901"/>
      <c r="M794" s="901"/>
      <c r="N794" s="901"/>
      <c r="O794" s="901"/>
      <c r="P794" s="901"/>
      <c r="Q794" s="908">
        <f t="shared" si="142"/>
        <v>0</v>
      </c>
      <c r="R794" s="906"/>
      <c r="S794" s="906"/>
    </row>
    <row r="795" ht="15" spans="3:19">
      <c r="C795" s="55"/>
      <c r="D795" s="55"/>
      <c r="E795" s="901"/>
      <c r="F795" s="901"/>
      <c r="G795" s="901"/>
      <c r="H795" s="901"/>
      <c r="I795" s="901"/>
      <c r="J795" s="901"/>
      <c r="K795" s="901"/>
      <c r="L795" s="901"/>
      <c r="M795" s="901"/>
      <c r="N795" s="901"/>
      <c r="O795" s="901"/>
      <c r="P795" s="901"/>
      <c r="Q795" s="908">
        <f t="shared" si="142"/>
        <v>0</v>
      </c>
      <c r="R795" s="906"/>
      <c r="S795" s="906"/>
    </row>
    <row r="796" ht="15" spans="3:19">
      <c r="C796" s="55"/>
      <c r="D796" s="55"/>
      <c r="E796" s="901"/>
      <c r="F796" s="901"/>
      <c r="G796" s="901"/>
      <c r="H796" s="901"/>
      <c r="I796" s="901"/>
      <c r="J796" s="901"/>
      <c r="K796" s="901"/>
      <c r="L796" s="901"/>
      <c r="M796" s="901"/>
      <c r="N796" s="901"/>
      <c r="O796" s="901"/>
      <c r="P796" s="901"/>
      <c r="Q796" s="908">
        <f t="shared" si="142"/>
        <v>0</v>
      </c>
      <c r="R796" s="906"/>
      <c r="S796" s="906"/>
    </row>
    <row r="797" ht="15" spans="3:19">
      <c r="C797" s="55" t="s">
        <v>258</v>
      </c>
      <c r="D797" s="55" t="s">
        <v>258</v>
      </c>
      <c r="E797" s="901"/>
      <c r="F797" s="901"/>
      <c r="G797" s="901"/>
      <c r="H797" s="901"/>
      <c r="I797" s="901"/>
      <c r="J797" s="901"/>
      <c r="K797" s="901"/>
      <c r="L797" s="901"/>
      <c r="M797" s="901"/>
      <c r="N797" s="901"/>
      <c r="O797" s="901"/>
      <c r="P797" s="901"/>
      <c r="Q797" s="908">
        <f t="shared" si="142"/>
        <v>0</v>
      </c>
      <c r="R797" s="906"/>
      <c r="S797" s="906"/>
    </row>
    <row r="798" ht="15" spans="3:19">
      <c r="C798" s="537" t="s">
        <v>211</v>
      </c>
      <c r="D798" s="540"/>
      <c r="E798" s="908">
        <f t="shared" ref="E798:P798" si="143">SUM(E783:E797)</f>
        <v>0</v>
      </c>
      <c r="F798" s="908">
        <f t="shared" si="143"/>
        <v>0</v>
      </c>
      <c r="G798" s="908">
        <f t="shared" si="143"/>
        <v>0</v>
      </c>
      <c r="H798" s="908">
        <f t="shared" si="143"/>
        <v>0</v>
      </c>
      <c r="I798" s="908">
        <f t="shared" si="143"/>
        <v>0</v>
      </c>
      <c r="J798" s="908">
        <f t="shared" si="143"/>
        <v>0</v>
      </c>
      <c r="K798" s="908">
        <f t="shared" si="143"/>
        <v>0</v>
      </c>
      <c r="L798" s="908">
        <f t="shared" si="143"/>
        <v>0</v>
      </c>
      <c r="M798" s="908">
        <f t="shared" si="143"/>
        <v>0</v>
      </c>
      <c r="N798" s="908">
        <f t="shared" si="143"/>
        <v>0</v>
      </c>
      <c r="O798" s="908">
        <f t="shared" si="143"/>
        <v>0</v>
      </c>
      <c r="P798" s="908">
        <f t="shared" si="143"/>
        <v>0</v>
      </c>
      <c r="Q798" s="908">
        <f t="shared" si="142"/>
        <v>0</v>
      </c>
      <c r="R798" s="906"/>
      <c r="S798" s="906"/>
    </row>
    <row r="799" ht="15" spans="3:19">
      <c r="C799" s="44" t="s">
        <v>219</v>
      </c>
      <c r="D799" s="45"/>
      <c r="E799" s="901"/>
      <c r="F799" s="901"/>
      <c r="G799" s="901"/>
      <c r="H799" s="901"/>
      <c r="I799" s="901"/>
      <c r="J799" s="901"/>
      <c r="K799" s="901"/>
      <c r="L799" s="901"/>
      <c r="M799" s="901"/>
      <c r="N799" s="901"/>
      <c r="O799" s="901"/>
      <c r="P799" s="901"/>
      <c r="Q799" s="910"/>
      <c r="R799" s="906"/>
      <c r="S799" s="906"/>
    </row>
    <row r="800" ht="15" spans="3:19">
      <c r="C800" s="55" t="s">
        <v>191</v>
      </c>
      <c r="D800" s="55" t="s">
        <v>192</v>
      </c>
      <c r="E800" s="901"/>
      <c r="F800" s="901"/>
      <c r="G800" s="901"/>
      <c r="H800" s="901"/>
      <c r="I800" s="901"/>
      <c r="J800" s="901"/>
      <c r="K800" s="901"/>
      <c r="L800" s="901"/>
      <c r="M800" s="901"/>
      <c r="N800" s="901"/>
      <c r="O800" s="901"/>
      <c r="P800" s="901"/>
      <c r="Q800" s="908">
        <f t="shared" ref="Q800:Q819" si="144">SUM(E800:P800)</f>
        <v>0</v>
      </c>
      <c r="R800" s="906"/>
      <c r="S800" s="906"/>
    </row>
    <row r="801" ht="15" spans="3:19">
      <c r="C801" s="55" t="s">
        <v>193</v>
      </c>
      <c r="D801" s="55" t="s">
        <v>194</v>
      </c>
      <c r="E801" s="901"/>
      <c r="F801" s="901"/>
      <c r="G801" s="901"/>
      <c r="H801" s="901"/>
      <c r="I801" s="901"/>
      <c r="J801" s="901"/>
      <c r="K801" s="901"/>
      <c r="L801" s="901"/>
      <c r="M801" s="901"/>
      <c r="N801" s="901"/>
      <c r="O801" s="901"/>
      <c r="P801" s="901"/>
      <c r="Q801" s="908">
        <f t="shared" si="144"/>
        <v>0</v>
      </c>
      <c r="R801" s="906"/>
      <c r="S801" s="906"/>
    </row>
    <row r="802" ht="15" spans="3:19">
      <c r="C802" s="55" t="s">
        <v>239</v>
      </c>
      <c r="D802" s="55" t="s">
        <v>196</v>
      </c>
      <c r="E802" s="901"/>
      <c r="F802" s="901"/>
      <c r="G802" s="901"/>
      <c r="H802" s="901"/>
      <c r="I802" s="901"/>
      <c r="J802" s="901"/>
      <c r="K802" s="901"/>
      <c r="L802" s="901"/>
      <c r="M802" s="901"/>
      <c r="N802" s="901"/>
      <c r="O802" s="901"/>
      <c r="P802" s="901"/>
      <c r="Q802" s="908">
        <f t="shared" si="144"/>
        <v>0</v>
      </c>
      <c r="R802" s="906"/>
      <c r="S802" s="906"/>
    </row>
    <row r="803" ht="15" spans="3:19">
      <c r="C803" s="55" t="s">
        <v>197</v>
      </c>
      <c r="D803" s="55" t="s">
        <v>198</v>
      </c>
      <c r="E803" s="901"/>
      <c r="F803" s="901"/>
      <c r="G803" s="901"/>
      <c r="H803" s="901"/>
      <c r="I803" s="901"/>
      <c r="J803" s="901"/>
      <c r="K803" s="901"/>
      <c r="L803" s="901"/>
      <c r="M803" s="901"/>
      <c r="N803" s="901"/>
      <c r="O803" s="901"/>
      <c r="P803" s="901"/>
      <c r="Q803" s="908">
        <f t="shared" si="144"/>
        <v>0</v>
      </c>
      <c r="R803" s="906"/>
      <c r="S803" s="906"/>
    </row>
    <row r="804" ht="15" spans="3:19">
      <c r="C804" s="55" t="s">
        <v>199</v>
      </c>
      <c r="D804" s="55" t="s">
        <v>200</v>
      </c>
      <c r="E804" s="901"/>
      <c r="F804" s="901"/>
      <c r="G804" s="901"/>
      <c r="H804" s="901"/>
      <c r="I804" s="901"/>
      <c r="J804" s="901"/>
      <c r="K804" s="901"/>
      <c r="L804" s="901"/>
      <c r="M804" s="901"/>
      <c r="N804" s="901"/>
      <c r="O804" s="901"/>
      <c r="P804" s="901"/>
      <c r="Q804" s="908">
        <f t="shared" si="144"/>
        <v>0</v>
      </c>
      <c r="R804" s="906"/>
      <c r="S804" s="906"/>
    </row>
    <row r="805" ht="15" spans="3:19">
      <c r="C805" s="55" t="s">
        <v>201</v>
      </c>
      <c r="D805" s="55" t="s">
        <v>240</v>
      </c>
      <c r="E805" s="901"/>
      <c r="F805" s="901"/>
      <c r="G805" s="901"/>
      <c r="H805" s="901"/>
      <c r="I805" s="901"/>
      <c r="J805" s="901"/>
      <c r="K805" s="901"/>
      <c r="L805" s="901"/>
      <c r="M805" s="901"/>
      <c r="N805" s="901"/>
      <c r="O805" s="901"/>
      <c r="P805" s="901"/>
      <c r="Q805" s="908">
        <f t="shared" si="144"/>
        <v>0</v>
      </c>
      <c r="R805" s="906"/>
      <c r="S805" s="906"/>
    </row>
    <row r="806" ht="15" spans="3:19">
      <c r="C806" s="55" t="s">
        <v>203</v>
      </c>
      <c r="D806" s="55" t="s">
        <v>220</v>
      </c>
      <c r="E806" s="901"/>
      <c r="F806" s="901"/>
      <c r="G806" s="901"/>
      <c r="H806" s="901"/>
      <c r="I806" s="901"/>
      <c r="J806" s="901"/>
      <c r="K806" s="901"/>
      <c r="L806" s="901"/>
      <c r="M806" s="901"/>
      <c r="N806" s="901"/>
      <c r="O806" s="901"/>
      <c r="P806" s="901"/>
      <c r="Q806" s="908">
        <f t="shared" si="144"/>
        <v>0</v>
      </c>
      <c r="R806" s="906"/>
      <c r="S806" s="906"/>
    </row>
    <row r="807" ht="15" spans="3:19">
      <c r="C807" s="55" t="s">
        <v>241</v>
      </c>
      <c r="D807" s="55" t="s">
        <v>229</v>
      </c>
      <c r="E807" s="901"/>
      <c r="F807" s="901"/>
      <c r="G807" s="901"/>
      <c r="H807" s="901"/>
      <c r="I807" s="901"/>
      <c r="J807" s="901"/>
      <c r="K807" s="901"/>
      <c r="L807" s="901"/>
      <c r="M807" s="901"/>
      <c r="N807" s="901"/>
      <c r="O807" s="901"/>
      <c r="P807" s="901"/>
      <c r="Q807" s="908">
        <f t="shared" si="144"/>
        <v>0</v>
      </c>
      <c r="R807" s="906"/>
      <c r="S807" s="906"/>
    </row>
    <row r="808" ht="15" spans="3:19">
      <c r="C808" s="55" t="s">
        <v>259</v>
      </c>
      <c r="D808" s="55" t="s">
        <v>243</v>
      </c>
      <c r="E808" s="901"/>
      <c r="F808" s="901"/>
      <c r="G808" s="901"/>
      <c r="H808" s="901"/>
      <c r="I808" s="901"/>
      <c r="J808" s="901"/>
      <c r="K808" s="901"/>
      <c r="L808" s="901"/>
      <c r="M808" s="901"/>
      <c r="N808" s="901"/>
      <c r="O808" s="901"/>
      <c r="P808" s="901"/>
      <c r="Q808" s="908">
        <f t="shared" si="144"/>
        <v>0</v>
      </c>
      <c r="R808" s="906"/>
      <c r="S808" s="906"/>
    </row>
    <row r="809" ht="15" spans="3:19">
      <c r="C809" s="55" t="s">
        <v>205</v>
      </c>
      <c r="D809" s="55" t="s">
        <v>206</v>
      </c>
      <c r="E809" s="901"/>
      <c r="F809" s="901"/>
      <c r="G809" s="901"/>
      <c r="H809" s="901"/>
      <c r="I809" s="901"/>
      <c r="J809" s="901"/>
      <c r="K809" s="901"/>
      <c r="L809" s="901"/>
      <c r="M809" s="901"/>
      <c r="N809" s="901"/>
      <c r="O809" s="901"/>
      <c r="P809" s="901"/>
      <c r="Q809" s="908">
        <f t="shared" si="144"/>
        <v>0</v>
      </c>
      <c r="R809" s="906"/>
      <c r="S809" s="906"/>
    </row>
    <row r="810" ht="15" spans="3:19">
      <c r="C810" s="55" t="s">
        <v>207</v>
      </c>
      <c r="D810" s="55" t="s">
        <v>186</v>
      </c>
      <c r="E810" s="901"/>
      <c r="F810" s="901"/>
      <c r="G810" s="901"/>
      <c r="H810" s="901"/>
      <c r="I810" s="901"/>
      <c r="J810" s="901"/>
      <c r="K810" s="901"/>
      <c r="L810" s="901"/>
      <c r="M810" s="901"/>
      <c r="N810" s="901"/>
      <c r="O810" s="901"/>
      <c r="P810" s="901"/>
      <c r="Q810" s="908">
        <f t="shared" si="144"/>
        <v>0</v>
      </c>
      <c r="R810" s="906"/>
      <c r="S810" s="906"/>
    </row>
    <row r="811" ht="15" spans="3:19">
      <c r="C811" s="55" t="s">
        <v>208</v>
      </c>
      <c r="D811" s="55" t="s">
        <v>209</v>
      </c>
      <c r="E811" s="901"/>
      <c r="F811" s="901"/>
      <c r="G811" s="901"/>
      <c r="H811" s="901"/>
      <c r="I811" s="901"/>
      <c r="J811" s="901"/>
      <c r="K811" s="901"/>
      <c r="L811" s="901"/>
      <c r="M811" s="901"/>
      <c r="N811" s="901"/>
      <c r="O811" s="901"/>
      <c r="P811" s="901"/>
      <c r="Q811" s="908">
        <f t="shared" si="144"/>
        <v>0</v>
      </c>
      <c r="R811" s="906"/>
      <c r="S811" s="906"/>
    </row>
    <row r="812" ht="15" spans="3:19">
      <c r="C812" s="55" t="s">
        <v>210</v>
      </c>
      <c r="D812" s="55" t="s">
        <v>188</v>
      </c>
      <c r="E812" s="901"/>
      <c r="F812" s="901"/>
      <c r="G812" s="901"/>
      <c r="H812" s="901"/>
      <c r="I812" s="901"/>
      <c r="J812" s="901"/>
      <c r="K812" s="901"/>
      <c r="L812" s="901"/>
      <c r="M812" s="901"/>
      <c r="N812" s="901"/>
      <c r="O812" s="901"/>
      <c r="P812" s="901"/>
      <c r="Q812" s="908">
        <f t="shared" si="144"/>
        <v>0</v>
      </c>
      <c r="R812" s="906"/>
      <c r="S812" s="906"/>
    </row>
    <row r="813" ht="15" spans="3:19">
      <c r="C813" s="55"/>
      <c r="D813" s="55"/>
      <c r="E813" s="901"/>
      <c r="F813" s="901"/>
      <c r="G813" s="901"/>
      <c r="H813" s="901"/>
      <c r="I813" s="901"/>
      <c r="J813" s="901"/>
      <c r="K813" s="901"/>
      <c r="L813" s="901"/>
      <c r="M813" s="901"/>
      <c r="N813" s="901"/>
      <c r="O813" s="901"/>
      <c r="P813" s="901"/>
      <c r="Q813" s="908">
        <f t="shared" si="144"/>
        <v>0</v>
      </c>
      <c r="R813" s="906"/>
      <c r="S813" s="906"/>
    </row>
    <row r="814" ht="15" spans="3:19">
      <c r="C814" s="55"/>
      <c r="D814" s="55"/>
      <c r="E814" s="901"/>
      <c r="F814" s="901"/>
      <c r="G814" s="901"/>
      <c r="H814" s="901"/>
      <c r="I814" s="901"/>
      <c r="J814" s="901"/>
      <c r="K814" s="901"/>
      <c r="L814" s="901"/>
      <c r="M814" s="901"/>
      <c r="N814" s="901"/>
      <c r="O814" s="901"/>
      <c r="P814" s="901"/>
      <c r="Q814" s="908">
        <f t="shared" si="144"/>
        <v>0</v>
      </c>
      <c r="R814" s="906"/>
      <c r="S814" s="906"/>
    </row>
    <row r="815" ht="15" spans="3:19">
      <c r="C815" s="55"/>
      <c r="D815" s="55"/>
      <c r="E815" s="901"/>
      <c r="F815" s="901"/>
      <c r="G815" s="901"/>
      <c r="H815" s="901"/>
      <c r="I815" s="901"/>
      <c r="J815" s="901"/>
      <c r="K815" s="901"/>
      <c r="L815" s="901"/>
      <c r="M815" s="901"/>
      <c r="N815" s="901"/>
      <c r="O815" s="901"/>
      <c r="P815" s="901"/>
      <c r="Q815" s="908">
        <f t="shared" si="144"/>
        <v>0</v>
      </c>
      <c r="R815" s="906"/>
      <c r="S815" s="906"/>
    </row>
    <row r="816" ht="15" spans="3:19">
      <c r="C816" s="55" t="s">
        <v>258</v>
      </c>
      <c r="D816" s="55" t="s">
        <v>258</v>
      </c>
      <c r="E816" s="901"/>
      <c r="F816" s="901"/>
      <c r="G816" s="901"/>
      <c r="H816" s="901"/>
      <c r="I816" s="901"/>
      <c r="J816" s="901"/>
      <c r="K816" s="901"/>
      <c r="L816" s="901"/>
      <c r="M816" s="901"/>
      <c r="N816" s="901"/>
      <c r="O816" s="901"/>
      <c r="P816" s="901"/>
      <c r="Q816" s="908">
        <f t="shared" si="144"/>
        <v>0</v>
      </c>
      <c r="R816" s="906"/>
      <c r="S816" s="906"/>
    </row>
    <row r="817" ht="15" spans="3:19">
      <c r="C817" s="537" t="s">
        <v>211</v>
      </c>
      <c r="D817" s="540"/>
      <c r="E817" s="908">
        <f t="shared" ref="E817:P817" si="145">SUM(E800:E816)</f>
        <v>0</v>
      </c>
      <c r="F817" s="908">
        <f t="shared" si="145"/>
        <v>0</v>
      </c>
      <c r="G817" s="908">
        <f t="shared" si="145"/>
        <v>0</v>
      </c>
      <c r="H817" s="908">
        <f t="shared" si="145"/>
        <v>0</v>
      </c>
      <c r="I817" s="908">
        <f t="shared" si="145"/>
        <v>0</v>
      </c>
      <c r="J817" s="908">
        <f t="shared" si="145"/>
        <v>0</v>
      </c>
      <c r="K817" s="908">
        <f t="shared" si="145"/>
        <v>0</v>
      </c>
      <c r="L817" s="908">
        <f t="shared" si="145"/>
        <v>0</v>
      </c>
      <c r="M817" s="908">
        <f t="shared" si="145"/>
        <v>0</v>
      </c>
      <c r="N817" s="908">
        <f t="shared" si="145"/>
        <v>0</v>
      </c>
      <c r="O817" s="908">
        <f t="shared" si="145"/>
        <v>0</v>
      </c>
      <c r="P817" s="908">
        <f t="shared" si="145"/>
        <v>0</v>
      </c>
      <c r="Q817" s="908">
        <f t="shared" si="144"/>
        <v>0</v>
      </c>
      <c r="R817" s="906"/>
      <c r="S817" s="906"/>
    </row>
    <row r="818" ht="15" spans="3:19">
      <c r="C818" s="537" t="s">
        <v>223</v>
      </c>
      <c r="D818" s="540"/>
      <c r="E818" s="908">
        <f t="shared" ref="E818:P818" si="146">E817+E798+E781</f>
        <v>0</v>
      </c>
      <c r="F818" s="908">
        <f t="shared" si="146"/>
        <v>0</v>
      </c>
      <c r="G818" s="908">
        <f t="shared" si="146"/>
        <v>0</v>
      </c>
      <c r="H818" s="908">
        <f t="shared" si="146"/>
        <v>0</v>
      </c>
      <c r="I818" s="908">
        <f t="shared" si="146"/>
        <v>0</v>
      </c>
      <c r="J818" s="908">
        <f t="shared" si="146"/>
        <v>0</v>
      </c>
      <c r="K818" s="908">
        <f t="shared" si="146"/>
        <v>0</v>
      </c>
      <c r="L818" s="908">
        <f t="shared" si="146"/>
        <v>0</v>
      </c>
      <c r="M818" s="908">
        <f t="shared" si="146"/>
        <v>0</v>
      </c>
      <c r="N818" s="908">
        <f t="shared" si="146"/>
        <v>0</v>
      </c>
      <c r="O818" s="908">
        <f t="shared" si="146"/>
        <v>0</v>
      </c>
      <c r="P818" s="908">
        <f t="shared" si="146"/>
        <v>0</v>
      </c>
      <c r="Q818" s="908">
        <f t="shared" si="144"/>
        <v>0</v>
      </c>
      <c r="R818" s="906"/>
      <c r="S818" s="906"/>
    </row>
    <row r="819" ht="15" spans="3:19">
      <c r="C819" s="537" t="s">
        <v>224</v>
      </c>
      <c r="D819" s="540"/>
      <c r="E819" s="908">
        <f t="shared" ref="E819:P819" si="147">E818+E764</f>
        <v>0</v>
      </c>
      <c r="F819" s="908">
        <f t="shared" si="147"/>
        <v>0</v>
      </c>
      <c r="G819" s="908">
        <f t="shared" si="147"/>
        <v>0</v>
      </c>
      <c r="H819" s="908">
        <f t="shared" si="147"/>
        <v>0</v>
      </c>
      <c r="I819" s="908">
        <f t="shared" si="147"/>
        <v>0</v>
      </c>
      <c r="J819" s="908">
        <f t="shared" si="147"/>
        <v>0</v>
      </c>
      <c r="K819" s="908">
        <f t="shared" si="147"/>
        <v>0</v>
      </c>
      <c r="L819" s="908">
        <f t="shared" si="147"/>
        <v>0</v>
      </c>
      <c r="M819" s="908">
        <f t="shared" si="147"/>
        <v>0</v>
      </c>
      <c r="N819" s="908">
        <f t="shared" si="147"/>
        <v>0</v>
      </c>
      <c r="O819" s="908">
        <f t="shared" si="147"/>
        <v>0</v>
      </c>
      <c r="P819" s="908">
        <f t="shared" si="147"/>
        <v>0</v>
      </c>
      <c r="Q819" s="908">
        <f t="shared" si="144"/>
        <v>0</v>
      </c>
      <c r="R819" s="906"/>
      <c r="S819" s="906"/>
    </row>
    <row r="820" spans="5:19">
      <c r="E820" s="906"/>
      <c r="F820" s="906"/>
      <c r="G820" s="906"/>
      <c r="H820" s="906"/>
      <c r="I820" s="906"/>
      <c r="J820" s="906"/>
      <c r="K820" s="906"/>
      <c r="L820" s="906"/>
      <c r="M820" s="906"/>
      <c r="N820" s="906"/>
      <c r="O820" s="906"/>
      <c r="P820" s="906"/>
      <c r="Q820" s="906"/>
      <c r="R820" s="906"/>
      <c r="S820" s="906"/>
    </row>
    <row r="821" ht="15" spans="4:19">
      <c r="D821" s="11"/>
      <c r="E821" s="911" t="s">
        <v>225</v>
      </c>
      <c r="F821" s="906"/>
      <c r="G821" s="906"/>
      <c r="H821" s="906"/>
      <c r="I821" s="906"/>
      <c r="J821" s="906"/>
      <c r="K821" s="906"/>
      <c r="L821" s="906"/>
      <c r="M821" s="906"/>
      <c r="N821" s="906"/>
      <c r="O821" s="906"/>
      <c r="P821" s="906"/>
      <c r="Q821" s="906"/>
      <c r="R821" s="906"/>
      <c r="S821" s="906"/>
    </row>
    <row r="822" spans="4:19">
      <c r="D822" s="13"/>
      <c r="E822" s="912">
        <v>1</v>
      </c>
      <c r="F822" s="906" t="s">
        <v>226</v>
      </c>
      <c r="G822" s="906"/>
      <c r="H822" s="906"/>
      <c r="I822" s="906"/>
      <c r="J822" s="906"/>
      <c r="K822" s="906"/>
      <c r="L822" s="906"/>
      <c r="M822" s="906"/>
      <c r="N822" s="906"/>
      <c r="O822" s="906"/>
      <c r="P822" s="906"/>
      <c r="Q822" s="906"/>
      <c r="R822" s="906"/>
      <c r="S822" s="906"/>
    </row>
    <row r="823" spans="5:19">
      <c r="E823" s="912">
        <f>E822+1</f>
        <v>2</v>
      </c>
      <c r="F823" s="906" t="s">
        <v>233</v>
      </c>
      <c r="G823" s="906"/>
      <c r="H823" s="906"/>
      <c r="I823" s="906"/>
      <c r="J823" s="906"/>
      <c r="K823" s="906"/>
      <c r="L823" s="906"/>
      <c r="M823" s="906"/>
      <c r="N823" s="906"/>
      <c r="O823" s="906"/>
      <c r="P823" s="906"/>
      <c r="Q823" s="906"/>
      <c r="R823" s="906"/>
      <c r="S823" s="906"/>
    </row>
    <row r="824" spans="5:5">
      <c r="E824" s="13"/>
    </row>
  </sheetData>
  <mergeCells count="137">
    <mergeCell ref="H5:J5"/>
    <mergeCell ref="K5:N5"/>
    <mergeCell ref="O5:S5"/>
    <mergeCell ref="C8:D8"/>
    <mergeCell ref="C22:D22"/>
    <mergeCell ref="C23:D23"/>
    <mergeCell ref="C39:D39"/>
    <mergeCell ref="C40:D40"/>
    <mergeCell ref="C57:D57"/>
    <mergeCell ref="C58:D58"/>
    <mergeCell ref="C76:D76"/>
    <mergeCell ref="C77:D77"/>
    <mergeCell ref="C78:D78"/>
    <mergeCell ref="E83:Q83"/>
    <mergeCell ref="C85:D85"/>
    <mergeCell ref="C99:D99"/>
    <mergeCell ref="C100:D100"/>
    <mergeCell ref="C116:D116"/>
    <mergeCell ref="C117:D117"/>
    <mergeCell ref="C133:D133"/>
    <mergeCell ref="C134:D134"/>
    <mergeCell ref="C152:D152"/>
    <mergeCell ref="C153:D153"/>
    <mergeCell ref="C154:D154"/>
    <mergeCell ref="E157:Q157"/>
    <mergeCell ref="C159:D159"/>
    <mergeCell ref="C173:D173"/>
    <mergeCell ref="C174:D174"/>
    <mergeCell ref="C190:D190"/>
    <mergeCell ref="C191:D191"/>
    <mergeCell ref="C207:D207"/>
    <mergeCell ref="C208:D208"/>
    <mergeCell ref="C225:D225"/>
    <mergeCell ref="C226:D226"/>
    <mergeCell ref="C227:D227"/>
    <mergeCell ref="E230:Q230"/>
    <mergeCell ref="C232:D232"/>
    <mergeCell ref="C246:D246"/>
    <mergeCell ref="C247:D247"/>
    <mergeCell ref="C263:D263"/>
    <mergeCell ref="C264:D264"/>
    <mergeCell ref="C280:D280"/>
    <mergeCell ref="C281:D281"/>
    <mergeCell ref="C299:D299"/>
    <mergeCell ref="C300:D300"/>
    <mergeCell ref="C301:D301"/>
    <mergeCell ref="E303:Q303"/>
    <mergeCell ref="C305:D305"/>
    <mergeCell ref="C319:D319"/>
    <mergeCell ref="C320:D320"/>
    <mergeCell ref="C336:D336"/>
    <mergeCell ref="C337:D337"/>
    <mergeCell ref="C353:D353"/>
    <mergeCell ref="C354:D354"/>
    <mergeCell ref="C372:D372"/>
    <mergeCell ref="C373:D373"/>
    <mergeCell ref="C374:D374"/>
    <mergeCell ref="E377:Q377"/>
    <mergeCell ref="C380:D380"/>
    <mergeCell ref="C394:D394"/>
    <mergeCell ref="C395:D395"/>
    <mergeCell ref="C411:D411"/>
    <mergeCell ref="C412:D412"/>
    <mergeCell ref="C428:D428"/>
    <mergeCell ref="C429:D429"/>
    <mergeCell ref="C447:D447"/>
    <mergeCell ref="C448:D448"/>
    <mergeCell ref="C449:D449"/>
    <mergeCell ref="E452:Q452"/>
    <mergeCell ref="C454:D454"/>
    <mergeCell ref="C468:D468"/>
    <mergeCell ref="C469:D469"/>
    <mergeCell ref="C485:D485"/>
    <mergeCell ref="C486:D486"/>
    <mergeCell ref="C502:D502"/>
    <mergeCell ref="C503:D503"/>
    <mergeCell ref="C521:D521"/>
    <mergeCell ref="C522:D522"/>
    <mergeCell ref="C523:D523"/>
    <mergeCell ref="E526:Q526"/>
    <mergeCell ref="C528:D528"/>
    <mergeCell ref="C542:D542"/>
    <mergeCell ref="C543:D543"/>
    <mergeCell ref="C559:D559"/>
    <mergeCell ref="C560:D560"/>
    <mergeCell ref="C576:D576"/>
    <mergeCell ref="C577:D577"/>
    <mergeCell ref="C595:D595"/>
    <mergeCell ref="C596:D596"/>
    <mergeCell ref="C597:D597"/>
    <mergeCell ref="E600:Q600"/>
    <mergeCell ref="C602:D602"/>
    <mergeCell ref="C616:D616"/>
    <mergeCell ref="C617:D617"/>
    <mergeCell ref="C633:D633"/>
    <mergeCell ref="C634:D634"/>
    <mergeCell ref="C650:D650"/>
    <mergeCell ref="C651:D651"/>
    <mergeCell ref="C669:D669"/>
    <mergeCell ref="C670:D670"/>
    <mergeCell ref="C671:D671"/>
    <mergeCell ref="E674:Q674"/>
    <mergeCell ref="C676:D676"/>
    <mergeCell ref="C690:D690"/>
    <mergeCell ref="C691:D691"/>
    <mergeCell ref="C707:D707"/>
    <mergeCell ref="C708:D708"/>
    <mergeCell ref="C724:D724"/>
    <mergeCell ref="C725:D725"/>
    <mergeCell ref="C743:D743"/>
    <mergeCell ref="C744:D744"/>
    <mergeCell ref="C745:D745"/>
    <mergeCell ref="E748:Q748"/>
    <mergeCell ref="C750:D750"/>
    <mergeCell ref="C764:D764"/>
    <mergeCell ref="C765:D765"/>
    <mergeCell ref="C781:D781"/>
    <mergeCell ref="C782:D782"/>
    <mergeCell ref="C798:D798"/>
    <mergeCell ref="C799:D799"/>
    <mergeCell ref="C817:D817"/>
    <mergeCell ref="C818:D818"/>
    <mergeCell ref="C819:D819"/>
    <mergeCell ref="E5:E6"/>
    <mergeCell ref="F5:F6"/>
    <mergeCell ref="G5:G6"/>
    <mergeCell ref="C5:D7"/>
    <mergeCell ref="C83:D84"/>
    <mergeCell ref="C157:D158"/>
    <mergeCell ref="C230:D231"/>
    <mergeCell ref="C303:D304"/>
    <mergeCell ref="C452:D453"/>
    <mergeCell ref="C377:D379"/>
    <mergeCell ref="C600:D601"/>
    <mergeCell ref="C526:D527"/>
    <mergeCell ref="C748:D749"/>
    <mergeCell ref="C674:D675"/>
  </mergeCells>
  <pageMargins left="0.75" right="0.75" top="1" bottom="1" header="0.5" footer="0.5"/>
  <pageSetup paperSize="9" scale="10" orientation="landscape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  <pageSetUpPr fitToPage="1"/>
  </sheetPr>
  <dimension ref="B1:O26"/>
  <sheetViews>
    <sheetView showGridLines="0" view="pageBreakPreview" zoomScale="90" zoomScaleNormal="70" workbookViewId="0">
      <selection activeCell="L18" sqref="L18"/>
    </sheetView>
  </sheetViews>
  <sheetFormatPr defaultColWidth="9.28571428571429" defaultRowHeight="14.25"/>
  <cols>
    <col min="1" max="1" width="4.28571428571429" style="12" customWidth="1"/>
    <col min="2" max="2" width="6.28571428571429" style="12" customWidth="1"/>
    <col min="3" max="3" width="43.5714285714286" style="12" customWidth="1"/>
    <col min="4" max="4" width="13.7142857142857" style="12" hidden="1" customWidth="1"/>
    <col min="5" max="5" width="12.5714285714286" style="12" hidden="1" customWidth="1"/>
    <col min="6" max="6" width="13.4285714285714" style="12" hidden="1" customWidth="1"/>
    <col min="7" max="7" width="13.7142857142857" style="12" hidden="1" customWidth="1"/>
    <col min="8" max="8" width="12.5714285714286" style="12" hidden="1" customWidth="1"/>
    <col min="9" max="9" width="13.2857142857143" style="12" hidden="1" customWidth="1"/>
    <col min="10" max="10" width="12.5714285714286" style="12" hidden="1" customWidth="1"/>
    <col min="11" max="11" width="11.7142857142857" style="12" customWidth="1"/>
    <col min="12" max="12" width="13.7142857142857" style="12" customWidth="1"/>
    <col min="13" max="15" width="11.7142857142857" style="12" hidden="1" customWidth="1"/>
    <col min="16" max="18" width="11.7142857142857" style="12" customWidth="1"/>
    <col min="19" max="16384" width="9.28571428571429" style="12"/>
  </cols>
  <sheetData>
    <row r="1" ht="15" spans="2:2">
      <c r="B1" s="14"/>
    </row>
    <row r="2" ht="15" spans="8:8">
      <c r="H2" s="2" t="s">
        <v>758</v>
      </c>
    </row>
    <row r="3" ht="15" spans="8:8">
      <c r="H3" s="3" t="s">
        <v>744</v>
      </c>
    </row>
    <row r="4" ht="15" spans="2:12">
      <c r="B4" s="322" t="s">
        <v>763</v>
      </c>
      <c r="C4" s="14"/>
      <c r="D4" s="117"/>
      <c r="E4" s="117"/>
      <c r="F4" s="117"/>
      <c r="G4" s="117"/>
      <c r="H4" s="117"/>
      <c r="I4" s="117"/>
      <c r="J4" s="117"/>
      <c r="K4" s="117"/>
      <c r="L4" s="117"/>
    </row>
    <row r="5" ht="15" spans="15:15">
      <c r="O5" s="33" t="s">
        <v>109</v>
      </c>
    </row>
    <row r="6" s="15" customFormat="1" ht="15" customHeight="1" spans="2:15">
      <c r="B6" s="16" t="s">
        <v>3</v>
      </c>
      <c r="C6" s="6" t="s">
        <v>110</v>
      </c>
      <c r="D6" s="306" t="s">
        <v>112</v>
      </c>
      <c r="E6" s="307"/>
      <c r="F6" s="308"/>
      <c r="G6" s="306" t="s">
        <v>760</v>
      </c>
      <c r="H6" s="307"/>
      <c r="I6" s="307"/>
      <c r="J6" s="307"/>
      <c r="K6" s="135" t="s">
        <v>114</v>
      </c>
      <c r="L6" s="135"/>
      <c r="M6" s="135"/>
      <c r="N6" s="135"/>
      <c r="O6" s="135"/>
    </row>
    <row r="7" s="15" customFormat="1" ht="30" spans="2:15">
      <c r="B7" s="309"/>
      <c r="C7" s="6"/>
      <c r="D7" s="5" t="s">
        <v>116</v>
      </c>
      <c r="E7" s="5" t="s">
        <v>237</v>
      </c>
      <c r="F7" s="5" t="s">
        <v>118</v>
      </c>
      <c r="G7" s="5" t="s">
        <v>116</v>
      </c>
      <c r="H7" s="5" t="s">
        <v>119</v>
      </c>
      <c r="I7" s="5" t="s">
        <v>120</v>
      </c>
      <c r="J7" s="5" t="s">
        <v>238</v>
      </c>
      <c r="K7" s="5" t="s">
        <v>514</v>
      </c>
      <c r="L7" s="5" t="s">
        <v>515</v>
      </c>
      <c r="M7" s="5" t="s">
        <v>516</v>
      </c>
      <c r="N7" s="5" t="s">
        <v>517</v>
      </c>
      <c r="O7" s="5" t="s">
        <v>518</v>
      </c>
    </row>
    <row r="8" s="15" customFormat="1" ht="15" spans="2:15">
      <c r="B8" s="310"/>
      <c r="C8" s="100"/>
      <c r="D8" s="5" t="s">
        <v>127</v>
      </c>
      <c r="E8" s="5" t="s">
        <v>128</v>
      </c>
      <c r="F8" s="5" t="s">
        <v>129</v>
      </c>
      <c r="G8" s="5" t="s">
        <v>127</v>
      </c>
      <c r="H8" s="5" t="s">
        <v>130</v>
      </c>
      <c r="I8" s="5" t="s">
        <v>131</v>
      </c>
      <c r="J8" s="5" t="s">
        <v>131</v>
      </c>
      <c r="K8" s="5" t="s">
        <v>132</v>
      </c>
      <c r="L8" s="5" t="s">
        <v>132</v>
      </c>
      <c r="M8" s="5" t="s">
        <v>132</v>
      </c>
      <c r="N8" s="5" t="s">
        <v>132</v>
      </c>
      <c r="O8" s="5" t="s">
        <v>132</v>
      </c>
    </row>
    <row r="9" spans="2:15">
      <c r="B9" s="311">
        <v>1</v>
      </c>
      <c r="C9" s="55" t="s">
        <v>850</v>
      </c>
      <c r="D9" s="20"/>
      <c r="E9" s="55"/>
      <c r="F9" s="55"/>
      <c r="G9" s="208"/>
      <c r="H9" s="208"/>
      <c r="I9" s="208"/>
      <c r="J9" s="325">
        <v>0</v>
      </c>
      <c r="K9" s="325">
        <v>0</v>
      </c>
      <c r="L9" s="325">
        <v>0</v>
      </c>
      <c r="M9" s="325">
        <v>0</v>
      </c>
      <c r="N9" s="325">
        <v>0</v>
      </c>
      <c r="O9" s="325">
        <v>0</v>
      </c>
    </row>
    <row r="10" ht="15" spans="2:15">
      <c r="B10" s="100"/>
      <c r="C10" s="175" t="s">
        <v>97</v>
      </c>
      <c r="D10" s="323">
        <f>SUM(D9:D9)</f>
        <v>0</v>
      </c>
      <c r="E10" s="323">
        <f>SUM(E9:E9)</f>
        <v>0</v>
      </c>
      <c r="F10" s="323">
        <f>E10</f>
        <v>0</v>
      </c>
      <c r="G10" s="323">
        <f t="shared" ref="G10:O10" si="0">SUM(G9:G9)</f>
        <v>0</v>
      </c>
      <c r="H10" s="323">
        <f t="shared" si="0"/>
        <v>0</v>
      </c>
      <c r="I10" s="323">
        <f t="shared" si="0"/>
        <v>0</v>
      </c>
      <c r="J10" s="323">
        <f t="shared" si="0"/>
        <v>0</v>
      </c>
      <c r="K10" s="323">
        <f t="shared" si="0"/>
        <v>0</v>
      </c>
      <c r="L10" s="323">
        <f t="shared" si="0"/>
        <v>0</v>
      </c>
      <c r="M10" s="323">
        <f t="shared" si="0"/>
        <v>0</v>
      </c>
      <c r="N10" s="323">
        <f t="shared" si="0"/>
        <v>0</v>
      </c>
      <c r="O10" s="323">
        <f t="shared" si="0"/>
        <v>0</v>
      </c>
    </row>
    <row r="12" ht="15" spans="2:12">
      <c r="B12" s="322" t="s">
        <v>768</v>
      </c>
      <c r="C12" s="14"/>
      <c r="D12" s="117"/>
      <c r="E12" s="117"/>
      <c r="F12" s="117"/>
      <c r="G12" s="117"/>
      <c r="H12" s="117"/>
      <c r="I12" s="117"/>
      <c r="J12" s="117"/>
      <c r="K12" s="117"/>
      <c r="L12" s="117"/>
    </row>
    <row r="13" ht="15" spans="15:15">
      <c r="O13" s="33" t="s">
        <v>109</v>
      </c>
    </row>
    <row r="14" ht="13.9" customHeight="1" spans="2:15">
      <c r="B14" s="16" t="s">
        <v>3</v>
      </c>
      <c r="C14" s="6" t="s">
        <v>110</v>
      </c>
      <c r="D14" s="306" t="s">
        <v>112</v>
      </c>
      <c r="E14" s="307"/>
      <c r="F14" s="308"/>
      <c r="G14" s="306" t="s">
        <v>760</v>
      </c>
      <c r="H14" s="307"/>
      <c r="I14" s="307"/>
      <c r="J14" s="307"/>
      <c r="K14" s="135" t="s">
        <v>114</v>
      </c>
      <c r="L14" s="135"/>
      <c r="M14" s="135"/>
      <c r="N14" s="135"/>
      <c r="O14" s="135"/>
    </row>
    <row r="15" ht="30" spans="2:15">
      <c r="B15" s="309"/>
      <c r="C15" s="6"/>
      <c r="D15" s="5" t="s">
        <v>116</v>
      </c>
      <c r="E15" s="5" t="s">
        <v>237</v>
      </c>
      <c r="F15" s="5" t="s">
        <v>118</v>
      </c>
      <c r="G15" s="5" t="s">
        <v>116</v>
      </c>
      <c r="H15" s="5" t="s">
        <v>119</v>
      </c>
      <c r="I15" s="5" t="s">
        <v>120</v>
      </c>
      <c r="J15" s="5" t="s">
        <v>238</v>
      </c>
      <c r="K15" s="5" t="s">
        <v>514</v>
      </c>
      <c r="L15" s="5" t="s">
        <v>515</v>
      </c>
      <c r="M15" s="5" t="s">
        <v>516</v>
      </c>
      <c r="N15" s="5" t="s">
        <v>517</v>
      </c>
      <c r="O15" s="5" t="s">
        <v>518</v>
      </c>
    </row>
    <row r="16" ht="15" spans="2:15">
      <c r="B16" s="310"/>
      <c r="C16" s="100"/>
      <c r="D16" s="5" t="s">
        <v>127</v>
      </c>
      <c r="E16" s="5" t="s">
        <v>128</v>
      </c>
      <c r="F16" s="5" t="s">
        <v>129</v>
      </c>
      <c r="G16" s="5" t="s">
        <v>127</v>
      </c>
      <c r="H16" s="5" t="s">
        <v>130</v>
      </c>
      <c r="I16" s="5" t="s">
        <v>131</v>
      </c>
      <c r="J16" s="5" t="s">
        <v>131</v>
      </c>
      <c r="K16" s="5" t="s">
        <v>132</v>
      </c>
      <c r="L16" s="5" t="s">
        <v>132</v>
      </c>
      <c r="M16" s="5" t="s">
        <v>132</v>
      </c>
      <c r="N16" s="5" t="s">
        <v>132</v>
      </c>
      <c r="O16" s="5" t="s">
        <v>132</v>
      </c>
    </row>
    <row r="17" spans="2:15">
      <c r="B17" s="311">
        <v>1</v>
      </c>
      <c r="C17" s="55" t="s">
        <v>850</v>
      </c>
      <c r="D17" s="20"/>
      <c r="E17" s="55"/>
      <c r="F17" s="55"/>
      <c r="G17" s="208"/>
      <c r="H17" s="208"/>
      <c r="I17" s="208"/>
      <c r="J17" s="325">
        <v>0</v>
      </c>
      <c r="K17" s="325">
        <v>0</v>
      </c>
      <c r="L17" s="325">
        <v>0</v>
      </c>
      <c r="M17" s="325">
        <v>0</v>
      </c>
      <c r="N17" s="325">
        <v>0</v>
      </c>
      <c r="O17" s="325">
        <v>0</v>
      </c>
    </row>
    <row r="18" ht="15" spans="2:15">
      <c r="B18" s="100"/>
      <c r="C18" s="175" t="s">
        <v>97</v>
      </c>
      <c r="D18" s="324">
        <f>SUM(D17:D17)</f>
        <v>0</v>
      </c>
      <c r="E18" s="324">
        <f>SUM(E17:E17)</f>
        <v>0</v>
      </c>
      <c r="F18" s="324">
        <f>E18</f>
        <v>0</v>
      </c>
      <c r="G18" s="324">
        <f t="shared" ref="G18:O18" si="1">SUM(G17:G17)</f>
        <v>0</v>
      </c>
      <c r="H18" s="324">
        <f t="shared" si="1"/>
        <v>0</v>
      </c>
      <c r="I18" s="324">
        <f t="shared" si="1"/>
        <v>0</v>
      </c>
      <c r="J18" s="326">
        <f t="shared" si="1"/>
        <v>0</v>
      </c>
      <c r="K18" s="326">
        <f t="shared" si="1"/>
        <v>0</v>
      </c>
      <c r="L18" s="326">
        <f t="shared" si="1"/>
        <v>0</v>
      </c>
      <c r="M18" s="326">
        <f t="shared" si="1"/>
        <v>0</v>
      </c>
      <c r="N18" s="326">
        <f t="shared" si="1"/>
        <v>0</v>
      </c>
      <c r="O18" s="326">
        <f t="shared" si="1"/>
        <v>0</v>
      </c>
    </row>
    <row r="20" ht="15" spans="2:12">
      <c r="B20" s="322" t="s">
        <v>769</v>
      </c>
      <c r="C20" s="14"/>
      <c r="D20" s="117"/>
      <c r="E20" s="117"/>
      <c r="F20" s="117"/>
      <c r="G20" s="117"/>
      <c r="H20" s="117"/>
      <c r="I20" s="117"/>
      <c r="J20" s="117"/>
      <c r="K20" s="117"/>
      <c r="L20" s="117"/>
    </row>
    <row r="21" ht="15" spans="15:15">
      <c r="O21" s="33" t="s">
        <v>109</v>
      </c>
    </row>
    <row r="22" ht="13.9" customHeight="1" spans="2:15">
      <c r="B22" s="16" t="s">
        <v>3</v>
      </c>
      <c r="C22" s="6" t="s">
        <v>110</v>
      </c>
      <c r="D22" s="306" t="s">
        <v>112</v>
      </c>
      <c r="E22" s="307"/>
      <c r="F22" s="308"/>
      <c r="G22" s="306" t="s">
        <v>760</v>
      </c>
      <c r="H22" s="307"/>
      <c r="I22" s="307"/>
      <c r="J22" s="307"/>
      <c r="K22" s="135" t="s">
        <v>114</v>
      </c>
      <c r="L22" s="135"/>
      <c r="M22" s="135"/>
      <c r="N22" s="135"/>
      <c r="O22" s="135"/>
    </row>
    <row r="23" ht="30" spans="2:15">
      <c r="B23" s="309"/>
      <c r="C23" s="6"/>
      <c r="D23" s="5" t="s">
        <v>116</v>
      </c>
      <c r="E23" s="5" t="s">
        <v>237</v>
      </c>
      <c r="F23" s="5" t="s">
        <v>118</v>
      </c>
      <c r="G23" s="5" t="s">
        <v>116</v>
      </c>
      <c r="H23" s="5" t="s">
        <v>119</v>
      </c>
      <c r="I23" s="5" t="s">
        <v>120</v>
      </c>
      <c r="J23" s="5" t="s">
        <v>238</v>
      </c>
      <c r="K23" s="5" t="s">
        <v>514</v>
      </c>
      <c r="L23" s="5" t="s">
        <v>515</v>
      </c>
      <c r="M23" s="5" t="s">
        <v>516</v>
      </c>
      <c r="N23" s="5" t="s">
        <v>517</v>
      </c>
      <c r="O23" s="5" t="s">
        <v>518</v>
      </c>
    </row>
    <row r="24" ht="15" spans="2:15">
      <c r="B24" s="310"/>
      <c r="C24" s="100"/>
      <c r="D24" s="5" t="s">
        <v>127</v>
      </c>
      <c r="E24" s="5" t="s">
        <v>128</v>
      </c>
      <c r="F24" s="5" t="s">
        <v>129</v>
      </c>
      <c r="G24" s="5" t="s">
        <v>127</v>
      </c>
      <c r="H24" s="5" t="s">
        <v>130</v>
      </c>
      <c r="I24" s="5" t="s">
        <v>131</v>
      </c>
      <c r="J24" s="5" t="s">
        <v>131</v>
      </c>
      <c r="K24" s="5" t="s">
        <v>132</v>
      </c>
      <c r="L24" s="5" t="s">
        <v>132</v>
      </c>
      <c r="M24" s="5" t="s">
        <v>132</v>
      </c>
      <c r="N24" s="5" t="s">
        <v>132</v>
      </c>
      <c r="O24" s="5" t="s">
        <v>132</v>
      </c>
    </row>
    <row r="25" spans="2:15">
      <c r="B25" s="311">
        <v>1</v>
      </c>
      <c r="C25" s="55" t="s">
        <v>850</v>
      </c>
      <c r="D25" s="20"/>
      <c r="E25" s="55"/>
      <c r="F25" s="55"/>
      <c r="G25" s="208"/>
      <c r="H25" s="208"/>
      <c r="I25" s="208"/>
      <c r="J25" s="208">
        <v>0</v>
      </c>
      <c r="K25" s="208">
        <v>0</v>
      </c>
      <c r="L25" s="208">
        <v>0</v>
      </c>
      <c r="M25" s="208">
        <v>0</v>
      </c>
      <c r="N25" s="208">
        <v>0</v>
      </c>
      <c r="O25" s="208">
        <v>0</v>
      </c>
    </row>
    <row r="26" ht="15" spans="2:15">
      <c r="B26" s="100"/>
      <c r="C26" s="175" t="s">
        <v>97</v>
      </c>
      <c r="D26" s="324">
        <f>SUM(D25:D25)</f>
        <v>0</v>
      </c>
      <c r="E26" s="324">
        <f>SUM(E25:E25)</f>
        <v>0</v>
      </c>
      <c r="F26" s="324">
        <f>E26</f>
        <v>0</v>
      </c>
      <c r="G26" s="324">
        <f t="shared" ref="G26:O26" si="2">SUM(G25:G25)</f>
        <v>0</v>
      </c>
      <c r="H26" s="324">
        <f t="shared" si="2"/>
        <v>0</v>
      </c>
      <c r="I26" s="324">
        <f t="shared" si="2"/>
        <v>0</v>
      </c>
      <c r="J26" s="323">
        <f t="shared" si="2"/>
        <v>0</v>
      </c>
      <c r="K26" s="323">
        <f t="shared" si="2"/>
        <v>0</v>
      </c>
      <c r="L26" s="323">
        <f t="shared" si="2"/>
        <v>0</v>
      </c>
      <c r="M26" s="323">
        <f t="shared" si="2"/>
        <v>0</v>
      </c>
      <c r="N26" s="323">
        <f t="shared" si="2"/>
        <v>0</v>
      </c>
      <c r="O26" s="323">
        <f t="shared" si="2"/>
        <v>0</v>
      </c>
    </row>
  </sheetData>
  <mergeCells count="15">
    <mergeCell ref="D6:F6"/>
    <mergeCell ref="G6:J6"/>
    <mergeCell ref="K6:O6"/>
    <mergeCell ref="D14:F14"/>
    <mergeCell ref="G14:J14"/>
    <mergeCell ref="K14:O14"/>
    <mergeCell ref="D22:F22"/>
    <mergeCell ref="G22:J22"/>
    <mergeCell ref="K22:O22"/>
    <mergeCell ref="B6:B8"/>
    <mergeCell ref="B14:B16"/>
    <mergeCell ref="B22:B24"/>
    <mergeCell ref="C6:C8"/>
    <mergeCell ref="C14:C16"/>
    <mergeCell ref="C22:C24"/>
  </mergeCells>
  <printOptions horizontalCentered="1"/>
  <pageMargins left="0.432638888888889" right="0.236111111111111" top="0.448611111111111" bottom="0.428472222222222" header="0.236111111111111" footer="0.236111111111111"/>
  <pageSetup paperSize="9" orientation="portrait" horizontalDpi="600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  <pageSetUpPr fitToPage="1"/>
  </sheetPr>
  <dimension ref="B1:Q78"/>
  <sheetViews>
    <sheetView showGridLines="0" zoomScale="66" zoomScaleNormal="66" zoomScaleSheetLayoutView="90" topLeftCell="B1" workbookViewId="0">
      <selection activeCell="P43" sqref="P43"/>
    </sheetView>
  </sheetViews>
  <sheetFormatPr defaultColWidth="9.14285714285714" defaultRowHeight="14.25" zeroHeight="1"/>
  <cols>
    <col min="1" max="1" width="4.14285714285714" style="12" customWidth="1"/>
    <col min="2" max="2" width="7.14285714285714" style="12" customWidth="1"/>
    <col min="3" max="3" width="48.5714285714286" style="12" customWidth="1"/>
    <col min="4" max="4" width="13.8571428571429" style="12" customWidth="1"/>
    <col min="5" max="8" width="16.5714285714286" style="12" customWidth="1"/>
    <col min="9" max="9" width="21.1428571428571" style="12" customWidth="1"/>
    <col min="10" max="10" width="34.4285714285714" style="12" customWidth="1"/>
    <col min="11" max="11" width="21.1428571428571" style="12" customWidth="1"/>
    <col min="12" max="12" width="12.5714285714286" style="12" customWidth="1"/>
    <col min="13" max="13" width="11.8571428571429" style="12" customWidth="1"/>
    <col min="14" max="14" width="13.8571428571429" style="12" customWidth="1"/>
    <col min="15" max="20" width="11.8571428571429" style="12" customWidth="1"/>
    <col min="21" max="16384" width="9.14285714285714" style="12"/>
  </cols>
  <sheetData>
    <row r="1" ht="15" spans="2:2">
      <c r="B1" s="14"/>
    </row>
    <row r="2" ht="15" spans="10:10">
      <c r="J2" s="2" t="s">
        <v>758</v>
      </c>
    </row>
    <row r="3" ht="15" spans="10:10">
      <c r="J3" s="3" t="s">
        <v>745</v>
      </c>
    </row>
    <row r="4" ht="15" spans="2:14">
      <c r="B4" s="2"/>
      <c r="C4" s="14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</row>
    <row r="5" ht="15" spans="17:17">
      <c r="Q5" s="33" t="s">
        <v>109</v>
      </c>
    </row>
    <row r="6" s="15" customFormat="1" ht="15" spans="2:17">
      <c r="B6" s="16" t="s">
        <v>3</v>
      </c>
      <c r="C6" s="6" t="s">
        <v>110</v>
      </c>
      <c r="D6" s="306" t="s">
        <v>112</v>
      </c>
      <c r="E6" s="307"/>
      <c r="F6" s="308"/>
      <c r="G6" s="307"/>
      <c r="H6" s="307"/>
      <c r="I6" s="306" t="s">
        <v>760</v>
      </c>
      <c r="J6" s="307"/>
      <c r="K6" s="307"/>
      <c r="L6" s="307"/>
      <c r="M6" s="135" t="s">
        <v>114</v>
      </c>
      <c r="N6" s="135"/>
      <c r="O6" s="135"/>
      <c r="P6" s="135"/>
      <c r="Q6" s="135"/>
    </row>
    <row r="7" s="15" customFormat="1" ht="30" spans="2:17">
      <c r="B7" s="309"/>
      <c r="C7" s="6"/>
      <c r="D7" s="5" t="s">
        <v>116</v>
      </c>
      <c r="E7" s="5" t="s">
        <v>237</v>
      </c>
      <c r="F7" s="306" t="s">
        <v>118</v>
      </c>
      <c r="G7" s="307"/>
      <c r="H7" s="308"/>
      <c r="I7" s="5" t="s">
        <v>116</v>
      </c>
      <c r="J7" s="5" t="s">
        <v>119</v>
      </c>
      <c r="K7" s="5" t="s">
        <v>120</v>
      </c>
      <c r="L7" s="5" t="s">
        <v>238</v>
      </c>
      <c r="M7" s="5" t="s">
        <v>514</v>
      </c>
      <c r="N7" s="5" t="s">
        <v>515</v>
      </c>
      <c r="O7" s="5" t="s">
        <v>516</v>
      </c>
      <c r="P7" s="5" t="s">
        <v>517</v>
      </c>
      <c r="Q7" s="5" t="s">
        <v>518</v>
      </c>
    </row>
    <row r="8" s="15" customFormat="1" ht="15" spans="2:17">
      <c r="B8" s="310"/>
      <c r="C8" s="100"/>
      <c r="D8" s="5" t="s">
        <v>127</v>
      </c>
      <c r="E8" s="5" t="s">
        <v>128</v>
      </c>
      <c r="F8" s="306" t="s">
        <v>129</v>
      </c>
      <c r="G8" s="307"/>
      <c r="H8" s="308"/>
      <c r="I8" s="5" t="s">
        <v>127</v>
      </c>
      <c r="J8" s="5" t="s">
        <v>130</v>
      </c>
      <c r="K8" s="5" t="s">
        <v>131</v>
      </c>
      <c r="L8" s="5" t="s">
        <v>131</v>
      </c>
      <c r="M8" s="5" t="s">
        <v>132</v>
      </c>
      <c r="N8" s="5" t="s">
        <v>132</v>
      </c>
      <c r="O8" s="5" t="s">
        <v>132</v>
      </c>
      <c r="P8" s="5" t="s">
        <v>132</v>
      </c>
      <c r="Q8" s="5" t="s">
        <v>132</v>
      </c>
    </row>
    <row r="9" spans="2:17">
      <c r="B9" s="311">
        <v>1</v>
      </c>
      <c r="C9" s="312" t="s">
        <v>746</v>
      </c>
      <c r="D9" s="20"/>
      <c r="E9" s="101">
        <f>I20</f>
        <v>0</v>
      </c>
      <c r="F9" s="313">
        <f>E9</f>
        <v>0</v>
      </c>
      <c r="G9" s="314"/>
      <c r="H9" s="315"/>
      <c r="I9" s="208"/>
      <c r="J9" s="101">
        <f>I29/2</f>
        <v>0</v>
      </c>
      <c r="K9" s="101">
        <f>I29/2</f>
        <v>0</v>
      </c>
      <c r="L9" s="320">
        <f>J9+K9</f>
        <v>0</v>
      </c>
      <c r="M9" s="101">
        <f>'[62]CSS SPDCL'!$AG$42</f>
        <v>0</v>
      </c>
      <c r="N9" s="321">
        <v>0</v>
      </c>
      <c r="O9" s="321">
        <v>0</v>
      </c>
      <c r="P9" s="321">
        <v>0</v>
      </c>
      <c r="Q9" s="321">
        <v>0</v>
      </c>
    </row>
    <row r="10" spans="2:17">
      <c r="B10" s="311">
        <f>B9+1</f>
        <v>2</v>
      </c>
      <c r="C10" s="312" t="s">
        <v>747</v>
      </c>
      <c r="D10" s="20"/>
      <c r="E10" s="101">
        <f>K20</f>
        <v>0</v>
      </c>
      <c r="F10" s="313">
        <f>E10</f>
        <v>0</v>
      </c>
      <c r="G10" s="314"/>
      <c r="H10" s="315"/>
      <c r="I10" s="208"/>
      <c r="J10" s="101">
        <f>K29/2</f>
        <v>0</v>
      </c>
      <c r="K10" s="101">
        <f>K29/2</f>
        <v>0</v>
      </c>
      <c r="L10" s="320">
        <f>J10+K10</f>
        <v>0</v>
      </c>
      <c r="M10" s="101">
        <f>'[62]CSS SPDCL'!$AG$48</f>
        <v>0</v>
      </c>
      <c r="N10" s="321">
        <v>0</v>
      </c>
      <c r="O10" s="321">
        <v>0</v>
      </c>
      <c r="P10" s="321">
        <v>0</v>
      </c>
      <c r="Q10" s="321">
        <v>0</v>
      </c>
    </row>
    <row r="11"/>
    <row r="12"/>
    <row r="13" ht="15" hidden="1" spans="2:2">
      <c r="B13" s="11" t="s">
        <v>523</v>
      </c>
    </row>
    <row r="14" ht="60" hidden="1" spans="2:11">
      <c r="B14" s="135" t="s">
        <v>3</v>
      </c>
      <c r="C14" s="175" t="s">
        <v>748</v>
      </c>
      <c r="D14" s="175" t="s">
        <v>749</v>
      </c>
      <c r="E14" s="175" t="s">
        <v>750</v>
      </c>
      <c r="F14" s="175" t="s">
        <v>751</v>
      </c>
      <c r="G14" s="175"/>
      <c r="H14" s="175"/>
      <c r="I14" s="175" t="s">
        <v>746</v>
      </c>
      <c r="J14" s="175" t="s">
        <v>752</v>
      </c>
      <c r="K14" s="175" t="s">
        <v>747</v>
      </c>
    </row>
    <row r="15" ht="30" hidden="1" spans="2:11">
      <c r="B15" s="135"/>
      <c r="C15" s="175"/>
      <c r="D15" s="175" t="s">
        <v>753</v>
      </c>
      <c r="E15" s="135" t="s">
        <v>304</v>
      </c>
      <c r="F15" s="135" t="s">
        <v>754</v>
      </c>
      <c r="G15" s="135"/>
      <c r="H15" s="135"/>
      <c r="I15" s="135" t="s">
        <v>550</v>
      </c>
      <c r="J15" s="135" t="s">
        <v>754</v>
      </c>
      <c r="K15" s="135" t="s">
        <v>550</v>
      </c>
    </row>
    <row r="16" hidden="1" spans="2:11">
      <c r="B16" s="100">
        <v>1</v>
      </c>
      <c r="C16" s="55"/>
      <c r="D16" s="55"/>
      <c r="E16" s="100"/>
      <c r="F16" s="100"/>
      <c r="G16" s="100"/>
      <c r="H16" s="100"/>
      <c r="I16" s="100"/>
      <c r="J16" s="100"/>
      <c r="K16" s="100"/>
    </row>
    <row r="17" hidden="1" spans="2:11">
      <c r="B17" s="100">
        <f>B16+1</f>
        <v>2</v>
      </c>
      <c r="C17" s="55"/>
      <c r="D17" s="55"/>
      <c r="E17" s="100"/>
      <c r="F17" s="100"/>
      <c r="G17" s="100"/>
      <c r="H17" s="100"/>
      <c r="I17" s="100"/>
      <c r="J17" s="100"/>
      <c r="K17" s="100"/>
    </row>
    <row r="18" hidden="1" spans="2:11">
      <c r="B18" s="100">
        <f>B17+1</f>
        <v>3</v>
      </c>
      <c r="C18" s="55"/>
      <c r="D18" s="55"/>
      <c r="E18" s="100"/>
      <c r="F18" s="100"/>
      <c r="G18" s="100"/>
      <c r="H18" s="100"/>
      <c r="I18" s="100"/>
      <c r="J18" s="100"/>
      <c r="K18" s="100"/>
    </row>
    <row r="19" hidden="1" spans="2:11">
      <c r="B19" s="100"/>
      <c r="C19" s="55" t="s">
        <v>710</v>
      </c>
      <c r="D19" s="55"/>
      <c r="E19" s="100"/>
      <c r="F19" s="100"/>
      <c r="G19" s="100"/>
      <c r="H19" s="100"/>
      <c r="I19" s="100"/>
      <c r="J19" s="100"/>
      <c r="K19" s="100"/>
    </row>
    <row r="20" ht="15" hidden="1" spans="2:11">
      <c r="B20" s="100"/>
      <c r="C20" s="135" t="s">
        <v>97</v>
      </c>
      <c r="D20" s="55"/>
      <c r="E20" s="316">
        <f>SUM(E16:E19)</f>
        <v>0</v>
      </c>
      <c r="F20" s="316">
        <f>SUM(F16:F19)</f>
        <v>0</v>
      </c>
      <c r="G20" s="316"/>
      <c r="H20" s="316"/>
      <c r="I20" s="316">
        <f>SUM(I16:I19)</f>
        <v>0</v>
      </c>
      <c r="J20" s="316">
        <f>SUM(J16:J19)</f>
        <v>0</v>
      </c>
      <c r="K20" s="316">
        <f>SUM(K16:K19)</f>
        <v>0</v>
      </c>
    </row>
    <row r="22" ht="15" hidden="1" spans="2:2">
      <c r="B22" s="11" t="s">
        <v>857</v>
      </c>
    </row>
    <row r="23" ht="60" hidden="1" spans="2:11">
      <c r="B23" s="135" t="s">
        <v>3</v>
      </c>
      <c r="C23" s="175" t="s">
        <v>748</v>
      </c>
      <c r="D23" s="175" t="s">
        <v>749</v>
      </c>
      <c r="E23" s="175" t="s">
        <v>750</v>
      </c>
      <c r="F23" s="175" t="s">
        <v>751</v>
      </c>
      <c r="G23" s="175"/>
      <c r="H23" s="175"/>
      <c r="I23" s="175" t="s">
        <v>746</v>
      </c>
      <c r="J23" s="175" t="s">
        <v>752</v>
      </c>
      <c r="K23" s="175" t="s">
        <v>747</v>
      </c>
    </row>
    <row r="24" ht="30" hidden="1" spans="2:11">
      <c r="B24" s="135"/>
      <c r="C24" s="175"/>
      <c r="D24" s="175" t="s">
        <v>753</v>
      </c>
      <c r="E24" s="135" t="s">
        <v>304</v>
      </c>
      <c r="F24" s="135" t="s">
        <v>754</v>
      </c>
      <c r="G24" s="135"/>
      <c r="H24" s="135"/>
      <c r="I24" s="135" t="s">
        <v>550</v>
      </c>
      <c r="J24" s="135" t="s">
        <v>754</v>
      </c>
      <c r="K24" s="135" t="s">
        <v>550</v>
      </c>
    </row>
    <row r="25" hidden="1" spans="2:11">
      <c r="B25" s="100">
        <v>1</v>
      </c>
      <c r="C25" s="55"/>
      <c r="D25" s="55"/>
      <c r="E25" s="100"/>
      <c r="F25" s="100"/>
      <c r="G25" s="100"/>
      <c r="H25" s="100"/>
      <c r="I25" s="100"/>
      <c r="J25" s="100"/>
      <c r="K25" s="100"/>
    </row>
    <row r="26" hidden="1" spans="2:11">
      <c r="B26" s="100">
        <f>B25+1</f>
        <v>2</v>
      </c>
      <c r="C26" s="55"/>
      <c r="D26" s="55"/>
      <c r="E26" s="100"/>
      <c r="F26" s="100"/>
      <c r="G26" s="100"/>
      <c r="H26" s="100"/>
      <c r="I26" s="100"/>
      <c r="J26" s="100"/>
      <c r="K26" s="100"/>
    </row>
    <row r="27" hidden="1" spans="2:11">
      <c r="B27" s="100">
        <f>B26+1</f>
        <v>3</v>
      </c>
      <c r="C27" s="55"/>
      <c r="D27" s="55"/>
      <c r="E27" s="100"/>
      <c r="F27" s="100"/>
      <c r="G27" s="100"/>
      <c r="H27" s="100"/>
      <c r="I27" s="100"/>
      <c r="J27" s="100"/>
      <c r="K27" s="100"/>
    </row>
    <row r="28" hidden="1" spans="2:11">
      <c r="B28" s="100"/>
      <c r="C28" s="55" t="s">
        <v>710</v>
      </c>
      <c r="D28" s="55"/>
      <c r="E28" s="100"/>
      <c r="F28" s="100"/>
      <c r="G28" s="100"/>
      <c r="H28" s="100"/>
      <c r="I28" s="100"/>
      <c r="J28" s="100"/>
      <c r="K28" s="100"/>
    </row>
    <row r="29" ht="15" hidden="1" spans="2:11">
      <c r="B29" s="100"/>
      <c r="C29" s="135" t="s">
        <v>97</v>
      </c>
      <c r="D29" s="55"/>
      <c r="E29" s="188">
        <f>SUM(E25:E28)</f>
        <v>0</v>
      </c>
      <c r="F29" s="188">
        <f>SUM(F25:F28)</f>
        <v>0</v>
      </c>
      <c r="G29" s="188"/>
      <c r="H29" s="188"/>
      <c r="I29" s="188">
        <f>SUM(I25:I28)</f>
        <v>0</v>
      </c>
      <c r="J29" s="188">
        <f>SUM(J25:J28)</f>
        <v>0</v>
      </c>
      <c r="K29" s="188">
        <f>SUM(K25:K28)</f>
        <v>0</v>
      </c>
    </row>
    <row r="30"/>
    <row r="31" ht="15" spans="2:6">
      <c r="B31" s="11" t="s">
        <v>756</v>
      </c>
      <c r="F31" s="12" t="s">
        <v>821</v>
      </c>
    </row>
    <row r="32" ht="60" spans="2:11">
      <c r="B32" s="135" t="s">
        <v>3</v>
      </c>
      <c r="C32" s="175" t="s">
        <v>748</v>
      </c>
      <c r="D32" s="175" t="s">
        <v>749</v>
      </c>
      <c r="E32" s="175" t="s">
        <v>858</v>
      </c>
      <c r="F32" s="175" t="s">
        <v>859</v>
      </c>
      <c r="G32" s="175" t="s">
        <v>860</v>
      </c>
      <c r="H32" s="175" t="s">
        <v>861</v>
      </c>
      <c r="I32" s="175" t="s">
        <v>746</v>
      </c>
      <c r="J32" s="175" t="s">
        <v>752</v>
      </c>
      <c r="K32" s="175" t="s">
        <v>747</v>
      </c>
    </row>
    <row r="33" ht="30" spans="2:11">
      <c r="B33" s="135"/>
      <c r="C33" s="175"/>
      <c r="D33" s="175" t="s">
        <v>753</v>
      </c>
      <c r="E33" s="135" t="s">
        <v>304</v>
      </c>
      <c r="F33" s="135" t="s">
        <v>754</v>
      </c>
      <c r="G33" s="135" t="s">
        <v>304</v>
      </c>
      <c r="H33" s="135" t="s">
        <v>754</v>
      </c>
      <c r="I33" s="135" t="s">
        <v>550</v>
      </c>
      <c r="J33" s="135" t="s">
        <v>754</v>
      </c>
      <c r="K33" s="135" t="s">
        <v>550</v>
      </c>
    </row>
    <row r="34" spans="2:11">
      <c r="B34" s="100">
        <v>1</v>
      </c>
      <c r="C34" s="317" t="s">
        <v>862</v>
      </c>
      <c r="D34" s="100" t="s">
        <v>863</v>
      </c>
      <c r="E34" s="318">
        <f>'[63]CSS SPDCL'!$AB$8+'[63]CSS SPDCL'!$AD$8</f>
        <v>0</v>
      </c>
      <c r="F34" s="318">
        <f>'[62]CSS SPDCL'!$AA$8</f>
        <v>2.03</v>
      </c>
      <c r="G34" s="318">
        <v>0</v>
      </c>
      <c r="H34" s="318">
        <f>'[62]CSS SPDCL'!$AC$8</f>
        <v>1.95462156951599</v>
      </c>
      <c r="I34" s="318">
        <f>'[63]CSS SPDCL'!$AG$8</f>
        <v>0</v>
      </c>
      <c r="J34" s="100" t="s">
        <v>864</v>
      </c>
      <c r="K34" s="318">
        <f>'[63]CSS SPDCL'!$AH$70</f>
        <v>0</v>
      </c>
    </row>
    <row r="35" spans="2:11">
      <c r="B35" s="100">
        <f>B34+1</f>
        <v>2</v>
      </c>
      <c r="C35" s="317" t="s">
        <v>865</v>
      </c>
      <c r="D35" s="100" t="s">
        <v>863</v>
      </c>
      <c r="E35" s="318">
        <f>'[63]CSS SPDCL'!$AB$9+'[63]CSS SPDCL'!$AD$9</f>
        <v>0</v>
      </c>
      <c r="F35" s="318">
        <f>'[62]CSS SPDCL'!$AA$9</f>
        <v>2.45</v>
      </c>
      <c r="G35" s="318">
        <v>0</v>
      </c>
      <c r="H35" s="318">
        <f>'[62]CSS SPDCL'!$AC$9</f>
        <v>2.18769487082237</v>
      </c>
      <c r="I35" s="318">
        <f>'[63]CSS SPDCL'!$AG$9</f>
        <v>0</v>
      </c>
      <c r="J35" s="100" t="s">
        <v>864</v>
      </c>
      <c r="K35" s="318">
        <f>'[63]CSS SPDCL'!$AH$75</f>
        <v>0</v>
      </c>
    </row>
    <row r="36" spans="2:11">
      <c r="B36" s="100">
        <f>B35+1</f>
        <v>3</v>
      </c>
      <c r="C36" s="317" t="s">
        <v>862</v>
      </c>
      <c r="D36" s="100" t="s">
        <v>866</v>
      </c>
      <c r="E36" s="318">
        <f>'[62]CSS SPDCL'!$AB$19</f>
        <v>121.2315704691</v>
      </c>
      <c r="F36" s="318">
        <f>'[62]CSS SPDCL'!$AA$19</f>
        <v>1.79</v>
      </c>
      <c r="G36" s="318">
        <f>'[62]CSS SPDCL'!$AD$19</f>
        <v>44.063572</v>
      </c>
      <c r="H36" s="318">
        <f>'[62]CSS SPDCL'!$AC$19</f>
        <v>1.68289012411021</v>
      </c>
      <c r="I36" s="318">
        <f>'[62]CSS SPDCL'!$AG$19</f>
        <v>29.1158661291508</v>
      </c>
      <c r="J36" s="100" t="s">
        <v>864</v>
      </c>
      <c r="K36" s="318">
        <f>'[63]CSS SPDCL'!$AH$71</f>
        <v>12.011295692837</v>
      </c>
    </row>
    <row r="37" spans="2:11">
      <c r="B37" s="100">
        <v>4</v>
      </c>
      <c r="C37" s="317" t="s">
        <v>865</v>
      </c>
      <c r="D37" s="100" t="s">
        <v>866</v>
      </c>
      <c r="E37" s="318">
        <f>'[62]CSS SPDCL'!$AB$21</f>
        <v>9.8899300164</v>
      </c>
      <c r="F37" s="318">
        <f>'[62]CSS SPDCL'!$AA$21</f>
        <v>2.04</v>
      </c>
      <c r="G37" s="318">
        <f>'[62]CSS SPDCL'!$AD$21</f>
        <v>15.4146314</v>
      </c>
      <c r="H37" s="318">
        <f>'[62]CSS SPDCL'!$AC$21</f>
        <v>1.95855742639936</v>
      </c>
      <c r="I37" s="318">
        <f>'[62]CSS SPDCL'!$AG$21</f>
        <v>5.03658980371347</v>
      </c>
      <c r="J37" s="100" t="s">
        <v>864</v>
      </c>
      <c r="K37" s="318">
        <f>'[63]CSS SPDCL'!$AH$76</f>
        <v>1.925465613148</v>
      </c>
    </row>
    <row r="38" spans="2:11">
      <c r="B38" s="100">
        <v>5</v>
      </c>
      <c r="C38" s="317" t="s">
        <v>867</v>
      </c>
      <c r="D38" s="100" t="s">
        <v>868</v>
      </c>
      <c r="E38" s="318">
        <f>'[62]CSS SPDCL'!$AB$31</f>
        <v>203.71992165</v>
      </c>
      <c r="F38" s="318">
        <f>'[62]CSS SPDCL'!$AA$31</f>
        <v>1.59</v>
      </c>
      <c r="G38" s="318">
        <f>'[62]CSS SPDCL'!$AD$31</f>
        <v>12.23000835</v>
      </c>
      <c r="H38" s="318">
        <f>'[62]CSS SPDCL'!$AC$31</f>
        <v>1.57635812221731</v>
      </c>
      <c r="I38" s="318">
        <f>'[62]CSS SPDCL'!$AG$31</f>
        <v>34.3193548420808</v>
      </c>
      <c r="J38" s="100" t="s">
        <v>864</v>
      </c>
      <c r="K38" s="318">
        <f>'[63]CSS SPDCL'!$AH$72</f>
        <v>15.2387951835</v>
      </c>
    </row>
    <row r="39" hidden="1" spans="2:11">
      <c r="B39" s="100"/>
      <c r="C39" s="55"/>
      <c r="D39" s="100"/>
      <c r="E39" s="100"/>
      <c r="F39" s="100"/>
      <c r="G39" s="100"/>
      <c r="H39" s="100"/>
      <c r="I39" s="100"/>
      <c r="J39" s="100"/>
      <c r="K39" s="100"/>
    </row>
    <row r="40" hidden="1" spans="2:11">
      <c r="B40" s="100"/>
      <c r="C40" s="55"/>
      <c r="D40" s="100"/>
      <c r="E40" s="100"/>
      <c r="F40" s="100"/>
      <c r="G40" s="100"/>
      <c r="H40" s="100"/>
      <c r="I40" s="100"/>
      <c r="J40" s="100"/>
      <c r="K40" s="100"/>
    </row>
    <row r="41" hidden="1" spans="2:11">
      <c r="B41" s="100"/>
      <c r="C41" s="55" t="s">
        <v>710</v>
      </c>
      <c r="D41" s="100"/>
      <c r="E41" s="100"/>
      <c r="F41" s="100"/>
      <c r="G41" s="100"/>
      <c r="H41" s="100"/>
      <c r="I41" s="100"/>
      <c r="J41" s="100"/>
      <c r="K41" s="100"/>
    </row>
    <row r="42" ht="15" spans="2:11">
      <c r="B42" s="100"/>
      <c r="C42" s="135" t="s">
        <v>97</v>
      </c>
      <c r="D42" s="100"/>
      <c r="E42" s="188">
        <f>SUM(E34:E41)</f>
        <v>334.8414221355</v>
      </c>
      <c r="F42" s="188"/>
      <c r="G42" s="188">
        <f>SUM(G34:G41)</f>
        <v>71.70821175</v>
      </c>
      <c r="H42" s="188"/>
      <c r="I42" s="188">
        <f>SUM(I34:I41)</f>
        <v>68.4718107749451</v>
      </c>
      <c r="J42" s="188">
        <f>SUM(J34:J41)</f>
        <v>0</v>
      </c>
      <c r="K42" s="188">
        <f>SUM(K34:K41)</f>
        <v>29.175556489485</v>
      </c>
    </row>
    <row r="43" ht="99.75" spans="3:3">
      <c r="C43" s="319" t="s">
        <v>869</v>
      </c>
    </row>
    <row r="44" ht="15" hidden="1" spans="2:2">
      <c r="B44" s="11" t="s">
        <v>443</v>
      </c>
    </row>
    <row r="45" ht="60" hidden="1" spans="2:11">
      <c r="B45" s="135" t="s">
        <v>3</v>
      </c>
      <c r="C45" s="175" t="s">
        <v>748</v>
      </c>
      <c r="D45" s="175" t="s">
        <v>749</v>
      </c>
      <c r="E45" s="175" t="s">
        <v>750</v>
      </c>
      <c r="F45" s="175" t="s">
        <v>751</v>
      </c>
      <c r="G45" s="175"/>
      <c r="H45" s="175"/>
      <c r="I45" s="175" t="s">
        <v>746</v>
      </c>
      <c r="J45" s="175" t="s">
        <v>752</v>
      </c>
      <c r="K45" s="175" t="s">
        <v>747</v>
      </c>
    </row>
    <row r="46" ht="30" hidden="1" spans="2:11">
      <c r="B46" s="135"/>
      <c r="C46" s="175"/>
      <c r="D46" s="175" t="s">
        <v>753</v>
      </c>
      <c r="E46" s="135" t="s">
        <v>304</v>
      </c>
      <c r="F46" s="135" t="s">
        <v>754</v>
      </c>
      <c r="G46" s="135"/>
      <c r="H46" s="135"/>
      <c r="I46" s="135" t="s">
        <v>550</v>
      </c>
      <c r="J46" s="135" t="s">
        <v>754</v>
      </c>
      <c r="K46" s="135" t="s">
        <v>550</v>
      </c>
    </row>
    <row r="47" hidden="1" spans="2:11">
      <c r="B47" s="100">
        <v>1</v>
      </c>
      <c r="C47" s="55"/>
      <c r="D47" s="55"/>
      <c r="E47" s="55"/>
      <c r="F47" s="55"/>
      <c r="G47" s="55"/>
      <c r="H47" s="55"/>
      <c r="I47" s="55"/>
      <c r="J47" s="55"/>
      <c r="K47" s="55"/>
    </row>
    <row r="48" hidden="1" spans="2:11">
      <c r="B48" s="100">
        <f>B47+1</f>
        <v>2</v>
      </c>
      <c r="C48" s="55"/>
      <c r="D48" s="55"/>
      <c r="E48" s="55"/>
      <c r="F48" s="55"/>
      <c r="G48" s="55"/>
      <c r="H48" s="55"/>
      <c r="I48" s="55"/>
      <c r="J48" s="55"/>
      <c r="K48" s="55"/>
    </row>
    <row r="49" hidden="1" spans="2:11">
      <c r="B49" s="100">
        <f>B48+1</f>
        <v>3</v>
      </c>
      <c r="C49" s="55"/>
      <c r="D49" s="55"/>
      <c r="E49" s="55"/>
      <c r="F49" s="55"/>
      <c r="G49" s="55"/>
      <c r="H49" s="55"/>
      <c r="I49" s="55"/>
      <c r="J49" s="55"/>
      <c r="K49" s="55"/>
    </row>
    <row r="50" hidden="1" spans="2:11">
      <c r="B50" s="100"/>
      <c r="C50" s="55" t="s">
        <v>710</v>
      </c>
      <c r="D50" s="55"/>
      <c r="E50" s="55"/>
      <c r="F50" s="55"/>
      <c r="G50" s="55"/>
      <c r="H50" s="55"/>
      <c r="I50" s="55"/>
      <c r="J50" s="55"/>
      <c r="K50" s="55"/>
    </row>
    <row r="51" ht="15" hidden="1" spans="2:11">
      <c r="B51" s="100"/>
      <c r="C51" s="135" t="s">
        <v>97</v>
      </c>
      <c r="D51" s="55"/>
      <c r="E51" s="188">
        <f>SUM(E47:E50)</f>
        <v>0</v>
      </c>
      <c r="F51" s="188">
        <f>SUM(F47:F50)</f>
        <v>0</v>
      </c>
      <c r="G51" s="188"/>
      <c r="H51" s="188"/>
      <c r="I51" s="188">
        <f>SUM(I47:I50)</f>
        <v>0</v>
      </c>
      <c r="J51" s="188">
        <f>SUM(J47:J50)</f>
        <v>0</v>
      </c>
      <c r="K51" s="188">
        <f>SUM(K47:K50)</f>
        <v>0</v>
      </c>
    </row>
    <row r="53" ht="15" hidden="1" spans="2:2">
      <c r="B53" s="11" t="s">
        <v>459</v>
      </c>
    </row>
    <row r="54" ht="60" hidden="1" spans="2:11">
      <c r="B54" s="135" t="s">
        <v>3</v>
      </c>
      <c r="C54" s="175" t="s">
        <v>748</v>
      </c>
      <c r="D54" s="175" t="s">
        <v>749</v>
      </c>
      <c r="E54" s="175" t="s">
        <v>750</v>
      </c>
      <c r="F54" s="175" t="s">
        <v>751</v>
      </c>
      <c r="G54" s="175"/>
      <c r="H54" s="175"/>
      <c r="I54" s="175" t="s">
        <v>746</v>
      </c>
      <c r="J54" s="175" t="s">
        <v>752</v>
      </c>
      <c r="K54" s="175" t="s">
        <v>747</v>
      </c>
    </row>
    <row r="55" ht="30" hidden="1" spans="2:11">
      <c r="B55" s="135"/>
      <c r="C55" s="175"/>
      <c r="D55" s="175" t="s">
        <v>753</v>
      </c>
      <c r="E55" s="135" t="s">
        <v>304</v>
      </c>
      <c r="F55" s="135" t="s">
        <v>754</v>
      </c>
      <c r="G55" s="135"/>
      <c r="H55" s="135"/>
      <c r="I55" s="135" t="s">
        <v>550</v>
      </c>
      <c r="J55" s="135" t="s">
        <v>754</v>
      </c>
      <c r="K55" s="135" t="s">
        <v>550</v>
      </c>
    </row>
    <row r="56" hidden="1" spans="2:11">
      <c r="B56" s="100">
        <v>1</v>
      </c>
      <c r="C56" s="55"/>
      <c r="D56" s="55"/>
      <c r="E56" s="55"/>
      <c r="F56" s="55"/>
      <c r="G56" s="55"/>
      <c r="H56" s="55"/>
      <c r="I56" s="55"/>
      <c r="J56" s="55"/>
      <c r="K56" s="55"/>
    </row>
    <row r="57" hidden="1" spans="2:11">
      <c r="B57" s="100">
        <f>B56+1</f>
        <v>2</v>
      </c>
      <c r="C57" s="55"/>
      <c r="D57" s="55"/>
      <c r="E57" s="55"/>
      <c r="F57" s="55"/>
      <c r="G57" s="55"/>
      <c r="H57" s="55"/>
      <c r="I57" s="55"/>
      <c r="J57" s="55"/>
      <c r="K57" s="55"/>
    </row>
    <row r="58" hidden="1" spans="2:11">
      <c r="B58" s="100">
        <f>B57+1</f>
        <v>3</v>
      </c>
      <c r="C58" s="55"/>
      <c r="D58" s="55"/>
      <c r="E58" s="55"/>
      <c r="F58" s="55"/>
      <c r="G58" s="55"/>
      <c r="H58" s="55"/>
      <c r="I58" s="55"/>
      <c r="J58" s="55"/>
      <c r="K58" s="55"/>
    </row>
    <row r="59" hidden="1" spans="2:11">
      <c r="B59" s="100"/>
      <c r="C59" s="55" t="s">
        <v>710</v>
      </c>
      <c r="D59" s="55"/>
      <c r="E59" s="55"/>
      <c r="F59" s="55"/>
      <c r="G59" s="55"/>
      <c r="H59" s="55"/>
      <c r="I59" s="55"/>
      <c r="J59" s="55"/>
      <c r="K59" s="55"/>
    </row>
    <row r="60" ht="15" hidden="1" spans="2:11">
      <c r="B60" s="100"/>
      <c r="C60" s="135" t="s">
        <v>97</v>
      </c>
      <c r="D60" s="55"/>
      <c r="E60" s="188">
        <f>SUM(E56:E59)</f>
        <v>0</v>
      </c>
      <c r="F60" s="188">
        <f>SUM(F56:F59)</f>
        <v>0</v>
      </c>
      <c r="G60" s="188"/>
      <c r="H60" s="188"/>
      <c r="I60" s="188">
        <f>SUM(I56:I59)</f>
        <v>0</v>
      </c>
      <c r="J60" s="188">
        <f>SUM(J56:J59)</f>
        <v>0</v>
      </c>
      <c r="K60" s="188">
        <f>SUM(K56:K59)</f>
        <v>0</v>
      </c>
    </row>
    <row r="62" ht="15" hidden="1" spans="2:2">
      <c r="B62" s="11" t="s">
        <v>461</v>
      </c>
    </row>
    <row r="63" ht="60" hidden="1" spans="2:11">
      <c r="B63" s="135" t="s">
        <v>3</v>
      </c>
      <c r="C63" s="175" t="s">
        <v>748</v>
      </c>
      <c r="D63" s="175" t="s">
        <v>749</v>
      </c>
      <c r="E63" s="175" t="s">
        <v>750</v>
      </c>
      <c r="F63" s="175" t="s">
        <v>751</v>
      </c>
      <c r="G63" s="175"/>
      <c r="H63" s="175"/>
      <c r="I63" s="175" t="s">
        <v>746</v>
      </c>
      <c r="J63" s="175" t="s">
        <v>752</v>
      </c>
      <c r="K63" s="175" t="s">
        <v>747</v>
      </c>
    </row>
    <row r="64" ht="30" hidden="1" spans="2:11">
      <c r="B64" s="135"/>
      <c r="C64" s="175"/>
      <c r="D64" s="175" t="s">
        <v>753</v>
      </c>
      <c r="E64" s="135" t="s">
        <v>304</v>
      </c>
      <c r="F64" s="135" t="s">
        <v>754</v>
      </c>
      <c r="G64" s="135"/>
      <c r="H64" s="135"/>
      <c r="I64" s="135" t="s">
        <v>550</v>
      </c>
      <c r="J64" s="135" t="s">
        <v>754</v>
      </c>
      <c r="K64" s="135" t="s">
        <v>550</v>
      </c>
    </row>
    <row r="65" hidden="1" spans="2:11">
      <c r="B65" s="100">
        <v>1</v>
      </c>
      <c r="C65" s="55"/>
      <c r="D65" s="55"/>
      <c r="E65" s="55"/>
      <c r="F65" s="55"/>
      <c r="G65" s="55"/>
      <c r="H65" s="55"/>
      <c r="I65" s="55"/>
      <c r="J65" s="55"/>
      <c r="K65" s="55"/>
    </row>
    <row r="66" hidden="1" spans="2:11">
      <c r="B66" s="100">
        <f>B65+1</f>
        <v>2</v>
      </c>
      <c r="C66" s="55"/>
      <c r="D66" s="55"/>
      <c r="E66" s="55"/>
      <c r="F66" s="55"/>
      <c r="G66" s="55"/>
      <c r="H66" s="55"/>
      <c r="I66" s="55"/>
      <c r="J66" s="55"/>
      <c r="K66" s="55"/>
    </row>
    <row r="67" hidden="1" spans="2:11">
      <c r="B67" s="100">
        <f>B66+1</f>
        <v>3</v>
      </c>
      <c r="C67" s="55"/>
      <c r="D67" s="55"/>
      <c r="E67" s="55"/>
      <c r="F67" s="55"/>
      <c r="G67" s="55"/>
      <c r="H67" s="55"/>
      <c r="I67" s="55"/>
      <c r="J67" s="55"/>
      <c r="K67" s="55"/>
    </row>
    <row r="68" hidden="1" spans="2:11">
      <c r="B68" s="100"/>
      <c r="C68" s="55" t="s">
        <v>710</v>
      </c>
      <c r="D68" s="55"/>
      <c r="E68" s="55"/>
      <c r="F68" s="55"/>
      <c r="G68" s="55"/>
      <c r="H68" s="55"/>
      <c r="I68" s="55"/>
      <c r="J68" s="55"/>
      <c r="K68" s="55"/>
    </row>
    <row r="69" ht="15" hidden="1" spans="2:11">
      <c r="B69" s="100"/>
      <c r="C69" s="135" t="s">
        <v>97</v>
      </c>
      <c r="D69" s="55"/>
      <c r="E69" s="188">
        <f>SUM(E65:E68)</f>
        <v>0</v>
      </c>
      <c r="F69" s="188">
        <f>SUM(F65:F68)</f>
        <v>0</v>
      </c>
      <c r="G69" s="188"/>
      <c r="H69" s="188"/>
      <c r="I69" s="188">
        <f>SUM(I65:I68)</f>
        <v>0</v>
      </c>
      <c r="J69" s="188">
        <f>SUM(J65:J68)</f>
        <v>0</v>
      </c>
      <c r="K69" s="188">
        <f>SUM(K65:K68)</f>
        <v>0</v>
      </c>
    </row>
    <row r="71" ht="15" hidden="1" spans="2:2">
      <c r="B71" s="11" t="s">
        <v>463</v>
      </c>
    </row>
    <row r="72" ht="60" hidden="1" spans="2:11">
      <c r="B72" s="135" t="s">
        <v>3</v>
      </c>
      <c r="C72" s="175" t="s">
        <v>748</v>
      </c>
      <c r="D72" s="175" t="s">
        <v>749</v>
      </c>
      <c r="E72" s="175" t="s">
        <v>750</v>
      </c>
      <c r="F72" s="175" t="s">
        <v>751</v>
      </c>
      <c r="G72" s="175"/>
      <c r="H72" s="175"/>
      <c r="I72" s="175" t="s">
        <v>746</v>
      </c>
      <c r="J72" s="175" t="s">
        <v>752</v>
      </c>
      <c r="K72" s="175" t="s">
        <v>747</v>
      </c>
    </row>
    <row r="73" ht="30" hidden="1" spans="2:11">
      <c r="B73" s="135"/>
      <c r="C73" s="175"/>
      <c r="D73" s="175" t="s">
        <v>753</v>
      </c>
      <c r="E73" s="135" t="s">
        <v>304</v>
      </c>
      <c r="F73" s="135" t="s">
        <v>754</v>
      </c>
      <c r="G73" s="135"/>
      <c r="H73" s="135"/>
      <c r="I73" s="135" t="s">
        <v>550</v>
      </c>
      <c r="J73" s="135" t="s">
        <v>754</v>
      </c>
      <c r="K73" s="135" t="s">
        <v>550</v>
      </c>
    </row>
    <row r="74" hidden="1" spans="2:11">
      <c r="B74" s="100">
        <v>1</v>
      </c>
      <c r="C74" s="55"/>
      <c r="D74" s="55"/>
      <c r="E74" s="55"/>
      <c r="F74" s="55"/>
      <c r="G74" s="55"/>
      <c r="H74" s="55"/>
      <c r="I74" s="55"/>
      <c r="J74" s="55"/>
      <c r="K74" s="55"/>
    </row>
    <row r="75" hidden="1" spans="2:11">
      <c r="B75" s="100">
        <f>B74+1</f>
        <v>2</v>
      </c>
      <c r="C75" s="55"/>
      <c r="D75" s="55"/>
      <c r="E75" s="55"/>
      <c r="F75" s="55"/>
      <c r="G75" s="55"/>
      <c r="H75" s="55"/>
      <c r="I75" s="55"/>
      <c r="J75" s="55"/>
      <c r="K75" s="55"/>
    </row>
    <row r="76" hidden="1" spans="2:11">
      <c r="B76" s="100">
        <f>B75+1</f>
        <v>3</v>
      </c>
      <c r="C76" s="55"/>
      <c r="D76" s="55"/>
      <c r="E76" s="55"/>
      <c r="F76" s="55"/>
      <c r="G76" s="55"/>
      <c r="H76" s="55"/>
      <c r="I76" s="55"/>
      <c r="J76" s="55"/>
      <c r="K76" s="55"/>
    </row>
    <row r="77" hidden="1" spans="2:11">
      <c r="B77" s="100"/>
      <c r="C77" s="55" t="s">
        <v>710</v>
      </c>
      <c r="D77" s="55"/>
      <c r="E77" s="55"/>
      <c r="F77" s="55"/>
      <c r="G77" s="55"/>
      <c r="H77" s="55"/>
      <c r="I77" s="55"/>
      <c r="J77" s="55"/>
      <c r="K77" s="55"/>
    </row>
    <row r="78" ht="15" hidden="1" spans="2:11">
      <c r="B78" s="100"/>
      <c r="C78" s="135" t="s">
        <v>97</v>
      </c>
      <c r="D78" s="55"/>
      <c r="E78" s="188">
        <f>SUM(E74:E77)</f>
        <v>0</v>
      </c>
      <c r="F78" s="188">
        <f>SUM(F74:F77)</f>
        <v>0</v>
      </c>
      <c r="G78" s="188"/>
      <c r="H78" s="188"/>
      <c r="I78" s="188">
        <f>SUM(I74:I77)</f>
        <v>0</v>
      </c>
      <c r="J78" s="188">
        <f>SUM(J74:J77)</f>
        <v>0</v>
      </c>
      <c r="K78" s="188">
        <f>SUM(K74:K77)</f>
        <v>0</v>
      </c>
    </row>
  </sheetData>
  <mergeCells count="23">
    <mergeCell ref="D6:F6"/>
    <mergeCell ref="I6:L6"/>
    <mergeCell ref="M6:Q6"/>
    <mergeCell ref="F7:H7"/>
    <mergeCell ref="F8:H8"/>
    <mergeCell ref="F9:H9"/>
    <mergeCell ref="F10:H10"/>
    <mergeCell ref="B6:B8"/>
    <mergeCell ref="B14:B15"/>
    <mergeCell ref="B23:B24"/>
    <mergeCell ref="B32:B33"/>
    <mergeCell ref="B45:B46"/>
    <mergeCell ref="B54:B55"/>
    <mergeCell ref="B63:B64"/>
    <mergeCell ref="B72:B73"/>
    <mergeCell ref="C6:C8"/>
    <mergeCell ref="C14:C15"/>
    <mergeCell ref="C23:C24"/>
    <mergeCell ref="C32:C33"/>
    <mergeCell ref="C45:C46"/>
    <mergeCell ref="C54:C55"/>
    <mergeCell ref="C63:C64"/>
    <mergeCell ref="C72:C73"/>
  </mergeCells>
  <pageMargins left="1.02" right="0.25" top="1" bottom="1" header="0.25" footer="0.25"/>
  <pageSetup paperSize="9" scale="33" orientation="landscape"/>
  <headerFooter alignWithMargins="0">
    <oddHeader>&amp;C&amp;F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</sheetPr>
  <dimension ref="A1:AE55"/>
  <sheetViews>
    <sheetView showGridLines="0" view="pageBreakPreview" zoomScale="60" zoomScaleNormal="60" workbookViewId="0">
      <pane xSplit="4" ySplit="8" topLeftCell="F9" activePane="bottomRight" state="frozen"/>
      <selection/>
      <selection pane="topRight"/>
      <selection pane="bottomLeft"/>
      <selection pane="bottomRight" activeCell="AE46" sqref="AE46"/>
    </sheetView>
  </sheetViews>
  <sheetFormatPr defaultColWidth="9.14285714285714" defaultRowHeight="14.25"/>
  <cols>
    <col min="1" max="1" width="17.2857142857143" style="275" customWidth="1"/>
    <col min="2" max="2" width="9.14285714285714" style="275" hidden="1" customWidth="1"/>
    <col min="3" max="3" width="18.3333333333333" style="275" customWidth="1"/>
    <col min="4" max="4" width="32.6190476190476" style="275" customWidth="1"/>
    <col min="5" max="5" width="12.1428571428571" style="275" customWidth="1"/>
    <col min="6" max="6" width="12.8571428571429" style="275" customWidth="1"/>
    <col min="7" max="7" width="10.8571428571429" style="275" customWidth="1"/>
    <col min="8" max="8" width="12.1428571428571" style="275" customWidth="1"/>
    <col min="9" max="9" width="14" style="275" customWidth="1"/>
    <col min="10" max="10" width="9" style="275" customWidth="1"/>
    <col min="11" max="11" width="10.8571428571429" style="275" customWidth="1"/>
    <col min="12" max="12" width="12.8571428571429" style="275" customWidth="1"/>
    <col min="13" max="13" width="11.4285714285714" style="275" customWidth="1"/>
    <col min="14" max="14" width="10.7142857142857" style="275" customWidth="1"/>
    <col min="15" max="15" width="12.6190476190476" style="275" customWidth="1"/>
    <col min="16" max="16" width="10.952380952381" style="275" customWidth="1"/>
    <col min="17" max="17" width="10.8571428571429" style="275" customWidth="1"/>
    <col min="18" max="18" width="15.2380952380952" style="275" customWidth="1"/>
    <col min="19" max="19" width="11.4285714285714" style="275" customWidth="1"/>
    <col min="20" max="20" width="10.4285714285714" style="275" customWidth="1"/>
    <col min="21" max="21" width="12.8571428571429" style="275" customWidth="1"/>
    <col min="22" max="22" width="8.85714285714286" style="275" customWidth="1"/>
    <col min="23" max="23" width="12.5714285714286" style="275" customWidth="1"/>
    <col min="24" max="24" width="12.2857142857143" style="275" customWidth="1"/>
    <col min="25" max="25" width="11.1904761904762" style="275" customWidth="1"/>
    <col min="26" max="30" width="12.1428571428571" style="275" customWidth="1"/>
    <col min="31" max="31" width="8.85714285714286" style="275" customWidth="1"/>
    <col min="32" max="16384" width="9.14285714285714" style="275"/>
  </cols>
  <sheetData>
    <row r="1" spans="1:3">
      <c r="A1" s="275" t="s">
        <v>870</v>
      </c>
      <c r="C1" s="275" t="s">
        <v>491</v>
      </c>
    </row>
    <row r="2" ht="15" spans="3:17">
      <c r="C2" s="276" t="s">
        <v>0</v>
      </c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</row>
    <row r="3" ht="13" customHeight="1" spans="5:31">
      <c r="E3" s="277" t="s">
        <v>871</v>
      </c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</row>
    <row r="4" ht="8" customHeight="1"/>
    <row r="5" ht="15" spans="3:31">
      <c r="C5" s="278" t="s">
        <v>159</v>
      </c>
      <c r="D5" s="279"/>
      <c r="E5" s="280" t="s">
        <v>872</v>
      </c>
      <c r="F5" s="280"/>
      <c r="G5" s="280"/>
      <c r="H5" s="280"/>
      <c r="I5" s="280"/>
      <c r="J5" s="280"/>
      <c r="K5" s="280" t="s">
        <v>873</v>
      </c>
      <c r="L5" s="280"/>
      <c r="M5" s="280"/>
      <c r="N5" s="280" t="s">
        <v>874</v>
      </c>
      <c r="O5" s="280"/>
      <c r="P5" s="280"/>
      <c r="Q5" s="280" t="s">
        <v>875</v>
      </c>
      <c r="R5" s="280"/>
      <c r="S5" s="280"/>
      <c r="T5" s="280" t="s">
        <v>876</v>
      </c>
      <c r="U5" s="280"/>
      <c r="V5" s="280"/>
      <c r="W5" s="280" t="s">
        <v>877</v>
      </c>
      <c r="X5" s="280"/>
      <c r="Y5" s="280"/>
      <c r="Z5" s="280"/>
      <c r="AA5" s="280" t="s">
        <v>877</v>
      </c>
      <c r="AB5" s="280"/>
      <c r="AC5" s="280" t="s">
        <v>878</v>
      </c>
      <c r="AD5" s="280" t="s">
        <v>879</v>
      </c>
      <c r="AE5" s="280" t="s">
        <v>880</v>
      </c>
    </row>
    <row r="6" ht="15" spans="3:31">
      <c r="C6" s="281"/>
      <c r="D6" s="282"/>
      <c r="E6" s="280" t="s">
        <v>881</v>
      </c>
      <c r="F6" s="280"/>
      <c r="G6" s="280"/>
      <c r="H6" s="280" t="s">
        <v>882</v>
      </c>
      <c r="I6" s="280"/>
      <c r="J6" s="280"/>
      <c r="K6" s="280" t="s">
        <v>881</v>
      </c>
      <c r="L6" s="280"/>
      <c r="M6" s="280"/>
      <c r="N6" s="280" t="s">
        <v>881</v>
      </c>
      <c r="O6" s="280"/>
      <c r="P6" s="280"/>
      <c r="Q6" s="280" t="s">
        <v>881</v>
      </c>
      <c r="R6" s="280"/>
      <c r="S6" s="280"/>
      <c r="T6" s="280" t="s">
        <v>882</v>
      </c>
      <c r="U6" s="280"/>
      <c r="V6" s="280"/>
      <c r="W6" s="280" t="s">
        <v>883</v>
      </c>
      <c r="X6" s="280" t="s">
        <v>884</v>
      </c>
      <c r="Y6" s="280" t="s">
        <v>885</v>
      </c>
      <c r="Z6" s="280" t="s">
        <v>882</v>
      </c>
      <c r="AA6" s="280" t="s">
        <v>881</v>
      </c>
      <c r="AB6" s="280" t="s">
        <v>882</v>
      </c>
      <c r="AC6" s="280"/>
      <c r="AD6" s="280"/>
      <c r="AE6" s="280"/>
    </row>
    <row r="7" ht="90" customHeight="1" spans="3:31">
      <c r="C7" s="281"/>
      <c r="D7" s="282"/>
      <c r="E7" s="280" t="s">
        <v>886</v>
      </c>
      <c r="F7" s="280" t="s">
        <v>887</v>
      </c>
      <c r="G7" s="280" t="s">
        <v>880</v>
      </c>
      <c r="H7" s="280" t="s">
        <v>886</v>
      </c>
      <c r="I7" s="280" t="s">
        <v>888</v>
      </c>
      <c r="J7" s="280" t="s">
        <v>880</v>
      </c>
      <c r="K7" s="280" t="s">
        <v>886</v>
      </c>
      <c r="L7" s="280" t="s">
        <v>887</v>
      </c>
      <c r="M7" s="280" t="s">
        <v>880</v>
      </c>
      <c r="N7" s="280" t="s">
        <v>886</v>
      </c>
      <c r="O7" s="280" t="s">
        <v>887</v>
      </c>
      <c r="P7" s="280" t="s">
        <v>880</v>
      </c>
      <c r="Q7" s="280" t="s">
        <v>886</v>
      </c>
      <c r="R7" s="280" t="s">
        <v>887</v>
      </c>
      <c r="S7" s="280" t="s">
        <v>880</v>
      </c>
      <c r="T7" s="280" t="s">
        <v>886</v>
      </c>
      <c r="U7" s="280" t="s">
        <v>888</v>
      </c>
      <c r="V7" s="280" t="s">
        <v>880</v>
      </c>
      <c r="W7" s="280"/>
      <c r="X7" s="280"/>
      <c r="Y7" s="280"/>
      <c r="Z7" s="280"/>
      <c r="AA7" s="280"/>
      <c r="AB7" s="280"/>
      <c r="AC7" s="280"/>
      <c r="AD7" s="280"/>
      <c r="AE7" s="280"/>
    </row>
    <row r="8" ht="30" customHeight="1" spans="3:31">
      <c r="C8" s="283"/>
      <c r="D8" s="284"/>
      <c r="E8" s="280" t="s">
        <v>550</v>
      </c>
      <c r="F8" s="280" t="s">
        <v>552</v>
      </c>
      <c r="G8" s="280" t="s">
        <v>889</v>
      </c>
      <c r="H8" s="280" t="s">
        <v>550</v>
      </c>
      <c r="I8" s="280" t="s">
        <v>304</v>
      </c>
      <c r="J8" s="280" t="s">
        <v>754</v>
      </c>
      <c r="K8" s="280" t="s">
        <v>550</v>
      </c>
      <c r="L8" s="280" t="s">
        <v>552</v>
      </c>
      <c r="M8" s="280" t="s">
        <v>889</v>
      </c>
      <c r="N8" s="280" t="s">
        <v>550</v>
      </c>
      <c r="O8" s="280" t="s">
        <v>552</v>
      </c>
      <c r="P8" s="280" t="s">
        <v>889</v>
      </c>
      <c r="Q8" s="280" t="s">
        <v>550</v>
      </c>
      <c r="R8" s="280" t="s">
        <v>552</v>
      </c>
      <c r="S8" s="280" t="s">
        <v>889</v>
      </c>
      <c r="T8" s="280" t="s">
        <v>550</v>
      </c>
      <c r="U8" s="280" t="s">
        <v>304</v>
      </c>
      <c r="V8" s="280" t="s">
        <v>754</v>
      </c>
      <c r="W8" s="280" t="s">
        <v>550</v>
      </c>
      <c r="X8" s="280" t="s">
        <v>550</v>
      </c>
      <c r="Y8" s="280" t="s">
        <v>550</v>
      </c>
      <c r="Z8" s="280" t="s">
        <v>550</v>
      </c>
      <c r="AA8" s="280" t="s">
        <v>550</v>
      </c>
      <c r="AB8" s="280" t="s">
        <v>550</v>
      </c>
      <c r="AC8" s="280" t="s">
        <v>550</v>
      </c>
      <c r="AD8" s="280" t="s">
        <v>304</v>
      </c>
      <c r="AE8" s="280" t="s">
        <v>754</v>
      </c>
    </row>
    <row r="9" ht="15" spans="3:31">
      <c r="C9" s="285" t="s">
        <v>890</v>
      </c>
      <c r="D9" s="286"/>
      <c r="E9" s="287"/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7"/>
      <c r="V9" s="287"/>
      <c r="W9" s="287"/>
      <c r="X9" s="287"/>
      <c r="Y9" s="287"/>
      <c r="Z9" s="287"/>
      <c r="AA9" s="287"/>
      <c r="AB9" s="287"/>
      <c r="AC9" s="287"/>
      <c r="AD9" s="287"/>
      <c r="AE9" s="287"/>
    </row>
    <row r="10" ht="17" customHeight="1" spans="3:31">
      <c r="C10" s="288" t="s">
        <v>171</v>
      </c>
      <c r="D10" s="288" t="s">
        <v>172</v>
      </c>
      <c r="E10" s="289">
        <f>[64]SPDCL_Output!$H9</f>
        <v>2860.08687229615</v>
      </c>
      <c r="F10" s="289">
        <f>'[64]SPDCL_Cost Alloc_Factors'!$V11</f>
        <v>2506.72755138617</v>
      </c>
      <c r="G10" s="289">
        <f>IFERROR((E10*10^7)/((F10*10^3))/12,0)</f>
        <v>950.803658576889</v>
      </c>
      <c r="H10" s="289">
        <f>[64]SPDCL_Output!$I9</f>
        <v>4551.60752393969</v>
      </c>
      <c r="I10" s="289">
        <f>'[64]SPDCL_Cost Alloc_Factors'!$H11</f>
        <v>12611.1428672529</v>
      </c>
      <c r="J10" s="289">
        <f>IFERROR((H10*10^7)/(I10*10^6),0)</f>
        <v>3.60919511566137</v>
      </c>
      <c r="K10" s="289">
        <f>[64]SPDCL_Output!$K9*[64]SPDCL_Switch_Selection!$I$46</f>
        <v>436.050424493176</v>
      </c>
      <c r="L10" s="289">
        <f>'[64]SPDCL_Cost Alloc_Factors'!$V11</f>
        <v>2506.72755138617</v>
      </c>
      <c r="M10" s="289">
        <f t="shared" ref="M10:M18" si="0">IFERROR((K10*10^7)/((L10*10^3))/12,0)</f>
        <v>144.960051020851</v>
      </c>
      <c r="N10" s="289">
        <f>[64]SPDCL_Output!$K9*[64]SPDCL_Switch_Selection!$I$45</f>
        <v>389.800285354745</v>
      </c>
      <c r="O10" s="289">
        <f>'[64]SPDCL_Cost Alloc_Factors'!$V11</f>
        <v>2506.72755138617</v>
      </c>
      <c r="P10" s="289">
        <f>IFERROR((N10*10^7)/((O10*10^3))/12,0)</f>
        <v>129.584713324481</v>
      </c>
      <c r="Q10" s="289">
        <f>[64]SPDCL_Output!$N9</f>
        <v>1813.8890762657</v>
      </c>
      <c r="R10" s="289">
        <f>'[64]SPDCL_Cost Alloc_Factors'!$V11</f>
        <v>2506.72755138617</v>
      </c>
      <c r="S10" s="289">
        <f>IFERROR((Q10*10^7)/((R10*10^3))/12,0)</f>
        <v>603.006987889668</v>
      </c>
      <c r="T10" s="289">
        <f>[64]SPDCL_Output!$R9</f>
        <v>69.0372789725501</v>
      </c>
      <c r="U10" s="289">
        <f>[64]SPDCL_Inp_Category!$H9</f>
        <v>12611.1428672529</v>
      </c>
      <c r="V10" s="289">
        <f>IFERROR((T10*10^7)/((U10*10^3))/12,0)</f>
        <v>4.5619232464528</v>
      </c>
      <c r="W10" s="289">
        <f>E10</f>
        <v>2860.08687229615</v>
      </c>
      <c r="X10" s="289">
        <f>K10+N10</f>
        <v>825.850709847921</v>
      </c>
      <c r="Y10" s="289">
        <f>Q10</f>
        <v>1813.8890762657</v>
      </c>
      <c r="Z10" s="289">
        <f>H10+T10</f>
        <v>4620.64480291224</v>
      </c>
      <c r="AA10" s="289">
        <f>SUM(W10:Y10)</f>
        <v>5499.82665840977</v>
      </c>
      <c r="AB10" s="289">
        <f>Z10</f>
        <v>4620.64480291224</v>
      </c>
      <c r="AC10" s="289">
        <f>AA10+AB10</f>
        <v>10120.471461322</v>
      </c>
      <c r="AD10" s="289">
        <f>U10</f>
        <v>12611.1428672529</v>
      </c>
      <c r="AE10" s="289">
        <f>IFERROR(AC10/AD10*10,0)</f>
        <v>8.02502324162993</v>
      </c>
    </row>
    <row r="11" ht="17" customHeight="1" spans="3:31">
      <c r="C11" s="288" t="s">
        <v>891</v>
      </c>
      <c r="D11" s="288" t="s">
        <v>174</v>
      </c>
      <c r="E11" s="289">
        <f>[64]SPDCL_Output!$H10</f>
        <v>1076.68788409886</v>
      </c>
      <c r="F11" s="289">
        <f>'[64]SPDCL_Cost Alloc_Factors'!$V12</f>
        <v>941.12840814876</v>
      </c>
      <c r="G11" s="289">
        <f t="shared" ref="G11:G18" si="1">IFERROR((E11*10^7)/((F11*10^3))/12,0)</f>
        <v>953.366082297554</v>
      </c>
      <c r="H11" s="289">
        <f>[64]SPDCL_Output!$I10</f>
        <v>1590.47019815334</v>
      </c>
      <c r="I11" s="289">
        <f>'[64]SPDCL_Cost Alloc_Factors'!$H12</f>
        <v>4403.06073642308</v>
      </c>
      <c r="J11" s="289">
        <f t="shared" ref="J11:J18" si="2">IFERROR((H11*10^7)/(I11*10^6),0)</f>
        <v>3.61219227569727</v>
      </c>
      <c r="K11" s="289">
        <f>[64]SPDCL_Output!$K10*[64]SPDCL_Switch_Selection!$I$46</f>
        <v>163.7112264749</v>
      </c>
      <c r="L11" s="289">
        <f>'[64]SPDCL_Cost Alloc_Factors'!$V12</f>
        <v>941.12840814876</v>
      </c>
      <c r="M11" s="289">
        <f t="shared" si="0"/>
        <v>144.960051020852</v>
      </c>
      <c r="N11" s="289">
        <f>[64]SPDCL_Output!$K10*[64]SPDCL_Switch_Selection!$I$45</f>
        <v>146.347025965779</v>
      </c>
      <c r="O11" s="289">
        <f>'[64]SPDCL_Cost Alloc_Factors'!$V12</f>
        <v>941.12840814876</v>
      </c>
      <c r="P11" s="289">
        <f t="shared" ref="P11:P18" si="3">IFERROR((N11*10^7)/((O11*10^3))/12,0)</f>
        <v>129.584713324481</v>
      </c>
      <c r="Q11" s="289">
        <f>[64]SPDCL_Output!$N10</f>
        <v>681.008407938217</v>
      </c>
      <c r="R11" s="289">
        <f>'[64]SPDCL_Cost Alloc_Factors'!$V12</f>
        <v>941.12840814876</v>
      </c>
      <c r="S11" s="289">
        <f t="shared" ref="S11:S18" si="4">IFERROR((Q11*10^7)/((R11*10^3))/12,0)</f>
        <v>603.006987889667</v>
      </c>
      <c r="T11" s="289">
        <f>[64]SPDCL_Output!$R10</f>
        <v>24.1037101548384</v>
      </c>
      <c r="U11" s="289">
        <f>[64]SPDCL_Inp_Category!$H10</f>
        <v>4403.06073642308</v>
      </c>
      <c r="V11" s="289">
        <f t="shared" ref="V11:V18" si="5">IFERROR((T11*10^7)/((U11*10^3))/12,0)</f>
        <v>4.56192324645279</v>
      </c>
      <c r="W11" s="289">
        <f>E11</f>
        <v>1076.68788409886</v>
      </c>
      <c r="X11" s="289">
        <f>K11+N11</f>
        <v>310.058252440679</v>
      </c>
      <c r="Y11" s="289">
        <f>Q11</f>
        <v>681.008407938217</v>
      </c>
      <c r="Z11" s="289">
        <f>H11+T11</f>
        <v>1614.57390830818</v>
      </c>
      <c r="AA11" s="289">
        <f>SUM(W11:Y11)</f>
        <v>2067.75454447776</v>
      </c>
      <c r="AB11" s="289">
        <f>Z11</f>
        <v>1614.57390830818</v>
      </c>
      <c r="AC11" s="289">
        <f>AA11+AB11</f>
        <v>3682.32845278593</v>
      </c>
      <c r="AD11" s="289">
        <f t="shared" ref="AD11:AD18" si="6">U11</f>
        <v>4403.06073642308</v>
      </c>
      <c r="AE11" s="289">
        <f t="shared" ref="AE11:AE18" si="7">IFERROR(AC11/AD11*10,0)</f>
        <v>8.36311073868436</v>
      </c>
    </row>
    <row r="12" ht="17" customHeight="1" spans="3:31">
      <c r="C12" s="288" t="s">
        <v>892</v>
      </c>
      <c r="D12" s="288" t="s">
        <v>893</v>
      </c>
      <c r="E12" s="289">
        <f>[64]SPDCL_Output!$H11</f>
        <v>270.437544251772</v>
      </c>
      <c r="F12" s="289">
        <f>'[64]SPDCL_Cost Alloc_Factors'!$V13</f>
        <v>232.53849257588</v>
      </c>
      <c r="G12" s="289">
        <f t="shared" si="1"/>
        <v>969.149742536801</v>
      </c>
      <c r="H12" s="289">
        <f>[64]SPDCL_Output!$I11</f>
        <v>378.939223859728</v>
      </c>
      <c r="I12" s="289">
        <f>'[64]SPDCL_Cost Alloc_Factors'!$H13</f>
        <v>1048.4454732488</v>
      </c>
      <c r="J12" s="289">
        <f t="shared" si="2"/>
        <v>3.6142959603375</v>
      </c>
      <c r="K12" s="289">
        <f>[64]SPDCL_Output!$K11*[64]SPDCL_Switch_Selection!$I$46</f>
        <v>40.4505500977337</v>
      </c>
      <c r="L12" s="289">
        <f>'[64]SPDCL_Cost Alloc_Factors'!$V13</f>
        <v>232.53849257588</v>
      </c>
      <c r="M12" s="289">
        <f t="shared" si="0"/>
        <v>144.960051020851</v>
      </c>
      <c r="N12" s="289">
        <f>[64]SPDCL_Output!$K11*[64]SPDCL_Switch_Selection!$I$45</f>
        <v>36.1601206768228</v>
      </c>
      <c r="O12" s="289">
        <f>'[64]SPDCL_Cost Alloc_Factors'!$V13</f>
        <v>232.53849257588</v>
      </c>
      <c r="P12" s="289">
        <f t="shared" si="3"/>
        <v>129.584713324481</v>
      </c>
      <c r="Q12" s="289">
        <f>[64]SPDCL_Output!$N11</f>
        <v>168.266803171902</v>
      </c>
      <c r="R12" s="289">
        <f>'[64]SPDCL_Cost Alloc_Factors'!$V13</f>
        <v>232.53849257588</v>
      </c>
      <c r="S12" s="289">
        <f t="shared" si="4"/>
        <v>603.006987889667</v>
      </c>
      <c r="T12" s="289">
        <f>[64]SPDCL_Output!$R11</f>
        <v>5.73951333246226</v>
      </c>
      <c r="U12" s="289">
        <f>[64]SPDCL_Inp_Category!$H11</f>
        <v>1048.4454732488</v>
      </c>
      <c r="V12" s="289">
        <f t="shared" si="5"/>
        <v>4.56192324645278</v>
      </c>
      <c r="W12" s="289">
        <f t="shared" ref="W12:W18" si="8">E12</f>
        <v>270.437544251772</v>
      </c>
      <c r="X12" s="289">
        <f t="shared" ref="X12:X18" si="9">K12+N12</f>
        <v>76.6106707745565</v>
      </c>
      <c r="Y12" s="289">
        <f t="shared" ref="Y12:Y18" si="10">Q12</f>
        <v>168.266803171902</v>
      </c>
      <c r="Z12" s="289">
        <f t="shared" ref="Z12:Z18" si="11">H12+T12</f>
        <v>384.67873719219</v>
      </c>
      <c r="AA12" s="289">
        <f t="shared" ref="AA12:AA18" si="12">SUM(W12:Y12)</f>
        <v>515.315018198231</v>
      </c>
      <c r="AB12" s="289">
        <f t="shared" ref="AB12:AB18" si="13">Z12</f>
        <v>384.67873719219</v>
      </c>
      <c r="AC12" s="289">
        <f t="shared" ref="AC12:AC18" si="14">AA12+AB12</f>
        <v>899.993755390421</v>
      </c>
      <c r="AD12" s="289">
        <f t="shared" si="6"/>
        <v>1048.4454732488</v>
      </c>
      <c r="AE12" s="289">
        <f t="shared" si="7"/>
        <v>8.58407784051588</v>
      </c>
    </row>
    <row r="13" ht="17" customHeight="1" spans="3:31">
      <c r="C13" s="288" t="s">
        <v>894</v>
      </c>
      <c r="D13" s="288" t="s">
        <v>895</v>
      </c>
      <c r="E13" s="289">
        <f>[64]SPDCL_Output!$H12</f>
        <v>2.47027630730939</v>
      </c>
      <c r="F13" s="289">
        <f>'[64]SPDCL_Cost Alloc_Factors'!$V14</f>
        <v>2.17393417852726</v>
      </c>
      <c r="G13" s="289">
        <f t="shared" si="1"/>
        <v>946.930044965333</v>
      </c>
      <c r="H13" s="289">
        <f>[64]SPDCL_Output!$I12</f>
        <v>3.47975760024477</v>
      </c>
      <c r="I13" s="289">
        <f>'[64]SPDCL_Cost Alloc_Factors'!$H14</f>
        <v>9.62967180970268</v>
      </c>
      <c r="J13" s="289">
        <f t="shared" si="2"/>
        <v>3.61357860268782</v>
      </c>
      <c r="K13" s="289">
        <f>[64]SPDCL_Output!$K12*[64]SPDCL_Switch_Selection!$I$46</f>
        <v>0.378160331322341</v>
      </c>
      <c r="L13" s="289">
        <f>'[64]SPDCL_Cost Alloc_Factors'!$V14</f>
        <v>2.17393417852726</v>
      </c>
      <c r="M13" s="289">
        <f t="shared" si="0"/>
        <v>144.960051020851</v>
      </c>
      <c r="N13" s="289">
        <f>[64]SPDCL_Output!$K12*[64]SPDCL_Switch_Selection!$I$45</f>
        <v>0.338050364772895</v>
      </c>
      <c r="O13" s="289">
        <f>'[64]SPDCL_Cost Alloc_Factors'!$V14</f>
        <v>2.17393417852726</v>
      </c>
      <c r="P13" s="289">
        <f t="shared" si="3"/>
        <v>129.584713324481</v>
      </c>
      <c r="Q13" s="289">
        <f>[64]SPDCL_Output!$N12</f>
        <v>1.57307700103695</v>
      </c>
      <c r="R13" s="289">
        <f>'[64]SPDCL_Cost Alloc_Factors'!$V14</f>
        <v>2.17393417852726</v>
      </c>
      <c r="S13" s="289">
        <f t="shared" si="4"/>
        <v>603.006987889669</v>
      </c>
      <c r="T13" s="289">
        <f>[64]SPDCL_Output!$R12</f>
        <v>0.0527157884212725</v>
      </c>
      <c r="U13" s="289">
        <f>[64]SPDCL_Inp_Category!$H12</f>
        <v>9.62967180970268</v>
      </c>
      <c r="V13" s="289">
        <f t="shared" si="5"/>
        <v>4.56192324645279</v>
      </c>
      <c r="W13" s="289">
        <f t="shared" si="8"/>
        <v>2.47027630730939</v>
      </c>
      <c r="X13" s="289">
        <f t="shared" si="9"/>
        <v>0.716210696095236</v>
      </c>
      <c r="Y13" s="289">
        <f t="shared" si="10"/>
        <v>1.57307700103695</v>
      </c>
      <c r="Z13" s="289">
        <f t="shared" si="11"/>
        <v>3.53247338866604</v>
      </c>
      <c r="AA13" s="289">
        <f t="shared" si="12"/>
        <v>4.75956400444158</v>
      </c>
      <c r="AB13" s="289">
        <f t="shared" si="13"/>
        <v>3.53247338866604</v>
      </c>
      <c r="AC13" s="289">
        <f t="shared" si="14"/>
        <v>8.29203739310762</v>
      </c>
      <c r="AD13" s="289">
        <f t="shared" si="6"/>
        <v>9.62967180970268</v>
      </c>
      <c r="AE13" s="289">
        <f t="shared" si="7"/>
        <v>8.61092419032673</v>
      </c>
    </row>
    <row r="14" ht="17" customHeight="1" spans="3:31">
      <c r="C14" s="288" t="s">
        <v>896</v>
      </c>
      <c r="D14" s="288" t="s">
        <v>202</v>
      </c>
      <c r="E14" s="289">
        <f>[64]SPDCL_Output!$H13</f>
        <v>4497.5723226755</v>
      </c>
      <c r="F14" s="289">
        <f>'[64]SPDCL_Cost Alloc_Factors'!$V15</f>
        <v>3860.5083331996</v>
      </c>
      <c r="G14" s="289">
        <f t="shared" si="1"/>
        <v>970.850626931967</v>
      </c>
      <c r="H14" s="289">
        <f>[64]SPDCL_Output!$I13</f>
        <v>6193.04835854391</v>
      </c>
      <c r="I14" s="289">
        <f>'[64]SPDCL_Cost Alloc_Factors'!$H15</f>
        <v>17123.9873054058</v>
      </c>
      <c r="J14" s="289">
        <f t="shared" si="2"/>
        <v>3.61659247235534</v>
      </c>
      <c r="K14" s="289">
        <f>[64]SPDCL_Output!$K13*[64]SPDCL_Switch_Selection!$I$46</f>
        <v>671.543381936443</v>
      </c>
      <c r="L14" s="289">
        <f>'[64]SPDCL_Cost Alloc_Factors'!$V15</f>
        <v>3860.5083331996</v>
      </c>
      <c r="M14" s="289">
        <f t="shared" si="0"/>
        <v>144.960051020851</v>
      </c>
      <c r="N14" s="289">
        <f>[64]SPDCL_Output!$K13*[64]SPDCL_Switch_Selection!$I$45</f>
        <v>600.315438773327</v>
      </c>
      <c r="O14" s="289">
        <f>'[64]SPDCL_Cost Alloc_Factors'!$V15</f>
        <v>3860.5083331996</v>
      </c>
      <c r="P14" s="289">
        <f t="shared" si="3"/>
        <v>129.584713324481</v>
      </c>
      <c r="Q14" s="289">
        <f>[64]SPDCL_Output!$N13</f>
        <v>2793.49620207078</v>
      </c>
      <c r="R14" s="289">
        <f>'[64]SPDCL_Cost Alloc_Factors'!$V15</f>
        <v>3860.5083331996</v>
      </c>
      <c r="S14" s="289">
        <f t="shared" si="4"/>
        <v>603.006987889667</v>
      </c>
      <c r="T14" s="289">
        <f>[64]SPDCL_Output!$R13</f>
        <v>93.7419789125918</v>
      </c>
      <c r="U14" s="289">
        <f>[64]SPDCL_Inp_Category!$H13</f>
        <v>17123.9873054058</v>
      </c>
      <c r="V14" s="289">
        <f t="shared" si="5"/>
        <v>4.56192324645279</v>
      </c>
      <c r="W14" s="289">
        <f t="shared" si="8"/>
        <v>4497.5723226755</v>
      </c>
      <c r="X14" s="289">
        <f t="shared" si="9"/>
        <v>1271.85882070977</v>
      </c>
      <c r="Y14" s="289">
        <f t="shared" si="10"/>
        <v>2793.49620207078</v>
      </c>
      <c r="Z14" s="289">
        <f t="shared" si="11"/>
        <v>6286.7903374565</v>
      </c>
      <c r="AA14" s="289">
        <f t="shared" si="12"/>
        <v>8562.92734545605</v>
      </c>
      <c r="AB14" s="289">
        <f t="shared" si="13"/>
        <v>6286.7903374565</v>
      </c>
      <c r="AC14" s="289">
        <f t="shared" si="14"/>
        <v>14849.7176829126</v>
      </c>
      <c r="AD14" s="289">
        <f t="shared" si="6"/>
        <v>17123.9873054058</v>
      </c>
      <c r="AE14" s="289">
        <f t="shared" si="7"/>
        <v>8.67188080560227</v>
      </c>
    </row>
    <row r="15" ht="17" customHeight="1" spans="3:31">
      <c r="C15" s="288" t="s">
        <v>897</v>
      </c>
      <c r="D15" s="288" t="s">
        <v>898</v>
      </c>
      <c r="E15" s="289">
        <f>[64]SPDCL_Output!$H14</f>
        <v>130.587324290344</v>
      </c>
      <c r="F15" s="289">
        <f>'[64]SPDCL_Cost Alloc_Factors'!$V16</f>
        <v>117.60845586747</v>
      </c>
      <c r="G15" s="289">
        <f t="shared" si="1"/>
        <v>925.297160304383</v>
      </c>
      <c r="H15" s="289">
        <f>[64]SPDCL_Output!$I14</f>
        <v>188.995378671643</v>
      </c>
      <c r="I15" s="289">
        <f>'[64]SPDCL_Cost Alloc_Factors'!$H16</f>
        <v>522.927332122974</v>
      </c>
      <c r="J15" s="289">
        <f t="shared" si="2"/>
        <v>3.61418053832378</v>
      </c>
      <c r="K15" s="289">
        <f>[64]SPDCL_Output!$K14*[64]SPDCL_Switch_Selection!$I$46</f>
        <v>20.4582333156384</v>
      </c>
      <c r="L15" s="289">
        <f>'[64]SPDCL_Cost Alloc_Factors'!$V16</f>
        <v>117.60845586747</v>
      </c>
      <c r="M15" s="289">
        <f t="shared" si="0"/>
        <v>144.960051020852</v>
      </c>
      <c r="N15" s="289">
        <f>[64]SPDCL_Output!$K14*[64]SPDCL_Switch_Selection!$I$45</f>
        <v>18.2883096457452</v>
      </c>
      <c r="O15" s="289">
        <f>'[64]SPDCL_Cost Alloc_Factors'!$V16</f>
        <v>117.60845586747</v>
      </c>
      <c r="P15" s="289">
        <f t="shared" si="3"/>
        <v>129.584713324481</v>
      </c>
      <c r="Q15" s="289">
        <f>[64]SPDCL_Output!$N14</f>
        <v>85.1024648675977</v>
      </c>
      <c r="R15" s="289">
        <f>'[64]SPDCL_Cost Alloc_Factors'!$V16</f>
        <v>117.60845586747</v>
      </c>
      <c r="S15" s="289">
        <f t="shared" si="4"/>
        <v>603.006987889668</v>
      </c>
      <c r="T15" s="289">
        <f>[64]SPDCL_Output!$R14</f>
        <v>2.8626652231408</v>
      </c>
      <c r="U15" s="289">
        <f>[64]SPDCL_Inp_Category!$H14</f>
        <v>522.927332122974</v>
      </c>
      <c r="V15" s="289">
        <f t="shared" si="5"/>
        <v>4.56192324645279</v>
      </c>
      <c r="W15" s="289">
        <f t="shared" si="8"/>
        <v>130.587324290344</v>
      </c>
      <c r="X15" s="289">
        <f t="shared" si="9"/>
        <v>38.7465429613836</v>
      </c>
      <c r="Y15" s="289">
        <f t="shared" si="10"/>
        <v>85.1024648675977</v>
      </c>
      <c r="Z15" s="289">
        <f t="shared" si="11"/>
        <v>191.858043894784</v>
      </c>
      <c r="AA15" s="289">
        <f t="shared" si="12"/>
        <v>254.436332119325</v>
      </c>
      <c r="AB15" s="289">
        <f t="shared" si="13"/>
        <v>191.858043894784</v>
      </c>
      <c r="AC15" s="289">
        <f t="shared" si="14"/>
        <v>446.294376014109</v>
      </c>
      <c r="AD15" s="289">
        <f t="shared" si="6"/>
        <v>522.927332122974</v>
      </c>
      <c r="AE15" s="289">
        <f t="shared" si="7"/>
        <v>8.5345390955613</v>
      </c>
    </row>
    <row r="16" ht="17" customHeight="1" spans="3:31">
      <c r="C16" s="288" t="s">
        <v>899</v>
      </c>
      <c r="D16" s="288" t="s">
        <v>900</v>
      </c>
      <c r="E16" s="289">
        <f>[64]SPDCL_Output!$H15</f>
        <v>61.9415025006799</v>
      </c>
      <c r="F16" s="289">
        <f>'[64]SPDCL_Cost Alloc_Factors'!$V17</f>
        <v>54.8852069537301</v>
      </c>
      <c r="G16" s="289">
        <f t="shared" si="1"/>
        <v>940.470513194604</v>
      </c>
      <c r="H16" s="289">
        <f>[64]SPDCL_Output!$I15</f>
        <v>96.0189750212103</v>
      </c>
      <c r="I16" s="289">
        <f>'[64]SPDCL_Cost Alloc_Factors'!$H17</f>
        <v>265.877537128035</v>
      </c>
      <c r="J16" s="289">
        <f t="shared" si="2"/>
        <v>3.61139854304321</v>
      </c>
      <c r="K16" s="289">
        <f>[64]SPDCL_Output!$K15*[64]SPDCL_Switch_Selection!$I$46</f>
        <v>9.54739488036322</v>
      </c>
      <c r="L16" s="289">
        <f>'[64]SPDCL_Cost Alloc_Factors'!$V17</f>
        <v>54.8852069537301</v>
      </c>
      <c r="M16" s="289">
        <f t="shared" si="0"/>
        <v>144.960051020851</v>
      </c>
      <c r="N16" s="289">
        <f>[64]SPDCL_Output!$K15*[64]SPDCL_Switch_Selection!$I$45</f>
        <v>8.53474057062468</v>
      </c>
      <c r="O16" s="289">
        <f>'[64]SPDCL_Cost Alloc_Factors'!$V17</f>
        <v>54.8852069537301</v>
      </c>
      <c r="P16" s="289">
        <f t="shared" si="3"/>
        <v>129.58471332448</v>
      </c>
      <c r="Q16" s="289">
        <f>[64]SPDCL_Output!$N15</f>
        <v>39.7153959898437</v>
      </c>
      <c r="R16" s="289">
        <f>'[64]SPDCL_Cost Alloc_Factors'!$V17</f>
        <v>54.8852069537301</v>
      </c>
      <c r="S16" s="289">
        <f t="shared" si="4"/>
        <v>603.006987889666</v>
      </c>
      <c r="T16" s="289">
        <f>[64]SPDCL_Output!$R15</f>
        <v>1.4554955008008</v>
      </c>
      <c r="U16" s="289">
        <f>[64]SPDCL_Inp_Category!$H15</f>
        <v>265.877537128035</v>
      </c>
      <c r="V16" s="289">
        <f t="shared" si="5"/>
        <v>4.5619232464528</v>
      </c>
      <c r="W16" s="289">
        <f t="shared" si="8"/>
        <v>61.9415025006799</v>
      </c>
      <c r="X16" s="289">
        <f t="shared" si="9"/>
        <v>18.0821354509879</v>
      </c>
      <c r="Y16" s="289">
        <f t="shared" si="10"/>
        <v>39.7153959898437</v>
      </c>
      <c r="Z16" s="289">
        <f t="shared" si="11"/>
        <v>97.4744705220111</v>
      </c>
      <c r="AA16" s="289">
        <f t="shared" si="12"/>
        <v>119.739033941512</v>
      </c>
      <c r="AB16" s="289">
        <f t="shared" si="13"/>
        <v>97.4744705220111</v>
      </c>
      <c r="AC16" s="289">
        <f t="shared" si="14"/>
        <v>217.213504463523</v>
      </c>
      <c r="AD16" s="289">
        <f t="shared" si="6"/>
        <v>265.877537128035</v>
      </c>
      <c r="AE16" s="289">
        <f t="shared" si="7"/>
        <v>8.16968243386887</v>
      </c>
    </row>
    <row r="17" ht="17" customHeight="1" spans="3:31">
      <c r="C17" s="288" t="s">
        <v>901</v>
      </c>
      <c r="D17" s="288" t="s">
        <v>902</v>
      </c>
      <c r="E17" s="289">
        <f>[64]SPDCL_Output!$H16</f>
        <v>8.83669036624993</v>
      </c>
      <c r="F17" s="289">
        <f>'[64]SPDCL_Cost Alloc_Factors'!$V18</f>
        <v>6.80637247437265</v>
      </c>
      <c r="G17" s="289">
        <f t="shared" si="1"/>
        <v>1081.91384856885</v>
      </c>
      <c r="H17" s="289">
        <f>[64]SPDCL_Output!$I16</f>
        <v>16.8965427816583</v>
      </c>
      <c r="I17" s="289">
        <f>'[64]SPDCL_Cost Alloc_Factors'!$H18</f>
        <v>46.8702400877059</v>
      </c>
      <c r="J17" s="289">
        <f t="shared" si="2"/>
        <v>3.60496185853553</v>
      </c>
      <c r="K17" s="289">
        <f>[64]SPDCL_Output!$K16*[64]SPDCL_Switch_Selection!$I$46</f>
        <v>1.18398252138237</v>
      </c>
      <c r="L17" s="289">
        <f>'[64]SPDCL_Cost Alloc_Factors'!$V18</f>
        <v>6.80637247437265</v>
      </c>
      <c r="M17" s="289">
        <f t="shared" si="0"/>
        <v>144.960051020851</v>
      </c>
      <c r="N17" s="289">
        <f>[64]SPDCL_Output!$K16*[64]SPDCL_Switch_Selection!$I$45</f>
        <v>1.05840219104546</v>
      </c>
      <c r="O17" s="289">
        <f>'[64]SPDCL_Cost Alloc_Factors'!$V18</f>
        <v>6.80637247437265</v>
      </c>
      <c r="P17" s="289">
        <f t="shared" si="3"/>
        <v>129.584713324481</v>
      </c>
      <c r="Q17" s="289">
        <f>[64]SPDCL_Output!$N16</f>
        <v>4.92514819707191</v>
      </c>
      <c r="R17" s="289">
        <f>'[64]SPDCL_Cost Alloc_Factors'!$V18</f>
        <v>6.80637247437265</v>
      </c>
      <c r="S17" s="289">
        <f t="shared" si="4"/>
        <v>603.006987889667</v>
      </c>
      <c r="T17" s="289">
        <f>[64]SPDCL_Output!$R16</f>
        <v>0.256582125387515</v>
      </c>
      <c r="U17" s="289">
        <f>[64]SPDCL_Inp_Category!$H16</f>
        <v>46.8702400877059</v>
      </c>
      <c r="V17" s="289">
        <f t="shared" si="5"/>
        <v>4.56192324645279</v>
      </c>
      <c r="W17" s="289">
        <f t="shared" si="8"/>
        <v>8.83669036624993</v>
      </c>
      <c r="X17" s="289">
        <f t="shared" si="9"/>
        <v>2.24238471242783</v>
      </c>
      <c r="Y17" s="289">
        <f t="shared" si="10"/>
        <v>4.92514819707191</v>
      </c>
      <c r="Z17" s="289">
        <f t="shared" si="11"/>
        <v>17.1531249070458</v>
      </c>
      <c r="AA17" s="289">
        <f t="shared" si="12"/>
        <v>16.0042232757497</v>
      </c>
      <c r="AB17" s="289">
        <f t="shared" si="13"/>
        <v>17.1531249070458</v>
      </c>
      <c r="AC17" s="289">
        <f t="shared" si="14"/>
        <v>33.1573481827955</v>
      </c>
      <c r="AD17" s="289">
        <f t="shared" si="6"/>
        <v>46.8702400877059</v>
      </c>
      <c r="AE17" s="289">
        <f t="shared" si="7"/>
        <v>7.07428596925252</v>
      </c>
    </row>
    <row r="18" ht="17" customHeight="1" spans="3:31">
      <c r="C18" s="288" t="s">
        <v>903</v>
      </c>
      <c r="D18" s="288" t="s">
        <v>904</v>
      </c>
      <c r="E18" s="289">
        <f>[64]SPDCL_Output!$H17</f>
        <v>0</v>
      </c>
      <c r="F18" s="289">
        <f>'[64]SPDCL_Cost Alloc_Factors'!$V19</f>
        <v>0</v>
      </c>
      <c r="G18" s="289">
        <f t="shared" si="1"/>
        <v>0</v>
      </c>
      <c r="H18" s="289">
        <f>[64]SPDCL_Output!$I17</f>
        <v>0</v>
      </c>
      <c r="I18" s="289">
        <f>'[64]SPDCL_Cost Alloc_Factors'!$H19</f>
        <v>0</v>
      </c>
      <c r="J18" s="289">
        <f t="shared" si="2"/>
        <v>0</v>
      </c>
      <c r="K18" s="289">
        <f>[64]SPDCL_Output!$K17*[64]SPDCL_Switch_Selection!$I$46</f>
        <v>0</v>
      </c>
      <c r="L18" s="289">
        <f>'[64]SPDCL_Cost Alloc_Factors'!$V19</f>
        <v>0</v>
      </c>
      <c r="M18" s="289">
        <f t="shared" si="0"/>
        <v>0</v>
      </c>
      <c r="N18" s="289">
        <f>[64]SPDCL_Output!$K17*[64]SPDCL_Switch_Selection!$I$45</f>
        <v>0</v>
      </c>
      <c r="O18" s="289">
        <f>'[64]SPDCL_Cost Alloc_Factors'!$V19</f>
        <v>0</v>
      </c>
      <c r="P18" s="289">
        <f t="shared" si="3"/>
        <v>0</v>
      </c>
      <c r="Q18" s="289">
        <f>[64]SPDCL_Output!$N17</f>
        <v>0</v>
      </c>
      <c r="R18" s="303">
        <f>'[64]SPDCL_Cost Alloc_Factors'!$V19</f>
        <v>0</v>
      </c>
      <c r="S18" s="289">
        <f t="shared" si="4"/>
        <v>0</v>
      </c>
      <c r="T18" s="303">
        <f>[64]SPDCL_Output!$R17</f>
        <v>0</v>
      </c>
      <c r="U18" s="303">
        <f>[64]SPDCL_Inp_Category!$H17</f>
        <v>0</v>
      </c>
      <c r="V18" s="289">
        <f t="shared" si="5"/>
        <v>0</v>
      </c>
      <c r="W18" s="289">
        <f t="shared" si="8"/>
        <v>0</v>
      </c>
      <c r="X18" s="289">
        <f t="shared" si="9"/>
        <v>0</v>
      </c>
      <c r="Y18" s="289">
        <f t="shared" si="10"/>
        <v>0</v>
      </c>
      <c r="Z18" s="289">
        <f t="shared" si="11"/>
        <v>0</v>
      </c>
      <c r="AA18" s="289">
        <f t="shared" si="12"/>
        <v>0</v>
      </c>
      <c r="AB18" s="289">
        <f t="shared" si="13"/>
        <v>0</v>
      </c>
      <c r="AC18" s="289">
        <f t="shared" si="14"/>
        <v>0</v>
      </c>
      <c r="AD18" s="289">
        <f t="shared" si="6"/>
        <v>0</v>
      </c>
      <c r="AE18" s="289">
        <f t="shared" si="7"/>
        <v>0</v>
      </c>
    </row>
    <row r="19" ht="17" customHeight="1" spans="3:31">
      <c r="C19" s="288" t="s">
        <v>905</v>
      </c>
      <c r="D19" s="290" t="s">
        <v>906</v>
      </c>
      <c r="E19" s="289">
        <f>[64]SPDCL_Output!$H18</f>
        <v>0</v>
      </c>
      <c r="F19" s="289">
        <f>'[64]SPDCL_Cost Alloc_Factors'!$V20</f>
        <v>0</v>
      </c>
      <c r="G19" s="289">
        <f t="shared" ref="G19" si="15">IFERROR((E19*10^7)/((F19*10^3))/12,0)</f>
        <v>0</v>
      </c>
      <c r="H19" s="289">
        <f>[64]SPDCL_Output!$I18</f>
        <v>0</v>
      </c>
      <c r="I19" s="289">
        <f>'[64]SPDCL_Cost Alloc_Factors'!$H20</f>
        <v>0</v>
      </c>
      <c r="J19" s="289">
        <f t="shared" ref="J19" si="16">IFERROR((H19*10^7)/(I19*10^6),0)</f>
        <v>0</v>
      </c>
      <c r="K19" s="289">
        <f>[64]SPDCL_Output!$K18*[64]SPDCL_Switch_Selection!$I$46</f>
        <v>0</v>
      </c>
      <c r="L19" s="289">
        <f>'[64]SPDCL_Cost Alloc_Factors'!$V20</f>
        <v>0</v>
      </c>
      <c r="M19" s="289">
        <f t="shared" ref="M19" si="17">IFERROR((K19*10^7)/((L19*10^3))/12,0)</f>
        <v>0</v>
      </c>
      <c r="N19" s="289">
        <f>[64]SPDCL_Output!$K18*[64]SPDCL_Switch_Selection!$I$45</f>
        <v>0</v>
      </c>
      <c r="O19" s="289">
        <f>'[64]SPDCL_Cost Alloc_Factors'!$V20</f>
        <v>0</v>
      </c>
      <c r="P19" s="289">
        <f t="shared" ref="P19" si="18">IFERROR((N19*10^7)/((O19*10^3))/12,0)</f>
        <v>0</v>
      </c>
      <c r="Q19" s="289">
        <f>[64]SPDCL_Output!$N18</f>
        <v>0</v>
      </c>
      <c r="R19" s="303">
        <f>'[64]SPDCL_Cost Alloc_Factors'!$V20</f>
        <v>0</v>
      </c>
      <c r="S19" s="289">
        <f t="shared" ref="S19" si="19">IFERROR((Q19*10^7)/((R19*10^3))/12,0)</f>
        <v>0</v>
      </c>
      <c r="T19" s="303">
        <f>[64]SPDCL_Output!$R18</f>
        <v>0</v>
      </c>
      <c r="U19" s="303">
        <f>[64]SPDCL_Inp_Category!$H18</f>
        <v>0</v>
      </c>
      <c r="V19" s="289">
        <f t="shared" ref="V19" si="20">IFERROR((T19*10^7)/((U19*10^3))/12,0)</f>
        <v>0</v>
      </c>
      <c r="W19" s="289">
        <f t="shared" ref="W19" si="21">E19</f>
        <v>0</v>
      </c>
      <c r="X19" s="289">
        <f t="shared" ref="X19" si="22">K19+N19</f>
        <v>0</v>
      </c>
      <c r="Y19" s="289">
        <f t="shared" ref="Y19" si="23">Q19</f>
        <v>0</v>
      </c>
      <c r="Z19" s="289">
        <f t="shared" ref="Z19" si="24">H19+T19</f>
        <v>0</v>
      </c>
      <c r="AA19" s="289">
        <f t="shared" ref="AA19" si="25">SUM(W19:Y19)</f>
        <v>0</v>
      </c>
      <c r="AB19" s="289">
        <f t="shared" ref="AB19" si="26">Z19</f>
        <v>0</v>
      </c>
      <c r="AC19" s="289">
        <f t="shared" ref="AC19" si="27">AA19+AB19</f>
        <v>0</v>
      </c>
      <c r="AD19" s="289">
        <f t="shared" ref="AD19" si="28">U19</f>
        <v>0</v>
      </c>
      <c r="AE19" s="289">
        <f t="shared" ref="AE19" si="29">IFERROR(AC19/AD19*10,0)</f>
        <v>0</v>
      </c>
    </row>
    <row r="20" ht="17" customHeight="1" spans="3:31">
      <c r="C20" s="291" t="s">
        <v>907</v>
      </c>
      <c r="D20" s="292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287"/>
      <c r="Z20" s="287"/>
      <c r="AA20" s="287"/>
      <c r="AB20" s="287"/>
      <c r="AC20" s="287"/>
      <c r="AD20" s="305"/>
      <c r="AE20" s="287"/>
    </row>
    <row r="21" ht="17" customHeight="1" spans="3:31">
      <c r="C21" s="288"/>
      <c r="D21" s="293" t="s">
        <v>908</v>
      </c>
      <c r="E21" s="287"/>
      <c r="F21" s="287"/>
      <c r="G21" s="287"/>
      <c r="H21" s="287"/>
      <c r="I21" s="287"/>
      <c r="J21" s="287"/>
      <c r="K21" s="287"/>
      <c r="L21" s="287"/>
      <c r="M21" s="287"/>
      <c r="N21" s="287"/>
      <c r="O21" s="287"/>
      <c r="P21" s="287"/>
      <c r="Q21" s="287"/>
      <c r="R21" s="287"/>
      <c r="S21" s="287"/>
      <c r="T21" s="287"/>
      <c r="U21" s="287"/>
      <c r="V21" s="287"/>
      <c r="W21" s="287"/>
      <c r="X21" s="287"/>
      <c r="Y21" s="287"/>
      <c r="Z21" s="287"/>
      <c r="AA21" s="287"/>
      <c r="AB21" s="287"/>
      <c r="AC21" s="287"/>
      <c r="AD21" s="287"/>
      <c r="AE21" s="287"/>
    </row>
    <row r="22" ht="17" customHeight="1" spans="3:31">
      <c r="C22" s="288" t="s">
        <v>909</v>
      </c>
      <c r="D22" s="294" t="s">
        <v>910</v>
      </c>
      <c r="E22" s="289">
        <f>[64]SPDCL_Output!$H23</f>
        <v>1095.51478028519</v>
      </c>
      <c r="F22" s="289">
        <f>'[64]SPDCL_Cost Alloc_Factors'!$V25</f>
        <v>931.728336227402</v>
      </c>
      <c r="G22" s="289">
        <f>IFERROR((E22*10^7)/((F22*10^3))/12,0)</f>
        <v>979.8231395081</v>
      </c>
      <c r="H22" s="289">
        <f>[64]SPDCL_Output!$I23</f>
        <v>1592.62576307612</v>
      </c>
      <c r="I22" s="289">
        <f>[64]SPDCL_Inp_Category!$H23</f>
        <v>4623.62972118259</v>
      </c>
      <c r="J22" s="289">
        <f>IFERROR((H22*10^7)/((I22*10^3))/12,0)</f>
        <v>287.044641532694</v>
      </c>
      <c r="K22" s="289">
        <f>[64]SPDCL_Output!$K23*[64]SPDCL_Switch_Selection!$I$46</f>
        <v>84.605056760605</v>
      </c>
      <c r="L22" s="289">
        <f>'[64]SPDCL_Cost Alloc_Factors'!$V25</f>
        <v>931.728336227402</v>
      </c>
      <c r="M22" s="289">
        <f>IFERROR((K22*10^7)/((L22*10^3))/12,0)</f>
        <v>75.670355001378</v>
      </c>
      <c r="N22" s="289">
        <f>[64]SPDCL_Output!$K23*[64]SPDCL_Switch_Selection!$I$45</f>
        <v>75.631333935909</v>
      </c>
      <c r="O22" s="289">
        <f>'[64]SPDCL_Cost Alloc_Factors'!$V25</f>
        <v>931.728336227402</v>
      </c>
      <c r="P22" s="289">
        <f>IFERROR((N22*10^7)/((O22*10^3))/12,0)</f>
        <v>67.6443005570189</v>
      </c>
      <c r="Q22" s="289">
        <f>[64]SPDCL_Output!$N23</f>
        <v>165.657908198555</v>
      </c>
      <c r="R22" s="289">
        <f>'[64]SPDCL_Cost Alloc_Factors'!$V25</f>
        <v>931.728336227402</v>
      </c>
      <c r="S22" s="289">
        <f>IFERROR((Q22*10^7)/((R22*10^3))/12,0)</f>
        <v>148.163634682499</v>
      </c>
      <c r="T22" s="289">
        <f>[64]SPDCL_Output!$R23</f>
        <v>25.3111726896635</v>
      </c>
      <c r="U22" s="289">
        <f>[64]SPDCL_Inp_Category!$H23</f>
        <v>4623.62972118259</v>
      </c>
      <c r="V22" s="289">
        <f>IFERROR((T22*10^7)/((U22*10^3))/12,0)</f>
        <v>4.5619232464528</v>
      </c>
      <c r="W22" s="289">
        <f>E22</f>
        <v>1095.51478028519</v>
      </c>
      <c r="X22" s="289">
        <f>K22+N22</f>
        <v>160.236390696514</v>
      </c>
      <c r="Y22" s="289">
        <f>Q22</f>
        <v>165.657908198555</v>
      </c>
      <c r="Z22" s="289">
        <f>H22+T22</f>
        <v>1617.93693576578</v>
      </c>
      <c r="AA22" s="289">
        <f>SUM(W22:Y22)</f>
        <v>1421.40907918026</v>
      </c>
      <c r="AB22" s="289">
        <f>Z22</f>
        <v>1617.93693576578</v>
      </c>
      <c r="AC22" s="289">
        <f>AA22+AB22</f>
        <v>3039.34601494604</v>
      </c>
      <c r="AD22" s="289">
        <f>U22</f>
        <v>4623.62972118259</v>
      </c>
      <c r="AE22" s="289">
        <f t="shared" ref="AE22:AE30" si="30">IFERROR(AC22/AD22*10,0)</f>
        <v>6.57350652674814</v>
      </c>
    </row>
    <row r="23" ht="17" customHeight="1" spans="3:31">
      <c r="C23" s="288" t="s">
        <v>911</v>
      </c>
      <c r="D23" s="294" t="s">
        <v>912</v>
      </c>
      <c r="E23" s="289">
        <f>[64]SPDCL_Output!$H24</f>
        <v>0.148837437895967</v>
      </c>
      <c r="F23" s="289">
        <f>'[64]SPDCL_Cost Alloc_Factors'!$V26</f>
        <v>0.150903184490562</v>
      </c>
      <c r="G23" s="289">
        <f t="shared" ref="G23:G53" si="31">IFERROR((E23*10^7)/((F23*10^3))/12,0)</f>
        <v>821.925651637898</v>
      </c>
      <c r="H23" s="289">
        <f>[64]SPDCL_Output!$I24</f>
        <v>0.186378358263898</v>
      </c>
      <c r="I23" s="289">
        <f>[64]SPDCL_Inp_Category!$H24</f>
        <v>0.5403905124</v>
      </c>
      <c r="J23" s="289">
        <f t="shared" ref="J23:J53" si="32">IFERROR((H23*10^7)/((I23*10^3))/12,0)</f>
        <v>287.413074414384</v>
      </c>
      <c r="K23" s="289">
        <f>[64]SPDCL_Output!$K24*[64]SPDCL_Switch_Selection!$I$46</f>
        <v>0</v>
      </c>
      <c r="L23" s="289">
        <f>'[64]SPDCL_Cost Alloc_Factors'!$V26</f>
        <v>0.150903184490562</v>
      </c>
      <c r="M23" s="289">
        <f t="shared" ref="M23:M53" si="33">IFERROR((K23*10^7)/((L23*10^3))/12,0)</f>
        <v>0</v>
      </c>
      <c r="N23" s="289">
        <f>[64]SPDCL_Output!$K24*[64]SPDCL_Switch_Selection!$I$45</f>
        <v>0</v>
      </c>
      <c r="O23" s="289">
        <f>'[64]SPDCL_Cost Alloc_Factors'!$V26</f>
        <v>0.150903184490562</v>
      </c>
      <c r="P23" s="289">
        <f t="shared" ref="P23:P53" si="34">IFERROR((N23*10^7)/((O23*10^3))/12,0)</f>
        <v>0</v>
      </c>
      <c r="Q23" s="289">
        <f>[64]SPDCL_Output!$N24</f>
        <v>0.0268300371591424</v>
      </c>
      <c r="R23" s="289">
        <f>'[64]SPDCL_Cost Alloc_Factors'!$V26</f>
        <v>0.150903184490562</v>
      </c>
      <c r="S23" s="289">
        <f t="shared" ref="S23:S53" si="35">IFERROR((Q23*10^7)/((R23*10^3))/12,0)</f>
        <v>148.163634682499</v>
      </c>
      <c r="T23" s="289">
        <f>[64]SPDCL_Output!$R24</f>
        <v>0.00295826404881611</v>
      </c>
      <c r="U23" s="289">
        <f>[64]SPDCL_Inp_Category!$H24</f>
        <v>0.5403905124</v>
      </c>
      <c r="V23" s="289">
        <f t="shared" ref="V23:V53" si="36">IFERROR((T23*10^7)/((U23*10^3))/12,0)</f>
        <v>4.56192324645278</v>
      </c>
      <c r="W23" s="289">
        <f>E23</f>
        <v>0.148837437895967</v>
      </c>
      <c r="X23" s="289">
        <f>K23+N23</f>
        <v>0</v>
      </c>
      <c r="Y23" s="289">
        <f>Q23</f>
        <v>0.0268300371591424</v>
      </c>
      <c r="Z23" s="289">
        <f>H23+T23</f>
        <v>0.189336622312714</v>
      </c>
      <c r="AA23" s="289">
        <f>SUM(W23:Y23)</f>
        <v>0.175667475055109</v>
      </c>
      <c r="AB23" s="289">
        <f>Z23</f>
        <v>0.189336622312714</v>
      </c>
      <c r="AC23" s="289">
        <f>AA23+AB23</f>
        <v>0.365004097367824</v>
      </c>
      <c r="AD23" s="289">
        <f t="shared" ref="AD23:AD41" si="37">U23</f>
        <v>0.5403905124</v>
      </c>
      <c r="AE23" s="289">
        <f t="shared" si="30"/>
        <v>6.75445051295878</v>
      </c>
    </row>
    <row r="24" ht="17" customHeight="1" spans="3:31">
      <c r="C24" s="288" t="s">
        <v>913</v>
      </c>
      <c r="D24" s="294" t="s">
        <v>440</v>
      </c>
      <c r="E24" s="289">
        <f>[64]SPDCL_Output!$H25</f>
        <v>542.17022686298</v>
      </c>
      <c r="F24" s="289">
        <f>'[64]SPDCL_Cost Alloc_Factors'!$V27</f>
        <v>474.321996291591</v>
      </c>
      <c r="G24" s="289">
        <f t="shared" si="31"/>
        <v>952.535463078263</v>
      </c>
      <c r="H24" s="289">
        <f>[64]SPDCL_Output!$I25</f>
        <v>885.878153409585</v>
      </c>
      <c r="I24" s="289">
        <f>[64]SPDCL_Inp_Category!$H25</f>
        <v>2574.01348848237</v>
      </c>
      <c r="J24" s="289">
        <f t="shared" si="32"/>
        <v>286.801836047583</v>
      </c>
      <c r="K24" s="289">
        <f>[64]SPDCL_Output!$K25*[64]SPDCL_Switch_Selection!$I$46</f>
        <v>53.848210092692</v>
      </c>
      <c r="L24" s="289">
        <f>'[64]SPDCL_Cost Alloc_Factors'!$V27</f>
        <v>474.321996291591</v>
      </c>
      <c r="M24" s="289">
        <f t="shared" si="33"/>
        <v>94.6055817807583</v>
      </c>
      <c r="N24" s="289">
        <f>[64]SPDCL_Output!$K25*[64]SPDCL_Switch_Selection!$I$45</f>
        <v>48.136744011591</v>
      </c>
      <c r="O24" s="289">
        <f>'[64]SPDCL_Cost Alloc_Factors'!$V27</f>
        <v>474.321996291591</v>
      </c>
      <c r="P24" s="289">
        <f t="shared" si="34"/>
        <v>84.5711429295224</v>
      </c>
      <c r="Q24" s="289">
        <f>[64]SPDCL_Output!$N25</f>
        <v>84.3327251765049</v>
      </c>
      <c r="R24" s="289">
        <f>'[64]SPDCL_Cost Alloc_Factors'!$V27</f>
        <v>474.321996291591</v>
      </c>
      <c r="S24" s="289">
        <f t="shared" si="35"/>
        <v>148.163634682499</v>
      </c>
      <c r="T24" s="289">
        <f>[64]SPDCL_Output!$R25</f>
        <v>14.0909423637489</v>
      </c>
      <c r="U24" s="289">
        <f>[64]SPDCL_Inp_Category!$H25</f>
        <v>2574.01348848237</v>
      </c>
      <c r="V24" s="289">
        <f t="shared" si="36"/>
        <v>4.56192324645278</v>
      </c>
      <c r="W24" s="289">
        <f>E24</f>
        <v>542.17022686298</v>
      </c>
      <c r="X24" s="289">
        <f>K24+N24</f>
        <v>101.984954104283</v>
      </c>
      <c r="Y24" s="289">
        <f>Q24</f>
        <v>84.3327251765049</v>
      </c>
      <c r="Z24" s="289">
        <f>H24+T24</f>
        <v>899.969095773334</v>
      </c>
      <c r="AA24" s="289">
        <f>SUM(W24:Y24)</f>
        <v>728.487906143768</v>
      </c>
      <c r="AB24" s="289">
        <f>Z24</f>
        <v>899.969095773334</v>
      </c>
      <c r="AC24" s="289">
        <f>AA24+AB24</f>
        <v>1628.4570019171</v>
      </c>
      <c r="AD24" s="289">
        <f t="shared" si="37"/>
        <v>2574.01348848237</v>
      </c>
      <c r="AE24" s="289">
        <f t="shared" si="30"/>
        <v>6.32652862622423</v>
      </c>
    </row>
    <row r="25" ht="17" customHeight="1" spans="3:31">
      <c r="C25" s="288" t="s">
        <v>914</v>
      </c>
      <c r="D25" s="294" t="s">
        <v>915</v>
      </c>
      <c r="E25" s="289">
        <f>[64]SPDCL_Output!$H26</f>
        <v>1.59003342050587</v>
      </c>
      <c r="F25" s="289">
        <f>'[64]SPDCL_Cost Alloc_Factors'!$V28</f>
        <v>1.4214523753485</v>
      </c>
      <c r="G25" s="289">
        <f t="shared" si="31"/>
        <v>932.164786805959</v>
      </c>
      <c r="H25" s="289">
        <f>[64]SPDCL_Output!$I26</f>
        <v>2.06230620699967</v>
      </c>
      <c r="I25" s="289">
        <f>[64]SPDCL_Inp_Category!$H26</f>
        <v>5.98000855702511</v>
      </c>
      <c r="J25" s="289">
        <f t="shared" si="32"/>
        <v>287.388971009769</v>
      </c>
      <c r="K25" s="289">
        <f>[64]SPDCL_Output!$K26*[64]SPDCL_Switch_Selection!$I$46</f>
        <v>0.162036751454906</v>
      </c>
      <c r="L25" s="289">
        <f>'[64]SPDCL_Cost Alloc_Factors'!$V28</f>
        <v>1.4214523753485</v>
      </c>
      <c r="M25" s="289">
        <f t="shared" si="33"/>
        <v>94.9948296222838</v>
      </c>
      <c r="N25" s="289">
        <f>[64]SPDCL_Output!$K26*[64]SPDCL_Switch_Selection!$I$45</f>
        <v>0.144850155870142</v>
      </c>
      <c r="O25" s="289">
        <f>'[64]SPDCL_Cost Alloc_Factors'!$V28</f>
        <v>1.4214523753485</v>
      </c>
      <c r="P25" s="289">
        <f t="shared" si="34"/>
        <v>84.9191047962646</v>
      </c>
      <c r="Q25" s="289">
        <f>[64]SPDCL_Output!$N26</f>
        <v>0.252729060551646</v>
      </c>
      <c r="R25" s="289">
        <f>'[64]SPDCL_Cost Alloc_Factors'!$V28</f>
        <v>1.4214523753485</v>
      </c>
      <c r="S25" s="289">
        <f t="shared" si="35"/>
        <v>148.163634682499</v>
      </c>
      <c r="T25" s="289">
        <f>[64]SPDCL_Output!$R26</f>
        <v>0.0327364080603353</v>
      </c>
      <c r="U25" s="289">
        <f>[64]SPDCL_Inp_Category!$H26</f>
        <v>5.98000855702511</v>
      </c>
      <c r="V25" s="289">
        <f t="shared" si="36"/>
        <v>4.56192324645278</v>
      </c>
      <c r="W25" s="289">
        <f t="shared" ref="W25:W30" si="38">E25</f>
        <v>1.59003342050587</v>
      </c>
      <c r="X25" s="289">
        <f t="shared" ref="X25:X30" si="39">K25+N25</f>
        <v>0.306886907325048</v>
      </c>
      <c r="Y25" s="289">
        <f t="shared" ref="Y25:Y30" si="40">Q25</f>
        <v>0.252729060551646</v>
      </c>
      <c r="Z25" s="289">
        <f t="shared" ref="Z25:Z30" si="41">H25+T25</f>
        <v>2.09504261506</v>
      </c>
      <c r="AA25" s="289">
        <f t="shared" ref="AA25:AA30" si="42">SUM(W25:Y25)</f>
        <v>2.14964938838256</v>
      </c>
      <c r="AB25" s="289">
        <f t="shared" ref="AB25:AB30" si="43">Z25</f>
        <v>2.09504261506</v>
      </c>
      <c r="AC25" s="289">
        <f t="shared" ref="AC25:AC30" si="44">AA25+AB25</f>
        <v>4.24469200344257</v>
      </c>
      <c r="AD25" s="289">
        <f t="shared" si="37"/>
        <v>5.98000855702511</v>
      </c>
      <c r="AE25" s="289">
        <f t="shared" si="30"/>
        <v>7.09813700593463</v>
      </c>
    </row>
    <row r="26" ht="17" customHeight="1" spans="3:31">
      <c r="C26" s="288" t="s">
        <v>916</v>
      </c>
      <c r="D26" s="294" t="s">
        <v>917</v>
      </c>
      <c r="E26" s="289">
        <f>[64]SPDCL_Output!$H27</f>
        <v>35.983913962728</v>
      </c>
      <c r="F26" s="289">
        <f>'[64]SPDCL_Cost Alloc_Factors'!$V29</f>
        <v>30.5040346680113</v>
      </c>
      <c r="G26" s="289">
        <f t="shared" si="31"/>
        <v>983.037007900666</v>
      </c>
      <c r="H26" s="289">
        <f>[64]SPDCL_Output!$I27</f>
        <v>56.1043787064951</v>
      </c>
      <c r="I26" s="289">
        <f>[64]SPDCL_Inp_Category!$H27</f>
        <v>163.008602037619</v>
      </c>
      <c r="J26" s="289">
        <f t="shared" si="32"/>
        <v>286.817065710983</v>
      </c>
      <c r="K26" s="289">
        <f>[64]SPDCL_Output!$K27*[64]SPDCL_Switch_Selection!$I$46</f>
        <v>3.36890561831111</v>
      </c>
      <c r="L26" s="289">
        <f>'[64]SPDCL_Cost Alloc_Factors'!$V29</f>
        <v>30.5040346680113</v>
      </c>
      <c r="M26" s="289">
        <f t="shared" si="33"/>
        <v>92.0344268929333</v>
      </c>
      <c r="N26" s="289">
        <f>[64]SPDCL_Output!$K27*[64]SPDCL_Switch_Selection!$I$45</f>
        <v>3.01157916054597</v>
      </c>
      <c r="O26" s="289">
        <f>'[64]SPDCL_Cost Alloc_Factors'!$V29</f>
        <v>30.5040346680113</v>
      </c>
      <c r="P26" s="289">
        <f t="shared" si="34"/>
        <v>82.2727002433804</v>
      </c>
      <c r="Q26" s="289">
        <f>[64]SPDCL_Output!$N27</f>
        <v>5.4235063786722</v>
      </c>
      <c r="R26" s="289">
        <f>'[64]SPDCL_Cost Alloc_Factors'!$V29</f>
        <v>30.5040346680113</v>
      </c>
      <c r="S26" s="289">
        <f t="shared" si="35"/>
        <v>148.163634682499</v>
      </c>
      <c r="T26" s="289">
        <f>[64]SPDCL_Output!$R27</f>
        <v>0.892359277208623</v>
      </c>
      <c r="U26" s="289">
        <f>[64]SPDCL_Inp_Category!$H27</f>
        <v>163.008602037619</v>
      </c>
      <c r="V26" s="289">
        <f t="shared" si="36"/>
        <v>4.56192324645279</v>
      </c>
      <c r="W26" s="289">
        <f t="shared" si="38"/>
        <v>35.983913962728</v>
      </c>
      <c r="X26" s="289">
        <f t="shared" si="39"/>
        <v>6.38048477885708</v>
      </c>
      <c r="Y26" s="289">
        <f t="shared" si="40"/>
        <v>5.4235063786722</v>
      </c>
      <c r="Z26" s="289">
        <f t="shared" si="41"/>
        <v>56.9967379837037</v>
      </c>
      <c r="AA26" s="289">
        <f t="shared" si="42"/>
        <v>47.7879051202573</v>
      </c>
      <c r="AB26" s="289">
        <f t="shared" si="43"/>
        <v>56.9967379837037</v>
      </c>
      <c r="AC26" s="289">
        <f t="shared" si="44"/>
        <v>104.784643103961</v>
      </c>
      <c r="AD26" s="289">
        <f t="shared" si="37"/>
        <v>163.008602037619</v>
      </c>
      <c r="AE26" s="289">
        <f t="shared" si="30"/>
        <v>6.42816647674697</v>
      </c>
    </row>
    <row r="27" ht="17" customHeight="1" spans="3:31">
      <c r="C27" s="288" t="s">
        <v>918</v>
      </c>
      <c r="D27" s="294" t="s">
        <v>919</v>
      </c>
      <c r="E27" s="289">
        <f>[64]SPDCL_Output!$H28</f>
        <v>72.9412182870084</v>
      </c>
      <c r="F27" s="289">
        <f>'[64]SPDCL_Cost Alloc_Factors'!$V30</f>
        <v>71.8110098955546</v>
      </c>
      <c r="G27" s="289">
        <f t="shared" si="31"/>
        <v>846.448875470693</v>
      </c>
      <c r="H27" s="289">
        <f>[64]SPDCL_Output!$I28</f>
        <v>112.014810268724</v>
      </c>
      <c r="I27" s="289">
        <f>[64]SPDCL_Inp_Category!$H28</f>
        <v>329.15660398209</v>
      </c>
      <c r="J27" s="289">
        <f t="shared" si="32"/>
        <v>283.590467560589</v>
      </c>
      <c r="K27" s="289">
        <f>[64]SPDCL_Output!$K28*[64]SPDCL_Switch_Selection!$I$46</f>
        <v>4.75605183698536</v>
      </c>
      <c r="L27" s="289">
        <f>'[64]SPDCL_Cost Alloc_Factors'!$V30</f>
        <v>71.8110098955546</v>
      </c>
      <c r="M27" s="289">
        <f t="shared" si="33"/>
        <v>55.1917670644886</v>
      </c>
      <c r="N27" s="289">
        <f>[64]SPDCL_Output!$K28*[64]SPDCL_Switch_Selection!$I$45</f>
        <v>4.25159628126418</v>
      </c>
      <c r="O27" s="289">
        <f>'[64]SPDCL_Cost Alloc_Factors'!$V30</f>
        <v>71.8110098955546</v>
      </c>
      <c r="P27" s="289">
        <f t="shared" si="34"/>
        <v>49.3377952239718</v>
      </c>
      <c r="Q27" s="289">
        <f>[64]SPDCL_Output!$N28</f>
        <v>12.7677362836155</v>
      </c>
      <c r="R27" s="289">
        <f>'[64]SPDCL_Cost Alloc_Factors'!$V30</f>
        <v>71.8110098955546</v>
      </c>
      <c r="S27" s="289">
        <f t="shared" si="35"/>
        <v>148.163634682499</v>
      </c>
      <c r="T27" s="289">
        <f>[64]SPDCL_Output!$R28</f>
        <v>1.80190459611522</v>
      </c>
      <c r="U27" s="289">
        <f>[64]SPDCL_Inp_Category!$H28</f>
        <v>329.15660398209</v>
      </c>
      <c r="V27" s="289">
        <f t="shared" si="36"/>
        <v>4.56192324645279</v>
      </c>
      <c r="W27" s="289">
        <f t="shared" si="38"/>
        <v>72.9412182870084</v>
      </c>
      <c r="X27" s="289">
        <f t="shared" si="39"/>
        <v>9.00764811824954</v>
      </c>
      <c r="Y27" s="289">
        <f t="shared" si="40"/>
        <v>12.7677362836155</v>
      </c>
      <c r="Z27" s="289">
        <f t="shared" si="41"/>
        <v>113.816714864839</v>
      </c>
      <c r="AA27" s="289">
        <f t="shared" si="42"/>
        <v>94.7166026888734</v>
      </c>
      <c r="AB27" s="289">
        <f t="shared" si="43"/>
        <v>113.816714864839</v>
      </c>
      <c r="AC27" s="289">
        <f t="shared" si="44"/>
        <v>208.533317553713</v>
      </c>
      <c r="AD27" s="289">
        <f t="shared" si="37"/>
        <v>329.15660398209</v>
      </c>
      <c r="AE27" s="289">
        <f t="shared" si="30"/>
        <v>6.33538306784388</v>
      </c>
    </row>
    <row r="28" ht="17" customHeight="1" spans="3:31">
      <c r="C28" s="288" t="s">
        <v>920</v>
      </c>
      <c r="D28" s="294" t="s">
        <v>921</v>
      </c>
      <c r="E28" s="289">
        <f>[64]SPDCL_Output!$H29</f>
        <v>71.0809184653423</v>
      </c>
      <c r="F28" s="289">
        <f>'[64]SPDCL_Cost Alloc_Factors'!$V31</f>
        <v>63.2175822149164</v>
      </c>
      <c r="G28" s="289">
        <f t="shared" si="31"/>
        <v>936.987727872043</v>
      </c>
      <c r="H28" s="289">
        <f>[64]SPDCL_Output!$I29</f>
        <v>116.745581585708</v>
      </c>
      <c r="I28" s="289">
        <f>[64]SPDCL_Inp_Category!$H29</f>
        <v>343.07887615383</v>
      </c>
      <c r="J28" s="289">
        <f t="shared" si="32"/>
        <v>283.573228831304</v>
      </c>
      <c r="K28" s="289">
        <f>[64]SPDCL_Output!$K29*[64]SPDCL_Switch_Selection!$I$46</f>
        <v>9.06763185617494</v>
      </c>
      <c r="L28" s="289">
        <f>'[64]SPDCL_Cost Alloc_Factors'!$V31</f>
        <v>63.2175822149164</v>
      </c>
      <c r="M28" s="289">
        <f t="shared" si="33"/>
        <v>119.529403298863</v>
      </c>
      <c r="N28" s="289">
        <f>[64]SPDCL_Output!$K29*[64]SPDCL_Switch_Selection!$I$45</f>
        <v>8.10586410765916</v>
      </c>
      <c r="O28" s="289">
        <f>'[64]SPDCL_Cost Alloc_Factors'!$V31</f>
        <v>63.2175822149164</v>
      </c>
      <c r="P28" s="289">
        <f t="shared" si="34"/>
        <v>106.85139354774</v>
      </c>
      <c r="Q28" s="289">
        <f>[64]SPDCL_Output!$N29</f>
        <v>11.239856108162</v>
      </c>
      <c r="R28" s="289">
        <f>'[64]SPDCL_Cost Alloc_Factors'!$V31</f>
        <v>63.2175822149164</v>
      </c>
      <c r="S28" s="289">
        <f t="shared" si="35"/>
        <v>148.163634682498</v>
      </c>
      <c r="T28" s="289">
        <f>[64]SPDCL_Output!$R29</f>
        <v>1.87811940059167</v>
      </c>
      <c r="U28" s="289">
        <f>[64]SPDCL_Inp_Category!$H29</f>
        <v>343.07887615383</v>
      </c>
      <c r="V28" s="289">
        <f t="shared" si="36"/>
        <v>4.5619232464528</v>
      </c>
      <c r="W28" s="289">
        <f t="shared" si="38"/>
        <v>71.0809184653423</v>
      </c>
      <c r="X28" s="289">
        <f t="shared" si="39"/>
        <v>17.1734959638341</v>
      </c>
      <c r="Y28" s="289">
        <f t="shared" si="40"/>
        <v>11.239856108162</v>
      </c>
      <c r="Z28" s="289">
        <f t="shared" si="41"/>
        <v>118.6237009863</v>
      </c>
      <c r="AA28" s="289">
        <f t="shared" si="42"/>
        <v>99.4942705373384</v>
      </c>
      <c r="AB28" s="289">
        <f t="shared" si="43"/>
        <v>118.6237009863</v>
      </c>
      <c r="AC28" s="289">
        <f t="shared" si="44"/>
        <v>218.117971523638</v>
      </c>
      <c r="AD28" s="289">
        <f t="shared" si="37"/>
        <v>343.07887615383</v>
      </c>
      <c r="AE28" s="289">
        <f t="shared" si="30"/>
        <v>6.35766252848042</v>
      </c>
    </row>
    <row r="29" ht="17" customHeight="1" spans="3:31">
      <c r="C29" s="288" t="s">
        <v>922</v>
      </c>
      <c r="D29" s="294" t="s">
        <v>198</v>
      </c>
      <c r="E29" s="289">
        <f>[64]SPDCL_Output!$H30</f>
        <v>0.0807727238770132</v>
      </c>
      <c r="F29" s="289">
        <f>'[64]SPDCL_Cost Alloc_Factors'!$V32</f>
        <v>0.0617253634730732</v>
      </c>
      <c r="G29" s="289">
        <f t="shared" si="31"/>
        <v>1090.48532796745</v>
      </c>
      <c r="H29" s="289">
        <f>[64]SPDCL_Output!$I30</f>
        <v>0.156889161449057</v>
      </c>
      <c r="I29" s="289">
        <f>[64]SPDCL_Inp_Category!$H30</f>
        <v>0.461284863244088</v>
      </c>
      <c r="J29" s="289">
        <f t="shared" si="32"/>
        <v>283.427830158461</v>
      </c>
      <c r="K29" s="289">
        <f>[64]SPDCL_Output!$K30*[64]SPDCL_Switch_Selection!$I$46</f>
        <v>0</v>
      </c>
      <c r="L29" s="289">
        <f>'[64]SPDCL_Cost Alloc_Factors'!$V32</f>
        <v>0.0617253634730732</v>
      </c>
      <c r="M29" s="289">
        <f t="shared" si="33"/>
        <v>0</v>
      </c>
      <c r="N29" s="289">
        <f>[64]SPDCL_Output!$K30*[64]SPDCL_Switch_Selection!$I$45</f>
        <v>0</v>
      </c>
      <c r="O29" s="289">
        <f>'[64]SPDCL_Cost Alloc_Factors'!$V32</f>
        <v>0.0617253634730732</v>
      </c>
      <c r="P29" s="289">
        <f t="shared" si="34"/>
        <v>0</v>
      </c>
      <c r="Q29" s="289">
        <f>[64]SPDCL_Output!$N30</f>
        <v>0.0109745450451226</v>
      </c>
      <c r="R29" s="289">
        <f>'[64]SPDCL_Cost Alloc_Factors'!$V32</f>
        <v>0.0617253634730732</v>
      </c>
      <c r="S29" s="289">
        <f t="shared" si="35"/>
        <v>148.163634682498</v>
      </c>
      <c r="T29" s="289">
        <f>[64]SPDCL_Output!$R30</f>
        <v>0.002525215369044</v>
      </c>
      <c r="U29" s="289">
        <f>[64]SPDCL_Inp_Category!$H30</f>
        <v>0.461284863244088</v>
      </c>
      <c r="V29" s="289">
        <f t="shared" si="36"/>
        <v>4.56192324645279</v>
      </c>
      <c r="W29" s="289">
        <f t="shared" si="38"/>
        <v>0.0807727238770132</v>
      </c>
      <c r="X29" s="289">
        <f t="shared" si="39"/>
        <v>0</v>
      </c>
      <c r="Y29" s="289">
        <f t="shared" si="40"/>
        <v>0.0109745450451226</v>
      </c>
      <c r="Z29" s="289">
        <f t="shared" si="41"/>
        <v>0.159414376818101</v>
      </c>
      <c r="AA29" s="289">
        <f t="shared" si="42"/>
        <v>0.0917472689221358</v>
      </c>
      <c r="AB29" s="289">
        <f t="shared" si="43"/>
        <v>0.159414376818101</v>
      </c>
      <c r="AC29" s="289">
        <f t="shared" si="44"/>
        <v>0.251161645740237</v>
      </c>
      <c r="AD29" s="289">
        <f t="shared" si="37"/>
        <v>0.461284863244088</v>
      </c>
      <c r="AE29" s="289">
        <f t="shared" si="30"/>
        <v>5.44482738873951</v>
      </c>
    </row>
    <row r="30" ht="17" customHeight="1" spans="3:31">
      <c r="C30" s="288" t="s">
        <v>923</v>
      </c>
      <c r="D30" s="294" t="s">
        <v>906</v>
      </c>
      <c r="E30" s="289">
        <f>[64]SPDCL_Output!$H31</f>
        <v>0</v>
      </c>
      <c r="F30" s="289">
        <f>'[64]SPDCL_Cost Alloc_Factors'!$V33</f>
        <v>0</v>
      </c>
      <c r="G30" s="289">
        <f t="shared" si="31"/>
        <v>0</v>
      </c>
      <c r="H30" s="289">
        <f>[64]SPDCL_Output!$I31</f>
        <v>0</v>
      </c>
      <c r="I30" s="289">
        <f>[64]SPDCL_Inp_Category!$H31</f>
        <v>0</v>
      </c>
      <c r="J30" s="289">
        <f t="shared" si="32"/>
        <v>0</v>
      </c>
      <c r="K30" s="289">
        <f>[64]SPDCL_Output!$K31*[64]SPDCL_Switch_Selection!$I$46</f>
        <v>0</v>
      </c>
      <c r="L30" s="289">
        <f>'[64]SPDCL_Cost Alloc_Factors'!$V33</f>
        <v>0</v>
      </c>
      <c r="M30" s="289">
        <f t="shared" si="33"/>
        <v>0</v>
      </c>
      <c r="N30" s="289">
        <f>[64]SPDCL_Output!$K31*[64]SPDCL_Switch_Selection!$I$45</f>
        <v>0</v>
      </c>
      <c r="O30" s="289">
        <f>'[64]SPDCL_Cost Alloc_Factors'!$V33</f>
        <v>0</v>
      </c>
      <c r="P30" s="289">
        <f t="shared" si="34"/>
        <v>0</v>
      </c>
      <c r="Q30" s="289">
        <f>[64]SPDCL_Output!$N31</f>
        <v>0</v>
      </c>
      <c r="R30" s="289">
        <f>'[64]SPDCL_Cost Alloc_Factors'!$V33</f>
        <v>0</v>
      </c>
      <c r="S30" s="289">
        <f t="shared" si="35"/>
        <v>0</v>
      </c>
      <c r="T30" s="289">
        <f>[64]SPDCL_Output!$R31</f>
        <v>0</v>
      </c>
      <c r="U30" s="289">
        <f>[64]SPDCL_Inp_Category!$H31</f>
        <v>0</v>
      </c>
      <c r="V30" s="289">
        <f t="shared" si="36"/>
        <v>0</v>
      </c>
      <c r="W30" s="289">
        <f t="shared" si="38"/>
        <v>0</v>
      </c>
      <c r="X30" s="289">
        <f t="shared" si="39"/>
        <v>0</v>
      </c>
      <c r="Y30" s="289">
        <f t="shared" si="40"/>
        <v>0</v>
      </c>
      <c r="Z30" s="289">
        <f t="shared" si="41"/>
        <v>0</v>
      </c>
      <c r="AA30" s="289">
        <f t="shared" si="42"/>
        <v>0</v>
      </c>
      <c r="AB30" s="289">
        <f t="shared" si="43"/>
        <v>0</v>
      </c>
      <c r="AC30" s="289">
        <f t="shared" si="44"/>
        <v>0</v>
      </c>
      <c r="AD30" s="289">
        <f t="shared" si="37"/>
        <v>0</v>
      </c>
      <c r="AE30" s="289">
        <f t="shared" si="30"/>
        <v>0</v>
      </c>
    </row>
    <row r="31" ht="17" customHeight="1" spans="3:31">
      <c r="C31" s="288"/>
      <c r="D31" s="295" t="s">
        <v>924</v>
      </c>
      <c r="E31" s="287"/>
      <c r="F31" s="287"/>
      <c r="G31" s="287"/>
      <c r="H31" s="287"/>
      <c r="I31" s="287"/>
      <c r="J31" s="287"/>
      <c r="K31" s="287"/>
      <c r="L31" s="287"/>
      <c r="M31" s="287"/>
      <c r="N31" s="287"/>
      <c r="O31" s="287"/>
      <c r="P31" s="287"/>
      <c r="Q31" s="287"/>
      <c r="R31" s="287"/>
      <c r="S31" s="287"/>
      <c r="T31" s="287"/>
      <c r="U31" s="287"/>
      <c r="V31" s="287"/>
      <c r="W31" s="287"/>
      <c r="X31" s="287"/>
      <c r="Y31" s="287"/>
      <c r="Z31" s="287"/>
      <c r="AA31" s="287"/>
      <c r="AB31" s="287"/>
      <c r="AC31" s="287"/>
      <c r="AD31" s="287"/>
      <c r="AE31" s="287"/>
    </row>
    <row r="32" ht="17" customHeight="1" spans="3:31">
      <c r="C32" s="288" t="s">
        <v>925</v>
      </c>
      <c r="D32" s="294" t="s">
        <v>910</v>
      </c>
      <c r="E32" s="289">
        <f>[64]SPDCL_Output!$H36</f>
        <v>1477.45668440042</v>
      </c>
      <c r="F32" s="289">
        <f>'[64]SPDCL_Cost Alloc_Factors'!$V38</f>
        <v>1290.66455379692</v>
      </c>
      <c r="G32" s="289">
        <f t="shared" si="31"/>
        <v>953.937953936203</v>
      </c>
      <c r="H32" s="289">
        <f>[64]SPDCL_Output!$I36</f>
        <v>2517.02699161997</v>
      </c>
      <c r="I32" s="289">
        <f>'[64]SPDCL_Cost Alloc_Factors'!$H38</f>
        <v>7684.91455724616</v>
      </c>
      <c r="J32" s="289">
        <f t="shared" si="32"/>
        <v>272.940249028387</v>
      </c>
      <c r="K32" s="289">
        <f>[64]SPDCL_Output!$K36*[64]SPDCL_Switch_Selection!$I$46</f>
        <v>67.566631951647</v>
      </c>
      <c r="L32" s="289">
        <f>'[64]SPDCL_Cost Alloc_Factors'!$V38</f>
        <v>1290.66455379692</v>
      </c>
      <c r="M32" s="289">
        <f t="shared" si="33"/>
        <v>43.6252211782922</v>
      </c>
      <c r="N32" s="289">
        <f>[64]SPDCL_Output!$K36*[64]SPDCL_Switch_Selection!$I$45</f>
        <v>60.400107271592</v>
      </c>
      <c r="O32" s="289">
        <f>'[64]SPDCL_Cost Alloc_Factors'!$V38</f>
        <v>1290.66455379692</v>
      </c>
      <c r="P32" s="289">
        <f t="shared" si="34"/>
        <v>38.9980669866962</v>
      </c>
      <c r="Q32" s="289">
        <f>[64]SPDCL_Output!$N36</f>
        <v>110.25028194374</v>
      </c>
      <c r="R32" s="289">
        <f>'[64]SPDCL_Cost Alloc_Factors'!$V38</f>
        <v>1290.66455379692</v>
      </c>
      <c r="S32" s="289">
        <f t="shared" si="35"/>
        <v>71.1844411337051</v>
      </c>
      <c r="T32" s="289">
        <f>[64]SPDCL_Output!$R36</f>
        <v>42.0695884388457</v>
      </c>
      <c r="U32" s="289">
        <f>'[64]SPDCL_Cost Alloc_Factors'!$H38</f>
        <v>7684.91455724616</v>
      </c>
      <c r="V32" s="289">
        <f t="shared" si="36"/>
        <v>4.5619232464528</v>
      </c>
      <c r="W32" s="289">
        <f t="shared" ref="W32" si="45">E32</f>
        <v>1477.45668440042</v>
      </c>
      <c r="X32" s="289">
        <f t="shared" ref="X32" si="46">K32+N32</f>
        <v>127.966739223239</v>
      </c>
      <c r="Y32" s="289">
        <f t="shared" ref="Y32" si="47">Q32</f>
        <v>110.25028194374</v>
      </c>
      <c r="Z32" s="289">
        <f t="shared" ref="Z32" si="48">H32+T32</f>
        <v>2559.09658005882</v>
      </c>
      <c r="AA32" s="289">
        <f t="shared" ref="AA32" si="49">SUM(W32:Y32)</f>
        <v>1715.6737055674</v>
      </c>
      <c r="AB32" s="289">
        <f t="shared" ref="AB32" si="50">Z32</f>
        <v>2559.09658005882</v>
      </c>
      <c r="AC32" s="289">
        <f t="shared" ref="AC32" si="51">AA32+AB32</f>
        <v>4274.77028562621</v>
      </c>
      <c r="AD32" s="289">
        <f t="shared" si="37"/>
        <v>7684.91455724616</v>
      </c>
      <c r="AE32" s="289">
        <f t="shared" ref="AE32" si="52">IFERROR(AC32/AD32*10,0)</f>
        <v>5.56254757783286</v>
      </c>
    </row>
    <row r="33" ht="17" customHeight="1" spans="3:31">
      <c r="C33" s="288" t="s">
        <v>926</v>
      </c>
      <c r="D33" s="294" t="s">
        <v>912</v>
      </c>
      <c r="E33" s="289">
        <f>[64]SPDCL_Output!$H37</f>
        <v>0.0988650147787263</v>
      </c>
      <c r="F33" s="289">
        <f>'[64]SPDCL_Cost Alloc_Factors'!$V39</f>
        <v>0.0832119292461448</v>
      </c>
      <c r="G33" s="289">
        <f t="shared" si="31"/>
        <v>990.092563193663</v>
      </c>
      <c r="H33" s="289">
        <f>[64]SPDCL_Output!$I37</f>
        <v>0.175716134474115</v>
      </c>
      <c r="I33" s="289">
        <f>'[64]SPDCL_Cost Alloc_Factors'!$H39</f>
        <v>0.53654</v>
      </c>
      <c r="J33" s="289">
        <f t="shared" si="32"/>
        <v>272.915555339327</v>
      </c>
      <c r="K33" s="289">
        <f>[64]SPDCL_Output!$K37*[64]SPDCL_Switch_Selection!$I$46</f>
        <v>0</v>
      </c>
      <c r="L33" s="289">
        <f>'[64]SPDCL_Cost Alloc_Factors'!$V39</f>
        <v>0.0832119292461448</v>
      </c>
      <c r="M33" s="289">
        <f t="shared" si="33"/>
        <v>0</v>
      </c>
      <c r="N33" s="289">
        <f>[64]SPDCL_Output!$K37*[64]SPDCL_Switch_Selection!$I$45</f>
        <v>0</v>
      </c>
      <c r="O33" s="289">
        <f>'[64]SPDCL_Cost Alloc_Factors'!$V39</f>
        <v>0.0832119292461448</v>
      </c>
      <c r="P33" s="289">
        <f t="shared" si="34"/>
        <v>0</v>
      </c>
      <c r="Q33" s="289">
        <f>[64]SPDCL_Output!$N37</f>
        <v>0.00710807361485306</v>
      </c>
      <c r="R33" s="289">
        <f>'[64]SPDCL_Cost Alloc_Factors'!$V39</f>
        <v>0.0832119292461448</v>
      </c>
      <c r="S33" s="289">
        <f t="shared" si="35"/>
        <v>71.184441133705</v>
      </c>
      <c r="T33" s="289">
        <f>[64]SPDCL_Output!$R37</f>
        <v>0.00293718515838214</v>
      </c>
      <c r="U33" s="289">
        <f>'[64]SPDCL_Cost Alloc_Factors'!$H39</f>
        <v>0.53654</v>
      </c>
      <c r="V33" s="289">
        <f t="shared" si="36"/>
        <v>4.5619232464528</v>
      </c>
      <c r="W33" s="289">
        <f t="shared" ref="W33:W41" si="53">E33</f>
        <v>0.0988650147787263</v>
      </c>
      <c r="X33" s="289">
        <f t="shared" ref="X33:X41" si="54">K33+N33</f>
        <v>0</v>
      </c>
      <c r="Y33" s="289">
        <f t="shared" ref="Y33:Y41" si="55">Q33</f>
        <v>0.00710807361485306</v>
      </c>
      <c r="Z33" s="289">
        <f t="shared" ref="Z33:Z41" si="56">H33+T33</f>
        <v>0.178653319632497</v>
      </c>
      <c r="AA33" s="289">
        <f t="shared" ref="AA33:AA41" si="57">SUM(W33:Y33)</f>
        <v>0.105973088393579</v>
      </c>
      <c r="AB33" s="289">
        <f t="shared" ref="AB33:AB41" si="58">Z33</f>
        <v>0.178653319632497</v>
      </c>
      <c r="AC33" s="289">
        <f t="shared" ref="AC33:AC41" si="59">AA33+AB33</f>
        <v>0.284626408026077</v>
      </c>
      <c r="AD33" s="289">
        <f t="shared" si="37"/>
        <v>0.53654</v>
      </c>
      <c r="AE33" s="289">
        <f t="shared" ref="AE33:AE41" si="60">IFERROR(AC33/AD33*10,0)</f>
        <v>5.30484974141865</v>
      </c>
    </row>
    <row r="34" ht="17" customHeight="1" spans="3:31">
      <c r="C34" s="288" t="s">
        <v>927</v>
      </c>
      <c r="D34" s="294" t="s">
        <v>440</v>
      </c>
      <c r="E34" s="289">
        <f>[64]SPDCL_Output!$H38</f>
        <v>360.010854702583</v>
      </c>
      <c r="F34" s="289">
        <f>'[64]SPDCL_Cost Alloc_Factors'!$V40</f>
        <v>313.564152586333</v>
      </c>
      <c r="G34" s="289">
        <f t="shared" si="31"/>
        <v>956.770865263002</v>
      </c>
      <c r="H34" s="289">
        <f>[64]SPDCL_Output!$I38</f>
        <v>580.362868373959</v>
      </c>
      <c r="I34" s="289">
        <f>'[64]SPDCL_Cost Alloc_Factors'!$H40</f>
        <v>1771.70160889593</v>
      </c>
      <c r="J34" s="289">
        <f t="shared" si="32"/>
        <v>272.978091353855</v>
      </c>
      <c r="K34" s="289">
        <f>[64]SPDCL_Output!$K38*[64]SPDCL_Switch_Selection!$I$46</f>
        <v>26.1406421144679</v>
      </c>
      <c r="L34" s="289">
        <f>'[64]SPDCL_Cost Alloc_Factors'!$V40</f>
        <v>313.564152586333</v>
      </c>
      <c r="M34" s="289">
        <f t="shared" si="33"/>
        <v>69.4718074405062</v>
      </c>
      <c r="N34" s="289">
        <f>[64]SPDCL_Output!$K38*[64]SPDCL_Switch_Selection!$I$45</f>
        <v>23.3680078798669</v>
      </c>
      <c r="O34" s="289">
        <f>'[64]SPDCL_Cost Alloc_Factors'!$V40</f>
        <v>313.564152586333</v>
      </c>
      <c r="P34" s="289">
        <f t="shared" si="34"/>
        <v>62.1032083523245</v>
      </c>
      <c r="Q34" s="289">
        <f>[64]SPDCL_Output!$N38</f>
        <v>26.7850667537062</v>
      </c>
      <c r="R34" s="289">
        <f>'[64]SPDCL_Cost Alloc_Factors'!$V40</f>
        <v>313.564152586333</v>
      </c>
      <c r="S34" s="289">
        <f t="shared" si="35"/>
        <v>71.1844411337047</v>
      </c>
      <c r="T34" s="289">
        <f>[64]SPDCL_Output!$R38</f>
        <v>9.69884010648019</v>
      </c>
      <c r="U34" s="289">
        <f>'[64]SPDCL_Cost Alloc_Factors'!$H40</f>
        <v>1771.70160889593</v>
      </c>
      <c r="V34" s="289">
        <f t="shared" si="36"/>
        <v>4.56192324645279</v>
      </c>
      <c r="W34" s="289">
        <f t="shared" si="53"/>
        <v>360.010854702583</v>
      </c>
      <c r="X34" s="289">
        <f t="shared" si="54"/>
        <v>49.5086499943348</v>
      </c>
      <c r="Y34" s="289">
        <f t="shared" si="55"/>
        <v>26.7850667537062</v>
      </c>
      <c r="Z34" s="289">
        <f t="shared" si="56"/>
        <v>590.061708480439</v>
      </c>
      <c r="AA34" s="289">
        <f t="shared" si="57"/>
        <v>436.304571450624</v>
      </c>
      <c r="AB34" s="289">
        <f t="shared" si="58"/>
        <v>590.061708480439</v>
      </c>
      <c r="AC34" s="289">
        <f t="shared" si="59"/>
        <v>1026.36627993106</v>
      </c>
      <c r="AD34" s="289">
        <f t="shared" si="37"/>
        <v>1771.70160889593</v>
      </c>
      <c r="AE34" s="289">
        <f t="shared" si="60"/>
        <v>5.79311027758598</v>
      </c>
    </row>
    <row r="35" ht="17" customHeight="1" spans="3:31">
      <c r="C35" s="288" t="s">
        <v>928</v>
      </c>
      <c r="D35" s="294" t="s">
        <v>915</v>
      </c>
      <c r="E35" s="289">
        <f>[64]SPDCL_Output!$H39</f>
        <v>0</v>
      </c>
      <c r="F35" s="289">
        <f>'[64]SPDCL_Cost Alloc_Factors'!$V41</f>
        <v>0</v>
      </c>
      <c r="G35" s="289">
        <f t="shared" si="31"/>
        <v>0</v>
      </c>
      <c r="H35" s="289">
        <f>[64]SPDCL_Output!$I39</f>
        <v>0</v>
      </c>
      <c r="I35" s="289">
        <f>'[64]SPDCL_Cost Alloc_Factors'!$H41</f>
        <v>0</v>
      </c>
      <c r="J35" s="289">
        <f t="shared" si="32"/>
        <v>0</v>
      </c>
      <c r="K35" s="289">
        <f>[64]SPDCL_Output!$K39*[64]SPDCL_Switch_Selection!$I$46</f>
        <v>0</v>
      </c>
      <c r="L35" s="289">
        <f>'[64]SPDCL_Cost Alloc_Factors'!$V41</f>
        <v>0</v>
      </c>
      <c r="M35" s="289">
        <f t="shared" si="33"/>
        <v>0</v>
      </c>
      <c r="N35" s="289">
        <f>[64]SPDCL_Output!$K39*[64]SPDCL_Switch_Selection!$I$45</f>
        <v>0</v>
      </c>
      <c r="O35" s="289">
        <f>'[64]SPDCL_Cost Alloc_Factors'!$V41</f>
        <v>0</v>
      </c>
      <c r="P35" s="289">
        <f t="shared" si="34"/>
        <v>0</v>
      </c>
      <c r="Q35" s="289">
        <f>[64]SPDCL_Output!$N39</f>
        <v>0</v>
      </c>
      <c r="R35" s="289">
        <f>'[64]SPDCL_Cost Alloc_Factors'!$V41</f>
        <v>0</v>
      </c>
      <c r="S35" s="289">
        <f t="shared" si="35"/>
        <v>0</v>
      </c>
      <c r="T35" s="289">
        <f>[64]SPDCL_Output!$R39</f>
        <v>0</v>
      </c>
      <c r="U35" s="289">
        <f>'[64]SPDCL_Cost Alloc_Factors'!$H41</f>
        <v>0</v>
      </c>
      <c r="V35" s="289">
        <f t="shared" si="36"/>
        <v>0</v>
      </c>
      <c r="W35" s="289">
        <f t="shared" si="53"/>
        <v>0</v>
      </c>
      <c r="X35" s="289">
        <f t="shared" si="54"/>
        <v>0</v>
      </c>
      <c r="Y35" s="289">
        <f t="shared" si="55"/>
        <v>0</v>
      </c>
      <c r="Z35" s="289">
        <f t="shared" si="56"/>
        <v>0</v>
      </c>
      <c r="AA35" s="289">
        <f t="shared" si="57"/>
        <v>0</v>
      </c>
      <c r="AB35" s="289">
        <f t="shared" si="58"/>
        <v>0</v>
      </c>
      <c r="AC35" s="289">
        <f t="shared" si="59"/>
        <v>0</v>
      </c>
      <c r="AD35" s="289">
        <f t="shared" si="37"/>
        <v>0</v>
      </c>
      <c r="AE35" s="289">
        <f t="shared" si="60"/>
        <v>0</v>
      </c>
    </row>
    <row r="36" ht="17" customHeight="1" spans="3:31">
      <c r="C36" s="288" t="s">
        <v>929</v>
      </c>
      <c r="D36" s="294" t="s">
        <v>917</v>
      </c>
      <c r="E36" s="289">
        <f>[64]SPDCL_Output!$H40</f>
        <v>86.5149950395889</v>
      </c>
      <c r="F36" s="289">
        <f>'[64]SPDCL_Cost Alloc_Factors'!$V42</f>
        <v>79.373502072132</v>
      </c>
      <c r="G36" s="289">
        <f t="shared" si="31"/>
        <v>908.311052398055</v>
      </c>
      <c r="H36" s="289">
        <f>[64]SPDCL_Output!$I40</f>
        <v>120.718463027867</v>
      </c>
      <c r="I36" s="289">
        <f>'[64]SPDCL_Cost Alloc_Factors'!$H42</f>
        <v>368.343264691723</v>
      </c>
      <c r="J36" s="289">
        <f t="shared" si="32"/>
        <v>273.111330742217</v>
      </c>
      <c r="K36" s="289">
        <f>[64]SPDCL_Output!$K40*[64]SPDCL_Switch_Selection!$I$46</f>
        <v>3.62680599173841</v>
      </c>
      <c r="L36" s="289">
        <f>'[64]SPDCL_Cost Alloc_Factors'!$V42</f>
        <v>79.373502072132</v>
      </c>
      <c r="M36" s="289">
        <f t="shared" si="33"/>
        <v>38.077421904631</v>
      </c>
      <c r="N36" s="289">
        <f>[64]SPDCL_Output!$K40*[64]SPDCL_Switch_Selection!$I$45</f>
        <v>3.24212506420357</v>
      </c>
      <c r="O36" s="289">
        <f>'[64]SPDCL_Cost Alloc_Factors'!$V42</f>
        <v>79.373502072132</v>
      </c>
      <c r="P36" s="289">
        <f t="shared" si="34"/>
        <v>34.038700779273</v>
      </c>
      <c r="Q36" s="289">
        <f>[64]SPDCL_Output!$N40</f>
        <v>6.78019006299563</v>
      </c>
      <c r="R36" s="289">
        <f>'[64]SPDCL_Cost Alloc_Factors'!$V42</f>
        <v>79.373502072132</v>
      </c>
      <c r="S36" s="289">
        <f t="shared" si="35"/>
        <v>71.184441133705</v>
      </c>
      <c r="T36" s="289">
        <f>[64]SPDCL_Output!$R40</f>
        <v>2.01642444224578</v>
      </c>
      <c r="U36" s="289">
        <f>'[64]SPDCL_Cost Alloc_Factors'!$H42</f>
        <v>368.343264691723</v>
      </c>
      <c r="V36" s="289">
        <f t="shared" si="36"/>
        <v>4.56192324645279</v>
      </c>
      <c r="W36" s="289">
        <f t="shared" si="53"/>
        <v>86.5149950395889</v>
      </c>
      <c r="X36" s="289">
        <f t="shared" si="54"/>
        <v>6.86893105594198</v>
      </c>
      <c r="Y36" s="289">
        <f t="shared" si="55"/>
        <v>6.78019006299563</v>
      </c>
      <c r="Z36" s="289">
        <f t="shared" si="56"/>
        <v>122.734887470113</v>
      </c>
      <c r="AA36" s="289">
        <f t="shared" si="57"/>
        <v>100.164116158527</v>
      </c>
      <c r="AB36" s="289">
        <f t="shared" si="58"/>
        <v>122.734887470113</v>
      </c>
      <c r="AC36" s="289">
        <f t="shared" si="59"/>
        <v>222.899003628639</v>
      </c>
      <c r="AD36" s="289">
        <f t="shared" si="37"/>
        <v>368.343264691723</v>
      </c>
      <c r="AE36" s="289">
        <f t="shared" si="60"/>
        <v>6.05139349609636</v>
      </c>
    </row>
    <row r="37" ht="17" customHeight="1" spans="3:31">
      <c r="C37" s="288" t="s">
        <v>930</v>
      </c>
      <c r="D37" s="294" t="s">
        <v>222</v>
      </c>
      <c r="E37" s="289">
        <f>[64]SPDCL_Output!$H41</f>
        <v>6.2212116965042e-9</v>
      </c>
      <c r="F37" s="289">
        <f>'[64]SPDCL_Cost Alloc_Factors'!$V43</f>
        <v>0</v>
      </c>
      <c r="G37" s="289">
        <f t="shared" si="31"/>
        <v>0</v>
      </c>
      <c r="H37" s="289">
        <f>[64]SPDCL_Output!$I41</f>
        <v>0</v>
      </c>
      <c r="I37" s="289">
        <f>'[64]SPDCL_Cost Alloc_Factors'!$H43</f>
        <v>0</v>
      </c>
      <c r="J37" s="289">
        <f t="shared" si="32"/>
        <v>0</v>
      </c>
      <c r="K37" s="289">
        <f>[64]SPDCL_Output!$K41*[64]SPDCL_Switch_Selection!$I$46</f>
        <v>0</v>
      </c>
      <c r="L37" s="289">
        <f>'[64]SPDCL_Cost Alloc_Factors'!$V43</f>
        <v>0</v>
      </c>
      <c r="M37" s="289">
        <f t="shared" si="33"/>
        <v>0</v>
      </c>
      <c r="N37" s="289">
        <f>[64]SPDCL_Output!$K41*[64]SPDCL_Switch_Selection!$I$45</f>
        <v>0</v>
      </c>
      <c r="O37" s="289">
        <f>'[64]SPDCL_Cost Alloc_Factors'!$V43</f>
        <v>0</v>
      </c>
      <c r="P37" s="289">
        <f t="shared" si="34"/>
        <v>0</v>
      </c>
      <c r="Q37" s="289">
        <f>[64]SPDCL_Output!$N41</f>
        <v>0</v>
      </c>
      <c r="R37" s="289">
        <f>'[64]SPDCL_Cost Alloc_Factors'!$V43</f>
        <v>0</v>
      </c>
      <c r="S37" s="289">
        <f t="shared" si="35"/>
        <v>0</v>
      </c>
      <c r="T37" s="289">
        <f>[64]SPDCL_Output!$R41</f>
        <v>0</v>
      </c>
      <c r="U37" s="289">
        <f>'[64]SPDCL_Cost Alloc_Factors'!$H43</f>
        <v>0</v>
      </c>
      <c r="V37" s="289">
        <f t="shared" si="36"/>
        <v>0</v>
      </c>
      <c r="W37" s="289">
        <f t="shared" si="53"/>
        <v>6.2212116965042e-9</v>
      </c>
      <c r="X37" s="289">
        <f t="shared" si="54"/>
        <v>0</v>
      </c>
      <c r="Y37" s="289">
        <f t="shared" si="55"/>
        <v>0</v>
      </c>
      <c r="Z37" s="289">
        <f t="shared" si="56"/>
        <v>0</v>
      </c>
      <c r="AA37" s="289">
        <f t="shared" si="57"/>
        <v>6.2212116965042e-9</v>
      </c>
      <c r="AB37" s="289">
        <f t="shared" si="58"/>
        <v>0</v>
      </c>
      <c r="AC37" s="289">
        <f t="shared" si="59"/>
        <v>6.2212116965042e-9</v>
      </c>
      <c r="AD37" s="289">
        <f t="shared" si="37"/>
        <v>0</v>
      </c>
      <c r="AE37" s="289">
        <f t="shared" si="60"/>
        <v>0</v>
      </c>
    </row>
    <row r="38" ht="17" customHeight="1" spans="3:31">
      <c r="C38" s="288" t="s">
        <v>931</v>
      </c>
      <c r="D38" s="294" t="s">
        <v>932</v>
      </c>
      <c r="E38" s="289">
        <f>[64]SPDCL_Output!$H42</f>
        <v>43.856332238756</v>
      </c>
      <c r="F38" s="289">
        <f>'[64]SPDCL_Cost Alloc_Factors'!$V44</f>
        <v>40.3789061281674</v>
      </c>
      <c r="G38" s="289">
        <f t="shared" si="31"/>
        <v>905.099890925533</v>
      </c>
      <c r="H38" s="289">
        <f>[64]SPDCL_Output!$I42</f>
        <v>62.9891520392024</v>
      </c>
      <c r="I38" s="289">
        <f>'[64]SPDCL_Cost Alloc_Factors'!$H44</f>
        <v>188.407399757014</v>
      </c>
      <c r="J38" s="289">
        <f t="shared" si="32"/>
        <v>278.603494875283</v>
      </c>
      <c r="K38" s="289">
        <f>[64]SPDCL_Output!$K42*[64]SPDCL_Switch_Selection!$I$46</f>
        <v>2.32514924858751</v>
      </c>
      <c r="L38" s="289">
        <f>'[64]SPDCL_Cost Alloc_Factors'!$V44</f>
        <v>40.3789061281674</v>
      </c>
      <c r="M38" s="289">
        <f t="shared" si="33"/>
        <v>47.9860540964798</v>
      </c>
      <c r="N38" s="289">
        <f>[64]SPDCL_Output!$K42*[64]SPDCL_Switch_Selection!$I$45</f>
        <v>2.07852988939348</v>
      </c>
      <c r="O38" s="289">
        <f>'[64]SPDCL_Cost Alloc_Factors'!$V44</f>
        <v>40.3789061281674</v>
      </c>
      <c r="P38" s="289">
        <f t="shared" si="34"/>
        <v>42.8963636524308</v>
      </c>
      <c r="Q38" s="289">
        <f>[64]SPDCL_Output!$N42</f>
        <v>3.44921983958871</v>
      </c>
      <c r="R38" s="289">
        <f>'[64]SPDCL_Cost Alloc_Factors'!$V44</f>
        <v>40.3789061281674</v>
      </c>
      <c r="S38" s="289">
        <f t="shared" si="35"/>
        <v>71.1844411337048</v>
      </c>
      <c r="T38" s="289">
        <f>[64]SPDCL_Output!$R42</f>
        <v>1.03140011610629</v>
      </c>
      <c r="U38" s="289">
        <f>'[64]SPDCL_Cost Alloc_Factors'!$H44</f>
        <v>188.407399757014</v>
      </c>
      <c r="V38" s="289">
        <f t="shared" si="36"/>
        <v>4.56192324645277</v>
      </c>
      <c r="W38" s="289">
        <f t="shared" si="53"/>
        <v>43.856332238756</v>
      </c>
      <c r="X38" s="289">
        <f t="shared" si="54"/>
        <v>4.40367913798099</v>
      </c>
      <c r="Y38" s="289">
        <f t="shared" si="55"/>
        <v>3.44921983958871</v>
      </c>
      <c r="Z38" s="289">
        <f t="shared" si="56"/>
        <v>64.0205521553087</v>
      </c>
      <c r="AA38" s="289">
        <f t="shared" si="57"/>
        <v>51.7092312163257</v>
      </c>
      <c r="AB38" s="289">
        <f t="shared" si="58"/>
        <v>64.0205521553087</v>
      </c>
      <c r="AC38" s="289">
        <f t="shared" si="59"/>
        <v>115.729783371634</v>
      </c>
      <c r="AD38" s="289">
        <f t="shared" si="37"/>
        <v>188.407399757014</v>
      </c>
      <c r="AE38" s="289">
        <f t="shared" si="60"/>
        <v>6.14252855890423</v>
      </c>
    </row>
    <row r="39" ht="17" customHeight="1" spans="3:31">
      <c r="C39" s="288" t="s">
        <v>933</v>
      </c>
      <c r="D39" s="294" t="s">
        <v>934</v>
      </c>
      <c r="E39" s="289">
        <f>[64]SPDCL_Output!$H43</f>
        <v>0</v>
      </c>
      <c r="F39" s="289">
        <f>'[64]SPDCL_Cost Alloc_Factors'!$V45</f>
        <v>0</v>
      </c>
      <c r="G39" s="289">
        <f t="shared" si="31"/>
        <v>0</v>
      </c>
      <c r="H39" s="289">
        <f>[64]SPDCL_Output!$I43</f>
        <v>12.8419763564572</v>
      </c>
      <c r="I39" s="289">
        <f>'[64]SPDCL_Cost Alloc_Factors'!$H45</f>
        <v>36.1256164370943</v>
      </c>
      <c r="J39" s="289">
        <f t="shared" si="32"/>
        <v>296.234307374357</v>
      </c>
      <c r="K39" s="289">
        <f>[64]SPDCL_Output!$K43*[64]SPDCL_Switch_Selection!$I$46</f>
        <v>1.35888765629595</v>
      </c>
      <c r="L39" s="289">
        <f>'[64]SPDCL_Cost Alloc_Factors'!$V45</f>
        <v>0</v>
      </c>
      <c r="M39" s="289">
        <f t="shared" si="33"/>
        <v>0</v>
      </c>
      <c r="N39" s="289">
        <f>[64]SPDCL_Output!$K43*[64]SPDCL_Switch_Selection!$I$45</f>
        <v>1.21475583197716</v>
      </c>
      <c r="O39" s="289">
        <f>'[64]SPDCL_Cost Alloc_Factors'!$V45</f>
        <v>0</v>
      </c>
      <c r="P39" s="289">
        <f t="shared" si="34"/>
        <v>0</v>
      </c>
      <c r="Q39" s="289">
        <f>[64]SPDCL_Output!$N43</f>
        <v>0</v>
      </c>
      <c r="R39" s="289">
        <f>'[64]SPDCL_Cost Alloc_Factors'!$V45</f>
        <v>0</v>
      </c>
      <c r="S39" s="289">
        <f t="shared" si="35"/>
        <v>0</v>
      </c>
      <c r="T39" s="289">
        <f>[64]SPDCL_Output!$R43</f>
        <v>0.197762747300181</v>
      </c>
      <c r="U39" s="289">
        <f>'[64]SPDCL_Cost Alloc_Factors'!$H45</f>
        <v>36.1256164370943</v>
      </c>
      <c r="V39" s="289">
        <f t="shared" si="36"/>
        <v>4.56192324645279</v>
      </c>
      <c r="W39" s="289">
        <f t="shared" si="53"/>
        <v>0</v>
      </c>
      <c r="X39" s="289">
        <f t="shared" si="54"/>
        <v>2.57364348827311</v>
      </c>
      <c r="Y39" s="289">
        <f t="shared" si="55"/>
        <v>0</v>
      </c>
      <c r="Z39" s="289">
        <f t="shared" si="56"/>
        <v>13.0397391037574</v>
      </c>
      <c r="AA39" s="289">
        <f t="shared" si="57"/>
        <v>2.57364348827311</v>
      </c>
      <c r="AB39" s="289">
        <f t="shared" si="58"/>
        <v>13.0397391037574</v>
      </c>
      <c r="AC39" s="289">
        <f t="shared" si="59"/>
        <v>15.6133825920305</v>
      </c>
      <c r="AD39" s="289">
        <f t="shared" si="37"/>
        <v>36.1256164370943</v>
      </c>
      <c r="AE39" s="289">
        <f t="shared" si="60"/>
        <v>4.32196987398627</v>
      </c>
    </row>
    <row r="40" ht="17" customHeight="1" spans="3:31">
      <c r="C40" s="288" t="s">
        <v>935</v>
      </c>
      <c r="D40" s="294" t="s">
        <v>198</v>
      </c>
      <c r="E40" s="289">
        <f>[64]SPDCL_Output!$H44</f>
        <v>0.856526051910028</v>
      </c>
      <c r="F40" s="289">
        <f>'[64]SPDCL_Cost Alloc_Factors'!$V46</f>
        <v>0.64902818879329</v>
      </c>
      <c r="G40" s="289">
        <f t="shared" si="31"/>
        <v>1099.75455958563</v>
      </c>
      <c r="H40" s="289">
        <f>[64]SPDCL_Output!$I44</f>
        <v>1.73113763524665</v>
      </c>
      <c r="I40" s="289">
        <f>'[64]SPDCL_Cost Alloc_Factors'!$H46</f>
        <v>5.28148120053833</v>
      </c>
      <c r="J40" s="289">
        <f t="shared" si="32"/>
        <v>273.145854593184</v>
      </c>
      <c r="K40" s="289">
        <f>[64]SPDCL_Output!$K44*[64]SPDCL_Switch_Selection!$I$46</f>
        <v>0</v>
      </c>
      <c r="L40" s="289">
        <f>'[64]SPDCL_Cost Alloc_Factors'!$V46</f>
        <v>0.64902818879329</v>
      </c>
      <c r="M40" s="289">
        <f t="shared" si="33"/>
        <v>0</v>
      </c>
      <c r="N40" s="289">
        <f>[64]SPDCL_Output!$K44*[64]SPDCL_Switch_Selection!$I$45</f>
        <v>0</v>
      </c>
      <c r="O40" s="289">
        <f>'[64]SPDCL_Cost Alloc_Factors'!$V46</f>
        <v>0.64902818879329</v>
      </c>
      <c r="P40" s="289">
        <f t="shared" si="34"/>
        <v>0</v>
      </c>
      <c r="Q40" s="289">
        <f>[64]SPDCL_Output!$N44</f>
        <v>0.0554408506791253</v>
      </c>
      <c r="R40" s="289">
        <f>'[64]SPDCL_Cost Alloc_Factors'!$V46</f>
        <v>0.64902818879329</v>
      </c>
      <c r="S40" s="289">
        <f t="shared" si="35"/>
        <v>71.1844411337049</v>
      </c>
      <c r="T40" s="289">
        <f>[64]SPDCL_Output!$R44</f>
        <v>0.0289124542373271</v>
      </c>
      <c r="U40" s="289">
        <f>'[64]SPDCL_Cost Alloc_Factors'!$H46</f>
        <v>5.28148120053833</v>
      </c>
      <c r="V40" s="289">
        <f t="shared" si="36"/>
        <v>4.5619232464528</v>
      </c>
      <c r="W40" s="289">
        <f t="shared" si="53"/>
        <v>0.856526051910028</v>
      </c>
      <c r="X40" s="289">
        <f t="shared" si="54"/>
        <v>0</v>
      </c>
      <c r="Y40" s="289">
        <f t="shared" si="55"/>
        <v>0.0554408506791253</v>
      </c>
      <c r="Z40" s="289">
        <f t="shared" si="56"/>
        <v>1.76005008948398</v>
      </c>
      <c r="AA40" s="289">
        <f t="shared" si="57"/>
        <v>0.911966902589153</v>
      </c>
      <c r="AB40" s="289">
        <f t="shared" si="58"/>
        <v>1.76005008948398</v>
      </c>
      <c r="AC40" s="289">
        <f t="shared" si="59"/>
        <v>2.67201699207313</v>
      </c>
      <c r="AD40" s="289">
        <f t="shared" si="37"/>
        <v>5.28148120053833</v>
      </c>
      <c r="AE40" s="289">
        <f t="shared" si="60"/>
        <v>5.05921897781398</v>
      </c>
    </row>
    <row r="41" ht="17" customHeight="1" spans="3:31">
      <c r="C41" s="288" t="s">
        <v>936</v>
      </c>
      <c r="D41" s="294" t="s">
        <v>906</v>
      </c>
      <c r="E41" s="289">
        <f>[64]SPDCL_Output!$H45</f>
        <v>0</v>
      </c>
      <c r="F41" s="289">
        <f>'[64]SPDCL_Cost Alloc_Factors'!$V47</f>
        <v>0</v>
      </c>
      <c r="G41" s="289">
        <f t="shared" si="31"/>
        <v>0</v>
      </c>
      <c r="H41" s="289">
        <f>[64]SPDCL_Output!$I45</f>
        <v>0</v>
      </c>
      <c r="I41" s="289">
        <f>'[64]SPDCL_Cost Alloc_Factors'!$H47</f>
        <v>0</v>
      </c>
      <c r="J41" s="289">
        <f t="shared" si="32"/>
        <v>0</v>
      </c>
      <c r="K41" s="289">
        <f>[64]SPDCL_Output!$K45*[64]SPDCL_Switch_Selection!$I$46</f>
        <v>0</v>
      </c>
      <c r="L41" s="289">
        <f>'[64]SPDCL_Cost Alloc_Factors'!$V47</f>
        <v>0</v>
      </c>
      <c r="M41" s="289">
        <f t="shared" si="33"/>
        <v>0</v>
      </c>
      <c r="N41" s="289">
        <f>[64]SPDCL_Output!$K45*[64]SPDCL_Switch_Selection!$I$45</f>
        <v>0</v>
      </c>
      <c r="O41" s="289">
        <f>'[64]SPDCL_Cost Alloc_Factors'!$V47</f>
        <v>0</v>
      </c>
      <c r="P41" s="289">
        <f t="shared" si="34"/>
        <v>0</v>
      </c>
      <c r="Q41" s="289">
        <f>[64]SPDCL_Output!$N45</f>
        <v>0</v>
      </c>
      <c r="R41" s="289">
        <f>'[64]SPDCL_Cost Alloc_Factors'!$V47</f>
        <v>0</v>
      </c>
      <c r="S41" s="289">
        <f t="shared" si="35"/>
        <v>0</v>
      </c>
      <c r="T41" s="289">
        <f>[64]SPDCL_Output!$R45</f>
        <v>0</v>
      </c>
      <c r="U41" s="289">
        <f>'[64]SPDCL_Cost Alloc_Factors'!$H47</f>
        <v>0</v>
      </c>
      <c r="V41" s="289">
        <f t="shared" si="36"/>
        <v>0</v>
      </c>
      <c r="W41" s="289">
        <f t="shared" si="53"/>
        <v>0</v>
      </c>
      <c r="X41" s="289">
        <f t="shared" si="54"/>
        <v>0</v>
      </c>
      <c r="Y41" s="289">
        <f t="shared" si="55"/>
        <v>0</v>
      </c>
      <c r="Z41" s="289">
        <f t="shared" si="56"/>
        <v>0</v>
      </c>
      <c r="AA41" s="289">
        <f t="shared" si="57"/>
        <v>0</v>
      </c>
      <c r="AB41" s="289">
        <f t="shared" si="58"/>
        <v>0</v>
      </c>
      <c r="AC41" s="289">
        <f t="shared" si="59"/>
        <v>0</v>
      </c>
      <c r="AD41" s="289">
        <f t="shared" si="37"/>
        <v>0</v>
      </c>
      <c r="AE41" s="289">
        <f t="shared" si="60"/>
        <v>0</v>
      </c>
    </row>
    <row r="42" ht="17" customHeight="1" spans="3:31">
      <c r="C42" s="288"/>
      <c r="D42" s="295" t="s">
        <v>937</v>
      </c>
      <c r="E42" s="287"/>
      <c r="F42" s="287"/>
      <c r="G42" s="287"/>
      <c r="H42" s="287"/>
      <c r="I42" s="287"/>
      <c r="J42" s="287"/>
      <c r="K42" s="287"/>
      <c r="L42" s="287"/>
      <c r="M42" s="287"/>
      <c r="N42" s="287"/>
      <c r="O42" s="287"/>
      <c r="P42" s="287"/>
      <c r="Q42" s="287"/>
      <c r="R42" s="287"/>
      <c r="S42" s="287"/>
      <c r="T42" s="287"/>
      <c r="U42" s="287"/>
      <c r="V42" s="287"/>
      <c r="W42" s="287"/>
      <c r="X42" s="287"/>
      <c r="Y42" s="287"/>
      <c r="Z42" s="287"/>
      <c r="AA42" s="287"/>
      <c r="AB42" s="287"/>
      <c r="AC42" s="287"/>
      <c r="AD42" s="287"/>
      <c r="AE42" s="287"/>
    </row>
    <row r="43" ht="17" customHeight="1" spans="3:31">
      <c r="C43" s="288" t="s">
        <v>938</v>
      </c>
      <c r="D43" s="294" t="s">
        <v>910</v>
      </c>
      <c r="E43" s="289">
        <f>[64]SPDCL_Output!$H50</f>
        <v>894.932176398206</v>
      </c>
      <c r="F43" s="289">
        <f>'[64]SPDCL_Cost Alloc_Factors'!$V52</f>
        <v>755.920541901859</v>
      </c>
      <c r="G43" s="289">
        <f t="shared" si="31"/>
        <v>986.580959671811</v>
      </c>
      <c r="H43" s="289">
        <f>[64]SPDCL_Output!$I50</f>
        <v>1598.86351548694</v>
      </c>
      <c r="I43" s="289">
        <f>'[64]SPDCL_Cost Alloc_Factors'!$H52</f>
        <v>5002.47501853381</v>
      </c>
      <c r="J43" s="289">
        <f t="shared" si="32"/>
        <v>266.345410615623</v>
      </c>
      <c r="K43" s="289">
        <f>[64]SPDCL_Output!$K50*[64]SPDCL_Switch_Selection!$I$46</f>
        <v>44.1230364592311</v>
      </c>
      <c r="L43" s="302">
        <f>'[64]SPDCL_Cost Alloc_Factors'!$V52</f>
        <v>755.920541901859</v>
      </c>
      <c r="M43" s="289">
        <f t="shared" si="33"/>
        <v>48.6416164281629</v>
      </c>
      <c r="N43" s="289">
        <f>[64]SPDCL_Output!$K50*[64]SPDCL_Switch_Selection!$I$45</f>
        <v>39.4430809751345</v>
      </c>
      <c r="O43" s="289">
        <f>'[64]SPDCL_Cost Alloc_Factors'!$V52</f>
        <v>755.920541901859</v>
      </c>
      <c r="P43" s="289">
        <f t="shared" si="34"/>
        <v>43.4823930875698</v>
      </c>
      <c r="Q43" s="289">
        <f>[64]SPDCL_Output!$N50</f>
        <v>0</v>
      </c>
      <c r="R43" s="289">
        <f>'[64]SPDCL_Cost Alloc_Factors'!$V52</f>
        <v>755.920541901859</v>
      </c>
      <c r="S43" s="289">
        <f t="shared" si="35"/>
        <v>0</v>
      </c>
      <c r="T43" s="289">
        <f>[64]SPDCL_Output!$R50</f>
        <v>27.3850884922185</v>
      </c>
      <c r="U43" s="289">
        <f>'[64]SPDCL_Cost Alloc_Factors'!$H52</f>
        <v>5002.47501853381</v>
      </c>
      <c r="V43" s="289">
        <f t="shared" si="36"/>
        <v>4.56192324645279</v>
      </c>
      <c r="W43" s="289">
        <f t="shared" ref="W43" si="61">E43</f>
        <v>894.932176398206</v>
      </c>
      <c r="X43" s="289">
        <f t="shared" ref="X43" si="62">K43+N43</f>
        <v>83.5661174343656</v>
      </c>
      <c r="Y43" s="289">
        <f t="shared" ref="Y43" si="63">Q43</f>
        <v>0</v>
      </c>
      <c r="Z43" s="289">
        <f t="shared" ref="Z43" si="64">H43+T43</f>
        <v>1626.24860397916</v>
      </c>
      <c r="AA43" s="289">
        <f t="shared" ref="AA43" si="65">SUM(W43:Y43)</f>
        <v>978.498293832572</v>
      </c>
      <c r="AB43" s="289">
        <f t="shared" ref="AB43" si="66">Z43</f>
        <v>1626.24860397916</v>
      </c>
      <c r="AC43" s="289">
        <f t="shared" ref="AC43" si="67">AA43+AB43</f>
        <v>2604.74689781173</v>
      </c>
      <c r="AD43" s="289">
        <f t="shared" ref="AD43" si="68">U43</f>
        <v>5002.47501853381</v>
      </c>
      <c r="AE43" s="289">
        <f t="shared" ref="AE43" si="69">IFERROR(AC43/AD43*10,0)</f>
        <v>5.20691635272806</v>
      </c>
    </row>
    <row r="44" ht="17" customHeight="1" spans="3:31">
      <c r="C44" s="288" t="s">
        <v>939</v>
      </c>
      <c r="D44" s="294" t="s">
        <v>912</v>
      </c>
      <c r="E44" s="289">
        <f>[64]SPDCL_Output!$H51</f>
        <v>27.2376671344947</v>
      </c>
      <c r="F44" s="289">
        <f>'[64]SPDCL_Cost Alloc_Factors'!$V53</f>
        <v>23.6901916873014</v>
      </c>
      <c r="G44" s="289">
        <f t="shared" si="31"/>
        <v>958.120400417825</v>
      </c>
      <c r="H44" s="289">
        <f>[64]SPDCL_Output!$I51</f>
        <v>48.8797405563625</v>
      </c>
      <c r="I44" s="289">
        <f>'[64]SPDCL_Cost Alloc_Factors'!$H53</f>
        <v>152.9334297</v>
      </c>
      <c r="J44" s="289">
        <f t="shared" si="32"/>
        <v>266.345410615623</v>
      </c>
      <c r="K44" s="289">
        <f>[64]SPDCL_Output!$K51*[64]SPDCL_Switch_Selection!$I$46</f>
        <v>0</v>
      </c>
      <c r="L44" s="302">
        <f>'[64]SPDCL_Cost Alloc_Factors'!$V53</f>
        <v>23.6901916873014</v>
      </c>
      <c r="M44" s="289">
        <f t="shared" si="33"/>
        <v>0</v>
      </c>
      <c r="N44" s="289">
        <f>[64]SPDCL_Output!$K51*[64]SPDCL_Switch_Selection!$I$45</f>
        <v>0</v>
      </c>
      <c r="O44" s="289">
        <f>'[64]SPDCL_Cost Alloc_Factors'!$V53</f>
        <v>23.6901916873014</v>
      </c>
      <c r="P44" s="289">
        <f t="shared" si="34"/>
        <v>0</v>
      </c>
      <c r="Q44" s="289">
        <f>[64]SPDCL_Output!$N51</f>
        <v>0</v>
      </c>
      <c r="R44" s="289">
        <f>'[64]SPDCL_Cost Alloc_Factors'!$V53</f>
        <v>23.6901916873014</v>
      </c>
      <c r="S44" s="289">
        <f t="shared" si="35"/>
        <v>0</v>
      </c>
      <c r="T44" s="289">
        <f>[64]SPDCL_Output!$R51</f>
        <v>0.83720468172982</v>
      </c>
      <c r="U44" s="289">
        <f>'[64]SPDCL_Cost Alloc_Factors'!$H53</f>
        <v>152.9334297</v>
      </c>
      <c r="V44" s="289">
        <f t="shared" si="36"/>
        <v>4.56192324645279</v>
      </c>
      <c r="W44" s="289">
        <f t="shared" ref="W44:W52" si="70">E44</f>
        <v>27.2376671344947</v>
      </c>
      <c r="X44" s="289">
        <f t="shared" ref="X44:X52" si="71">K44+N44</f>
        <v>0</v>
      </c>
      <c r="Y44" s="289">
        <f t="shared" ref="Y44:Y52" si="72">Q44</f>
        <v>0</v>
      </c>
      <c r="Z44" s="289">
        <f t="shared" ref="Z44:Z52" si="73">H44+T44</f>
        <v>49.7169452380923</v>
      </c>
      <c r="AA44" s="289">
        <f t="shared" ref="AA44:AA52" si="74">SUM(W44:Y44)</f>
        <v>27.2376671344947</v>
      </c>
      <c r="AB44" s="289">
        <f t="shared" ref="AB44:AB52" si="75">Z44</f>
        <v>49.7169452380923</v>
      </c>
      <c r="AC44" s="289">
        <f t="shared" ref="AC44:AC52" si="76">AA44+AB44</f>
        <v>76.954612372587</v>
      </c>
      <c r="AD44" s="289">
        <f t="shared" ref="AD44:AD52" si="77">U44</f>
        <v>152.9334297</v>
      </c>
      <c r="AE44" s="289">
        <f t="shared" ref="AE44:AE53" si="78">IFERROR(AC44/AD44*10,0)</f>
        <v>5.03190260779112</v>
      </c>
    </row>
    <row r="45" ht="17" customHeight="1" spans="3:31">
      <c r="C45" s="288" t="s">
        <v>940</v>
      </c>
      <c r="D45" s="294" t="s">
        <v>440</v>
      </c>
      <c r="E45" s="289">
        <f>[64]SPDCL_Output!$H52</f>
        <v>78.6216143622587</v>
      </c>
      <c r="F45" s="289">
        <f>'[64]SPDCL_Cost Alloc_Factors'!$V54</f>
        <v>66.8424694010385</v>
      </c>
      <c r="G45" s="289">
        <f t="shared" si="31"/>
        <v>980.185390450745</v>
      </c>
      <c r="H45" s="289">
        <f>[64]SPDCL_Output!$I52</f>
        <v>110.473763883458</v>
      </c>
      <c r="I45" s="289">
        <f>'[64]SPDCL_Cost Alloc_Factors'!$H54</f>
        <v>345.646916498293</v>
      </c>
      <c r="J45" s="289">
        <f t="shared" si="32"/>
        <v>266.34541061597</v>
      </c>
      <c r="K45" s="289">
        <f>[64]SPDCL_Output!$K52*[64]SPDCL_Switch_Selection!$I$46</f>
        <v>4.72959848767634</v>
      </c>
      <c r="L45" s="302">
        <f>'[64]SPDCL_Cost Alloc_Factors'!$V54</f>
        <v>66.8424694010385</v>
      </c>
      <c r="M45" s="289">
        <f t="shared" si="33"/>
        <v>58.9644893191571</v>
      </c>
      <c r="N45" s="289">
        <f>[64]SPDCL_Output!$K52*[64]SPDCL_Switch_Selection!$I$45</f>
        <v>4.22794873380169</v>
      </c>
      <c r="O45" s="289">
        <f>'[64]SPDCL_Cost Alloc_Factors'!$V54</f>
        <v>66.8424694010385</v>
      </c>
      <c r="P45" s="289">
        <f t="shared" si="34"/>
        <v>52.7103597918043</v>
      </c>
      <c r="Q45" s="289">
        <f>[64]SPDCL_Output!$N52</f>
        <v>0</v>
      </c>
      <c r="R45" s="289">
        <f>'[64]SPDCL_Cost Alloc_Factors'!$V54</f>
        <v>66.8424694010385</v>
      </c>
      <c r="S45" s="289">
        <f t="shared" si="35"/>
        <v>0</v>
      </c>
      <c r="T45" s="289">
        <f>[64]SPDCL_Output!$R52</f>
        <v>1.89217764412595</v>
      </c>
      <c r="U45" s="289">
        <f>'[64]SPDCL_Cost Alloc_Factors'!$H54</f>
        <v>345.646916498293</v>
      </c>
      <c r="V45" s="289">
        <f t="shared" si="36"/>
        <v>4.5619232464528</v>
      </c>
      <c r="W45" s="289">
        <f t="shared" si="70"/>
        <v>78.6216143622587</v>
      </c>
      <c r="X45" s="289">
        <f t="shared" si="71"/>
        <v>8.95754722147803</v>
      </c>
      <c r="Y45" s="289">
        <f t="shared" si="72"/>
        <v>0</v>
      </c>
      <c r="Z45" s="289">
        <f t="shared" si="73"/>
        <v>112.365941527584</v>
      </c>
      <c r="AA45" s="289">
        <f t="shared" si="74"/>
        <v>87.5791615837367</v>
      </c>
      <c r="AB45" s="289">
        <f t="shared" si="75"/>
        <v>112.365941527584</v>
      </c>
      <c r="AC45" s="289">
        <f t="shared" si="76"/>
        <v>199.945103111321</v>
      </c>
      <c r="AD45" s="289">
        <f t="shared" si="77"/>
        <v>345.646916498293</v>
      </c>
      <c r="AE45" s="289">
        <f t="shared" si="78"/>
        <v>5.78466329562376</v>
      </c>
    </row>
    <row r="46" ht="17" customHeight="1" spans="3:31">
      <c r="C46" s="288" t="s">
        <v>941</v>
      </c>
      <c r="D46" s="294" t="s">
        <v>915</v>
      </c>
      <c r="E46" s="289">
        <f>[64]SPDCL_Output!$H53</f>
        <v>24.50026747074</v>
      </c>
      <c r="F46" s="289">
        <f>'[64]SPDCL_Cost Alloc_Factors'!$V55</f>
        <v>21.6970984418133</v>
      </c>
      <c r="G46" s="289">
        <f t="shared" si="31"/>
        <v>940.996309423745</v>
      </c>
      <c r="H46" s="289">
        <f>[64]SPDCL_Output!$I53</f>
        <v>42.7226602940936</v>
      </c>
      <c r="I46" s="289">
        <f>'[64]SPDCL_Cost Alloc_Factors'!$H55</f>
        <v>133.669346242745</v>
      </c>
      <c r="J46" s="289">
        <f t="shared" si="32"/>
        <v>266.345410615615</v>
      </c>
      <c r="K46" s="289">
        <f>[64]SPDCL_Output!$K53*[64]SPDCL_Switch_Selection!$I$46</f>
        <v>0.99294571734683</v>
      </c>
      <c r="L46" s="302">
        <f>'[64]SPDCL_Cost Alloc_Factors'!$V55</f>
        <v>21.6970984418133</v>
      </c>
      <c r="M46" s="289">
        <f t="shared" si="33"/>
        <v>38.1366553078393</v>
      </c>
      <c r="N46" s="289">
        <f>[64]SPDCL_Output!$K53*[64]SPDCL_Switch_Selection!$I$45</f>
        <v>0.88762790315693</v>
      </c>
      <c r="O46" s="289">
        <f>'[64]SPDCL_Cost Alloc_Factors'!$V55</f>
        <v>21.6970984418133</v>
      </c>
      <c r="P46" s="289">
        <f t="shared" si="34"/>
        <v>34.0916515303243</v>
      </c>
      <c r="Q46" s="289">
        <f>[64]SPDCL_Output!$N53</f>
        <v>0</v>
      </c>
      <c r="R46" s="289">
        <f>'[64]SPDCL_Cost Alloc_Factors'!$V55</f>
        <v>21.6970984418133</v>
      </c>
      <c r="S46" s="289">
        <f t="shared" si="35"/>
        <v>0</v>
      </c>
      <c r="T46" s="289">
        <f>[64]SPDCL_Output!$R53</f>
        <v>0.731747157555513</v>
      </c>
      <c r="U46" s="289">
        <f>'[64]SPDCL_Cost Alloc_Factors'!$H55</f>
        <v>133.669346242745</v>
      </c>
      <c r="V46" s="289">
        <f t="shared" si="36"/>
        <v>4.56192324645281</v>
      </c>
      <c r="W46" s="289">
        <f t="shared" si="70"/>
        <v>24.50026747074</v>
      </c>
      <c r="X46" s="289">
        <f t="shared" si="71"/>
        <v>1.88057362050376</v>
      </c>
      <c r="Y46" s="289">
        <f t="shared" si="72"/>
        <v>0</v>
      </c>
      <c r="Z46" s="289">
        <f t="shared" si="73"/>
        <v>43.4544074516491</v>
      </c>
      <c r="AA46" s="289">
        <f t="shared" si="74"/>
        <v>26.3808410912438</v>
      </c>
      <c r="AB46" s="289">
        <f t="shared" si="75"/>
        <v>43.4544074516491</v>
      </c>
      <c r="AC46" s="289">
        <f t="shared" si="76"/>
        <v>69.8352485428929</v>
      </c>
      <c r="AD46" s="289">
        <f t="shared" si="77"/>
        <v>133.669346242745</v>
      </c>
      <c r="AE46" s="289">
        <f t="shared" si="78"/>
        <v>5.2244774517017</v>
      </c>
    </row>
    <row r="47" ht="17" customHeight="1" spans="3:31">
      <c r="C47" s="288" t="s">
        <v>942</v>
      </c>
      <c r="D47" s="294" t="s">
        <v>917</v>
      </c>
      <c r="E47" s="289">
        <f>[64]SPDCL_Output!$H54</f>
        <v>399.790041697827</v>
      </c>
      <c r="F47" s="289">
        <f>'[64]SPDCL_Cost Alloc_Factors'!$V56</f>
        <v>337.605613625326</v>
      </c>
      <c r="G47" s="289">
        <f t="shared" si="31"/>
        <v>986.827098352876</v>
      </c>
      <c r="H47" s="289">
        <f>[64]SPDCL_Output!$I54</f>
        <v>625.130654370775</v>
      </c>
      <c r="I47" s="289">
        <f>'[64]SPDCL_Cost Alloc_Factors'!$H56</f>
        <v>1955.88957501188</v>
      </c>
      <c r="J47" s="289">
        <f t="shared" si="32"/>
        <v>266.345410615771</v>
      </c>
      <c r="K47" s="289">
        <f>[64]SPDCL_Output!$K54*[64]SPDCL_Switch_Selection!$I$46</f>
        <v>41.1237434701402</v>
      </c>
      <c r="L47" s="302">
        <f>'[64]SPDCL_Cost Alloc_Factors'!$V56</f>
        <v>337.605613625326</v>
      </c>
      <c r="M47" s="289">
        <f t="shared" si="33"/>
        <v>101.508342403185</v>
      </c>
      <c r="N47" s="289">
        <f>[64]SPDCL_Output!$K54*[64]SPDCL_Switch_Selection!$I$45</f>
        <v>36.7619110981209</v>
      </c>
      <c r="O47" s="289">
        <f>'[64]SPDCL_Cost Alloc_Factors'!$V56</f>
        <v>337.605613625326</v>
      </c>
      <c r="P47" s="289">
        <f t="shared" si="34"/>
        <v>90.7417551092599</v>
      </c>
      <c r="Q47" s="289">
        <f>[64]SPDCL_Output!$N54</f>
        <v>0</v>
      </c>
      <c r="R47" s="289">
        <f>'[64]SPDCL_Cost Alloc_Factors'!$V56</f>
        <v>337.605613625326</v>
      </c>
      <c r="S47" s="289">
        <f t="shared" si="35"/>
        <v>0</v>
      </c>
      <c r="T47" s="289">
        <f>[64]SPDCL_Output!$R54</f>
        <v>10.7071417436896</v>
      </c>
      <c r="U47" s="289">
        <f>'[64]SPDCL_Cost Alloc_Factors'!$H56</f>
        <v>1955.88957501188</v>
      </c>
      <c r="V47" s="289">
        <f t="shared" si="36"/>
        <v>4.56192324645278</v>
      </c>
      <c r="W47" s="289">
        <f t="shared" si="70"/>
        <v>399.790041697827</v>
      </c>
      <c r="X47" s="289">
        <f t="shared" si="71"/>
        <v>77.8856545682611</v>
      </c>
      <c r="Y47" s="289">
        <f t="shared" si="72"/>
        <v>0</v>
      </c>
      <c r="Z47" s="289">
        <f t="shared" si="73"/>
        <v>635.837796114465</v>
      </c>
      <c r="AA47" s="289">
        <f t="shared" si="74"/>
        <v>477.675696266088</v>
      </c>
      <c r="AB47" s="289">
        <f t="shared" si="75"/>
        <v>635.837796114465</v>
      </c>
      <c r="AC47" s="289">
        <f t="shared" si="76"/>
        <v>1113.51349238055</v>
      </c>
      <c r="AD47" s="289">
        <f t="shared" si="77"/>
        <v>1955.88957501188</v>
      </c>
      <c r="AE47" s="289">
        <f t="shared" si="78"/>
        <v>5.69313066855417</v>
      </c>
    </row>
    <row r="48" ht="17" customHeight="1" spans="3:31">
      <c r="C48" s="288" t="s">
        <v>943</v>
      </c>
      <c r="D48" s="294" t="s">
        <v>944</v>
      </c>
      <c r="E48" s="289">
        <f>[64]SPDCL_Output!$H55</f>
        <v>302.883820917083</v>
      </c>
      <c r="F48" s="289">
        <f>'[64]SPDCL_Cost Alloc_Factors'!$V57</f>
        <v>299.71193983904</v>
      </c>
      <c r="G48" s="289">
        <f t="shared" si="31"/>
        <v>842.152582353316</v>
      </c>
      <c r="H48" s="289">
        <f>[64]SPDCL_Output!$I55</f>
        <v>467.716614458746</v>
      </c>
      <c r="I48" s="289">
        <f>'[64]SPDCL_Cost Alloc_Factors'!$H57</f>
        <v>1463.37736580925</v>
      </c>
      <c r="J48" s="289">
        <f t="shared" si="32"/>
        <v>266.34541061577</v>
      </c>
      <c r="K48" s="289">
        <f>[64]SPDCL_Output!$K55*[64]SPDCL_Switch_Selection!$I$46</f>
        <v>11.2513119356855</v>
      </c>
      <c r="L48" s="302">
        <f>'[64]SPDCL_Cost Alloc_Factors'!$V57</f>
        <v>299.71193983904</v>
      </c>
      <c r="M48" s="289">
        <f t="shared" si="33"/>
        <v>31.2836828748742</v>
      </c>
      <c r="N48" s="289">
        <f>[64]SPDCL_Output!$K55*[64]SPDCL_Switch_Selection!$I$45</f>
        <v>10.0579299016692</v>
      </c>
      <c r="O48" s="289">
        <f>'[64]SPDCL_Cost Alloc_Factors'!$V57</f>
        <v>299.71193983904</v>
      </c>
      <c r="P48" s="289">
        <f t="shared" si="34"/>
        <v>27.9655467042532</v>
      </c>
      <c r="Q48" s="289">
        <f>[64]SPDCL_Output!$N55</f>
        <v>0</v>
      </c>
      <c r="R48" s="289">
        <f>'[64]SPDCL_Cost Alloc_Factors'!$V57</f>
        <v>299.71193983904</v>
      </c>
      <c r="S48" s="289">
        <f t="shared" si="35"/>
        <v>0</v>
      </c>
      <c r="T48" s="289">
        <f>[64]SPDCL_Output!$R55</f>
        <v>8.01097826810165</v>
      </c>
      <c r="U48" s="289">
        <f>'[64]SPDCL_Cost Alloc_Factors'!$H57</f>
        <v>1463.37736580925</v>
      </c>
      <c r="V48" s="289">
        <f t="shared" si="36"/>
        <v>4.56192324645277</v>
      </c>
      <c r="W48" s="289">
        <f t="shared" si="70"/>
        <v>302.883820917083</v>
      </c>
      <c r="X48" s="289">
        <f t="shared" si="71"/>
        <v>21.3092418373547</v>
      </c>
      <c r="Y48" s="289">
        <f t="shared" si="72"/>
        <v>0</v>
      </c>
      <c r="Z48" s="289">
        <f t="shared" si="73"/>
        <v>475.727592726848</v>
      </c>
      <c r="AA48" s="289">
        <f t="shared" si="74"/>
        <v>324.193062754438</v>
      </c>
      <c r="AB48" s="289">
        <f t="shared" si="75"/>
        <v>475.727592726848</v>
      </c>
      <c r="AC48" s="289">
        <f t="shared" si="76"/>
        <v>799.920655481285</v>
      </c>
      <c r="AD48" s="289">
        <f t="shared" si="77"/>
        <v>1463.37736580925</v>
      </c>
      <c r="AE48" s="289">
        <f t="shared" si="78"/>
        <v>5.46626368680322</v>
      </c>
    </row>
    <row r="49" ht="17" customHeight="1" spans="3:31">
      <c r="C49" s="288" t="s">
        <v>945</v>
      </c>
      <c r="D49" s="294" t="s">
        <v>946</v>
      </c>
      <c r="E49" s="289">
        <f>[64]SPDCL_Output!$H56</f>
        <v>50.1559136385218</v>
      </c>
      <c r="F49" s="289">
        <f>'[64]SPDCL_Cost Alloc_Factors'!$V58</f>
        <v>46.6284639943518</v>
      </c>
      <c r="G49" s="289">
        <f t="shared" si="31"/>
        <v>896.375113360609</v>
      </c>
      <c r="H49" s="289">
        <f>[64]SPDCL_Output!$I56</f>
        <v>80.2375127340712</v>
      </c>
      <c r="I49" s="289">
        <f>'[64]SPDCL_Cost Alloc_Factors'!$H58</f>
        <v>251.044663358325</v>
      </c>
      <c r="J49" s="289">
        <f t="shared" si="32"/>
        <v>266.345410615724</v>
      </c>
      <c r="K49" s="289">
        <f>[64]SPDCL_Output!$K56*[64]SPDCL_Switch_Selection!$I$46</f>
        <v>0</v>
      </c>
      <c r="L49" s="302">
        <f>'[64]SPDCL_Cost Alloc_Factors'!$V58</f>
        <v>46.6284639943518</v>
      </c>
      <c r="M49" s="289">
        <f t="shared" si="33"/>
        <v>0</v>
      </c>
      <c r="N49" s="289">
        <f>[64]SPDCL_Output!$K56*[64]SPDCL_Switch_Selection!$I$45</f>
        <v>0</v>
      </c>
      <c r="O49" s="289">
        <f>'[64]SPDCL_Cost Alloc_Factors'!$V58</f>
        <v>46.6284639943518</v>
      </c>
      <c r="P49" s="289">
        <f t="shared" si="34"/>
        <v>0</v>
      </c>
      <c r="Q49" s="289">
        <f>[64]SPDCL_Output!$N56</f>
        <v>0</v>
      </c>
      <c r="R49" s="289">
        <f>'[64]SPDCL_Cost Alloc_Factors'!$V58</f>
        <v>46.6284639943518</v>
      </c>
      <c r="S49" s="289">
        <f t="shared" si="35"/>
        <v>0</v>
      </c>
      <c r="T49" s="289">
        <f>[64]SPDCL_Output!$R56</f>
        <v>1.37429578280671</v>
      </c>
      <c r="U49" s="289">
        <f>'[64]SPDCL_Cost Alloc_Factors'!$H58</f>
        <v>251.044663358325</v>
      </c>
      <c r="V49" s="289">
        <f t="shared" si="36"/>
        <v>4.56192324645279</v>
      </c>
      <c r="W49" s="289">
        <f t="shared" si="70"/>
        <v>50.1559136385218</v>
      </c>
      <c r="X49" s="289">
        <f t="shared" si="71"/>
        <v>0</v>
      </c>
      <c r="Y49" s="289">
        <f t="shared" si="72"/>
        <v>0</v>
      </c>
      <c r="Z49" s="289">
        <f t="shared" si="73"/>
        <v>81.6118085168779</v>
      </c>
      <c r="AA49" s="289">
        <f t="shared" si="74"/>
        <v>50.1559136385218</v>
      </c>
      <c r="AB49" s="289">
        <f t="shared" si="75"/>
        <v>81.6118085168779</v>
      </c>
      <c r="AC49" s="289">
        <f t="shared" si="76"/>
        <v>131.7677221554</v>
      </c>
      <c r="AD49" s="289">
        <f t="shared" si="77"/>
        <v>251.044663358325</v>
      </c>
      <c r="AE49" s="289">
        <f t="shared" si="78"/>
        <v>5.24877607007017</v>
      </c>
    </row>
    <row r="50" ht="17" customHeight="1" spans="3:31">
      <c r="C50" s="288" t="s">
        <v>947</v>
      </c>
      <c r="D50" s="294" t="s">
        <v>932</v>
      </c>
      <c r="E50" s="289">
        <f>[64]SPDCL_Output!$H57</f>
        <v>0</v>
      </c>
      <c r="F50" s="289">
        <f>'[64]SPDCL_Cost Alloc_Factors'!$V59</f>
        <v>0</v>
      </c>
      <c r="G50" s="289">
        <f t="shared" si="31"/>
        <v>0</v>
      </c>
      <c r="H50" s="289">
        <f>[64]SPDCL_Output!$I57</f>
        <v>0</v>
      </c>
      <c r="I50" s="289">
        <f>'[64]SPDCL_Cost Alloc_Factors'!$H59</f>
        <v>0</v>
      </c>
      <c r="J50" s="289">
        <f t="shared" si="32"/>
        <v>0</v>
      </c>
      <c r="K50" s="289">
        <f>[64]SPDCL_Output!$K57*[64]SPDCL_Switch_Selection!$I$46</f>
        <v>0</v>
      </c>
      <c r="L50" s="302">
        <f>'[64]SPDCL_Cost Alloc_Factors'!$V59</f>
        <v>0</v>
      </c>
      <c r="M50" s="289">
        <f t="shared" si="33"/>
        <v>0</v>
      </c>
      <c r="N50" s="289">
        <f>[64]SPDCL_Output!$K57*[64]SPDCL_Switch_Selection!$I$45</f>
        <v>0</v>
      </c>
      <c r="O50" s="289">
        <f>'[64]SPDCL_Cost Alloc_Factors'!$V59</f>
        <v>0</v>
      </c>
      <c r="P50" s="289">
        <f t="shared" si="34"/>
        <v>0</v>
      </c>
      <c r="Q50" s="289">
        <f>[64]SPDCL_Output!$N57</f>
        <v>0</v>
      </c>
      <c r="R50" s="289">
        <f>'[64]SPDCL_Cost Alloc_Factors'!$V59</f>
        <v>0</v>
      </c>
      <c r="S50" s="289">
        <f t="shared" si="35"/>
        <v>0</v>
      </c>
      <c r="T50" s="289">
        <f>[64]SPDCL_Output!$R57</f>
        <v>0</v>
      </c>
      <c r="U50" s="289">
        <f>'[64]SPDCL_Cost Alloc_Factors'!$H59</f>
        <v>0</v>
      </c>
      <c r="V50" s="289">
        <f t="shared" si="36"/>
        <v>0</v>
      </c>
      <c r="W50" s="289">
        <f t="shared" si="70"/>
        <v>0</v>
      </c>
      <c r="X50" s="289">
        <f t="shared" si="71"/>
        <v>0</v>
      </c>
      <c r="Y50" s="289">
        <f t="shared" si="72"/>
        <v>0</v>
      </c>
      <c r="Z50" s="289">
        <f t="shared" si="73"/>
        <v>0</v>
      </c>
      <c r="AA50" s="289">
        <f t="shared" si="74"/>
        <v>0</v>
      </c>
      <c r="AB50" s="289">
        <f t="shared" si="75"/>
        <v>0</v>
      </c>
      <c r="AC50" s="289">
        <f t="shared" si="76"/>
        <v>0</v>
      </c>
      <c r="AD50" s="289">
        <f t="shared" si="77"/>
        <v>0</v>
      </c>
      <c r="AE50" s="289">
        <f t="shared" si="78"/>
        <v>0</v>
      </c>
    </row>
    <row r="51" ht="17" customHeight="1" spans="3:31">
      <c r="C51" s="288" t="s">
        <v>948</v>
      </c>
      <c r="D51" s="294" t="s">
        <v>198</v>
      </c>
      <c r="E51" s="289">
        <f>[64]SPDCL_Output!$H58</f>
        <v>0</v>
      </c>
      <c r="F51" s="289">
        <f>'[64]SPDCL_Cost Alloc_Factors'!$V60</f>
        <v>0</v>
      </c>
      <c r="G51" s="289">
        <f t="shared" si="31"/>
        <v>0</v>
      </c>
      <c r="H51" s="289">
        <f>[64]SPDCL_Output!$I58</f>
        <v>0</v>
      </c>
      <c r="I51" s="289">
        <f>'[64]SPDCL_Cost Alloc_Factors'!$H60</f>
        <v>0</v>
      </c>
      <c r="J51" s="289">
        <f t="shared" si="32"/>
        <v>0</v>
      </c>
      <c r="K51" s="289">
        <f>[64]SPDCL_Output!$K58*[64]SPDCL_Switch_Selection!$I$46</f>
        <v>0</v>
      </c>
      <c r="L51" s="302">
        <f>'[64]SPDCL_Cost Alloc_Factors'!$V60</f>
        <v>0</v>
      </c>
      <c r="M51" s="289">
        <f t="shared" si="33"/>
        <v>0</v>
      </c>
      <c r="N51" s="289">
        <f>[64]SPDCL_Output!$K58*[64]SPDCL_Switch_Selection!$I$45</f>
        <v>0</v>
      </c>
      <c r="O51" s="289">
        <f>'[64]SPDCL_Cost Alloc_Factors'!$V60</f>
        <v>0</v>
      </c>
      <c r="P51" s="289">
        <f t="shared" si="34"/>
        <v>0</v>
      </c>
      <c r="Q51" s="289">
        <f>[64]SPDCL_Output!$N58</f>
        <v>0</v>
      </c>
      <c r="R51" s="289">
        <f>'[64]SPDCL_Cost Alloc_Factors'!$V60</f>
        <v>0</v>
      </c>
      <c r="S51" s="289">
        <f t="shared" si="35"/>
        <v>0</v>
      </c>
      <c r="T51" s="289">
        <f>[64]SPDCL_Output!$R58</f>
        <v>0</v>
      </c>
      <c r="U51" s="289">
        <f>'[64]SPDCL_Cost Alloc_Factors'!$H60</f>
        <v>0</v>
      </c>
      <c r="V51" s="289">
        <f t="shared" si="36"/>
        <v>0</v>
      </c>
      <c r="W51" s="289">
        <f t="shared" si="70"/>
        <v>0</v>
      </c>
      <c r="X51" s="289">
        <f t="shared" si="71"/>
        <v>0</v>
      </c>
      <c r="Y51" s="289">
        <f t="shared" si="72"/>
        <v>0</v>
      </c>
      <c r="Z51" s="289">
        <f t="shared" si="73"/>
        <v>0</v>
      </c>
      <c r="AA51" s="289">
        <f t="shared" si="74"/>
        <v>0</v>
      </c>
      <c r="AB51" s="289">
        <f t="shared" si="75"/>
        <v>0</v>
      </c>
      <c r="AC51" s="289">
        <f t="shared" si="76"/>
        <v>0</v>
      </c>
      <c r="AD51" s="289">
        <f t="shared" si="77"/>
        <v>0</v>
      </c>
      <c r="AE51" s="289">
        <f t="shared" si="78"/>
        <v>0</v>
      </c>
    </row>
    <row r="52" ht="17" customHeight="1" spans="3:31">
      <c r="C52" s="296" t="s">
        <v>949</v>
      </c>
      <c r="D52" s="297" t="s">
        <v>906</v>
      </c>
      <c r="E52" s="289">
        <f>[64]SPDCL_Output!$H59</f>
        <v>0</v>
      </c>
      <c r="F52" s="289">
        <f>'[64]SPDCL_Cost Alloc_Factors'!$V61</f>
        <v>0</v>
      </c>
      <c r="G52" s="289">
        <f t="shared" si="31"/>
        <v>0</v>
      </c>
      <c r="H52" s="289">
        <f>[64]SPDCL_Output!$I59</f>
        <v>0</v>
      </c>
      <c r="I52" s="289">
        <f>'[64]SPDCL_Cost Alloc_Factors'!$H61</f>
        <v>0</v>
      </c>
      <c r="J52" s="289">
        <f t="shared" si="32"/>
        <v>0</v>
      </c>
      <c r="K52" s="289">
        <f>[64]SPDCL_Output!$K59*[64]SPDCL_Switch_Selection!$I$46</f>
        <v>0</v>
      </c>
      <c r="L52" s="302">
        <f>'[64]SPDCL_Cost Alloc_Factors'!$V61</f>
        <v>0</v>
      </c>
      <c r="M52" s="289">
        <f t="shared" si="33"/>
        <v>0</v>
      </c>
      <c r="N52" s="289">
        <f>[64]SPDCL_Output!$K59*[64]SPDCL_Switch_Selection!$I$45</f>
        <v>0</v>
      </c>
      <c r="O52" s="289">
        <f>'[64]SPDCL_Cost Alloc_Factors'!$V61</f>
        <v>0</v>
      </c>
      <c r="P52" s="289">
        <f t="shared" si="34"/>
        <v>0</v>
      </c>
      <c r="Q52" s="289">
        <f>[64]SPDCL_Output!$N59</f>
        <v>0</v>
      </c>
      <c r="R52" s="289">
        <f>'[64]SPDCL_Cost Alloc_Factors'!$V61</f>
        <v>0</v>
      </c>
      <c r="S52" s="289">
        <f t="shared" si="35"/>
        <v>0</v>
      </c>
      <c r="T52" s="289">
        <f>[64]SPDCL_Output!$R59</f>
        <v>0</v>
      </c>
      <c r="U52" s="289">
        <f>'[64]SPDCL_Cost Alloc_Factors'!$H61</f>
        <v>0</v>
      </c>
      <c r="V52" s="289">
        <f t="shared" si="36"/>
        <v>0</v>
      </c>
      <c r="W52" s="289">
        <f t="shared" si="70"/>
        <v>0</v>
      </c>
      <c r="X52" s="289">
        <f t="shared" si="71"/>
        <v>0</v>
      </c>
      <c r="Y52" s="289">
        <f t="shared" si="72"/>
        <v>0</v>
      </c>
      <c r="Z52" s="289">
        <f t="shared" si="73"/>
        <v>0</v>
      </c>
      <c r="AA52" s="289">
        <f t="shared" si="74"/>
        <v>0</v>
      </c>
      <c r="AB52" s="289">
        <f t="shared" si="75"/>
        <v>0</v>
      </c>
      <c r="AC52" s="289">
        <f t="shared" si="76"/>
        <v>0</v>
      </c>
      <c r="AD52" s="289">
        <f t="shared" si="77"/>
        <v>0</v>
      </c>
      <c r="AE52" s="289">
        <f t="shared" si="78"/>
        <v>0</v>
      </c>
    </row>
    <row r="53" ht="17" customHeight="1" spans="3:31">
      <c r="C53" s="298" t="s">
        <v>224</v>
      </c>
      <c r="D53" s="298"/>
      <c r="E53" s="299">
        <f>SUM(E10:E52)</f>
        <v>14475.0468773058</v>
      </c>
      <c r="F53" s="299">
        <f>SUM(F10:F52)</f>
        <v>12572.4034685976</v>
      </c>
      <c r="G53" s="300">
        <f t="shared" si="31"/>
        <v>959.445749140199</v>
      </c>
      <c r="H53" s="299">
        <f t="shared" ref="H53:AD53" si="79">SUM(H10:H52)</f>
        <v>22055.1009863164</v>
      </c>
      <c r="I53" s="299">
        <f t="shared" si="79"/>
        <v>63432.1569226329</v>
      </c>
      <c r="J53" s="300">
        <f t="shared" si="32"/>
        <v>289.746584596629</v>
      </c>
      <c r="K53" s="299">
        <f t="shared" si="79"/>
        <v>1702.37</v>
      </c>
      <c r="L53" s="299">
        <f t="shared" si="79"/>
        <v>12572.4034685976</v>
      </c>
      <c r="M53" s="300">
        <f t="shared" si="33"/>
        <v>112.837745798569</v>
      </c>
      <c r="N53" s="299">
        <f t="shared" si="79"/>
        <v>1521.80636574462</v>
      </c>
      <c r="O53" s="299">
        <f t="shared" si="79"/>
        <v>12572.4034685976</v>
      </c>
      <c r="P53" s="300">
        <f t="shared" si="34"/>
        <v>100.869493619211</v>
      </c>
      <c r="Q53" s="299">
        <f t="shared" si="79"/>
        <v>6015.01614881474</v>
      </c>
      <c r="R53" s="299">
        <f t="shared" si="79"/>
        <v>12572.4034685976</v>
      </c>
      <c r="S53" s="300">
        <f t="shared" si="35"/>
        <v>398.691743377906</v>
      </c>
      <c r="T53" s="299">
        <f t="shared" si="79"/>
        <v>347.247157485601</v>
      </c>
      <c r="U53" s="299">
        <f t="shared" si="79"/>
        <v>63432.1569226329</v>
      </c>
      <c r="V53" s="300">
        <f t="shared" si="36"/>
        <v>4.56192324645279</v>
      </c>
      <c r="W53" s="299">
        <f t="shared" si="79"/>
        <v>14475.0468773058</v>
      </c>
      <c r="X53" s="299">
        <f t="shared" si="79"/>
        <v>3224.17636574462</v>
      </c>
      <c r="Y53" s="299">
        <f t="shared" si="79"/>
        <v>6015.01614881474</v>
      </c>
      <c r="Z53" s="299">
        <f t="shared" si="79"/>
        <v>22402.348143802</v>
      </c>
      <c r="AA53" s="299">
        <f t="shared" si="79"/>
        <v>23714.2393918651</v>
      </c>
      <c r="AB53" s="299">
        <f t="shared" si="79"/>
        <v>22402.348143802</v>
      </c>
      <c r="AC53" s="299">
        <f t="shared" si="79"/>
        <v>46116.5875356671</v>
      </c>
      <c r="AD53" s="299">
        <f t="shared" si="79"/>
        <v>63432.1569226329</v>
      </c>
      <c r="AE53" s="300">
        <f t="shared" si="78"/>
        <v>7.27022219848439</v>
      </c>
    </row>
    <row r="54" spans="5:31">
      <c r="E54" s="301"/>
      <c r="Q54" s="301"/>
      <c r="W54" s="301"/>
      <c r="AE54" s="301">
        <f>AE53-[64]SPDCL_Output!$AF$64</f>
        <v>0</v>
      </c>
    </row>
    <row r="55" spans="17:17">
      <c r="Q55" s="304"/>
    </row>
  </sheetData>
  <mergeCells count="28">
    <mergeCell ref="C2:Q2"/>
    <mergeCell ref="E3:AE3"/>
    <mergeCell ref="E5:J5"/>
    <mergeCell ref="K5:M5"/>
    <mergeCell ref="N5:P5"/>
    <mergeCell ref="Q5:S5"/>
    <mergeCell ref="T5:V5"/>
    <mergeCell ref="W5:Z5"/>
    <mergeCell ref="AA5:AB5"/>
    <mergeCell ref="E6:G6"/>
    <mergeCell ref="H6:J6"/>
    <mergeCell ref="K6:M6"/>
    <mergeCell ref="N6:P6"/>
    <mergeCell ref="Q6:S6"/>
    <mergeCell ref="T6:V6"/>
    <mergeCell ref="C9:D9"/>
    <mergeCell ref="C20:D20"/>
    <mergeCell ref="C53:D53"/>
    <mergeCell ref="W6:W7"/>
    <mergeCell ref="X6:X7"/>
    <mergeCell ref="Y6:Y7"/>
    <mergeCell ref="Z6:Z7"/>
    <mergeCell ref="AA6:AA7"/>
    <mergeCell ref="AB6:AB7"/>
    <mergeCell ref="AC5:AC7"/>
    <mergeCell ref="AD5:AD7"/>
    <mergeCell ref="AE5:AE7"/>
    <mergeCell ref="C5:D8"/>
  </mergeCells>
  <printOptions horizontalCentered="1"/>
  <pageMargins left="0.275" right="0.236111111111111" top="0.747916666666667" bottom="0.747916666666667" header="0.314583333333333" footer="0.314583333333333"/>
  <pageSetup paperSize="9" scale="38" fitToHeight="23" orientation="landscape" horizontalDpi="600"/>
  <headerFooter/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</sheetPr>
  <dimension ref="B1:P34"/>
  <sheetViews>
    <sheetView showGridLines="0" view="pageBreakPreview" zoomScale="60" zoomScaleNormal="74" workbookViewId="0">
      <selection activeCell="R13" sqref="R13"/>
    </sheetView>
  </sheetViews>
  <sheetFormatPr defaultColWidth="9.14285714285714" defaultRowHeight="14.25"/>
  <cols>
    <col min="1" max="1" width="9.14285714285714" style="1"/>
    <col min="2" max="2" width="27.4285714285714" style="1" customWidth="1"/>
    <col min="3" max="3" width="24.8571428571429" style="1" customWidth="1"/>
    <col min="4" max="4" width="17.8571428571429" style="1" customWidth="1"/>
    <col min="5" max="5" width="19.552380952381" style="1" customWidth="1"/>
    <col min="6" max="16384" width="9.14285714285714" style="1"/>
  </cols>
  <sheetData>
    <row r="1" spans="3:3">
      <c r="C1" s="1" t="s">
        <v>0</v>
      </c>
    </row>
    <row r="2" ht="15" spans="2:16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3:3">
      <c r="C3" s="3" t="s">
        <v>950</v>
      </c>
    </row>
    <row r="4" ht="15" spans="4:4">
      <c r="D4" s="4" t="s">
        <v>951</v>
      </c>
    </row>
    <row r="5" ht="15" spans="2:4">
      <c r="B5" s="264" t="s">
        <v>110</v>
      </c>
      <c r="C5" s="265"/>
      <c r="D5" s="39" t="s">
        <v>654</v>
      </c>
    </row>
    <row r="6" ht="15" spans="2:4">
      <c r="B6" s="229" t="s">
        <v>952</v>
      </c>
      <c r="C6" s="230"/>
      <c r="D6" s="231"/>
    </row>
    <row r="7" ht="15" spans="2:4">
      <c r="B7" s="224" t="s">
        <v>953</v>
      </c>
      <c r="C7" s="224"/>
      <c r="D7" s="8"/>
    </row>
    <row r="8" spans="2:8">
      <c r="B8" s="266" t="s">
        <v>954</v>
      </c>
      <c r="C8" s="32" t="s">
        <v>863</v>
      </c>
      <c r="D8" s="237">
        <f>'[64]SPDCL_Cost Alloc_Factors'!$I$35/'[64]SPDCL_Cost Alloc_Factors'!$K$66</f>
        <v>0.00763052600673614</v>
      </c>
      <c r="H8" s="25"/>
    </row>
    <row r="9" spans="2:7">
      <c r="B9" s="266" t="s">
        <v>954</v>
      </c>
      <c r="C9" s="32" t="s">
        <v>866</v>
      </c>
      <c r="D9" s="237">
        <f>'[64]SPDCL_Cost Alloc_Factors'!$I$49/'[64]SPDCL_Cost Alloc_Factors'!$K$66</f>
        <v>0.00360382739872459</v>
      </c>
      <c r="G9" s="267"/>
    </row>
    <row r="10" spans="2:4">
      <c r="B10" s="266" t="s">
        <v>954</v>
      </c>
      <c r="C10" s="32" t="s">
        <v>868</v>
      </c>
      <c r="D10" s="237">
        <f>'[64]SPDCL_Cost Alloc_Factors'!$I$63/'[64]SPDCL_Cost Alloc_Factors'!$K$66</f>
        <v>5.43841941232225e-12</v>
      </c>
    </row>
    <row r="11" spans="2:4">
      <c r="B11" s="266" t="s">
        <v>955</v>
      </c>
      <c r="C11" s="266"/>
      <c r="D11" s="237">
        <f>'[64]SPDCL_Cost Alloc_Factors'!$I$22/'[64]SPDCL_Cost Alloc_Factors'!$K$66</f>
        <v>0.0570608750711813</v>
      </c>
    </row>
    <row r="12" ht="15" spans="2:4">
      <c r="B12" s="268" t="s">
        <v>956</v>
      </c>
      <c r="C12" s="268"/>
      <c r="D12" s="269">
        <f>'[64]SPDCL_Cost Alloc_Factors'!$I$66/'[64]SPDCL_Cost Alloc_Factors'!$K$66</f>
        <v>0.0682952284820804</v>
      </c>
    </row>
    <row r="13" ht="15" spans="2:4">
      <c r="B13" s="224" t="s">
        <v>957</v>
      </c>
      <c r="C13" s="224"/>
      <c r="D13" s="8"/>
    </row>
    <row r="14" spans="2:4">
      <c r="B14" s="266" t="s">
        <v>954</v>
      </c>
      <c r="C14" s="32" t="s">
        <v>863</v>
      </c>
      <c r="D14" s="237">
        <f>'[64]SPDCL_Cost Alloc_Factors'!$J$35/'[64]SPDCL_Cost Alloc_Factors'!$K$66</f>
        <v>0.001261549192597</v>
      </c>
    </row>
    <row r="15" spans="2:4">
      <c r="B15" s="266" t="s">
        <v>954</v>
      </c>
      <c r="C15" s="32" t="s">
        <v>866</v>
      </c>
      <c r="D15" s="237">
        <f>'[64]SPDCL_Cost Alloc_Factors'!$J$49/'[64]SPDCL_Cost Alloc_Factors'!$K$66</f>
        <v>0.00011519210308488</v>
      </c>
    </row>
    <row r="16" spans="2:4">
      <c r="B16" s="266" t="s">
        <v>954</v>
      </c>
      <c r="C16" s="32" t="s">
        <v>868</v>
      </c>
      <c r="D16" s="237">
        <f>'[64]SPDCL_Cost Alloc_Factors'!$J$63/'[64]SPDCL_Cost Alloc_Factors'!$K$66</f>
        <v>0</v>
      </c>
    </row>
    <row r="17" spans="2:4">
      <c r="B17" s="266" t="s">
        <v>955</v>
      </c>
      <c r="C17" s="266"/>
      <c r="D17" s="236">
        <f>'[64]SPDCL_Cost Alloc_Factors'!$J$22/'[64]SPDCL_Cost Alloc_Factors'!$K$66</f>
        <v>0.0110923092015953</v>
      </c>
    </row>
    <row r="18" ht="15" spans="2:4">
      <c r="B18" s="268" t="s">
        <v>958</v>
      </c>
      <c r="C18" s="268"/>
      <c r="D18" s="270">
        <f>'[64]SPDCL_Cost Alloc_Factors'!$J$66/'[64]SPDCL_Cost Alloc_Factors'!$K$66</f>
        <v>0.0124690504972772</v>
      </c>
    </row>
    <row r="19" ht="15" spans="2:4">
      <c r="B19" s="268" t="s">
        <v>959</v>
      </c>
      <c r="C19" s="268"/>
      <c r="D19" s="271">
        <f>SUM('[64]SPDCL_Cost Alloc_Factors'!$I$66:$J$66)/'[64]SPDCL_Cost Alloc_Factors'!$K$66</f>
        <v>0.0807642789793576</v>
      </c>
    </row>
    <row r="20" ht="15" spans="2:4">
      <c r="B20" s="229" t="s">
        <v>960</v>
      </c>
      <c r="C20" s="230"/>
      <c r="D20" s="231"/>
    </row>
    <row r="21" ht="15" spans="2:4">
      <c r="B21" s="224" t="s">
        <v>953</v>
      </c>
      <c r="C21" s="224"/>
      <c r="D21" s="8"/>
    </row>
    <row r="22" spans="2:4">
      <c r="B22" s="266" t="s">
        <v>954</v>
      </c>
      <c r="C22" s="32" t="s">
        <v>863</v>
      </c>
      <c r="D22" s="237">
        <f>'[64]SPDCL_Cost Alloc_Factors'!$S$35/'[64]SPDCL_Cost Alloc_Factors'!$U$66</f>
        <v>0.0143957405823702</v>
      </c>
    </row>
    <row r="23" spans="2:4">
      <c r="B23" s="266" t="s">
        <v>954</v>
      </c>
      <c r="C23" s="32" t="s">
        <v>866</v>
      </c>
      <c r="D23" s="237">
        <f>'[64]SPDCL_Cost Alloc_Factors'!$S$49/'[64]SPDCL_Cost Alloc_Factors'!$U$66</f>
        <v>0.0065341169309533</v>
      </c>
    </row>
    <row r="24" spans="2:4">
      <c r="B24" s="266" t="s">
        <v>954</v>
      </c>
      <c r="C24" s="32" t="s">
        <v>868</v>
      </c>
      <c r="D24" s="237">
        <f>'[64]SPDCL_Cost Alloc_Factors'!$S$63/'[64]SPDCL_Cost Alloc_Factors'!$U$66</f>
        <v>1.0067011897083e-11</v>
      </c>
    </row>
    <row r="25" spans="2:4">
      <c r="B25" s="266" t="s">
        <v>955</v>
      </c>
      <c r="C25" s="266"/>
      <c r="D25" s="237">
        <f>'[64]SPDCL_Cost Alloc_Factors'!$S$22/'[64]SPDCL_Cost Alloc_Factors'!$U$66</f>
        <v>0.108691317326254</v>
      </c>
    </row>
    <row r="26" ht="15" spans="2:5">
      <c r="B26" s="268" t="s">
        <v>956</v>
      </c>
      <c r="C26" s="268"/>
      <c r="D26" s="269">
        <f>'[64]SPDCL_Cost Alloc_Factors'!$S$66/'[64]SPDCL_Cost Alloc_Factors'!$U$66</f>
        <v>0.129621174849644</v>
      </c>
      <c r="E26" s="272"/>
    </row>
    <row r="27" ht="15" spans="2:4">
      <c r="B27" s="224" t="s">
        <v>957</v>
      </c>
      <c r="C27" s="224"/>
      <c r="D27" s="8"/>
    </row>
    <row r="28" spans="2:4">
      <c r="B28" s="266" t="s">
        <v>954</v>
      </c>
      <c r="C28" s="32" t="s">
        <v>863</v>
      </c>
      <c r="D28" s="237">
        <f>'[64]SPDCL_Cost Alloc_Factors'!$T$35/'[64]SPDCL_Cost Alloc_Factors'!$U$66</f>
        <v>0.00129323151620274</v>
      </c>
    </row>
    <row r="29" spans="2:4">
      <c r="B29" s="266" t="s">
        <v>954</v>
      </c>
      <c r="C29" s="32" t="s">
        <v>866</v>
      </c>
      <c r="D29" s="237">
        <f>'[64]SPDCL_Cost Alloc_Factors'!$T$49/'[64]SPDCL_Cost Alloc_Factors'!$U$66</f>
        <v>0</v>
      </c>
    </row>
    <row r="30" spans="2:4">
      <c r="B30" s="266" t="s">
        <v>954</v>
      </c>
      <c r="C30" s="32" t="s">
        <v>868</v>
      </c>
      <c r="D30" s="237">
        <f>'[64]SPDCL_Cost Alloc_Factors'!$T$63/'[64]SPDCL_Cost Alloc_Factors'!$U$66</f>
        <v>0</v>
      </c>
    </row>
    <row r="31" spans="2:4">
      <c r="B31" s="266" t="s">
        <v>955</v>
      </c>
      <c r="C31" s="266"/>
      <c r="D31" s="237">
        <f>'[64]SPDCL_Cost Alloc_Factors'!$T$22/'[64]SPDCL_Cost Alloc_Factors'!$U$66</f>
        <v>0.0105158450749416</v>
      </c>
    </row>
    <row r="32" ht="15" spans="2:5">
      <c r="B32" s="268" t="s">
        <v>958</v>
      </c>
      <c r="C32" s="268"/>
      <c r="D32" s="269">
        <f>'[64]SPDCL_Cost Alloc_Factors'!$T$66/'[64]SPDCL_Cost Alloc_Factors'!$U$66</f>
        <v>0.0118090765911443</v>
      </c>
      <c r="E32" s="272"/>
    </row>
    <row r="33" ht="15" spans="2:5">
      <c r="B33" s="268" t="s">
        <v>961</v>
      </c>
      <c r="C33" s="268"/>
      <c r="D33" s="273">
        <f>SUM('[64]SPDCL_Cost Alloc_Factors'!$S$66:$T$66)/'[64]SPDCL_Cost Alloc_Factors'!$U$66</f>
        <v>0.141430251440788</v>
      </c>
      <c r="E33" s="274"/>
    </row>
    <row r="34" spans="4:4">
      <c r="D34" s="272"/>
    </row>
  </sheetData>
  <mergeCells count="18">
    <mergeCell ref="B2:P2"/>
    <mergeCell ref="B5:C5"/>
    <mergeCell ref="B6:D6"/>
    <mergeCell ref="B7:C7"/>
    <mergeCell ref="B11:C11"/>
    <mergeCell ref="B12:C12"/>
    <mergeCell ref="B13:C13"/>
    <mergeCell ref="B17:C17"/>
    <mergeCell ref="B18:C18"/>
    <mergeCell ref="B19:C19"/>
    <mergeCell ref="B20:D20"/>
    <mergeCell ref="B21:C21"/>
    <mergeCell ref="B25:C25"/>
    <mergeCell ref="B26:C26"/>
    <mergeCell ref="B27:C27"/>
    <mergeCell ref="B31:C31"/>
    <mergeCell ref="B32:C32"/>
    <mergeCell ref="B33:C33"/>
  </mergeCells>
  <printOptions horizontalCentered="1"/>
  <pageMargins left="0.393055555555556" right="0.511805555555556" top="0.747916666666667" bottom="0.747916666666667" header="0.314583333333333" footer="0.314583333333333"/>
  <pageSetup paperSize="9" scale="95" fitToHeight="6" orientation="portrait" horizontalDpi="600"/>
  <headerFooter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  <pageSetUpPr fitToPage="1"/>
  </sheetPr>
  <dimension ref="B2:P52"/>
  <sheetViews>
    <sheetView showGridLines="0" view="pageBreakPreview" zoomScale="60" zoomScaleNormal="80" workbookViewId="0">
      <selection activeCell="V20" sqref="V20"/>
    </sheetView>
  </sheetViews>
  <sheetFormatPr defaultColWidth="9.14285714285714" defaultRowHeight="14.25"/>
  <cols>
    <col min="1" max="1" width="9.14285714285714" style="1"/>
    <col min="2" max="2" width="24.1428571428571" style="1" customWidth="1"/>
    <col min="3" max="3" width="48.8095238095238" style="1" customWidth="1"/>
    <col min="4" max="4" width="13.5714285714286" style="1" customWidth="1"/>
    <col min="5" max="5" width="12.5714285714286" style="1" customWidth="1"/>
    <col min="6" max="6" width="13.5714285714286" style="1" customWidth="1"/>
    <col min="7" max="7" width="15.4761904761905" style="1" customWidth="1"/>
    <col min="8" max="8" width="16.1904761904762" style="1" customWidth="1"/>
    <col min="9" max="9" width="18.5714285714286" style="1" customWidth="1"/>
    <col min="10" max="10" width="17.6190476190476" style="1" customWidth="1"/>
    <col min="11" max="16384" width="9.14285714285714" style="1"/>
  </cols>
  <sheetData>
    <row r="2" ht="15" spans="2:16"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7:7">
      <c r="G3" s="3" t="s">
        <v>962</v>
      </c>
    </row>
    <row r="4" ht="15" spans="4:10">
      <c r="D4" s="4"/>
      <c r="J4" s="4" t="s">
        <v>951</v>
      </c>
    </row>
    <row r="5" ht="15.75" spans="2:10">
      <c r="B5" s="244" t="s">
        <v>159</v>
      </c>
      <c r="C5" s="244"/>
      <c r="D5" s="244" t="s">
        <v>654</v>
      </c>
      <c r="E5" s="244"/>
      <c r="F5" s="244"/>
      <c r="G5" s="244"/>
      <c r="H5" s="244"/>
      <c r="I5" s="244"/>
      <c r="J5" s="244"/>
    </row>
    <row r="6" ht="38" customHeight="1" spans="2:10">
      <c r="B6" s="244"/>
      <c r="C6" s="244"/>
      <c r="D6" s="244" t="s">
        <v>963</v>
      </c>
      <c r="E6" s="244" t="s">
        <v>964</v>
      </c>
      <c r="F6" s="244"/>
      <c r="G6" s="244"/>
      <c r="H6" s="244" t="s">
        <v>957</v>
      </c>
      <c r="I6" s="244"/>
      <c r="J6" s="244"/>
    </row>
    <row r="7" ht="80" customHeight="1" spans="2:10">
      <c r="B7" s="244"/>
      <c r="C7" s="244"/>
      <c r="D7" s="244" t="s">
        <v>957</v>
      </c>
      <c r="E7" s="244" t="s">
        <v>965</v>
      </c>
      <c r="F7" s="244" t="s">
        <v>966</v>
      </c>
      <c r="G7" s="244" t="s">
        <v>967</v>
      </c>
      <c r="H7" s="244" t="s">
        <v>968</v>
      </c>
      <c r="I7" s="244" t="s">
        <v>969</v>
      </c>
      <c r="J7" s="244" t="s">
        <v>970</v>
      </c>
    </row>
    <row r="8" ht="25" customHeight="1" spans="2:10">
      <c r="B8" s="245" t="s">
        <v>890</v>
      </c>
      <c r="C8" s="246"/>
      <c r="D8" s="247"/>
      <c r="E8" s="247"/>
      <c r="F8" s="247"/>
      <c r="G8" s="247"/>
      <c r="H8" s="247"/>
      <c r="I8" s="247"/>
      <c r="J8" s="247"/>
    </row>
    <row r="9" ht="22" customHeight="1" spans="2:10">
      <c r="B9" s="248" t="s">
        <v>171</v>
      </c>
      <c r="C9" s="248" t="s">
        <v>172</v>
      </c>
      <c r="D9" s="249">
        <f>'[64]SPDCL_Cost Alloc_Factors'!$J11/'[64]SPDCL_Cost Alloc_Factors'!$J$66</f>
        <v>0.311354659499021</v>
      </c>
      <c r="E9" s="249">
        <f>[64]SPDCL_Inp_Category!$K9</f>
        <v>0.73057674668142</v>
      </c>
      <c r="F9" s="249">
        <f>[64]SPDCL_Inp_Category!$M9</f>
        <v>0.718598171268772</v>
      </c>
      <c r="G9" s="249">
        <f>[64]SPDCL_Inp_Category!$O9</f>
        <v>1</v>
      </c>
      <c r="H9" s="249">
        <f>[64]SPDCL_Inp_Losses!$S9</f>
        <v>0.289057597241036</v>
      </c>
      <c r="I9" s="249">
        <f>[64]SPDCL_Inp_Losses!$Y9</f>
        <v>0.281901882446742</v>
      </c>
      <c r="J9" s="249">
        <f>[64]SPDCL_Inp_Losses!$AE9</f>
        <v>0.28905843996459</v>
      </c>
    </row>
    <row r="10" ht="22" customHeight="1" spans="2:10">
      <c r="B10" s="250" t="s">
        <v>891</v>
      </c>
      <c r="C10" s="250" t="s">
        <v>174</v>
      </c>
      <c r="D10" s="249">
        <f>'[64]SPDCL_Cost Alloc_Factors'!$J12/'[64]SPDCL_Cost Alloc_Factors'!$J$66</f>
        <v>0.108706521746125</v>
      </c>
      <c r="E10" s="249">
        <f>[64]SPDCL_Inp_Category!$K10</f>
        <v>0.67939809857961</v>
      </c>
      <c r="F10" s="249">
        <f>[64]SPDCL_Inp_Category!$M10</f>
        <v>0.723229807548908</v>
      </c>
      <c r="G10" s="249">
        <f>[64]SPDCL_Inp_Category!$O10</f>
        <v>1</v>
      </c>
      <c r="H10" s="249">
        <f>[64]SPDCL_Inp_Losses!$S10</f>
        <v>0.108524085995835</v>
      </c>
      <c r="I10" s="249">
        <f>[64]SPDCL_Inp_Losses!$Y10</f>
        <v>0.10651969981438</v>
      </c>
      <c r="J10" s="249">
        <f>[64]SPDCL_Inp_Losses!$AE10</f>
        <v>0.108524402388846</v>
      </c>
    </row>
    <row r="11" ht="22" customHeight="1" spans="2:10">
      <c r="B11" s="250" t="s">
        <v>892</v>
      </c>
      <c r="C11" s="250" t="s">
        <v>893</v>
      </c>
      <c r="D11" s="249">
        <f>'[64]SPDCL_Cost Alloc_Factors'!$J13/'[64]SPDCL_Cost Alloc_Factors'!$J$66</f>
        <v>0.0258849167567775</v>
      </c>
      <c r="E11" s="249">
        <f>[64]SPDCL_Inp_Category!$K11</f>
        <v>0.65474098864541</v>
      </c>
      <c r="F11" s="249">
        <f>[64]SPDCL_Inp_Category!$M11</f>
        <v>0.751759114707544</v>
      </c>
      <c r="G11" s="249">
        <f>[64]SPDCL_Inp_Category!$O11</f>
        <v>1</v>
      </c>
      <c r="H11" s="249">
        <f>[64]SPDCL_Inp_Losses!$S11</f>
        <v>0.026814648402004</v>
      </c>
      <c r="I11" s="249">
        <f>[64]SPDCL_Inp_Losses!$Y11</f>
        <v>0.0273576185078891</v>
      </c>
      <c r="J11" s="249">
        <f>[64]SPDCL_Inp_Losses!$AE11</f>
        <v>0.026814726577897</v>
      </c>
    </row>
    <row r="12" ht="22" customHeight="1" spans="2:10">
      <c r="B12" s="250" t="s">
        <v>894</v>
      </c>
      <c r="C12" s="250" t="s">
        <v>895</v>
      </c>
      <c r="D12" s="249">
        <f>'[64]SPDCL_Cost Alloc_Factors'!$J14/'[64]SPDCL_Cost Alloc_Factors'!$J$66</f>
        <v>0.000237745557159833</v>
      </c>
      <c r="E12" s="249">
        <f>[64]SPDCL_Inp_Category!$K12</f>
        <v>0.643255679332353</v>
      </c>
      <c r="F12" s="249">
        <f>[64]SPDCL_Inp_Category!$M12</f>
        <v>0.711596530910146</v>
      </c>
      <c r="G12" s="249">
        <f>[64]SPDCL_Inp_Category!$O12</f>
        <v>1</v>
      </c>
      <c r="H12" s="249">
        <f>[64]SPDCL_Inp_Losses!$S12</f>
        <v>0.000250682284900794</v>
      </c>
      <c r="I12" s="249">
        <f>[64]SPDCL_Inp_Losses!$Y12</f>
        <v>0.000242094513162009</v>
      </c>
      <c r="J12" s="249">
        <f>[64]SPDCL_Inp_Losses!$AE12</f>
        <v>0.000250683015744294</v>
      </c>
    </row>
    <row r="13" ht="22" customHeight="1" spans="2:10">
      <c r="B13" s="250" t="s">
        <v>896</v>
      </c>
      <c r="C13" s="250" t="s">
        <v>202</v>
      </c>
      <c r="D13" s="249">
        <f>'[64]SPDCL_Cost Alloc_Factors'!$J15/'[64]SPDCL_Cost Alloc_Factors'!$J$66</f>
        <v>0.422771614980648</v>
      </c>
      <c r="E13" s="249">
        <f>[64]SPDCL_Inp_Category!$K13</f>
        <v>0.64413802403926</v>
      </c>
      <c r="F13" s="249">
        <f>[64]SPDCL_Inp_Category!$M13</f>
        <v>0.754833500028535</v>
      </c>
      <c r="G13" s="249">
        <f>[64]SPDCL_Inp_Category!$O13</f>
        <v>1</v>
      </c>
      <c r="H13" s="249">
        <f>[64]SPDCL_Inp_Losses!$S13</f>
        <v>0.445165754972694</v>
      </c>
      <c r="I13" s="249">
        <f>[64]SPDCL_Inp_Losses!$Y13</f>
        <v>0.456037330082626</v>
      </c>
      <c r="J13" s="249">
        <f>[64]SPDCL_Inp_Losses!$AE13</f>
        <v>0.44516705281669</v>
      </c>
    </row>
    <row r="14" ht="22" customHeight="1" spans="2:10">
      <c r="B14" s="250" t="s">
        <v>897</v>
      </c>
      <c r="C14" s="250" t="s">
        <v>898</v>
      </c>
      <c r="D14" s="249">
        <f>'[64]SPDCL_Cost Alloc_Factors'!$J16/'[64]SPDCL_Cost Alloc_Factors'!$J$66</f>
        <v>0.0129104763263496</v>
      </c>
      <c r="E14" s="249">
        <f>[64]SPDCL_Inp_Category!$K14</f>
        <v>0.645685937147674</v>
      </c>
      <c r="F14" s="249">
        <f>[64]SPDCL_Inp_Category!$M14</f>
        <v>0.672494624136642</v>
      </c>
      <c r="G14" s="249">
        <f>[64]SPDCL_Inp_Category!$O14</f>
        <v>1</v>
      </c>
      <c r="H14" s="249">
        <f>[64]SPDCL_Inp_Losses!$S14</f>
        <v>0.0135617521136194</v>
      </c>
      <c r="I14" s="249">
        <f>[64]SPDCL_Inp_Losses!$Y14</f>
        <v>0.0123774761701679</v>
      </c>
      <c r="J14" s="249">
        <f>[64]SPDCL_Inp_Losses!$AE14</f>
        <v>0.0135617916517878</v>
      </c>
    </row>
    <row r="15" ht="22" customHeight="1" spans="2:10">
      <c r="B15" s="250" t="s">
        <v>899</v>
      </c>
      <c r="C15" s="250" t="s">
        <v>900</v>
      </c>
      <c r="D15" s="249">
        <f>'[64]SPDCL_Cost Alloc_Factors'!$J17/'[64]SPDCL_Cost Alloc_Factors'!$J$66</f>
        <v>0.0065642115795783</v>
      </c>
      <c r="E15" s="249">
        <f>[64]SPDCL_Inp_Category!$K15</f>
        <v>0.703468855511347</v>
      </c>
      <c r="F15" s="249">
        <f>[64]SPDCL_Inp_Category!$M15</f>
        <v>0.699920787565779</v>
      </c>
      <c r="G15" s="249">
        <f>[64]SPDCL_Inp_Category!$O15</f>
        <v>1</v>
      </c>
      <c r="H15" s="249">
        <f>[64]SPDCL_Inp_Losses!$S15</f>
        <v>0.00632896304879612</v>
      </c>
      <c r="I15" s="249">
        <f>[64]SPDCL_Inp_Losses!$Y15</f>
        <v>0.00601186102117099</v>
      </c>
      <c r="J15" s="249">
        <f>[64]SPDCL_Inp_Losses!$AE15</f>
        <v>0.00632898150036523</v>
      </c>
    </row>
    <row r="16" ht="22" customHeight="1" spans="2:10">
      <c r="B16" s="250" t="s">
        <v>901</v>
      </c>
      <c r="C16" s="250" t="s">
        <v>902</v>
      </c>
      <c r="D16" s="249">
        <f>'[64]SPDCL_Cost Alloc_Factors'!$J18/'[64]SPDCL_Cost Alloc_Factors'!$J$66</f>
        <v>0.00115717249394098</v>
      </c>
      <c r="E16" s="249">
        <f>[64]SPDCL_Inp_Category!$K16</f>
        <v>1</v>
      </c>
      <c r="F16" s="249">
        <f>[64]SPDCL_Inp_Category!$M16</f>
        <v>0.955582674559537</v>
      </c>
      <c r="G16" s="249">
        <f>[64]SPDCL_Inp_Category!$O16</f>
        <v>1</v>
      </c>
      <c r="H16" s="249">
        <f>[64]SPDCL_Inp_Losses!$S16</f>
        <v>0.000784861391211716</v>
      </c>
      <c r="I16" s="249">
        <f>[64]SPDCL_Inp_Losses!$Y16</f>
        <v>0.00101786155892086</v>
      </c>
      <c r="J16" s="249">
        <f>[64]SPDCL_Inp_Losses!$AE16</f>
        <v>0.000784863679410287</v>
      </c>
    </row>
    <row r="17" ht="22" customHeight="1" spans="2:10">
      <c r="B17" s="250" t="s">
        <v>903</v>
      </c>
      <c r="C17" s="251" t="s">
        <v>904</v>
      </c>
      <c r="D17" s="252">
        <f>'[64]SPDCL_Cost Alloc_Factors'!$J19/'[64]SPDCL_Cost Alloc_Factors'!$J$66</f>
        <v>0</v>
      </c>
      <c r="E17" s="253">
        <f>[64]SPDCL_Inp_Category!$K17</f>
        <v>0</v>
      </c>
      <c r="F17" s="253">
        <f>[64]SPDCL_Inp_Category!$M17</f>
        <v>0</v>
      </c>
      <c r="G17" s="253">
        <f>[64]SPDCL_Inp_Category!$O17</f>
        <v>0</v>
      </c>
      <c r="H17" s="252">
        <f>[64]SPDCL_Inp_Losses!$S17</f>
        <v>0</v>
      </c>
      <c r="I17" s="252">
        <f>[64]SPDCL_Inp_Losses!$Y17</f>
        <v>0</v>
      </c>
      <c r="J17" s="252">
        <f>[64]SPDCL_Inp_Losses!$AE17</f>
        <v>0</v>
      </c>
    </row>
    <row r="18" ht="22" customHeight="1" spans="2:10">
      <c r="B18" s="250" t="s">
        <v>905</v>
      </c>
      <c r="C18" s="254" t="s">
        <v>906</v>
      </c>
      <c r="D18" s="252">
        <f>'[64]SPDCL_Cost Alloc_Factors'!$J20/'[64]SPDCL_Cost Alloc_Factors'!$J$66</f>
        <v>0</v>
      </c>
      <c r="E18" s="253">
        <f>[64]SPDCL_Inp_Category!$K18</f>
        <v>0</v>
      </c>
      <c r="F18" s="253">
        <f>[64]SPDCL_Inp_Category!$M18</f>
        <v>0</v>
      </c>
      <c r="G18" s="253">
        <f>[64]SPDCL_Inp_Category!$O18</f>
        <v>0</v>
      </c>
      <c r="H18" s="252">
        <f>[64]SPDCL_Inp_Losses!$S18</f>
        <v>0</v>
      </c>
      <c r="I18" s="252">
        <f>[64]SPDCL_Inp_Losses!$Y18</f>
        <v>0</v>
      </c>
      <c r="J18" s="252">
        <f>[64]SPDCL_Inp_Losses!$AE18</f>
        <v>0</v>
      </c>
    </row>
    <row r="19" ht="22" customHeight="1" spans="2:10">
      <c r="B19" s="245" t="s">
        <v>907</v>
      </c>
      <c r="C19" s="246"/>
      <c r="D19" s="247"/>
      <c r="E19" s="247"/>
      <c r="F19" s="247"/>
      <c r="G19" s="247"/>
      <c r="H19" s="247"/>
      <c r="I19" s="247"/>
      <c r="J19" s="247"/>
    </row>
    <row r="20" ht="22" customHeight="1" spans="2:10">
      <c r="B20" s="250"/>
      <c r="C20" s="255" t="s">
        <v>908</v>
      </c>
      <c r="D20" s="247"/>
      <c r="E20" s="247"/>
      <c r="F20" s="247"/>
      <c r="G20" s="247"/>
      <c r="H20" s="247"/>
      <c r="I20" s="247"/>
      <c r="J20" s="247"/>
    </row>
    <row r="21" ht="22" customHeight="1" spans="2:10">
      <c r="B21" s="250" t="s">
        <v>909</v>
      </c>
      <c r="C21" s="256" t="s">
        <v>910</v>
      </c>
      <c r="D21" s="249">
        <f>'[64]SPDCL_Cost Alloc_Factors'!$J25/'[64]SPDCL_Cost Alloc_Factors'!$J$66</f>
        <v>0.0634969743020406</v>
      </c>
      <c r="E21" s="249">
        <f>[64]SPDCL_Inp_Category!$K23</f>
        <v>0.664030756279721</v>
      </c>
      <c r="F21" s="249">
        <f>[64]SPDCL_Inp_Category!$M23</f>
        <v>0.771051510514648</v>
      </c>
      <c r="G21" s="253">
        <f>[64]SPDCL_Inp_Category!$O23</f>
        <v>1</v>
      </c>
      <c r="H21" s="249">
        <f>[64]SPDCL_Inp_Losses!$S23</f>
        <v>0.0648574246641575</v>
      </c>
      <c r="I21" s="249">
        <f>[64]SPDCL_Inp_Losses!$Y23</f>
        <v>0.066786041642669</v>
      </c>
      <c r="J21" s="249">
        <f>[64]SPDCL_Inp_Losses!$AE23</f>
        <v>0.0648576137506231</v>
      </c>
    </row>
    <row r="22" ht="22" customHeight="1" spans="2:10">
      <c r="B22" s="250" t="s">
        <v>911</v>
      </c>
      <c r="C22" s="256" t="s">
        <v>912</v>
      </c>
      <c r="D22" s="249">
        <f>'[64]SPDCL_Cost Alloc_Factors'!$J26/'[64]SPDCL_Cost Alloc_Factors'!$J$66</f>
        <v>7.4212609028201e-6</v>
      </c>
      <c r="E22" s="249">
        <f>[64]SPDCL_Inp_Category!$K24</f>
        <v>0.464656769933757</v>
      </c>
      <c r="F22" s="249">
        <f>[64]SPDCL_Inp_Category!$M24</f>
        <v>0.731923755923052</v>
      </c>
      <c r="G22" s="253">
        <f>[64]SPDCL_Inp_Category!$O24</f>
        <v>0.753724631187732</v>
      </c>
      <c r="H22" s="249">
        <f>[64]SPDCL_Inp_Losses!$S24</f>
        <v>1.08327892683121e-5</v>
      </c>
      <c r="I22" s="262">
        <f>[64]SPDCL_Inp_Losses!$Y24</f>
        <v>1.02677965753242e-5</v>
      </c>
      <c r="J22" s="249">
        <f>[64]SPDCL_Inp_Losses!$AE24</f>
        <v>7.91740343165064e-6</v>
      </c>
    </row>
    <row r="23" ht="22" customHeight="1" spans="2:10">
      <c r="B23" s="250" t="s">
        <v>913</v>
      </c>
      <c r="C23" s="256" t="s">
        <v>440</v>
      </c>
      <c r="D23" s="249">
        <f>'[64]SPDCL_Cost Alloc_Factors'!$J27/'[64]SPDCL_Cost Alloc_Factors'!$J$66</f>
        <v>0.0353492987516887</v>
      </c>
      <c r="E23" s="249">
        <f>[64]SPDCL_Inp_Category!$K25</f>
        <v>0.726159469966099</v>
      </c>
      <c r="F23" s="249">
        <f>[64]SPDCL_Inp_Category!$M25</f>
        <v>0.72172844535029</v>
      </c>
      <c r="G23" s="253">
        <f>[64]SPDCL_Inp_Category!$O25</f>
        <v>1</v>
      </c>
      <c r="H23" s="249">
        <f>[64]SPDCL_Inp_Losses!$S25</f>
        <v>0.0330174600738196</v>
      </c>
      <c r="I23" s="263">
        <f>[64]SPDCL_Inp_Losses!$Y25</f>
        <v>0.0318243905515456</v>
      </c>
      <c r="J23" s="249">
        <f>[64]SPDCL_Inp_Losses!$AE25</f>
        <v>0.0330175563334979</v>
      </c>
    </row>
    <row r="24" ht="22" customHeight="1" spans="2:10">
      <c r="B24" s="250" t="s">
        <v>914</v>
      </c>
      <c r="C24" s="251" t="s">
        <v>915</v>
      </c>
      <c r="D24" s="249">
        <f>'[64]SPDCL_Cost Alloc_Factors'!$J28/'[64]SPDCL_Cost Alloc_Factors'!$J$66</f>
        <v>8.21243206245085e-5</v>
      </c>
      <c r="E24" s="249">
        <f>[64]SPDCL_Inp_Category!$K26</f>
        <v>0.562942378957219</v>
      </c>
      <c r="F24" s="249">
        <f>[64]SPDCL_Inp_Category!$M26</f>
        <v>0.684908007530884</v>
      </c>
      <c r="G24" s="253">
        <f>[64]SPDCL_Inp_Category!$O26</f>
        <v>1</v>
      </c>
      <c r="H24" s="249">
        <f>[64]SPDCL_Inp_Losses!$S26</f>
        <v>9.89470178841404e-5</v>
      </c>
      <c r="I24" s="263">
        <f>[64]SPDCL_Inp_Losses!$Y26</f>
        <v>9.05060404304117e-5</v>
      </c>
      <c r="J24" s="249">
        <f>[64]SPDCL_Inp_Losses!$AE26</f>
        <v>9.89473063559999e-5</v>
      </c>
    </row>
    <row r="25" ht="22" customHeight="1" spans="2:10">
      <c r="B25" s="250" t="s">
        <v>916</v>
      </c>
      <c r="C25" s="256" t="s">
        <v>917</v>
      </c>
      <c r="D25" s="249">
        <f>'[64]SPDCL_Cost Alloc_Factors'!$J29/'[64]SPDCL_Cost Alloc_Factors'!$J$66</f>
        <v>0.00223862065925705</v>
      </c>
      <c r="E25" s="249">
        <f>[64]SPDCL_Inp_Category!$K27</f>
        <v>0.715068569579714</v>
      </c>
      <c r="F25" s="249">
        <f>[64]SPDCL_Inp_Category!$M27</f>
        <v>0.783711317567016</v>
      </c>
      <c r="G25" s="253">
        <f>[64]SPDCL_Inp_Category!$O27</f>
        <v>1</v>
      </c>
      <c r="H25" s="249">
        <f>[64]SPDCL_Inp_Losses!$S27</f>
        <v>0.00212337980236176</v>
      </c>
      <c r="I25" s="263">
        <f>[64]SPDCL_Inp_Losses!$Y27</f>
        <v>0.00220299451598837</v>
      </c>
      <c r="J25" s="249">
        <f>[64]SPDCL_Inp_Losses!$AE27</f>
        <v>0.00212338599290022</v>
      </c>
    </row>
    <row r="26" ht="22" customHeight="1" spans="2:10">
      <c r="B26" s="250" t="s">
        <v>971</v>
      </c>
      <c r="C26" s="257" t="s">
        <v>919</v>
      </c>
      <c r="D26" s="252">
        <f>'[64]SPDCL_Cost Alloc_Factors'!$J30/'[64]SPDCL_Cost Alloc_Factors'!$J$66</f>
        <v>0</v>
      </c>
      <c r="E26" s="249">
        <f>[64]SPDCL_Inp_Category!$K28</f>
        <v>0.613346640405483</v>
      </c>
      <c r="F26" s="249">
        <f>[64]SPDCL_Inp_Category!$M28</f>
        <v>0.529974644432652</v>
      </c>
      <c r="G26" s="253">
        <f>[64]SPDCL_Inp_Category!$O28</f>
        <v>1</v>
      </c>
      <c r="H26" s="249">
        <f>[64]SPDCL_Inp_Losses!$S28</f>
        <v>0.00499875015416648</v>
      </c>
      <c r="I26" s="249">
        <f>[64]SPDCL_Inp_Losses!$Y28</f>
        <v>0.00353801063841933</v>
      </c>
      <c r="J26" s="249">
        <f>[64]SPDCL_Inp_Losses!$AE28</f>
        <v>0.00499876472760975</v>
      </c>
    </row>
    <row r="27" ht="22" customHeight="1" spans="2:10">
      <c r="B27" s="250" t="s">
        <v>972</v>
      </c>
      <c r="C27" s="256" t="s">
        <v>973</v>
      </c>
      <c r="D27" s="252">
        <f>'[64]SPDCL_Cost Alloc_Factors'!$J31/'[64]SPDCL_Cost Alloc_Factors'!$J$66</f>
        <v>0</v>
      </c>
      <c r="E27" s="249">
        <f>[64]SPDCL_Inp_Category!$K29</f>
        <v>0.726190476190476</v>
      </c>
      <c r="F27" s="249">
        <f>[64]SPDCL_Inp_Category!$M29</f>
        <v>0.693625577790046</v>
      </c>
      <c r="G27" s="253">
        <f>[64]SPDCL_Inp_Category!$O29</f>
        <v>1</v>
      </c>
      <c r="H27" s="249">
        <f>[64]SPDCL_Inp_Losses!$S29</f>
        <v>0.00440056335793723</v>
      </c>
      <c r="I27" s="249">
        <f>[64]SPDCL_Inp_Losses!$Y29</f>
        <v>0.00407639245949695</v>
      </c>
      <c r="J27" s="249">
        <f>[64]SPDCL_Inp_Losses!$AE29</f>
        <v>0.00440057618741629</v>
      </c>
    </row>
    <row r="28" ht="22" customHeight="1" spans="2:10">
      <c r="B28" s="250" t="s">
        <v>922</v>
      </c>
      <c r="C28" s="256" t="s">
        <v>198</v>
      </c>
      <c r="D28" s="252">
        <f>'[64]SPDCL_Cost Alloc_Factors'!$J32/'[64]SPDCL_Cost Alloc_Factors'!$J$66</f>
        <v>0</v>
      </c>
      <c r="E28" s="253">
        <f>[64]SPDCL_Inp_Category!$K30</f>
        <v>1</v>
      </c>
      <c r="F28" s="253">
        <f>[64]SPDCL_Inp_Category!$M30</f>
        <v>0.971075808906064</v>
      </c>
      <c r="G28" s="253">
        <f>[64]SPDCL_Inp_Category!$O30</f>
        <v>1</v>
      </c>
      <c r="H28" s="249">
        <f>[64]SPDCL_Inp_Losses!$S30</f>
        <v>4.29669030731884e-6</v>
      </c>
      <c r="I28" s="252">
        <f>[64]SPDCL_Inp_Losses!$Y30</f>
        <v>5.57223981632698e-6</v>
      </c>
      <c r="J28" s="249">
        <f>[64]SPDCL_Inp_Losses!$AE30</f>
        <v>4.2967028339646e-6</v>
      </c>
    </row>
    <row r="29" ht="22" customHeight="1" spans="2:10">
      <c r="B29" s="250" t="s">
        <v>923</v>
      </c>
      <c r="C29" s="256" t="s">
        <v>906</v>
      </c>
      <c r="D29" s="252">
        <f>'[64]SPDCL_Cost Alloc_Factors'!$J33/'[64]SPDCL_Cost Alloc_Factors'!$J$66</f>
        <v>0</v>
      </c>
      <c r="E29" s="253">
        <f>[64]SPDCL_Inp_Category!$K31</f>
        <v>0</v>
      </c>
      <c r="F29" s="253">
        <f>[64]SPDCL_Inp_Category!$M31</f>
        <v>0</v>
      </c>
      <c r="G29" s="253">
        <f>[64]SPDCL_Inp_Category!$O31</f>
        <v>0</v>
      </c>
      <c r="H29" s="252">
        <f>[64]SPDCL_Inp_Losses!$S31</f>
        <v>0</v>
      </c>
      <c r="I29" s="252">
        <f>[64]SPDCL_Inp_Losses!$Y31</f>
        <v>0</v>
      </c>
      <c r="J29" s="252">
        <f>[64]SPDCL_Inp_Losses!$AE31</f>
        <v>0</v>
      </c>
    </row>
    <row r="30" ht="22" customHeight="1" spans="2:10">
      <c r="B30" s="250"/>
      <c r="C30" s="258" t="s">
        <v>924</v>
      </c>
      <c r="D30" s="247"/>
      <c r="E30" s="247"/>
      <c r="F30" s="247"/>
      <c r="G30" s="247"/>
      <c r="H30" s="247"/>
      <c r="I30" s="247"/>
      <c r="J30" s="247"/>
    </row>
    <row r="31" ht="22" customHeight="1" spans="2:10">
      <c r="B31" s="250" t="s">
        <v>925</v>
      </c>
      <c r="C31" s="256" t="s">
        <v>910</v>
      </c>
      <c r="D31" s="252">
        <f>'[64]SPDCL_Cost Alloc_Factors'!$J38/'[64]SPDCL_Cost Alloc_Factors'!$J$66</f>
        <v>0</v>
      </c>
      <c r="E31" s="249">
        <f>IFERROR([64]SPDCL_Inp_Category!$K36,0)</f>
        <v>0.731700718812412</v>
      </c>
      <c r="F31" s="249">
        <f>IFERROR([64]SPDCL_Inp_Category!$M36,0)</f>
        <v>0.724263477900837</v>
      </c>
      <c r="G31" s="253">
        <f>IFERROR([64]SPDCL_Inp_Category!$O36,0)</f>
        <v>1</v>
      </c>
      <c r="H31" s="252">
        <f>[64]SPDCL_Inp_Losses!$S36</f>
        <v>0</v>
      </c>
      <c r="I31" s="252">
        <f>[64]SPDCL_Inp_Losses!$Y36</f>
        <v>0</v>
      </c>
      <c r="J31" s="252">
        <f>[64]SPDCL_Inp_Losses!$AE36</f>
        <v>0</v>
      </c>
    </row>
    <row r="32" ht="22" customHeight="1" spans="2:10">
      <c r="B32" s="250" t="s">
        <v>926</v>
      </c>
      <c r="C32" s="256" t="s">
        <v>912</v>
      </c>
      <c r="D32" s="252">
        <f>'[64]SPDCL_Cost Alloc_Factors'!$J39/'[64]SPDCL_Cost Alloc_Factors'!$J$66</f>
        <v>0</v>
      </c>
      <c r="E32" s="252">
        <f>IFERROR([64]SPDCL_Inp_Category!$K37,0)</f>
        <v>0.792363269186309</v>
      </c>
      <c r="F32" s="252">
        <f>IFERROR([64]SPDCL_Inp_Category!$M37,0)</f>
        <v>0.789613715873011</v>
      </c>
      <c r="G32" s="252">
        <f>IFERROR([64]SPDCL_Inp_Category!$O37,0)</f>
        <v>0.077298962268135</v>
      </c>
      <c r="H32" s="252">
        <f>[64]SPDCL_Inp_Losses!$S37</f>
        <v>0</v>
      </c>
      <c r="I32" s="252">
        <f>[64]SPDCL_Inp_Losses!$Y37</f>
        <v>0</v>
      </c>
      <c r="J32" s="252">
        <f>[64]SPDCL_Inp_Losses!$AE37</f>
        <v>0</v>
      </c>
    </row>
    <row r="33" ht="22" customHeight="1" spans="2:10">
      <c r="B33" s="250" t="s">
        <v>927</v>
      </c>
      <c r="C33" s="256" t="s">
        <v>440</v>
      </c>
      <c r="D33" s="252">
        <f>'[64]SPDCL_Cost Alloc_Factors'!$J40/'[64]SPDCL_Cost Alloc_Factors'!$J$66</f>
        <v>0</v>
      </c>
      <c r="E33" s="249">
        <f>IFERROR([64]SPDCL_Inp_Category!$K38,0)</f>
        <v>0.694339693948197</v>
      </c>
      <c r="F33" s="249">
        <f>IFERROR([64]SPDCL_Inp_Category!$M38,0)</f>
        <v>0.729384026377585</v>
      </c>
      <c r="G33" s="253">
        <f>IFERROR([64]SPDCL_Inp_Category!$O38,0)</f>
        <v>1</v>
      </c>
      <c r="H33" s="252">
        <f>[64]SPDCL_Inp_Losses!$S38</f>
        <v>0</v>
      </c>
      <c r="I33" s="252">
        <f>[64]SPDCL_Inp_Losses!$Y38</f>
        <v>0</v>
      </c>
      <c r="J33" s="252">
        <f>[64]SPDCL_Inp_Losses!$AE38</f>
        <v>0</v>
      </c>
    </row>
    <row r="34" ht="22" customHeight="1" spans="2:10">
      <c r="B34" s="250" t="s">
        <v>928</v>
      </c>
      <c r="C34" s="257" t="s">
        <v>915</v>
      </c>
      <c r="D34" s="252">
        <f>'[64]SPDCL_Cost Alloc_Factors'!$J41/'[64]SPDCL_Cost Alloc_Factors'!$J$66</f>
        <v>0</v>
      </c>
      <c r="E34" s="252">
        <f>IFERROR([64]SPDCL_Inp_Category!$K39,0)</f>
        <v>0</v>
      </c>
      <c r="F34" s="252">
        <f>IFERROR([64]SPDCL_Inp_Category!$M39,0)</f>
        <v>0</v>
      </c>
      <c r="G34" s="252">
        <f>IFERROR([64]SPDCL_Inp_Category!$O39,0)</f>
        <v>0</v>
      </c>
      <c r="H34" s="252">
        <f>[64]SPDCL_Inp_Losses!$S39</f>
        <v>0</v>
      </c>
      <c r="I34" s="252">
        <f>[64]SPDCL_Inp_Losses!$Y39</f>
        <v>0</v>
      </c>
      <c r="J34" s="252">
        <f>[64]SPDCL_Inp_Losses!$AE39</f>
        <v>0</v>
      </c>
    </row>
    <row r="35" ht="22" customHeight="1" spans="2:10">
      <c r="B35" s="250" t="s">
        <v>929</v>
      </c>
      <c r="C35" s="256" t="s">
        <v>917</v>
      </c>
      <c r="D35" s="252">
        <f>'[64]SPDCL_Cost Alloc_Factors'!$J42/'[64]SPDCL_Cost Alloc_Factors'!$J$66</f>
        <v>0</v>
      </c>
      <c r="E35" s="249">
        <f>IFERROR([64]SPDCL_Inp_Category!$K40,0)</f>
        <v>0.570275891301933</v>
      </c>
      <c r="F35" s="249">
        <f>IFERROR([64]SPDCL_Inp_Category!$M40,0)</f>
        <v>0.641791866820287</v>
      </c>
      <c r="G35" s="249">
        <f>IFERROR([64]SPDCL_Inp_Category!$O40,0)</f>
        <v>1</v>
      </c>
      <c r="H35" s="252">
        <f>[64]SPDCL_Inp_Losses!$S40</f>
        <v>0</v>
      </c>
      <c r="I35" s="252">
        <f>[64]SPDCL_Inp_Losses!$Y40</f>
        <v>0</v>
      </c>
      <c r="J35" s="252">
        <f>[64]SPDCL_Inp_Losses!$AE40</f>
        <v>0</v>
      </c>
    </row>
    <row r="36" ht="22" customHeight="1" spans="2:10">
      <c r="B36" s="250" t="s">
        <v>930</v>
      </c>
      <c r="C36" s="256" t="s">
        <v>222</v>
      </c>
      <c r="D36" s="252">
        <f>'[64]SPDCL_Cost Alloc_Factors'!$J43/'[64]SPDCL_Cost Alloc_Factors'!$J$66</f>
        <v>0</v>
      </c>
      <c r="E36" s="249">
        <f>IFERROR([64]SPDCL_Inp_Category!$K41,0)</f>
        <v>0</v>
      </c>
      <c r="F36" s="249">
        <f>IFERROR([64]SPDCL_Inp_Category!$M41,0)</f>
        <v>0</v>
      </c>
      <c r="G36" s="249">
        <f>IFERROR([64]SPDCL_Inp_Category!$O41,0)</f>
        <v>0</v>
      </c>
      <c r="H36" s="252">
        <f>[64]SPDCL_Inp_Losses!$S41</f>
        <v>0</v>
      </c>
      <c r="I36" s="252">
        <f>[64]SPDCL_Inp_Losses!$Y41</f>
        <v>0</v>
      </c>
      <c r="J36" s="252">
        <f>[64]SPDCL_Inp_Losses!$AE41</f>
        <v>0</v>
      </c>
    </row>
    <row r="37" ht="22" customHeight="1" spans="2:10">
      <c r="B37" s="250" t="s">
        <v>931</v>
      </c>
      <c r="C37" s="256" t="s">
        <v>932</v>
      </c>
      <c r="D37" s="249">
        <f>'[64]SPDCL_Cost Alloc_Factors'!$J44/'[64]SPDCL_Cost Alloc_Factors'!$J$66</f>
        <v>0.00452035515055302</v>
      </c>
      <c r="E37" s="249">
        <f>IFERROR([64]SPDCL_Inp_Category!$K42,0)</f>
        <v>0.573391469515401</v>
      </c>
      <c r="F37" s="249">
        <f>IFERROR([64]SPDCL_Inp_Category!$M42,0)</f>
        <v>0.635987623026585</v>
      </c>
      <c r="G37" s="253">
        <f>IFERROR([64]SPDCL_Inp_Category!$O42,0)</f>
        <v>1</v>
      </c>
      <c r="H37" s="252">
        <f>[64]SPDCL_Inp_Losses!$S42</f>
        <v>0</v>
      </c>
      <c r="I37" s="252">
        <f>[64]SPDCL_Inp_Losses!$Y42</f>
        <v>0</v>
      </c>
      <c r="J37" s="252">
        <f>[64]SPDCL_Inp_Losses!$AE42</f>
        <v>0</v>
      </c>
    </row>
    <row r="38" ht="22" customHeight="1" spans="2:10">
      <c r="B38" s="250" t="s">
        <v>933</v>
      </c>
      <c r="C38" s="256" t="s">
        <v>934</v>
      </c>
      <c r="D38" s="249">
        <f>'[64]SPDCL_Cost Alloc_Factors'!$J45/'[64]SPDCL_Cost Alloc_Factors'!$J$66</f>
        <v>0.00471155172372689</v>
      </c>
      <c r="E38" s="249">
        <f>IFERROR([64]SPDCL_Inp_Category!$K43,0)</f>
        <v>0</v>
      </c>
      <c r="F38" s="249">
        <f>IFERROR([64]SPDCL_Inp_Category!$M43,0)</f>
        <v>0</v>
      </c>
      <c r="G38" s="249">
        <f>IFERROR([64]SPDCL_Inp_Category!$O43,0)</f>
        <v>0</v>
      </c>
      <c r="H38" s="252">
        <f>[64]SPDCL_Inp_Losses!$S43</f>
        <v>0</v>
      </c>
      <c r="I38" s="252">
        <f>[64]SPDCL_Inp_Losses!$Y43</f>
        <v>0</v>
      </c>
      <c r="J38" s="252">
        <f>[64]SPDCL_Inp_Losses!$AE43</f>
        <v>0</v>
      </c>
    </row>
    <row r="39" ht="22" customHeight="1" spans="2:10">
      <c r="B39" s="250" t="s">
        <v>935</v>
      </c>
      <c r="C39" s="256" t="s">
        <v>198</v>
      </c>
      <c r="D39" s="249">
        <f>'[64]SPDCL_Cost Alloc_Factors'!$J46/'[64]SPDCL_Cost Alloc_Factors'!$J$66</f>
        <v>6.33489160542868e-6</v>
      </c>
      <c r="E39" s="249">
        <f>IFERROR([64]SPDCL_Inp_Category!$K44,0)</f>
        <v>1</v>
      </c>
      <c r="F39" s="249">
        <f>IFERROR([64]SPDCL_Inp_Category!$M44,0)</f>
        <v>0.987830145476363</v>
      </c>
      <c r="G39" s="253">
        <f>IFERROR([64]SPDCL_Inp_Category!$O44,0)</f>
        <v>1</v>
      </c>
      <c r="H39" s="252">
        <f>[64]SPDCL_Inp_Losses!$S44</f>
        <v>0</v>
      </c>
      <c r="I39" s="252">
        <f>[64]SPDCL_Inp_Losses!$Y44</f>
        <v>0</v>
      </c>
      <c r="J39" s="252">
        <f>[64]SPDCL_Inp_Losses!$AE44</f>
        <v>0</v>
      </c>
    </row>
    <row r="40" ht="22" customHeight="1" spans="2:10">
      <c r="B40" s="250" t="s">
        <v>936</v>
      </c>
      <c r="C40" s="256" t="s">
        <v>906</v>
      </c>
      <c r="D40" s="252">
        <f>'[64]SPDCL_Cost Alloc_Factors'!$J47/'[64]SPDCL_Cost Alloc_Factors'!$J$66</f>
        <v>0</v>
      </c>
      <c r="E40" s="252">
        <f>IFERROR([64]SPDCL_Inp_Category!$K45,0)</f>
        <v>0</v>
      </c>
      <c r="F40" s="252">
        <f>IFERROR([64]SPDCL_Inp_Category!$M45,0)</f>
        <v>0</v>
      </c>
      <c r="G40" s="252">
        <f>IFERROR([64]SPDCL_Inp_Category!$O45,0)</f>
        <v>0</v>
      </c>
      <c r="H40" s="252">
        <f>[64]SPDCL_Inp_Losses!$S45</f>
        <v>0</v>
      </c>
      <c r="I40" s="252">
        <f>[64]SPDCL_Inp_Losses!$Y45</f>
        <v>0</v>
      </c>
      <c r="J40" s="252">
        <f>[64]SPDCL_Inp_Losses!$AE45</f>
        <v>0</v>
      </c>
    </row>
    <row r="41" ht="22" customHeight="1" spans="2:10">
      <c r="B41" s="250"/>
      <c r="C41" s="258" t="s">
        <v>937</v>
      </c>
      <c r="D41" s="247"/>
      <c r="E41" s="247"/>
      <c r="F41" s="247"/>
      <c r="G41" s="247"/>
      <c r="H41" s="247"/>
      <c r="I41" s="247"/>
      <c r="J41" s="247"/>
    </row>
    <row r="42" ht="22" customHeight="1" spans="2:10">
      <c r="B42" s="250" t="s">
        <v>938</v>
      </c>
      <c r="C42" s="256" t="s">
        <v>910</v>
      </c>
      <c r="D42" s="252">
        <f>'[64]SPDCL_Cost Alloc_Factors'!$J52/'[64]SPDCL_Cost Alloc_Factors'!$J$66</f>
        <v>0</v>
      </c>
      <c r="E42" s="249">
        <f>IFERROR([64]SPDCL_Inp_Category!$K50,0)</f>
        <v>0.774500894751207</v>
      </c>
      <c r="F42" s="249">
        <f>IFERROR([64]SPDCL_Inp_Category!$M50,0)</f>
        <v>0.78326641657895</v>
      </c>
      <c r="G42" s="253">
        <f>IFERROR([64]SPDCL_Inp_Category!$O50,0)</f>
        <v>1</v>
      </c>
      <c r="H42" s="252">
        <f>[64]SPDCL_Inp_Losses!$S50</f>
        <v>0</v>
      </c>
      <c r="I42" s="252">
        <f>[64]SPDCL_Inp_Losses!$Y50</f>
        <v>0</v>
      </c>
      <c r="J42" s="252">
        <f>[64]SPDCL_Inp_Losses!$AE50</f>
        <v>0</v>
      </c>
    </row>
    <row r="43" ht="22" customHeight="1" spans="2:10">
      <c r="B43" s="250" t="s">
        <v>939</v>
      </c>
      <c r="C43" s="256" t="s">
        <v>912</v>
      </c>
      <c r="D43" s="252">
        <f>'[64]SPDCL_Cost Alloc_Factors'!$J53/'[64]SPDCL_Cost Alloc_Factors'!$J$66</f>
        <v>0</v>
      </c>
      <c r="E43" s="249">
        <f>IFERROR([64]SPDCL_Inp_Category!$K51,0)</f>
        <v>0.755521792858271</v>
      </c>
      <c r="F43" s="249">
        <f>IFERROR([64]SPDCL_Inp_Category!$M51,0)</f>
        <v>0.731823340349737</v>
      </c>
      <c r="G43" s="253">
        <f>IFERROR([64]SPDCL_Inp_Category!$O51,0)</f>
        <v>1</v>
      </c>
      <c r="H43" s="252">
        <f>[64]SPDCL_Inp_Losses!$S51</f>
        <v>0</v>
      </c>
      <c r="I43" s="252">
        <f>[64]SPDCL_Inp_Losses!$Y51</f>
        <v>0</v>
      </c>
      <c r="J43" s="252">
        <f>[64]SPDCL_Inp_Losses!$AE51</f>
        <v>0</v>
      </c>
    </row>
    <row r="44" ht="22" customHeight="1" spans="2:10">
      <c r="B44" s="250" t="s">
        <v>940</v>
      </c>
      <c r="C44" s="256" t="s">
        <v>440</v>
      </c>
      <c r="D44" s="252">
        <f>'[64]SPDCL_Cost Alloc_Factors'!$J54/'[64]SPDCL_Cost Alloc_Factors'!$J$66</f>
        <v>0</v>
      </c>
      <c r="E44" s="249">
        <f>IFERROR([64]SPDCL_Inp_Category!$K52,0)</f>
        <v>0.605192230115096</v>
      </c>
      <c r="F44" s="249">
        <f>IFERROR([64]SPDCL_Inp_Category!$M52,0)</f>
        <v>0.771706286926107</v>
      </c>
      <c r="G44" s="253">
        <f>IFERROR([64]SPDCL_Inp_Category!$O52,0)</f>
        <v>1</v>
      </c>
      <c r="H44" s="252">
        <f>[64]SPDCL_Inp_Losses!$S52</f>
        <v>0</v>
      </c>
      <c r="I44" s="252">
        <f>[64]SPDCL_Inp_Losses!$Y52</f>
        <v>0</v>
      </c>
      <c r="J44" s="252">
        <f>[64]SPDCL_Inp_Losses!$AE52</f>
        <v>0</v>
      </c>
    </row>
    <row r="45" ht="22" customHeight="1" spans="2:10">
      <c r="B45" s="250" t="s">
        <v>941</v>
      </c>
      <c r="C45" s="257" t="s">
        <v>915</v>
      </c>
      <c r="D45" s="252">
        <f>'[64]SPDCL_Cost Alloc_Factors'!$J55/'[64]SPDCL_Cost Alloc_Factors'!$J$66</f>
        <v>0</v>
      </c>
      <c r="E45" s="249">
        <f>IFERROR([64]SPDCL_Inp_Category!$K53,0)</f>
        <v>0.721013351912156</v>
      </c>
      <c r="F45" s="249">
        <f>IFERROR([64]SPDCL_Inp_Category!$M53,0)</f>
        <v>0.700871175618783</v>
      </c>
      <c r="G45" s="253">
        <f>IFERROR([64]SPDCL_Inp_Category!$O53,0)</f>
        <v>1</v>
      </c>
      <c r="H45" s="252">
        <f>[64]SPDCL_Inp_Losses!$S53</f>
        <v>0</v>
      </c>
      <c r="I45" s="252">
        <f>[64]SPDCL_Inp_Losses!$Y53</f>
        <v>0</v>
      </c>
      <c r="J45" s="252">
        <f>[64]SPDCL_Inp_Losses!$AE53</f>
        <v>0</v>
      </c>
    </row>
    <row r="46" ht="22" customHeight="1" spans="2:10">
      <c r="B46" s="250" t="s">
        <v>942</v>
      </c>
      <c r="C46" s="256" t="s">
        <v>917</v>
      </c>
      <c r="D46" s="252">
        <f>'[64]SPDCL_Cost Alloc_Factors'!$J56/'[64]SPDCL_Cost Alloc_Factors'!$J$66</f>
        <v>0</v>
      </c>
      <c r="E46" s="249">
        <f>IFERROR([64]SPDCL_Inp_Category!$K54,0)</f>
        <v>0.678028290661438</v>
      </c>
      <c r="F46" s="249">
        <f>IFERROR([64]SPDCL_Inp_Category!$M54,0)</f>
        <v>0.783711317567016</v>
      </c>
      <c r="G46" s="253">
        <f>IFERROR([64]SPDCL_Inp_Category!$O54,0)</f>
        <v>1</v>
      </c>
      <c r="H46" s="252">
        <f>[64]SPDCL_Inp_Losses!$S54</f>
        <v>0</v>
      </c>
      <c r="I46" s="252">
        <f>[64]SPDCL_Inp_Losses!$Y54</f>
        <v>0</v>
      </c>
      <c r="J46" s="252">
        <f>[64]SPDCL_Inp_Losses!$AE54</f>
        <v>0</v>
      </c>
    </row>
    <row r="47" ht="22" customHeight="1" spans="2:10">
      <c r="B47" s="250" t="s">
        <v>943</v>
      </c>
      <c r="C47" s="256" t="s">
        <v>944</v>
      </c>
      <c r="D47" s="252">
        <f>'[64]SPDCL_Cost Alloc_Factors'!$J57/'[64]SPDCL_Cost Alloc_Factors'!$J$66</f>
        <v>0</v>
      </c>
      <c r="E47" s="249">
        <f>IFERROR([64]SPDCL_Inp_Category!$K55,0)</f>
        <v>0.571433150545012</v>
      </c>
      <c r="F47" s="249">
        <f>IFERROR([64]SPDCL_Inp_Category!$M55,0)</f>
        <v>0.522209001728029</v>
      </c>
      <c r="G47" s="253">
        <f>IFERROR([64]SPDCL_Inp_Category!$O55,0)</f>
        <v>1</v>
      </c>
      <c r="H47" s="252">
        <f>[64]SPDCL_Inp_Losses!$S55</f>
        <v>0</v>
      </c>
      <c r="I47" s="252">
        <f>[64]SPDCL_Inp_Losses!$Y55</f>
        <v>0</v>
      </c>
      <c r="J47" s="252">
        <f>[64]SPDCL_Inp_Losses!$AE55</f>
        <v>0</v>
      </c>
    </row>
    <row r="48" ht="22" customHeight="1" spans="2:10">
      <c r="B48" s="250" t="s">
        <v>945</v>
      </c>
      <c r="C48" s="256" t="s">
        <v>946</v>
      </c>
      <c r="D48" s="252">
        <f>'[64]SPDCL_Cost Alloc_Factors'!$J58/'[64]SPDCL_Cost Alloc_Factors'!$J$66</f>
        <v>0</v>
      </c>
      <c r="E48" s="249">
        <f>IFERROR([64]SPDCL_Inp_Category!$K56,0)</f>
        <v>0.630105146585162</v>
      </c>
      <c r="F48" s="249">
        <f>IFERROR([64]SPDCL_Inp_Category!$M56,0)</f>
        <v>0.620217398929795</v>
      </c>
      <c r="G48" s="253">
        <f>IFERROR([64]SPDCL_Inp_Category!$O56,0)</f>
        <v>1</v>
      </c>
      <c r="H48" s="252">
        <f>[64]SPDCL_Inp_Losses!$S56</f>
        <v>0</v>
      </c>
      <c r="I48" s="252">
        <f>[64]SPDCL_Inp_Losses!$Y56</f>
        <v>0</v>
      </c>
      <c r="J48" s="252">
        <f>[64]SPDCL_Inp_Losses!$AE56</f>
        <v>0</v>
      </c>
    </row>
    <row r="49" ht="22" customHeight="1" spans="2:10">
      <c r="B49" s="250" t="s">
        <v>947</v>
      </c>
      <c r="C49" s="256" t="s">
        <v>932</v>
      </c>
      <c r="D49" s="252">
        <f>'[64]SPDCL_Cost Alloc_Factors'!$J59/'[64]SPDCL_Cost Alloc_Factors'!$J$66</f>
        <v>0</v>
      </c>
      <c r="E49" s="252">
        <f>IFERROR([64]SPDCL_Inp_Category!$K57,0)</f>
        <v>0</v>
      </c>
      <c r="F49" s="252">
        <f>IFERROR([64]SPDCL_Inp_Category!$M57,0)</f>
        <v>0</v>
      </c>
      <c r="G49" s="252">
        <f>IFERROR([64]SPDCL_Inp_Category!$O57,0)</f>
        <v>0</v>
      </c>
      <c r="H49" s="252">
        <f>[64]SPDCL_Inp_Losses!$S57</f>
        <v>0</v>
      </c>
      <c r="I49" s="252">
        <f>[64]SPDCL_Inp_Losses!$Y57</f>
        <v>0</v>
      </c>
      <c r="J49" s="252">
        <f>[64]SPDCL_Inp_Losses!$AE57</f>
        <v>0</v>
      </c>
    </row>
    <row r="50" ht="22" customHeight="1" spans="2:10">
      <c r="B50" s="250" t="s">
        <v>948</v>
      </c>
      <c r="C50" s="256" t="s">
        <v>198</v>
      </c>
      <c r="D50" s="252">
        <f>'[64]SPDCL_Cost Alloc_Factors'!$J60/'[64]SPDCL_Cost Alloc_Factors'!$J$66</f>
        <v>0</v>
      </c>
      <c r="E50" s="252">
        <f>IFERROR([64]SPDCL_Inp_Category!$K58,0)</f>
        <v>0</v>
      </c>
      <c r="F50" s="252">
        <f>IFERROR([64]SPDCL_Inp_Category!$M58,0)</f>
        <v>0</v>
      </c>
      <c r="G50" s="252">
        <f>IFERROR([64]SPDCL_Inp_Category!$O58,0)</f>
        <v>0</v>
      </c>
      <c r="H50" s="259">
        <f>[64]SPDCL_Inp_Losses!$S58</f>
        <v>0</v>
      </c>
      <c r="I50" s="252">
        <f>[64]SPDCL_Inp_Losses!$Y58</f>
        <v>0</v>
      </c>
      <c r="J50" s="252">
        <f>[64]SPDCL_Inp_Losses!$AE58</f>
        <v>0</v>
      </c>
    </row>
    <row r="51" ht="22" customHeight="1" spans="2:10">
      <c r="B51" s="250" t="s">
        <v>949</v>
      </c>
      <c r="C51" s="256" t="s">
        <v>906</v>
      </c>
      <c r="D51" s="252">
        <f>'[64]SPDCL_Cost Alloc_Factors'!$J61/'[64]SPDCL_Cost Alloc_Factors'!$J$66</f>
        <v>0</v>
      </c>
      <c r="E51" s="252">
        <f>IFERROR([64]SPDCL_Inp_Category!$K59,0)</f>
        <v>0</v>
      </c>
      <c r="F51" s="252">
        <f>IFERROR([64]SPDCL_Inp_Category!$M59,0)</f>
        <v>0</v>
      </c>
      <c r="G51" s="252">
        <f>IFERROR([64]SPDCL_Inp_Category!$O59,0)</f>
        <v>0</v>
      </c>
      <c r="H51" s="252">
        <f>[64]SPDCL_Inp_Losses!$S59</f>
        <v>0</v>
      </c>
      <c r="I51" s="252">
        <f>[64]SPDCL_Inp_Losses!$Y59</f>
        <v>0</v>
      </c>
      <c r="J51" s="252">
        <f>[64]SPDCL_Inp_Losses!$AE59</f>
        <v>0</v>
      </c>
    </row>
    <row r="52" ht="22" customHeight="1" spans="2:10">
      <c r="B52" s="260" t="s">
        <v>224</v>
      </c>
      <c r="C52" s="260"/>
      <c r="D52" s="261">
        <f>SUM(D9:D51)</f>
        <v>1</v>
      </c>
      <c r="E52" s="261">
        <f>[64]SPDCL_Inp_Category!$H$65/[64]SPDCL_Inp_Category!$R$65/8.76</f>
        <v>0.782577227148193</v>
      </c>
      <c r="F52" s="261">
        <f>[64]SPDCL_Inp_Category!$H$65/[64]SPDCL_Inp_Category!$N$65/8.76</f>
        <v>0.907737330029681</v>
      </c>
      <c r="G52" s="261">
        <f>[64]SPDCL_Inp_Category!$H$65/[64]SPDCL_Inp_Category!$P$65/8.76</f>
        <v>0.687749373828314</v>
      </c>
      <c r="H52" s="261">
        <f t="shared" ref="H52:J52" si="0">SUM(H9:H51)</f>
        <v>1</v>
      </c>
      <c r="I52" s="261">
        <f t="shared" si="0"/>
        <v>1</v>
      </c>
      <c r="J52" s="261">
        <f t="shared" si="0"/>
        <v>0.999999999999999</v>
      </c>
    </row>
  </sheetData>
  <mergeCells count="8">
    <mergeCell ref="B2:P2"/>
    <mergeCell ref="D5:J5"/>
    <mergeCell ref="E6:G6"/>
    <mergeCell ref="H6:J6"/>
    <mergeCell ref="B8:C8"/>
    <mergeCell ref="B19:C19"/>
    <mergeCell ref="B52:C52"/>
    <mergeCell ref="B5:C7"/>
  </mergeCells>
  <printOptions horizontalCentered="1"/>
  <pageMargins left="0.433070866141732" right="0.47244094488189" top="0.748031496062992" bottom="0.748031496062992" header="0.31496062992126" footer="0.31496062992126"/>
  <pageSetup paperSize="9" scale="53" fitToHeight="11" orientation="portrait"/>
  <headerFooter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  <pageSetUpPr fitToPage="1"/>
  </sheetPr>
  <dimension ref="B2:AE55"/>
  <sheetViews>
    <sheetView showGridLines="0" view="pageBreakPreview" zoomScale="60" zoomScaleNormal="80" workbookViewId="0">
      <pane xSplit="3" ySplit="8" topLeftCell="D9" activePane="bottomRight" state="frozen"/>
      <selection/>
      <selection pane="topRight"/>
      <selection pane="bottomLeft"/>
      <selection pane="bottomRight" activeCell="R3" sqref="R3"/>
    </sheetView>
  </sheetViews>
  <sheetFormatPr defaultColWidth="9.14285714285714" defaultRowHeight="14.25"/>
  <cols>
    <col min="1" max="1" width="9.14285714285714" style="1"/>
    <col min="2" max="2" width="16.4285714285714" style="1" customWidth="1"/>
    <col min="3" max="3" width="49.7619047619048" style="1" customWidth="1"/>
    <col min="4" max="4" width="11.4285714285714" style="1" customWidth="1"/>
    <col min="5" max="8" width="10.1428571428571" style="1"/>
    <col min="9" max="9" width="11.4285714285714" style="1" customWidth="1"/>
    <col min="10" max="10" width="10.1428571428571" style="1"/>
    <col min="11" max="11" width="17.5714285714286" style="1" customWidth="1"/>
    <col min="12" max="12" width="10.1428571428571" style="1"/>
    <col min="13" max="13" width="10.8571428571429" style="1" customWidth="1"/>
    <col min="14" max="15" width="10.1428571428571" style="1"/>
    <col min="16" max="16" width="12.5714285714286" style="1" customWidth="1"/>
    <col min="17" max="17" width="10.1428571428571" style="1"/>
    <col min="18" max="18" width="19.8571428571429" style="1" customWidth="1"/>
    <col min="19" max="23" width="10.1428571428571" style="1"/>
    <col min="24" max="24" width="10.2857142857143" style="1" customWidth="1"/>
    <col min="25" max="25" width="19.8571428571429" style="1" customWidth="1"/>
    <col min="26" max="26" width="9.28571428571429" style="1" customWidth="1"/>
    <col min="27" max="27" width="9.71428571428571" style="1" customWidth="1"/>
    <col min="28" max="28" width="9.28571428571429" style="1" customWidth="1"/>
    <col min="29" max="29" width="10.4285714285714" style="1" customWidth="1"/>
    <col min="30" max="30" width="11.4285714285714" style="1" customWidth="1"/>
    <col min="31" max="31" width="9.28571428571429" style="1" customWidth="1"/>
    <col min="32" max="16384" width="9.14285714285714" style="1"/>
  </cols>
  <sheetData>
    <row r="2" ht="16.5" spans="2:24"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38"/>
      <c r="R2" s="238"/>
      <c r="S2" s="238"/>
      <c r="T2" s="239" t="s">
        <v>974</v>
      </c>
      <c r="U2" s="238"/>
      <c r="V2" s="238"/>
      <c r="W2" s="238"/>
      <c r="X2" s="238"/>
    </row>
    <row r="3" ht="10" customHeight="1"/>
    <row r="4" ht="10" customHeight="1" spans="11:18">
      <c r="K4" s="238"/>
      <c r="L4" s="238"/>
      <c r="M4" s="238"/>
      <c r="N4" s="239"/>
      <c r="O4" s="238"/>
      <c r="P4" s="238"/>
      <c r="Q4" s="238"/>
      <c r="R4" s="238"/>
    </row>
    <row r="5" ht="15" spans="2:31">
      <c r="B5" s="224" t="s">
        <v>159</v>
      </c>
      <c r="C5" s="224"/>
      <c r="D5" s="39" t="s">
        <v>654</v>
      </c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ht="15" spans="2:31">
      <c r="B6" s="224"/>
      <c r="C6" s="224"/>
      <c r="D6" s="224" t="s">
        <v>963</v>
      </c>
      <c r="E6" s="224"/>
      <c r="F6" s="224"/>
      <c r="G6" s="224"/>
      <c r="H6" s="224"/>
      <c r="I6" s="224"/>
      <c r="J6" s="224"/>
      <c r="K6" s="224" t="s">
        <v>975</v>
      </c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24"/>
      <c r="AE6" s="224"/>
    </row>
    <row r="7" ht="30" spans="2:31">
      <c r="B7" s="224"/>
      <c r="C7" s="224"/>
      <c r="D7" s="224" t="s">
        <v>879</v>
      </c>
      <c r="E7" s="224" t="s">
        <v>957</v>
      </c>
      <c r="F7" s="224"/>
      <c r="G7" s="224" t="s">
        <v>953</v>
      </c>
      <c r="H7" s="224"/>
      <c r="I7" s="224" t="s">
        <v>976</v>
      </c>
      <c r="J7" s="224"/>
      <c r="K7" s="240" t="s">
        <v>977</v>
      </c>
      <c r="L7" s="224" t="s">
        <v>957</v>
      </c>
      <c r="M7" s="224"/>
      <c r="N7" s="224" t="s">
        <v>953</v>
      </c>
      <c r="O7" s="224"/>
      <c r="P7" s="224" t="s">
        <v>976</v>
      </c>
      <c r="Q7" s="224"/>
      <c r="R7" s="240" t="s">
        <v>978</v>
      </c>
      <c r="S7" s="224" t="s">
        <v>957</v>
      </c>
      <c r="T7" s="224"/>
      <c r="U7" s="224" t="s">
        <v>953</v>
      </c>
      <c r="V7" s="224"/>
      <c r="W7" s="224" t="s">
        <v>976</v>
      </c>
      <c r="X7" s="224"/>
      <c r="Y7" s="240" t="s">
        <v>979</v>
      </c>
      <c r="Z7" s="224" t="s">
        <v>957</v>
      </c>
      <c r="AA7" s="224"/>
      <c r="AB7" s="224" t="s">
        <v>953</v>
      </c>
      <c r="AC7" s="224"/>
      <c r="AD7" s="224" t="s">
        <v>976</v>
      </c>
      <c r="AE7" s="224"/>
    </row>
    <row r="8" ht="15" spans="2:31">
      <c r="B8" s="224"/>
      <c r="C8" s="224"/>
      <c r="D8" s="224" t="s">
        <v>304</v>
      </c>
      <c r="E8" s="224" t="s">
        <v>306</v>
      </c>
      <c r="F8" s="224" t="s">
        <v>304</v>
      </c>
      <c r="G8" s="224" t="s">
        <v>306</v>
      </c>
      <c r="H8" s="224" t="s">
        <v>304</v>
      </c>
      <c r="I8" s="224" t="s">
        <v>304</v>
      </c>
      <c r="J8" s="224" t="s">
        <v>306</v>
      </c>
      <c r="K8" s="224" t="s">
        <v>552</v>
      </c>
      <c r="L8" s="224" t="s">
        <v>306</v>
      </c>
      <c r="M8" s="224" t="s">
        <v>552</v>
      </c>
      <c r="N8" s="224" t="s">
        <v>306</v>
      </c>
      <c r="O8" s="224" t="s">
        <v>552</v>
      </c>
      <c r="P8" s="224" t="s">
        <v>552</v>
      </c>
      <c r="Q8" s="224" t="s">
        <v>306</v>
      </c>
      <c r="R8" s="224" t="s">
        <v>552</v>
      </c>
      <c r="S8" s="224" t="s">
        <v>306</v>
      </c>
      <c r="T8" s="224" t="s">
        <v>552</v>
      </c>
      <c r="U8" s="224" t="s">
        <v>306</v>
      </c>
      <c r="V8" s="224" t="s">
        <v>552</v>
      </c>
      <c r="W8" s="224" t="s">
        <v>552</v>
      </c>
      <c r="X8" s="224" t="s">
        <v>306</v>
      </c>
      <c r="Y8" s="224" t="s">
        <v>552</v>
      </c>
      <c r="Z8" s="224" t="s">
        <v>306</v>
      </c>
      <c r="AA8" s="224" t="s">
        <v>552</v>
      </c>
      <c r="AB8" s="224" t="s">
        <v>306</v>
      </c>
      <c r="AC8" s="224" t="s">
        <v>552</v>
      </c>
      <c r="AD8" s="224" t="s">
        <v>552</v>
      </c>
      <c r="AE8" s="224" t="s">
        <v>306</v>
      </c>
    </row>
    <row r="9" ht="15" spans="2:31">
      <c r="B9" s="44" t="s">
        <v>890</v>
      </c>
      <c r="C9" s="45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</row>
    <row r="10" ht="20" customHeight="1" spans="2:31">
      <c r="B10" s="47" t="s">
        <v>171</v>
      </c>
      <c r="C10" s="47" t="s">
        <v>172</v>
      </c>
      <c r="D10" s="225">
        <f>'[64]SPDCL_Cost Alloc_Factors'!$H11</f>
        <v>12611.1428672529</v>
      </c>
      <c r="E10" s="234">
        <f>'[64]SPDCL_Cost Alloc_Factors'!$J11/'[64]SPDCL_Cost Alloc_Factors'!$J$66</f>
        <v>0.311354659499021</v>
      </c>
      <c r="F10" s="225">
        <f>'[64]SPDCL_Cost Alloc_Factors'!$J11</f>
        <v>267.899152641276</v>
      </c>
      <c r="G10" s="234">
        <f>'[64]SPDCL_Cost Alloc_Factors'!$I11/'[64]SPDCL_Cost Alloc_Factors'!$I$66</f>
        <v>0.288980370834976</v>
      </c>
      <c r="H10" s="225">
        <f>'[64]SPDCL_Cost Alloc_Factors'!$I11</f>
        <v>1361.88768613932</v>
      </c>
      <c r="I10" s="227">
        <f>D10+F10+H10</f>
        <v>14240.9297060335</v>
      </c>
      <c r="J10" s="234">
        <f>I10/SUM($D$53,$F$53,$H$53)</f>
        <v>0.20637436785094</v>
      </c>
      <c r="K10" s="225">
        <f>'[64]SPDCL_Cost Alloc_Factors'!$R11</f>
        <v>1970.53654901095</v>
      </c>
      <c r="L10" s="234">
        <f>[64]SPDCL_Inp_Losses!$S9</f>
        <v>0.289057597241036</v>
      </c>
      <c r="M10" s="225">
        <f>'[64]SPDCL_Cost Alloc_Factors'!$T11</f>
        <v>41.8602086492493</v>
      </c>
      <c r="N10" s="234">
        <f>[64]SPDCL_Inp_Losses!$R9</f>
        <v>0.27219180614411</v>
      </c>
      <c r="O10" s="225">
        <f>'[64]SPDCL_Cost Alloc_Factors'!$S11</f>
        <v>432.665295961865</v>
      </c>
      <c r="P10" s="227">
        <f>K10+M10+O10</f>
        <v>2445.06205362206</v>
      </c>
      <c r="Q10" s="234">
        <f>P10/$P$53</f>
        <v>0.199383320591586</v>
      </c>
      <c r="R10" s="225">
        <f>'[64]SPDCL_Cost Alloc_Factors'!$AB11</f>
        <v>1481.84348485624</v>
      </c>
      <c r="S10" s="234">
        <f>T10/$T$53</f>
        <v>0.281901882446742</v>
      </c>
      <c r="T10" s="225">
        <f>'[64]SPDCL_Cost Alloc_Factors'!$AD11</f>
        <v>31.4788769042355</v>
      </c>
      <c r="U10" s="234">
        <f>V10/$V$53</f>
        <v>0.266308552933731</v>
      </c>
      <c r="V10" s="225">
        <f>'[64]SPDCL_Cost Alloc_Factors'!$AC11</f>
        <v>243.694758611014</v>
      </c>
      <c r="W10" s="227">
        <f>R10+T10+V10</f>
        <v>1757.01712037149</v>
      </c>
      <c r="X10" s="234">
        <f>W10/$W$53</f>
        <v>0.195140584833929</v>
      </c>
      <c r="Y10" s="225">
        <f>'[64]SPDCL_Cost Alloc_Factors'!$AJ11</f>
        <v>1970.53654901095</v>
      </c>
      <c r="Z10" s="234">
        <f>AA10/$AA$53</f>
        <v>0.28905843996459</v>
      </c>
      <c r="AA10" s="225">
        <f>'[64]SPDCL_Cost Alloc_Factors'!$AL11</f>
        <v>41.8602086492493</v>
      </c>
      <c r="AB10" s="234">
        <f>AC10/$AC$53</f>
        <v>0.272191822842518</v>
      </c>
      <c r="AC10" s="225">
        <f>'[64]SPDCL_Cost Alloc_Factors'!$AK11</f>
        <v>432.665295961865</v>
      </c>
      <c r="AD10" s="227">
        <f>Y10+AA10+AC10</f>
        <v>2445.06205362206</v>
      </c>
      <c r="AE10" s="234">
        <f>AD10/$AD$53</f>
        <v>0.199383909965868</v>
      </c>
    </row>
    <row r="11" ht="20" customHeight="1" spans="2:31">
      <c r="B11" s="55" t="s">
        <v>891</v>
      </c>
      <c r="C11" s="55" t="s">
        <v>174</v>
      </c>
      <c r="D11" s="225">
        <f>'[64]SPDCL_Cost Alloc_Factors'!$H12</f>
        <v>4403.06073642308</v>
      </c>
      <c r="E11" s="234">
        <f>'[64]SPDCL_Cost Alloc_Factors'!$J12/'[64]SPDCL_Cost Alloc_Factors'!$J$66</f>
        <v>0.108706521746125</v>
      </c>
      <c r="F11" s="225">
        <f>'[64]SPDCL_Cost Alloc_Factors'!$J12</f>
        <v>93.5344443189838</v>
      </c>
      <c r="G11" s="234">
        <f>'[64]SPDCL_Cost Alloc_Factors'!$I12/'[64]SPDCL_Cost Alloc_Factors'!$I$66</f>
        <v>0.101770874628226</v>
      </c>
      <c r="H11" s="225">
        <f>'[64]SPDCL_Cost Alloc_Factors'!$I12</f>
        <v>479.619084726548</v>
      </c>
      <c r="I11" s="227">
        <f t="shared" ref="I11:I52" si="0">D11+F11+H11</f>
        <v>4976.21426546861</v>
      </c>
      <c r="J11" s="234">
        <f t="shared" ref="J11:J52" si="1">I11/SUM($D$53,$F$53,$H$53)</f>
        <v>0.0721134851815059</v>
      </c>
      <c r="K11" s="225">
        <f>'[64]SPDCL_Cost Alloc_Factors'!$R12</f>
        <v>739.820298597714</v>
      </c>
      <c r="L11" s="234">
        <f>[64]SPDCL_Inp_Losses!$S10</f>
        <v>0.108524085995835</v>
      </c>
      <c r="M11" s="225">
        <f>'[64]SPDCL_Cost Alloc_Factors'!$T12</f>
        <v>15.71604042452</v>
      </c>
      <c r="N11" s="234">
        <f>[64]SPDCL_Inp_Losses!$R10</f>
        <v>0.102191975783681</v>
      </c>
      <c r="O11" s="225">
        <f>'[64]SPDCL_Cost Alloc_Factors'!$S12</f>
        <v>162.440310286067</v>
      </c>
      <c r="P11" s="227">
        <f t="shared" ref="P11:P19" si="2">K11+M11+O11</f>
        <v>917.976649308301</v>
      </c>
      <c r="Q11" s="234">
        <f t="shared" ref="Q11:Q52" si="3">P11/$P$53</f>
        <v>0.0748566819780672</v>
      </c>
      <c r="R11" s="225">
        <f>'[64]SPDCL_Cost Alloc_Factors'!$AB12</f>
        <v>559.930717059337</v>
      </c>
      <c r="S11" s="234">
        <f t="shared" ref="S11:S19" si="4">T11/$T$53</f>
        <v>0.10651969981438</v>
      </c>
      <c r="T11" s="225">
        <f>'[64]SPDCL_Cost Alloc_Factors'!$AD12</f>
        <v>11.8946368475083</v>
      </c>
      <c r="U11" s="234">
        <f t="shared" ref="U11:U19" si="5">V11/$V$53</f>
        <v>0.10062759024627</v>
      </c>
      <c r="V11" s="225">
        <f>'[64]SPDCL_Cost Alloc_Factors'!$AC12</f>
        <v>92.0827215067891</v>
      </c>
      <c r="W11" s="227">
        <f t="shared" ref="W11:W52" si="6">R11+T11+V11</f>
        <v>663.908075413634</v>
      </c>
      <c r="X11" s="234">
        <f t="shared" ref="X11:X19" si="7">W11/$W$53</f>
        <v>0.0737359975665988</v>
      </c>
      <c r="Y11" s="225">
        <f>'[64]SPDCL_Cost Alloc_Factors'!$AJ12</f>
        <v>739.820298597714</v>
      </c>
      <c r="Z11" s="234">
        <f t="shared" ref="Z11:Z19" si="8">AA11/$AA$53</f>
        <v>0.108524402388846</v>
      </c>
      <c r="AA11" s="225">
        <f>'[64]SPDCL_Cost Alloc_Factors'!$AL12</f>
        <v>15.71604042452</v>
      </c>
      <c r="AB11" s="234">
        <f t="shared" ref="AB11:AB19" si="9">AC11/$AC$53</f>
        <v>0.102191982052949</v>
      </c>
      <c r="AC11" s="225">
        <f>'[64]SPDCL_Cost Alloc_Factors'!$AK12</f>
        <v>162.440310286067</v>
      </c>
      <c r="AD11" s="227">
        <f t="shared" ref="AD11:AD19" si="10">Y11+AA11+AC11</f>
        <v>917.976649308301</v>
      </c>
      <c r="AE11" s="234">
        <f t="shared" ref="AE11:AE52" si="11">AD11/$AD$53</f>
        <v>0.0748569032533629</v>
      </c>
    </row>
    <row r="12" ht="20" customHeight="1" spans="2:31">
      <c r="B12" s="55" t="s">
        <v>892</v>
      </c>
      <c r="C12" s="55" t="s">
        <v>893</v>
      </c>
      <c r="D12" s="225">
        <f>'[64]SPDCL_Cost Alloc_Factors'!$H13</f>
        <v>1048.4454732488</v>
      </c>
      <c r="E12" s="234">
        <f>'[64]SPDCL_Cost Alloc_Factors'!$J13/'[64]SPDCL_Cost Alloc_Factors'!$J$66</f>
        <v>0.0258849167567775</v>
      </c>
      <c r="F12" s="225">
        <f>'[64]SPDCL_Cost Alloc_Factors'!$J13</f>
        <v>22.2721807873007</v>
      </c>
      <c r="G12" s="234">
        <f>'[64]SPDCL_Cost Alloc_Factors'!$I13/'[64]SPDCL_Cost Alloc_Factors'!$I$66</f>
        <v>0.0243798473340915</v>
      </c>
      <c r="H12" s="225">
        <f>'[64]SPDCL_Cost Alloc_Factors'!$I13</f>
        <v>114.895741113213</v>
      </c>
      <c r="I12" s="227">
        <f t="shared" si="0"/>
        <v>1185.61339514931</v>
      </c>
      <c r="J12" s="234">
        <f t="shared" si="1"/>
        <v>0.0171814776134933</v>
      </c>
      <c r="K12" s="225">
        <f>'[64]SPDCL_Cost Alloc_Factors'!$R13</f>
        <v>182.798325418051</v>
      </c>
      <c r="L12" s="234">
        <f>[64]SPDCL_Inp_Losses!$S11</f>
        <v>0.026814648402004</v>
      </c>
      <c r="M12" s="225">
        <f>'[64]SPDCL_Cost Alloc_Factors'!$T13</f>
        <v>3.8831941719496</v>
      </c>
      <c r="N12" s="234">
        <f>[64]SPDCL_Inp_Losses!$R11</f>
        <v>0.02525008043146</v>
      </c>
      <c r="O12" s="225">
        <f>'[64]SPDCL_Cost Alloc_Factors'!$S13</f>
        <v>40.1365260685123</v>
      </c>
      <c r="P12" s="227">
        <f t="shared" si="2"/>
        <v>226.818045658513</v>
      </c>
      <c r="Q12" s="234">
        <f t="shared" si="3"/>
        <v>0.018495945755853</v>
      </c>
      <c r="R12" s="225">
        <f>'[64]SPDCL_Cost Alloc_Factors'!$AB13</f>
        <v>143.807868167595</v>
      </c>
      <c r="S12" s="234">
        <f t="shared" si="4"/>
        <v>0.0273576185078891</v>
      </c>
      <c r="T12" s="225">
        <f>'[64]SPDCL_Cost Alloc_Factors'!$AD13</f>
        <v>3.05491789529137</v>
      </c>
      <c r="U12" s="234">
        <f t="shared" si="5"/>
        <v>0.0258443389356416</v>
      </c>
      <c r="V12" s="225">
        <f>'[64]SPDCL_Cost Alloc_Factors'!$AC13</f>
        <v>23.6497471410528</v>
      </c>
      <c r="W12" s="227">
        <f t="shared" si="6"/>
        <v>170.512533203939</v>
      </c>
      <c r="X12" s="234">
        <f t="shared" si="7"/>
        <v>0.0189377297837008</v>
      </c>
      <c r="Y12" s="225">
        <f>'[64]SPDCL_Cost Alloc_Factors'!$AJ13</f>
        <v>182.798325418051</v>
      </c>
      <c r="Z12" s="234">
        <f t="shared" si="8"/>
        <v>0.026814726577897</v>
      </c>
      <c r="AA12" s="225">
        <f>'[64]SPDCL_Cost Alloc_Factors'!$AL13</f>
        <v>3.8831941719496</v>
      </c>
      <c r="AB12" s="234">
        <f t="shared" si="9"/>
        <v>0.0252500819805005</v>
      </c>
      <c r="AC12" s="225">
        <f>'[64]SPDCL_Cost Alloc_Factors'!$AK13</f>
        <v>40.1365260685123</v>
      </c>
      <c r="AD12" s="227">
        <f t="shared" si="10"/>
        <v>226.818045658513</v>
      </c>
      <c r="AE12" s="234">
        <f t="shared" si="11"/>
        <v>0.0184960004296077</v>
      </c>
    </row>
    <row r="13" ht="20" customHeight="1" spans="2:31">
      <c r="B13" s="55" t="s">
        <v>894</v>
      </c>
      <c r="C13" s="55" t="s">
        <v>895</v>
      </c>
      <c r="D13" s="225">
        <f>'[64]SPDCL_Cost Alloc_Factors'!$H14</f>
        <v>9.62967180970268</v>
      </c>
      <c r="E13" s="234">
        <f>'[64]SPDCL_Cost Alloc_Factors'!$J14/'[64]SPDCL_Cost Alloc_Factors'!$J$66</f>
        <v>0.000237745557159833</v>
      </c>
      <c r="F13" s="225">
        <f>'[64]SPDCL_Cost Alloc_Factors'!$J14</f>
        <v>0.204563610545702</v>
      </c>
      <c r="G13" s="234">
        <f>'[64]SPDCL_Cost Alloc_Factors'!$I14/'[64]SPDCL_Cost Alloc_Factors'!$I$66</f>
        <v>0.000223463310445174</v>
      </c>
      <c r="H13" s="225">
        <f>'[64]SPDCL_Cost Alloc_Factors'!$I14</f>
        <v>1.05312319283098</v>
      </c>
      <c r="I13" s="227">
        <f t="shared" si="0"/>
        <v>10.8873586130794</v>
      </c>
      <c r="J13" s="234">
        <f t="shared" si="1"/>
        <v>0.000157775636683945</v>
      </c>
      <c r="K13" s="225">
        <f>'[64]SPDCL_Cost Alloc_Factors'!$R14</f>
        <v>1.70892794135654</v>
      </c>
      <c r="L13" s="234">
        <f>[64]SPDCL_Inp_Losses!$S12</f>
        <v>0.000250682284900794</v>
      </c>
      <c r="M13" s="225">
        <f>'[64]SPDCL_Cost Alloc_Factors'!$T14</f>
        <v>0.0363028436227797</v>
      </c>
      <c r="N13" s="234">
        <f>[64]SPDCL_Inp_Losses!$R12</f>
        <v>0.000236055597731207</v>
      </c>
      <c r="O13" s="225">
        <f>'[64]SPDCL_Cost Alloc_Factors'!$S14</f>
        <v>0.375224612756175</v>
      </c>
      <c r="P13" s="227">
        <f t="shared" si="2"/>
        <v>2.12045539773549</v>
      </c>
      <c r="Q13" s="234">
        <f t="shared" si="3"/>
        <v>0.000172913173201699</v>
      </c>
      <c r="R13" s="225">
        <f>'[64]SPDCL_Cost Alloc_Factors'!$AB14</f>
        <v>1.272592342892</v>
      </c>
      <c r="S13" s="234">
        <f t="shared" si="4"/>
        <v>0.000242094513162009</v>
      </c>
      <c r="T13" s="225">
        <f>'[64]SPDCL_Cost Alloc_Factors'!$AD14</f>
        <v>0.0270337441980632</v>
      </c>
      <c r="U13" s="234">
        <f t="shared" si="5"/>
        <v>0.000228703117956479</v>
      </c>
      <c r="V13" s="225">
        <f>'[64]SPDCL_Cost Alloc_Factors'!$AC14</f>
        <v>0.209282617888203</v>
      </c>
      <c r="W13" s="227">
        <f t="shared" si="6"/>
        <v>1.50890870497827</v>
      </c>
      <c r="X13" s="234">
        <f t="shared" si="7"/>
        <v>0.000167584779759123</v>
      </c>
      <c r="Y13" s="225">
        <f>'[64]SPDCL_Cost Alloc_Factors'!$AJ14</f>
        <v>1.70892794135654</v>
      </c>
      <c r="Z13" s="234">
        <f t="shared" si="8"/>
        <v>0.000250683015744293</v>
      </c>
      <c r="AA13" s="225">
        <f>'[64]SPDCL_Cost Alloc_Factors'!$AL14</f>
        <v>0.0363028436227797</v>
      </c>
      <c r="AB13" s="234">
        <f t="shared" si="9"/>
        <v>0.000236055612212733</v>
      </c>
      <c r="AC13" s="225">
        <f>'[64]SPDCL_Cost Alloc_Factors'!$AK14</f>
        <v>0.375224612756175</v>
      </c>
      <c r="AD13" s="227">
        <f t="shared" si="10"/>
        <v>2.12045539773549</v>
      </c>
      <c r="AE13" s="234">
        <f t="shared" si="11"/>
        <v>0.0001729136843306</v>
      </c>
    </row>
    <row r="14" ht="20" customHeight="1" spans="2:31">
      <c r="B14" s="55" t="s">
        <v>896</v>
      </c>
      <c r="C14" s="55" t="s">
        <v>202</v>
      </c>
      <c r="D14" s="225">
        <f>'[64]SPDCL_Cost Alloc_Factors'!$H15</f>
        <v>17123.9873054058</v>
      </c>
      <c r="E14" s="234">
        <f>'[64]SPDCL_Cost Alloc_Factors'!$J15/'[64]SPDCL_Cost Alloc_Factors'!$J$66</f>
        <v>0.422771614980648</v>
      </c>
      <c r="F14" s="225">
        <f>'[64]SPDCL_Cost Alloc_Factors'!$J15</f>
        <v>363.765737748516</v>
      </c>
      <c r="G14" s="234">
        <f>'[64]SPDCL_Cost Alloc_Factors'!$I15/'[64]SPDCL_Cost Alloc_Factors'!$I$66</f>
        <v>0.400800511060087</v>
      </c>
      <c r="H14" s="225">
        <f>'[64]SPDCL_Cost Alloc_Factors'!$I15</f>
        <v>1888.86628885526</v>
      </c>
      <c r="I14" s="227">
        <f t="shared" si="0"/>
        <v>19376.6193320096</v>
      </c>
      <c r="J14" s="234">
        <f t="shared" si="1"/>
        <v>0.280798911888286</v>
      </c>
      <c r="K14" s="225">
        <f>'[64]SPDCL_Cost Alloc_Factors'!$R15</f>
        <v>3034.74255274552</v>
      </c>
      <c r="L14" s="234">
        <f>[64]SPDCL_Inp_Losses!$S13</f>
        <v>0.445165754972694</v>
      </c>
      <c r="M14" s="225">
        <f>'[64]SPDCL_Cost Alloc_Factors'!$T15</f>
        <v>64.4671911913757</v>
      </c>
      <c r="N14" s="234">
        <f>[64]SPDCL_Inp_Losses!$R13</f>
        <v>0.419191441553718</v>
      </c>
      <c r="O14" s="225">
        <f>'[64]SPDCL_Cost Alloc_Factors'!$S15</f>
        <v>666.330084266001</v>
      </c>
      <c r="P14" s="227">
        <f t="shared" si="2"/>
        <v>3765.5398282029</v>
      </c>
      <c r="Q14" s="234">
        <f t="shared" si="3"/>
        <v>0.307062077894818</v>
      </c>
      <c r="R14" s="225">
        <f>'[64]SPDCL_Cost Alloc_Factors'!$AB15</f>
        <v>2397.20267409652</v>
      </c>
      <c r="S14" s="234">
        <f t="shared" si="4"/>
        <v>0.456037330082626</v>
      </c>
      <c r="T14" s="225">
        <f>'[64]SPDCL_Cost Alloc_Factors'!$AD15</f>
        <v>50.9238989566496</v>
      </c>
      <c r="U14" s="234">
        <f t="shared" si="5"/>
        <v>0.430811743447689</v>
      </c>
      <c r="V14" s="225">
        <f>'[64]SPDCL_Cost Alloc_Factors'!$AC15</f>
        <v>394.229034966067</v>
      </c>
      <c r="W14" s="227">
        <f t="shared" si="6"/>
        <v>2842.35560801924</v>
      </c>
      <c r="X14" s="234">
        <f t="shared" si="7"/>
        <v>0.315682146305779</v>
      </c>
      <c r="Y14" s="225">
        <f>'[64]SPDCL_Cost Alloc_Factors'!$AJ15</f>
        <v>3034.74255274552</v>
      </c>
      <c r="Z14" s="234">
        <f t="shared" si="8"/>
        <v>0.44516705281669</v>
      </c>
      <c r="AA14" s="225">
        <f>'[64]SPDCL_Cost Alloc_Factors'!$AL15</f>
        <v>64.4671911913757</v>
      </c>
      <c r="AB14" s="234">
        <f t="shared" si="9"/>
        <v>0.419191467270251</v>
      </c>
      <c r="AC14" s="225">
        <f>'[64]SPDCL_Cost Alloc_Factors'!$AK15</f>
        <v>666.330084266001</v>
      </c>
      <c r="AD14" s="227">
        <f t="shared" si="10"/>
        <v>3765.5398282029</v>
      </c>
      <c r="AE14" s="234">
        <f t="shared" si="11"/>
        <v>0.307062985565988</v>
      </c>
    </row>
    <row r="15" ht="20" customHeight="1" spans="2:31">
      <c r="B15" s="55" t="s">
        <v>897</v>
      </c>
      <c r="C15" s="55" t="s">
        <v>898</v>
      </c>
      <c r="D15" s="225">
        <f>'[64]SPDCL_Cost Alloc_Factors'!$H16</f>
        <v>522.927332122974</v>
      </c>
      <c r="E15" s="234">
        <f>'[64]SPDCL_Cost Alloc_Factors'!$J16/'[64]SPDCL_Cost Alloc_Factors'!$J$66</f>
        <v>0.0129104763263496</v>
      </c>
      <c r="F15" s="225">
        <f>'[64]SPDCL_Cost Alloc_Factors'!$J16</f>
        <v>11.1085720496024</v>
      </c>
      <c r="G15" s="234">
        <f>'[64]SPDCL_Cost Alloc_Factors'!$I16/'[64]SPDCL_Cost Alloc_Factors'!$I$66</f>
        <v>0.0121557940965784</v>
      </c>
      <c r="H15" s="225">
        <f>'[64]SPDCL_Cost Alloc_Factors'!$I16</f>
        <v>57.2870269615265</v>
      </c>
      <c r="I15" s="227">
        <f t="shared" si="0"/>
        <v>591.322931134103</v>
      </c>
      <c r="J15" s="234">
        <f t="shared" si="1"/>
        <v>0.00856923660376351</v>
      </c>
      <c r="K15" s="225">
        <f>'[64]SPDCL_Cost Alloc_Factors'!$R16</f>
        <v>92.4519143021499</v>
      </c>
      <c r="L15" s="234">
        <f>[64]SPDCL_Inp_Losses!$S14</f>
        <v>0.0135617521136194</v>
      </c>
      <c r="M15" s="225">
        <f>'[64]SPDCL_Cost Alloc_Factors'!$T16</f>
        <v>1.96396074188675</v>
      </c>
      <c r="N15" s="234">
        <f>[64]SPDCL_Inp_Losses!$R14</f>
        <v>0.0127704576441443</v>
      </c>
      <c r="O15" s="225">
        <f>'[64]SPDCL_Cost Alloc_Factors'!$S16</f>
        <v>20.2994128090939</v>
      </c>
      <c r="P15" s="227">
        <f t="shared" si="2"/>
        <v>114.715287853131</v>
      </c>
      <c r="Q15" s="234">
        <f t="shared" si="3"/>
        <v>0.00935449265219842</v>
      </c>
      <c r="R15" s="225">
        <f>'[64]SPDCL_Cost Alloc_Factors'!$AB16</f>
        <v>65.0633555992372</v>
      </c>
      <c r="S15" s="234">
        <f t="shared" si="4"/>
        <v>0.012377476170168</v>
      </c>
      <c r="T15" s="225">
        <f>'[64]SPDCL_Cost Alloc_Factors'!$AD16</f>
        <v>1.3821441891912</v>
      </c>
      <c r="U15" s="234">
        <f t="shared" si="5"/>
        <v>0.0116928192860574</v>
      </c>
      <c r="V15" s="225">
        <f>'[64]SPDCL_Cost Alloc_Factors'!$AC16</f>
        <v>10.6999145990893</v>
      </c>
      <c r="W15" s="227">
        <f t="shared" si="6"/>
        <v>77.1454143875177</v>
      </c>
      <c r="X15" s="234">
        <f t="shared" si="7"/>
        <v>0.00856804473120503</v>
      </c>
      <c r="Y15" s="225">
        <f>'[64]SPDCL_Cost Alloc_Factors'!$AJ16</f>
        <v>92.4519143021499</v>
      </c>
      <c r="Z15" s="234">
        <f t="shared" si="8"/>
        <v>0.0135617916517878</v>
      </c>
      <c r="AA15" s="225">
        <f>'[64]SPDCL_Cost Alloc_Factors'!$AL16</f>
        <v>1.96396074188675</v>
      </c>
      <c r="AB15" s="234">
        <f t="shared" si="9"/>
        <v>0.0127704584275856</v>
      </c>
      <c r="AC15" s="225">
        <f>'[64]SPDCL_Cost Alloc_Factors'!$AK16</f>
        <v>20.2994128090939</v>
      </c>
      <c r="AD15" s="227">
        <f t="shared" si="10"/>
        <v>114.715287853131</v>
      </c>
      <c r="AE15" s="234">
        <f t="shared" si="11"/>
        <v>0.00935452030394671</v>
      </c>
    </row>
    <row r="16" ht="20" customHeight="1" spans="2:31">
      <c r="B16" s="55" t="s">
        <v>899</v>
      </c>
      <c r="C16" s="55" t="s">
        <v>900</v>
      </c>
      <c r="D16" s="225">
        <f>'[64]SPDCL_Cost Alloc_Factors'!$H17</f>
        <v>265.877537128035</v>
      </c>
      <c r="E16" s="234">
        <f>'[64]SPDCL_Cost Alloc_Factors'!$J17/'[64]SPDCL_Cost Alloc_Factors'!$J$66</f>
        <v>0.0065642115795783</v>
      </c>
      <c r="F16" s="225">
        <f>'[64]SPDCL_Cost Alloc_Factors'!$J17</f>
        <v>5.64805011351567</v>
      </c>
      <c r="G16" s="234">
        <f>'[64]SPDCL_Cost Alloc_Factors'!$I17/'[64]SPDCL_Cost Alloc_Factors'!$I$66</f>
        <v>0.00613139396132128</v>
      </c>
      <c r="H16" s="225">
        <f>'[64]SPDCL_Cost Alloc_Factors'!$I17</f>
        <v>28.8956302141397</v>
      </c>
      <c r="I16" s="227">
        <f t="shared" si="0"/>
        <v>300.42121745569</v>
      </c>
      <c r="J16" s="234">
        <f t="shared" si="1"/>
        <v>0.00435359489311716</v>
      </c>
      <c r="K16" s="225">
        <f>'[64]SPDCL_Cost Alloc_Factors'!$R17</f>
        <v>43.1452178528731</v>
      </c>
      <c r="L16" s="234">
        <f>[64]SPDCL_Inp_Losses!$S15</f>
        <v>0.00632896304879612</v>
      </c>
      <c r="M16" s="225">
        <f>'[64]SPDCL_Cost Alloc_Factors'!$T17</f>
        <v>0.916536068536805</v>
      </c>
      <c r="N16" s="234">
        <f>[64]SPDCL_Inp_Losses!$R15</f>
        <v>0.005959683812893</v>
      </c>
      <c r="O16" s="225">
        <f>'[64]SPDCL_Cost Alloc_Factors'!$S17</f>
        <v>9.47327694125844</v>
      </c>
      <c r="P16" s="227">
        <f t="shared" si="2"/>
        <v>53.5350308626683</v>
      </c>
      <c r="Q16" s="234">
        <f t="shared" si="3"/>
        <v>0.00436553019403316</v>
      </c>
      <c r="R16" s="225">
        <f>'[64]SPDCL_Cost Alloc_Factors'!$AB17</f>
        <v>31.6019070492247</v>
      </c>
      <c r="S16" s="234">
        <f t="shared" si="4"/>
        <v>0.00601186102117099</v>
      </c>
      <c r="T16" s="225">
        <f>'[64]SPDCL_Cost Alloc_Factors'!$AD17</f>
        <v>0.671320927012846</v>
      </c>
      <c r="U16" s="234">
        <f t="shared" si="5"/>
        <v>0.00567931648803096</v>
      </c>
      <c r="V16" s="225">
        <f>'[64]SPDCL_Cost Alloc_Factors'!$AC17</f>
        <v>5.19705298751955</v>
      </c>
      <c r="W16" s="227">
        <f t="shared" si="6"/>
        <v>37.4702809637571</v>
      </c>
      <c r="X16" s="234">
        <f t="shared" si="7"/>
        <v>0.00416158297855014</v>
      </c>
      <c r="Y16" s="225">
        <f>'[64]SPDCL_Cost Alloc_Factors'!$AJ17</f>
        <v>43.1452178528731</v>
      </c>
      <c r="Z16" s="234">
        <f t="shared" si="8"/>
        <v>0.00632898150036523</v>
      </c>
      <c r="AA16" s="225">
        <f>'[64]SPDCL_Cost Alloc_Factors'!$AL17</f>
        <v>0.916536068536805</v>
      </c>
      <c r="AB16" s="234">
        <f t="shared" si="9"/>
        <v>0.00595968417850736</v>
      </c>
      <c r="AC16" s="225">
        <f>'[64]SPDCL_Cost Alloc_Factors'!$AK17</f>
        <v>9.47327694125844</v>
      </c>
      <c r="AD16" s="227">
        <f t="shared" si="10"/>
        <v>53.5350308626683</v>
      </c>
      <c r="AE16" s="234">
        <f t="shared" si="11"/>
        <v>0.00436554309847882</v>
      </c>
    </row>
    <row r="17" ht="20" customHeight="1" spans="2:31">
      <c r="B17" s="55" t="s">
        <v>901</v>
      </c>
      <c r="C17" s="55" t="s">
        <v>902</v>
      </c>
      <c r="D17" s="225">
        <f>'[64]SPDCL_Cost Alloc_Factors'!$H18</f>
        <v>46.8702400877059</v>
      </c>
      <c r="E17" s="234">
        <f>'[64]SPDCL_Cost Alloc_Factors'!$J18/'[64]SPDCL_Cost Alloc_Factors'!$J$66</f>
        <v>0.00115717249394098</v>
      </c>
      <c r="F17" s="225">
        <f>'[64]SPDCL_Cost Alloc_Factors'!$J18</f>
        <v>0.995666906303534</v>
      </c>
      <c r="G17" s="234">
        <f>'[64]SPDCL_Cost Alloc_Factors'!$I18/'[64]SPDCL_Cost Alloc_Factors'!$I$66</f>
        <v>0.00106084417679162</v>
      </c>
      <c r="H17" s="225">
        <f>'[64]SPDCL_Cost Alloc_Factors'!$I18</f>
        <v>4.99947666725829</v>
      </c>
      <c r="I17" s="227">
        <f t="shared" si="0"/>
        <v>52.8653836612677</v>
      </c>
      <c r="J17" s="234">
        <f t="shared" si="1"/>
        <v>0.000766105890521265</v>
      </c>
      <c r="K17" s="225">
        <f>'[64]SPDCL_Cost Alloc_Factors'!$R18</f>
        <v>5.35048402827693</v>
      </c>
      <c r="L17" s="234">
        <f>[64]SPDCL_Inp_Losses!$S16</f>
        <v>0.000784861391211716</v>
      </c>
      <c r="M17" s="225">
        <f>'[64]SPDCL_Cost Alloc_Factors'!$T18</f>
        <v>0.113660605742413</v>
      </c>
      <c r="N17" s="234">
        <f>[64]SPDCL_Inp_Losses!$R16</f>
        <v>0.000739066683200006</v>
      </c>
      <c r="O17" s="225">
        <f>'[64]SPDCL_Cost Alloc_Factors'!$S18</f>
        <v>1.17479107748374</v>
      </c>
      <c r="P17" s="227">
        <f t="shared" si="2"/>
        <v>6.63893571150308</v>
      </c>
      <c r="Q17" s="234">
        <f t="shared" si="3"/>
        <v>0.000541374009462318</v>
      </c>
      <c r="R17" s="225">
        <f>'[64]SPDCL_Cost Alloc_Factors'!$AB18</f>
        <v>5.35048402827693</v>
      </c>
      <c r="S17" s="234">
        <f t="shared" si="4"/>
        <v>0.00101786155892087</v>
      </c>
      <c r="T17" s="225">
        <f>'[64]SPDCL_Cost Alloc_Factors'!$AD18</f>
        <v>0.113660605742413</v>
      </c>
      <c r="U17" s="234">
        <f t="shared" si="5"/>
        <v>0.000961558810783383</v>
      </c>
      <c r="V17" s="225">
        <f>'[64]SPDCL_Cost Alloc_Factors'!$AC18</f>
        <v>0.879907309407597</v>
      </c>
      <c r="W17" s="227">
        <f t="shared" si="6"/>
        <v>6.34405194342694</v>
      </c>
      <c r="X17" s="234">
        <f t="shared" si="7"/>
        <v>0.000704593024224719</v>
      </c>
      <c r="Y17" s="225">
        <f>'[64]SPDCL_Cost Alloc_Factors'!$AJ18</f>
        <v>5.35048402827693</v>
      </c>
      <c r="Z17" s="234">
        <f t="shared" si="8"/>
        <v>0.00078486367941029</v>
      </c>
      <c r="AA17" s="225">
        <f>'[64]SPDCL_Cost Alloc_Factors'!$AL18</f>
        <v>0.113660605742413</v>
      </c>
      <c r="AB17" s="234">
        <f t="shared" si="9"/>
        <v>0.000739066728540228</v>
      </c>
      <c r="AC17" s="225">
        <f>'[64]SPDCL_Cost Alloc_Factors'!$AK18</f>
        <v>1.17479107748374</v>
      </c>
      <c r="AD17" s="227">
        <f t="shared" si="10"/>
        <v>6.63893571150308</v>
      </c>
      <c r="AE17" s="234">
        <f t="shared" si="11"/>
        <v>0.000541375609756252</v>
      </c>
    </row>
    <row r="18" ht="20" customHeight="1" spans="2:31">
      <c r="B18" s="55" t="s">
        <v>903</v>
      </c>
      <c r="C18" s="55" t="s">
        <v>904</v>
      </c>
      <c r="D18" s="225">
        <f>'[64]SPDCL_Cost Alloc_Factors'!$H19</f>
        <v>0</v>
      </c>
      <c r="E18" s="225">
        <f>'[64]SPDCL_Cost Alloc_Factors'!$J19/'[64]SPDCL_Cost Alloc_Factors'!$J$66</f>
        <v>0</v>
      </c>
      <c r="F18" s="225">
        <f>'[64]SPDCL_Cost Alloc_Factors'!$J19</f>
        <v>0</v>
      </c>
      <c r="G18" s="225">
        <f>'[64]SPDCL_Cost Alloc_Factors'!$I19/'[64]SPDCL_Cost Alloc_Factors'!$I$66</f>
        <v>0</v>
      </c>
      <c r="H18" s="225">
        <f>'[64]SPDCL_Cost Alloc_Factors'!$I19</f>
        <v>0</v>
      </c>
      <c r="I18" s="227">
        <f t="shared" si="0"/>
        <v>0</v>
      </c>
      <c r="J18" s="225">
        <f t="shared" si="1"/>
        <v>0</v>
      </c>
      <c r="K18" s="225">
        <f>'[64]SPDCL_Cost Alloc_Factors'!$R19</f>
        <v>0</v>
      </c>
      <c r="L18" s="225">
        <f>[64]SPDCL_Inp_Losses!$S17</f>
        <v>0</v>
      </c>
      <c r="M18" s="225">
        <f>'[64]SPDCL_Cost Alloc_Factors'!$T19</f>
        <v>0</v>
      </c>
      <c r="N18" s="225">
        <f>[64]SPDCL_Inp_Losses!$R17</f>
        <v>0</v>
      </c>
      <c r="O18" s="225">
        <f>'[64]SPDCL_Cost Alloc_Factors'!$S19</f>
        <v>0</v>
      </c>
      <c r="P18" s="227">
        <f t="shared" si="2"/>
        <v>0</v>
      </c>
      <c r="Q18" s="234">
        <f t="shared" si="3"/>
        <v>0</v>
      </c>
      <c r="R18" s="225">
        <f>'[64]SPDCL_Cost Alloc_Factors'!$AB19</f>
        <v>0</v>
      </c>
      <c r="S18" s="225">
        <f t="shared" si="4"/>
        <v>0</v>
      </c>
      <c r="T18" s="225">
        <f>'[64]SPDCL_Cost Alloc_Factors'!$AD19</f>
        <v>0</v>
      </c>
      <c r="U18" s="225">
        <f t="shared" si="5"/>
        <v>0</v>
      </c>
      <c r="V18" s="225">
        <f>'[64]SPDCL_Cost Alloc_Factors'!$AC19</f>
        <v>0</v>
      </c>
      <c r="W18" s="227">
        <f t="shared" si="6"/>
        <v>0</v>
      </c>
      <c r="X18" s="225">
        <f t="shared" si="7"/>
        <v>0</v>
      </c>
      <c r="Y18" s="225">
        <f>'[64]SPDCL_Cost Alloc_Factors'!$AJ19</f>
        <v>0</v>
      </c>
      <c r="Z18" s="234">
        <f t="shared" si="8"/>
        <v>0</v>
      </c>
      <c r="AA18" s="225">
        <f>'[64]SPDCL_Cost Alloc_Factors'!$AL19</f>
        <v>0</v>
      </c>
      <c r="AB18" s="225">
        <f t="shared" si="9"/>
        <v>0</v>
      </c>
      <c r="AC18" s="225">
        <f>'[64]SPDCL_Cost Alloc_Factors'!$AK19</f>
        <v>0</v>
      </c>
      <c r="AD18" s="227">
        <f t="shared" si="10"/>
        <v>0</v>
      </c>
      <c r="AE18" s="234">
        <f t="shared" si="11"/>
        <v>0</v>
      </c>
    </row>
    <row r="19" ht="20" customHeight="1" spans="2:31">
      <c r="B19" s="55" t="s">
        <v>905</v>
      </c>
      <c r="C19" s="67" t="s">
        <v>906</v>
      </c>
      <c r="D19" s="225">
        <f>'[64]SPDCL_Cost Alloc_Factors'!$H20</f>
        <v>0</v>
      </c>
      <c r="E19" s="225">
        <f>'[64]SPDCL_Cost Alloc_Factors'!$J20/'[64]SPDCL_Cost Alloc_Factors'!$J$66</f>
        <v>0</v>
      </c>
      <c r="F19" s="225">
        <f>'[64]SPDCL_Cost Alloc_Factors'!$J20</f>
        <v>0</v>
      </c>
      <c r="G19" s="225">
        <f>'[64]SPDCL_Cost Alloc_Factors'!$I20/'[64]SPDCL_Cost Alloc_Factors'!$I$66</f>
        <v>0</v>
      </c>
      <c r="H19" s="225">
        <f>'[64]SPDCL_Cost Alloc_Factors'!$I20</f>
        <v>0</v>
      </c>
      <c r="I19" s="227">
        <f t="shared" si="0"/>
        <v>0</v>
      </c>
      <c r="J19" s="225">
        <f t="shared" si="1"/>
        <v>0</v>
      </c>
      <c r="K19" s="225">
        <f>'[64]SPDCL_Cost Alloc_Factors'!$R20</f>
        <v>0</v>
      </c>
      <c r="L19" s="225">
        <f>[64]SPDCL_Inp_Losses!$S18</f>
        <v>0</v>
      </c>
      <c r="M19" s="225">
        <f>'[64]SPDCL_Cost Alloc_Factors'!$T20</f>
        <v>0</v>
      </c>
      <c r="N19" s="225">
        <f>[64]SPDCL_Inp_Losses!$R18</f>
        <v>0</v>
      </c>
      <c r="O19" s="225">
        <f>'[64]SPDCL_Cost Alloc_Factors'!$S20</f>
        <v>0</v>
      </c>
      <c r="P19" s="227">
        <f t="shared" si="2"/>
        <v>0</v>
      </c>
      <c r="Q19" s="234">
        <f t="shared" si="3"/>
        <v>0</v>
      </c>
      <c r="R19" s="225">
        <f>'[64]SPDCL_Cost Alloc_Factors'!$AB20</f>
        <v>0</v>
      </c>
      <c r="S19" s="225">
        <f t="shared" si="4"/>
        <v>0</v>
      </c>
      <c r="T19" s="225">
        <f>'[64]SPDCL_Cost Alloc_Factors'!$AD20</f>
        <v>0</v>
      </c>
      <c r="U19" s="225">
        <f t="shared" si="5"/>
        <v>0</v>
      </c>
      <c r="V19" s="225">
        <f>'[64]SPDCL_Cost Alloc_Factors'!$AC20</f>
        <v>0</v>
      </c>
      <c r="W19" s="227">
        <f t="shared" si="6"/>
        <v>0</v>
      </c>
      <c r="X19" s="225">
        <f t="shared" si="7"/>
        <v>0</v>
      </c>
      <c r="Y19" s="225">
        <f>'[64]SPDCL_Cost Alloc_Factors'!$AJ20</f>
        <v>0</v>
      </c>
      <c r="Z19" s="225">
        <f t="shared" si="8"/>
        <v>0</v>
      </c>
      <c r="AA19" s="225">
        <f>'[64]SPDCL_Cost Alloc_Factors'!$AL20</f>
        <v>0</v>
      </c>
      <c r="AB19" s="225">
        <f t="shared" si="9"/>
        <v>0</v>
      </c>
      <c r="AC19" s="225">
        <f>'[64]SPDCL_Cost Alloc_Factors'!$AK20</f>
        <v>0</v>
      </c>
      <c r="AD19" s="227">
        <f t="shared" si="10"/>
        <v>0</v>
      </c>
      <c r="AE19" s="225">
        <f t="shared" si="11"/>
        <v>0</v>
      </c>
    </row>
    <row r="20" ht="20" customHeight="1" spans="2:31">
      <c r="B20" s="44" t="s">
        <v>907</v>
      </c>
      <c r="C20" s="45"/>
      <c r="D20" s="8"/>
      <c r="E20" s="8"/>
      <c r="F20" s="8"/>
      <c r="G20" s="8"/>
      <c r="H20" s="8"/>
      <c r="I20" s="227"/>
      <c r="J20" s="234"/>
      <c r="K20" s="8"/>
      <c r="L20" s="8"/>
      <c r="M20" s="8"/>
      <c r="N20" s="8"/>
      <c r="O20" s="8"/>
      <c r="P20" s="8"/>
      <c r="Q20" s="234"/>
      <c r="R20" s="8"/>
      <c r="S20" s="8"/>
      <c r="T20" s="8"/>
      <c r="U20" s="8"/>
      <c r="V20" s="8"/>
      <c r="W20" s="227"/>
      <c r="X20" s="8"/>
      <c r="Y20" s="8"/>
      <c r="Z20" s="8"/>
      <c r="AA20" s="8"/>
      <c r="AB20" s="8"/>
      <c r="AC20" s="8"/>
      <c r="AD20" s="8"/>
      <c r="AE20" s="225"/>
    </row>
    <row r="21" ht="20" customHeight="1" spans="2:31">
      <c r="B21" s="55"/>
      <c r="C21" s="54" t="s">
        <v>908</v>
      </c>
      <c r="D21" s="8"/>
      <c r="E21" s="8"/>
      <c r="F21" s="8"/>
      <c r="G21" s="8"/>
      <c r="H21" s="8"/>
      <c r="I21" s="227"/>
      <c r="J21" s="234"/>
      <c r="K21" s="8"/>
      <c r="L21" s="8"/>
      <c r="M21" s="8"/>
      <c r="N21" s="8"/>
      <c r="O21" s="8"/>
      <c r="P21" s="8"/>
      <c r="Q21" s="234"/>
      <c r="R21" s="8"/>
      <c r="S21" s="8"/>
      <c r="T21" s="8"/>
      <c r="U21" s="8"/>
      <c r="V21" s="8"/>
      <c r="W21" s="227"/>
      <c r="X21" s="8"/>
      <c r="Y21" s="8"/>
      <c r="Z21" s="8"/>
      <c r="AA21" s="8"/>
      <c r="AB21" s="8"/>
      <c r="AC21" s="8"/>
      <c r="AD21" s="8"/>
      <c r="AE21" s="225"/>
    </row>
    <row r="22" ht="20" customHeight="1" spans="2:31">
      <c r="B22" s="55" t="s">
        <v>909</v>
      </c>
      <c r="C22" s="72" t="s">
        <v>910</v>
      </c>
      <c r="D22" s="225">
        <f>'[64]SPDCL_Cost Alloc_Factors'!$H25</f>
        <v>4623.62972118259</v>
      </c>
      <c r="E22" s="234">
        <f>'[64]SPDCL_Cost Alloc_Factors'!$J25/'[64]SPDCL_Cost Alloc_Factors'!$J$66</f>
        <v>0.0634969743020406</v>
      </c>
      <c r="F22" s="225">
        <f>'[64]SPDCL_Cost Alloc_Factors'!$J25</f>
        <v>54.6347552279205</v>
      </c>
      <c r="G22" s="234">
        <f>'[64]SPDCL_Cost Alloc_Factors'!$I25/'[64]SPDCL_Cost Alloc_Factors'!$I$66</f>
        <v>0.0646533496901501</v>
      </c>
      <c r="H22" s="225">
        <f>'[64]SPDCL_Cost Alloc_Factors'!$I25</f>
        <v>304.694054327159</v>
      </c>
      <c r="I22" s="227">
        <f t="shared" si="0"/>
        <v>4982.95853073767</v>
      </c>
      <c r="J22" s="234">
        <f t="shared" si="1"/>
        <v>0.0722112206180435</v>
      </c>
      <c r="K22" s="225">
        <f>'[64]SPDCL_Cost Alloc_Factors'!$R25</f>
        <v>794.860188350682</v>
      </c>
      <c r="L22" s="234">
        <f>[64]SPDCL_Inp_Losses!$S23</f>
        <v>0.0648574246641575</v>
      </c>
      <c r="M22" s="225">
        <f>'[64]SPDCL_Cost Alloc_Factors'!$T25</f>
        <v>9.39240260352227</v>
      </c>
      <c r="N22" s="234">
        <f>[64]SPDCL_Inp_Losses!$R23</f>
        <v>0.0657761939118439</v>
      </c>
      <c r="O22" s="225">
        <f>'[64]SPDCL_Cost Alloc_Factors'!$S25</f>
        <v>104.555228202003</v>
      </c>
      <c r="P22" s="227">
        <f t="shared" ref="P22:P52" si="12">K22+M22+O22</f>
        <v>908.807819156207</v>
      </c>
      <c r="Q22" s="234">
        <f t="shared" si="3"/>
        <v>0.0741090069655019</v>
      </c>
      <c r="R22" s="225">
        <f>'[64]SPDCL_Cost Alloc_Factors'!$AB25</f>
        <v>631.133165150278</v>
      </c>
      <c r="S22" s="234">
        <f t="shared" ref="S22:S52" si="13">T22/$T$53</f>
        <v>0.0667860416426691</v>
      </c>
      <c r="T22" s="225">
        <f>'[64]SPDCL_Cost Alloc_Factors'!$AD25</f>
        <v>7.45773517205196</v>
      </c>
      <c r="U22" s="234">
        <f t="shared" ref="U22:U52" si="14">V22/$V$53</f>
        <v>0.0679136837722724</v>
      </c>
      <c r="V22" s="225">
        <f>'[64]SPDCL_Cost Alloc_Factors'!$AC25</f>
        <v>62.1467414055869</v>
      </c>
      <c r="W22" s="227">
        <f t="shared" si="6"/>
        <v>700.737641727917</v>
      </c>
      <c r="X22" s="234">
        <f t="shared" ref="X22:X52" si="15">W22/$W$53</f>
        <v>0.0778264204921475</v>
      </c>
      <c r="Y22" s="225">
        <f>'[64]SPDCL_Cost Alloc_Factors'!$AJ25</f>
        <v>794.860188350682</v>
      </c>
      <c r="Z22" s="234">
        <f t="shared" ref="Z22:Z52" si="16">AA22/$AA$53</f>
        <v>0.0648576137506231</v>
      </c>
      <c r="AA22" s="225">
        <f>'[64]SPDCL_Cost Alloc_Factors'!$AL25</f>
        <v>9.39240260352227</v>
      </c>
      <c r="AB22" s="234">
        <f t="shared" ref="AB22:AB52" si="17">AC22/$AC$53</f>
        <v>0.0657761979470779</v>
      </c>
      <c r="AC22" s="225">
        <f>'[64]SPDCL_Cost Alloc_Factors'!$AK25</f>
        <v>104.555228202003</v>
      </c>
      <c r="AD22" s="227">
        <f t="shared" ref="AD22:AD52" si="18">Y22+AA22+AC22</f>
        <v>908.807819156207</v>
      </c>
      <c r="AE22" s="234">
        <f t="shared" si="11"/>
        <v>0.0741092260306809</v>
      </c>
    </row>
    <row r="23" ht="20" customHeight="1" spans="2:31">
      <c r="B23" s="55" t="s">
        <v>911</v>
      </c>
      <c r="C23" s="72" t="s">
        <v>912</v>
      </c>
      <c r="D23" s="225">
        <f>'[64]SPDCL_Cost Alloc_Factors'!$H26</f>
        <v>0.5403905124</v>
      </c>
      <c r="E23" s="234">
        <f>'[64]SPDCL_Cost Alloc_Factors'!$J26/'[64]SPDCL_Cost Alloc_Factors'!$J$66</f>
        <v>7.4212609028201e-6</v>
      </c>
      <c r="F23" s="225">
        <f>'[64]SPDCL_Cost Alloc_Factors'!$J26</f>
        <v>0.00638548178657203</v>
      </c>
      <c r="G23" s="234">
        <f>'[64]SPDCL_Cost Alloc_Factors'!$I26/'[64]SPDCL_Cost Alloc_Factors'!$I$66</f>
        <v>7.7150295664381e-6</v>
      </c>
      <c r="H23" s="225">
        <f>'[64]SPDCL_Cost Alloc_Factors'!$I26</f>
        <v>0.0363588839420962</v>
      </c>
      <c r="I23" s="227">
        <f t="shared" si="0"/>
        <v>0.583134878128668</v>
      </c>
      <c r="J23" s="234">
        <f t="shared" si="1"/>
        <v>8.45057832106651e-6</v>
      </c>
      <c r="K23" s="225">
        <f>'[64]SPDCL_Cost Alloc_Factors'!$R26</f>
        <v>0.132761252281612</v>
      </c>
      <c r="L23" s="234">
        <f>[64]SPDCL_Inp_Losses!$S24</f>
        <v>1.08327892683121e-5</v>
      </c>
      <c r="M23" s="225">
        <f>'[64]SPDCL_Cost Alloc_Factors'!$T26</f>
        <v>0.00156876284641212</v>
      </c>
      <c r="N23" s="234">
        <f>[64]SPDCL_Inp_Losses!$R24</f>
        <v>8.09088577393386e-6</v>
      </c>
      <c r="O23" s="225">
        <f>'[64]SPDCL_Cost Alloc_Factors'!$S26</f>
        <v>0.0128609510240706</v>
      </c>
      <c r="P23" s="227">
        <f t="shared" si="12"/>
        <v>0.147190966152095</v>
      </c>
      <c r="Q23" s="234">
        <f t="shared" si="3"/>
        <v>1.20027316071646e-5</v>
      </c>
      <c r="R23" s="225">
        <f>'[64]SPDCL_Cost Alloc_Factors'!$AB26</f>
        <v>0.0970314573571511</v>
      </c>
      <c r="S23" s="234">
        <f t="shared" si="13"/>
        <v>1.02677965753242e-5</v>
      </c>
      <c r="T23" s="225">
        <f>'[64]SPDCL_Cost Alloc_Factors'!$AD26</f>
        <v>0.00114656454815773</v>
      </c>
      <c r="U23" s="234">
        <f t="shared" si="14"/>
        <v>1.04411621426157e-5</v>
      </c>
      <c r="V23" s="225">
        <f>'[64]SPDCL_Cost Alloc_Factors'!$AC26</f>
        <v>0.00955454287867485</v>
      </c>
      <c r="W23" s="227">
        <f t="shared" si="6"/>
        <v>0.107732564783984</v>
      </c>
      <c r="X23" s="234">
        <f t="shared" si="15"/>
        <v>1.19651626918472e-5</v>
      </c>
      <c r="Y23" s="225">
        <f>'[64]SPDCL_Cost Alloc_Factors'!$AJ26</f>
        <v>0.0970314573571511</v>
      </c>
      <c r="Z23" s="234">
        <f t="shared" si="16"/>
        <v>7.91740343165065e-6</v>
      </c>
      <c r="AA23" s="225">
        <f>'[64]SPDCL_Cost Alloc_Factors'!$AL26</f>
        <v>0.00114656454815773</v>
      </c>
      <c r="AB23" s="234">
        <f t="shared" si="17"/>
        <v>8.02953832605542e-6</v>
      </c>
      <c r="AC23" s="225">
        <f>'[64]SPDCL_Cost Alloc_Factors'!$AK26</f>
        <v>0.0127634347718444</v>
      </c>
      <c r="AD23" s="227">
        <f t="shared" si="18"/>
        <v>0.110941456677153</v>
      </c>
      <c r="AE23" s="234">
        <f t="shared" si="11"/>
        <v>9.04678119593398e-6</v>
      </c>
    </row>
    <row r="24" ht="20" customHeight="1" spans="2:31">
      <c r="B24" s="55" t="s">
        <v>913</v>
      </c>
      <c r="C24" s="72" t="s">
        <v>440</v>
      </c>
      <c r="D24" s="225">
        <f>'[64]SPDCL_Cost Alloc_Factors'!$H27</f>
        <v>2574.01348848237</v>
      </c>
      <c r="E24" s="234">
        <f>'[64]SPDCL_Cost Alloc_Factors'!$J27/'[64]SPDCL_Cost Alloc_Factors'!$J$66</f>
        <v>0.0353492987516887</v>
      </c>
      <c r="F24" s="225">
        <f>'[64]SPDCL_Cost Alloc_Factors'!$J27</f>
        <v>30.4156269807502</v>
      </c>
      <c r="G24" s="234">
        <f>'[64]SPDCL_Cost Alloc_Factors'!$I27/'[64]SPDCL_Cost Alloc_Factors'!$I$66</f>
        <v>0.0354951523002483</v>
      </c>
      <c r="H24" s="225">
        <f>'[64]SPDCL_Cost Alloc_Factors'!$I27</f>
        <v>167.279219331312</v>
      </c>
      <c r="I24" s="227">
        <f t="shared" si="0"/>
        <v>2771.70833479443</v>
      </c>
      <c r="J24" s="234">
        <f t="shared" si="1"/>
        <v>0.0401665879453107</v>
      </c>
      <c r="K24" s="225">
        <f>'[64]SPDCL_Cost Alloc_Factors'!$R27</f>
        <v>404.645492309239</v>
      </c>
      <c r="L24" s="234">
        <f>[64]SPDCL_Inp_Losses!$S25</f>
        <v>0.0330174600738196</v>
      </c>
      <c r="M24" s="225">
        <f>'[64]SPDCL_Cost Alloc_Factors'!$T27</f>
        <v>4.78146148362896</v>
      </c>
      <c r="N24" s="234">
        <f>[64]SPDCL_Inp_Losses!$R25</f>
        <v>0.0334851848888215</v>
      </c>
      <c r="O24" s="225">
        <f>'[64]SPDCL_Cost Alloc_Factors'!$S27</f>
        <v>53.2267213899495</v>
      </c>
      <c r="P24" s="227">
        <f t="shared" si="12"/>
        <v>462.653675182817</v>
      </c>
      <c r="Q24" s="234">
        <f t="shared" si="3"/>
        <v>0.0377272331003627</v>
      </c>
      <c r="R24" s="225">
        <f>'[64]SPDCL_Cost Alloc_Factors'!$AB27</f>
        <v>300.742907406316</v>
      </c>
      <c r="S24" s="234">
        <f t="shared" si="13"/>
        <v>0.0318243905515457</v>
      </c>
      <c r="T24" s="225">
        <f>'[64]SPDCL_Cost Alloc_Factors'!$AD27</f>
        <v>3.55370479980276</v>
      </c>
      <c r="U24" s="234">
        <f t="shared" si="14"/>
        <v>0.0323617262380486</v>
      </c>
      <c r="V24" s="225">
        <f>'[64]SPDCL_Cost Alloc_Factors'!$AC27</f>
        <v>29.6137055191743</v>
      </c>
      <c r="W24" s="227">
        <f t="shared" si="6"/>
        <v>333.910317725293</v>
      </c>
      <c r="X24" s="234">
        <f t="shared" si="15"/>
        <v>0.0370852702159327</v>
      </c>
      <c r="Y24" s="225">
        <f>'[64]SPDCL_Cost Alloc_Factors'!$AJ27</f>
        <v>404.645492309239</v>
      </c>
      <c r="Z24" s="234">
        <f t="shared" si="16"/>
        <v>0.0330175563334978</v>
      </c>
      <c r="AA24" s="225">
        <f>'[64]SPDCL_Cost Alloc_Factors'!$AL27</f>
        <v>4.78146148362896</v>
      </c>
      <c r="AB24" s="234">
        <f t="shared" si="17"/>
        <v>0.0334851869430687</v>
      </c>
      <c r="AC24" s="225">
        <f>'[64]SPDCL_Cost Alloc_Factors'!$AK27</f>
        <v>53.2267213899495</v>
      </c>
      <c r="AD24" s="227">
        <f t="shared" si="18"/>
        <v>462.653675182817</v>
      </c>
      <c r="AE24" s="234">
        <f t="shared" si="11"/>
        <v>0.0377273446215314</v>
      </c>
    </row>
    <row r="25" ht="20" customHeight="1" spans="2:31">
      <c r="B25" s="55" t="s">
        <v>914</v>
      </c>
      <c r="C25" s="55" t="s">
        <v>915</v>
      </c>
      <c r="D25" s="225">
        <f>'[64]SPDCL_Cost Alloc_Factors'!$H28</f>
        <v>5.98000855702511</v>
      </c>
      <c r="E25" s="234">
        <f>'[64]SPDCL_Cost Alloc_Factors'!$J28/'[64]SPDCL_Cost Alloc_Factors'!$J$66</f>
        <v>8.21243206245085e-5</v>
      </c>
      <c r="F25" s="225">
        <f>'[64]SPDCL_Cost Alloc_Factors'!$J28</f>
        <v>0.0706622985567218</v>
      </c>
      <c r="G25" s="234">
        <f>'[64]SPDCL_Cost Alloc_Factors'!$I28/'[64]SPDCL_Cost Alloc_Factors'!$I$66</f>
        <v>8.52603585239507e-5</v>
      </c>
      <c r="H25" s="225">
        <f>'[64]SPDCL_Cost Alloc_Factors'!$I28</f>
        <v>0.401809410286556</v>
      </c>
      <c r="I25" s="227">
        <f t="shared" si="0"/>
        <v>6.45248026586839</v>
      </c>
      <c r="J25" s="234">
        <f t="shared" si="1"/>
        <v>9.35069945170138e-5</v>
      </c>
      <c r="K25" s="225">
        <f>'[64]SPDCL_Cost Alloc_Factors'!$R28</f>
        <v>1.2126452087696</v>
      </c>
      <c r="L25" s="234">
        <f>[64]SPDCL_Inp_Losses!$S26</f>
        <v>9.89470178841404e-5</v>
      </c>
      <c r="M25" s="225">
        <f>'[64]SPDCL_Cost Alloc_Factors'!$T28</f>
        <v>0.0143291262827362</v>
      </c>
      <c r="N25" s="234">
        <f>[64]SPDCL_Inp_Losses!$R26</f>
        <v>0.000100348699767949</v>
      </c>
      <c r="O25" s="225">
        <f>'[64]SPDCL_Cost Alloc_Factors'!$S28</f>
        <v>0.159510311862587</v>
      </c>
      <c r="P25" s="227">
        <f t="shared" si="12"/>
        <v>1.38648464691492</v>
      </c>
      <c r="Q25" s="234">
        <f t="shared" si="3"/>
        <v>0.00011306130756135</v>
      </c>
      <c r="R25" s="225">
        <f>'[64]SPDCL_Cost Alloc_Factors'!$AB28</f>
        <v>0.855288954953882</v>
      </c>
      <c r="S25" s="234">
        <f t="shared" si="13"/>
        <v>9.05060404304122e-5</v>
      </c>
      <c r="T25" s="225">
        <f>'[64]SPDCL_Cost Alloc_Factors'!$AD28</f>
        <v>0.0101064543488352</v>
      </c>
      <c r="U25" s="234">
        <f t="shared" si="14"/>
        <v>9.20341804678012e-5</v>
      </c>
      <c r="V25" s="225">
        <f>'[64]SPDCL_Cost Alloc_Factors'!$AC28</f>
        <v>0.0842190276879481</v>
      </c>
      <c r="W25" s="227">
        <f t="shared" si="6"/>
        <v>0.949614436990665</v>
      </c>
      <c r="X25" s="234">
        <f t="shared" si="15"/>
        <v>0.000105467564574397</v>
      </c>
      <c r="Y25" s="225">
        <f>'[64]SPDCL_Cost Alloc_Factors'!$AJ28</f>
        <v>1.2126452087696</v>
      </c>
      <c r="Z25" s="234">
        <f t="shared" si="16"/>
        <v>9.89473063559996e-5</v>
      </c>
      <c r="AA25" s="225">
        <f>'[64]SPDCL_Cost Alloc_Factors'!$AL28</f>
        <v>0.0143291262827362</v>
      </c>
      <c r="AB25" s="234">
        <f t="shared" si="17"/>
        <v>0.000100348705924135</v>
      </c>
      <c r="AC25" s="225">
        <f>'[64]SPDCL_Cost Alloc_Factors'!$AK28</f>
        <v>0.159510311862587</v>
      </c>
      <c r="AD25" s="227">
        <f t="shared" si="18"/>
        <v>1.38648464691492</v>
      </c>
      <c r="AE25" s="234">
        <f t="shared" si="11"/>
        <v>0.00011306164176898</v>
      </c>
    </row>
    <row r="26" ht="20" customHeight="1" spans="2:31">
      <c r="B26" s="55" t="s">
        <v>916</v>
      </c>
      <c r="C26" s="72" t="s">
        <v>917</v>
      </c>
      <c r="D26" s="225">
        <f>'[64]SPDCL_Cost Alloc_Factors'!$H29</f>
        <v>163.008602037619</v>
      </c>
      <c r="E26" s="234">
        <f>'[64]SPDCL_Cost Alloc_Factors'!$J29/'[64]SPDCL_Cost Alloc_Factors'!$J$66</f>
        <v>0.00223862065925705</v>
      </c>
      <c r="F26" s="225">
        <f>'[64]SPDCL_Cost Alloc_Factors'!$J29</f>
        <v>1.92617826457196</v>
      </c>
      <c r="G26" s="234">
        <f>'[64]SPDCL_Cost Alloc_Factors'!$I29/'[64]SPDCL_Cost Alloc_Factors'!$I$66</f>
        <v>0.00224983515771979</v>
      </c>
      <c r="H26" s="225">
        <f>'[64]SPDCL_Cost Alloc_Factors'!$I29</f>
        <v>10.6028751651496</v>
      </c>
      <c r="I26" s="227">
        <f t="shared" si="0"/>
        <v>175.537655467341</v>
      </c>
      <c r="J26" s="234">
        <f t="shared" si="1"/>
        <v>0.00254382778574915</v>
      </c>
      <c r="K26" s="225">
        <f>'[64]SPDCL_Cost Alloc_Factors'!$R29</f>
        <v>26.0230818350399</v>
      </c>
      <c r="L26" s="234">
        <f>[64]SPDCL_Inp_Losses!$S27</f>
        <v>0.00212337980236176</v>
      </c>
      <c r="M26" s="225">
        <f>'[64]SPDCL_Cost Alloc_Factors'!$T29</f>
        <v>0.307499690085455</v>
      </c>
      <c r="N26" s="234">
        <f>[64]SPDCL_Inp_Losses!$R27</f>
        <v>0.00215345956691718</v>
      </c>
      <c r="O26" s="225">
        <f>'[64]SPDCL_Cost Alloc_Factors'!$S29</f>
        <v>3.42305389005293</v>
      </c>
      <c r="P26" s="227">
        <f t="shared" si="12"/>
        <v>29.7536354151783</v>
      </c>
      <c r="Q26" s="234">
        <f t="shared" si="3"/>
        <v>0.00242626914926824</v>
      </c>
      <c r="R26" s="225">
        <f>'[64]SPDCL_Cost Alloc_Factors'!$AB29</f>
        <v>20.8184654680319</v>
      </c>
      <c r="S26" s="234">
        <f t="shared" si="13"/>
        <v>0.00220299451598837</v>
      </c>
      <c r="T26" s="225">
        <f>'[64]SPDCL_Cost Alloc_Factors'!$AD29</f>
        <v>0.245999752068364</v>
      </c>
      <c r="U26" s="234">
        <f t="shared" si="14"/>
        <v>0.00224019075290274</v>
      </c>
      <c r="V26" s="225">
        <f>'[64]SPDCL_Cost Alloc_Factors'!$AC29</f>
        <v>2.04996324285201</v>
      </c>
      <c r="W26" s="227">
        <f t="shared" si="6"/>
        <v>23.1144284629523</v>
      </c>
      <c r="X26" s="234">
        <f t="shared" si="15"/>
        <v>0.00256717082381578</v>
      </c>
      <c r="Y26" s="225">
        <f>'[64]SPDCL_Cost Alloc_Factors'!$AJ29</f>
        <v>26.0230818350399</v>
      </c>
      <c r="Z26" s="234">
        <f t="shared" si="16"/>
        <v>0.00212338599290022</v>
      </c>
      <c r="AA26" s="225">
        <f>'[64]SPDCL_Cost Alloc_Factors'!$AL29</f>
        <v>0.307499690085455</v>
      </c>
      <c r="AB26" s="234">
        <f t="shared" si="17"/>
        <v>0.0021534596990275</v>
      </c>
      <c r="AC26" s="225">
        <f>'[64]SPDCL_Cost Alloc_Factors'!$AK29</f>
        <v>3.42305389005293</v>
      </c>
      <c r="AD26" s="227">
        <f t="shared" si="18"/>
        <v>29.7536354151783</v>
      </c>
      <c r="AE26" s="234">
        <f t="shared" si="11"/>
        <v>0.00242627632128561</v>
      </c>
    </row>
    <row r="27" ht="20" customHeight="1" spans="2:31">
      <c r="B27" s="55" t="s">
        <v>918</v>
      </c>
      <c r="C27" s="72" t="s">
        <v>919</v>
      </c>
      <c r="D27" s="225">
        <f>'[64]SPDCL_Cost Alloc_Factors'!$H30</f>
        <v>329.15660398209</v>
      </c>
      <c r="E27" s="225">
        <f>'[64]SPDCL_Cost Alloc_Factors'!$J30/'[64]SPDCL_Cost Alloc_Factors'!$J$66</f>
        <v>0</v>
      </c>
      <c r="F27" s="225">
        <f>'[64]SPDCL_Cost Alloc_Factors'!$J30</f>
        <v>0</v>
      </c>
      <c r="G27" s="234">
        <f>'[64]SPDCL_Cost Alloc_Factors'!$I30/'[64]SPDCL_Cost Alloc_Factors'!$I$66</f>
        <v>0.00452219243401123</v>
      </c>
      <c r="H27" s="225">
        <f>'[64]SPDCL_Cost Alloc_Factors'!$I30</f>
        <v>21.3118910894791</v>
      </c>
      <c r="I27" s="227">
        <f t="shared" si="0"/>
        <v>350.468495071569</v>
      </c>
      <c r="J27" s="234">
        <f t="shared" si="1"/>
        <v>0.00507886181696564</v>
      </c>
      <c r="K27" s="225">
        <f>'[64]SPDCL_Cost Alloc_Factors'!$R30</f>
        <v>61.2621840850637</v>
      </c>
      <c r="L27" s="234">
        <f>[64]SPDCL_Inp_Losses!$S28</f>
        <v>0.00499875015416648</v>
      </c>
      <c r="M27" s="225">
        <f>'[64]SPDCL_Cost Alloc_Factors'!$T30</f>
        <v>0.723899757128299</v>
      </c>
      <c r="N27" s="234">
        <f>[64]SPDCL_Inp_Losses!$R28</f>
        <v>0.00506956236945713</v>
      </c>
      <c r="O27" s="225">
        <f>'[64]SPDCL_Cost Alloc_Factors'!$S30</f>
        <v>8.05837520993196</v>
      </c>
      <c r="P27" s="227">
        <f t="shared" si="12"/>
        <v>70.044459052124</v>
      </c>
      <c r="Q27" s="234">
        <f t="shared" si="3"/>
        <v>0.0057117964814698</v>
      </c>
      <c r="R27" s="225">
        <f>'[64]SPDCL_Cost Alloc_Factors'!$AB30</f>
        <v>33.434469204031</v>
      </c>
      <c r="S27" s="234">
        <f t="shared" si="13"/>
        <v>0.00353801063841933</v>
      </c>
      <c r="T27" s="225">
        <f>'[64]SPDCL_Cost Alloc_Factors'!$AD30</f>
        <v>0.39507576326213</v>
      </c>
      <c r="U27" s="234">
        <f t="shared" si="14"/>
        <v>0.00359774781931429</v>
      </c>
      <c r="V27" s="225">
        <f>'[64]SPDCL_Cost Alloc_Factors'!$AC30</f>
        <v>3.2922423133337</v>
      </c>
      <c r="W27" s="227">
        <f t="shared" si="6"/>
        <v>37.1217872806268</v>
      </c>
      <c r="X27" s="234">
        <f t="shared" si="15"/>
        <v>0.0041228780277853</v>
      </c>
      <c r="Y27" s="225">
        <f>'[64]SPDCL_Cost Alloc_Factors'!$AJ30</f>
        <v>61.2621840850637</v>
      </c>
      <c r="Z27" s="234">
        <f t="shared" si="16"/>
        <v>0.00499876472760975</v>
      </c>
      <c r="AA27" s="225">
        <f>'[64]SPDCL_Cost Alloc_Factors'!$AL30</f>
        <v>0.723899757128299</v>
      </c>
      <c r="AB27" s="234">
        <f t="shared" si="17"/>
        <v>0.00506956268046437</v>
      </c>
      <c r="AC27" s="225">
        <f>'[64]SPDCL_Cost Alloc_Factors'!$AK30</f>
        <v>8.05837520993196</v>
      </c>
      <c r="AD27" s="227">
        <f t="shared" si="18"/>
        <v>70.044459052124</v>
      </c>
      <c r="AE27" s="234">
        <f t="shared" si="11"/>
        <v>0.00571181336545961</v>
      </c>
    </row>
    <row r="28" ht="20" customHeight="1" spans="2:31">
      <c r="B28" s="55" t="s">
        <v>980</v>
      </c>
      <c r="C28" s="72" t="s">
        <v>973</v>
      </c>
      <c r="D28" s="225">
        <f>'[64]SPDCL_Cost Alloc_Factors'!$H31</f>
        <v>343.07887615383</v>
      </c>
      <c r="E28" s="225">
        <f>'[64]SPDCL_Cost Alloc_Factors'!$J31/'[64]SPDCL_Cost Alloc_Factors'!$J$66</f>
        <v>0</v>
      </c>
      <c r="F28" s="225">
        <f>'[64]SPDCL_Cost Alloc_Factors'!$J31</f>
        <v>0</v>
      </c>
      <c r="G28" s="234">
        <f>'[64]SPDCL_Cost Alloc_Factors'!$I31/'[64]SPDCL_Cost Alloc_Factors'!$I$66</f>
        <v>0.00470875498118048</v>
      </c>
      <c r="H28" s="225">
        <f>'[64]SPDCL_Cost Alloc_Factors'!$I31</f>
        <v>22.1911107920162</v>
      </c>
      <c r="I28" s="227">
        <f t="shared" si="0"/>
        <v>365.269986945846</v>
      </c>
      <c r="J28" s="234">
        <f t="shared" si="1"/>
        <v>0.00529335964764524</v>
      </c>
      <c r="K28" s="225">
        <f>'[64]SPDCL_Cost Alloc_Factors'!$R31</f>
        <v>53.9311056159176</v>
      </c>
      <c r="L28" s="234">
        <f>[64]SPDCL_Inp_Losses!$S29</f>
        <v>0.00440056335793723</v>
      </c>
      <c r="M28" s="225">
        <f>'[64]SPDCL_Cost Alloc_Factors'!$T31</f>
        <v>0.637272647720405</v>
      </c>
      <c r="N28" s="234">
        <f>[64]SPDCL_Inp_Losses!$R29</f>
        <v>0.00446290166857328</v>
      </c>
      <c r="O28" s="225">
        <f>'[64]SPDCL_Cost Alloc_Factors'!$S31</f>
        <v>7.09405142879147</v>
      </c>
      <c r="P28" s="227">
        <f t="shared" si="12"/>
        <v>61.6624296924295</v>
      </c>
      <c r="Q28" s="234">
        <f t="shared" si="3"/>
        <v>0.00502828137617572</v>
      </c>
      <c r="R28" s="225">
        <f>'[64]SPDCL_Cost Alloc_Factors'!$AB31</f>
        <v>38.522218297084</v>
      </c>
      <c r="S28" s="234">
        <f t="shared" si="13"/>
        <v>0.00407639245949695</v>
      </c>
      <c r="T28" s="225">
        <f>'[64]SPDCL_Cost Alloc_Factors'!$AD31</f>
        <v>0.455194748371718</v>
      </c>
      <c r="U28" s="234">
        <f t="shared" si="14"/>
        <v>0.00414521989350959</v>
      </c>
      <c r="V28" s="225">
        <f>'[64]SPDCL_Cost Alloc_Factors'!$AC31</f>
        <v>3.79322537789376</v>
      </c>
      <c r="W28" s="227">
        <f t="shared" si="6"/>
        <v>42.7706384233495</v>
      </c>
      <c r="X28" s="234">
        <f t="shared" si="15"/>
        <v>0.00475025957281978</v>
      </c>
      <c r="Y28" s="225">
        <f>'[64]SPDCL_Cost Alloc_Factors'!$AJ31</f>
        <v>53.9311056159176</v>
      </c>
      <c r="Z28" s="234">
        <f t="shared" si="16"/>
        <v>0.0044005761874163</v>
      </c>
      <c r="AA28" s="225">
        <f>'[64]SPDCL_Cost Alloc_Factors'!$AL31</f>
        <v>0.637272647720405</v>
      </c>
      <c r="AB28" s="234">
        <f t="shared" si="17"/>
        <v>0.00446290194236312</v>
      </c>
      <c r="AC28" s="225">
        <f>'[64]SPDCL_Cost Alloc_Factors'!$AK31</f>
        <v>7.09405142879147</v>
      </c>
      <c r="AD28" s="227">
        <f t="shared" si="18"/>
        <v>61.6624296924295</v>
      </c>
      <c r="AE28" s="234">
        <f t="shared" si="11"/>
        <v>0.00502829623970452</v>
      </c>
    </row>
    <row r="29" ht="20" customHeight="1" spans="2:31">
      <c r="B29" s="55" t="s">
        <v>922</v>
      </c>
      <c r="C29" s="72" t="s">
        <v>198</v>
      </c>
      <c r="D29" s="225">
        <f>'[64]SPDCL_Cost Alloc_Factors'!$H32</f>
        <v>0.461284863244088</v>
      </c>
      <c r="E29" s="225">
        <f>'[64]SPDCL_Cost Alloc_Factors'!$J32/'[64]SPDCL_Cost Alloc_Factors'!$J$66</f>
        <v>0</v>
      </c>
      <c r="F29" s="225">
        <f>'[64]SPDCL_Cost Alloc_Factors'!$J32</f>
        <v>0</v>
      </c>
      <c r="G29" s="225">
        <f>'[64]SPDCL_Cost Alloc_Factors'!$I32/'[64]SPDCL_Cost Alloc_Factors'!$I$66</f>
        <v>6.27769802389931e-6</v>
      </c>
      <c r="H29" s="225">
        <f>'[64]SPDCL_Cost Alloc_Factors'!$I32</f>
        <v>0.0295851223781973</v>
      </c>
      <c r="I29" s="227">
        <f t="shared" si="0"/>
        <v>0.490869985622285</v>
      </c>
      <c r="J29" s="234">
        <f t="shared" si="1"/>
        <v>7.11350909462601e-6</v>
      </c>
      <c r="K29" s="225">
        <f>'[64]SPDCL_Cost Alloc_Factors'!$R32</f>
        <v>0.0526580894114256</v>
      </c>
      <c r="L29" s="225">
        <f>[64]SPDCL_Inp_Losses!$S30</f>
        <v>4.29669030731884e-6</v>
      </c>
      <c r="M29" s="225">
        <f>'[64]SPDCL_Cost Alloc_Factors'!$T32</f>
        <v>0.000622230152337403</v>
      </c>
      <c r="N29" s="225">
        <f>[64]SPDCL_Inp_Losses!$R30</f>
        <v>4.3575571539696e-6</v>
      </c>
      <c r="O29" s="225">
        <f>'[64]SPDCL_Cost Alloc_Factors'!$S32</f>
        <v>0.00692659996787268</v>
      </c>
      <c r="P29" s="227">
        <f t="shared" si="12"/>
        <v>0.0602069195316357</v>
      </c>
      <c r="Q29" s="234">
        <f t="shared" si="3"/>
        <v>4.90959136232353e-6</v>
      </c>
      <c r="R29" s="225">
        <f>'[64]SPDCL_Cost Alloc_Factors'!$AB32</f>
        <v>0.0526580894114256</v>
      </c>
      <c r="S29" s="225">
        <f t="shared" si="13"/>
        <v>5.57223981632698e-6</v>
      </c>
      <c r="T29" s="225">
        <f>'[64]SPDCL_Cost Alloc_Factors'!$AD32</f>
        <v>0.000622230152337403</v>
      </c>
      <c r="U29" s="225">
        <f t="shared" si="14"/>
        <v>5.66632373294482e-6</v>
      </c>
      <c r="V29" s="225">
        <f>'[64]SPDCL_Cost Alloc_Factors'!$AC32</f>
        <v>0.00518516352216243</v>
      </c>
      <c r="W29" s="227">
        <f t="shared" si="6"/>
        <v>0.0584654830859254</v>
      </c>
      <c r="X29" s="225">
        <f t="shared" si="15"/>
        <v>6.49338497030321e-6</v>
      </c>
      <c r="Y29" s="225">
        <f>'[64]SPDCL_Cost Alloc_Factors'!$AJ32</f>
        <v>0.0526580894114256</v>
      </c>
      <c r="Z29" s="234">
        <f t="shared" si="16"/>
        <v>4.2967028339646e-6</v>
      </c>
      <c r="AA29" s="225">
        <f>'[64]SPDCL_Cost Alloc_Factors'!$AL32</f>
        <v>0.000622230152337403</v>
      </c>
      <c r="AB29" s="234">
        <f t="shared" si="17"/>
        <v>4.35755742129678e-6</v>
      </c>
      <c r="AC29" s="225">
        <f>'[64]SPDCL_Cost Alloc_Factors'!$AK32</f>
        <v>0.00692659996787268</v>
      </c>
      <c r="AD29" s="227">
        <f t="shared" si="18"/>
        <v>0.0602069195316357</v>
      </c>
      <c r="AE29" s="234">
        <f t="shared" si="11"/>
        <v>4.90960587500633e-6</v>
      </c>
    </row>
    <row r="30" ht="20" customHeight="1" spans="2:31">
      <c r="B30" s="55" t="s">
        <v>923</v>
      </c>
      <c r="C30" s="72" t="s">
        <v>906</v>
      </c>
      <c r="D30" s="225">
        <f>'[64]SPDCL_Cost Alloc_Factors'!$H33</f>
        <v>0</v>
      </c>
      <c r="E30" s="225">
        <f>'[64]SPDCL_Cost Alloc_Factors'!$J33/'[64]SPDCL_Cost Alloc_Factors'!$J$66</f>
        <v>0</v>
      </c>
      <c r="F30" s="225">
        <f>'[64]SPDCL_Cost Alloc_Factors'!$J33</f>
        <v>0</v>
      </c>
      <c r="G30" s="225">
        <f>'[64]SPDCL_Cost Alloc_Factors'!$I33/'[64]SPDCL_Cost Alloc_Factors'!$I$66</f>
        <v>0</v>
      </c>
      <c r="H30" s="225">
        <f>'[64]SPDCL_Cost Alloc_Factors'!$I33</f>
        <v>0</v>
      </c>
      <c r="I30" s="227">
        <f t="shared" si="0"/>
        <v>0</v>
      </c>
      <c r="J30" s="225">
        <f t="shared" si="1"/>
        <v>0</v>
      </c>
      <c r="K30" s="225">
        <f>'[64]SPDCL_Cost Alloc_Factors'!$R33</f>
        <v>0</v>
      </c>
      <c r="L30" s="225">
        <f>[64]SPDCL_Inp_Losses!$S31</f>
        <v>0</v>
      </c>
      <c r="M30" s="225">
        <f>'[64]SPDCL_Cost Alloc_Factors'!$T33</f>
        <v>0</v>
      </c>
      <c r="N30" s="234">
        <f>[64]SPDCL_Inp_Losses!$R31</f>
        <v>0</v>
      </c>
      <c r="O30" s="225">
        <f>'[64]SPDCL_Cost Alloc_Factors'!$S33</f>
        <v>0</v>
      </c>
      <c r="P30" s="227">
        <f t="shared" si="12"/>
        <v>0</v>
      </c>
      <c r="Q30" s="234">
        <f t="shared" si="3"/>
        <v>0</v>
      </c>
      <c r="R30" s="225">
        <f>'[64]SPDCL_Cost Alloc_Factors'!$AB33</f>
        <v>0</v>
      </c>
      <c r="S30" s="225">
        <f t="shared" si="13"/>
        <v>0</v>
      </c>
      <c r="T30" s="225">
        <f>'[64]SPDCL_Cost Alloc_Factors'!$AD33</f>
        <v>0</v>
      </c>
      <c r="U30" s="225">
        <f t="shared" si="14"/>
        <v>0</v>
      </c>
      <c r="V30" s="225">
        <f>'[64]SPDCL_Cost Alloc_Factors'!$AC33</f>
        <v>0</v>
      </c>
      <c r="W30" s="227">
        <f t="shared" si="6"/>
        <v>0</v>
      </c>
      <c r="X30" s="225">
        <f t="shared" si="15"/>
        <v>0</v>
      </c>
      <c r="Y30" s="225">
        <f>'[64]SPDCL_Cost Alloc_Factors'!$AJ33</f>
        <v>0</v>
      </c>
      <c r="Z30" s="225">
        <f t="shared" si="16"/>
        <v>0</v>
      </c>
      <c r="AA30" s="225">
        <f>'[64]SPDCL_Cost Alloc_Factors'!$AL33</f>
        <v>0</v>
      </c>
      <c r="AB30" s="225">
        <f t="shared" si="17"/>
        <v>0</v>
      </c>
      <c r="AC30" s="225">
        <f>'[64]SPDCL_Cost Alloc_Factors'!$AK33</f>
        <v>0</v>
      </c>
      <c r="AD30" s="227">
        <f t="shared" si="18"/>
        <v>0</v>
      </c>
      <c r="AE30" s="225">
        <f t="shared" si="11"/>
        <v>0</v>
      </c>
    </row>
    <row r="31" ht="20" customHeight="1" spans="2:31">
      <c r="B31" s="55"/>
      <c r="C31" s="226" t="s">
        <v>924</v>
      </c>
      <c r="D31" s="8"/>
      <c r="E31" s="8"/>
      <c r="F31" s="8"/>
      <c r="G31" s="8"/>
      <c r="H31" s="8"/>
      <c r="I31" s="227"/>
      <c r="J31" s="234"/>
      <c r="K31" s="8"/>
      <c r="L31" s="8"/>
      <c r="M31" s="8"/>
      <c r="N31" s="8"/>
      <c r="O31" s="8"/>
      <c r="P31" s="8"/>
      <c r="Q31" s="234"/>
      <c r="R31" s="8"/>
      <c r="S31" s="8"/>
      <c r="T31" s="8"/>
      <c r="U31" s="8"/>
      <c r="V31" s="8"/>
      <c r="W31" s="227"/>
      <c r="X31" s="8"/>
      <c r="Y31" s="8"/>
      <c r="Z31" s="8"/>
      <c r="AA31" s="8"/>
      <c r="AB31" s="8"/>
      <c r="AC31" s="8"/>
      <c r="AD31" s="8"/>
      <c r="AE31" s="225"/>
    </row>
    <row r="32" ht="20" customHeight="1" spans="2:31">
      <c r="B32" s="55" t="s">
        <v>925</v>
      </c>
      <c r="C32" s="72" t="s">
        <v>910</v>
      </c>
      <c r="D32" s="225">
        <f>'[64]SPDCL_Cost Alloc_Factors'!$H38</f>
        <v>7684.91455724616</v>
      </c>
      <c r="E32" s="225">
        <f>'[64]SPDCL_Cost Alloc_Factors'!$J38/'[64]SPDCL_Cost Alloc_Factors'!$J$66</f>
        <v>0</v>
      </c>
      <c r="F32" s="225">
        <f>'[64]SPDCL_Cost Alloc_Factors'!$J38</f>
        <v>0</v>
      </c>
      <c r="G32" s="234">
        <f>'[64]SPDCL_Cost Alloc_Factors'!$I38/'[64]SPDCL_Cost Alloc_Factors'!$I$66</f>
        <v>0.0403761621586197</v>
      </c>
      <c r="H32" s="225">
        <f>'[64]SPDCL_Cost Alloc_Factors'!$I38</f>
        <v>190.282121579772</v>
      </c>
      <c r="I32" s="227">
        <f t="shared" si="0"/>
        <v>7875.19667882593</v>
      </c>
      <c r="J32" s="234">
        <f t="shared" si="1"/>
        <v>0.114124482729941</v>
      </c>
      <c r="K32" s="225">
        <f>'[64]SPDCL_Cost Alloc_Factors'!$R38</f>
        <v>1198.95105844322</v>
      </c>
      <c r="L32" s="225">
        <f>[64]SPDCL_Inp_Losses!$S36</f>
        <v>0</v>
      </c>
      <c r="M32" s="225">
        <f>'[64]SPDCL_Cost Alloc_Factors'!$T38</f>
        <v>0</v>
      </c>
      <c r="N32" s="234">
        <f>[64]SPDCL_Inp_Losses!$R36</f>
        <v>0.0377231026529056</v>
      </c>
      <c r="O32" s="225">
        <f>'[64]SPDCL_Cost Alloc_Factors'!$S38</f>
        <v>59.963147330298</v>
      </c>
      <c r="P32" s="227">
        <f t="shared" si="12"/>
        <v>1258.91420577352</v>
      </c>
      <c r="Q32" s="234">
        <f t="shared" si="3"/>
        <v>0.102658537567669</v>
      </c>
      <c r="R32" s="225">
        <f>'[64]SPDCL_Cost Alloc_Factors'!$AB38</f>
        <v>879.054427927211</v>
      </c>
      <c r="S32" s="225">
        <f t="shared" si="13"/>
        <v>0</v>
      </c>
      <c r="T32" s="225">
        <f>'[64]SPDCL_Cost Alloc_Factors'!$AD38</f>
        <v>0</v>
      </c>
      <c r="U32" s="234">
        <f t="shared" si="14"/>
        <v>0.035768459175227</v>
      </c>
      <c r="V32" s="225">
        <f>'[64]SPDCL_Cost Alloc_Factors'!$AC38</f>
        <v>32.7311531250891</v>
      </c>
      <c r="W32" s="227">
        <f t="shared" si="6"/>
        <v>911.7855810523</v>
      </c>
      <c r="X32" s="234">
        <f t="shared" si="15"/>
        <v>0.101266156980912</v>
      </c>
      <c r="Y32" s="225">
        <f>'[64]SPDCL_Cost Alloc_Factors'!$AJ38</f>
        <v>1198.95105844322</v>
      </c>
      <c r="Z32" s="225">
        <f t="shared" si="16"/>
        <v>0</v>
      </c>
      <c r="AA32" s="225">
        <f>'[64]SPDCL_Cost Alloc_Factors'!$AL38</f>
        <v>0</v>
      </c>
      <c r="AB32" s="234">
        <f t="shared" si="17"/>
        <v>0.0377231049671404</v>
      </c>
      <c r="AC32" s="225">
        <f>'[64]SPDCL_Cost Alloc_Factors'!$AK38</f>
        <v>59.963147330298</v>
      </c>
      <c r="AD32" s="227">
        <f t="shared" si="18"/>
        <v>1258.91420577352</v>
      </c>
      <c r="AE32" s="234">
        <f t="shared" si="11"/>
        <v>0.102658841024858</v>
      </c>
    </row>
    <row r="33" ht="20" customHeight="1" spans="2:31">
      <c r="B33" s="55" t="s">
        <v>926</v>
      </c>
      <c r="C33" s="72" t="s">
        <v>912</v>
      </c>
      <c r="D33" s="225">
        <f>'[64]SPDCL_Cost Alloc_Factors'!$H39</f>
        <v>0.53654</v>
      </c>
      <c r="E33" s="225">
        <f>'[64]SPDCL_Cost Alloc_Factors'!$J39/'[64]SPDCL_Cost Alloc_Factors'!$J$66</f>
        <v>0</v>
      </c>
      <c r="F33" s="225">
        <f>'[64]SPDCL_Cost Alloc_Factors'!$J39</f>
        <v>0</v>
      </c>
      <c r="G33" s="225">
        <f>'[64]SPDCL_Cost Alloc_Factors'!$I39/'[64]SPDCL_Cost Alloc_Factors'!$I$66</f>
        <v>2.80839942070298e-6</v>
      </c>
      <c r="H33" s="225">
        <f>'[64]SPDCL_Cost Alloc_Factors'!$I39</f>
        <v>0.0132352400883322</v>
      </c>
      <c r="I33" s="227">
        <f t="shared" si="0"/>
        <v>0.549775240088332</v>
      </c>
      <c r="J33" s="225">
        <f t="shared" si="1"/>
        <v>7.96714259359475e-6</v>
      </c>
      <c r="K33" s="225">
        <f>'[64]SPDCL_Cost Alloc_Factors'!$R39</f>
        <v>0.077298962268135</v>
      </c>
      <c r="L33" s="225">
        <f>[64]SPDCL_Inp_Losses!$S37</f>
        <v>0</v>
      </c>
      <c r="M33" s="225">
        <f>'[64]SPDCL_Cost Alloc_Factors'!$T39</f>
        <v>0</v>
      </c>
      <c r="N33" s="225">
        <f>[64]SPDCL_Inp_Losses!$R37</f>
        <v>2.43208984058962e-6</v>
      </c>
      <c r="O33" s="225">
        <f>'[64]SPDCL_Cost Alloc_Factors'!$S39</f>
        <v>0.00386595351855459</v>
      </c>
      <c r="P33" s="227">
        <f t="shared" si="12"/>
        <v>0.0811649157866896</v>
      </c>
      <c r="Q33" s="234">
        <f t="shared" si="3"/>
        <v>6.61861747071553e-6</v>
      </c>
      <c r="R33" s="225">
        <f>'[64]SPDCL_Cost Alloc_Factors'!$AB39</f>
        <v>0.0617882751495057</v>
      </c>
      <c r="S33" s="225">
        <f t="shared" si="13"/>
        <v>0</v>
      </c>
      <c r="T33" s="225">
        <f>'[64]SPDCL_Cost Alloc_Factors'!$AD39</f>
        <v>0</v>
      </c>
      <c r="U33" s="225">
        <f t="shared" si="14"/>
        <v>2.51414625417914e-6</v>
      </c>
      <c r="V33" s="225">
        <f>'[64]SPDCL_Cost Alloc_Factors'!$AC39</f>
        <v>0.00230065560334231</v>
      </c>
      <c r="W33" s="227">
        <f t="shared" si="6"/>
        <v>0.064088930752848</v>
      </c>
      <c r="X33" s="225">
        <f t="shared" si="15"/>
        <v>7.11794511475658e-6</v>
      </c>
      <c r="Y33" s="225">
        <f>'[64]SPDCL_Cost Alloc_Factors'!$AJ39</f>
        <v>0.077298962268135</v>
      </c>
      <c r="Z33" s="225">
        <f t="shared" si="16"/>
        <v>0</v>
      </c>
      <c r="AA33" s="225">
        <f>'[64]SPDCL_Cost Alloc_Factors'!$AL39</f>
        <v>0</v>
      </c>
      <c r="AB33" s="225">
        <f t="shared" si="17"/>
        <v>2.43208998979333e-6</v>
      </c>
      <c r="AC33" s="225">
        <f>'[64]SPDCL_Cost Alloc_Factors'!$AK39</f>
        <v>0.00386595351855459</v>
      </c>
      <c r="AD33" s="227">
        <f t="shared" si="18"/>
        <v>0.0811649157866896</v>
      </c>
      <c r="AE33" s="225">
        <f t="shared" si="11"/>
        <v>6.61863703525539e-6</v>
      </c>
    </row>
    <row r="34" ht="20" customHeight="1" spans="2:31">
      <c r="B34" s="55" t="s">
        <v>927</v>
      </c>
      <c r="C34" s="72" t="s">
        <v>440</v>
      </c>
      <c r="D34" s="225">
        <f>'[64]SPDCL_Cost Alloc_Factors'!$H40</f>
        <v>1771.70160889593</v>
      </c>
      <c r="E34" s="225">
        <f>'[64]SPDCL_Cost Alloc_Factors'!$J40/'[64]SPDCL_Cost Alloc_Factors'!$J$66</f>
        <v>0</v>
      </c>
      <c r="F34" s="225">
        <f>'[64]SPDCL_Cost Alloc_Factors'!$J40</f>
        <v>0</v>
      </c>
      <c r="G34" s="234">
        <f>'[64]SPDCL_Cost Alloc_Factors'!$I40/'[64]SPDCL_Cost Alloc_Factors'!$I$66</f>
        <v>0.00936184629537027</v>
      </c>
      <c r="H34" s="225">
        <f>'[64]SPDCL_Cost Alloc_Factors'!$I40</f>
        <v>44.1198935151018</v>
      </c>
      <c r="I34" s="227">
        <f t="shared" si="0"/>
        <v>1815.82150241103</v>
      </c>
      <c r="J34" s="234">
        <f t="shared" si="1"/>
        <v>0.0263142240307143</v>
      </c>
      <c r="K34" s="225">
        <f>'[64]SPDCL_Cost Alloc_Factors'!$R40</f>
        <v>291.282557909612</v>
      </c>
      <c r="L34" s="225">
        <f>[64]SPDCL_Inp_Losses!$S38</f>
        <v>0</v>
      </c>
      <c r="M34" s="225">
        <f>'[64]SPDCL_Cost Alloc_Factors'!$T40</f>
        <v>0</v>
      </c>
      <c r="N34" s="234">
        <f>[64]SPDCL_Inp_Losses!$R38</f>
        <v>0.00916474592990698</v>
      </c>
      <c r="O34" s="225">
        <f>'[64]SPDCL_Cost Alloc_Factors'!$S40</f>
        <v>14.5679165230974</v>
      </c>
      <c r="P34" s="227">
        <f t="shared" si="12"/>
        <v>305.850474432709</v>
      </c>
      <c r="Q34" s="234">
        <f t="shared" si="3"/>
        <v>0.0249406689317225</v>
      </c>
      <c r="R34" s="225">
        <f>'[64]SPDCL_Cost Alloc_Factors'!$AB40</f>
        <v>215.074267448298</v>
      </c>
      <c r="S34" s="225">
        <f t="shared" si="13"/>
        <v>0</v>
      </c>
      <c r="T34" s="225">
        <f>'[64]SPDCL_Cost Alloc_Factors'!$AD40</f>
        <v>0</v>
      </c>
      <c r="U34" s="234">
        <f t="shared" si="14"/>
        <v>0.00875130698449005</v>
      </c>
      <c r="V34" s="225">
        <f>'[64]SPDCL_Cost Alloc_Factors'!$AC40</f>
        <v>8.00818306292579</v>
      </c>
      <c r="W34" s="227">
        <f t="shared" si="6"/>
        <v>223.082450511224</v>
      </c>
      <c r="X34" s="234">
        <f t="shared" si="15"/>
        <v>0.0247763322020118</v>
      </c>
      <c r="Y34" s="225">
        <f>'[64]SPDCL_Cost Alloc_Factors'!$AJ40</f>
        <v>291.282557909612</v>
      </c>
      <c r="Z34" s="225">
        <f t="shared" si="16"/>
        <v>0</v>
      </c>
      <c r="AA34" s="225">
        <f>'[64]SPDCL_Cost Alloc_Factors'!$AL40</f>
        <v>0</v>
      </c>
      <c r="AB34" s="234">
        <f t="shared" si="17"/>
        <v>0.00916474649214533</v>
      </c>
      <c r="AC34" s="225">
        <f>'[64]SPDCL_Cost Alloc_Factors'!$AK40</f>
        <v>14.5679165230974</v>
      </c>
      <c r="AD34" s="227">
        <f t="shared" si="18"/>
        <v>305.850474432709</v>
      </c>
      <c r="AE34" s="234">
        <f t="shared" si="11"/>
        <v>0.024940742655988</v>
      </c>
    </row>
    <row r="35" ht="20" customHeight="1" spans="2:31">
      <c r="B35" s="55" t="s">
        <v>928</v>
      </c>
      <c r="C35" s="72" t="s">
        <v>915</v>
      </c>
      <c r="D35" s="225">
        <f>'[64]SPDCL_Cost Alloc_Factors'!$H41</f>
        <v>0</v>
      </c>
      <c r="E35" s="225">
        <f>'[64]SPDCL_Cost Alloc_Factors'!$J41/'[64]SPDCL_Cost Alloc_Factors'!$J$66</f>
        <v>0</v>
      </c>
      <c r="F35" s="225">
        <f>'[64]SPDCL_Cost Alloc_Factors'!$J41</f>
        <v>0</v>
      </c>
      <c r="G35" s="225">
        <f>'[64]SPDCL_Cost Alloc_Factors'!$I41/'[64]SPDCL_Cost Alloc_Factors'!$I$66</f>
        <v>0</v>
      </c>
      <c r="H35" s="225">
        <f>'[64]SPDCL_Cost Alloc_Factors'!$I41</f>
        <v>0</v>
      </c>
      <c r="I35" s="227">
        <f t="shared" si="0"/>
        <v>0</v>
      </c>
      <c r="J35" s="225">
        <f t="shared" si="1"/>
        <v>0</v>
      </c>
      <c r="K35" s="225">
        <f>'[64]SPDCL_Cost Alloc_Factors'!$R41</f>
        <v>0</v>
      </c>
      <c r="L35" s="225">
        <f>[64]SPDCL_Inp_Losses!$S39</f>
        <v>0</v>
      </c>
      <c r="M35" s="225">
        <f>'[64]SPDCL_Cost Alloc_Factors'!$T41</f>
        <v>0</v>
      </c>
      <c r="N35" s="225">
        <f>[64]SPDCL_Inp_Losses!$R39</f>
        <v>0</v>
      </c>
      <c r="O35" s="225">
        <f>'[64]SPDCL_Cost Alloc_Factors'!$S41</f>
        <v>0</v>
      </c>
      <c r="P35" s="227">
        <f t="shared" si="12"/>
        <v>0</v>
      </c>
      <c r="Q35" s="234">
        <f t="shared" si="3"/>
        <v>0</v>
      </c>
      <c r="R35" s="225">
        <f>'[64]SPDCL_Cost Alloc_Factors'!$AB41</f>
        <v>0</v>
      </c>
      <c r="S35" s="225">
        <f t="shared" si="13"/>
        <v>0</v>
      </c>
      <c r="T35" s="225">
        <f>'[64]SPDCL_Cost Alloc_Factors'!$AD41</f>
        <v>0</v>
      </c>
      <c r="U35" s="225">
        <f t="shared" si="14"/>
        <v>0</v>
      </c>
      <c r="V35" s="225">
        <f>'[64]SPDCL_Cost Alloc_Factors'!$AC41</f>
        <v>0</v>
      </c>
      <c r="W35" s="227">
        <f t="shared" si="6"/>
        <v>0</v>
      </c>
      <c r="X35" s="225">
        <f t="shared" si="15"/>
        <v>0</v>
      </c>
      <c r="Y35" s="225">
        <f>'[64]SPDCL_Cost Alloc_Factors'!$AJ41</f>
        <v>0</v>
      </c>
      <c r="Z35" s="225">
        <f t="shared" si="16"/>
        <v>0</v>
      </c>
      <c r="AA35" s="225">
        <f>'[64]SPDCL_Cost Alloc_Factors'!$AL41</f>
        <v>0</v>
      </c>
      <c r="AB35" s="225">
        <f t="shared" si="17"/>
        <v>0</v>
      </c>
      <c r="AC35" s="225">
        <f>'[64]SPDCL_Cost Alloc_Factors'!$AK41</f>
        <v>0</v>
      </c>
      <c r="AD35" s="227">
        <f t="shared" si="18"/>
        <v>0</v>
      </c>
      <c r="AE35" s="225">
        <f t="shared" si="11"/>
        <v>0</v>
      </c>
    </row>
    <row r="36" ht="20" customHeight="1" spans="2:31">
      <c r="B36" s="55" t="s">
        <v>929</v>
      </c>
      <c r="C36" s="72" t="s">
        <v>917</v>
      </c>
      <c r="D36" s="225">
        <f>'[64]SPDCL_Cost Alloc_Factors'!$H42</f>
        <v>368.343264691723</v>
      </c>
      <c r="E36" s="225">
        <f>'[64]SPDCL_Cost Alloc_Factors'!$J42/'[64]SPDCL_Cost Alloc_Factors'!$J$66</f>
        <v>0</v>
      </c>
      <c r="F36" s="225">
        <f>'[64]SPDCL_Cost Alloc_Factors'!$J42</f>
        <v>0</v>
      </c>
      <c r="G36" s="234">
        <f>'[64]SPDCL_Cost Alloc_Factors'!$I42/'[64]SPDCL_Cost Alloc_Factors'!$I$66</f>
        <v>0.00198546133174733</v>
      </c>
      <c r="H36" s="225">
        <f>'[64]SPDCL_Cost Alloc_Factors'!$I42</f>
        <v>9.35695158532614</v>
      </c>
      <c r="I36" s="227">
        <f t="shared" si="0"/>
        <v>377.700216277049</v>
      </c>
      <c r="J36" s="234">
        <f t="shared" si="1"/>
        <v>0.00547349400498164</v>
      </c>
      <c r="K36" s="225">
        <f>'[64]SPDCL_Cost Alloc_Factors'!$R42</f>
        <v>73.7332903749222</v>
      </c>
      <c r="L36" s="225">
        <f>[64]SPDCL_Inp_Losses!$S40</f>
        <v>0</v>
      </c>
      <c r="M36" s="225">
        <f>'[64]SPDCL_Cost Alloc_Factors'!$T42</f>
        <v>0</v>
      </c>
      <c r="N36" s="234">
        <f>[64]SPDCL_Inp_Losses!$R40</f>
        <v>0.00231990160245678</v>
      </c>
      <c r="O36" s="225">
        <f>'[64]SPDCL_Cost Alloc_Factors'!$S42</f>
        <v>3.68762354623542</v>
      </c>
      <c r="P36" s="227">
        <f t="shared" si="12"/>
        <v>77.4209139211576</v>
      </c>
      <c r="Q36" s="234">
        <f t="shared" si="3"/>
        <v>0.00631331171246493</v>
      </c>
      <c r="R36" s="225">
        <f>'[64]SPDCL_Cost Alloc_Factors'!$AB42</f>
        <v>47.9044158484389</v>
      </c>
      <c r="S36" s="225">
        <f t="shared" si="13"/>
        <v>0</v>
      </c>
      <c r="T36" s="225">
        <f>'[64]SPDCL_Cost Alloc_Factors'!$AD42</f>
        <v>0</v>
      </c>
      <c r="U36" s="234">
        <f t="shared" si="14"/>
        <v>0.00194921621250268</v>
      </c>
      <c r="V36" s="225">
        <f>'[64]SPDCL_Cost Alloc_Factors'!$AC42</f>
        <v>1.78369702795358</v>
      </c>
      <c r="W36" s="227">
        <f t="shared" si="6"/>
        <v>49.6881128763925</v>
      </c>
      <c r="X36" s="234">
        <f t="shared" si="15"/>
        <v>0.00551853894510909</v>
      </c>
      <c r="Y36" s="225">
        <f>'[64]SPDCL_Cost Alloc_Factors'!$AJ42</f>
        <v>73.7332903749222</v>
      </c>
      <c r="Z36" s="225">
        <f t="shared" si="16"/>
        <v>0</v>
      </c>
      <c r="AA36" s="225">
        <f>'[64]SPDCL_Cost Alloc_Factors'!$AL42</f>
        <v>0</v>
      </c>
      <c r="AB36" s="234">
        <f t="shared" si="17"/>
        <v>0.00231990174477798</v>
      </c>
      <c r="AC36" s="225">
        <f>'[64]SPDCL_Cost Alloc_Factors'!$AK42</f>
        <v>3.68762354623542</v>
      </c>
      <c r="AD36" s="227">
        <f t="shared" si="18"/>
        <v>77.4209139211576</v>
      </c>
      <c r="AE36" s="234">
        <f t="shared" si="11"/>
        <v>0.00631333037452528</v>
      </c>
    </row>
    <row r="37" ht="20" customHeight="1" spans="2:31">
      <c r="B37" s="55" t="s">
        <v>930</v>
      </c>
      <c r="C37" s="72" t="s">
        <v>222</v>
      </c>
      <c r="D37" s="225">
        <f>'[64]SPDCL_Cost Alloc_Factors'!$H43</f>
        <v>0</v>
      </c>
      <c r="E37" s="225">
        <f>'[64]SPDCL_Cost Alloc_Factors'!$J43/'[64]SPDCL_Cost Alloc_Factors'!$J$66</f>
        <v>0</v>
      </c>
      <c r="F37" s="225">
        <f>'[64]SPDCL_Cost Alloc_Factors'!$J43</f>
        <v>0</v>
      </c>
      <c r="G37" s="234">
        <f>'[64]SPDCL_Cost Alloc_Factors'!$I43/'[64]SPDCL_Cost Alloc_Factors'!$I$66</f>
        <v>0</v>
      </c>
      <c r="H37" s="225">
        <f>'[64]SPDCL_Cost Alloc_Factors'!$I43</f>
        <v>0</v>
      </c>
      <c r="I37" s="227">
        <f t="shared" si="0"/>
        <v>0</v>
      </c>
      <c r="J37" s="234">
        <f t="shared" si="1"/>
        <v>0</v>
      </c>
      <c r="K37" s="225">
        <f>'[64]SPDCL_Cost Alloc_Factors'!$R43</f>
        <v>0</v>
      </c>
      <c r="L37" s="225">
        <f>[64]SPDCL_Inp_Losses!$S41</f>
        <v>0</v>
      </c>
      <c r="M37" s="225">
        <f>'[64]SPDCL_Cost Alloc_Factors'!$T43</f>
        <v>0</v>
      </c>
      <c r="N37" s="225">
        <f>[64]SPDCL_Inp_Losses!$R41</f>
        <v>0</v>
      </c>
      <c r="O37" s="225">
        <f>'[64]SPDCL_Cost Alloc_Factors'!$S43</f>
        <v>0</v>
      </c>
      <c r="P37" s="227">
        <f t="shared" si="12"/>
        <v>0</v>
      </c>
      <c r="Q37" s="234">
        <f t="shared" si="3"/>
        <v>0</v>
      </c>
      <c r="R37" s="225">
        <f>'[64]SPDCL_Cost Alloc_Factors'!$AB43</f>
        <v>0</v>
      </c>
      <c r="S37" s="225">
        <f t="shared" si="13"/>
        <v>0</v>
      </c>
      <c r="T37" s="225">
        <f>'[64]SPDCL_Cost Alloc_Factors'!$AD43</f>
        <v>0</v>
      </c>
      <c r="U37" s="225">
        <f t="shared" si="14"/>
        <v>0</v>
      </c>
      <c r="V37" s="225">
        <f>'[64]SPDCL_Cost Alloc_Factors'!$AC43</f>
        <v>0</v>
      </c>
      <c r="W37" s="227">
        <f t="shared" si="6"/>
        <v>0</v>
      </c>
      <c r="X37" s="225">
        <f t="shared" si="15"/>
        <v>0</v>
      </c>
      <c r="Y37" s="225">
        <f>'[64]SPDCL_Cost Alloc_Factors'!$AJ43</f>
        <v>0</v>
      </c>
      <c r="Z37" s="225">
        <f t="shared" si="16"/>
        <v>0</v>
      </c>
      <c r="AA37" s="225">
        <f>'[64]SPDCL_Cost Alloc_Factors'!$AL43</f>
        <v>0</v>
      </c>
      <c r="AB37" s="225">
        <f t="shared" si="17"/>
        <v>0</v>
      </c>
      <c r="AC37" s="225">
        <f>'[64]SPDCL_Cost Alloc_Factors'!$AK43</f>
        <v>0</v>
      </c>
      <c r="AD37" s="227">
        <f t="shared" si="18"/>
        <v>0</v>
      </c>
      <c r="AE37" s="225">
        <f t="shared" si="11"/>
        <v>0</v>
      </c>
    </row>
    <row r="38" ht="20" customHeight="1" spans="2:31">
      <c r="B38" s="55" t="s">
        <v>931</v>
      </c>
      <c r="C38" s="72" t="s">
        <v>932</v>
      </c>
      <c r="D38" s="225">
        <f>'[64]SPDCL_Cost Alloc_Factors'!$H44</f>
        <v>188.407399757014</v>
      </c>
      <c r="E38" s="234">
        <f>'[64]SPDCL_Cost Alloc_Factors'!$J44/'[64]SPDCL_Cost Alloc_Factors'!$J$66</f>
        <v>0.00452035515055302</v>
      </c>
      <c r="F38" s="225">
        <f>'[64]SPDCL_Cost Alloc_Factors'!$J44</f>
        <v>3.88945300005889</v>
      </c>
      <c r="G38" s="234">
        <f>'[64]SPDCL_Cost Alloc_Factors'!$I44/'[64]SPDCL_Cost Alloc_Factors'!$I$66</f>
        <v>0.00101462752665473</v>
      </c>
      <c r="H38" s="225">
        <f>'[64]SPDCL_Cost Alloc_Factors'!$I44</f>
        <v>4.78166987804912</v>
      </c>
      <c r="I38" s="227">
        <f t="shared" si="0"/>
        <v>197.078522635122</v>
      </c>
      <c r="J38" s="234">
        <f t="shared" si="1"/>
        <v>0.0028559901892212</v>
      </c>
      <c r="K38" s="225">
        <f>'[64]SPDCL_Cost Alloc_Factors'!$R44</f>
        <v>37.5096163435531</v>
      </c>
      <c r="L38" s="225">
        <f>[64]SPDCL_Inp_Losses!$S42</f>
        <v>0</v>
      </c>
      <c r="M38" s="225">
        <f>'[64]SPDCL_Cost Alloc_Factors'!$T44</f>
        <v>0</v>
      </c>
      <c r="N38" s="234">
        <f>[64]SPDCL_Inp_Losses!$R42</f>
        <v>0.00118018087380167</v>
      </c>
      <c r="O38" s="225">
        <f>'[64]SPDCL_Cost Alloc_Factors'!$S44</f>
        <v>1.87596869386136</v>
      </c>
      <c r="P38" s="227">
        <f t="shared" si="12"/>
        <v>39.3855850374145</v>
      </c>
      <c r="Q38" s="234">
        <f t="shared" si="3"/>
        <v>0.00321170937832394</v>
      </c>
      <c r="R38" s="225">
        <f>'[64]SPDCL_Cost Alloc_Factors'!$AB44</f>
        <v>24.1495482277184</v>
      </c>
      <c r="S38" s="225">
        <f t="shared" si="13"/>
        <v>0</v>
      </c>
      <c r="T38" s="225">
        <f>'[64]SPDCL_Cost Alloc_Factors'!$AD44</f>
        <v>0</v>
      </c>
      <c r="U38" s="234">
        <f t="shared" si="14"/>
        <v>0.000982637823598843</v>
      </c>
      <c r="V38" s="225">
        <f>'[64]SPDCL_Cost Alloc_Factors'!$AC44</f>
        <v>0.899196381738294</v>
      </c>
      <c r="W38" s="227">
        <f t="shared" si="6"/>
        <v>25.0487446094567</v>
      </c>
      <c r="X38" s="234">
        <f t="shared" si="15"/>
        <v>0.00278200287053072</v>
      </c>
      <c r="Y38" s="225">
        <f>'[64]SPDCL_Cost Alloc_Factors'!$AJ44</f>
        <v>37.5096163435531</v>
      </c>
      <c r="Z38" s="225">
        <f t="shared" si="16"/>
        <v>0</v>
      </c>
      <c r="AA38" s="225">
        <f>'[64]SPDCL_Cost Alloc_Factors'!$AL44</f>
        <v>0</v>
      </c>
      <c r="AB38" s="234">
        <f t="shared" si="17"/>
        <v>0.00118018094620334</v>
      </c>
      <c r="AC38" s="225">
        <f>'[64]SPDCL_Cost Alloc_Factors'!$AK44</f>
        <v>1.87596869386136</v>
      </c>
      <c r="AD38" s="227">
        <f t="shared" si="18"/>
        <v>39.3855850374145</v>
      </c>
      <c r="AE38" s="234">
        <f t="shared" si="11"/>
        <v>0.00321171887209155</v>
      </c>
    </row>
    <row r="39" ht="20" customHeight="1" spans="2:31">
      <c r="B39" s="55" t="s">
        <v>933</v>
      </c>
      <c r="C39" s="72" t="s">
        <v>934</v>
      </c>
      <c r="D39" s="225">
        <f>'[64]SPDCL_Cost Alloc_Factors'!$H45</f>
        <v>36.1256164370943</v>
      </c>
      <c r="E39" s="234">
        <f>'[64]SPDCL_Cost Alloc_Factors'!$J45/'[64]SPDCL_Cost Alloc_Factors'!$J$66</f>
        <v>0.00471155172372689</v>
      </c>
      <c r="F39" s="225">
        <f>'[64]SPDCL_Cost Alloc_Factors'!$J45</f>
        <v>4.05396442899852</v>
      </c>
      <c r="G39" s="225">
        <f>'[64]SPDCL_Cost Alloc_Factors'!$I45/'[64]SPDCL_Cost Alloc_Factors'!$I$66</f>
        <v>0</v>
      </c>
      <c r="H39" s="225">
        <f>'[64]SPDCL_Cost Alloc_Factors'!$I45</f>
        <v>0</v>
      </c>
      <c r="I39" s="227">
        <f t="shared" si="0"/>
        <v>40.1795808660928</v>
      </c>
      <c r="J39" s="234">
        <f t="shared" si="1"/>
        <v>0.000582267855605137</v>
      </c>
      <c r="K39" s="225">
        <f>'[64]SPDCL_Cost Alloc_Factors'!$R45</f>
        <v>0</v>
      </c>
      <c r="L39" s="225">
        <f>[64]SPDCL_Inp_Losses!$S43</f>
        <v>0</v>
      </c>
      <c r="M39" s="225">
        <f>'[64]SPDCL_Cost Alloc_Factors'!$T45</f>
        <v>0</v>
      </c>
      <c r="N39" s="225">
        <f>[64]SPDCL_Inp_Losses!$R43</f>
        <v>0</v>
      </c>
      <c r="O39" s="225">
        <f>'[64]SPDCL_Cost Alloc_Factors'!$S45</f>
        <v>0</v>
      </c>
      <c r="P39" s="227">
        <f t="shared" si="12"/>
        <v>0</v>
      </c>
      <c r="Q39" s="234">
        <f t="shared" si="3"/>
        <v>0</v>
      </c>
      <c r="R39" s="225">
        <f>'[64]SPDCL_Cost Alloc_Factors'!$AB45</f>
        <v>0</v>
      </c>
      <c r="S39" s="225">
        <f t="shared" si="13"/>
        <v>0</v>
      </c>
      <c r="T39" s="225">
        <f>'[64]SPDCL_Cost Alloc_Factors'!$AD45</f>
        <v>0</v>
      </c>
      <c r="U39" s="225">
        <f t="shared" si="14"/>
        <v>0</v>
      </c>
      <c r="V39" s="225">
        <f>'[64]SPDCL_Cost Alloc_Factors'!$AC45</f>
        <v>0</v>
      </c>
      <c r="W39" s="227">
        <f t="shared" si="6"/>
        <v>0</v>
      </c>
      <c r="X39" s="225">
        <f t="shared" si="15"/>
        <v>0</v>
      </c>
      <c r="Y39" s="225">
        <f>'[64]SPDCL_Cost Alloc_Factors'!$AJ45</f>
        <v>0</v>
      </c>
      <c r="Z39" s="225">
        <f t="shared" si="16"/>
        <v>0</v>
      </c>
      <c r="AA39" s="225">
        <f>'[64]SPDCL_Cost Alloc_Factors'!$AL45</f>
        <v>0</v>
      </c>
      <c r="AB39" s="225">
        <f t="shared" si="17"/>
        <v>0</v>
      </c>
      <c r="AC39" s="225">
        <f>'[64]SPDCL_Cost Alloc_Factors'!$AK45</f>
        <v>0</v>
      </c>
      <c r="AD39" s="227">
        <f t="shared" si="18"/>
        <v>0</v>
      </c>
      <c r="AE39" s="225">
        <f t="shared" si="11"/>
        <v>0</v>
      </c>
    </row>
    <row r="40" ht="20" customHeight="1" spans="2:31">
      <c r="B40" s="55" t="s">
        <v>935</v>
      </c>
      <c r="C40" s="72" t="s">
        <v>198</v>
      </c>
      <c r="D40" s="225">
        <f>'[64]SPDCL_Cost Alloc_Factors'!$H46</f>
        <v>5.28148120053833</v>
      </c>
      <c r="E40" s="234">
        <f>'[64]SPDCL_Cost Alloc_Factors'!$J46/'[64]SPDCL_Cost Alloc_Factors'!$J$66</f>
        <v>6.33489160542868e-6</v>
      </c>
      <c r="F40" s="225">
        <f>'[64]SPDCL_Cost Alloc_Factors'!$J46</f>
        <v>0.00545073613447565</v>
      </c>
      <c r="G40" s="234">
        <f>'[64]SPDCL_Cost Alloc_Factors'!$I46/'[64]SPDCL_Cost Alloc_Factors'!$I$66</f>
        <v>2.74571566147737e-5</v>
      </c>
      <c r="H40" s="225">
        <f>'[64]SPDCL_Cost Alloc_Factors'!$I46</f>
        <v>0.129398281904112</v>
      </c>
      <c r="I40" s="227">
        <f t="shared" si="0"/>
        <v>5.41633021857692</v>
      </c>
      <c r="J40" s="234">
        <f t="shared" si="1"/>
        <v>7.84914853176458e-5</v>
      </c>
      <c r="K40" s="225">
        <f>'[64]SPDCL_Cost Alloc_Factors'!$R46</f>
        <v>0.602908812846842</v>
      </c>
      <c r="L40" s="225">
        <f>[64]SPDCL_Inp_Losses!$S44</f>
        <v>0</v>
      </c>
      <c r="M40" s="225">
        <f>'[64]SPDCL_Cost Alloc_Factors'!$T46</f>
        <v>0</v>
      </c>
      <c r="N40" s="234">
        <f>[64]SPDCL_Inp_Losses!$R44</f>
        <v>1.89695741766926e-5</v>
      </c>
      <c r="O40" s="225">
        <f>'[64]SPDCL_Cost Alloc_Factors'!$S46</f>
        <v>0.0301532825021333</v>
      </c>
      <c r="P40" s="227">
        <f t="shared" si="12"/>
        <v>0.633062095348975</v>
      </c>
      <c r="Q40" s="234">
        <f t="shared" si="3"/>
        <v>5.16232389784804e-5</v>
      </c>
      <c r="R40" s="225">
        <f>'[64]SPDCL_Cost Alloc_Factors'!$AB46</f>
        <v>0.602908812846842</v>
      </c>
      <c r="S40" s="225">
        <f t="shared" si="13"/>
        <v>0</v>
      </c>
      <c r="T40" s="225">
        <f>'[64]SPDCL_Cost Alloc_Factors'!$AD46</f>
        <v>0</v>
      </c>
      <c r="U40" s="225">
        <f t="shared" si="14"/>
        <v>2.45321775007117e-5</v>
      </c>
      <c r="V40" s="225">
        <f>'[64]SPDCL_Cost Alloc_Factors'!$AC46</f>
        <v>0.0224490088973077</v>
      </c>
      <c r="W40" s="227">
        <f t="shared" si="6"/>
        <v>0.62535782174415</v>
      </c>
      <c r="X40" s="225">
        <f t="shared" si="15"/>
        <v>6.94544689694449e-5</v>
      </c>
      <c r="Y40" s="225">
        <f>'[64]SPDCL_Cost Alloc_Factors'!$AJ46</f>
        <v>0.602908812846842</v>
      </c>
      <c r="Z40" s="225">
        <f t="shared" si="16"/>
        <v>0</v>
      </c>
      <c r="AA40" s="225">
        <f>'[64]SPDCL_Cost Alloc_Factors'!$AL46</f>
        <v>0</v>
      </c>
      <c r="AB40" s="234">
        <f t="shared" si="17"/>
        <v>1.8969575340437e-5</v>
      </c>
      <c r="AC40" s="225">
        <f>'[64]SPDCL_Cost Alloc_Factors'!$AK46</f>
        <v>0.0301532825021333</v>
      </c>
      <c r="AD40" s="227">
        <f t="shared" si="18"/>
        <v>0.633062095348975</v>
      </c>
      <c r="AE40" s="234">
        <f t="shared" si="11"/>
        <v>5.16233915760464e-5</v>
      </c>
    </row>
    <row r="41" ht="20" customHeight="1" spans="2:31">
      <c r="B41" s="55" t="s">
        <v>936</v>
      </c>
      <c r="C41" s="72" t="s">
        <v>906</v>
      </c>
      <c r="D41" s="225">
        <f>'[64]SPDCL_Cost Alloc_Factors'!$H47</f>
        <v>0</v>
      </c>
      <c r="E41" s="225">
        <f>'[64]SPDCL_Cost Alloc_Factors'!$J47/'[64]SPDCL_Cost Alloc_Factors'!$J$66</f>
        <v>0</v>
      </c>
      <c r="F41" s="225">
        <f>'[64]SPDCL_Cost Alloc_Factors'!$J47</f>
        <v>0</v>
      </c>
      <c r="G41" s="234">
        <f>'[64]SPDCL_Cost Alloc_Factors'!$I47/'[64]SPDCL_Cost Alloc_Factors'!$I$66</f>
        <v>0</v>
      </c>
      <c r="H41" s="225">
        <f>'[64]SPDCL_Cost Alloc_Factors'!$I47</f>
        <v>0</v>
      </c>
      <c r="I41" s="227">
        <f t="shared" si="0"/>
        <v>0</v>
      </c>
      <c r="J41" s="234">
        <f t="shared" si="1"/>
        <v>0</v>
      </c>
      <c r="K41" s="225">
        <f>'[64]SPDCL_Cost Alloc_Factors'!$R47</f>
        <v>0</v>
      </c>
      <c r="L41" s="225">
        <f>[64]SPDCL_Inp_Losses!$S45</f>
        <v>0</v>
      </c>
      <c r="M41" s="225">
        <f>'[64]SPDCL_Cost Alloc_Factors'!$T47</f>
        <v>0</v>
      </c>
      <c r="N41" s="234">
        <f>[64]SPDCL_Inp_Losses!$R45</f>
        <v>0</v>
      </c>
      <c r="O41" s="225">
        <f>'[64]SPDCL_Cost Alloc_Factors'!$S47</f>
        <v>0</v>
      </c>
      <c r="P41" s="227">
        <f t="shared" si="12"/>
        <v>0</v>
      </c>
      <c r="Q41" s="234">
        <f t="shared" si="3"/>
        <v>0</v>
      </c>
      <c r="R41" s="225">
        <f>'[64]SPDCL_Cost Alloc_Factors'!$AB47</f>
        <v>0</v>
      </c>
      <c r="S41" s="225">
        <f t="shared" si="13"/>
        <v>0</v>
      </c>
      <c r="T41" s="225">
        <f>'[64]SPDCL_Cost Alloc_Factors'!$AD47</f>
        <v>0</v>
      </c>
      <c r="U41" s="225">
        <f t="shared" si="14"/>
        <v>0</v>
      </c>
      <c r="V41" s="225">
        <f>'[64]SPDCL_Cost Alloc_Factors'!$AC47</f>
        <v>0</v>
      </c>
      <c r="W41" s="227">
        <f t="shared" si="6"/>
        <v>0</v>
      </c>
      <c r="X41" s="225">
        <f t="shared" si="15"/>
        <v>0</v>
      </c>
      <c r="Y41" s="225">
        <f>'[64]SPDCL_Cost Alloc_Factors'!$AJ47</f>
        <v>0</v>
      </c>
      <c r="Z41" s="225">
        <f t="shared" si="16"/>
        <v>0</v>
      </c>
      <c r="AA41" s="225">
        <f>'[64]SPDCL_Cost Alloc_Factors'!$AL47</f>
        <v>0</v>
      </c>
      <c r="AB41" s="225">
        <f t="shared" si="17"/>
        <v>0</v>
      </c>
      <c r="AC41" s="225">
        <f>'[64]SPDCL_Cost Alloc_Factors'!$AK47</f>
        <v>0</v>
      </c>
      <c r="AD41" s="227">
        <f t="shared" si="18"/>
        <v>0</v>
      </c>
      <c r="AE41" s="225">
        <f t="shared" si="11"/>
        <v>0</v>
      </c>
    </row>
    <row r="42" ht="20" customHeight="1" spans="2:31">
      <c r="B42" s="55"/>
      <c r="C42" s="226" t="s">
        <v>937</v>
      </c>
      <c r="D42" s="8"/>
      <c r="E42" s="8"/>
      <c r="F42" s="8"/>
      <c r="G42" s="8"/>
      <c r="H42" s="8"/>
      <c r="I42" s="227"/>
      <c r="J42" s="234"/>
      <c r="K42" s="8"/>
      <c r="L42" s="8"/>
      <c r="M42" s="8"/>
      <c r="N42" s="8"/>
      <c r="O42" s="8"/>
      <c r="P42" s="8"/>
      <c r="Q42" s="234"/>
      <c r="R42" s="8"/>
      <c r="S42" s="8"/>
      <c r="T42" s="8"/>
      <c r="U42" s="8"/>
      <c r="V42" s="8"/>
      <c r="W42" s="227"/>
      <c r="X42" s="8"/>
      <c r="Y42" s="8"/>
      <c r="Z42" s="8"/>
      <c r="AA42" s="8"/>
      <c r="AB42" s="8"/>
      <c r="AC42" s="8"/>
      <c r="AD42" s="8"/>
      <c r="AE42" s="225"/>
    </row>
    <row r="43" ht="20" customHeight="1" spans="2:31">
      <c r="B43" s="55" t="s">
        <v>938</v>
      </c>
      <c r="C43" s="72" t="s">
        <v>910</v>
      </c>
      <c r="D43" s="225">
        <f>'[64]SPDCL_Cost Alloc_Factors'!$H52</f>
        <v>5002.47501853381</v>
      </c>
      <c r="E43" s="225">
        <f>'[64]SPDCL_Cost Alloc_Factors'!$J52/'[64]SPDCL_Cost Alloc_Factors'!$J$66</f>
        <v>0</v>
      </c>
      <c r="F43" s="225">
        <f>'[64]SPDCL_Cost Alloc_Factors'!$J52</f>
        <v>0</v>
      </c>
      <c r="G43" s="234">
        <f>'[64]SPDCL_Cost Alloc_Factors'!$I52/'[64]SPDCL_Cost Alloc_Factors'!$I$66</f>
        <v>4.25327212085217e-11</v>
      </c>
      <c r="H43" s="235">
        <f>'[64]SPDCL_Cost Alloc_Factors'!$I52</f>
        <v>2.00445411238539e-7</v>
      </c>
      <c r="I43" s="227">
        <f t="shared" si="0"/>
        <v>5002.47501873426</v>
      </c>
      <c r="J43" s="234">
        <f t="shared" si="1"/>
        <v>0.0724940464556895</v>
      </c>
      <c r="K43" s="225">
        <f>'[64]SPDCL_Cost Alloc_Factors'!$R52</f>
        <v>737.324896510947</v>
      </c>
      <c r="L43" s="225">
        <f>[64]SPDCL_Inp_Losses!$S50</f>
        <v>0</v>
      </c>
      <c r="M43" s="225">
        <f>'[64]SPDCL_Cost Alloc_Factors'!$T52</f>
        <v>0</v>
      </c>
      <c r="N43" s="234">
        <f>[64]SPDCL_Inp_Losses!$R50</f>
        <v>3.78252761038376e-11</v>
      </c>
      <c r="O43" s="225">
        <f>'[64]SPDCL_Cost Alloc_Factors'!$S52</f>
        <v>6.01255581942149e-8</v>
      </c>
      <c r="P43" s="227">
        <f t="shared" si="12"/>
        <v>737.324896571073</v>
      </c>
      <c r="Q43" s="234">
        <f t="shared" si="3"/>
        <v>0.0601253804644385</v>
      </c>
      <c r="R43" s="225">
        <f>'[64]SPDCL_Cost Alloc_Factors'!$AB52</f>
        <v>577.521829557091</v>
      </c>
      <c r="S43" s="225">
        <f t="shared" si="13"/>
        <v>0</v>
      </c>
      <c r="T43" s="225">
        <f>'[64]SPDCL_Cost Alloc_Factors'!$AD52</f>
        <v>0</v>
      </c>
      <c r="U43" s="234">
        <f t="shared" si="14"/>
        <v>3.77864565397488e-11</v>
      </c>
      <c r="V43" s="225">
        <f>'[64]SPDCL_Cost Alloc_Factors'!$AC52</f>
        <v>3.45777907009659e-8</v>
      </c>
      <c r="W43" s="227">
        <f t="shared" si="6"/>
        <v>577.521829591669</v>
      </c>
      <c r="X43" s="234">
        <f t="shared" si="15"/>
        <v>0.0641416331544059</v>
      </c>
      <c r="Y43" s="225">
        <f>'[64]SPDCL_Cost Alloc_Factors'!$AJ52</f>
        <v>737.324896510947</v>
      </c>
      <c r="Z43" s="225">
        <f t="shared" si="16"/>
        <v>0</v>
      </c>
      <c r="AA43" s="225">
        <f>'[64]SPDCL_Cost Alloc_Factors'!$AL52</f>
        <v>0</v>
      </c>
      <c r="AB43" s="234">
        <f t="shared" si="17"/>
        <v>3.78252784243406e-11</v>
      </c>
      <c r="AC43" s="225">
        <f>'[64]SPDCL_Cost Alloc_Factors'!$AK52</f>
        <v>6.01255581942149e-8</v>
      </c>
      <c r="AD43" s="227">
        <f t="shared" si="18"/>
        <v>737.324896571073</v>
      </c>
      <c r="AE43" s="234">
        <f t="shared" si="11"/>
        <v>0.0601255581942149</v>
      </c>
    </row>
    <row r="44" ht="20" customHeight="1" spans="2:31">
      <c r="B44" s="55" t="s">
        <v>939</v>
      </c>
      <c r="C44" s="72" t="s">
        <v>912</v>
      </c>
      <c r="D44" s="225">
        <f>'[64]SPDCL_Cost Alloc_Factors'!$H53</f>
        <v>152.9334297</v>
      </c>
      <c r="E44" s="225">
        <f>'[64]SPDCL_Cost Alloc_Factors'!$J53/'[64]SPDCL_Cost Alloc_Factors'!$J$66</f>
        <v>0</v>
      </c>
      <c r="F44" s="225">
        <f>'[64]SPDCL_Cost Alloc_Factors'!$J53</f>
        <v>0</v>
      </c>
      <c r="G44" s="234">
        <f>'[64]SPDCL_Cost Alloc_Factors'!$I53/'[64]SPDCL_Cost Alloc_Factors'!$I$66</f>
        <v>1.30034438034388e-12</v>
      </c>
      <c r="H44" s="235">
        <f>'[64]SPDCL_Cost Alloc_Factors'!$I53</f>
        <v>6.12817747521713e-9</v>
      </c>
      <c r="I44" s="227">
        <f t="shared" si="0"/>
        <v>152.933429706128</v>
      </c>
      <c r="J44" s="234">
        <f t="shared" si="1"/>
        <v>0.00221625557673433</v>
      </c>
      <c r="K44" s="225">
        <f>'[64]SPDCL_Cost Alloc_Factors'!$R53</f>
        <v>23.1074129699095</v>
      </c>
      <c r="L44" s="225">
        <f>[64]SPDCL_Inp_Losses!$S51</f>
        <v>0</v>
      </c>
      <c r="M44" s="225">
        <f>'[64]SPDCL_Cost Alloc_Factors'!$T53</f>
        <v>0</v>
      </c>
      <c r="N44" s="234">
        <f>[64]SPDCL_Inp_Losses!$R51</f>
        <v>1.18542623444324e-12</v>
      </c>
      <c r="O44" s="225">
        <f>'[64]SPDCL_Cost Alloc_Factors'!$S53</f>
        <v>1.88430651102993e-9</v>
      </c>
      <c r="P44" s="227">
        <f t="shared" si="12"/>
        <v>23.1074129717938</v>
      </c>
      <c r="Q44" s="234">
        <f t="shared" si="3"/>
        <v>0.00188430094106294</v>
      </c>
      <c r="R44" s="225">
        <f>'[64]SPDCL_Cost Alloc_Factors'!$AB53</f>
        <v>16.9105441468465</v>
      </c>
      <c r="S44" s="225">
        <f t="shared" si="13"/>
        <v>0</v>
      </c>
      <c r="T44" s="225">
        <f>'[64]SPDCL_Cost Alloc_Factors'!$AD53</f>
        <v>0</v>
      </c>
      <c r="U44" s="234">
        <f t="shared" si="14"/>
        <v>1.10643357318348e-12</v>
      </c>
      <c r="V44" s="225">
        <f>'[64]SPDCL_Cost Alloc_Factors'!$AC53</f>
        <v>1.01247992062488e-9</v>
      </c>
      <c r="W44" s="227">
        <f t="shared" si="6"/>
        <v>16.910544147859</v>
      </c>
      <c r="X44" s="234">
        <f t="shared" si="15"/>
        <v>0.00187814531606582</v>
      </c>
      <c r="Y44" s="225">
        <f>'[64]SPDCL_Cost Alloc_Factors'!$AJ53</f>
        <v>23.1074129699095</v>
      </c>
      <c r="Z44" s="225">
        <f t="shared" si="16"/>
        <v>0</v>
      </c>
      <c r="AA44" s="225">
        <f>'[64]SPDCL_Cost Alloc_Factors'!$AL53</f>
        <v>0</v>
      </c>
      <c r="AB44" s="234">
        <f t="shared" si="17"/>
        <v>1.1854263071667e-12</v>
      </c>
      <c r="AC44" s="225">
        <f>'[64]SPDCL_Cost Alloc_Factors'!$AK53</f>
        <v>1.88430651102993e-9</v>
      </c>
      <c r="AD44" s="227">
        <f t="shared" si="18"/>
        <v>23.1074129717938</v>
      </c>
      <c r="AE44" s="234">
        <f t="shared" si="11"/>
        <v>0.00188430651102993</v>
      </c>
    </row>
    <row r="45" ht="20" customHeight="1" spans="2:31">
      <c r="B45" s="55" t="s">
        <v>940</v>
      </c>
      <c r="C45" s="72" t="s">
        <v>440</v>
      </c>
      <c r="D45" s="225">
        <f>'[64]SPDCL_Cost Alloc_Factors'!$H54</f>
        <v>345.646916498293</v>
      </c>
      <c r="E45" s="225">
        <f>'[64]SPDCL_Cost Alloc_Factors'!$J54/'[64]SPDCL_Cost Alloc_Factors'!$J$66</f>
        <v>0</v>
      </c>
      <c r="F45" s="225">
        <f>'[64]SPDCL_Cost Alloc_Factors'!$J54</f>
        <v>0</v>
      </c>
      <c r="G45" s="234">
        <f>'[64]SPDCL_Cost Alloc_Factors'!$I54/'[64]SPDCL_Cost Alloc_Factors'!$I$66</f>
        <v>3.03408412826402e-12</v>
      </c>
      <c r="H45" s="235">
        <f>'[64]SPDCL_Cost Alloc_Factors'!$I54</f>
        <v>1.4298832135395e-8</v>
      </c>
      <c r="I45" s="227">
        <f t="shared" si="0"/>
        <v>345.646916512592</v>
      </c>
      <c r="J45" s="234">
        <f t="shared" si="1"/>
        <v>0.00500898925613621</v>
      </c>
      <c r="K45" s="225">
        <f>'[64]SPDCL_Cost Alloc_Factors'!$R54</f>
        <v>65.1981446484563</v>
      </c>
      <c r="L45" s="225">
        <f>[64]SPDCL_Inp_Losses!$S52</f>
        <v>0</v>
      </c>
      <c r="M45" s="225">
        <f>'[64]SPDCL_Cost Alloc_Factors'!$T54</f>
        <v>0</v>
      </c>
      <c r="N45" s="234">
        <f>[64]SPDCL_Inp_Losses!$R52</f>
        <v>3.34470982121405e-12</v>
      </c>
      <c r="O45" s="225">
        <f>'[64]SPDCL_Cost Alloc_Factors'!$S54</f>
        <v>5.31661803197689e-9</v>
      </c>
      <c r="P45" s="227">
        <f t="shared" si="12"/>
        <v>65.1981446537729</v>
      </c>
      <c r="Q45" s="234">
        <f t="shared" si="3"/>
        <v>0.00531660231617546</v>
      </c>
      <c r="R45" s="225">
        <f>'[64]SPDCL_Cost Alloc_Factors'!$AB54</f>
        <v>50.3138181222219</v>
      </c>
      <c r="S45" s="225">
        <f t="shared" si="13"/>
        <v>0</v>
      </c>
      <c r="T45" s="225">
        <f>'[64]SPDCL_Cost Alloc_Factors'!$AD54</f>
        <v>0</v>
      </c>
      <c r="U45" s="234">
        <f t="shared" si="14"/>
        <v>3.29196370513337e-12</v>
      </c>
      <c r="V45" s="225">
        <f>'[64]SPDCL_Cost Alloc_Factors'!$AC54</f>
        <v>3.01242409093156e-9</v>
      </c>
      <c r="W45" s="227">
        <f t="shared" si="6"/>
        <v>50.3138181252343</v>
      </c>
      <c r="X45" s="234">
        <f t="shared" si="15"/>
        <v>0.00558803200057052</v>
      </c>
      <c r="Y45" s="225">
        <f>'[64]SPDCL_Cost Alloc_Factors'!$AJ54</f>
        <v>65.1981446484563</v>
      </c>
      <c r="Z45" s="225">
        <f t="shared" si="16"/>
        <v>0</v>
      </c>
      <c r="AA45" s="225">
        <f>'[64]SPDCL_Cost Alloc_Factors'!$AL54</f>
        <v>0</v>
      </c>
      <c r="AB45" s="234">
        <f t="shared" si="17"/>
        <v>3.34471002640513e-12</v>
      </c>
      <c r="AC45" s="225">
        <f>'[64]SPDCL_Cost Alloc_Factors'!$AK54</f>
        <v>5.31661803197689e-9</v>
      </c>
      <c r="AD45" s="227">
        <f t="shared" si="18"/>
        <v>65.1981446537729</v>
      </c>
      <c r="AE45" s="234">
        <f t="shared" si="11"/>
        <v>0.00531661803197689</v>
      </c>
    </row>
    <row r="46" ht="20" customHeight="1" spans="2:31">
      <c r="B46" s="55" t="s">
        <v>941</v>
      </c>
      <c r="C46" s="72" t="s">
        <v>915</v>
      </c>
      <c r="D46" s="225">
        <f>'[64]SPDCL_Cost Alloc_Factors'!$H55</f>
        <v>133.669346242745</v>
      </c>
      <c r="E46" s="225">
        <f>'[64]SPDCL_Cost Alloc_Factors'!$J55/'[64]SPDCL_Cost Alloc_Factors'!$J$66</f>
        <v>0</v>
      </c>
      <c r="F46" s="225">
        <f>'[64]SPDCL_Cost Alloc_Factors'!$J55</f>
        <v>0</v>
      </c>
      <c r="G46" s="234">
        <f>'[64]SPDCL_Cost Alloc_Factors'!$I55/'[64]SPDCL_Cost Alloc_Factors'!$I$66</f>
        <v>1.13548364482981e-12</v>
      </c>
      <c r="H46" s="235">
        <f>'[64]SPDCL_Cost Alloc_Factors'!$I55</f>
        <v>5.35123264337351e-9</v>
      </c>
      <c r="I46" s="227">
        <f t="shared" si="0"/>
        <v>133.669346248096</v>
      </c>
      <c r="J46" s="234">
        <f t="shared" si="1"/>
        <v>0.00193708749375484</v>
      </c>
      <c r="K46" s="225">
        <f>'[64]SPDCL_Cost Alloc_Factors'!$R55</f>
        <v>21.1633498184189</v>
      </c>
      <c r="L46" s="225">
        <f>[64]SPDCL_Inp_Losses!$S53</f>
        <v>0</v>
      </c>
      <c r="M46" s="225">
        <f>'[64]SPDCL_Cost Alloc_Factors'!$T55</f>
        <v>0</v>
      </c>
      <c r="N46" s="234">
        <f>[64]SPDCL_Inp_Losses!$R53</f>
        <v>1.0856944529499e-12</v>
      </c>
      <c r="O46" s="225">
        <f>'[64]SPDCL_Cost Alloc_Factors'!$S55</f>
        <v>1.72577682798072e-9</v>
      </c>
      <c r="P46" s="227">
        <f t="shared" si="12"/>
        <v>21.1633498201447</v>
      </c>
      <c r="Q46" s="234">
        <f t="shared" si="3"/>
        <v>0.00172577172662384</v>
      </c>
      <c r="R46" s="225">
        <f>'[64]SPDCL_Cost Alloc_Factors'!$AB55</f>
        <v>14.8327818675883</v>
      </c>
      <c r="S46" s="225">
        <f t="shared" si="13"/>
        <v>0</v>
      </c>
      <c r="T46" s="225">
        <f>'[64]SPDCL_Cost Alloc_Factors'!$AD55</f>
        <v>0</v>
      </c>
      <c r="U46" s="234">
        <f t="shared" si="14"/>
        <v>9.70488453801021e-13</v>
      </c>
      <c r="V46" s="225">
        <f>'[64]SPDCL_Cost Alloc_Factors'!$AC55</f>
        <v>8.88078684963107e-10</v>
      </c>
      <c r="W46" s="227">
        <f t="shared" si="6"/>
        <v>14.8327818684764</v>
      </c>
      <c r="X46" s="234">
        <f t="shared" si="15"/>
        <v>0.00164738163047415</v>
      </c>
      <c r="Y46" s="225">
        <f>'[64]SPDCL_Cost Alloc_Factors'!$AJ55</f>
        <v>21.1633498184189</v>
      </c>
      <c r="Z46" s="225">
        <f t="shared" si="16"/>
        <v>0</v>
      </c>
      <c r="AA46" s="225">
        <f>'[64]SPDCL_Cost Alloc_Factors'!$AL55</f>
        <v>0</v>
      </c>
      <c r="AB46" s="234">
        <f t="shared" si="17"/>
        <v>1.08569451955503e-12</v>
      </c>
      <c r="AC46" s="225">
        <f>'[64]SPDCL_Cost Alloc_Factors'!$AK55</f>
        <v>1.72577682798072e-9</v>
      </c>
      <c r="AD46" s="227">
        <f t="shared" si="18"/>
        <v>21.1633498201447</v>
      </c>
      <c r="AE46" s="234">
        <f t="shared" si="11"/>
        <v>0.00172577682798072</v>
      </c>
    </row>
    <row r="47" ht="20" customHeight="1" spans="2:31">
      <c r="B47" s="55" t="s">
        <v>942</v>
      </c>
      <c r="C47" s="72" t="s">
        <v>917</v>
      </c>
      <c r="D47" s="225">
        <f>'[64]SPDCL_Cost Alloc_Factors'!$H56</f>
        <v>1955.88957501188</v>
      </c>
      <c r="E47" s="225">
        <f>'[64]SPDCL_Cost Alloc_Factors'!$J56/'[64]SPDCL_Cost Alloc_Factors'!$J$66</f>
        <v>0</v>
      </c>
      <c r="F47" s="225">
        <f>'[64]SPDCL_Cost Alloc_Factors'!$J56</f>
        <v>0</v>
      </c>
      <c r="G47" s="234">
        <f>'[64]SPDCL_Cost Alloc_Factors'!$I56/'[64]SPDCL_Cost Alloc_Factors'!$I$66</f>
        <v>1.68600300782901e-11</v>
      </c>
      <c r="H47" s="235">
        <f>'[64]SPDCL_Cost Alloc_Factors'!$I56</f>
        <v>7.94568409100494e-8</v>
      </c>
      <c r="I47" s="227">
        <f t="shared" si="0"/>
        <v>1955.88957509134</v>
      </c>
      <c r="J47" s="234">
        <f t="shared" si="1"/>
        <v>0.0283440395380018</v>
      </c>
      <c r="K47" s="225">
        <f>'[64]SPDCL_Cost Alloc_Factors'!$R56</f>
        <v>329.30051550329</v>
      </c>
      <c r="L47" s="225">
        <f>[64]SPDCL_Inp_Losses!$S54</f>
        <v>0</v>
      </c>
      <c r="M47" s="225">
        <f>'[64]SPDCL_Cost Alloc_Factors'!$T56</f>
        <v>0</v>
      </c>
      <c r="N47" s="234">
        <f>[64]SPDCL_Inp_Losses!$R54</f>
        <v>1.68933437335288e-11</v>
      </c>
      <c r="O47" s="225">
        <f>'[64]SPDCL_Cost Alloc_Factors'!$S56</f>
        <v>2.68529889631687e-8</v>
      </c>
      <c r="P47" s="227">
        <f t="shared" si="12"/>
        <v>329.300515530143</v>
      </c>
      <c r="Q47" s="234">
        <f t="shared" si="3"/>
        <v>0.0268529095863469</v>
      </c>
      <c r="R47" s="225">
        <f>'[64]SPDCL_Cost Alloc_Factors'!$AB56</f>
        <v>258.076540886174</v>
      </c>
      <c r="S47" s="225">
        <f t="shared" si="13"/>
        <v>0</v>
      </c>
      <c r="T47" s="225">
        <f>'[64]SPDCL_Cost Alloc_Factors'!$AD56</f>
        <v>0</v>
      </c>
      <c r="U47" s="234">
        <f t="shared" si="14"/>
        <v>1.68855920192712e-11</v>
      </c>
      <c r="V47" s="225">
        <f>'[64]SPDCL_Cost Alloc_Factors'!$AC56</f>
        <v>1.54517390666169e-8</v>
      </c>
      <c r="W47" s="227">
        <f t="shared" si="6"/>
        <v>258.076540901626</v>
      </c>
      <c r="X47" s="234">
        <f t="shared" si="15"/>
        <v>0.0286629006283175</v>
      </c>
      <c r="Y47" s="225">
        <f>'[64]SPDCL_Cost Alloc_Factors'!$AJ56</f>
        <v>329.30051550329</v>
      </c>
      <c r="Z47" s="225">
        <f t="shared" si="16"/>
        <v>0</v>
      </c>
      <c r="AA47" s="225">
        <f>'[64]SPDCL_Cost Alloc_Factors'!$AL56</f>
        <v>0</v>
      </c>
      <c r="AB47" s="234">
        <f t="shared" si="17"/>
        <v>1.68933447699007e-11</v>
      </c>
      <c r="AC47" s="225">
        <f>'[64]SPDCL_Cost Alloc_Factors'!$AK56</f>
        <v>2.68529889631687e-8</v>
      </c>
      <c r="AD47" s="227">
        <f t="shared" si="18"/>
        <v>329.300515530143</v>
      </c>
      <c r="AE47" s="234">
        <f t="shared" si="11"/>
        <v>0.0268529889631688</v>
      </c>
    </row>
    <row r="48" ht="20" customHeight="1" spans="2:31">
      <c r="B48" s="55" t="s">
        <v>943</v>
      </c>
      <c r="C48" s="72" t="s">
        <v>944</v>
      </c>
      <c r="D48" s="225">
        <f>'[64]SPDCL_Cost Alloc_Factors'!$H57</f>
        <v>1463.37736580925</v>
      </c>
      <c r="E48" s="225">
        <f>'[64]SPDCL_Cost Alloc_Factors'!$J57/'[64]SPDCL_Cost Alloc_Factors'!$J$66</f>
        <v>0</v>
      </c>
      <c r="F48" s="225">
        <f>'[64]SPDCL_Cost Alloc_Factors'!$J57</f>
        <v>0</v>
      </c>
      <c r="G48" s="234">
        <f>'[64]SPDCL_Cost Alloc_Factors'!$I57/'[64]SPDCL_Cost Alloc_Factors'!$I$66</f>
        <v>1.26136660316628e-11</v>
      </c>
      <c r="H48" s="235">
        <f>'[64]SPDCL_Cost Alloc_Factors'!$I57</f>
        <v>5.94448557040757e-8</v>
      </c>
      <c r="I48" s="227">
        <f t="shared" si="0"/>
        <v>1463.37736586869</v>
      </c>
      <c r="J48" s="234">
        <f t="shared" si="1"/>
        <v>0.0212067319369307</v>
      </c>
      <c r="K48" s="225">
        <f>'[64]SPDCL_Cost Alloc_Factors'!$R57</f>
        <v>292.33902609516</v>
      </c>
      <c r="L48" s="225">
        <f>[64]SPDCL_Inp_Losses!$S55</f>
        <v>0</v>
      </c>
      <c r="M48" s="225">
        <f>'[64]SPDCL_Cost Alloc_Factors'!$T57</f>
        <v>0</v>
      </c>
      <c r="N48" s="234">
        <f>[64]SPDCL_Inp_Losses!$R55</f>
        <v>1.49971938155112e-11</v>
      </c>
      <c r="O48" s="225">
        <f>'[64]SPDCL_Cost Alloc_Factors'!$S57</f>
        <v>2.38389442823645e-8</v>
      </c>
      <c r="P48" s="227">
        <f t="shared" si="12"/>
        <v>292.339026118999</v>
      </c>
      <c r="Q48" s="234">
        <f t="shared" si="3"/>
        <v>0.0238388738149898</v>
      </c>
      <c r="R48" s="225">
        <f>'[64]SPDCL_Cost Alloc_Factors'!$AB57</f>
        <v>152.662070986607</v>
      </c>
      <c r="S48" s="225">
        <f t="shared" si="13"/>
        <v>0</v>
      </c>
      <c r="T48" s="225">
        <f>'[64]SPDCL_Cost Alloc_Factors'!$AD57</f>
        <v>0</v>
      </c>
      <c r="U48" s="234">
        <f t="shared" si="14"/>
        <v>9.98846868702337e-12</v>
      </c>
      <c r="V48" s="225">
        <f>'[64]SPDCL_Cost Alloc_Factors'!$AC57</f>
        <v>9.14029023387599e-9</v>
      </c>
      <c r="W48" s="227">
        <f t="shared" si="6"/>
        <v>152.662070995747</v>
      </c>
      <c r="X48" s="234">
        <f t="shared" si="15"/>
        <v>0.016955193817218</v>
      </c>
      <c r="Y48" s="225">
        <f>'[64]SPDCL_Cost Alloc_Factors'!$AJ57</f>
        <v>292.33902609516</v>
      </c>
      <c r="Z48" s="225">
        <f t="shared" si="16"/>
        <v>0</v>
      </c>
      <c r="AA48" s="225">
        <f>'[64]SPDCL_Cost Alloc_Factors'!$AL57</f>
        <v>0</v>
      </c>
      <c r="AB48" s="234">
        <f t="shared" si="17"/>
        <v>1.49971947355582e-11</v>
      </c>
      <c r="AC48" s="225">
        <f>'[64]SPDCL_Cost Alloc_Factors'!$AK57</f>
        <v>2.38389442823645e-8</v>
      </c>
      <c r="AD48" s="227">
        <f t="shared" si="18"/>
        <v>292.339026118999</v>
      </c>
      <c r="AE48" s="234">
        <f t="shared" si="11"/>
        <v>0.0238389442823645</v>
      </c>
    </row>
    <row r="49" ht="20" customHeight="1" spans="2:31">
      <c r="B49" s="55" t="s">
        <v>945</v>
      </c>
      <c r="C49" s="72" t="s">
        <v>946</v>
      </c>
      <c r="D49" s="225">
        <f>'[64]SPDCL_Cost Alloc_Factors'!$H58</f>
        <v>251.044663358325</v>
      </c>
      <c r="E49" s="225">
        <f>'[64]SPDCL_Cost Alloc_Factors'!$J58/'[64]SPDCL_Cost Alloc_Factors'!$J$66</f>
        <v>0</v>
      </c>
      <c r="F49" s="225">
        <f>'[64]SPDCL_Cost Alloc_Factors'!$J58</f>
        <v>0</v>
      </c>
      <c r="G49" s="234">
        <f>'[64]SPDCL_Cost Alloc_Factors'!$I58/'[64]SPDCL_Cost Alloc_Factors'!$I$66</f>
        <v>2.15470088256131e-12</v>
      </c>
      <c r="H49" s="235">
        <f>'[64]SPDCL_Cost Alloc_Factors'!$I58</f>
        <v>1.01545326099312e-8</v>
      </c>
      <c r="I49" s="227">
        <f t="shared" si="0"/>
        <v>251.04466336848</v>
      </c>
      <c r="J49" s="234">
        <f t="shared" si="1"/>
        <v>0.00363804785042031</v>
      </c>
      <c r="K49" s="225">
        <f>'[64]SPDCL_Cost Alloc_Factors'!$R58</f>
        <v>45.4814037763819</v>
      </c>
      <c r="L49" s="225">
        <f>[64]SPDCL_Inp_Losses!$S56</f>
        <v>0</v>
      </c>
      <c r="M49" s="225">
        <f>'[64]SPDCL_Cost Alloc_Factors'!$T58</f>
        <v>0</v>
      </c>
      <c r="N49" s="234">
        <f>[64]SPDCL_Inp_Losses!$R56</f>
        <v>2.33322740568306e-12</v>
      </c>
      <c r="O49" s="225">
        <f>'[64]SPDCL_Cost Alloc_Factors'!$S58</f>
        <v>3.70880571434879e-9</v>
      </c>
      <c r="P49" s="227">
        <f t="shared" si="12"/>
        <v>45.4814037800907</v>
      </c>
      <c r="Q49" s="234">
        <f t="shared" si="3"/>
        <v>0.00370879475120384</v>
      </c>
      <c r="R49" s="225">
        <f>'[64]SPDCL_Cost Alloc_Factors'!$AB58</f>
        <v>28.2083579504747</v>
      </c>
      <c r="S49" s="225">
        <f t="shared" si="13"/>
        <v>0</v>
      </c>
      <c r="T49" s="225">
        <f>'[64]SPDCL_Cost Alloc_Factors'!$AD58</f>
        <v>0</v>
      </c>
      <c r="U49" s="234">
        <f t="shared" si="14"/>
        <v>1.84563394351818e-12</v>
      </c>
      <c r="V49" s="225">
        <f>'[64]SPDCL_Cost Alloc_Factors'!$AC58</f>
        <v>1.688910526512e-9</v>
      </c>
      <c r="W49" s="227">
        <f t="shared" si="6"/>
        <v>28.2083579521636</v>
      </c>
      <c r="X49" s="234">
        <f t="shared" si="15"/>
        <v>0.00313292079181685</v>
      </c>
      <c r="Y49" s="225">
        <f>'[64]SPDCL_Cost Alloc_Factors'!$AJ58</f>
        <v>45.4814037763819</v>
      </c>
      <c r="Z49" s="225">
        <f t="shared" si="16"/>
        <v>0</v>
      </c>
      <c r="AA49" s="225">
        <f>'[64]SPDCL_Cost Alloc_Factors'!$AL58</f>
        <v>0</v>
      </c>
      <c r="AB49" s="234">
        <f t="shared" si="17"/>
        <v>2.33322754882176e-12</v>
      </c>
      <c r="AC49" s="225">
        <f>'[64]SPDCL_Cost Alloc_Factors'!$AK58</f>
        <v>3.70880571434879e-9</v>
      </c>
      <c r="AD49" s="227">
        <f t="shared" si="18"/>
        <v>45.4814037800907</v>
      </c>
      <c r="AE49" s="234">
        <f t="shared" si="11"/>
        <v>0.00370880571434879</v>
      </c>
    </row>
    <row r="50" ht="20" customHeight="1" spans="2:31">
      <c r="B50" s="55" t="s">
        <v>947</v>
      </c>
      <c r="C50" s="72" t="s">
        <v>932</v>
      </c>
      <c r="D50" s="225">
        <f>'[64]SPDCL_Cost Alloc_Factors'!$H59</f>
        <v>0</v>
      </c>
      <c r="E50" s="225">
        <f>'[64]SPDCL_Cost Alloc_Factors'!$J59/'[64]SPDCL_Cost Alloc_Factors'!$J$66</f>
        <v>0</v>
      </c>
      <c r="F50" s="225">
        <f>'[64]SPDCL_Cost Alloc_Factors'!$J59</f>
        <v>0</v>
      </c>
      <c r="G50" s="225">
        <f>'[64]SPDCL_Cost Alloc_Factors'!$I59/'[64]SPDCL_Cost Alloc_Factors'!$I$66</f>
        <v>0</v>
      </c>
      <c r="H50" s="225">
        <f>'[64]SPDCL_Cost Alloc_Factors'!$I59</f>
        <v>0</v>
      </c>
      <c r="I50" s="227">
        <f t="shared" si="0"/>
        <v>0</v>
      </c>
      <c r="J50" s="225">
        <f t="shared" si="1"/>
        <v>0</v>
      </c>
      <c r="K50" s="225">
        <f>'[64]SPDCL_Cost Alloc_Factors'!$R59</f>
        <v>0</v>
      </c>
      <c r="L50" s="225">
        <f>[64]SPDCL_Inp_Losses!$S57</f>
        <v>0</v>
      </c>
      <c r="M50" s="225">
        <f>'[64]SPDCL_Cost Alloc_Factors'!$T59</f>
        <v>0</v>
      </c>
      <c r="N50" s="225">
        <f>[64]SPDCL_Inp_Losses!$R57</f>
        <v>0</v>
      </c>
      <c r="O50" s="225">
        <f>'[64]SPDCL_Cost Alloc_Factors'!$S59</f>
        <v>0</v>
      </c>
      <c r="P50" s="227">
        <f t="shared" si="12"/>
        <v>0</v>
      </c>
      <c r="Q50" s="234">
        <f t="shared" si="3"/>
        <v>0</v>
      </c>
      <c r="R50" s="225">
        <f>'[64]SPDCL_Cost Alloc_Factors'!$AB59</f>
        <v>0</v>
      </c>
      <c r="S50" s="225">
        <f t="shared" si="13"/>
        <v>0</v>
      </c>
      <c r="T50" s="225">
        <f>'[64]SPDCL_Cost Alloc_Factors'!$AD59</f>
        <v>0</v>
      </c>
      <c r="U50" s="225">
        <f t="shared" si="14"/>
        <v>0</v>
      </c>
      <c r="V50" s="225">
        <f>'[64]SPDCL_Cost Alloc_Factors'!$AC59</f>
        <v>0</v>
      </c>
      <c r="W50" s="227">
        <f t="shared" si="6"/>
        <v>0</v>
      </c>
      <c r="X50" s="225">
        <f t="shared" si="15"/>
        <v>0</v>
      </c>
      <c r="Y50" s="225">
        <f>'[64]SPDCL_Cost Alloc_Factors'!$AJ59</f>
        <v>0</v>
      </c>
      <c r="Z50" s="225">
        <f t="shared" si="16"/>
        <v>0</v>
      </c>
      <c r="AA50" s="225">
        <f>'[64]SPDCL_Cost Alloc_Factors'!$AL59</f>
        <v>0</v>
      </c>
      <c r="AB50" s="225">
        <f t="shared" si="17"/>
        <v>0</v>
      </c>
      <c r="AC50" s="225">
        <f>'[64]SPDCL_Cost Alloc_Factors'!$AK59</f>
        <v>0</v>
      </c>
      <c r="AD50" s="227">
        <f t="shared" si="18"/>
        <v>0</v>
      </c>
      <c r="AE50" s="225">
        <f t="shared" si="11"/>
        <v>0</v>
      </c>
    </row>
    <row r="51" ht="20" customHeight="1" spans="2:31">
      <c r="B51" s="55" t="s">
        <v>948</v>
      </c>
      <c r="C51" s="72" t="s">
        <v>198</v>
      </c>
      <c r="D51" s="225">
        <f>'[64]SPDCL_Cost Alloc_Factors'!$H60</f>
        <v>0</v>
      </c>
      <c r="E51" s="225">
        <f>'[64]SPDCL_Cost Alloc_Factors'!$J60/'[64]SPDCL_Cost Alloc_Factors'!$J$66</f>
        <v>0</v>
      </c>
      <c r="F51" s="225">
        <f>'[64]SPDCL_Cost Alloc_Factors'!$J60</f>
        <v>0</v>
      </c>
      <c r="G51" s="225">
        <f>'[64]SPDCL_Cost Alloc_Factors'!$I60/'[64]SPDCL_Cost Alloc_Factors'!$I$66</f>
        <v>0</v>
      </c>
      <c r="H51" s="225">
        <f>'[64]SPDCL_Cost Alloc_Factors'!$I60</f>
        <v>0</v>
      </c>
      <c r="I51" s="227">
        <f t="shared" si="0"/>
        <v>0</v>
      </c>
      <c r="J51" s="225">
        <f t="shared" si="1"/>
        <v>0</v>
      </c>
      <c r="K51" s="225">
        <f>'[64]SPDCL_Cost Alloc_Factors'!$R60</f>
        <v>0</v>
      </c>
      <c r="L51" s="241">
        <f>[64]SPDCL_Inp_Losses!$S58</f>
        <v>0</v>
      </c>
      <c r="M51" s="225">
        <f>'[64]SPDCL_Cost Alloc_Factors'!$T60</f>
        <v>0</v>
      </c>
      <c r="N51" s="241">
        <f>[64]SPDCL_Inp_Losses!$R58</f>
        <v>0</v>
      </c>
      <c r="O51" s="225">
        <f>'[64]SPDCL_Cost Alloc_Factors'!$S60</f>
        <v>0</v>
      </c>
      <c r="P51" s="227">
        <f t="shared" si="12"/>
        <v>0</v>
      </c>
      <c r="Q51" s="234">
        <f t="shared" si="3"/>
        <v>0</v>
      </c>
      <c r="R51" s="225">
        <f>'[64]SPDCL_Cost Alloc_Factors'!$AB60</f>
        <v>0</v>
      </c>
      <c r="S51" s="225">
        <f t="shared" si="13"/>
        <v>0</v>
      </c>
      <c r="T51" s="225">
        <f>'[64]SPDCL_Cost Alloc_Factors'!$AD60</f>
        <v>0</v>
      </c>
      <c r="U51" s="225">
        <f t="shared" si="14"/>
        <v>0</v>
      </c>
      <c r="V51" s="225">
        <f>'[64]SPDCL_Cost Alloc_Factors'!$AC60</f>
        <v>0</v>
      </c>
      <c r="W51" s="227">
        <f t="shared" si="6"/>
        <v>0</v>
      </c>
      <c r="X51" s="225">
        <f t="shared" si="15"/>
        <v>0</v>
      </c>
      <c r="Y51" s="225">
        <f>'[64]SPDCL_Cost Alloc_Factors'!$AJ60</f>
        <v>0</v>
      </c>
      <c r="Z51" s="225">
        <f t="shared" si="16"/>
        <v>0</v>
      </c>
      <c r="AA51" s="225">
        <f>'[64]SPDCL_Cost Alloc_Factors'!$AL60</f>
        <v>0</v>
      </c>
      <c r="AB51" s="225">
        <f t="shared" si="17"/>
        <v>0</v>
      </c>
      <c r="AC51" s="225">
        <f>'[64]SPDCL_Cost Alloc_Factors'!$AK60</f>
        <v>0</v>
      </c>
      <c r="AD51" s="227">
        <f t="shared" si="18"/>
        <v>0</v>
      </c>
      <c r="AE51" s="225">
        <f t="shared" si="11"/>
        <v>0</v>
      </c>
    </row>
    <row r="52" ht="20" customHeight="1" spans="2:31">
      <c r="B52" s="55" t="s">
        <v>949</v>
      </c>
      <c r="C52" s="72" t="s">
        <v>906</v>
      </c>
      <c r="D52" s="225">
        <f>'[64]SPDCL_Cost Alloc_Factors'!$H61</f>
        <v>0</v>
      </c>
      <c r="E52" s="225">
        <f>'[64]SPDCL_Cost Alloc_Factors'!$J61/'[64]SPDCL_Cost Alloc_Factors'!$J$66</f>
        <v>0</v>
      </c>
      <c r="F52" s="225">
        <f>'[64]SPDCL_Cost Alloc_Factors'!$J61</f>
        <v>0</v>
      </c>
      <c r="G52" s="225">
        <f>'[64]SPDCL_Cost Alloc_Factors'!$I61/'[64]SPDCL_Cost Alloc_Factors'!$I$66</f>
        <v>0</v>
      </c>
      <c r="H52" s="225">
        <f>'[64]SPDCL_Cost Alloc_Factors'!$I61</f>
        <v>0</v>
      </c>
      <c r="I52" s="227">
        <f t="shared" si="0"/>
        <v>0</v>
      </c>
      <c r="J52" s="225">
        <f t="shared" si="1"/>
        <v>0</v>
      </c>
      <c r="K52" s="225">
        <f>'[64]SPDCL_Cost Alloc_Factors'!$R61</f>
        <v>0</v>
      </c>
      <c r="L52" s="225">
        <f>[64]SPDCL_Inp_Losses!$S59</f>
        <v>0</v>
      </c>
      <c r="M52" s="225">
        <f>'[64]SPDCL_Cost Alloc_Factors'!$T61</f>
        <v>0</v>
      </c>
      <c r="N52" s="225">
        <f>[64]SPDCL_Inp_Losses!$R59</f>
        <v>0</v>
      </c>
      <c r="O52" s="225">
        <f>'[64]SPDCL_Cost Alloc_Factors'!$S61</f>
        <v>0</v>
      </c>
      <c r="P52" s="227">
        <f t="shared" si="12"/>
        <v>0</v>
      </c>
      <c r="Q52" s="234">
        <f t="shared" si="3"/>
        <v>0</v>
      </c>
      <c r="R52" s="225">
        <f>'[64]SPDCL_Cost Alloc_Factors'!$AB61</f>
        <v>0</v>
      </c>
      <c r="S52" s="225">
        <f t="shared" si="13"/>
        <v>0</v>
      </c>
      <c r="T52" s="225">
        <f>'[64]SPDCL_Cost Alloc_Factors'!$AD61</f>
        <v>0</v>
      </c>
      <c r="U52" s="225">
        <f t="shared" si="14"/>
        <v>0</v>
      </c>
      <c r="V52" s="225">
        <f>'[64]SPDCL_Cost Alloc_Factors'!$AC61</f>
        <v>0</v>
      </c>
      <c r="W52" s="227">
        <f t="shared" si="6"/>
        <v>0</v>
      </c>
      <c r="X52" s="225">
        <f t="shared" si="15"/>
        <v>0</v>
      </c>
      <c r="Y52" s="225">
        <f>'[64]SPDCL_Cost Alloc_Factors'!$AJ61</f>
        <v>0</v>
      </c>
      <c r="Z52" s="225">
        <f t="shared" si="16"/>
        <v>0</v>
      </c>
      <c r="AA52" s="225">
        <f>'[64]SPDCL_Cost Alloc_Factors'!$AL61</f>
        <v>0</v>
      </c>
      <c r="AB52" s="225">
        <f t="shared" si="17"/>
        <v>0</v>
      </c>
      <c r="AC52" s="225">
        <f>'[64]SPDCL_Cost Alloc_Factors'!$AK61</f>
        <v>0</v>
      </c>
      <c r="AD52" s="227">
        <f t="shared" si="18"/>
        <v>0</v>
      </c>
      <c r="AE52" s="225">
        <f t="shared" si="11"/>
        <v>0</v>
      </c>
    </row>
    <row r="53" ht="20" customHeight="1" spans="2:31">
      <c r="B53" s="39" t="s">
        <v>224</v>
      </c>
      <c r="C53" s="39"/>
      <c r="D53" s="227">
        <f t="shared" ref="D53:K53" si="19">SUM(D10:D52)</f>
        <v>63432.1569226329</v>
      </c>
      <c r="E53" s="236">
        <f t="shared" si="19"/>
        <v>1</v>
      </c>
      <c r="F53" s="225">
        <f t="shared" si="19"/>
        <v>860.430844594821</v>
      </c>
      <c r="G53" s="237">
        <f t="shared" si="19"/>
        <v>1</v>
      </c>
      <c r="H53" s="225">
        <f t="shared" si="19"/>
        <v>4712.73423244734</v>
      </c>
      <c r="I53" s="225">
        <f t="shared" si="19"/>
        <v>69005.3219996751</v>
      </c>
      <c r="J53" s="234">
        <f t="shared" si="19"/>
        <v>1</v>
      </c>
      <c r="K53" s="225">
        <f t="shared" si="19"/>
        <v>10528.7458668123</v>
      </c>
      <c r="L53" s="234">
        <f t="shared" ref="L53:T53" si="20">SUM(L10:L52)</f>
        <v>1</v>
      </c>
      <c r="M53" s="225">
        <f t="shared" si="20"/>
        <v>144.81615099825</v>
      </c>
      <c r="N53" s="234">
        <f t="shared" si="20"/>
        <v>0.999999999999999</v>
      </c>
      <c r="O53" s="225">
        <f t="shared" si="20"/>
        <v>1589.56032545959</v>
      </c>
      <c r="P53" s="225">
        <f t="shared" si="20"/>
        <v>12263.1223432701</v>
      </c>
      <c r="Q53" s="234">
        <f t="shared" si="20"/>
        <v>1</v>
      </c>
      <c r="R53" s="227">
        <f t="shared" si="20"/>
        <v>7977.10258728345</v>
      </c>
      <c r="S53" s="234">
        <f t="shared" si="20"/>
        <v>1</v>
      </c>
      <c r="T53" s="227">
        <f t="shared" si="20"/>
        <v>111.666075554436</v>
      </c>
      <c r="U53" s="234">
        <f t="shared" ref="U53:W53" si="21">SUM(U10:U52)</f>
        <v>1</v>
      </c>
      <c r="V53" s="227">
        <f t="shared" si="21"/>
        <v>915.084235659736</v>
      </c>
      <c r="W53" s="227">
        <f t="shared" si="21"/>
        <v>9003.85289849762</v>
      </c>
      <c r="X53" s="234">
        <f t="shared" ref="X53:Y53" si="22">SUM(X10:X52)</f>
        <v>1</v>
      </c>
      <c r="Y53" s="227">
        <f t="shared" si="22"/>
        <v>10528.7101370174</v>
      </c>
      <c r="Z53" s="234">
        <f t="shared" ref="Z53:AA53" si="23">SUM(Z10:Z52)</f>
        <v>1</v>
      </c>
      <c r="AA53" s="227">
        <f t="shared" si="23"/>
        <v>144.815728799952</v>
      </c>
      <c r="AB53" s="234">
        <f t="shared" ref="AB53:AD53" si="24">SUM(AB10:AB52)</f>
        <v>1</v>
      </c>
      <c r="AC53" s="227">
        <f t="shared" si="24"/>
        <v>1589.56022794333</v>
      </c>
      <c r="AD53" s="227">
        <f t="shared" si="24"/>
        <v>12263.0860937606</v>
      </c>
      <c r="AE53" s="234">
        <f t="shared" ref="AE53" si="25">SUM(AE10:AE52)</f>
        <v>1</v>
      </c>
    </row>
    <row r="54" spans="4:30">
      <c r="D54" s="228">
        <f>D53-'[64]SPDCL_Cost Alloc_Factors'!H66</f>
        <v>-7.27595761418343e-11</v>
      </c>
      <c r="F54" s="228">
        <f>F53-'[64]SPDCL_Cost Alloc_Factors'!J66</f>
        <v>0</v>
      </c>
      <c r="H54" s="228">
        <f>H53-'[64]SPDCL_Cost Alloc_Factors'!I66</f>
        <v>0</v>
      </c>
      <c r="I54" s="228">
        <f>I53-'[64]SPDCL_Cost Alloc_Factors'!$K$66</f>
        <v>0</v>
      </c>
      <c r="K54" s="242">
        <f>K53-'[64]SPDCL_Cost Alloc_Factors'!$R$66</f>
        <v>-1.63709046319127e-11</v>
      </c>
      <c r="M54" s="228">
        <f>M53-'[64]SPDCL_Cost Alloc_Factors'!$T$66</f>
        <v>2.27373675443232e-13</v>
      </c>
      <c r="O54" s="228">
        <f>O53-'[64]SPDCL_Cost Alloc_Factors'!$S$66</f>
        <v>-3.41060513164848e-12</v>
      </c>
      <c r="P54" s="228">
        <f>P53-'[64]SPDCL_Cost Alloc_Factors'!$U$66</f>
        <v>1.63709046319127e-11</v>
      </c>
      <c r="R54" s="228">
        <f>R53-'[64]SPDCL_Cost Alloc_Factors'!$AB$66</f>
        <v>0</v>
      </c>
      <c r="T54" s="228">
        <f>T53-'[64]SPDCL_Cost Alloc_Factors'!$AD$66</f>
        <v>-4.83169060316868e-13</v>
      </c>
      <c r="V54" s="228">
        <f>V53-'[64]SPDCL_Cost Alloc_Factors'!$AC$66</f>
        <v>0</v>
      </c>
      <c r="W54" s="228">
        <f>W53-'[64]SPDCL_Cost Alloc_Factors'!$AE$66</f>
        <v>0</v>
      </c>
      <c r="Y54" s="228">
        <f>Y53-'[64]SPDCL_Cost Alloc_Factors'!$AJ$66</f>
        <v>-4.36557456851006e-11</v>
      </c>
      <c r="AA54" s="228">
        <f>AA53-'[64]SPDCL_Cost Alloc_Factors'!$AL$66</f>
        <v>0</v>
      </c>
      <c r="AC54" s="228">
        <f>AC53-'[64]SPDCL_Cost Alloc_Factors'!$AK$66</f>
        <v>-5.22959453519434e-12</v>
      </c>
      <c r="AD54" s="228">
        <f>AD53-'[64]SPDCL_Cost Alloc_Factors'!$AM$66</f>
        <v>-5.63886715099216e-11</v>
      </c>
    </row>
    <row r="55" spans="11:15">
      <c r="K55" s="242"/>
      <c r="M55" s="243"/>
      <c r="O55" s="228"/>
    </row>
  </sheetData>
  <mergeCells count="20">
    <mergeCell ref="B2:P2"/>
    <mergeCell ref="D5:AE5"/>
    <mergeCell ref="D6:J6"/>
    <mergeCell ref="K6:AE6"/>
    <mergeCell ref="E7:F7"/>
    <mergeCell ref="G7:H7"/>
    <mergeCell ref="I7:J7"/>
    <mergeCell ref="L7:M7"/>
    <mergeCell ref="N7:O7"/>
    <mergeCell ref="P7:Q7"/>
    <mergeCell ref="S7:T7"/>
    <mergeCell ref="U7:V7"/>
    <mergeCell ref="W7:X7"/>
    <mergeCell ref="Z7:AA7"/>
    <mergeCell ref="AB7:AC7"/>
    <mergeCell ref="AD7:AE7"/>
    <mergeCell ref="B9:C9"/>
    <mergeCell ref="B20:C20"/>
    <mergeCell ref="B53:C53"/>
    <mergeCell ref="B5:C8"/>
  </mergeCells>
  <printOptions horizontalCentered="1"/>
  <pageMargins left="0.44" right="0.56" top="0.748031496062992" bottom="0.748031496062992" header="0.31496062992126" footer="0.31496062992126"/>
  <pageSetup paperSize="9" scale="36" fitToHeight="10" orientation="landscape"/>
  <headerFooter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</sheetPr>
  <dimension ref="B2:P52"/>
  <sheetViews>
    <sheetView showGridLines="0" view="pageBreakPreview" zoomScale="60" zoomScaleNormal="80" workbookViewId="0">
      <selection activeCell="P43" sqref="P43"/>
    </sheetView>
  </sheetViews>
  <sheetFormatPr defaultColWidth="9.14285714285714" defaultRowHeight="14.25"/>
  <cols>
    <col min="1" max="1" width="9.14285714285714" style="1"/>
    <col min="2" max="2" width="21.5714285714286" style="1" customWidth="1"/>
    <col min="3" max="3" width="50" style="1" customWidth="1"/>
    <col min="4" max="4" width="20" style="1" customWidth="1"/>
    <col min="5" max="5" width="28.4285714285714" style="1" customWidth="1"/>
    <col min="6" max="6" width="10.8571428571429" style="1" customWidth="1"/>
    <col min="7" max="10" width="9.14285714285714" style="1"/>
    <col min="11" max="11" width="17.5714285714286" style="1" customWidth="1"/>
    <col min="12" max="17" width="9.14285714285714" style="1"/>
    <col min="18" max="18" width="19.8571428571429" style="1" customWidth="1"/>
    <col min="19" max="24" width="9.14285714285714" style="1"/>
    <col min="25" max="25" width="19.8571428571429" style="1" customWidth="1"/>
    <col min="26" max="16384" width="9.14285714285714" style="1"/>
  </cols>
  <sheetData>
    <row r="2" ht="15" spans="2:16"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3:3">
      <c r="C3" s="3" t="s">
        <v>981</v>
      </c>
    </row>
    <row r="4" ht="15" spans="5:5">
      <c r="E4" s="4" t="s">
        <v>982</v>
      </c>
    </row>
    <row r="5" ht="15" spans="2:5">
      <c r="B5" s="224" t="s">
        <v>159</v>
      </c>
      <c r="C5" s="224"/>
      <c r="D5" s="39" t="s">
        <v>654</v>
      </c>
      <c r="E5" s="39"/>
    </row>
    <row r="6" ht="45" spans="2:5">
      <c r="B6" s="224"/>
      <c r="C6" s="224"/>
      <c r="D6" s="200" t="s">
        <v>983</v>
      </c>
      <c r="E6" s="200" t="s">
        <v>984</v>
      </c>
    </row>
    <row r="7" ht="15" spans="2:5">
      <c r="B7" s="44" t="s">
        <v>890</v>
      </c>
      <c r="C7" s="45"/>
      <c r="D7" s="8"/>
      <c r="E7" s="8"/>
    </row>
    <row r="8" spans="2:5">
      <c r="B8" s="47" t="s">
        <v>171</v>
      </c>
      <c r="C8" s="47" t="s">
        <v>172</v>
      </c>
      <c r="D8" s="225">
        <f>'[64]SPDCL_Cost Alloc_Factors'!$U11</f>
        <v>2445.06205362207</v>
      </c>
      <c r="E8" s="225">
        <f>'[64]SPDCL_Cost Alloc_Factors'!$V11</f>
        <v>2506.72755138617</v>
      </c>
    </row>
    <row r="9" spans="2:5">
      <c r="B9" s="55" t="s">
        <v>891</v>
      </c>
      <c r="C9" s="55" t="s">
        <v>174</v>
      </c>
      <c r="D9" s="225">
        <f>'[64]SPDCL_Cost Alloc_Factors'!$U12</f>
        <v>917.976649308301</v>
      </c>
      <c r="E9" s="225">
        <f>'[64]SPDCL_Cost Alloc_Factors'!$V12</f>
        <v>941.12840814876</v>
      </c>
    </row>
    <row r="10" spans="2:5">
      <c r="B10" s="55" t="s">
        <v>892</v>
      </c>
      <c r="C10" s="55" t="s">
        <v>893</v>
      </c>
      <c r="D10" s="225">
        <f>'[64]SPDCL_Cost Alloc_Factors'!$U13</f>
        <v>226.818045658513</v>
      </c>
      <c r="E10" s="225">
        <f>'[64]SPDCL_Cost Alloc_Factors'!$V13</f>
        <v>232.53849257588</v>
      </c>
    </row>
    <row r="11" spans="2:5">
      <c r="B11" s="55" t="s">
        <v>894</v>
      </c>
      <c r="C11" s="55" t="s">
        <v>895</v>
      </c>
      <c r="D11" s="225">
        <f>'[64]SPDCL_Cost Alloc_Factors'!$U14</f>
        <v>2.12045539773549</v>
      </c>
      <c r="E11" s="225">
        <f>'[64]SPDCL_Cost Alloc_Factors'!$V14</f>
        <v>2.17393417852726</v>
      </c>
    </row>
    <row r="12" spans="2:5">
      <c r="B12" s="55" t="s">
        <v>896</v>
      </c>
      <c r="C12" s="55" t="s">
        <v>202</v>
      </c>
      <c r="D12" s="225">
        <f>'[64]SPDCL_Cost Alloc_Factors'!$U15</f>
        <v>3765.53982820289</v>
      </c>
      <c r="E12" s="225">
        <f>'[64]SPDCL_Cost Alloc_Factors'!$V15</f>
        <v>3860.5083331996</v>
      </c>
    </row>
    <row r="13" spans="2:5">
      <c r="B13" s="55" t="s">
        <v>897</v>
      </c>
      <c r="C13" s="55" t="s">
        <v>898</v>
      </c>
      <c r="D13" s="225">
        <f>'[64]SPDCL_Cost Alloc_Factors'!$U16</f>
        <v>114.71528785313</v>
      </c>
      <c r="E13" s="225">
        <f>'[64]SPDCL_Cost Alloc_Factors'!$V16</f>
        <v>117.60845586747</v>
      </c>
    </row>
    <row r="14" spans="2:5">
      <c r="B14" s="55" t="s">
        <v>899</v>
      </c>
      <c r="C14" s="55" t="s">
        <v>900</v>
      </c>
      <c r="D14" s="225">
        <f>'[64]SPDCL_Cost Alloc_Factors'!$U17</f>
        <v>53.5350308626683</v>
      </c>
      <c r="E14" s="225">
        <f>'[64]SPDCL_Cost Alloc_Factors'!$V17</f>
        <v>54.8852069537301</v>
      </c>
    </row>
    <row r="15" spans="2:5">
      <c r="B15" s="55" t="s">
        <v>901</v>
      </c>
      <c r="C15" s="55" t="s">
        <v>902</v>
      </c>
      <c r="D15" s="225">
        <f>'[64]SPDCL_Cost Alloc_Factors'!$U18</f>
        <v>6.63893571150308</v>
      </c>
      <c r="E15" s="225">
        <f>'[64]SPDCL_Cost Alloc_Factors'!$V18</f>
        <v>6.80637247437265</v>
      </c>
    </row>
    <row r="16" hidden="1" spans="2:5">
      <c r="B16" s="55" t="s">
        <v>903</v>
      </c>
      <c r="C16" s="55" t="s">
        <v>904</v>
      </c>
      <c r="D16" s="225">
        <f>'[64]SPDCL_Cost Alloc_Factors'!$U19</f>
        <v>0</v>
      </c>
      <c r="E16" s="225">
        <f>'[64]SPDCL_Cost Alloc_Factors'!$V19</f>
        <v>0</v>
      </c>
    </row>
    <row r="17" hidden="1" spans="2:5">
      <c r="B17" s="55" t="s">
        <v>905</v>
      </c>
      <c r="C17" s="67" t="s">
        <v>906</v>
      </c>
      <c r="D17" s="225">
        <f>'[64]SPDCL_Cost Alloc_Factors'!$U20</f>
        <v>0</v>
      </c>
      <c r="E17" s="225">
        <f>'[64]SPDCL_Cost Alloc_Factors'!$V20</f>
        <v>0</v>
      </c>
    </row>
    <row r="18" ht="15" spans="2:5">
      <c r="B18" s="44" t="s">
        <v>907</v>
      </c>
      <c r="C18" s="45"/>
      <c r="D18" s="8"/>
      <c r="E18" s="8"/>
    </row>
    <row r="19" ht="15" spans="2:5">
      <c r="B19" s="55"/>
      <c r="C19" s="54" t="s">
        <v>908</v>
      </c>
      <c r="D19" s="8"/>
      <c r="E19" s="8"/>
    </row>
    <row r="20" spans="2:5">
      <c r="B20" s="55" t="s">
        <v>909</v>
      </c>
      <c r="C20" s="72" t="s">
        <v>910</v>
      </c>
      <c r="D20" s="225">
        <f>'[64]SPDCL_Cost Alloc_Factors'!$U25</f>
        <v>908.807819156208</v>
      </c>
      <c r="E20" s="225">
        <f>'[64]SPDCL_Cost Alloc_Factors'!$V25</f>
        <v>931.728336227402</v>
      </c>
    </row>
    <row r="21" spans="2:5">
      <c r="B21" s="55" t="s">
        <v>911</v>
      </c>
      <c r="C21" s="72" t="s">
        <v>912</v>
      </c>
      <c r="D21" s="225">
        <f>'[64]SPDCL_Cost Alloc_Factors'!$U26</f>
        <v>0.147190966152094</v>
      </c>
      <c r="E21" s="225">
        <f>'[64]SPDCL_Cost Alloc_Factors'!$V26</f>
        <v>0.150903184490562</v>
      </c>
    </row>
    <row r="22" spans="2:5">
      <c r="B22" s="55" t="s">
        <v>913</v>
      </c>
      <c r="C22" s="72" t="s">
        <v>440</v>
      </c>
      <c r="D22" s="225">
        <f>'[64]SPDCL_Cost Alloc_Factors'!$U27</f>
        <v>462.653675182818</v>
      </c>
      <c r="E22" s="225">
        <f>'[64]SPDCL_Cost Alloc_Factors'!$V27</f>
        <v>474.321996291591</v>
      </c>
    </row>
    <row r="23" spans="2:5">
      <c r="B23" s="55" t="s">
        <v>914</v>
      </c>
      <c r="C23" s="55" t="s">
        <v>915</v>
      </c>
      <c r="D23" s="225">
        <f>'[64]SPDCL_Cost Alloc_Factors'!$U28</f>
        <v>1.38648464691493</v>
      </c>
      <c r="E23" s="225">
        <f>'[64]SPDCL_Cost Alloc_Factors'!$V28</f>
        <v>1.4214523753485</v>
      </c>
    </row>
    <row r="24" spans="2:5">
      <c r="B24" s="55" t="s">
        <v>916</v>
      </c>
      <c r="C24" s="72" t="s">
        <v>917</v>
      </c>
      <c r="D24" s="225">
        <f>'[64]SPDCL_Cost Alloc_Factors'!$U29</f>
        <v>29.7536354151782</v>
      </c>
      <c r="E24" s="225">
        <f>'[64]SPDCL_Cost Alloc_Factors'!$V29</f>
        <v>30.5040346680113</v>
      </c>
    </row>
    <row r="25" spans="2:5">
      <c r="B25" s="55" t="s">
        <v>918</v>
      </c>
      <c r="C25" s="72" t="s">
        <v>919</v>
      </c>
      <c r="D25" s="225">
        <f>'[64]SPDCL_Cost Alloc_Factors'!$U30</f>
        <v>70.0444590521239</v>
      </c>
      <c r="E25" s="225">
        <f>'[64]SPDCL_Cost Alloc_Factors'!$V30</f>
        <v>71.8110098955546</v>
      </c>
    </row>
    <row r="26" spans="2:5">
      <c r="B26" s="55" t="s">
        <v>980</v>
      </c>
      <c r="C26" s="72" t="s">
        <v>973</v>
      </c>
      <c r="D26" s="225">
        <f>'[64]SPDCL_Cost Alloc_Factors'!$U31</f>
        <v>61.6624296924294</v>
      </c>
      <c r="E26" s="225">
        <f>'[64]SPDCL_Cost Alloc_Factors'!$V31</f>
        <v>63.2175822149164</v>
      </c>
    </row>
    <row r="27" spans="2:5">
      <c r="B27" s="55" t="s">
        <v>922</v>
      </c>
      <c r="C27" s="72" t="s">
        <v>198</v>
      </c>
      <c r="D27" s="225">
        <f>'[64]SPDCL_Cost Alloc_Factors'!$U32</f>
        <v>0.0602069195316356</v>
      </c>
      <c r="E27" s="225">
        <f>'[64]SPDCL_Cost Alloc_Factors'!$V32</f>
        <v>0.0617253634730732</v>
      </c>
    </row>
    <row r="28" hidden="1" spans="2:5">
      <c r="B28" s="55" t="s">
        <v>923</v>
      </c>
      <c r="C28" s="72" t="s">
        <v>906</v>
      </c>
      <c r="D28" s="225">
        <f>'[64]SPDCL_Cost Alloc_Factors'!$U33</f>
        <v>0</v>
      </c>
      <c r="E28" s="225">
        <f>'[64]SPDCL_Cost Alloc_Factors'!$V33</f>
        <v>0</v>
      </c>
    </row>
    <row r="29" ht="15" spans="2:5">
      <c r="B29" s="55"/>
      <c r="C29" s="226" t="s">
        <v>924</v>
      </c>
      <c r="D29" s="8"/>
      <c r="E29" s="8"/>
    </row>
    <row r="30" spans="2:5">
      <c r="B30" s="55" t="s">
        <v>925</v>
      </c>
      <c r="C30" s="72" t="s">
        <v>910</v>
      </c>
      <c r="D30" s="225">
        <f>'[64]SPDCL_Cost Alloc_Factors'!$U38</f>
        <v>1258.91420577352</v>
      </c>
      <c r="E30" s="225">
        <f>'[64]SPDCL_Cost Alloc_Factors'!$V38</f>
        <v>1290.66455379692</v>
      </c>
    </row>
    <row r="31" spans="2:5">
      <c r="B31" s="55" t="s">
        <v>926</v>
      </c>
      <c r="C31" s="72" t="s">
        <v>912</v>
      </c>
      <c r="D31" s="225">
        <f>'[64]SPDCL_Cost Alloc_Factors'!$U39</f>
        <v>0.0811649157866896</v>
      </c>
      <c r="E31" s="225">
        <f>'[64]SPDCL_Cost Alloc_Factors'!$V39</f>
        <v>0.0832119292461448</v>
      </c>
    </row>
    <row r="32" spans="2:5">
      <c r="B32" s="55" t="s">
        <v>927</v>
      </c>
      <c r="C32" s="72" t="s">
        <v>440</v>
      </c>
      <c r="D32" s="225">
        <f>'[64]SPDCL_Cost Alloc_Factors'!$U40</f>
        <v>305.850474432709</v>
      </c>
      <c r="E32" s="225">
        <f>'[64]SPDCL_Cost Alloc_Factors'!$V40</f>
        <v>313.564152586333</v>
      </c>
    </row>
    <row r="33" spans="2:5">
      <c r="B33" s="55" t="s">
        <v>928</v>
      </c>
      <c r="C33" s="72" t="s">
        <v>915</v>
      </c>
      <c r="D33" s="225">
        <f>'[64]SPDCL_Cost Alloc_Factors'!$U41</f>
        <v>0</v>
      </c>
      <c r="E33" s="225">
        <f>'[64]SPDCL_Cost Alloc_Factors'!$V41</f>
        <v>0</v>
      </c>
    </row>
    <row r="34" spans="2:5">
      <c r="B34" s="55" t="s">
        <v>929</v>
      </c>
      <c r="C34" s="72" t="s">
        <v>917</v>
      </c>
      <c r="D34" s="225">
        <f>'[64]SPDCL_Cost Alloc_Factors'!$U42</f>
        <v>77.4209139211576</v>
      </c>
      <c r="E34" s="225">
        <f>'[64]SPDCL_Cost Alloc_Factors'!$V42</f>
        <v>79.373502072132</v>
      </c>
    </row>
    <row r="35" spans="2:5">
      <c r="B35" s="55" t="s">
        <v>930</v>
      </c>
      <c r="C35" s="72" t="s">
        <v>222</v>
      </c>
      <c r="D35" s="225">
        <f>'[64]SPDCL_Cost Alloc_Factors'!$U43</f>
        <v>0</v>
      </c>
      <c r="E35" s="225">
        <f>'[64]SPDCL_Cost Alloc_Factors'!$V43</f>
        <v>0</v>
      </c>
    </row>
    <row r="36" spans="2:5">
      <c r="B36" s="55" t="s">
        <v>931</v>
      </c>
      <c r="C36" s="72" t="s">
        <v>932</v>
      </c>
      <c r="D36" s="225">
        <f>'[64]SPDCL_Cost Alloc_Factors'!$U44</f>
        <v>39.3855850374145</v>
      </c>
      <c r="E36" s="225">
        <f>'[64]SPDCL_Cost Alloc_Factors'!$V44</f>
        <v>40.3789061281674</v>
      </c>
    </row>
    <row r="37" spans="2:5">
      <c r="B37" s="55" t="s">
        <v>933</v>
      </c>
      <c r="C37" s="72" t="s">
        <v>934</v>
      </c>
      <c r="D37" s="225">
        <f>'[64]SPDCL_Cost Alloc_Factors'!$U45</f>
        <v>0</v>
      </c>
      <c r="E37" s="225">
        <f>'[64]SPDCL_Cost Alloc_Factors'!$V45</f>
        <v>0</v>
      </c>
    </row>
    <row r="38" spans="2:5">
      <c r="B38" s="55" t="s">
        <v>935</v>
      </c>
      <c r="C38" s="72" t="s">
        <v>198</v>
      </c>
      <c r="D38" s="225">
        <f>'[64]SPDCL_Cost Alloc_Factors'!$U46</f>
        <v>0.633062095348975</v>
      </c>
      <c r="E38" s="225">
        <f>'[64]SPDCL_Cost Alloc_Factors'!$V46</f>
        <v>0.64902818879329</v>
      </c>
    </row>
    <row r="39" hidden="1" spans="2:5">
      <c r="B39" s="55" t="s">
        <v>936</v>
      </c>
      <c r="C39" s="72" t="s">
        <v>906</v>
      </c>
      <c r="D39" s="225">
        <f>'[64]SPDCL_Cost Alloc_Factors'!$U47</f>
        <v>0</v>
      </c>
      <c r="E39" s="225">
        <f>'[64]SPDCL_Cost Alloc_Factors'!$V47</f>
        <v>0</v>
      </c>
    </row>
    <row r="40" ht="15" spans="2:5">
      <c r="B40" s="55"/>
      <c r="C40" s="226" t="s">
        <v>937</v>
      </c>
      <c r="D40" s="8"/>
      <c r="E40" s="8"/>
    </row>
    <row r="41" spans="2:5">
      <c r="B41" s="55" t="s">
        <v>938</v>
      </c>
      <c r="C41" s="72" t="s">
        <v>910</v>
      </c>
      <c r="D41" s="225">
        <f>'[64]SPDCL_Cost Alloc_Factors'!$U52</f>
        <v>737.324896571073</v>
      </c>
      <c r="E41" s="225">
        <f>'[64]SPDCL_Cost Alloc_Factors'!$V52</f>
        <v>755.920541901859</v>
      </c>
    </row>
    <row r="42" spans="2:5">
      <c r="B42" s="55" t="s">
        <v>939</v>
      </c>
      <c r="C42" s="72" t="s">
        <v>912</v>
      </c>
      <c r="D42" s="225">
        <f>'[64]SPDCL_Cost Alloc_Factors'!$U53</f>
        <v>23.1074129717938</v>
      </c>
      <c r="E42" s="225">
        <f>'[64]SPDCL_Cost Alloc_Factors'!$V53</f>
        <v>23.6901916873014</v>
      </c>
    </row>
    <row r="43" spans="2:5">
      <c r="B43" s="55" t="s">
        <v>940</v>
      </c>
      <c r="C43" s="72" t="s">
        <v>440</v>
      </c>
      <c r="D43" s="225">
        <f>'[64]SPDCL_Cost Alloc_Factors'!$U54</f>
        <v>65.1981446537729</v>
      </c>
      <c r="E43" s="225">
        <f>'[64]SPDCL_Cost Alloc_Factors'!$V54</f>
        <v>66.8424694010385</v>
      </c>
    </row>
    <row r="44" spans="2:5">
      <c r="B44" s="55" t="s">
        <v>941</v>
      </c>
      <c r="C44" s="72" t="s">
        <v>915</v>
      </c>
      <c r="D44" s="225">
        <f>'[64]SPDCL_Cost Alloc_Factors'!$U55</f>
        <v>21.1633498201447</v>
      </c>
      <c r="E44" s="225">
        <f>'[64]SPDCL_Cost Alloc_Factors'!$V55</f>
        <v>21.6970984418133</v>
      </c>
    </row>
    <row r="45" spans="2:5">
      <c r="B45" s="55" t="s">
        <v>942</v>
      </c>
      <c r="C45" s="72" t="s">
        <v>917</v>
      </c>
      <c r="D45" s="225">
        <f>'[64]SPDCL_Cost Alloc_Factors'!$U56</f>
        <v>329.300515530143</v>
      </c>
      <c r="E45" s="225">
        <f>'[64]SPDCL_Cost Alloc_Factors'!$V56</f>
        <v>337.605613625326</v>
      </c>
    </row>
    <row r="46" spans="2:5">
      <c r="B46" s="55" t="s">
        <v>943</v>
      </c>
      <c r="C46" s="72" t="s">
        <v>944</v>
      </c>
      <c r="D46" s="225">
        <f>'[64]SPDCL_Cost Alloc_Factors'!$U57</f>
        <v>292.339026118999</v>
      </c>
      <c r="E46" s="225">
        <f>'[64]SPDCL_Cost Alloc_Factors'!$V57</f>
        <v>299.71193983904</v>
      </c>
    </row>
    <row r="47" spans="2:5">
      <c r="B47" s="55" t="s">
        <v>945</v>
      </c>
      <c r="C47" s="72" t="s">
        <v>946</v>
      </c>
      <c r="D47" s="225">
        <f>'[64]SPDCL_Cost Alloc_Factors'!$U58</f>
        <v>45.4814037800907</v>
      </c>
      <c r="E47" s="225">
        <f>'[64]SPDCL_Cost Alloc_Factors'!$V58</f>
        <v>46.6284639943518</v>
      </c>
    </row>
    <row r="48" spans="2:5">
      <c r="B48" s="55" t="s">
        <v>947</v>
      </c>
      <c r="C48" s="72" t="s">
        <v>932</v>
      </c>
      <c r="D48" s="225">
        <f>'[64]SPDCL_Cost Alloc_Factors'!$U59</f>
        <v>0</v>
      </c>
      <c r="E48" s="225">
        <f>'[64]SPDCL_Cost Alloc_Factors'!$V59</f>
        <v>0</v>
      </c>
    </row>
    <row r="49" spans="2:5">
      <c r="B49" s="55" t="s">
        <v>948</v>
      </c>
      <c r="C49" s="72" t="s">
        <v>198</v>
      </c>
      <c r="D49" s="225">
        <f>'[64]SPDCL_Cost Alloc_Factors'!$U60</f>
        <v>0</v>
      </c>
      <c r="E49" s="225">
        <f>'[64]SPDCL_Cost Alloc_Factors'!$V60</f>
        <v>0</v>
      </c>
    </row>
    <row r="50" hidden="1" spans="2:5">
      <c r="B50" s="55" t="s">
        <v>949</v>
      </c>
      <c r="C50" s="72" t="s">
        <v>906</v>
      </c>
      <c r="D50" s="225">
        <f>'[64]SPDCL_Cost Alloc_Factors'!$U61</f>
        <v>0</v>
      </c>
      <c r="E50" s="225">
        <f>'[64]SPDCL_Cost Alloc_Factors'!$V61</f>
        <v>0</v>
      </c>
    </row>
    <row r="51" ht="15" spans="2:6">
      <c r="B51" s="39" t="s">
        <v>224</v>
      </c>
      <c r="C51" s="39"/>
      <c r="D51" s="227">
        <f>SUM(D8:D50)</f>
        <v>12263.1223432701</v>
      </c>
      <c r="E51" s="227">
        <f>SUM(E8:E50)</f>
        <v>12572.4034685976</v>
      </c>
      <c r="F51" s="228"/>
    </row>
    <row r="52" spans="4:5">
      <c r="D52" s="228">
        <f>D51-'[64]SPDCL_Cost Alloc_Factors'!$U$66</f>
        <v>2.18278728425503e-11</v>
      </c>
      <c r="E52" s="228">
        <f>E51-'[64]SPDCL_Cost Alloc_Factors'!$V$66</f>
        <v>2.18278728425503e-11</v>
      </c>
    </row>
  </sheetData>
  <mergeCells count="6">
    <mergeCell ref="B2:P2"/>
    <mergeCell ref="D5:E5"/>
    <mergeCell ref="B7:C7"/>
    <mergeCell ref="B18:C18"/>
    <mergeCell ref="B51:C51"/>
    <mergeCell ref="B5:C6"/>
  </mergeCells>
  <printOptions horizontalCentered="1"/>
  <pageMargins left="0.314583333333333" right="0.314583333333333" top="0.354166666666667" bottom="0.354166666666667" header="0.314583333333333" footer="0.314583333333333"/>
  <pageSetup paperSize="9" scale="70" orientation="portrait" horizontalDpi="600"/>
  <headerFooter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  <pageSetUpPr fitToPage="1"/>
  </sheetPr>
  <dimension ref="B2:P52"/>
  <sheetViews>
    <sheetView showGridLines="0" view="pageBreakPreview" zoomScale="60" zoomScaleNormal="80" workbookViewId="0">
      <selection activeCell="J41" sqref="J41"/>
    </sheetView>
  </sheetViews>
  <sheetFormatPr defaultColWidth="9.14285714285714" defaultRowHeight="14.25"/>
  <cols>
    <col min="1" max="1" width="9.14285714285714" style="1"/>
    <col min="2" max="2" width="22.8571428571429" style="1" customWidth="1"/>
    <col min="3" max="3" width="50.9523809523809" style="1" customWidth="1"/>
    <col min="4" max="4" width="24.5714285714286" style="1" customWidth="1"/>
    <col min="5" max="5" width="28.4285714285714" style="1" customWidth="1"/>
    <col min="6" max="10" width="9.14285714285714" style="1"/>
    <col min="11" max="11" width="17.5714285714286" style="1" customWidth="1"/>
    <col min="12" max="17" width="9.14285714285714" style="1"/>
    <col min="18" max="18" width="19.8571428571429" style="1" customWidth="1"/>
    <col min="19" max="24" width="9.14285714285714" style="1"/>
    <col min="25" max="25" width="19.8571428571429" style="1" customWidth="1"/>
    <col min="26" max="16384" width="9.14285714285714" style="1"/>
  </cols>
  <sheetData>
    <row r="2" ht="15" spans="2:16"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4:4">
      <c r="D3" s="3" t="s">
        <v>985</v>
      </c>
    </row>
    <row r="4" ht="15" spans="5:5">
      <c r="E4" s="4" t="s">
        <v>109</v>
      </c>
    </row>
    <row r="5" ht="15" spans="2:5">
      <c r="B5" s="224" t="s">
        <v>159</v>
      </c>
      <c r="C5" s="224"/>
      <c r="D5" s="39" t="s">
        <v>654</v>
      </c>
      <c r="E5" s="39"/>
    </row>
    <row r="6" ht="15" spans="2:5">
      <c r="B6" s="224"/>
      <c r="C6" s="224"/>
      <c r="D6" s="200" t="s">
        <v>881</v>
      </c>
      <c r="E6" s="200" t="s">
        <v>882</v>
      </c>
    </row>
    <row r="7" ht="15" spans="2:5">
      <c r="B7" s="44" t="s">
        <v>890</v>
      </c>
      <c r="C7" s="45"/>
      <c r="D7" s="8"/>
      <c r="E7" s="8"/>
    </row>
    <row r="8" spans="2:5">
      <c r="B8" s="47" t="s">
        <v>171</v>
      </c>
      <c r="C8" s="47" t="s">
        <v>172</v>
      </c>
      <c r="D8" s="225">
        <f>[64]SPDCL_Output!$H9</f>
        <v>2860.08687229615</v>
      </c>
      <c r="E8" s="225">
        <f>[64]SPDCL_Output!$I9</f>
        <v>4551.60752393969</v>
      </c>
    </row>
    <row r="9" spans="2:5">
      <c r="B9" s="55" t="s">
        <v>891</v>
      </c>
      <c r="C9" s="55" t="s">
        <v>174</v>
      </c>
      <c r="D9" s="225">
        <f>[64]SPDCL_Output!$H10</f>
        <v>1076.68788409886</v>
      </c>
      <c r="E9" s="225">
        <f>[64]SPDCL_Output!$I10</f>
        <v>1590.47019815334</v>
      </c>
    </row>
    <row r="10" spans="2:5">
      <c r="B10" s="55" t="s">
        <v>892</v>
      </c>
      <c r="C10" s="55" t="s">
        <v>893</v>
      </c>
      <c r="D10" s="225">
        <f>[64]SPDCL_Output!$H11</f>
        <v>270.437544251772</v>
      </c>
      <c r="E10" s="225">
        <f>[64]SPDCL_Output!$I11</f>
        <v>378.939223859728</v>
      </c>
    </row>
    <row r="11" spans="2:5">
      <c r="B11" s="55" t="s">
        <v>894</v>
      </c>
      <c r="C11" s="55" t="s">
        <v>895</v>
      </c>
      <c r="D11" s="225">
        <f>[64]SPDCL_Output!$H12</f>
        <v>2.47027630730939</v>
      </c>
      <c r="E11" s="225">
        <f>[64]SPDCL_Output!$I12</f>
        <v>3.47975760024477</v>
      </c>
    </row>
    <row r="12" spans="2:5">
      <c r="B12" s="55" t="s">
        <v>896</v>
      </c>
      <c r="C12" s="55" t="s">
        <v>202</v>
      </c>
      <c r="D12" s="225">
        <f>[64]SPDCL_Output!$H13</f>
        <v>4497.5723226755</v>
      </c>
      <c r="E12" s="225">
        <f>[64]SPDCL_Output!$I13</f>
        <v>6193.04835854391</v>
      </c>
    </row>
    <row r="13" spans="2:5">
      <c r="B13" s="55" t="s">
        <v>897</v>
      </c>
      <c r="C13" s="55" t="s">
        <v>898</v>
      </c>
      <c r="D13" s="225">
        <f>[64]SPDCL_Output!$H14</f>
        <v>130.587324290344</v>
      </c>
      <c r="E13" s="225">
        <f>[64]SPDCL_Output!$I14</f>
        <v>188.995378671643</v>
      </c>
    </row>
    <row r="14" spans="2:5">
      <c r="B14" s="55" t="s">
        <v>899</v>
      </c>
      <c r="C14" s="55" t="s">
        <v>900</v>
      </c>
      <c r="D14" s="225">
        <f>[64]SPDCL_Output!$H15</f>
        <v>61.9415025006799</v>
      </c>
      <c r="E14" s="225">
        <f>[64]SPDCL_Output!$I15</f>
        <v>96.0189750212103</v>
      </c>
    </row>
    <row r="15" spans="2:5">
      <c r="B15" s="55" t="s">
        <v>901</v>
      </c>
      <c r="C15" s="55" t="s">
        <v>902</v>
      </c>
      <c r="D15" s="225">
        <f>[64]SPDCL_Output!$H16</f>
        <v>8.83669036624993</v>
      </c>
      <c r="E15" s="225">
        <f>[64]SPDCL_Output!$I16</f>
        <v>16.8965427816583</v>
      </c>
    </row>
    <row r="16" hidden="1" spans="2:5">
      <c r="B16" s="55" t="s">
        <v>903</v>
      </c>
      <c r="C16" s="55" t="s">
        <v>904</v>
      </c>
      <c r="D16" s="225">
        <f>[64]SPDCL_Output!$H17</f>
        <v>0</v>
      </c>
      <c r="E16" s="225">
        <f>[64]SPDCL_Output!$I17</f>
        <v>0</v>
      </c>
    </row>
    <row r="17" hidden="1" spans="2:5">
      <c r="B17" s="55" t="s">
        <v>905</v>
      </c>
      <c r="C17" s="67" t="s">
        <v>906</v>
      </c>
      <c r="D17" s="225">
        <f>[64]SPDCL_Output!$H18</f>
        <v>0</v>
      </c>
      <c r="E17" s="225">
        <f>[64]SPDCL_Output!$I18</f>
        <v>0</v>
      </c>
    </row>
    <row r="18" ht="15" spans="2:5">
      <c r="B18" s="44" t="s">
        <v>907</v>
      </c>
      <c r="C18" s="45"/>
      <c r="D18" s="8"/>
      <c r="E18" s="8"/>
    </row>
    <row r="19" ht="15" spans="2:5">
      <c r="B19" s="55"/>
      <c r="C19" s="54" t="s">
        <v>908</v>
      </c>
      <c r="D19" s="8"/>
      <c r="E19" s="8"/>
    </row>
    <row r="20" spans="2:5">
      <c r="B20" s="55" t="s">
        <v>909</v>
      </c>
      <c r="C20" s="72" t="s">
        <v>910</v>
      </c>
      <c r="D20" s="225">
        <f>[64]SPDCL_Output!$H23</f>
        <v>1095.51478028519</v>
      </c>
      <c r="E20" s="225">
        <f>[64]SPDCL_Output!$I23</f>
        <v>1592.62576307612</v>
      </c>
    </row>
    <row r="21" spans="2:5">
      <c r="B21" s="55" t="s">
        <v>911</v>
      </c>
      <c r="C21" s="72" t="s">
        <v>912</v>
      </c>
      <c r="D21" s="225">
        <f>[64]SPDCL_Output!$H24</f>
        <v>0.148837437895967</v>
      </c>
      <c r="E21" s="225">
        <f>[64]SPDCL_Output!$I24</f>
        <v>0.186378358263898</v>
      </c>
    </row>
    <row r="22" spans="2:5">
      <c r="B22" s="55" t="s">
        <v>913</v>
      </c>
      <c r="C22" s="72" t="s">
        <v>440</v>
      </c>
      <c r="D22" s="225">
        <f>[64]SPDCL_Output!$H25</f>
        <v>542.17022686298</v>
      </c>
      <c r="E22" s="225">
        <f>[64]SPDCL_Output!$I25</f>
        <v>885.878153409585</v>
      </c>
    </row>
    <row r="23" spans="2:5">
      <c r="B23" s="55" t="s">
        <v>914</v>
      </c>
      <c r="C23" s="55" t="s">
        <v>915</v>
      </c>
      <c r="D23" s="225">
        <f>[64]SPDCL_Output!$H26</f>
        <v>1.59003342050587</v>
      </c>
      <c r="E23" s="225">
        <f>[64]SPDCL_Output!$I26</f>
        <v>2.06230620699967</v>
      </c>
    </row>
    <row r="24" spans="2:5">
      <c r="B24" s="55" t="s">
        <v>916</v>
      </c>
      <c r="C24" s="72" t="s">
        <v>917</v>
      </c>
      <c r="D24" s="225">
        <f>[64]SPDCL_Output!$H27</f>
        <v>35.983913962728</v>
      </c>
      <c r="E24" s="225">
        <f>[64]SPDCL_Output!$I27</f>
        <v>56.1043787064951</v>
      </c>
    </row>
    <row r="25" spans="2:5">
      <c r="B25" s="55" t="s">
        <v>918</v>
      </c>
      <c r="C25" s="72" t="s">
        <v>919</v>
      </c>
      <c r="D25" s="225">
        <f>[64]SPDCL_Output!$H28</f>
        <v>72.9412182870084</v>
      </c>
      <c r="E25" s="225">
        <f>[64]SPDCL_Output!$I28</f>
        <v>112.014810268724</v>
      </c>
    </row>
    <row r="26" spans="2:5">
      <c r="B26" s="55" t="s">
        <v>980</v>
      </c>
      <c r="C26" s="72" t="s">
        <v>973</v>
      </c>
      <c r="D26" s="225">
        <f>[64]SPDCL_Output!$H29</f>
        <v>71.0809184653423</v>
      </c>
      <c r="E26" s="225">
        <f>[64]SPDCL_Output!$I29</f>
        <v>116.745581585708</v>
      </c>
    </row>
    <row r="27" spans="2:5">
      <c r="B27" s="55" t="s">
        <v>922</v>
      </c>
      <c r="C27" s="72" t="s">
        <v>198</v>
      </c>
      <c r="D27" s="225">
        <f>[64]SPDCL_Output!$H30</f>
        <v>0.0807727238770132</v>
      </c>
      <c r="E27" s="225">
        <f>[64]SPDCL_Output!$I30</f>
        <v>0.156889161449057</v>
      </c>
    </row>
    <row r="28" hidden="1" spans="2:5">
      <c r="B28" s="55" t="s">
        <v>923</v>
      </c>
      <c r="C28" s="72" t="s">
        <v>906</v>
      </c>
      <c r="D28" s="225">
        <f>[64]SPDCL_Output!$H31</f>
        <v>0</v>
      </c>
      <c r="E28" s="225">
        <f>[64]SPDCL_Output!$I31</f>
        <v>0</v>
      </c>
    </row>
    <row r="29" ht="15" spans="2:5">
      <c r="B29" s="55"/>
      <c r="C29" s="226" t="s">
        <v>924</v>
      </c>
      <c r="D29" s="8"/>
      <c r="E29" s="8"/>
    </row>
    <row r="30" spans="2:5">
      <c r="B30" s="55" t="s">
        <v>925</v>
      </c>
      <c r="C30" s="72" t="s">
        <v>910</v>
      </c>
      <c r="D30" s="225">
        <f>[64]SPDCL_Output!$H36</f>
        <v>1477.45668440042</v>
      </c>
      <c r="E30" s="225">
        <f>[64]SPDCL_Output!$I36</f>
        <v>2517.02699161997</v>
      </c>
    </row>
    <row r="31" spans="2:5">
      <c r="B31" s="55" t="s">
        <v>926</v>
      </c>
      <c r="C31" s="72" t="s">
        <v>912</v>
      </c>
      <c r="D31" s="225">
        <f>[64]SPDCL_Output!$H37</f>
        <v>0.0988650147787263</v>
      </c>
      <c r="E31" s="225">
        <f>[64]SPDCL_Output!$I37</f>
        <v>0.175716134474115</v>
      </c>
    </row>
    <row r="32" spans="2:5">
      <c r="B32" s="55" t="s">
        <v>927</v>
      </c>
      <c r="C32" s="72" t="s">
        <v>440</v>
      </c>
      <c r="D32" s="225">
        <f>[64]SPDCL_Output!$H38</f>
        <v>360.010854702583</v>
      </c>
      <c r="E32" s="225">
        <f>[64]SPDCL_Output!$I38</f>
        <v>580.362868373959</v>
      </c>
    </row>
    <row r="33" spans="2:5">
      <c r="B33" s="55" t="s">
        <v>928</v>
      </c>
      <c r="C33" s="72" t="s">
        <v>915</v>
      </c>
      <c r="D33" s="225">
        <f>[64]SPDCL_Output!$H39</f>
        <v>0</v>
      </c>
      <c r="E33" s="225">
        <f>[64]SPDCL_Output!$I39</f>
        <v>0</v>
      </c>
    </row>
    <row r="34" spans="2:5">
      <c r="B34" s="55" t="s">
        <v>929</v>
      </c>
      <c r="C34" s="72" t="s">
        <v>917</v>
      </c>
      <c r="D34" s="225">
        <f>[64]SPDCL_Output!$H40</f>
        <v>86.5149950395889</v>
      </c>
      <c r="E34" s="225">
        <f>[64]SPDCL_Output!$I40</f>
        <v>120.718463027867</v>
      </c>
    </row>
    <row r="35" spans="2:5">
      <c r="B35" s="55" t="s">
        <v>930</v>
      </c>
      <c r="C35" s="72" t="s">
        <v>222</v>
      </c>
      <c r="D35" s="225">
        <f>[64]SPDCL_Output!$H41</f>
        <v>6.2212116965042e-9</v>
      </c>
      <c r="E35" s="225">
        <f>[64]SPDCL_Output!$I41</f>
        <v>0</v>
      </c>
    </row>
    <row r="36" spans="2:5">
      <c r="B36" s="55" t="s">
        <v>931</v>
      </c>
      <c r="C36" s="72" t="s">
        <v>932</v>
      </c>
      <c r="D36" s="225">
        <f>[64]SPDCL_Output!$H42</f>
        <v>43.856332238756</v>
      </c>
      <c r="E36" s="225">
        <f>[64]SPDCL_Output!$I42</f>
        <v>62.9891520392024</v>
      </c>
    </row>
    <row r="37" spans="2:5">
      <c r="B37" s="55" t="s">
        <v>933</v>
      </c>
      <c r="C37" s="72" t="s">
        <v>934</v>
      </c>
      <c r="D37" s="225">
        <f>[64]SPDCL_Output!$H43</f>
        <v>0</v>
      </c>
      <c r="E37" s="225">
        <f>[64]SPDCL_Output!$I43</f>
        <v>12.8419763564572</v>
      </c>
    </row>
    <row r="38" spans="2:5">
      <c r="B38" s="55" t="s">
        <v>935</v>
      </c>
      <c r="C38" s="72" t="s">
        <v>198</v>
      </c>
      <c r="D38" s="225">
        <f>[64]SPDCL_Output!$H44</f>
        <v>0.856526051910028</v>
      </c>
      <c r="E38" s="225">
        <f>[64]SPDCL_Output!$I44</f>
        <v>1.73113763524665</v>
      </c>
    </row>
    <row r="39" hidden="1" spans="2:5">
      <c r="B39" s="55" t="s">
        <v>936</v>
      </c>
      <c r="C39" s="72" t="s">
        <v>906</v>
      </c>
      <c r="D39" s="225">
        <f>[64]SPDCL_Output!$H45</f>
        <v>0</v>
      </c>
      <c r="E39" s="225">
        <f>[64]SPDCL_Output!$I45</f>
        <v>0</v>
      </c>
    </row>
    <row r="40" ht="15" spans="2:5">
      <c r="B40" s="55"/>
      <c r="C40" s="226" t="s">
        <v>937</v>
      </c>
      <c r="D40" s="8"/>
      <c r="E40" s="8"/>
    </row>
    <row r="41" spans="2:5">
      <c r="B41" s="55" t="s">
        <v>938</v>
      </c>
      <c r="C41" s="72" t="s">
        <v>910</v>
      </c>
      <c r="D41" s="225">
        <f>[64]SPDCL_Output!$H50</f>
        <v>894.932176398206</v>
      </c>
      <c r="E41" s="225">
        <f>[64]SPDCL_Output!$I50</f>
        <v>1598.86351548694</v>
      </c>
    </row>
    <row r="42" spans="2:5">
      <c r="B42" s="55" t="s">
        <v>939</v>
      </c>
      <c r="C42" s="72" t="s">
        <v>912</v>
      </c>
      <c r="D42" s="225">
        <f>[64]SPDCL_Output!$H51</f>
        <v>27.2376671344947</v>
      </c>
      <c r="E42" s="225">
        <f>[64]SPDCL_Output!$I51</f>
        <v>48.8797405563625</v>
      </c>
    </row>
    <row r="43" spans="2:5">
      <c r="B43" s="55" t="s">
        <v>940</v>
      </c>
      <c r="C43" s="72" t="s">
        <v>440</v>
      </c>
      <c r="D43" s="225">
        <f>[64]SPDCL_Output!$H52</f>
        <v>78.6216143622587</v>
      </c>
      <c r="E43" s="225">
        <f>[64]SPDCL_Output!$I52</f>
        <v>110.473763883458</v>
      </c>
    </row>
    <row r="44" spans="2:5">
      <c r="B44" s="55" t="s">
        <v>941</v>
      </c>
      <c r="C44" s="72" t="s">
        <v>915</v>
      </c>
      <c r="D44" s="225">
        <f>[64]SPDCL_Output!$H53</f>
        <v>24.50026747074</v>
      </c>
      <c r="E44" s="225">
        <f>[64]SPDCL_Output!$I53</f>
        <v>42.7226602940936</v>
      </c>
    </row>
    <row r="45" spans="2:5">
      <c r="B45" s="55" t="s">
        <v>942</v>
      </c>
      <c r="C45" s="72" t="s">
        <v>917</v>
      </c>
      <c r="D45" s="225">
        <f>[64]SPDCL_Output!$H54</f>
        <v>399.790041697827</v>
      </c>
      <c r="E45" s="225">
        <f>[64]SPDCL_Output!$I54</f>
        <v>625.130654370775</v>
      </c>
    </row>
    <row r="46" spans="2:5">
      <c r="B46" s="55" t="s">
        <v>943</v>
      </c>
      <c r="C46" s="72" t="s">
        <v>944</v>
      </c>
      <c r="D46" s="225">
        <f>[64]SPDCL_Output!$H55</f>
        <v>302.883820917083</v>
      </c>
      <c r="E46" s="225">
        <f>[64]SPDCL_Output!$I55</f>
        <v>467.716614458746</v>
      </c>
    </row>
    <row r="47" spans="2:5">
      <c r="B47" s="55" t="s">
        <v>945</v>
      </c>
      <c r="C47" s="72" t="s">
        <v>946</v>
      </c>
      <c r="D47" s="225">
        <f>[64]SPDCL_Output!$H56</f>
        <v>50.1559136385218</v>
      </c>
      <c r="E47" s="225">
        <f>[64]SPDCL_Output!$I56</f>
        <v>80.2375127340712</v>
      </c>
    </row>
    <row r="48" spans="2:5">
      <c r="B48" s="55" t="s">
        <v>947</v>
      </c>
      <c r="C48" s="72" t="s">
        <v>932</v>
      </c>
      <c r="D48" s="225">
        <f>[64]SPDCL_Output!$H57</f>
        <v>0</v>
      </c>
      <c r="E48" s="225">
        <f>[64]SPDCL_Output!$I57</f>
        <v>0</v>
      </c>
    </row>
    <row r="49" spans="2:5">
      <c r="B49" s="55" t="s">
        <v>948</v>
      </c>
      <c r="C49" s="72" t="s">
        <v>198</v>
      </c>
      <c r="D49" s="225">
        <f>[64]SPDCL_Output!$H58</f>
        <v>0</v>
      </c>
      <c r="E49" s="225">
        <f>[64]SPDCL_Output!$I58</f>
        <v>0</v>
      </c>
    </row>
    <row r="50" hidden="1" spans="2:5">
      <c r="B50" s="55" t="s">
        <v>949</v>
      </c>
      <c r="C50" s="72" t="s">
        <v>906</v>
      </c>
      <c r="D50" s="225">
        <f>[64]SPDCL_Output!$H59</f>
        <v>0</v>
      </c>
      <c r="E50" s="225">
        <f>[64]SPDCL_Output!$I59</f>
        <v>0</v>
      </c>
    </row>
    <row r="51" ht="15" spans="2:5">
      <c r="B51" s="39" t="s">
        <v>224</v>
      </c>
      <c r="C51" s="39"/>
      <c r="D51" s="227">
        <f>SUM(D8:D50)</f>
        <v>14475.0468773058</v>
      </c>
      <c r="E51" s="227">
        <f>SUM(E8:E50)</f>
        <v>22055.1009863164</v>
      </c>
    </row>
    <row r="52" spans="4:5">
      <c r="D52" s="228">
        <f>D51-[64]SPDCL_Output!$H$64</f>
        <v>-1.81898940354586e-11</v>
      </c>
      <c r="E52" s="228">
        <f>E51-[64]SPDCL_Output!$I$64</f>
        <v>0</v>
      </c>
    </row>
  </sheetData>
  <mergeCells count="6">
    <mergeCell ref="B2:P2"/>
    <mergeCell ref="D5:E5"/>
    <mergeCell ref="B7:C7"/>
    <mergeCell ref="B18:C18"/>
    <mergeCell ref="B51:C51"/>
    <mergeCell ref="B5:C6"/>
  </mergeCells>
  <printOptions horizontalCentered="1"/>
  <pageMargins left="0.590277777777778" right="0.511805555555556" top="0.747916666666667" bottom="0.747916666666667" header="0.314583333333333" footer="0.314583333333333"/>
  <pageSetup paperSize="9" scale="68" orientation="portrait" horizontalDpi="600"/>
  <headerFooter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</sheetPr>
  <dimension ref="B2:P53"/>
  <sheetViews>
    <sheetView showGridLines="0" view="pageBreakPreview" zoomScale="70" zoomScaleNormal="80" topLeftCell="B1" workbookViewId="0">
      <selection activeCell="C30" sqref="C30"/>
    </sheetView>
  </sheetViews>
  <sheetFormatPr defaultColWidth="9.14285714285714" defaultRowHeight="14.25"/>
  <cols>
    <col min="1" max="1" width="9.14285714285714" style="1"/>
    <col min="2" max="2" width="24.0761904761905" style="1" customWidth="1"/>
    <col min="3" max="3" width="48.8095238095238" style="1" customWidth="1"/>
    <col min="4" max="4" width="15.952380952381" style="1" customWidth="1"/>
    <col min="5" max="5" width="9.59047619047619" style="1" customWidth="1"/>
    <col min="6" max="6" width="13.5714285714286" style="1" customWidth="1"/>
    <col min="7" max="7" width="12.6190476190476" style="1" customWidth="1"/>
    <col min="8" max="10" width="9.14285714285714" style="1"/>
    <col min="11" max="11" width="17.5714285714286" style="1" customWidth="1"/>
    <col min="12" max="17" width="9.14285714285714" style="1"/>
    <col min="18" max="18" width="19.8571428571429" style="1" customWidth="1"/>
    <col min="19" max="24" width="9.14285714285714" style="1"/>
    <col min="25" max="25" width="19.8571428571429" style="1" customWidth="1"/>
    <col min="26" max="16384" width="9.14285714285714" style="1"/>
  </cols>
  <sheetData>
    <row r="2" ht="15" spans="2:16"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3:3">
      <c r="C3" s="3" t="s">
        <v>986</v>
      </c>
    </row>
    <row r="4" ht="15" spans="7:7">
      <c r="G4" s="4" t="s">
        <v>109</v>
      </c>
    </row>
    <row r="5" ht="15" spans="2:7">
      <c r="B5" s="224" t="s">
        <v>159</v>
      </c>
      <c r="C5" s="224"/>
      <c r="D5" s="229" t="s">
        <v>654</v>
      </c>
      <c r="E5" s="230"/>
      <c r="F5" s="230"/>
      <c r="G5" s="231"/>
    </row>
    <row r="6" ht="52" customHeight="1" spans="2:7">
      <c r="B6" s="224"/>
      <c r="C6" s="224"/>
      <c r="D6" s="232" t="s">
        <v>134</v>
      </c>
      <c r="E6" s="233"/>
      <c r="F6" s="232" t="s">
        <v>987</v>
      </c>
      <c r="G6" s="233"/>
    </row>
    <row r="7" ht="15" spans="2:7">
      <c r="B7" s="224"/>
      <c r="C7" s="224"/>
      <c r="D7" s="200" t="s">
        <v>881</v>
      </c>
      <c r="E7" s="200" t="s">
        <v>882</v>
      </c>
      <c r="F7" s="200" t="s">
        <v>881</v>
      </c>
      <c r="G7" s="200" t="s">
        <v>882</v>
      </c>
    </row>
    <row r="8" ht="15" spans="2:7">
      <c r="B8" s="44" t="s">
        <v>890</v>
      </c>
      <c r="C8" s="45"/>
      <c r="D8" s="8"/>
      <c r="E8" s="8"/>
      <c r="F8" s="8"/>
      <c r="G8" s="8"/>
    </row>
    <row r="9" ht="17" customHeight="1" spans="2:7">
      <c r="B9" s="47" t="s">
        <v>171</v>
      </c>
      <c r="C9" s="47" t="s">
        <v>172</v>
      </c>
      <c r="D9" s="225">
        <f>[64]SPDCL_Output!$K9*[64]SPDCL_Switch_Selection!$I$46</f>
        <v>436.050424493176</v>
      </c>
      <c r="E9" s="225">
        <f>[64]SPDCL_Output!$L9*[64]SPDCL_Switch_Selection!$I$46</f>
        <v>0</v>
      </c>
      <c r="F9" s="225">
        <f>[64]SPDCL_Output!$K9*[64]SPDCL_Switch_Selection!$I$45</f>
        <v>389.800285354745</v>
      </c>
      <c r="G9" s="225">
        <f>[64]SPDCL_Output!$L9*[64]SPDCL_Switch_Selection!$I$45</f>
        <v>0</v>
      </c>
    </row>
    <row r="10" ht="17" customHeight="1" spans="2:7">
      <c r="B10" s="55" t="s">
        <v>891</v>
      </c>
      <c r="C10" s="55" t="s">
        <v>174</v>
      </c>
      <c r="D10" s="225">
        <f>[64]SPDCL_Output!$K10*[64]SPDCL_Switch_Selection!$I$46</f>
        <v>163.7112264749</v>
      </c>
      <c r="E10" s="225">
        <f>[64]SPDCL_Output!$L10*[64]SPDCL_Switch_Selection!$I$46</f>
        <v>0</v>
      </c>
      <c r="F10" s="225">
        <f>[64]SPDCL_Output!$K10*[64]SPDCL_Switch_Selection!$I$45</f>
        <v>146.347025965779</v>
      </c>
      <c r="G10" s="225">
        <f>[64]SPDCL_Output!$L10*[64]SPDCL_Switch_Selection!$I$45</f>
        <v>0</v>
      </c>
    </row>
    <row r="11" ht="17" customHeight="1" spans="2:7">
      <c r="B11" s="55" t="s">
        <v>892</v>
      </c>
      <c r="C11" s="55" t="s">
        <v>893</v>
      </c>
      <c r="D11" s="225">
        <f>[64]SPDCL_Output!$K11*[64]SPDCL_Switch_Selection!$I$46</f>
        <v>40.4505500977337</v>
      </c>
      <c r="E11" s="225">
        <f>[64]SPDCL_Output!$L11*[64]SPDCL_Switch_Selection!$I$46</f>
        <v>0</v>
      </c>
      <c r="F11" s="225">
        <f>[64]SPDCL_Output!$K11*[64]SPDCL_Switch_Selection!$I$45</f>
        <v>36.1601206768228</v>
      </c>
      <c r="G11" s="225">
        <f>[64]SPDCL_Output!$L11*[64]SPDCL_Switch_Selection!$I$45</f>
        <v>0</v>
      </c>
    </row>
    <row r="12" ht="17" customHeight="1" spans="2:7">
      <c r="B12" s="55" t="s">
        <v>894</v>
      </c>
      <c r="C12" s="55" t="s">
        <v>895</v>
      </c>
      <c r="D12" s="225">
        <f>[64]SPDCL_Output!$K12*[64]SPDCL_Switch_Selection!$I$46</f>
        <v>0.378160331322341</v>
      </c>
      <c r="E12" s="225">
        <f>[64]SPDCL_Output!$L12*[64]SPDCL_Switch_Selection!$I$46</f>
        <v>0</v>
      </c>
      <c r="F12" s="225">
        <f>[64]SPDCL_Output!$K12*[64]SPDCL_Switch_Selection!$I$45</f>
        <v>0.338050364772895</v>
      </c>
      <c r="G12" s="225">
        <f>[64]SPDCL_Output!$L12*[64]SPDCL_Switch_Selection!$I$45</f>
        <v>0</v>
      </c>
    </row>
    <row r="13" ht="17" customHeight="1" spans="2:7">
      <c r="B13" s="55" t="s">
        <v>896</v>
      </c>
      <c r="C13" s="55" t="s">
        <v>202</v>
      </c>
      <c r="D13" s="225">
        <f>[64]SPDCL_Output!$K13*[64]SPDCL_Switch_Selection!$I$46</f>
        <v>671.543381936443</v>
      </c>
      <c r="E13" s="225">
        <f>[64]SPDCL_Output!$L13*[64]SPDCL_Switch_Selection!$I$46</f>
        <v>0</v>
      </c>
      <c r="F13" s="225">
        <f>[64]SPDCL_Output!$K13*[64]SPDCL_Switch_Selection!$I$45</f>
        <v>600.315438773327</v>
      </c>
      <c r="G13" s="225">
        <f>[64]SPDCL_Output!$L13*[64]SPDCL_Switch_Selection!$I$45</f>
        <v>0</v>
      </c>
    </row>
    <row r="14" ht="17" customHeight="1" spans="2:7">
      <c r="B14" s="55" t="s">
        <v>897</v>
      </c>
      <c r="C14" s="55" t="s">
        <v>898</v>
      </c>
      <c r="D14" s="225">
        <f>[64]SPDCL_Output!$K14*[64]SPDCL_Switch_Selection!$I$46</f>
        <v>20.4582333156384</v>
      </c>
      <c r="E14" s="225">
        <f>[64]SPDCL_Output!$L14*[64]SPDCL_Switch_Selection!$I$46</f>
        <v>0</v>
      </c>
      <c r="F14" s="225">
        <f>[64]SPDCL_Output!$K14*[64]SPDCL_Switch_Selection!$I$45</f>
        <v>18.2883096457452</v>
      </c>
      <c r="G14" s="225">
        <f>[64]SPDCL_Output!$L14*[64]SPDCL_Switch_Selection!$I$45</f>
        <v>0</v>
      </c>
    </row>
    <row r="15" ht="17" customHeight="1" spans="2:7">
      <c r="B15" s="55" t="s">
        <v>899</v>
      </c>
      <c r="C15" s="55" t="s">
        <v>900</v>
      </c>
      <c r="D15" s="225">
        <f>[64]SPDCL_Output!$K15*[64]SPDCL_Switch_Selection!$I$46</f>
        <v>9.54739488036322</v>
      </c>
      <c r="E15" s="225">
        <f>[64]SPDCL_Output!$L15*[64]SPDCL_Switch_Selection!$I$46</f>
        <v>0</v>
      </c>
      <c r="F15" s="225">
        <f>[64]SPDCL_Output!$K15*[64]SPDCL_Switch_Selection!$I$45</f>
        <v>8.53474057062468</v>
      </c>
      <c r="G15" s="225">
        <f>[64]SPDCL_Output!$L15*[64]SPDCL_Switch_Selection!$I$45</f>
        <v>0</v>
      </c>
    </row>
    <row r="16" ht="17" customHeight="1" spans="2:7">
      <c r="B16" s="55" t="s">
        <v>901</v>
      </c>
      <c r="C16" s="55" t="s">
        <v>902</v>
      </c>
      <c r="D16" s="225">
        <f>[64]SPDCL_Output!$K16*[64]SPDCL_Switch_Selection!$I$46</f>
        <v>1.18398252138237</v>
      </c>
      <c r="E16" s="225">
        <f>[64]SPDCL_Output!$L16*[64]SPDCL_Switch_Selection!$I$46</f>
        <v>0</v>
      </c>
      <c r="F16" s="225">
        <f>[64]SPDCL_Output!$K16*[64]SPDCL_Switch_Selection!$I$45</f>
        <v>1.05840219104546</v>
      </c>
      <c r="G16" s="225">
        <f>[64]SPDCL_Output!$L16*[64]SPDCL_Switch_Selection!$I$45</f>
        <v>0</v>
      </c>
    </row>
    <row r="17" ht="17" customHeight="1" spans="2:7">
      <c r="B17" s="55" t="s">
        <v>903</v>
      </c>
      <c r="C17" s="55" t="s">
        <v>904</v>
      </c>
      <c r="D17" s="225">
        <f>[64]SPDCL_Output!$K17*[64]SPDCL_Switch_Selection!$I$46</f>
        <v>0</v>
      </c>
      <c r="E17" s="225">
        <f>[64]SPDCL_Output!$L17*[64]SPDCL_Switch_Selection!$I$46</f>
        <v>0</v>
      </c>
      <c r="F17" s="225">
        <f>[64]SPDCL_Output!$K17*[64]SPDCL_Switch_Selection!$I$45</f>
        <v>0</v>
      </c>
      <c r="G17" s="225">
        <f>[64]SPDCL_Output!$L17*[64]SPDCL_Switch_Selection!$I$45</f>
        <v>0</v>
      </c>
    </row>
    <row r="18" ht="17" customHeight="1" spans="2:7">
      <c r="B18" s="55" t="s">
        <v>905</v>
      </c>
      <c r="C18" s="67" t="s">
        <v>906</v>
      </c>
      <c r="D18" s="225">
        <f>[64]SPDCL_Output!$K18*[64]SPDCL_Switch_Selection!$I$46</f>
        <v>0</v>
      </c>
      <c r="E18" s="225">
        <f>[64]SPDCL_Output!$L18*[64]SPDCL_Switch_Selection!$I$46</f>
        <v>0</v>
      </c>
      <c r="F18" s="225">
        <f>[64]SPDCL_Output!$K18*[64]SPDCL_Switch_Selection!$I$45</f>
        <v>0</v>
      </c>
      <c r="G18" s="225">
        <f>[64]SPDCL_Output!$L18*[64]SPDCL_Switch_Selection!$I$45</f>
        <v>0</v>
      </c>
    </row>
    <row r="19" ht="17" customHeight="1" spans="2:7">
      <c r="B19" s="44" t="s">
        <v>907</v>
      </c>
      <c r="C19" s="45"/>
      <c r="D19" s="8"/>
      <c r="E19" s="8"/>
      <c r="F19" s="8"/>
      <c r="G19" s="8"/>
    </row>
    <row r="20" ht="17" customHeight="1" spans="2:7">
      <c r="B20" s="55"/>
      <c r="C20" s="54" t="s">
        <v>908</v>
      </c>
      <c r="D20" s="8"/>
      <c r="E20" s="8"/>
      <c r="F20" s="8"/>
      <c r="G20" s="8"/>
    </row>
    <row r="21" ht="17" customHeight="1" spans="2:7">
      <c r="B21" s="55" t="s">
        <v>909</v>
      </c>
      <c r="C21" s="72" t="s">
        <v>910</v>
      </c>
      <c r="D21" s="225">
        <f>[64]SPDCL_Output!$K23*[64]SPDCL_Switch_Selection!$I$46</f>
        <v>84.605056760605</v>
      </c>
      <c r="E21" s="225">
        <f>[64]SPDCL_Output!$L23*[64]SPDCL_Switch_Selection!$I$46</f>
        <v>0</v>
      </c>
      <c r="F21" s="225">
        <f>[64]SPDCL_Output!$K23*[64]SPDCL_Switch_Selection!$I$45</f>
        <v>75.631333935909</v>
      </c>
      <c r="G21" s="225">
        <f>[64]SPDCL_Output!$L23*[64]SPDCL_Switch_Selection!$I$45</f>
        <v>0</v>
      </c>
    </row>
    <row r="22" ht="17" customHeight="1" spans="2:7">
      <c r="B22" s="55" t="s">
        <v>911</v>
      </c>
      <c r="C22" s="72" t="s">
        <v>912</v>
      </c>
      <c r="D22" s="225">
        <f>[64]SPDCL_Output!$K24*[64]SPDCL_Switch_Selection!$I$46</f>
        <v>0</v>
      </c>
      <c r="E22" s="225">
        <f>[64]SPDCL_Output!$L24*[64]SPDCL_Switch_Selection!$I$46</f>
        <v>0</v>
      </c>
      <c r="F22" s="225">
        <f>[64]SPDCL_Output!$K24*[64]SPDCL_Switch_Selection!$I$45</f>
        <v>0</v>
      </c>
      <c r="G22" s="225">
        <f>[64]SPDCL_Output!$L24*[64]SPDCL_Switch_Selection!$I$45</f>
        <v>0</v>
      </c>
    </row>
    <row r="23" ht="17" customHeight="1" spans="2:7">
      <c r="B23" s="55" t="s">
        <v>913</v>
      </c>
      <c r="C23" s="72" t="s">
        <v>440</v>
      </c>
      <c r="D23" s="225">
        <f>[64]SPDCL_Output!$K25*[64]SPDCL_Switch_Selection!$I$46</f>
        <v>53.848210092692</v>
      </c>
      <c r="E23" s="225">
        <f>[64]SPDCL_Output!$L25*[64]SPDCL_Switch_Selection!$I$46</f>
        <v>0</v>
      </c>
      <c r="F23" s="225">
        <f>[64]SPDCL_Output!$K25*[64]SPDCL_Switch_Selection!$I$45</f>
        <v>48.136744011591</v>
      </c>
      <c r="G23" s="225">
        <f>[64]SPDCL_Output!$L25*[64]SPDCL_Switch_Selection!$I$45</f>
        <v>0</v>
      </c>
    </row>
    <row r="24" ht="17" customHeight="1" spans="2:7">
      <c r="B24" s="55" t="s">
        <v>914</v>
      </c>
      <c r="C24" s="55" t="s">
        <v>915</v>
      </c>
      <c r="D24" s="225">
        <f>[64]SPDCL_Output!$K26*[64]SPDCL_Switch_Selection!$I$46</f>
        <v>0.162036751454906</v>
      </c>
      <c r="E24" s="225">
        <f>[64]SPDCL_Output!$L26*[64]SPDCL_Switch_Selection!$I$46</f>
        <v>0</v>
      </c>
      <c r="F24" s="225">
        <f>[64]SPDCL_Output!$K26*[64]SPDCL_Switch_Selection!$I$45</f>
        <v>0.144850155870142</v>
      </c>
      <c r="G24" s="225">
        <f>[64]SPDCL_Output!$L26*[64]SPDCL_Switch_Selection!$I$45</f>
        <v>0</v>
      </c>
    </row>
    <row r="25" ht="17" customHeight="1" spans="2:7">
      <c r="B25" s="55" t="s">
        <v>916</v>
      </c>
      <c r="C25" s="72" t="s">
        <v>917</v>
      </c>
      <c r="D25" s="225">
        <f>[64]SPDCL_Output!$K27*[64]SPDCL_Switch_Selection!$I$46</f>
        <v>3.36890561831111</v>
      </c>
      <c r="E25" s="225">
        <f>[64]SPDCL_Output!$L27*[64]SPDCL_Switch_Selection!$I$46</f>
        <v>0</v>
      </c>
      <c r="F25" s="225">
        <f>[64]SPDCL_Output!$K27*[64]SPDCL_Switch_Selection!$I$45</f>
        <v>3.01157916054597</v>
      </c>
      <c r="G25" s="225">
        <f>[64]SPDCL_Output!$L27*[64]SPDCL_Switch_Selection!$I$45</f>
        <v>0</v>
      </c>
    </row>
    <row r="26" ht="17" customHeight="1" spans="2:7">
      <c r="B26" s="55" t="s">
        <v>918</v>
      </c>
      <c r="C26" s="72" t="s">
        <v>919</v>
      </c>
      <c r="D26" s="225">
        <f>[64]SPDCL_Output!$K28*[64]SPDCL_Switch_Selection!$I$46</f>
        <v>4.75605183698536</v>
      </c>
      <c r="E26" s="225">
        <f>[64]SPDCL_Output!$L28*[64]SPDCL_Switch_Selection!$I$46</f>
        <v>0</v>
      </c>
      <c r="F26" s="225">
        <f>[64]SPDCL_Output!$K28*[64]SPDCL_Switch_Selection!$I$45</f>
        <v>4.25159628126418</v>
      </c>
      <c r="G26" s="225">
        <f>[64]SPDCL_Output!$L28*[64]SPDCL_Switch_Selection!$I$45</f>
        <v>0</v>
      </c>
    </row>
    <row r="27" ht="17" customHeight="1" spans="2:7">
      <c r="B27" s="55" t="s">
        <v>980</v>
      </c>
      <c r="C27" s="72" t="s">
        <v>973</v>
      </c>
      <c r="D27" s="225">
        <f>[64]SPDCL_Output!$K29*[64]SPDCL_Switch_Selection!$I$46</f>
        <v>9.06763185617494</v>
      </c>
      <c r="E27" s="225">
        <f>[64]SPDCL_Output!$L29*[64]SPDCL_Switch_Selection!$I$46</f>
        <v>0</v>
      </c>
      <c r="F27" s="225">
        <f>[64]SPDCL_Output!$K29*[64]SPDCL_Switch_Selection!$I$45</f>
        <v>8.10586410765916</v>
      </c>
      <c r="G27" s="225">
        <f>[64]SPDCL_Output!$L29*[64]SPDCL_Switch_Selection!$I$45</f>
        <v>0</v>
      </c>
    </row>
    <row r="28" ht="17" customHeight="1" spans="2:7">
      <c r="B28" s="55" t="s">
        <v>922</v>
      </c>
      <c r="C28" s="72" t="s">
        <v>198</v>
      </c>
      <c r="D28" s="225">
        <f>[64]SPDCL_Output!$K30*[64]SPDCL_Switch_Selection!$I$46</f>
        <v>0</v>
      </c>
      <c r="E28" s="225">
        <f>[64]SPDCL_Output!$L30*[64]SPDCL_Switch_Selection!$I$46</f>
        <v>0</v>
      </c>
      <c r="F28" s="225">
        <f>[64]SPDCL_Output!$K30*[64]SPDCL_Switch_Selection!$I$45</f>
        <v>0</v>
      </c>
      <c r="G28" s="225">
        <f>[64]SPDCL_Output!$L30*[64]SPDCL_Switch_Selection!$I$45</f>
        <v>0</v>
      </c>
    </row>
    <row r="29" ht="17" customHeight="1" spans="2:7">
      <c r="B29" s="55" t="s">
        <v>923</v>
      </c>
      <c r="C29" s="72" t="s">
        <v>906</v>
      </c>
      <c r="D29" s="225">
        <f>[64]SPDCL_Output!$K31*[64]SPDCL_Switch_Selection!$I$46</f>
        <v>0</v>
      </c>
      <c r="E29" s="225">
        <f>[64]SPDCL_Output!$L31*[64]SPDCL_Switch_Selection!$I$46</f>
        <v>0</v>
      </c>
      <c r="F29" s="225">
        <f>[64]SPDCL_Output!$K31*[64]SPDCL_Switch_Selection!$I$45</f>
        <v>0</v>
      </c>
      <c r="G29" s="225">
        <f>[64]SPDCL_Output!$L31*[64]SPDCL_Switch_Selection!$I$45</f>
        <v>0</v>
      </c>
    </row>
    <row r="30" ht="17" customHeight="1" spans="2:7">
      <c r="B30" s="55"/>
      <c r="C30" s="226" t="s">
        <v>924</v>
      </c>
      <c r="D30" s="8"/>
      <c r="E30" s="8"/>
      <c r="F30" s="8"/>
      <c r="G30" s="8"/>
    </row>
    <row r="31" ht="17" customHeight="1" spans="2:7">
      <c r="B31" s="55" t="s">
        <v>925</v>
      </c>
      <c r="C31" s="72" t="s">
        <v>910</v>
      </c>
      <c r="D31" s="225">
        <f>[64]SPDCL_Output!$K36*[64]SPDCL_Switch_Selection!$I$46</f>
        <v>67.566631951647</v>
      </c>
      <c r="E31" s="225">
        <f>[64]SPDCL_Output!$L36*[64]SPDCL_Switch_Selection!$I$46</f>
        <v>0</v>
      </c>
      <c r="F31" s="225">
        <f>[64]SPDCL_Output!$K36*[64]SPDCL_Switch_Selection!$I$45</f>
        <v>60.400107271592</v>
      </c>
      <c r="G31" s="225">
        <f>[64]SPDCL_Output!$L36*[64]SPDCL_Switch_Selection!$I$45</f>
        <v>0</v>
      </c>
    </row>
    <row r="32" ht="17" customHeight="1" spans="2:7">
      <c r="B32" s="55" t="s">
        <v>926</v>
      </c>
      <c r="C32" s="72" t="s">
        <v>912</v>
      </c>
      <c r="D32" s="225">
        <f>[64]SPDCL_Output!$K37*[64]SPDCL_Switch_Selection!$I$46</f>
        <v>0</v>
      </c>
      <c r="E32" s="225">
        <f>[64]SPDCL_Output!$L37*[64]SPDCL_Switch_Selection!$I$46</f>
        <v>0</v>
      </c>
      <c r="F32" s="225">
        <f>[64]SPDCL_Output!$K37*[64]SPDCL_Switch_Selection!$I$45</f>
        <v>0</v>
      </c>
      <c r="G32" s="225">
        <f>[64]SPDCL_Output!$L37*[64]SPDCL_Switch_Selection!$I$45</f>
        <v>0</v>
      </c>
    </row>
    <row r="33" ht="17" customHeight="1" spans="2:7">
      <c r="B33" s="55" t="s">
        <v>927</v>
      </c>
      <c r="C33" s="72" t="s">
        <v>440</v>
      </c>
      <c r="D33" s="225">
        <f>[64]SPDCL_Output!$K38*[64]SPDCL_Switch_Selection!$I$46</f>
        <v>26.1406421144679</v>
      </c>
      <c r="E33" s="225">
        <f>[64]SPDCL_Output!$L38*[64]SPDCL_Switch_Selection!$I$46</f>
        <v>0</v>
      </c>
      <c r="F33" s="225">
        <f>[64]SPDCL_Output!$K38*[64]SPDCL_Switch_Selection!$I$45</f>
        <v>23.3680078798669</v>
      </c>
      <c r="G33" s="225">
        <f>[64]SPDCL_Output!$L38*[64]SPDCL_Switch_Selection!$I$45</f>
        <v>0</v>
      </c>
    </row>
    <row r="34" ht="17" customHeight="1" spans="2:7">
      <c r="B34" s="55" t="s">
        <v>928</v>
      </c>
      <c r="C34" s="72" t="s">
        <v>915</v>
      </c>
      <c r="D34" s="225">
        <f>[64]SPDCL_Output!$K39*[64]SPDCL_Switch_Selection!$I$46</f>
        <v>0</v>
      </c>
      <c r="E34" s="225">
        <f>[64]SPDCL_Output!$L39*[64]SPDCL_Switch_Selection!$I$46</f>
        <v>0</v>
      </c>
      <c r="F34" s="225">
        <f>[64]SPDCL_Output!$K39*[64]SPDCL_Switch_Selection!$I$45</f>
        <v>0</v>
      </c>
      <c r="G34" s="225">
        <f>[64]SPDCL_Output!$L39*[64]SPDCL_Switch_Selection!$I$45</f>
        <v>0</v>
      </c>
    </row>
    <row r="35" ht="17" customHeight="1" spans="2:7">
      <c r="B35" s="55" t="s">
        <v>929</v>
      </c>
      <c r="C35" s="72" t="s">
        <v>917</v>
      </c>
      <c r="D35" s="225">
        <f>[64]SPDCL_Output!$K40*[64]SPDCL_Switch_Selection!$I$46</f>
        <v>3.62680599173841</v>
      </c>
      <c r="E35" s="225">
        <f>[64]SPDCL_Output!$L40*[64]SPDCL_Switch_Selection!$I$46</f>
        <v>0</v>
      </c>
      <c r="F35" s="225">
        <f>[64]SPDCL_Output!$K40*[64]SPDCL_Switch_Selection!$I$45</f>
        <v>3.24212506420357</v>
      </c>
      <c r="G35" s="225">
        <f>[64]SPDCL_Output!$L40*[64]SPDCL_Switch_Selection!$I$45</f>
        <v>0</v>
      </c>
    </row>
    <row r="36" ht="17" customHeight="1" spans="2:7">
      <c r="B36" s="55" t="s">
        <v>930</v>
      </c>
      <c r="C36" s="72" t="s">
        <v>222</v>
      </c>
      <c r="D36" s="225">
        <f>[64]SPDCL_Output!$K41*[64]SPDCL_Switch_Selection!$I$46</f>
        <v>0</v>
      </c>
      <c r="E36" s="225">
        <f>[64]SPDCL_Output!$L41*[64]SPDCL_Switch_Selection!$I$46</f>
        <v>0</v>
      </c>
      <c r="F36" s="225">
        <f>[64]SPDCL_Output!$K41*[64]SPDCL_Switch_Selection!$I$45</f>
        <v>0</v>
      </c>
      <c r="G36" s="225">
        <f>[64]SPDCL_Output!$L41*[64]SPDCL_Switch_Selection!$I$45</f>
        <v>0</v>
      </c>
    </row>
    <row r="37" ht="17" customHeight="1" spans="2:7">
      <c r="B37" s="55" t="s">
        <v>931</v>
      </c>
      <c r="C37" s="72" t="s">
        <v>932</v>
      </c>
      <c r="D37" s="225">
        <f>[64]SPDCL_Output!$K42*[64]SPDCL_Switch_Selection!$I$46</f>
        <v>2.32514924858751</v>
      </c>
      <c r="E37" s="225">
        <f>[64]SPDCL_Output!$L42*[64]SPDCL_Switch_Selection!$I$46</f>
        <v>0</v>
      </c>
      <c r="F37" s="225">
        <f>[64]SPDCL_Output!$K42*[64]SPDCL_Switch_Selection!$I$45</f>
        <v>2.07852988939348</v>
      </c>
      <c r="G37" s="225">
        <f>[64]SPDCL_Output!$L42*[64]SPDCL_Switch_Selection!$I$45</f>
        <v>0</v>
      </c>
    </row>
    <row r="38" ht="17" customHeight="1" spans="2:7">
      <c r="B38" s="55" t="s">
        <v>933</v>
      </c>
      <c r="C38" s="72" t="s">
        <v>934</v>
      </c>
      <c r="D38" s="225">
        <f>[64]SPDCL_Output!$K43*[64]SPDCL_Switch_Selection!$I$46</f>
        <v>1.35888765629595</v>
      </c>
      <c r="E38" s="225">
        <f>[64]SPDCL_Output!$L43*[64]SPDCL_Switch_Selection!$I$46</f>
        <v>0</v>
      </c>
      <c r="F38" s="225">
        <f>[64]SPDCL_Output!$K43*[64]SPDCL_Switch_Selection!$I$45</f>
        <v>1.21475583197716</v>
      </c>
      <c r="G38" s="225">
        <f>[64]SPDCL_Output!$L43*[64]SPDCL_Switch_Selection!$I$45</f>
        <v>0</v>
      </c>
    </row>
    <row r="39" ht="17" customHeight="1" spans="2:7">
      <c r="B39" s="55" t="s">
        <v>935</v>
      </c>
      <c r="C39" s="72" t="s">
        <v>198</v>
      </c>
      <c r="D39" s="225">
        <f>[64]SPDCL_Output!$K44*[64]SPDCL_Switch_Selection!$I$46</f>
        <v>0</v>
      </c>
      <c r="E39" s="225">
        <f>[64]SPDCL_Output!$L44*[64]SPDCL_Switch_Selection!$I$46</f>
        <v>0</v>
      </c>
      <c r="F39" s="225">
        <f>[64]SPDCL_Output!$K44*[64]SPDCL_Switch_Selection!$I$45</f>
        <v>0</v>
      </c>
      <c r="G39" s="225">
        <f>[64]SPDCL_Output!$L44*[64]SPDCL_Switch_Selection!$I$45</f>
        <v>0</v>
      </c>
    </row>
    <row r="40" ht="17" customHeight="1" spans="2:7">
      <c r="B40" s="55" t="s">
        <v>936</v>
      </c>
      <c r="C40" s="72" t="s">
        <v>906</v>
      </c>
      <c r="D40" s="225">
        <f>[64]SPDCL_Output!$K45*[64]SPDCL_Switch_Selection!$I$46</f>
        <v>0</v>
      </c>
      <c r="E40" s="225">
        <f>[64]SPDCL_Output!$L45*[64]SPDCL_Switch_Selection!$I$46</f>
        <v>0</v>
      </c>
      <c r="F40" s="225">
        <f>[64]SPDCL_Output!$K45*[64]SPDCL_Switch_Selection!$I$45</f>
        <v>0</v>
      </c>
      <c r="G40" s="225">
        <f>[64]SPDCL_Output!$L45*[64]SPDCL_Switch_Selection!$I$45</f>
        <v>0</v>
      </c>
    </row>
    <row r="41" ht="17" customHeight="1" spans="2:7">
      <c r="B41" s="55"/>
      <c r="C41" s="226" t="s">
        <v>937</v>
      </c>
      <c r="D41" s="8"/>
      <c r="E41" s="8"/>
      <c r="F41" s="8"/>
      <c r="G41" s="8"/>
    </row>
    <row r="42" ht="17" customHeight="1" spans="2:7">
      <c r="B42" s="55" t="s">
        <v>938</v>
      </c>
      <c r="C42" s="72" t="s">
        <v>910</v>
      </c>
      <c r="D42" s="225">
        <f>[64]SPDCL_Output!$K50*[64]SPDCL_Switch_Selection!$I$46</f>
        <v>44.1230364592311</v>
      </c>
      <c r="E42" s="225">
        <f>[64]SPDCL_Output!$L50*[64]SPDCL_Switch_Selection!$I$46</f>
        <v>0</v>
      </c>
      <c r="F42" s="225">
        <f>[64]SPDCL_Output!$K50*[64]SPDCL_Switch_Selection!$I$45</f>
        <v>39.4430809751345</v>
      </c>
      <c r="G42" s="225">
        <f>[64]SPDCL_Output!$L50*[64]SPDCL_Switch_Selection!$I$45</f>
        <v>0</v>
      </c>
    </row>
    <row r="43" ht="17" customHeight="1" spans="2:7">
      <c r="B43" s="55" t="s">
        <v>939</v>
      </c>
      <c r="C43" s="72" t="s">
        <v>912</v>
      </c>
      <c r="D43" s="225">
        <f>[64]SPDCL_Output!$K51*[64]SPDCL_Switch_Selection!$I$46</f>
        <v>0</v>
      </c>
      <c r="E43" s="225">
        <f>[64]SPDCL_Output!$L51*[64]SPDCL_Switch_Selection!$I$46</f>
        <v>0</v>
      </c>
      <c r="F43" s="225">
        <f>[64]SPDCL_Output!$K51*[64]SPDCL_Switch_Selection!$I$45</f>
        <v>0</v>
      </c>
      <c r="G43" s="225">
        <f>[64]SPDCL_Output!$L51*[64]SPDCL_Switch_Selection!$I$45</f>
        <v>0</v>
      </c>
    </row>
    <row r="44" ht="17" customHeight="1" spans="2:7">
      <c r="B44" s="55" t="s">
        <v>940</v>
      </c>
      <c r="C44" s="72" t="s">
        <v>440</v>
      </c>
      <c r="D44" s="225">
        <f>[64]SPDCL_Output!$K52*[64]SPDCL_Switch_Selection!$I$46</f>
        <v>4.72959848767634</v>
      </c>
      <c r="E44" s="225">
        <f>[64]SPDCL_Output!$L52*[64]SPDCL_Switch_Selection!$I$46</f>
        <v>0</v>
      </c>
      <c r="F44" s="225">
        <f>[64]SPDCL_Output!$K52*[64]SPDCL_Switch_Selection!$I$45</f>
        <v>4.22794873380169</v>
      </c>
      <c r="G44" s="225">
        <f>[64]SPDCL_Output!$L52*[64]SPDCL_Switch_Selection!$I$45</f>
        <v>0</v>
      </c>
    </row>
    <row r="45" ht="17" customHeight="1" spans="2:7">
      <c r="B45" s="55" t="s">
        <v>941</v>
      </c>
      <c r="C45" s="72" t="s">
        <v>915</v>
      </c>
      <c r="D45" s="225">
        <f>[64]SPDCL_Output!$K53*[64]SPDCL_Switch_Selection!$I$46</f>
        <v>0.99294571734683</v>
      </c>
      <c r="E45" s="225">
        <f>[64]SPDCL_Output!$L53*[64]SPDCL_Switch_Selection!$I$46</f>
        <v>0</v>
      </c>
      <c r="F45" s="225">
        <f>[64]SPDCL_Output!$K53*[64]SPDCL_Switch_Selection!$I$45</f>
        <v>0.88762790315693</v>
      </c>
      <c r="G45" s="225">
        <f>[64]SPDCL_Output!$L53*[64]SPDCL_Switch_Selection!$I$45</f>
        <v>0</v>
      </c>
    </row>
    <row r="46" ht="17" customHeight="1" spans="2:7">
      <c r="B46" s="55" t="s">
        <v>942</v>
      </c>
      <c r="C46" s="72" t="s">
        <v>917</v>
      </c>
      <c r="D46" s="225">
        <f>[64]SPDCL_Output!$K54*[64]SPDCL_Switch_Selection!$I$46</f>
        <v>41.1237434701402</v>
      </c>
      <c r="E46" s="225">
        <f>[64]SPDCL_Output!$L54*[64]SPDCL_Switch_Selection!$I$46</f>
        <v>0</v>
      </c>
      <c r="F46" s="225">
        <f>[64]SPDCL_Output!$K54*[64]SPDCL_Switch_Selection!$I$45</f>
        <v>36.7619110981209</v>
      </c>
      <c r="G46" s="225">
        <f>[64]SPDCL_Output!$L54*[64]SPDCL_Switch_Selection!$I$45</f>
        <v>0</v>
      </c>
    </row>
    <row r="47" ht="17" customHeight="1" spans="2:7">
      <c r="B47" s="55" t="s">
        <v>943</v>
      </c>
      <c r="C47" s="72" t="s">
        <v>944</v>
      </c>
      <c r="D47" s="225">
        <f>[64]SPDCL_Output!$K55*[64]SPDCL_Switch_Selection!$I$46</f>
        <v>11.2513119356855</v>
      </c>
      <c r="E47" s="225">
        <f>[64]SPDCL_Output!$L55*[64]SPDCL_Switch_Selection!$I$46</f>
        <v>0</v>
      </c>
      <c r="F47" s="225">
        <f>[64]SPDCL_Output!$K55*[64]SPDCL_Switch_Selection!$I$45</f>
        <v>10.0579299016692</v>
      </c>
      <c r="G47" s="225">
        <f>[64]SPDCL_Output!$L55*[64]SPDCL_Switch_Selection!$I$45</f>
        <v>0</v>
      </c>
    </row>
    <row r="48" ht="17" customHeight="1" spans="2:7">
      <c r="B48" s="55" t="s">
        <v>945</v>
      </c>
      <c r="C48" s="72" t="s">
        <v>946</v>
      </c>
      <c r="D48" s="225">
        <f>[64]SPDCL_Output!$K56*[64]SPDCL_Switch_Selection!$I$46</f>
        <v>0</v>
      </c>
      <c r="E48" s="225">
        <f>[64]SPDCL_Output!$L56*[64]SPDCL_Switch_Selection!$I$46</f>
        <v>0</v>
      </c>
      <c r="F48" s="225">
        <f>[64]SPDCL_Output!$K56*[64]SPDCL_Switch_Selection!$I$45</f>
        <v>0</v>
      </c>
      <c r="G48" s="225">
        <f>[64]SPDCL_Output!$L56*[64]SPDCL_Switch_Selection!$I$45</f>
        <v>0</v>
      </c>
    </row>
    <row r="49" ht="17" customHeight="1" spans="2:7">
      <c r="B49" s="55" t="s">
        <v>947</v>
      </c>
      <c r="C49" s="72" t="s">
        <v>932</v>
      </c>
      <c r="D49" s="225">
        <f>[64]SPDCL_Output!$K57*[64]SPDCL_Switch_Selection!$I$46</f>
        <v>0</v>
      </c>
      <c r="E49" s="225">
        <f>[64]SPDCL_Output!$L57*[64]SPDCL_Switch_Selection!$I$46</f>
        <v>0</v>
      </c>
      <c r="F49" s="225">
        <f>[64]SPDCL_Output!$K57*[64]SPDCL_Switch_Selection!$I$45</f>
        <v>0</v>
      </c>
      <c r="G49" s="225">
        <f>[64]SPDCL_Output!$L57*[64]SPDCL_Switch_Selection!$I$45</f>
        <v>0</v>
      </c>
    </row>
    <row r="50" ht="17" customHeight="1" spans="2:7">
      <c r="B50" s="55" t="s">
        <v>948</v>
      </c>
      <c r="C50" s="72" t="s">
        <v>198</v>
      </c>
      <c r="D50" s="225">
        <f>[64]SPDCL_Output!$K58*[64]SPDCL_Switch_Selection!$I$46</f>
        <v>0</v>
      </c>
      <c r="E50" s="225">
        <f>[64]SPDCL_Output!$L58*[64]SPDCL_Switch_Selection!$I$46</f>
        <v>0</v>
      </c>
      <c r="F50" s="225">
        <f>[64]SPDCL_Output!$K58*[64]SPDCL_Switch_Selection!$I$45</f>
        <v>0</v>
      </c>
      <c r="G50" s="225">
        <f>[64]SPDCL_Output!$L58*[64]SPDCL_Switch_Selection!$I$45</f>
        <v>0</v>
      </c>
    </row>
    <row r="51" ht="17" customHeight="1" spans="2:7">
      <c r="B51" s="55" t="s">
        <v>949</v>
      </c>
      <c r="C51" s="72" t="s">
        <v>906</v>
      </c>
      <c r="D51" s="225">
        <f>[64]SPDCL_Output!$K59*[64]SPDCL_Switch_Selection!$I$46</f>
        <v>0</v>
      </c>
      <c r="E51" s="225">
        <f>[64]SPDCL_Output!$L59*[64]SPDCL_Switch_Selection!$I$46</f>
        <v>0</v>
      </c>
      <c r="F51" s="225">
        <f>[64]SPDCL_Output!$K59*[64]SPDCL_Switch_Selection!$I$45</f>
        <v>0</v>
      </c>
      <c r="G51" s="225">
        <f>[64]SPDCL_Output!$L59*[64]SPDCL_Switch_Selection!$I$45</f>
        <v>0</v>
      </c>
    </row>
    <row r="52" ht="17" customHeight="1" spans="2:7">
      <c r="B52" s="39" t="s">
        <v>224</v>
      </c>
      <c r="C52" s="39"/>
      <c r="D52" s="227">
        <f>SUM(D9:D51)</f>
        <v>1702.37</v>
      </c>
      <c r="E52" s="227">
        <f t="shared" ref="E52:G52" si="0">SUM(E9:E51)</f>
        <v>0</v>
      </c>
      <c r="F52" s="227">
        <f t="shared" si="0"/>
        <v>1521.80636574462</v>
      </c>
      <c r="G52" s="227">
        <f t="shared" si="0"/>
        <v>0</v>
      </c>
    </row>
    <row r="53" spans="7:7">
      <c r="G53" s="228">
        <f>D52+F52-[64]SPDCL_Output!$K$64</f>
        <v>0</v>
      </c>
    </row>
  </sheetData>
  <mergeCells count="8">
    <mergeCell ref="B2:P2"/>
    <mergeCell ref="D5:G5"/>
    <mergeCell ref="D6:E6"/>
    <mergeCell ref="F6:G6"/>
    <mergeCell ref="B8:C8"/>
    <mergeCell ref="B19:C19"/>
    <mergeCell ref="B52:C52"/>
    <mergeCell ref="B5:C7"/>
  </mergeCells>
  <printOptions horizontalCentered="1"/>
  <pageMargins left="0.511805555555556" right="0.511805555555556" top="0.747916666666667" bottom="0.747916666666667" header="0.314583333333333" footer="0.314583333333333"/>
  <pageSetup paperSize="9" scale="67" fitToHeight="2" orientation="portrait" horizontalDpi="600"/>
  <headerFooter/>
  <rowBreaks count="1" manualBreakCount="1">
    <brk id="52" max="7" man="1"/>
  </rowBreaks>
  <colBreaks count="1" manualBreakCount="1">
    <brk id="7" max="52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  <pageSetUpPr fitToPage="1"/>
  </sheetPr>
  <dimension ref="B2:P52"/>
  <sheetViews>
    <sheetView showGridLines="0" view="pageBreakPreview" zoomScale="60" zoomScaleNormal="80" topLeftCell="B1" workbookViewId="0">
      <selection activeCell="AA38" sqref="AA38"/>
    </sheetView>
  </sheetViews>
  <sheetFormatPr defaultColWidth="9.14285714285714" defaultRowHeight="14.25"/>
  <cols>
    <col min="1" max="1" width="9.14285714285714" style="1"/>
    <col min="2" max="2" width="21.5714285714286" style="1" customWidth="1"/>
    <col min="3" max="3" width="51.1904761904762" style="1" customWidth="1"/>
    <col min="4" max="4" width="24.5714285714286" style="1" customWidth="1"/>
    <col min="5" max="5" width="20.952380952381" style="1" customWidth="1"/>
    <col min="6" max="10" width="9.14285714285714" style="1"/>
    <col min="11" max="11" width="17.5714285714286" style="1" customWidth="1"/>
    <col min="12" max="17" width="9.14285714285714" style="1"/>
    <col min="18" max="18" width="19.8571428571429" style="1" customWidth="1"/>
    <col min="19" max="24" width="9.14285714285714" style="1"/>
    <col min="25" max="25" width="19.8571428571429" style="1" customWidth="1"/>
    <col min="26" max="16384" width="9.14285714285714" style="1"/>
  </cols>
  <sheetData>
    <row r="2" ht="15" spans="2:16"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3:3">
      <c r="C3" s="3" t="s">
        <v>988</v>
      </c>
    </row>
    <row r="4" ht="15" spans="5:5">
      <c r="E4" s="4" t="s">
        <v>109</v>
      </c>
    </row>
    <row r="5" ht="15" spans="2:5">
      <c r="B5" s="224" t="s">
        <v>159</v>
      </c>
      <c r="C5" s="224"/>
      <c r="D5" s="39" t="s">
        <v>654</v>
      </c>
      <c r="E5" s="39"/>
    </row>
    <row r="6" ht="15" spans="2:5">
      <c r="B6" s="224"/>
      <c r="C6" s="224"/>
      <c r="D6" s="200" t="s">
        <v>881</v>
      </c>
      <c r="E6" s="200" t="s">
        <v>882</v>
      </c>
    </row>
    <row r="7" ht="15" spans="2:5">
      <c r="B7" s="44" t="s">
        <v>890</v>
      </c>
      <c r="C7" s="45"/>
      <c r="D7" s="8"/>
      <c r="E7" s="8"/>
    </row>
    <row r="8" ht="18" customHeight="1" spans="2:5">
      <c r="B8" s="47" t="s">
        <v>171</v>
      </c>
      <c r="C8" s="47" t="s">
        <v>172</v>
      </c>
      <c r="D8" s="225">
        <f>[64]SPDCL_Output!$N9</f>
        <v>1813.8890762657</v>
      </c>
      <c r="E8" s="225">
        <f>[64]SPDCL_Output!$L9</f>
        <v>0</v>
      </c>
    </row>
    <row r="9" ht="18" customHeight="1" spans="2:5">
      <c r="B9" s="55" t="s">
        <v>891</v>
      </c>
      <c r="C9" s="55" t="s">
        <v>174</v>
      </c>
      <c r="D9" s="225">
        <f>[64]SPDCL_Output!$N10</f>
        <v>681.008407938217</v>
      </c>
      <c r="E9" s="225">
        <f>[64]SPDCL_Output!$L10</f>
        <v>0</v>
      </c>
    </row>
    <row r="10" ht="18" customHeight="1" spans="2:5">
      <c r="B10" s="55" t="s">
        <v>892</v>
      </c>
      <c r="C10" s="55" t="s">
        <v>893</v>
      </c>
      <c r="D10" s="225">
        <f>[64]SPDCL_Output!$N11</f>
        <v>168.266803171902</v>
      </c>
      <c r="E10" s="225">
        <f>[64]SPDCL_Output!$L11</f>
        <v>0</v>
      </c>
    </row>
    <row r="11" ht="18" customHeight="1" spans="2:5">
      <c r="B11" s="55" t="s">
        <v>894</v>
      </c>
      <c r="C11" s="55" t="s">
        <v>895</v>
      </c>
      <c r="D11" s="225">
        <f>[64]SPDCL_Output!$N12</f>
        <v>1.57307700103695</v>
      </c>
      <c r="E11" s="225">
        <f>[64]SPDCL_Output!$L12</f>
        <v>0</v>
      </c>
    </row>
    <row r="12" ht="18" customHeight="1" spans="2:5">
      <c r="B12" s="55" t="s">
        <v>896</v>
      </c>
      <c r="C12" s="55" t="s">
        <v>202</v>
      </c>
      <c r="D12" s="225">
        <f>[64]SPDCL_Output!$N13</f>
        <v>2793.49620207078</v>
      </c>
      <c r="E12" s="225">
        <f>[64]SPDCL_Output!$L13</f>
        <v>0</v>
      </c>
    </row>
    <row r="13" ht="18" customHeight="1" spans="2:5">
      <c r="B13" s="55" t="s">
        <v>897</v>
      </c>
      <c r="C13" s="55" t="s">
        <v>898</v>
      </c>
      <c r="D13" s="225">
        <f>[64]SPDCL_Output!$N14</f>
        <v>85.1024648675977</v>
      </c>
      <c r="E13" s="225">
        <f>[64]SPDCL_Output!$L14</f>
        <v>0</v>
      </c>
    </row>
    <row r="14" ht="18" customHeight="1" spans="2:5">
      <c r="B14" s="55" t="s">
        <v>899</v>
      </c>
      <c r="C14" s="55" t="s">
        <v>900</v>
      </c>
      <c r="D14" s="225">
        <f>[64]SPDCL_Output!$N15</f>
        <v>39.7153959898437</v>
      </c>
      <c r="E14" s="225">
        <f>[64]SPDCL_Output!$L15</f>
        <v>0</v>
      </c>
    </row>
    <row r="15" ht="18" customHeight="1" spans="2:5">
      <c r="B15" s="55" t="s">
        <v>901</v>
      </c>
      <c r="C15" s="55" t="s">
        <v>902</v>
      </c>
      <c r="D15" s="225">
        <f>[64]SPDCL_Output!$N16</f>
        <v>4.92514819707191</v>
      </c>
      <c r="E15" s="225">
        <f>[64]SPDCL_Output!$L16</f>
        <v>0</v>
      </c>
    </row>
    <row r="16" ht="18" customHeight="1" spans="2:5">
      <c r="B16" s="55" t="s">
        <v>903</v>
      </c>
      <c r="C16" s="55" t="s">
        <v>904</v>
      </c>
      <c r="D16" s="225">
        <f>[64]SPDCL_Output!$N17</f>
        <v>0</v>
      </c>
      <c r="E16" s="225">
        <f>[64]SPDCL_Output!$L17</f>
        <v>0</v>
      </c>
    </row>
    <row r="17" ht="18" customHeight="1" spans="2:5">
      <c r="B17" s="55" t="s">
        <v>905</v>
      </c>
      <c r="C17" s="67" t="s">
        <v>906</v>
      </c>
      <c r="D17" s="225">
        <f>[64]SPDCL_Output!$N18</f>
        <v>0</v>
      </c>
      <c r="E17" s="225">
        <f>[64]SPDCL_Output!$L18</f>
        <v>0</v>
      </c>
    </row>
    <row r="18" ht="18" customHeight="1" spans="2:5">
      <c r="B18" s="44" t="s">
        <v>907</v>
      </c>
      <c r="C18" s="45"/>
      <c r="D18" s="8"/>
      <c r="E18" s="8"/>
    </row>
    <row r="19" ht="18" customHeight="1" spans="2:5">
      <c r="B19" s="55"/>
      <c r="C19" s="54" t="s">
        <v>908</v>
      </c>
      <c r="D19" s="8"/>
      <c r="E19" s="8"/>
    </row>
    <row r="20" ht="18" customHeight="1" spans="2:5">
      <c r="B20" s="55" t="s">
        <v>909</v>
      </c>
      <c r="C20" s="72" t="s">
        <v>910</v>
      </c>
      <c r="D20" s="225">
        <f>[64]SPDCL_Output!$N23</f>
        <v>165.657908198555</v>
      </c>
      <c r="E20" s="225">
        <f>[64]SPDCL_Output!$L23</f>
        <v>0</v>
      </c>
    </row>
    <row r="21" ht="18" customHeight="1" spans="2:5">
      <c r="B21" s="55" t="s">
        <v>911</v>
      </c>
      <c r="C21" s="72" t="s">
        <v>912</v>
      </c>
      <c r="D21" s="225">
        <f>[64]SPDCL_Output!$N24</f>
        <v>0.0268300371591424</v>
      </c>
      <c r="E21" s="225">
        <f>[64]SPDCL_Output!$L24</f>
        <v>0</v>
      </c>
    </row>
    <row r="22" ht="18" customHeight="1" spans="2:5">
      <c r="B22" s="55" t="s">
        <v>913</v>
      </c>
      <c r="C22" s="72" t="s">
        <v>440</v>
      </c>
      <c r="D22" s="225">
        <f>[64]SPDCL_Output!$N25</f>
        <v>84.3327251765049</v>
      </c>
      <c r="E22" s="225">
        <f>[64]SPDCL_Output!$L25</f>
        <v>0</v>
      </c>
    </row>
    <row r="23" ht="18" customHeight="1" spans="2:5">
      <c r="B23" s="55" t="s">
        <v>914</v>
      </c>
      <c r="C23" s="55" t="s">
        <v>915</v>
      </c>
      <c r="D23" s="225">
        <f>[64]SPDCL_Output!$N26</f>
        <v>0.252729060551646</v>
      </c>
      <c r="E23" s="225">
        <f>[64]SPDCL_Output!$L26</f>
        <v>0</v>
      </c>
    </row>
    <row r="24" ht="18" customHeight="1" spans="2:5">
      <c r="B24" s="55" t="s">
        <v>916</v>
      </c>
      <c r="C24" s="72" t="s">
        <v>917</v>
      </c>
      <c r="D24" s="225">
        <f>[64]SPDCL_Output!$N27</f>
        <v>5.4235063786722</v>
      </c>
      <c r="E24" s="225">
        <f>[64]SPDCL_Output!$L27</f>
        <v>0</v>
      </c>
    </row>
    <row r="25" ht="18" customHeight="1" spans="2:5">
      <c r="B25" s="55" t="s">
        <v>918</v>
      </c>
      <c r="C25" s="72" t="s">
        <v>919</v>
      </c>
      <c r="D25" s="225">
        <f>[64]SPDCL_Output!$N28</f>
        <v>12.7677362836155</v>
      </c>
      <c r="E25" s="225">
        <f>[64]SPDCL_Output!$L28</f>
        <v>0</v>
      </c>
    </row>
    <row r="26" ht="18" customHeight="1" spans="2:5">
      <c r="B26" s="55" t="s">
        <v>980</v>
      </c>
      <c r="C26" s="72" t="s">
        <v>973</v>
      </c>
      <c r="D26" s="225">
        <f>[64]SPDCL_Output!$N29</f>
        <v>11.239856108162</v>
      </c>
      <c r="E26" s="225">
        <f>[64]SPDCL_Output!$L29</f>
        <v>0</v>
      </c>
    </row>
    <row r="27" ht="18" customHeight="1" spans="2:5">
      <c r="B27" s="55" t="s">
        <v>922</v>
      </c>
      <c r="C27" s="72" t="s">
        <v>198</v>
      </c>
      <c r="D27" s="225">
        <f>[64]SPDCL_Output!$N30</f>
        <v>0.0109745450451226</v>
      </c>
      <c r="E27" s="225">
        <f>[64]SPDCL_Output!$L30</f>
        <v>0</v>
      </c>
    </row>
    <row r="28" ht="18" customHeight="1" spans="2:5">
      <c r="B28" s="55" t="s">
        <v>923</v>
      </c>
      <c r="C28" s="72" t="s">
        <v>906</v>
      </c>
      <c r="D28" s="225">
        <f>[64]SPDCL_Output!$N31</f>
        <v>0</v>
      </c>
      <c r="E28" s="225">
        <f>[64]SPDCL_Output!$L31</f>
        <v>0</v>
      </c>
    </row>
    <row r="29" ht="18" customHeight="1" spans="2:5">
      <c r="B29" s="55"/>
      <c r="C29" s="226" t="s">
        <v>924</v>
      </c>
      <c r="D29" s="8"/>
      <c r="E29" s="8"/>
    </row>
    <row r="30" ht="18" customHeight="1" spans="2:5">
      <c r="B30" s="55" t="s">
        <v>925</v>
      </c>
      <c r="C30" s="72" t="s">
        <v>910</v>
      </c>
      <c r="D30" s="225">
        <f>[64]SPDCL_Output!$N36</f>
        <v>110.25028194374</v>
      </c>
      <c r="E30" s="225">
        <f>[64]SPDCL_Output!$L36</f>
        <v>0</v>
      </c>
    </row>
    <row r="31" ht="18" customHeight="1" spans="2:5">
      <c r="B31" s="55" t="s">
        <v>926</v>
      </c>
      <c r="C31" s="72" t="s">
        <v>912</v>
      </c>
      <c r="D31" s="225">
        <f>[64]SPDCL_Output!$N37</f>
        <v>0.00710807361485306</v>
      </c>
      <c r="E31" s="225">
        <f>[64]SPDCL_Output!$L37</f>
        <v>0</v>
      </c>
    </row>
    <row r="32" ht="18" customHeight="1" spans="2:5">
      <c r="B32" s="55" t="s">
        <v>927</v>
      </c>
      <c r="C32" s="72" t="s">
        <v>440</v>
      </c>
      <c r="D32" s="225">
        <f>[64]SPDCL_Output!$N38</f>
        <v>26.7850667537062</v>
      </c>
      <c r="E32" s="225">
        <f>[64]SPDCL_Output!$L38</f>
        <v>0</v>
      </c>
    </row>
    <row r="33" ht="18" customHeight="1" spans="2:5">
      <c r="B33" s="55" t="s">
        <v>928</v>
      </c>
      <c r="C33" s="72" t="s">
        <v>915</v>
      </c>
      <c r="D33" s="225">
        <f>[64]SPDCL_Output!$N39</f>
        <v>0</v>
      </c>
      <c r="E33" s="225">
        <f>[64]SPDCL_Output!$L39</f>
        <v>0</v>
      </c>
    </row>
    <row r="34" ht="18" customHeight="1" spans="2:5">
      <c r="B34" s="55" t="s">
        <v>929</v>
      </c>
      <c r="C34" s="72" t="s">
        <v>917</v>
      </c>
      <c r="D34" s="225">
        <f>[64]SPDCL_Output!$N40</f>
        <v>6.78019006299563</v>
      </c>
      <c r="E34" s="225">
        <f>[64]SPDCL_Output!$L40</f>
        <v>0</v>
      </c>
    </row>
    <row r="35" ht="18" customHeight="1" spans="2:5">
      <c r="B35" s="55" t="s">
        <v>930</v>
      </c>
      <c r="C35" s="72" t="s">
        <v>222</v>
      </c>
      <c r="D35" s="225">
        <f>[64]SPDCL_Output!$N41</f>
        <v>0</v>
      </c>
      <c r="E35" s="225">
        <f>[64]SPDCL_Output!$L41</f>
        <v>0</v>
      </c>
    </row>
    <row r="36" ht="18" customHeight="1" spans="2:5">
      <c r="B36" s="55" t="s">
        <v>931</v>
      </c>
      <c r="C36" s="72" t="s">
        <v>932</v>
      </c>
      <c r="D36" s="225">
        <f>[64]SPDCL_Output!$N42</f>
        <v>3.44921983958871</v>
      </c>
      <c r="E36" s="225">
        <f>[64]SPDCL_Output!$L42</f>
        <v>0</v>
      </c>
    </row>
    <row r="37" ht="18" customHeight="1" spans="2:5">
      <c r="B37" s="55" t="s">
        <v>933</v>
      </c>
      <c r="C37" s="72" t="s">
        <v>934</v>
      </c>
      <c r="D37" s="225">
        <f>[64]SPDCL_Output!$N43</f>
        <v>0</v>
      </c>
      <c r="E37" s="225">
        <f>[64]SPDCL_Output!$L43</f>
        <v>0</v>
      </c>
    </row>
    <row r="38" ht="18" customHeight="1" spans="2:5">
      <c r="B38" s="55" t="s">
        <v>935</v>
      </c>
      <c r="C38" s="72" t="s">
        <v>198</v>
      </c>
      <c r="D38" s="225">
        <f>[64]SPDCL_Output!$N44</f>
        <v>0.0554408506791253</v>
      </c>
      <c r="E38" s="225">
        <f>[64]SPDCL_Output!$L44</f>
        <v>0</v>
      </c>
    </row>
    <row r="39" ht="18" customHeight="1" spans="2:5">
      <c r="B39" s="55" t="s">
        <v>936</v>
      </c>
      <c r="C39" s="72" t="s">
        <v>906</v>
      </c>
      <c r="D39" s="225">
        <f>[64]SPDCL_Output!$N45</f>
        <v>0</v>
      </c>
      <c r="E39" s="225">
        <f>[64]SPDCL_Output!$L45</f>
        <v>0</v>
      </c>
    </row>
    <row r="40" ht="18" customHeight="1" spans="2:5">
      <c r="B40" s="55"/>
      <c r="C40" s="226" t="s">
        <v>937</v>
      </c>
      <c r="D40" s="8"/>
      <c r="E40" s="8"/>
    </row>
    <row r="41" ht="18" customHeight="1" spans="2:5">
      <c r="B41" s="55" t="s">
        <v>938</v>
      </c>
      <c r="C41" s="72" t="s">
        <v>910</v>
      </c>
      <c r="D41" s="225">
        <f>[64]SPDCL_Output!$N50</f>
        <v>0</v>
      </c>
      <c r="E41" s="225">
        <f>[64]SPDCL_Output!$L50</f>
        <v>0</v>
      </c>
    </row>
    <row r="42" ht="18" customHeight="1" spans="2:5">
      <c r="B42" s="55" t="s">
        <v>939</v>
      </c>
      <c r="C42" s="72" t="s">
        <v>912</v>
      </c>
      <c r="D42" s="225">
        <f>[64]SPDCL_Output!$N51</f>
        <v>0</v>
      </c>
      <c r="E42" s="225">
        <f>[64]SPDCL_Output!$L51</f>
        <v>0</v>
      </c>
    </row>
    <row r="43" ht="18" customHeight="1" spans="2:5">
      <c r="B43" s="55" t="s">
        <v>940</v>
      </c>
      <c r="C43" s="72" t="s">
        <v>440</v>
      </c>
      <c r="D43" s="225">
        <f>[64]SPDCL_Output!$N52</f>
        <v>0</v>
      </c>
      <c r="E43" s="225">
        <f>[64]SPDCL_Output!$L52</f>
        <v>0</v>
      </c>
    </row>
    <row r="44" ht="18" customHeight="1" spans="2:5">
      <c r="B44" s="55" t="s">
        <v>941</v>
      </c>
      <c r="C44" s="72" t="s">
        <v>915</v>
      </c>
      <c r="D44" s="225">
        <f>[64]SPDCL_Output!$N53</f>
        <v>0</v>
      </c>
      <c r="E44" s="225">
        <f>[64]SPDCL_Output!$L53</f>
        <v>0</v>
      </c>
    </row>
    <row r="45" ht="18" customHeight="1" spans="2:5">
      <c r="B45" s="55" t="s">
        <v>942</v>
      </c>
      <c r="C45" s="72" t="s">
        <v>917</v>
      </c>
      <c r="D45" s="225">
        <f>[64]SPDCL_Output!$N54</f>
        <v>0</v>
      </c>
      <c r="E45" s="225">
        <f>[64]SPDCL_Output!$L54</f>
        <v>0</v>
      </c>
    </row>
    <row r="46" ht="18" customHeight="1" spans="2:5">
      <c r="B46" s="55" t="s">
        <v>943</v>
      </c>
      <c r="C46" s="72" t="s">
        <v>944</v>
      </c>
      <c r="D46" s="225">
        <f>[64]SPDCL_Output!$N55</f>
        <v>0</v>
      </c>
      <c r="E46" s="225">
        <f>[64]SPDCL_Output!$L55</f>
        <v>0</v>
      </c>
    </row>
    <row r="47" ht="18" customHeight="1" spans="2:5">
      <c r="B47" s="55" t="s">
        <v>945</v>
      </c>
      <c r="C47" s="72" t="s">
        <v>946</v>
      </c>
      <c r="D47" s="225">
        <f>[64]SPDCL_Output!$N56</f>
        <v>0</v>
      </c>
      <c r="E47" s="225">
        <f>[64]SPDCL_Output!$L56</f>
        <v>0</v>
      </c>
    </row>
    <row r="48" ht="18" customHeight="1" spans="2:5">
      <c r="B48" s="55" t="s">
        <v>947</v>
      </c>
      <c r="C48" s="72" t="s">
        <v>932</v>
      </c>
      <c r="D48" s="225">
        <f>[64]SPDCL_Output!$N57</f>
        <v>0</v>
      </c>
      <c r="E48" s="225">
        <f>[64]SPDCL_Output!$L57</f>
        <v>0</v>
      </c>
    </row>
    <row r="49" ht="18" customHeight="1" spans="2:5">
      <c r="B49" s="55" t="s">
        <v>948</v>
      </c>
      <c r="C49" s="72" t="s">
        <v>198</v>
      </c>
      <c r="D49" s="225">
        <f>[64]SPDCL_Output!$N58</f>
        <v>0</v>
      </c>
      <c r="E49" s="225">
        <f>[64]SPDCL_Output!$L58</f>
        <v>0</v>
      </c>
    </row>
    <row r="50" ht="18" customHeight="1" spans="2:5">
      <c r="B50" s="55" t="s">
        <v>949</v>
      </c>
      <c r="C50" s="72" t="s">
        <v>906</v>
      </c>
      <c r="D50" s="225">
        <f>[64]SPDCL_Output!$N59</f>
        <v>0</v>
      </c>
      <c r="E50" s="225">
        <f>[64]SPDCL_Output!$L59</f>
        <v>0</v>
      </c>
    </row>
    <row r="51" ht="18" customHeight="1" spans="2:5">
      <c r="B51" s="39" t="s">
        <v>224</v>
      </c>
      <c r="C51" s="39"/>
      <c r="D51" s="227">
        <f>SUM(D8:D50)</f>
        <v>6015.01614881474</v>
      </c>
      <c r="E51" s="227">
        <f>SUM(E8:E50)</f>
        <v>0</v>
      </c>
    </row>
    <row r="52" ht="21" customHeight="1" spans="5:5">
      <c r="E52" s="228">
        <f>D51+E51-[64]SPDCL_Output!$N$64-[64]SPDCL_Output!$O$64</f>
        <v>0</v>
      </c>
    </row>
  </sheetData>
  <mergeCells count="6">
    <mergeCell ref="B2:P2"/>
    <mergeCell ref="D5:E5"/>
    <mergeCell ref="B7:C7"/>
    <mergeCell ref="B18:C18"/>
    <mergeCell ref="B51:C51"/>
    <mergeCell ref="B5:C6"/>
  </mergeCells>
  <printOptions horizontalCentered="1"/>
  <pageMargins left="0.708661417322835" right="0.708661417322835" top="0.748031496062992" bottom="0.748031496062992" header="0.31496062992126" footer="0.31496062992126"/>
  <pageSetup paperSize="9" scale="69" fitToHeight="6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  <pageSetUpPr fitToPage="1"/>
  </sheetPr>
  <dimension ref="B2:O81"/>
  <sheetViews>
    <sheetView showGridLines="0" view="pageBreakPreview" zoomScale="85" zoomScaleNormal="85" topLeftCell="C1" workbookViewId="0">
      <pane xSplit="2" ySplit="8" topLeftCell="E9" activePane="bottomRight" state="frozen"/>
      <selection/>
      <selection pane="topRight"/>
      <selection pane="bottomLeft"/>
      <selection pane="bottomRight" activeCell="T57" sqref="T57"/>
    </sheetView>
  </sheetViews>
  <sheetFormatPr defaultColWidth="9.14285714285714" defaultRowHeight="14.25"/>
  <cols>
    <col min="1" max="1" width="3.14285714285714" style="12" customWidth="1"/>
    <col min="2" max="2" width="8.42857142857143" style="12" customWidth="1"/>
    <col min="3" max="3" width="21.4285714285714" style="12" customWidth="1"/>
    <col min="4" max="4" width="43.4285714285714" style="12" customWidth="1"/>
    <col min="5" max="5" width="15" style="12" hidden="1" customWidth="1"/>
    <col min="6" max="7" width="13.4285714285714" style="12" hidden="1" customWidth="1"/>
    <col min="8" max="8" width="13.5714285714286" style="12" hidden="1" customWidth="1"/>
    <col min="9" max="9" width="17.1428571428571" style="12" hidden="1" customWidth="1"/>
    <col min="10" max="10" width="13.4285714285714" style="12" customWidth="1"/>
    <col min="11" max="11" width="11.8571428571429" style="12" customWidth="1"/>
    <col min="12" max="12" width="14" style="12" hidden="1" customWidth="1"/>
    <col min="13" max="13" width="12.4285714285714" style="12" hidden="1" customWidth="1"/>
    <col min="14" max="14" width="12.5714285714286" style="12" hidden="1" customWidth="1"/>
    <col min="15" max="16384" width="9.14285714285714" style="12"/>
  </cols>
  <sheetData>
    <row r="2" ht="15" spans="4:8">
      <c r="D2" s="894" t="e">
        <f>'[15]Rev_NP-12me'!$I$71</f>
        <v>#REF!</v>
      </c>
      <c r="H2" s="2" t="s">
        <v>156</v>
      </c>
    </row>
    <row r="3" ht="15" spans="8:8">
      <c r="H3" s="3" t="s">
        <v>157</v>
      </c>
    </row>
    <row r="4" ht="15" spans="2:14">
      <c r="B4" s="14"/>
      <c r="C4" s="14"/>
      <c r="D4" s="655"/>
      <c r="E4" s="655"/>
      <c r="F4" s="655"/>
      <c r="G4" s="655"/>
      <c r="N4" s="3" t="s">
        <v>158</v>
      </c>
    </row>
    <row r="5" ht="15" spans="2:14">
      <c r="B5" s="656"/>
      <c r="C5" s="658" t="s">
        <v>159</v>
      </c>
      <c r="D5" s="873"/>
      <c r="E5" s="16" t="s">
        <v>160</v>
      </c>
      <c r="F5" s="16" t="s">
        <v>161</v>
      </c>
      <c r="G5" s="16" t="s">
        <v>162</v>
      </c>
      <c r="H5" s="16" t="s">
        <v>163</v>
      </c>
      <c r="I5" s="16" t="s">
        <v>164</v>
      </c>
      <c r="J5" s="884" t="s">
        <v>114</v>
      </c>
      <c r="K5" s="885"/>
      <c r="L5" s="885"/>
      <c r="M5" s="885"/>
      <c r="N5" s="886"/>
    </row>
    <row r="6" ht="30" spans="2:14">
      <c r="B6" s="656"/>
      <c r="C6" s="660"/>
      <c r="D6" s="874"/>
      <c r="E6" s="535"/>
      <c r="F6" s="535"/>
      <c r="G6" s="535"/>
      <c r="H6" s="535"/>
      <c r="I6" s="535"/>
      <c r="J6" s="5" t="s">
        <v>165</v>
      </c>
      <c r="K6" s="5" t="s">
        <v>166</v>
      </c>
      <c r="L6" s="5" t="s">
        <v>167</v>
      </c>
      <c r="M6" s="5" t="s">
        <v>168</v>
      </c>
      <c r="N6" s="5" t="s">
        <v>169</v>
      </c>
    </row>
    <row r="7" ht="15" spans="2:14">
      <c r="B7" s="656"/>
      <c r="C7" s="662"/>
      <c r="D7" s="875"/>
      <c r="E7" s="5" t="s">
        <v>128</v>
      </c>
      <c r="F7" s="5" t="s">
        <v>128</v>
      </c>
      <c r="G7" s="5" t="s">
        <v>128</v>
      </c>
      <c r="H7" s="5" t="s">
        <v>128</v>
      </c>
      <c r="I7" s="5" t="s">
        <v>131</v>
      </c>
      <c r="J7" s="5" t="s">
        <v>132</v>
      </c>
      <c r="K7" s="5" t="s">
        <v>132</v>
      </c>
      <c r="L7" s="5" t="s">
        <v>132</v>
      </c>
      <c r="M7" s="5" t="s">
        <v>132</v>
      </c>
      <c r="N7" s="5" t="s">
        <v>132</v>
      </c>
    </row>
    <row r="8" ht="15" spans="2:14">
      <c r="B8" s="656"/>
      <c r="C8" s="44" t="s">
        <v>170</v>
      </c>
      <c r="D8" s="45"/>
      <c r="E8" s="45"/>
      <c r="F8" s="45"/>
      <c r="G8" s="45"/>
      <c r="H8" s="47"/>
      <c r="I8" s="47"/>
      <c r="J8" s="55"/>
      <c r="K8" s="55"/>
      <c r="L8" s="55"/>
      <c r="M8" s="55"/>
      <c r="N8" s="55"/>
    </row>
    <row r="9" spans="2:14">
      <c r="B9" s="656"/>
      <c r="C9" s="47" t="s">
        <v>171</v>
      </c>
      <c r="D9" s="47" t="s">
        <v>172</v>
      </c>
      <c r="E9" s="882">
        <v>6542568</v>
      </c>
      <c r="F9" s="882">
        <v>6817306</v>
      </c>
      <c r="G9" s="882">
        <v>7121821</v>
      </c>
      <c r="H9" s="882">
        <v>7443356</v>
      </c>
      <c r="I9" s="882">
        <f>'[17]Rev SP FY24'!$AI$10</f>
        <v>7772199</v>
      </c>
      <c r="J9" s="891">
        <f>'[18]Rev_SP-12me'!$H$10</f>
        <v>8117951</v>
      </c>
      <c r="K9" s="891">
        <f>'[18]Rev_SP-12me'!$AJ$10</f>
        <v>8480176</v>
      </c>
      <c r="L9" s="882">
        <f>'[19]Rev_SP-12me'!$AJ$10</f>
        <v>9275620</v>
      </c>
      <c r="M9" s="882">
        <f>'[20]Rev_SP-12me'!$AJ$10</f>
        <v>9800235</v>
      </c>
      <c r="N9" s="882">
        <f>'[21]Rev_SP-12me'!$AJ$10</f>
        <v>10354521</v>
      </c>
    </row>
    <row r="10" spans="3:14">
      <c r="C10" s="55" t="s">
        <v>173</v>
      </c>
      <c r="D10" s="55" t="s">
        <v>174</v>
      </c>
      <c r="E10" s="153">
        <v>873555</v>
      </c>
      <c r="F10" s="153">
        <v>904559</v>
      </c>
      <c r="G10" s="153">
        <v>1010316</v>
      </c>
      <c r="H10" s="153">
        <v>1087272</v>
      </c>
      <c r="I10" s="153">
        <f>'[17]Rev SP FY24'!$AI$23</f>
        <v>1148711</v>
      </c>
      <c r="J10" s="891">
        <f>'[18]Rev_SP-12me'!$H$23</f>
        <v>1226970</v>
      </c>
      <c r="K10" s="891">
        <f>'[18]Rev_SP-12me'!$AJ$23</f>
        <v>1310560</v>
      </c>
      <c r="L10" s="882">
        <f>'[19]Rev_SP-12me'!$AJ$23</f>
        <v>1411291</v>
      </c>
      <c r="M10" s="882">
        <f>'[20]Rev_SP-12me'!$AJ$23</f>
        <v>1506386</v>
      </c>
      <c r="N10" s="882">
        <f>'[21]Rev_SP-12me'!$AJ$23</f>
        <v>1607888</v>
      </c>
    </row>
    <row r="11" spans="3:14">
      <c r="C11" s="55" t="s">
        <v>175</v>
      </c>
      <c r="D11" s="55" t="s">
        <v>176</v>
      </c>
      <c r="E11" s="153">
        <v>43778</v>
      </c>
      <c r="F11" s="153">
        <v>44492</v>
      </c>
      <c r="G11" s="153">
        <v>44611</v>
      </c>
      <c r="H11" s="153">
        <v>45213</v>
      </c>
      <c r="I11" s="153">
        <f>'[17]Rev SP FY24'!$AI$36</f>
        <v>45863</v>
      </c>
      <c r="J11" s="891">
        <f>'[18]Rev_SP-12me'!$H$36</f>
        <v>46475</v>
      </c>
      <c r="K11" s="891">
        <f>'[18]Rev_SP-12me'!$AJ$36</f>
        <v>47096</v>
      </c>
      <c r="L11" s="882">
        <f>'[19]Rev_SP-12me'!$AJ$36</f>
        <v>54957</v>
      </c>
      <c r="M11" s="882">
        <f>'[20]Rev_SP-12me'!$AJ$36</f>
        <v>57705</v>
      </c>
      <c r="N11" s="882">
        <f>'[21]Rev_SP-12me'!$AJ$36</f>
        <v>60590</v>
      </c>
    </row>
    <row r="12" spans="3:14">
      <c r="C12" s="55" t="s">
        <v>177</v>
      </c>
      <c r="D12" s="55" t="s">
        <v>178</v>
      </c>
      <c r="E12" s="153">
        <v>4243</v>
      </c>
      <c r="F12" s="153">
        <v>4354</v>
      </c>
      <c r="G12" s="153">
        <v>4410</v>
      </c>
      <c r="H12" s="153">
        <v>4578</v>
      </c>
      <c r="I12" s="153">
        <f>'[17]Rev SP FY24'!$AI$43</f>
        <v>5096</v>
      </c>
      <c r="J12" s="891">
        <f>'[18]Rev_SP-12me'!$H$43</f>
        <v>5371</v>
      </c>
      <c r="K12" s="891">
        <f>'[18]Rev_SP-12me'!$AJ$43</f>
        <v>5661</v>
      </c>
      <c r="L12" s="882">
        <f>'[19]Rev_SP-12me'!$AJ$43</f>
        <v>5173</v>
      </c>
      <c r="M12" s="882">
        <f>'[20]Rev_SP-12me'!$AJ$43</f>
        <v>5333</v>
      </c>
      <c r="N12" s="882">
        <f>'[21]Rev_SP-12me'!$AJ$43</f>
        <v>5498</v>
      </c>
    </row>
    <row r="13" spans="3:14">
      <c r="C13" s="55" t="s">
        <v>179</v>
      </c>
      <c r="D13" s="55" t="s">
        <v>180</v>
      </c>
      <c r="E13" s="153">
        <v>1145031</v>
      </c>
      <c r="F13" s="153">
        <v>1190930</v>
      </c>
      <c r="G13" s="153">
        <v>1262600</v>
      </c>
      <c r="H13" s="153">
        <v>1310333</v>
      </c>
      <c r="I13" s="153">
        <f>'[17]Rev SP FY24'!$AI$46</f>
        <v>1361911</v>
      </c>
      <c r="J13" s="891">
        <f>'[18]Rev_SP-12me'!$H$46</f>
        <v>1434508</v>
      </c>
      <c r="K13" s="891">
        <f>'[18]Rev_SP-12me'!$AJ$46</f>
        <v>1510736</v>
      </c>
      <c r="L13" s="882">
        <f>'[19]Rev_SP-12me'!$AJ$46</f>
        <v>1542291</v>
      </c>
      <c r="M13" s="882">
        <f>'[20]Rev_SP-12me'!$AJ$46</f>
        <v>1606432</v>
      </c>
      <c r="N13" s="882">
        <f>'[21]Rev_SP-12me'!$AJ$46</f>
        <v>1673241</v>
      </c>
    </row>
    <row r="14" spans="3:14">
      <c r="C14" s="55" t="s">
        <v>181</v>
      </c>
      <c r="D14" s="55" t="s">
        <v>182</v>
      </c>
      <c r="E14" s="153">
        <v>105304</v>
      </c>
      <c r="F14" s="153">
        <v>104891</v>
      </c>
      <c r="G14" s="153">
        <v>106561</v>
      </c>
      <c r="H14" s="153">
        <v>108272</v>
      </c>
      <c r="I14" s="153">
        <f>'[17]Rev SP FY24'!$AI$54+'[17]Rev SP FY24'!$AI$65</f>
        <v>109032</v>
      </c>
      <c r="J14" s="891">
        <f>'[18]Rev_SP-12me'!$H$54+'[18]Rev_SP-12me'!$H$65</f>
        <v>109669</v>
      </c>
      <c r="K14" s="891">
        <f>'[18]Rev_SP-12me'!$AJ$54+'[18]Rev_SP-12me'!$AJ$65</f>
        <v>110330</v>
      </c>
      <c r="L14" s="882">
        <f>'[19]Rev_SP-12me'!$AJ$54+'[19]Rev_SP-12me'!$AJ$65</f>
        <v>131605</v>
      </c>
      <c r="M14" s="882">
        <f>'[20]Rev_SP-12me'!$AJ$54+'[20]Rev_SP-12me'!$AJ$65</f>
        <v>138186</v>
      </c>
      <c r="N14" s="882">
        <f>'[21]Rev_SP-12me'!$AJ$54+'[21]Rev_SP-12me'!$AJ$65</f>
        <v>145095</v>
      </c>
    </row>
    <row r="15" spans="3:14">
      <c r="C15" s="55" t="s">
        <v>183</v>
      </c>
      <c r="D15" s="55" t="s">
        <v>184</v>
      </c>
      <c r="E15" s="153">
        <v>22934</v>
      </c>
      <c r="F15" s="153">
        <v>23176</v>
      </c>
      <c r="G15" s="153">
        <v>23724</v>
      </c>
      <c r="H15" s="153">
        <v>24698</v>
      </c>
      <c r="I15" s="153">
        <f>'[17]Rev SP FY24'!$AI$58</f>
        <v>25529</v>
      </c>
      <c r="J15" s="891">
        <f>'[18]Rev_SP-12me'!$H$58</f>
        <v>26365</v>
      </c>
      <c r="K15" s="891">
        <f>'[18]Rev_SP-12me'!$AJ$58</f>
        <v>27229</v>
      </c>
      <c r="L15" s="882">
        <f>'[19]Rev_SP-12me'!$AJ$58</f>
        <v>27095</v>
      </c>
      <c r="M15" s="882">
        <f>'[20]Rev_SP-12me'!$AJ$58</f>
        <v>27729</v>
      </c>
      <c r="N15" s="882">
        <f>'[21]Rev_SP-12me'!$AJ$58</f>
        <v>28379</v>
      </c>
    </row>
    <row r="16" spans="3:14">
      <c r="C16" s="55" t="s">
        <v>185</v>
      </c>
      <c r="D16" s="55" t="s">
        <v>186</v>
      </c>
      <c r="E16" s="153">
        <v>4272</v>
      </c>
      <c r="F16" s="153">
        <v>7589</v>
      </c>
      <c r="G16" s="153">
        <v>10536</v>
      </c>
      <c r="H16" s="153">
        <v>12733</v>
      </c>
      <c r="I16" s="153">
        <f>'[17]Rev SP FY24'!$AI$63</f>
        <v>14523</v>
      </c>
      <c r="J16" s="891">
        <f>'[18]Rev_SP-12me'!$H$63</f>
        <v>17051</v>
      </c>
      <c r="K16" s="891">
        <f>'[18]Rev_SP-12me'!$AJ$63</f>
        <v>20019</v>
      </c>
      <c r="L16" s="882">
        <f>'[19]Rev_SP-12me'!$AJ$63</f>
        <v>15477</v>
      </c>
      <c r="M16" s="882">
        <f>'[20]Rev_SP-12me'!$AJ$63</f>
        <v>16251</v>
      </c>
      <c r="N16" s="882">
        <f>'[21]Rev_SP-12me'!$AJ$63</f>
        <v>17063</v>
      </c>
    </row>
    <row r="17" spans="3:14">
      <c r="C17" s="55" t="s">
        <v>187</v>
      </c>
      <c r="D17" s="55" t="s">
        <v>188</v>
      </c>
      <c r="E17" s="153">
        <v>3</v>
      </c>
      <c r="F17" s="153">
        <v>19</v>
      </c>
      <c r="G17" s="153">
        <v>53</v>
      </c>
      <c r="H17" s="153">
        <v>103</v>
      </c>
      <c r="I17" s="153">
        <f>'[17]Rev SP FY24'!$AI$64</f>
        <v>233</v>
      </c>
      <c r="J17" s="891">
        <f>'[18]Rev_SP-12me'!$H$64</f>
        <v>303</v>
      </c>
      <c r="K17" s="891">
        <f>'[18]Rev_SP-12me'!$AJ$64</f>
        <v>415</v>
      </c>
      <c r="L17" s="882">
        <f>'[19]Rev_SP-12me'!$AJ$64</f>
        <v>269.726625</v>
      </c>
      <c r="M17" s="882">
        <f>'[20]Rev_SP-12me'!$AJ$64</f>
        <v>283.21295625</v>
      </c>
      <c r="N17" s="882">
        <f>'[21]Rev_SP-12me'!$AJ$64</f>
        <v>297.3736040625</v>
      </c>
    </row>
    <row r="18" spans="3:14">
      <c r="C18" s="55"/>
      <c r="D18" s="55"/>
      <c r="E18" s="895"/>
      <c r="F18" s="895"/>
      <c r="G18" s="895"/>
      <c r="H18" s="895"/>
      <c r="I18" s="895"/>
      <c r="J18" s="896"/>
      <c r="K18" s="896"/>
      <c r="L18" s="895"/>
      <c r="M18" s="895"/>
      <c r="N18" s="895"/>
    </row>
    <row r="19" spans="3:14">
      <c r="C19" s="55"/>
      <c r="D19" s="55"/>
      <c r="E19" s="895"/>
      <c r="F19" s="895"/>
      <c r="G19" s="895"/>
      <c r="H19" s="895"/>
      <c r="I19" s="895"/>
      <c r="J19" s="896"/>
      <c r="K19" s="896"/>
      <c r="L19" s="895"/>
      <c r="M19" s="895"/>
      <c r="N19" s="895"/>
    </row>
    <row r="20" spans="3:14">
      <c r="C20" s="55"/>
      <c r="D20" s="55"/>
      <c r="E20" s="895"/>
      <c r="F20" s="895"/>
      <c r="G20" s="895"/>
      <c r="H20" s="895"/>
      <c r="I20" s="895"/>
      <c r="J20" s="896"/>
      <c r="K20" s="896"/>
      <c r="L20" s="895"/>
      <c r="M20" s="895"/>
      <c r="N20" s="895"/>
    </row>
    <row r="21" spans="3:14">
      <c r="C21" s="55"/>
      <c r="D21" s="55"/>
      <c r="E21" s="895"/>
      <c r="F21" s="895"/>
      <c r="G21" s="895"/>
      <c r="H21" s="895"/>
      <c r="I21" s="895"/>
      <c r="J21" s="896"/>
      <c r="K21" s="896"/>
      <c r="L21" s="895"/>
      <c r="M21" s="895"/>
      <c r="N21" s="895"/>
    </row>
    <row r="22" ht="15" spans="3:15">
      <c r="C22" s="537" t="s">
        <v>189</v>
      </c>
      <c r="D22" s="540"/>
      <c r="E22" s="877">
        <f>SUM(E9:E21)</f>
        <v>8741688</v>
      </c>
      <c r="F22" s="877">
        <f>SUM(F9:F21)</f>
        <v>9097316</v>
      </c>
      <c r="G22" s="877">
        <f t="shared" ref="G22:N22" si="0">SUM(G9:G21)</f>
        <v>9584632</v>
      </c>
      <c r="H22" s="877">
        <f t="shared" si="0"/>
        <v>10036558</v>
      </c>
      <c r="I22" s="877">
        <f t="shared" si="0"/>
        <v>10483097</v>
      </c>
      <c r="J22" s="897">
        <f t="shared" si="0"/>
        <v>10984663</v>
      </c>
      <c r="K22" s="897">
        <f t="shared" si="0"/>
        <v>11512222</v>
      </c>
      <c r="L22" s="877">
        <f t="shared" si="0"/>
        <v>12463778.726625</v>
      </c>
      <c r="M22" s="877">
        <f t="shared" si="0"/>
        <v>13158540.2129562</v>
      </c>
      <c r="N22" s="877">
        <f t="shared" si="0"/>
        <v>13892572.3736041</v>
      </c>
      <c r="O22" s="887"/>
    </row>
    <row r="23" ht="15" spans="3:15">
      <c r="C23" s="44" t="s">
        <v>190</v>
      </c>
      <c r="D23" s="45"/>
      <c r="E23" s="876"/>
      <c r="F23" s="876"/>
      <c r="G23" s="876"/>
      <c r="H23" s="146"/>
      <c r="I23" s="146"/>
      <c r="J23" s="898"/>
      <c r="K23" s="898"/>
      <c r="L23" s="146"/>
      <c r="M23" s="146"/>
      <c r="N23" s="146"/>
      <c r="O23" s="887"/>
    </row>
    <row r="24" spans="3:14">
      <c r="C24" s="55" t="s">
        <v>191</v>
      </c>
      <c r="D24" s="55" t="s">
        <v>192</v>
      </c>
      <c r="E24" s="882">
        <v>4869</v>
      </c>
      <c r="F24" s="882">
        <f>4984+49</f>
        <v>5033</v>
      </c>
      <c r="G24" s="882">
        <f>5293+50</f>
        <v>5343</v>
      </c>
      <c r="H24" s="882">
        <f>5564+49</f>
        <v>5613</v>
      </c>
      <c r="I24" s="882">
        <f>'[17]Rev SP FY24'!$AI$85+'[17]Rev SP FY24'!$AI$94+'[17]Rev_SP-12me'!$H$100</f>
        <v>5914</v>
      </c>
      <c r="J24" s="891">
        <f>'[18]Rev_SP-12me'!$H$84</f>
        <v>5914</v>
      </c>
      <c r="K24" s="891">
        <f>'[18]Rev_SP-12me'!$AJ$84</f>
        <v>6196</v>
      </c>
      <c r="L24" s="882">
        <f>'[19]Rev_SP-12me'!$AJ$84</f>
        <v>6681.56814422759</v>
      </c>
      <c r="M24" s="882">
        <f>'[20]Rev_SP-12me'!$AJ$84</f>
        <v>6979.57889513728</v>
      </c>
      <c r="N24" s="882">
        <f>'[21]Rev_SP-12me'!$AJ$84</f>
        <v>7291.51538207079</v>
      </c>
    </row>
    <row r="25" spans="3:14">
      <c r="C25" s="55" t="s">
        <v>193</v>
      </c>
      <c r="D25" s="55" t="s">
        <v>194</v>
      </c>
      <c r="E25" s="153">
        <v>0</v>
      </c>
      <c r="F25" s="153">
        <v>0</v>
      </c>
      <c r="G25" s="153">
        <v>0</v>
      </c>
      <c r="H25" s="153">
        <v>0</v>
      </c>
      <c r="I25" s="153">
        <f>'[17]Rev SP FY24'!$AI$99</f>
        <v>1</v>
      </c>
      <c r="J25" s="891">
        <f>'[18]Rev_SP-12me'!$H$99</f>
        <v>0</v>
      </c>
      <c r="K25" s="891">
        <f>'[18]Rev_SP-12me'!$AJ$99</f>
        <v>0</v>
      </c>
      <c r="L25" s="882">
        <f>'[19]Rev_SP-12me'!$AJ$99</f>
        <v>0</v>
      </c>
      <c r="M25" s="882">
        <f>'[20]Rev_SP-12me'!$AJ$99</f>
        <v>0</v>
      </c>
      <c r="N25" s="882">
        <f>'[21]Rev_SP-12me'!$AJ$99</f>
        <v>0</v>
      </c>
    </row>
    <row r="26" spans="3:14">
      <c r="C26" s="55" t="s">
        <v>195</v>
      </c>
      <c r="D26" s="55" t="s">
        <v>196</v>
      </c>
      <c r="E26" s="153">
        <v>3500</v>
      </c>
      <c r="F26" s="153">
        <v>3612</v>
      </c>
      <c r="G26" s="153">
        <v>3849</v>
      </c>
      <c r="H26" s="153">
        <v>4263</v>
      </c>
      <c r="I26" s="153">
        <f>'[17]Rev SP FY24'!$AI$105</f>
        <v>4709</v>
      </c>
      <c r="J26" s="891">
        <f>'[18]Rev_SP-12me'!$H$105</f>
        <v>4809</v>
      </c>
      <c r="K26" s="891">
        <f>'[18]Rev_SP-12me'!$AJ$105</f>
        <v>5386</v>
      </c>
      <c r="L26" s="882">
        <f>'[19]Rev_SP-12me'!$AJ$105</f>
        <v>5470.25537208776</v>
      </c>
      <c r="M26" s="882">
        <f>'[20]Rev_SP-12me'!$AJ$105</f>
        <v>5823.17507351278</v>
      </c>
      <c r="N26" s="882">
        <f>'[21]Rev_SP-12me'!$AJ$105</f>
        <v>6198.27278896177</v>
      </c>
    </row>
    <row r="27" spans="3:14">
      <c r="C27" s="55" t="s">
        <v>197</v>
      </c>
      <c r="D27" s="55" t="s">
        <v>198</v>
      </c>
      <c r="E27" s="153">
        <v>0</v>
      </c>
      <c r="F27" s="153">
        <v>0</v>
      </c>
      <c r="G27" s="153">
        <v>0</v>
      </c>
      <c r="H27" s="153">
        <v>0</v>
      </c>
      <c r="I27" s="153">
        <f>'[17]Rev SP FY24'!$AI$110</f>
        <v>2</v>
      </c>
      <c r="J27" s="891">
        <f>'[18]Rev_SP-12me'!$H$110</f>
        <v>0</v>
      </c>
      <c r="K27" s="891">
        <f>'[18]Rev_SP-12me'!$AJ$110</f>
        <v>0</v>
      </c>
      <c r="L27" s="882">
        <f>'[19]Rev_SP-12me'!$AJ$110</f>
        <v>0</v>
      </c>
      <c r="M27" s="882">
        <f>'[20]Rev_SP-12me'!$AJ$110</f>
        <v>0</v>
      </c>
      <c r="N27" s="882">
        <f>'[21]Rev_SP-12me'!$AJ$110</f>
        <v>0</v>
      </c>
    </row>
    <row r="28" spans="3:14">
      <c r="C28" s="55" t="s">
        <v>199</v>
      </c>
      <c r="D28" s="55" t="s">
        <v>200</v>
      </c>
      <c r="E28" s="153">
        <v>10</v>
      </c>
      <c r="F28" s="153">
        <v>10</v>
      </c>
      <c r="G28" s="153">
        <v>11</v>
      </c>
      <c r="H28" s="153">
        <v>11</v>
      </c>
      <c r="I28" s="153">
        <f>'[17]Rev SP FY24'!$AI$115</f>
        <v>13</v>
      </c>
      <c r="J28" s="891">
        <f>'[18]Rev_SP-12me'!$H$115</f>
        <v>14</v>
      </c>
      <c r="K28" s="891">
        <f>'[18]Rev_SP-12me'!$AJ$115</f>
        <v>14</v>
      </c>
      <c r="L28" s="882">
        <f>'[19]Rev_SP-12me'!$AJ$115</f>
        <v>12.8333333333333</v>
      </c>
      <c r="M28" s="882">
        <f>'[20]Rev_SP-12me'!$AJ$115</f>
        <v>11.9166666666667</v>
      </c>
      <c r="N28" s="882">
        <f>'[21]Rev_SP-12me'!$AJ$115</f>
        <v>12.7678571428571</v>
      </c>
    </row>
    <row r="29" spans="3:14">
      <c r="C29" s="55" t="s">
        <v>201</v>
      </c>
      <c r="D29" s="55" t="s">
        <v>202</v>
      </c>
      <c r="E29" s="153">
        <v>137</v>
      </c>
      <c r="F29" s="153">
        <v>132</v>
      </c>
      <c r="G29" s="153">
        <v>127</v>
      </c>
      <c r="H29" s="153">
        <v>127</v>
      </c>
      <c r="I29" s="153">
        <f>'[17]Rev SP FY24'!$AI$120</f>
        <v>126</v>
      </c>
      <c r="J29" s="891">
        <f>'[18]Rev_SP-12me'!$H$120</f>
        <v>132</v>
      </c>
      <c r="K29" s="891">
        <f>'[18]Rev_SP-12me'!$AJ$120</f>
        <v>139</v>
      </c>
      <c r="L29" s="882">
        <f>'[19]Rev_SP-12me'!$AJ$120</f>
        <v>142.875</v>
      </c>
      <c r="M29" s="882">
        <f>'[20]Rev_SP-12me'!$AJ$120</f>
        <v>147.594594594595</v>
      </c>
      <c r="N29" s="882">
        <f>'[21]Rev_SP-12me'!$AJ$120</f>
        <v>152.314189189189</v>
      </c>
    </row>
    <row r="30" spans="3:14">
      <c r="C30" s="55" t="s">
        <v>203</v>
      </c>
      <c r="D30" s="55" t="s">
        <v>204</v>
      </c>
      <c r="E30" s="153">
        <v>133</v>
      </c>
      <c r="F30" s="153">
        <v>131</v>
      </c>
      <c r="G30" s="153">
        <v>127</v>
      </c>
      <c r="H30" s="153">
        <v>116</v>
      </c>
      <c r="I30" s="153">
        <f>'[17]Rev SP FY24'!$AI$132</f>
        <v>115</v>
      </c>
      <c r="J30" s="891">
        <f>'[18]Rev_SP-12me'!$H$132</f>
        <v>119</v>
      </c>
      <c r="K30" s="891">
        <f>'[18]Rev_SP-12me'!$AJ$132</f>
        <v>123</v>
      </c>
      <c r="L30" s="882">
        <f>'[19]Rev_SP-12me'!$AJ$132</f>
        <v>130.442675159236</v>
      </c>
      <c r="M30" s="882">
        <f>'[20]Rev_SP-12me'!$AJ$132</f>
        <v>134.751592356688</v>
      </c>
      <c r="N30" s="882">
        <f>'[21]Rev_SP-12me'!$AJ$132</f>
        <v>139.06050955414</v>
      </c>
    </row>
    <row r="31" spans="3:14">
      <c r="C31" s="55" t="s">
        <v>205</v>
      </c>
      <c r="D31" s="55" t="s">
        <v>206</v>
      </c>
      <c r="E31" s="153">
        <v>156</v>
      </c>
      <c r="F31" s="153">
        <v>167</v>
      </c>
      <c r="G31" s="153">
        <v>180</v>
      </c>
      <c r="H31" s="153">
        <v>194</v>
      </c>
      <c r="I31" s="153">
        <f>'[17]Rev SP FY24'!$AI$124</f>
        <v>207</v>
      </c>
      <c r="J31" s="891">
        <f>'[18]Rev_SP-12me'!$H$124</f>
        <v>215</v>
      </c>
      <c r="K31" s="891">
        <f>'[18]Rev_SP-12me'!$AJ$124</f>
        <v>237</v>
      </c>
      <c r="L31" s="882">
        <f>'[19]Rev_SP-12me'!$AJ$124</f>
        <v>273.404651162791</v>
      </c>
      <c r="M31" s="882">
        <f>'[20]Rev_SP-12me'!$AJ$124</f>
        <v>298.66976744186</v>
      </c>
      <c r="N31" s="882">
        <f>'[21]Rev_SP-12me'!$AJ$124</f>
        <v>325.739534883721</v>
      </c>
    </row>
    <row r="32" spans="3:14">
      <c r="C32" s="55" t="s">
        <v>207</v>
      </c>
      <c r="D32" s="55" t="s">
        <v>186</v>
      </c>
      <c r="E32" s="153">
        <v>245</v>
      </c>
      <c r="F32" s="153">
        <v>294</v>
      </c>
      <c r="G32" s="153">
        <v>371</v>
      </c>
      <c r="H32" s="153">
        <v>484</v>
      </c>
      <c r="I32" s="153">
        <f>'[17]Rev SP FY24'!$AI$125</f>
        <v>592</v>
      </c>
      <c r="J32" s="891">
        <f>'[18]Rev_SP-12me'!$H$125</f>
        <v>608</v>
      </c>
      <c r="K32" s="891">
        <f>'[18]Rev_SP-12me'!$AJ$125</f>
        <v>656</v>
      </c>
      <c r="L32" s="882">
        <f>'[19]Rev_SP-12me'!$AJ$125</f>
        <v>588.276422764228</v>
      </c>
      <c r="M32" s="882">
        <f>'[20]Rev_SP-12me'!$AJ$125</f>
        <v>617.788617886179</v>
      </c>
      <c r="N32" s="882">
        <f>'[21]Rev_SP-12me'!$AJ$125</f>
        <v>648.284552845528</v>
      </c>
    </row>
    <row r="33" spans="3:14">
      <c r="C33" s="55" t="s">
        <v>208</v>
      </c>
      <c r="D33" s="55" t="s">
        <v>209</v>
      </c>
      <c r="E33" s="882">
        <v>0</v>
      </c>
      <c r="F33" s="882">
        <v>0</v>
      </c>
      <c r="G33" s="882">
        <v>0</v>
      </c>
      <c r="H33" s="882">
        <v>0</v>
      </c>
      <c r="I33" s="882">
        <f>'[17]Rev SP FY24'!$AI$126</f>
        <v>0</v>
      </c>
      <c r="J33" s="891">
        <f>'[18]Rev_SP-12me'!$H$126</f>
        <v>0</v>
      </c>
      <c r="K33" s="891">
        <f>'[18]Rev_SP-12me'!$AJ$126</f>
        <v>0</v>
      </c>
      <c r="L33" s="882">
        <f>'[19]Rev_SP-12me'!$AJ$126</f>
        <v>0</v>
      </c>
      <c r="M33" s="882">
        <f>'[20]Rev_SP-12me'!$AJ$126</f>
        <v>0</v>
      </c>
      <c r="N33" s="882">
        <f>'[21]Rev_SP-12me'!$AJ$126</f>
        <v>0</v>
      </c>
    </row>
    <row r="34" spans="3:14">
      <c r="C34" s="55" t="s">
        <v>210</v>
      </c>
      <c r="D34" s="55" t="s">
        <v>188</v>
      </c>
      <c r="E34" s="153">
        <v>2</v>
      </c>
      <c r="F34" s="153">
        <v>3</v>
      </c>
      <c r="G34" s="153">
        <v>3</v>
      </c>
      <c r="H34" s="153">
        <v>9</v>
      </c>
      <c r="I34" s="153">
        <f>'[17]Rev SP FY24'!$AI$127</f>
        <v>17</v>
      </c>
      <c r="J34" s="891">
        <f>'[18]Rev_SP-12me'!$H$127</f>
        <v>27</v>
      </c>
      <c r="K34" s="891">
        <f>'[18]Rev_SP-12me'!$AJ$127</f>
        <v>33</v>
      </c>
      <c r="L34" s="882">
        <f>'[19]Rev_SP-12me'!$AJ$127</f>
        <v>19.679625</v>
      </c>
      <c r="M34" s="882">
        <f>'[20]Rev_SP-12me'!$AJ$127</f>
        <v>20.66360625</v>
      </c>
      <c r="N34" s="882">
        <f>'[21]Rev_SP-12me'!$AJ$127</f>
        <v>21.6967865625</v>
      </c>
    </row>
    <row r="35" spans="3:14">
      <c r="C35" s="55"/>
      <c r="D35" s="55"/>
      <c r="E35" s="895"/>
      <c r="F35" s="895"/>
      <c r="G35" s="895"/>
      <c r="H35" s="895"/>
      <c r="I35" s="895"/>
      <c r="J35" s="896"/>
      <c r="K35" s="896"/>
      <c r="L35" s="895"/>
      <c r="M35" s="895"/>
      <c r="N35" s="895"/>
    </row>
    <row r="36" spans="3:14">
      <c r="C36" s="55"/>
      <c r="D36" s="55"/>
      <c r="E36" s="895"/>
      <c r="F36" s="895"/>
      <c r="G36" s="895"/>
      <c r="H36" s="895"/>
      <c r="I36" s="895"/>
      <c r="J36" s="896"/>
      <c r="K36" s="896"/>
      <c r="L36" s="895"/>
      <c r="M36" s="895"/>
      <c r="N36" s="895"/>
    </row>
    <row r="37" spans="3:14">
      <c r="C37" s="55"/>
      <c r="D37" s="55"/>
      <c r="E37" s="895"/>
      <c r="F37" s="895"/>
      <c r="G37" s="895"/>
      <c r="H37" s="895"/>
      <c r="I37" s="895"/>
      <c r="J37" s="896"/>
      <c r="K37" s="896"/>
      <c r="L37" s="895"/>
      <c r="M37" s="895"/>
      <c r="N37" s="895"/>
    </row>
    <row r="38" spans="3:14">
      <c r="C38" s="55"/>
      <c r="D38" s="55"/>
      <c r="E38" s="895"/>
      <c r="F38" s="895"/>
      <c r="G38" s="895"/>
      <c r="H38" s="895"/>
      <c r="I38" s="895"/>
      <c r="J38" s="896"/>
      <c r="K38" s="896"/>
      <c r="L38" s="895"/>
      <c r="M38" s="895"/>
      <c r="N38" s="895"/>
    </row>
    <row r="39" ht="15" spans="3:14">
      <c r="C39" s="537" t="s">
        <v>211</v>
      </c>
      <c r="D39" s="540"/>
      <c r="E39" s="877">
        <f>SUM(E24:E38)</f>
        <v>9052</v>
      </c>
      <c r="F39" s="877">
        <f t="shared" ref="F39:N39" si="1">SUM(F24:F38)</f>
        <v>9382</v>
      </c>
      <c r="G39" s="877">
        <f t="shared" si="1"/>
        <v>10011</v>
      </c>
      <c r="H39" s="877">
        <f t="shared" si="1"/>
        <v>10817</v>
      </c>
      <c r="I39" s="877">
        <f t="shared" si="1"/>
        <v>11696</v>
      </c>
      <c r="J39" s="897">
        <f t="shared" si="1"/>
        <v>11838</v>
      </c>
      <c r="K39" s="897">
        <f t="shared" si="1"/>
        <v>12784</v>
      </c>
      <c r="L39" s="877">
        <f t="shared" si="1"/>
        <v>13319.3352237349</v>
      </c>
      <c r="M39" s="877">
        <f t="shared" si="1"/>
        <v>14034.138813846</v>
      </c>
      <c r="N39" s="877">
        <f t="shared" si="1"/>
        <v>14789.6516012105</v>
      </c>
    </row>
    <row r="40" ht="15" spans="3:14">
      <c r="C40" s="44" t="s">
        <v>212</v>
      </c>
      <c r="D40" s="45"/>
      <c r="E40" s="45"/>
      <c r="F40" s="45"/>
      <c r="G40" s="45"/>
      <c r="H40" s="55"/>
      <c r="I40" s="55"/>
      <c r="J40" s="750"/>
      <c r="K40" s="750"/>
      <c r="L40" s="55"/>
      <c r="M40" s="55"/>
      <c r="N40" s="55"/>
    </row>
    <row r="41" spans="3:14">
      <c r="C41" s="55" t="s">
        <v>191</v>
      </c>
      <c r="D41" s="55" t="s">
        <v>192</v>
      </c>
      <c r="E41" s="882">
        <v>352</v>
      </c>
      <c r="F41" s="882">
        <v>361</v>
      </c>
      <c r="G41" s="882">
        <v>385</v>
      </c>
      <c r="H41" s="882">
        <v>389</v>
      </c>
      <c r="I41" s="882">
        <f>'[17]Rev SP FY24'!$AI$149+'[17]Rev_SP-12me'!$H$164</f>
        <v>427</v>
      </c>
      <c r="J41" s="891">
        <f>'[18]Rev_SP-12me'!$H$149</f>
        <v>435</v>
      </c>
      <c r="K41" s="891">
        <f>'[18]Rev_SP-12me'!$AJ$149</f>
        <v>483</v>
      </c>
      <c r="L41" s="882">
        <f>'[19]Rev_SP-12me'!$AJ$149</f>
        <v>462.956150561483</v>
      </c>
      <c r="M41" s="882">
        <f>'[20]Rev_SP-12me'!$AJ$149</f>
        <v>483.604882579023</v>
      </c>
      <c r="N41" s="882">
        <f>'[21]Rev_SP-12me'!$AJ$149</f>
        <v>505.218508616074</v>
      </c>
    </row>
    <row r="42" spans="3:14">
      <c r="C42" s="55" t="s">
        <v>193</v>
      </c>
      <c r="D42" s="55" t="s">
        <v>194</v>
      </c>
      <c r="E42" s="882">
        <v>2</v>
      </c>
      <c r="F42" s="882">
        <v>1</v>
      </c>
      <c r="G42" s="882">
        <v>2</v>
      </c>
      <c r="H42" s="882">
        <v>1</v>
      </c>
      <c r="I42" s="882">
        <f>'[17]Rev SP FY24'!$AI$163</f>
        <v>0</v>
      </c>
      <c r="J42" s="891">
        <f>'[18]Rev_SP-12me'!$H$163</f>
        <v>0</v>
      </c>
      <c r="K42" s="891">
        <f>'[18]Rev_SP-12me'!$AJ$163</f>
        <v>0</v>
      </c>
      <c r="L42" s="882">
        <f>'[19]Rev_SP-12me'!$AJ$163</f>
        <v>1</v>
      </c>
      <c r="M42" s="882">
        <f>'[20]Rev_SP-12me'!$AJ$163</f>
        <v>1</v>
      </c>
      <c r="N42" s="882">
        <f>'[21]Rev_SP-12me'!$AJ$163</f>
        <v>1</v>
      </c>
    </row>
    <row r="43" spans="3:14">
      <c r="C43" s="55" t="s">
        <v>195</v>
      </c>
      <c r="D43" s="55" t="s">
        <v>196</v>
      </c>
      <c r="E43" s="882">
        <v>141</v>
      </c>
      <c r="F43" s="882">
        <v>132</v>
      </c>
      <c r="G43" s="882">
        <v>146</v>
      </c>
      <c r="H43" s="882">
        <v>154</v>
      </c>
      <c r="I43" s="882">
        <f>'[17]Rev SP FY24'!$AI$169</f>
        <v>169</v>
      </c>
      <c r="J43" s="891">
        <f>'[18]Rev_SP-12me'!$H$169</f>
        <v>178</v>
      </c>
      <c r="K43" s="891">
        <f>'[18]Rev_SP-12me'!$AJ$169</f>
        <v>205</v>
      </c>
      <c r="L43" s="882">
        <f>'[19]Rev_SP-12me'!$AJ$169</f>
        <v>197.105031948882</v>
      </c>
      <c r="M43" s="882">
        <f>'[20]Rev_SP-12me'!$AJ$169</f>
        <v>209.821485623003</v>
      </c>
      <c r="N43" s="882">
        <f>'[21]Rev_SP-12me'!$AJ$169</f>
        <v>223.337060702875</v>
      </c>
    </row>
    <row r="44" spans="3:14">
      <c r="C44" s="55" t="s">
        <v>197</v>
      </c>
      <c r="D44" s="55" t="s">
        <v>198</v>
      </c>
      <c r="E44" s="882">
        <v>0</v>
      </c>
      <c r="F44" s="882">
        <v>0</v>
      </c>
      <c r="G44" s="882">
        <v>0</v>
      </c>
      <c r="H44" s="882">
        <v>0</v>
      </c>
      <c r="I44" s="882">
        <f>'[17]Rev_SP-12me'!$H$175</f>
        <v>1</v>
      </c>
      <c r="J44" s="891">
        <f>'[18]Rev_SP-12me'!$H$175</f>
        <v>0</v>
      </c>
      <c r="K44" s="891">
        <f>'[18]Rev_SP-12me'!$AJ$175</f>
        <v>0</v>
      </c>
      <c r="L44" s="882">
        <f>'[19]Rev_SP-12me'!$AJ$175</f>
        <v>0</v>
      </c>
      <c r="M44" s="882">
        <f>'[20]Rev_SP-12me'!$AJ$175</f>
        <v>0</v>
      </c>
      <c r="N44" s="882">
        <f>'[21]Rev_SP-12me'!$AJ$175</f>
        <v>0</v>
      </c>
    </row>
    <row r="45" spans="3:14">
      <c r="C45" s="55" t="s">
        <v>199</v>
      </c>
      <c r="D45" s="55" t="s">
        <v>200</v>
      </c>
      <c r="E45" s="882">
        <v>0</v>
      </c>
      <c r="F45" s="882">
        <v>0</v>
      </c>
      <c r="G45" s="882">
        <v>0</v>
      </c>
      <c r="H45" s="882">
        <v>0</v>
      </c>
      <c r="I45" s="882">
        <f>'[17]Rev SP FY24'!$AI$180</f>
        <v>0</v>
      </c>
      <c r="J45" s="891">
        <f>'[18]Rev_SP-12me'!$H$180</f>
        <v>0</v>
      </c>
      <c r="K45" s="891">
        <f>'[18]Rev_SP-12me'!$AJ$180</f>
        <v>0</v>
      </c>
      <c r="L45" s="882">
        <f>'[19]Rev_SP-12me'!$AJ$180</f>
        <v>0</v>
      </c>
      <c r="M45" s="882">
        <f>'[20]Rev_SP-12me'!$AJ$180</f>
        <v>0</v>
      </c>
      <c r="N45" s="882">
        <f>'[21]Rev_SP-12me'!$AJ$180</f>
        <v>0</v>
      </c>
    </row>
    <row r="46" spans="3:14">
      <c r="C46" s="55" t="s">
        <v>201</v>
      </c>
      <c r="D46" s="55" t="s">
        <v>202</v>
      </c>
      <c r="E46" s="882">
        <v>19</v>
      </c>
      <c r="F46" s="882">
        <v>19</v>
      </c>
      <c r="G46" s="882">
        <v>20</v>
      </c>
      <c r="H46" s="882">
        <v>19</v>
      </c>
      <c r="I46" s="882">
        <f>'[17]Rev SP FY24'!$AI$185</f>
        <v>22</v>
      </c>
      <c r="J46" s="891">
        <f>'[18]Rev_SP-12me'!$H$185</f>
        <v>13</v>
      </c>
      <c r="K46" s="891">
        <f>'[18]Rev_SP-12me'!$AJ$185</f>
        <v>13</v>
      </c>
      <c r="L46" s="882">
        <f>'[19]Rev_SP-12me'!$AJ$185</f>
        <v>21.375</v>
      </c>
      <c r="M46" s="882">
        <f>'[20]Rev_SP-12me'!$AJ$185</f>
        <v>22.0810810810811</v>
      </c>
      <c r="N46" s="882">
        <f>'[21]Rev_SP-12me'!$AJ$185</f>
        <v>22.7871621621622</v>
      </c>
    </row>
    <row r="47" spans="3:14">
      <c r="C47" s="55" t="s">
        <v>203</v>
      </c>
      <c r="D47" s="55" t="s">
        <v>204</v>
      </c>
      <c r="E47" s="882">
        <v>13</v>
      </c>
      <c r="F47" s="882">
        <v>13</v>
      </c>
      <c r="G47" s="882">
        <v>13</v>
      </c>
      <c r="H47" s="882">
        <v>13</v>
      </c>
      <c r="I47" s="882">
        <f>'[17]Rev SP FY24'!$AI$191</f>
        <v>13</v>
      </c>
      <c r="J47" s="891">
        <f>'[18]Rev_SP-12me'!$H$191</f>
        <v>23</v>
      </c>
      <c r="K47" s="891">
        <f>'[18]Rev_SP-12me'!$AJ$191</f>
        <v>26</v>
      </c>
      <c r="L47" s="882">
        <f>'[19]Rev_SP-12me'!$AJ$191</f>
        <v>14.625</v>
      </c>
      <c r="M47" s="882">
        <f>'[20]Rev_SP-12me'!$AJ$191</f>
        <v>15.1081081081081</v>
      </c>
      <c r="N47" s="882">
        <f>'[21]Rev_SP-12me'!$AJ$191</f>
        <v>15.5912162162162</v>
      </c>
    </row>
    <row r="48" spans="3:14">
      <c r="C48" s="55" t="s">
        <v>213</v>
      </c>
      <c r="D48" s="55" t="s">
        <v>214</v>
      </c>
      <c r="E48" s="882"/>
      <c r="F48" s="882"/>
      <c r="G48" s="882"/>
      <c r="H48" s="882">
        <v>1</v>
      </c>
      <c r="I48" s="882">
        <f>'[17]Rev SP FY24'!$AI$187</f>
        <v>0</v>
      </c>
      <c r="J48" s="891">
        <f>'[18]Rev_SP-12me'!$H$187</f>
        <v>1</v>
      </c>
      <c r="K48" s="891">
        <f>'[18]Rev_SP-12me'!$AJ$187</f>
        <v>1</v>
      </c>
      <c r="L48" s="882">
        <f>'[19]Rev_SP-12me'!$AJ$187</f>
        <v>1.2</v>
      </c>
      <c r="M48" s="882">
        <f>'[20]Rev_SP-12me'!$AJ$187</f>
        <v>1</v>
      </c>
      <c r="N48" s="882">
        <f>'[21]Rev_SP-12me'!$AJ$187</f>
        <v>1.11111111111111</v>
      </c>
    </row>
    <row r="49" spans="3:14">
      <c r="C49" s="55" t="s">
        <v>215</v>
      </c>
      <c r="D49" s="55" t="s">
        <v>216</v>
      </c>
      <c r="E49" s="882"/>
      <c r="F49" s="882"/>
      <c r="G49" s="882"/>
      <c r="H49" s="882"/>
      <c r="I49" s="882">
        <f>'[17]Rev SP FY24'!$AI$188</f>
        <v>0</v>
      </c>
      <c r="J49" s="891">
        <f>'[18]Rev_SP-12me'!$H$188</f>
        <v>0</v>
      </c>
      <c r="K49" s="891">
        <f>'[18]Rev_SP-12me'!$AJ$188</f>
        <v>0</v>
      </c>
      <c r="L49" s="882">
        <f>'[19]Rev_SP-12me'!$AJ$188</f>
        <v>0</v>
      </c>
      <c r="M49" s="882">
        <f>'[20]Rev_SP-12me'!$AJ$188</f>
        <v>0</v>
      </c>
      <c r="N49" s="882">
        <f>'[21]Rev_SP-12me'!$AJ$188</f>
        <v>0</v>
      </c>
    </row>
    <row r="50" spans="3:14">
      <c r="C50" s="55" t="s">
        <v>217</v>
      </c>
      <c r="D50" s="55" t="s">
        <v>206</v>
      </c>
      <c r="E50" s="882">
        <v>17</v>
      </c>
      <c r="F50" s="882">
        <v>20</v>
      </c>
      <c r="G50" s="882">
        <v>20</v>
      </c>
      <c r="H50" s="882">
        <v>21</v>
      </c>
      <c r="I50" s="882">
        <f>'[17]Rev SP FY24'!$AI$189</f>
        <v>22</v>
      </c>
      <c r="J50" s="891">
        <f>'[18]Rev_SP-12me'!$H$189</f>
        <v>37</v>
      </c>
      <c r="K50" s="891">
        <f>'[18]Rev_SP-12me'!$AJ$189</f>
        <v>38</v>
      </c>
      <c r="L50" s="882">
        <f>'[19]Rev_SP-12me'!$AJ$189</f>
        <v>29.5953488372093</v>
      </c>
      <c r="M50" s="882">
        <f>'[20]Rev_SP-12me'!$AJ$189</f>
        <v>32.3302325581395</v>
      </c>
      <c r="N50" s="882">
        <f>'[21]Rev_SP-12me'!$AJ$189</f>
        <v>35.2604651162791</v>
      </c>
    </row>
    <row r="51" spans="3:14">
      <c r="C51" s="55" t="s">
        <v>218</v>
      </c>
      <c r="D51" s="55" t="s">
        <v>186</v>
      </c>
      <c r="E51" s="882">
        <v>5</v>
      </c>
      <c r="F51" s="882">
        <v>4</v>
      </c>
      <c r="G51" s="882">
        <v>8</v>
      </c>
      <c r="H51" s="882">
        <v>8</v>
      </c>
      <c r="I51" s="882">
        <f>'[17]Rev SP FY24'!$AI$190</f>
        <v>9</v>
      </c>
      <c r="J51" s="891">
        <f>'[18]Rev_SP-12me'!$H$190</f>
        <v>9</v>
      </c>
      <c r="K51" s="891">
        <f>'[18]Rev_SP-12me'!$AJ$190</f>
        <v>10</v>
      </c>
      <c r="L51" s="882">
        <f>'[19]Rev_SP-12me'!$AJ$190</f>
        <v>9.72357723577236</v>
      </c>
      <c r="M51" s="882">
        <f>'[20]Rev_SP-12me'!$AJ$190</f>
        <v>10.2113821138211</v>
      </c>
      <c r="N51" s="882">
        <f>'[21]Rev_SP-12me'!$AJ$190</f>
        <v>10.7154471544715</v>
      </c>
    </row>
    <row r="52" spans="3:14">
      <c r="C52" s="55" t="s">
        <v>208</v>
      </c>
      <c r="D52" s="55" t="s">
        <v>209</v>
      </c>
      <c r="E52" s="882">
        <v>0</v>
      </c>
      <c r="F52" s="882">
        <v>0</v>
      </c>
      <c r="G52" s="882">
        <v>0</v>
      </c>
      <c r="H52" s="882">
        <v>0</v>
      </c>
      <c r="I52" s="882">
        <v>0</v>
      </c>
      <c r="J52" s="891">
        <v>0</v>
      </c>
      <c r="K52" s="891">
        <v>0</v>
      </c>
      <c r="L52" s="882">
        <v>0</v>
      </c>
      <c r="M52" s="882">
        <v>0</v>
      </c>
      <c r="N52" s="882">
        <v>0</v>
      </c>
    </row>
    <row r="53" spans="3:14">
      <c r="C53" s="55" t="s">
        <v>210</v>
      </c>
      <c r="D53" s="55" t="s">
        <v>188</v>
      </c>
      <c r="E53" s="882">
        <v>0</v>
      </c>
      <c r="F53" s="882">
        <v>0</v>
      </c>
      <c r="G53" s="882">
        <v>0</v>
      </c>
      <c r="H53" s="882">
        <v>0</v>
      </c>
      <c r="I53" s="882">
        <v>0</v>
      </c>
      <c r="J53" s="891">
        <v>0</v>
      </c>
      <c r="K53" s="891">
        <v>0</v>
      </c>
      <c r="L53" s="882">
        <v>0</v>
      </c>
      <c r="M53" s="882">
        <v>0</v>
      </c>
      <c r="N53" s="882">
        <v>0</v>
      </c>
    </row>
    <row r="54" spans="3:14">
      <c r="C54" s="55"/>
      <c r="D54" s="55"/>
      <c r="E54" s="882"/>
      <c r="F54" s="882"/>
      <c r="G54" s="882"/>
      <c r="H54" s="882"/>
      <c r="I54" s="882"/>
      <c r="J54" s="891"/>
      <c r="K54" s="891"/>
      <c r="L54" s="882"/>
      <c r="M54" s="882"/>
      <c r="N54" s="882"/>
    </row>
    <row r="55" spans="3:14">
      <c r="C55" s="55"/>
      <c r="D55" s="55"/>
      <c r="E55" s="882"/>
      <c r="F55" s="882"/>
      <c r="G55" s="882"/>
      <c r="H55" s="882"/>
      <c r="I55" s="882"/>
      <c r="J55" s="891"/>
      <c r="K55" s="891"/>
      <c r="L55" s="882"/>
      <c r="M55" s="882"/>
      <c r="N55" s="882"/>
    </row>
    <row r="56" spans="3:14">
      <c r="C56" s="55"/>
      <c r="D56" s="55"/>
      <c r="E56" s="882"/>
      <c r="F56" s="882"/>
      <c r="G56" s="882"/>
      <c r="H56" s="882"/>
      <c r="I56" s="882"/>
      <c r="J56" s="891"/>
      <c r="K56" s="891"/>
      <c r="L56" s="882"/>
      <c r="M56" s="882"/>
      <c r="N56" s="882"/>
    </row>
    <row r="57" spans="3:14">
      <c r="C57" s="55"/>
      <c r="D57" s="55"/>
      <c r="E57" s="882"/>
      <c r="F57" s="882"/>
      <c r="G57" s="882"/>
      <c r="H57" s="882"/>
      <c r="I57" s="882"/>
      <c r="J57" s="891"/>
      <c r="K57" s="891"/>
      <c r="L57" s="882"/>
      <c r="M57" s="882"/>
      <c r="N57" s="882"/>
    </row>
    <row r="58" ht="15" spans="3:14">
      <c r="C58" s="537" t="s">
        <v>211</v>
      </c>
      <c r="D58" s="540"/>
      <c r="E58" s="877">
        <f>SUM(E41:E57)</f>
        <v>549</v>
      </c>
      <c r="F58" s="877">
        <f t="shared" ref="F58:N58" si="2">SUM(F41:F57)</f>
        <v>550</v>
      </c>
      <c r="G58" s="877">
        <f t="shared" si="2"/>
        <v>594</v>
      </c>
      <c r="H58" s="877">
        <f t="shared" si="2"/>
        <v>606</v>
      </c>
      <c r="I58" s="877">
        <f t="shared" si="2"/>
        <v>663</v>
      </c>
      <c r="J58" s="897">
        <f t="shared" si="2"/>
        <v>696</v>
      </c>
      <c r="K58" s="897">
        <f t="shared" si="2"/>
        <v>776</v>
      </c>
      <c r="L58" s="877">
        <f t="shared" si="2"/>
        <v>737.580108583347</v>
      </c>
      <c r="M58" s="877">
        <f t="shared" si="2"/>
        <v>775.157172063176</v>
      </c>
      <c r="N58" s="877">
        <f t="shared" si="2"/>
        <v>815.020971079189</v>
      </c>
    </row>
    <row r="59" ht="15" spans="3:14">
      <c r="C59" s="44" t="s">
        <v>219</v>
      </c>
      <c r="D59" s="45"/>
      <c r="E59" s="45"/>
      <c r="F59" s="45"/>
      <c r="G59" s="45"/>
      <c r="H59" s="55"/>
      <c r="I59" s="55"/>
      <c r="J59" s="750"/>
      <c r="K59" s="750"/>
      <c r="L59" s="55"/>
      <c r="M59" s="55"/>
      <c r="N59" s="55"/>
    </row>
    <row r="60" spans="3:15">
      <c r="C60" s="55" t="s">
        <v>191</v>
      </c>
      <c r="D60" s="55" t="s">
        <v>192</v>
      </c>
      <c r="E60" s="882">
        <v>37</v>
      </c>
      <c r="F60" s="882">
        <v>39</v>
      </c>
      <c r="G60" s="882">
        <v>40</v>
      </c>
      <c r="H60" s="882">
        <v>44</v>
      </c>
      <c r="I60" s="882">
        <f>'[17]Rev SP FY24'!$AI$208+'[17]Rev_SP-12me'!$H$217</f>
        <v>44</v>
      </c>
      <c r="J60" s="891">
        <f>'[18]Rev_SP-12me'!$H$208</f>
        <v>48</v>
      </c>
      <c r="K60" s="891">
        <f>'[18]Rev_SP-12me'!$AJ$208</f>
        <v>50</v>
      </c>
      <c r="L60" s="882">
        <f>'[19]Rev_SP-12me'!$AJ$208</f>
        <v>52.3764472378432</v>
      </c>
      <c r="M60" s="882">
        <f>'[20]Rev_SP-12me'!$AJ$208</f>
        <v>54.7125372146874</v>
      </c>
      <c r="N60" s="882">
        <f>'[21]Rev_SP-12me'!$AJ$208</f>
        <v>57.1577902745616</v>
      </c>
      <c r="O60" s="887"/>
    </row>
    <row r="61" spans="3:15">
      <c r="C61" s="55" t="s">
        <v>193</v>
      </c>
      <c r="D61" s="55" t="s">
        <v>194</v>
      </c>
      <c r="E61" s="882">
        <v>2</v>
      </c>
      <c r="F61" s="882">
        <v>1</v>
      </c>
      <c r="G61" s="882">
        <v>2</v>
      </c>
      <c r="H61" s="882">
        <v>2</v>
      </c>
      <c r="I61" s="882">
        <f>'[17]Rev SP FY24'!$AI$216</f>
        <v>2</v>
      </c>
      <c r="J61" s="891">
        <f>'[18]Rev_SP-12me'!$H$216</f>
        <v>0</v>
      </c>
      <c r="K61" s="891">
        <f>'[18]Rev_SP-12me'!$AJ$216</f>
        <v>0</v>
      </c>
      <c r="L61" s="882">
        <f>'[19]Rev_SP-12me'!$AJ$216</f>
        <v>2</v>
      </c>
      <c r="M61" s="882">
        <f>'[20]Rev_SP-12me'!$AJ$216</f>
        <v>2</v>
      </c>
      <c r="N61" s="882">
        <f>'[21]Rev_SP-12me'!$AJ$216</f>
        <v>2</v>
      </c>
      <c r="O61" s="887"/>
    </row>
    <row r="62" spans="3:15">
      <c r="C62" s="55" t="s">
        <v>195</v>
      </c>
      <c r="D62" s="55" t="s">
        <v>196</v>
      </c>
      <c r="E62" s="882">
        <v>5</v>
      </c>
      <c r="F62" s="882">
        <v>4</v>
      </c>
      <c r="G62" s="882">
        <v>4</v>
      </c>
      <c r="H62" s="882">
        <v>4</v>
      </c>
      <c r="I62" s="882">
        <f>'[17]Rev SP FY24'!$AI$222</f>
        <v>6</v>
      </c>
      <c r="J62" s="891">
        <f>'[18]Rev_SP-12me'!$H$222</f>
        <v>9</v>
      </c>
      <c r="K62" s="891">
        <f>'[18]Rev_SP-12me'!$AJ$222</f>
        <v>10</v>
      </c>
      <c r="L62" s="882">
        <f>'[19]Rev_SP-12me'!$AJ$222</f>
        <v>5.03764948144474</v>
      </c>
      <c r="M62" s="882">
        <f>'[20]Rev_SP-12me'!$AJ$222</f>
        <v>5.36265912540892</v>
      </c>
      <c r="N62" s="882">
        <f>'[21]Rev_SP-12me'!$AJ$222</f>
        <v>5.70809287268232</v>
      </c>
      <c r="O62" s="887"/>
    </row>
    <row r="63" spans="3:15">
      <c r="C63" s="55" t="s">
        <v>197</v>
      </c>
      <c r="D63" s="55" t="s">
        <v>198</v>
      </c>
      <c r="E63" s="882">
        <v>0</v>
      </c>
      <c r="F63" s="882">
        <v>0</v>
      </c>
      <c r="G63" s="882">
        <v>0</v>
      </c>
      <c r="H63" s="882">
        <v>0</v>
      </c>
      <c r="I63" s="882">
        <v>0</v>
      </c>
      <c r="J63" s="891">
        <f>'[18]Rev_SP-12me'!$H$227</f>
        <v>0</v>
      </c>
      <c r="K63" s="891">
        <f>'[18]Rev_SP-12me'!$AJ$227</f>
        <v>0</v>
      </c>
      <c r="L63" s="882">
        <f>'[19]Rev_SP-12me'!$AJ$227</f>
        <v>0</v>
      </c>
      <c r="M63" s="882">
        <f>'[20]Rev_SP-12me'!$AJ$227</f>
        <v>0</v>
      </c>
      <c r="N63" s="882">
        <f>'[21]Rev_SP-12me'!$AJ$227</f>
        <v>0</v>
      </c>
      <c r="O63" s="887"/>
    </row>
    <row r="64" spans="3:15">
      <c r="C64" s="55" t="s">
        <v>199</v>
      </c>
      <c r="D64" s="55" t="s">
        <v>200</v>
      </c>
      <c r="E64" s="882">
        <v>1</v>
      </c>
      <c r="F64" s="882">
        <v>1</v>
      </c>
      <c r="G64" s="882">
        <v>1</v>
      </c>
      <c r="H64" s="882">
        <v>1</v>
      </c>
      <c r="I64" s="882">
        <f>'[17]Rev SP FY24'!$AI$232</f>
        <v>1</v>
      </c>
      <c r="J64" s="891">
        <f>'[18]Rev_SP-12me'!$H$232</f>
        <v>1</v>
      </c>
      <c r="K64" s="891">
        <f>'[18]Rev_SP-12me'!$AJ$232</f>
        <v>1</v>
      </c>
      <c r="L64" s="882">
        <f>'[19]Rev_SP-12me'!$AJ$232</f>
        <v>1.07692307692308</v>
      </c>
      <c r="M64" s="882">
        <f>'[20]Rev_SP-12me'!$AJ$232</f>
        <v>1</v>
      </c>
      <c r="N64" s="882">
        <f>'[21]Rev_SP-12me'!$AJ$232</f>
        <v>1.07142857142857</v>
      </c>
      <c r="O64" s="887"/>
    </row>
    <row r="65" spans="3:15">
      <c r="C65" s="55" t="s">
        <v>201</v>
      </c>
      <c r="D65" s="55" t="s">
        <v>202</v>
      </c>
      <c r="E65" s="882">
        <v>15</v>
      </c>
      <c r="F65" s="882">
        <v>18</v>
      </c>
      <c r="G65" s="882">
        <v>18</v>
      </c>
      <c r="H65" s="882">
        <v>19</v>
      </c>
      <c r="I65" s="882">
        <f>'[17]Rev SP FY24'!$AI$237</f>
        <v>21</v>
      </c>
      <c r="J65" s="891">
        <f>'[18]Rev_SP-12me'!$H$237</f>
        <v>21</v>
      </c>
      <c r="K65" s="891">
        <f>'[18]Rev_SP-12me'!$AJ$237</f>
        <v>21</v>
      </c>
      <c r="L65" s="882">
        <f>'[19]Rev_SP-12me'!$AJ$237</f>
        <v>21.375</v>
      </c>
      <c r="M65" s="882">
        <f>'[20]Rev_SP-12me'!$AJ$237</f>
        <v>22.0810810810811</v>
      </c>
      <c r="N65" s="882">
        <f>'[21]Rev_SP-12me'!$AJ$237</f>
        <v>22.7871621621622</v>
      </c>
      <c r="O65" s="887"/>
    </row>
    <row r="66" spans="3:15">
      <c r="C66" s="55" t="s">
        <v>203</v>
      </c>
      <c r="D66" s="55" t="s">
        <v>220</v>
      </c>
      <c r="E66" s="882">
        <v>2</v>
      </c>
      <c r="F66" s="882">
        <v>2</v>
      </c>
      <c r="G66" s="882">
        <v>2</v>
      </c>
      <c r="H66" s="882">
        <v>2</v>
      </c>
      <c r="I66" s="882">
        <f>'[17]Rev SP FY24'!$AI$247</f>
        <v>2</v>
      </c>
      <c r="J66" s="891">
        <f>'[18]Rev_SP-12me'!$H$247</f>
        <v>2</v>
      </c>
      <c r="K66" s="891">
        <f>'[18]Rev_SP-12me'!$AJ$247</f>
        <v>2</v>
      </c>
      <c r="L66" s="882">
        <f>'[19]Rev_SP-12me'!$AJ$247</f>
        <v>2.12101910828025</v>
      </c>
      <c r="M66" s="882">
        <f>'[20]Rev_SP-12me'!$AJ$247</f>
        <v>2.19108280254777</v>
      </c>
      <c r="N66" s="882">
        <f>'[21]Rev_SP-12me'!$AJ$247</f>
        <v>2.26114649681529</v>
      </c>
      <c r="O66" s="887"/>
    </row>
    <row r="67" spans="3:15">
      <c r="C67" s="55" t="s">
        <v>221</v>
      </c>
      <c r="D67" s="55" t="s">
        <v>222</v>
      </c>
      <c r="E67" s="882">
        <v>13</v>
      </c>
      <c r="F67" s="882">
        <v>13</v>
      </c>
      <c r="G67" s="882">
        <v>13</v>
      </c>
      <c r="H67" s="882">
        <v>15</v>
      </c>
      <c r="I67" s="882">
        <f>'[17]Rev SP FY24'!$AI$240</f>
        <v>17</v>
      </c>
      <c r="J67" s="891">
        <f>'[18]Rev_SP-12me'!$H$240</f>
        <v>17</v>
      </c>
      <c r="K67" s="891">
        <f>'[18]Rev_SP-12me'!$AJ$240</f>
        <v>17</v>
      </c>
      <c r="L67" s="882">
        <f>'[19]Rev_SP-12me'!$AJ$240</f>
        <v>22.5</v>
      </c>
      <c r="M67" s="882">
        <f>'[20]Rev_SP-12me'!$AJ$240</f>
        <v>25.3125</v>
      </c>
      <c r="N67" s="882">
        <f>'[21]Rev_SP-12me'!$AJ$240</f>
        <v>28.125</v>
      </c>
      <c r="O67" s="887"/>
    </row>
    <row r="68" spans="3:15">
      <c r="C68" s="55" t="s">
        <v>205</v>
      </c>
      <c r="D68" s="55" t="s">
        <v>206</v>
      </c>
      <c r="E68" s="882">
        <v>0</v>
      </c>
      <c r="F68" s="882">
        <v>0</v>
      </c>
      <c r="G68" s="882">
        <v>0</v>
      </c>
      <c r="H68" s="882">
        <v>0</v>
      </c>
      <c r="I68" s="882">
        <v>0</v>
      </c>
      <c r="J68" s="891">
        <f>'[18]Rev_SP-12me'!$H$245</f>
        <v>0</v>
      </c>
      <c r="K68" s="891">
        <f>'[18]Rev_SP-12me'!$AJ$245</f>
        <v>0</v>
      </c>
      <c r="L68" s="882">
        <f>'[19]Rev_SP-12me'!$AJ$245</f>
        <v>0</v>
      </c>
      <c r="M68" s="882">
        <f>'[20]Rev_SP-12me'!$AJ$245</f>
        <v>0</v>
      </c>
      <c r="N68" s="882">
        <f>'[21]Rev_SP-12me'!$AJ$245</f>
        <v>0</v>
      </c>
      <c r="O68" s="887"/>
    </row>
    <row r="69" spans="3:15">
      <c r="C69" s="55" t="s">
        <v>207</v>
      </c>
      <c r="D69" s="55" t="s">
        <v>186</v>
      </c>
      <c r="E69" s="882">
        <v>0</v>
      </c>
      <c r="F69" s="882">
        <v>0</v>
      </c>
      <c r="G69" s="882">
        <v>0</v>
      </c>
      <c r="H69" s="882">
        <v>0</v>
      </c>
      <c r="I69" s="882">
        <v>0</v>
      </c>
      <c r="J69" s="891">
        <f>'[18]Rev_SP-12me'!$H$246</f>
        <v>0</v>
      </c>
      <c r="K69" s="891">
        <f>'[18]Rev_SP-12me'!$AJ$246</f>
        <v>0</v>
      </c>
      <c r="L69" s="882">
        <f>'[19]Rev_SP-12me'!$AJ$246</f>
        <v>0</v>
      </c>
      <c r="M69" s="882">
        <f>'[20]Rev_SP-12me'!$AJ$246</f>
        <v>0</v>
      </c>
      <c r="N69" s="882">
        <f>'[21]Rev_SP-12me'!$AJ$246</f>
        <v>0</v>
      </c>
      <c r="O69" s="887"/>
    </row>
    <row r="70" spans="3:15">
      <c r="C70" s="55" t="s">
        <v>208</v>
      </c>
      <c r="D70" s="55" t="s">
        <v>209</v>
      </c>
      <c r="E70" s="882">
        <v>0</v>
      </c>
      <c r="F70" s="882">
        <v>0</v>
      </c>
      <c r="G70" s="882">
        <v>0</v>
      </c>
      <c r="H70" s="882">
        <v>0</v>
      </c>
      <c r="I70" s="882">
        <v>0</v>
      </c>
      <c r="J70" s="891">
        <v>0</v>
      </c>
      <c r="K70" s="891">
        <v>0</v>
      </c>
      <c r="L70" s="882">
        <v>0</v>
      </c>
      <c r="M70" s="882">
        <v>0</v>
      </c>
      <c r="N70" s="882">
        <v>0</v>
      </c>
      <c r="O70" s="887"/>
    </row>
    <row r="71" spans="3:15">
      <c r="C71" s="55" t="s">
        <v>210</v>
      </c>
      <c r="D71" s="55" t="s">
        <v>188</v>
      </c>
      <c r="E71" s="882">
        <v>0</v>
      </c>
      <c r="F71" s="882">
        <v>0</v>
      </c>
      <c r="G71" s="882">
        <v>0</v>
      </c>
      <c r="H71" s="882">
        <v>0</v>
      </c>
      <c r="I71" s="882">
        <v>0</v>
      </c>
      <c r="J71" s="891">
        <v>0</v>
      </c>
      <c r="K71" s="891">
        <v>0</v>
      </c>
      <c r="L71" s="882">
        <v>0</v>
      </c>
      <c r="M71" s="882">
        <v>0</v>
      </c>
      <c r="N71" s="882">
        <v>0</v>
      </c>
      <c r="O71" s="887"/>
    </row>
    <row r="72" spans="3:14">
      <c r="C72" s="55"/>
      <c r="D72" s="55"/>
      <c r="E72" s="882"/>
      <c r="F72" s="882"/>
      <c r="G72" s="882"/>
      <c r="H72" s="882"/>
      <c r="I72" s="882"/>
      <c r="J72" s="891"/>
      <c r="K72" s="891"/>
      <c r="L72" s="882"/>
      <c r="M72" s="882"/>
      <c r="N72" s="882"/>
    </row>
    <row r="73" spans="3:14">
      <c r="C73" s="55"/>
      <c r="D73" s="55"/>
      <c r="E73" s="882"/>
      <c r="F73" s="882"/>
      <c r="G73" s="882"/>
      <c r="H73" s="882"/>
      <c r="I73" s="882"/>
      <c r="J73" s="891"/>
      <c r="K73" s="891"/>
      <c r="L73" s="882"/>
      <c r="M73" s="882"/>
      <c r="N73" s="882"/>
    </row>
    <row r="74" spans="3:14">
      <c r="C74" s="55"/>
      <c r="D74" s="55"/>
      <c r="E74" s="882"/>
      <c r="F74" s="882"/>
      <c r="G74" s="882"/>
      <c r="H74" s="882"/>
      <c r="I74" s="882"/>
      <c r="J74" s="891"/>
      <c r="K74" s="891"/>
      <c r="L74" s="882"/>
      <c r="M74" s="882"/>
      <c r="N74" s="882"/>
    </row>
    <row r="75" spans="3:14">
      <c r="C75" s="55"/>
      <c r="D75" s="55"/>
      <c r="E75" s="882"/>
      <c r="F75" s="882"/>
      <c r="G75" s="882"/>
      <c r="H75" s="882"/>
      <c r="I75" s="882"/>
      <c r="J75" s="891"/>
      <c r="K75" s="891"/>
      <c r="L75" s="882"/>
      <c r="M75" s="882"/>
      <c r="N75" s="882"/>
    </row>
    <row r="76" ht="15" spans="3:14">
      <c r="C76" s="537" t="s">
        <v>211</v>
      </c>
      <c r="D76" s="540"/>
      <c r="E76" s="877">
        <f>SUM(E60:E75)</f>
        <v>75</v>
      </c>
      <c r="F76" s="877">
        <f t="shared" ref="F76:N76" si="3">SUM(F60:F75)</f>
        <v>78</v>
      </c>
      <c r="G76" s="877">
        <f t="shared" si="3"/>
        <v>80</v>
      </c>
      <c r="H76" s="877">
        <f t="shared" si="3"/>
        <v>87</v>
      </c>
      <c r="I76" s="877">
        <f t="shared" si="3"/>
        <v>93</v>
      </c>
      <c r="J76" s="897">
        <f t="shared" si="3"/>
        <v>98</v>
      </c>
      <c r="K76" s="897">
        <f t="shared" si="3"/>
        <v>101</v>
      </c>
      <c r="L76" s="877">
        <f t="shared" si="3"/>
        <v>106.487038904491</v>
      </c>
      <c r="M76" s="877">
        <f t="shared" si="3"/>
        <v>112.659860223725</v>
      </c>
      <c r="N76" s="877">
        <f t="shared" si="3"/>
        <v>119.11062037765</v>
      </c>
    </row>
    <row r="77" ht="15" spans="3:14">
      <c r="C77" s="537" t="s">
        <v>223</v>
      </c>
      <c r="D77" s="540"/>
      <c r="E77" s="877">
        <f t="shared" ref="E77:N77" si="4">E39+E58+E76</f>
        <v>9676</v>
      </c>
      <c r="F77" s="877">
        <f t="shared" si="4"/>
        <v>10010</v>
      </c>
      <c r="G77" s="877">
        <f t="shared" si="4"/>
        <v>10685</v>
      </c>
      <c r="H77" s="877">
        <f t="shared" si="4"/>
        <v>11510</v>
      </c>
      <c r="I77" s="877">
        <f t="shared" si="4"/>
        <v>12452</v>
      </c>
      <c r="J77" s="897">
        <f t="shared" si="4"/>
        <v>12632</v>
      </c>
      <c r="K77" s="897">
        <f t="shared" si="4"/>
        <v>13661</v>
      </c>
      <c r="L77" s="877">
        <f t="shared" si="4"/>
        <v>14163.4023712228</v>
      </c>
      <c r="M77" s="877">
        <f t="shared" si="4"/>
        <v>14921.9558461329</v>
      </c>
      <c r="N77" s="877">
        <f t="shared" si="4"/>
        <v>15723.7831926673</v>
      </c>
    </row>
    <row r="78" ht="15" spans="3:14">
      <c r="C78" s="537" t="s">
        <v>224</v>
      </c>
      <c r="D78" s="540"/>
      <c r="E78" s="877">
        <f t="shared" ref="E78:N78" si="5">E77+E22</f>
        <v>8751364</v>
      </c>
      <c r="F78" s="877">
        <f t="shared" si="5"/>
        <v>9107326</v>
      </c>
      <c r="G78" s="877">
        <f t="shared" si="5"/>
        <v>9595317</v>
      </c>
      <c r="H78" s="877">
        <f t="shared" si="5"/>
        <v>10048068</v>
      </c>
      <c r="I78" s="877">
        <f t="shared" si="5"/>
        <v>10495549</v>
      </c>
      <c r="J78" s="897">
        <f t="shared" si="5"/>
        <v>10997295</v>
      </c>
      <c r="K78" s="897">
        <f t="shared" si="5"/>
        <v>11525883</v>
      </c>
      <c r="L78" s="877">
        <f t="shared" si="5"/>
        <v>12477942.1289962</v>
      </c>
      <c r="M78" s="877">
        <f t="shared" si="5"/>
        <v>13173462.1688024</v>
      </c>
      <c r="N78" s="877">
        <f t="shared" si="5"/>
        <v>13908296.1567967</v>
      </c>
    </row>
    <row r="80" ht="15" spans="4:5">
      <c r="D80" s="11"/>
      <c r="E80" s="11" t="s">
        <v>225</v>
      </c>
    </row>
    <row r="81" spans="4:6">
      <c r="D81" s="13"/>
      <c r="E81" s="13">
        <v>1</v>
      </c>
      <c r="F81" s="12" t="s">
        <v>226</v>
      </c>
    </row>
  </sheetData>
  <mergeCells count="17">
    <mergeCell ref="J5:N5"/>
    <mergeCell ref="C8:D8"/>
    <mergeCell ref="C22:D22"/>
    <mergeCell ref="C23:D23"/>
    <mergeCell ref="C39:D39"/>
    <mergeCell ref="C40:D40"/>
    <mergeCell ref="C58:D58"/>
    <mergeCell ref="C59:D59"/>
    <mergeCell ref="C76:D76"/>
    <mergeCell ref="C77:D77"/>
    <mergeCell ref="C78:D78"/>
    <mergeCell ref="E5:E6"/>
    <mergeCell ref="F5:F6"/>
    <mergeCell ref="G5:G6"/>
    <mergeCell ref="H5:H6"/>
    <mergeCell ref="I5:I6"/>
    <mergeCell ref="C5:D7"/>
  </mergeCells>
  <printOptions horizontalCentered="1"/>
  <pageMargins left="0.751388888888889" right="0.751388888888889" top="1" bottom="1" header="0.5" footer="0.5"/>
  <pageSetup paperSize="9" scale="66" orientation="portrait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  <pageSetUpPr fitToPage="1"/>
  </sheetPr>
  <dimension ref="B2:P52"/>
  <sheetViews>
    <sheetView showGridLines="0" view="pageBreakPreview" zoomScale="60" zoomScaleNormal="80" workbookViewId="0">
      <selection activeCell="J35" sqref="J35"/>
    </sheetView>
  </sheetViews>
  <sheetFormatPr defaultColWidth="9.14285714285714" defaultRowHeight="14.25"/>
  <cols>
    <col min="1" max="1" width="9.14285714285714" style="1"/>
    <col min="2" max="2" width="21.5714285714286" style="1" customWidth="1"/>
    <col min="3" max="3" width="50.2380952380952" style="1" customWidth="1"/>
    <col min="4" max="4" width="13.8095238095238" style="1" customWidth="1"/>
    <col min="5" max="5" width="18.3333333333333" style="1" customWidth="1"/>
    <col min="6" max="10" width="9.14285714285714" style="1"/>
    <col min="11" max="11" width="17.5714285714286" style="1" customWidth="1"/>
    <col min="12" max="17" width="9.14285714285714" style="1"/>
    <col min="18" max="18" width="19.8571428571429" style="1" customWidth="1"/>
    <col min="19" max="24" width="9.14285714285714" style="1"/>
    <col min="25" max="25" width="19.8571428571429" style="1" customWidth="1"/>
    <col min="26" max="16384" width="9.14285714285714" style="1"/>
  </cols>
  <sheetData>
    <row r="2" ht="15" spans="2:16"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3:3">
      <c r="C3" s="3" t="s">
        <v>989</v>
      </c>
    </row>
    <row r="4" ht="15" spans="5:5">
      <c r="E4" s="4" t="s">
        <v>109</v>
      </c>
    </row>
    <row r="5" ht="15" spans="2:5">
      <c r="B5" s="224" t="s">
        <v>159</v>
      </c>
      <c r="C5" s="224"/>
      <c r="D5" s="39" t="s">
        <v>654</v>
      </c>
      <c r="E5" s="39"/>
    </row>
    <row r="6" ht="15" spans="2:5">
      <c r="B6" s="224"/>
      <c r="C6" s="224"/>
      <c r="D6" s="200" t="s">
        <v>881</v>
      </c>
      <c r="E6" s="200" t="s">
        <v>882</v>
      </c>
    </row>
    <row r="7" ht="15" spans="2:5">
      <c r="B7" s="44" t="s">
        <v>890</v>
      </c>
      <c r="C7" s="45"/>
      <c r="D7" s="8"/>
      <c r="E7" s="8"/>
    </row>
    <row r="8" ht="17" customHeight="1" spans="2:5">
      <c r="B8" s="47" t="s">
        <v>171</v>
      </c>
      <c r="C8" s="47" t="s">
        <v>172</v>
      </c>
      <c r="D8" s="225">
        <f>[64]SPDCL_Output!$Q9</f>
        <v>0</v>
      </c>
      <c r="E8" s="225">
        <f>[64]SPDCL_Output!$R9</f>
        <v>69.0372789725501</v>
      </c>
    </row>
    <row r="9" ht="17" customHeight="1" spans="2:5">
      <c r="B9" s="55" t="s">
        <v>891</v>
      </c>
      <c r="C9" s="55" t="s">
        <v>174</v>
      </c>
      <c r="D9" s="225">
        <f>[64]SPDCL_Output!$Q10</f>
        <v>0</v>
      </c>
      <c r="E9" s="225">
        <f>[64]SPDCL_Output!$R10</f>
        <v>24.1037101548384</v>
      </c>
    </row>
    <row r="10" ht="17" customHeight="1" spans="2:5">
      <c r="B10" s="55" t="s">
        <v>892</v>
      </c>
      <c r="C10" s="55" t="s">
        <v>893</v>
      </c>
      <c r="D10" s="225">
        <f>[64]SPDCL_Output!$Q11</f>
        <v>0</v>
      </c>
      <c r="E10" s="225">
        <f>[64]SPDCL_Output!$R11</f>
        <v>5.73951333246226</v>
      </c>
    </row>
    <row r="11" ht="17" customHeight="1" spans="2:5">
      <c r="B11" s="55" t="s">
        <v>894</v>
      </c>
      <c r="C11" s="55" t="s">
        <v>895</v>
      </c>
      <c r="D11" s="225">
        <f>[64]SPDCL_Output!$Q12</f>
        <v>0</v>
      </c>
      <c r="E11" s="225">
        <f>[64]SPDCL_Output!$R12</f>
        <v>0.0527157884212725</v>
      </c>
    </row>
    <row r="12" ht="17" customHeight="1" spans="2:5">
      <c r="B12" s="55" t="s">
        <v>896</v>
      </c>
      <c r="C12" s="55" t="s">
        <v>202</v>
      </c>
      <c r="D12" s="225">
        <f>[64]SPDCL_Output!$Q13</f>
        <v>0</v>
      </c>
      <c r="E12" s="225">
        <f>[64]SPDCL_Output!$R13</f>
        <v>93.7419789125918</v>
      </c>
    </row>
    <row r="13" ht="17" customHeight="1" spans="2:5">
      <c r="B13" s="55" t="s">
        <v>897</v>
      </c>
      <c r="C13" s="55" t="s">
        <v>898</v>
      </c>
      <c r="D13" s="225">
        <f>[64]SPDCL_Output!$Q14</f>
        <v>0</v>
      </c>
      <c r="E13" s="225">
        <f>[64]SPDCL_Output!$R14</f>
        <v>2.8626652231408</v>
      </c>
    </row>
    <row r="14" ht="17" customHeight="1" spans="2:5">
      <c r="B14" s="55" t="s">
        <v>899</v>
      </c>
      <c r="C14" s="55" t="s">
        <v>900</v>
      </c>
      <c r="D14" s="225">
        <f>[64]SPDCL_Output!$Q15</f>
        <v>0</v>
      </c>
      <c r="E14" s="225">
        <f>[64]SPDCL_Output!$R15</f>
        <v>1.4554955008008</v>
      </c>
    </row>
    <row r="15" ht="17" customHeight="1" spans="2:5">
      <c r="B15" s="55" t="s">
        <v>901</v>
      </c>
      <c r="C15" s="55" t="s">
        <v>902</v>
      </c>
      <c r="D15" s="225">
        <f>[64]SPDCL_Output!$Q16</f>
        <v>0</v>
      </c>
      <c r="E15" s="225">
        <f>[64]SPDCL_Output!$R16</f>
        <v>0.256582125387515</v>
      </c>
    </row>
    <row r="16" ht="17" customHeight="1" spans="2:5">
      <c r="B16" s="55" t="s">
        <v>903</v>
      </c>
      <c r="C16" s="55" t="s">
        <v>904</v>
      </c>
      <c r="D16" s="225">
        <f>[64]SPDCL_Output!$Q17</f>
        <v>0</v>
      </c>
      <c r="E16" s="225">
        <f>[64]SPDCL_Output!$R17</f>
        <v>0</v>
      </c>
    </row>
    <row r="17" ht="17" customHeight="1" spans="2:5">
      <c r="B17" s="55" t="s">
        <v>905</v>
      </c>
      <c r="C17" s="67" t="s">
        <v>906</v>
      </c>
      <c r="D17" s="225">
        <f>[64]SPDCL_Output!$Q18</f>
        <v>0</v>
      </c>
      <c r="E17" s="225">
        <f>[64]SPDCL_Output!$R18</f>
        <v>0</v>
      </c>
    </row>
    <row r="18" ht="17" customHeight="1" spans="2:5">
      <c r="B18" s="44" t="s">
        <v>907</v>
      </c>
      <c r="C18" s="45"/>
      <c r="D18" s="8"/>
      <c r="E18" s="8"/>
    </row>
    <row r="19" ht="17" customHeight="1" spans="2:5">
      <c r="B19" s="55"/>
      <c r="C19" s="54" t="s">
        <v>908</v>
      </c>
      <c r="D19" s="8"/>
      <c r="E19" s="8"/>
    </row>
    <row r="20" ht="17" customHeight="1" spans="2:5">
      <c r="B20" s="55" t="s">
        <v>909</v>
      </c>
      <c r="C20" s="72" t="s">
        <v>910</v>
      </c>
      <c r="D20" s="225">
        <f>[64]SPDCL_Output!$Q23</f>
        <v>0</v>
      </c>
      <c r="E20" s="225">
        <f>[64]SPDCL_Output!$R23</f>
        <v>25.3111726896635</v>
      </c>
    </row>
    <row r="21" ht="17" customHeight="1" spans="2:5">
      <c r="B21" s="55" t="s">
        <v>911</v>
      </c>
      <c r="C21" s="72" t="s">
        <v>912</v>
      </c>
      <c r="D21" s="225">
        <f>[64]SPDCL_Output!$Q24</f>
        <v>0</v>
      </c>
      <c r="E21" s="225">
        <f>[64]SPDCL_Output!$R24</f>
        <v>0.00295826404881611</v>
      </c>
    </row>
    <row r="22" ht="17" customHeight="1" spans="2:5">
      <c r="B22" s="55" t="s">
        <v>913</v>
      </c>
      <c r="C22" s="72" t="s">
        <v>440</v>
      </c>
      <c r="D22" s="225">
        <f>[64]SPDCL_Output!$Q25</f>
        <v>0</v>
      </c>
      <c r="E22" s="225">
        <f>[64]SPDCL_Output!$R25</f>
        <v>14.0909423637489</v>
      </c>
    </row>
    <row r="23" ht="17" customHeight="1" spans="2:5">
      <c r="B23" s="55" t="s">
        <v>914</v>
      </c>
      <c r="C23" s="55" t="s">
        <v>915</v>
      </c>
      <c r="D23" s="225">
        <f>[64]SPDCL_Output!$Q26</f>
        <v>0</v>
      </c>
      <c r="E23" s="225">
        <f>[64]SPDCL_Output!$R26</f>
        <v>0.0327364080603353</v>
      </c>
    </row>
    <row r="24" ht="17" customHeight="1" spans="2:5">
      <c r="B24" s="55" t="s">
        <v>916</v>
      </c>
      <c r="C24" s="72" t="s">
        <v>917</v>
      </c>
      <c r="D24" s="225">
        <f>[64]SPDCL_Output!$Q27</f>
        <v>0</v>
      </c>
      <c r="E24" s="225">
        <f>[64]SPDCL_Output!$R27</f>
        <v>0.892359277208623</v>
      </c>
    </row>
    <row r="25" ht="17" customHeight="1" spans="2:5">
      <c r="B25" s="55" t="s">
        <v>918</v>
      </c>
      <c r="C25" s="72" t="s">
        <v>919</v>
      </c>
      <c r="D25" s="225">
        <f>[64]SPDCL_Output!$Q28</f>
        <v>0</v>
      </c>
      <c r="E25" s="225">
        <f>[64]SPDCL_Output!$R28</f>
        <v>1.80190459611522</v>
      </c>
    </row>
    <row r="26" ht="17" customHeight="1" spans="2:5">
      <c r="B26" s="55" t="s">
        <v>980</v>
      </c>
      <c r="C26" s="72" t="s">
        <v>973</v>
      </c>
      <c r="D26" s="225">
        <f>[64]SPDCL_Output!$Q29</f>
        <v>0</v>
      </c>
      <c r="E26" s="225">
        <f>[64]SPDCL_Output!$R29</f>
        <v>1.87811940059167</v>
      </c>
    </row>
    <row r="27" ht="17" customHeight="1" spans="2:5">
      <c r="B27" s="55" t="s">
        <v>922</v>
      </c>
      <c r="C27" s="72" t="s">
        <v>198</v>
      </c>
      <c r="D27" s="225">
        <f>[64]SPDCL_Output!$Q30</f>
        <v>0</v>
      </c>
      <c r="E27" s="225">
        <f>[64]SPDCL_Output!$R30</f>
        <v>0.002525215369044</v>
      </c>
    </row>
    <row r="28" ht="17" customHeight="1" spans="2:5">
      <c r="B28" s="55" t="s">
        <v>923</v>
      </c>
      <c r="C28" s="72" t="s">
        <v>906</v>
      </c>
      <c r="D28" s="225">
        <f>[64]SPDCL_Output!$Q31</f>
        <v>0</v>
      </c>
      <c r="E28" s="225">
        <f>[64]SPDCL_Output!$R31</f>
        <v>0</v>
      </c>
    </row>
    <row r="29" ht="17" customHeight="1" spans="2:5">
      <c r="B29" s="55"/>
      <c r="C29" s="226" t="s">
        <v>924</v>
      </c>
      <c r="D29" s="8"/>
      <c r="E29" s="8"/>
    </row>
    <row r="30" ht="17" customHeight="1" spans="2:5">
      <c r="B30" s="55" t="s">
        <v>925</v>
      </c>
      <c r="C30" s="72" t="s">
        <v>910</v>
      </c>
      <c r="D30" s="225">
        <f>[64]SPDCL_Output!$Q36</f>
        <v>0</v>
      </c>
      <c r="E30" s="225">
        <f>[64]SPDCL_Output!$R36</f>
        <v>42.0695884388457</v>
      </c>
    </row>
    <row r="31" ht="17" customHeight="1" spans="2:5">
      <c r="B31" s="55" t="s">
        <v>926</v>
      </c>
      <c r="C31" s="72" t="s">
        <v>912</v>
      </c>
      <c r="D31" s="225">
        <f>[64]SPDCL_Output!$Q37</f>
        <v>0</v>
      </c>
      <c r="E31" s="225">
        <f>[64]SPDCL_Output!$R37</f>
        <v>0.00293718515838214</v>
      </c>
    </row>
    <row r="32" ht="17" customHeight="1" spans="2:5">
      <c r="B32" s="55" t="s">
        <v>927</v>
      </c>
      <c r="C32" s="72" t="s">
        <v>440</v>
      </c>
      <c r="D32" s="225">
        <f>[64]SPDCL_Output!$Q38</f>
        <v>0</v>
      </c>
      <c r="E32" s="225">
        <f>[64]SPDCL_Output!$R38</f>
        <v>9.69884010648019</v>
      </c>
    </row>
    <row r="33" ht="17" customHeight="1" spans="2:5">
      <c r="B33" s="55" t="s">
        <v>928</v>
      </c>
      <c r="C33" s="72" t="s">
        <v>915</v>
      </c>
      <c r="D33" s="225">
        <f>[64]SPDCL_Output!$Q39</f>
        <v>0</v>
      </c>
      <c r="E33" s="225">
        <f>[64]SPDCL_Output!$R39</f>
        <v>0</v>
      </c>
    </row>
    <row r="34" ht="17" customHeight="1" spans="2:5">
      <c r="B34" s="55" t="s">
        <v>929</v>
      </c>
      <c r="C34" s="72" t="s">
        <v>917</v>
      </c>
      <c r="D34" s="225">
        <f>[64]SPDCL_Output!$Q40</f>
        <v>0</v>
      </c>
      <c r="E34" s="225">
        <f>[64]SPDCL_Output!$R40</f>
        <v>2.01642444224578</v>
      </c>
    </row>
    <row r="35" ht="17" customHeight="1" spans="2:5">
      <c r="B35" s="55" t="s">
        <v>930</v>
      </c>
      <c r="C35" s="72" t="s">
        <v>222</v>
      </c>
      <c r="D35" s="225">
        <f>[64]SPDCL_Output!$Q41</f>
        <v>0</v>
      </c>
      <c r="E35" s="225">
        <f>[64]SPDCL_Output!$R41</f>
        <v>0</v>
      </c>
    </row>
    <row r="36" ht="17" customHeight="1" spans="2:5">
      <c r="B36" s="55" t="s">
        <v>931</v>
      </c>
      <c r="C36" s="72" t="s">
        <v>932</v>
      </c>
      <c r="D36" s="225">
        <f>[64]SPDCL_Output!$Q42</f>
        <v>0</v>
      </c>
      <c r="E36" s="225">
        <f>[64]SPDCL_Output!$R42</f>
        <v>1.03140011610629</v>
      </c>
    </row>
    <row r="37" ht="17" customHeight="1" spans="2:5">
      <c r="B37" s="55" t="s">
        <v>933</v>
      </c>
      <c r="C37" s="72" t="s">
        <v>934</v>
      </c>
      <c r="D37" s="225">
        <f>[64]SPDCL_Output!$Q43</f>
        <v>0</v>
      </c>
      <c r="E37" s="225">
        <f>[64]SPDCL_Output!$R43</f>
        <v>0.197762747300181</v>
      </c>
    </row>
    <row r="38" ht="17" customHeight="1" spans="2:5">
      <c r="B38" s="55" t="s">
        <v>935</v>
      </c>
      <c r="C38" s="72" t="s">
        <v>198</v>
      </c>
      <c r="D38" s="225">
        <f>[64]SPDCL_Output!$Q44</f>
        <v>0</v>
      </c>
      <c r="E38" s="225">
        <f>[64]SPDCL_Output!$R44</f>
        <v>0.0289124542373271</v>
      </c>
    </row>
    <row r="39" ht="17" customHeight="1" spans="2:5">
      <c r="B39" s="55" t="s">
        <v>936</v>
      </c>
      <c r="C39" s="72" t="s">
        <v>906</v>
      </c>
      <c r="D39" s="225">
        <f>[64]SPDCL_Output!$Q45</f>
        <v>0</v>
      </c>
      <c r="E39" s="225">
        <f>[64]SPDCL_Output!$R45</f>
        <v>0</v>
      </c>
    </row>
    <row r="40" ht="17" customHeight="1" spans="2:5">
      <c r="B40" s="55"/>
      <c r="C40" s="226" t="s">
        <v>937</v>
      </c>
      <c r="D40" s="225"/>
      <c r="E40" s="225"/>
    </row>
    <row r="41" ht="17" customHeight="1" spans="2:5">
      <c r="B41" s="55" t="s">
        <v>938</v>
      </c>
      <c r="C41" s="72" t="s">
        <v>910</v>
      </c>
      <c r="D41" s="225">
        <f>[64]SPDCL_Output!$Q50</f>
        <v>0</v>
      </c>
      <c r="E41" s="225">
        <f>[64]SPDCL_Output!$R50</f>
        <v>27.3850884922185</v>
      </c>
    </row>
    <row r="42" ht="17" customHeight="1" spans="2:5">
      <c r="B42" s="55" t="s">
        <v>939</v>
      </c>
      <c r="C42" s="72" t="s">
        <v>912</v>
      </c>
      <c r="D42" s="225">
        <f>[64]SPDCL_Output!$Q51</f>
        <v>0</v>
      </c>
      <c r="E42" s="225">
        <f>[64]SPDCL_Output!$R51</f>
        <v>0.83720468172982</v>
      </c>
    </row>
    <row r="43" ht="17" customHeight="1" spans="2:5">
      <c r="B43" s="55" t="s">
        <v>940</v>
      </c>
      <c r="C43" s="72" t="s">
        <v>440</v>
      </c>
      <c r="D43" s="225">
        <f>[64]SPDCL_Output!$Q52</f>
        <v>0</v>
      </c>
      <c r="E43" s="225">
        <f>[64]SPDCL_Output!$R52</f>
        <v>1.89217764412595</v>
      </c>
    </row>
    <row r="44" ht="17" customHeight="1" spans="2:5">
      <c r="B44" s="55" t="s">
        <v>941</v>
      </c>
      <c r="C44" s="72" t="s">
        <v>915</v>
      </c>
      <c r="D44" s="225">
        <f>[64]SPDCL_Output!$Q53</f>
        <v>0</v>
      </c>
      <c r="E44" s="225">
        <f>[64]SPDCL_Output!$R53</f>
        <v>0.731747157555513</v>
      </c>
    </row>
    <row r="45" ht="17" customHeight="1" spans="2:5">
      <c r="B45" s="55" t="s">
        <v>942</v>
      </c>
      <c r="C45" s="72" t="s">
        <v>917</v>
      </c>
      <c r="D45" s="225">
        <f>[64]SPDCL_Output!$Q54</f>
        <v>0</v>
      </c>
      <c r="E45" s="225">
        <f>[64]SPDCL_Output!$R54</f>
        <v>10.7071417436896</v>
      </c>
    </row>
    <row r="46" ht="17" customHeight="1" spans="2:5">
      <c r="B46" s="55" t="s">
        <v>943</v>
      </c>
      <c r="C46" s="72" t="s">
        <v>944</v>
      </c>
      <c r="D46" s="225">
        <f>[64]SPDCL_Output!$Q55</f>
        <v>0</v>
      </c>
      <c r="E46" s="225">
        <f>[64]SPDCL_Output!$R55</f>
        <v>8.01097826810165</v>
      </c>
    </row>
    <row r="47" ht="17" customHeight="1" spans="2:5">
      <c r="B47" s="55" t="s">
        <v>945</v>
      </c>
      <c r="C47" s="72" t="s">
        <v>946</v>
      </c>
      <c r="D47" s="225">
        <f>[64]SPDCL_Output!$Q56</f>
        <v>0</v>
      </c>
      <c r="E47" s="225">
        <f>[64]SPDCL_Output!$R56</f>
        <v>1.37429578280671</v>
      </c>
    </row>
    <row r="48" ht="17" customHeight="1" spans="2:5">
      <c r="B48" s="55" t="s">
        <v>947</v>
      </c>
      <c r="C48" s="72" t="s">
        <v>932</v>
      </c>
      <c r="D48" s="225">
        <f>[64]SPDCL_Output!$Q57</f>
        <v>0</v>
      </c>
      <c r="E48" s="225">
        <f>[64]SPDCL_Output!$R57</f>
        <v>0</v>
      </c>
    </row>
    <row r="49" ht="17" customHeight="1" spans="2:5">
      <c r="B49" s="55" t="s">
        <v>948</v>
      </c>
      <c r="C49" s="72" t="s">
        <v>198</v>
      </c>
      <c r="D49" s="225">
        <f>[64]SPDCL_Output!$Q58</f>
        <v>0</v>
      </c>
      <c r="E49" s="225">
        <f>[64]SPDCL_Output!$R58</f>
        <v>0</v>
      </c>
    </row>
    <row r="50" ht="17" customHeight="1" spans="2:5">
      <c r="B50" s="55" t="s">
        <v>949</v>
      </c>
      <c r="C50" s="72" t="s">
        <v>906</v>
      </c>
      <c r="D50" s="225">
        <f>[64]SPDCL_Output!$Q59</f>
        <v>0</v>
      </c>
      <c r="E50" s="225">
        <f>[64]SPDCL_Output!$R59</f>
        <v>0</v>
      </c>
    </row>
    <row r="51" ht="17" customHeight="1" spans="2:5">
      <c r="B51" s="39" t="s">
        <v>224</v>
      </c>
      <c r="C51" s="39"/>
      <c r="D51" s="227">
        <f>SUM(D8:D50)</f>
        <v>0</v>
      </c>
      <c r="E51" s="227">
        <f>SUM(E8:E50)</f>
        <v>347.247157485601</v>
      </c>
    </row>
    <row r="52" ht="17" customHeight="1" spans="5:5">
      <c r="E52" s="228">
        <f>D51+E51-SUM([64]SPDCL_Output!$Q$64:$R$64)</f>
        <v>0</v>
      </c>
    </row>
  </sheetData>
  <mergeCells count="6">
    <mergeCell ref="B2:P2"/>
    <mergeCell ref="D5:E5"/>
    <mergeCell ref="B7:C7"/>
    <mergeCell ref="B18:C18"/>
    <mergeCell ref="B51:C51"/>
    <mergeCell ref="B5:C6"/>
  </mergeCells>
  <printOptions horizontalCentered="1"/>
  <pageMargins left="0.708661417322835" right="0.708661417322835" top="0.748031496062992" bottom="0.748031496062992" header="0.31496062992126" footer="0.31496062992126"/>
  <pageSetup paperSize="9" scale="78" fitToHeight="2" orientation="portrait"/>
  <headerFooter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144"/>
  <sheetViews>
    <sheetView showGridLines="0" zoomScale="70" zoomScaleNormal="70" workbookViewId="0">
      <pane xSplit="3" ySplit="7" topLeftCell="J8" activePane="bottomRight" state="frozen"/>
      <selection/>
      <selection pane="topRight"/>
      <selection pane="bottomLeft"/>
      <selection pane="bottomRight" activeCell="P43" sqref="P43"/>
    </sheetView>
  </sheetViews>
  <sheetFormatPr defaultColWidth="9.14285714285714" defaultRowHeight="14.25"/>
  <cols>
    <col min="1" max="1" width="9.14285714285714" style="12"/>
    <col min="2" max="2" width="31.8571428571429" style="12" customWidth="1"/>
    <col min="3" max="3" width="45.1428571428571" style="12" customWidth="1"/>
    <col min="4" max="4" width="10.5714285714286" style="12" customWidth="1"/>
    <col min="5" max="5" width="30.8571428571429" style="12" customWidth="1"/>
    <col min="6" max="6" width="21.1428571428571" style="12" customWidth="1"/>
    <col min="7" max="7" width="9.85714285714286" style="12" customWidth="1"/>
    <col min="8" max="8" width="28.1428571428571" style="12" customWidth="1"/>
    <col min="9" max="9" width="21.1428571428571" style="12" customWidth="1"/>
    <col min="10" max="10" width="9.85714285714286" style="12" customWidth="1"/>
    <col min="11" max="11" width="28.5714285714286" style="12" customWidth="1"/>
    <col min="12" max="12" width="21.1428571428571" style="12" customWidth="1"/>
    <col min="13" max="13" width="25.5714285714286" style="12" customWidth="1"/>
    <col min="14" max="14" width="28.4285714285714" style="12" customWidth="1"/>
    <col min="15" max="15" width="21.1428571428571" style="12" customWidth="1"/>
    <col min="16" max="16384" width="9.14285714285714" style="12"/>
  </cols>
  <sheetData>
    <row r="2" ht="15" spans="2:16">
      <c r="B2" s="2" t="s">
        <v>156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9:9">
      <c r="I3" s="3" t="s">
        <v>990</v>
      </c>
    </row>
    <row r="5" ht="15" spans="2:15">
      <c r="B5" s="203" t="s">
        <v>159</v>
      </c>
      <c r="C5" s="204"/>
      <c r="D5" s="135" t="s">
        <v>991</v>
      </c>
      <c r="E5" s="135"/>
      <c r="F5" s="135"/>
      <c r="G5" s="135" t="s">
        <v>992</v>
      </c>
      <c r="H5" s="135"/>
      <c r="I5" s="135"/>
      <c r="J5" s="135" t="s">
        <v>993</v>
      </c>
      <c r="K5" s="135"/>
      <c r="L5" s="135"/>
      <c r="M5" s="135" t="s">
        <v>994</v>
      </c>
      <c r="N5" s="135"/>
      <c r="O5" s="135"/>
    </row>
    <row r="6" ht="30" customHeight="1" spans="2:15">
      <c r="B6" s="205"/>
      <c r="C6" s="206"/>
      <c r="D6" s="113" t="s">
        <v>995</v>
      </c>
      <c r="E6" s="114"/>
      <c r="F6" s="90" t="s">
        <v>996</v>
      </c>
      <c r="G6" s="113" t="s">
        <v>995</v>
      </c>
      <c r="H6" s="114"/>
      <c r="I6" s="90" t="s">
        <v>996</v>
      </c>
      <c r="J6" s="113" t="s">
        <v>995</v>
      </c>
      <c r="K6" s="114"/>
      <c r="L6" s="90" t="s">
        <v>996</v>
      </c>
      <c r="M6" s="113" t="s">
        <v>995</v>
      </c>
      <c r="N6" s="114"/>
      <c r="O6" s="90" t="s">
        <v>996</v>
      </c>
    </row>
    <row r="7" ht="15" spans="2:15">
      <c r="B7" s="205"/>
      <c r="C7" s="206"/>
      <c r="D7" s="38" t="s">
        <v>997</v>
      </c>
      <c r="E7" s="38" t="s">
        <v>998</v>
      </c>
      <c r="F7" s="115" t="s">
        <v>999</v>
      </c>
      <c r="G7" s="38" t="s">
        <v>997</v>
      </c>
      <c r="H7" s="38" t="s">
        <v>998</v>
      </c>
      <c r="I7" s="115" t="s">
        <v>999</v>
      </c>
      <c r="J7" s="38" t="s">
        <v>997</v>
      </c>
      <c r="K7" s="38" t="s">
        <v>998</v>
      </c>
      <c r="L7" s="115" t="s">
        <v>999</v>
      </c>
      <c r="M7" s="38" t="s">
        <v>997</v>
      </c>
      <c r="N7" s="38" t="s">
        <v>998</v>
      </c>
      <c r="O7" s="115" t="s">
        <v>999</v>
      </c>
    </row>
    <row r="8" ht="15" spans="2:15">
      <c r="B8" s="44" t="s">
        <v>890</v>
      </c>
      <c r="C8" s="45"/>
      <c r="D8" s="70"/>
      <c r="E8" s="70"/>
      <c r="F8" s="70"/>
      <c r="G8" s="55"/>
      <c r="H8" s="55"/>
      <c r="I8" s="55"/>
      <c r="J8" s="55"/>
      <c r="K8" s="55"/>
      <c r="L8" s="55"/>
      <c r="M8" s="55"/>
      <c r="N8" s="55"/>
      <c r="O8" s="55"/>
    </row>
    <row r="9" ht="15" spans="2:15">
      <c r="B9" s="46" t="s">
        <v>1000</v>
      </c>
      <c r="C9" s="47"/>
      <c r="D9" s="47"/>
      <c r="E9" s="47"/>
      <c r="F9" s="47"/>
      <c r="G9" s="55"/>
      <c r="H9" s="55"/>
      <c r="I9" s="55"/>
      <c r="J9" s="55"/>
      <c r="K9" s="55"/>
      <c r="L9" s="55"/>
      <c r="M9" s="55"/>
      <c r="N9" s="55"/>
      <c r="O9" s="55"/>
    </row>
    <row r="10" spans="2:15">
      <c r="B10" s="50" t="s">
        <v>1001</v>
      </c>
      <c r="C10" s="47"/>
      <c r="D10" s="55"/>
      <c r="E10" s="47"/>
      <c r="F10" s="47"/>
      <c r="G10" s="55"/>
      <c r="H10" s="55"/>
      <c r="I10" s="55"/>
      <c r="J10" s="55"/>
      <c r="K10" s="55"/>
      <c r="L10" s="55"/>
      <c r="M10" s="55"/>
      <c r="N10" s="55"/>
      <c r="O10" s="55"/>
    </row>
    <row r="11" spans="2:15">
      <c r="B11" s="52" t="s">
        <v>1002</v>
      </c>
      <c r="C11" s="47"/>
      <c r="D11" s="100" t="s">
        <v>1003</v>
      </c>
      <c r="E11" s="100">
        <v>10</v>
      </c>
      <c r="F11" s="101">
        <v>1.95</v>
      </c>
      <c r="G11" s="100" t="s">
        <v>1003</v>
      </c>
      <c r="H11" s="100">
        <v>10</v>
      </c>
      <c r="I11" s="101">
        <v>1.95</v>
      </c>
      <c r="J11" s="100" t="s">
        <v>1003</v>
      </c>
      <c r="K11" s="100">
        <f>N11</f>
        <v>10</v>
      </c>
      <c r="L11" s="101">
        <f>O11+[65]FCRT_SPDCL!$K$4</f>
        <v>3.81730498083869</v>
      </c>
      <c r="M11" s="100" t="s">
        <v>1003</v>
      </c>
      <c r="N11" s="100">
        <v>10</v>
      </c>
      <c r="O11" s="101">
        <v>1.95</v>
      </c>
    </row>
    <row r="12" spans="2:15">
      <c r="B12" s="52" t="s">
        <v>1004</v>
      </c>
      <c r="C12" s="47"/>
      <c r="D12" s="100" t="s">
        <v>1003</v>
      </c>
      <c r="E12" s="100">
        <v>10</v>
      </c>
      <c r="F12" s="101">
        <v>3.1</v>
      </c>
      <c r="G12" s="100" t="s">
        <v>1003</v>
      </c>
      <c r="H12" s="100">
        <v>10</v>
      </c>
      <c r="I12" s="101">
        <v>3.1</v>
      </c>
      <c r="J12" s="100" t="s">
        <v>1003</v>
      </c>
      <c r="K12" s="100">
        <f>N12</f>
        <v>10</v>
      </c>
      <c r="L12" s="101">
        <f>O12+[65]FCRT_SPDCL!$K$4</f>
        <v>4.96730498083869</v>
      </c>
      <c r="M12" s="100" t="s">
        <v>1003</v>
      </c>
      <c r="N12" s="100">
        <v>10</v>
      </c>
      <c r="O12" s="101">
        <v>3.1</v>
      </c>
    </row>
    <row r="13" spans="2:15">
      <c r="B13" s="50" t="s">
        <v>1005</v>
      </c>
      <c r="C13" s="47"/>
      <c r="D13" s="100"/>
      <c r="E13" s="100"/>
      <c r="F13" s="101"/>
      <c r="G13" s="55"/>
      <c r="H13" s="55"/>
      <c r="I13" s="55"/>
      <c r="J13" s="55"/>
      <c r="K13" s="55"/>
      <c r="L13" s="55"/>
      <c r="M13" s="55"/>
      <c r="N13" s="100"/>
      <c r="O13" s="101"/>
    </row>
    <row r="14" spans="2:15">
      <c r="B14" s="52" t="s">
        <v>1006</v>
      </c>
      <c r="C14" s="47"/>
      <c r="D14" s="100" t="s">
        <v>1003</v>
      </c>
      <c r="E14" s="100">
        <v>10</v>
      </c>
      <c r="F14" s="101">
        <v>3.4</v>
      </c>
      <c r="G14" s="100" t="s">
        <v>1003</v>
      </c>
      <c r="H14" s="100">
        <v>10</v>
      </c>
      <c r="I14" s="101">
        <v>3.4</v>
      </c>
      <c r="J14" s="100" t="s">
        <v>1003</v>
      </c>
      <c r="K14" s="100">
        <f t="shared" ref="K14:K15" si="0">N14</f>
        <v>10</v>
      </c>
      <c r="L14" s="101">
        <f>O14+[65]FCRT_SPDCL!$K$4</f>
        <v>5.26730498083869</v>
      </c>
      <c r="M14" s="100" t="s">
        <v>1003</v>
      </c>
      <c r="N14" s="100">
        <v>10</v>
      </c>
      <c r="O14" s="101">
        <v>3.4</v>
      </c>
    </row>
    <row r="15" spans="2:15">
      <c r="B15" s="52" t="s">
        <v>1007</v>
      </c>
      <c r="C15" s="47"/>
      <c r="D15" s="100" t="s">
        <v>1003</v>
      </c>
      <c r="E15" s="100">
        <v>10</v>
      </c>
      <c r="F15" s="101">
        <v>4.8</v>
      </c>
      <c r="G15" s="100" t="s">
        <v>1003</v>
      </c>
      <c r="H15" s="100">
        <v>10</v>
      </c>
      <c r="I15" s="101">
        <v>4.8</v>
      </c>
      <c r="J15" s="100" t="s">
        <v>1003</v>
      </c>
      <c r="K15" s="100">
        <f t="shared" si="0"/>
        <v>10</v>
      </c>
      <c r="L15" s="101">
        <f>O15+[65]FCRT_SPDCL!$K$4</f>
        <v>6.66730498083869</v>
      </c>
      <c r="M15" s="100" t="s">
        <v>1003</v>
      </c>
      <c r="N15" s="100">
        <v>10</v>
      </c>
      <c r="O15" s="101">
        <v>4.8</v>
      </c>
    </row>
    <row r="16" spans="2:15">
      <c r="B16" s="50" t="s">
        <v>1008</v>
      </c>
      <c r="C16" s="47"/>
      <c r="D16" s="100"/>
      <c r="E16" s="100"/>
      <c r="F16" s="101"/>
      <c r="G16" s="55"/>
      <c r="H16" s="55"/>
      <c r="I16" s="55"/>
      <c r="J16" s="55"/>
      <c r="K16" s="55"/>
      <c r="L16" s="55"/>
      <c r="M16" s="55"/>
      <c r="N16" s="55"/>
      <c r="O16" s="55"/>
    </row>
    <row r="17" spans="2:15">
      <c r="B17" s="52" t="s">
        <v>1009</v>
      </c>
      <c r="C17" s="47"/>
      <c r="D17" s="100" t="s">
        <v>1003</v>
      </c>
      <c r="E17" s="100">
        <v>10</v>
      </c>
      <c r="F17" s="101">
        <v>5.1</v>
      </c>
      <c r="G17" s="100" t="s">
        <v>1003</v>
      </c>
      <c r="H17" s="100">
        <v>10</v>
      </c>
      <c r="I17" s="101">
        <v>5.1</v>
      </c>
      <c r="J17" s="100" t="s">
        <v>1003</v>
      </c>
      <c r="K17" s="100">
        <f t="shared" ref="K17:K21" si="1">N17</f>
        <v>10</v>
      </c>
      <c r="L17" s="101">
        <f>O17+[65]FCRT_SPDCL!$K$4</f>
        <v>6.96730498083869</v>
      </c>
      <c r="M17" s="100" t="s">
        <v>1003</v>
      </c>
      <c r="N17" s="100">
        <v>10</v>
      </c>
      <c r="O17" s="101">
        <v>5.1</v>
      </c>
    </row>
    <row r="18" spans="2:15">
      <c r="B18" s="52" t="s">
        <v>1010</v>
      </c>
      <c r="C18" s="47"/>
      <c r="D18" s="100" t="s">
        <v>1003</v>
      </c>
      <c r="E18" s="100">
        <v>10</v>
      </c>
      <c r="F18" s="101">
        <v>7.7</v>
      </c>
      <c r="G18" s="100" t="s">
        <v>1003</v>
      </c>
      <c r="H18" s="100">
        <v>10</v>
      </c>
      <c r="I18" s="101">
        <v>7.7</v>
      </c>
      <c r="J18" s="100" t="s">
        <v>1003</v>
      </c>
      <c r="K18" s="100">
        <f t="shared" si="1"/>
        <v>10</v>
      </c>
      <c r="L18" s="101">
        <f>O18+[65]FCRT_SPDCL!$K$4</f>
        <v>9.56730498083869</v>
      </c>
      <c r="M18" s="100" t="s">
        <v>1003</v>
      </c>
      <c r="N18" s="100">
        <v>10</v>
      </c>
      <c r="O18" s="101">
        <v>7.7</v>
      </c>
    </row>
    <row r="19" spans="2:15">
      <c r="B19" s="52" t="s">
        <v>1011</v>
      </c>
      <c r="C19" s="47"/>
      <c r="D19" s="100" t="s">
        <v>1003</v>
      </c>
      <c r="E19" s="100">
        <v>10</v>
      </c>
      <c r="F19" s="101">
        <v>9</v>
      </c>
      <c r="G19" s="100" t="s">
        <v>1003</v>
      </c>
      <c r="H19" s="100">
        <v>10</v>
      </c>
      <c r="I19" s="101">
        <v>9</v>
      </c>
      <c r="J19" s="100" t="s">
        <v>1003</v>
      </c>
      <c r="K19" s="100">
        <f t="shared" si="1"/>
        <v>50</v>
      </c>
      <c r="L19" s="101">
        <f>O19+[65]FCRT_SPDCL!$K$4</f>
        <v>10.8673049808387</v>
      </c>
      <c r="M19" s="100" t="s">
        <v>1003</v>
      </c>
      <c r="N19" s="100">
        <v>50</v>
      </c>
      <c r="O19" s="101">
        <v>9</v>
      </c>
    </row>
    <row r="20" spans="2:15">
      <c r="B20" s="52" t="s">
        <v>1012</v>
      </c>
      <c r="C20" s="47"/>
      <c r="D20" s="100" t="s">
        <v>1003</v>
      </c>
      <c r="E20" s="100">
        <v>10</v>
      </c>
      <c r="F20" s="101">
        <v>9.5</v>
      </c>
      <c r="G20" s="100" t="s">
        <v>1003</v>
      </c>
      <c r="H20" s="100">
        <v>10</v>
      </c>
      <c r="I20" s="101">
        <v>9.5</v>
      </c>
      <c r="J20" s="100" t="s">
        <v>1003</v>
      </c>
      <c r="K20" s="100">
        <f t="shared" si="1"/>
        <v>50</v>
      </c>
      <c r="L20" s="101">
        <f>O20+[65]FCRT_SPDCL!$K$4</f>
        <v>11.3673049808387</v>
      </c>
      <c r="M20" s="100" t="s">
        <v>1003</v>
      </c>
      <c r="N20" s="100">
        <v>50</v>
      </c>
      <c r="O20" s="101">
        <v>9.5</v>
      </c>
    </row>
    <row r="21" spans="2:15">
      <c r="B21" s="52" t="s">
        <v>1013</v>
      </c>
      <c r="C21" s="47"/>
      <c r="D21" s="100" t="s">
        <v>1003</v>
      </c>
      <c r="E21" s="100">
        <v>10</v>
      </c>
      <c r="F21" s="101">
        <v>10</v>
      </c>
      <c r="G21" s="100" t="s">
        <v>1003</v>
      </c>
      <c r="H21" s="100">
        <v>10</v>
      </c>
      <c r="I21" s="101">
        <v>10</v>
      </c>
      <c r="J21" s="100" t="s">
        <v>1003</v>
      </c>
      <c r="K21" s="100">
        <f t="shared" si="1"/>
        <v>50</v>
      </c>
      <c r="L21" s="101">
        <f>O21+[65]FCRT_SPDCL!$K$4</f>
        <v>11.8673049808387</v>
      </c>
      <c r="M21" s="100" t="s">
        <v>1003</v>
      </c>
      <c r="N21" s="100">
        <v>50</v>
      </c>
      <c r="O21" s="101">
        <v>10</v>
      </c>
    </row>
    <row r="22" ht="15" spans="2:15">
      <c r="B22" s="54" t="s">
        <v>1014</v>
      </c>
      <c r="C22" s="55"/>
      <c r="D22" s="100"/>
      <c r="E22" s="100"/>
      <c r="F22" s="101"/>
      <c r="G22" s="55"/>
      <c r="H22" s="55"/>
      <c r="I22" s="55"/>
      <c r="J22" s="55"/>
      <c r="K22" s="55"/>
      <c r="L22" s="55"/>
      <c r="M22" s="55"/>
      <c r="N22" s="55"/>
      <c r="O22" s="55"/>
    </row>
    <row r="23" spans="2:15">
      <c r="B23" s="56" t="s">
        <v>1015</v>
      </c>
      <c r="C23" s="55"/>
      <c r="D23" s="100"/>
      <c r="E23" s="100"/>
      <c r="F23" s="101"/>
      <c r="G23" s="55"/>
      <c r="H23" s="55"/>
      <c r="I23" s="55"/>
      <c r="J23" s="55"/>
      <c r="K23" s="55"/>
      <c r="L23" s="55"/>
      <c r="M23" s="55"/>
      <c r="N23" s="55"/>
      <c r="O23" s="55"/>
    </row>
    <row r="24" spans="2:15">
      <c r="B24" s="140" t="s">
        <v>1002</v>
      </c>
      <c r="C24" s="55"/>
      <c r="D24" s="100" t="s">
        <v>1003</v>
      </c>
      <c r="E24" s="100">
        <v>60</v>
      </c>
      <c r="F24" s="101">
        <v>7</v>
      </c>
      <c r="G24" s="100" t="s">
        <v>1003</v>
      </c>
      <c r="H24" s="100">
        <v>60</v>
      </c>
      <c r="I24" s="101">
        <v>7</v>
      </c>
      <c r="J24" s="100" t="s">
        <v>1003</v>
      </c>
      <c r="K24" s="100">
        <f>N24</f>
        <v>125</v>
      </c>
      <c r="L24" s="101">
        <f>O24</f>
        <v>7</v>
      </c>
      <c r="M24" s="100" t="s">
        <v>1003</v>
      </c>
      <c r="N24" s="100">
        <v>125</v>
      </c>
      <c r="O24" s="101">
        <v>7</v>
      </c>
    </row>
    <row r="25" spans="2:15">
      <c r="B25" s="56" t="s">
        <v>1016</v>
      </c>
      <c r="C25" s="55"/>
      <c r="D25" s="100"/>
      <c r="E25" s="100"/>
      <c r="F25" s="101"/>
      <c r="G25" s="55"/>
      <c r="H25" s="55"/>
      <c r="I25" s="55"/>
      <c r="J25" s="55"/>
      <c r="K25" s="55"/>
      <c r="L25" s="55"/>
      <c r="M25" s="55"/>
      <c r="N25" s="55"/>
      <c r="O25" s="55"/>
    </row>
    <row r="26" spans="2:15">
      <c r="B26" s="58" t="s">
        <v>1006</v>
      </c>
      <c r="C26" s="55"/>
      <c r="D26" s="100" t="s">
        <v>1003</v>
      </c>
      <c r="E26" s="100">
        <v>70</v>
      </c>
      <c r="F26" s="101">
        <v>8.5</v>
      </c>
      <c r="G26" s="100" t="s">
        <v>1003</v>
      </c>
      <c r="H26" s="100">
        <v>70</v>
      </c>
      <c r="I26" s="101">
        <v>8.5</v>
      </c>
      <c r="J26" s="100" t="s">
        <v>1003</v>
      </c>
      <c r="K26" s="100">
        <f t="shared" ref="K26:K30" si="2">N26</f>
        <v>150</v>
      </c>
      <c r="L26" s="101">
        <f t="shared" ref="L26:L30" si="3">O26</f>
        <v>8.5</v>
      </c>
      <c r="M26" s="100" t="s">
        <v>1003</v>
      </c>
      <c r="N26" s="100">
        <v>150</v>
      </c>
      <c r="O26" s="101">
        <v>8.5</v>
      </c>
    </row>
    <row r="27" spans="2:15">
      <c r="B27" s="58" t="s">
        <v>1017</v>
      </c>
      <c r="C27" s="55"/>
      <c r="D27" s="100" t="s">
        <v>1003</v>
      </c>
      <c r="E27" s="100">
        <v>70</v>
      </c>
      <c r="F27" s="101">
        <v>9.9</v>
      </c>
      <c r="G27" s="100" t="s">
        <v>1003</v>
      </c>
      <c r="H27" s="100">
        <v>70</v>
      </c>
      <c r="I27" s="101">
        <v>9.9</v>
      </c>
      <c r="J27" s="100" t="s">
        <v>1003</v>
      </c>
      <c r="K27" s="100">
        <f t="shared" si="2"/>
        <v>150</v>
      </c>
      <c r="L27" s="101">
        <f t="shared" si="3"/>
        <v>9.9</v>
      </c>
      <c r="M27" s="100" t="s">
        <v>1003</v>
      </c>
      <c r="N27" s="100">
        <v>150</v>
      </c>
      <c r="O27" s="101">
        <v>9.9</v>
      </c>
    </row>
    <row r="28" spans="2:15">
      <c r="B28" s="58" t="s">
        <v>1018</v>
      </c>
      <c r="C28" s="55"/>
      <c r="D28" s="100" t="s">
        <v>1003</v>
      </c>
      <c r="E28" s="100">
        <v>70</v>
      </c>
      <c r="F28" s="101">
        <v>10.4</v>
      </c>
      <c r="G28" s="100" t="s">
        <v>1003</v>
      </c>
      <c r="H28" s="100">
        <v>70</v>
      </c>
      <c r="I28" s="101">
        <v>10.4</v>
      </c>
      <c r="J28" s="100" t="s">
        <v>1003</v>
      </c>
      <c r="K28" s="100">
        <f t="shared" si="2"/>
        <v>150</v>
      </c>
      <c r="L28" s="101">
        <f t="shared" si="3"/>
        <v>10.4</v>
      </c>
      <c r="M28" s="100" t="s">
        <v>1003</v>
      </c>
      <c r="N28" s="100">
        <v>150</v>
      </c>
      <c r="O28" s="101">
        <v>10.4</v>
      </c>
    </row>
    <row r="29" spans="2:15">
      <c r="B29" s="58" t="s">
        <v>1019</v>
      </c>
      <c r="C29" s="55"/>
      <c r="D29" s="100" t="s">
        <v>1003</v>
      </c>
      <c r="E29" s="100">
        <v>70</v>
      </c>
      <c r="F29" s="101">
        <v>11</v>
      </c>
      <c r="G29" s="100" t="s">
        <v>1003</v>
      </c>
      <c r="H29" s="100">
        <v>70</v>
      </c>
      <c r="I29" s="101">
        <v>11</v>
      </c>
      <c r="J29" s="100" t="s">
        <v>1003</v>
      </c>
      <c r="K29" s="100">
        <f t="shared" si="2"/>
        <v>150</v>
      </c>
      <c r="L29" s="101">
        <f t="shared" si="3"/>
        <v>11</v>
      </c>
      <c r="M29" s="100" t="s">
        <v>1003</v>
      </c>
      <c r="N29" s="100">
        <v>150</v>
      </c>
      <c r="O29" s="101">
        <v>11</v>
      </c>
    </row>
    <row r="30" spans="2:15">
      <c r="B30" s="56" t="s">
        <v>1020</v>
      </c>
      <c r="C30" s="55"/>
      <c r="D30" s="100" t="s">
        <v>1003</v>
      </c>
      <c r="E30" s="100">
        <v>70</v>
      </c>
      <c r="F30" s="101">
        <v>13</v>
      </c>
      <c r="G30" s="100" t="s">
        <v>1003</v>
      </c>
      <c r="H30" s="100">
        <v>70</v>
      </c>
      <c r="I30" s="101">
        <v>13</v>
      </c>
      <c r="J30" s="100" t="s">
        <v>1003</v>
      </c>
      <c r="K30" s="100">
        <f t="shared" si="2"/>
        <v>150</v>
      </c>
      <c r="L30" s="101">
        <f t="shared" si="3"/>
        <v>13</v>
      </c>
      <c r="M30" s="100" t="s">
        <v>1003</v>
      </c>
      <c r="N30" s="100">
        <v>150</v>
      </c>
      <c r="O30" s="101">
        <v>13</v>
      </c>
    </row>
    <row r="31" spans="2:15">
      <c r="B31" s="56" t="s">
        <v>1021</v>
      </c>
      <c r="C31" s="55"/>
      <c r="D31" s="100"/>
      <c r="E31" s="100"/>
      <c r="F31" s="101"/>
      <c r="G31" s="55"/>
      <c r="H31" s="55"/>
      <c r="I31" s="55"/>
      <c r="J31" s="55"/>
      <c r="K31" s="55"/>
      <c r="L31" s="55"/>
      <c r="M31" s="55"/>
      <c r="N31" s="55"/>
      <c r="O31" s="55"/>
    </row>
    <row r="32" spans="2:15">
      <c r="B32" s="58" t="s">
        <v>1002</v>
      </c>
      <c r="C32" s="55"/>
      <c r="D32" s="100" t="s">
        <v>1003</v>
      </c>
      <c r="E32" s="100">
        <v>60</v>
      </c>
      <c r="F32" s="101">
        <v>5.3</v>
      </c>
      <c r="G32" s="100" t="s">
        <v>1003</v>
      </c>
      <c r="H32" s="100">
        <v>60</v>
      </c>
      <c r="I32" s="101">
        <v>5.3</v>
      </c>
      <c r="J32" s="100" t="s">
        <v>1003</v>
      </c>
      <c r="K32" s="100">
        <f t="shared" ref="K32:K34" si="4">N32</f>
        <v>60</v>
      </c>
      <c r="L32" s="101">
        <f t="shared" ref="L32:L34" si="5">O32</f>
        <v>5.3</v>
      </c>
      <c r="M32" s="100" t="s">
        <v>1003</v>
      </c>
      <c r="N32" s="100">
        <v>60</v>
      </c>
      <c r="O32" s="101">
        <v>5.3</v>
      </c>
    </row>
    <row r="33" spans="2:15">
      <c r="B33" s="58" t="s">
        <v>1022</v>
      </c>
      <c r="C33" s="55"/>
      <c r="D33" s="100" t="s">
        <v>1003</v>
      </c>
      <c r="E33" s="100">
        <v>60</v>
      </c>
      <c r="F33" s="101">
        <v>6.6</v>
      </c>
      <c r="G33" s="100" t="s">
        <v>1003</v>
      </c>
      <c r="H33" s="100">
        <v>60</v>
      </c>
      <c r="I33" s="101">
        <v>6.6</v>
      </c>
      <c r="J33" s="100" t="s">
        <v>1003</v>
      </c>
      <c r="K33" s="100">
        <f t="shared" si="4"/>
        <v>60</v>
      </c>
      <c r="L33" s="101">
        <f t="shared" si="5"/>
        <v>6.6</v>
      </c>
      <c r="M33" s="100" t="s">
        <v>1003</v>
      </c>
      <c r="N33" s="100">
        <v>60</v>
      </c>
      <c r="O33" s="101">
        <v>6.6</v>
      </c>
    </row>
    <row r="34" spans="2:15">
      <c r="B34" s="58" t="s">
        <v>1023</v>
      </c>
      <c r="C34" s="55"/>
      <c r="D34" s="100" t="s">
        <v>1003</v>
      </c>
      <c r="E34" s="100">
        <v>60</v>
      </c>
      <c r="F34" s="101">
        <v>7.5</v>
      </c>
      <c r="G34" s="100" t="s">
        <v>1003</v>
      </c>
      <c r="H34" s="100">
        <v>60</v>
      </c>
      <c r="I34" s="101">
        <v>7.5</v>
      </c>
      <c r="J34" s="100" t="s">
        <v>1003</v>
      </c>
      <c r="K34" s="100">
        <f t="shared" si="4"/>
        <v>60</v>
      </c>
      <c r="L34" s="101">
        <f t="shared" si="5"/>
        <v>7.5</v>
      </c>
      <c r="M34" s="100" t="s">
        <v>1003</v>
      </c>
      <c r="N34" s="100">
        <v>60</v>
      </c>
      <c r="O34" s="101">
        <v>7.5</v>
      </c>
    </row>
    <row r="35" ht="15" spans="2:15">
      <c r="B35" s="54" t="s">
        <v>1024</v>
      </c>
      <c r="C35" s="55"/>
      <c r="D35" s="100"/>
      <c r="E35" s="100"/>
      <c r="F35" s="101"/>
      <c r="G35" s="55"/>
      <c r="H35" s="55"/>
      <c r="I35" s="55"/>
      <c r="J35" s="55"/>
      <c r="K35" s="55"/>
      <c r="L35" s="55"/>
      <c r="M35" s="55"/>
      <c r="N35" s="55"/>
      <c r="O35" s="55"/>
    </row>
    <row r="36" spans="2:15">
      <c r="B36" s="58" t="s">
        <v>1025</v>
      </c>
      <c r="C36" s="55"/>
      <c r="D36" s="100" t="s">
        <v>1003</v>
      </c>
      <c r="E36" s="100">
        <v>75</v>
      </c>
      <c r="F36" s="101">
        <v>7.7</v>
      </c>
      <c r="G36" s="100" t="s">
        <v>1003</v>
      </c>
      <c r="H36" s="100">
        <v>75</v>
      </c>
      <c r="I36" s="101">
        <v>7.7</v>
      </c>
      <c r="J36" s="100" t="s">
        <v>1003</v>
      </c>
      <c r="K36" s="100">
        <f t="shared" ref="K36:K41" si="6">N36</f>
        <v>150</v>
      </c>
      <c r="L36" s="101">
        <f t="shared" ref="L36:L41" si="7">O36</f>
        <v>7.7</v>
      </c>
      <c r="M36" s="100" t="s">
        <v>1003</v>
      </c>
      <c r="N36" s="100">
        <v>150</v>
      </c>
      <c r="O36" s="101">
        <v>7.7</v>
      </c>
    </row>
    <row r="37" spans="2:15">
      <c r="B37" s="58" t="s">
        <v>1026</v>
      </c>
      <c r="C37" s="55"/>
      <c r="D37" s="100" t="s">
        <v>1003</v>
      </c>
      <c r="E37" s="100">
        <v>75</v>
      </c>
      <c r="F37" s="101">
        <v>8.4</v>
      </c>
      <c r="G37" s="100" t="s">
        <v>1003</v>
      </c>
      <c r="H37" s="100">
        <v>75</v>
      </c>
      <c r="I37" s="101">
        <v>8.4</v>
      </c>
      <c r="J37" s="100" t="s">
        <v>1003</v>
      </c>
      <c r="K37" s="100">
        <f t="shared" si="6"/>
        <v>150</v>
      </c>
      <c r="L37" s="101">
        <f t="shared" si="7"/>
        <v>8.4</v>
      </c>
      <c r="M37" s="100" t="s">
        <v>1003</v>
      </c>
      <c r="N37" s="100">
        <v>150</v>
      </c>
      <c r="O37" s="101">
        <v>8.4</v>
      </c>
    </row>
    <row r="38" spans="2:15">
      <c r="B38" s="58" t="s">
        <v>1027</v>
      </c>
      <c r="C38" s="55"/>
      <c r="D38" s="100" t="s">
        <v>1003</v>
      </c>
      <c r="E38" s="100">
        <v>36</v>
      </c>
      <c r="F38" s="101">
        <v>6.2</v>
      </c>
      <c r="G38" s="100" t="s">
        <v>1003</v>
      </c>
      <c r="H38" s="100">
        <v>36</v>
      </c>
      <c r="I38" s="101">
        <v>6.2</v>
      </c>
      <c r="J38" s="100" t="s">
        <v>1003</v>
      </c>
      <c r="K38" s="100">
        <f t="shared" si="6"/>
        <v>100</v>
      </c>
      <c r="L38" s="101">
        <f t="shared" si="7"/>
        <v>6.2</v>
      </c>
      <c r="M38" s="100" t="s">
        <v>1003</v>
      </c>
      <c r="N38" s="100">
        <v>100</v>
      </c>
      <c r="O38" s="101">
        <v>6.2</v>
      </c>
    </row>
    <row r="39" spans="2:15">
      <c r="B39" s="58" t="s">
        <v>1028</v>
      </c>
      <c r="C39" s="55"/>
      <c r="D39" s="100" t="s">
        <v>1003</v>
      </c>
      <c r="E39" s="100">
        <v>36</v>
      </c>
      <c r="F39" s="101">
        <v>6.2</v>
      </c>
      <c r="G39" s="100" t="s">
        <v>1003</v>
      </c>
      <c r="H39" s="100">
        <v>36</v>
      </c>
      <c r="I39" s="101">
        <v>6.2</v>
      </c>
      <c r="J39" s="100" t="s">
        <v>1003</v>
      </c>
      <c r="K39" s="100">
        <f t="shared" si="6"/>
        <v>100</v>
      </c>
      <c r="L39" s="101">
        <f t="shared" si="7"/>
        <v>6.2</v>
      </c>
      <c r="M39" s="100" t="s">
        <v>1003</v>
      </c>
      <c r="N39" s="100">
        <v>100</v>
      </c>
      <c r="O39" s="101">
        <v>6.2</v>
      </c>
    </row>
    <row r="40" spans="2:15">
      <c r="B40" s="58" t="s">
        <v>1029</v>
      </c>
      <c r="C40" s="55"/>
      <c r="D40" s="100" t="s">
        <v>1003</v>
      </c>
      <c r="E40" s="100">
        <v>65</v>
      </c>
      <c r="F40" s="101">
        <v>7</v>
      </c>
      <c r="G40" s="100" t="s">
        <v>1003</v>
      </c>
      <c r="H40" s="100">
        <v>65</v>
      </c>
      <c r="I40" s="101">
        <v>7</v>
      </c>
      <c r="J40" s="100" t="s">
        <v>1003</v>
      </c>
      <c r="K40" s="100">
        <f t="shared" si="6"/>
        <v>100</v>
      </c>
      <c r="L40" s="101">
        <f t="shared" si="7"/>
        <v>7</v>
      </c>
      <c r="M40" s="100" t="s">
        <v>1003</v>
      </c>
      <c r="N40" s="100">
        <v>100</v>
      </c>
      <c r="O40" s="101">
        <v>7</v>
      </c>
    </row>
    <row r="41" spans="2:15">
      <c r="B41" s="58" t="s">
        <v>1030</v>
      </c>
      <c r="C41" s="55"/>
      <c r="D41" s="100" t="s">
        <v>1003</v>
      </c>
      <c r="E41" s="100">
        <v>75</v>
      </c>
      <c r="F41" s="101">
        <v>7.3</v>
      </c>
      <c r="G41" s="100" t="s">
        <v>1003</v>
      </c>
      <c r="H41" s="100">
        <v>75</v>
      </c>
      <c r="I41" s="101">
        <v>7.3</v>
      </c>
      <c r="J41" s="100" t="s">
        <v>1003</v>
      </c>
      <c r="K41" s="100">
        <f t="shared" si="6"/>
        <v>150</v>
      </c>
      <c r="L41" s="101">
        <f t="shared" si="7"/>
        <v>7.3</v>
      </c>
      <c r="M41" s="100" t="s">
        <v>1003</v>
      </c>
      <c r="N41" s="100">
        <v>150</v>
      </c>
      <c r="O41" s="101">
        <v>7.3</v>
      </c>
    </row>
    <row r="42" ht="15" spans="2:15">
      <c r="B42" s="54" t="s">
        <v>1031</v>
      </c>
      <c r="C42" s="55"/>
      <c r="D42" s="100"/>
      <c r="E42" s="100"/>
      <c r="F42" s="101"/>
      <c r="G42" s="55"/>
      <c r="H42" s="55"/>
      <c r="I42" s="55"/>
      <c r="J42" s="55"/>
      <c r="K42" s="55"/>
      <c r="L42" s="55"/>
      <c r="M42" s="55"/>
      <c r="N42" s="55"/>
      <c r="O42" s="55"/>
    </row>
    <row r="43" ht="57" customHeight="1" spans="2:15">
      <c r="B43" s="58" t="s">
        <v>178</v>
      </c>
      <c r="C43" s="55"/>
      <c r="D43" s="100" t="s">
        <v>1003</v>
      </c>
      <c r="E43" s="208" t="s">
        <v>1032</v>
      </c>
      <c r="F43" s="101">
        <v>4</v>
      </c>
      <c r="G43" s="100" t="s">
        <v>1003</v>
      </c>
      <c r="H43" s="208" t="s">
        <v>1032</v>
      </c>
      <c r="I43" s="101">
        <v>4</v>
      </c>
      <c r="J43" s="100" t="s">
        <v>1003</v>
      </c>
      <c r="K43" s="208" t="str">
        <f t="shared" ref="K43:K44" si="8">N43</f>
        <v>20/kW subject to a minimum of Rs.30/month</v>
      </c>
      <c r="L43" s="101">
        <f t="shared" ref="L43:L44" si="9">O43</f>
        <v>4</v>
      </c>
      <c r="M43" s="100" t="s">
        <v>1003</v>
      </c>
      <c r="N43" s="208" t="s">
        <v>1032</v>
      </c>
      <c r="O43" s="101">
        <v>4</v>
      </c>
    </row>
    <row r="44" ht="52.35" customHeight="1" spans="2:15">
      <c r="B44" s="58" t="s">
        <v>1033</v>
      </c>
      <c r="C44" s="55"/>
      <c r="D44" s="100" t="s">
        <v>1003</v>
      </c>
      <c r="E44" s="208" t="s">
        <v>1032</v>
      </c>
      <c r="F44" s="101">
        <v>4</v>
      </c>
      <c r="G44" s="100" t="s">
        <v>1003</v>
      </c>
      <c r="H44" s="208" t="s">
        <v>1032</v>
      </c>
      <c r="I44" s="101">
        <v>4</v>
      </c>
      <c r="J44" s="100" t="s">
        <v>1003</v>
      </c>
      <c r="K44" s="208" t="str">
        <f t="shared" si="8"/>
        <v>20/kW subject to a minimum of Rs.30/month</v>
      </c>
      <c r="L44" s="101">
        <f t="shared" si="9"/>
        <v>4</v>
      </c>
      <c r="M44" s="100" t="s">
        <v>1003</v>
      </c>
      <c r="N44" s="208" t="s">
        <v>1032</v>
      </c>
      <c r="O44" s="101">
        <v>4</v>
      </c>
    </row>
    <row r="45" ht="15" spans="2:15">
      <c r="B45" s="54" t="s">
        <v>1034</v>
      </c>
      <c r="C45" s="55"/>
      <c r="D45" s="100"/>
      <c r="E45" s="100"/>
      <c r="F45" s="101"/>
      <c r="G45" s="55"/>
      <c r="H45" s="55"/>
      <c r="I45" s="55"/>
      <c r="J45" s="55"/>
      <c r="K45" s="55"/>
      <c r="L45" s="55"/>
      <c r="M45" s="55"/>
      <c r="N45" s="55"/>
      <c r="O45" s="55"/>
    </row>
    <row r="46" spans="2:15">
      <c r="B46" s="56" t="s">
        <v>1035</v>
      </c>
      <c r="C46" s="55"/>
      <c r="D46" s="100"/>
      <c r="E46" s="100"/>
      <c r="F46" s="101"/>
      <c r="G46" s="55"/>
      <c r="H46" s="55"/>
      <c r="I46" s="55"/>
      <c r="J46" s="55"/>
      <c r="K46" s="55"/>
      <c r="L46" s="55"/>
      <c r="M46" s="55"/>
      <c r="N46" s="55"/>
      <c r="O46" s="55"/>
    </row>
    <row r="47" spans="2:15">
      <c r="B47" s="58" t="s">
        <v>1036</v>
      </c>
      <c r="C47" s="55"/>
      <c r="D47" s="100" t="s">
        <v>1037</v>
      </c>
      <c r="E47" s="100"/>
      <c r="F47" s="101">
        <v>2.5</v>
      </c>
      <c r="G47" s="100" t="s">
        <v>1037</v>
      </c>
      <c r="H47" s="100"/>
      <c r="I47" s="101">
        <v>2.5</v>
      </c>
      <c r="J47" s="100" t="s">
        <v>1037</v>
      </c>
      <c r="K47" s="100"/>
      <c r="L47" s="101">
        <f>O47+[65]FCRT_SPDCL!$K$8</f>
        <v>8.05112441948925</v>
      </c>
      <c r="M47" s="100" t="s">
        <v>1037</v>
      </c>
      <c r="N47" s="100"/>
      <c r="O47" s="101">
        <v>2.5</v>
      </c>
    </row>
    <row r="48" spans="2:15">
      <c r="B48" s="56" t="s">
        <v>1038</v>
      </c>
      <c r="C48" s="55"/>
      <c r="D48" s="100" t="s">
        <v>1037</v>
      </c>
      <c r="E48" s="100"/>
      <c r="F48" s="101">
        <v>0</v>
      </c>
      <c r="G48" s="100" t="s">
        <v>1037</v>
      </c>
      <c r="H48" s="100"/>
      <c r="I48" s="101">
        <v>0</v>
      </c>
      <c r="J48" s="100" t="s">
        <v>1037</v>
      </c>
      <c r="K48" s="100"/>
      <c r="L48" s="101">
        <f>O48+[65]FCRT_SPDCL!$K$8</f>
        <v>5.55112441948925</v>
      </c>
      <c r="M48" s="100" t="s">
        <v>1037</v>
      </c>
      <c r="N48" s="100"/>
      <c r="O48" s="101">
        <v>0</v>
      </c>
    </row>
    <row r="49" spans="2:15">
      <c r="B49" s="56" t="s">
        <v>1039</v>
      </c>
      <c r="C49" s="55"/>
      <c r="D49" s="100"/>
      <c r="E49" s="100"/>
      <c r="F49" s="101"/>
      <c r="G49" s="100"/>
      <c r="H49" s="100"/>
      <c r="I49" s="101"/>
      <c r="J49" s="100"/>
      <c r="K49" s="100"/>
      <c r="L49" s="101"/>
      <c r="M49" s="100"/>
      <c r="N49" s="100"/>
      <c r="O49" s="101"/>
    </row>
    <row r="50" spans="2:15">
      <c r="B50" s="58" t="s">
        <v>1040</v>
      </c>
      <c r="C50" s="55"/>
      <c r="D50" s="100" t="s">
        <v>1037</v>
      </c>
      <c r="E50" s="100">
        <v>20</v>
      </c>
      <c r="F50" s="101">
        <v>4</v>
      </c>
      <c r="G50" s="100" t="s">
        <v>1037</v>
      </c>
      <c r="H50" s="100">
        <v>20</v>
      </c>
      <c r="I50" s="101">
        <v>4</v>
      </c>
      <c r="J50" s="100" t="s">
        <v>1037</v>
      </c>
      <c r="K50" s="100">
        <f>N50</f>
        <v>20</v>
      </c>
      <c r="L50" s="101">
        <f>O50+[65]FCRT_SPDCL!$K$8</f>
        <v>9.55112441948925</v>
      </c>
      <c r="M50" s="100" t="s">
        <v>1037</v>
      </c>
      <c r="N50" s="100">
        <v>20</v>
      </c>
      <c r="O50" s="101">
        <v>4</v>
      </c>
    </row>
    <row r="51" ht="15" spans="2:15">
      <c r="B51" s="54" t="s">
        <v>1041</v>
      </c>
      <c r="C51" s="55"/>
      <c r="D51" s="100"/>
      <c r="E51" s="100"/>
      <c r="F51" s="101"/>
      <c r="G51" s="55"/>
      <c r="H51" s="55"/>
      <c r="I51" s="55"/>
      <c r="J51" s="55"/>
      <c r="K51" s="55"/>
      <c r="L51" s="55"/>
      <c r="M51" s="55"/>
      <c r="N51" s="55"/>
      <c r="O51" s="55"/>
    </row>
    <row r="52" ht="15" spans="2:15">
      <c r="B52" s="54" t="s">
        <v>1042</v>
      </c>
      <c r="C52" s="55"/>
      <c r="D52" s="100"/>
      <c r="E52" s="100"/>
      <c r="F52" s="101"/>
      <c r="G52" s="55"/>
      <c r="H52" s="55"/>
      <c r="I52" s="55"/>
      <c r="J52" s="55"/>
      <c r="K52" s="55"/>
      <c r="L52" s="55"/>
      <c r="M52" s="55"/>
      <c r="N52" s="55"/>
      <c r="O52" s="55"/>
    </row>
    <row r="53" spans="2:15">
      <c r="B53" s="58" t="s">
        <v>1043</v>
      </c>
      <c r="C53" s="55"/>
      <c r="D53" s="100" t="s">
        <v>1003</v>
      </c>
      <c r="E53" s="100">
        <v>32</v>
      </c>
      <c r="F53" s="101">
        <v>7.1</v>
      </c>
      <c r="G53" s="100" t="s">
        <v>1003</v>
      </c>
      <c r="H53" s="100">
        <v>32</v>
      </c>
      <c r="I53" s="101">
        <v>7.1</v>
      </c>
      <c r="J53" s="100" t="s">
        <v>1003</v>
      </c>
      <c r="K53" s="100">
        <f>N53</f>
        <v>32</v>
      </c>
      <c r="L53" s="101">
        <f>O53</f>
        <v>7.1</v>
      </c>
      <c r="M53" s="100" t="s">
        <v>1003</v>
      </c>
      <c r="N53" s="100">
        <v>32</v>
      </c>
      <c r="O53" s="101">
        <v>7.1</v>
      </c>
    </row>
    <row r="54" spans="2:15">
      <c r="B54" s="58" t="s">
        <v>1044</v>
      </c>
      <c r="C54" s="55"/>
      <c r="D54" s="100" t="s">
        <v>1003</v>
      </c>
      <c r="E54" s="100">
        <v>32</v>
      </c>
      <c r="F54" s="101">
        <v>7.6</v>
      </c>
      <c r="G54" s="100" t="s">
        <v>1003</v>
      </c>
      <c r="H54" s="100">
        <v>32</v>
      </c>
      <c r="I54" s="101">
        <v>7.6</v>
      </c>
      <c r="J54" s="100" t="s">
        <v>1003</v>
      </c>
      <c r="K54" s="100">
        <f t="shared" ref="K54:K55" si="10">N54</f>
        <v>32</v>
      </c>
      <c r="L54" s="101">
        <f t="shared" ref="L54:L55" si="11">O54</f>
        <v>7.6</v>
      </c>
      <c r="M54" s="100" t="s">
        <v>1003</v>
      </c>
      <c r="N54" s="100">
        <v>32</v>
      </c>
      <c r="O54" s="101">
        <v>7.6</v>
      </c>
    </row>
    <row r="55" spans="2:15">
      <c r="B55" s="58" t="s">
        <v>1045</v>
      </c>
      <c r="C55" s="55"/>
      <c r="D55" s="100" t="s">
        <v>1003</v>
      </c>
      <c r="E55" s="100">
        <v>32</v>
      </c>
      <c r="F55" s="101">
        <v>8.1</v>
      </c>
      <c r="G55" s="100" t="s">
        <v>1003</v>
      </c>
      <c r="H55" s="100">
        <v>32</v>
      </c>
      <c r="I55" s="101">
        <v>8.1</v>
      </c>
      <c r="J55" s="100" t="s">
        <v>1003</v>
      </c>
      <c r="K55" s="100">
        <f t="shared" si="10"/>
        <v>32</v>
      </c>
      <c r="L55" s="101">
        <f t="shared" si="11"/>
        <v>8.1</v>
      </c>
      <c r="M55" s="100" t="s">
        <v>1003</v>
      </c>
      <c r="N55" s="100">
        <v>32</v>
      </c>
      <c r="O55" s="101">
        <v>8.1</v>
      </c>
    </row>
    <row r="56" ht="15" spans="2:15">
      <c r="B56" s="54" t="s">
        <v>1046</v>
      </c>
      <c r="C56" s="55"/>
      <c r="D56" s="100"/>
      <c r="E56" s="100"/>
      <c r="F56" s="101"/>
      <c r="G56" s="55"/>
      <c r="H56" s="55"/>
      <c r="I56" s="55"/>
      <c r="J56" s="55"/>
      <c r="K56" s="55"/>
      <c r="L56" s="55"/>
      <c r="M56" s="55"/>
      <c r="N56" s="55"/>
      <c r="O56" s="55"/>
    </row>
    <row r="57" ht="46.35" customHeight="1" spans="2:15">
      <c r="B57" s="58" t="s">
        <v>1043</v>
      </c>
      <c r="C57" s="55"/>
      <c r="D57" s="100" t="s">
        <v>1037</v>
      </c>
      <c r="E57" s="208" t="s">
        <v>1047</v>
      </c>
      <c r="F57" s="101">
        <v>6</v>
      </c>
      <c r="G57" s="100" t="s">
        <v>1037</v>
      </c>
      <c r="H57" s="208" t="s">
        <v>1047</v>
      </c>
      <c r="I57" s="101">
        <v>6</v>
      </c>
      <c r="J57" s="100" t="s">
        <v>1037</v>
      </c>
      <c r="K57" s="208" t="str">
        <f t="shared" ref="K57:K59" si="12">N57</f>
        <v>32/HP subject to minimum of Rs.50/month</v>
      </c>
      <c r="L57" s="101">
        <f t="shared" ref="L57:L59" si="13">O57</f>
        <v>6</v>
      </c>
      <c r="M57" s="100" t="s">
        <v>1037</v>
      </c>
      <c r="N57" s="208" t="s">
        <v>1047</v>
      </c>
      <c r="O57" s="101">
        <v>6</v>
      </c>
    </row>
    <row r="58" ht="67.7" customHeight="1" spans="2:15">
      <c r="B58" s="58" t="s">
        <v>1044</v>
      </c>
      <c r="C58" s="55"/>
      <c r="D58" s="100" t="s">
        <v>1037</v>
      </c>
      <c r="E58" s="208" t="s">
        <v>1048</v>
      </c>
      <c r="F58" s="101">
        <v>7.1</v>
      </c>
      <c r="G58" s="100" t="s">
        <v>1037</v>
      </c>
      <c r="H58" s="208" t="s">
        <v>1048</v>
      </c>
      <c r="I58" s="101">
        <v>7.1</v>
      </c>
      <c r="J58" s="100" t="s">
        <v>1037</v>
      </c>
      <c r="K58" s="208" t="str">
        <f t="shared" si="12"/>
        <v>32/HP subject to minimum of Rs.100/month</v>
      </c>
      <c r="L58" s="101">
        <f t="shared" si="13"/>
        <v>7.1</v>
      </c>
      <c r="M58" s="100" t="s">
        <v>1037</v>
      </c>
      <c r="N58" s="208" t="s">
        <v>1048</v>
      </c>
      <c r="O58" s="101">
        <v>7.1</v>
      </c>
    </row>
    <row r="59" ht="45.6" customHeight="1" spans="2:15">
      <c r="B59" s="58" t="s">
        <v>1045</v>
      </c>
      <c r="C59" s="55"/>
      <c r="D59" s="100" t="s">
        <v>1037</v>
      </c>
      <c r="E59" s="208" t="s">
        <v>1048</v>
      </c>
      <c r="F59" s="101">
        <v>7.6</v>
      </c>
      <c r="G59" s="100" t="s">
        <v>1037</v>
      </c>
      <c r="H59" s="208" t="s">
        <v>1048</v>
      </c>
      <c r="I59" s="101">
        <v>7.6</v>
      </c>
      <c r="J59" s="100" t="s">
        <v>1037</v>
      </c>
      <c r="K59" s="208" t="str">
        <f t="shared" si="12"/>
        <v>32/HP subject to minimum of Rs.100/month</v>
      </c>
      <c r="L59" s="101">
        <f t="shared" si="13"/>
        <v>7.6</v>
      </c>
      <c r="M59" s="100" t="s">
        <v>1037</v>
      </c>
      <c r="N59" s="208" t="s">
        <v>1048</v>
      </c>
      <c r="O59" s="101">
        <v>7.6</v>
      </c>
    </row>
    <row r="60" ht="15" spans="2:15">
      <c r="B60" s="54" t="s">
        <v>1049</v>
      </c>
      <c r="C60" s="55"/>
      <c r="D60" s="100"/>
      <c r="E60" s="100"/>
      <c r="F60" s="101"/>
      <c r="G60" s="55"/>
      <c r="H60" s="55"/>
      <c r="I60" s="55"/>
      <c r="J60" s="55"/>
      <c r="K60" s="55"/>
      <c r="L60" s="55"/>
      <c r="M60" s="55"/>
      <c r="N60" s="55"/>
      <c r="O60" s="55"/>
    </row>
    <row r="61" spans="2:15">
      <c r="B61" s="56" t="s">
        <v>1050</v>
      </c>
      <c r="C61" s="55"/>
      <c r="D61" s="100" t="s">
        <v>1003</v>
      </c>
      <c r="E61" s="100">
        <v>21</v>
      </c>
      <c r="F61" s="101">
        <v>8.3</v>
      </c>
      <c r="G61" s="100" t="s">
        <v>1003</v>
      </c>
      <c r="H61" s="100">
        <v>21</v>
      </c>
      <c r="I61" s="101">
        <v>8.3</v>
      </c>
      <c r="J61" s="100" t="s">
        <v>1003</v>
      </c>
      <c r="K61" s="100">
        <f t="shared" ref="K61" si="14">N61</f>
        <v>100</v>
      </c>
      <c r="L61" s="101">
        <f t="shared" ref="L61" si="15">O61</f>
        <v>8.3</v>
      </c>
      <c r="M61" s="100" t="s">
        <v>1003</v>
      </c>
      <c r="N61" s="100">
        <v>100</v>
      </c>
      <c r="O61" s="101">
        <v>8.3</v>
      </c>
    </row>
    <row r="62" spans="2:15">
      <c r="B62" s="56" t="s">
        <v>1051</v>
      </c>
      <c r="C62" s="55"/>
      <c r="D62" s="100"/>
      <c r="E62" s="100"/>
      <c r="F62" s="101"/>
      <c r="G62" s="55"/>
      <c r="H62" s="55"/>
      <c r="I62" s="55"/>
      <c r="J62" s="55"/>
      <c r="K62" s="55"/>
      <c r="L62" s="55"/>
      <c r="M62" s="55"/>
      <c r="N62" s="55"/>
      <c r="O62" s="55"/>
    </row>
    <row r="63" spans="2:15">
      <c r="B63" s="56" t="s">
        <v>1052</v>
      </c>
      <c r="C63" s="55"/>
      <c r="D63" s="100" t="s">
        <v>1003</v>
      </c>
      <c r="E63" s="100">
        <v>21</v>
      </c>
      <c r="F63" s="101">
        <v>6.4</v>
      </c>
      <c r="G63" s="100" t="s">
        <v>1003</v>
      </c>
      <c r="H63" s="100">
        <v>30</v>
      </c>
      <c r="I63" s="101">
        <v>5</v>
      </c>
      <c r="J63" s="100" t="s">
        <v>1003</v>
      </c>
      <c r="K63" s="100">
        <f t="shared" ref="K63:K66" si="16">N63</f>
        <v>100</v>
      </c>
      <c r="L63" s="101">
        <f t="shared" ref="L63:L66" si="17">O63</f>
        <v>5</v>
      </c>
      <c r="M63" s="100" t="s">
        <v>1003</v>
      </c>
      <c r="N63" s="100">
        <v>100</v>
      </c>
      <c r="O63" s="101">
        <v>5</v>
      </c>
    </row>
    <row r="64" spans="2:15">
      <c r="B64" s="56" t="s">
        <v>1053</v>
      </c>
      <c r="C64" s="55"/>
      <c r="D64" s="100" t="s">
        <v>1003</v>
      </c>
      <c r="E64" s="100">
        <v>21</v>
      </c>
      <c r="F64" s="101">
        <v>7</v>
      </c>
      <c r="G64" s="100" t="s">
        <v>1003</v>
      </c>
      <c r="H64" s="100">
        <v>30</v>
      </c>
      <c r="I64" s="101">
        <v>5</v>
      </c>
      <c r="J64" s="100" t="s">
        <v>1003</v>
      </c>
      <c r="K64" s="100">
        <f t="shared" si="16"/>
        <v>100</v>
      </c>
      <c r="L64" s="101">
        <f t="shared" si="17"/>
        <v>5</v>
      </c>
      <c r="M64" s="100" t="s">
        <v>1003</v>
      </c>
      <c r="N64" s="100">
        <v>100</v>
      </c>
      <c r="O64" s="101">
        <v>5</v>
      </c>
    </row>
    <row r="65" ht="15" spans="2:15">
      <c r="B65" s="54" t="s">
        <v>1054</v>
      </c>
      <c r="C65" s="55"/>
      <c r="D65" s="100" t="s">
        <v>1003</v>
      </c>
      <c r="E65" s="100">
        <v>21</v>
      </c>
      <c r="F65" s="101">
        <v>12</v>
      </c>
      <c r="G65" s="100" t="s">
        <v>1003</v>
      </c>
      <c r="H65" s="100">
        <v>21</v>
      </c>
      <c r="I65" s="101">
        <v>12</v>
      </c>
      <c r="J65" s="100" t="s">
        <v>1003</v>
      </c>
      <c r="K65" s="100">
        <f t="shared" si="16"/>
        <v>100</v>
      </c>
      <c r="L65" s="101">
        <f t="shared" si="17"/>
        <v>12</v>
      </c>
      <c r="M65" s="100" t="s">
        <v>1003</v>
      </c>
      <c r="N65" s="100">
        <v>100</v>
      </c>
      <c r="O65" s="101">
        <v>12</v>
      </c>
    </row>
    <row r="66" ht="15" spans="2:15">
      <c r="B66" s="54" t="s">
        <v>1055</v>
      </c>
      <c r="C66" s="55"/>
      <c r="D66" s="100" t="s">
        <v>1003</v>
      </c>
      <c r="E66" s="100">
        <v>50</v>
      </c>
      <c r="F66" s="101">
        <v>6</v>
      </c>
      <c r="G66" s="100" t="s">
        <v>1003</v>
      </c>
      <c r="H66" s="100">
        <v>50</v>
      </c>
      <c r="I66" s="101">
        <v>6</v>
      </c>
      <c r="J66" s="100" t="s">
        <v>1003</v>
      </c>
      <c r="K66" s="100">
        <f t="shared" si="16"/>
        <v>0</v>
      </c>
      <c r="L66" s="101">
        <f t="shared" si="17"/>
        <v>6</v>
      </c>
      <c r="M66" s="100" t="s">
        <v>1003</v>
      </c>
      <c r="N66" s="100">
        <v>0</v>
      </c>
      <c r="O66" s="101">
        <v>6</v>
      </c>
    </row>
    <row r="67" ht="15" spans="2:15">
      <c r="B67" s="54"/>
      <c r="C67" s="55"/>
      <c r="D67" s="55"/>
      <c r="E67" s="55"/>
      <c r="F67" s="147"/>
      <c r="G67" s="55"/>
      <c r="H67" s="55"/>
      <c r="I67" s="55"/>
      <c r="J67" s="55"/>
      <c r="K67" s="55"/>
      <c r="L67" s="55"/>
      <c r="M67" s="55"/>
      <c r="N67" s="55"/>
      <c r="O67" s="55"/>
    </row>
    <row r="68" ht="15" spans="2:15">
      <c r="B68" s="66"/>
      <c r="C68" s="67"/>
      <c r="D68" s="55"/>
      <c r="E68" s="55"/>
      <c r="F68" s="147"/>
      <c r="G68" s="55"/>
      <c r="H68" s="55"/>
      <c r="I68" s="55"/>
      <c r="J68" s="55"/>
      <c r="K68" s="55"/>
      <c r="L68" s="55"/>
      <c r="M68" s="55"/>
      <c r="N68" s="55"/>
      <c r="O68" s="55"/>
    </row>
    <row r="69" ht="15" spans="2:15">
      <c r="B69" s="70" t="s">
        <v>907</v>
      </c>
      <c r="C69" s="70"/>
      <c r="D69" s="55"/>
      <c r="E69" s="55"/>
      <c r="F69" s="147"/>
      <c r="G69" s="55"/>
      <c r="H69" s="55"/>
      <c r="I69" s="55"/>
      <c r="J69" s="55"/>
      <c r="K69" s="55"/>
      <c r="L69" s="55"/>
      <c r="M69" s="55"/>
      <c r="N69" s="55"/>
      <c r="O69" s="55"/>
    </row>
    <row r="70" ht="15" spans="2:15">
      <c r="B70" s="54" t="s">
        <v>1056</v>
      </c>
      <c r="C70" s="55"/>
      <c r="D70" s="55"/>
      <c r="E70" s="55"/>
      <c r="F70" s="147"/>
      <c r="G70" s="55"/>
      <c r="H70" s="55"/>
      <c r="I70" s="55"/>
      <c r="J70" s="55"/>
      <c r="K70" s="55"/>
      <c r="L70" s="55"/>
      <c r="M70" s="55"/>
      <c r="N70" s="55"/>
      <c r="O70" s="55"/>
    </row>
    <row r="71" spans="2:15">
      <c r="B71" s="210" t="s">
        <v>1057</v>
      </c>
      <c r="C71" s="72"/>
      <c r="D71" s="100" t="s">
        <v>1058</v>
      </c>
      <c r="E71" s="100">
        <v>475</v>
      </c>
      <c r="F71" s="101">
        <v>7.65</v>
      </c>
      <c r="G71" s="100" t="s">
        <v>1058</v>
      </c>
      <c r="H71" s="100">
        <v>475</v>
      </c>
      <c r="I71" s="101">
        <v>7.65</v>
      </c>
      <c r="J71" s="100" t="s">
        <v>1058</v>
      </c>
      <c r="K71" s="100">
        <f t="shared" ref="K71:K73" si="18">N71</f>
        <v>500</v>
      </c>
      <c r="L71" s="101">
        <f t="shared" ref="L71:L77" si="19">O71</f>
        <v>7.65</v>
      </c>
      <c r="M71" s="100" t="s">
        <v>1058</v>
      </c>
      <c r="N71" s="153">
        <v>500</v>
      </c>
      <c r="O71" s="101">
        <v>7.65</v>
      </c>
    </row>
    <row r="72" spans="2:15">
      <c r="B72" s="210" t="s">
        <v>1059</v>
      </c>
      <c r="C72" s="72"/>
      <c r="D72" s="100" t="s">
        <v>1058</v>
      </c>
      <c r="E72" s="100">
        <v>475</v>
      </c>
      <c r="F72" s="101">
        <v>7.15</v>
      </c>
      <c r="G72" s="100" t="s">
        <v>1058</v>
      </c>
      <c r="H72" s="100">
        <v>475</v>
      </c>
      <c r="I72" s="101">
        <v>7.15</v>
      </c>
      <c r="J72" s="100" t="s">
        <v>1058</v>
      </c>
      <c r="K72" s="100">
        <f t="shared" si="18"/>
        <v>500</v>
      </c>
      <c r="L72" s="101">
        <f t="shared" si="19"/>
        <v>7.65</v>
      </c>
      <c r="M72" s="100" t="s">
        <v>1058</v>
      </c>
      <c r="N72" s="153">
        <v>500</v>
      </c>
      <c r="O72" s="101">
        <v>7.65</v>
      </c>
    </row>
    <row r="73" spans="2:15">
      <c r="B73" s="210" t="s">
        <v>1060</v>
      </c>
      <c r="C73" s="72"/>
      <c r="D73" s="100" t="s">
        <v>1058</v>
      </c>
      <c r="E73" s="100">
        <v>475</v>
      </c>
      <c r="F73" s="101">
        <v>6.65</v>
      </c>
      <c r="G73" s="100" t="s">
        <v>1058</v>
      </c>
      <c r="H73" s="100">
        <v>475</v>
      </c>
      <c r="I73" s="101">
        <v>6.65</v>
      </c>
      <c r="J73" s="100" t="s">
        <v>1058</v>
      </c>
      <c r="K73" s="100">
        <f t="shared" si="18"/>
        <v>500</v>
      </c>
      <c r="L73" s="101">
        <f t="shared" si="19"/>
        <v>7.65</v>
      </c>
      <c r="M73" s="100" t="s">
        <v>1058</v>
      </c>
      <c r="N73" s="153">
        <v>500</v>
      </c>
      <c r="O73" s="101">
        <v>7.65</v>
      </c>
    </row>
    <row r="74" ht="15" spans="2:15">
      <c r="B74" s="54" t="s">
        <v>1061</v>
      </c>
      <c r="C74" s="55"/>
      <c r="D74" s="100"/>
      <c r="E74" s="100"/>
      <c r="F74" s="101"/>
      <c r="G74" s="55"/>
      <c r="H74" s="55"/>
      <c r="I74" s="55"/>
      <c r="J74" s="55"/>
      <c r="K74" s="55"/>
      <c r="L74" s="55"/>
      <c r="M74" s="55"/>
      <c r="N74" s="55"/>
      <c r="O74" s="55"/>
    </row>
    <row r="75" spans="2:15">
      <c r="B75" s="210" t="s">
        <v>1057</v>
      </c>
      <c r="C75" s="55"/>
      <c r="D75" s="100"/>
      <c r="E75" s="100"/>
      <c r="F75" s="101">
        <v>7.65</v>
      </c>
      <c r="G75" s="55"/>
      <c r="H75" s="55"/>
      <c r="I75" s="101">
        <v>7.65</v>
      </c>
      <c r="J75" s="55"/>
      <c r="K75" s="55"/>
      <c r="L75" s="101">
        <f t="shared" si="19"/>
        <v>7.65</v>
      </c>
      <c r="M75" s="55"/>
      <c r="N75" s="55"/>
      <c r="O75" s="101">
        <v>7.65</v>
      </c>
    </row>
    <row r="76" spans="2:15">
      <c r="B76" s="210" t="s">
        <v>1059</v>
      </c>
      <c r="C76" s="55"/>
      <c r="D76" s="100"/>
      <c r="E76" s="100"/>
      <c r="F76" s="101">
        <v>7.15</v>
      </c>
      <c r="G76" s="55"/>
      <c r="H76" s="55"/>
      <c r="I76" s="101">
        <v>7.15</v>
      </c>
      <c r="J76" s="55"/>
      <c r="K76" s="55"/>
      <c r="L76" s="101">
        <f t="shared" si="19"/>
        <v>7.65</v>
      </c>
      <c r="M76" s="55"/>
      <c r="N76" s="55"/>
      <c r="O76" s="101">
        <v>7.65</v>
      </c>
    </row>
    <row r="77" spans="2:15">
      <c r="B77" s="210" t="s">
        <v>1060</v>
      </c>
      <c r="C77" s="55"/>
      <c r="D77" s="100"/>
      <c r="E77" s="100"/>
      <c r="F77" s="101">
        <v>6.65</v>
      </c>
      <c r="G77" s="55"/>
      <c r="H77" s="55"/>
      <c r="I77" s="101">
        <v>6.65</v>
      </c>
      <c r="J77" s="55"/>
      <c r="K77" s="55"/>
      <c r="L77" s="101">
        <f t="shared" si="19"/>
        <v>7.65</v>
      </c>
      <c r="M77" s="55"/>
      <c r="N77" s="55"/>
      <c r="O77" s="101">
        <v>7.65</v>
      </c>
    </row>
    <row r="78" ht="15" spans="2:15">
      <c r="B78" s="54" t="s">
        <v>1062</v>
      </c>
      <c r="C78" s="55"/>
      <c r="D78" s="100"/>
      <c r="E78" s="100"/>
      <c r="F78" s="101"/>
      <c r="G78" s="55"/>
      <c r="H78" s="55"/>
      <c r="I78" s="55"/>
      <c r="J78" s="55"/>
      <c r="K78" s="55"/>
      <c r="L78" s="55"/>
      <c r="M78" s="55"/>
      <c r="N78" s="55"/>
      <c r="O78" s="55"/>
    </row>
    <row r="79" spans="2:15">
      <c r="B79" s="210" t="s">
        <v>1057</v>
      </c>
      <c r="C79" s="55"/>
      <c r="D79" s="100" t="s">
        <v>1058</v>
      </c>
      <c r="E79" s="100">
        <v>475</v>
      </c>
      <c r="F79" s="101">
        <v>7.65</v>
      </c>
      <c r="G79" s="100" t="s">
        <v>1058</v>
      </c>
      <c r="H79" s="100">
        <v>475</v>
      </c>
      <c r="I79" s="101">
        <v>7.65</v>
      </c>
      <c r="J79" s="100" t="s">
        <v>1058</v>
      </c>
      <c r="K79" s="100">
        <f t="shared" ref="K79:K80" si="20">N79</f>
        <v>500</v>
      </c>
      <c r="L79" s="101">
        <f t="shared" ref="L79:L84" si="21">O79</f>
        <v>7.65</v>
      </c>
      <c r="M79" s="100" t="s">
        <v>1058</v>
      </c>
      <c r="N79" s="100">
        <v>500</v>
      </c>
      <c r="O79" s="101">
        <v>7.65</v>
      </c>
    </row>
    <row r="80" spans="2:15">
      <c r="B80" s="210" t="s">
        <v>1059</v>
      </c>
      <c r="C80" s="55"/>
      <c r="D80" s="100" t="s">
        <v>1058</v>
      </c>
      <c r="E80" s="100">
        <v>475</v>
      </c>
      <c r="F80" s="101">
        <v>7.15</v>
      </c>
      <c r="G80" s="100" t="s">
        <v>1058</v>
      </c>
      <c r="H80" s="100">
        <v>475</v>
      </c>
      <c r="I80" s="101">
        <v>7.15</v>
      </c>
      <c r="J80" s="100" t="s">
        <v>1058</v>
      </c>
      <c r="K80" s="100">
        <f t="shared" si="20"/>
        <v>500</v>
      </c>
      <c r="L80" s="101">
        <f t="shared" si="21"/>
        <v>7.65</v>
      </c>
      <c r="M80" s="100" t="s">
        <v>1058</v>
      </c>
      <c r="N80" s="100">
        <v>500</v>
      </c>
      <c r="O80" s="101">
        <v>7.65</v>
      </c>
    </row>
    <row r="81" ht="15" spans="2:15">
      <c r="B81" s="54" t="s">
        <v>1063</v>
      </c>
      <c r="C81" s="55"/>
      <c r="D81" s="100"/>
      <c r="F81" s="101"/>
      <c r="G81" s="55"/>
      <c r="H81" s="55"/>
      <c r="I81" s="55"/>
      <c r="J81" s="55"/>
      <c r="K81" s="55"/>
      <c r="L81" s="55"/>
      <c r="M81" s="55"/>
      <c r="N81" s="55"/>
      <c r="O81" s="55"/>
    </row>
    <row r="82" spans="2:15">
      <c r="B82" s="210" t="s">
        <v>1057</v>
      </c>
      <c r="C82" s="55"/>
      <c r="D82" s="100"/>
      <c r="E82" s="100"/>
      <c r="F82" s="101">
        <v>7.3</v>
      </c>
      <c r="G82" s="55"/>
      <c r="H82" s="55"/>
      <c r="I82" s="101">
        <v>7.3</v>
      </c>
      <c r="J82" s="55"/>
      <c r="K82" s="55"/>
      <c r="L82" s="101">
        <f t="shared" si="21"/>
        <v>7.3</v>
      </c>
      <c r="M82" s="55"/>
      <c r="N82" s="55"/>
      <c r="O82" s="101">
        <v>7.3</v>
      </c>
    </row>
    <row r="83" spans="2:15">
      <c r="B83" s="210" t="s">
        <v>1059</v>
      </c>
      <c r="C83" s="55"/>
      <c r="D83" s="100"/>
      <c r="E83" s="100"/>
      <c r="F83" s="101">
        <v>7.3</v>
      </c>
      <c r="G83" s="55"/>
      <c r="H83" s="55"/>
      <c r="I83" s="101">
        <v>7.3</v>
      </c>
      <c r="J83" s="55"/>
      <c r="K83" s="55"/>
      <c r="L83" s="101">
        <f t="shared" si="21"/>
        <v>7.3</v>
      </c>
      <c r="M83" s="55"/>
      <c r="N83" s="55"/>
      <c r="O83" s="101">
        <v>7.3</v>
      </c>
    </row>
    <row r="84" spans="2:15">
      <c r="B84" s="210" t="s">
        <v>1060</v>
      </c>
      <c r="C84" s="55"/>
      <c r="D84" s="100"/>
      <c r="E84" s="100"/>
      <c r="F84" s="101">
        <v>7.3</v>
      </c>
      <c r="G84" s="55"/>
      <c r="H84" s="55"/>
      <c r="I84" s="101">
        <v>7.3</v>
      </c>
      <c r="J84" s="55"/>
      <c r="K84" s="55"/>
      <c r="L84" s="101">
        <f t="shared" si="21"/>
        <v>7.3</v>
      </c>
      <c r="M84" s="55"/>
      <c r="N84" s="55"/>
      <c r="O84" s="101">
        <v>7.3</v>
      </c>
    </row>
    <row r="85" ht="15" spans="2:15">
      <c r="B85" s="54" t="s">
        <v>1064</v>
      </c>
      <c r="C85" s="55"/>
      <c r="D85" s="100"/>
      <c r="E85" s="100"/>
      <c r="F85" s="101"/>
      <c r="G85" s="55"/>
      <c r="H85" s="55"/>
      <c r="I85" s="55"/>
      <c r="J85" s="55"/>
      <c r="K85" s="55"/>
      <c r="L85" s="55"/>
      <c r="M85" s="55"/>
      <c r="N85" s="55"/>
      <c r="O85" s="55"/>
    </row>
    <row r="86" spans="2:15">
      <c r="B86" s="210" t="s">
        <v>1057</v>
      </c>
      <c r="C86" s="55"/>
      <c r="D86" s="100" t="s">
        <v>1058</v>
      </c>
      <c r="E86" s="100">
        <v>475</v>
      </c>
      <c r="F86" s="101">
        <v>8.6</v>
      </c>
      <c r="G86" s="100" t="s">
        <v>1058</v>
      </c>
      <c r="H86" s="100">
        <v>475</v>
      </c>
      <c r="I86" s="101">
        <v>8.6</v>
      </c>
      <c r="J86" s="100" t="s">
        <v>1058</v>
      </c>
      <c r="K86" s="100">
        <f t="shared" ref="K86:K88" si="22">N86</f>
        <v>500</v>
      </c>
      <c r="L86" s="101">
        <f t="shared" ref="L86:L88" si="23">O86</f>
        <v>8.6</v>
      </c>
      <c r="M86" s="100" t="s">
        <v>1058</v>
      </c>
      <c r="N86" s="100">
        <v>500</v>
      </c>
      <c r="O86" s="101">
        <v>8.6</v>
      </c>
    </row>
    <row r="87" spans="2:15">
      <c r="B87" s="210" t="s">
        <v>1059</v>
      </c>
      <c r="C87" s="55"/>
      <c r="D87" s="100" t="s">
        <v>1058</v>
      </c>
      <c r="E87" s="100">
        <v>475</v>
      </c>
      <c r="F87" s="101">
        <v>7.9</v>
      </c>
      <c r="G87" s="100" t="s">
        <v>1058</v>
      </c>
      <c r="H87" s="100">
        <v>475</v>
      </c>
      <c r="I87" s="101">
        <v>7.9</v>
      </c>
      <c r="J87" s="100" t="s">
        <v>1058</v>
      </c>
      <c r="K87" s="100">
        <f t="shared" si="22"/>
        <v>500</v>
      </c>
      <c r="L87" s="101">
        <f t="shared" si="23"/>
        <v>8.6</v>
      </c>
      <c r="M87" s="100" t="s">
        <v>1058</v>
      </c>
      <c r="N87" s="100">
        <v>500</v>
      </c>
      <c r="O87" s="101">
        <v>8.6</v>
      </c>
    </row>
    <row r="88" spans="2:15">
      <c r="B88" s="210" t="s">
        <v>1060</v>
      </c>
      <c r="C88" s="55"/>
      <c r="D88" s="100" t="s">
        <v>1058</v>
      </c>
      <c r="E88" s="100">
        <v>475</v>
      </c>
      <c r="F88" s="101">
        <v>7.7</v>
      </c>
      <c r="G88" s="100" t="s">
        <v>1058</v>
      </c>
      <c r="H88" s="100">
        <v>475</v>
      </c>
      <c r="I88" s="101">
        <v>7.7</v>
      </c>
      <c r="J88" s="100" t="s">
        <v>1058</v>
      </c>
      <c r="K88" s="100">
        <f t="shared" si="22"/>
        <v>500</v>
      </c>
      <c r="L88" s="101">
        <f t="shared" si="23"/>
        <v>8.6</v>
      </c>
      <c r="M88" s="100" t="s">
        <v>1058</v>
      </c>
      <c r="N88" s="100">
        <v>500</v>
      </c>
      <c r="O88" s="101">
        <v>8.6</v>
      </c>
    </row>
    <row r="89" ht="15" spans="2:15">
      <c r="B89" s="54" t="s">
        <v>1065</v>
      </c>
      <c r="C89" s="55"/>
      <c r="D89" s="100"/>
      <c r="E89" s="100"/>
      <c r="F89" s="101"/>
      <c r="G89" s="55"/>
      <c r="H89" s="55"/>
      <c r="I89" s="55"/>
      <c r="J89" s="55"/>
      <c r="K89" s="55"/>
      <c r="L89" s="55"/>
      <c r="M89" s="55"/>
      <c r="N89" s="55"/>
      <c r="O89" s="55"/>
    </row>
    <row r="90" spans="2:15">
      <c r="B90" s="210" t="s">
        <v>1057</v>
      </c>
      <c r="C90" s="55"/>
      <c r="D90" s="100" t="s">
        <v>1058</v>
      </c>
      <c r="E90" s="100">
        <v>100</v>
      </c>
      <c r="F90" s="101">
        <v>8</v>
      </c>
      <c r="G90" s="100" t="s">
        <v>1058</v>
      </c>
      <c r="H90" s="100">
        <v>100</v>
      </c>
      <c r="I90" s="101">
        <v>8</v>
      </c>
      <c r="J90" s="100" t="s">
        <v>1058</v>
      </c>
      <c r="K90" s="100">
        <f t="shared" ref="K90" si="24">N90</f>
        <v>100</v>
      </c>
      <c r="L90" s="101">
        <f t="shared" ref="L90" si="25">O90</f>
        <v>8</v>
      </c>
      <c r="M90" s="100" t="s">
        <v>1058</v>
      </c>
      <c r="N90" s="100">
        <v>100</v>
      </c>
      <c r="O90" s="101">
        <v>8</v>
      </c>
    </row>
    <row r="91" ht="15" spans="2:15">
      <c r="B91" s="54" t="s">
        <v>1066</v>
      </c>
      <c r="C91" s="55"/>
      <c r="D91" s="100"/>
      <c r="E91" s="100"/>
      <c r="F91" s="101"/>
      <c r="G91" s="55"/>
      <c r="H91" s="55"/>
      <c r="I91" s="55"/>
      <c r="J91" s="55"/>
      <c r="K91" s="55"/>
      <c r="L91" s="55"/>
      <c r="M91" s="55"/>
      <c r="N91" s="55"/>
      <c r="O91" s="55"/>
    </row>
    <row r="92" spans="2:15">
      <c r="B92" s="210" t="s">
        <v>1057</v>
      </c>
      <c r="C92" s="55"/>
      <c r="D92" s="100" t="s">
        <v>1058</v>
      </c>
      <c r="E92" s="100">
        <v>475</v>
      </c>
      <c r="F92" s="101">
        <v>7.65</v>
      </c>
      <c r="G92" s="100" t="s">
        <v>1058</v>
      </c>
      <c r="H92" s="100">
        <v>475</v>
      </c>
      <c r="I92" s="101">
        <v>7.65</v>
      </c>
      <c r="J92" s="100" t="s">
        <v>1058</v>
      </c>
      <c r="K92" s="100">
        <f t="shared" ref="K92:K94" si="26">N92</f>
        <v>500</v>
      </c>
      <c r="L92" s="101">
        <f t="shared" ref="L92:L94" si="27">O92</f>
        <v>7.65</v>
      </c>
      <c r="M92" s="100" t="s">
        <v>1058</v>
      </c>
      <c r="N92" s="100">
        <v>500</v>
      </c>
      <c r="O92" s="101">
        <v>7.65</v>
      </c>
    </row>
    <row r="93" spans="2:15">
      <c r="B93" s="210" t="s">
        <v>1059</v>
      </c>
      <c r="C93" s="55"/>
      <c r="D93" s="100" t="s">
        <v>1058</v>
      </c>
      <c r="E93" s="100">
        <v>475</v>
      </c>
      <c r="F93" s="101">
        <v>7.15</v>
      </c>
      <c r="G93" s="100" t="s">
        <v>1058</v>
      </c>
      <c r="H93" s="100">
        <v>475</v>
      </c>
      <c r="I93" s="101">
        <v>7.15</v>
      </c>
      <c r="J93" s="100" t="s">
        <v>1058</v>
      </c>
      <c r="K93" s="100">
        <f t="shared" si="26"/>
        <v>500</v>
      </c>
      <c r="L93" s="101">
        <f t="shared" si="27"/>
        <v>7.65</v>
      </c>
      <c r="M93" s="100" t="s">
        <v>1058</v>
      </c>
      <c r="N93" s="100">
        <v>500</v>
      </c>
      <c r="O93" s="101">
        <v>7.65</v>
      </c>
    </row>
    <row r="94" spans="2:15">
      <c r="B94" s="210" t="s">
        <v>1060</v>
      </c>
      <c r="C94" s="55"/>
      <c r="D94" s="100" t="s">
        <v>1058</v>
      </c>
      <c r="E94" s="100">
        <v>475</v>
      </c>
      <c r="F94" s="101">
        <v>6.65</v>
      </c>
      <c r="G94" s="100" t="s">
        <v>1058</v>
      </c>
      <c r="H94" s="100">
        <v>475</v>
      </c>
      <c r="I94" s="101">
        <v>6.65</v>
      </c>
      <c r="J94" s="100" t="s">
        <v>1058</v>
      </c>
      <c r="K94" s="100">
        <f t="shared" si="26"/>
        <v>500</v>
      </c>
      <c r="L94" s="101">
        <f t="shared" si="27"/>
        <v>7.65</v>
      </c>
      <c r="M94" s="100" t="s">
        <v>1058</v>
      </c>
      <c r="N94" s="100">
        <v>500</v>
      </c>
      <c r="O94" s="101">
        <v>7.65</v>
      </c>
    </row>
    <row r="95" ht="15" spans="2:15">
      <c r="B95" s="54" t="s">
        <v>1067</v>
      </c>
      <c r="C95" s="55"/>
      <c r="D95" s="100"/>
      <c r="E95" s="100"/>
      <c r="F95" s="101"/>
      <c r="G95" s="55"/>
      <c r="H95" s="55"/>
      <c r="I95" s="55"/>
      <c r="J95" s="55"/>
      <c r="K95" s="55"/>
      <c r="L95" s="55"/>
      <c r="M95" s="55"/>
      <c r="N95" s="55"/>
      <c r="O95" s="55"/>
    </row>
    <row r="96" spans="2:15">
      <c r="B96" s="210" t="s">
        <v>1057</v>
      </c>
      <c r="C96" s="55"/>
      <c r="D96" s="100" t="s">
        <v>1058</v>
      </c>
      <c r="E96" s="100">
        <v>475</v>
      </c>
      <c r="F96" s="101">
        <v>8.8</v>
      </c>
      <c r="G96" s="100" t="s">
        <v>1058</v>
      </c>
      <c r="H96" s="100">
        <v>475</v>
      </c>
      <c r="I96" s="101">
        <v>8.8</v>
      </c>
      <c r="J96" s="100" t="s">
        <v>1058</v>
      </c>
      <c r="K96" s="100">
        <f t="shared" ref="K96:K98" si="28">N96</f>
        <v>500</v>
      </c>
      <c r="L96" s="101">
        <f t="shared" ref="L96:L98" si="29">O96</f>
        <v>8.8</v>
      </c>
      <c r="M96" s="100" t="s">
        <v>1058</v>
      </c>
      <c r="N96" s="100">
        <v>500</v>
      </c>
      <c r="O96" s="101">
        <v>8.8</v>
      </c>
    </row>
    <row r="97" spans="2:15">
      <c r="B97" s="210" t="s">
        <v>1059</v>
      </c>
      <c r="C97" s="55"/>
      <c r="D97" s="100" t="s">
        <v>1058</v>
      </c>
      <c r="E97" s="100">
        <v>475</v>
      </c>
      <c r="F97" s="101">
        <v>8</v>
      </c>
      <c r="G97" s="100" t="s">
        <v>1058</v>
      </c>
      <c r="H97" s="100">
        <v>475</v>
      </c>
      <c r="I97" s="101">
        <v>8</v>
      </c>
      <c r="J97" s="100" t="s">
        <v>1058</v>
      </c>
      <c r="K97" s="100">
        <f t="shared" si="28"/>
        <v>500</v>
      </c>
      <c r="L97" s="101">
        <f t="shared" si="29"/>
        <v>8.8</v>
      </c>
      <c r="M97" s="100" t="s">
        <v>1058</v>
      </c>
      <c r="N97" s="100">
        <v>500</v>
      </c>
      <c r="O97" s="101">
        <v>8.8</v>
      </c>
    </row>
    <row r="98" spans="2:15">
      <c r="B98" s="210" t="s">
        <v>1060</v>
      </c>
      <c r="C98" s="55"/>
      <c r="D98" s="100" t="s">
        <v>1058</v>
      </c>
      <c r="E98" s="100">
        <v>475</v>
      </c>
      <c r="F98" s="101">
        <v>7.8</v>
      </c>
      <c r="G98" s="100" t="s">
        <v>1058</v>
      </c>
      <c r="H98" s="100">
        <v>475</v>
      </c>
      <c r="I98" s="101">
        <v>7.8</v>
      </c>
      <c r="J98" s="100" t="s">
        <v>1058</v>
      </c>
      <c r="K98" s="100">
        <f t="shared" si="28"/>
        <v>500</v>
      </c>
      <c r="L98" s="101">
        <f t="shared" si="29"/>
        <v>8.8</v>
      </c>
      <c r="M98" s="100" t="s">
        <v>1058</v>
      </c>
      <c r="N98" s="100">
        <v>500</v>
      </c>
      <c r="O98" s="101">
        <v>8.8</v>
      </c>
    </row>
    <row r="99" ht="15" spans="2:15">
      <c r="B99" s="54" t="s">
        <v>1068</v>
      </c>
      <c r="C99" s="55"/>
      <c r="D99" s="100"/>
      <c r="E99" s="100"/>
      <c r="F99" s="101"/>
      <c r="G99" s="55"/>
      <c r="H99" s="55"/>
      <c r="I99" s="55"/>
      <c r="J99" s="55"/>
      <c r="K99" s="55"/>
      <c r="L99" s="55"/>
      <c r="M99" s="55"/>
      <c r="N99" s="55"/>
      <c r="O99" s="55"/>
    </row>
    <row r="100" spans="2:15">
      <c r="B100" s="210" t="s">
        <v>1057</v>
      </c>
      <c r="C100" s="55"/>
      <c r="D100" s="100"/>
      <c r="E100" s="100"/>
      <c r="F100" s="101"/>
      <c r="G100" s="100" t="s">
        <v>1058</v>
      </c>
      <c r="H100" s="100">
        <v>260</v>
      </c>
      <c r="I100" s="101">
        <v>5</v>
      </c>
      <c r="J100" s="100" t="s">
        <v>1058</v>
      </c>
      <c r="K100" s="100">
        <f t="shared" ref="K100:K102" si="30">N100</f>
        <v>300</v>
      </c>
      <c r="L100" s="101">
        <f t="shared" ref="L100:L102" si="31">O100</f>
        <v>5</v>
      </c>
      <c r="M100" s="100" t="s">
        <v>1058</v>
      </c>
      <c r="N100" s="100">
        <v>300</v>
      </c>
      <c r="O100" s="101">
        <v>5</v>
      </c>
    </row>
    <row r="101" spans="2:15">
      <c r="B101" s="210" t="s">
        <v>1059</v>
      </c>
      <c r="C101" s="55"/>
      <c r="D101" s="100"/>
      <c r="E101" s="100"/>
      <c r="F101" s="101"/>
      <c r="G101" s="100" t="s">
        <v>1058</v>
      </c>
      <c r="H101" s="100">
        <v>260</v>
      </c>
      <c r="I101" s="101">
        <v>5</v>
      </c>
      <c r="J101" s="100" t="s">
        <v>1058</v>
      </c>
      <c r="K101" s="100">
        <f t="shared" si="30"/>
        <v>300</v>
      </c>
      <c r="L101" s="101">
        <f t="shared" si="31"/>
        <v>5</v>
      </c>
      <c r="M101" s="100" t="s">
        <v>1058</v>
      </c>
      <c r="N101" s="100">
        <v>300</v>
      </c>
      <c r="O101" s="101">
        <v>5</v>
      </c>
    </row>
    <row r="102" spans="2:15">
      <c r="B102" s="210" t="s">
        <v>1060</v>
      </c>
      <c r="C102" s="55"/>
      <c r="D102" s="100"/>
      <c r="E102" s="100"/>
      <c r="F102" s="101"/>
      <c r="G102" s="100" t="s">
        <v>1058</v>
      </c>
      <c r="H102" s="100">
        <v>260</v>
      </c>
      <c r="I102" s="101">
        <v>5</v>
      </c>
      <c r="J102" s="100" t="s">
        <v>1058</v>
      </c>
      <c r="K102" s="100">
        <f t="shared" si="30"/>
        <v>300</v>
      </c>
      <c r="L102" s="101">
        <f t="shared" si="31"/>
        <v>5</v>
      </c>
      <c r="M102" s="100" t="s">
        <v>1058</v>
      </c>
      <c r="N102" s="100">
        <v>300</v>
      </c>
      <c r="O102" s="101">
        <v>5</v>
      </c>
    </row>
    <row r="103" ht="15" spans="2:15">
      <c r="B103" s="54" t="s">
        <v>1069</v>
      </c>
      <c r="C103" s="55"/>
      <c r="D103" s="100"/>
      <c r="E103" s="100"/>
      <c r="F103" s="101"/>
      <c r="G103" s="55"/>
      <c r="H103" s="55"/>
      <c r="I103" s="55"/>
      <c r="J103" s="55"/>
      <c r="K103" s="55"/>
      <c r="L103" s="55"/>
      <c r="M103" s="55"/>
      <c r="N103" s="55"/>
      <c r="O103" s="55"/>
    </row>
    <row r="104" spans="2:15">
      <c r="B104" s="210" t="s">
        <v>1057</v>
      </c>
      <c r="C104" s="55"/>
      <c r="D104" s="100" t="s">
        <v>1058</v>
      </c>
      <c r="E104" s="100">
        <v>475</v>
      </c>
      <c r="F104" s="101">
        <v>8.5</v>
      </c>
      <c r="G104" s="100" t="s">
        <v>1058</v>
      </c>
      <c r="H104" s="100">
        <v>475</v>
      </c>
      <c r="I104" s="101">
        <v>8.5</v>
      </c>
      <c r="J104" s="100" t="s">
        <v>1058</v>
      </c>
      <c r="K104" s="100">
        <f t="shared" ref="K104:K106" si="32">N104</f>
        <v>500</v>
      </c>
      <c r="L104" s="101">
        <f t="shared" ref="L104:L106" si="33">O104</f>
        <v>8.8</v>
      </c>
      <c r="M104" s="100" t="s">
        <v>1058</v>
      </c>
      <c r="N104" s="100">
        <v>500</v>
      </c>
      <c r="O104" s="101">
        <v>8.8</v>
      </c>
    </row>
    <row r="105" spans="2:15">
      <c r="B105" s="210" t="s">
        <v>1059</v>
      </c>
      <c r="C105" s="55"/>
      <c r="D105" s="100" t="s">
        <v>1058</v>
      </c>
      <c r="E105" s="100">
        <v>475</v>
      </c>
      <c r="F105" s="101">
        <v>7.85</v>
      </c>
      <c r="G105" s="100" t="s">
        <v>1058</v>
      </c>
      <c r="H105" s="100">
        <v>475</v>
      </c>
      <c r="I105" s="101">
        <v>7.85</v>
      </c>
      <c r="J105" s="100" t="s">
        <v>1058</v>
      </c>
      <c r="K105" s="100">
        <f t="shared" si="32"/>
        <v>500</v>
      </c>
      <c r="L105" s="101">
        <f t="shared" si="33"/>
        <v>8.8</v>
      </c>
      <c r="M105" s="100" t="s">
        <v>1058</v>
      </c>
      <c r="N105" s="100">
        <v>500</v>
      </c>
      <c r="O105" s="101">
        <v>8.8</v>
      </c>
    </row>
    <row r="106" spans="2:15">
      <c r="B106" s="210" t="s">
        <v>1060</v>
      </c>
      <c r="C106" s="55"/>
      <c r="D106" s="100" t="s">
        <v>1058</v>
      </c>
      <c r="E106" s="100">
        <v>475</v>
      </c>
      <c r="F106" s="101">
        <v>7.45</v>
      </c>
      <c r="G106" s="100" t="s">
        <v>1058</v>
      </c>
      <c r="H106" s="100">
        <v>475</v>
      </c>
      <c r="I106" s="101">
        <v>7.45</v>
      </c>
      <c r="J106" s="100" t="s">
        <v>1058</v>
      </c>
      <c r="K106" s="100">
        <f t="shared" si="32"/>
        <v>500</v>
      </c>
      <c r="L106" s="101">
        <f t="shared" si="33"/>
        <v>8.8</v>
      </c>
      <c r="M106" s="100" t="s">
        <v>1058</v>
      </c>
      <c r="N106" s="100">
        <v>500</v>
      </c>
      <c r="O106" s="101">
        <v>8.8</v>
      </c>
    </row>
    <row r="107" ht="15" spans="2:15">
      <c r="B107" s="54" t="s">
        <v>1070</v>
      </c>
      <c r="C107" s="55"/>
      <c r="D107" s="100"/>
      <c r="E107" s="100"/>
      <c r="F107" s="101"/>
      <c r="G107" s="55"/>
      <c r="H107" s="55"/>
      <c r="I107" s="55"/>
      <c r="J107" s="55"/>
      <c r="K107" s="55"/>
      <c r="L107" s="55"/>
      <c r="M107" s="55"/>
      <c r="N107" s="55"/>
      <c r="O107" s="55"/>
    </row>
    <row r="108" spans="2:15">
      <c r="B108" s="210" t="s">
        <v>1057</v>
      </c>
      <c r="C108" s="55"/>
      <c r="D108" s="100" t="s">
        <v>1058</v>
      </c>
      <c r="E108" s="100">
        <v>275</v>
      </c>
      <c r="F108" s="101">
        <v>6.3</v>
      </c>
      <c r="G108" s="100" t="s">
        <v>1058</v>
      </c>
      <c r="H108" s="100">
        <v>275</v>
      </c>
      <c r="I108" s="101">
        <v>6.3</v>
      </c>
      <c r="J108" s="100" t="s">
        <v>1058</v>
      </c>
      <c r="K108" s="100">
        <f t="shared" ref="K108:K110" si="34">N108</f>
        <v>300</v>
      </c>
      <c r="L108" s="101">
        <f t="shared" ref="L108:L114" si="35">O108</f>
        <v>6.3</v>
      </c>
      <c r="M108" s="100" t="s">
        <v>1058</v>
      </c>
      <c r="N108" s="100">
        <v>300</v>
      </c>
      <c r="O108" s="101">
        <v>6.3</v>
      </c>
    </row>
    <row r="109" spans="2:15">
      <c r="B109" s="210" t="s">
        <v>1059</v>
      </c>
      <c r="C109" s="55"/>
      <c r="D109" s="100" t="s">
        <v>1058</v>
      </c>
      <c r="E109" s="100">
        <v>275</v>
      </c>
      <c r="F109" s="101">
        <v>6.3</v>
      </c>
      <c r="G109" s="100" t="s">
        <v>1058</v>
      </c>
      <c r="H109" s="100">
        <v>275</v>
      </c>
      <c r="I109" s="101">
        <v>6.3</v>
      </c>
      <c r="J109" s="100" t="s">
        <v>1058</v>
      </c>
      <c r="K109" s="100">
        <f t="shared" si="34"/>
        <v>300</v>
      </c>
      <c r="L109" s="101">
        <f t="shared" si="35"/>
        <v>6.3</v>
      </c>
      <c r="M109" s="100" t="s">
        <v>1058</v>
      </c>
      <c r="N109" s="100">
        <v>300</v>
      </c>
      <c r="O109" s="101">
        <v>6.3</v>
      </c>
    </row>
    <row r="110" spans="2:15">
      <c r="B110" s="210" t="s">
        <v>1060</v>
      </c>
      <c r="C110" s="55"/>
      <c r="D110" s="100" t="s">
        <v>1058</v>
      </c>
      <c r="E110" s="100">
        <v>275</v>
      </c>
      <c r="F110" s="101">
        <v>6.3</v>
      </c>
      <c r="G110" s="100" t="s">
        <v>1058</v>
      </c>
      <c r="H110" s="100">
        <v>275</v>
      </c>
      <c r="I110" s="101">
        <v>6.3</v>
      </c>
      <c r="J110" s="100" t="s">
        <v>1058</v>
      </c>
      <c r="K110" s="100">
        <f t="shared" si="34"/>
        <v>300</v>
      </c>
      <c r="L110" s="101">
        <f t="shared" si="35"/>
        <v>6.3</v>
      </c>
      <c r="M110" s="100" t="s">
        <v>1058</v>
      </c>
      <c r="N110" s="100">
        <v>300</v>
      </c>
      <c r="O110" s="101">
        <v>6.3</v>
      </c>
    </row>
    <row r="111" ht="15" spans="2:15">
      <c r="B111" s="54" t="s">
        <v>1071</v>
      </c>
      <c r="C111" s="55"/>
      <c r="D111" s="100"/>
      <c r="E111" s="100"/>
      <c r="F111" s="101"/>
      <c r="G111" s="55"/>
      <c r="H111" s="55"/>
      <c r="I111" s="55"/>
      <c r="J111" s="55"/>
      <c r="K111" s="55"/>
      <c r="L111" s="55"/>
      <c r="M111" s="55"/>
      <c r="N111" s="55"/>
      <c r="O111" s="55"/>
    </row>
    <row r="112" spans="2:15">
      <c r="B112" s="210" t="s">
        <v>1057</v>
      </c>
      <c r="C112" s="55"/>
      <c r="D112" s="100" t="s">
        <v>1058</v>
      </c>
      <c r="E112" s="100"/>
      <c r="F112" s="101">
        <v>6.1</v>
      </c>
      <c r="G112" s="100" t="s">
        <v>1058</v>
      </c>
      <c r="H112" s="100"/>
      <c r="I112" s="101">
        <v>6.1</v>
      </c>
      <c r="J112" s="100" t="s">
        <v>1058</v>
      </c>
      <c r="K112" s="100"/>
      <c r="L112" s="101">
        <f t="shared" si="35"/>
        <v>6.1</v>
      </c>
      <c r="M112" s="100" t="s">
        <v>1058</v>
      </c>
      <c r="N112" s="100"/>
      <c r="O112" s="101">
        <v>6.1</v>
      </c>
    </row>
    <row r="113" spans="2:15">
      <c r="B113" s="210" t="s">
        <v>1059</v>
      </c>
      <c r="C113" s="55"/>
      <c r="D113" s="100" t="s">
        <v>1058</v>
      </c>
      <c r="E113" s="100"/>
      <c r="F113" s="101">
        <v>6.1</v>
      </c>
      <c r="G113" s="100" t="s">
        <v>1058</v>
      </c>
      <c r="H113" s="100"/>
      <c r="I113" s="101">
        <v>6.1</v>
      </c>
      <c r="J113" s="100" t="s">
        <v>1058</v>
      </c>
      <c r="K113" s="100"/>
      <c r="L113" s="101">
        <f t="shared" si="35"/>
        <v>6.1</v>
      </c>
      <c r="M113" s="100" t="s">
        <v>1058</v>
      </c>
      <c r="N113" s="100"/>
      <c r="O113" s="101">
        <v>6.1</v>
      </c>
    </row>
    <row r="114" spans="2:15">
      <c r="B114" s="210" t="s">
        <v>1060</v>
      </c>
      <c r="C114" s="55"/>
      <c r="D114" s="100" t="s">
        <v>1058</v>
      </c>
      <c r="E114" s="100"/>
      <c r="F114" s="101">
        <v>6.1</v>
      </c>
      <c r="G114" s="100" t="s">
        <v>1058</v>
      </c>
      <c r="H114" s="100"/>
      <c r="I114" s="101">
        <v>6.1</v>
      </c>
      <c r="J114" s="100" t="s">
        <v>1058</v>
      </c>
      <c r="K114" s="100"/>
      <c r="L114" s="101">
        <f t="shared" si="35"/>
        <v>6.1</v>
      </c>
      <c r="M114" s="100" t="s">
        <v>1058</v>
      </c>
      <c r="N114" s="100"/>
      <c r="O114" s="101">
        <v>6.1</v>
      </c>
    </row>
    <row r="115" ht="15" spans="2:15">
      <c r="B115" s="54" t="s">
        <v>1072</v>
      </c>
      <c r="C115" s="55"/>
      <c r="D115" s="100" t="s">
        <v>1058</v>
      </c>
      <c r="E115" s="100">
        <v>475</v>
      </c>
      <c r="F115" s="101">
        <v>5.05</v>
      </c>
      <c r="G115" s="100" t="s">
        <v>1058</v>
      </c>
      <c r="H115" s="100">
        <v>475</v>
      </c>
      <c r="I115" s="101">
        <v>5.05</v>
      </c>
      <c r="J115" s="100" t="s">
        <v>1058</v>
      </c>
      <c r="K115" s="100">
        <f t="shared" ref="K115:K116" si="36">N115</f>
        <v>500</v>
      </c>
      <c r="L115" s="101">
        <f t="shared" ref="L115:L116" si="37">O115</f>
        <v>6.25</v>
      </c>
      <c r="M115" s="100" t="s">
        <v>1058</v>
      </c>
      <c r="N115" s="100">
        <v>500</v>
      </c>
      <c r="O115" s="101">
        <v>6.25</v>
      </c>
    </row>
    <row r="116" ht="15" spans="2:15">
      <c r="B116" s="54" t="s">
        <v>1073</v>
      </c>
      <c r="C116" s="55"/>
      <c r="D116" s="100" t="s">
        <v>1058</v>
      </c>
      <c r="E116" s="100">
        <v>475</v>
      </c>
      <c r="F116" s="101">
        <v>4.95</v>
      </c>
      <c r="G116" s="100" t="s">
        <v>1058</v>
      </c>
      <c r="H116" s="100">
        <v>475</v>
      </c>
      <c r="I116" s="101">
        <v>4.95</v>
      </c>
      <c r="J116" s="100" t="s">
        <v>1058</v>
      </c>
      <c r="K116" s="100">
        <f t="shared" si="36"/>
        <v>500</v>
      </c>
      <c r="L116" s="101">
        <f t="shared" si="37"/>
        <v>4.95</v>
      </c>
      <c r="M116" s="100" t="s">
        <v>1058</v>
      </c>
      <c r="N116" s="100">
        <v>500</v>
      </c>
      <c r="O116" s="101">
        <v>4.95</v>
      </c>
    </row>
    <row r="117" ht="15" spans="2:15">
      <c r="B117" s="54" t="s">
        <v>1074</v>
      </c>
      <c r="C117" s="55"/>
      <c r="D117" s="100"/>
      <c r="E117" s="100"/>
      <c r="F117" s="101"/>
      <c r="G117" s="55"/>
      <c r="H117" s="55"/>
      <c r="I117" s="55"/>
      <c r="J117" s="55"/>
      <c r="K117" s="55"/>
      <c r="L117" s="55"/>
      <c r="M117" s="55"/>
      <c r="N117" s="55"/>
      <c r="O117" s="55"/>
    </row>
    <row r="118" spans="2:15">
      <c r="B118" s="210" t="s">
        <v>1057</v>
      </c>
      <c r="C118" s="55"/>
      <c r="D118" s="100" t="s">
        <v>1058</v>
      </c>
      <c r="E118" s="100">
        <v>260</v>
      </c>
      <c r="F118" s="101">
        <v>7.3</v>
      </c>
      <c r="G118" s="100" t="s">
        <v>1058</v>
      </c>
      <c r="H118" s="100">
        <v>260</v>
      </c>
      <c r="I118" s="101">
        <v>7.3</v>
      </c>
      <c r="J118" s="100" t="s">
        <v>1058</v>
      </c>
      <c r="K118" s="100">
        <f t="shared" ref="K118:K120" si="38">N118</f>
        <v>300</v>
      </c>
      <c r="L118" s="101">
        <f t="shared" ref="L118:L120" si="39">O118</f>
        <v>7.3</v>
      </c>
      <c r="M118" s="100" t="s">
        <v>1058</v>
      </c>
      <c r="N118" s="100">
        <v>300</v>
      </c>
      <c r="O118" s="101">
        <v>7.3</v>
      </c>
    </row>
    <row r="119" spans="2:15">
      <c r="B119" s="210" t="s">
        <v>1059</v>
      </c>
      <c r="C119" s="55"/>
      <c r="D119" s="100" t="s">
        <v>1058</v>
      </c>
      <c r="E119" s="100">
        <v>260</v>
      </c>
      <c r="F119" s="101">
        <v>7.3</v>
      </c>
      <c r="G119" s="100" t="s">
        <v>1058</v>
      </c>
      <c r="H119" s="100">
        <v>260</v>
      </c>
      <c r="I119" s="101">
        <v>7.3</v>
      </c>
      <c r="J119" s="100" t="s">
        <v>1058</v>
      </c>
      <c r="K119" s="100">
        <f t="shared" si="38"/>
        <v>300</v>
      </c>
      <c r="L119" s="101">
        <f t="shared" si="39"/>
        <v>7.3</v>
      </c>
      <c r="M119" s="100" t="s">
        <v>1058</v>
      </c>
      <c r="N119" s="100">
        <v>300</v>
      </c>
      <c r="O119" s="101">
        <v>7.3</v>
      </c>
    </row>
    <row r="120" spans="2:15">
      <c r="B120" s="210" t="s">
        <v>1060</v>
      </c>
      <c r="C120" s="55"/>
      <c r="D120" s="100" t="s">
        <v>1058</v>
      </c>
      <c r="E120" s="100">
        <v>260</v>
      </c>
      <c r="F120" s="101">
        <v>7.3</v>
      </c>
      <c r="G120" s="100" t="s">
        <v>1058</v>
      </c>
      <c r="H120" s="100">
        <v>260</v>
      </c>
      <c r="I120" s="101">
        <v>7.3</v>
      </c>
      <c r="J120" s="100" t="s">
        <v>1058</v>
      </c>
      <c r="K120" s="100">
        <f t="shared" si="38"/>
        <v>300</v>
      </c>
      <c r="L120" s="101">
        <f t="shared" si="39"/>
        <v>7.3</v>
      </c>
      <c r="M120" s="100" t="s">
        <v>1058</v>
      </c>
      <c r="N120" s="100">
        <v>300</v>
      </c>
      <c r="O120" s="101">
        <v>7.3</v>
      </c>
    </row>
    <row r="121" ht="15" spans="2:15">
      <c r="B121" s="54" t="s">
        <v>1075</v>
      </c>
      <c r="C121" s="55"/>
      <c r="D121" s="100"/>
      <c r="E121" s="100"/>
      <c r="F121" s="101"/>
      <c r="G121" s="55"/>
      <c r="H121" s="55"/>
      <c r="I121" s="55"/>
      <c r="J121" s="55"/>
      <c r="K121" s="55"/>
      <c r="L121" s="55"/>
      <c r="M121" s="55"/>
      <c r="N121" s="55"/>
      <c r="O121" s="55"/>
    </row>
    <row r="122" spans="2:15">
      <c r="B122" s="210" t="s">
        <v>1057</v>
      </c>
      <c r="C122" s="55"/>
      <c r="D122" s="100" t="s">
        <v>1058</v>
      </c>
      <c r="E122" s="100">
        <v>500</v>
      </c>
      <c r="F122" s="101">
        <v>11.8</v>
      </c>
      <c r="G122" s="100" t="s">
        <v>1058</v>
      </c>
      <c r="H122" s="100">
        <v>500</v>
      </c>
      <c r="I122" s="101">
        <v>11.8</v>
      </c>
      <c r="J122" s="100" t="s">
        <v>1058</v>
      </c>
      <c r="K122" s="100">
        <f t="shared" ref="K122:K124" si="40">N122</f>
        <v>500</v>
      </c>
      <c r="L122" s="101">
        <f t="shared" ref="L122:L126" si="41">O122</f>
        <v>11.8</v>
      </c>
      <c r="M122" s="100" t="s">
        <v>1058</v>
      </c>
      <c r="N122" s="100">
        <v>500</v>
      </c>
      <c r="O122" s="101">
        <v>11.8</v>
      </c>
    </row>
    <row r="123" spans="2:15">
      <c r="B123" s="210" t="s">
        <v>1059</v>
      </c>
      <c r="C123" s="55"/>
      <c r="D123" s="100" t="s">
        <v>1058</v>
      </c>
      <c r="E123" s="100">
        <v>500</v>
      </c>
      <c r="F123" s="101">
        <v>11</v>
      </c>
      <c r="G123" s="100" t="s">
        <v>1058</v>
      </c>
      <c r="H123" s="100">
        <v>500</v>
      </c>
      <c r="I123" s="101">
        <v>11</v>
      </c>
      <c r="J123" s="100" t="s">
        <v>1058</v>
      </c>
      <c r="K123" s="100">
        <f t="shared" si="40"/>
        <v>500</v>
      </c>
      <c r="L123" s="101">
        <f t="shared" si="41"/>
        <v>11</v>
      </c>
      <c r="M123" s="100" t="s">
        <v>1058</v>
      </c>
      <c r="N123" s="100">
        <v>500</v>
      </c>
      <c r="O123" s="101">
        <v>11</v>
      </c>
    </row>
    <row r="124" spans="2:15">
      <c r="B124" s="210" t="s">
        <v>1060</v>
      </c>
      <c r="C124" s="55"/>
      <c r="D124" s="100" t="s">
        <v>1058</v>
      </c>
      <c r="E124" s="100">
        <v>500</v>
      </c>
      <c r="F124" s="101">
        <v>10.8</v>
      </c>
      <c r="G124" s="100" t="s">
        <v>1058</v>
      </c>
      <c r="H124" s="100">
        <v>500</v>
      </c>
      <c r="I124" s="101">
        <v>10.8</v>
      </c>
      <c r="J124" s="100" t="s">
        <v>1058</v>
      </c>
      <c r="K124" s="100">
        <f t="shared" si="40"/>
        <v>500</v>
      </c>
      <c r="L124" s="101">
        <f t="shared" si="41"/>
        <v>10.8</v>
      </c>
      <c r="M124" s="100" t="s">
        <v>1058</v>
      </c>
      <c r="N124" s="100">
        <v>500</v>
      </c>
      <c r="O124" s="101">
        <v>10.8</v>
      </c>
    </row>
    <row r="125" ht="15" spans="2:15">
      <c r="B125" s="54" t="s">
        <v>1076</v>
      </c>
      <c r="C125" s="55"/>
      <c r="D125" s="100"/>
      <c r="E125" s="100"/>
      <c r="F125" s="101"/>
      <c r="G125" s="55"/>
      <c r="H125" s="55"/>
      <c r="I125" s="55"/>
      <c r="J125" s="55"/>
      <c r="K125" s="55"/>
      <c r="L125" s="55"/>
      <c r="M125" s="55"/>
      <c r="N125" s="55"/>
      <c r="O125" s="55"/>
    </row>
    <row r="126" spans="2:15">
      <c r="B126" s="210" t="s">
        <v>1057</v>
      </c>
      <c r="C126" s="55"/>
      <c r="D126" s="100" t="s">
        <v>1058</v>
      </c>
      <c r="E126" s="100"/>
      <c r="F126" s="101">
        <v>4.8</v>
      </c>
      <c r="G126" s="100" t="s">
        <v>1058</v>
      </c>
      <c r="H126" s="100"/>
      <c r="I126" s="101">
        <v>4.84</v>
      </c>
      <c r="J126" s="100" t="s">
        <v>1058</v>
      </c>
      <c r="K126" s="100"/>
      <c r="L126" s="101">
        <f t="shared" si="41"/>
        <v>4.84</v>
      </c>
      <c r="M126" s="100" t="s">
        <v>1058</v>
      </c>
      <c r="N126" s="100"/>
      <c r="O126" s="101">
        <v>4.84</v>
      </c>
    </row>
    <row r="127" ht="15" spans="2:15">
      <c r="B127" s="54" t="s">
        <v>1077</v>
      </c>
      <c r="C127" s="55"/>
      <c r="D127" s="100"/>
      <c r="E127" s="100"/>
      <c r="F127" s="101"/>
      <c r="G127" s="55"/>
      <c r="H127" s="55"/>
      <c r="I127" s="55"/>
      <c r="J127" s="55"/>
      <c r="K127" s="55"/>
      <c r="L127" s="55"/>
      <c r="M127" s="55"/>
      <c r="N127" s="55"/>
      <c r="O127" s="55"/>
    </row>
    <row r="128" spans="2:15">
      <c r="B128" s="210" t="s">
        <v>1057</v>
      </c>
      <c r="C128" s="55"/>
      <c r="D128" s="100" t="s">
        <v>1058</v>
      </c>
      <c r="E128" s="100">
        <v>100</v>
      </c>
      <c r="F128" s="101">
        <v>6</v>
      </c>
      <c r="G128" s="100" t="s">
        <v>1058</v>
      </c>
      <c r="H128" s="100">
        <v>100</v>
      </c>
      <c r="I128" s="101">
        <v>6</v>
      </c>
      <c r="J128" s="100" t="s">
        <v>1058</v>
      </c>
      <c r="K128" s="100">
        <f t="shared" ref="K128:K130" si="42">N128</f>
        <v>100</v>
      </c>
      <c r="L128" s="101">
        <f t="shared" ref="L128:L130" si="43">O128</f>
        <v>6</v>
      </c>
      <c r="M128" s="100" t="s">
        <v>1058</v>
      </c>
      <c r="N128" s="100">
        <v>100</v>
      </c>
      <c r="O128" s="101">
        <v>6</v>
      </c>
    </row>
    <row r="129" spans="2:15">
      <c r="B129" s="210" t="s">
        <v>1059</v>
      </c>
      <c r="C129" s="55"/>
      <c r="D129" s="100" t="s">
        <v>1058</v>
      </c>
      <c r="E129" s="100">
        <v>100</v>
      </c>
      <c r="F129" s="101">
        <v>6</v>
      </c>
      <c r="G129" s="100" t="s">
        <v>1058</v>
      </c>
      <c r="H129" s="100">
        <v>100</v>
      </c>
      <c r="I129" s="101">
        <v>6</v>
      </c>
      <c r="J129" s="100" t="s">
        <v>1058</v>
      </c>
      <c r="K129" s="100">
        <f t="shared" si="42"/>
        <v>100</v>
      </c>
      <c r="L129" s="101">
        <f t="shared" si="43"/>
        <v>6</v>
      </c>
      <c r="M129" s="100" t="s">
        <v>1058</v>
      </c>
      <c r="N129" s="100">
        <v>100</v>
      </c>
      <c r="O129" s="101">
        <v>6</v>
      </c>
    </row>
    <row r="130" spans="2:15">
      <c r="B130" s="210" t="s">
        <v>1060</v>
      </c>
      <c r="C130" s="55"/>
      <c r="D130" s="100" t="s">
        <v>1058</v>
      </c>
      <c r="E130" s="100">
        <v>100</v>
      </c>
      <c r="F130" s="101">
        <v>6</v>
      </c>
      <c r="G130" s="100" t="s">
        <v>1058</v>
      </c>
      <c r="H130" s="100">
        <v>100</v>
      </c>
      <c r="I130" s="101">
        <v>6</v>
      </c>
      <c r="J130" s="100" t="s">
        <v>1058</v>
      </c>
      <c r="K130" s="100">
        <f t="shared" si="42"/>
        <v>100</v>
      </c>
      <c r="L130" s="101">
        <f t="shared" si="43"/>
        <v>6</v>
      </c>
      <c r="M130" s="100" t="s">
        <v>1058</v>
      </c>
      <c r="N130" s="100">
        <v>100</v>
      </c>
      <c r="O130" s="101">
        <v>6</v>
      </c>
    </row>
    <row r="134" ht="45" spans="9:14">
      <c r="I134" s="3"/>
      <c r="J134" s="3"/>
      <c r="K134" s="212"/>
      <c r="L134" s="213" t="s">
        <v>1078</v>
      </c>
      <c r="M134" s="213" t="s">
        <v>1079</v>
      </c>
      <c r="N134" s="213" t="s">
        <v>1080</v>
      </c>
    </row>
    <row r="135" ht="42" customHeight="1" spans="9:14">
      <c r="I135" s="214"/>
      <c r="J135" s="214"/>
      <c r="K135" s="214"/>
      <c r="L135" s="208" t="s">
        <v>1081</v>
      </c>
      <c r="M135" s="208" t="s">
        <v>1082</v>
      </c>
      <c r="N135" s="208" t="str">
        <f>M135</f>
        <v>Plus Rs.1/unit</v>
      </c>
    </row>
    <row r="136" ht="36" customHeight="1" spans="9:14">
      <c r="I136" s="13"/>
      <c r="J136" s="13"/>
      <c r="K136" s="214"/>
      <c r="L136" s="208" t="s">
        <v>1083</v>
      </c>
      <c r="M136" s="208" t="s">
        <v>1084</v>
      </c>
      <c r="N136" s="208" t="str">
        <f>M136</f>
        <v>Less Rs.1/unit</v>
      </c>
    </row>
    <row r="143" spans="5:6">
      <c r="E143" s="13">
        <v>1</v>
      </c>
      <c r="F143" s="12" t="s">
        <v>226</v>
      </c>
    </row>
    <row r="144" spans="5:6">
      <c r="E144" s="13">
        <f>E143+1</f>
        <v>2</v>
      </c>
      <c r="F144" s="12" t="s">
        <v>233</v>
      </c>
    </row>
  </sheetData>
  <mergeCells count="15">
    <mergeCell ref="B2:P2"/>
    <mergeCell ref="D5:F5"/>
    <mergeCell ref="G5:I5"/>
    <mergeCell ref="J5:L5"/>
    <mergeCell ref="M5:O5"/>
    <mergeCell ref="D6:E6"/>
    <mergeCell ref="G6:H6"/>
    <mergeCell ref="J6:K6"/>
    <mergeCell ref="M6:N6"/>
    <mergeCell ref="B8:C8"/>
    <mergeCell ref="B69:C69"/>
    <mergeCell ref="I134:J134"/>
    <mergeCell ref="I135:J135"/>
    <mergeCell ref="I136:J136"/>
    <mergeCell ref="B5:C7"/>
  </mergeCells>
  <pageMargins left="0.7" right="0.7" top="0.75" bottom="0.75" header="0.3" footer="0.3"/>
  <pageSetup paperSize="1" orientation="portrait"/>
  <headerFooter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R225"/>
  <sheetViews>
    <sheetView showGridLines="0" zoomScale="70" zoomScaleNormal="70" topLeftCell="A3" workbookViewId="0">
      <pane xSplit="3" ySplit="5" topLeftCell="F8" activePane="bottomRight" state="frozen"/>
      <selection/>
      <selection pane="topRight"/>
      <selection pane="bottomLeft"/>
      <selection pane="bottomRight" activeCell="P43" sqref="P43"/>
    </sheetView>
  </sheetViews>
  <sheetFormatPr defaultColWidth="9.14285714285714" defaultRowHeight="14.25"/>
  <cols>
    <col min="1" max="1" width="9.14285714285714" style="12"/>
    <col min="2" max="2" width="33" style="12" customWidth="1"/>
    <col min="3" max="3" width="38.5714285714286" style="12" customWidth="1"/>
    <col min="4" max="4" width="21" style="12" customWidth="1"/>
    <col min="5" max="5" width="16.8571428571429" style="12" customWidth="1"/>
    <col min="6" max="6" width="14" style="12" customWidth="1"/>
    <col min="7" max="7" width="25" style="12" customWidth="1"/>
    <col min="8" max="8" width="21.4285714285714" style="12" customWidth="1"/>
    <col min="9" max="9" width="17.5714285714286" style="12" customWidth="1"/>
    <col min="10" max="10" width="16.1428571428571" style="12" customWidth="1"/>
    <col min="11" max="11" width="25" style="12" customWidth="1"/>
    <col min="12" max="12" width="17.5714285714286" style="12" customWidth="1"/>
    <col min="13" max="13" width="20.4285714285714" style="12" customWidth="1"/>
    <col min="14" max="14" width="14.5714285714286" style="12" customWidth="1"/>
    <col min="15" max="15" width="17.4285714285714" style="12" customWidth="1"/>
    <col min="16" max="16" width="9.14285714285714" style="12"/>
    <col min="17" max="17" width="17.1428571428571" style="12" customWidth="1"/>
    <col min="18" max="18" width="31" style="12" customWidth="1"/>
    <col min="19" max="16384" width="9.14285714285714" style="12"/>
  </cols>
  <sheetData>
    <row r="2" ht="15" spans="2:16">
      <c r="B2" s="2" t="s">
        <v>156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5:9">
      <c r="E3" s="215"/>
      <c r="I3" s="3" t="s">
        <v>1085</v>
      </c>
    </row>
    <row r="5" ht="15" spans="2:15">
      <c r="B5" s="36" t="s">
        <v>159</v>
      </c>
      <c r="C5" s="36"/>
      <c r="D5" s="90" t="s">
        <v>1086</v>
      </c>
      <c r="E5" s="90" t="s">
        <v>1087</v>
      </c>
      <c r="F5" s="38" t="s">
        <v>879</v>
      </c>
      <c r="G5" s="38" t="s">
        <v>1088</v>
      </c>
      <c r="H5" s="38"/>
      <c r="I5" s="90" t="s">
        <v>1089</v>
      </c>
      <c r="J5" s="92" t="s">
        <v>1090</v>
      </c>
      <c r="K5" s="38" t="s">
        <v>1091</v>
      </c>
      <c r="L5" s="38"/>
      <c r="M5" s="38"/>
      <c r="N5" s="38"/>
      <c r="O5" s="38"/>
    </row>
    <row r="6" ht="15" spans="2:15">
      <c r="B6" s="36"/>
      <c r="C6" s="36"/>
      <c r="D6" s="90"/>
      <c r="E6" s="90"/>
      <c r="F6" s="38"/>
      <c r="G6" s="38" t="s">
        <v>1092</v>
      </c>
      <c r="H6" s="38" t="s">
        <v>1093</v>
      </c>
      <c r="I6" s="90"/>
      <c r="J6" s="92"/>
      <c r="K6" s="38" t="s">
        <v>1092</v>
      </c>
      <c r="L6" s="38" t="s">
        <v>1093</v>
      </c>
      <c r="M6" s="38" t="s">
        <v>1089</v>
      </c>
      <c r="N6" s="38" t="s">
        <v>1090</v>
      </c>
      <c r="O6" s="38" t="s">
        <v>97</v>
      </c>
    </row>
    <row r="7" ht="15" spans="2:15">
      <c r="B7" s="36"/>
      <c r="C7" s="36"/>
      <c r="D7" s="135" t="s">
        <v>1094</v>
      </c>
      <c r="E7" s="135" t="s">
        <v>1095</v>
      </c>
      <c r="F7" s="135" t="s">
        <v>1096</v>
      </c>
      <c r="G7" s="135" t="s">
        <v>1097</v>
      </c>
      <c r="H7" s="135" t="s">
        <v>1098</v>
      </c>
      <c r="I7" s="135" t="s">
        <v>1097</v>
      </c>
      <c r="J7" s="38" t="s">
        <v>297</v>
      </c>
      <c r="K7" s="38" t="s">
        <v>550</v>
      </c>
      <c r="L7" s="38" t="s">
        <v>550</v>
      </c>
      <c r="M7" s="38" t="s">
        <v>550</v>
      </c>
      <c r="N7" s="38" t="s">
        <v>550</v>
      </c>
      <c r="O7" s="38" t="s">
        <v>550</v>
      </c>
    </row>
    <row r="8" ht="15" spans="2:15">
      <c r="B8" s="44" t="s">
        <v>890</v>
      </c>
      <c r="C8" s="44"/>
      <c r="J8" s="55"/>
      <c r="K8" s="55"/>
      <c r="L8" s="55"/>
      <c r="M8" s="55"/>
      <c r="N8" s="55"/>
      <c r="O8" s="55"/>
    </row>
    <row r="9" ht="15" spans="2:15">
      <c r="B9" s="46" t="s">
        <v>1000</v>
      </c>
      <c r="C9" s="47"/>
      <c r="D9" s="136">
        <f>'[11]FY22-23 Actual Sales'!D8</f>
        <v>7443356</v>
      </c>
      <c r="E9" s="136">
        <f>'[11]FY22-23 Actual Sales'!E8</f>
        <v>10879.19117</v>
      </c>
      <c r="F9" s="136">
        <f>'[66]2022-23'!$H$10</f>
        <v>9952.10895307</v>
      </c>
      <c r="G9" s="153"/>
      <c r="H9" s="185"/>
      <c r="I9" s="153"/>
      <c r="J9" s="55"/>
      <c r="K9" s="136">
        <f>'[66]2022-23'!$M$10</f>
        <v>147.01029196</v>
      </c>
      <c r="L9" s="136">
        <f>'[66]2022-23'!$L$10</f>
        <v>4660.4909776601</v>
      </c>
      <c r="M9" s="136">
        <f>'[66]2022-23'!$O$10</f>
        <v>625.906236</v>
      </c>
      <c r="N9" s="147"/>
      <c r="O9" s="150">
        <f t="shared" ref="O9:O40" si="0">K9+L9+M9+N9</f>
        <v>5433.4075056201</v>
      </c>
    </row>
    <row r="10" spans="2:15">
      <c r="B10" s="50" t="s">
        <v>1001</v>
      </c>
      <c r="C10" s="47"/>
      <c r="D10" s="138">
        <f>'[11]FY22-23 Actual Sales'!D9</f>
        <v>4059636</v>
      </c>
      <c r="E10" s="138">
        <f>'[11]FY22-23 Actual Sales'!E9</f>
        <v>4076.46684</v>
      </c>
      <c r="F10" s="138">
        <f>'[66]2022-23'!$H$11</f>
        <v>2199.44399885</v>
      </c>
      <c r="G10" s="153"/>
      <c r="H10" s="185"/>
      <c r="I10" s="153"/>
      <c r="J10" s="55"/>
      <c r="K10" s="138">
        <f>'[66]2022-23'!$M$11</f>
        <v>65.3776</v>
      </c>
      <c r="L10" s="138">
        <f>'[66]2022-23'!$L$11</f>
        <v>493.6220089963</v>
      </c>
      <c r="M10" s="138">
        <f>'[66]2022-23'!$O$11</f>
        <v>288.372144</v>
      </c>
      <c r="N10" s="147"/>
      <c r="O10" s="153">
        <f t="shared" si="0"/>
        <v>847.3717529963</v>
      </c>
    </row>
    <row r="11" spans="2:15">
      <c r="B11" s="52" t="s">
        <v>1002</v>
      </c>
      <c r="C11" s="47"/>
      <c r="D11" s="139">
        <f>'[11]FY22-23 Actual Sales'!D10</f>
        <v>2192796</v>
      </c>
      <c r="E11" s="139">
        <f>'[11]FY22-23 Actual Sales'!E10</f>
        <v>2157.61478</v>
      </c>
      <c r="F11" s="139">
        <f>'[66]2022-23'!$H$12</f>
        <v>1636.57070128</v>
      </c>
      <c r="G11" s="100">
        <v>10</v>
      </c>
      <c r="H11" s="101">
        <v>1.95</v>
      </c>
      <c r="I11" s="153">
        <v>40</v>
      </c>
      <c r="J11" s="55"/>
      <c r="K11" s="139">
        <f>'[66]2022-23'!$M$12</f>
        <v>32.9288</v>
      </c>
      <c r="L11" s="139">
        <f>'[66]2022-23'!$L$12</f>
        <v>319.1312867496</v>
      </c>
      <c r="M11" s="139">
        <f>'[66]2022-23'!$O$12</f>
        <v>131.557584</v>
      </c>
      <c r="N11" s="147"/>
      <c r="O11" s="153">
        <f t="shared" si="0"/>
        <v>483.6176707496</v>
      </c>
    </row>
    <row r="12" spans="2:15">
      <c r="B12" s="52" t="s">
        <v>1004</v>
      </c>
      <c r="C12" s="47"/>
      <c r="D12" s="139">
        <f>'[11]FY22-23 Actual Sales'!D11</f>
        <v>1866840</v>
      </c>
      <c r="E12" s="139">
        <f>'[11]FY22-23 Actual Sales'!E11</f>
        <v>1918.85206</v>
      </c>
      <c r="F12" s="139">
        <f>'[66]2022-23'!$H$13</f>
        <v>562.87329757</v>
      </c>
      <c r="G12" s="100">
        <v>10</v>
      </c>
      <c r="H12" s="101">
        <v>3.1</v>
      </c>
      <c r="I12" s="153">
        <v>70</v>
      </c>
      <c r="J12" s="55"/>
      <c r="K12" s="139">
        <f>'[66]2022-23'!$M$13</f>
        <v>32.4488</v>
      </c>
      <c r="L12" s="139">
        <f>'[66]2022-23'!$L$13</f>
        <v>174.4907222467</v>
      </c>
      <c r="M12" s="139">
        <f>'[66]2022-23'!$O$13</f>
        <v>156.81456</v>
      </c>
      <c r="N12" s="147"/>
      <c r="O12" s="153">
        <f t="shared" si="0"/>
        <v>363.7540822467</v>
      </c>
    </row>
    <row r="13" spans="2:15">
      <c r="B13" s="50" t="s">
        <v>1005</v>
      </c>
      <c r="C13" s="47"/>
      <c r="D13" s="138">
        <f>'[11]FY22-23 Actual Sales'!D12</f>
        <v>2185420</v>
      </c>
      <c r="E13" s="138">
        <f>'[11]FY22-23 Actual Sales'!E12</f>
        <v>3352.47232</v>
      </c>
      <c r="F13" s="138">
        <f>'[66]2022-23'!$H$14</f>
        <v>3459.64286664</v>
      </c>
      <c r="G13" s="100"/>
      <c r="H13" s="101"/>
      <c r="I13" s="153"/>
      <c r="J13" s="55"/>
      <c r="K13" s="138">
        <f>'[66]2022-23'!$M$14</f>
        <v>40.22966784</v>
      </c>
      <c r="L13" s="138">
        <f>'[66]2022-23'!$L$14</f>
        <v>1318.4741759872</v>
      </c>
      <c r="M13" s="138">
        <f>'[66]2022-23'!$O$14</f>
        <v>176.842764</v>
      </c>
      <c r="N13" s="147"/>
      <c r="O13" s="153">
        <f t="shared" si="0"/>
        <v>1535.5466078272</v>
      </c>
    </row>
    <row r="14" spans="2:15">
      <c r="B14" s="52" t="s">
        <v>1006</v>
      </c>
      <c r="C14" s="47"/>
      <c r="D14" s="139">
        <f>'[11]FY22-23 Actual Sales'!D13</f>
        <v>0</v>
      </c>
      <c r="E14" s="139">
        <f>'[11]FY22-23 Actual Sales'!E13</f>
        <v>0</v>
      </c>
      <c r="F14" s="139">
        <f>'[66]2022-23'!$H$15</f>
        <v>2443.96</v>
      </c>
      <c r="G14" s="100">
        <v>10</v>
      </c>
      <c r="H14" s="101">
        <v>3.4</v>
      </c>
      <c r="I14" s="153"/>
      <c r="J14" s="55"/>
      <c r="K14" s="139">
        <f>'[66]2022-23'!$M$15</f>
        <v>0</v>
      </c>
      <c r="L14" s="139">
        <f>'[66]2022-23'!$L$15</f>
        <v>830.9464</v>
      </c>
      <c r="M14" s="139">
        <f>'[66]2022-23'!$O$15</f>
        <v>0</v>
      </c>
      <c r="N14" s="147"/>
      <c r="O14" s="153">
        <f t="shared" si="0"/>
        <v>830.9464</v>
      </c>
    </row>
    <row r="15" spans="2:15">
      <c r="B15" s="52" t="s">
        <v>1007</v>
      </c>
      <c r="C15" s="47"/>
      <c r="D15" s="139">
        <f>'[11]FY22-23 Actual Sales'!D14</f>
        <v>2185420</v>
      </c>
      <c r="E15" s="139">
        <f>'[11]FY22-23 Actual Sales'!E14</f>
        <v>3352.47232</v>
      </c>
      <c r="F15" s="139">
        <f>'[66]2022-23'!$H$16</f>
        <v>1015.68286664</v>
      </c>
      <c r="G15" s="100">
        <v>10</v>
      </c>
      <c r="H15" s="101">
        <v>4.8</v>
      </c>
      <c r="I15" s="153">
        <v>90</v>
      </c>
      <c r="J15" s="55"/>
      <c r="K15" s="139">
        <f>'[66]2022-23'!$M$16</f>
        <v>40.22966784</v>
      </c>
      <c r="L15" s="139">
        <f>'[66]2022-23'!$L$16</f>
        <v>487.5277759872</v>
      </c>
      <c r="M15" s="139">
        <f>'[66]2022-23'!$O$16</f>
        <v>176.842764</v>
      </c>
      <c r="N15" s="147"/>
      <c r="O15" s="153">
        <f t="shared" si="0"/>
        <v>704.6002078272</v>
      </c>
    </row>
    <row r="16" spans="2:15">
      <c r="B16" s="50" t="s">
        <v>1008</v>
      </c>
      <c r="C16" s="47"/>
      <c r="D16" s="138">
        <f>'[11]FY22-23 Actual Sales'!D15</f>
        <v>1198300</v>
      </c>
      <c r="E16" s="138">
        <f>'[11]FY22-23 Actual Sales'!E15</f>
        <v>3450.25201</v>
      </c>
      <c r="F16" s="138">
        <f>'[66]2022-23'!$H$17</f>
        <v>4293.02208758</v>
      </c>
      <c r="G16" s="100"/>
      <c r="H16" s="101"/>
      <c r="I16" s="153"/>
      <c r="J16" s="55"/>
      <c r="K16" s="138">
        <f>'[66]2022-23'!$M$17</f>
        <v>41.40302412</v>
      </c>
      <c r="L16" s="138">
        <f>'[66]2022-23'!$L$17</f>
        <v>2848.3947926766</v>
      </c>
      <c r="M16" s="138">
        <f>'[66]2022-23'!$O$17</f>
        <v>160.691328</v>
      </c>
      <c r="N16" s="147"/>
      <c r="O16" s="153">
        <f t="shared" si="0"/>
        <v>3050.4891447966</v>
      </c>
    </row>
    <row r="17" spans="2:15">
      <c r="B17" s="52" t="s">
        <v>1009</v>
      </c>
      <c r="C17" s="47"/>
      <c r="D17" s="139">
        <f>'[11]FY22-23 Actual Sales'!D16</f>
        <v>0</v>
      </c>
      <c r="E17" s="139">
        <f>'[11]FY22-23 Actual Sales'!E16</f>
        <v>0</v>
      </c>
      <c r="F17" s="139">
        <f>'[66]2022-23'!H18</f>
        <v>2461.9374</v>
      </c>
      <c r="G17" s="100">
        <v>10</v>
      </c>
      <c r="H17" s="101">
        <v>5.1</v>
      </c>
      <c r="I17" s="153"/>
      <c r="J17" s="55"/>
      <c r="K17" s="139">
        <f>'[66]2022-23'!$M$18</f>
        <v>0</v>
      </c>
      <c r="L17" s="139">
        <f>'[66]2022-23'!$L$18</f>
        <v>1255.588074</v>
      </c>
      <c r="M17" s="139">
        <f>'[66]2022-23'!$O$18</f>
        <v>0</v>
      </c>
      <c r="N17" s="147"/>
      <c r="O17" s="153">
        <f t="shared" si="0"/>
        <v>1255.588074</v>
      </c>
    </row>
    <row r="18" spans="2:15">
      <c r="B18" s="52" t="s">
        <v>1010</v>
      </c>
      <c r="C18" s="47"/>
      <c r="D18" s="139">
        <f>'[11]FY22-23 Actual Sales'!D17</f>
        <v>739795</v>
      </c>
      <c r="E18" s="139">
        <f>'[11]FY22-23 Actual Sales'!E17</f>
        <v>1714.08173</v>
      </c>
      <c r="F18" s="139">
        <f>'[66]2022-23'!H19</f>
        <v>791.87810458</v>
      </c>
      <c r="G18" s="100">
        <v>10</v>
      </c>
      <c r="H18" s="101">
        <v>7.7</v>
      </c>
      <c r="I18" s="153">
        <v>100</v>
      </c>
      <c r="J18" s="55"/>
      <c r="K18" s="139">
        <f>'[66]2022-23'!$M$19</f>
        <v>20.56898076</v>
      </c>
      <c r="L18" s="139">
        <f>'[66]2022-23'!$L$19</f>
        <v>609.7461405266</v>
      </c>
      <c r="M18" s="139">
        <f>'[66]2022-23'!$O$19</f>
        <v>88.7754</v>
      </c>
      <c r="N18" s="147"/>
      <c r="O18" s="153">
        <f t="shared" si="0"/>
        <v>719.0905212866</v>
      </c>
    </row>
    <row r="19" spans="2:15">
      <c r="B19" s="52" t="s">
        <v>1011</v>
      </c>
      <c r="C19" s="47"/>
      <c r="D19" s="139">
        <f>'[11]FY22-23 Actual Sales'!D18</f>
        <v>246901</v>
      </c>
      <c r="E19" s="139">
        <f>'[11]FY22-23 Actual Sales'!E18</f>
        <v>733.86</v>
      </c>
      <c r="F19" s="139">
        <f>'[66]2022-23'!H20</f>
        <v>349.203177</v>
      </c>
      <c r="G19" s="100">
        <v>10</v>
      </c>
      <c r="H19" s="101">
        <v>9</v>
      </c>
      <c r="I19" s="153">
        <v>120</v>
      </c>
      <c r="J19" s="55"/>
      <c r="K19" s="139">
        <f>'[66]2022-23'!$M$20</f>
        <v>8.80632</v>
      </c>
      <c r="L19" s="139">
        <f>'[66]2022-23'!$L$20</f>
        <v>314.2828593</v>
      </c>
      <c r="M19" s="139">
        <f>'[66]2022-23'!$O$20</f>
        <v>35.553744</v>
      </c>
      <c r="N19" s="147"/>
      <c r="O19" s="153">
        <f t="shared" si="0"/>
        <v>358.6429233</v>
      </c>
    </row>
    <row r="20" spans="2:15">
      <c r="B20" s="52" t="s">
        <v>1012</v>
      </c>
      <c r="C20" s="47"/>
      <c r="D20" s="139">
        <f>'[11]FY22-23 Actual Sales'!D19</f>
        <v>177741</v>
      </c>
      <c r="E20" s="139">
        <f>'[11]FY22-23 Actual Sales'!E19</f>
        <v>696.88469</v>
      </c>
      <c r="F20" s="139">
        <f>'[66]2022-23'!H21</f>
        <v>424.513743</v>
      </c>
      <c r="G20" s="100">
        <v>10</v>
      </c>
      <c r="H20" s="101">
        <v>9.5</v>
      </c>
      <c r="I20" s="153">
        <v>140</v>
      </c>
      <c r="J20" s="55"/>
      <c r="K20" s="139">
        <f>'[66]2022-23'!$M$21</f>
        <v>8.36261628</v>
      </c>
      <c r="L20" s="139">
        <f>'[66]2022-23'!$L$21</f>
        <v>403.28805585</v>
      </c>
      <c r="M20" s="139">
        <f>'[66]2022-23'!$O$21</f>
        <v>29.860488</v>
      </c>
      <c r="N20" s="147"/>
      <c r="O20" s="153">
        <f t="shared" si="0"/>
        <v>441.51116013</v>
      </c>
    </row>
    <row r="21" spans="2:15">
      <c r="B21" s="52" t="s">
        <v>1013</v>
      </c>
      <c r="C21" s="47"/>
      <c r="D21" s="139">
        <f>'[11]FY22-23 Actual Sales'!D20</f>
        <v>33863</v>
      </c>
      <c r="E21" s="139">
        <f>'[11]FY22-23 Actual Sales'!E20</f>
        <v>305.42559</v>
      </c>
      <c r="F21" s="139">
        <f>'[66]2022-23'!H22</f>
        <v>265.489663</v>
      </c>
      <c r="G21" s="100">
        <v>10</v>
      </c>
      <c r="H21" s="101">
        <v>10</v>
      </c>
      <c r="I21" s="153">
        <v>160</v>
      </c>
      <c r="J21" s="55"/>
      <c r="K21" s="139">
        <f>'[66]2022-23'!$M$22</f>
        <v>3.66510708</v>
      </c>
      <c r="L21" s="139">
        <f>'[66]2022-23'!$L$22</f>
        <v>265.489663</v>
      </c>
      <c r="M21" s="139">
        <f>'[66]2022-23'!$O$22</f>
        <v>6.501696</v>
      </c>
      <c r="N21" s="147"/>
      <c r="O21" s="153">
        <f t="shared" si="0"/>
        <v>275.65646608</v>
      </c>
    </row>
    <row r="22" ht="15" spans="2:15">
      <c r="B22" s="54" t="s">
        <v>1014</v>
      </c>
      <c r="C22" s="55"/>
      <c r="D22" s="136">
        <f>'[11]FY22-23 Actual Sales'!D21</f>
        <v>1087272</v>
      </c>
      <c r="E22" s="136">
        <f>'[11]FY22-23 Actual Sales'!E21</f>
        <v>3581.27058</v>
      </c>
      <c r="F22" s="136">
        <f>'[66]2022-23'!$H$23</f>
        <v>3196.05971843</v>
      </c>
      <c r="G22" s="100"/>
      <c r="H22" s="101"/>
      <c r="I22" s="153"/>
      <c r="J22" s="55"/>
      <c r="K22" s="136">
        <f>'[66]2022-23'!$M$23</f>
        <v>365.5005296</v>
      </c>
      <c r="L22" s="136">
        <f>'[66]2022-23'!$L$23</f>
        <v>3240.0718093101</v>
      </c>
      <c r="M22" s="136">
        <f>'[66]2022-23'!$O$23</f>
        <v>107.58243</v>
      </c>
      <c r="N22" s="147"/>
      <c r="O22" s="150">
        <f t="shared" si="0"/>
        <v>3713.1547689101</v>
      </c>
    </row>
    <row r="23" spans="2:15">
      <c r="B23" s="56" t="s">
        <v>1015</v>
      </c>
      <c r="C23" s="55"/>
      <c r="D23" s="138">
        <f>'[11]FY22-23 Actual Sales'!D22</f>
        <v>501896</v>
      </c>
      <c r="E23" s="138">
        <f>'[11]FY22-23 Actual Sales'!E22</f>
        <v>856.06032</v>
      </c>
      <c r="F23" s="138">
        <f>'[66]2022-23'!$H$25</f>
        <v>89.62853038</v>
      </c>
      <c r="G23" s="100"/>
      <c r="H23" s="101"/>
      <c r="I23" s="153"/>
      <c r="J23" s="55"/>
      <c r="K23" s="138">
        <f>'[66]2022-23'!$M$25</f>
        <v>65.4755</v>
      </c>
      <c r="L23" s="138">
        <f>'[66]2022-23'!$L$25</f>
        <v>62.739971266</v>
      </c>
      <c r="M23" s="138">
        <f>'[66]2022-23'!$O$25</f>
        <v>30.39576</v>
      </c>
      <c r="N23" s="147"/>
      <c r="O23" s="153">
        <f t="shared" si="0"/>
        <v>158.611231266</v>
      </c>
    </row>
    <row r="24" spans="2:15">
      <c r="B24" s="140" t="s">
        <v>1002</v>
      </c>
      <c r="C24" s="55"/>
      <c r="D24" s="139">
        <f>'[11]FY22-23 Actual Sales'!D23</f>
        <v>501896</v>
      </c>
      <c r="E24" s="139">
        <f>'[11]FY22-23 Actual Sales'!E23</f>
        <v>856.06032</v>
      </c>
      <c r="F24" s="139">
        <f>'[66]2022-23'!$H$26</f>
        <v>89.62853038</v>
      </c>
      <c r="G24" s="100">
        <v>60</v>
      </c>
      <c r="H24" s="101">
        <v>7</v>
      </c>
      <c r="I24" s="153">
        <v>50</v>
      </c>
      <c r="J24" s="55"/>
      <c r="K24" s="139">
        <f>'[66]2022-23'!$M$26</f>
        <v>65.4755</v>
      </c>
      <c r="L24" s="139">
        <f>'[66]2022-23'!$L$26</f>
        <v>62.739971266</v>
      </c>
      <c r="M24" s="139">
        <f>'[66]2022-23'!$O$26</f>
        <v>30.39576</v>
      </c>
      <c r="N24" s="147"/>
      <c r="O24" s="153">
        <f t="shared" si="0"/>
        <v>158.611231266</v>
      </c>
    </row>
    <row r="25" spans="2:15">
      <c r="B25" s="56" t="s">
        <v>1016</v>
      </c>
      <c r="C25" s="55"/>
      <c r="D25" s="138">
        <f>'[11]FY22-23 Actual Sales'!D24</f>
        <v>571376</v>
      </c>
      <c r="E25" s="138">
        <f>'[11]FY22-23 Actual Sales'!E24</f>
        <v>2706.89096</v>
      </c>
      <c r="F25" s="138">
        <f>'[66]2022-23'!$H$27</f>
        <v>3098.12182443</v>
      </c>
      <c r="G25" s="100"/>
      <c r="H25" s="101"/>
      <c r="I25" s="153"/>
      <c r="J25" s="55"/>
      <c r="K25" s="138">
        <f>'[66]2022-23'!$M$27</f>
        <v>298.632</v>
      </c>
      <c r="L25" s="138">
        <f>'[66]2022-23'!$L$27</f>
        <v>3169.5850125305</v>
      </c>
      <c r="M25" s="138">
        <f>'[66]2022-23'!$O$27</f>
        <v>76.091214</v>
      </c>
      <c r="N25" s="147"/>
      <c r="O25" s="153">
        <f t="shared" si="0"/>
        <v>3544.3082265305</v>
      </c>
    </row>
    <row r="26" spans="2:15">
      <c r="B26" s="58" t="s">
        <v>1006</v>
      </c>
      <c r="C26" s="55"/>
      <c r="D26" s="139">
        <f>'[11]FY22-23 Actual Sales'!D25</f>
        <v>181203</v>
      </c>
      <c r="E26" s="139">
        <f>'[11]FY22-23 Actual Sales'!E25</f>
        <v>302.86246</v>
      </c>
      <c r="F26" s="139">
        <f>'[66]2022-23'!H28</f>
        <v>641.75563818</v>
      </c>
      <c r="G26" s="100">
        <v>70</v>
      </c>
      <c r="H26" s="101">
        <v>8.5</v>
      </c>
      <c r="I26" s="153">
        <v>90</v>
      </c>
      <c r="J26" s="55"/>
      <c r="K26" s="139">
        <f>'[66]2022-23'!M28</f>
        <v>27.4419</v>
      </c>
      <c r="L26" s="139">
        <f>'[66]2022-23'!N28</f>
        <v>0.0052</v>
      </c>
      <c r="M26" s="139">
        <f>'[66]2022-23'!O28</f>
        <v>19.569924</v>
      </c>
      <c r="N26" s="147"/>
      <c r="O26" s="153">
        <f t="shared" si="0"/>
        <v>47.017024</v>
      </c>
    </row>
    <row r="27" spans="2:15">
      <c r="B27" s="58" t="s">
        <v>1017</v>
      </c>
      <c r="C27" s="55"/>
      <c r="D27" s="139">
        <f>'[11]FY22-23 Actual Sales'!D26</f>
        <v>221715</v>
      </c>
      <c r="E27" s="139">
        <f>'[11]FY22-23 Actual Sales'!E26</f>
        <v>555.6927</v>
      </c>
      <c r="F27" s="139">
        <f>'[66]2022-23'!H29</f>
        <v>547.54657025</v>
      </c>
      <c r="G27" s="100">
        <v>70</v>
      </c>
      <c r="H27" s="101">
        <v>9.9</v>
      </c>
      <c r="I27" s="153">
        <v>105</v>
      </c>
      <c r="J27" s="55"/>
      <c r="K27" s="139">
        <f>'[66]2022-23'!M29</f>
        <v>51.4251</v>
      </c>
      <c r="L27" s="139">
        <f>'[66]2022-23'!N29</f>
        <v>0.0047</v>
      </c>
      <c r="M27" s="139">
        <f>'[66]2022-23'!O29</f>
        <v>27.93609</v>
      </c>
      <c r="N27" s="147"/>
      <c r="O27" s="153">
        <f t="shared" si="0"/>
        <v>79.36589</v>
      </c>
    </row>
    <row r="28" spans="2:15">
      <c r="B28" s="58" t="s">
        <v>1018</v>
      </c>
      <c r="C28" s="55"/>
      <c r="D28" s="139">
        <f>'[11]FY22-23 Actual Sales'!D27</f>
        <v>59507</v>
      </c>
      <c r="E28" s="139">
        <f>'[11]FY22-23 Actual Sales'!E27</f>
        <v>264.2772</v>
      </c>
      <c r="F28" s="139">
        <f>'[66]2022-23'!H30</f>
        <v>294.6660345</v>
      </c>
      <c r="G28" s="100">
        <v>70</v>
      </c>
      <c r="H28" s="101">
        <v>10.4</v>
      </c>
      <c r="I28" s="153">
        <v>120</v>
      </c>
      <c r="J28" s="55"/>
      <c r="K28" s="139">
        <f>'[66]2022-23'!M30</f>
        <v>24.3226</v>
      </c>
      <c r="L28" s="139">
        <f>'[66]2022-23'!N30</f>
        <v>0.0006</v>
      </c>
      <c r="M28" s="139">
        <f>'[66]2022-23'!O30</f>
        <v>8.569008</v>
      </c>
      <c r="N28" s="147"/>
      <c r="O28" s="153">
        <f t="shared" si="0"/>
        <v>32.892208</v>
      </c>
    </row>
    <row r="29" spans="2:15">
      <c r="B29" s="58" t="s">
        <v>1019</v>
      </c>
      <c r="C29" s="55"/>
      <c r="D29" s="139">
        <f>'[11]FY22-23 Actual Sales'!D28</f>
        <v>108951</v>
      </c>
      <c r="E29" s="139">
        <f>'[11]FY22-23 Actual Sales'!E28</f>
        <v>1584.0586</v>
      </c>
      <c r="F29" s="139">
        <f>'[66]2022-23'!H31</f>
        <v>1614.1535815</v>
      </c>
      <c r="G29" s="100">
        <v>70</v>
      </c>
      <c r="H29" s="101">
        <v>11</v>
      </c>
      <c r="I29" s="153">
        <v>160</v>
      </c>
      <c r="J29" s="55"/>
      <c r="K29" s="139">
        <f>'[66]2022-23'!M31</f>
        <v>195.4424</v>
      </c>
      <c r="L29" s="139">
        <f>'[66]2022-23'!N31</f>
        <v>0.0008</v>
      </c>
      <c r="M29" s="139">
        <f>'[66]2022-23'!O31</f>
        <v>20.016192</v>
      </c>
      <c r="N29" s="147"/>
      <c r="O29" s="153">
        <f t="shared" si="0"/>
        <v>215.459392</v>
      </c>
    </row>
    <row r="30" spans="2:15">
      <c r="B30" s="56" t="s">
        <v>1020</v>
      </c>
      <c r="C30" s="55"/>
      <c r="D30" s="138">
        <f>'[11]FY22-23 Actual Sales'!D29</f>
        <v>2094</v>
      </c>
      <c r="E30" s="138">
        <f>'[11]FY22-23 Actual Sales'!E29</f>
        <v>6.17</v>
      </c>
      <c r="F30" s="138">
        <f>'[66]2022-23'!$H$32</f>
        <v>4.0713565</v>
      </c>
      <c r="G30" s="100">
        <v>70</v>
      </c>
      <c r="H30" s="101">
        <v>13</v>
      </c>
      <c r="I30" s="153">
        <v>160</v>
      </c>
      <c r="J30" s="55"/>
      <c r="K30" s="138">
        <f>'[66]2022-23'!$M$32</f>
        <v>0.51828</v>
      </c>
      <c r="L30" s="138">
        <f>'[66]2022-23'!$L$32</f>
        <v>5.29276345</v>
      </c>
      <c r="M30" s="138">
        <f>'[66]2022-23'!$O$32</f>
        <v>0.402048</v>
      </c>
      <c r="N30" s="147"/>
      <c r="O30" s="153">
        <f t="shared" si="0"/>
        <v>6.21309145</v>
      </c>
    </row>
    <row r="31" spans="2:15">
      <c r="B31" s="56" t="s">
        <v>1021</v>
      </c>
      <c r="C31" s="55"/>
      <c r="D31" s="138">
        <f>'[11]FY22-23 Actual Sales'!D30</f>
        <v>11906</v>
      </c>
      <c r="E31" s="138">
        <f>'[11]FY22-23 Actual Sales'!E30</f>
        <v>12.1493</v>
      </c>
      <c r="F31" s="138">
        <f>'[66]2022-23'!$H$33</f>
        <v>4.23800712</v>
      </c>
      <c r="G31" s="100"/>
      <c r="H31" s="101"/>
      <c r="I31" s="153"/>
      <c r="J31" s="55"/>
      <c r="K31" s="138">
        <f>'[66]2022-23'!$M$33</f>
        <v>0.8747496</v>
      </c>
      <c r="L31" s="138">
        <f>'[66]2022-23'!$L$33</f>
        <v>2.4540620636</v>
      </c>
      <c r="M31" s="138">
        <f>'[66]2022-23'!$O$33</f>
        <v>0.693408</v>
      </c>
      <c r="N31" s="147"/>
      <c r="O31" s="153">
        <f t="shared" si="0"/>
        <v>4.0222196636</v>
      </c>
    </row>
    <row r="32" spans="2:15">
      <c r="B32" s="58" t="s">
        <v>1002</v>
      </c>
      <c r="C32" s="55"/>
      <c r="D32" s="139">
        <f>'[11]FY22-23 Actual Sales'!D31</f>
        <v>8755</v>
      </c>
      <c r="E32" s="139">
        <f>'[11]FY22-23 Actual Sales'!E31</f>
        <v>8.88</v>
      </c>
      <c r="F32" s="139">
        <f>'[66]2022-23'!H34</f>
        <v>2.88849712</v>
      </c>
      <c r="G32" s="100">
        <v>60</v>
      </c>
      <c r="H32" s="101">
        <v>5.3</v>
      </c>
      <c r="I32" s="153">
        <v>45</v>
      </c>
      <c r="J32" s="55"/>
      <c r="K32" s="139">
        <f>'[66]2022-23'!M34</f>
        <v>0.63936</v>
      </c>
      <c r="L32" s="139">
        <f>'[66]2022-23'!N34</f>
        <v>0.3046</v>
      </c>
      <c r="M32" s="139">
        <f>'[66]2022-23'!O34</f>
        <v>0.47277</v>
      </c>
      <c r="N32" s="147"/>
      <c r="O32" s="153">
        <f t="shared" si="0"/>
        <v>1.41673</v>
      </c>
    </row>
    <row r="33" spans="2:15">
      <c r="B33" s="58" t="s">
        <v>1022</v>
      </c>
      <c r="C33" s="55"/>
      <c r="D33" s="139">
        <f>'[11]FY22-23 Actual Sales'!D32</f>
        <v>2095</v>
      </c>
      <c r="E33" s="139">
        <f>'[11]FY22-23 Actual Sales'!E32</f>
        <v>2.10748</v>
      </c>
      <c r="F33" s="139">
        <f>'[66]2022-23'!H35</f>
        <v>0.988599</v>
      </c>
      <c r="G33" s="100">
        <v>60</v>
      </c>
      <c r="H33" s="101">
        <v>6.6</v>
      </c>
      <c r="I33" s="153">
        <v>55</v>
      </c>
      <c r="J33" s="55"/>
      <c r="K33" s="139">
        <f>'[66]2022-23'!M35</f>
        <v>0.15173856</v>
      </c>
      <c r="L33" s="139">
        <f>'[66]2022-23'!N35</f>
        <v>0</v>
      </c>
      <c r="M33" s="139">
        <f>'[66]2022-23'!O35</f>
        <v>0.13827</v>
      </c>
      <c r="N33" s="147"/>
      <c r="O33" s="153">
        <f t="shared" si="0"/>
        <v>0.29000856</v>
      </c>
    </row>
    <row r="34" spans="2:15">
      <c r="B34" s="58" t="s">
        <v>1023</v>
      </c>
      <c r="C34" s="55"/>
      <c r="D34" s="139">
        <f>'[11]FY22-23 Actual Sales'!D33</f>
        <v>1056</v>
      </c>
      <c r="E34" s="139">
        <f>'[11]FY22-23 Actual Sales'!E33</f>
        <v>1.16182</v>
      </c>
      <c r="F34" s="139">
        <f>'[66]2022-23'!H36</f>
        <v>0.360911</v>
      </c>
      <c r="G34" s="100">
        <v>60</v>
      </c>
      <c r="H34" s="101">
        <v>7.5</v>
      </c>
      <c r="I34" s="153">
        <v>65</v>
      </c>
      <c r="J34" s="55"/>
      <c r="K34" s="139">
        <f>'[66]2022-23'!M36</f>
        <v>0.08365104</v>
      </c>
      <c r="L34" s="139">
        <f>'[66]2022-23'!N36</f>
        <v>0</v>
      </c>
      <c r="M34" s="139">
        <f>'[66]2022-23'!O36</f>
        <v>0.082368</v>
      </c>
      <c r="N34" s="147"/>
      <c r="O34" s="153">
        <f t="shared" si="0"/>
        <v>0.16601904</v>
      </c>
    </row>
    <row r="35" ht="15" spans="2:15">
      <c r="B35" s="54" t="s">
        <v>1024</v>
      </c>
      <c r="C35" s="55"/>
      <c r="D35" s="136">
        <f>'[11]FY22-23 Actual Sales'!D34</f>
        <v>45213</v>
      </c>
      <c r="E35" s="136">
        <f>'[11]FY22-23 Actual Sales'!$F$34*0.7457/10^3</f>
        <v>1023.465793</v>
      </c>
      <c r="F35" s="136">
        <f>'[66]2022-23'!$H$38</f>
        <v>1025.47027175</v>
      </c>
      <c r="G35" s="100"/>
      <c r="H35" s="101"/>
      <c r="I35" s="153"/>
      <c r="J35" s="55"/>
      <c r="K35" s="136">
        <f>'[66]2022-23'!$M$38</f>
        <v>92.14904061</v>
      </c>
      <c r="L35" s="136">
        <f>'[66]2022-23'!$L$38</f>
        <v>786.9733191425</v>
      </c>
      <c r="M35" s="136">
        <f>'[66]2022-23'!$O$38</f>
        <v>21.94016</v>
      </c>
      <c r="N35" s="147"/>
      <c r="O35" s="150">
        <f t="shared" si="0"/>
        <v>901.0625197525</v>
      </c>
    </row>
    <row r="36" spans="2:15">
      <c r="B36" s="58" t="s">
        <v>1025</v>
      </c>
      <c r="C36" s="55"/>
      <c r="D36" s="138">
        <f>'[11]FY22-23 Actual Sales'!D35</f>
        <v>41545</v>
      </c>
      <c r="E36" s="138">
        <f>'[11]FY22-23 Actual Sales'!$F$35*0.7457/10^3</f>
        <v>982.532299153</v>
      </c>
      <c r="F36" s="138">
        <f>'[66]2022-23'!$H$39</f>
        <v>987.77327025</v>
      </c>
      <c r="G36" s="100">
        <v>75</v>
      </c>
      <c r="H36" s="101">
        <v>7.7</v>
      </c>
      <c r="I36" s="153">
        <v>360.25</v>
      </c>
      <c r="J36" s="55"/>
      <c r="K36" s="138">
        <f>'[66]2022-23'!$M$39</f>
        <v>88.937817075</v>
      </c>
      <c r="L36" s="138">
        <f>'[66]2022-23'!$L$39</f>
        <v>760.5854180925</v>
      </c>
      <c r="M36" s="138">
        <f>'[66]2022-23'!$O$39</f>
        <v>21.5</v>
      </c>
      <c r="N36" s="147"/>
      <c r="O36" s="153">
        <f t="shared" si="0"/>
        <v>871.0232351675</v>
      </c>
    </row>
    <row r="37" spans="2:15">
      <c r="B37" s="58" t="s">
        <v>1026</v>
      </c>
      <c r="C37" s="55"/>
      <c r="D37" s="138">
        <f>'[11]FY22-23 Actual Sales'!D36</f>
        <v>0</v>
      </c>
      <c r="E37" s="138">
        <f>'[11]FY22-23 Actual Sales'!E36</f>
        <v>0</v>
      </c>
      <c r="F37" s="138">
        <f>'[11]FY22-23 Actual Sales'!S36</f>
        <v>0</v>
      </c>
      <c r="G37" s="100">
        <v>75</v>
      </c>
      <c r="H37" s="101">
        <v>8.4</v>
      </c>
      <c r="I37" s="153">
        <v>360.25</v>
      </c>
      <c r="J37" s="55"/>
      <c r="K37" s="138">
        <f>'[11]FY22-23 Actual Sales'!X36</f>
        <v>0</v>
      </c>
      <c r="L37" s="138">
        <f>'[66]2022-23'!$L$44</f>
        <v>0</v>
      </c>
      <c r="M37" s="138">
        <f>'[66]2022-23'!$O$44</f>
        <v>0</v>
      </c>
      <c r="N37" s="147"/>
      <c r="O37" s="153">
        <f t="shared" si="0"/>
        <v>0</v>
      </c>
    </row>
    <row r="38" spans="2:15">
      <c r="B38" s="58" t="s">
        <v>1027</v>
      </c>
      <c r="C38" s="55"/>
      <c r="D38" s="138">
        <f>'[11]FY22-23 Actual Sales'!D37</f>
        <v>0</v>
      </c>
      <c r="E38" s="138">
        <f>'[11]FY22-23 Actual Sales'!E37</f>
        <v>0</v>
      </c>
      <c r="F38" s="138">
        <f>'[11]FY22-23 Actual Sales'!S37</f>
        <v>0</v>
      </c>
      <c r="G38" s="100">
        <v>36</v>
      </c>
      <c r="H38" s="101">
        <v>6.2</v>
      </c>
      <c r="I38" s="153">
        <v>360.25</v>
      </c>
      <c r="J38" s="55"/>
      <c r="K38" s="138">
        <f>'[11]FY22-23 Actual Sales'!X37</f>
        <v>0</v>
      </c>
      <c r="L38" s="138">
        <f>'[66]2022-23'!$L$40</f>
        <v>0</v>
      </c>
      <c r="M38" s="138">
        <f>'[66]2022-23'!$O$40</f>
        <v>0</v>
      </c>
      <c r="N38" s="147"/>
      <c r="O38" s="153">
        <f t="shared" si="0"/>
        <v>0</v>
      </c>
    </row>
    <row r="39" spans="2:15">
      <c r="B39" s="58" t="s">
        <v>1028</v>
      </c>
      <c r="C39" s="55"/>
      <c r="D39" s="138">
        <f>'[11]FY22-23 Actual Sales'!D38</f>
        <v>0</v>
      </c>
      <c r="E39" s="138">
        <f>'[11]FY22-23 Actual Sales'!E38</f>
        <v>0</v>
      </c>
      <c r="F39" s="138">
        <f>'[11]FY22-23 Actual Sales'!S38</f>
        <v>0</v>
      </c>
      <c r="G39" s="100">
        <v>36</v>
      </c>
      <c r="H39" s="101">
        <v>6.2</v>
      </c>
      <c r="I39" s="153">
        <v>360.25</v>
      </c>
      <c r="J39" s="55"/>
      <c r="K39" s="138">
        <f>'[11]FY22-23 Actual Sales'!X38</f>
        <v>0</v>
      </c>
      <c r="L39" s="138">
        <f>'[66]2022-23'!$L$41</f>
        <v>0</v>
      </c>
      <c r="M39" s="138">
        <f>'[66]2022-23'!$O$41</f>
        <v>0</v>
      </c>
      <c r="N39" s="147"/>
      <c r="O39" s="153">
        <f t="shared" si="0"/>
        <v>0</v>
      </c>
    </row>
    <row r="40" spans="2:15">
      <c r="B40" s="58" t="s">
        <v>1029</v>
      </c>
      <c r="C40" s="55"/>
      <c r="D40" s="138">
        <f>'[11]FY22-23 Actual Sales'!D39</f>
        <v>3668</v>
      </c>
      <c r="E40" s="138">
        <f>'[11]FY22-23 Actual Sales'!$F$39*0.7457/10^3</f>
        <v>40.933493847</v>
      </c>
      <c r="F40" s="138">
        <f>'[66]2022-23'!$H$42</f>
        <v>37.6970015</v>
      </c>
      <c r="G40" s="100">
        <v>65</v>
      </c>
      <c r="H40" s="101">
        <v>7</v>
      </c>
      <c r="I40" s="153">
        <v>360.25</v>
      </c>
      <c r="J40" s="55"/>
      <c r="K40" s="138">
        <f>'[66]2022-23'!$M$42</f>
        <v>3.211223535</v>
      </c>
      <c r="L40" s="138">
        <f>'[66]2022-23'!$L$42</f>
        <v>26.38790105</v>
      </c>
      <c r="M40" s="138">
        <f>'[66]2022-23'!$O$42</f>
        <v>0.44016</v>
      </c>
      <c r="N40" s="147"/>
      <c r="O40" s="153">
        <f t="shared" si="0"/>
        <v>30.039284585</v>
      </c>
    </row>
    <row r="41" spans="2:15">
      <c r="B41" s="58" t="s">
        <v>1030</v>
      </c>
      <c r="C41" s="55"/>
      <c r="D41" s="138">
        <f>'[11]FY22-23 Actual Sales'!D40</f>
        <v>0</v>
      </c>
      <c r="E41" s="138">
        <f>'[11]FY22-23 Actual Sales'!E40</f>
        <v>0</v>
      </c>
      <c r="F41" s="138">
        <f>'[11]FY22-23 Actual Sales'!S40</f>
        <v>0</v>
      </c>
      <c r="G41" s="100">
        <v>75</v>
      </c>
      <c r="H41" s="101">
        <v>7.3</v>
      </c>
      <c r="I41" s="153">
        <v>360.25</v>
      </c>
      <c r="J41" s="55"/>
      <c r="K41" s="138">
        <f>'[11]FY22-23 Actual Sales'!X40</f>
        <v>0</v>
      </c>
      <c r="L41" s="138">
        <f>'[66]2022-23'!$L$43</f>
        <v>0</v>
      </c>
      <c r="M41" s="138">
        <f>'[66]2022-23'!$O$43</f>
        <v>0</v>
      </c>
      <c r="N41" s="147"/>
      <c r="O41" s="153">
        <f t="shared" ref="O41:O67" si="1">K41+L41+M41+N41</f>
        <v>0</v>
      </c>
    </row>
    <row r="42" ht="15" spans="2:15">
      <c r="B42" s="54" t="s">
        <v>1031</v>
      </c>
      <c r="C42" s="55"/>
      <c r="D42" s="136">
        <f>'[11]FY22-23 Actual Sales'!D41</f>
        <v>4578</v>
      </c>
      <c r="E42" s="136">
        <f>'[11]FY22-23 Actual Sales'!F41*0.7457/10^3</f>
        <v>13.243632</v>
      </c>
      <c r="F42" s="136">
        <f>'[66]2022-23'!$H$45</f>
        <v>9.52599</v>
      </c>
      <c r="G42" s="100"/>
      <c r="H42" s="101"/>
      <c r="I42" s="153"/>
      <c r="J42" s="55"/>
      <c r="K42" s="136">
        <f>'[66]2022-23'!$M$45</f>
        <v>0.31968</v>
      </c>
      <c r="L42" s="136">
        <f>'[66]2022-23'!$L$45</f>
        <v>3.810396</v>
      </c>
      <c r="M42" s="136">
        <f>'[66]2022-23'!$O$45</f>
        <v>0.27468</v>
      </c>
      <c r="N42" s="147"/>
      <c r="O42" s="150">
        <f t="shared" si="1"/>
        <v>4.404756</v>
      </c>
    </row>
    <row r="43" ht="28.5" spans="2:15">
      <c r="B43" s="58" t="s">
        <v>178</v>
      </c>
      <c r="C43" s="55"/>
      <c r="D43" s="138">
        <f>'[11]FY22-23 Actual Sales'!D42</f>
        <v>4504</v>
      </c>
      <c r="E43" s="138">
        <f>'[11]FY22-23 Actual Sales'!F42*0.7457/10^3</f>
        <v>13.243632</v>
      </c>
      <c r="F43" s="138">
        <f>'[66]2022-23'!$H$46</f>
        <v>9.52599</v>
      </c>
      <c r="G43" s="208" t="s">
        <v>1032</v>
      </c>
      <c r="H43" s="101">
        <v>4</v>
      </c>
      <c r="I43" s="153">
        <v>50</v>
      </c>
      <c r="J43" s="55"/>
      <c r="K43" s="138">
        <f>'[66]2022-23'!$M$46</f>
        <v>0.31968</v>
      </c>
      <c r="L43" s="138">
        <f>'[66]2022-23'!$L$46</f>
        <v>3.810396</v>
      </c>
      <c r="M43" s="138">
        <f>'[66]2022-23'!$O$46</f>
        <v>0.27024</v>
      </c>
      <c r="N43" s="147"/>
      <c r="O43" s="153">
        <f t="shared" si="1"/>
        <v>4.400316</v>
      </c>
    </row>
    <row r="44" ht="28.5" spans="2:15">
      <c r="B44" s="58" t="s">
        <v>1033</v>
      </c>
      <c r="C44" s="55"/>
      <c r="D44" s="138">
        <f>'[11]FY22-23 Actual Sales'!D43</f>
        <v>74</v>
      </c>
      <c r="E44" s="138"/>
      <c r="F44" s="138">
        <f>'[11]FY22-23 Actual Sales'!S43</f>
        <v>0.008312</v>
      </c>
      <c r="G44" s="208" t="s">
        <v>1032</v>
      </c>
      <c r="H44" s="101">
        <v>4</v>
      </c>
      <c r="I44" s="153">
        <v>50</v>
      </c>
      <c r="J44" s="55"/>
      <c r="K44" s="138">
        <f>'[66]2022-23'!$M$47</f>
        <v>0</v>
      </c>
      <c r="L44" s="138">
        <f>'[66]2022-23'!$L$47</f>
        <v>0</v>
      </c>
      <c r="M44" s="138">
        <f>'[66]2022-23'!$O$47</f>
        <v>0.00444</v>
      </c>
      <c r="N44" s="147"/>
      <c r="O44" s="153">
        <f t="shared" si="1"/>
        <v>0.00444</v>
      </c>
    </row>
    <row r="45" ht="15" spans="2:15">
      <c r="B45" s="54" t="s">
        <v>1034</v>
      </c>
      <c r="C45" s="55"/>
      <c r="D45" s="136">
        <f>'[11]FY22-23 Actual Sales'!D44</f>
        <v>1310333</v>
      </c>
      <c r="E45" s="136">
        <f>'[11]FY22-23 Actual Sales'!F44*0.7457/10^3</f>
        <v>4844.283453</v>
      </c>
      <c r="F45" s="136">
        <f>'[66]2022-23'!$H$48</f>
        <v>12127.2243701067</v>
      </c>
      <c r="G45" s="100"/>
      <c r="H45" s="101"/>
      <c r="I45" s="153"/>
      <c r="J45" s="55"/>
      <c r="K45" s="136">
        <f>'[66]2022-23'!$M$48</f>
        <v>0.0377052</v>
      </c>
      <c r="L45" s="136">
        <f>'[66]2022-23'!$L$48</f>
        <v>2.74293625</v>
      </c>
      <c r="M45" s="136">
        <f>'[66]2022-23'!$O$48</f>
        <v>46.46</v>
      </c>
      <c r="N45" s="147"/>
      <c r="O45" s="150">
        <f t="shared" si="1"/>
        <v>49.24064145</v>
      </c>
    </row>
    <row r="46" spans="2:15">
      <c r="B46" s="56" t="s">
        <v>1035</v>
      </c>
      <c r="C46" s="55"/>
      <c r="D46" s="138">
        <f>'[11]FY22-23 Actual Sales'!D45</f>
        <v>1310043</v>
      </c>
      <c r="E46" s="138">
        <f>'[11]FY22-23 Actual Sales'!F45*0.7457/10^3</f>
        <v>4843.111921015</v>
      </c>
      <c r="F46" s="138">
        <f>'[66]2022-23'!$H$49</f>
        <v>12124.8693741067</v>
      </c>
      <c r="G46" s="100"/>
      <c r="H46" s="101"/>
      <c r="I46" s="153"/>
      <c r="J46" s="55"/>
      <c r="K46" s="138">
        <f>'[66]2022-23'!$M$49</f>
        <v>0</v>
      </c>
      <c r="L46" s="138">
        <f>'[66]2022-23'!$L$49</f>
        <v>1.80093785</v>
      </c>
      <c r="M46" s="138">
        <f>'[66]2022-23'!$O$49</f>
        <v>46.46</v>
      </c>
      <c r="N46" s="147"/>
      <c r="O46" s="153">
        <f t="shared" si="1"/>
        <v>48.26093785</v>
      </c>
    </row>
    <row r="47" spans="2:15">
      <c r="B47" s="58" t="s">
        <v>1036</v>
      </c>
      <c r="C47" s="55"/>
      <c r="D47" s="139">
        <f>'[11]FY22-23 Actual Sales'!D46</f>
        <v>2013</v>
      </c>
      <c r="E47" s="139">
        <f>'[11]FY22-23 Actual Sales'!F46*0.7457/10^3</f>
        <v>8.57361118</v>
      </c>
      <c r="F47" s="139">
        <f>'[66]2022-23'!$H$50</f>
        <v>7.2037514</v>
      </c>
      <c r="G47" s="100"/>
      <c r="H47" s="101">
        <v>2.5</v>
      </c>
      <c r="I47" s="153">
        <v>30</v>
      </c>
      <c r="J47" s="55"/>
      <c r="K47" s="139">
        <f>'[66]2022-23'!$M$50</f>
        <v>0</v>
      </c>
      <c r="L47" s="139">
        <f>'[66]2022-23'!$L$50</f>
        <v>1.80093785</v>
      </c>
      <c r="M47" s="139">
        <f>'[66]2022-23'!$O$50</f>
        <v>0</v>
      </c>
      <c r="N47" s="147"/>
      <c r="O47" s="153">
        <f t="shared" si="1"/>
        <v>1.80093785</v>
      </c>
    </row>
    <row r="48" spans="2:15">
      <c r="B48" s="56" t="s">
        <v>1038</v>
      </c>
      <c r="C48" s="55"/>
      <c r="D48" s="139">
        <f>'[11]FY22-23 Actual Sales'!D47</f>
        <v>1308030</v>
      </c>
      <c r="E48" s="139">
        <f>'[11]FY22-23 Actual Sales'!F47*0.7457/10^3</f>
        <v>4834.538309835</v>
      </c>
      <c r="F48" s="139">
        <f>'[66]2022-23'!$H$51</f>
        <v>12117.6656227067</v>
      </c>
      <c r="G48" s="100"/>
      <c r="H48" s="101"/>
      <c r="I48" s="153"/>
      <c r="J48" s="55"/>
      <c r="K48" s="139">
        <f>'[66]2022-23'!$M$51</f>
        <v>0</v>
      </c>
      <c r="L48" s="139">
        <f>'[66]2022-23'!$L$51</f>
        <v>0</v>
      </c>
      <c r="M48" s="139">
        <f>'[66]2022-23'!$O$51</f>
        <v>46.46</v>
      </c>
      <c r="N48" s="147"/>
      <c r="O48" s="153">
        <f t="shared" si="1"/>
        <v>46.46</v>
      </c>
    </row>
    <row r="49" spans="2:15">
      <c r="B49" s="58" t="s">
        <v>1099</v>
      </c>
      <c r="C49" s="55"/>
      <c r="D49" s="144">
        <f>'[11]FY22-23 Actual Sales'!D48</f>
        <v>1308030</v>
      </c>
      <c r="E49" s="139">
        <f>'[11]FY22-23 Actual Sales'!F48*0.7457/10^3</f>
        <v>4834.538309835</v>
      </c>
      <c r="F49" s="144">
        <f>'[66]2022-23'!$H$51</f>
        <v>12117.6656227067</v>
      </c>
      <c r="G49" s="100"/>
      <c r="H49" s="101"/>
      <c r="I49" s="153">
        <v>30</v>
      </c>
      <c r="J49" s="55"/>
      <c r="K49" s="144">
        <f>'[66]2022-23'!$M$51</f>
        <v>0</v>
      </c>
      <c r="L49" s="144">
        <f>'[66]2022-23'!$L$51</f>
        <v>0</v>
      </c>
      <c r="M49" s="144">
        <f>'[66]2022-23'!$O$51</f>
        <v>46.46</v>
      </c>
      <c r="N49" s="147"/>
      <c r="O49" s="153">
        <f t="shared" si="1"/>
        <v>46.46</v>
      </c>
    </row>
    <row r="50" spans="2:15">
      <c r="B50" s="58" t="s">
        <v>1100</v>
      </c>
      <c r="C50" s="55"/>
      <c r="D50" s="144">
        <f>'[11]FY22-23 Actual Sales'!D49</f>
        <v>0</v>
      </c>
      <c r="E50" s="138">
        <f>'[11]FY22-23 Actual Sales'!F49*0.7457/10^3</f>
        <v>0</v>
      </c>
      <c r="F50" s="144">
        <v>0</v>
      </c>
      <c r="I50" s="153">
        <v>30</v>
      </c>
      <c r="J50" s="55"/>
      <c r="K50" s="144">
        <f>'[66]2022-23'!$M$51</f>
        <v>0</v>
      </c>
      <c r="L50" s="144">
        <f>'[66]2022-23'!$L$51</f>
        <v>0</v>
      </c>
      <c r="M50" s="144">
        <f>'[66]2022-23'!$O$51</f>
        <v>46.46</v>
      </c>
      <c r="N50" s="147"/>
      <c r="O50" s="153">
        <f t="shared" si="1"/>
        <v>46.46</v>
      </c>
    </row>
    <row r="51" spans="2:15">
      <c r="B51" s="56" t="s">
        <v>1039</v>
      </c>
      <c r="C51" s="55"/>
      <c r="D51" s="138">
        <f>'[11]FY22-23 Actual Sales'!D50</f>
        <v>290</v>
      </c>
      <c r="E51" s="138">
        <f>'[11]FY22-23 Actual Sales'!$F$50*0.7457/10^3</f>
        <v>1.171531985</v>
      </c>
      <c r="F51" s="138">
        <f>'[66]2022-23'!$H$52</f>
        <v>2.354996</v>
      </c>
      <c r="G51" s="100"/>
      <c r="H51" s="101"/>
      <c r="I51" s="153"/>
      <c r="J51" s="55"/>
      <c r="K51" s="138">
        <f>'[66]2022-23'!M52</f>
        <v>0.0377052</v>
      </c>
      <c r="L51" s="138">
        <f>'[66]2022-23'!L52</f>
        <v>0.9419984</v>
      </c>
      <c r="M51" s="138">
        <f>'[66]2022-23'!O52</f>
        <v>0</v>
      </c>
      <c r="N51" s="147"/>
      <c r="O51" s="153">
        <f t="shared" si="1"/>
        <v>0.9797036</v>
      </c>
    </row>
    <row r="52" spans="2:15">
      <c r="B52" s="58" t="s">
        <v>1040</v>
      </c>
      <c r="C52" s="55"/>
      <c r="D52" s="138">
        <f>'[11]FY22-23 Actual Sales'!D51</f>
        <v>290</v>
      </c>
      <c r="E52" s="139">
        <f>'[11]FY22-23 Actual Sales'!$F$50*0.7457/10^3</f>
        <v>1.171531985</v>
      </c>
      <c r="F52" s="138">
        <f>'[66]2022-23'!$H$53</f>
        <v>2.354996</v>
      </c>
      <c r="G52" s="100">
        <v>20</v>
      </c>
      <c r="H52" s="101">
        <v>4</v>
      </c>
      <c r="I52" s="153">
        <v>30</v>
      </c>
      <c r="J52" s="55"/>
      <c r="K52" s="138">
        <f>'[66]2022-23'!M53</f>
        <v>0.0377052</v>
      </c>
      <c r="L52" s="138">
        <f>'[66]2022-23'!L53</f>
        <v>0.9419984</v>
      </c>
      <c r="M52" s="138">
        <f>'[66]2022-23'!O53</f>
        <v>0</v>
      </c>
      <c r="N52" s="147"/>
      <c r="O52" s="153">
        <f t="shared" si="1"/>
        <v>0.9797036</v>
      </c>
    </row>
    <row r="53" ht="15" spans="2:15">
      <c r="B53" s="54" t="s">
        <v>1042</v>
      </c>
      <c r="C53" s="55"/>
      <c r="D53" s="136">
        <f>'[11]FY22-23 Actual Sales'!D53</f>
        <v>73798</v>
      </c>
      <c r="E53" s="136">
        <f>'[11]FY22-23 Actual Sales'!$E$52</f>
        <v>168.53122</v>
      </c>
      <c r="F53" s="136">
        <f>'[66]2022-23'!$H$55</f>
        <v>247.1596055</v>
      </c>
      <c r="I53" s="153"/>
      <c r="J53" s="55"/>
      <c r="K53" s="136">
        <f>'[66]2022-23'!$M$55</f>
        <v>6.471598848</v>
      </c>
      <c r="L53" s="136">
        <f>'[66]2022-23'!$L$55</f>
        <v>190.505071205</v>
      </c>
      <c r="M53" s="136">
        <f>'[66]2022-23'!$O$55</f>
        <v>10.626912</v>
      </c>
      <c r="N53" s="147"/>
      <c r="O53" s="150">
        <f t="shared" si="1"/>
        <v>207.603582053</v>
      </c>
    </row>
    <row r="54" spans="2:15">
      <c r="B54" s="58" t="s">
        <v>1043</v>
      </c>
      <c r="C54" s="55"/>
      <c r="D54" s="138">
        <f>'[11]FY22-23 Actual Sales'!D54</f>
        <v>34258</v>
      </c>
      <c r="E54" s="138">
        <f>'[11]FY22-23 Actual Sales'!E54</f>
        <v>60.94</v>
      </c>
      <c r="F54" s="138">
        <f>'[66]2022-23'!$H$56</f>
        <v>73.8281015</v>
      </c>
      <c r="G54" s="100">
        <v>32</v>
      </c>
      <c r="H54" s="101">
        <v>7.1</v>
      </c>
      <c r="I54" s="153">
        <v>120</v>
      </c>
      <c r="J54" s="55"/>
      <c r="K54" s="138">
        <f>'[66]2022-23'!M56</f>
        <v>2.340096</v>
      </c>
      <c r="L54" s="138">
        <f>'[66]2022-23'!L56</f>
        <v>52.417952065</v>
      </c>
      <c r="M54" s="138">
        <f>'[66]2022-23'!O56</f>
        <v>4.933152</v>
      </c>
      <c r="N54" s="147"/>
      <c r="O54" s="153">
        <f t="shared" si="1"/>
        <v>59.691200065</v>
      </c>
    </row>
    <row r="55" spans="2:15">
      <c r="B55" s="58" t="s">
        <v>1044</v>
      </c>
      <c r="C55" s="55"/>
      <c r="D55" s="138">
        <f>'[11]FY22-23 Actual Sales'!D55</f>
        <v>11359</v>
      </c>
      <c r="E55" s="138">
        <f>'[11]FY22-23 Actual Sales'!E55</f>
        <v>29.49177</v>
      </c>
      <c r="F55" s="138">
        <f>'[66]2022-23'!$H$57</f>
        <v>46.227982</v>
      </c>
      <c r="G55" s="100">
        <v>32</v>
      </c>
      <c r="H55" s="101">
        <v>7.6</v>
      </c>
      <c r="I55" s="153">
        <v>120</v>
      </c>
      <c r="J55" s="55"/>
      <c r="K55" s="138">
        <f>'[66]2022-23'!M57</f>
        <v>1.132483968</v>
      </c>
      <c r="L55" s="138">
        <f>'[66]2022-23'!L57</f>
        <v>35.13326632</v>
      </c>
      <c r="M55" s="138">
        <f>'[66]2022-23'!O57</f>
        <v>1.635696</v>
      </c>
      <c r="N55" s="147"/>
      <c r="O55" s="153">
        <f t="shared" si="1"/>
        <v>37.901446288</v>
      </c>
    </row>
    <row r="56" spans="2:15">
      <c r="B56" s="58" t="s">
        <v>1045</v>
      </c>
      <c r="C56" s="55"/>
      <c r="D56" s="138">
        <f>'[11]FY22-23 Actual Sales'!D56</f>
        <v>28181</v>
      </c>
      <c r="E56" s="138">
        <f>'[11]FY22-23 Actual Sales'!E56</f>
        <v>78.09945</v>
      </c>
      <c r="F56" s="138">
        <f>'[66]2022-23'!$H$58</f>
        <v>127.103522</v>
      </c>
      <c r="G56" s="100">
        <v>32</v>
      </c>
      <c r="H56" s="101">
        <v>8.1</v>
      </c>
      <c r="I56" s="153">
        <v>120</v>
      </c>
      <c r="J56" s="55"/>
      <c r="K56" s="138">
        <f>'[66]2022-23'!M58</f>
        <v>2.99901888</v>
      </c>
      <c r="L56" s="138">
        <f>'[66]2022-23'!L58</f>
        <v>102.95385282</v>
      </c>
      <c r="M56" s="138">
        <f>'[66]2022-23'!O58</f>
        <v>4.058064</v>
      </c>
      <c r="N56" s="147"/>
      <c r="O56" s="153">
        <f t="shared" si="1"/>
        <v>110.0109357</v>
      </c>
    </row>
    <row r="57" ht="15" spans="2:15">
      <c r="B57" s="54" t="s">
        <v>1046</v>
      </c>
      <c r="C57" s="55"/>
      <c r="D57" s="136">
        <f>'[11]FY22-23 Actual Sales'!D57</f>
        <v>34474</v>
      </c>
      <c r="E57" s="136">
        <f>'[11]FY22-23 Actual Sales'!E57+'[11]FY22-23 Actual Sales'!F57*0.7457/10^3</f>
        <v>113.555501737</v>
      </c>
      <c r="F57" s="136">
        <f>'[66]2022-23'!$H$59</f>
        <v>227.05478375</v>
      </c>
      <c r="G57" s="55"/>
      <c r="H57" s="55"/>
      <c r="I57" s="153">
        <v>120</v>
      </c>
      <c r="J57" s="55"/>
      <c r="K57" s="136">
        <f>'[66]2022-23'!$M$59</f>
        <v>5.847567744</v>
      </c>
      <c r="L57" s="136">
        <f>'[66]2022-23'!$L$59</f>
        <v>143.53775809</v>
      </c>
      <c r="M57" s="136">
        <f>'[66]2022-23'!$O$59</f>
        <v>4.964256</v>
      </c>
      <c r="N57" s="147"/>
      <c r="O57" s="150">
        <f t="shared" si="1"/>
        <v>154.349581834</v>
      </c>
    </row>
    <row r="58" ht="28.5" spans="2:15">
      <c r="B58" s="58" t="s">
        <v>1043</v>
      </c>
      <c r="C58" s="55"/>
      <c r="D58" s="138">
        <f>'[11]FY22-23 Actual Sales'!D58</f>
        <v>24893</v>
      </c>
      <c r="E58" s="138">
        <f>'[11]FY22-23 Actual Sales'!E58+'[11]FY22-23 Actual Sales'!F58*0.7457/10^3</f>
        <v>78.5460724</v>
      </c>
      <c r="F58" s="138">
        <f>'[66]2022-23'!H60</f>
        <v>167.25096475</v>
      </c>
      <c r="G58" s="208" t="s">
        <v>1047</v>
      </c>
      <c r="H58" s="101">
        <v>6</v>
      </c>
      <c r="I58" s="153">
        <v>120</v>
      </c>
      <c r="J58" s="55"/>
      <c r="K58" s="138">
        <f>'[66]2022-23'!M60</f>
        <v>4.0447488</v>
      </c>
      <c r="L58" s="138">
        <f>'[66]2022-23'!L60</f>
        <v>100.35057885</v>
      </c>
      <c r="M58" s="138">
        <f>'[66]2022-23'!O60</f>
        <v>3.584592</v>
      </c>
      <c r="N58" s="147"/>
      <c r="O58" s="153">
        <f t="shared" si="1"/>
        <v>107.97991965</v>
      </c>
    </row>
    <row r="59" ht="42.75" spans="2:15">
      <c r="B59" s="58" t="s">
        <v>1044</v>
      </c>
      <c r="C59" s="55"/>
      <c r="D59" s="138">
        <f>'[11]FY22-23 Actual Sales'!D59</f>
        <v>5889</v>
      </c>
      <c r="E59" s="138">
        <f>'[11]FY22-23 Actual Sales'!E59+'[11]FY22-23 Actual Sales'!F59*0.7457/10^3</f>
        <v>20.499501796</v>
      </c>
      <c r="F59" s="138">
        <f>'[66]2022-23'!H61</f>
        <v>45.274464</v>
      </c>
      <c r="G59" s="208" t="s">
        <v>1048</v>
      </c>
      <c r="H59" s="101">
        <v>7.1</v>
      </c>
      <c r="I59" s="153">
        <v>120</v>
      </c>
      <c r="J59" s="55"/>
      <c r="K59" s="138">
        <f>'[66]2022-23'!M61</f>
        <v>1.055626752</v>
      </c>
      <c r="L59" s="138">
        <f>'[66]2022-23'!L61</f>
        <v>32.14486944</v>
      </c>
      <c r="M59" s="138">
        <f>'[66]2022-23'!O61</f>
        <v>0.848016</v>
      </c>
      <c r="N59" s="147"/>
      <c r="O59" s="153">
        <f t="shared" si="1"/>
        <v>34.048512192</v>
      </c>
    </row>
    <row r="60" ht="42.75" spans="2:15">
      <c r="B60" s="58" t="s">
        <v>1045</v>
      </c>
      <c r="C60" s="55"/>
      <c r="D60" s="138">
        <f>'[11]FY22-23 Actual Sales'!D60</f>
        <v>3692</v>
      </c>
      <c r="E60" s="138">
        <f>'[11]FY22-23 Actual Sales'!E60+'[11]FY22-23 Actual Sales'!F60*0.7457/10^3</f>
        <v>14.509927541</v>
      </c>
      <c r="F60" s="138">
        <f>'[66]2022-23'!H62</f>
        <v>14.529355</v>
      </c>
      <c r="G60" s="208" t="s">
        <v>1048</v>
      </c>
      <c r="H60" s="101">
        <v>7.6</v>
      </c>
      <c r="I60" s="153">
        <v>120</v>
      </c>
      <c r="J60" s="55"/>
      <c r="K60" s="138">
        <f>'[66]2022-23'!M62</f>
        <v>0.747192192</v>
      </c>
      <c r="L60" s="138">
        <f>'[66]2022-23'!L62</f>
        <v>11.0423098</v>
      </c>
      <c r="M60" s="138">
        <f>'[66]2022-23'!O62</f>
        <v>0.531648</v>
      </c>
      <c r="N60" s="147"/>
      <c r="O60" s="153">
        <f t="shared" si="1"/>
        <v>12.321149992</v>
      </c>
    </row>
    <row r="61" ht="15" spans="2:15">
      <c r="B61" s="54" t="s">
        <v>1049</v>
      </c>
      <c r="C61" s="55"/>
      <c r="D61" s="136">
        <f>'[11]FY22-23 Actual Sales'!D61</f>
        <v>24698</v>
      </c>
      <c r="E61" s="136">
        <f>'[11]FY22-23 Actual Sales'!E61</f>
        <v>71.36</v>
      </c>
      <c r="F61" s="136">
        <f>'[66]2022-23'!H63</f>
        <v>88.86011975</v>
      </c>
      <c r="I61" s="153"/>
      <c r="J61" s="55"/>
      <c r="K61" s="136">
        <f>'[66]2022-23'!$M$63</f>
        <v>1.798272</v>
      </c>
      <c r="L61" s="136">
        <f>'[66]2022-23'!$L$63</f>
        <v>71.96217664</v>
      </c>
      <c r="M61" s="136">
        <f>'[66]2022-23'!$O$63</f>
        <v>2.96376</v>
      </c>
      <c r="N61" s="147"/>
      <c r="O61" s="150">
        <f t="shared" si="1"/>
        <v>76.72420864</v>
      </c>
    </row>
    <row r="62" spans="2:15">
      <c r="B62" s="56" t="s">
        <v>1050</v>
      </c>
      <c r="C62" s="55"/>
      <c r="D62" s="138">
        <f>'[11]FY22-23 Actual Sales'!D62</f>
        <v>20138</v>
      </c>
      <c r="E62" s="138">
        <f>'[11]FY22-23 Actual Sales'!E62</f>
        <v>64.55</v>
      </c>
      <c r="F62" s="138">
        <f>'[66]2022-23'!$H$64</f>
        <v>79.43</v>
      </c>
      <c r="G62" s="100">
        <v>21</v>
      </c>
      <c r="H62" s="101">
        <v>8.3</v>
      </c>
      <c r="I62" s="153">
        <v>100</v>
      </c>
      <c r="J62" s="55"/>
      <c r="K62" s="138">
        <f>'[66]2022-23'!$M$64</f>
        <v>1.62666</v>
      </c>
      <c r="L62" s="138">
        <f>'[66]2022-23'!$L$64</f>
        <v>65.9269</v>
      </c>
      <c r="M62" s="138">
        <f>'[66]2022-23'!$O$64</f>
        <v>2.41656</v>
      </c>
      <c r="N62" s="147"/>
      <c r="O62" s="153">
        <f t="shared" si="1"/>
        <v>69.97012</v>
      </c>
    </row>
    <row r="63" spans="2:15">
      <c r="B63" s="56" t="s">
        <v>1051</v>
      </c>
      <c r="C63" s="55"/>
      <c r="D63" s="138">
        <f>'[11]FY22-23 Actual Sales'!D63</f>
        <v>4560</v>
      </c>
      <c r="E63" s="138">
        <f>'[11]FY22-23 Actual Sales'!E63</f>
        <v>6.81</v>
      </c>
      <c r="F63" s="138">
        <f>'[66]2022-23'!$H$65</f>
        <v>9.43011975</v>
      </c>
      <c r="G63" s="100"/>
      <c r="H63" s="100"/>
      <c r="I63" s="100"/>
      <c r="J63" s="55"/>
      <c r="K63" s="138">
        <f>'[66]2022-23'!$M$65</f>
        <v>0.171612</v>
      </c>
      <c r="L63" s="138">
        <f>'[66]2022-23'!$L$65</f>
        <v>6.03527664</v>
      </c>
      <c r="M63" s="138">
        <f>'[66]2022-23'!$O$65</f>
        <v>0.5472</v>
      </c>
      <c r="N63" s="147"/>
      <c r="O63" s="153">
        <f t="shared" si="1"/>
        <v>6.75408864</v>
      </c>
    </row>
    <row r="64" spans="2:15">
      <c r="B64" s="56" t="s">
        <v>1052</v>
      </c>
      <c r="C64" s="55"/>
      <c r="D64" s="145">
        <f>'[11]FY22-23 Actual Sales'!D64</f>
        <v>4560</v>
      </c>
      <c r="E64" s="145">
        <f>'[11]FY22-23 Actual Sales'!E64</f>
        <v>6.81</v>
      </c>
      <c r="F64" s="145">
        <f>'[66]2022-23'!$H$66</f>
        <v>9.43011975</v>
      </c>
      <c r="G64" s="100">
        <v>21</v>
      </c>
      <c r="H64" s="101">
        <v>6.4</v>
      </c>
      <c r="I64" s="153">
        <v>100</v>
      </c>
      <c r="J64" s="55"/>
      <c r="K64" s="145">
        <f>'[66]2022-23'!$M$66</f>
        <v>0.171612</v>
      </c>
      <c r="L64" s="145">
        <f>'[66]2022-23'!$L$66</f>
        <v>6.03527664</v>
      </c>
      <c r="M64" s="145">
        <f>'[66]2022-23'!$O$66</f>
        <v>0.5472</v>
      </c>
      <c r="N64" s="147"/>
      <c r="O64" s="153">
        <f t="shared" si="1"/>
        <v>6.75408864</v>
      </c>
    </row>
    <row r="65" spans="2:15">
      <c r="B65" s="56" t="s">
        <v>1053</v>
      </c>
      <c r="C65" s="55"/>
      <c r="D65" s="145">
        <v>0</v>
      </c>
      <c r="E65" s="145">
        <v>0</v>
      </c>
      <c r="F65" s="145">
        <v>0</v>
      </c>
      <c r="G65" s="100">
        <v>21</v>
      </c>
      <c r="H65" s="101">
        <v>7</v>
      </c>
      <c r="I65" s="153">
        <v>100</v>
      </c>
      <c r="J65" s="55"/>
      <c r="K65" s="145">
        <f>'[66]2022-23'!$M$67</f>
        <v>0</v>
      </c>
      <c r="L65" s="145">
        <f>'[66]2022-23'!$L$67</f>
        <v>0</v>
      </c>
      <c r="M65" s="145">
        <f>'[66]2022-23'!$O$67</f>
        <v>0</v>
      </c>
      <c r="N65" s="147"/>
      <c r="O65" s="153">
        <f t="shared" si="1"/>
        <v>0</v>
      </c>
    </row>
    <row r="66" ht="15" spans="2:15">
      <c r="B66" s="54" t="s">
        <v>1054</v>
      </c>
      <c r="C66" s="55"/>
      <c r="D66" s="136">
        <f>'[11]FY22-23 Actual Sales'!D66</f>
        <v>12733</v>
      </c>
      <c r="E66" s="136">
        <f>'[11]FY22-23 Actual Sales'!E66</f>
        <v>102.26</v>
      </c>
      <c r="F66" s="136">
        <f>'[66]2022-23'!$H$68</f>
        <v>102.58438565</v>
      </c>
      <c r="G66" s="100">
        <v>21</v>
      </c>
      <c r="H66" s="101">
        <v>12</v>
      </c>
      <c r="I66" s="153">
        <v>100</v>
      </c>
      <c r="J66" s="55"/>
      <c r="K66" s="136">
        <f>'[66]2022-23'!$M$68</f>
        <v>2.576952</v>
      </c>
      <c r="L66" s="136">
        <f>'[66]2022-23'!$L$68</f>
        <v>123.10126278</v>
      </c>
      <c r="M66" s="136">
        <f>'[66]2022-23'!$O$68</f>
        <v>1.81</v>
      </c>
      <c r="N66" s="147"/>
      <c r="O66" s="150">
        <f t="shared" si="1"/>
        <v>127.48821478</v>
      </c>
    </row>
    <row r="67" ht="15" spans="2:15">
      <c r="B67" s="54" t="s">
        <v>1101</v>
      </c>
      <c r="C67" s="55"/>
      <c r="D67" s="136">
        <f>'[11]FY22-23 Actual Sales'!D67</f>
        <v>103</v>
      </c>
      <c r="E67" s="136">
        <f>'[11]FY22-23 Actual Sales'!E67</f>
        <v>1.93</v>
      </c>
      <c r="F67" s="136">
        <f>'[66]2022-23'!$H$70</f>
        <v>0.5449</v>
      </c>
      <c r="G67" s="100">
        <v>50</v>
      </c>
      <c r="H67" s="101">
        <v>6</v>
      </c>
      <c r="I67" s="153">
        <v>120</v>
      </c>
      <c r="J67" s="55"/>
      <c r="K67" s="136">
        <f>'[66]2022-23'!$M$70</f>
        <v>0.1158</v>
      </c>
      <c r="L67" s="136">
        <f>'[66]2022-23'!$L$70</f>
        <v>0.32694</v>
      </c>
      <c r="M67" s="136">
        <f>'[66]2022-23'!$O$70</f>
        <v>0.007416</v>
      </c>
      <c r="N67" s="147"/>
      <c r="O67" s="137">
        <f t="shared" si="1"/>
        <v>0.450156</v>
      </c>
    </row>
    <row r="68" ht="15" spans="2:15">
      <c r="B68" s="54"/>
      <c r="C68" s="55"/>
      <c r="D68" s="146"/>
      <c r="E68" s="147"/>
      <c r="F68" s="147"/>
      <c r="G68" s="147"/>
      <c r="H68" s="147"/>
      <c r="I68" s="55"/>
      <c r="J68" s="55"/>
      <c r="K68" s="147"/>
      <c r="L68" s="147"/>
      <c r="M68" s="147"/>
      <c r="N68" s="147"/>
      <c r="O68" s="147"/>
    </row>
    <row r="69" ht="15" spans="2:15">
      <c r="B69" s="54" t="s">
        <v>1102</v>
      </c>
      <c r="C69" s="55"/>
      <c r="D69" s="187">
        <f>SUM(D9,D22,D35,D42,D45,D53,D57,D61,D66,D67)</f>
        <v>10036558</v>
      </c>
      <c r="E69" s="187">
        <f>SUM(E9,E22,E35,E42,E45,E53,E57,E61,E66,E67)</f>
        <v>20799.091349737</v>
      </c>
      <c r="F69" s="187">
        <f>SUM(F9,F22,F35,F42,F45,F53,F57,F61,F66,F67)</f>
        <v>26976.5930980067</v>
      </c>
      <c r="G69" s="187"/>
      <c r="H69" s="187"/>
      <c r="I69" s="187"/>
      <c r="J69" s="199"/>
      <c r="K69" s="188">
        <f t="shared" ref="K69:O69" si="2">SUM(K9,K22,K35,K42,K45,K53,K57,K61,K66,K67)</f>
        <v>621.827437962</v>
      </c>
      <c r="L69" s="188">
        <f t="shared" si="2"/>
        <v>9223.5226470777</v>
      </c>
      <c r="M69" s="188">
        <f t="shared" si="2"/>
        <v>822.53585</v>
      </c>
      <c r="N69" s="187">
        <f t="shared" si="2"/>
        <v>0</v>
      </c>
      <c r="O69" s="187">
        <f t="shared" si="2"/>
        <v>10667.8859350397</v>
      </c>
    </row>
    <row r="70" ht="15" spans="2:15">
      <c r="B70" s="66"/>
      <c r="C70" s="67"/>
      <c r="D70" s="150"/>
      <c r="E70" s="137"/>
      <c r="F70" s="150"/>
      <c r="G70" s="150"/>
      <c r="H70" s="150"/>
      <c r="I70" s="150"/>
      <c r="J70" s="55"/>
      <c r="K70" s="137"/>
      <c r="L70" s="150"/>
      <c r="M70" s="150"/>
      <c r="N70" s="147"/>
      <c r="O70" s="150"/>
    </row>
    <row r="71" ht="15" spans="2:15">
      <c r="B71" s="70" t="s">
        <v>907</v>
      </c>
      <c r="C71" s="70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</row>
    <row r="72" spans="2:15">
      <c r="B72" s="151" t="s">
        <v>190</v>
      </c>
      <c r="C72" s="55"/>
      <c r="D72" s="147"/>
      <c r="E72" s="147"/>
      <c r="F72" s="147"/>
      <c r="G72" s="55"/>
      <c r="H72" s="55"/>
      <c r="I72" s="55"/>
      <c r="J72" s="55"/>
      <c r="K72" s="147"/>
      <c r="L72" s="147"/>
      <c r="M72" s="147"/>
      <c r="N72" s="147"/>
      <c r="O72" s="147"/>
    </row>
    <row r="73" ht="27.6" customHeight="1" spans="2:18">
      <c r="B73" s="151" t="s">
        <v>1103</v>
      </c>
      <c r="C73" s="72"/>
      <c r="D73" s="136"/>
      <c r="E73" s="136"/>
      <c r="F73" s="136"/>
      <c r="G73" s="150"/>
      <c r="H73" s="137"/>
      <c r="I73" s="150"/>
      <c r="J73" s="55"/>
      <c r="K73" s="136"/>
      <c r="L73" s="136"/>
      <c r="M73" s="136"/>
      <c r="N73" s="147"/>
      <c r="O73" s="153"/>
      <c r="Q73" s="218"/>
      <c r="R73" s="218"/>
    </row>
    <row r="74" ht="15" spans="2:18">
      <c r="B74" s="152" t="s">
        <v>1104</v>
      </c>
      <c r="C74" s="72"/>
      <c r="D74" s="138"/>
      <c r="E74" s="138"/>
      <c r="F74" s="138"/>
      <c r="G74" s="153"/>
      <c r="H74" s="101"/>
      <c r="I74" s="153"/>
      <c r="J74" s="55"/>
      <c r="K74" s="138"/>
      <c r="L74" s="138"/>
      <c r="M74" s="138"/>
      <c r="N74" s="147"/>
      <c r="O74" s="153"/>
      <c r="Q74" s="3"/>
      <c r="R74" s="3"/>
    </row>
    <row r="75" ht="15" spans="2:18">
      <c r="B75" s="154" t="s">
        <v>1105</v>
      </c>
      <c r="C75" s="72"/>
      <c r="D75" s="150">
        <f>'[11]FY22-23 Actual Sales'!D76</f>
        <v>4009</v>
      </c>
      <c r="E75" s="150">
        <v>1094.10579799999</v>
      </c>
      <c r="F75" s="153">
        <v>1459.21298961</v>
      </c>
      <c r="G75" s="153">
        <v>475</v>
      </c>
      <c r="H75" s="101">
        <v>7.65</v>
      </c>
      <c r="I75" s="153">
        <v>2000</v>
      </c>
      <c r="J75" s="55"/>
      <c r="K75" s="153">
        <v>623.640304859994</v>
      </c>
      <c r="L75" s="153">
        <v>1116.29793705165</v>
      </c>
      <c r="M75" s="153">
        <v>9.6216</v>
      </c>
      <c r="N75" s="147"/>
      <c r="O75" s="153">
        <f t="shared" ref="O75:O106" si="3">K75+L75+M75</f>
        <v>1749.55984191164</v>
      </c>
      <c r="Q75" s="219"/>
      <c r="R75" s="220"/>
    </row>
    <row r="76" ht="25.5" spans="2:18">
      <c r="B76" s="155" t="s">
        <v>1106</v>
      </c>
      <c r="C76" s="55"/>
      <c r="D76" s="150">
        <f>'[11]FY22-23 Actual Sales'!D77</f>
        <v>1168</v>
      </c>
      <c r="E76" s="150">
        <v>121.676672</v>
      </c>
      <c r="F76" s="153">
        <v>214.71637324</v>
      </c>
      <c r="G76" s="153">
        <v>100</v>
      </c>
      <c r="H76" s="101">
        <v>8</v>
      </c>
      <c r="I76" s="153">
        <v>2000</v>
      </c>
      <c r="J76" s="55"/>
      <c r="K76" s="153">
        <v>14.60120064</v>
      </c>
      <c r="L76" s="153">
        <v>171.773098592</v>
      </c>
      <c r="M76" s="153">
        <v>2.8032</v>
      </c>
      <c r="N76" s="55"/>
      <c r="O76" s="153">
        <f t="shared" si="3"/>
        <v>189.177499232</v>
      </c>
      <c r="Q76" s="219"/>
      <c r="R76" s="220"/>
    </row>
    <row r="77" ht="15" spans="2:18">
      <c r="B77" s="154" t="s">
        <v>1107</v>
      </c>
      <c r="C77" s="55"/>
      <c r="D77" s="216"/>
      <c r="E77" s="216"/>
      <c r="F77" s="153">
        <v>0.188002</v>
      </c>
      <c r="G77" s="153">
        <v>0</v>
      </c>
      <c r="H77" s="101">
        <v>7.65</v>
      </c>
      <c r="I77" s="153">
        <v>2000</v>
      </c>
      <c r="J77" s="55"/>
      <c r="K77" s="153">
        <v>0</v>
      </c>
      <c r="L77" s="153">
        <v>0.14382153</v>
      </c>
      <c r="M77" s="153"/>
      <c r="N77" s="55"/>
      <c r="O77" s="153">
        <f t="shared" si="3"/>
        <v>0.14382153</v>
      </c>
      <c r="Q77" s="219"/>
      <c r="R77" s="220"/>
    </row>
    <row r="78" ht="15" spans="2:18">
      <c r="B78" s="154" t="s">
        <v>1108</v>
      </c>
      <c r="C78" s="55"/>
      <c r="D78" s="216"/>
      <c r="E78" s="216"/>
      <c r="F78" s="153">
        <v>1.0378473</v>
      </c>
      <c r="G78" s="153">
        <v>0</v>
      </c>
      <c r="H78" s="101">
        <v>7.3</v>
      </c>
      <c r="I78" s="153">
        <v>2000</v>
      </c>
      <c r="J78" s="55"/>
      <c r="K78" s="153">
        <v>0</v>
      </c>
      <c r="L78" s="153">
        <v>0.757628529</v>
      </c>
      <c r="M78" s="153"/>
      <c r="N78" s="55"/>
      <c r="O78" s="153">
        <f t="shared" si="3"/>
        <v>0.757628529</v>
      </c>
      <c r="Q78" s="219"/>
      <c r="R78" s="220"/>
    </row>
    <row r="79" ht="15" spans="2:18">
      <c r="B79" s="154" t="s">
        <v>1109</v>
      </c>
      <c r="C79" s="55"/>
      <c r="D79" s="150">
        <f>'[11]FY22-23 Actual Sales'!D80</f>
        <v>188</v>
      </c>
      <c r="E79" s="150">
        <v>60.16</v>
      </c>
      <c r="F79" s="153">
        <v>48.905843</v>
      </c>
      <c r="G79" s="153">
        <v>475</v>
      </c>
      <c r="H79" s="101">
        <v>8.6</v>
      </c>
      <c r="I79" s="153">
        <v>2000</v>
      </c>
      <c r="J79" s="55"/>
      <c r="K79" s="153">
        <v>34.2912</v>
      </c>
      <c r="L79" s="153">
        <v>42.05902498</v>
      </c>
      <c r="M79" s="153">
        <v>0.4512</v>
      </c>
      <c r="N79" s="55"/>
      <c r="O79" s="153">
        <f t="shared" si="3"/>
        <v>76.80142498</v>
      </c>
      <c r="Q79" s="219"/>
      <c r="R79" s="220"/>
    </row>
    <row r="80" ht="15" spans="2:18">
      <c r="B80" s="156" t="s">
        <v>1110</v>
      </c>
      <c r="C80" s="55"/>
      <c r="D80" s="216"/>
      <c r="E80" s="216"/>
      <c r="F80" s="153">
        <v>643.47205525</v>
      </c>
      <c r="G80" s="153">
        <v>0</v>
      </c>
      <c r="H80" s="101">
        <v>8.65</v>
      </c>
      <c r="I80" s="153">
        <v>2000</v>
      </c>
      <c r="J80" s="55"/>
      <c r="K80" s="153">
        <v>0</v>
      </c>
      <c r="L80" s="153">
        <v>556.60332779125</v>
      </c>
      <c r="M80" s="153"/>
      <c r="N80" s="55"/>
      <c r="O80" s="153">
        <f t="shared" si="3"/>
        <v>556.60332779125</v>
      </c>
      <c r="Q80" s="219"/>
      <c r="R80" s="220"/>
    </row>
    <row r="81" ht="15" spans="2:18">
      <c r="B81" s="156" t="s">
        <v>1111</v>
      </c>
      <c r="C81" s="55"/>
      <c r="D81" s="216"/>
      <c r="E81" s="216"/>
      <c r="F81" s="153">
        <v>606.862392</v>
      </c>
      <c r="G81" s="153">
        <v>0</v>
      </c>
      <c r="H81" s="101">
        <v>8.65</v>
      </c>
      <c r="I81" s="153">
        <v>2000</v>
      </c>
      <c r="J81" s="55"/>
      <c r="K81" s="153">
        <v>0</v>
      </c>
      <c r="L81" s="153">
        <v>524.93596908</v>
      </c>
      <c r="M81" s="153"/>
      <c r="N81" s="55"/>
      <c r="O81" s="153">
        <f t="shared" si="3"/>
        <v>524.93596908</v>
      </c>
      <c r="Q81" s="219"/>
      <c r="R81" s="220"/>
    </row>
    <row r="82" ht="15" spans="2:18">
      <c r="B82" s="156" t="s">
        <v>1112</v>
      </c>
      <c r="C82" s="55"/>
      <c r="D82" s="216"/>
      <c r="E82" s="216"/>
      <c r="F82" s="153">
        <v>1198.490435</v>
      </c>
      <c r="G82" s="153">
        <v>0</v>
      </c>
      <c r="H82" s="101">
        <v>6.65</v>
      </c>
      <c r="I82" s="153">
        <v>2000</v>
      </c>
      <c r="J82" s="55"/>
      <c r="K82" s="153">
        <v>0</v>
      </c>
      <c r="L82" s="153">
        <v>796.996139275</v>
      </c>
      <c r="M82" s="153"/>
      <c r="N82" s="55"/>
      <c r="O82" s="153">
        <f t="shared" si="3"/>
        <v>796.996139275</v>
      </c>
      <c r="Q82" s="219"/>
      <c r="R82" s="220"/>
    </row>
    <row r="83" ht="15" spans="2:17">
      <c r="B83" s="151" t="s">
        <v>1113</v>
      </c>
      <c r="C83" s="55"/>
      <c r="D83" s="150">
        <f>'[11]FY22-23 Actual Sales'!D84</f>
        <v>199</v>
      </c>
      <c r="E83" s="150">
        <v>43.473871</v>
      </c>
      <c r="F83" s="136">
        <f>SUM(F84:F87)</f>
        <v>138.6684485</v>
      </c>
      <c r="G83" s="153">
        <v>0</v>
      </c>
      <c r="H83" s="101">
        <v>0</v>
      </c>
      <c r="I83" s="153">
        <v>0</v>
      </c>
      <c r="J83" s="55"/>
      <c r="K83" s="136">
        <f>SUM(K84:K87)</f>
        <v>24.78010647</v>
      </c>
      <c r="L83" s="136">
        <f>SUM(L84:L87)</f>
        <v>101.9506409025</v>
      </c>
      <c r="M83" s="136">
        <v>0.4776</v>
      </c>
      <c r="N83" s="55"/>
      <c r="O83" s="150">
        <f t="shared" si="3"/>
        <v>127.2083473725</v>
      </c>
      <c r="Q83" s="219"/>
    </row>
    <row r="84" ht="15" spans="2:18">
      <c r="B84" s="156" t="s">
        <v>1114</v>
      </c>
      <c r="C84" s="55"/>
      <c r="D84" s="217"/>
      <c r="E84" s="217"/>
      <c r="F84" s="153">
        <v>50.4494685</v>
      </c>
      <c r="G84" s="153">
        <v>475</v>
      </c>
      <c r="H84" s="101">
        <v>7.65</v>
      </c>
      <c r="I84" s="153">
        <v>2000</v>
      </c>
      <c r="J84" s="55"/>
      <c r="K84" s="153">
        <v>24.78010647</v>
      </c>
      <c r="L84" s="153">
        <v>38.5938434025</v>
      </c>
      <c r="M84" s="153"/>
      <c r="N84" s="55"/>
      <c r="O84" s="153">
        <f t="shared" si="3"/>
        <v>63.3739498725</v>
      </c>
      <c r="Q84" s="219"/>
      <c r="R84" s="220"/>
    </row>
    <row r="85" ht="15" spans="2:18">
      <c r="B85" s="156" t="s">
        <v>1115</v>
      </c>
      <c r="C85" s="55"/>
      <c r="D85" s="217"/>
      <c r="E85" s="217"/>
      <c r="F85" s="153">
        <v>22.035672</v>
      </c>
      <c r="G85" s="153">
        <v>0</v>
      </c>
      <c r="H85" s="101">
        <v>8.65</v>
      </c>
      <c r="I85" s="153">
        <v>2000</v>
      </c>
      <c r="J85" s="55"/>
      <c r="K85" s="153">
        <v>0</v>
      </c>
      <c r="L85" s="153">
        <v>16.85728908</v>
      </c>
      <c r="M85" s="153"/>
      <c r="N85" s="55"/>
      <c r="O85" s="153">
        <f t="shared" si="3"/>
        <v>16.85728908</v>
      </c>
      <c r="Q85" s="219"/>
      <c r="R85" s="220"/>
    </row>
    <row r="86" ht="15" spans="2:15">
      <c r="B86" s="156" t="s">
        <v>1116</v>
      </c>
      <c r="C86" s="55"/>
      <c r="D86" s="217"/>
      <c r="E86" s="217"/>
      <c r="F86" s="153">
        <v>24.876086</v>
      </c>
      <c r="G86" s="153">
        <v>0</v>
      </c>
      <c r="H86" s="101">
        <v>8.65</v>
      </c>
      <c r="I86" s="153">
        <v>2000</v>
      </c>
      <c r="J86" s="55"/>
      <c r="K86" s="153">
        <v>0</v>
      </c>
      <c r="L86" s="153">
        <v>19.03020579</v>
      </c>
      <c r="M86" s="153"/>
      <c r="N86" s="55"/>
      <c r="O86" s="153">
        <f t="shared" si="3"/>
        <v>19.03020579</v>
      </c>
    </row>
    <row r="87" ht="15" spans="2:15">
      <c r="B87" s="156" t="s">
        <v>1117</v>
      </c>
      <c r="C87" s="55"/>
      <c r="D87" s="217"/>
      <c r="E87" s="217"/>
      <c r="F87" s="153">
        <v>41.307222</v>
      </c>
      <c r="G87" s="153">
        <v>0</v>
      </c>
      <c r="H87" s="101">
        <v>6.65</v>
      </c>
      <c r="I87" s="153">
        <v>2000</v>
      </c>
      <c r="J87" s="55"/>
      <c r="K87" s="153">
        <v>0</v>
      </c>
      <c r="L87" s="153">
        <v>27.46930263</v>
      </c>
      <c r="M87" s="153"/>
      <c r="N87" s="55"/>
      <c r="O87" s="153">
        <f t="shared" si="3"/>
        <v>27.46930263</v>
      </c>
    </row>
    <row r="88" ht="15" spans="2:15">
      <c r="B88" s="151" t="s">
        <v>1118</v>
      </c>
      <c r="C88" s="55"/>
      <c r="D88" s="150">
        <f>'[11]FY22-23 Actual Sales'!D88</f>
        <v>49</v>
      </c>
      <c r="E88" s="150">
        <v>11.56</v>
      </c>
      <c r="F88" s="136">
        <f>SUM(F89:F92)</f>
        <v>67.988253</v>
      </c>
      <c r="G88" s="150">
        <v>0</v>
      </c>
      <c r="H88" s="137">
        <v>0</v>
      </c>
      <c r="I88" s="150">
        <v>8000</v>
      </c>
      <c r="J88" s="55"/>
      <c r="K88" s="136">
        <f>SUM(K89:K92)</f>
        <v>6.5892</v>
      </c>
      <c r="L88" s="136">
        <f>SUM(L89:L92)</f>
        <v>33.895523035</v>
      </c>
      <c r="M88" s="136">
        <v>0.1176</v>
      </c>
      <c r="N88" s="55"/>
      <c r="O88" s="150">
        <f t="shared" si="3"/>
        <v>40.602323035</v>
      </c>
    </row>
    <row r="89" spans="2:15">
      <c r="B89" s="154" t="s">
        <v>1119</v>
      </c>
      <c r="C89" s="55"/>
      <c r="D89" s="139"/>
      <c r="E89" s="139"/>
      <c r="F89" s="101">
        <v>43.640709</v>
      </c>
      <c r="G89" s="153">
        <v>475</v>
      </c>
      <c r="H89" s="101">
        <v>7.65</v>
      </c>
      <c r="I89" s="153">
        <v>2000</v>
      </c>
      <c r="J89" s="55"/>
      <c r="K89" s="101">
        <v>6.5892</v>
      </c>
      <c r="L89" s="101">
        <v>21.602150955</v>
      </c>
      <c r="M89" s="101"/>
      <c r="N89" s="55"/>
      <c r="O89" s="153">
        <f t="shared" si="3"/>
        <v>28.191350955</v>
      </c>
    </row>
    <row r="90" spans="2:15">
      <c r="B90" s="154" t="s">
        <v>1120</v>
      </c>
      <c r="C90" s="55"/>
      <c r="D90" s="139"/>
      <c r="E90" s="139"/>
      <c r="F90" s="101">
        <v>6.256709</v>
      </c>
      <c r="G90" s="153">
        <v>0</v>
      </c>
      <c r="H90" s="101">
        <v>8.65</v>
      </c>
      <c r="I90" s="153">
        <v>2000</v>
      </c>
      <c r="J90" s="55"/>
      <c r="K90" s="101">
        <v>0</v>
      </c>
      <c r="L90" s="101">
        <v>3.722741855</v>
      </c>
      <c r="M90" s="101"/>
      <c r="N90" s="55"/>
      <c r="O90" s="153">
        <f t="shared" si="3"/>
        <v>3.722741855</v>
      </c>
    </row>
    <row r="91" spans="2:15">
      <c r="B91" s="154" t="s">
        <v>1121</v>
      </c>
      <c r="C91" s="55"/>
      <c r="D91" s="139"/>
      <c r="E91" s="139"/>
      <c r="F91" s="101">
        <v>7.123752</v>
      </c>
      <c r="G91" s="153">
        <v>0</v>
      </c>
      <c r="H91" s="101">
        <v>8.65</v>
      </c>
      <c r="I91" s="153">
        <v>2000</v>
      </c>
      <c r="J91" s="55"/>
      <c r="K91" s="101">
        <v>0</v>
      </c>
      <c r="L91" s="101">
        <v>4.23863244</v>
      </c>
      <c r="M91" s="101"/>
      <c r="N91" s="55"/>
      <c r="O91" s="153">
        <f t="shared" si="3"/>
        <v>4.23863244</v>
      </c>
    </row>
    <row r="92" spans="2:15">
      <c r="B92" s="154" t="s">
        <v>1122</v>
      </c>
      <c r="C92" s="55"/>
      <c r="D92" s="139"/>
      <c r="E92" s="139"/>
      <c r="F92" s="101">
        <v>10.967083</v>
      </c>
      <c r="G92" s="153">
        <v>0</v>
      </c>
      <c r="H92" s="101">
        <v>6.65</v>
      </c>
      <c r="I92" s="153">
        <v>2000</v>
      </c>
      <c r="J92" s="55"/>
      <c r="K92" s="101">
        <v>0</v>
      </c>
      <c r="L92" s="101">
        <v>4.331997785</v>
      </c>
      <c r="M92" s="101"/>
      <c r="N92" s="55"/>
      <c r="O92" s="153">
        <f t="shared" si="3"/>
        <v>4.331997785</v>
      </c>
    </row>
    <row r="93" ht="15" spans="2:15">
      <c r="B93" s="151" t="s">
        <v>1123</v>
      </c>
      <c r="C93" s="55"/>
      <c r="D93" s="136"/>
      <c r="E93" s="136"/>
      <c r="F93" s="162">
        <v>0.413403</v>
      </c>
      <c r="G93" s="150">
        <v>475</v>
      </c>
      <c r="H93" s="137">
        <v>7.65</v>
      </c>
      <c r="I93" s="150">
        <v>2000</v>
      </c>
      <c r="J93" s="55"/>
      <c r="K93" s="162">
        <v>0</v>
      </c>
      <c r="L93" s="162">
        <v>0.316253295</v>
      </c>
      <c r="M93" s="162"/>
      <c r="N93" s="55"/>
      <c r="O93" s="150">
        <f t="shared" si="3"/>
        <v>0.316253295</v>
      </c>
    </row>
    <row r="94" ht="15" spans="2:15">
      <c r="B94" s="151" t="s">
        <v>1124</v>
      </c>
      <c r="C94" s="55"/>
      <c r="D94" s="150">
        <f>'[11]FY22-23 Actual Sales'!D93</f>
        <v>4261</v>
      </c>
      <c r="E94" s="150">
        <v>696.670547000001</v>
      </c>
      <c r="F94" s="136">
        <f>SUM(F95:F98)</f>
        <v>1948.93215567</v>
      </c>
      <c r="G94" s="150">
        <v>0</v>
      </c>
      <c r="H94" s="137">
        <v>0</v>
      </c>
      <c r="I94" s="150">
        <v>0</v>
      </c>
      <c r="J94" s="55"/>
      <c r="K94" s="136">
        <f>SUM(K95:K98)</f>
        <v>397.102211790001</v>
      </c>
      <c r="L94" s="136">
        <f>SUM(L95:L98)</f>
        <v>1732.6356293836</v>
      </c>
      <c r="M94" s="136">
        <v>10.2264</v>
      </c>
      <c r="N94" s="55"/>
      <c r="O94" s="150">
        <f t="shared" si="3"/>
        <v>2139.9642411736</v>
      </c>
    </row>
    <row r="95" spans="2:15">
      <c r="B95" s="154" t="s">
        <v>1119</v>
      </c>
      <c r="C95" s="55"/>
      <c r="D95" s="174"/>
      <c r="E95" s="174"/>
      <c r="F95" s="153">
        <v>891.25288253</v>
      </c>
      <c r="G95" s="153">
        <v>475</v>
      </c>
      <c r="H95" s="101">
        <v>8.8</v>
      </c>
      <c r="I95" s="153">
        <v>2000</v>
      </c>
      <c r="J95" s="55"/>
      <c r="K95" s="153">
        <v>397.102211790001</v>
      </c>
      <c r="L95" s="153">
        <v>784.3025366264</v>
      </c>
      <c r="M95" s="153"/>
      <c r="N95" s="55"/>
      <c r="O95" s="153">
        <f t="shared" si="3"/>
        <v>1181.4047484164</v>
      </c>
    </row>
    <row r="96" spans="2:15">
      <c r="B96" s="154" t="s">
        <v>1120</v>
      </c>
      <c r="C96" s="55"/>
      <c r="D96" s="174"/>
      <c r="E96" s="174"/>
      <c r="F96" s="153">
        <v>360.83580754</v>
      </c>
      <c r="G96" s="153">
        <v>0</v>
      </c>
      <c r="H96" s="101">
        <v>9.8</v>
      </c>
      <c r="I96" s="153">
        <v>2000</v>
      </c>
      <c r="J96" s="55"/>
      <c r="K96" s="153">
        <v>0</v>
      </c>
      <c r="L96" s="153">
        <v>353.6190913892</v>
      </c>
      <c r="M96" s="153"/>
      <c r="N96" s="55"/>
      <c r="O96" s="153">
        <f t="shared" si="3"/>
        <v>353.6190913892</v>
      </c>
    </row>
    <row r="97" spans="2:15">
      <c r="B97" s="154" t="s">
        <v>1121</v>
      </c>
      <c r="C97" s="55"/>
      <c r="D97" s="174"/>
      <c r="E97" s="174"/>
      <c r="F97" s="153">
        <v>255.880491</v>
      </c>
      <c r="G97" s="153">
        <v>0</v>
      </c>
      <c r="H97" s="101">
        <v>9.8</v>
      </c>
      <c r="I97" s="153">
        <v>2000</v>
      </c>
      <c r="J97" s="55"/>
      <c r="K97" s="153">
        <v>0</v>
      </c>
      <c r="L97" s="153">
        <v>250.76288118</v>
      </c>
      <c r="M97" s="153"/>
      <c r="N97" s="55"/>
      <c r="O97" s="153">
        <f t="shared" si="3"/>
        <v>250.76288118</v>
      </c>
    </row>
    <row r="98" spans="2:15">
      <c r="B98" s="154" t="s">
        <v>1122</v>
      </c>
      <c r="C98" s="55"/>
      <c r="D98" s="174"/>
      <c r="E98" s="174"/>
      <c r="F98" s="153">
        <v>440.9629746</v>
      </c>
      <c r="G98" s="153">
        <v>0</v>
      </c>
      <c r="H98" s="101">
        <v>7.8</v>
      </c>
      <c r="I98" s="153">
        <v>2000</v>
      </c>
      <c r="J98" s="55"/>
      <c r="K98" s="153">
        <v>0</v>
      </c>
      <c r="L98" s="153">
        <v>343.951120188</v>
      </c>
      <c r="M98" s="153"/>
      <c r="N98" s="55"/>
      <c r="O98" s="153">
        <f t="shared" si="3"/>
        <v>343.951120188</v>
      </c>
    </row>
    <row r="99" ht="15" spans="2:15">
      <c r="B99" s="151" t="s">
        <v>1125</v>
      </c>
      <c r="C99" s="55"/>
      <c r="D99" s="150">
        <f>'[11]FY22-23 Actual Sales'!D97</f>
        <v>2</v>
      </c>
      <c r="E99" s="150">
        <v>0.23</v>
      </c>
      <c r="F99" s="162">
        <f>SUM(F100:F103)</f>
        <v>0.559726</v>
      </c>
      <c r="G99" s="150"/>
      <c r="H99" s="137"/>
      <c r="I99" s="150"/>
      <c r="J99" s="55"/>
      <c r="K99" s="162">
        <f>SUM(K100:K103)</f>
        <v>0.07176</v>
      </c>
      <c r="L99" s="162">
        <f>SUM(L100:L103)</f>
        <v>0.2795356</v>
      </c>
      <c r="M99" s="162">
        <v>0.0048</v>
      </c>
      <c r="N99" s="55"/>
      <c r="O99" s="150">
        <f t="shared" si="3"/>
        <v>0.3560956</v>
      </c>
    </row>
    <row r="100" spans="2:15">
      <c r="B100" s="154" t="s">
        <v>1119</v>
      </c>
      <c r="C100" s="55"/>
      <c r="D100" s="174"/>
      <c r="E100" s="174"/>
      <c r="F100" s="101">
        <v>0.383</v>
      </c>
      <c r="G100" s="153">
        <v>475</v>
      </c>
      <c r="H100" s="101">
        <v>8.8</v>
      </c>
      <c r="I100" s="153">
        <v>2000</v>
      </c>
      <c r="J100" s="55"/>
      <c r="K100" s="101">
        <v>0.07176</v>
      </c>
      <c r="L100" s="101">
        <v>0.1915</v>
      </c>
      <c r="M100" s="101"/>
      <c r="N100" s="55"/>
      <c r="O100" s="153">
        <f t="shared" si="3"/>
        <v>0.26326</v>
      </c>
    </row>
    <row r="101" spans="2:15">
      <c r="B101" s="154" t="s">
        <v>1120</v>
      </c>
      <c r="C101" s="55"/>
      <c r="D101" s="174"/>
      <c r="E101" s="174"/>
      <c r="F101" s="101">
        <v>0.046726</v>
      </c>
      <c r="G101" s="153">
        <v>0</v>
      </c>
      <c r="H101" s="101">
        <v>9.8</v>
      </c>
      <c r="I101" s="153">
        <v>2000</v>
      </c>
      <c r="J101" s="55"/>
      <c r="K101" s="101">
        <v>0</v>
      </c>
      <c r="L101" s="101">
        <v>0.0280356</v>
      </c>
      <c r="M101" s="101"/>
      <c r="N101" s="55"/>
      <c r="O101" s="153">
        <f t="shared" si="3"/>
        <v>0.0280356</v>
      </c>
    </row>
    <row r="102" spans="2:15">
      <c r="B102" s="154" t="s">
        <v>1121</v>
      </c>
      <c r="C102" s="55"/>
      <c r="D102" s="174"/>
      <c r="E102" s="174"/>
      <c r="F102" s="101">
        <v>0.04</v>
      </c>
      <c r="G102" s="153">
        <v>0</v>
      </c>
      <c r="H102" s="101">
        <v>9.8</v>
      </c>
      <c r="I102" s="153">
        <v>2000</v>
      </c>
      <c r="J102" s="55"/>
      <c r="K102" s="101">
        <v>0</v>
      </c>
      <c r="L102" s="101">
        <v>0.024</v>
      </c>
      <c r="M102" s="101"/>
      <c r="N102" s="55"/>
      <c r="O102" s="153">
        <f t="shared" si="3"/>
        <v>0.024</v>
      </c>
    </row>
    <row r="103" spans="2:15">
      <c r="B103" s="154" t="s">
        <v>1122</v>
      </c>
      <c r="C103" s="55"/>
      <c r="D103" s="174"/>
      <c r="E103" s="174"/>
      <c r="F103" s="101">
        <v>0.09</v>
      </c>
      <c r="G103" s="153">
        <v>0</v>
      </c>
      <c r="H103" s="101">
        <v>7.8</v>
      </c>
      <c r="I103" s="153">
        <v>2000</v>
      </c>
      <c r="J103" s="55"/>
      <c r="K103" s="101">
        <v>0</v>
      </c>
      <c r="L103" s="101">
        <v>0.036</v>
      </c>
      <c r="M103" s="101"/>
      <c r="N103" s="55"/>
      <c r="O103" s="153">
        <f t="shared" si="3"/>
        <v>0.036</v>
      </c>
    </row>
    <row r="104" ht="15" spans="2:15">
      <c r="B104" s="151" t="s">
        <v>1126</v>
      </c>
      <c r="C104" s="55"/>
      <c r="D104" s="150">
        <f>'[11]FY22-23 Actual Sales'!D101</f>
        <v>11</v>
      </c>
      <c r="E104" s="150">
        <v>1.45928</v>
      </c>
      <c r="F104" s="136">
        <f>SUM(F105:F108)</f>
        <v>4.348109</v>
      </c>
      <c r="G104" s="150">
        <v>0</v>
      </c>
      <c r="H104" s="137">
        <v>0</v>
      </c>
      <c r="I104" s="150">
        <v>0</v>
      </c>
      <c r="J104" s="55"/>
      <c r="K104" s="136">
        <f>SUM(K105:K108)</f>
        <v>0.8317896</v>
      </c>
      <c r="L104" s="136">
        <f>SUM(L105:L108)</f>
        <v>3.6946981</v>
      </c>
      <c r="M104" s="136">
        <v>0.0264</v>
      </c>
      <c r="N104" s="55"/>
      <c r="O104" s="150">
        <f t="shared" si="3"/>
        <v>4.5528877</v>
      </c>
    </row>
    <row r="105" spans="2:15">
      <c r="B105" s="154" t="s">
        <v>1119</v>
      </c>
      <c r="C105" s="55"/>
      <c r="D105" s="174"/>
      <c r="E105" s="174"/>
      <c r="F105" s="101">
        <v>1.175087</v>
      </c>
      <c r="G105" s="153">
        <v>475</v>
      </c>
      <c r="H105" s="101">
        <v>8.5</v>
      </c>
      <c r="I105" s="153">
        <v>2000</v>
      </c>
      <c r="J105" s="55"/>
      <c r="K105" s="101">
        <v>0.8317896</v>
      </c>
      <c r="L105" s="101">
        <v>0.99882395</v>
      </c>
      <c r="M105" s="101"/>
      <c r="N105" s="55"/>
      <c r="O105" s="153">
        <f t="shared" si="3"/>
        <v>1.83061355</v>
      </c>
    </row>
    <row r="106" spans="2:15">
      <c r="B106" s="154" t="s">
        <v>1120</v>
      </c>
      <c r="C106" s="55"/>
      <c r="D106" s="174"/>
      <c r="E106" s="174"/>
      <c r="F106" s="101">
        <v>0.985833</v>
      </c>
      <c r="G106" s="153">
        <v>0</v>
      </c>
      <c r="H106" s="101">
        <v>9.5</v>
      </c>
      <c r="I106" s="153">
        <v>2000</v>
      </c>
      <c r="J106" s="55"/>
      <c r="K106" s="101">
        <v>0</v>
      </c>
      <c r="L106" s="101">
        <v>0.93654135</v>
      </c>
      <c r="M106" s="101"/>
      <c r="N106" s="55"/>
      <c r="O106" s="153">
        <f t="shared" si="3"/>
        <v>0.93654135</v>
      </c>
    </row>
    <row r="107" spans="2:15">
      <c r="B107" s="154" t="s">
        <v>1121</v>
      </c>
      <c r="C107" s="55"/>
      <c r="D107" s="174"/>
      <c r="E107" s="174"/>
      <c r="F107" s="101">
        <v>0.517135</v>
      </c>
      <c r="G107" s="153">
        <v>0</v>
      </c>
      <c r="H107" s="101">
        <v>9.5</v>
      </c>
      <c r="I107" s="153">
        <v>2000</v>
      </c>
      <c r="J107" s="55"/>
      <c r="K107" s="101">
        <v>0</v>
      </c>
      <c r="L107" s="101">
        <v>0.5067923</v>
      </c>
      <c r="M107" s="101"/>
      <c r="N107" s="55"/>
      <c r="O107" s="153">
        <f t="shared" ref="O107:O123" si="4">K107+L107+M107</f>
        <v>0.5067923</v>
      </c>
    </row>
    <row r="108" spans="2:15">
      <c r="B108" s="154" t="s">
        <v>1122</v>
      </c>
      <c r="C108" s="55"/>
      <c r="D108" s="174"/>
      <c r="E108" s="174"/>
      <c r="F108" s="101">
        <v>1.670054</v>
      </c>
      <c r="G108" s="153">
        <v>0</v>
      </c>
      <c r="H108" s="101">
        <v>7.5</v>
      </c>
      <c r="I108" s="153">
        <v>2000</v>
      </c>
      <c r="J108" s="55"/>
      <c r="K108" s="101">
        <v>0</v>
      </c>
      <c r="L108" s="101">
        <v>1.2525405</v>
      </c>
      <c r="M108" s="101"/>
      <c r="N108" s="55"/>
      <c r="O108" s="153">
        <f t="shared" si="4"/>
        <v>1.2525405</v>
      </c>
    </row>
    <row r="109" ht="15" spans="2:15">
      <c r="B109" s="151" t="s">
        <v>1127</v>
      </c>
      <c r="C109" s="55"/>
      <c r="D109" s="150">
        <f>'[11]FY22-23 Actual Sales'!D105</f>
        <v>127</v>
      </c>
      <c r="E109" s="150">
        <v>25.820606</v>
      </c>
      <c r="F109" s="136">
        <v>58.357799</v>
      </c>
      <c r="G109" s="150">
        <v>0</v>
      </c>
      <c r="H109" s="137">
        <v>0</v>
      </c>
      <c r="I109" s="150">
        <v>0</v>
      </c>
      <c r="J109" s="55"/>
      <c r="K109" s="136">
        <v>8.52079998</v>
      </c>
      <c r="L109" s="136">
        <v>36.76541337</v>
      </c>
      <c r="M109" s="136">
        <v>0.3048</v>
      </c>
      <c r="N109" s="55"/>
      <c r="O109" s="150">
        <f t="shared" si="4"/>
        <v>45.59101335</v>
      </c>
    </row>
    <row r="110" spans="2:15">
      <c r="B110" s="154" t="s">
        <v>1128</v>
      </c>
      <c r="C110" s="55"/>
      <c r="D110" s="174"/>
      <c r="E110" s="174"/>
      <c r="F110" s="139"/>
      <c r="G110" s="153">
        <v>275</v>
      </c>
      <c r="H110" s="101">
        <v>6.3</v>
      </c>
      <c r="I110" s="153">
        <v>2000</v>
      </c>
      <c r="J110" s="55"/>
      <c r="K110" s="139"/>
      <c r="L110" s="139"/>
      <c r="M110" s="139"/>
      <c r="N110" s="55"/>
      <c r="O110" s="153">
        <f t="shared" si="4"/>
        <v>0</v>
      </c>
    </row>
    <row r="111" ht="15" spans="2:15">
      <c r="B111" s="151" t="s">
        <v>1129</v>
      </c>
      <c r="C111" s="55"/>
      <c r="D111" s="150">
        <f>'[11]FY22-23 Actual Sales'!D106</f>
        <v>116</v>
      </c>
      <c r="E111" s="150">
        <v>33.096571</v>
      </c>
      <c r="F111" s="136">
        <v>152.184929</v>
      </c>
      <c r="G111" s="150">
        <v>0</v>
      </c>
      <c r="H111" s="137">
        <v>0</v>
      </c>
      <c r="I111" s="150">
        <v>0</v>
      </c>
      <c r="J111" s="55"/>
      <c r="K111" s="136">
        <v>0</v>
      </c>
      <c r="L111" s="136">
        <v>92.83280669</v>
      </c>
      <c r="M111" s="136">
        <v>0.2784</v>
      </c>
      <c r="N111" s="55"/>
      <c r="O111" s="150">
        <f t="shared" si="4"/>
        <v>93.11120669</v>
      </c>
    </row>
    <row r="112" spans="2:15">
      <c r="B112" s="154" t="s">
        <v>220</v>
      </c>
      <c r="C112" s="55"/>
      <c r="D112" s="174"/>
      <c r="E112" s="174"/>
      <c r="F112" s="139"/>
      <c r="G112" s="153">
        <v>0</v>
      </c>
      <c r="H112" s="101">
        <v>6.1</v>
      </c>
      <c r="I112" s="153">
        <v>2000</v>
      </c>
      <c r="J112" s="55"/>
      <c r="K112" s="139"/>
      <c r="L112" s="139"/>
      <c r="M112" s="139"/>
      <c r="N112" s="55"/>
      <c r="O112" s="153">
        <f t="shared" si="4"/>
        <v>0</v>
      </c>
    </row>
    <row r="113" spans="2:15">
      <c r="B113" s="154" t="s">
        <v>1130</v>
      </c>
      <c r="C113" s="55"/>
      <c r="D113" s="174"/>
      <c r="E113" s="174"/>
      <c r="F113" s="139"/>
      <c r="G113" s="153">
        <v>0</v>
      </c>
      <c r="H113" s="101">
        <v>0</v>
      </c>
      <c r="I113" s="153">
        <v>2000</v>
      </c>
      <c r="J113" s="55"/>
      <c r="K113" s="139"/>
      <c r="L113" s="139"/>
      <c r="M113" s="139"/>
      <c r="N113" s="55"/>
      <c r="O113" s="153">
        <f t="shared" si="4"/>
        <v>0</v>
      </c>
    </row>
    <row r="114" ht="15" spans="2:15">
      <c r="B114" s="151" t="s">
        <v>1131</v>
      </c>
      <c r="C114" s="55"/>
      <c r="D114" s="150"/>
      <c r="E114" s="150"/>
      <c r="F114" s="136"/>
      <c r="G114" s="150">
        <v>0</v>
      </c>
      <c r="H114" s="137">
        <v>0</v>
      </c>
      <c r="I114" s="150">
        <v>0</v>
      </c>
      <c r="J114" s="55"/>
      <c r="K114" s="136"/>
      <c r="L114" s="136"/>
      <c r="M114" s="136"/>
      <c r="N114" s="55"/>
      <c r="O114" s="153">
        <f t="shared" si="4"/>
        <v>0</v>
      </c>
    </row>
    <row r="115" ht="15" spans="2:15">
      <c r="B115" s="151" t="s">
        <v>1132</v>
      </c>
      <c r="C115" s="55"/>
      <c r="D115" s="150"/>
      <c r="E115" s="150"/>
      <c r="F115" s="136"/>
      <c r="G115" s="150">
        <v>0</v>
      </c>
      <c r="H115" s="137">
        <v>0</v>
      </c>
      <c r="I115" s="150">
        <v>0</v>
      </c>
      <c r="J115" s="55"/>
      <c r="K115" s="136"/>
      <c r="L115" s="136"/>
      <c r="M115" s="136"/>
      <c r="N115" s="55"/>
      <c r="O115" s="153">
        <f t="shared" si="4"/>
        <v>0</v>
      </c>
    </row>
    <row r="116" ht="15" spans="2:15">
      <c r="B116" s="151" t="s">
        <v>919</v>
      </c>
      <c r="C116" s="55"/>
      <c r="D116" s="150">
        <f>'[11]FY22-23 Actual Sales'!D107</f>
        <v>194</v>
      </c>
      <c r="E116" s="150">
        <v>35.256385</v>
      </c>
      <c r="F116" s="136">
        <v>184.504365</v>
      </c>
      <c r="G116" s="150">
        <v>260</v>
      </c>
      <c r="H116" s="137">
        <v>7.3</v>
      </c>
      <c r="I116" s="150">
        <v>2000</v>
      </c>
      <c r="J116" s="55"/>
      <c r="K116" s="136">
        <v>10.99999212</v>
      </c>
      <c r="L116" s="136">
        <v>134.68818645</v>
      </c>
      <c r="M116" s="136">
        <v>0.4656</v>
      </c>
      <c r="N116" s="55"/>
      <c r="O116" s="153">
        <f t="shared" si="4"/>
        <v>146.15377857</v>
      </c>
    </row>
    <row r="117" ht="15" spans="2:15">
      <c r="B117" s="151" t="s">
        <v>1133</v>
      </c>
      <c r="C117" s="55"/>
      <c r="D117" s="150">
        <f>'[11]FY22-23 Actual Sales'!D108</f>
        <v>484</v>
      </c>
      <c r="E117" s="150">
        <v>100.522501</v>
      </c>
      <c r="F117" s="136">
        <v>169.88605</v>
      </c>
      <c r="G117" s="150">
        <v>500</v>
      </c>
      <c r="H117" s="137">
        <v>11.8</v>
      </c>
      <c r="I117" s="150">
        <v>2000</v>
      </c>
      <c r="J117" s="55"/>
      <c r="K117" s="136">
        <v>60.3135006</v>
      </c>
      <c r="L117" s="136">
        <v>200.465539</v>
      </c>
      <c r="M117" s="136">
        <v>1.1616</v>
      </c>
      <c r="N117" s="55"/>
      <c r="O117" s="153">
        <f t="shared" si="4"/>
        <v>261.9406396</v>
      </c>
    </row>
    <row r="118" ht="15" spans="2:15">
      <c r="B118" s="151" t="s">
        <v>1134</v>
      </c>
      <c r="C118" s="55"/>
      <c r="D118" s="150"/>
      <c r="E118" s="150"/>
      <c r="F118" s="136"/>
      <c r="G118" s="150">
        <v>0</v>
      </c>
      <c r="H118" s="137">
        <v>4.8</v>
      </c>
      <c r="I118" s="150">
        <v>2000</v>
      </c>
      <c r="J118" s="55"/>
      <c r="K118" s="136"/>
      <c r="L118" s="136"/>
      <c r="M118" s="136"/>
      <c r="N118" s="55"/>
      <c r="O118" s="153">
        <f t="shared" si="4"/>
        <v>0</v>
      </c>
    </row>
    <row r="119" ht="15" spans="2:15">
      <c r="B119" s="151" t="s">
        <v>1135</v>
      </c>
      <c r="C119" s="55"/>
      <c r="D119" s="150">
        <f>'[11]FY22-23 Actual Sales'!D109</f>
        <v>9</v>
      </c>
      <c r="E119" s="150">
        <v>3.33776</v>
      </c>
      <c r="F119" s="136">
        <v>5.605775</v>
      </c>
      <c r="G119" s="150">
        <v>100</v>
      </c>
      <c r="H119" s="137">
        <v>6</v>
      </c>
      <c r="I119" s="150">
        <v>2000</v>
      </c>
      <c r="J119" s="55"/>
      <c r="K119" s="136">
        <v>0.4005312</v>
      </c>
      <c r="L119" s="136">
        <v>3.363465</v>
      </c>
      <c r="M119" s="136"/>
      <c r="N119" s="55"/>
      <c r="O119" s="153">
        <f t="shared" si="4"/>
        <v>3.7639962</v>
      </c>
    </row>
    <row r="120" spans="2:15">
      <c r="B120" s="156" t="s">
        <v>1119</v>
      </c>
      <c r="C120" s="55"/>
      <c r="D120" s="139"/>
      <c r="E120" s="139"/>
      <c r="F120" s="139"/>
      <c r="G120" s="153">
        <v>100</v>
      </c>
      <c r="H120" s="101">
        <v>6</v>
      </c>
      <c r="I120" s="153">
        <v>2000</v>
      </c>
      <c r="J120" s="55"/>
      <c r="K120" s="139"/>
      <c r="L120" s="139"/>
      <c r="M120" s="139"/>
      <c r="N120" s="55"/>
      <c r="O120" s="153">
        <f t="shared" si="4"/>
        <v>0</v>
      </c>
    </row>
    <row r="121" spans="2:15">
      <c r="B121" s="156" t="s">
        <v>1120</v>
      </c>
      <c r="C121" s="55"/>
      <c r="D121" s="139"/>
      <c r="E121" s="139"/>
      <c r="F121" s="139"/>
      <c r="G121" s="153">
        <v>0</v>
      </c>
      <c r="H121" s="101">
        <v>7</v>
      </c>
      <c r="I121" s="153">
        <v>2000</v>
      </c>
      <c r="J121" s="55"/>
      <c r="K121" s="139"/>
      <c r="L121" s="139"/>
      <c r="M121" s="139"/>
      <c r="N121" s="55"/>
      <c r="O121" s="153">
        <f t="shared" si="4"/>
        <v>0</v>
      </c>
    </row>
    <row r="122" spans="2:15">
      <c r="B122" s="156" t="s">
        <v>1121</v>
      </c>
      <c r="C122" s="55"/>
      <c r="D122" s="139"/>
      <c r="E122" s="139"/>
      <c r="F122" s="139"/>
      <c r="G122" s="153">
        <v>0</v>
      </c>
      <c r="H122" s="101">
        <v>7</v>
      </c>
      <c r="I122" s="153">
        <v>2000</v>
      </c>
      <c r="J122" s="55"/>
      <c r="K122" s="139"/>
      <c r="L122" s="139"/>
      <c r="M122" s="139"/>
      <c r="N122" s="55"/>
      <c r="O122" s="153">
        <f t="shared" si="4"/>
        <v>0</v>
      </c>
    </row>
    <row r="123" spans="2:15">
      <c r="B123" s="156" t="s">
        <v>1122</v>
      </c>
      <c r="C123" s="55"/>
      <c r="D123" s="139"/>
      <c r="E123" s="139"/>
      <c r="F123" s="139"/>
      <c r="G123" s="153">
        <v>0</v>
      </c>
      <c r="H123" s="101">
        <v>5</v>
      </c>
      <c r="I123" s="153">
        <v>2000</v>
      </c>
      <c r="J123" s="55"/>
      <c r="K123" s="139"/>
      <c r="L123" s="139"/>
      <c r="M123" s="139"/>
      <c r="N123" s="55"/>
      <c r="O123" s="153">
        <f t="shared" si="4"/>
        <v>0</v>
      </c>
    </row>
    <row r="124" ht="15" spans="2:15">
      <c r="B124" s="157" t="s">
        <v>1136</v>
      </c>
      <c r="C124" s="55"/>
      <c r="D124" s="148">
        <f>SUM(D119,D118,D117,D116,D115,D114,D111,D109,D104,D99,D94,D93,D88,D83,D79,D76,D75)</f>
        <v>10817</v>
      </c>
      <c r="E124" s="149">
        <f>SUM(E119,E118,E117,E116,E115,E114,E111,E109,E104,E99,E94,E93,E88,E83,E79,E76,E75)</f>
        <v>2227.36999099999</v>
      </c>
      <c r="F124" s="149">
        <f>SUM(F75:F82,F83,F88,F94,F104,F109,F111,F116,F117,F119,F93,F99)</f>
        <v>6904.33495057</v>
      </c>
      <c r="G124" s="198"/>
      <c r="H124" s="198"/>
      <c r="I124" s="198"/>
      <c r="J124" s="198"/>
      <c r="K124" s="149">
        <f t="shared" ref="K124:O124" si="5">SUM(K75:K82,K83,K88,K94,K104,K109,K111,K116,K117,K119,K93,K99)</f>
        <v>1182.14259725999</v>
      </c>
      <c r="L124" s="149">
        <f t="shared" si="5"/>
        <v>5550.454637655</v>
      </c>
      <c r="M124" s="149">
        <f t="shared" si="5"/>
        <v>25.9392</v>
      </c>
      <c r="N124" s="149">
        <f t="shared" si="5"/>
        <v>0</v>
      </c>
      <c r="O124" s="149">
        <f t="shared" si="5"/>
        <v>6758.536434915</v>
      </c>
    </row>
    <row r="125" spans="2:3">
      <c r="B125" s="55"/>
      <c r="C125" s="55"/>
    </row>
    <row r="126" spans="2:15">
      <c r="B126" s="151" t="s">
        <v>212</v>
      </c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153">
        <f t="shared" ref="O126:O171" si="6">K126+L126+M126</f>
        <v>0</v>
      </c>
    </row>
    <row r="127" ht="15" spans="2:15">
      <c r="B127" s="151" t="s">
        <v>1137</v>
      </c>
      <c r="C127" s="55"/>
      <c r="D127" s="136"/>
      <c r="E127" s="136"/>
      <c r="F127" s="136"/>
      <c r="G127" s="150">
        <v>0</v>
      </c>
      <c r="H127" s="137">
        <v>0</v>
      </c>
      <c r="I127" s="150">
        <v>0</v>
      </c>
      <c r="J127" s="55"/>
      <c r="K127" s="136"/>
      <c r="L127" s="136"/>
      <c r="M127" s="136"/>
      <c r="N127" s="55"/>
      <c r="O127" s="153">
        <f t="shared" si="6"/>
        <v>0</v>
      </c>
    </row>
    <row r="128" spans="2:15">
      <c r="B128" s="159" t="s">
        <v>1138</v>
      </c>
      <c r="C128" s="55"/>
      <c r="D128" s="138"/>
      <c r="E128" s="138"/>
      <c r="F128" s="138"/>
      <c r="G128" s="153">
        <v>0</v>
      </c>
      <c r="H128" s="101">
        <v>0</v>
      </c>
      <c r="I128" s="153">
        <v>0</v>
      </c>
      <c r="J128" s="55"/>
      <c r="K128" s="138"/>
      <c r="L128" s="138"/>
      <c r="M128" s="138"/>
      <c r="N128" s="55"/>
      <c r="O128" s="153">
        <f t="shared" si="6"/>
        <v>0</v>
      </c>
    </row>
    <row r="129" ht="15" spans="2:15">
      <c r="B129" s="154" t="s">
        <v>1105</v>
      </c>
      <c r="C129" s="55"/>
      <c r="D129" s="150">
        <f>'[11]FY22-23 Actual Sales'!D115</f>
        <v>380</v>
      </c>
      <c r="E129" s="150">
        <v>953.518193</v>
      </c>
      <c r="F129" s="153">
        <v>1909.84399623</v>
      </c>
      <c r="G129" s="153">
        <v>475</v>
      </c>
      <c r="H129" s="101">
        <v>7.15</v>
      </c>
      <c r="I129" s="153">
        <v>3500</v>
      </c>
      <c r="J129" s="55"/>
      <c r="K129" s="139">
        <v>543.50537001</v>
      </c>
      <c r="L129" s="139">
        <v>1365.53845730445</v>
      </c>
      <c r="M129" s="139">
        <v>1.596</v>
      </c>
      <c r="N129" s="55"/>
      <c r="O129" s="153">
        <f t="shared" si="6"/>
        <v>1910.63982731445</v>
      </c>
    </row>
    <row r="130" ht="15" spans="2:15">
      <c r="B130" s="154" t="s">
        <v>1139</v>
      </c>
      <c r="C130" s="55"/>
      <c r="D130" s="150"/>
      <c r="E130" s="150"/>
      <c r="F130" s="153">
        <v>0.11617</v>
      </c>
      <c r="G130" s="153">
        <v>0</v>
      </c>
      <c r="H130" s="101">
        <v>7.15</v>
      </c>
      <c r="I130" s="153">
        <v>3500</v>
      </c>
      <c r="J130" s="55"/>
      <c r="K130" s="139">
        <v>0</v>
      </c>
      <c r="L130" s="139">
        <v>0.08306155</v>
      </c>
      <c r="M130" s="139">
        <v>0</v>
      </c>
      <c r="N130" s="55"/>
      <c r="O130" s="153">
        <f t="shared" si="6"/>
        <v>0.08306155</v>
      </c>
    </row>
    <row r="131" ht="15" spans="2:15">
      <c r="B131" s="154" t="s">
        <v>1140</v>
      </c>
      <c r="C131" s="55"/>
      <c r="D131" s="150"/>
      <c r="E131" s="150"/>
      <c r="F131" s="153">
        <v>1.695308</v>
      </c>
      <c r="G131" s="153">
        <v>0</v>
      </c>
      <c r="H131" s="101">
        <v>7.3</v>
      </c>
      <c r="I131" s="153">
        <v>3500</v>
      </c>
      <c r="J131" s="55"/>
      <c r="K131" s="139">
        <v>0</v>
      </c>
      <c r="L131" s="139">
        <v>1.23757484</v>
      </c>
      <c r="M131" s="139">
        <v>0</v>
      </c>
      <c r="N131" s="55"/>
      <c r="O131" s="153">
        <f t="shared" si="6"/>
        <v>1.23757484</v>
      </c>
    </row>
    <row r="132" ht="15" spans="2:15">
      <c r="B132" s="154" t="s">
        <v>1141</v>
      </c>
      <c r="C132" s="55"/>
      <c r="D132" s="150">
        <f>'[11]FY22-23 Actual Sales'!D118</f>
        <v>1</v>
      </c>
      <c r="E132" s="137">
        <v>0.02</v>
      </c>
      <c r="F132" s="153">
        <v>2.458191</v>
      </c>
      <c r="G132" s="153">
        <v>475</v>
      </c>
      <c r="H132" s="101">
        <v>7.9</v>
      </c>
      <c r="I132" s="153">
        <v>3500</v>
      </c>
      <c r="J132" s="55"/>
      <c r="K132" s="139">
        <v>0.0114</v>
      </c>
      <c r="L132" s="139">
        <v>1.94197089</v>
      </c>
      <c r="M132" s="139">
        <v>0.0042</v>
      </c>
      <c r="N132" s="55"/>
      <c r="O132" s="153">
        <f t="shared" si="6"/>
        <v>1.95757089</v>
      </c>
    </row>
    <row r="133" ht="15" spans="2:15">
      <c r="B133" s="156" t="s">
        <v>1120</v>
      </c>
      <c r="C133" s="55"/>
      <c r="D133" s="150"/>
      <c r="E133" s="150"/>
      <c r="F133" s="153">
        <v>938.1086105</v>
      </c>
      <c r="G133" s="153">
        <v>0</v>
      </c>
      <c r="H133" s="101">
        <v>8.15</v>
      </c>
      <c r="I133" s="153">
        <v>3500</v>
      </c>
      <c r="J133" s="55"/>
      <c r="K133" s="139">
        <v>0</v>
      </c>
      <c r="L133" s="139">
        <v>764.5585175575</v>
      </c>
      <c r="M133" s="139">
        <v>0</v>
      </c>
      <c r="N133" s="55"/>
      <c r="O133" s="153">
        <f t="shared" si="6"/>
        <v>764.5585175575</v>
      </c>
    </row>
    <row r="134" ht="15" spans="2:15">
      <c r="B134" s="156" t="s">
        <v>1121</v>
      </c>
      <c r="C134" s="55"/>
      <c r="D134" s="150"/>
      <c r="E134" s="150"/>
      <c r="F134" s="153">
        <v>874.948079</v>
      </c>
      <c r="G134" s="153">
        <v>0</v>
      </c>
      <c r="H134" s="101">
        <v>8.15</v>
      </c>
      <c r="I134" s="153">
        <v>3500</v>
      </c>
      <c r="J134" s="55"/>
      <c r="K134" s="139">
        <v>0</v>
      </c>
      <c r="L134" s="139">
        <v>713.082684385</v>
      </c>
      <c r="M134" s="139">
        <v>0</v>
      </c>
      <c r="N134" s="55"/>
      <c r="O134" s="153">
        <f t="shared" si="6"/>
        <v>713.082684385</v>
      </c>
    </row>
    <row r="135" ht="15" spans="2:15">
      <c r="B135" s="156" t="s">
        <v>1122</v>
      </c>
      <c r="C135" s="55"/>
      <c r="D135" s="150"/>
      <c r="E135" s="150"/>
      <c r="F135" s="153">
        <v>1723.429776</v>
      </c>
      <c r="G135" s="153">
        <v>0</v>
      </c>
      <c r="H135" s="101">
        <v>6.15</v>
      </c>
      <c r="I135" s="153">
        <v>3500</v>
      </c>
      <c r="J135" s="55"/>
      <c r="K135" s="139">
        <v>0</v>
      </c>
      <c r="L135" s="139">
        <v>1059.90931224</v>
      </c>
      <c r="M135" s="139">
        <v>0</v>
      </c>
      <c r="N135" s="55"/>
      <c r="O135" s="153">
        <f t="shared" si="6"/>
        <v>1059.90931224</v>
      </c>
    </row>
    <row r="136" ht="15" spans="2:15">
      <c r="B136" s="151" t="s">
        <v>1113</v>
      </c>
      <c r="C136" s="55"/>
      <c r="D136" s="150">
        <f>'[11]FY22-23 Actual Sales'!D122</f>
        <v>4</v>
      </c>
      <c r="E136" s="150">
        <v>7.1158</v>
      </c>
      <c r="F136" s="136">
        <f>SUM(F137:F140)</f>
        <v>26.42942</v>
      </c>
      <c r="G136" s="153">
        <v>0</v>
      </c>
      <c r="H136" s="101">
        <v>0</v>
      </c>
      <c r="I136" s="153">
        <v>0</v>
      </c>
      <c r="J136" s="55"/>
      <c r="K136" s="136">
        <f>SUM(K137:K140)</f>
        <v>4.056006</v>
      </c>
      <c r="L136" s="136">
        <f>SUM(L137:L140)</f>
        <v>18.8149093</v>
      </c>
      <c r="M136" s="136">
        <f>SUM(M137:M140)</f>
        <v>0.0168</v>
      </c>
      <c r="N136" s="55"/>
      <c r="O136" s="150">
        <f t="shared" si="6"/>
        <v>22.8877153</v>
      </c>
    </row>
    <row r="137" ht="15" spans="2:15">
      <c r="B137" s="156" t="s">
        <v>1142</v>
      </c>
      <c r="C137" s="55"/>
      <c r="D137" s="150"/>
      <c r="E137" s="150"/>
      <c r="F137" s="153">
        <v>8.573468</v>
      </c>
      <c r="G137" s="153">
        <v>475</v>
      </c>
      <c r="H137" s="101">
        <v>7.15</v>
      </c>
      <c r="I137" s="153">
        <v>3500</v>
      </c>
      <c r="J137" s="55"/>
      <c r="K137" s="139">
        <v>4.056006</v>
      </c>
      <c r="L137" s="139">
        <v>6.13002962</v>
      </c>
      <c r="M137" s="139">
        <v>0.0168</v>
      </c>
      <c r="N137" s="55"/>
      <c r="O137" s="153">
        <f t="shared" si="6"/>
        <v>10.20283562</v>
      </c>
    </row>
    <row r="138" ht="15" spans="2:15">
      <c r="B138" s="156" t="s">
        <v>1115</v>
      </c>
      <c r="C138" s="55"/>
      <c r="D138" s="150"/>
      <c r="E138" s="150"/>
      <c r="F138" s="153">
        <v>4.320115</v>
      </c>
      <c r="G138" s="153">
        <v>0</v>
      </c>
      <c r="H138" s="101">
        <v>8.15</v>
      </c>
      <c r="I138" s="153">
        <v>3500</v>
      </c>
      <c r="J138" s="55"/>
      <c r="K138" s="139">
        <v>0</v>
      </c>
      <c r="L138" s="139">
        <v>3.520893725</v>
      </c>
      <c r="M138" s="139">
        <v>0</v>
      </c>
      <c r="N138" s="55"/>
      <c r="O138" s="153">
        <f t="shared" si="6"/>
        <v>3.520893725</v>
      </c>
    </row>
    <row r="139" ht="15" spans="2:15">
      <c r="B139" s="156" t="s">
        <v>1116</v>
      </c>
      <c r="C139" s="55"/>
      <c r="D139" s="150"/>
      <c r="E139" s="150"/>
      <c r="F139" s="153">
        <v>4.197231</v>
      </c>
      <c r="G139" s="153">
        <v>0</v>
      </c>
      <c r="H139" s="101">
        <v>8.15</v>
      </c>
      <c r="I139" s="153">
        <v>3500</v>
      </c>
      <c r="J139" s="55"/>
      <c r="K139" s="139">
        <v>0</v>
      </c>
      <c r="L139" s="139">
        <v>3.420743265</v>
      </c>
      <c r="M139" s="139">
        <v>0</v>
      </c>
      <c r="N139" s="55"/>
      <c r="O139" s="153">
        <f t="shared" si="6"/>
        <v>3.420743265</v>
      </c>
    </row>
    <row r="140" ht="15" spans="2:15">
      <c r="B140" s="156" t="s">
        <v>1143</v>
      </c>
      <c r="C140" s="55"/>
      <c r="D140" s="150"/>
      <c r="E140" s="150"/>
      <c r="F140" s="153">
        <v>9.338606</v>
      </c>
      <c r="G140" s="153">
        <v>0</v>
      </c>
      <c r="H140" s="101">
        <v>6.15</v>
      </c>
      <c r="I140" s="153">
        <v>3500</v>
      </c>
      <c r="J140" s="55"/>
      <c r="K140" s="139">
        <v>0</v>
      </c>
      <c r="L140" s="139">
        <v>5.74324269</v>
      </c>
      <c r="M140" s="139">
        <v>0</v>
      </c>
      <c r="N140" s="55"/>
      <c r="O140" s="153">
        <f t="shared" si="6"/>
        <v>5.74324269</v>
      </c>
    </row>
    <row r="141" ht="15" spans="2:15">
      <c r="B141" s="151" t="s">
        <v>1144</v>
      </c>
      <c r="C141" s="55"/>
      <c r="D141" s="150">
        <f>'[11]FY22-23 Actual Sales'!D126</f>
        <v>4</v>
      </c>
      <c r="E141" s="150">
        <v>9.5</v>
      </c>
      <c r="F141" s="136">
        <f>SUM(F142:F145)</f>
        <v>99.5</v>
      </c>
      <c r="G141" s="150">
        <v>0</v>
      </c>
      <c r="H141" s="137">
        <v>0</v>
      </c>
      <c r="I141" s="150">
        <v>14000</v>
      </c>
      <c r="J141" s="55"/>
      <c r="K141" s="136">
        <f>SUM(K142:K145)</f>
        <v>5.415</v>
      </c>
      <c r="L141" s="136">
        <f>SUM(L142:L145)</f>
        <v>49.3695</v>
      </c>
      <c r="M141" s="136">
        <f>SUM(M142:M145)</f>
        <v>0.0168</v>
      </c>
      <c r="N141" s="55"/>
      <c r="O141" s="150">
        <f t="shared" si="6"/>
        <v>54.8013</v>
      </c>
    </row>
    <row r="142" ht="15" spans="2:15">
      <c r="B142" s="154" t="s">
        <v>1119</v>
      </c>
      <c r="C142" s="55"/>
      <c r="D142" s="150"/>
      <c r="E142" s="150"/>
      <c r="F142" s="153">
        <v>62.25</v>
      </c>
      <c r="G142" s="153">
        <v>475</v>
      </c>
      <c r="H142" s="101">
        <v>7.15</v>
      </c>
      <c r="I142" s="153">
        <v>3500</v>
      </c>
      <c r="J142" s="55"/>
      <c r="K142" s="139">
        <v>5.415</v>
      </c>
      <c r="L142" s="139">
        <v>30.81375</v>
      </c>
      <c r="M142" s="139">
        <v>0.0168</v>
      </c>
      <c r="N142" s="55"/>
      <c r="O142" s="153">
        <f t="shared" si="6"/>
        <v>36.24555</v>
      </c>
    </row>
    <row r="143" ht="15" spans="2:15">
      <c r="B143" s="154" t="s">
        <v>1120</v>
      </c>
      <c r="C143" s="55"/>
      <c r="D143" s="150"/>
      <c r="E143" s="150"/>
      <c r="F143" s="153">
        <v>9.5</v>
      </c>
      <c r="G143" s="153">
        <v>0</v>
      </c>
      <c r="H143" s="101">
        <v>8.15</v>
      </c>
      <c r="I143" s="153">
        <v>3500</v>
      </c>
      <c r="J143" s="55"/>
      <c r="K143" s="139">
        <v>0</v>
      </c>
      <c r="L143" s="139">
        <v>5.6525</v>
      </c>
      <c r="M143" s="139">
        <v>0</v>
      </c>
      <c r="N143" s="55"/>
      <c r="O143" s="153">
        <f t="shared" si="6"/>
        <v>5.6525</v>
      </c>
    </row>
    <row r="144" ht="15" spans="2:15">
      <c r="B144" s="154" t="s">
        <v>1121</v>
      </c>
      <c r="C144" s="55"/>
      <c r="D144" s="150"/>
      <c r="E144" s="150"/>
      <c r="F144" s="153">
        <v>9.71</v>
      </c>
      <c r="G144" s="153">
        <v>0</v>
      </c>
      <c r="H144" s="101">
        <v>8.15</v>
      </c>
      <c r="I144" s="153">
        <v>3500</v>
      </c>
      <c r="J144" s="55"/>
      <c r="K144" s="139">
        <v>0</v>
      </c>
      <c r="L144" s="139">
        <v>5.77745</v>
      </c>
      <c r="M144" s="139">
        <v>0</v>
      </c>
      <c r="N144" s="55"/>
      <c r="O144" s="153">
        <f t="shared" si="6"/>
        <v>5.77745</v>
      </c>
    </row>
    <row r="145" ht="15" spans="2:15">
      <c r="B145" s="154" t="s">
        <v>1122</v>
      </c>
      <c r="C145" s="55"/>
      <c r="D145" s="150"/>
      <c r="E145" s="150"/>
      <c r="F145" s="153">
        <v>18.04</v>
      </c>
      <c r="G145" s="153">
        <v>0</v>
      </c>
      <c r="H145" s="101">
        <v>6.15</v>
      </c>
      <c r="I145" s="153">
        <v>3500</v>
      </c>
      <c r="J145" s="55"/>
      <c r="K145" s="139">
        <v>0</v>
      </c>
      <c r="L145" s="139">
        <v>7.1258</v>
      </c>
      <c r="M145" s="139">
        <v>0</v>
      </c>
      <c r="N145" s="55"/>
      <c r="O145" s="153">
        <f t="shared" si="6"/>
        <v>7.1258</v>
      </c>
    </row>
    <row r="146" ht="15" spans="2:15">
      <c r="B146" s="151" t="s">
        <v>1123</v>
      </c>
      <c r="C146" s="55"/>
      <c r="D146" s="135">
        <f>'[11]FY22-23 Actual Sales'!D130</f>
        <v>1</v>
      </c>
      <c r="E146" s="137">
        <v>7.7823</v>
      </c>
      <c r="F146" s="136">
        <v>43.282</v>
      </c>
      <c r="G146" s="150">
        <v>475</v>
      </c>
      <c r="H146" s="137">
        <v>7.15</v>
      </c>
      <c r="I146" s="150">
        <v>3500</v>
      </c>
      <c r="J146" s="55"/>
      <c r="K146" s="136">
        <v>4.435911</v>
      </c>
      <c r="L146" s="136">
        <v>30.94663</v>
      </c>
      <c r="M146" s="136">
        <v>0.0042</v>
      </c>
      <c r="N146" s="55"/>
      <c r="O146" s="150">
        <f t="shared" si="6"/>
        <v>35.386741</v>
      </c>
    </row>
    <row r="147" ht="15" spans="2:15">
      <c r="B147" s="151" t="s">
        <v>1124</v>
      </c>
      <c r="C147" s="55"/>
      <c r="D147" s="150">
        <f>'[11]FY22-23 Actual Sales'!D131</f>
        <v>153</v>
      </c>
      <c r="E147" s="150">
        <v>374.4865</v>
      </c>
      <c r="F147" s="136">
        <f>SUM(F148:F151)</f>
        <v>1208.192522</v>
      </c>
      <c r="G147" s="150">
        <v>0</v>
      </c>
      <c r="H147" s="137">
        <v>0</v>
      </c>
      <c r="I147" s="150">
        <v>3500</v>
      </c>
      <c r="J147" s="55"/>
      <c r="K147" s="136">
        <f>SUM(K148:K152)</f>
        <v>213.457305</v>
      </c>
      <c r="L147" s="136">
        <f>SUM(L148:L152)</f>
        <v>977.096940971</v>
      </c>
      <c r="M147" s="136">
        <f>SUM(M148:M152)</f>
        <v>0.6426</v>
      </c>
      <c r="N147" s="55"/>
      <c r="O147" s="150">
        <f t="shared" si="6"/>
        <v>1191.196845971</v>
      </c>
    </row>
    <row r="148" ht="15" spans="2:15">
      <c r="B148" s="156" t="s">
        <v>1145</v>
      </c>
      <c r="C148" s="55"/>
      <c r="D148" s="150"/>
      <c r="E148" s="150"/>
      <c r="F148" s="153">
        <v>519.19475971</v>
      </c>
      <c r="G148" s="153">
        <v>475</v>
      </c>
      <c r="H148" s="101">
        <v>8</v>
      </c>
      <c r="I148" s="153">
        <v>3500</v>
      </c>
      <c r="J148" s="55"/>
      <c r="K148" s="138">
        <v>213.457305</v>
      </c>
      <c r="L148" s="138">
        <v>415.355807768</v>
      </c>
      <c r="M148" s="138">
        <v>0.6426</v>
      </c>
      <c r="N148" s="55"/>
      <c r="O148" s="153">
        <f t="shared" si="6"/>
        <v>629.455712768</v>
      </c>
    </row>
    <row r="149" ht="15" spans="2:15">
      <c r="B149" s="156" t="s">
        <v>1120</v>
      </c>
      <c r="C149" s="55"/>
      <c r="D149" s="150"/>
      <c r="E149" s="150"/>
      <c r="F149" s="153">
        <v>215.337623</v>
      </c>
      <c r="G149" s="153">
        <v>0</v>
      </c>
      <c r="H149" s="101">
        <v>9</v>
      </c>
      <c r="I149" s="153">
        <v>3500</v>
      </c>
      <c r="J149" s="55"/>
      <c r="K149" s="138">
        <v>0</v>
      </c>
      <c r="L149" s="138">
        <v>193.8038607</v>
      </c>
      <c r="M149" s="138">
        <v>0</v>
      </c>
      <c r="N149" s="55"/>
      <c r="O149" s="153">
        <f t="shared" si="6"/>
        <v>193.8038607</v>
      </c>
    </row>
    <row r="150" ht="15" spans="2:15">
      <c r="B150" s="156" t="s">
        <v>1121</v>
      </c>
      <c r="C150" s="55"/>
      <c r="D150" s="150"/>
      <c r="E150" s="150"/>
      <c r="F150" s="153">
        <v>181.875875</v>
      </c>
      <c r="G150" s="153">
        <v>0</v>
      </c>
      <c r="H150" s="101">
        <v>9</v>
      </c>
      <c r="I150" s="153">
        <v>3500</v>
      </c>
      <c r="J150" s="55"/>
      <c r="K150" s="138">
        <v>0</v>
      </c>
      <c r="L150" s="138">
        <v>163.6882875</v>
      </c>
      <c r="M150" s="138">
        <v>0</v>
      </c>
      <c r="N150" s="55"/>
      <c r="O150" s="153">
        <f t="shared" si="6"/>
        <v>163.6882875</v>
      </c>
    </row>
    <row r="151" ht="15" spans="2:15">
      <c r="B151" s="156" t="s">
        <v>1122</v>
      </c>
      <c r="C151" s="55"/>
      <c r="D151" s="150"/>
      <c r="E151" s="150"/>
      <c r="F151" s="153">
        <v>291.78426429</v>
      </c>
      <c r="G151" s="153">
        <v>0</v>
      </c>
      <c r="H151" s="101">
        <v>7</v>
      </c>
      <c r="I151" s="153">
        <v>3500</v>
      </c>
      <c r="J151" s="55"/>
      <c r="K151" s="138">
        <v>0</v>
      </c>
      <c r="L151" s="138">
        <v>204.248985003</v>
      </c>
      <c r="M151" s="138">
        <v>0</v>
      </c>
      <c r="N151" s="55"/>
      <c r="O151" s="153">
        <f t="shared" si="6"/>
        <v>204.248985003</v>
      </c>
    </row>
    <row r="152" ht="15" spans="2:15">
      <c r="B152" s="156" t="s">
        <v>1146</v>
      </c>
      <c r="C152" s="55"/>
      <c r="D152" s="150"/>
      <c r="E152" s="150"/>
      <c r="F152" s="139"/>
      <c r="G152" s="153">
        <v>475</v>
      </c>
      <c r="H152" s="101">
        <v>8</v>
      </c>
      <c r="I152" s="153">
        <v>3500</v>
      </c>
      <c r="J152" s="55"/>
      <c r="K152" s="139"/>
      <c r="L152" s="139"/>
      <c r="M152" s="139"/>
      <c r="N152" s="55"/>
      <c r="O152" s="153">
        <f t="shared" si="6"/>
        <v>0</v>
      </c>
    </row>
    <row r="153" ht="15" spans="2:15">
      <c r="B153" s="151" t="s">
        <v>1125</v>
      </c>
      <c r="C153" s="55"/>
      <c r="D153" s="150">
        <f>'[11]FY22-23 Actual Sales'!D135</f>
        <v>1</v>
      </c>
      <c r="E153" s="150">
        <v>1.501</v>
      </c>
      <c r="F153" s="136">
        <f>SUM(F154:F157)</f>
        <v>3.3826</v>
      </c>
      <c r="G153" s="150">
        <v>0</v>
      </c>
      <c r="H153" s="137">
        <v>0</v>
      </c>
      <c r="I153" s="150">
        <v>14000</v>
      </c>
      <c r="J153" s="55"/>
      <c r="K153" s="136">
        <f>SUM(K154:K157)</f>
        <v>0.468312</v>
      </c>
      <c r="L153" s="136">
        <f>SUM(L154:L157)</f>
        <v>1.7133</v>
      </c>
      <c r="M153" s="136">
        <f>SUM(M154:M157)</f>
        <v>0.0042</v>
      </c>
      <c r="N153" s="55"/>
      <c r="O153" s="150">
        <f t="shared" si="6"/>
        <v>2.185812</v>
      </c>
    </row>
    <row r="154" ht="15" spans="2:15">
      <c r="B154" s="154" t="s">
        <v>1119</v>
      </c>
      <c r="C154" s="55"/>
      <c r="D154" s="150"/>
      <c r="E154" s="150"/>
      <c r="F154" s="153">
        <v>2.1226</v>
      </c>
      <c r="G154" s="153">
        <v>260</v>
      </c>
      <c r="H154" s="101">
        <v>5</v>
      </c>
      <c r="I154" s="153">
        <v>3500</v>
      </c>
      <c r="J154" s="55"/>
      <c r="K154" s="139">
        <v>0.468312</v>
      </c>
      <c r="L154" s="139">
        <v>1.0613</v>
      </c>
      <c r="M154" s="139">
        <v>0.0042</v>
      </c>
      <c r="N154" s="55"/>
      <c r="O154" s="153">
        <f t="shared" si="6"/>
        <v>1.533812</v>
      </c>
    </row>
    <row r="155" ht="15" spans="2:15">
      <c r="B155" s="154" t="s">
        <v>1120</v>
      </c>
      <c r="C155" s="55"/>
      <c r="D155" s="150"/>
      <c r="E155" s="150"/>
      <c r="F155" s="153">
        <v>0.38</v>
      </c>
      <c r="G155" s="153">
        <v>0</v>
      </c>
      <c r="H155" s="101">
        <v>6</v>
      </c>
      <c r="I155" s="153">
        <v>3500</v>
      </c>
      <c r="J155" s="55"/>
      <c r="K155" s="139">
        <v>0</v>
      </c>
      <c r="L155" s="139">
        <v>0.228</v>
      </c>
      <c r="M155" s="139">
        <v>0</v>
      </c>
      <c r="N155" s="55"/>
      <c r="O155" s="153">
        <f t="shared" si="6"/>
        <v>0.228</v>
      </c>
    </row>
    <row r="156" ht="15" spans="2:15">
      <c r="B156" s="154" t="s">
        <v>1121</v>
      </c>
      <c r="C156" s="55"/>
      <c r="D156" s="150"/>
      <c r="E156" s="150"/>
      <c r="F156" s="153">
        <v>0.36</v>
      </c>
      <c r="G156" s="153">
        <v>0</v>
      </c>
      <c r="H156" s="101">
        <v>6</v>
      </c>
      <c r="I156" s="153">
        <v>3500</v>
      </c>
      <c r="J156" s="55"/>
      <c r="K156" s="139">
        <v>0</v>
      </c>
      <c r="L156" s="139">
        <v>0.216</v>
      </c>
      <c r="M156" s="139">
        <v>0</v>
      </c>
      <c r="N156" s="55"/>
      <c r="O156" s="153">
        <f t="shared" si="6"/>
        <v>0.216</v>
      </c>
    </row>
    <row r="157" ht="15" spans="2:15">
      <c r="B157" s="154" t="s">
        <v>1122</v>
      </c>
      <c r="C157" s="55"/>
      <c r="D157" s="150"/>
      <c r="E157" s="150"/>
      <c r="F157" s="153">
        <v>0.52</v>
      </c>
      <c r="G157" s="153">
        <v>0</v>
      </c>
      <c r="H157" s="101">
        <v>4</v>
      </c>
      <c r="I157" s="153">
        <v>3500</v>
      </c>
      <c r="J157" s="55"/>
      <c r="K157" s="139">
        <v>0</v>
      </c>
      <c r="L157" s="139">
        <v>0.208</v>
      </c>
      <c r="M157" s="139">
        <v>0</v>
      </c>
      <c r="N157" s="55"/>
      <c r="O157" s="153">
        <f t="shared" si="6"/>
        <v>0.208</v>
      </c>
    </row>
    <row r="158" ht="15" spans="2:15">
      <c r="B158" s="151" t="s">
        <v>1126</v>
      </c>
      <c r="C158" s="55"/>
      <c r="D158" s="150"/>
      <c r="E158" s="150"/>
      <c r="F158" s="136">
        <f>SUM(F159:F162)</f>
        <v>0</v>
      </c>
      <c r="G158" s="150">
        <v>0</v>
      </c>
      <c r="H158" s="137">
        <v>0</v>
      </c>
      <c r="I158" s="150">
        <v>0</v>
      </c>
      <c r="J158" s="55"/>
      <c r="K158" s="136">
        <f>SUM(K159:K162)</f>
        <v>0</v>
      </c>
      <c r="L158" s="136">
        <f>SUM(L159:L162)</f>
        <v>0</v>
      </c>
      <c r="M158" s="136">
        <f>SUM(M159:M162)</f>
        <v>0</v>
      </c>
      <c r="N158" s="55"/>
      <c r="O158" s="150">
        <f t="shared" si="6"/>
        <v>0</v>
      </c>
    </row>
    <row r="159" ht="15" spans="2:15">
      <c r="B159" s="156" t="s">
        <v>1119</v>
      </c>
      <c r="C159" s="55"/>
      <c r="D159" s="150">
        <f>'[11]FY22-23 Actual Sales'!D139</f>
        <v>0</v>
      </c>
      <c r="E159" s="150"/>
      <c r="F159" s="153">
        <f>'[11]FY22-23 Actual Sales'!S139</f>
        <v>0</v>
      </c>
      <c r="G159" s="153">
        <v>475</v>
      </c>
      <c r="H159" s="101">
        <v>7.85</v>
      </c>
      <c r="I159" s="153">
        <v>3500</v>
      </c>
      <c r="J159" s="55"/>
      <c r="K159" s="139">
        <v>0</v>
      </c>
      <c r="L159" s="139">
        <v>0</v>
      </c>
      <c r="M159" s="139">
        <v>0</v>
      </c>
      <c r="N159" s="55"/>
      <c r="O159" s="153">
        <f t="shared" si="6"/>
        <v>0</v>
      </c>
    </row>
    <row r="160" spans="2:15">
      <c r="B160" s="156" t="s">
        <v>1120</v>
      </c>
      <c r="C160" s="55"/>
      <c r="D160" s="139"/>
      <c r="E160" s="139"/>
      <c r="F160" s="153">
        <f>'[11]FY22-23 Actual Sales'!S140</f>
        <v>0</v>
      </c>
      <c r="G160" s="153">
        <v>0</v>
      </c>
      <c r="H160" s="101">
        <v>8.85</v>
      </c>
      <c r="I160" s="153">
        <v>3500</v>
      </c>
      <c r="J160" s="55"/>
      <c r="K160" s="139">
        <v>0</v>
      </c>
      <c r="L160" s="139">
        <v>0</v>
      </c>
      <c r="M160" s="139">
        <v>0</v>
      </c>
      <c r="N160" s="55"/>
      <c r="O160" s="153">
        <f t="shared" si="6"/>
        <v>0</v>
      </c>
    </row>
    <row r="161" spans="2:15">
      <c r="B161" s="156" t="s">
        <v>1121</v>
      </c>
      <c r="C161" s="55"/>
      <c r="D161" s="139"/>
      <c r="E161" s="139"/>
      <c r="F161" s="153">
        <f>'[11]FY22-23 Actual Sales'!S141</f>
        <v>0</v>
      </c>
      <c r="G161" s="153">
        <v>0</v>
      </c>
      <c r="H161" s="101">
        <v>8.85</v>
      </c>
      <c r="I161" s="153">
        <v>3500</v>
      </c>
      <c r="J161" s="55"/>
      <c r="K161" s="139">
        <v>0</v>
      </c>
      <c r="L161" s="139">
        <v>0</v>
      </c>
      <c r="M161" s="139">
        <v>0</v>
      </c>
      <c r="N161" s="55"/>
      <c r="O161" s="153">
        <f t="shared" si="6"/>
        <v>0</v>
      </c>
    </row>
    <row r="162" spans="2:15">
      <c r="B162" s="156" t="s">
        <v>1122</v>
      </c>
      <c r="C162" s="55"/>
      <c r="D162" s="139"/>
      <c r="E162" s="139"/>
      <c r="F162" s="153">
        <f>'[11]FY22-23 Actual Sales'!S142</f>
        <v>0</v>
      </c>
      <c r="G162" s="153">
        <v>0</v>
      </c>
      <c r="H162" s="101">
        <v>6.85</v>
      </c>
      <c r="I162" s="153">
        <v>3500</v>
      </c>
      <c r="J162" s="55"/>
      <c r="K162" s="139">
        <v>0</v>
      </c>
      <c r="L162" s="139">
        <v>0</v>
      </c>
      <c r="M162" s="139">
        <v>0</v>
      </c>
      <c r="N162" s="55"/>
      <c r="O162" s="153">
        <f t="shared" si="6"/>
        <v>0</v>
      </c>
    </row>
    <row r="163" ht="15" spans="2:15">
      <c r="B163" s="151" t="s">
        <v>1147</v>
      </c>
      <c r="C163" s="55"/>
      <c r="D163" s="150">
        <f>'[11]FY22-23 Actual Sales'!D143</f>
        <v>19</v>
      </c>
      <c r="E163" s="150">
        <v>14.5419</v>
      </c>
      <c r="F163" s="136">
        <f>SUM(F164:F166)</f>
        <v>279.91376</v>
      </c>
      <c r="G163" s="150">
        <v>0</v>
      </c>
      <c r="H163" s="137">
        <v>0</v>
      </c>
      <c r="I163" s="150">
        <v>0</v>
      </c>
      <c r="J163" s="55"/>
      <c r="K163" s="136">
        <f>K164</f>
        <v>4.798827</v>
      </c>
      <c r="L163" s="136">
        <f>L164</f>
        <v>12.38567715</v>
      </c>
      <c r="M163" s="136">
        <f>M164</f>
        <v>0.0798</v>
      </c>
      <c r="N163" s="55"/>
      <c r="O163" s="150">
        <f t="shared" si="6"/>
        <v>17.26430415</v>
      </c>
    </row>
    <row r="164" spans="2:15">
      <c r="B164" s="160" t="s">
        <v>1128</v>
      </c>
      <c r="C164" s="55"/>
      <c r="D164" s="153"/>
      <c r="E164" s="153"/>
      <c r="F164" s="138">
        <v>19.659805</v>
      </c>
      <c r="G164" s="153">
        <v>275</v>
      </c>
      <c r="H164" s="101">
        <v>6.3</v>
      </c>
      <c r="I164" s="153">
        <v>3500</v>
      </c>
      <c r="J164" s="55"/>
      <c r="K164" s="138">
        <v>4.798827</v>
      </c>
      <c r="L164" s="138">
        <v>12.38567715</v>
      </c>
      <c r="M164" s="138">
        <v>0.0798</v>
      </c>
      <c r="N164" s="55"/>
      <c r="O164" s="153">
        <f t="shared" si="6"/>
        <v>17.26430415</v>
      </c>
    </row>
    <row r="165" ht="15" spans="2:15">
      <c r="B165" s="161" t="s">
        <v>1148</v>
      </c>
      <c r="C165" s="55"/>
      <c r="D165" s="150">
        <f>'[11]FY22-23 Actual Sales'!D144</f>
        <v>13</v>
      </c>
      <c r="E165" s="150">
        <v>38.9426</v>
      </c>
      <c r="F165" s="136"/>
      <c r="G165" s="150">
        <v>0</v>
      </c>
      <c r="H165" s="137">
        <v>0</v>
      </c>
      <c r="I165" s="150">
        <v>0</v>
      </c>
      <c r="J165" s="55"/>
      <c r="K165" s="136">
        <f>K166</f>
        <v>0</v>
      </c>
      <c r="L165" s="136">
        <f>L166</f>
        <v>158.75491255</v>
      </c>
      <c r="M165" s="136">
        <f>M166</f>
        <v>0.0546</v>
      </c>
      <c r="N165" s="55"/>
      <c r="O165" s="150">
        <f t="shared" si="6"/>
        <v>158.80951255</v>
      </c>
    </row>
    <row r="166" spans="2:15">
      <c r="B166" s="154" t="s">
        <v>1149</v>
      </c>
      <c r="C166" s="55"/>
      <c r="D166" s="153"/>
      <c r="E166" s="153"/>
      <c r="F166" s="138">
        <v>260.253955</v>
      </c>
      <c r="G166" s="153">
        <v>0</v>
      </c>
      <c r="H166" s="101">
        <v>6.1</v>
      </c>
      <c r="I166" s="153">
        <v>3500</v>
      </c>
      <c r="J166" s="55"/>
      <c r="K166" s="138">
        <v>0</v>
      </c>
      <c r="L166" s="138">
        <v>158.75491255</v>
      </c>
      <c r="M166" s="138">
        <v>0.0546</v>
      </c>
      <c r="N166" s="55"/>
      <c r="O166" s="153">
        <f t="shared" si="6"/>
        <v>158.80951255</v>
      </c>
    </row>
    <row r="167" ht="15" spans="2:15">
      <c r="B167" s="157" t="s">
        <v>1150</v>
      </c>
      <c r="C167" s="55"/>
      <c r="D167" s="150"/>
      <c r="E167" s="150"/>
      <c r="F167" s="136"/>
      <c r="G167" s="150">
        <v>0</v>
      </c>
      <c r="H167" s="137">
        <v>0</v>
      </c>
      <c r="I167" s="150">
        <v>3500</v>
      </c>
      <c r="J167" s="55"/>
      <c r="K167" s="136"/>
      <c r="L167" s="136"/>
      <c r="M167" s="136"/>
      <c r="N167" s="55"/>
      <c r="O167" s="153">
        <f t="shared" si="6"/>
        <v>0</v>
      </c>
    </row>
    <row r="168" ht="15" spans="2:15">
      <c r="B168" s="151" t="s">
        <v>1131</v>
      </c>
      <c r="C168" s="55"/>
      <c r="D168" s="150">
        <f>'[11]FY22-23 Actual Sales'!D147</f>
        <v>1</v>
      </c>
      <c r="E168" s="150">
        <v>5.56845</v>
      </c>
      <c r="F168" s="136">
        <v>2.9856</v>
      </c>
      <c r="G168" s="150">
        <v>0</v>
      </c>
      <c r="H168" s="137">
        <v>0</v>
      </c>
      <c r="I168" s="150">
        <v>0</v>
      </c>
      <c r="J168" s="55"/>
      <c r="K168" s="136">
        <v>3.1740165</v>
      </c>
      <c r="L168" s="136">
        <v>1.507728</v>
      </c>
      <c r="M168" s="136">
        <v>0.0042</v>
      </c>
      <c r="N168" s="55"/>
      <c r="O168" s="153">
        <f t="shared" si="6"/>
        <v>4.6859445</v>
      </c>
    </row>
    <row r="169" ht="15" spans="2:15">
      <c r="B169" s="151" t="s">
        <v>1132</v>
      </c>
      <c r="C169" s="55"/>
      <c r="D169" s="150"/>
      <c r="E169" s="150"/>
      <c r="F169" s="136"/>
      <c r="G169" s="150">
        <v>0</v>
      </c>
      <c r="H169" s="137">
        <v>0</v>
      </c>
      <c r="I169" s="150">
        <v>0</v>
      </c>
      <c r="J169" s="55"/>
      <c r="K169" s="136"/>
      <c r="L169" s="136"/>
      <c r="M169" s="136"/>
      <c r="N169" s="55"/>
      <c r="O169" s="153">
        <f t="shared" si="6"/>
        <v>0</v>
      </c>
    </row>
    <row r="170" ht="15" spans="2:15">
      <c r="B170" s="151" t="s">
        <v>919</v>
      </c>
      <c r="C170" s="55"/>
      <c r="D170" s="150">
        <f>'[11]FY22-23 Actual Sales'!D145</f>
        <v>21</v>
      </c>
      <c r="E170" s="150">
        <v>21.502038</v>
      </c>
      <c r="F170" s="136">
        <v>124.415384</v>
      </c>
      <c r="G170" s="150">
        <v>260</v>
      </c>
      <c r="H170" s="137">
        <v>7.3</v>
      </c>
      <c r="I170" s="150">
        <v>3500</v>
      </c>
      <c r="J170" s="55"/>
      <c r="K170" s="136">
        <v>6.708635856</v>
      </c>
      <c r="L170" s="136">
        <v>90.82323032</v>
      </c>
      <c r="M170" s="136">
        <v>0.0882</v>
      </c>
      <c r="N170" s="55"/>
      <c r="O170" s="153">
        <f t="shared" si="6"/>
        <v>97.620066176</v>
      </c>
    </row>
    <row r="171" ht="15" spans="2:15">
      <c r="B171" s="151" t="s">
        <v>1133</v>
      </c>
      <c r="C171" s="55"/>
      <c r="D171" s="150">
        <f>'[11]FY22-23 Actual Sales'!D146</f>
        <v>8</v>
      </c>
      <c r="E171" s="150">
        <v>20.802</v>
      </c>
      <c r="F171" s="136">
        <v>43.908702</v>
      </c>
      <c r="G171" s="150">
        <v>500</v>
      </c>
      <c r="H171" s="137">
        <v>11</v>
      </c>
      <c r="I171" s="150">
        <v>3500</v>
      </c>
      <c r="J171" s="55"/>
      <c r="K171" s="136">
        <v>12.4812</v>
      </c>
      <c r="L171" s="136">
        <v>48.2995722</v>
      </c>
      <c r="M171" s="136">
        <v>0.0336</v>
      </c>
      <c r="N171" s="55"/>
      <c r="O171" s="153">
        <f t="shared" si="6"/>
        <v>60.8143722</v>
      </c>
    </row>
    <row r="172" ht="15" spans="2:15">
      <c r="B172" s="157" t="s">
        <v>1151</v>
      </c>
      <c r="C172" s="55"/>
      <c r="D172" s="148">
        <f>SUM(D129,D132,D136,D141,D146,D147,D153,D159,D163,D165,D167,D168,D169,D170,D171)</f>
        <v>606</v>
      </c>
      <c r="E172" s="149">
        <f>SUM(E129,E132,E136,E141,E146,E147,E153,E159,E163,E165,E167,E168,E169,E170,E171)</f>
        <v>1455.280781</v>
      </c>
      <c r="F172" s="149">
        <f>SUM(F129:F135,F136,F141,F146,F147,F153,F158,F163,F168,F170,F171)</f>
        <v>7282.61011873</v>
      </c>
      <c r="G172" s="198"/>
      <c r="H172" s="198"/>
      <c r="I172" s="198"/>
      <c r="J172" s="198"/>
      <c r="K172" s="149">
        <f>SUM(K129:K135,K136,K141,K146,K147,K153,K158,K163,K165,K168,K170,K171)</f>
        <v>798.511983366</v>
      </c>
      <c r="L172" s="149">
        <f>SUM(L129:L135,L136,L141,L146,L147,L153,L158,L163,L165,L168,L170,L171)</f>
        <v>5296.06397925795</v>
      </c>
      <c r="M172" s="149">
        <f>SUM(M129:M135,M136,M141,M146,M147,M153,M158,M163,M165,M168,M170,M171)</f>
        <v>2.5452</v>
      </c>
      <c r="N172" s="149">
        <f>SUM(N129:N135,N136,N141,N146,N147,N153,N158,N163,N165,N168,N170,N171)</f>
        <v>0</v>
      </c>
      <c r="O172" s="149">
        <f>SUM(O129:O135,O136,O141,O146,O147,O153,O158,O163,O165,O168,O170,O171)</f>
        <v>6097.12116262395</v>
      </c>
    </row>
    <row r="173" spans="2:15"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</row>
    <row r="174" spans="2:15">
      <c r="B174" s="151" t="s">
        <v>1152</v>
      </c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</row>
    <row r="175" ht="15" spans="2:15">
      <c r="B175" s="151" t="s">
        <v>1137</v>
      </c>
      <c r="C175" s="55"/>
      <c r="D175" s="136">
        <v>44</v>
      </c>
      <c r="E175" s="136">
        <v>629.13017</v>
      </c>
      <c r="F175" s="136"/>
      <c r="G175" s="150">
        <v>0</v>
      </c>
      <c r="H175" s="137">
        <v>0</v>
      </c>
      <c r="I175" s="150">
        <v>0</v>
      </c>
      <c r="J175" s="55"/>
      <c r="K175" s="136"/>
      <c r="L175" s="136"/>
      <c r="M175" s="136"/>
      <c r="N175" s="55"/>
      <c r="O175" s="153">
        <f t="shared" ref="O175:O216" si="7">K175+L175+M175</f>
        <v>0</v>
      </c>
    </row>
    <row r="176" spans="2:15">
      <c r="B176" s="154" t="s">
        <v>1105</v>
      </c>
      <c r="C176" s="55"/>
      <c r="D176" s="138"/>
      <c r="E176" s="138"/>
      <c r="F176" s="138">
        <v>615.426451</v>
      </c>
      <c r="G176" s="153">
        <v>475</v>
      </c>
      <c r="H176" s="101">
        <v>6.65</v>
      </c>
      <c r="I176" s="153">
        <v>5000</v>
      </c>
      <c r="J176" s="55"/>
      <c r="K176" s="138">
        <v>358.6041969</v>
      </c>
      <c r="L176" s="138">
        <v>409.258589915</v>
      </c>
      <c r="M176" s="138">
        <v>0.264</v>
      </c>
      <c r="N176" s="55"/>
      <c r="O176" s="153">
        <f t="shared" si="7"/>
        <v>768.126786815</v>
      </c>
    </row>
    <row r="177" spans="2:15">
      <c r="B177" s="154" t="s">
        <v>1139</v>
      </c>
      <c r="C177" s="55"/>
      <c r="D177" s="139"/>
      <c r="E177" s="139"/>
      <c r="F177" s="138">
        <f>'[11]FY22-23 Actual Sales'!S150</f>
        <v>0</v>
      </c>
      <c r="G177" s="153">
        <v>0</v>
      </c>
      <c r="H177" s="101">
        <v>6.65</v>
      </c>
      <c r="I177" s="153">
        <v>5000</v>
      </c>
      <c r="J177" s="55"/>
      <c r="K177" s="138">
        <v>0</v>
      </c>
      <c r="L177" s="138">
        <v>0</v>
      </c>
      <c r="M177" s="138">
        <v>0</v>
      </c>
      <c r="N177" s="55"/>
      <c r="O177" s="153">
        <f t="shared" si="7"/>
        <v>0</v>
      </c>
    </row>
    <row r="178" spans="2:15">
      <c r="B178" s="154" t="s">
        <v>1140</v>
      </c>
      <c r="C178" s="55"/>
      <c r="D178" s="139"/>
      <c r="E178" s="139"/>
      <c r="F178" s="138">
        <f>'[11]FY22-23 Actual Sales'!S151</f>
        <v>0</v>
      </c>
      <c r="G178" s="153">
        <v>0</v>
      </c>
      <c r="H178" s="101">
        <v>7.3</v>
      </c>
      <c r="I178" s="153">
        <v>5000</v>
      </c>
      <c r="J178" s="55"/>
      <c r="K178" s="138">
        <v>0</v>
      </c>
      <c r="L178" s="138">
        <v>0</v>
      </c>
      <c r="M178" s="138">
        <v>0</v>
      </c>
      <c r="N178" s="55"/>
      <c r="O178" s="153">
        <f t="shared" si="7"/>
        <v>0</v>
      </c>
    </row>
    <row r="179" spans="2:15">
      <c r="B179" s="154" t="s">
        <v>1141</v>
      </c>
      <c r="C179" s="55"/>
      <c r="D179" s="139"/>
      <c r="E179" s="139"/>
      <c r="F179" s="138">
        <f>'[11]FY22-23 Actual Sales'!S152</f>
        <v>0</v>
      </c>
      <c r="G179" s="153">
        <v>475</v>
      </c>
      <c r="H179" s="101">
        <v>7.7</v>
      </c>
      <c r="I179" s="153">
        <v>5000</v>
      </c>
      <c r="J179" s="55"/>
      <c r="K179" s="138">
        <v>0</v>
      </c>
      <c r="L179" s="138">
        <v>0</v>
      </c>
      <c r="M179" s="138">
        <v>0</v>
      </c>
      <c r="N179" s="55"/>
      <c r="O179" s="153">
        <f t="shared" si="7"/>
        <v>0</v>
      </c>
    </row>
    <row r="180" spans="2:15">
      <c r="B180" s="156" t="s">
        <v>1120</v>
      </c>
      <c r="C180" s="55"/>
      <c r="D180" s="139"/>
      <c r="E180" s="139"/>
      <c r="F180" s="138">
        <v>529.509128</v>
      </c>
      <c r="G180" s="153">
        <v>0</v>
      </c>
      <c r="H180" s="101">
        <v>7.65</v>
      </c>
      <c r="I180" s="153">
        <v>5000</v>
      </c>
      <c r="J180" s="55"/>
      <c r="K180" s="138">
        <v>0</v>
      </c>
      <c r="L180" s="138">
        <v>352.12357012</v>
      </c>
      <c r="M180" s="138">
        <v>0</v>
      </c>
      <c r="N180" s="55"/>
      <c r="O180" s="153">
        <f t="shared" si="7"/>
        <v>352.12357012</v>
      </c>
    </row>
    <row r="181" spans="2:15">
      <c r="B181" s="156" t="s">
        <v>1121</v>
      </c>
      <c r="C181" s="55"/>
      <c r="D181" s="139"/>
      <c r="E181" s="139"/>
      <c r="F181" s="138">
        <v>474.70204</v>
      </c>
      <c r="G181" s="153">
        <v>0</v>
      </c>
      <c r="H181" s="101">
        <v>7.65</v>
      </c>
      <c r="I181" s="153">
        <v>5000</v>
      </c>
      <c r="J181" s="55"/>
      <c r="K181" s="138">
        <v>0</v>
      </c>
      <c r="L181" s="138">
        <v>315.6768566</v>
      </c>
      <c r="M181" s="138">
        <v>0</v>
      </c>
      <c r="N181" s="55"/>
      <c r="O181" s="153">
        <f t="shared" si="7"/>
        <v>315.6768566</v>
      </c>
    </row>
    <row r="182" spans="2:15">
      <c r="B182" s="156" t="s">
        <v>1122</v>
      </c>
      <c r="C182" s="55"/>
      <c r="D182" s="139"/>
      <c r="E182" s="139"/>
      <c r="F182" s="138">
        <v>1082.709307</v>
      </c>
      <c r="G182" s="153">
        <v>0</v>
      </c>
      <c r="H182" s="101">
        <v>5.65</v>
      </c>
      <c r="I182" s="153">
        <v>5000</v>
      </c>
      <c r="J182" s="55"/>
      <c r="K182" s="138">
        <v>0</v>
      </c>
      <c r="L182" s="138">
        <v>611.730758455</v>
      </c>
      <c r="M182" s="138">
        <v>0</v>
      </c>
      <c r="N182" s="55"/>
      <c r="O182" s="153">
        <f t="shared" si="7"/>
        <v>611.730758455</v>
      </c>
    </row>
    <row r="183" ht="15" spans="2:15">
      <c r="B183" s="151" t="s">
        <v>1118</v>
      </c>
      <c r="C183" s="55"/>
      <c r="D183" s="167">
        <f>'[11]FY22-23 Actual Sales'!D156</f>
        <v>6</v>
      </c>
      <c r="E183" s="162">
        <v>143.2</v>
      </c>
      <c r="F183" s="136">
        <f>SUM(F184:F187)</f>
        <v>1977.4</v>
      </c>
      <c r="G183" s="150">
        <v>0</v>
      </c>
      <c r="H183" s="137">
        <v>0</v>
      </c>
      <c r="I183" s="150">
        <v>20000</v>
      </c>
      <c r="J183" s="55"/>
      <c r="K183" s="136">
        <f>SUM(K184:K187)</f>
        <v>81.624</v>
      </c>
      <c r="L183" s="136">
        <f>SUM(L184:L187)</f>
        <v>979.282</v>
      </c>
      <c r="M183" s="136">
        <f>SUM(M184:M187)</f>
        <v>0.036</v>
      </c>
      <c r="N183" s="55"/>
      <c r="O183" s="150">
        <f t="shared" si="7"/>
        <v>1060.942</v>
      </c>
    </row>
    <row r="184" spans="2:15">
      <c r="B184" s="154" t="s">
        <v>1119</v>
      </c>
      <c r="C184" s="55"/>
      <c r="D184" s="166"/>
      <c r="E184" s="166"/>
      <c r="F184" s="221">
        <v>1229.03</v>
      </c>
      <c r="G184" s="222">
        <v>475</v>
      </c>
      <c r="H184" s="101">
        <v>6.65</v>
      </c>
      <c r="I184" s="153">
        <v>5000</v>
      </c>
      <c r="J184" s="55"/>
      <c r="K184" s="165">
        <v>81.624</v>
      </c>
      <c r="L184" s="165">
        <v>608.36985</v>
      </c>
      <c r="M184" s="165">
        <v>0.036</v>
      </c>
      <c r="N184" s="55"/>
      <c r="O184" s="153">
        <f t="shared" si="7"/>
        <v>690.02985</v>
      </c>
    </row>
    <row r="185" spans="2:15">
      <c r="B185" s="154" t="s">
        <v>1120</v>
      </c>
      <c r="C185" s="55"/>
      <c r="D185" s="166"/>
      <c r="E185" s="166"/>
      <c r="F185" s="221">
        <v>186.6</v>
      </c>
      <c r="G185" s="100">
        <v>0</v>
      </c>
      <c r="H185" s="101">
        <v>7.65</v>
      </c>
      <c r="I185" s="153">
        <v>5000</v>
      </c>
      <c r="J185" s="55"/>
      <c r="K185" s="165">
        <v>0</v>
      </c>
      <c r="L185" s="165">
        <v>111.027</v>
      </c>
      <c r="M185" s="165">
        <v>0</v>
      </c>
      <c r="N185" s="55"/>
      <c r="O185" s="153">
        <f t="shared" si="7"/>
        <v>111.027</v>
      </c>
    </row>
    <row r="186" spans="2:15">
      <c r="B186" s="154" t="s">
        <v>1121</v>
      </c>
      <c r="C186" s="55"/>
      <c r="D186" s="166"/>
      <c r="E186" s="166"/>
      <c r="F186" s="221">
        <v>189.93</v>
      </c>
      <c r="G186" s="100">
        <v>0</v>
      </c>
      <c r="H186" s="101">
        <v>7.65</v>
      </c>
      <c r="I186" s="153">
        <v>5000</v>
      </c>
      <c r="J186" s="55"/>
      <c r="K186" s="165">
        <v>0</v>
      </c>
      <c r="L186" s="165">
        <v>113.00835</v>
      </c>
      <c r="M186" s="165">
        <v>0</v>
      </c>
      <c r="N186" s="55"/>
      <c r="O186" s="153">
        <f t="shared" si="7"/>
        <v>113.00835</v>
      </c>
    </row>
    <row r="187" spans="2:15">
      <c r="B187" s="154" t="s">
        <v>1122</v>
      </c>
      <c r="C187" s="55"/>
      <c r="D187" s="166"/>
      <c r="E187" s="166"/>
      <c r="F187" s="221">
        <v>371.84</v>
      </c>
      <c r="G187" s="100">
        <v>0</v>
      </c>
      <c r="H187" s="101">
        <v>5.65</v>
      </c>
      <c r="I187" s="153">
        <v>5000</v>
      </c>
      <c r="J187" s="55"/>
      <c r="K187" s="166"/>
      <c r="L187" s="165">
        <v>146.8768</v>
      </c>
      <c r="M187" s="165">
        <v>0</v>
      </c>
      <c r="N187" s="55"/>
      <c r="O187" s="153">
        <f t="shared" si="7"/>
        <v>146.8768</v>
      </c>
    </row>
    <row r="188" ht="15" spans="2:15">
      <c r="B188" s="151" t="s">
        <v>1153</v>
      </c>
      <c r="C188" s="55"/>
      <c r="D188" s="167">
        <f>'[11]FY22-23 Actual Sales'!D160</f>
        <v>2</v>
      </c>
      <c r="E188" s="162">
        <v>34.33505</v>
      </c>
      <c r="F188" s="136">
        <v>209.4758</v>
      </c>
      <c r="G188" s="150">
        <v>475</v>
      </c>
      <c r="H188" s="137">
        <v>6.65</v>
      </c>
      <c r="I188" s="150">
        <v>5000</v>
      </c>
      <c r="J188" s="55"/>
      <c r="K188" s="136">
        <v>19.5709785</v>
      </c>
      <c r="L188" s="136">
        <v>139.301407</v>
      </c>
      <c r="M188" s="136">
        <v>0</v>
      </c>
      <c r="N188" s="55"/>
      <c r="O188" s="150">
        <f t="shared" si="7"/>
        <v>158.8723855</v>
      </c>
    </row>
    <row r="189" ht="15" spans="2:15">
      <c r="B189" s="151" t="s">
        <v>1154</v>
      </c>
      <c r="C189" s="55"/>
      <c r="D189" s="136">
        <f>'[11]FY22-23 Actual Sales'!D161</f>
        <v>4</v>
      </c>
      <c r="E189" s="136">
        <v>14.6212</v>
      </c>
      <c r="F189" s="136">
        <f>SUM(F190:F193)</f>
        <v>48.472353</v>
      </c>
      <c r="G189" s="150">
        <v>0</v>
      </c>
      <c r="H189" s="137">
        <v>0</v>
      </c>
      <c r="I189" s="150">
        <v>0</v>
      </c>
      <c r="J189" s="55"/>
      <c r="K189" s="136">
        <f>SUM(K190:K193)</f>
        <v>8.334084</v>
      </c>
      <c r="L189" s="136">
        <f>SUM(L190:L193)</f>
        <v>38.15146114</v>
      </c>
      <c r="M189" s="162">
        <f>SUM(M190:M193)</f>
        <v>0.024</v>
      </c>
      <c r="N189" s="55"/>
      <c r="O189" s="150">
        <f t="shared" si="7"/>
        <v>46.50954514</v>
      </c>
    </row>
    <row r="190" spans="2:15">
      <c r="B190" s="156" t="s">
        <v>1119</v>
      </c>
      <c r="C190" s="55"/>
      <c r="D190" s="139"/>
      <c r="E190" s="139"/>
      <c r="F190" s="144">
        <v>24.081771</v>
      </c>
      <c r="G190" s="153">
        <v>475</v>
      </c>
      <c r="H190" s="101">
        <v>7.8</v>
      </c>
      <c r="I190" s="153">
        <v>5000</v>
      </c>
      <c r="J190" s="55"/>
      <c r="K190" s="139">
        <v>8.334084</v>
      </c>
      <c r="L190" s="139">
        <v>18.78378138</v>
      </c>
      <c r="M190" s="139">
        <v>0.024</v>
      </c>
      <c r="N190" s="55"/>
      <c r="O190" s="153">
        <f t="shared" si="7"/>
        <v>27.14186538</v>
      </c>
    </row>
    <row r="191" spans="2:15">
      <c r="B191" s="156" t="s">
        <v>1120</v>
      </c>
      <c r="C191" s="55"/>
      <c r="D191" s="139"/>
      <c r="E191" s="139"/>
      <c r="F191" s="144">
        <v>6.73037</v>
      </c>
      <c r="G191" s="153">
        <v>0</v>
      </c>
      <c r="H191" s="101">
        <v>8.8</v>
      </c>
      <c r="I191" s="153">
        <v>5000</v>
      </c>
      <c r="J191" s="55"/>
      <c r="K191" s="139">
        <v>0</v>
      </c>
      <c r="L191" s="139">
        <v>5.9227256</v>
      </c>
      <c r="M191" s="139">
        <v>0</v>
      </c>
      <c r="N191" s="55"/>
      <c r="O191" s="153">
        <f t="shared" si="7"/>
        <v>5.9227256</v>
      </c>
    </row>
    <row r="192" spans="2:15">
      <c r="B192" s="156" t="s">
        <v>1121</v>
      </c>
      <c r="C192" s="55"/>
      <c r="D192" s="139"/>
      <c r="E192" s="139"/>
      <c r="F192" s="144">
        <v>7.18005</v>
      </c>
      <c r="G192" s="153">
        <v>0</v>
      </c>
      <c r="H192" s="101">
        <v>8.8</v>
      </c>
      <c r="I192" s="153">
        <v>5000</v>
      </c>
      <c r="J192" s="55"/>
      <c r="K192" s="139">
        <v>0</v>
      </c>
      <c r="L192" s="139">
        <v>6.318444</v>
      </c>
      <c r="M192" s="139">
        <v>0</v>
      </c>
      <c r="N192" s="55"/>
      <c r="O192" s="153">
        <f t="shared" si="7"/>
        <v>6.318444</v>
      </c>
    </row>
    <row r="193" spans="2:15">
      <c r="B193" s="156" t="s">
        <v>1122</v>
      </c>
      <c r="C193" s="55"/>
      <c r="D193" s="139"/>
      <c r="E193" s="139"/>
      <c r="F193" s="144">
        <v>10.480162</v>
      </c>
      <c r="G193" s="153">
        <v>0</v>
      </c>
      <c r="H193" s="101">
        <v>6.8</v>
      </c>
      <c r="I193" s="153">
        <v>5000</v>
      </c>
      <c r="J193" s="55"/>
      <c r="K193" s="139">
        <v>0</v>
      </c>
      <c r="L193" s="139">
        <v>7.12651016</v>
      </c>
      <c r="M193" s="139">
        <v>0</v>
      </c>
      <c r="N193" s="55"/>
      <c r="O193" s="153">
        <f t="shared" si="7"/>
        <v>7.12651016</v>
      </c>
    </row>
    <row r="194" ht="15" spans="2:15">
      <c r="B194" s="151" t="s">
        <v>1125</v>
      </c>
      <c r="C194" s="55"/>
      <c r="D194" s="136"/>
      <c r="E194" s="136">
        <v>0</v>
      </c>
      <c r="F194" s="136">
        <f>SUM(F195:F198)</f>
        <v>0</v>
      </c>
      <c r="G194" s="150">
        <v>0</v>
      </c>
      <c r="H194" s="137">
        <v>0</v>
      </c>
      <c r="I194" s="150">
        <v>0</v>
      </c>
      <c r="J194" s="55"/>
      <c r="K194" s="136">
        <f>SUM(K195:K198)</f>
        <v>0</v>
      </c>
      <c r="L194" s="136">
        <f>SUM(L195:L198)</f>
        <v>0</v>
      </c>
      <c r="M194" s="136">
        <f>SUM(M195:M198)</f>
        <v>0</v>
      </c>
      <c r="N194" s="55"/>
      <c r="O194" s="150">
        <f t="shared" si="7"/>
        <v>0</v>
      </c>
    </row>
    <row r="195" spans="2:15">
      <c r="B195" s="154" t="s">
        <v>1119</v>
      </c>
      <c r="C195" s="55"/>
      <c r="D195" s="139"/>
      <c r="E195" s="139"/>
      <c r="F195" s="144">
        <v>0</v>
      </c>
      <c r="G195" s="153">
        <v>260</v>
      </c>
      <c r="H195" s="101">
        <v>5</v>
      </c>
      <c r="I195" s="153">
        <v>5000</v>
      </c>
      <c r="J195" s="55"/>
      <c r="K195" s="139">
        <v>0</v>
      </c>
      <c r="L195" s="139">
        <v>0</v>
      </c>
      <c r="M195" s="139">
        <v>0</v>
      </c>
      <c r="N195" s="55"/>
      <c r="O195" s="153">
        <f t="shared" si="7"/>
        <v>0</v>
      </c>
    </row>
    <row r="196" spans="2:15">
      <c r="B196" s="154" t="s">
        <v>1120</v>
      </c>
      <c r="C196" s="55"/>
      <c r="D196" s="139"/>
      <c r="E196" s="139"/>
      <c r="F196" s="144">
        <v>0</v>
      </c>
      <c r="G196" s="153">
        <v>0</v>
      </c>
      <c r="H196" s="101">
        <v>6</v>
      </c>
      <c r="I196" s="153">
        <v>5000</v>
      </c>
      <c r="J196" s="55"/>
      <c r="K196" s="139">
        <v>0</v>
      </c>
      <c r="L196" s="139">
        <v>0</v>
      </c>
      <c r="M196" s="139">
        <v>0</v>
      </c>
      <c r="N196" s="55"/>
      <c r="O196" s="153">
        <f t="shared" si="7"/>
        <v>0</v>
      </c>
    </row>
    <row r="197" spans="2:15">
      <c r="B197" s="154" t="s">
        <v>1121</v>
      </c>
      <c r="C197" s="55"/>
      <c r="D197" s="139"/>
      <c r="E197" s="139"/>
      <c r="F197" s="144">
        <v>0</v>
      </c>
      <c r="G197" s="153">
        <v>0</v>
      </c>
      <c r="H197" s="101">
        <v>6</v>
      </c>
      <c r="I197" s="153">
        <v>5000</v>
      </c>
      <c r="J197" s="55"/>
      <c r="K197" s="139">
        <v>0</v>
      </c>
      <c r="L197" s="139">
        <v>0</v>
      </c>
      <c r="M197" s="139">
        <v>0</v>
      </c>
      <c r="N197" s="55"/>
      <c r="O197" s="153">
        <f t="shared" si="7"/>
        <v>0</v>
      </c>
    </row>
    <row r="198" spans="2:15">
      <c r="B198" s="154" t="s">
        <v>1122</v>
      </c>
      <c r="C198" s="55"/>
      <c r="D198" s="139"/>
      <c r="E198" s="139"/>
      <c r="F198" s="144">
        <v>0</v>
      </c>
      <c r="G198" s="153">
        <v>0</v>
      </c>
      <c r="H198" s="101">
        <v>4</v>
      </c>
      <c r="I198" s="153">
        <v>5000</v>
      </c>
      <c r="J198" s="55"/>
      <c r="K198" s="139">
        <v>0</v>
      </c>
      <c r="L198" s="139">
        <v>0</v>
      </c>
      <c r="M198" s="139">
        <v>0</v>
      </c>
      <c r="N198" s="55"/>
      <c r="O198" s="153">
        <f t="shared" si="7"/>
        <v>0</v>
      </c>
    </row>
    <row r="199" ht="15" spans="2:15">
      <c r="B199" s="151" t="s">
        <v>1126</v>
      </c>
      <c r="C199" s="55"/>
      <c r="D199" s="136">
        <f>'[11]FY22-23 Actual Sales'!D169</f>
        <v>1</v>
      </c>
      <c r="E199" s="136">
        <v>12</v>
      </c>
      <c r="F199" s="136">
        <f>SUM(F200:F203)</f>
        <v>61.16195</v>
      </c>
      <c r="G199" s="150">
        <v>0</v>
      </c>
      <c r="H199" s="137">
        <v>0</v>
      </c>
      <c r="I199" s="150">
        <v>0</v>
      </c>
      <c r="J199" s="55"/>
      <c r="K199" s="136">
        <f>SUM(K200:K203)</f>
        <v>6.84</v>
      </c>
      <c r="L199" s="136">
        <f>SUM(L200:L203)</f>
        <v>45.51788965</v>
      </c>
      <c r="M199" s="136">
        <f>SUM(M200:M203)</f>
        <v>0.006</v>
      </c>
      <c r="N199" s="55"/>
      <c r="O199" s="150">
        <f t="shared" si="7"/>
        <v>52.36388965</v>
      </c>
    </row>
    <row r="200" spans="2:15">
      <c r="B200" s="156" t="s">
        <v>1119</v>
      </c>
      <c r="C200" s="55"/>
      <c r="D200" s="139"/>
      <c r="E200" s="139"/>
      <c r="F200" s="139">
        <v>18.009627</v>
      </c>
      <c r="G200" s="153">
        <v>475</v>
      </c>
      <c r="H200" s="101">
        <v>7.45</v>
      </c>
      <c r="I200" s="153">
        <v>5000</v>
      </c>
      <c r="J200" s="55"/>
      <c r="K200" s="139">
        <v>6.84</v>
      </c>
      <c r="L200" s="139">
        <v>13.417172115</v>
      </c>
      <c r="M200" s="139">
        <v>0.006</v>
      </c>
      <c r="N200" s="55"/>
      <c r="O200" s="153">
        <f t="shared" si="7"/>
        <v>20.263172115</v>
      </c>
    </row>
    <row r="201" spans="2:15">
      <c r="B201" s="156" t="s">
        <v>1120</v>
      </c>
      <c r="C201" s="55"/>
      <c r="D201" s="139"/>
      <c r="E201" s="139"/>
      <c r="F201" s="139">
        <v>12.677378</v>
      </c>
      <c r="G201" s="153">
        <v>0</v>
      </c>
      <c r="H201" s="101">
        <v>8.45</v>
      </c>
      <c r="I201" s="153">
        <v>5000</v>
      </c>
      <c r="J201" s="55"/>
      <c r="K201" s="139">
        <v>0</v>
      </c>
      <c r="L201" s="139">
        <v>10.71238441</v>
      </c>
      <c r="M201" s="139">
        <v>0</v>
      </c>
      <c r="N201" s="55"/>
      <c r="O201" s="153">
        <f t="shared" si="7"/>
        <v>10.71238441</v>
      </c>
    </row>
    <row r="202" spans="2:15">
      <c r="B202" s="156" t="s">
        <v>1121</v>
      </c>
      <c r="C202" s="55"/>
      <c r="D202" s="139"/>
      <c r="E202" s="139"/>
      <c r="F202" s="139">
        <v>8.659968</v>
      </c>
      <c r="G202" s="153">
        <v>0</v>
      </c>
      <c r="H202" s="101">
        <v>8.45</v>
      </c>
      <c r="I202" s="153">
        <v>5000</v>
      </c>
      <c r="J202" s="55"/>
      <c r="K202" s="139">
        <v>0</v>
      </c>
      <c r="L202" s="139">
        <v>7.31767296</v>
      </c>
      <c r="M202" s="139">
        <v>0</v>
      </c>
      <c r="N202" s="55"/>
      <c r="O202" s="153">
        <f t="shared" si="7"/>
        <v>7.31767296</v>
      </c>
    </row>
    <row r="203" spans="2:15">
      <c r="B203" s="156" t="s">
        <v>1122</v>
      </c>
      <c r="C203" s="55"/>
      <c r="D203" s="139"/>
      <c r="E203" s="139"/>
      <c r="F203" s="139">
        <v>21.814977</v>
      </c>
      <c r="G203" s="153">
        <v>0</v>
      </c>
      <c r="H203" s="101">
        <v>6.45</v>
      </c>
      <c r="I203" s="153">
        <v>5000</v>
      </c>
      <c r="J203" s="55"/>
      <c r="K203" s="139">
        <v>0</v>
      </c>
      <c r="L203" s="139">
        <v>14.070660165</v>
      </c>
      <c r="M203" s="139">
        <v>0</v>
      </c>
      <c r="N203" s="55"/>
      <c r="O203" s="153">
        <f t="shared" si="7"/>
        <v>14.070660165</v>
      </c>
    </row>
    <row r="204" ht="15" spans="2:15">
      <c r="B204" s="151" t="s">
        <v>1155</v>
      </c>
      <c r="C204" s="55"/>
      <c r="D204" s="136">
        <f>D205+D206+D208+D209</f>
        <v>21</v>
      </c>
      <c r="E204" s="136">
        <f>E205+E206+E208+E209</f>
        <v>655.89715</v>
      </c>
      <c r="F204" s="136">
        <f>F205+F206+F208+F209</f>
        <v>1928.188171</v>
      </c>
      <c r="G204" s="150">
        <v>0</v>
      </c>
      <c r="H204" s="137">
        <v>0</v>
      </c>
      <c r="I204" s="150">
        <v>0</v>
      </c>
      <c r="J204" s="55"/>
      <c r="K204" s="136">
        <f>K205</f>
        <v>198.9879375</v>
      </c>
      <c r="L204" s="136">
        <f>L205</f>
        <v>1044.55187613</v>
      </c>
      <c r="M204" s="136">
        <f>M205</f>
        <v>0.114</v>
      </c>
      <c r="N204" s="55"/>
      <c r="O204" s="150">
        <f t="shared" si="7"/>
        <v>1243.65381363</v>
      </c>
    </row>
    <row r="205" spans="2:15">
      <c r="B205" s="154" t="s">
        <v>1128</v>
      </c>
      <c r="C205" s="55"/>
      <c r="D205" s="139">
        <f>'[11]FY22-23 Actual Sales'!D173</f>
        <v>19</v>
      </c>
      <c r="E205" s="139">
        <v>602.99375</v>
      </c>
      <c r="F205" s="139">
        <v>1658.018851</v>
      </c>
      <c r="G205" s="153">
        <v>275</v>
      </c>
      <c r="H205" s="101">
        <v>6.3</v>
      </c>
      <c r="I205" s="153">
        <v>5000</v>
      </c>
      <c r="J205" s="55"/>
      <c r="K205" s="139">
        <v>198.9879375</v>
      </c>
      <c r="L205" s="139">
        <v>1044.55187613</v>
      </c>
      <c r="M205" s="139">
        <v>0.114</v>
      </c>
      <c r="N205" s="55"/>
      <c r="O205" s="153">
        <f t="shared" si="7"/>
        <v>1243.65381363</v>
      </c>
    </row>
    <row r="206" spans="2:15">
      <c r="B206" s="154" t="s">
        <v>1156</v>
      </c>
      <c r="C206" s="55"/>
      <c r="D206" s="139"/>
      <c r="E206" s="139"/>
      <c r="F206" s="139"/>
      <c r="G206" s="153">
        <v>275</v>
      </c>
      <c r="H206" s="101">
        <v>6.3</v>
      </c>
      <c r="I206" s="153">
        <v>5000</v>
      </c>
      <c r="J206" s="55"/>
      <c r="K206" s="139"/>
      <c r="L206" s="139"/>
      <c r="M206" s="139"/>
      <c r="N206" s="55"/>
      <c r="O206" s="153">
        <f t="shared" si="7"/>
        <v>0</v>
      </c>
    </row>
    <row r="207" ht="15" spans="2:15">
      <c r="B207" s="151" t="s">
        <v>1157</v>
      </c>
      <c r="C207" s="55"/>
      <c r="D207" s="167"/>
      <c r="E207" s="167"/>
      <c r="F207" s="136"/>
      <c r="G207" s="150">
        <v>0</v>
      </c>
      <c r="H207" s="137">
        <v>0</v>
      </c>
      <c r="I207" s="150">
        <v>0</v>
      </c>
      <c r="J207" s="55"/>
      <c r="K207" s="136">
        <f>K208</f>
        <v>0</v>
      </c>
      <c r="L207" s="136">
        <f>L208</f>
        <v>164.8032852</v>
      </c>
      <c r="M207" s="136">
        <f>M208</f>
        <v>0.012</v>
      </c>
      <c r="N207" s="55"/>
      <c r="O207" s="150">
        <f t="shared" si="7"/>
        <v>164.8152852</v>
      </c>
    </row>
    <row r="208" spans="2:15">
      <c r="B208" s="154" t="s">
        <v>220</v>
      </c>
      <c r="C208" s="55"/>
      <c r="D208" s="166">
        <f>'[11]FY22-23 Actual Sales'!D174</f>
        <v>2</v>
      </c>
      <c r="E208" s="223">
        <v>52.9034</v>
      </c>
      <c r="F208" s="139">
        <v>270.16932</v>
      </c>
      <c r="G208" s="153">
        <v>0</v>
      </c>
      <c r="H208" s="101">
        <v>6.1</v>
      </c>
      <c r="I208" s="153">
        <v>5000</v>
      </c>
      <c r="J208" s="55"/>
      <c r="K208" s="139">
        <v>0</v>
      </c>
      <c r="L208" s="139">
        <v>164.8032852</v>
      </c>
      <c r="M208" s="139">
        <v>0.012</v>
      </c>
      <c r="N208" s="55"/>
      <c r="O208" s="153">
        <f t="shared" si="7"/>
        <v>164.8152852</v>
      </c>
    </row>
    <row r="209" ht="15" spans="2:15">
      <c r="B209" s="151" t="s">
        <v>1158</v>
      </c>
      <c r="C209" s="55"/>
      <c r="D209" s="167"/>
      <c r="E209" s="167"/>
      <c r="F209" s="167"/>
      <c r="G209" s="135">
        <v>0</v>
      </c>
      <c r="H209" s="137">
        <v>0</v>
      </c>
      <c r="I209" s="150">
        <v>0</v>
      </c>
      <c r="J209" s="55"/>
      <c r="K209" s="167"/>
      <c r="L209" s="167"/>
      <c r="M209" s="167"/>
      <c r="N209" s="55"/>
      <c r="O209" s="153">
        <f t="shared" si="7"/>
        <v>0</v>
      </c>
    </row>
    <row r="210" ht="15" spans="2:17">
      <c r="B210" s="168" t="s">
        <v>1159</v>
      </c>
      <c r="C210" s="55"/>
      <c r="D210" s="136">
        <f>D211+D212+D213+D214</f>
        <v>15</v>
      </c>
      <c r="E210" s="136">
        <f>E211+E212+E213+E214</f>
        <v>141.00666</v>
      </c>
      <c r="F210" s="136">
        <f>SUM(F211:F214)</f>
        <v>480.33301</v>
      </c>
      <c r="G210" s="150">
        <v>0</v>
      </c>
      <c r="H210" s="137">
        <v>0</v>
      </c>
      <c r="I210" s="150">
        <v>0</v>
      </c>
      <c r="J210" s="55"/>
      <c r="K210" s="136"/>
      <c r="L210" s="136"/>
      <c r="M210" s="136"/>
      <c r="N210" s="55"/>
      <c r="O210" s="153">
        <f t="shared" si="7"/>
        <v>0</v>
      </c>
      <c r="Q210" s="119"/>
    </row>
    <row r="211" spans="2:15">
      <c r="B211" s="154" t="s">
        <v>1160</v>
      </c>
      <c r="C211" s="55"/>
      <c r="D211" s="139">
        <f>'[11]FY22-23 Actual Sales'!D175</f>
        <v>11</v>
      </c>
      <c r="E211" s="139">
        <v>121.5</v>
      </c>
      <c r="F211" s="139">
        <v>391.744849</v>
      </c>
      <c r="G211" s="153">
        <v>475</v>
      </c>
      <c r="H211" s="101">
        <v>5.05</v>
      </c>
      <c r="I211" s="153">
        <v>5000</v>
      </c>
      <c r="J211" s="55"/>
      <c r="K211" s="139">
        <v>69.255</v>
      </c>
      <c r="L211" s="139">
        <v>197.831148745</v>
      </c>
      <c r="M211" s="139">
        <v>0.066</v>
      </c>
      <c r="N211" s="55"/>
      <c r="O211" s="153">
        <f t="shared" si="7"/>
        <v>267.152148745</v>
      </c>
    </row>
    <row r="212" spans="2:15">
      <c r="B212" s="154" t="s">
        <v>1161</v>
      </c>
      <c r="C212" s="55"/>
      <c r="D212" s="139"/>
      <c r="E212" s="139"/>
      <c r="F212" s="139"/>
      <c r="G212" s="153">
        <v>0</v>
      </c>
      <c r="H212" s="101">
        <v>0</v>
      </c>
      <c r="I212" s="153">
        <v>5000</v>
      </c>
      <c r="J212" s="55"/>
      <c r="K212" s="139"/>
      <c r="L212" s="139"/>
      <c r="M212" s="139"/>
      <c r="N212" s="55"/>
      <c r="O212" s="153">
        <f t="shared" si="7"/>
        <v>0</v>
      </c>
    </row>
    <row r="213" spans="2:15">
      <c r="B213" s="154" t="s">
        <v>1162</v>
      </c>
      <c r="C213" s="55"/>
      <c r="D213" s="139">
        <f>'[11]FY22-23 Actual Sales'!D176</f>
        <v>4</v>
      </c>
      <c r="E213" s="139">
        <v>19.50666</v>
      </c>
      <c r="F213" s="139">
        <v>88.588161</v>
      </c>
      <c r="G213" s="153">
        <v>475</v>
      </c>
      <c r="H213" s="101">
        <v>4.95</v>
      </c>
      <c r="I213" s="153">
        <v>5000</v>
      </c>
      <c r="J213" s="55"/>
      <c r="K213" s="139">
        <v>11.1187962</v>
      </c>
      <c r="L213" s="139">
        <v>43.8865749594</v>
      </c>
      <c r="M213" s="139">
        <v>0.024</v>
      </c>
      <c r="N213" s="55"/>
      <c r="O213" s="153">
        <f t="shared" si="7"/>
        <v>55.0293711594</v>
      </c>
    </row>
    <row r="214" spans="2:15">
      <c r="B214" s="154" t="s">
        <v>1163</v>
      </c>
      <c r="C214" s="55"/>
      <c r="D214" s="139"/>
      <c r="E214" s="139"/>
      <c r="F214" s="139"/>
      <c r="G214" s="153">
        <v>475</v>
      </c>
      <c r="H214" s="101">
        <v>4.95</v>
      </c>
      <c r="I214" s="153">
        <v>5000</v>
      </c>
      <c r="J214" s="55"/>
      <c r="K214" s="139"/>
      <c r="L214" s="139"/>
      <c r="M214" s="139"/>
      <c r="N214" s="55"/>
      <c r="O214" s="153">
        <f t="shared" si="7"/>
        <v>0</v>
      </c>
    </row>
    <row r="215" ht="15" spans="2:15">
      <c r="B215" s="151" t="s">
        <v>919</v>
      </c>
      <c r="C215" s="55"/>
      <c r="D215" s="136"/>
      <c r="E215" s="136"/>
      <c r="F215" s="136"/>
      <c r="G215" s="150">
        <v>260</v>
      </c>
      <c r="H215" s="137">
        <v>7.3</v>
      </c>
      <c r="I215" s="150">
        <v>5000</v>
      </c>
      <c r="J215" s="55"/>
      <c r="K215" s="136"/>
      <c r="L215" s="136"/>
      <c r="M215" s="136"/>
      <c r="N215" s="55"/>
      <c r="O215" s="153">
        <f t="shared" si="7"/>
        <v>0</v>
      </c>
    </row>
    <row r="216" ht="15" spans="2:15">
      <c r="B216" s="151" t="s">
        <v>1133</v>
      </c>
      <c r="C216" s="55"/>
      <c r="D216" s="136"/>
      <c r="E216" s="136"/>
      <c r="F216" s="136"/>
      <c r="G216" s="150">
        <v>500</v>
      </c>
      <c r="H216" s="137">
        <v>10.8</v>
      </c>
      <c r="I216" s="150">
        <v>5000</v>
      </c>
      <c r="J216" s="55"/>
      <c r="K216" s="136"/>
      <c r="L216" s="136"/>
      <c r="M216" s="136"/>
      <c r="N216" s="55"/>
      <c r="O216" s="153">
        <f t="shared" si="7"/>
        <v>0</v>
      </c>
    </row>
    <row r="217" ht="15" spans="2:15">
      <c r="B217" s="157" t="s">
        <v>1164</v>
      </c>
      <c r="C217" s="55"/>
      <c r="D217" s="148">
        <f>SUM(D175,D183,D188,D189,D199,D204,D210)</f>
        <v>93</v>
      </c>
      <c r="E217" s="149">
        <f>SUM(E175,E183,E188,E189,E199,E204,E210)</f>
        <v>1630.19023</v>
      </c>
      <c r="F217" s="149">
        <f>SUM(F176:F182,F183,F188,F189,F194,F199,F204,F210)</f>
        <v>7407.37821</v>
      </c>
      <c r="G217" s="198"/>
      <c r="H217" s="198"/>
      <c r="I217" s="198"/>
      <c r="J217" s="198"/>
      <c r="K217" s="149">
        <f>SUM(K176:K182,K183,K188,K189,K194,K199,K204,K207,K211,K213)</f>
        <v>754.3349931</v>
      </c>
      <c r="L217" s="149">
        <f t="shared" ref="L217:O217" si="8">SUM(L176:L182,L183,L188,L189,L194,L199,L204,L207,L211,L213)</f>
        <v>4342.1154179144</v>
      </c>
      <c r="M217" s="149">
        <f t="shared" si="8"/>
        <v>0.546</v>
      </c>
      <c r="N217" s="149">
        <f t="shared" si="8"/>
        <v>0</v>
      </c>
      <c r="O217" s="149">
        <f t="shared" si="8"/>
        <v>5096.9964110144</v>
      </c>
    </row>
    <row r="218" spans="2:15">
      <c r="B218" s="157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</row>
    <row r="219" ht="15" spans="2:15">
      <c r="B219" s="54" t="s">
        <v>1165</v>
      </c>
      <c r="C219" s="55"/>
      <c r="D219" s="148">
        <f>D124+D172+D217</f>
        <v>11516</v>
      </c>
      <c r="E219" s="149">
        <f t="shared" ref="E219:F219" si="9">E124+E172+E217</f>
        <v>5312.84100199999</v>
      </c>
      <c r="F219" s="149">
        <f t="shared" si="9"/>
        <v>21594.3232793</v>
      </c>
      <c r="G219" s="197"/>
      <c r="H219" s="197"/>
      <c r="I219" s="197"/>
      <c r="J219" s="197"/>
      <c r="K219" s="149">
        <f t="shared" ref="K219:O219" si="10">K124+K172+K217</f>
        <v>2734.98957372599</v>
      </c>
      <c r="L219" s="149">
        <f t="shared" si="10"/>
        <v>15188.6340348273</v>
      </c>
      <c r="M219" s="149">
        <f t="shared" si="10"/>
        <v>29.0304</v>
      </c>
      <c r="N219" s="148">
        <f t="shared" si="10"/>
        <v>0</v>
      </c>
      <c r="O219" s="149">
        <f t="shared" si="10"/>
        <v>17952.6540085533</v>
      </c>
    </row>
    <row r="220" ht="15" spans="2:15">
      <c r="B220" s="54" t="s">
        <v>1166</v>
      </c>
      <c r="C220" s="55"/>
      <c r="D220" s="148">
        <f>D69+D219</f>
        <v>10048074</v>
      </c>
      <c r="E220" s="148">
        <f t="shared" ref="E220:F220" si="11">E69+E219</f>
        <v>26111.932351737</v>
      </c>
      <c r="F220" s="148">
        <f t="shared" si="11"/>
        <v>48570.9163773067</v>
      </c>
      <c r="G220" s="197"/>
      <c r="H220" s="197"/>
      <c r="I220" s="197"/>
      <c r="J220" s="197"/>
      <c r="K220" s="148">
        <f t="shared" ref="K220:O220" si="12">K69+K219</f>
        <v>3356.81701168799</v>
      </c>
      <c r="L220" s="148">
        <f t="shared" si="12"/>
        <v>24412.156681905</v>
      </c>
      <c r="M220" s="148">
        <f t="shared" si="12"/>
        <v>851.56625</v>
      </c>
      <c r="N220" s="148">
        <f t="shared" si="12"/>
        <v>0</v>
      </c>
      <c r="O220" s="148">
        <f t="shared" si="12"/>
        <v>28620.539943593</v>
      </c>
    </row>
    <row r="223" ht="15" spans="5:5">
      <c r="E223" s="11" t="s">
        <v>225</v>
      </c>
    </row>
    <row r="224" spans="5:6">
      <c r="E224" s="13">
        <v>1</v>
      </c>
      <c r="F224" s="12" t="s">
        <v>226</v>
      </c>
    </row>
    <row r="225" spans="5:6">
      <c r="E225" s="13">
        <f>E224+1</f>
        <v>2</v>
      </c>
      <c r="F225" s="12" t="s">
        <v>233</v>
      </c>
    </row>
  </sheetData>
  <mergeCells count="12">
    <mergeCell ref="B2:P2"/>
    <mergeCell ref="G5:H5"/>
    <mergeCell ref="K5:O5"/>
    <mergeCell ref="B8:C8"/>
    <mergeCell ref="B71:C71"/>
    <mergeCell ref="Q73:R73"/>
    <mergeCell ref="D5:D6"/>
    <mergeCell ref="E5:E6"/>
    <mergeCell ref="F5:F6"/>
    <mergeCell ref="I5:I6"/>
    <mergeCell ref="J5:J6"/>
    <mergeCell ref="B5:C7"/>
  </mergeCells>
  <pageMargins left="0.7" right="0.7" top="0.75" bottom="0.75" header="0.3" footer="0.3"/>
  <pageSetup paperSize="1" orientation="portrait"/>
  <headerFooter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Q225"/>
  <sheetViews>
    <sheetView showGridLines="0" zoomScale="70" zoomScaleNormal="70" topLeftCell="A3" workbookViewId="0">
      <pane xSplit="3" ySplit="5" topLeftCell="G8" activePane="bottomRight" state="frozen"/>
      <selection/>
      <selection pane="topRight"/>
      <selection pane="bottomLeft"/>
      <selection pane="bottomRight" activeCell="K9" sqref="K9"/>
    </sheetView>
  </sheetViews>
  <sheetFormatPr defaultColWidth="9.14285714285714" defaultRowHeight="14.25"/>
  <cols>
    <col min="1" max="1" width="9.14285714285714" style="12"/>
    <col min="2" max="2" width="33" style="12" customWidth="1"/>
    <col min="3" max="3" width="38.5714285714286" style="12" customWidth="1"/>
    <col min="4" max="4" width="21" style="12" customWidth="1"/>
    <col min="5" max="5" width="16.8571428571429" style="12" customWidth="1"/>
    <col min="6" max="6" width="14" style="12" customWidth="1"/>
    <col min="7" max="7" width="25" style="12" customWidth="1"/>
    <col min="8" max="8" width="21.4285714285714" style="12" customWidth="1"/>
    <col min="9" max="9" width="17.5714285714286" style="12" customWidth="1"/>
    <col min="10" max="10" width="16.1428571428571" style="12" customWidth="1"/>
    <col min="11" max="11" width="25" style="12" customWidth="1"/>
    <col min="12" max="12" width="17.5714285714286" style="12" customWidth="1"/>
    <col min="13" max="13" width="20.4285714285714" style="12" customWidth="1"/>
    <col min="14" max="14" width="17.4285714285714" style="12" customWidth="1"/>
    <col min="15" max="15" width="9.14285714285714" style="12"/>
    <col min="16" max="16" width="13.5714285714286" style="12" customWidth="1"/>
    <col min="17" max="17" width="33.8571428571429" style="12" customWidth="1"/>
    <col min="18" max="16384" width="9.14285714285714" style="12"/>
  </cols>
  <sheetData>
    <row r="2" ht="15" spans="2:15">
      <c r="B2" s="2" t="s">
        <v>156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ht="15" spans="9:9">
      <c r="I3" s="3" t="s">
        <v>1167</v>
      </c>
    </row>
    <row r="5" ht="15" spans="2:14">
      <c r="B5" s="36" t="s">
        <v>159</v>
      </c>
      <c r="C5" s="37"/>
      <c r="D5" s="90" t="s">
        <v>1086</v>
      </c>
      <c r="E5" s="90" t="s">
        <v>1087</v>
      </c>
      <c r="F5" s="38" t="s">
        <v>879</v>
      </c>
      <c r="G5" s="38" t="s">
        <v>1088</v>
      </c>
      <c r="H5" s="38"/>
      <c r="I5" s="90" t="s">
        <v>1089</v>
      </c>
      <c r="J5" s="92" t="s">
        <v>1090</v>
      </c>
      <c r="K5" s="38" t="s">
        <v>1091</v>
      </c>
      <c r="L5" s="38"/>
      <c r="M5" s="38"/>
      <c r="N5" s="38"/>
    </row>
    <row r="6" ht="15" spans="2:14">
      <c r="B6" s="40"/>
      <c r="C6" s="41"/>
      <c r="D6" s="90"/>
      <c r="E6" s="90"/>
      <c r="F6" s="38"/>
      <c r="G6" s="38" t="s">
        <v>1092</v>
      </c>
      <c r="H6" s="38" t="s">
        <v>1093</v>
      </c>
      <c r="I6" s="90"/>
      <c r="J6" s="93"/>
      <c r="K6" s="38" t="s">
        <v>1092</v>
      </c>
      <c r="L6" s="38" t="s">
        <v>1093</v>
      </c>
      <c r="M6" s="38" t="s">
        <v>1089</v>
      </c>
      <c r="N6" s="38" t="s">
        <v>97</v>
      </c>
    </row>
    <row r="7" ht="15" spans="2:14">
      <c r="B7" s="42"/>
      <c r="C7" s="43"/>
      <c r="D7" s="135" t="s">
        <v>1094</v>
      </c>
      <c r="E7" s="135" t="s">
        <v>1095</v>
      </c>
      <c r="F7" s="135" t="s">
        <v>1096</v>
      </c>
      <c r="G7" s="135" t="s">
        <v>1097</v>
      </c>
      <c r="H7" s="135" t="s">
        <v>1098</v>
      </c>
      <c r="I7" s="135" t="s">
        <v>1097</v>
      </c>
      <c r="J7" s="38" t="s">
        <v>297</v>
      </c>
      <c r="K7" s="38" t="s">
        <v>550</v>
      </c>
      <c r="L7" s="38" t="s">
        <v>550</v>
      </c>
      <c r="M7" s="38" t="s">
        <v>550</v>
      </c>
      <c r="N7" s="38" t="s">
        <v>550</v>
      </c>
    </row>
    <row r="8" ht="15" spans="2:14">
      <c r="B8" s="44" t="s">
        <v>890</v>
      </c>
      <c r="C8" s="45"/>
      <c r="J8" s="55"/>
      <c r="K8" s="55"/>
      <c r="L8" s="55"/>
      <c r="M8" s="55"/>
      <c r="N8" s="55"/>
    </row>
    <row r="9" ht="15" spans="2:14">
      <c r="B9" s="46" t="s">
        <v>1000</v>
      </c>
      <c r="C9" s="47"/>
      <c r="D9" s="48">
        <f>'[18]Rev_SP-12me'!AJ10</f>
        <v>8480176</v>
      </c>
      <c r="E9" s="48">
        <f>'[18]Rev_SP-12me'!AL10</f>
        <v>13770.5302430351</v>
      </c>
      <c r="F9" s="48">
        <f>'[18]Rev_SP-12me'!AQ10</f>
        <v>12611.1428672529</v>
      </c>
      <c r="G9" s="153"/>
      <c r="H9" s="185"/>
      <c r="I9" s="153"/>
      <c r="J9" s="55"/>
      <c r="K9" s="136">
        <f>'[17]Rev_SP-12me'!AT10</f>
        <v>155.04</v>
      </c>
      <c r="L9" s="136">
        <f>'[17]Rev_SP-12me'!AU10</f>
        <v>5469.40144102544</v>
      </c>
      <c r="M9" s="136">
        <f>'[17]Rev_SP-12me'!AW10</f>
        <v>688.640478</v>
      </c>
      <c r="N9" s="137">
        <f t="shared" ref="N9:N40" si="0">SUM(K9:M9)</f>
        <v>6313.08191902544</v>
      </c>
    </row>
    <row r="10" spans="2:14">
      <c r="B10" s="50" t="s">
        <v>1001</v>
      </c>
      <c r="C10" s="47"/>
      <c r="D10" s="51">
        <f>'[18]Rev_SP-12me'!AJ11</f>
        <v>4302207</v>
      </c>
      <c r="E10" s="51">
        <f>'[18]Rev_SP-12me'!AL11</f>
        <v>6380.61313500389</v>
      </c>
      <c r="F10" s="51">
        <f>'[18]Rev_SP-12me'!AQ11</f>
        <v>2523.21347447065</v>
      </c>
      <c r="G10" s="153"/>
      <c r="H10" s="185"/>
      <c r="I10" s="153"/>
      <c r="J10" s="55"/>
      <c r="K10" s="138">
        <f>'[17]Rev_SP-12me'!AT11</f>
        <v>58.0939712334883</v>
      </c>
      <c r="L10" s="138">
        <f>'[17]Rev_SP-12me'!AU11</f>
        <v>535.816521924513</v>
      </c>
      <c r="M10" s="138">
        <f>'[17]Rev_SP-12me'!AW11</f>
        <v>305.20092</v>
      </c>
      <c r="N10" s="101">
        <f t="shared" si="0"/>
        <v>899.111413158001</v>
      </c>
    </row>
    <row r="11" spans="2:14">
      <c r="B11" s="52" t="s">
        <v>1002</v>
      </c>
      <c r="C11" s="47"/>
      <c r="D11" s="53">
        <f>'[18]Rev_SP-12me'!AJ12</f>
        <v>2301656</v>
      </c>
      <c r="E11" s="53">
        <f>'[18]Rev_SP-12me'!AL12</f>
        <v>3297.03139113857</v>
      </c>
      <c r="F11" s="53">
        <f>'[18]Rev_SP-12me'!AQ12</f>
        <v>1867.11547584778</v>
      </c>
      <c r="G11" s="153">
        <f>'[18]Rev_SP-12me'!O12</f>
        <v>10</v>
      </c>
      <c r="H11" s="101">
        <f>'[18]Rev_SP-12me'!P12</f>
        <v>1.95</v>
      </c>
      <c r="I11" s="153">
        <f>'[18]Rev_SP-12me'!AA12</f>
        <v>40</v>
      </c>
      <c r="J11" s="55"/>
      <c r="K11" s="139">
        <f>'[17]Rev_SP-12me'!AT12</f>
        <v>30.7482964738821</v>
      </c>
      <c r="L11" s="139">
        <f>'[17]Rev_SP-12me'!AU12</f>
        <v>345.600834062637</v>
      </c>
      <c r="M11" s="139">
        <f>'[17]Rev_SP-12me'!AW12</f>
        <v>123.680616</v>
      </c>
      <c r="N11" s="101">
        <f t="shared" si="0"/>
        <v>500.029746536519</v>
      </c>
    </row>
    <row r="12" spans="2:14">
      <c r="B12" s="52" t="s">
        <v>1004</v>
      </c>
      <c r="C12" s="47"/>
      <c r="D12" s="53">
        <f>'[18]Rev_SP-12me'!AJ13</f>
        <v>2000551</v>
      </c>
      <c r="E12" s="53">
        <f>'[18]Rev_SP-12me'!AL13</f>
        <v>3083.58174386532</v>
      </c>
      <c r="F12" s="53">
        <f>'[18]Rev_SP-12me'!AQ13</f>
        <v>656.097998622869</v>
      </c>
      <c r="G12" s="153">
        <f>'[18]Rev_SP-12me'!O13</f>
        <v>10</v>
      </c>
      <c r="H12" s="101">
        <f>'[18]Rev_SP-12me'!P13</f>
        <v>3.1</v>
      </c>
      <c r="I12" s="153">
        <f>'[18]Rev_SP-12me'!AA13</f>
        <v>70</v>
      </c>
      <c r="J12" s="55"/>
      <c r="K12" s="139">
        <f>'[17]Rev_SP-12me'!AT13</f>
        <v>27.3456747596062</v>
      </c>
      <c r="L12" s="139">
        <f>'[17]Rev_SP-12me'!AU13</f>
        <v>190.215687861876</v>
      </c>
      <c r="M12" s="139">
        <f>'[17]Rev_SP-12me'!AW13</f>
        <v>181.520304</v>
      </c>
      <c r="N12" s="101">
        <f t="shared" si="0"/>
        <v>399.081666621482</v>
      </c>
    </row>
    <row r="13" spans="2:14">
      <c r="B13" s="50" t="s">
        <v>1005</v>
      </c>
      <c r="C13" s="47"/>
      <c r="D13" s="51">
        <f>'[18]Rev_SP-12me'!AJ14</f>
        <v>2551305</v>
      </c>
      <c r="E13" s="51">
        <f>'[18]Rev_SP-12me'!AL14</f>
        <v>4432.11165013189</v>
      </c>
      <c r="F13" s="51">
        <f>'[18]Rev_SP-12me'!AQ14</f>
        <v>4332.35968698975</v>
      </c>
      <c r="G13" s="153"/>
      <c r="H13" s="101"/>
      <c r="I13" s="153"/>
      <c r="J13" s="55"/>
      <c r="K13" s="138">
        <f>'[17]Rev_SP-12me'!AT14</f>
        <v>47.7762822962509</v>
      </c>
      <c r="L13" s="138">
        <f>'[17]Rev_SP-12me'!AU14</f>
        <v>1485.55947463375</v>
      </c>
      <c r="M13" s="138">
        <f>'[17]Rev_SP-12me'!AW14</f>
        <v>243.91449</v>
      </c>
      <c r="N13" s="101">
        <f t="shared" si="0"/>
        <v>1777.25024693</v>
      </c>
    </row>
    <row r="14" spans="2:14">
      <c r="B14" s="52" t="s">
        <v>1006</v>
      </c>
      <c r="C14" s="47"/>
      <c r="D14" s="53">
        <f>'[18]Rev_SP-12me'!AJ15</f>
        <v>0</v>
      </c>
      <c r="E14" s="53">
        <f>'[18]Rev_SP-12me'!AL15</f>
        <v>0</v>
      </c>
      <c r="F14" s="53">
        <f>'[18]Rev_SP-12me'!AQ15</f>
        <v>3050.12278928877</v>
      </c>
      <c r="G14" s="153">
        <f>'[18]Rev_SP-12me'!O15</f>
        <v>10</v>
      </c>
      <c r="H14" s="101">
        <f>'[18]Rev_SP-12me'!P15</f>
        <v>3.4</v>
      </c>
      <c r="I14" s="153"/>
      <c r="J14" s="55"/>
      <c r="K14" s="139">
        <f>'[17]Rev_SP-12me'!AT15</f>
        <v>0</v>
      </c>
      <c r="L14" s="139">
        <f>'[17]Rev_SP-12me'!AU15</f>
        <v>933.585883594748</v>
      </c>
      <c r="M14" s="139">
        <f>'[17]Rev_SP-12me'!AW15</f>
        <v>0</v>
      </c>
      <c r="N14" s="101">
        <f t="shared" si="0"/>
        <v>933.585883594748</v>
      </c>
    </row>
    <row r="15" spans="2:14">
      <c r="B15" s="52" t="s">
        <v>1007</v>
      </c>
      <c r="C15" s="47"/>
      <c r="D15" s="53">
        <f>'[18]Rev_SP-12me'!AJ16</f>
        <v>2551305</v>
      </c>
      <c r="E15" s="53">
        <f>'[18]Rev_SP-12me'!AL16</f>
        <v>4432.11165013189</v>
      </c>
      <c r="F15" s="53">
        <f>'[18]Rev_SP-12me'!AQ16</f>
        <v>1282.23689770098</v>
      </c>
      <c r="G15" s="153">
        <f>'[18]Rev_SP-12me'!O16</f>
        <v>10</v>
      </c>
      <c r="H15" s="101">
        <f>'[18]Rev_SP-12me'!P16</f>
        <v>4.8</v>
      </c>
      <c r="I15" s="153">
        <f>'[18]Rev_SP-12me'!AA16</f>
        <v>90</v>
      </c>
      <c r="J15" s="55"/>
      <c r="K15" s="139">
        <f>'[17]Rev_SP-12me'!AT16</f>
        <v>47.7762822962509</v>
      </c>
      <c r="L15" s="139">
        <f>'[17]Rev_SP-12me'!AU16</f>
        <v>551.973591039006</v>
      </c>
      <c r="M15" s="139">
        <f>'[17]Rev_SP-12me'!AW16</f>
        <v>243.91449</v>
      </c>
      <c r="N15" s="101">
        <f t="shared" si="0"/>
        <v>843.664363335257</v>
      </c>
    </row>
    <row r="16" spans="2:14">
      <c r="B16" s="50" t="s">
        <v>1008</v>
      </c>
      <c r="C16" s="47"/>
      <c r="D16" s="51">
        <f>'[18]Rev_SP-12me'!AJ17</f>
        <v>1626664</v>
      </c>
      <c r="E16" s="51">
        <f>'[18]Rev_SP-12me'!AL17</f>
        <v>2957.80545789934</v>
      </c>
      <c r="F16" s="51">
        <f>'[18]Rev_SP-12me'!AQ17</f>
        <v>5755.56970579253</v>
      </c>
      <c r="G16" s="153"/>
      <c r="H16" s="101"/>
      <c r="I16" s="153"/>
      <c r="J16" s="55"/>
      <c r="K16" s="138">
        <f>'[17]Rev_SP-12me'!AT17</f>
        <v>49.1697464702608</v>
      </c>
      <c r="L16" s="138">
        <f>'[17]Rev_SP-12me'!AU17</f>
        <v>3448.02544446718</v>
      </c>
      <c r="M16" s="138">
        <f>'[17]Rev_SP-12me'!AW17</f>
        <v>139.525068</v>
      </c>
      <c r="N16" s="101">
        <f t="shared" si="0"/>
        <v>3636.72025893744</v>
      </c>
    </row>
    <row r="17" spans="2:14">
      <c r="B17" s="52" t="s">
        <v>1009</v>
      </c>
      <c r="C17" s="47"/>
      <c r="D17" s="53">
        <f>'[18]Rev_SP-12me'!AJ18</f>
        <v>0</v>
      </c>
      <c r="E17" s="53">
        <f>'[18]Rev_SP-12me'!AL18</f>
        <v>0</v>
      </c>
      <c r="F17" s="53">
        <f>'[18]Rev_SP-12me'!AQ18</f>
        <v>3248.76208837518</v>
      </c>
      <c r="G17" s="153">
        <f>'[18]Rev_SP-12me'!O18</f>
        <v>10</v>
      </c>
      <c r="H17" s="101">
        <f>'[18]Rev_SP-12me'!P18</f>
        <v>5.1</v>
      </c>
      <c r="I17" s="153"/>
      <c r="J17" s="55"/>
      <c r="K17" s="139">
        <f>'[17]Rev_SP-12me'!AT18</f>
        <v>0</v>
      </c>
      <c r="L17" s="139">
        <f>'[17]Rev_SP-12me'!AU18</f>
        <v>1511.49988668249</v>
      </c>
      <c r="M17" s="139">
        <f>'[17]Rev_SP-12me'!AW18</f>
        <v>0</v>
      </c>
      <c r="N17" s="101">
        <f t="shared" si="0"/>
        <v>1511.49988668249</v>
      </c>
    </row>
    <row r="18" spans="2:14">
      <c r="B18" s="52" t="s">
        <v>1010</v>
      </c>
      <c r="C18" s="47"/>
      <c r="D18" s="53">
        <f>'[18]Rev_SP-12me'!AJ19</f>
        <v>904540</v>
      </c>
      <c r="E18" s="53">
        <f>'[18]Rev_SP-12me'!AL19</f>
        <v>1586.43298003369</v>
      </c>
      <c r="F18" s="53">
        <f>'[18]Rev_SP-12me'!AQ19</f>
        <v>1066.51795368837</v>
      </c>
      <c r="G18" s="153">
        <f>'[18]Rev_SP-12me'!O19</f>
        <v>10</v>
      </c>
      <c r="H18" s="101">
        <f>'[18]Rev_SP-12me'!P19</f>
        <v>7.7</v>
      </c>
      <c r="I18" s="153">
        <f>'[18]Rev_SP-12me'!AA19</f>
        <v>100</v>
      </c>
      <c r="J18" s="55"/>
      <c r="K18" s="139">
        <f>'[17]Rev_SP-12me'!AT19</f>
        <v>24.4274806156568</v>
      </c>
      <c r="L18" s="139">
        <f>'[17]Rev_SP-12me'!AU19</f>
        <v>744.378779021649</v>
      </c>
      <c r="M18" s="139">
        <f>'[17]Rev_SP-12me'!AW19</f>
        <v>79.35516</v>
      </c>
      <c r="N18" s="101">
        <f t="shared" si="0"/>
        <v>848.161419637306</v>
      </c>
    </row>
    <row r="19" spans="2:14">
      <c r="B19" s="52" t="s">
        <v>1011</v>
      </c>
      <c r="C19" s="47"/>
      <c r="D19" s="53">
        <f>'[18]Rev_SP-12me'!AJ20</f>
        <v>356411</v>
      </c>
      <c r="E19" s="53">
        <f>'[18]Rev_SP-12me'!AL20</f>
        <v>555.053821759948</v>
      </c>
      <c r="F19" s="53">
        <f>'[18]Rev_SP-12me'!AQ20</f>
        <v>489.086662975253</v>
      </c>
      <c r="G19" s="153">
        <f>'[18]Rev_SP-12me'!O20</f>
        <v>10</v>
      </c>
      <c r="H19" s="101">
        <f>'[18]Rev_SP-12me'!P20</f>
        <v>9</v>
      </c>
      <c r="I19" s="153">
        <f>'[18]Rev_SP-12me'!AA20</f>
        <v>120</v>
      </c>
      <c r="J19" s="55"/>
      <c r="K19" s="139">
        <f>'[17]Rev_SP-12me'!AT20</f>
        <v>10.4582824791009</v>
      </c>
      <c r="L19" s="139">
        <f>'[17]Rev_SP-12me'!AU20</f>
        <v>390.71334926929</v>
      </c>
      <c r="M19" s="139">
        <f>'[17]Rev_SP-12me'!AW20</f>
        <v>29.69604</v>
      </c>
      <c r="N19" s="101">
        <f t="shared" si="0"/>
        <v>430.867671748391</v>
      </c>
    </row>
    <row r="20" spans="2:14">
      <c r="B20" s="52" t="s">
        <v>1012</v>
      </c>
      <c r="C20" s="47"/>
      <c r="D20" s="53">
        <f>'[18]Rev_SP-12me'!AJ21</f>
        <v>308516</v>
      </c>
      <c r="E20" s="53">
        <f>'[18]Rev_SP-12me'!AL21</f>
        <v>514.969121055604</v>
      </c>
      <c r="F20" s="53">
        <f>'[18]Rev_SP-12me'!AQ21</f>
        <v>602.130235081579</v>
      </c>
      <c r="G20" s="153">
        <f>'[18]Rev_SP-12me'!O21</f>
        <v>10</v>
      </c>
      <c r="H20" s="101">
        <f>'[18]Rev_SP-12me'!P21</f>
        <v>9.5</v>
      </c>
      <c r="I20" s="153">
        <f>'[18]Rev_SP-12me'!AA21</f>
        <v>140</v>
      </c>
      <c r="J20" s="55"/>
      <c r="K20" s="139">
        <f>'[17]Rev_SP-12me'!AT21</f>
        <v>9.93134513855592</v>
      </c>
      <c r="L20" s="139">
        <f>'[17]Rev_SP-12me'!AU21</f>
        <v>496.267394200802</v>
      </c>
      <c r="M20" s="139">
        <f>'[17]Rev_SP-12me'!AW21</f>
        <v>24.63678</v>
      </c>
      <c r="N20" s="101">
        <f t="shared" si="0"/>
        <v>530.835519339358</v>
      </c>
    </row>
    <row r="21" spans="2:14">
      <c r="B21" s="52" t="s">
        <v>1013</v>
      </c>
      <c r="C21" s="47"/>
      <c r="D21" s="53">
        <f>'[18]Rev_SP-12me'!AJ22</f>
        <v>57197</v>
      </c>
      <c r="E21" s="53">
        <f>'[18]Rev_SP-12me'!AL22</f>
        <v>301.349535050099</v>
      </c>
      <c r="F21" s="53">
        <f>'[18]Rev_SP-12me'!AQ22</f>
        <v>349.072765672148</v>
      </c>
      <c r="G21" s="153">
        <f>'[18]Rev_SP-12me'!O22</f>
        <v>50</v>
      </c>
      <c r="H21" s="101">
        <f>'[18]Rev_SP-12me'!P22</f>
        <v>10</v>
      </c>
      <c r="I21" s="153">
        <f>'[18]Rev_SP-12me'!AA22</f>
        <v>160</v>
      </c>
      <c r="J21" s="55"/>
      <c r="K21" s="139">
        <f>'[17]Rev_SP-12me'!AT22</f>
        <v>4.35263823694717</v>
      </c>
      <c r="L21" s="139">
        <f>'[17]Rev_SP-12me'!AU22</f>
        <v>305.16603529295</v>
      </c>
      <c r="M21" s="139">
        <f>'[17]Rev_SP-12me'!AW22</f>
        <v>5.837088</v>
      </c>
      <c r="N21" s="101">
        <f t="shared" si="0"/>
        <v>315.355761529897</v>
      </c>
    </row>
    <row r="22" ht="15" spans="2:14">
      <c r="B22" s="54" t="s">
        <v>1014</v>
      </c>
      <c r="C22" s="55"/>
      <c r="D22" s="48">
        <f>'[18]Rev_SP-12me'!AJ23</f>
        <v>1310560</v>
      </c>
      <c r="E22" s="48">
        <f>'[18]Rev_SP-12me'!AL23</f>
        <v>4559.74021167918</v>
      </c>
      <c r="F22" s="48">
        <f>'[18]Rev_SP-12me'!AQ23</f>
        <v>4403.06073642308</v>
      </c>
      <c r="G22" s="153"/>
      <c r="H22" s="101"/>
      <c r="I22" s="153"/>
      <c r="J22" s="55"/>
      <c r="K22" s="136">
        <f>'[17]Rev_SP-12me'!AT23</f>
        <v>343.825130439376</v>
      </c>
      <c r="L22" s="136">
        <f>'[17]Rev_SP-12me'!AU23</f>
        <v>4239.20395571748</v>
      </c>
      <c r="M22" s="136">
        <f>'[17]Rev_SP-12me'!AW23</f>
        <v>116.878419</v>
      </c>
      <c r="N22" s="137">
        <f t="shared" si="0"/>
        <v>4699.90750515686</v>
      </c>
    </row>
    <row r="23" spans="2:14">
      <c r="B23" s="56" t="s">
        <v>1015</v>
      </c>
      <c r="C23" s="55"/>
      <c r="D23" s="51">
        <f>'[18]Rev_SP-12me'!AJ24</f>
        <v>658215</v>
      </c>
      <c r="E23" s="51">
        <f>'[18]Rev_SP-12me'!AL24</f>
        <v>1316.0416856079</v>
      </c>
      <c r="F23" s="51">
        <f>'[18]Rev_SP-12me'!AQ24</f>
        <v>107.187322987852</v>
      </c>
      <c r="G23" s="153"/>
      <c r="H23" s="101"/>
      <c r="I23" s="153"/>
      <c r="J23" s="55"/>
      <c r="K23" s="138">
        <f>'[17]Rev_SP-12me'!AT24</f>
        <v>72.9735686404349</v>
      </c>
      <c r="L23" s="138">
        <f>'[17]Rev_SP-12me'!AU24</f>
        <v>72.349886884579</v>
      </c>
      <c r="M23" s="138">
        <f>'[17]Rev_SP-12me'!AW24</f>
        <v>34.46214</v>
      </c>
      <c r="N23" s="101">
        <f t="shared" si="0"/>
        <v>179.785595525014</v>
      </c>
    </row>
    <row r="24" spans="2:14">
      <c r="B24" s="140" t="s">
        <v>1002</v>
      </c>
      <c r="C24" s="55"/>
      <c r="D24" s="53">
        <f>'[18]Rev_SP-12me'!AJ25</f>
        <v>658215</v>
      </c>
      <c r="E24" s="53">
        <f>'[18]Rev_SP-12me'!AL25</f>
        <v>1316.0416856079</v>
      </c>
      <c r="F24" s="53">
        <f>'[18]Rev_SP-12me'!AQ25</f>
        <v>107.187322987852</v>
      </c>
      <c r="G24" s="153">
        <f>'[18]Rev_SP-12me'!O25</f>
        <v>30</v>
      </c>
      <c r="H24" s="101">
        <f>'[18]Rev_SP-12me'!P25</f>
        <v>7</v>
      </c>
      <c r="I24" s="153">
        <f>'[18]Rev_SP-12me'!AA25</f>
        <v>50</v>
      </c>
      <c r="J24" s="55"/>
      <c r="K24" s="139">
        <f>'[17]Rev_SP-12me'!AT25</f>
        <v>72.9735686404349</v>
      </c>
      <c r="L24" s="139">
        <f>'[17]Rev_SP-12me'!AU25</f>
        <v>72.349886884579</v>
      </c>
      <c r="M24" s="139">
        <f>'[17]Rev_SP-12me'!AW25</f>
        <v>34.46214</v>
      </c>
      <c r="N24" s="101">
        <f t="shared" si="0"/>
        <v>179.785595525014</v>
      </c>
    </row>
    <row r="25" spans="2:14">
      <c r="B25" s="56" t="s">
        <v>1016</v>
      </c>
      <c r="C25" s="55"/>
      <c r="D25" s="51">
        <f>'[18]Rev_SP-12me'!AJ26</f>
        <v>635521</v>
      </c>
      <c r="E25" s="51">
        <f>'[18]Rev_SP-12me'!AL26</f>
        <v>3220.90175431849</v>
      </c>
      <c r="F25" s="51">
        <f>'[18]Rev_SP-12me'!AQ26</f>
        <v>4284.00411599089</v>
      </c>
      <c r="G25" s="153"/>
      <c r="H25" s="101"/>
      <c r="I25" s="153"/>
      <c r="J25" s="55"/>
      <c r="K25" s="138">
        <f>'[17]Rev_SP-12me'!AT26</f>
        <v>269.202302025892</v>
      </c>
      <c r="L25" s="138">
        <f>'[17]Rev_SP-12me'!AU26</f>
        <v>4156.01804443367</v>
      </c>
      <c r="M25" s="138">
        <f>'[17]Rev_SP-12me'!AW26</f>
        <v>81.214347</v>
      </c>
      <c r="N25" s="101">
        <f t="shared" si="0"/>
        <v>4506.43469345956</v>
      </c>
    </row>
    <row r="26" spans="2:14">
      <c r="B26" s="58" t="s">
        <v>1006</v>
      </c>
      <c r="C26" s="55"/>
      <c r="D26" s="53">
        <f>'[18]Rev_SP-12me'!AJ27</f>
        <v>210325</v>
      </c>
      <c r="E26" s="53">
        <f>'[18]Rev_SP-12me'!AL27</f>
        <v>384.246040703161</v>
      </c>
      <c r="F26" s="53">
        <f>'[18]Rev_SP-12me'!AQ27</f>
        <v>763.670011998976</v>
      </c>
      <c r="G26" s="153">
        <f>'[18]Rev_SP-12me'!O27</f>
        <v>70</v>
      </c>
      <c r="H26" s="101">
        <f>'[18]Rev_SP-12me'!P27</f>
        <v>8.5</v>
      </c>
      <c r="I26" s="153">
        <f>'[18]Rev_SP-12me'!AA27</f>
        <v>90</v>
      </c>
      <c r="J26" s="55"/>
      <c r="K26" s="139">
        <f>'[17]Rev_SP-12me'!AT27</f>
        <v>30.1198949769386</v>
      </c>
      <c r="L26" s="139">
        <f>'[17]Rev_SP-12me'!AU27</f>
        <v>619.406083381549</v>
      </c>
      <c r="M26" s="139">
        <f>'[17]Rev_SP-12me'!AW27</f>
        <v>21.102984</v>
      </c>
      <c r="N26" s="101">
        <f t="shared" si="0"/>
        <v>670.628962358488</v>
      </c>
    </row>
    <row r="27" spans="2:14">
      <c r="B27" s="58" t="s">
        <v>1017</v>
      </c>
      <c r="C27" s="55"/>
      <c r="D27" s="53">
        <f>'[18]Rev_SP-12me'!AJ28</f>
        <v>243391</v>
      </c>
      <c r="E27" s="53">
        <f>'[18]Rev_SP-12me'!AL28</f>
        <v>695.634331488361</v>
      </c>
      <c r="F27" s="53">
        <f>'[18]Rev_SP-12me'!AQ28</f>
        <v>731.145911717307</v>
      </c>
      <c r="G27" s="153">
        <f>'[18]Rev_SP-12me'!O28</f>
        <v>70</v>
      </c>
      <c r="H27" s="101">
        <f>'[18]Rev_SP-12me'!P28</f>
        <v>9.9</v>
      </c>
      <c r="I27" s="153">
        <f>'[18]Rev_SP-12me'!AA28</f>
        <v>105</v>
      </c>
      <c r="J27" s="55"/>
      <c r="K27" s="139">
        <f>'[17]Rev_SP-12me'!AT28</f>
        <v>55.2640487812568</v>
      </c>
      <c r="L27" s="139">
        <f>'[17]Rev_SP-12me'!AU28</f>
        <v>684.162392189575</v>
      </c>
      <c r="M27" s="139">
        <f>'[17]Rev_SP-12me'!AW28</f>
        <v>29.353779</v>
      </c>
      <c r="N27" s="101">
        <f t="shared" si="0"/>
        <v>768.780219970832</v>
      </c>
    </row>
    <row r="28" spans="2:14">
      <c r="B28" s="58" t="s">
        <v>1018</v>
      </c>
      <c r="C28" s="55"/>
      <c r="D28" s="53">
        <f>'[18]Rev_SP-12me'!AJ29</f>
        <v>63604</v>
      </c>
      <c r="E28" s="53">
        <f>'[18]Rev_SP-12me'!AL29</f>
        <v>325.220507979729</v>
      </c>
      <c r="F28" s="53">
        <f>'[18]Rev_SP-12me'!AQ29</f>
        <v>392.529283058289</v>
      </c>
      <c r="G28" s="153">
        <f>'[18]Rev_SP-12me'!O29</f>
        <v>100</v>
      </c>
      <c r="H28" s="101">
        <f>'[18]Rev_SP-12me'!P29</f>
        <v>10.4</v>
      </c>
      <c r="I28" s="153">
        <f>'[18]Rev_SP-12me'!AA29</f>
        <v>120</v>
      </c>
      <c r="J28" s="55"/>
      <c r="K28" s="139">
        <f>'[17]Rev_SP-12me'!AT29</f>
        <v>26.2825624172748</v>
      </c>
      <c r="L28" s="139">
        <f>'[17]Rev_SP-12me'!AU29</f>
        <v>384.999145295244</v>
      </c>
      <c r="M28" s="139">
        <f>'[17]Rev_SP-12me'!AW29</f>
        <v>8.895312</v>
      </c>
      <c r="N28" s="101">
        <f t="shared" si="0"/>
        <v>420.177019712519</v>
      </c>
    </row>
    <row r="29" spans="2:14">
      <c r="B29" s="58" t="s">
        <v>1019</v>
      </c>
      <c r="C29" s="55"/>
      <c r="D29" s="53">
        <f>'[18]Rev_SP-12me'!AJ30</f>
        <v>118201</v>
      </c>
      <c r="E29" s="53">
        <f>'[18]Rev_SP-12me'!AL30</f>
        <v>1815.80087414724</v>
      </c>
      <c r="F29" s="53">
        <f>'[18]Rev_SP-12me'!AQ30</f>
        <v>2396.65890921632</v>
      </c>
      <c r="G29" s="153">
        <f>'[18]Rev_SP-12me'!O30</f>
        <v>100</v>
      </c>
      <c r="H29" s="101">
        <f>'[18]Rev_SP-12me'!P30</f>
        <v>11</v>
      </c>
      <c r="I29" s="153">
        <f>'[18]Rev_SP-12me'!AA30</f>
        <v>160</v>
      </c>
      <c r="J29" s="55"/>
      <c r="K29" s="139">
        <f>'[17]Rev_SP-12me'!AT30</f>
        <v>157.535795850421</v>
      </c>
      <c r="L29" s="139">
        <f>'[17]Rev_SP-12me'!AU30</f>
        <v>2467.4504235673</v>
      </c>
      <c r="M29" s="139">
        <f>'[17]Rev_SP-12me'!AW30</f>
        <v>21.862272</v>
      </c>
      <c r="N29" s="101">
        <f t="shared" si="0"/>
        <v>2646.84849141772</v>
      </c>
    </row>
    <row r="30" spans="2:14">
      <c r="B30" s="56" t="s">
        <v>1020</v>
      </c>
      <c r="C30" s="55"/>
      <c r="D30" s="51">
        <f>'[18]Rev_SP-12me'!AJ31</f>
        <v>2590</v>
      </c>
      <c r="E30" s="51">
        <f>'[18]Rev_SP-12me'!AL31</f>
        <v>7.7531689056611</v>
      </c>
      <c r="F30" s="51">
        <f>'[18]Rev_SP-12me'!AQ31</f>
        <v>6.01010412127545</v>
      </c>
      <c r="G30" s="153">
        <f>'[18]Rev_SP-12me'!O31</f>
        <v>150</v>
      </c>
      <c r="H30" s="101">
        <f>'[18]Rev_SP-12me'!P31</f>
        <v>13</v>
      </c>
      <c r="I30" s="153">
        <f>'[18]Rev_SP-12me'!AA31</f>
        <v>160</v>
      </c>
      <c r="J30" s="55"/>
      <c r="K30" s="138">
        <f>'[17]Rev_SP-12me'!AT31</f>
        <v>0.613611049740899</v>
      </c>
      <c r="L30" s="138">
        <f>'[17]Rev_SP-12me'!AU31</f>
        <v>7.50531835242601</v>
      </c>
      <c r="M30" s="138">
        <f>'[17]Rev_SP-12me'!AW31</f>
        <v>0.446976</v>
      </c>
      <c r="N30" s="101">
        <f t="shared" si="0"/>
        <v>8.56590540216691</v>
      </c>
    </row>
    <row r="31" spans="2:14">
      <c r="B31" s="56" t="s">
        <v>1021</v>
      </c>
      <c r="C31" s="55"/>
      <c r="D31" s="51">
        <f>'[18]Rev_SP-12me'!AJ32</f>
        <v>14234</v>
      </c>
      <c r="E31" s="51">
        <f>'[18]Rev_SP-12me'!AL32</f>
        <v>15.043602847136</v>
      </c>
      <c r="F31" s="51">
        <f>'[18]Rev_SP-12me'!AQ32</f>
        <v>5.85919332306855</v>
      </c>
      <c r="G31" s="153"/>
      <c r="H31" s="101"/>
      <c r="I31" s="153"/>
      <c r="J31" s="55"/>
      <c r="K31" s="138">
        <f>'[17]Rev_SP-12me'!AT32</f>
        <v>1.0356487233087</v>
      </c>
      <c r="L31" s="138">
        <f>'[17]Rev_SP-12me'!AU32</f>
        <v>3.33070604680903</v>
      </c>
      <c r="M31" s="138">
        <f>'[17]Rev_SP-12me'!AW32</f>
        <v>0.754956</v>
      </c>
      <c r="N31" s="101">
        <f t="shared" si="0"/>
        <v>5.12131077011773</v>
      </c>
    </row>
    <row r="32" spans="2:14">
      <c r="B32" s="58" t="s">
        <v>1002</v>
      </c>
      <c r="C32" s="55"/>
      <c r="D32" s="53">
        <f>'[18]Rev_SP-12me'!AJ33</f>
        <v>10888</v>
      </c>
      <c r="E32" s="53">
        <f>'[18]Rev_SP-12me'!AL33</f>
        <v>11.4065560718135</v>
      </c>
      <c r="F32" s="53">
        <f>'[18]Rev_SP-12me'!AQ33</f>
        <v>3.89201528713353</v>
      </c>
      <c r="G32" s="153">
        <f>'[18]Rev_SP-12me'!O33</f>
        <v>60</v>
      </c>
      <c r="H32" s="101">
        <f>'[18]Rev_SP-12me'!P33</f>
        <v>5.3</v>
      </c>
      <c r="I32" s="153">
        <f>'[18]Rev_SP-12me'!AA33</f>
        <v>45</v>
      </c>
      <c r="J32" s="55"/>
      <c r="K32" s="139">
        <f>'[17]Rev_SP-12me'!AT33</f>
        <v>0.756962184074905</v>
      </c>
      <c r="L32" s="139">
        <f>'[17]Rev_SP-12me'!AU33</f>
        <v>2.01472753323849</v>
      </c>
      <c r="M32" s="139">
        <f>'[17]Rev_SP-12me'!AW33</f>
        <v>0.527013</v>
      </c>
      <c r="N32" s="101">
        <f t="shared" si="0"/>
        <v>3.29870271731339</v>
      </c>
    </row>
    <row r="33" spans="2:14">
      <c r="B33" s="58" t="s">
        <v>1022</v>
      </c>
      <c r="C33" s="55"/>
      <c r="D33" s="53">
        <f>'[18]Rev_SP-12me'!AJ34</f>
        <v>2307</v>
      </c>
      <c r="E33" s="53">
        <f>'[18]Rev_SP-12me'!AL34</f>
        <v>2.41761427316935</v>
      </c>
      <c r="F33" s="53">
        <f>'[18]Rev_SP-12me'!AQ34</f>
        <v>1.40506443740441</v>
      </c>
      <c r="G33" s="153">
        <f>'[18]Rev_SP-12me'!O34</f>
        <v>60</v>
      </c>
      <c r="H33" s="101">
        <f>'[18]Rev_SP-12me'!P34</f>
        <v>6.6</v>
      </c>
      <c r="I33" s="153">
        <f>'[18]Rev_SP-12me'!AA34</f>
        <v>55</v>
      </c>
      <c r="J33" s="55"/>
      <c r="K33" s="139">
        <f>'[17]Rev_SP-12me'!AT34</f>
        <v>0.179648948614209</v>
      </c>
      <c r="L33" s="139">
        <f>'[17]Rev_SP-12me'!AU34</f>
        <v>0.910026953641638</v>
      </c>
      <c r="M33" s="139">
        <f>'[17]Rev_SP-12me'!AW34</f>
        <v>0.145497</v>
      </c>
      <c r="N33" s="101">
        <f t="shared" si="0"/>
        <v>1.23517290225585</v>
      </c>
    </row>
    <row r="34" spans="2:14">
      <c r="B34" s="58" t="s">
        <v>1023</v>
      </c>
      <c r="C34" s="55"/>
      <c r="D34" s="53">
        <f>'[18]Rev_SP-12me'!AJ35</f>
        <v>1039</v>
      </c>
      <c r="E34" s="53">
        <f>'[18]Rev_SP-12me'!AL35</f>
        <v>1.21943250215312</v>
      </c>
      <c r="F34" s="53">
        <f>'[18]Rev_SP-12me'!AQ35</f>
        <v>0.562113598530601</v>
      </c>
      <c r="G34" s="153">
        <f>'[18]Rev_SP-12me'!O35</f>
        <v>60</v>
      </c>
      <c r="H34" s="101">
        <f>'[18]Rev_SP-12me'!P35</f>
        <v>7.5</v>
      </c>
      <c r="I34" s="153">
        <f>'[18]Rev_SP-12me'!AA35</f>
        <v>65</v>
      </c>
      <c r="J34" s="55"/>
      <c r="K34" s="139">
        <f>'[17]Rev_SP-12me'!AT35</f>
        <v>0.099037590619584</v>
      </c>
      <c r="L34" s="139">
        <f>'[17]Rev_SP-12me'!AU35</f>
        <v>0.405951559928908</v>
      </c>
      <c r="M34" s="139">
        <f>'[17]Rev_SP-12me'!AW35</f>
        <v>0.082446</v>
      </c>
      <c r="N34" s="101">
        <f t="shared" si="0"/>
        <v>0.587435150548492</v>
      </c>
    </row>
    <row r="35" ht="15" spans="2:14">
      <c r="B35" s="54" t="s">
        <v>1024</v>
      </c>
      <c r="C35" s="55"/>
      <c r="D35" s="48">
        <f>'[18]Rev_SP-12me'!AJ36</f>
        <v>47096</v>
      </c>
      <c r="E35" s="48">
        <f>'[18]Rev_SP-12me'!AN36*0.7457/10^3</f>
        <v>1135.86492626013</v>
      </c>
      <c r="F35" s="48">
        <f>'[18]Rev_SP-12me'!AQ36</f>
        <v>1048.4454732488</v>
      </c>
      <c r="G35" s="153"/>
      <c r="H35" s="101"/>
      <c r="I35" s="153"/>
      <c r="J35" s="55"/>
      <c r="K35" s="136">
        <f>'[17]Rev_SP-12me'!AT36</f>
        <v>154.742359604397</v>
      </c>
      <c r="L35" s="136">
        <f>'[17]Rev_SP-12me'!AU36</f>
        <v>795.059183653803</v>
      </c>
      <c r="M35" s="136">
        <f>'[17]Rev_SP-12me'!AW36</f>
        <v>20.6877165</v>
      </c>
      <c r="N35" s="137">
        <f t="shared" si="0"/>
        <v>970.4892597582</v>
      </c>
    </row>
    <row r="36" spans="2:14">
      <c r="B36" s="58" t="s">
        <v>1025</v>
      </c>
      <c r="C36" s="55"/>
      <c r="D36" s="53">
        <f>'[18]Rev_SP-12me'!AJ37</f>
        <v>47096</v>
      </c>
      <c r="E36" s="53">
        <f>'[18]Rev_SP-12me'!AN37*0.7457/10^3</f>
        <v>1135.86492626013</v>
      </c>
      <c r="F36" s="53">
        <f>'[18]Rev_SP-12me'!AQ37</f>
        <v>1006.87295441233</v>
      </c>
      <c r="G36" s="153">
        <f>'[18]Rev_SP-12me'!O37</f>
        <v>100</v>
      </c>
      <c r="H36" s="101">
        <f>'[18]Rev_SP-12me'!P37</f>
        <v>7.7</v>
      </c>
      <c r="I36" s="153">
        <f>'[18]Rev_SP-12me'!AA37</f>
        <v>360.25</v>
      </c>
      <c r="J36" s="55"/>
      <c r="K36" s="139">
        <f>'[17]Rev_SP-12me'!AT37</f>
        <v>149.349874737124</v>
      </c>
      <c r="L36" s="139">
        <f>'[17]Rev_SP-12me'!AU37</f>
        <v>767.036034005215</v>
      </c>
      <c r="M36" s="139">
        <f>'[17]Rev_SP-12me'!AW37</f>
        <v>18.9853314150952</v>
      </c>
      <c r="N36" s="101">
        <f t="shared" si="0"/>
        <v>935.371240157434</v>
      </c>
    </row>
    <row r="37" spans="2:14">
      <c r="B37" s="58" t="s">
        <v>1026</v>
      </c>
      <c r="C37" s="55"/>
      <c r="D37" s="53">
        <f>'[18]Rev_SP-12me'!AJ38</f>
        <v>0</v>
      </c>
      <c r="E37" s="53">
        <f>'[18]Rev_SP-12me'!AN38*0.7457/10^3</f>
        <v>0</v>
      </c>
      <c r="F37" s="53">
        <f>'[18]Rev_SP-12me'!AQ38</f>
        <v>0</v>
      </c>
      <c r="G37" s="153">
        <f>'[18]Rev_SP-12me'!O38</f>
        <v>100</v>
      </c>
      <c r="H37" s="101">
        <f>'[18]Rev_SP-12me'!P38</f>
        <v>8.4</v>
      </c>
      <c r="I37" s="153">
        <f>'[18]Rev_SP-12me'!AA38</f>
        <v>360.25</v>
      </c>
      <c r="J37" s="55"/>
      <c r="K37" s="139">
        <f>'[17]Rev_SP-12me'!AT38</f>
        <v>0</v>
      </c>
      <c r="L37" s="139">
        <f>'[17]Rev_SP-12me'!AU38</f>
        <v>0</v>
      </c>
      <c r="M37" s="139">
        <f>'[17]Rev_SP-12me'!AW38</f>
        <v>0</v>
      </c>
      <c r="N37" s="101">
        <f t="shared" si="0"/>
        <v>0</v>
      </c>
    </row>
    <row r="38" spans="2:14">
      <c r="B38" s="58" t="s">
        <v>1027</v>
      </c>
      <c r="C38" s="55"/>
      <c r="D38" s="53">
        <f>'[18]Rev_SP-12me'!AJ39</f>
        <v>0</v>
      </c>
      <c r="E38" s="53">
        <f>'[18]Rev_SP-12me'!AN39*0.7457/10^3</f>
        <v>0</v>
      </c>
      <c r="F38" s="53">
        <f>'[18]Rev_SP-12me'!AQ39</f>
        <v>0</v>
      </c>
      <c r="G38" s="153">
        <f>'[18]Rev_SP-12me'!O39</f>
        <v>50</v>
      </c>
      <c r="H38" s="101">
        <f>'[18]Rev_SP-12me'!P39</f>
        <v>6.2</v>
      </c>
      <c r="I38" s="153">
        <f>'[18]Rev_SP-12me'!AA39</f>
        <v>360.25</v>
      </c>
      <c r="J38" s="55"/>
      <c r="K38" s="139">
        <f>'[17]Rev_SP-12me'!AT39</f>
        <v>0</v>
      </c>
      <c r="L38" s="139">
        <f>'[17]Rev_SP-12me'!AU39</f>
        <v>0</v>
      </c>
      <c r="M38" s="139">
        <f>'[17]Rev_SP-12me'!AW39</f>
        <v>0</v>
      </c>
      <c r="N38" s="101">
        <f t="shared" si="0"/>
        <v>0</v>
      </c>
    </row>
    <row r="39" spans="2:14">
      <c r="B39" s="58" t="s">
        <v>1028</v>
      </c>
      <c r="C39" s="55"/>
      <c r="D39" s="53">
        <f>'[18]Rev_SP-12me'!AJ40</f>
        <v>0</v>
      </c>
      <c r="E39" s="53">
        <f>'[18]Rev_SP-12me'!AN40*0.7457/10^3</f>
        <v>0</v>
      </c>
      <c r="F39" s="53">
        <f>'[18]Rev_SP-12me'!AQ40</f>
        <v>0</v>
      </c>
      <c r="G39" s="153">
        <f>'[18]Rev_SP-12me'!O40</f>
        <v>50</v>
      </c>
      <c r="H39" s="101">
        <f>'[18]Rev_SP-12me'!P40</f>
        <v>6.2</v>
      </c>
      <c r="I39" s="153">
        <f>'[18]Rev_SP-12me'!AA40</f>
        <v>360.25</v>
      </c>
      <c r="J39" s="55"/>
      <c r="K39" s="139">
        <f>'[17]Rev_SP-12me'!AT40</f>
        <v>0</v>
      </c>
      <c r="L39" s="139">
        <f>'[17]Rev_SP-12me'!AU40</f>
        <v>0</v>
      </c>
      <c r="M39" s="139">
        <f>'[17]Rev_SP-12me'!AW40</f>
        <v>0</v>
      </c>
      <c r="N39" s="101">
        <f t="shared" si="0"/>
        <v>0</v>
      </c>
    </row>
    <row r="40" spans="2:14">
      <c r="B40" s="58" t="s">
        <v>1029</v>
      </c>
      <c r="C40" s="55"/>
      <c r="D40" s="53">
        <f>'[18]Rev_SP-12me'!AJ41</f>
        <v>0</v>
      </c>
      <c r="E40" s="53">
        <f>'[18]Rev_SP-12me'!AN41*0.7457/10^3</f>
        <v>0</v>
      </c>
      <c r="F40" s="53">
        <f>'[18]Rev_SP-12me'!AQ41</f>
        <v>41.5725188364717</v>
      </c>
      <c r="G40" s="153">
        <f>'[18]Rev_SP-12me'!O41</f>
        <v>65</v>
      </c>
      <c r="H40" s="101">
        <f>'[18]Rev_SP-12me'!P41</f>
        <v>7</v>
      </c>
      <c r="I40" s="153">
        <f>'[18]Rev_SP-12me'!AA41</f>
        <v>360.25</v>
      </c>
      <c r="J40" s="55"/>
      <c r="K40" s="139">
        <f>'[17]Rev_SP-12me'!AT41</f>
        <v>5.39248486727215</v>
      </c>
      <c r="L40" s="139">
        <f>'[17]Rev_SP-12me'!AU41</f>
        <v>28.0231496485888</v>
      </c>
      <c r="M40" s="139">
        <f>'[17]Rev_SP-12me'!AW41</f>
        <v>1.70238508490478</v>
      </c>
      <c r="N40" s="101">
        <f t="shared" si="0"/>
        <v>35.1180196007657</v>
      </c>
    </row>
    <row r="41" spans="2:14">
      <c r="B41" s="58" t="s">
        <v>1030</v>
      </c>
      <c r="C41" s="55"/>
      <c r="D41" s="53">
        <f>'[18]Rev_SP-12me'!AJ42</f>
        <v>0</v>
      </c>
      <c r="E41" s="53">
        <f>'[18]Rev_SP-12me'!AN42*0.7457/10^3</f>
        <v>0</v>
      </c>
      <c r="F41" s="53">
        <f>'[18]Rev_SP-12me'!AQ42</f>
        <v>0</v>
      </c>
      <c r="G41" s="153">
        <f>'[18]Rev_SP-12me'!O42</f>
        <v>100</v>
      </c>
      <c r="H41" s="101">
        <f>'[18]Rev_SP-12me'!P42</f>
        <v>7.3</v>
      </c>
      <c r="I41" s="153">
        <f>'[18]Rev_SP-12me'!AA42</f>
        <v>360.25</v>
      </c>
      <c r="J41" s="55"/>
      <c r="K41" s="139">
        <f>'[17]Rev_SP-12me'!AT42</f>
        <v>0</v>
      </c>
      <c r="L41" s="139">
        <f>'[17]Rev_SP-12me'!AU42</f>
        <v>0</v>
      </c>
      <c r="M41" s="139">
        <f>'[17]Rev_SP-12me'!AW42</f>
        <v>0</v>
      </c>
      <c r="N41" s="101">
        <f t="shared" ref="N41:N68" si="1">SUM(K41:M41)</f>
        <v>0</v>
      </c>
    </row>
    <row r="42" ht="15" spans="2:14">
      <c r="B42" s="54" t="s">
        <v>1031</v>
      </c>
      <c r="C42" s="55"/>
      <c r="D42" s="48">
        <f>'[18]Rev_SP-12me'!AJ43</f>
        <v>5661</v>
      </c>
      <c r="E42" s="48">
        <f>'[18]Rev_SP-12me'!AN43*0.7457/10^3</f>
        <v>17.7055557778718</v>
      </c>
      <c r="F42" s="48">
        <f>'[18]Rev_SP-12me'!AQ43</f>
        <v>9.62967180970268</v>
      </c>
      <c r="G42" s="153"/>
      <c r="H42" s="101"/>
      <c r="I42" s="153"/>
      <c r="J42" s="55"/>
      <c r="K42" s="136">
        <f>'[17]Rev_SP-12me'!AT43</f>
        <v>0.51495248256</v>
      </c>
      <c r="L42" s="136">
        <f>'[17]Rev_SP-12me'!AU43</f>
        <v>3.81005591325855</v>
      </c>
      <c r="M42" s="136">
        <f>'[17]Rev_SP-12me'!AW43</f>
        <v>0.29886</v>
      </c>
      <c r="N42" s="137">
        <f t="shared" si="1"/>
        <v>4.62386839581855</v>
      </c>
    </row>
    <row r="43" spans="2:14">
      <c r="B43" s="58" t="s">
        <v>178</v>
      </c>
      <c r="C43" s="55"/>
      <c r="D43" s="53">
        <f>'[18]Rev_SP-12me'!AJ44</f>
        <v>5296</v>
      </c>
      <c r="E43" s="53">
        <f>'[18]Rev_SP-12me'!AN44*0.7457/10^3</f>
        <v>16.5682887078718</v>
      </c>
      <c r="F43" s="53">
        <f>'[18]Rev_SP-12me'!AQ44</f>
        <v>9.30795034937294</v>
      </c>
      <c r="G43" s="153">
        <f>'[18]Rev_SP-12me'!O44</f>
        <v>20</v>
      </c>
      <c r="H43" s="101">
        <f>'[18]Rev_SP-12me'!P44</f>
        <v>4</v>
      </c>
      <c r="I43" s="153">
        <f>'[18]Rev_SP-12me'!AA44</f>
        <v>50</v>
      </c>
      <c r="J43" s="55"/>
      <c r="K43" s="139">
        <f>'[17]Rev_SP-12me'!AT44</f>
        <v>0.51495248256</v>
      </c>
      <c r="L43" s="139">
        <f>'[17]Rev_SP-12me'!AU44</f>
        <v>3.71788851653129</v>
      </c>
      <c r="M43" s="139">
        <f>'[17]Rev_SP-12me'!AW44</f>
        <v>0.28668</v>
      </c>
      <c r="N43" s="101">
        <f t="shared" si="1"/>
        <v>4.51952099909129</v>
      </c>
    </row>
    <row r="44" spans="2:14">
      <c r="B44" s="58" t="s">
        <v>1033</v>
      </c>
      <c r="C44" s="55"/>
      <c r="D44" s="53">
        <f>'[18]Rev_SP-12me'!AJ45</f>
        <v>365</v>
      </c>
      <c r="E44" s="53">
        <f>'[18]Rev_SP-12me'!AN45*0.7457/10^3</f>
        <v>1.13726707</v>
      </c>
      <c r="F44" s="53">
        <f>'[18]Rev_SP-12me'!AQ45</f>
        <v>0.321721460329742</v>
      </c>
      <c r="G44" s="153">
        <f>'[18]Rev_SP-12me'!O45</f>
        <v>20</v>
      </c>
      <c r="H44" s="101">
        <f>'[18]Rev_SP-12me'!P45</f>
        <v>4</v>
      </c>
      <c r="I44" s="153">
        <f>'[18]Rev_SP-12me'!AA45</f>
        <v>50</v>
      </c>
      <c r="J44" s="55"/>
      <c r="K44" s="139">
        <f>'[17]Rev_SP-12me'!AT45</f>
        <v>0</v>
      </c>
      <c r="L44" s="139">
        <f>'[17]Rev_SP-12me'!AU45</f>
        <v>0.0921673967272658</v>
      </c>
      <c r="M44" s="139">
        <f>'[17]Rev_SP-12me'!AW45</f>
        <v>0.01218</v>
      </c>
      <c r="N44" s="101">
        <f t="shared" si="1"/>
        <v>0.104347396727266</v>
      </c>
    </row>
    <row r="45" ht="15" spans="2:14">
      <c r="B45" s="54" t="s">
        <v>1034</v>
      </c>
      <c r="C45" s="55"/>
      <c r="D45" s="48">
        <f>'[18]Rev_SP-12me'!AJ46</f>
        <v>1510736</v>
      </c>
      <c r="E45" s="48">
        <f>'[18]Rev_SP-12me'!AN46*0.7457/10^3</f>
        <v>5601.0906545</v>
      </c>
      <c r="F45" s="48">
        <f>'[18]Rev_SP-12me'!AQ46</f>
        <v>17123.9873054058</v>
      </c>
      <c r="G45" s="153"/>
      <c r="H45" s="101"/>
      <c r="I45" s="153"/>
      <c r="J45" s="55"/>
      <c r="K45" s="136">
        <f>'[17]Rev_SP-12me'!AT46</f>
        <v>0.0473311198610199</v>
      </c>
      <c r="L45" s="136">
        <f>'[17]Rev_SP-12me'!AU46</f>
        <v>9.89304547766604</v>
      </c>
      <c r="M45" s="136">
        <f>'[17]Rev_SP-12me'!AW46</f>
        <v>50.1030012536472</v>
      </c>
      <c r="N45" s="137">
        <f t="shared" si="1"/>
        <v>60.0433778511743</v>
      </c>
    </row>
    <row r="46" spans="2:14">
      <c r="B46" s="56" t="s">
        <v>1035</v>
      </c>
      <c r="C46" s="55"/>
      <c r="D46" s="51">
        <f>'[18]Rev_SP-12me'!AJ47</f>
        <v>1510367</v>
      </c>
      <c r="E46" s="51">
        <f>'[18]Rev_SP-12me'!AN47*0.7457/10^3</f>
        <v>5599.640745248</v>
      </c>
      <c r="F46" s="51">
        <f>'[18]Rev_SP-12me'!AQ47</f>
        <v>17120.6509295268</v>
      </c>
      <c r="G46" s="153"/>
      <c r="H46" s="101"/>
      <c r="I46" s="153"/>
      <c r="J46" s="55"/>
      <c r="K46" s="138">
        <f>'[17]Rev_SP-12me'!AT47</f>
        <v>0</v>
      </c>
      <c r="L46" s="138">
        <f>'[17]Rev_SP-12me'!AU47</f>
        <v>8.92469307383976</v>
      </c>
      <c r="M46" s="138">
        <f>'[17]Rev_SP-12me'!AW47</f>
        <v>50.0906947872289</v>
      </c>
      <c r="N46" s="101">
        <f t="shared" si="1"/>
        <v>59.0153878610687</v>
      </c>
    </row>
    <row r="47" spans="2:14">
      <c r="B47" s="58" t="s">
        <v>1036</v>
      </c>
      <c r="C47" s="55"/>
      <c r="D47" s="53">
        <f>'[18]Rev_SP-12me'!AJ48</f>
        <v>1992</v>
      </c>
      <c r="E47" s="53">
        <f>'[18]Rev_SP-12me'!AN48*0.7457/10^3</f>
        <v>8.40098163</v>
      </c>
      <c r="F47" s="53">
        <f>'[18]Rev_SP-12me'!AQ48</f>
        <v>36.1665278875299</v>
      </c>
      <c r="G47" s="153"/>
      <c r="H47" s="101">
        <f>'[18]Rev_SP-12me'!P48</f>
        <v>2.5</v>
      </c>
      <c r="I47" s="153">
        <f>'[18]Rev_SP-12me'!AA48</f>
        <v>30</v>
      </c>
      <c r="J47" s="55"/>
      <c r="K47" s="139">
        <f>'[17]Rev_SP-12me'!AT48</f>
        <v>0</v>
      </c>
      <c r="L47" s="139">
        <f>'[17]Rev_SP-12me'!AU48</f>
        <v>8.92469307383976</v>
      </c>
      <c r="M47" s="139">
        <f>'[17]Rev_SP-12me'!AW48</f>
        <v>0.0751665079594271</v>
      </c>
      <c r="N47" s="101">
        <f t="shared" si="1"/>
        <v>8.99985958179919</v>
      </c>
    </row>
    <row r="48" spans="2:14">
      <c r="B48" s="56" t="s">
        <v>1038</v>
      </c>
      <c r="C48" s="55"/>
      <c r="D48" s="53">
        <f>'[18]Rev_SP-12me'!AJ49</f>
        <v>1508375</v>
      </c>
      <c r="E48" s="53">
        <f>'[18]Rev_SP-12me'!AN49*0.7457/10^3</f>
        <v>5591.239763618</v>
      </c>
      <c r="F48" s="53">
        <f>'[18]Rev_SP-12me'!AQ49</f>
        <v>17084.4844016393</v>
      </c>
      <c r="G48" s="153"/>
      <c r="H48" s="101"/>
      <c r="I48" s="153"/>
      <c r="J48" s="55"/>
      <c r="K48" s="139">
        <f>'[17]Rev_SP-12me'!AT49</f>
        <v>0</v>
      </c>
      <c r="L48" s="139">
        <f>'[17]Rev_SP-12me'!AU49</f>
        <v>0</v>
      </c>
      <c r="M48" s="139">
        <f>'[17]Rev_SP-12me'!AW49</f>
        <v>0</v>
      </c>
      <c r="N48" s="101">
        <f t="shared" si="1"/>
        <v>0</v>
      </c>
    </row>
    <row r="49" spans="2:14">
      <c r="B49" s="58" t="s">
        <v>1099</v>
      </c>
      <c r="C49" s="55"/>
      <c r="D49" s="53">
        <f>'[18]Rev_SP-12me'!AJ50</f>
        <v>1508375</v>
      </c>
      <c r="E49" s="53">
        <f>'[18]Rev_SP-12me'!AN50*0.7457/10^3</f>
        <v>5591.239763618</v>
      </c>
      <c r="F49" s="53">
        <f>'[18]Rev_SP-12me'!AQ50</f>
        <v>17084.4844016393</v>
      </c>
      <c r="G49" s="153"/>
      <c r="H49" s="101"/>
      <c r="I49" s="153">
        <f>'[18]Rev_SP-12me'!AA50</f>
        <v>30</v>
      </c>
      <c r="J49" s="55"/>
      <c r="K49" s="139">
        <f>'[17]Rev_SP-12me'!AT50</f>
        <v>0</v>
      </c>
      <c r="L49" s="139">
        <f>'[17]Rev_SP-12me'!AU50</f>
        <v>0</v>
      </c>
      <c r="M49" s="139">
        <f>'[17]Rev_SP-12me'!AW50</f>
        <v>50.0155282792695</v>
      </c>
      <c r="N49" s="101">
        <f t="shared" si="1"/>
        <v>50.0155282792695</v>
      </c>
    </row>
    <row r="50" spans="2:14">
      <c r="B50" s="58" t="s">
        <v>1100</v>
      </c>
      <c r="C50" s="55"/>
      <c r="D50" s="53">
        <f>'[18]Rev_SP-12me'!AJ51</f>
        <v>0</v>
      </c>
      <c r="E50" s="53">
        <f>'[18]Rev_SP-12me'!AN51*0.7457/10^3</f>
        <v>0</v>
      </c>
      <c r="F50" s="53">
        <f>'[18]Rev_SP-12me'!AQ51</f>
        <v>0</v>
      </c>
      <c r="G50" s="153"/>
      <c r="H50" s="101"/>
      <c r="I50" s="153">
        <f>'[18]Rev_SP-12me'!AA51</f>
        <v>30</v>
      </c>
      <c r="J50" s="55"/>
      <c r="K50" s="139">
        <f>'[17]Rev_SP-12me'!AT51</f>
        <v>0</v>
      </c>
      <c r="L50" s="139">
        <f>'[17]Rev_SP-12me'!AU51</f>
        <v>0</v>
      </c>
      <c r="M50" s="139">
        <f>'[17]Rev_SP-12me'!AW51</f>
        <v>0</v>
      </c>
      <c r="N50" s="101">
        <f t="shared" si="1"/>
        <v>0</v>
      </c>
    </row>
    <row r="51" spans="2:14">
      <c r="B51" s="56" t="s">
        <v>1039</v>
      </c>
      <c r="C51" s="55"/>
      <c r="D51" s="51">
        <f>'[18]Rev_SP-12me'!AJ52</f>
        <v>369</v>
      </c>
      <c r="E51" s="51">
        <f>'[18]Rev_SP-12me'!AN52*0.7457/10^3</f>
        <v>1.449909252</v>
      </c>
      <c r="F51" s="51">
        <f>'[18]Rev_SP-12me'!AQ52</f>
        <v>3.33637587901833</v>
      </c>
      <c r="G51" s="153"/>
      <c r="H51" s="101"/>
      <c r="I51" s="153"/>
      <c r="J51" s="55"/>
      <c r="K51" s="138">
        <f>'[17]Rev_SP-12me'!AT52</f>
        <v>0.0473311198610199</v>
      </c>
      <c r="L51" s="138">
        <f>'[17]Rev_SP-12me'!AU52</f>
        <v>0.968352403826278</v>
      </c>
      <c r="M51" s="138">
        <f>'[17]Rev_SP-12me'!AW52</f>
        <v>0.0123064664182779</v>
      </c>
      <c r="N51" s="101">
        <f t="shared" si="1"/>
        <v>1.02798999010558</v>
      </c>
    </row>
    <row r="52" spans="2:14">
      <c r="B52" s="58" t="s">
        <v>1040</v>
      </c>
      <c r="C52" s="55"/>
      <c r="D52" s="53">
        <f>'[18]Rev_SP-12me'!AJ53</f>
        <v>369</v>
      </c>
      <c r="E52" s="53">
        <f>'[18]Rev_SP-12me'!AN53*0.7457/10^3</f>
        <v>1.449909252</v>
      </c>
      <c r="F52" s="53">
        <f>'[18]Rev_SP-12me'!AQ53</f>
        <v>3.33637587901833</v>
      </c>
      <c r="G52" s="153">
        <f>'[18]Rev_SP-12me'!O53</f>
        <v>20</v>
      </c>
      <c r="H52" s="101">
        <f>'[18]Rev_SP-12me'!P53</f>
        <v>4</v>
      </c>
      <c r="I52" s="153">
        <f>'[18]Rev_SP-12me'!AA53</f>
        <v>30</v>
      </c>
      <c r="J52" s="55"/>
      <c r="K52" s="139">
        <f>'[17]Rev_SP-12me'!AT53</f>
        <v>0.0473311198610199</v>
      </c>
      <c r="L52" s="139">
        <f>'[17]Rev_SP-12me'!AU53</f>
        <v>0.968352403826278</v>
      </c>
      <c r="M52" s="139">
        <f>'[17]Rev_SP-12me'!AW53</f>
        <v>0.0123064664182779</v>
      </c>
      <c r="N52" s="101">
        <f t="shared" si="1"/>
        <v>1.02798999010558</v>
      </c>
    </row>
    <row r="53" ht="15" spans="2:14">
      <c r="B53" s="54" t="s">
        <v>1042</v>
      </c>
      <c r="C53" s="55"/>
      <c r="D53" s="48">
        <f>'[18]Rev_SP-12me'!AJ54</f>
        <v>75491</v>
      </c>
      <c r="E53" s="48">
        <f>'[18]Rev_SP-12me'!AL54</f>
        <v>175.540563701112</v>
      </c>
      <c r="F53" s="48">
        <f>'[18]Rev_SP-12me'!AQ54</f>
        <v>264.600089857505</v>
      </c>
      <c r="G53" s="153"/>
      <c r="H53" s="101"/>
      <c r="I53" s="153"/>
      <c r="J53" s="55"/>
      <c r="K53" s="136">
        <f>'[17]Rev_SP-12me'!AT54</f>
        <v>7.68200564765661</v>
      </c>
      <c r="L53" s="136">
        <f>'[17]Rev_SP-12me'!AU54</f>
        <v>196.717130003172</v>
      </c>
      <c r="M53" s="136">
        <f>'[17]Rev_SP-12me'!AW54</f>
        <v>11.2106431290084</v>
      </c>
      <c r="N53" s="137">
        <f t="shared" si="1"/>
        <v>215.609778779837</v>
      </c>
    </row>
    <row r="54" spans="2:14">
      <c r="B54" s="58" t="s">
        <v>1043</v>
      </c>
      <c r="C54" s="55"/>
      <c r="D54" s="53">
        <f>'[18]Rev_SP-12me'!AJ55</f>
        <v>34450</v>
      </c>
      <c r="E54" s="53">
        <f>'[18]Rev_SP-12me'!AL55</f>
        <v>64.2967633534012</v>
      </c>
      <c r="F54" s="53">
        <f>'[18]Rev_SP-12me'!AQ55</f>
        <v>81.1033079982226</v>
      </c>
      <c r="G54" s="153">
        <f>'[18]Rev_SP-12me'!O55</f>
        <v>32</v>
      </c>
      <c r="H54" s="101">
        <f>'[18]Rev_SP-12me'!P55</f>
        <v>7.1</v>
      </c>
      <c r="I54" s="153">
        <f>'[18]Rev_SP-12me'!AA55</f>
        <v>120</v>
      </c>
      <c r="J54" s="55"/>
      <c r="K54" s="139">
        <f>'[17]Rev_SP-12me'!AT55</f>
        <v>2.77777271278398</v>
      </c>
      <c r="L54" s="139">
        <f>'[17]Rev_SP-12me'!AU55</f>
        <v>55.7644912094554</v>
      </c>
      <c r="M54" s="139">
        <f>'[17]Rev_SP-12me'!AW55</f>
        <v>5.19058677375499</v>
      </c>
      <c r="N54" s="101">
        <f t="shared" si="1"/>
        <v>63.7328506959944</v>
      </c>
    </row>
    <row r="55" spans="2:14">
      <c r="B55" s="58" t="s">
        <v>1044</v>
      </c>
      <c r="C55" s="55"/>
      <c r="D55" s="53">
        <f>'[18]Rev_SP-12me'!AJ56</f>
        <v>12887</v>
      </c>
      <c r="E55" s="53">
        <f>'[18]Rev_SP-12me'!AL56</f>
        <v>31.5634546293874</v>
      </c>
      <c r="F55" s="53">
        <f>'[18]Rev_SP-12me'!AQ56</f>
        <v>53.2059876846675</v>
      </c>
      <c r="G55" s="153">
        <f>'[18]Rev_SP-12me'!O56</f>
        <v>32</v>
      </c>
      <c r="H55" s="101">
        <f>'[18]Rev_SP-12me'!P56</f>
        <v>7.6</v>
      </c>
      <c r="I55" s="153">
        <f>'[18]Rev_SP-12me'!AA56</f>
        <v>120</v>
      </c>
      <c r="J55" s="55"/>
      <c r="K55" s="139">
        <f>'[17]Rev_SP-12me'!AT56</f>
        <v>1.34429658611259</v>
      </c>
      <c r="L55" s="139">
        <f>'[17]Rev_SP-12me'!AU56</f>
        <v>38.0497573787824</v>
      </c>
      <c r="M55" s="139">
        <f>'[17]Rev_SP-12me'!AW56</f>
        <v>1.75466232643712</v>
      </c>
      <c r="N55" s="101">
        <f t="shared" si="1"/>
        <v>41.1487162913321</v>
      </c>
    </row>
    <row r="56" spans="2:14">
      <c r="B56" s="58" t="s">
        <v>1045</v>
      </c>
      <c r="C56" s="55"/>
      <c r="D56" s="53">
        <f>'[18]Rev_SP-12me'!AJ57</f>
        <v>28154</v>
      </c>
      <c r="E56" s="53">
        <f>'[18]Rev_SP-12me'!AL57</f>
        <v>79.6803457183233</v>
      </c>
      <c r="F56" s="53">
        <f>'[18]Rev_SP-12me'!AQ57</f>
        <v>130.290794174615</v>
      </c>
      <c r="G56" s="153">
        <f>'[18]Rev_SP-12me'!O57</f>
        <v>32</v>
      </c>
      <c r="H56" s="101">
        <f>'[18]Rev_SP-12me'!P57</f>
        <v>8.1</v>
      </c>
      <c r="I56" s="153">
        <f>'[18]Rev_SP-12me'!AA57</f>
        <v>120</v>
      </c>
      <c r="J56" s="55"/>
      <c r="K56" s="139">
        <f>'[17]Rev_SP-12me'!AT57</f>
        <v>3.55993634876004</v>
      </c>
      <c r="L56" s="139">
        <f>'[17]Rev_SP-12me'!AU57</f>
        <v>102.902881414934</v>
      </c>
      <c r="M56" s="139">
        <f>'[17]Rev_SP-12me'!AW57</f>
        <v>4.26539402881631</v>
      </c>
      <c r="N56" s="101">
        <f t="shared" si="1"/>
        <v>110.72821179251</v>
      </c>
    </row>
    <row r="57" ht="15" spans="2:14">
      <c r="B57" s="54" t="s">
        <v>1046</v>
      </c>
      <c r="C57" s="55"/>
      <c r="D57" s="48">
        <f>'[18]Rev_SP-12me'!AJ65</f>
        <v>34839</v>
      </c>
      <c r="E57" s="48">
        <f>'[18]Rev_SP-12me'!AN65*0.7457/10^3</f>
        <v>117.169141891871</v>
      </c>
      <c r="F57" s="48">
        <f>'[18]Rev_SP-12me'!AQ65</f>
        <v>258.327242265469</v>
      </c>
      <c r="G57" s="153"/>
      <c r="H57" s="101"/>
      <c r="I57" s="153">
        <f>'[18]Rev_SP-12me'!AA65</f>
        <v>120</v>
      </c>
      <c r="J57" s="55"/>
      <c r="K57" s="136">
        <f>'[17]Rev_SP-12me'!AT65</f>
        <v>6.84617840023572</v>
      </c>
      <c r="L57" s="136">
        <f>'[17]Rev_SP-12me'!AU65</f>
        <v>157.615050852138</v>
      </c>
      <c r="M57" s="136">
        <f>'[17]Rev_SP-12me'!AW65</f>
        <v>5.23430087099158</v>
      </c>
      <c r="N57" s="137">
        <f t="shared" si="1"/>
        <v>169.695530123365</v>
      </c>
    </row>
    <row r="58" spans="2:14">
      <c r="B58" s="58" t="s">
        <v>1043</v>
      </c>
      <c r="C58" s="55"/>
      <c r="D58" s="53">
        <f>'[18]Rev_SP-12me'!AJ66</f>
        <v>24977</v>
      </c>
      <c r="E58" s="53">
        <f>'[18]Rev_SP-12me'!AN66*0.7457/10^3</f>
        <v>81.17916281326</v>
      </c>
      <c r="F58" s="53">
        <f>'[18]Rev_SP-12me'!AQ66</f>
        <v>198.64014654436</v>
      </c>
      <c r="G58" s="153">
        <f>'[18]Rev_SP-12me'!O66</f>
        <v>32</v>
      </c>
      <c r="H58" s="101">
        <f>'[18]Rev_SP-12me'!P66</f>
        <v>6</v>
      </c>
      <c r="I58" s="153">
        <f>'[18]Rev_SP-12me'!AA66</f>
        <v>120</v>
      </c>
      <c r="J58" s="55"/>
      <c r="K58" s="139">
        <f>'[17]Rev_SP-12me'!AT66</f>
        <v>4.73548543278567</v>
      </c>
      <c r="L58" s="139">
        <f>'[17]Rev_SP-12me'!AU66</f>
        <v>115.997306096345</v>
      </c>
      <c r="M58" s="139">
        <f>'[17]Rev_SP-12me'!AW66</f>
        <v>3.77032032643712</v>
      </c>
      <c r="N58" s="101">
        <f t="shared" si="1"/>
        <v>124.503111855568</v>
      </c>
    </row>
    <row r="59" spans="2:14">
      <c r="B59" s="58" t="s">
        <v>1044</v>
      </c>
      <c r="C59" s="55"/>
      <c r="D59" s="53">
        <f>'[18]Rev_SP-12me'!AJ67</f>
        <v>6292</v>
      </c>
      <c r="E59" s="53">
        <f>'[18]Rev_SP-12me'!AN67*0.7457/10^3</f>
        <v>21.7587510700514</v>
      </c>
      <c r="F59" s="53">
        <f>'[18]Rev_SP-12me'!AQ67</f>
        <v>46.4100149129969</v>
      </c>
      <c r="G59" s="153">
        <f>'[18]Rev_SP-12me'!O67</f>
        <v>32</v>
      </c>
      <c r="H59" s="101">
        <f>'[18]Rev_SP-12me'!P67</f>
        <v>7.1</v>
      </c>
      <c r="I59" s="153">
        <f>'[18]Rev_SP-12me'!AA67</f>
        <v>120</v>
      </c>
      <c r="J59" s="55"/>
      <c r="K59" s="139">
        <f>'[17]Rev_SP-12me'!AT67</f>
        <v>1.23590001597994</v>
      </c>
      <c r="L59" s="139">
        <f>'[17]Rev_SP-12me'!AU67</f>
        <v>31.6686295149427</v>
      </c>
      <c r="M59" s="139">
        <f>'[17]Rev_SP-12me'!AW67</f>
        <v>0.908037289936456</v>
      </c>
      <c r="N59" s="101">
        <f t="shared" si="1"/>
        <v>33.8125668208591</v>
      </c>
    </row>
    <row r="60" spans="2:14">
      <c r="B60" s="58" t="s">
        <v>1045</v>
      </c>
      <c r="C60" s="55"/>
      <c r="D60" s="53">
        <f>'[18]Rev_SP-12me'!AJ68</f>
        <v>3570</v>
      </c>
      <c r="E60" s="53">
        <f>'[18]Rev_SP-12me'!AN68*0.7457/10^3</f>
        <v>14.2312280085595</v>
      </c>
      <c r="F60" s="53">
        <f>'[18]Rev_SP-12me'!AQ68</f>
        <v>13.277080808112</v>
      </c>
      <c r="G60" s="153">
        <f>'[18]Rev_SP-12me'!O68</f>
        <v>32</v>
      </c>
      <c r="H60" s="101">
        <f>'[18]Rev_SP-12me'!P68</f>
        <v>7.6</v>
      </c>
      <c r="I60" s="153">
        <f>'[18]Rev_SP-12me'!AA68</f>
        <v>120</v>
      </c>
      <c r="J60" s="55"/>
      <c r="K60" s="139">
        <f>'[17]Rev_SP-12me'!AT68</f>
        <v>0.874792951470112</v>
      </c>
      <c r="L60" s="139">
        <f>'[17]Rev_SP-12me'!AU68</f>
        <v>9.94911524085001</v>
      </c>
      <c r="M60" s="139">
        <f>'[17]Rev_SP-12me'!AW68</f>
        <v>0.555943254617999</v>
      </c>
      <c r="N60" s="101">
        <f t="shared" si="1"/>
        <v>11.3798514469381</v>
      </c>
    </row>
    <row r="61" ht="15" spans="2:14">
      <c r="B61" s="54" t="s">
        <v>1168</v>
      </c>
      <c r="C61" s="55"/>
      <c r="D61" s="48">
        <f>'[18]Rev_SP-12me'!AJ69</f>
        <v>0</v>
      </c>
      <c r="E61" s="48">
        <f>'[18]Rev_SP-12me'!AL69</f>
        <v>0</v>
      </c>
      <c r="F61" s="48">
        <f>'[18]Rev_SP-12me'!AQ69</f>
        <v>0</v>
      </c>
      <c r="G61" s="153"/>
      <c r="H61" s="101"/>
      <c r="I61" s="153"/>
      <c r="J61" s="55"/>
      <c r="K61" s="136">
        <f>'[17]Rev_SP-12me'!AT69</f>
        <v>0</v>
      </c>
      <c r="L61" s="136">
        <f>'[17]Rev_SP-12me'!AU69</f>
        <v>0</v>
      </c>
      <c r="M61" s="136">
        <f>'[17]Rev_SP-12me'!AW69</f>
        <v>0</v>
      </c>
      <c r="N61" s="101">
        <f t="shared" si="1"/>
        <v>0</v>
      </c>
    </row>
    <row r="62" ht="15" spans="2:14">
      <c r="B62" s="54" t="s">
        <v>1049</v>
      </c>
      <c r="C62" s="55"/>
      <c r="D62" s="48">
        <f>'[18]Rev_SP-12me'!AJ58</f>
        <v>27229</v>
      </c>
      <c r="E62" s="48">
        <f>'[18]Rev_SP-12me'!AL58</f>
        <v>86.9078473577268</v>
      </c>
      <c r="F62" s="48">
        <f>'[18]Rev_SP-12me'!AQ58</f>
        <v>108.549426556406</v>
      </c>
      <c r="G62" s="153"/>
      <c r="H62" s="101"/>
      <c r="I62" s="153"/>
      <c r="J62" s="55"/>
      <c r="K62" s="136">
        <f>'[17]Rev_SP-12me'!AT58</f>
        <v>2.15091423766816</v>
      </c>
      <c r="L62" s="136">
        <f>'[17]Rev_SP-12me'!AU58</f>
        <v>78.4507610181164</v>
      </c>
      <c r="M62" s="136">
        <f>'[17]Rev_SP-12me'!AW58</f>
        <v>3.08386787270224</v>
      </c>
      <c r="N62" s="137">
        <f t="shared" si="1"/>
        <v>83.6855431284868</v>
      </c>
    </row>
    <row r="63" spans="2:14">
      <c r="B63" s="56" t="s">
        <v>1050</v>
      </c>
      <c r="C63" s="55"/>
      <c r="D63" s="62">
        <f>'[18]Rev_SP-12me'!AJ59</f>
        <v>22251</v>
      </c>
      <c r="E63" s="62">
        <f>'[18]Rev_SP-12me'!AL59</f>
        <v>78.4026512387405</v>
      </c>
      <c r="F63" s="62">
        <f>'[18]Rev_SP-12me'!AQ59</f>
        <v>96.7147319418951</v>
      </c>
      <c r="G63" s="153">
        <f>'[18]Rev_SP-12me'!O59</f>
        <v>21</v>
      </c>
      <c r="H63" s="101">
        <f>'[18]Rev_SP-12me'!P59</f>
        <v>8.3</v>
      </c>
      <c r="I63" s="153">
        <f>'[18]Rev_SP-12me'!AA59</f>
        <v>100</v>
      </c>
      <c r="J63" s="55"/>
      <c r="K63" s="145">
        <f>'[17]Rev_SP-12me'!AT59</f>
        <v>1.86920011210762</v>
      </c>
      <c r="L63" s="145">
        <f>'[17]Rev_SP-12me'!AU59</f>
        <v>73.0041913890443</v>
      </c>
      <c r="M63" s="145">
        <f>'[17]Rev_SP-12me'!AW59</f>
        <v>2.51728787270224</v>
      </c>
      <c r="N63" s="101">
        <f t="shared" si="1"/>
        <v>77.3906793738542</v>
      </c>
    </row>
    <row r="64" spans="2:14">
      <c r="B64" s="56" t="s">
        <v>1051</v>
      </c>
      <c r="C64" s="55"/>
      <c r="D64" s="62">
        <f>'[18]Rev_SP-12me'!AJ60</f>
        <v>4978</v>
      </c>
      <c r="E64" s="62">
        <f>'[18]Rev_SP-12me'!AL60</f>
        <v>8.50519611898623</v>
      </c>
      <c r="F64" s="62">
        <f>'[18]Rev_SP-12me'!AQ60</f>
        <v>11.8346946145112</v>
      </c>
      <c r="G64" s="153">
        <f>'[18]Rev_SP-12me'!O60</f>
        <v>30</v>
      </c>
      <c r="H64" s="101">
        <f>'[18]Rev_SP-12me'!P60</f>
        <v>5</v>
      </c>
      <c r="I64" s="153">
        <f>'[18]Rev_SP-12me'!AA60</f>
        <v>100</v>
      </c>
      <c r="J64" s="55"/>
      <c r="K64" s="145">
        <f>'[17]Rev_SP-12me'!AT60</f>
        <v>0.281714125560538</v>
      </c>
      <c r="L64" s="145">
        <f>'[17]Rev_SP-12me'!AU60</f>
        <v>5.44656962907208</v>
      </c>
      <c r="M64" s="145">
        <f>'[17]Rev_SP-12me'!AW60</f>
        <v>0.56658</v>
      </c>
      <c r="N64" s="101">
        <f t="shared" si="1"/>
        <v>6.29486375463262</v>
      </c>
    </row>
    <row r="65" spans="2:14">
      <c r="B65" s="56" t="s">
        <v>1052</v>
      </c>
      <c r="C65" s="55"/>
      <c r="D65" s="24">
        <f>'[18]Rev_SP-12me'!AJ61</f>
        <v>4978</v>
      </c>
      <c r="E65" s="24">
        <f>'[18]Rev_SP-12me'!AL61</f>
        <v>8.50519611898623</v>
      </c>
      <c r="F65" s="24">
        <f>'[18]Rev_SP-12me'!AQ61</f>
        <v>11.8346946145112</v>
      </c>
      <c r="G65" s="153">
        <f>'[18]Rev_SP-12me'!O61</f>
        <v>30</v>
      </c>
      <c r="H65" s="101">
        <f>'[18]Rev_SP-12me'!P61</f>
        <v>5</v>
      </c>
      <c r="I65" s="153">
        <f>'[18]Rev_SP-12me'!AA61</f>
        <v>100</v>
      </c>
      <c r="J65" s="55"/>
      <c r="K65" s="146">
        <f>'[17]Rev_SP-12me'!AT61</f>
        <v>0</v>
      </c>
      <c r="L65" s="146">
        <f>'[17]Rev_SP-12me'!AU61</f>
        <v>0</v>
      </c>
      <c r="M65" s="146">
        <f>'[17]Rev_SP-12me'!AW61</f>
        <v>0</v>
      </c>
      <c r="N65" s="101">
        <f t="shared" si="1"/>
        <v>0</v>
      </c>
    </row>
    <row r="66" spans="2:14">
      <c r="B66" s="56" t="s">
        <v>1053</v>
      </c>
      <c r="C66" s="55"/>
      <c r="D66" s="24">
        <f>'[18]Rev_SP-12me'!AJ62</f>
        <v>0</v>
      </c>
      <c r="E66" s="24">
        <f>'[18]Rev_SP-12me'!AL62</f>
        <v>0</v>
      </c>
      <c r="F66" s="24">
        <f>'[18]Rev_SP-12me'!AQ62</f>
        <v>0</v>
      </c>
      <c r="G66" s="153">
        <f>'[18]Rev_SP-12me'!O62</f>
        <v>30</v>
      </c>
      <c r="H66" s="101">
        <f>'[18]Rev_SP-12me'!P62</f>
        <v>5</v>
      </c>
      <c r="I66" s="153">
        <f>'[18]Rev_SP-12me'!AA62</f>
        <v>100</v>
      </c>
      <c r="J66" s="55"/>
      <c r="K66" s="146">
        <f>'[17]Rev_SP-12me'!AT62</f>
        <v>0</v>
      </c>
      <c r="L66" s="146">
        <f>'[17]Rev_SP-12me'!AU62</f>
        <v>0</v>
      </c>
      <c r="M66" s="146">
        <f>'[17]Rev_SP-12me'!AW62</f>
        <v>0</v>
      </c>
      <c r="N66" s="101">
        <f t="shared" si="1"/>
        <v>0</v>
      </c>
    </row>
    <row r="67" ht="15" spans="2:14">
      <c r="B67" s="54" t="s">
        <v>1054</v>
      </c>
      <c r="C67" s="55"/>
      <c r="D67" s="48">
        <f>'[18]Rev_SP-12me'!AJ63</f>
        <v>20019</v>
      </c>
      <c r="E67" s="48">
        <f>'[18]Rev_SP-12me'!AL63</f>
        <v>185.669634143626</v>
      </c>
      <c r="F67" s="48">
        <f>'[18]Rev_SP-12me'!AQ63</f>
        <v>157.328110571629</v>
      </c>
      <c r="G67" s="153">
        <f>'[18]Rev_SP-12me'!O63</f>
        <v>21</v>
      </c>
      <c r="H67" s="101">
        <f>'[18]Rev_SP-12me'!P63</f>
        <v>12</v>
      </c>
      <c r="I67" s="153">
        <f>'[18]Rev_SP-12me'!AA63</f>
        <v>100</v>
      </c>
      <c r="J67" s="55"/>
      <c r="K67" s="136">
        <f>'[17]Rev_SP-12me'!AT63</f>
        <v>2.8476</v>
      </c>
      <c r="L67" s="136">
        <f>'[17]Rev_SP-12me'!AU63</f>
        <v>192.752529462093</v>
      </c>
      <c r="M67" s="136">
        <f>'[17]Rev_SP-12me'!AW63</f>
        <v>1.71366</v>
      </c>
      <c r="N67" s="137">
        <f t="shared" si="1"/>
        <v>197.313789462093</v>
      </c>
    </row>
    <row r="68" ht="15" spans="2:14">
      <c r="B68" s="54" t="s">
        <v>1101</v>
      </c>
      <c r="C68" s="55"/>
      <c r="D68" s="48">
        <f>'[18]Rev_SP-12me'!AJ64</f>
        <v>415</v>
      </c>
      <c r="E68" s="48">
        <f>'[18]Rev_SP-12me'!AL64</f>
        <v>19.9148408294931</v>
      </c>
      <c r="F68" s="48">
        <f>'[18]Rev_SP-12me'!AQ64</f>
        <v>46.8702400877059</v>
      </c>
      <c r="G68" s="153">
        <f>'[18]Rev_SP-12me'!O64</f>
        <v>0</v>
      </c>
      <c r="H68" s="101">
        <f>'[18]Rev_SP-12me'!P64</f>
        <v>6</v>
      </c>
      <c r="I68" s="153">
        <f>'[18]Rev_SP-12me'!AA64</f>
        <v>120</v>
      </c>
      <c r="J68" s="55"/>
      <c r="K68" s="136">
        <f>'[17]Rev_SP-12me'!AT64</f>
        <v>0.45675</v>
      </c>
      <c r="L68" s="136">
        <f>'[17]Rev_SP-12me'!AU64</f>
        <v>1.5063246</v>
      </c>
      <c r="M68" s="136">
        <f>'[17]Rev_SP-12me'!AW64</f>
        <v>0.0343908</v>
      </c>
      <c r="N68" s="137">
        <f t="shared" si="1"/>
        <v>1.9974654</v>
      </c>
    </row>
    <row r="69" ht="15" spans="2:14">
      <c r="B69" s="54"/>
      <c r="C69" s="55"/>
      <c r="D69" s="24"/>
      <c r="E69" s="49"/>
      <c r="F69" s="49"/>
      <c r="G69" s="147"/>
      <c r="H69" s="147"/>
      <c r="I69" s="55"/>
      <c r="J69" s="55"/>
      <c r="K69" s="147"/>
      <c r="L69" s="147"/>
      <c r="M69" s="147"/>
      <c r="N69" s="147"/>
    </row>
    <row r="70" ht="15" spans="2:14">
      <c r="B70" s="54" t="s">
        <v>1102</v>
      </c>
      <c r="C70" s="55"/>
      <c r="D70" s="63">
        <f>SUM(D9,D22,D35,D42,D45,D53,D57,D61,D62,D67,D68)</f>
        <v>11512222</v>
      </c>
      <c r="E70" s="64">
        <f>SUM(E9,E22,E35,E42,E45,E53,E57,E61,E62,E67,E68)</f>
        <v>25670.1336191761</v>
      </c>
      <c r="F70" s="63">
        <f>SUM(F9,F22,F35,F42,F45,F53,F57,F61,F62,F67,F68)</f>
        <v>36031.941163479</v>
      </c>
      <c r="G70" s="187"/>
      <c r="H70" s="187"/>
      <c r="I70" s="187"/>
      <c r="J70" s="199"/>
      <c r="K70" s="188">
        <f>SUM(K9,K22,K35,K42,K45,K53,K57,K61,K62,K67,K68)</f>
        <v>674.153221931755</v>
      </c>
      <c r="L70" s="187">
        <f>SUM(L9,L22,L35,L42,L45,L53,L57,L61,L62,L67,L68)</f>
        <v>11144.4094777232</v>
      </c>
      <c r="M70" s="187">
        <f>SUM(M9,M22,M35,M42,M45,M53,M57,M61,M62,M67,M68)</f>
        <v>897.885337426349</v>
      </c>
      <c r="N70" s="187">
        <f>SUM(N9,N22,N35,N42,N45,N53,N57,N61,N62,N67,N68)</f>
        <v>12716.4480370813</v>
      </c>
    </row>
    <row r="71" ht="15" spans="2:14">
      <c r="B71" s="66"/>
      <c r="C71" s="67"/>
      <c r="D71" s="68"/>
      <c r="E71" s="69"/>
      <c r="F71" s="68"/>
      <c r="G71" s="150"/>
      <c r="H71" s="150"/>
      <c r="I71" s="150"/>
      <c r="J71" s="55"/>
      <c r="K71" s="137"/>
      <c r="L71" s="150"/>
      <c r="M71" s="150"/>
      <c r="N71" s="150"/>
    </row>
    <row r="72" ht="15" spans="2:14">
      <c r="B72" s="70" t="s">
        <v>907</v>
      </c>
      <c r="C72" s="70"/>
      <c r="D72" s="8"/>
      <c r="E72" s="8"/>
      <c r="F72" s="8"/>
      <c r="G72" s="55"/>
      <c r="H72" s="55"/>
      <c r="I72" s="55"/>
      <c r="J72" s="55"/>
      <c r="K72" s="55"/>
      <c r="L72" s="55"/>
      <c r="M72" s="55"/>
      <c r="N72" s="55"/>
    </row>
    <row r="73" spans="2:14">
      <c r="B73" s="151" t="s">
        <v>190</v>
      </c>
      <c r="C73" s="55"/>
      <c r="D73" s="49"/>
      <c r="E73" s="49"/>
      <c r="F73" s="49"/>
      <c r="G73" s="55"/>
      <c r="H73" s="55"/>
      <c r="I73" s="55"/>
      <c r="J73" s="55"/>
      <c r="K73" s="147"/>
      <c r="L73" s="147"/>
      <c r="M73" s="147"/>
      <c r="N73" s="147"/>
    </row>
    <row r="74" ht="15" spans="2:14">
      <c r="B74" s="151" t="s">
        <v>1103</v>
      </c>
      <c r="C74" s="72"/>
      <c r="D74" s="48">
        <f>'[18]Rev_SP-12me'!AJ84</f>
        <v>6196</v>
      </c>
      <c r="E74" s="48">
        <f>'[18]Rev_SP-12me'!AL84</f>
        <v>1616.92789975108</v>
      </c>
      <c r="F74" s="48">
        <f>F75+F84</f>
        <v>4574.57872354559</v>
      </c>
      <c r="G74" s="150"/>
      <c r="H74" s="137"/>
      <c r="I74" s="150"/>
      <c r="J74" s="55"/>
      <c r="K74" s="136">
        <f>'[17]Rev_SP-12me'!AT84</f>
        <v>973.614478666021</v>
      </c>
      <c r="L74" s="136">
        <f>'[17]Rev_SP-12me'!AU84</f>
        <v>3567.44159103852</v>
      </c>
      <c r="M74" s="136">
        <f>'[17]Rev_SP-12me'!AW84</f>
        <v>14.387532385048</v>
      </c>
      <c r="N74" s="150">
        <f t="shared" ref="N74:N105" si="2">SUM(K74:M74)</f>
        <v>4555.44360208959</v>
      </c>
    </row>
    <row r="75" spans="2:14">
      <c r="B75" s="152" t="s">
        <v>1104</v>
      </c>
      <c r="C75" s="72"/>
      <c r="D75" s="51">
        <f>'[18]Rev_SP-12me'!AJ85</f>
        <v>6196</v>
      </c>
      <c r="E75" s="51">
        <f>'[18]Rev_SP-12me'!AL85</f>
        <v>1616.92789975108</v>
      </c>
      <c r="F75" s="51">
        <f>'[18]Rev_SP-12me'!AQ85</f>
        <v>4424.60166459627</v>
      </c>
      <c r="G75" s="153"/>
      <c r="H75" s="101"/>
      <c r="I75" s="153"/>
      <c r="J75" s="55"/>
      <c r="K75" s="138">
        <f>'[17]Rev_SP-12me'!AT85</f>
        <v>973.614478666021</v>
      </c>
      <c r="L75" s="138">
        <f>'[17]Rev_SP-12me'!AU85</f>
        <v>3453.13901947095</v>
      </c>
      <c r="M75" s="138">
        <f>'[17]Rev_SP-12me'!AW85</f>
        <v>13.888208931525</v>
      </c>
      <c r="N75" s="153">
        <f t="shared" si="2"/>
        <v>4440.6417070685</v>
      </c>
    </row>
    <row r="76" ht="15" spans="2:17">
      <c r="B76" s="154" t="s">
        <v>1105</v>
      </c>
      <c r="C76" s="72"/>
      <c r="D76" s="62">
        <f>'[18]Rev_SP-12me'!AJ86</f>
        <v>6196</v>
      </c>
      <c r="E76" s="62">
        <f>'[18]Rev_SP-12me'!AL86</f>
        <v>1616.92789975108</v>
      </c>
      <c r="F76" s="62">
        <f>'[18]Rev_SP-12me'!AQ86</f>
        <v>1277.87303509363</v>
      </c>
      <c r="G76" s="174">
        <f>'[18]Rev_SP-12me'!O86</f>
        <v>500</v>
      </c>
      <c r="H76" s="185">
        <f>'[18]Rev_SP-12me'!P86</f>
        <v>7.65</v>
      </c>
      <c r="I76" s="174">
        <f>'[18]Rev_SP-12me'!AA86</f>
        <v>2000</v>
      </c>
      <c r="J76" s="55"/>
      <c r="K76" s="145">
        <f>'[17]Rev_SP-12me'!AT86</f>
        <v>973.614478666021</v>
      </c>
      <c r="L76" s="145">
        <f>'[17]Rev_SP-12me'!AU86</f>
        <v>1110.17380510173</v>
      </c>
      <c r="M76" s="145">
        <f>'[17]Rev_SP-12me'!AW86</f>
        <v>10.2277837909362</v>
      </c>
      <c r="N76" s="153">
        <f t="shared" si="2"/>
        <v>2094.01606755869</v>
      </c>
      <c r="P76" s="175" t="s">
        <v>1169</v>
      </c>
      <c r="Q76" s="175"/>
    </row>
    <row r="77" ht="25.7" customHeight="1" spans="2:17">
      <c r="B77" s="155" t="s">
        <v>1106</v>
      </c>
      <c r="C77" s="55"/>
      <c r="D77" s="62">
        <f>'[18]Rev_SP-12me'!AJ87</f>
        <v>0</v>
      </c>
      <c r="E77" s="62">
        <f>'[18]Rev_SP-12me'!AL87</f>
        <v>0</v>
      </c>
      <c r="F77" s="62">
        <f>'[18]Rev_SP-12me'!AQ87</f>
        <v>265.53325722848</v>
      </c>
      <c r="G77" s="174">
        <f>'[18]Rev_SP-12me'!O87</f>
        <v>100</v>
      </c>
      <c r="H77" s="185">
        <f>'[18]Rev_SP-12me'!P87</f>
        <v>8</v>
      </c>
      <c r="I77" s="174">
        <f>'[18]Rev_SP-12me'!AA87</f>
        <v>2000</v>
      </c>
      <c r="J77" s="55"/>
      <c r="K77" s="145">
        <f>'[17]Rev_SP-12me'!AT87</f>
        <v>0</v>
      </c>
      <c r="L77" s="145">
        <f>'[17]Rev_SP-12me'!AU87</f>
        <v>203.58074792287</v>
      </c>
      <c r="M77" s="145">
        <f>'[17]Rev_SP-12me'!AW87</f>
        <v>3.18030248097916</v>
      </c>
      <c r="N77" s="153">
        <f t="shared" si="2"/>
        <v>206.761050403849</v>
      </c>
      <c r="P77" s="135" t="s">
        <v>1091</v>
      </c>
      <c r="Q77" s="135" t="s">
        <v>1170</v>
      </c>
    </row>
    <row r="78" spans="2:17">
      <c r="B78" s="154" t="s">
        <v>1107</v>
      </c>
      <c r="C78" s="55"/>
      <c r="D78" s="62">
        <f>'[18]Rev_SP-12me'!AJ88</f>
        <v>0</v>
      </c>
      <c r="E78" s="62">
        <f>'[18]Rev_SP-12me'!AL88</f>
        <v>0</v>
      </c>
      <c r="F78" s="62">
        <f>'[18]Rev_SP-12me'!AQ88</f>
        <v>132.233144417931</v>
      </c>
      <c r="G78" s="174">
        <f>'[18]Rev_SP-12me'!O88</f>
        <v>0</v>
      </c>
      <c r="H78" s="185">
        <f>'[18]Rev_SP-12me'!P88</f>
        <v>7.65</v>
      </c>
      <c r="I78" s="174">
        <f>'[18]Rev_SP-12me'!AA88</f>
        <v>2000</v>
      </c>
      <c r="J78" s="55"/>
      <c r="K78" s="145">
        <f>'[17]Rev_SP-12me'!AT88</f>
        <v>0</v>
      </c>
      <c r="L78" s="145">
        <f>'[17]Rev_SP-12me'!AU88</f>
        <v>0.0920938059139223</v>
      </c>
      <c r="M78" s="145">
        <f>'[17]Rev_SP-12me'!AW88</f>
        <v>0</v>
      </c>
      <c r="N78" s="153">
        <f t="shared" si="2"/>
        <v>0.0920938059139223</v>
      </c>
      <c r="P78" s="153">
        <f>SUM(N78:N85,N86,N91,N132:N138,N144,N186,N139,N178:N185)</f>
        <v>9039.52394761886</v>
      </c>
      <c r="Q78" s="195" t="s">
        <v>867</v>
      </c>
    </row>
    <row r="79" spans="2:17">
      <c r="B79" s="154" t="s">
        <v>1108</v>
      </c>
      <c r="C79" s="55"/>
      <c r="D79" s="62">
        <f>'[18]Rev_SP-12me'!AJ89</f>
        <v>0</v>
      </c>
      <c r="E79" s="62">
        <f>'[18]Rev_SP-12me'!AL89</f>
        <v>0</v>
      </c>
      <c r="F79" s="62">
        <f>'[18]Rev_SP-12me'!AQ89</f>
        <v>19.4622432594077</v>
      </c>
      <c r="G79" s="174">
        <f>'[18]Rev_SP-12me'!O89</f>
        <v>0</v>
      </c>
      <c r="H79" s="185">
        <f>'[18]Rev_SP-12me'!P89</f>
        <v>7.3</v>
      </c>
      <c r="I79" s="174">
        <f>'[18]Rev_SP-12me'!AA89</f>
        <v>2000</v>
      </c>
      <c r="J79" s="55"/>
      <c r="K79" s="145">
        <f>'[17]Rev_SP-12me'!AT89</f>
        <v>0</v>
      </c>
      <c r="L79" s="145">
        <f>'[17]Rev_SP-12me'!AU89</f>
        <v>0.493603365380239</v>
      </c>
      <c r="M79" s="145">
        <f>'[17]Rev_SP-12me'!AW89</f>
        <v>0</v>
      </c>
      <c r="N79" s="153">
        <f t="shared" si="2"/>
        <v>0.493603365380239</v>
      </c>
      <c r="P79" s="153">
        <f>N96+N149+N191</f>
        <v>2336.8195359764</v>
      </c>
      <c r="Q79" s="195" t="s">
        <v>1171</v>
      </c>
    </row>
    <row r="80" spans="2:17">
      <c r="B80" s="154" t="s">
        <v>1109</v>
      </c>
      <c r="C80" s="55"/>
      <c r="D80" s="62">
        <f>'[18]Rev_SP-12me'!AJ90</f>
        <v>0</v>
      </c>
      <c r="E80" s="62">
        <f>'[18]Rev_SP-12me'!AL90</f>
        <v>0</v>
      </c>
      <c r="F80" s="62">
        <f>'[18]Rev_SP-12me'!AQ90</f>
        <v>55.8576624497053</v>
      </c>
      <c r="G80" s="174">
        <f>'[18]Rev_SP-12me'!O90</f>
        <v>500</v>
      </c>
      <c r="H80" s="185">
        <f>'[18]Rev_SP-12me'!P90</f>
        <v>8.6</v>
      </c>
      <c r="I80" s="174">
        <f>'[18]Rev_SP-12me'!AA90</f>
        <v>2000</v>
      </c>
      <c r="J80" s="55"/>
      <c r="K80" s="145">
        <f>'[17]Rev_SP-12me'!AT90</f>
        <v>0</v>
      </c>
      <c r="L80" s="145">
        <f>'[17]Rev_SP-12me'!AU90</f>
        <v>52.6691465593304</v>
      </c>
      <c r="M80" s="145">
        <f>'[17]Rev_SP-12me'!AW90</f>
        <v>0.480122659609659</v>
      </c>
      <c r="N80" s="153">
        <f t="shared" si="2"/>
        <v>53.1492692189401</v>
      </c>
      <c r="P80" s="153">
        <f>SUM(N102,N97,N150,N156,N192,N197)</f>
        <v>820.906779488504</v>
      </c>
      <c r="Q80" s="195" t="s">
        <v>1172</v>
      </c>
    </row>
    <row r="81" ht="28.5" spans="2:17">
      <c r="B81" s="156" t="s">
        <v>1110</v>
      </c>
      <c r="C81" s="55"/>
      <c r="D81" s="62">
        <f>'[18]Rev_SP-12me'!AJ91</f>
        <v>0</v>
      </c>
      <c r="E81" s="62">
        <f>'[18]Rev_SP-12me'!AL91</f>
        <v>0</v>
      </c>
      <c r="F81" s="62">
        <f>'[18]Rev_SP-12me'!AQ91</f>
        <v>682.855593847427</v>
      </c>
      <c r="G81" s="174">
        <f>'[18]Rev_SP-12me'!O91</f>
        <v>0</v>
      </c>
      <c r="H81" s="185">
        <f>'[18]Rev_SP-12me'!P91</f>
        <v>8.65</v>
      </c>
      <c r="I81" s="174">
        <f>'[18]Rev_SP-12me'!AA91</f>
        <v>2000</v>
      </c>
      <c r="J81" s="55"/>
      <c r="K81" s="145">
        <f>'[17]Rev_SP-12me'!AT91</f>
        <v>0</v>
      </c>
      <c r="L81" s="145">
        <f>'[17]Rev_SP-12me'!AU91</f>
        <v>617.91857916605</v>
      </c>
      <c r="M81" s="145">
        <f>'[17]Rev_SP-12me'!AW91</f>
        <v>0</v>
      </c>
      <c r="N81" s="153">
        <f t="shared" si="2"/>
        <v>617.91857916605</v>
      </c>
      <c r="P81" s="153">
        <f>SUM(N107,N161,N202)</f>
        <v>16.255674275835</v>
      </c>
      <c r="Q81" s="195" t="s">
        <v>1173</v>
      </c>
    </row>
    <row r="82" spans="2:17">
      <c r="B82" s="156" t="s">
        <v>1111</v>
      </c>
      <c r="C82" s="55"/>
      <c r="D82" s="62">
        <f>'[18]Rev_SP-12me'!AJ92</f>
        <v>0</v>
      </c>
      <c r="E82" s="62">
        <f>'[18]Rev_SP-12me'!AL92</f>
        <v>0</v>
      </c>
      <c r="F82" s="62">
        <f>'[18]Rev_SP-12me'!AQ92</f>
        <v>680.138918671545</v>
      </c>
      <c r="G82" s="174">
        <f>'[18]Rev_SP-12me'!O92</f>
        <v>0</v>
      </c>
      <c r="H82" s="185">
        <f>'[18]Rev_SP-12me'!P92</f>
        <v>8.65</v>
      </c>
      <c r="I82" s="174">
        <f>'[18]Rev_SP-12me'!AA92</f>
        <v>2000</v>
      </c>
      <c r="J82" s="55"/>
      <c r="K82" s="145">
        <f>'[17]Rev_SP-12me'!AT92</f>
        <v>0</v>
      </c>
      <c r="L82" s="145">
        <f>'[17]Rev_SP-12me'!AU92</f>
        <v>580.806853478259</v>
      </c>
      <c r="M82" s="145">
        <f>'[17]Rev_SP-12me'!AW92</f>
        <v>0</v>
      </c>
      <c r="N82" s="153">
        <f t="shared" si="2"/>
        <v>580.806853478259</v>
      </c>
      <c r="P82" s="153">
        <f>SUM(N112,N166,N207)</f>
        <v>249.598355464584</v>
      </c>
      <c r="Q82" s="195" t="s">
        <v>1174</v>
      </c>
    </row>
    <row r="83" ht="28.5" spans="2:17">
      <c r="B83" s="156" t="s">
        <v>1112</v>
      </c>
      <c r="C83" s="55"/>
      <c r="D83" s="62">
        <f>'[18]Rev_SP-12me'!AJ93</f>
        <v>0</v>
      </c>
      <c r="E83" s="62">
        <f>'[18]Rev_SP-12me'!AL93</f>
        <v>0</v>
      </c>
      <c r="F83" s="62">
        <f>'[18]Rev_SP-12me'!AQ93</f>
        <v>1310.64780962815</v>
      </c>
      <c r="G83" s="174">
        <f>'[18]Rev_SP-12me'!O93</f>
        <v>0</v>
      </c>
      <c r="H83" s="185">
        <f>'[18]Rev_SP-12me'!P93</f>
        <v>6.15</v>
      </c>
      <c r="I83" s="174">
        <f>'[18]Rev_SP-12me'!AA93</f>
        <v>2000</v>
      </c>
      <c r="J83" s="55"/>
      <c r="K83" s="145">
        <f>'[17]Rev_SP-12me'!AT93</f>
        <v>0</v>
      </c>
      <c r="L83" s="145">
        <f>'[17]Rev_SP-12me'!AU93</f>
        <v>887.404190071419</v>
      </c>
      <c r="M83" s="145">
        <f>'[17]Rev_SP-12me'!AW93</f>
        <v>0</v>
      </c>
      <c r="N83" s="153">
        <f t="shared" si="2"/>
        <v>887.404190071419</v>
      </c>
      <c r="P83" s="153">
        <f>SUM(N114,N168,N210)</f>
        <v>0</v>
      </c>
      <c r="Q83" s="195" t="s">
        <v>1175</v>
      </c>
    </row>
    <row r="84" ht="15" spans="2:17">
      <c r="B84" s="151" t="s">
        <v>1113</v>
      </c>
      <c r="C84" s="55"/>
      <c r="D84" s="51">
        <f>'[18]Rev_SP-12me'!AJ94</f>
        <v>0</v>
      </c>
      <c r="E84" s="51">
        <f>'[18]Rev_SP-12me'!AL94</f>
        <v>0</v>
      </c>
      <c r="F84" s="51">
        <f>'[18]Rev_SP-12me'!AQ94</f>
        <v>149.977058949324</v>
      </c>
      <c r="G84" s="153">
        <f>'[18]Rev_SP-12me'!O94</f>
        <v>0</v>
      </c>
      <c r="H84" s="101">
        <f>'[18]Rev_SP-12me'!P94</f>
        <v>0</v>
      </c>
      <c r="I84" s="153">
        <f>'[18]Rev_SP-12me'!AA94</f>
        <v>0</v>
      </c>
      <c r="J84" s="55"/>
      <c r="K84" s="138">
        <f>'[17]Rev_SP-12me'!AT94</f>
        <v>0</v>
      </c>
      <c r="L84" s="138">
        <f>'[17]Rev_SP-12me'!AU94</f>
        <v>114.302571567576</v>
      </c>
      <c r="M84" s="138">
        <f>'[17]Rev_SP-12me'!AW94</f>
        <v>0.49932345352299</v>
      </c>
      <c r="N84" s="150">
        <f t="shared" si="2"/>
        <v>114.801895021099</v>
      </c>
      <c r="P84" s="153">
        <f>SUM(N117,N118,N171,N172,N214,N216)</f>
        <v>800.963688895183</v>
      </c>
      <c r="Q84" s="195" t="s">
        <v>1176</v>
      </c>
    </row>
    <row r="85" ht="28.5" spans="2:17">
      <c r="B85" s="156" t="s">
        <v>1114</v>
      </c>
      <c r="C85" s="55"/>
      <c r="D85" s="53">
        <f>'[18]Rev_SP-12me'!AJ95</f>
        <v>0</v>
      </c>
      <c r="E85" s="53">
        <f>'[18]Rev_SP-12me'!AL95</f>
        <v>0</v>
      </c>
      <c r="F85" s="53">
        <f>'[18]Rev_SP-12me'!AQ95</f>
        <v>51.5931249647781</v>
      </c>
      <c r="G85" s="174">
        <f>'[18]Rev_SP-12me'!O95</f>
        <v>500</v>
      </c>
      <c r="H85" s="185">
        <f>'[18]Rev_SP-12me'!P95</f>
        <v>7.65</v>
      </c>
      <c r="I85" s="174">
        <f>'[18]Rev_SP-12me'!AA95</f>
        <v>2000</v>
      </c>
      <c r="J85" s="55"/>
      <c r="K85" s="139">
        <f>'[17]Rev_SP-12me'!AT95</f>
        <v>0</v>
      </c>
      <c r="L85" s="139">
        <f>'[17]Rev_SP-12me'!AU95</f>
        <v>39.3993234545786</v>
      </c>
      <c r="M85" s="139">
        <f>'[17]Rev_SP-12me'!AW95</f>
        <v>0.49932345352299</v>
      </c>
      <c r="N85" s="153">
        <f t="shared" si="2"/>
        <v>39.8986469081016</v>
      </c>
      <c r="P85" s="153">
        <f>SUM(N119,N173,N218)</f>
        <v>13904.5652446481</v>
      </c>
      <c r="Q85" s="195" t="s">
        <v>1177</v>
      </c>
    </row>
    <row r="86" spans="2:17">
      <c r="B86" s="156" t="s">
        <v>1115</v>
      </c>
      <c r="C86" s="55"/>
      <c r="D86" s="53">
        <f>'[18]Rev_SP-12me'!AJ96</f>
        <v>0</v>
      </c>
      <c r="E86" s="53">
        <f>'[18]Rev_SP-12me'!AL96</f>
        <v>0</v>
      </c>
      <c r="F86" s="53">
        <f>'[18]Rev_SP-12me'!AQ96</f>
        <v>26.5182408297973</v>
      </c>
      <c r="G86" s="174">
        <f>'[18]Rev_SP-12me'!O96</f>
        <v>0</v>
      </c>
      <c r="H86" s="185">
        <f>'[18]Rev_SP-12me'!P96</f>
        <v>8.65</v>
      </c>
      <c r="I86" s="174">
        <f>'[18]Rev_SP-12me'!AA96</f>
        <v>2000</v>
      </c>
      <c r="J86" s="55"/>
      <c r="K86" s="139">
        <f>'[17]Rev_SP-12me'!AT96</f>
        <v>0</v>
      </c>
      <c r="L86" s="139">
        <f>'[17]Rev_SP-12me'!AU96</f>
        <v>24.5795001801825</v>
      </c>
      <c r="M86" s="139">
        <f>'[17]Rev_SP-12me'!AW96</f>
        <v>0</v>
      </c>
      <c r="N86" s="153">
        <f t="shared" si="2"/>
        <v>24.5795001801825</v>
      </c>
      <c r="P86" s="153"/>
      <c r="Q86" s="55"/>
    </row>
    <row r="87" spans="2:17">
      <c r="B87" s="156" t="s">
        <v>1116</v>
      </c>
      <c r="C87" s="55"/>
      <c r="D87" s="53">
        <f>'[18]Rev_SP-12me'!AJ97</f>
        <v>0</v>
      </c>
      <c r="E87" s="53">
        <f>'[18]Rev_SP-12me'!AL97</f>
        <v>0</v>
      </c>
      <c r="F87" s="53">
        <f>'[18]Rev_SP-12me'!AQ97</f>
        <v>26.6530845293995</v>
      </c>
      <c r="G87" s="174">
        <f>'[18]Rev_SP-12me'!O97</f>
        <v>0</v>
      </c>
      <c r="H87" s="185">
        <f>'[18]Rev_SP-12me'!P97</f>
        <v>8.65</v>
      </c>
      <c r="I87" s="174">
        <f>'[18]Rev_SP-12me'!AA97</f>
        <v>2000</v>
      </c>
      <c r="J87" s="55"/>
      <c r="K87" s="139">
        <f>'[17]Rev_SP-12me'!AT97</f>
        <v>0</v>
      </c>
      <c r="L87" s="139">
        <f>'[17]Rev_SP-12me'!AU97</f>
        <v>20.9183588471211</v>
      </c>
      <c r="M87" s="139">
        <f>'[17]Rev_SP-12me'!AW97</f>
        <v>0</v>
      </c>
      <c r="N87" s="153">
        <f t="shared" si="2"/>
        <v>20.9183588471211</v>
      </c>
      <c r="P87" s="153">
        <f>SUM(N120,N174,N219)</f>
        <v>8.84673086</v>
      </c>
      <c r="Q87" s="195" t="s">
        <v>1178</v>
      </c>
    </row>
    <row r="88" ht="28.5" spans="2:17">
      <c r="B88" s="156" t="s">
        <v>1117</v>
      </c>
      <c r="C88" s="55"/>
      <c r="D88" s="53">
        <f>'[18]Rev_SP-12me'!AJ98</f>
        <v>0</v>
      </c>
      <c r="E88" s="53">
        <f>'[18]Rev_SP-12me'!AL98</f>
        <v>0</v>
      </c>
      <c r="F88" s="53">
        <f>'[18]Rev_SP-12me'!AQ98</f>
        <v>45.212608625349</v>
      </c>
      <c r="G88" s="174">
        <f>'[18]Rev_SP-12me'!O98</f>
        <v>0</v>
      </c>
      <c r="H88" s="185">
        <f>'[18]Rev_SP-12me'!P98</f>
        <v>6.15</v>
      </c>
      <c r="I88" s="174">
        <f>'[18]Rev_SP-12me'!AA98</f>
        <v>2000</v>
      </c>
      <c r="J88" s="55"/>
      <c r="K88" s="139">
        <f>'[17]Rev_SP-12me'!AT98</f>
        <v>0</v>
      </c>
      <c r="L88" s="139">
        <f>'[17]Rev_SP-12me'!AU98</f>
        <v>29.4053890856938</v>
      </c>
      <c r="M88" s="139">
        <f>'[17]Rev_SP-12me'!AW98</f>
        <v>0</v>
      </c>
      <c r="N88" s="153">
        <f t="shared" si="2"/>
        <v>29.4053890856938</v>
      </c>
      <c r="P88" s="153">
        <f>SUM(N122)</f>
        <v>1.44808972</v>
      </c>
      <c r="Q88" s="195" t="s">
        <v>1179</v>
      </c>
    </row>
    <row r="89" ht="22.35" customHeight="1" spans="2:14">
      <c r="B89" s="151" t="s">
        <v>1118</v>
      </c>
      <c r="C89" s="55"/>
      <c r="D89" s="48">
        <f>'[18]Rev_SP-12me'!AJ100</f>
        <v>0</v>
      </c>
      <c r="E89" s="48">
        <f>'[18]Rev_SP-12me'!AL100</f>
        <v>0</v>
      </c>
      <c r="F89" s="48">
        <f>'[18]Rev_SP-12me'!AQ100</f>
        <v>49.0509976369957</v>
      </c>
      <c r="G89" s="150">
        <f>'[18]Rev_SP-12me'!O100</f>
        <v>0</v>
      </c>
      <c r="H89" s="137">
        <f>'[18]Rev_SP-12me'!P100</f>
        <v>0</v>
      </c>
      <c r="I89" s="150">
        <f>'[18]Rev_SP-12me'!AA100</f>
        <v>8000</v>
      </c>
      <c r="J89" s="55"/>
      <c r="K89" s="136">
        <f>'[17]Rev_SP-12me'!AT100</f>
        <v>6.70945383732131</v>
      </c>
      <c r="L89" s="136">
        <f>'[17]Rev_SP-12me'!AU100</f>
        <v>39.4155915876943</v>
      </c>
      <c r="M89" s="136">
        <f>'[17]Rev_SP-12me'!AW100</f>
        <v>0</v>
      </c>
      <c r="N89" s="150">
        <f t="shared" si="2"/>
        <v>46.1250454250156</v>
      </c>
    </row>
    <row r="90" ht="18.6" customHeight="1" spans="2:14">
      <c r="B90" s="154" t="s">
        <v>1119</v>
      </c>
      <c r="C90" s="55"/>
      <c r="D90" s="53">
        <f>'[18]Rev_SP-12me'!AJ101</f>
        <v>0</v>
      </c>
      <c r="E90" s="53">
        <f>'[18]Rev_SP-12me'!AL101</f>
        <v>0</v>
      </c>
      <c r="F90" s="53">
        <f>'[18]Rev_SP-12me'!AQ101</f>
        <v>17.8499657452963</v>
      </c>
      <c r="G90" s="174">
        <f>'[18]Rev_SP-12me'!O101</f>
        <v>500</v>
      </c>
      <c r="H90" s="185">
        <f>'[18]Rev_SP-12me'!P101</f>
        <v>7.65</v>
      </c>
      <c r="I90" s="174">
        <f>'[18]Rev_SP-12me'!AA101</f>
        <v>2000</v>
      </c>
      <c r="J90" s="55"/>
      <c r="K90" s="139">
        <f>'[17]Rev_SP-12me'!AT101</f>
        <v>6.70945383732131</v>
      </c>
      <c r="L90" s="139">
        <f>'[17]Rev_SP-12me'!AU101</f>
        <v>14.2358148500325</v>
      </c>
      <c r="M90" s="139">
        <f>'[17]Rev_SP-12me'!AW101</f>
        <v>0</v>
      </c>
      <c r="N90" s="153">
        <f t="shared" si="2"/>
        <v>20.9452686873538</v>
      </c>
    </row>
    <row r="91" ht="23.45" customHeight="1" spans="2:14">
      <c r="B91" s="154" t="s">
        <v>1120</v>
      </c>
      <c r="C91" s="55"/>
      <c r="D91" s="53">
        <f>'[18]Rev_SP-12me'!AJ102</f>
        <v>0</v>
      </c>
      <c r="E91" s="53">
        <f>'[18]Rev_SP-12me'!AL102</f>
        <v>0</v>
      </c>
      <c r="F91" s="53">
        <f>'[18]Rev_SP-12me'!AQ102</f>
        <v>8.43161457454638</v>
      </c>
      <c r="G91" s="174">
        <f>'[18]Rev_SP-12me'!O102</f>
        <v>0</v>
      </c>
      <c r="H91" s="185">
        <f>'[18]Rev_SP-12me'!P102</f>
        <v>8.65</v>
      </c>
      <c r="I91" s="174">
        <f>'[18]Rev_SP-12me'!AA102</f>
        <v>2000</v>
      </c>
      <c r="J91" s="55"/>
      <c r="K91" s="139">
        <f>'[17]Rev_SP-12me'!AT102</f>
        <v>0</v>
      </c>
      <c r="L91" s="139">
        <f>'[17]Rev_SP-12me'!AU102</f>
        <v>7.04117476129631</v>
      </c>
      <c r="M91" s="139">
        <f>'[17]Rev_SP-12me'!AW102</f>
        <v>0</v>
      </c>
      <c r="N91" s="153">
        <f t="shared" si="2"/>
        <v>7.04117476129631</v>
      </c>
    </row>
    <row r="92" spans="2:14">
      <c r="B92" s="154" t="s">
        <v>1121</v>
      </c>
      <c r="C92" s="55"/>
      <c r="D92" s="53">
        <f>'[18]Rev_SP-12me'!AJ103</f>
        <v>0</v>
      </c>
      <c r="E92" s="53">
        <f>'[18]Rev_SP-12me'!AL103</f>
        <v>0</v>
      </c>
      <c r="F92" s="53">
        <f>'[18]Rev_SP-12me'!AQ103</f>
        <v>8.55107558474793</v>
      </c>
      <c r="G92" s="174">
        <f>'[18]Rev_SP-12me'!O103</f>
        <v>0</v>
      </c>
      <c r="H92" s="185">
        <f>'[18]Rev_SP-12me'!P103</f>
        <v>8.65</v>
      </c>
      <c r="I92" s="174">
        <f>'[18]Rev_SP-12me'!AA103</f>
        <v>2000</v>
      </c>
      <c r="J92" s="55"/>
      <c r="K92" s="139">
        <f>'[17]Rev_SP-12me'!AT103</f>
        <v>0</v>
      </c>
      <c r="L92" s="139">
        <f>'[17]Rev_SP-12me'!AU103</f>
        <v>8.34450315328867</v>
      </c>
      <c r="M92" s="139">
        <f>'[17]Rev_SP-12me'!AW103</f>
        <v>0</v>
      </c>
      <c r="N92" s="153">
        <f t="shared" si="2"/>
        <v>8.34450315328867</v>
      </c>
    </row>
    <row r="93" spans="2:14">
      <c r="B93" s="154" t="s">
        <v>1122</v>
      </c>
      <c r="C93" s="55"/>
      <c r="D93" s="53">
        <f>'[18]Rev_SP-12me'!AJ104</f>
        <v>0</v>
      </c>
      <c r="E93" s="53">
        <f>'[18]Rev_SP-12me'!AL104</f>
        <v>0</v>
      </c>
      <c r="F93" s="53">
        <f>'[18]Rev_SP-12me'!AQ104</f>
        <v>14.2183417324051</v>
      </c>
      <c r="G93" s="174">
        <f>'[18]Rev_SP-12me'!O104</f>
        <v>0</v>
      </c>
      <c r="H93" s="185">
        <f>'[18]Rev_SP-12me'!P104</f>
        <v>6.15</v>
      </c>
      <c r="I93" s="174">
        <f>'[18]Rev_SP-12me'!AA104</f>
        <v>2000</v>
      </c>
      <c r="J93" s="55"/>
      <c r="K93" s="139">
        <f>'[17]Rev_SP-12me'!AT104</f>
        <v>0</v>
      </c>
      <c r="L93" s="139">
        <f>'[17]Rev_SP-12me'!AU104</f>
        <v>9.79409882307684</v>
      </c>
      <c r="M93" s="139">
        <f>'[17]Rev_SP-12me'!AW104</f>
        <v>0</v>
      </c>
      <c r="N93" s="153">
        <f t="shared" si="2"/>
        <v>9.79409882307684</v>
      </c>
    </row>
    <row r="94" ht="15" spans="2:14">
      <c r="B94" s="151" t="s">
        <v>1123</v>
      </c>
      <c r="C94" s="55"/>
      <c r="D94" s="48">
        <f>'[18]Rev_SP-12me'!AJ99</f>
        <v>0</v>
      </c>
      <c r="E94" s="48">
        <f>'[18]Rev_SP-12me'!AL99</f>
        <v>0</v>
      </c>
      <c r="F94" s="48">
        <f>'[18]Rev_SP-12me'!AQ99</f>
        <v>0.5403905124</v>
      </c>
      <c r="G94" s="150">
        <f>'[18]Rev_SP-12me'!O99</f>
        <v>500</v>
      </c>
      <c r="H94" s="137">
        <f>'[18]Rev_SP-12me'!P99</f>
        <v>7.65</v>
      </c>
      <c r="I94" s="150">
        <f>'[18]Rev_SP-12me'!AA99</f>
        <v>2000</v>
      </c>
      <c r="J94" s="55"/>
      <c r="K94" s="136">
        <f>'[17]Rev_SP-12me'!AT99</f>
        <v>0</v>
      </c>
      <c r="L94" s="136">
        <f>'[17]Rev_SP-12me'!AU99</f>
        <v>0.2050651809</v>
      </c>
      <c r="M94" s="136">
        <f>'[17]Rev_SP-12me'!AW99</f>
        <v>0.0024</v>
      </c>
      <c r="N94" s="150">
        <f t="shared" si="2"/>
        <v>0.2074651809</v>
      </c>
    </row>
    <row r="95" ht="15" spans="2:14">
      <c r="B95" s="151" t="s">
        <v>1124</v>
      </c>
      <c r="C95" s="55"/>
      <c r="D95" s="48">
        <f>'[18]Rev_SP-12me'!AJ105</f>
        <v>5386</v>
      </c>
      <c r="E95" s="48">
        <f>'[18]Rev_SP-12me'!AL105</f>
        <v>1029.11902177311</v>
      </c>
      <c r="F95" s="48">
        <f>'[18]Rev_SP-12me'!AQ105</f>
        <v>2574.01348848237</v>
      </c>
      <c r="G95" s="150">
        <f>'[18]Rev_SP-12me'!O105</f>
        <v>0</v>
      </c>
      <c r="H95" s="137">
        <f>'[18]Rev_SP-12me'!P105</f>
        <v>0</v>
      </c>
      <c r="I95" s="150">
        <f>'[18]Rev_SP-12me'!AA105</f>
        <v>0</v>
      </c>
      <c r="J95" s="55"/>
      <c r="K95" s="136">
        <f>'[17]Rev_SP-12me'!AT105</f>
        <v>495.659523399504</v>
      </c>
      <c r="L95" s="136">
        <f>'[17]Rev_SP-12me'!AU105</f>
        <v>2270.4479160131</v>
      </c>
      <c r="M95" s="136">
        <f>'[17]Rev_SP-12me'!AW105</f>
        <v>11.4456257860213</v>
      </c>
      <c r="N95" s="150">
        <f t="shared" si="2"/>
        <v>2777.55306519863</v>
      </c>
    </row>
    <row r="96" spans="2:14">
      <c r="B96" s="154" t="s">
        <v>1119</v>
      </c>
      <c r="C96" s="55"/>
      <c r="D96" s="53">
        <f>'[18]Rev_SP-12me'!AJ106</f>
        <v>5386</v>
      </c>
      <c r="E96" s="53">
        <f>'[18]Rev_SP-12me'!AL106</f>
        <v>1029.11902177311</v>
      </c>
      <c r="F96" s="53">
        <f>'[18]Rev_SP-12me'!AQ106</f>
        <v>1100.14393404996</v>
      </c>
      <c r="G96" s="174">
        <f>'[18]Rev_SP-12me'!O106</f>
        <v>500</v>
      </c>
      <c r="H96" s="185">
        <f>'[18]Rev_SP-12me'!P106</f>
        <v>8.8</v>
      </c>
      <c r="I96" s="174">
        <f>'[18]Rev_SP-12me'!AA106</f>
        <v>2000</v>
      </c>
      <c r="J96" s="55"/>
      <c r="K96" s="139">
        <f>'[17]Rev_SP-12me'!AT106</f>
        <v>495.659523399504</v>
      </c>
      <c r="L96" s="139">
        <f>'[17]Rev_SP-12me'!AU106</f>
        <v>952.41336748661</v>
      </c>
      <c r="M96" s="139">
        <f>'[17]Rev_SP-12me'!AW106</f>
        <v>11.4456257860213</v>
      </c>
      <c r="N96" s="153">
        <f t="shared" si="2"/>
        <v>1459.51851667214</v>
      </c>
    </row>
    <row r="97" spans="2:14">
      <c r="B97" s="154" t="s">
        <v>1120</v>
      </c>
      <c r="C97" s="55"/>
      <c r="D97" s="53">
        <f>'[18]Rev_SP-12me'!AJ107</f>
        <v>0</v>
      </c>
      <c r="E97" s="53">
        <f>'[18]Rev_SP-12me'!AL107</f>
        <v>0</v>
      </c>
      <c r="F97" s="53">
        <f>'[18]Rev_SP-12me'!AQ107</f>
        <v>431.177507691291</v>
      </c>
      <c r="G97" s="174">
        <f>'[18]Rev_SP-12me'!O107</f>
        <v>0</v>
      </c>
      <c r="H97" s="185">
        <f>'[18]Rev_SP-12me'!P107</f>
        <v>9.8</v>
      </c>
      <c r="I97" s="174">
        <f>'[18]Rev_SP-12me'!AA107</f>
        <v>2000</v>
      </c>
      <c r="J97" s="55"/>
      <c r="K97" s="139">
        <f>'[17]Rev_SP-12me'!AT107</f>
        <v>0</v>
      </c>
      <c r="L97" s="139">
        <f>'[17]Rev_SP-12me'!AU107</f>
        <v>496.793507581786</v>
      </c>
      <c r="M97" s="139">
        <f>'[17]Rev_SP-12me'!AW107</f>
        <v>0</v>
      </c>
      <c r="N97" s="153">
        <f t="shared" si="2"/>
        <v>496.793507581786</v>
      </c>
    </row>
    <row r="98" spans="2:14">
      <c r="B98" s="154" t="s">
        <v>1121</v>
      </c>
      <c r="C98" s="55"/>
      <c r="D98" s="53">
        <f>'[18]Rev_SP-12me'!AJ108</f>
        <v>0</v>
      </c>
      <c r="E98" s="53">
        <f>'[18]Rev_SP-12me'!AL108</f>
        <v>0</v>
      </c>
      <c r="F98" s="53">
        <f>'[18]Rev_SP-12me'!AQ108</f>
        <v>436.536329711515</v>
      </c>
      <c r="G98" s="174">
        <f>'[18]Rev_SP-12me'!O108</f>
        <v>0</v>
      </c>
      <c r="H98" s="185">
        <f>'[18]Rev_SP-12me'!P108</f>
        <v>9.8</v>
      </c>
      <c r="I98" s="174">
        <f>'[18]Rev_SP-12me'!AA108</f>
        <v>2000</v>
      </c>
      <c r="J98" s="55"/>
      <c r="K98" s="139">
        <f>'[17]Rev_SP-12me'!AT108</f>
        <v>0</v>
      </c>
      <c r="L98" s="139">
        <f>'[17]Rev_SP-12me'!AU108</f>
        <v>347.487583837643</v>
      </c>
      <c r="M98" s="139">
        <f>'[17]Rev_SP-12me'!AW108</f>
        <v>0</v>
      </c>
      <c r="N98" s="153">
        <f t="shared" si="2"/>
        <v>347.487583837643</v>
      </c>
    </row>
    <row r="99" spans="2:14">
      <c r="B99" s="154" t="s">
        <v>1122</v>
      </c>
      <c r="C99" s="55"/>
      <c r="D99" s="53">
        <f>'[18]Rev_SP-12me'!AJ109</f>
        <v>0</v>
      </c>
      <c r="E99" s="53">
        <f>'[18]Rev_SP-12me'!AL109</f>
        <v>0</v>
      </c>
      <c r="F99" s="53">
        <f>'[18]Rev_SP-12me'!AQ109</f>
        <v>606.155717029601</v>
      </c>
      <c r="G99" s="174">
        <f>'[18]Rev_SP-12me'!O109</f>
        <v>0</v>
      </c>
      <c r="H99" s="185">
        <f>'[18]Rev_SP-12me'!P109</f>
        <v>7.3</v>
      </c>
      <c r="I99" s="174">
        <f>'[18]Rev_SP-12me'!AA109</f>
        <v>2000</v>
      </c>
      <c r="J99" s="55"/>
      <c r="K99" s="139">
        <f>'[17]Rev_SP-12me'!AT109</f>
        <v>0</v>
      </c>
      <c r="L99" s="139">
        <f>'[17]Rev_SP-12me'!AU109</f>
        <v>473.753457107065</v>
      </c>
      <c r="M99" s="139">
        <f>'[17]Rev_SP-12me'!AW109</f>
        <v>0</v>
      </c>
      <c r="N99" s="153">
        <f t="shared" si="2"/>
        <v>473.753457107065</v>
      </c>
    </row>
    <row r="100" ht="15" spans="2:14">
      <c r="B100" s="151" t="s">
        <v>1125</v>
      </c>
      <c r="C100" s="55"/>
      <c r="D100" s="48">
        <f>'[18]Rev_SP-12me'!AJ110</f>
        <v>0</v>
      </c>
      <c r="E100" s="48">
        <f>'[18]Rev_SP-12me'!AL110</f>
        <v>0</v>
      </c>
      <c r="F100" s="48">
        <f>'[18]Rev_SP-12me'!AQ110</f>
        <v>0.461284863244088</v>
      </c>
      <c r="G100" s="150">
        <f>'[18]Rev_SP-12me'!O110</f>
        <v>0</v>
      </c>
      <c r="H100" s="137">
        <f>'[18]Rev_SP-12me'!P110</f>
        <v>0</v>
      </c>
      <c r="I100" s="150">
        <f>'[18]Rev_SP-12me'!AA110</f>
        <v>8000</v>
      </c>
      <c r="J100" s="55"/>
      <c r="K100" s="136">
        <f>'[17]Rev_SP-12me'!AT110</f>
        <v>0</v>
      </c>
      <c r="L100" s="136">
        <f>'[17]Rev_SP-12me'!AU110</f>
        <v>0.171413652</v>
      </c>
      <c r="M100" s="136">
        <f>'[17]Rev_SP-12me'!AW110</f>
        <v>0.0048</v>
      </c>
      <c r="N100" s="150">
        <f t="shared" si="2"/>
        <v>0.176213652</v>
      </c>
    </row>
    <row r="101" spans="2:14">
      <c r="B101" s="154" t="s">
        <v>1119</v>
      </c>
      <c r="C101" s="55"/>
      <c r="D101" s="53">
        <f>'[18]Rev_SP-12me'!AJ111</f>
        <v>0</v>
      </c>
      <c r="E101" s="53">
        <f>'[18]Rev_SP-12me'!AL111</f>
        <v>0</v>
      </c>
      <c r="F101" s="53">
        <f>'[18]Rev_SP-12me'!AQ111</f>
        <v>0.120812111999383</v>
      </c>
      <c r="G101" s="174">
        <f>'[18]Rev_SP-12me'!O111</f>
        <v>285</v>
      </c>
      <c r="H101" s="185">
        <f>'[18]Rev_SP-12me'!P111</f>
        <v>5</v>
      </c>
      <c r="I101" s="174">
        <f>'[18]Rev_SP-12me'!AA111</f>
        <v>2000</v>
      </c>
      <c r="J101" s="55"/>
      <c r="K101" s="139">
        <f>'[17]Rev_SP-12me'!AT111</f>
        <v>0</v>
      </c>
      <c r="L101" s="139">
        <f>'[17]Rev_SP-12me'!AU111</f>
        <v>0.04484124</v>
      </c>
      <c r="M101" s="139">
        <f>'[17]Rev_SP-12me'!AW111</f>
        <v>0.0048</v>
      </c>
      <c r="N101" s="153">
        <f t="shared" si="2"/>
        <v>0.04964124</v>
      </c>
    </row>
    <row r="102" spans="2:14">
      <c r="B102" s="154" t="s">
        <v>1120</v>
      </c>
      <c r="C102" s="55"/>
      <c r="D102" s="53">
        <f>'[18]Rev_SP-12me'!AJ112</f>
        <v>0</v>
      </c>
      <c r="E102" s="53">
        <f>'[18]Rev_SP-12me'!AL112</f>
        <v>0</v>
      </c>
      <c r="F102" s="53">
        <f>'[18]Rev_SP-12me'!AQ112</f>
        <v>0.0806635734427484</v>
      </c>
      <c r="G102" s="174">
        <f>'[18]Rev_SP-12me'!O112</f>
        <v>0</v>
      </c>
      <c r="H102" s="185">
        <f>'[18]Rev_SP-12me'!P112</f>
        <v>6</v>
      </c>
      <c r="I102" s="174">
        <f>'[18]Rev_SP-12me'!AA112</f>
        <v>2000</v>
      </c>
      <c r="J102" s="55"/>
      <c r="K102" s="139">
        <f>'[17]Rev_SP-12me'!AT112</f>
        <v>0</v>
      </c>
      <c r="L102" s="139">
        <f>'[17]Rev_SP-12me'!AU112</f>
        <v>0.03908844</v>
      </c>
      <c r="M102" s="139">
        <f>'[17]Rev_SP-12me'!AW112</f>
        <v>0</v>
      </c>
      <c r="N102" s="153">
        <f t="shared" si="2"/>
        <v>0.03908844</v>
      </c>
    </row>
    <row r="103" spans="2:14">
      <c r="B103" s="154" t="s">
        <v>1121</v>
      </c>
      <c r="C103" s="55"/>
      <c r="D103" s="53">
        <f>'[18]Rev_SP-12me'!AJ113</f>
        <v>0</v>
      </c>
      <c r="E103" s="53">
        <f>'[18]Rev_SP-12me'!AL113</f>
        <v>0</v>
      </c>
      <c r="F103" s="53">
        <f>'[18]Rev_SP-12me'!AQ113</f>
        <v>0.0845551703962835</v>
      </c>
      <c r="G103" s="174">
        <f>'[18]Rev_SP-12me'!O113</f>
        <v>0</v>
      </c>
      <c r="H103" s="185">
        <f>'[18]Rev_SP-12me'!P113</f>
        <v>6</v>
      </c>
      <c r="I103" s="174">
        <f>'[18]Rev_SP-12me'!AA113</f>
        <v>2000</v>
      </c>
      <c r="J103" s="55"/>
      <c r="K103" s="139">
        <f>'[17]Rev_SP-12me'!AT113</f>
        <v>0</v>
      </c>
      <c r="L103" s="139">
        <f>'[17]Rev_SP-12me'!AU113</f>
        <v>0.035381556</v>
      </c>
      <c r="M103" s="139">
        <f>'[17]Rev_SP-12me'!AW113</f>
        <v>0</v>
      </c>
      <c r="N103" s="153">
        <f t="shared" si="2"/>
        <v>0.035381556</v>
      </c>
    </row>
    <row r="104" spans="2:14">
      <c r="B104" s="154" t="s">
        <v>1122</v>
      </c>
      <c r="C104" s="55"/>
      <c r="D104" s="53">
        <f>'[18]Rev_SP-12me'!AJ114</f>
        <v>0</v>
      </c>
      <c r="E104" s="53">
        <f>'[18]Rev_SP-12me'!AL114</f>
        <v>0</v>
      </c>
      <c r="F104" s="53">
        <f>'[18]Rev_SP-12me'!AQ114</f>
        <v>0.175254007405673</v>
      </c>
      <c r="G104" s="174">
        <f>'[18]Rev_SP-12me'!O114</f>
        <v>0</v>
      </c>
      <c r="H104" s="185">
        <f>'[18]Rev_SP-12me'!P114</f>
        <v>3.5</v>
      </c>
      <c r="I104" s="174">
        <f>'[18]Rev_SP-12me'!AA114</f>
        <v>2000</v>
      </c>
      <c r="J104" s="55"/>
      <c r="K104" s="139">
        <f>'[17]Rev_SP-12me'!AT114</f>
        <v>0</v>
      </c>
      <c r="L104" s="139">
        <f>'[17]Rev_SP-12me'!AU114</f>
        <v>0.052102416</v>
      </c>
      <c r="M104" s="139">
        <f>'[17]Rev_SP-12me'!AW114</f>
        <v>0</v>
      </c>
      <c r="N104" s="153">
        <f t="shared" si="2"/>
        <v>0.052102416</v>
      </c>
    </row>
    <row r="105" ht="15" spans="2:14">
      <c r="B105" s="151" t="s">
        <v>1126</v>
      </c>
      <c r="C105" s="55"/>
      <c r="D105" s="48">
        <f>'[18]Rev_SP-12me'!AJ115</f>
        <v>14</v>
      </c>
      <c r="E105" s="48">
        <f>'[18]Rev_SP-12me'!AL115</f>
        <v>3.09676222963622</v>
      </c>
      <c r="F105" s="48">
        <f>'[18]Rev_SP-12me'!AQ115</f>
        <v>5.98000855702511</v>
      </c>
      <c r="G105" s="150">
        <f>'[18]Rev_SP-12me'!O115</f>
        <v>0</v>
      </c>
      <c r="H105" s="137">
        <f>'[18]Rev_SP-12me'!P115</f>
        <v>0</v>
      </c>
      <c r="I105" s="150">
        <f>'[18]Rev_SP-12me'!AA115</f>
        <v>0</v>
      </c>
      <c r="J105" s="55"/>
      <c r="K105" s="136">
        <f>'[17]Rev_SP-12me'!AT115</f>
        <v>0.639864406779661</v>
      </c>
      <c r="L105" s="136">
        <f>'[17]Rev_SP-12me'!AU115</f>
        <v>4.0912429488117</v>
      </c>
      <c r="M105" s="136">
        <f>'[17]Rev_SP-12me'!AW115</f>
        <v>0.0299</v>
      </c>
      <c r="N105" s="150">
        <f t="shared" si="2"/>
        <v>4.76100735559136</v>
      </c>
    </row>
    <row r="106" spans="2:14">
      <c r="B106" s="154" t="s">
        <v>1119</v>
      </c>
      <c r="C106" s="55"/>
      <c r="D106" s="53">
        <f>'[18]Rev_SP-12me'!AJ116</f>
        <v>14</v>
      </c>
      <c r="E106" s="53">
        <f>'[18]Rev_SP-12me'!AL116</f>
        <v>3.09676222963622</v>
      </c>
      <c r="F106" s="53">
        <f>'[18]Rev_SP-12me'!AQ116</f>
        <v>1.58563939801617</v>
      </c>
      <c r="G106" s="174">
        <f>'[18]Rev_SP-12me'!O116</f>
        <v>500</v>
      </c>
      <c r="H106" s="185">
        <f>'[18]Rev_SP-12me'!P116</f>
        <v>8.5</v>
      </c>
      <c r="I106" s="174">
        <f>'[18]Rev_SP-12me'!AA116</f>
        <v>2000</v>
      </c>
      <c r="J106" s="55"/>
      <c r="K106" s="139">
        <f>'[17]Rev_SP-12me'!AT116</f>
        <v>0.639864406779661</v>
      </c>
      <c r="L106" s="139">
        <f>'[17]Rev_SP-12me'!AU116</f>
        <v>1.01777367963422</v>
      </c>
      <c r="M106" s="139">
        <f>'[17]Rev_SP-12me'!AW116</f>
        <v>0.0299</v>
      </c>
      <c r="N106" s="153">
        <f t="shared" ref="N106:N124" si="3">SUM(K106:M106)</f>
        <v>1.68753808641388</v>
      </c>
    </row>
    <row r="107" spans="2:14">
      <c r="B107" s="154" t="s">
        <v>1120</v>
      </c>
      <c r="C107" s="55"/>
      <c r="D107" s="53">
        <f>'[18]Rev_SP-12me'!AJ117</f>
        <v>0</v>
      </c>
      <c r="E107" s="53">
        <f>'[18]Rev_SP-12me'!AL117</f>
        <v>0</v>
      </c>
      <c r="F107" s="53">
        <f>'[18]Rev_SP-12me'!AQ117</f>
        <v>1.05840909157171</v>
      </c>
      <c r="G107" s="174">
        <f>'[18]Rev_SP-12me'!O117</f>
        <v>0</v>
      </c>
      <c r="H107" s="185">
        <f>'[18]Rev_SP-12me'!P117</f>
        <v>9.5</v>
      </c>
      <c r="I107" s="174">
        <f>'[18]Rev_SP-12me'!AA117</f>
        <v>2000</v>
      </c>
      <c r="J107" s="55"/>
      <c r="K107" s="139">
        <f>'[17]Rev_SP-12me'!AT117</f>
        <v>0</v>
      </c>
      <c r="L107" s="139">
        <f>'[17]Rev_SP-12me'!AU117</f>
        <v>1.09708175165062</v>
      </c>
      <c r="M107" s="139">
        <f>'[17]Rev_SP-12me'!AW117</f>
        <v>0</v>
      </c>
      <c r="N107" s="153">
        <f t="shared" si="3"/>
        <v>1.09708175165062</v>
      </c>
    </row>
    <row r="108" spans="2:14">
      <c r="B108" s="154" t="s">
        <v>1121</v>
      </c>
      <c r="C108" s="55"/>
      <c r="D108" s="53">
        <f>'[18]Rev_SP-12me'!AJ118</f>
        <v>0</v>
      </c>
      <c r="E108" s="53">
        <f>'[18]Rev_SP-12me'!AL118</f>
        <v>0</v>
      </c>
      <c r="F108" s="53">
        <f>'[18]Rev_SP-12me'!AQ118</f>
        <v>1.04288312072663</v>
      </c>
      <c r="G108" s="174">
        <f>'[18]Rev_SP-12me'!O118</f>
        <v>0</v>
      </c>
      <c r="H108" s="185">
        <f>'[18]Rev_SP-12me'!P118</f>
        <v>9.5</v>
      </c>
      <c r="I108" s="174">
        <f>'[18]Rev_SP-12me'!AA118</f>
        <v>2000</v>
      </c>
      <c r="J108" s="55"/>
      <c r="K108" s="139">
        <f>'[17]Rev_SP-12me'!AT118</f>
        <v>0</v>
      </c>
      <c r="L108" s="139">
        <f>'[17]Rev_SP-12me'!AU118</f>
        <v>0.570452712815055</v>
      </c>
      <c r="M108" s="139">
        <f>'[17]Rev_SP-12me'!AW118</f>
        <v>0</v>
      </c>
      <c r="N108" s="153">
        <f t="shared" si="3"/>
        <v>0.570452712815055</v>
      </c>
    </row>
    <row r="109" spans="2:14">
      <c r="B109" s="154" t="s">
        <v>1122</v>
      </c>
      <c r="C109" s="55"/>
      <c r="D109" s="53">
        <f>'[18]Rev_SP-12me'!AJ119</f>
        <v>0</v>
      </c>
      <c r="E109" s="53">
        <f>'[18]Rev_SP-12me'!AL119</f>
        <v>0</v>
      </c>
      <c r="F109" s="53">
        <f>'[18]Rev_SP-12me'!AQ119</f>
        <v>2.29307694671059</v>
      </c>
      <c r="G109" s="174">
        <f>'[18]Rev_SP-12me'!O119</f>
        <v>0</v>
      </c>
      <c r="H109" s="185">
        <f>'[18]Rev_SP-12me'!P119</f>
        <v>7</v>
      </c>
      <c r="I109" s="174">
        <f>'[18]Rev_SP-12me'!AA119</f>
        <v>2000</v>
      </c>
      <c r="J109" s="55"/>
      <c r="K109" s="139">
        <f>'[17]Rev_SP-12me'!AT119</f>
        <v>0</v>
      </c>
      <c r="L109" s="139">
        <f>'[17]Rev_SP-12me'!AU119</f>
        <v>1.4059348047118</v>
      </c>
      <c r="M109" s="139">
        <f>'[17]Rev_SP-12me'!AW119</f>
        <v>0</v>
      </c>
      <c r="N109" s="153">
        <f t="shared" si="3"/>
        <v>1.4059348047118</v>
      </c>
    </row>
    <row r="110" ht="15" spans="2:14">
      <c r="B110" s="151" t="s">
        <v>1127</v>
      </c>
      <c r="C110" s="55"/>
      <c r="D110" s="48">
        <f>'[18]Rev_SP-12me'!AJ120</f>
        <v>139</v>
      </c>
      <c r="E110" s="48">
        <f>'[18]Rev_SP-12me'!AL120</f>
        <v>28.2849246927044</v>
      </c>
      <c r="F110" s="48">
        <f>'[18]Rev_SP-12me'!AQ120</f>
        <v>24.98962991965</v>
      </c>
      <c r="G110" s="150">
        <f>'[18]Rev_SP-12me'!O120</f>
        <v>0</v>
      </c>
      <c r="H110" s="137">
        <f>'[18]Rev_SP-12me'!P120</f>
        <v>0</v>
      </c>
      <c r="I110" s="150">
        <f>'[18]Rev_SP-12me'!AA120</f>
        <v>0</v>
      </c>
      <c r="J110" s="55"/>
      <c r="K110" s="136">
        <f>'[17]Rev_SP-12me'!AT120</f>
        <v>8.14514831104479</v>
      </c>
      <c r="L110" s="136">
        <f>'[17]Rev_SP-12me'!AU120</f>
        <v>11.2320899901</v>
      </c>
      <c r="M110" s="136">
        <f>'[17]Rev_SP-12me'!AW120</f>
        <v>0.312867567567568</v>
      </c>
      <c r="N110" s="150">
        <f t="shared" si="3"/>
        <v>19.6901058687124</v>
      </c>
    </row>
    <row r="111" spans="2:14">
      <c r="B111" s="154" t="s">
        <v>1128</v>
      </c>
      <c r="C111" s="55"/>
      <c r="D111" s="53">
        <f>'[18]Rev_SP-12me'!AJ121</f>
        <v>139</v>
      </c>
      <c r="E111" s="53">
        <f>'[18]Rev_SP-12me'!AL121</f>
        <v>28.2849246927044</v>
      </c>
      <c r="F111" s="53">
        <f>'[18]Rev_SP-12me'!AQ121</f>
        <v>24.98962991965</v>
      </c>
      <c r="G111" s="174">
        <f>'[18]Rev_SP-12me'!O121</f>
        <v>300</v>
      </c>
      <c r="H111" s="185">
        <f>'[18]Rev_SP-12me'!P121</f>
        <v>6.3</v>
      </c>
      <c r="I111" s="174">
        <f>'[18]Rev_SP-12me'!AA121</f>
        <v>2000</v>
      </c>
      <c r="J111" s="55"/>
      <c r="K111" s="139">
        <f>'[17]Rev_SP-12me'!AT121</f>
        <v>8.14514831104479</v>
      </c>
      <c r="L111" s="139">
        <f>'[17]Rev_SP-12me'!AU121</f>
        <v>11.2320899901</v>
      </c>
      <c r="M111" s="139">
        <f>'[17]Rev_SP-12me'!AW121</f>
        <v>0.312867567567568</v>
      </c>
      <c r="N111" s="153">
        <f t="shared" si="3"/>
        <v>19.6901058687124</v>
      </c>
    </row>
    <row r="112" ht="15" spans="2:14">
      <c r="B112" s="151" t="s">
        <v>1129</v>
      </c>
      <c r="C112" s="55"/>
      <c r="D112" s="48">
        <f>'[18]Rev_SP-12me'!AJ132</f>
        <v>123</v>
      </c>
      <c r="E112" s="48">
        <f>'[18]Rev_SP-12me'!AL132</f>
        <v>36.09984962745</v>
      </c>
      <c r="F112" s="48">
        <f>'[18]Rev_SP-12me'!AQ132</f>
        <v>138.018972117969</v>
      </c>
      <c r="G112" s="150">
        <f>'[18]Rev_SP-12me'!O132</f>
        <v>0</v>
      </c>
      <c r="H112" s="137">
        <f>'[18]Rev_SP-12me'!P132</f>
        <v>0</v>
      </c>
      <c r="I112" s="150">
        <f>'[18]Rev_SP-12me'!AA132</f>
        <v>0</v>
      </c>
      <c r="J112" s="55"/>
      <c r="K112" s="136">
        <f>'[17]Rev_SP-12me'!AT132</f>
        <v>0</v>
      </c>
      <c r="L112" s="136">
        <f>'[17]Rev_SP-12me'!AU132</f>
        <v>90.9225537227485</v>
      </c>
      <c r="M112" s="136">
        <f>'[17]Rev_SP-12me'!AW132</f>
        <v>0.2856</v>
      </c>
      <c r="N112" s="150">
        <f t="shared" si="3"/>
        <v>91.2081537227485</v>
      </c>
    </row>
    <row r="113" spans="2:14">
      <c r="B113" s="154" t="s">
        <v>220</v>
      </c>
      <c r="C113" s="55"/>
      <c r="D113" s="53">
        <f>'[18]Rev_SP-12me'!AJ133</f>
        <v>123</v>
      </c>
      <c r="E113" s="53">
        <f>'[18]Rev_SP-12me'!AL133</f>
        <v>36.09984962745</v>
      </c>
      <c r="F113" s="53">
        <f>'[18]Rev_SP-12me'!AQ133</f>
        <v>138.018972117969</v>
      </c>
      <c r="G113" s="174">
        <f>'[18]Rev_SP-12me'!O133</f>
        <v>0</v>
      </c>
      <c r="H113" s="185">
        <f>'[18]Rev_SP-12me'!P133</f>
        <v>6.1</v>
      </c>
      <c r="I113" s="174">
        <f>'[18]Rev_SP-12me'!AA133</f>
        <v>2000</v>
      </c>
      <c r="J113" s="55"/>
      <c r="K113" s="139">
        <f>'[17]Rev_SP-12me'!AT133</f>
        <v>0</v>
      </c>
      <c r="L113" s="139">
        <f>'[17]Rev_SP-12me'!AU133</f>
        <v>90.9225537227485</v>
      </c>
      <c r="M113" s="139">
        <f>'[17]Rev_SP-12me'!AW133</f>
        <v>0.2856</v>
      </c>
      <c r="N113" s="153">
        <f t="shared" si="3"/>
        <v>91.2081537227485</v>
      </c>
    </row>
    <row r="114" spans="2:14">
      <c r="B114" s="154" t="s">
        <v>1130</v>
      </c>
      <c r="C114" s="55"/>
      <c r="D114" s="53">
        <f>'[18]Rev_SP-12me'!AJ134</f>
        <v>0</v>
      </c>
      <c r="E114" s="53">
        <f>'[18]Rev_SP-12me'!AL134</f>
        <v>0</v>
      </c>
      <c r="F114" s="53">
        <f>'[18]Rev_SP-12me'!AQ134</f>
        <v>0</v>
      </c>
      <c r="G114" s="174">
        <f>'[18]Rev_SP-12me'!O134</f>
        <v>0</v>
      </c>
      <c r="H114" s="185">
        <f>'[18]Rev_SP-12me'!P134</f>
        <v>0</v>
      </c>
      <c r="I114" s="174">
        <f>'[18]Rev_SP-12me'!AA134</f>
        <v>2000</v>
      </c>
      <c r="J114" s="55"/>
      <c r="K114" s="139">
        <f>'[17]Rev_SP-12me'!AT134</f>
        <v>0</v>
      </c>
      <c r="L114" s="139">
        <f>'[17]Rev_SP-12me'!AU134</f>
        <v>0</v>
      </c>
      <c r="M114" s="139">
        <f>'[17]Rev_SP-12me'!AW134</f>
        <v>0</v>
      </c>
      <c r="N114" s="153">
        <f t="shared" si="3"/>
        <v>0</v>
      </c>
    </row>
    <row r="115" ht="15" spans="2:14">
      <c r="B115" s="151" t="s">
        <v>1131</v>
      </c>
      <c r="C115" s="55"/>
      <c r="D115" s="48">
        <f>'[18]Rev_SP-12me'!AJ122</f>
        <v>0</v>
      </c>
      <c r="E115" s="48">
        <f>'[18]Rev_SP-12me'!AL122</f>
        <v>0</v>
      </c>
      <c r="F115" s="48">
        <f>'[18]Rev_SP-12me'!AQ122</f>
        <v>0</v>
      </c>
      <c r="G115" s="150">
        <f>'[18]Rev_SP-12me'!O122</f>
        <v>500</v>
      </c>
      <c r="H115" s="137">
        <f>'[18]Rev_SP-12me'!P122</f>
        <v>5.05</v>
      </c>
      <c r="I115" s="150">
        <f>'[18]Rev_SP-12me'!AA122</f>
        <v>0</v>
      </c>
      <c r="J115" s="55"/>
      <c r="K115" s="136">
        <f>'[17]Rev_SP-12me'!AT122</f>
        <v>0</v>
      </c>
      <c r="L115" s="136">
        <f>'[17]Rev_SP-12me'!AU122</f>
        <v>0</v>
      </c>
      <c r="M115" s="136">
        <f>'[17]Rev_SP-12me'!AW122</f>
        <v>0</v>
      </c>
      <c r="N115" s="150">
        <f t="shared" si="3"/>
        <v>0</v>
      </c>
    </row>
    <row r="116" ht="15" spans="2:14">
      <c r="B116" s="151" t="s">
        <v>1132</v>
      </c>
      <c r="C116" s="55"/>
      <c r="D116" s="48">
        <f>'[18]Rev_SP-12me'!AJ123</f>
        <v>0</v>
      </c>
      <c r="E116" s="48">
        <f>'[18]Rev_SP-12me'!AL123</f>
        <v>0</v>
      </c>
      <c r="F116" s="48">
        <f>'[18]Rev_SP-12me'!AQ123</f>
        <v>0</v>
      </c>
      <c r="G116" s="150">
        <f>'[18]Rev_SP-12me'!O123</f>
        <v>500</v>
      </c>
      <c r="H116" s="137">
        <f>'[18]Rev_SP-12me'!P123</f>
        <v>4.95</v>
      </c>
      <c r="I116" s="150">
        <f>'[18]Rev_SP-12me'!AA123</f>
        <v>0</v>
      </c>
      <c r="J116" s="55"/>
      <c r="K116" s="136">
        <f>'[17]Rev_SP-12me'!AT123</f>
        <v>0</v>
      </c>
      <c r="L116" s="136">
        <f>'[17]Rev_SP-12me'!AU123</f>
        <v>0</v>
      </c>
      <c r="M116" s="136">
        <f>'[17]Rev_SP-12me'!AW123</f>
        <v>0</v>
      </c>
      <c r="N116" s="150">
        <f t="shared" si="3"/>
        <v>0</v>
      </c>
    </row>
    <row r="117" ht="15" spans="2:14">
      <c r="B117" s="151" t="s">
        <v>919</v>
      </c>
      <c r="C117" s="55"/>
      <c r="D117" s="48">
        <f>'[18]Rev_SP-12me'!AJ124</f>
        <v>237</v>
      </c>
      <c r="E117" s="48">
        <f>'[18]Rev_SP-12me'!AL124</f>
        <v>90.8951923481818</v>
      </c>
      <c r="F117" s="48">
        <f>'[18]Rev_SP-12me'!AQ124</f>
        <v>329.15660398209</v>
      </c>
      <c r="G117" s="150">
        <f>'[18]Rev_SP-12me'!O124</f>
        <v>285</v>
      </c>
      <c r="H117" s="137">
        <f>'[18]Rev_SP-12me'!P124</f>
        <v>7.3</v>
      </c>
      <c r="I117" s="150">
        <f>'[18]Rev_SP-12me'!AA124</f>
        <v>2000</v>
      </c>
      <c r="J117" s="55"/>
      <c r="K117" s="136">
        <f>'[17]Rev_SP-12me'!AT124</f>
        <v>24.4651310586177</v>
      </c>
      <c r="L117" s="136">
        <f>'[17]Rev_SP-12me'!AU124</f>
        <v>187.801715863045</v>
      </c>
      <c r="M117" s="136">
        <f>'[17]Rev_SP-12me'!AW124</f>
        <v>0.524511627906977</v>
      </c>
      <c r="N117" s="150">
        <f t="shared" si="3"/>
        <v>212.79135854957</v>
      </c>
    </row>
    <row r="118" ht="15" spans="2:14">
      <c r="B118" s="151" t="s">
        <v>1133</v>
      </c>
      <c r="C118" s="55"/>
      <c r="D118" s="48">
        <f>'[18]Rev_SP-12me'!AJ125</f>
        <v>656</v>
      </c>
      <c r="E118" s="48">
        <f>'[18]Rev_SP-12me'!AL125</f>
        <v>161.041086101677</v>
      </c>
      <c r="F118" s="48">
        <f>'[18]Rev_SP-12me'!AQ125</f>
        <v>271.726363747655</v>
      </c>
      <c r="G118" s="150">
        <f>'[18]Rev_SP-12me'!O125</f>
        <v>500</v>
      </c>
      <c r="H118" s="137">
        <f>'[18]Rev_SP-12me'!P125</f>
        <v>11.8</v>
      </c>
      <c r="I118" s="150">
        <f>'[18]Rev_SP-12me'!AA125</f>
        <v>2000</v>
      </c>
      <c r="J118" s="55"/>
      <c r="K118" s="136">
        <f>'[17]Rev_SP-12me'!AT125</f>
        <v>54.763990338969</v>
      </c>
      <c r="L118" s="136">
        <f>'[17]Rev_SP-12me'!AU125</f>
        <v>262.918096233138</v>
      </c>
      <c r="M118" s="136">
        <f>'[17]Rev_SP-12me'!AW125</f>
        <v>1.3502243902439</v>
      </c>
      <c r="N118" s="150">
        <f t="shared" si="3"/>
        <v>319.032310962351</v>
      </c>
    </row>
    <row r="119" ht="15" spans="2:14">
      <c r="B119" s="151" t="s">
        <v>1134</v>
      </c>
      <c r="C119" s="55"/>
      <c r="D119" s="48">
        <f>'[18]Rev_SP-12me'!AJ126</f>
        <v>0</v>
      </c>
      <c r="E119" s="48">
        <f>'[18]Rev_SP-12me'!AL126</f>
        <v>0</v>
      </c>
      <c r="F119" s="48">
        <f>'[18]Rev_SP-12me'!AQ126</f>
        <v>0</v>
      </c>
      <c r="G119" s="150">
        <f>'[18]Rev_SP-12me'!O126</f>
        <v>0</v>
      </c>
      <c r="H119" s="137">
        <f>'[18]Rev_SP-12me'!P126</f>
        <v>4.77</v>
      </c>
      <c r="I119" s="150">
        <f>'[18]Rev_SP-12me'!AA126</f>
        <v>2000</v>
      </c>
      <c r="J119" s="55"/>
      <c r="K119" s="136">
        <f>'[17]Rev_SP-12me'!AT126</f>
        <v>0</v>
      </c>
      <c r="L119" s="136">
        <f>'[17]Rev_SP-12me'!AU126</f>
        <v>0</v>
      </c>
      <c r="M119" s="136">
        <f>'[17]Rev_SP-12me'!AW126</f>
        <v>0</v>
      </c>
      <c r="N119" s="150">
        <f t="shared" si="3"/>
        <v>0</v>
      </c>
    </row>
    <row r="120" ht="15" spans="2:14">
      <c r="B120" s="151" t="s">
        <v>1135</v>
      </c>
      <c r="C120" s="55"/>
      <c r="D120" s="48">
        <f>'[18]Rev_SP-12me'!AJ127</f>
        <v>33</v>
      </c>
      <c r="E120" s="48">
        <f>'[18]Rev_SP-12me'!AL127</f>
        <v>12.2547840778932</v>
      </c>
      <c r="F120" s="48">
        <f>'[18]Rev_SP-12me'!AQ127</f>
        <v>71.3525124061748</v>
      </c>
      <c r="G120" s="150">
        <f>'[18]Rev_SP-12me'!O127</f>
        <v>0</v>
      </c>
      <c r="H120" s="137">
        <f>'[18]Rev_SP-12me'!P127</f>
        <v>0</v>
      </c>
      <c r="I120" s="150">
        <f>'[18]Rev_SP-12me'!AA127</f>
        <v>2000</v>
      </c>
      <c r="J120" s="55"/>
      <c r="K120" s="136">
        <f>'[17]Rev_SP-12me'!AT127</f>
        <v>0.9885456</v>
      </c>
      <c r="L120" s="136">
        <f>'[17]Rev_SP-12me'!AU127</f>
        <v>7.81636526</v>
      </c>
      <c r="M120" s="136">
        <f>'[17]Rev_SP-12me'!AW127</f>
        <v>0.04182</v>
      </c>
      <c r="N120" s="150">
        <f t="shared" si="3"/>
        <v>8.84673086</v>
      </c>
    </row>
    <row r="121" spans="2:14">
      <c r="B121" s="156" t="s">
        <v>1119</v>
      </c>
      <c r="C121" s="55"/>
      <c r="D121" s="53">
        <f>'[18]Rev_SP-12me'!AJ128</f>
        <v>33</v>
      </c>
      <c r="E121" s="53">
        <f>'[18]Rev_SP-12me'!AL128</f>
        <v>12.2547840778932</v>
      </c>
      <c r="F121" s="53">
        <f>'[18]Rev_SP-12me'!AQ128</f>
        <v>31.476681132031</v>
      </c>
      <c r="G121" s="174">
        <f>'[18]Rev_SP-12me'!O128</f>
        <v>100</v>
      </c>
      <c r="H121" s="185">
        <f>'[18]Rev_SP-12me'!P128</f>
        <v>6</v>
      </c>
      <c r="I121" s="174">
        <f>'[18]Rev_SP-12me'!AA128</f>
        <v>2000</v>
      </c>
      <c r="J121" s="55"/>
      <c r="K121" s="139">
        <f>'[17]Rev_SP-12me'!AT128</f>
        <v>0.9885456</v>
      </c>
      <c r="L121" s="139">
        <f>'[17]Rev_SP-12me'!AU128</f>
        <v>2.33532618</v>
      </c>
      <c r="M121" s="139">
        <f>'[17]Rev_SP-12me'!AW128</f>
        <v>0.04182</v>
      </c>
      <c r="N121" s="153">
        <f t="shared" si="3"/>
        <v>3.36569178</v>
      </c>
    </row>
    <row r="122" spans="2:14">
      <c r="B122" s="156" t="s">
        <v>1120</v>
      </c>
      <c r="C122" s="55"/>
      <c r="D122" s="53">
        <f>'[18]Rev_SP-12me'!AJ129</f>
        <v>0</v>
      </c>
      <c r="E122" s="53">
        <f>'[18]Rev_SP-12me'!AL129</f>
        <v>0</v>
      </c>
      <c r="F122" s="53">
        <f>'[18]Rev_SP-12me'!AQ129</f>
        <v>8.144482986054</v>
      </c>
      <c r="G122" s="174">
        <f>'[18]Rev_SP-12me'!O129</f>
        <v>0</v>
      </c>
      <c r="H122" s="185">
        <f>'[18]Rev_SP-12me'!P129</f>
        <v>7</v>
      </c>
      <c r="I122" s="174">
        <f>'[18]Rev_SP-12me'!AA129</f>
        <v>2000</v>
      </c>
      <c r="J122" s="55"/>
      <c r="K122" s="139">
        <f>'[17]Rev_SP-12me'!AT129</f>
        <v>0</v>
      </c>
      <c r="L122" s="139">
        <f>'[17]Rev_SP-12me'!AU129</f>
        <v>1.44808972</v>
      </c>
      <c r="M122" s="139">
        <f>'[17]Rev_SP-12me'!AW129</f>
        <v>0</v>
      </c>
      <c r="N122" s="153">
        <f t="shared" si="3"/>
        <v>1.44808972</v>
      </c>
    </row>
    <row r="123" spans="2:14">
      <c r="B123" s="156" t="s">
        <v>1121</v>
      </c>
      <c r="C123" s="55"/>
      <c r="D123" s="53">
        <f>'[18]Rev_SP-12me'!AJ130</f>
        <v>0</v>
      </c>
      <c r="E123" s="53">
        <f>'[18]Rev_SP-12me'!AL130</f>
        <v>0</v>
      </c>
      <c r="F123" s="53">
        <f>'[18]Rev_SP-12me'!AQ130</f>
        <v>8.11572882295136</v>
      </c>
      <c r="G123" s="174">
        <f>'[18]Rev_SP-12me'!O130</f>
        <v>0</v>
      </c>
      <c r="H123" s="185">
        <f>'[18]Rev_SP-12me'!P130</f>
        <v>7</v>
      </c>
      <c r="I123" s="174">
        <f>'[18]Rev_SP-12me'!AA130</f>
        <v>2000</v>
      </c>
      <c r="J123" s="55"/>
      <c r="K123" s="139">
        <f>'[17]Rev_SP-12me'!AT130</f>
        <v>0</v>
      </c>
      <c r="L123" s="139">
        <f>'[17]Rev_SP-12me'!AU130</f>
        <v>1.40512526</v>
      </c>
      <c r="M123" s="139">
        <f>'[17]Rev_SP-12me'!AW130</f>
        <v>0</v>
      </c>
      <c r="N123" s="153">
        <f t="shared" si="3"/>
        <v>1.40512526</v>
      </c>
    </row>
    <row r="124" spans="2:14">
      <c r="B124" s="156" t="s">
        <v>1122</v>
      </c>
      <c r="C124" s="55"/>
      <c r="D124" s="53">
        <f>'[18]Rev_SP-12me'!AJ131</f>
        <v>0</v>
      </c>
      <c r="E124" s="53">
        <f>'[18]Rev_SP-12me'!AL131</f>
        <v>0</v>
      </c>
      <c r="F124" s="53">
        <f>'[18]Rev_SP-12me'!AQ131</f>
        <v>23.6156194651384</v>
      </c>
      <c r="G124" s="174">
        <f>'[18]Rev_SP-12me'!O131</f>
        <v>0</v>
      </c>
      <c r="H124" s="185">
        <f>'[18]Rev_SP-12me'!P131</f>
        <v>4.5</v>
      </c>
      <c r="I124" s="174">
        <f>'[18]Rev_SP-12me'!AA131</f>
        <v>2000</v>
      </c>
      <c r="J124" s="55"/>
      <c r="K124" s="139">
        <f>'[17]Rev_SP-12me'!AT131</f>
        <v>0</v>
      </c>
      <c r="L124" s="139">
        <f>'[17]Rev_SP-12me'!AU131</f>
        <v>2.6278241</v>
      </c>
      <c r="M124" s="139">
        <f>'[17]Rev_SP-12me'!AW131</f>
        <v>0</v>
      </c>
      <c r="N124" s="153">
        <f t="shared" si="3"/>
        <v>2.6278241</v>
      </c>
    </row>
    <row r="125" ht="15" spans="2:14">
      <c r="B125" s="157" t="s">
        <v>1136</v>
      </c>
      <c r="C125" s="55"/>
      <c r="D125" s="78">
        <f>SUM(D74,D89,D94,D95,D100,D105,D110,D112,D115,D116,D117,D118,D119,D120)</f>
        <v>12784</v>
      </c>
      <c r="E125" s="78">
        <f>SUM(E74,E89,E94,E95,E100,E105,E110,E112,E115,E116,E117,E118,E119,E120)</f>
        <v>2977.71952060173</v>
      </c>
      <c r="F125" s="78">
        <f>SUM(F74,F89,F94,F95,F100,F105,F110,F112,F115,F116,F117,F118,F119,F120)</f>
        <v>8039.86897577117</v>
      </c>
      <c r="G125" s="198"/>
      <c r="H125" s="198"/>
      <c r="I125" s="198"/>
      <c r="J125" s="198"/>
      <c r="K125" s="148">
        <f t="shared" ref="K125:N125" si="4">SUM(K74,K89,K94,K95,K100,K105,K110,K112,K115,K116,K117,K118,K119,K120)</f>
        <v>1564.98613561826</v>
      </c>
      <c r="L125" s="148">
        <f t="shared" si="4"/>
        <v>6442.46364149006</v>
      </c>
      <c r="M125" s="148">
        <f t="shared" si="4"/>
        <v>28.3852817567877</v>
      </c>
      <c r="N125" s="149">
        <f t="shared" si="4"/>
        <v>8035.8350588651</v>
      </c>
    </row>
    <row r="126" spans="2:6">
      <c r="B126" s="55"/>
      <c r="C126" s="55"/>
      <c r="D126" s="1"/>
      <c r="E126" s="1"/>
      <c r="F126" s="1"/>
    </row>
    <row r="127" spans="2:14">
      <c r="B127" s="151" t="s">
        <v>212</v>
      </c>
      <c r="C127" s="55"/>
      <c r="D127" s="8"/>
      <c r="E127" s="8"/>
      <c r="F127" s="8"/>
      <c r="G127" s="55"/>
      <c r="H127" s="55"/>
      <c r="I127" s="55"/>
      <c r="J127" s="55"/>
      <c r="K127" s="55"/>
      <c r="L127" s="55"/>
      <c r="M127" s="55"/>
      <c r="N127" s="55"/>
    </row>
    <row r="128" ht="15" spans="2:14">
      <c r="B128" s="151" t="s">
        <v>1137</v>
      </c>
      <c r="C128" s="55"/>
      <c r="D128" s="48">
        <f>'[18]Rev_SP-12me'!AJ149</f>
        <v>483</v>
      </c>
      <c r="E128" s="48">
        <f>'[18]Rev_SP-12me'!AL149</f>
        <v>1291.2983748</v>
      </c>
      <c r="F128" s="48">
        <f>F129+F137</f>
        <v>7622.9899264973</v>
      </c>
      <c r="G128" s="150">
        <f>'[18]Rev_SP-12me'!O149</f>
        <v>0</v>
      </c>
      <c r="H128" s="137">
        <f>'[18]Rev_SP-12me'!P149</f>
        <v>0</v>
      </c>
      <c r="I128" s="150">
        <f>'[18]Rev_SP-12me'!AA149</f>
        <v>0</v>
      </c>
      <c r="J128" s="55"/>
      <c r="K128" s="136">
        <f>'[17]Rev_SP-12me'!AT149</f>
        <v>718.049311105433</v>
      </c>
      <c r="L128" s="136">
        <f>'[17]Rev_SP-12me'!AU149</f>
        <v>4871.36543912948</v>
      </c>
      <c r="M128" s="136">
        <f>'[17]Rev_SP-12me'!AW149</f>
        <v>1.77932173337744</v>
      </c>
      <c r="N128" s="158">
        <f t="shared" ref="N128:N172" si="5">SUM(K128:M128)</f>
        <v>5591.19407196829</v>
      </c>
    </row>
    <row r="129" spans="2:14">
      <c r="B129" s="159" t="s">
        <v>1138</v>
      </c>
      <c r="C129" s="55"/>
      <c r="D129" s="51">
        <f>'[18]Rev_SP-12me'!AJ150</f>
        <v>483</v>
      </c>
      <c r="E129" s="51">
        <f>'[18]Rev_SP-12me'!AL150</f>
        <v>1291.2983748</v>
      </c>
      <c r="F129" s="51">
        <f>'[18]Rev_SP-12me'!AQ150</f>
        <v>7592.24610801615</v>
      </c>
      <c r="G129" s="153">
        <f>'[18]Rev_SP-12me'!O150</f>
        <v>0</v>
      </c>
      <c r="H129" s="101">
        <f>'[18]Rev_SP-12me'!P150</f>
        <v>0</v>
      </c>
      <c r="I129" s="153">
        <f>'[18]Rev_SP-12me'!AA150</f>
        <v>0</v>
      </c>
      <c r="J129" s="55"/>
      <c r="K129" s="138">
        <f>'[17]Rev_SP-12me'!AT150</f>
        <v>718.049311105433</v>
      </c>
      <c r="L129" s="138">
        <f>'[17]Rev_SP-12me'!AU150</f>
        <v>4850.55361476065</v>
      </c>
      <c r="M129" s="138">
        <f>'[17]Rev_SP-12me'!AW150</f>
        <v>1.76175759179623</v>
      </c>
      <c r="N129" s="146">
        <f t="shared" si="5"/>
        <v>5570.36468345788</v>
      </c>
    </row>
    <row r="130" spans="2:14">
      <c r="B130" s="154" t="s">
        <v>1105</v>
      </c>
      <c r="C130" s="55"/>
      <c r="D130" s="53">
        <f>'[18]Rev_SP-12me'!AJ151</f>
        <v>483</v>
      </c>
      <c r="E130" s="53">
        <f>'[18]Rev_SP-12me'!AL151</f>
        <v>1291.2983748</v>
      </c>
      <c r="F130" s="53">
        <f>'[18]Rev_SP-12me'!AQ151</f>
        <v>2294.22292541284</v>
      </c>
      <c r="G130" s="153">
        <f>'[18]Rev_SP-12me'!O151</f>
        <v>500</v>
      </c>
      <c r="H130" s="101">
        <f>'[18]Rev_SP-12me'!P151</f>
        <v>7.15</v>
      </c>
      <c r="I130" s="153">
        <f>'[18]Rev_SP-12me'!AA151</f>
        <v>3500</v>
      </c>
      <c r="J130" s="55"/>
      <c r="K130" s="139">
        <f>'[17]Rev_SP-12me'!AT151</f>
        <v>718.049311105433</v>
      </c>
      <c r="L130" s="139">
        <f>'[17]Rev_SP-12me'!AU151</f>
        <v>1628.04961557499</v>
      </c>
      <c r="M130" s="139">
        <f>'[17]Rev_SP-12me'!AW151</f>
        <v>1.75755759179623</v>
      </c>
      <c r="N130" s="146">
        <f t="shared" si="5"/>
        <v>2347.85648427222</v>
      </c>
    </row>
    <row r="131" spans="2:14">
      <c r="B131" s="154" t="s">
        <v>1139</v>
      </c>
      <c r="C131" s="55"/>
      <c r="D131" s="53">
        <f>'[18]Rev_SP-12me'!AJ152</f>
        <v>0</v>
      </c>
      <c r="E131" s="53">
        <f>'[18]Rev_SP-12me'!AL152</f>
        <v>0</v>
      </c>
      <c r="F131" s="53">
        <f>'[18]Rev_SP-12me'!AQ152</f>
        <v>323.142214274049</v>
      </c>
      <c r="G131" s="153">
        <f>'[18]Rev_SP-12me'!O152</f>
        <v>0</v>
      </c>
      <c r="H131" s="101">
        <f>'[18]Rev_SP-12me'!P152</f>
        <v>7.15</v>
      </c>
      <c r="I131" s="153">
        <f>'[18]Rev_SP-12me'!AA152</f>
        <v>3500</v>
      </c>
      <c r="J131" s="55"/>
      <c r="K131" s="139">
        <f>'[17]Rev_SP-12me'!AT152</f>
        <v>0</v>
      </c>
      <c r="L131" s="139">
        <f>'[17]Rev_SP-12me'!AU152</f>
        <v>0.0468935712871047</v>
      </c>
      <c r="M131" s="139">
        <f>'[17]Rev_SP-12me'!AW152</f>
        <v>0</v>
      </c>
      <c r="N131" s="146">
        <f t="shared" si="5"/>
        <v>0.0468935712871047</v>
      </c>
    </row>
    <row r="132" spans="2:14">
      <c r="B132" s="154" t="s">
        <v>1140</v>
      </c>
      <c r="C132" s="55"/>
      <c r="D132" s="53">
        <f>'[18]Rev_SP-12me'!AJ153</f>
        <v>0</v>
      </c>
      <c r="E132" s="53">
        <f>'[18]Rev_SP-12me'!AL153</f>
        <v>0</v>
      </c>
      <c r="F132" s="53">
        <f>'[18]Rev_SP-12me'!AQ153</f>
        <v>182.929164702926</v>
      </c>
      <c r="G132" s="153">
        <f>'[18]Rev_SP-12me'!O153</f>
        <v>0</v>
      </c>
      <c r="H132" s="101">
        <f>'[18]Rev_SP-12me'!P153</f>
        <v>7.3</v>
      </c>
      <c r="I132" s="153">
        <f>'[18]Rev_SP-12me'!AA153</f>
        <v>3500</v>
      </c>
      <c r="J132" s="55"/>
      <c r="K132" s="139">
        <f>'[17]Rev_SP-12me'!AT153</f>
        <v>0</v>
      </c>
      <c r="L132" s="139">
        <f>'[17]Rev_SP-12me'!AU153</f>
        <v>1.32259317892252</v>
      </c>
      <c r="M132" s="139">
        <f>'[17]Rev_SP-12me'!AW153</f>
        <v>0</v>
      </c>
      <c r="N132" s="146">
        <f t="shared" si="5"/>
        <v>1.32259317892252</v>
      </c>
    </row>
    <row r="133" spans="2:14">
      <c r="B133" s="154" t="s">
        <v>1141</v>
      </c>
      <c r="C133" s="55"/>
      <c r="D133" s="53">
        <f>'[18]Rev_SP-12me'!AJ154</f>
        <v>0</v>
      </c>
      <c r="E133" s="53">
        <f>'[18]Rev_SP-12me'!AL154</f>
        <v>0</v>
      </c>
      <c r="F133" s="53">
        <f>'[18]Rev_SP-12me'!AQ154</f>
        <v>1.69096767584997</v>
      </c>
      <c r="G133" s="153">
        <f>'[18]Rev_SP-12me'!O154</f>
        <v>500</v>
      </c>
      <c r="H133" s="101">
        <f>'[18]Rev_SP-12me'!P154</f>
        <v>7.9</v>
      </c>
      <c r="I133" s="153">
        <f>'[18]Rev_SP-12me'!AA154</f>
        <v>3500</v>
      </c>
      <c r="J133" s="55"/>
      <c r="K133" s="139">
        <f>'[17]Rev_SP-12me'!AT154</f>
        <v>0</v>
      </c>
      <c r="L133" s="139">
        <f>'[17]Rev_SP-12me'!AU154</f>
        <v>1.54591460978494</v>
      </c>
      <c r="M133" s="139">
        <f>'[17]Rev_SP-12me'!AW154</f>
        <v>0.0042</v>
      </c>
      <c r="N133" s="146">
        <f t="shared" si="5"/>
        <v>1.55011460978494</v>
      </c>
    </row>
    <row r="134" spans="2:14">
      <c r="B134" s="156" t="s">
        <v>1120</v>
      </c>
      <c r="C134" s="55"/>
      <c r="D134" s="53">
        <f>'[18]Rev_SP-12me'!AJ155</f>
        <v>0</v>
      </c>
      <c r="E134" s="53">
        <f>'[18]Rev_SP-12me'!AL155</f>
        <v>0</v>
      </c>
      <c r="F134" s="53">
        <f>'[18]Rev_SP-12me'!AQ155</f>
        <v>1218.64597089311</v>
      </c>
      <c r="G134" s="153">
        <f>'[18]Rev_SP-12me'!O155</f>
        <v>0</v>
      </c>
      <c r="H134" s="101">
        <f>'[18]Rev_SP-12me'!P155</f>
        <v>8.15</v>
      </c>
      <c r="I134" s="153">
        <f>'[18]Rev_SP-12me'!AA155</f>
        <v>3500</v>
      </c>
      <c r="J134" s="55"/>
      <c r="K134" s="139">
        <f>'[17]Rev_SP-12me'!AT155</f>
        <v>0</v>
      </c>
      <c r="L134" s="139">
        <f>'[17]Rev_SP-12me'!AU155</f>
        <v>971.078266553686</v>
      </c>
      <c r="M134" s="139">
        <f>'[17]Rev_SP-12me'!AW155</f>
        <v>0</v>
      </c>
      <c r="N134" s="146">
        <f t="shared" si="5"/>
        <v>971.078266553686</v>
      </c>
    </row>
    <row r="135" spans="2:14">
      <c r="B135" s="156" t="s">
        <v>1121</v>
      </c>
      <c r="C135" s="55"/>
      <c r="D135" s="53">
        <f>'[18]Rev_SP-12me'!AJ156</f>
        <v>0</v>
      </c>
      <c r="E135" s="53">
        <f>'[18]Rev_SP-12me'!AL156</f>
        <v>0</v>
      </c>
      <c r="F135" s="53">
        <f>'[18]Rev_SP-12me'!AQ156</f>
        <v>1219.77766692967</v>
      </c>
      <c r="G135" s="153">
        <f>'[18]Rev_SP-12me'!O156</f>
        <v>0</v>
      </c>
      <c r="H135" s="101">
        <f>'[18]Rev_SP-12me'!P156</f>
        <v>8.15</v>
      </c>
      <c r="I135" s="153">
        <f>'[18]Rev_SP-12me'!AA156</f>
        <v>3500</v>
      </c>
      <c r="J135" s="55"/>
      <c r="K135" s="139">
        <f>'[17]Rev_SP-12me'!AT156</f>
        <v>0</v>
      </c>
      <c r="L135" s="139">
        <f>'[17]Rev_SP-12me'!AU156</f>
        <v>898.434920530766</v>
      </c>
      <c r="M135" s="139">
        <f>'[17]Rev_SP-12me'!AW156</f>
        <v>0</v>
      </c>
      <c r="N135" s="146">
        <f t="shared" si="5"/>
        <v>898.434920530766</v>
      </c>
    </row>
    <row r="136" spans="2:14">
      <c r="B136" s="156" t="s">
        <v>1122</v>
      </c>
      <c r="C136" s="55"/>
      <c r="D136" s="53">
        <f>'[18]Rev_SP-12me'!AJ157</f>
        <v>0</v>
      </c>
      <c r="E136" s="53">
        <f>'[18]Rev_SP-12me'!AL157</f>
        <v>0</v>
      </c>
      <c r="F136" s="53">
        <f>'[18]Rev_SP-12me'!AQ157</f>
        <v>2351.83719812771</v>
      </c>
      <c r="G136" s="153">
        <f>'[18]Rev_SP-12me'!O157</f>
        <v>0</v>
      </c>
      <c r="H136" s="101">
        <f>'[18]Rev_SP-12me'!P157</f>
        <v>5.65</v>
      </c>
      <c r="I136" s="153">
        <f>'[18]Rev_SP-12me'!AA157</f>
        <v>3500</v>
      </c>
      <c r="J136" s="55"/>
      <c r="K136" s="139">
        <f>'[17]Rev_SP-12me'!AT157</f>
        <v>0</v>
      </c>
      <c r="L136" s="139">
        <f>'[17]Rev_SP-12me'!AU157</f>
        <v>1350.07541074122</v>
      </c>
      <c r="M136" s="139">
        <f>'[17]Rev_SP-12me'!AW157</f>
        <v>0</v>
      </c>
      <c r="N136" s="146">
        <f t="shared" si="5"/>
        <v>1350.07541074122</v>
      </c>
    </row>
    <row r="137" ht="15" spans="2:14">
      <c r="B137" s="151" t="s">
        <v>1113</v>
      </c>
      <c r="C137" s="55"/>
      <c r="D137" s="51">
        <f>'[18]Rev_SP-12me'!AJ158</f>
        <v>0</v>
      </c>
      <c r="E137" s="51">
        <f>'[18]Rev_SP-12me'!AL158</f>
        <v>0</v>
      </c>
      <c r="F137" s="51">
        <f>'[18]Rev_SP-12me'!AQ158</f>
        <v>30.7438184811492</v>
      </c>
      <c r="G137" s="153">
        <f>'[18]Rev_SP-12me'!O158</f>
        <v>0</v>
      </c>
      <c r="H137" s="101">
        <f>'[18]Rev_SP-12me'!P158</f>
        <v>0</v>
      </c>
      <c r="I137" s="153">
        <f>'[18]Rev_SP-12me'!AA158</f>
        <v>0</v>
      </c>
      <c r="J137" s="55"/>
      <c r="K137" s="138">
        <f>'[17]Rev_SP-12me'!AT158</f>
        <v>0</v>
      </c>
      <c r="L137" s="138">
        <f>'[17]Rev_SP-12me'!AU158</f>
        <v>20.8118243688288</v>
      </c>
      <c r="M137" s="138">
        <f>'[17]Rev_SP-12me'!AW158</f>
        <v>0.0175641415812107</v>
      </c>
      <c r="N137" s="158">
        <f t="shared" si="5"/>
        <v>20.82938851041</v>
      </c>
    </row>
    <row r="138" spans="2:14">
      <c r="B138" s="156" t="s">
        <v>1142</v>
      </c>
      <c r="C138" s="55"/>
      <c r="D138" s="53">
        <f>'[18]Rev_SP-12me'!AJ159</f>
        <v>0</v>
      </c>
      <c r="E138" s="53">
        <f>'[18]Rev_SP-12me'!AL159</f>
        <v>0</v>
      </c>
      <c r="F138" s="53">
        <f>'[18]Rev_SP-12me'!AQ159</f>
        <v>9.12292708986761</v>
      </c>
      <c r="G138" s="153">
        <f>'[18]Rev_SP-12me'!O159</f>
        <v>500</v>
      </c>
      <c r="H138" s="101">
        <f>'[18]Rev_SP-12me'!P159</f>
        <v>7.15</v>
      </c>
      <c r="I138" s="153">
        <f>'[18]Rev_SP-12me'!AA159</f>
        <v>3500</v>
      </c>
      <c r="J138" s="55"/>
      <c r="K138" s="139">
        <f>'[17]Rev_SP-12me'!AT159</f>
        <v>0</v>
      </c>
      <c r="L138" s="139">
        <f>'[17]Rev_SP-12me'!AU159</f>
        <v>6.10969368610382</v>
      </c>
      <c r="M138" s="139">
        <f>'[17]Rev_SP-12me'!AW159</f>
        <v>0.0175641415812107</v>
      </c>
      <c r="N138" s="146">
        <f t="shared" si="5"/>
        <v>6.12725782768503</v>
      </c>
    </row>
    <row r="139" spans="2:14">
      <c r="B139" s="156" t="s">
        <v>1115</v>
      </c>
      <c r="C139" s="55"/>
      <c r="D139" s="53">
        <f>'[18]Rev_SP-12me'!AJ160</f>
        <v>0</v>
      </c>
      <c r="E139" s="53">
        <f>'[18]Rev_SP-12me'!AL160</f>
        <v>0</v>
      </c>
      <c r="F139" s="53">
        <f>'[18]Rev_SP-12me'!AQ160</f>
        <v>5.37877655601844</v>
      </c>
      <c r="G139" s="153">
        <f>'[18]Rev_SP-12me'!O160</f>
        <v>0</v>
      </c>
      <c r="H139" s="101">
        <f>'[18]Rev_SP-12me'!P160</f>
        <v>8.15</v>
      </c>
      <c r="I139" s="153">
        <f>'[18]Rev_SP-12me'!AA160</f>
        <v>3500</v>
      </c>
      <c r="J139" s="55"/>
      <c r="K139" s="139">
        <f>'[17]Rev_SP-12me'!AT160</f>
        <v>0</v>
      </c>
      <c r="L139" s="139">
        <f>'[17]Rev_SP-12me'!AU160</f>
        <v>4.02976795585318</v>
      </c>
      <c r="M139" s="139">
        <f>'[17]Rev_SP-12me'!AW160</f>
        <v>0</v>
      </c>
      <c r="N139" s="146">
        <f t="shared" si="5"/>
        <v>4.02976795585318</v>
      </c>
    </row>
    <row r="140" spans="2:14">
      <c r="B140" s="156" t="s">
        <v>1116</v>
      </c>
      <c r="C140" s="55"/>
      <c r="D140" s="53">
        <f>'[18]Rev_SP-12me'!AJ161</f>
        <v>0</v>
      </c>
      <c r="E140" s="53">
        <f>'[18]Rev_SP-12me'!AL161</f>
        <v>0</v>
      </c>
      <c r="F140" s="53">
        <f>'[18]Rev_SP-12me'!AQ161</f>
        <v>5.23024642740291</v>
      </c>
      <c r="G140" s="153">
        <f>'[18]Rev_SP-12me'!O161</f>
        <v>0</v>
      </c>
      <c r="H140" s="101">
        <f>'[18]Rev_SP-12me'!P161</f>
        <v>8.15</v>
      </c>
      <c r="I140" s="153">
        <f>'[18]Rev_SP-12me'!AA161</f>
        <v>3500</v>
      </c>
      <c r="J140" s="55"/>
      <c r="K140" s="139">
        <f>'[17]Rev_SP-12me'!AT161</f>
        <v>0</v>
      </c>
      <c r="L140" s="139">
        <f>'[17]Rev_SP-12me'!AU161</f>
        <v>4.16283718900911</v>
      </c>
      <c r="M140" s="139">
        <f>'[17]Rev_SP-12me'!AW161</f>
        <v>0</v>
      </c>
      <c r="N140" s="146">
        <f t="shared" si="5"/>
        <v>4.16283718900911</v>
      </c>
    </row>
    <row r="141" spans="2:14">
      <c r="B141" s="156" t="s">
        <v>1143</v>
      </c>
      <c r="C141" s="55"/>
      <c r="D141" s="53">
        <f>'[18]Rev_SP-12me'!AJ162</f>
        <v>0</v>
      </c>
      <c r="E141" s="53">
        <f>'[18]Rev_SP-12me'!AL162</f>
        <v>0</v>
      </c>
      <c r="F141" s="53">
        <f>'[18]Rev_SP-12me'!AQ162</f>
        <v>11.0118684078602</v>
      </c>
      <c r="G141" s="153">
        <f>'[18]Rev_SP-12me'!O162</f>
        <v>0</v>
      </c>
      <c r="H141" s="101">
        <f>'[18]Rev_SP-12me'!P162</f>
        <v>5.65</v>
      </c>
      <c r="I141" s="153">
        <f>'[18]Rev_SP-12me'!AA162</f>
        <v>3500</v>
      </c>
      <c r="J141" s="55"/>
      <c r="K141" s="139">
        <f>'[17]Rev_SP-12me'!AT162</f>
        <v>0</v>
      </c>
      <c r="L141" s="139">
        <f>'[17]Rev_SP-12me'!AU162</f>
        <v>6.50952553786272</v>
      </c>
      <c r="M141" s="139">
        <f>'[17]Rev_SP-12me'!AW162</f>
        <v>0</v>
      </c>
      <c r="N141" s="146">
        <f t="shared" si="5"/>
        <v>6.50952553786272</v>
      </c>
    </row>
    <row r="142" ht="15" spans="2:14">
      <c r="B142" s="151" t="s">
        <v>1144</v>
      </c>
      <c r="C142" s="55"/>
      <c r="D142" s="48">
        <f>'[18]Rev_SP-12me'!AJ164</f>
        <v>0</v>
      </c>
      <c r="E142" s="48">
        <f>'[18]Rev_SP-12me'!AL164</f>
        <v>0</v>
      </c>
      <c r="F142" s="48">
        <f>'[18]Rev_SP-12me'!AQ164</f>
        <v>61.924630748864</v>
      </c>
      <c r="G142" s="150">
        <f>'[18]Rev_SP-12me'!O164</f>
        <v>0</v>
      </c>
      <c r="H142" s="137">
        <f>'[18]Rev_SP-12me'!P164</f>
        <v>0</v>
      </c>
      <c r="I142" s="150"/>
      <c r="J142" s="55"/>
      <c r="K142" s="136">
        <f>'[17]Rev_SP-12me'!AT164</f>
        <v>5.54309720556531</v>
      </c>
      <c r="L142" s="136">
        <f>'[17]Rev_SP-12me'!AU164</f>
        <v>53.4537435101387</v>
      </c>
      <c r="M142" s="136">
        <f>'[17]Rev_SP-12me'!AW164</f>
        <v>0.0084</v>
      </c>
      <c r="N142" s="158">
        <f t="shared" si="5"/>
        <v>59.005240715704</v>
      </c>
    </row>
    <row r="143" spans="2:14">
      <c r="B143" s="154" t="s">
        <v>1119</v>
      </c>
      <c r="C143" s="55"/>
      <c r="D143" s="53">
        <f>'[18]Rev_SP-12me'!AJ165</f>
        <v>0</v>
      </c>
      <c r="E143" s="53">
        <f>'[18]Rev_SP-12me'!AL165</f>
        <v>0</v>
      </c>
      <c r="F143" s="53">
        <f>'[18]Rev_SP-12me'!AQ165</f>
        <v>20.9632601010143</v>
      </c>
      <c r="G143" s="153">
        <f>'[18]Rev_SP-12me'!O165</f>
        <v>500</v>
      </c>
      <c r="H143" s="101">
        <f>'[18]Rev_SP-12me'!P165</f>
        <v>7.15</v>
      </c>
      <c r="I143" s="153">
        <f>'[18]Rev_SP-12me'!AA165</f>
        <v>3500</v>
      </c>
      <c r="J143" s="55"/>
      <c r="K143" s="139">
        <f>'[17]Rev_SP-12me'!AT165</f>
        <v>5.54309720556531</v>
      </c>
      <c r="L143" s="139">
        <f>'[17]Rev_SP-12me'!AU165</f>
        <v>18.0193336080414</v>
      </c>
      <c r="M143" s="139">
        <f>'[17]Rev_SP-12me'!AW165</f>
        <v>0.0084</v>
      </c>
      <c r="N143" s="146">
        <f t="shared" si="5"/>
        <v>23.5708308136067</v>
      </c>
    </row>
    <row r="144" spans="2:14">
      <c r="B144" s="154" t="s">
        <v>1120</v>
      </c>
      <c r="C144" s="55"/>
      <c r="D144" s="53">
        <f>'[18]Rev_SP-12me'!AJ166</f>
        <v>0</v>
      </c>
      <c r="E144" s="53">
        <f>'[18]Rev_SP-12me'!AL166</f>
        <v>0</v>
      </c>
      <c r="F144" s="53">
        <f>'[18]Rev_SP-12me'!AQ166</f>
        <v>10.4392722080288</v>
      </c>
      <c r="G144" s="153">
        <f>'[18]Rev_SP-12me'!O166</f>
        <v>0</v>
      </c>
      <c r="H144" s="101">
        <f>'[18]Rev_SP-12me'!P166</f>
        <v>8.15</v>
      </c>
      <c r="I144" s="153">
        <f>'[18]Rev_SP-12me'!AA166</f>
        <v>3500</v>
      </c>
      <c r="J144" s="55"/>
      <c r="K144" s="139">
        <f>'[17]Rev_SP-12me'!AT166</f>
        <v>0</v>
      </c>
      <c r="L144" s="139">
        <f>'[17]Rev_SP-12me'!AU166</f>
        <v>9.79828231943363</v>
      </c>
      <c r="M144" s="139">
        <f>'[17]Rev_SP-12me'!AW166</f>
        <v>0</v>
      </c>
      <c r="N144" s="146">
        <f t="shared" si="5"/>
        <v>9.79828231943363</v>
      </c>
    </row>
    <row r="145" spans="2:14">
      <c r="B145" s="154" t="s">
        <v>1121</v>
      </c>
      <c r="C145" s="55"/>
      <c r="D145" s="53">
        <f>'[18]Rev_SP-12me'!AJ167</f>
        <v>0</v>
      </c>
      <c r="E145" s="53">
        <f>'[18]Rev_SP-12me'!AL167</f>
        <v>0</v>
      </c>
      <c r="F145" s="53">
        <f>'[18]Rev_SP-12me'!AQ167</f>
        <v>10.6864639689665</v>
      </c>
      <c r="G145" s="153">
        <f>'[18]Rev_SP-12me'!O167</f>
        <v>0</v>
      </c>
      <c r="H145" s="101">
        <f>'[18]Rev_SP-12me'!P167</f>
        <v>8.15</v>
      </c>
      <c r="I145" s="153">
        <f>'[18]Rev_SP-12me'!AA167</f>
        <v>3500</v>
      </c>
      <c r="J145" s="55"/>
      <c r="K145" s="139">
        <f>'[17]Rev_SP-12me'!AT167</f>
        <v>0</v>
      </c>
      <c r="L145" s="139">
        <f>'[17]Rev_SP-12me'!AU167</f>
        <v>10.788030318383</v>
      </c>
      <c r="M145" s="139">
        <f>'[17]Rev_SP-12me'!AW167</f>
        <v>0</v>
      </c>
      <c r="N145" s="146">
        <f t="shared" si="5"/>
        <v>10.788030318383</v>
      </c>
    </row>
    <row r="146" spans="2:14">
      <c r="B146" s="154" t="s">
        <v>1122</v>
      </c>
      <c r="C146" s="55"/>
      <c r="D146" s="53">
        <f>'[18]Rev_SP-12me'!AJ168</f>
        <v>0</v>
      </c>
      <c r="E146" s="53">
        <f>'[18]Rev_SP-12me'!AL168</f>
        <v>0</v>
      </c>
      <c r="F146" s="53">
        <f>'[18]Rev_SP-12me'!AQ168</f>
        <v>19.8356344708543</v>
      </c>
      <c r="G146" s="153">
        <f>'[18]Rev_SP-12me'!O168</f>
        <v>0</v>
      </c>
      <c r="H146" s="101">
        <f>'[18]Rev_SP-12me'!P168</f>
        <v>5.65</v>
      </c>
      <c r="I146" s="153">
        <f>'[18]Rev_SP-12me'!AA168</f>
        <v>3500</v>
      </c>
      <c r="J146" s="55"/>
      <c r="K146" s="139">
        <f>'[17]Rev_SP-12me'!AT168</f>
        <v>0</v>
      </c>
      <c r="L146" s="139">
        <f>'[17]Rev_SP-12me'!AU168</f>
        <v>14.8480972642806</v>
      </c>
      <c r="M146" s="139">
        <f>'[17]Rev_SP-12me'!AW168</f>
        <v>0</v>
      </c>
      <c r="N146" s="146">
        <f t="shared" si="5"/>
        <v>14.8480972642806</v>
      </c>
    </row>
    <row r="147" ht="15" spans="2:14">
      <c r="B147" s="151" t="s">
        <v>1123</v>
      </c>
      <c r="C147" s="55"/>
      <c r="D147" s="87">
        <f>'[18]Rev_SP-12me'!AJ163</f>
        <v>0</v>
      </c>
      <c r="E147" s="48">
        <f>'[18]Rev_SP-12me'!AL163</f>
        <v>0</v>
      </c>
      <c r="F147" s="48">
        <f>'[18]Rev_SP-12me'!AQ163</f>
        <v>0.53654</v>
      </c>
      <c r="G147" s="150">
        <f>'[18]Rev_SP-12me'!O163</f>
        <v>500</v>
      </c>
      <c r="H147" s="137">
        <f>'[18]Rev_SP-12me'!P163</f>
        <v>7.15</v>
      </c>
      <c r="I147" s="150">
        <f>'[18]Rev_SP-12me'!AA163</f>
        <v>3500</v>
      </c>
      <c r="J147" s="55"/>
      <c r="K147" s="136">
        <f>'[17]Rev_SP-12me'!AT163</f>
        <v>7.09096018735363</v>
      </c>
      <c r="L147" s="136">
        <f>'[17]Rev_SP-12me'!AU163</f>
        <v>0</v>
      </c>
      <c r="M147" s="136">
        <f>'[17]Rev_SP-12me'!AW163</f>
        <v>0.0021</v>
      </c>
      <c r="N147" s="158">
        <f t="shared" si="5"/>
        <v>7.09306018735363</v>
      </c>
    </row>
    <row r="148" ht="15" spans="2:14">
      <c r="B148" s="151" t="s">
        <v>1124</v>
      </c>
      <c r="C148" s="55"/>
      <c r="D148" s="48">
        <f>'[18]Rev_SP-12me'!AJ169</f>
        <v>205</v>
      </c>
      <c r="E148" s="48">
        <f>'[18]Rev_SP-12me'!AL169</f>
        <v>499.586374274174</v>
      </c>
      <c r="F148" s="48">
        <f>'[18]Rev_SP-12me'!AQ169</f>
        <v>1771.70160889593</v>
      </c>
      <c r="G148" s="150">
        <f>'[18]Rev_SP-12me'!O169</f>
        <v>0</v>
      </c>
      <c r="H148" s="137">
        <f>'[18]Rev_SP-12me'!P169</f>
        <v>0</v>
      </c>
      <c r="I148" s="150">
        <f>'[18]Rev_SP-12me'!AA169</f>
        <v>3500</v>
      </c>
      <c r="J148" s="55"/>
      <c r="K148" s="136">
        <f>'[17]Rev_SP-12me'!AT169</f>
        <v>235.268517057391</v>
      </c>
      <c r="L148" s="136">
        <f>'[17]Rev_SP-12me'!AU169</f>
        <v>1480.2781636137</v>
      </c>
      <c r="M148" s="136">
        <f>'[17]Rev_SP-12me'!AW169</f>
        <v>0.7203</v>
      </c>
      <c r="N148" s="158">
        <f t="shared" si="5"/>
        <v>1716.26698067109</v>
      </c>
    </row>
    <row r="149" spans="2:14">
      <c r="B149" s="156" t="s">
        <v>1145</v>
      </c>
      <c r="C149" s="55"/>
      <c r="D149" s="51">
        <f>'[18]Rev_SP-12me'!AJ170</f>
        <v>205</v>
      </c>
      <c r="E149" s="51">
        <f>'[18]Rev_SP-12me'!AL170</f>
        <v>499.586374274174</v>
      </c>
      <c r="F149" s="51">
        <f>'[18]Rev_SP-12me'!AQ170</f>
        <v>709.642651909873</v>
      </c>
      <c r="G149" s="153">
        <f>'[18]Rev_SP-12me'!O170</f>
        <v>500</v>
      </c>
      <c r="H149" s="101">
        <f>'[18]Rev_SP-12me'!P170</f>
        <v>8</v>
      </c>
      <c r="I149" s="153">
        <f>'[18]Rev_SP-12me'!AA170</f>
        <v>3500</v>
      </c>
      <c r="J149" s="55"/>
      <c r="K149" s="138">
        <f>'[17]Rev_SP-12me'!AT170</f>
        <v>235.268517057391</v>
      </c>
      <c r="L149" s="138">
        <f>'[17]Rev_SP-12me'!AU170</f>
        <v>589.694280794429</v>
      </c>
      <c r="M149" s="138">
        <f>'[17]Rev_SP-12me'!AW170</f>
        <v>0.7203</v>
      </c>
      <c r="N149" s="146">
        <f t="shared" si="5"/>
        <v>825.68309785182</v>
      </c>
    </row>
    <row r="150" spans="2:14">
      <c r="B150" s="156" t="s">
        <v>1120</v>
      </c>
      <c r="C150" s="55"/>
      <c r="D150" s="53">
        <f>'[18]Rev_SP-12me'!AJ171</f>
        <v>0</v>
      </c>
      <c r="E150" s="53">
        <f>'[18]Rev_SP-12me'!AL171</f>
        <v>0</v>
      </c>
      <c r="F150" s="53">
        <f>'[18]Rev_SP-12me'!AQ171</f>
        <v>293.917757828916</v>
      </c>
      <c r="G150" s="153">
        <f>'[18]Rev_SP-12me'!O171</f>
        <v>0</v>
      </c>
      <c r="H150" s="101">
        <f>'[18]Rev_SP-12me'!P171</f>
        <v>9</v>
      </c>
      <c r="I150" s="153">
        <f>'[18]Rev_SP-12me'!AA171</f>
        <v>3500</v>
      </c>
      <c r="J150" s="55"/>
      <c r="K150" s="139">
        <f>'[17]Rev_SP-12me'!AT171</f>
        <v>0</v>
      </c>
      <c r="L150" s="139">
        <f>'[17]Rev_SP-12me'!AU171</f>
        <v>305.75807549305</v>
      </c>
      <c r="M150" s="139">
        <f>'[17]Rev_SP-12me'!AW171</f>
        <v>0</v>
      </c>
      <c r="N150" s="146">
        <f t="shared" si="5"/>
        <v>305.75807549305</v>
      </c>
    </row>
    <row r="151" spans="2:14">
      <c r="B151" s="156" t="s">
        <v>1121</v>
      </c>
      <c r="C151" s="55"/>
      <c r="D151" s="53">
        <f>'[18]Rev_SP-12me'!AJ172</f>
        <v>0</v>
      </c>
      <c r="E151" s="53">
        <f>'[18]Rev_SP-12me'!AL172</f>
        <v>0</v>
      </c>
      <c r="F151" s="53">
        <f>'[18]Rev_SP-12me'!AQ172</f>
        <v>294.177335316318</v>
      </c>
      <c r="G151" s="153">
        <f>'[18]Rev_SP-12me'!O172</f>
        <v>0</v>
      </c>
      <c r="H151" s="101">
        <f>'[18]Rev_SP-12me'!P172</f>
        <v>9</v>
      </c>
      <c r="I151" s="153">
        <f>'[18]Rev_SP-12me'!AA172</f>
        <v>3500</v>
      </c>
      <c r="J151" s="55"/>
      <c r="K151" s="139">
        <f>'[17]Rev_SP-12me'!AT172</f>
        <v>0</v>
      </c>
      <c r="L151" s="139">
        <f>'[17]Rev_SP-12me'!AU172</f>
        <v>258.985299103786</v>
      </c>
      <c r="M151" s="139">
        <f>'[17]Rev_SP-12me'!AW172</f>
        <v>0</v>
      </c>
      <c r="N151" s="146">
        <f t="shared" si="5"/>
        <v>258.985299103786</v>
      </c>
    </row>
    <row r="152" spans="2:14">
      <c r="B152" s="156" t="s">
        <v>1122</v>
      </c>
      <c r="C152" s="55"/>
      <c r="D152" s="53">
        <f>'[18]Rev_SP-12me'!AJ173</f>
        <v>0</v>
      </c>
      <c r="E152" s="53">
        <f>'[18]Rev_SP-12me'!AL173</f>
        <v>0</v>
      </c>
      <c r="F152" s="53">
        <f>'[18]Rev_SP-12me'!AQ173</f>
        <v>436.463863840824</v>
      </c>
      <c r="G152" s="153">
        <f>'[18]Rev_SP-12me'!O173</f>
        <v>0</v>
      </c>
      <c r="H152" s="101">
        <f>'[18]Rev_SP-12me'!P173</f>
        <v>6.5</v>
      </c>
      <c r="I152" s="153">
        <f>'[18]Rev_SP-12me'!AA173</f>
        <v>3500</v>
      </c>
      <c r="J152" s="55"/>
      <c r="K152" s="139">
        <f>'[17]Rev_SP-12me'!AT173</f>
        <v>0</v>
      </c>
      <c r="L152" s="139">
        <f>'[17]Rev_SP-12me'!AU173</f>
        <v>325.840508222434</v>
      </c>
      <c r="M152" s="139">
        <f>'[17]Rev_SP-12me'!AW173</f>
        <v>0</v>
      </c>
      <c r="N152" s="146">
        <f t="shared" si="5"/>
        <v>325.840508222434</v>
      </c>
    </row>
    <row r="153" spans="2:14">
      <c r="B153" s="156" t="s">
        <v>1146</v>
      </c>
      <c r="C153" s="55"/>
      <c r="D153" s="53">
        <f>'[18]Rev_SP-12me'!AJ174</f>
        <v>0</v>
      </c>
      <c r="E153" s="53">
        <f>'[18]Rev_SP-12me'!AL174</f>
        <v>0</v>
      </c>
      <c r="F153" s="53">
        <f>'[18]Rev_SP-12me'!AQ174</f>
        <v>37.5</v>
      </c>
      <c r="G153" s="153">
        <f>'[18]Rev_SP-12me'!O174</f>
        <v>500</v>
      </c>
      <c r="H153" s="101">
        <f>'[18]Rev_SP-12me'!P174</f>
        <v>8</v>
      </c>
      <c r="I153" s="153">
        <f>'[18]Rev_SP-12me'!AA174</f>
        <v>3500</v>
      </c>
      <c r="J153" s="55"/>
      <c r="K153" s="139">
        <f>'[17]Rev_SP-12me'!AT174</f>
        <v>0</v>
      </c>
      <c r="L153" s="139">
        <f>'[17]Rev_SP-12me'!AU174</f>
        <v>0</v>
      </c>
      <c r="M153" s="139">
        <f>'[17]Rev_SP-12me'!AW174</f>
        <v>0</v>
      </c>
      <c r="N153" s="146">
        <f t="shared" si="5"/>
        <v>0</v>
      </c>
    </row>
    <row r="154" ht="15" spans="2:14">
      <c r="B154" s="151" t="s">
        <v>1125</v>
      </c>
      <c r="C154" s="55"/>
      <c r="D154" s="48">
        <f>'[18]Rev_SP-12me'!AJ175</f>
        <v>0</v>
      </c>
      <c r="E154" s="48">
        <f>'[18]Rev_SP-12me'!AL175</f>
        <v>0</v>
      </c>
      <c r="F154" s="48">
        <f>'[18]Rev_SP-12me'!AQ175</f>
        <v>5.28148120053833</v>
      </c>
      <c r="G154" s="150">
        <f>'[18]Rev_SP-12me'!O175</f>
        <v>0</v>
      </c>
      <c r="H154" s="137">
        <f>'[18]Rev_SP-12me'!P175</f>
        <v>0</v>
      </c>
      <c r="I154" s="150"/>
      <c r="J154" s="55"/>
      <c r="K154" s="136">
        <f>'[17]Rev_SP-12me'!AT175</f>
        <v>0</v>
      </c>
      <c r="L154" s="136">
        <f>'[17]Rev_SP-12me'!AU175</f>
        <v>2.00284446</v>
      </c>
      <c r="M154" s="136">
        <f>'[17]Rev_SP-12me'!AW175</f>
        <v>0.0042</v>
      </c>
      <c r="N154" s="158">
        <f t="shared" si="5"/>
        <v>2.00704446</v>
      </c>
    </row>
    <row r="155" spans="2:14">
      <c r="B155" s="154" t="s">
        <v>1119</v>
      </c>
      <c r="C155" s="55"/>
      <c r="D155" s="53">
        <f>'[18]Rev_SP-12me'!AJ176</f>
        <v>0</v>
      </c>
      <c r="E155" s="53">
        <f>'[18]Rev_SP-12me'!AL176</f>
        <v>0</v>
      </c>
      <c r="F155" s="53">
        <f>'[18]Rev_SP-12me'!AQ176</f>
        <v>2.11937414353072</v>
      </c>
      <c r="G155" s="153">
        <f>'[18]Rev_SP-12me'!O176</f>
        <v>285</v>
      </c>
      <c r="H155" s="101">
        <f>'[18]Rev_SP-12me'!P176</f>
        <v>5</v>
      </c>
      <c r="I155" s="153">
        <f>'[18]Rev_SP-12me'!AA176</f>
        <v>3500</v>
      </c>
      <c r="J155" s="55"/>
      <c r="K155" s="139">
        <f>'[17]Rev_SP-12me'!AT176</f>
        <v>0</v>
      </c>
      <c r="L155" s="139">
        <f>'[17]Rev_SP-12me'!AU176</f>
        <v>0.7887303</v>
      </c>
      <c r="M155" s="139">
        <f>'[17]Rev_SP-12me'!AW176</f>
        <v>0.0042</v>
      </c>
      <c r="N155" s="146">
        <f t="shared" si="5"/>
        <v>0.7929303</v>
      </c>
    </row>
    <row r="156" spans="2:14">
      <c r="B156" s="154" t="s">
        <v>1120</v>
      </c>
      <c r="C156" s="55"/>
      <c r="D156" s="53">
        <f>'[18]Rev_SP-12me'!AJ177</f>
        <v>0</v>
      </c>
      <c r="E156" s="53">
        <f>'[18]Rev_SP-12me'!AL177</f>
        <v>0</v>
      </c>
      <c r="F156" s="53">
        <f>'[18]Rev_SP-12me'!AQ177</f>
        <v>0.972042051382959</v>
      </c>
      <c r="G156" s="153">
        <f>'[18]Rev_SP-12me'!O177</f>
        <v>0</v>
      </c>
      <c r="H156" s="101">
        <f>'[18]Rev_SP-12me'!P177</f>
        <v>6</v>
      </c>
      <c r="I156" s="153">
        <f>'[18]Rev_SP-12me'!AA177</f>
        <v>3500</v>
      </c>
      <c r="J156" s="55"/>
      <c r="K156" s="139">
        <f>'[17]Rev_SP-12me'!AT177</f>
        <v>0</v>
      </c>
      <c r="L156" s="139">
        <f>'[17]Rev_SP-12me'!AU177</f>
        <v>0.43637436</v>
      </c>
      <c r="M156" s="139">
        <f>'[17]Rev_SP-12me'!AW177</f>
        <v>0</v>
      </c>
      <c r="N156" s="146">
        <f t="shared" si="5"/>
        <v>0.43637436</v>
      </c>
    </row>
    <row r="157" spans="2:14">
      <c r="B157" s="154" t="s">
        <v>1121</v>
      </c>
      <c r="C157" s="55"/>
      <c r="D157" s="53">
        <f>'[18]Rev_SP-12me'!AJ178</f>
        <v>0</v>
      </c>
      <c r="E157" s="53">
        <f>'[18]Rev_SP-12me'!AL178</f>
        <v>0</v>
      </c>
      <c r="F157" s="53">
        <f>'[18]Rev_SP-12me'!AQ178</f>
        <v>0.961977661722666</v>
      </c>
      <c r="G157" s="153">
        <f>'[18]Rev_SP-12me'!O178</f>
        <v>0</v>
      </c>
      <c r="H157" s="101">
        <f>'[18]Rev_SP-12me'!P178</f>
        <v>6</v>
      </c>
      <c r="I157" s="153">
        <f>'[18]Rev_SP-12me'!AA178</f>
        <v>3500</v>
      </c>
      <c r="J157" s="55"/>
      <c r="K157" s="139">
        <f>'[17]Rev_SP-12me'!AT178</f>
        <v>0</v>
      </c>
      <c r="L157" s="139">
        <f>'[17]Rev_SP-12me'!AU178</f>
        <v>0.42330204</v>
      </c>
      <c r="M157" s="139">
        <f>'[17]Rev_SP-12me'!AW178</f>
        <v>0</v>
      </c>
      <c r="N157" s="146">
        <f t="shared" si="5"/>
        <v>0.42330204</v>
      </c>
    </row>
    <row r="158" spans="2:14">
      <c r="B158" s="154" t="s">
        <v>1122</v>
      </c>
      <c r="C158" s="55"/>
      <c r="D158" s="53">
        <f>'[18]Rev_SP-12me'!AJ179</f>
        <v>0</v>
      </c>
      <c r="E158" s="53">
        <f>'[18]Rev_SP-12me'!AL179</f>
        <v>0</v>
      </c>
      <c r="F158" s="53">
        <f>'[18]Rev_SP-12me'!AQ179</f>
        <v>1.22808734390199</v>
      </c>
      <c r="G158" s="153">
        <f>'[18]Rev_SP-12me'!O179</f>
        <v>0</v>
      </c>
      <c r="H158" s="101">
        <f>'[18]Rev_SP-12me'!P179</f>
        <v>3.5</v>
      </c>
      <c r="I158" s="153">
        <f>'[18]Rev_SP-12me'!AA179</f>
        <v>3500</v>
      </c>
      <c r="J158" s="55"/>
      <c r="K158" s="139">
        <f>'[17]Rev_SP-12me'!AT179</f>
        <v>0</v>
      </c>
      <c r="L158" s="139">
        <f>'[17]Rev_SP-12me'!AU179</f>
        <v>0.35443776</v>
      </c>
      <c r="M158" s="139">
        <f>'[17]Rev_SP-12me'!AW179</f>
        <v>0</v>
      </c>
      <c r="N158" s="146">
        <f t="shared" si="5"/>
        <v>0.35443776</v>
      </c>
    </row>
    <row r="159" ht="15" spans="2:14">
      <c r="B159" s="151" t="s">
        <v>1126</v>
      </c>
      <c r="C159" s="55"/>
      <c r="D159" s="48">
        <f>'[18]Rev_SP-12me'!AJ180</f>
        <v>0</v>
      </c>
      <c r="E159" s="48">
        <f>'[18]Rev_SP-12me'!AL180</f>
        <v>0</v>
      </c>
      <c r="F159" s="48">
        <f>'[18]Rev_SP-12me'!AQ180</f>
        <v>0</v>
      </c>
      <c r="G159" s="150">
        <f>'[18]Rev_SP-12me'!O180</f>
        <v>0</v>
      </c>
      <c r="H159" s="137">
        <f>'[18]Rev_SP-12me'!P180</f>
        <v>0</v>
      </c>
      <c r="I159" s="150">
        <f>'[18]Rev_SP-12me'!AA180</f>
        <v>0</v>
      </c>
      <c r="J159" s="55"/>
      <c r="K159" s="136">
        <f>'[17]Rev_SP-12me'!AT180</f>
        <v>0</v>
      </c>
      <c r="L159" s="136">
        <f>'[17]Rev_SP-12me'!AU180</f>
        <v>0</v>
      </c>
      <c r="M159" s="136">
        <f>'[17]Rev_SP-12me'!AW180</f>
        <v>0</v>
      </c>
      <c r="N159" s="158">
        <f t="shared" si="5"/>
        <v>0</v>
      </c>
    </row>
    <row r="160" spans="2:14">
      <c r="B160" s="156" t="s">
        <v>1119</v>
      </c>
      <c r="C160" s="55"/>
      <c r="D160" s="53">
        <f>'[18]Rev_SP-12me'!AJ181</f>
        <v>0</v>
      </c>
      <c r="E160" s="53">
        <f>'[18]Rev_SP-12me'!AL181</f>
        <v>0</v>
      </c>
      <c r="F160" s="53">
        <f>'[18]Rev_SP-12me'!AQ181</f>
        <v>0</v>
      </c>
      <c r="G160" s="153">
        <f>'[18]Rev_SP-12me'!O181</f>
        <v>500</v>
      </c>
      <c r="H160" s="101">
        <f>'[18]Rev_SP-12me'!P181</f>
        <v>7.85</v>
      </c>
      <c r="I160" s="153">
        <f>'[18]Rev_SP-12me'!AA181</f>
        <v>3500</v>
      </c>
      <c r="J160" s="55"/>
      <c r="K160" s="139">
        <f>'[17]Rev_SP-12me'!AT181</f>
        <v>0</v>
      </c>
      <c r="L160" s="139">
        <f>'[17]Rev_SP-12me'!AU181</f>
        <v>0</v>
      </c>
      <c r="M160" s="139">
        <f>'[17]Rev_SP-12me'!AW181</f>
        <v>0</v>
      </c>
      <c r="N160" s="146">
        <f t="shared" si="5"/>
        <v>0</v>
      </c>
    </row>
    <row r="161" spans="2:14">
      <c r="B161" s="156" t="s">
        <v>1120</v>
      </c>
      <c r="C161" s="55"/>
      <c r="D161" s="53">
        <f>'[18]Rev_SP-12me'!AJ182</f>
        <v>0</v>
      </c>
      <c r="E161" s="53">
        <f>'[18]Rev_SP-12me'!AL182</f>
        <v>0</v>
      </c>
      <c r="F161" s="53">
        <f>'[18]Rev_SP-12me'!AQ182</f>
        <v>0</v>
      </c>
      <c r="G161" s="153">
        <f>'[18]Rev_SP-12me'!O182</f>
        <v>0</v>
      </c>
      <c r="H161" s="101">
        <f>'[18]Rev_SP-12me'!P182</f>
        <v>8.85</v>
      </c>
      <c r="I161" s="153">
        <f>'[18]Rev_SP-12me'!AA182</f>
        <v>3500</v>
      </c>
      <c r="J161" s="55"/>
      <c r="K161" s="139">
        <f>'[17]Rev_SP-12me'!AT182</f>
        <v>0</v>
      </c>
      <c r="L161" s="139">
        <f>'[17]Rev_SP-12me'!AU182</f>
        <v>0</v>
      </c>
      <c r="M161" s="139">
        <f>'[17]Rev_SP-12me'!AW182</f>
        <v>0</v>
      </c>
      <c r="N161" s="146">
        <f t="shared" si="5"/>
        <v>0</v>
      </c>
    </row>
    <row r="162" spans="2:14">
      <c r="B162" s="156" t="s">
        <v>1121</v>
      </c>
      <c r="C162" s="55"/>
      <c r="D162" s="53">
        <f>'[18]Rev_SP-12me'!AJ183</f>
        <v>0</v>
      </c>
      <c r="E162" s="53">
        <f>'[18]Rev_SP-12me'!AL183</f>
        <v>0</v>
      </c>
      <c r="F162" s="53">
        <f>'[18]Rev_SP-12me'!AQ183</f>
        <v>0</v>
      </c>
      <c r="G162" s="153">
        <f>'[18]Rev_SP-12me'!O183</f>
        <v>0</v>
      </c>
      <c r="H162" s="101">
        <f>'[18]Rev_SP-12me'!P183</f>
        <v>8.85</v>
      </c>
      <c r="I162" s="153">
        <f>'[18]Rev_SP-12me'!AA183</f>
        <v>3500</v>
      </c>
      <c r="J162" s="55"/>
      <c r="K162" s="139">
        <f>'[17]Rev_SP-12me'!AT183</f>
        <v>0</v>
      </c>
      <c r="L162" s="139">
        <f>'[17]Rev_SP-12me'!AU183</f>
        <v>0</v>
      </c>
      <c r="M162" s="139">
        <f>'[17]Rev_SP-12me'!AW183</f>
        <v>0</v>
      </c>
      <c r="N162" s="146">
        <f t="shared" si="5"/>
        <v>0</v>
      </c>
    </row>
    <row r="163" spans="2:14">
      <c r="B163" s="156" t="s">
        <v>1122</v>
      </c>
      <c r="C163" s="55"/>
      <c r="D163" s="53">
        <f>'[18]Rev_SP-12me'!AJ184</f>
        <v>0</v>
      </c>
      <c r="E163" s="53">
        <f>'[18]Rev_SP-12me'!AL184</f>
        <v>0</v>
      </c>
      <c r="F163" s="53">
        <f>'[18]Rev_SP-12me'!AQ184</f>
        <v>0</v>
      </c>
      <c r="G163" s="153">
        <f>'[18]Rev_SP-12me'!O184</f>
        <v>0</v>
      </c>
      <c r="H163" s="101">
        <f>'[18]Rev_SP-12me'!P184</f>
        <v>6.35</v>
      </c>
      <c r="I163" s="153">
        <f>'[18]Rev_SP-12me'!AA184</f>
        <v>3500</v>
      </c>
      <c r="J163" s="55"/>
      <c r="K163" s="139">
        <f>'[17]Rev_SP-12me'!AT184</f>
        <v>0</v>
      </c>
      <c r="L163" s="139">
        <f>'[17]Rev_SP-12me'!AU184</f>
        <v>0</v>
      </c>
      <c r="M163" s="139">
        <f>'[17]Rev_SP-12me'!AW184</f>
        <v>0</v>
      </c>
      <c r="N163" s="146">
        <f t="shared" si="5"/>
        <v>0</v>
      </c>
    </row>
    <row r="164" ht="15" spans="2:14">
      <c r="B164" s="151" t="s">
        <v>1147</v>
      </c>
      <c r="C164" s="55"/>
      <c r="D164" s="48">
        <f>'[18]Rev_SP-12me'!AJ185</f>
        <v>13</v>
      </c>
      <c r="E164" s="48">
        <f>'[18]Rev_SP-12me'!AL185</f>
        <v>26.4672850500122</v>
      </c>
      <c r="F164" s="48">
        <f>'[18]Rev_SP-12me'!AQ185</f>
        <v>86.2466042202066</v>
      </c>
      <c r="G164" s="150">
        <f>'[18]Rev_SP-12me'!O185</f>
        <v>0</v>
      </c>
      <c r="H164" s="137">
        <f>'[18]Rev_SP-12me'!P185</f>
        <v>0</v>
      </c>
      <c r="I164" s="150">
        <f>'[18]Rev_SP-12me'!AA185</f>
        <v>0</v>
      </c>
      <c r="J164" s="55"/>
      <c r="K164" s="136">
        <f>'[17]Rev_SP-12me'!AT185</f>
        <v>7.54733422207742</v>
      </c>
      <c r="L164" s="136">
        <f>'[17]Rev_SP-12me'!AU185</f>
        <v>27.35651835</v>
      </c>
      <c r="M164" s="136">
        <f>'[17]Rev_SP-12me'!AW185</f>
        <v>0.0885263513513513</v>
      </c>
      <c r="N164" s="158">
        <f t="shared" si="5"/>
        <v>34.9923789234288</v>
      </c>
    </row>
    <row r="165" spans="2:14">
      <c r="B165" s="160" t="s">
        <v>1128</v>
      </c>
      <c r="C165" s="55"/>
      <c r="D165" s="51">
        <f>'[18]Rev_SP-12me'!AJ186</f>
        <v>13</v>
      </c>
      <c r="E165" s="51">
        <f>'[18]Rev_SP-12me'!AL186</f>
        <v>26.4672850500122</v>
      </c>
      <c r="F165" s="51">
        <f>'[18]Rev_SP-12me'!AQ186</f>
        <v>86.2466042202066</v>
      </c>
      <c r="G165" s="153">
        <f>'[18]Rev_SP-12me'!O186</f>
        <v>300</v>
      </c>
      <c r="H165" s="101">
        <f>'[18]Rev_SP-12me'!P186</f>
        <v>6.3</v>
      </c>
      <c r="I165" s="153">
        <f>'[18]Rev_SP-12me'!AA186</f>
        <v>3500</v>
      </c>
      <c r="J165" s="55"/>
      <c r="K165" s="138">
        <f>'[17]Rev_SP-12me'!AT186</f>
        <v>7.54733422207742</v>
      </c>
      <c r="L165" s="138">
        <f>'[17]Rev_SP-12me'!AU186</f>
        <v>27.35651835</v>
      </c>
      <c r="M165" s="138">
        <f>'[17]Rev_SP-12me'!AW186</f>
        <v>0.0885263513513513</v>
      </c>
      <c r="N165" s="146">
        <f t="shared" si="5"/>
        <v>34.9923789234288</v>
      </c>
    </row>
    <row r="166" ht="15" spans="2:14">
      <c r="B166" s="161" t="s">
        <v>1148</v>
      </c>
      <c r="C166" s="55"/>
      <c r="D166" s="48">
        <f>'[18]Rev_SP-12me'!AJ191</f>
        <v>26</v>
      </c>
      <c r="E166" s="48">
        <f>'[18]Rev_SP-12me'!AL191</f>
        <v>42.84634725</v>
      </c>
      <c r="F166" s="48">
        <f>'[18]Rev_SP-12me'!AQ191</f>
        <v>282.096660471516</v>
      </c>
      <c r="G166" s="150">
        <f>'[18]Rev_SP-12me'!O191</f>
        <v>0</v>
      </c>
      <c r="H166" s="137">
        <f>'[18]Rev_SP-12me'!P191</f>
        <v>0</v>
      </c>
      <c r="I166" s="150">
        <f>'[18]Rev_SP-12me'!AA191</f>
        <v>0</v>
      </c>
      <c r="J166" s="55"/>
      <c r="K166" s="136">
        <f>'[17]Rev_SP-12me'!AT191</f>
        <v>0</v>
      </c>
      <c r="L166" s="136">
        <f>'[17]Rev_SP-12me'!AU191</f>
        <v>158.3339416067</v>
      </c>
      <c r="M166" s="136">
        <f>'[17]Rev_SP-12me'!AW191</f>
        <v>0.0562601351351351</v>
      </c>
      <c r="N166" s="158">
        <f t="shared" si="5"/>
        <v>158.390201741835</v>
      </c>
    </row>
    <row r="167" spans="2:14">
      <c r="B167" s="154" t="s">
        <v>1149</v>
      </c>
      <c r="C167" s="55"/>
      <c r="D167" s="51">
        <f>'[18]Rev_SP-12me'!AJ192</f>
        <v>26</v>
      </c>
      <c r="E167" s="51">
        <f>'[18]Rev_SP-12me'!AL192</f>
        <v>42.84634725</v>
      </c>
      <c r="F167" s="51">
        <f>'[18]Rev_SP-12me'!AQ192</f>
        <v>282.096660471516</v>
      </c>
      <c r="G167" s="153">
        <f>'[18]Rev_SP-12me'!O192</f>
        <v>0</v>
      </c>
      <c r="H167" s="101">
        <f>'[18]Rev_SP-12me'!P192</f>
        <v>6.1</v>
      </c>
      <c r="I167" s="153">
        <f>'[18]Rev_SP-12me'!AA192</f>
        <v>3500</v>
      </c>
      <c r="J167" s="55"/>
      <c r="K167" s="138">
        <f>'[17]Rev_SP-12me'!AT192</f>
        <v>0</v>
      </c>
      <c r="L167" s="138">
        <f>'[17]Rev_SP-12me'!AU192</f>
        <v>158.3339416067</v>
      </c>
      <c r="M167" s="138">
        <f>'[17]Rev_SP-12me'!AW192</f>
        <v>0.0562601351351351</v>
      </c>
      <c r="N167" s="146">
        <f t="shared" si="5"/>
        <v>158.390201741835</v>
      </c>
    </row>
    <row r="168" ht="15" spans="2:14">
      <c r="B168" s="157" t="s">
        <v>1150</v>
      </c>
      <c r="C168" s="55"/>
      <c r="D168" s="48">
        <f>'[18]Rev_SP-12me'!AJ193</f>
        <v>0</v>
      </c>
      <c r="E168" s="48">
        <f>'[18]Rev_SP-12me'!AL193</f>
        <v>0</v>
      </c>
      <c r="F168" s="48">
        <f>'[18]Rev_SP-12me'!AQ193</f>
        <v>0</v>
      </c>
      <c r="G168" s="150">
        <f>'[18]Rev_SP-12me'!O193</f>
        <v>0</v>
      </c>
      <c r="H168" s="137">
        <f>'[18]Rev_SP-12me'!P193</f>
        <v>0</v>
      </c>
      <c r="I168" s="150">
        <f>'[18]Rev_SP-12me'!AA193</f>
        <v>3500</v>
      </c>
      <c r="J168" s="55"/>
      <c r="K168" s="136">
        <f>'[17]Rev_SP-12me'!AT193</f>
        <v>0</v>
      </c>
      <c r="L168" s="136">
        <f>'[17]Rev_SP-12me'!AU193</f>
        <v>0</v>
      </c>
      <c r="M168" s="136">
        <f>'[17]Rev_SP-12me'!AW193</f>
        <v>0</v>
      </c>
      <c r="N168" s="146">
        <f t="shared" si="5"/>
        <v>0</v>
      </c>
    </row>
    <row r="169" ht="15" spans="2:14">
      <c r="B169" s="151" t="s">
        <v>1131</v>
      </c>
      <c r="C169" s="55"/>
      <c r="D169" s="48">
        <f>'[18]Rev_SP-12me'!AJ187</f>
        <v>1</v>
      </c>
      <c r="E169" s="48">
        <f>'[18]Rev_SP-12me'!AL187</f>
        <v>0</v>
      </c>
      <c r="F169" s="48">
        <f>'[18]Rev_SP-12me'!AQ187</f>
        <v>0</v>
      </c>
      <c r="G169" s="150">
        <f>'[18]Rev_SP-12me'!O187</f>
        <v>500</v>
      </c>
      <c r="H169" s="137">
        <f>'[18]Rev_SP-12me'!P187</f>
        <v>5.05</v>
      </c>
      <c r="I169" s="150">
        <f>'[18]Rev_SP-12me'!AA187</f>
        <v>3500</v>
      </c>
      <c r="J169" s="55"/>
      <c r="K169" s="136">
        <f>'[17]Rev_SP-12me'!AT187</f>
        <v>2.02597614991482</v>
      </c>
      <c r="L169" s="136">
        <f>'[17]Rev_SP-12me'!AU187</f>
        <v>4.859900325</v>
      </c>
      <c r="M169" s="136">
        <f>'[17]Rev_SP-12me'!AW187</f>
        <v>0.0021</v>
      </c>
      <c r="N169" s="158">
        <f t="shared" si="5"/>
        <v>6.88797647491482</v>
      </c>
    </row>
    <row r="170" ht="15" spans="2:14">
      <c r="B170" s="151" t="s">
        <v>1132</v>
      </c>
      <c r="C170" s="55"/>
      <c r="D170" s="48">
        <f>'[18]Rev_SP-12me'!AJ188</f>
        <v>0</v>
      </c>
      <c r="E170" s="48">
        <f>'[18]Rev_SP-12me'!AL188</f>
        <v>0</v>
      </c>
      <c r="F170" s="48">
        <f>'[18]Rev_SP-12me'!AQ188</f>
        <v>0</v>
      </c>
      <c r="G170" s="150">
        <f>'[18]Rev_SP-12me'!O188</f>
        <v>500</v>
      </c>
      <c r="H170" s="137">
        <f>'[18]Rev_SP-12me'!P188</f>
        <v>4.95</v>
      </c>
      <c r="I170" s="150">
        <f>'[18]Rev_SP-12me'!AA188</f>
        <v>3500</v>
      </c>
      <c r="J170" s="55"/>
      <c r="K170" s="136">
        <f>'[17]Rev_SP-12me'!AT188</f>
        <v>0</v>
      </c>
      <c r="L170" s="136">
        <f>'[17]Rev_SP-12me'!AU188</f>
        <v>0</v>
      </c>
      <c r="M170" s="136">
        <f>'[17]Rev_SP-12me'!AW188</f>
        <v>0</v>
      </c>
      <c r="N170" s="158">
        <f t="shared" si="5"/>
        <v>0</v>
      </c>
    </row>
    <row r="171" ht="15" spans="2:14">
      <c r="B171" s="151" t="s">
        <v>919</v>
      </c>
      <c r="C171" s="55"/>
      <c r="D171" s="48">
        <f>'[18]Rev_SP-12me'!AJ189</f>
        <v>38</v>
      </c>
      <c r="E171" s="48">
        <f>'[18]Rev_SP-12me'!AL189</f>
        <v>44.43704472375</v>
      </c>
      <c r="F171" s="48">
        <f>'[18]Rev_SP-12me'!AQ189</f>
        <v>188.407399757014</v>
      </c>
      <c r="G171" s="150">
        <f>'[18]Rev_SP-12me'!O189</f>
        <v>285</v>
      </c>
      <c r="H171" s="137">
        <f>'[18]Rev_SP-12me'!P189</f>
        <v>7.3</v>
      </c>
      <c r="I171" s="150">
        <f>'[18]Rev_SP-12me'!AA189</f>
        <v>3500</v>
      </c>
      <c r="J171" s="55"/>
      <c r="K171" s="136">
        <f>'[17]Rev_SP-12me'!AT189</f>
        <v>15.7204689413823</v>
      </c>
      <c r="L171" s="136">
        <f>'[17]Rev_SP-12me'!AU189</f>
        <v>117.828607272957</v>
      </c>
      <c r="M171" s="136">
        <f>'[17]Rev_SP-12me'!AW189</f>
        <v>0.0985046511627907</v>
      </c>
      <c r="N171" s="158">
        <f t="shared" si="5"/>
        <v>133.647580865502</v>
      </c>
    </row>
    <row r="172" ht="15" spans="2:14">
      <c r="B172" s="151" t="s">
        <v>1133</v>
      </c>
      <c r="C172" s="55"/>
      <c r="D172" s="48">
        <f>'[18]Rev_SP-12me'!AJ190</f>
        <v>10</v>
      </c>
      <c r="E172" s="48">
        <f>'[18]Rev_SP-12me'!AL190</f>
        <v>25.9703550617484</v>
      </c>
      <c r="F172" s="48">
        <f>'[18]Rev_SP-12me'!AQ190</f>
        <v>36.1256164370943</v>
      </c>
      <c r="G172" s="150">
        <f>'[18]Rev_SP-12me'!O190</f>
        <v>500</v>
      </c>
      <c r="H172" s="137">
        <f>'[18]Rev_SP-12me'!P190</f>
        <v>11</v>
      </c>
      <c r="I172" s="150">
        <f>'[18]Rev_SP-12me'!AA190</f>
        <v>3500</v>
      </c>
      <c r="J172" s="55"/>
      <c r="K172" s="136">
        <f>'[17]Rev_SP-12me'!AT190</f>
        <v>11.4760096610311</v>
      </c>
      <c r="L172" s="136">
        <f>'[17]Rev_SP-12me'!AU190</f>
        <v>46.9500749907876</v>
      </c>
      <c r="M172" s="136">
        <f>'[17]Rev_SP-12me'!AW190</f>
        <v>0.0374073170731707</v>
      </c>
      <c r="N172" s="158">
        <f t="shared" si="5"/>
        <v>58.4634919688919</v>
      </c>
    </row>
    <row r="173" ht="15" spans="2:14">
      <c r="B173" s="157" t="s">
        <v>1151</v>
      </c>
      <c r="C173" s="55"/>
      <c r="D173" s="78">
        <f>SUM(D128,D142,D147,D148,D154,D159,D164,D166,D168,D169,D170,D171,D172)</f>
        <v>776</v>
      </c>
      <c r="E173" s="78">
        <f>SUM(E128,E142,E147,E148,E154,E159,E164,E166,E168,E169,E170,E171,E172)</f>
        <v>1930.60578115968</v>
      </c>
      <c r="F173" s="78">
        <f>SUM(F128,F142,F147,F148,F154,F159,F164,F166,F168,F169,F170,F171,F172)</f>
        <v>10055.3104682285</v>
      </c>
      <c r="G173" s="198"/>
      <c r="H173" s="198"/>
      <c r="I173" s="198"/>
      <c r="J173" s="198"/>
      <c r="K173" s="149">
        <f t="shared" ref="K173:N173" si="6">SUM(K128,K142,K147,K148,K154,K159,K164,K166,K168,K169,K170,K171,K172)</f>
        <v>1002.72167453015</v>
      </c>
      <c r="L173" s="149">
        <f t="shared" si="6"/>
        <v>6762.42923325876</v>
      </c>
      <c r="M173" s="149">
        <f t="shared" si="6"/>
        <v>2.79712018809989</v>
      </c>
      <c r="N173" s="148">
        <f t="shared" si="6"/>
        <v>7767.94802797701</v>
      </c>
    </row>
    <row r="174" spans="2:14">
      <c r="B174" s="55"/>
      <c r="C174" s="55"/>
      <c r="D174" s="8"/>
      <c r="E174" s="8"/>
      <c r="F174" s="8"/>
      <c r="G174" s="55"/>
      <c r="H174" s="55"/>
      <c r="I174" s="55"/>
      <c r="J174" s="55"/>
      <c r="K174" s="55"/>
      <c r="L174" s="55"/>
      <c r="M174" s="55"/>
      <c r="N174" s="55"/>
    </row>
    <row r="175" spans="2:14">
      <c r="B175" s="151" t="s">
        <v>1152</v>
      </c>
      <c r="C175" s="55"/>
      <c r="D175" s="8"/>
      <c r="E175" s="8"/>
      <c r="F175" s="8"/>
      <c r="G175" s="55"/>
      <c r="H175" s="55"/>
      <c r="I175" s="55"/>
      <c r="J175" s="55"/>
      <c r="K175" s="55"/>
      <c r="L175" s="55"/>
      <c r="M175" s="55"/>
      <c r="N175" s="55"/>
    </row>
    <row r="176" ht="15" spans="2:14">
      <c r="B176" s="151" t="s">
        <v>1137</v>
      </c>
      <c r="C176" s="55"/>
      <c r="D176" s="48">
        <f>'[18]Rev_SP-12me'!AJ208</f>
        <v>50</v>
      </c>
      <c r="E176" s="48">
        <f>'[18]Rev_SP-12me'!AL208</f>
        <v>843.2565546825</v>
      </c>
      <c r="F176" s="48">
        <f>'[18]Rev_SP-12me'!AQ208</f>
        <v>3799.82800293829</v>
      </c>
      <c r="G176" s="150">
        <f>'[18]Rev_SP-12me'!O208</f>
        <v>0</v>
      </c>
      <c r="H176" s="137">
        <f>'[18]Rev_SP-12me'!P208</f>
        <v>0</v>
      </c>
      <c r="I176" s="150">
        <f>'[18]Rev_SP-12me'!AA208</f>
        <v>0</v>
      </c>
      <c r="J176" s="55"/>
      <c r="K176" s="136">
        <f>'[17]Rev_SP-12me'!AT208</f>
        <v>307.990157474177</v>
      </c>
      <c r="L176" s="136">
        <f>'[17]Rev_SP-12me'!AU208</f>
        <v>2850.92931790483</v>
      </c>
      <c r="M176" s="136">
        <f>'[17]Rev_SP-12me'!AW208</f>
        <v>0.258007939133311</v>
      </c>
      <c r="N176" s="158">
        <f t="shared" ref="N176:N217" si="7">SUM(K176:M176)</f>
        <v>3159.17748331814</v>
      </c>
    </row>
    <row r="177" spans="2:14">
      <c r="B177" s="154" t="s">
        <v>1105</v>
      </c>
      <c r="C177" s="55"/>
      <c r="D177" s="51">
        <f>'[18]Rev_SP-12me'!AJ209</f>
        <v>50</v>
      </c>
      <c r="E177" s="51">
        <f>'[18]Rev_SP-12me'!AL209</f>
        <v>843.2565546825</v>
      </c>
      <c r="F177" s="51">
        <f>'[18]Rev_SP-12me'!AQ209</f>
        <v>727.317196017259</v>
      </c>
      <c r="G177" s="153">
        <f>'[18]Rev_SP-12me'!O209</f>
        <v>500</v>
      </c>
      <c r="H177" s="101">
        <f>'[18]Rev_SP-12me'!P209</f>
        <v>6.65</v>
      </c>
      <c r="I177" s="153">
        <f>'[18]Rev_SP-12me'!AA209</f>
        <v>5000</v>
      </c>
      <c r="J177" s="55"/>
      <c r="K177" s="138">
        <f>'[17]Rev_SP-12me'!AT209</f>
        <v>307.990157474177</v>
      </c>
      <c r="L177" s="138">
        <f>'[17]Rev_SP-12me'!AU209</f>
        <v>902.159633888142</v>
      </c>
      <c r="M177" s="138">
        <f>'[17]Rev_SP-12me'!AW209</f>
        <v>0.258007939133311</v>
      </c>
      <c r="N177" s="146">
        <f t="shared" si="7"/>
        <v>1210.40779930145</v>
      </c>
    </row>
    <row r="178" spans="2:14">
      <c r="B178" s="154" t="s">
        <v>1139</v>
      </c>
      <c r="C178" s="55"/>
      <c r="D178" s="53">
        <f>'[18]Rev_SP-12me'!AJ210</f>
        <v>0</v>
      </c>
      <c r="E178" s="53">
        <f>'[18]Rev_SP-12me'!AL210</f>
        <v>0</v>
      </c>
      <c r="F178" s="53">
        <f>'[18]Rev_SP-12me'!AQ210</f>
        <v>220.344508273904</v>
      </c>
      <c r="G178" s="174">
        <f>'[18]Rev_SP-12me'!O210</f>
        <v>0</v>
      </c>
      <c r="H178" s="185">
        <f>'[18]Rev_SP-12me'!P210</f>
        <v>6.65</v>
      </c>
      <c r="I178" s="174">
        <f>'[18]Rev_SP-12me'!AA210</f>
        <v>5000</v>
      </c>
      <c r="J178" s="55"/>
      <c r="K178" s="139">
        <f>'[17]Rev_SP-12me'!AT210</f>
        <v>0</v>
      </c>
      <c r="L178" s="139">
        <f>'[17]Rev_SP-12me'!AU210</f>
        <v>0.000167248917933109</v>
      </c>
      <c r="M178" s="139">
        <f>'[17]Rev_SP-12me'!AW210</f>
        <v>0</v>
      </c>
      <c r="N178" s="146">
        <f t="shared" si="7"/>
        <v>0.000167248917933109</v>
      </c>
    </row>
    <row r="179" spans="2:14">
      <c r="B179" s="154" t="s">
        <v>1140</v>
      </c>
      <c r="C179" s="55"/>
      <c r="D179" s="53">
        <f>'[18]Rev_SP-12me'!AJ211</f>
        <v>0</v>
      </c>
      <c r="E179" s="53">
        <f>'[18]Rev_SP-12me'!AL211</f>
        <v>0</v>
      </c>
      <c r="F179" s="53">
        <f>'[18]Rev_SP-12me'!AQ211</f>
        <v>342.000435705284</v>
      </c>
      <c r="G179" s="174">
        <f>'[18]Rev_SP-12me'!O211</f>
        <v>0</v>
      </c>
      <c r="H179" s="185">
        <f>'[18]Rev_SP-12me'!P211</f>
        <v>7.3</v>
      </c>
      <c r="I179" s="174">
        <f>'[18]Rev_SP-12me'!AA211</f>
        <v>5000</v>
      </c>
      <c r="J179" s="55"/>
      <c r="K179" s="139">
        <f>'[17]Rev_SP-12me'!AT211</f>
        <v>0</v>
      </c>
      <c r="L179" s="139">
        <f>'[17]Rev_SP-12me'!AU211</f>
        <v>4.82571978426054</v>
      </c>
      <c r="M179" s="139">
        <f>'[17]Rev_SP-12me'!AW211</f>
        <v>0</v>
      </c>
      <c r="N179" s="146">
        <f t="shared" si="7"/>
        <v>4.82571978426054</v>
      </c>
    </row>
    <row r="180" spans="2:14">
      <c r="B180" s="154" t="s">
        <v>1141</v>
      </c>
      <c r="C180" s="55"/>
      <c r="D180" s="53">
        <f>'[18]Rev_SP-12me'!AJ212</f>
        <v>0</v>
      </c>
      <c r="E180" s="53">
        <f>'[18]Rev_SP-12me'!AL212</f>
        <v>0</v>
      </c>
      <c r="F180" s="53">
        <f>'[18]Rev_SP-12me'!AQ212</f>
        <v>0</v>
      </c>
      <c r="G180" s="174">
        <f>'[18]Rev_SP-12me'!O212</f>
        <v>500</v>
      </c>
      <c r="H180" s="185">
        <f>'[18]Rev_SP-12me'!P212</f>
        <v>7.7</v>
      </c>
      <c r="I180" s="174">
        <f>'[18]Rev_SP-12me'!AA212</f>
        <v>5000</v>
      </c>
      <c r="J180" s="55"/>
      <c r="K180" s="139">
        <f>'[17]Rev_SP-12me'!AT212</f>
        <v>0</v>
      </c>
      <c r="L180" s="139">
        <f>'[17]Rev_SP-12me'!AU212</f>
        <v>0</v>
      </c>
      <c r="M180" s="139">
        <f>'[17]Rev_SP-12me'!AW212</f>
        <v>0</v>
      </c>
      <c r="N180" s="146">
        <f t="shared" si="7"/>
        <v>0</v>
      </c>
    </row>
    <row r="181" spans="2:14">
      <c r="B181" s="156" t="s">
        <v>1120</v>
      </c>
      <c r="C181" s="55"/>
      <c r="D181" s="53">
        <f>'[18]Rev_SP-12me'!AJ213</f>
        <v>0</v>
      </c>
      <c r="E181" s="53">
        <f>'[18]Rev_SP-12me'!AL213</f>
        <v>0</v>
      </c>
      <c r="F181" s="53">
        <f>'[18]Rev_SP-12me'!AQ213</f>
        <v>586.236441608374</v>
      </c>
      <c r="G181" s="174">
        <f>'[18]Rev_SP-12me'!O213</f>
        <v>0</v>
      </c>
      <c r="H181" s="185">
        <f>'[18]Rev_SP-12me'!P213</f>
        <v>7.65</v>
      </c>
      <c r="I181" s="174">
        <f>'[18]Rev_SP-12me'!AA213</f>
        <v>5000</v>
      </c>
      <c r="J181" s="55"/>
      <c r="K181" s="139">
        <f>'[17]Rev_SP-12me'!AT213</f>
        <v>0</v>
      </c>
      <c r="L181" s="139">
        <f>'[17]Rev_SP-12me'!AU213</f>
        <v>565.019594678067</v>
      </c>
      <c r="M181" s="139">
        <f>'[17]Rev_SP-12me'!AW213</f>
        <v>0</v>
      </c>
      <c r="N181" s="146">
        <f t="shared" si="7"/>
        <v>565.019594678067</v>
      </c>
    </row>
    <row r="182" spans="2:14">
      <c r="B182" s="156" t="s">
        <v>1121</v>
      </c>
      <c r="C182" s="55"/>
      <c r="D182" s="53">
        <f>'[18]Rev_SP-12me'!AJ214</f>
        <v>0</v>
      </c>
      <c r="E182" s="53">
        <f>'[18]Rev_SP-12me'!AL214</f>
        <v>0</v>
      </c>
      <c r="F182" s="53">
        <f>'[18]Rev_SP-12me'!AQ214</f>
        <v>622.157482462135</v>
      </c>
      <c r="G182" s="174">
        <f>'[18]Rev_SP-12me'!O214</f>
        <v>0</v>
      </c>
      <c r="H182" s="185">
        <f>'[18]Rev_SP-12me'!P214</f>
        <v>7.65</v>
      </c>
      <c r="I182" s="174">
        <f>'[18]Rev_SP-12me'!AA214</f>
        <v>5000</v>
      </c>
      <c r="J182" s="55"/>
      <c r="K182" s="139">
        <f>'[17]Rev_SP-12me'!AT214</f>
        <v>0</v>
      </c>
      <c r="L182" s="139">
        <f>'[17]Rev_SP-12me'!AU214</f>
        <v>505.890091782912</v>
      </c>
      <c r="M182" s="139">
        <f>'[17]Rev_SP-12me'!AW214</f>
        <v>0</v>
      </c>
      <c r="N182" s="146">
        <f t="shared" si="7"/>
        <v>505.890091782912</v>
      </c>
    </row>
    <row r="183" spans="2:14">
      <c r="B183" s="156" t="s">
        <v>1122</v>
      </c>
      <c r="C183" s="55"/>
      <c r="D183" s="53">
        <f>'[18]Rev_SP-12me'!AJ215</f>
        <v>0</v>
      </c>
      <c r="E183" s="53">
        <f>'[18]Rev_SP-12me'!AL215</f>
        <v>0</v>
      </c>
      <c r="F183" s="53">
        <f>'[18]Rev_SP-12me'!AQ215</f>
        <v>1301.77193887133</v>
      </c>
      <c r="G183" s="174">
        <f>'[18]Rev_SP-12me'!O215</f>
        <v>0</v>
      </c>
      <c r="H183" s="185">
        <f>'[18]Rev_SP-12me'!P215</f>
        <v>5.15</v>
      </c>
      <c r="I183" s="174">
        <f>'[18]Rev_SP-12me'!AA215</f>
        <v>5000</v>
      </c>
      <c r="J183" s="55"/>
      <c r="K183" s="139">
        <f>'[17]Rev_SP-12me'!AT215</f>
        <v>0</v>
      </c>
      <c r="L183" s="139">
        <f>'[17]Rev_SP-12me'!AU215</f>
        <v>873.034110522528</v>
      </c>
      <c r="M183" s="139">
        <f>'[17]Rev_SP-12me'!AW215</f>
        <v>0</v>
      </c>
      <c r="N183" s="146">
        <f t="shared" si="7"/>
        <v>873.034110522528</v>
      </c>
    </row>
    <row r="184" ht="15" spans="2:14">
      <c r="B184" s="151" t="s">
        <v>1118</v>
      </c>
      <c r="C184" s="55"/>
      <c r="D184" s="87">
        <f>'[18]Rev_SP-12me'!AJ217</f>
        <v>0</v>
      </c>
      <c r="E184" s="48">
        <f>'[18]Rev_SP-12me'!AL217</f>
        <v>0</v>
      </c>
      <c r="F184" s="48">
        <f>'[18]Rev_SP-12me'!AQ217</f>
        <v>1202.64701559553</v>
      </c>
      <c r="G184" s="150">
        <f>'[18]Rev_SP-12me'!O217</f>
        <v>0</v>
      </c>
      <c r="H184" s="137">
        <f>'[18]Rev_SP-12me'!P217</f>
        <v>0</v>
      </c>
      <c r="I184" s="150"/>
      <c r="J184" s="55"/>
      <c r="K184" s="136">
        <f>'[17]Rev_SP-12me'!AT217</f>
        <v>68.821501711483</v>
      </c>
      <c r="L184" s="136">
        <f>'[17]Rev_SP-12me'!AU217</f>
        <v>893.612747824878</v>
      </c>
      <c r="M184" s="136">
        <f>'[17]Rev_SP-12me'!AW217</f>
        <v>0.018</v>
      </c>
      <c r="N184" s="158">
        <f t="shared" si="7"/>
        <v>962.452249536361</v>
      </c>
    </row>
    <row r="185" spans="2:14">
      <c r="B185" s="154" t="s">
        <v>1119</v>
      </c>
      <c r="C185" s="55"/>
      <c r="D185" s="86">
        <f>'[18]Rev_SP-12me'!AJ218</f>
        <v>0</v>
      </c>
      <c r="E185" s="85">
        <f>'[18]Rev_SP-12me'!AL218</f>
        <v>0</v>
      </c>
      <c r="F185" s="84">
        <f>'[18]Rev_SP-12me'!AQ218</f>
        <v>395.485654498784</v>
      </c>
      <c r="G185" s="179">
        <f>'[18]Rev_SP-12me'!O218</f>
        <v>500</v>
      </c>
      <c r="H185" s="185">
        <f>'[18]Rev_SP-12me'!P218</f>
        <v>6.65</v>
      </c>
      <c r="I185" s="174">
        <f>'[18]Rev_SP-12me'!AA218</f>
        <v>5000</v>
      </c>
      <c r="J185" s="55"/>
      <c r="K185" s="165">
        <f>'[17]Rev_SP-12me'!AT218</f>
        <v>68.821501711483</v>
      </c>
      <c r="L185" s="165">
        <f>'[17]Rev_SP-12me'!AU218</f>
        <v>297.669022927063</v>
      </c>
      <c r="M185" s="165">
        <f>'[17]Rev_SP-12me'!AW218</f>
        <v>0.018</v>
      </c>
      <c r="N185" s="146">
        <f t="shared" si="7"/>
        <v>366.508524638546</v>
      </c>
    </row>
    <row r="186" spans="2:14">
      <c r="B186" s="154" t="s">
        <v>1120</v>
      </c>
      <c r="C186" s="55"/>
      <c r="D186" s="86">
        <f>'[18]Rev_SP-12me'!AJ219</f>
        <v>0</v>
      </c>
      <c r="E186" s="86">
        <f>'[18]Rev_SP-12me'!AL219</f>
        <v>0</v>
      </c>
      <c r="F186" s="84">
        <f>'[18]Rev_SP-12me'!AQ219</f>
        <v>203.26388237159</v>
      </c>
      <c r="G186" s="179">
        <f>'[18]Rev_SP-12me'!O219</f>
        <v>0</v>
      </c>
      <c r="H186" s="185">
        <f>'[18]Rev_SP-12me'!P219</f>
        <v>7.65</v>
      </c>
      <c r="I186" s="174">
        <f>'[18]Rev_SP-12me'!AA219</f>
        <v>5000</v>
      </c>
      <c r="J186" s="55"/>
      <c r="K186" s="166">
        <f>'[17]Rev_SP-12me'!AT219</f>
        <v>0</v>
      </c>
      <c r="L186" s="166">
        <f>'[17]Rev_SP-12me'!AU219</f>
        <v>172.36168122286</v>
      </c>
      <c r="M186" s="166">
        <f>'[17]Rev_SP-12me'!AW219</f>
        <v>0</v>
      </c>
      <c r="N186" s="146">
        <f t="shared" si="7"/>
        <v>172.36168122286</v>
      </c>
    </row>
    <row r="187" spans="2:14">
      <c r="B187" s="154" t="s">
        <v>1121</v>
      </c>
      <c r="C187" s="55"/>
      <c r="D187" s="86">
        <f>'[18]Rev_SP-12me'!AJ220</f>
        <v>0</v>
      </c>
      <c r="E187" s="86">
        <f>'[18]Rev_SP-12me'!AL220</f>
        <v>0</v>
      </c>
      <c r="F187" s="84">
        <f>'[18]Rev_SP-12me'!AQ220</f>
        <v>200.300689142847</v>
      </c>
      <c r="G187" s="179">
        <f>'[18]Rev_SP-12me'!O220</f>
        <v>0</v>
      </c>
      <c r="H187" s="185">
        <f>'[18]Rev_SP-12me'!P220</f>
        <v>7.65</v>
      </c>
      <c r="I187" s="174">
        <f>'[18]Rev_SP-12me'!AA220</f>
        <v>5000</v>
      </c>
      <c r="J187" s="55"/>
      <c r="K187" s="166">
        <f>'[17]Rev_SP-12me'!AT220</f>
        <v>0</v>
      </c>
      <c r="L187" s="166">
        <f>'[17]Rev_SP-12me'!AU220</f>
        <v>171.541478208151</v>
      </c>
      <c r="M187" s="166">
        <f>'[17]Rev_SP-12me'!AW220</f>
        <v>0</v>
      </c>
      <c r="N187" s="146">
        <f t="shared" si="7"/>
        <v>171.541478208151</v>
      </c>
    </row>
    <row r="188" spans="2:14">
      <c r="B188" s="154" t="s">
        <v>1122</v>
      </c>
      <c r="C188" s="55"/>
      <c r="D188" s="86">
        <f>'[18]Rev_SP-12me'!AJ221</f>
        <v>0</v>
      </c>
      <c r="E188" s="86">
        <f>'[18]Rev_SP-12me'!AL221</f>
        <v>0</v>
      </c>
      <c r="F188" s="84">
        <f>'[18]Rev_SP-12me'!AQ221</f>
        <v>403.596789582306</v>
      </c>
      <c r="G188" s="179">
        <f>'[18]Rev_SP-12me'!O221</f>
        <v>0</v>
      </c>
      <c r="H188" s="185">
        <f>'[18]Rev_SP-12me'!P221</f>
        <v>5.15</v>
      </c>
      <c r="I188" s="174">
        <f>'[18]Rev_SP-12me'!AA221</f>
        <v>5000</v>
      </c>
      <c r="J188" s="55"/>
      <c r="K188" s="166">
        <f>'[17]Rev_SP-12me'!AT221</f>
        <v>0</v>
      </c>
      <c r="L188" s="166">
        <f>'[17]Rev_SP-12me'!AU221</f>
        <v>252.040565466804</v>
      </c>
      <c r="M188" s="166">
        <f>'[17]Rev_SP-12me'!AW221</f>
        <v>0</v>
      </c>
      <c r="N188" s="146">
        <f t="shared" si="7"/>
        <v>252.040565466804</v>
      </c>
    </row>
    <row r="189" ht="15" spans="2:14">
      <c r="B189" s="151" t="s">
        <v>1153</v>
      </c>
      <c r="C189" s="55"/>
      <c r="D189" s="87">
        <f>'[18]Rev_SP-12me'!AJ216</f>
        <v>0</v>
      </c>
      <c r="E189" s="48">
        <f>'[18]Rev_SP-12me'!AL216</f>
        <v>0</v>
      </c>
      <c r="F189" s="48">
        <f>'[18]Rev_SP-12me'!AQ216</f>
        <v>152.9334297</v>
      </c>
      <c r="G189" s="150">
        <f>'[18]Rev_SP-12me'!O216</f>
        <v>500</v>
      </c>
      <c r="H189" s="137">
        <f>'[18]Rev_SP-12me'!P216</f>
        <v>6.65</v>
      </c>
      <c r="I189" s="150">
        <f>'[18]Rev_SP-12me'!AA216</f>
        <v>5000</v>
      </c>
      <c r="J189" s="55"/>
      <c r="K189" s="136">
        <f>'[17]Rev_SP-12me'!AT216</f>
        <v>30.7570398126464</v>
      </c>
      <c r="L189" s="136">
        <f>'[17]Rev_SP-12me'!AU216</f>
        <v>103.88401905</v>
      </c>
      <c r="M189" s="136">
        <f>'[17]Rev_SP-12me'!AW216</f>
        <v>0.012</v>
      </c>
      <c r="N189" s="158">
        <f t="shared" si="7"/>
        <v>134.653058862646</v>
      </c>
    </row>
    <row r="190" ht="15" spans="2:14">
      <c r="B190" s="151" t="s">
        <v>1154</v>
      </c>
      <c r="C190" s="55"/>
      <c r="D190" s="48">
        <f>'[18]Rev_SP-12me'!AJ222</f>
        <v>10</v>
      </c>
      <c r="E190" s="48">
        <f>'[18]Rev_SP-12me'!AL222</f>
        <v>90.38962967643</v>
      </c>
      <c r="F190" s="48">
        <f>'[18]Rev_SP-12me'!AQ222</f>
        <v>345.646916498293</v>
      </c>
      <c r="G190" s="150">
        <f>'[18]Rev_SP-12me'!O222</f>
        <v>0</v>
      </c>
      <c r="H190" s="137">
        <f>'[18]Rev_SP-12me'!P222</f>
        <v>0</v>
      </c>
      <c r="I190" s="150">
        <f>'[18]Rev_SP-12me'!AA222</f>
        <v>0</v>
      </c>
      <c r="J190" s="55"/>
      <c r="K190" s="136">
        <f>'[17]Rev_SP-12me'!AT222</f>
        <v>9.15995954310553</v>
      </c>
      <c r="L190" s="136">
        <f>'[17]Rev_SP-12me'!AU222</f>
        <v>101.033225544465</v>
      </c>
      <c r="M190" s="136">
        <f>'[17]Rev_SP-12me'!AW222</f>
        <v>0.0315933046821986</v>
      </c>
      <c r="N190" s="158">
        <f t="shared" si="7"/>
        <v>110.224778392253</v>
      </c>
    </row>
    <row r="191" spans="2:14">
      <c r="B191" s="156" t="s">
        <v>1119</v>
      </c>
      <c r="C191" s="55"/>
      <c r="D191" s="53">
        <f>'[18]Rev_SP-12me'!AJ223</f>
        <v>10</v>
      </c>
      <c r="E191" s="53">
        <f>'[18]Rev_SP-12me'!AL223</f>
        <v>90.38962967643</v>
      </c>
      <c r="F191" s="53">
        <f>'[18]Rev_SP-12me'!AQ223</f>
        <v>139.212098034898</v>
      </c>
      <c r="G191" s="174">
        <f>'[18]Rev_SP-12me'!O223</f>
        <v>500</v>
      </c>
      <c r="H191" s="185">
        <f>'[18]Rev_SP-12me'!P223</f>
        <v>7.8</v>
      </c>
      <c r="I191" s="174">
        <f>'[18]Rev_SP-12me'!AA223</f>
        <v>5000</v>
      </c>
      <c r="J191" s="55"/>
      <c r="K191" s="139">
        <f>'[17]Rev_SP-12me'!AT223</f>
        <v>9.15995954310553</v>
      </c>
      <c r="L191" s="139">
        <f>'[17]Rev_SP-12me'!AU223</f>
        <v>42.4263686046591</v>
      </c>
      <c r="M191" s="139">
        <f>'[17]Rev_SP-12me'!AW223</f>
        <v>0.0315933046821986</v>
      </c>
      <c r="N191" s="146">
        <f t="shared" si="7"/>
        <v>51.6179214524468</v>
      </c>
    </row>
    <row r="192" spans="2:14">
      <c r="B192" s="156" t="s">
        <v>1120</v>
      </c>
      <c r="C192" s="55"/>
      <c r="D192" s="53">
        <f>'[18]Rev_SP-12me'!AJ224</f>
        <v>0</v>
      </c>
      <c r="E192" s="53">
        <f>'[18]Rev_SP-12me'!AL224</f>
        <v>0</v>
      </c>
      <c r="F192" s="53">
        <f>'[18]Rev_SP-12me'!AQ224</f>
        <v>54.3700971181525</v>
      </c>
      <c r="G192" s="174">
        <f>'[18]Rev_SP-12me'!O224</f>
        <v>0</v>
      </c>
      <c r="H192" s="185">
        <f>'[18]Rev_SP-12me'!P224</f>
        <v>8.8</v>
      </c>
      <c r="I192" s="174">
        <f>'[18]Rev_SP-12me'!AA224</f>
        <v>5000</v>
      </c>
      <c r="J192" s="55"/>
      <c r="K192" s="139">
        <f>'[17]Rev_SP-12me'!AT224</f>
        <v>0</v>
      </c>
      <c r="L192" s="139">
        <f>'[17]Rev_SP-12me'!AU224</f>
        <v>17.8797336136675</v>
      </c>
      <c r="M192" s="139">
        <f>'[17]Rev_SP-12me'!AW224</f>
        <v>0</v>
      </c>
      <c r="N192" s="146">
        <f t="shared" si="7"/>
        <v>17.8797336136675</v>
      </c>
    </row>
    <row r="193" spans="2:14">
      <c r="B193" s="156" t="s">
        <v>1121</v>
      </c>
      <c r="C193" s="55"/>
      <c r="D193" s="53">
        <f>'[18]Rev_SP-12me'!AJ225</f>
        <v>0</v>
      </c>
      <c r="E193" s="53">
        <f>'[18]Rev_SP-12me'!AL225</f>
        <v>0</v>
      </c>
      <c r="F193" s="53">
        <f>'[18]Rev_SP-12me'!AQ225</f>
        <v>55.171014834488</v>
      </c>
      <c r="G193" s="174">
        <f>'[18]Rev_SP-12me'!O225</f>
        <v>0</v>
      </c>
      <c r="H193" s="185">
        <f>'[18]Rev_SP-12me'!P225</f>
        <v>8.8</v>
      </c>
      <c r="I193" s="174">
        <f>'[18]Rev_SP-12me'!AA225</f>
        <v>5000</v>
      </c>
      <c r="J193" s="55"/>
      <c r="K193" s="139">
        <f>'[17]Rev_SP-12me'!AT225</f>
        <v>0</v>
      </c>
      <c r="L193" s="139">
        <f>'[17]Rev_SP-12me'!AU225</f>
        <v>17.7149489793464</v>
      </c>
      <c r="M193" s="139">
        <f>'[17]Rev_SP-12me'!AW225</f>
        <v>0</v>
      </c>
      <c r="N193" s="146">
        <f t="shared" si="7"/>
        <v>17.7149489793464</v>
      </c>
    </row>
    <row r="194" spans="2:14">
      <c r="B194" s="156" t="s">
        <v>1122</v>
      </c>
      <c r="C194" s="55"/>
      <c r="D194" s="53">
        <f>'[18]Rev_SP-12me'!AJ226</f>
        <v>0</v>
      </c>
      <c r="E194" s="53">
        <f>'[18]Rev_SP-12me'!AL226</f>
        <v>0</v>
      </c>
      <c r="F194" s="53">
        <f>'[18]Rev_SP-12me'!AQ226</f>
        <v>96.8937065107546</v>
      </c>
      <c r="G194" s="174">
        <f>'[18]Rev_SP-12me'!O226</f>
        <v>0</v>
      </c>
      <c r="H194" s="185">
        <f>'[18]Rev_SP-12me'!P226</f>
        <v>6.3</v>
      </c>
      <c r="I194" s="174">
        <f>'[18]Rev_SP-12me'!AA226</f>
        <v>5000</v>
      </c>
      <c r="J194" s="55"/>
      <c r="K194" s="139">
        <f>'[17]Rev_SP-12me'!AT226</f>
        <v>0</v>
      </c>
      <c r="L194" s="139">
        <f>'[17]Rev_SP-12me'!AU226</f>
        <v>23.0121743467922</v>
      </c>
      <c r="M194" s="139">
        <f>'[17]Rev_SP-12me'!AW226</f>
        <v>0</v>
      </c>
      <c r="N194" s="146">
        <f t="shared" si="7"/>
        <v>23.0121743467922</v>
      </c>
    </row>
    <row r="195" ht="15" spans="2:14">
      <c r="B195" s="151" t="s">
        <v>1125</v>
      </c>
      <c r="C195" s="55"/>
      <c r="D195" s="48">
        <f>'[18]Rev_SP-12me'!AJ227</f>
        <v>0</v>
      </c>
      <c r="E195" s="48">
        <f>'[18]Rev_SP-12me'!AL227</f>
        <v>0</v>
      </c>
      <c r="F195" s="48">
        <f>'[18]Rev_SP-12me'!AQ227</f>
        <v>0</v>
      </c>
      <c r="G195" s="150">
        <f>'[18]Rev_SP-12me'!O227</f>
        <v>0</v>
      </c>
      <c r="H195" s="137">
        <f>'[18]Rev_SP-12me'!P227</f>
        <v>0</v>
      </c>
      <c r="I195" s="150">
        <f>'[18]Rev_SP-12me'!AA227</f>
        <v>0</v>
      </c>
      <c r="J195" s="55"/>
      <c r="K195" s="136">
        <f>'[17]Rev_SP-12me'!AT227</f>
        <v>0</v>
      </c>
      <c r="L195" s="136">
        <f>'[17]Rev_SP-12me'!AU227</f>
        <v>0</v>
      </c>
      <c r="M195" s="136">
        <f>'[17]Rev_SP-12me'!AW227</f>
        <v>0</v>
      </c>
      <c r="N195" s="158">
        <f t="shared" si="7"/>
        <v>0</v>
      </c>
    </row>
    <row r="196" spans="2:14">
      <c r="B196" s="154" t="s">
        <v>1119</v>
      </c>
      <c r="C196" s="55"/>
      <c r="D196" s="53">
        <f>'[18]Rev_SP-12me'!AJ228</f>
        <v>0</v>
      </c>
      <c r="E196" s="53">
        <f>'[18]Rev_SP-12me'!AL228</f>
        <v>0</v>
      </c>
      <c r="F196" s="53">
        <f>'[18]Rev_SP-12me'!AQ228</f>
        <v>0</v>
      </c>
      <c r="G196" s="174">
        <f>'[18]Rev_SP-12me'!O228</f>
        <v>285</v>
      </c>
      <c r="H196" s="185">
        <f>'[18]Rev_SP-12me'!P228</f>
        <v>5</v>
      </c>
      <c r="I196" s="174">
        <f>'[18]Rev_SP-12me'!AA228</f>
        <v>5000</v>
      </c>
      <c r="J196" s="55"/>
      <c r="K196" s="139">
        <f>'[17]Rev_SP-12me'!AT228</f>
        <v>0</v>
      </c>
      <c r="L196" s="139">
        <f>'[17]Rev_SP-12me'!AU228</f>
        <v>0</v>
      </c>
      <c r="M196" s="139">
        <f>'[17]Rev_SP-12me'!AW228</f>
        <v>0</v>
      </c>
      <c r="N196" s="146">
        <f t="shared" si="7"/>
        <v>0</v>
      </c>
    </row>
    <row r="197" spans="2:14">
      <c r="B197" s="154" t="s">
        <v>1120</v>
      </c>
      <c r="C197" s="55"/>
      <c r="D197" s="53">
        <f>'[18]Rev_SP-12me'!AJ229</f>
        <v>0</v>
      </c>
      <c r="E197" s="53">
        <f>'[18]Rev_SP-12me'!AL229</f>
        <v>0</v>
      </c>
      <c r="F197" s="53">
        <f>'[18]Rev_SP-12me'!AQ229</f>
        <v>0</v>
      </c>
      <c r="G197" s="174">
        <f>'[18]Rev_SP-12me'!O229</f>
        <v>0</v>
      </c>
      <c r="H197" s="185">
        <f>'[18]Rev_SP-12me'!P229</f>
        <v>6</v>
      </c>
      <c r="I197" s="174">
        <f>'[18]Rev_SP-12me'!AA229</f>
        <v>5000</v>
      </c>
      <c r="J197" s="55"/>
      <c r="K197" s="139">
        <f>'[17]Rev_SP-12me'!AT229</f>
        <v>0</v>
      </c>
      <c r="L197" s="139">
        <f>'[17]Rev_SP-12me'!AU229</f>
        <v>0</v>
      </c>
      <c r="M197" s="139">
        <f>'[17]Rev_SP-12me'!AW229</f>
        <v>0</v>
      </c>
      <c r="N197" s="146">
        <f t="shared" si="7"/>
        <v>0</v>
      </c>
    </row>
    <row r="198" spans="2:14">
      <c r="B198" s="154" t="s">
        <v>1121</v>
      </c>
      <c r="C198" s="55"/>
      <c r="D198" s="53">
        <f>'[18]Rev_SP-12me'!AJ230</f>
        <v>0</v>
      </c>
      <c r="E198" s="53">
        <f>'[18]Rev_SP-12me'!AL230</f>
        <v>0</v>
      </c>
      <c r="F198" s="53">
        <f>'[18]Rev_SP-12me'!AQ230</f>
        <v>0</v>
      </c>
      <c r="G198" s="174">
        <f>'[18]Rev_SP-12me'!O230</f>
        <v>0</v>
      </c>
      <c r="H198" s="185">
        <f>'[18]Rev_SP-12me'!P230</f>
        <v>6</v>
      </c>
      <c r="I198" s="174">
        <f>'[18]Rev_SP-12me'!AA230</f>
        <v>5000</v>
      </c>
      <c r="J198" s="55"/>
      <c r="K198" s="139">
        <f>'[17]Rev_SP-12me'!AT230</f>
        <v>0</v>
      </c>
      <c r="L198" s="139">
        <f>'[17]Rev_SP-12me'!AU230</f>
        <v>0</v>
      </c>
      <c r="M198" s="139">
        <f>'[17]Rev_SP-12me'!AW230</f>
        <v>0</v>
      </c>
      <c r="N198" s="146">
        <f t="shared" si="7"/>
        <v>0</v>
      </c>
    </row>
    <row r="199" spans="2:14">
      <c r="B199" s="154" t="s">
        <v>1122</v>
      </c>
      <c r="C199" s="55"/>
      <c r="D199" s="53">
        <f>'[18]Rev_SP-12me'!AJ231</f>
        <v>0</v>
      </c>
      <c r="E199" s="53">
        <f>'[18]Rev_SP-12me'!AL231</f>
        <v>0</v>
      </c>
      <c r="F199" s="53">
        <f>'[18]Rev_SP-12me'!AQ231</f>
        <v>0</v>
      </c>
      <c r="G199" s="174">
        <f>'[18]Rev_SP-12me'!O231</f>
        <v>0</v>
      </c>
      <c r="H199" s="185">
        <f>'[18]Rev_SP-12me'!P231</f>
        <v>3.5</v>
      </c>
      <c r="I199" s="174">
        <f>'[18]Rev_SP-12me'!AA231</f>
        <v>5000</v>
      </c>
      <c r="J199" s="55"/>
      <c r="K199" s="139">
        <f>'[17]Rev_SP-12me'!AT231</f>
        <v>0</v>
      </c>
      <c r="L199" s="139">
        <f>'[17]Rev_SP-12me'!AU231</f>
        <v>0</v>
      </c>
      <c r="M199" s="139">
        <f>'[17]Rev_SP-12me'!AW231</f>
        <v>0</v>
      </c>
      <c r="N199" s="146">
        <f t="shared" si="7"/>
        <v>0</v>
      </c>
    </row>
    <row r="200" ht="15" spans="2:14">
      <c r="B200" s="151" t="s">
        <v>1126</v>
      </c>
      <c r="C200" s="55"/>
      <c r="D200" s="48">
        <f>'[18]Rev_SP-12me'!AJ232</f>
        <v>1</v>
      </c>
      <c r="E200" s="48">
        <f>'[18]Rev_SP-12me'!AL232</f>
        <v>18.9766627999478</v>
      </c>
      <c r="F200" s="48">
        <f>'[18]Rev_SP-12me'!AQ232</f>
        <v>133.669346242745</v>
      </c>
      <c r="G200" s="150">
        <f>'[18]Rev_SP-12me'!O232</f>
        <v>0</v>
      </c>
      <c r="H200" s="137">
        <f>'[18]Rev_SP-12me'!P232</f>
        <v>0</v>
      </c>
      <c r="I200" s="150">
        <f>'[18]Rev_SP-12me'!AA232</f>
        <v>0</v>
      </c>
      <c r="J200" s="55"/>
      <c r="K200" s="136">
        <f>'[17]Rev_SP-12me'!AT232</f>
        <v>5.28813559322034</v>
      </c>
      <c r="L200" s="136">
        <f>'[17]Rev_SP-12me'!AU232</f>
        <v>65.6242295866007</v>
      </c>
      <c r="M200" s="136">
        <f>'[17]Rev_SP-12me'!AW232</f>
        <v>0.006</v>
      </c>
      <c r="N200" s="158">
        <f t="shared" si="7"/>
        <v>70.9183651798211</v>
      </c>
    </row>
    <row r="201" spans="2:14">
      <c r="B201" s="156" t="s">
        <v>1119</v>
      </c>
      <c r="C201" s="55"/>
      <c r="D201" s="53">
        <f>'[18]Rev_SP-12me'!AJ233</f>
        <v>1</v>
      </c>
      <c r="E201" s="53">
        <f>'[18]Rev_SP-12me'!AL233</f>
        <v>18.9766627999478</v>
      </c>
      <c r="F201" s="53">
        <f>'[18]Rev_SP-12me'!AQ233</f>
        <v>38.7097992593339</v>
      </c>
      <c r="G201" s="174">
        <f>'[18]Rev_SP-12me'!O233</f>
        <v>500</v>
      </c>
      <c r="H201" s="185">
        <f>'[18]Rev_SP-12me'!P233</f>
        <v>7.45</v>
      </c>
      <c r="I201" s="174">
        <f>'[18]Rev_SP-12me'!AA233</f>
        <v>5000</v>
      </c>
      <c r="J201" s="55"/>
      <c r="K201" s="139">
        <f>'[17]Rev_SP-12me'!AT233</f>
        <v>5.28813559322034</v>
      </c>
      <c r="L201" s="139">
        <f>'[17]Rev_SP-12me'!AU233</f>
        <v>18.7213219017458</v>
      </c>
      <c r="M201" s="139">
        <f>'[17]Rev_SP-12me'!AW233</f>
        <v>0.006</v>
      </c>
      <c r="N201" s="146">
        <f t="shared" si="7"/>
        <v>24.0154574949661</v>
      </c>
    </row>
    <row r="202" spans="2:14">
      <c r="B202" s="156" t="s">
        <v>1120</v>
      </c>
      <c r="C202" s="55"/>
      <c r="D202" s="53">
        <f>'[18]Rev_SP-12me'!AJ234</f>
        <v>0</v>
      </c>
      <c r="E202" s="53">
        <f>'[18]Rev_SP-12me'!AL234</f>
        <v>0</v>
      </c>
      <c r="F202" s="53">
        <f>'[18]Rev_SP-12me'!AQ234</f>
        <v>23.9109256623896</v>
      </c>
      <c r="G202" s="174">
        <f>'[18]Rev_SP-12me'!O234</f>
        <v>0</v>
      </c>
      <c r="H202" s="185">
        <f>'[18]Rev_SP-12me'!P234</f>
        <v>8.45</v>
      </c>
      <c r="I202" s="174">
        <f>'[18]Rev_SP-12me'!AA234</f>
        <v>5000</v>
      </c>
      <c r="J202" s="55"/>
      <c r="K202" s="139">
        <f>'[17]Rev_SP-12me'!AT234</f>
        <v>0</v>
      </c>
      <c r="L202" s="139">
        <f>'[17]Rev_SP-12me'!AU234</f>
        <v>15.1585925241844</v>
      </c>
      <c r="M202" s="139">
        <f>'[17]Rev_SP-12me'!AW234</f>
        <v>0</v>
      </c>
      <c r="N202" s="146">
        <f t="shared" si="7"/>
        <v>15.1585925241844</v>
      </c>
    </row>
    <row r="203" spans="2:14">
      <c r="B203" s="156" t="s">
        <v>1121</v>
      </c>
      <c r="C203" s="55"/>
      <c r="D203" s="53">
        <f>'[18]Rev_SP-12me'!AJ235</f>
        <v>0</v>
      </c>
      <c r="E203" s="53">
        <f>'[18]Rev_SP-12me'!AL235</f>
        <v>0</v>
      </c>
      <c r="F203" s="53">
        <f>'[18]Rev_SP-12me'!AQ235</f>
        <v>23.1132319111684</v>
      </c>
      <c r="G203" s="174">
        <f>'[18]Rev_SP-12me'!O235</f>
        <v>0</v>
      </c>
      <c r="H203" s="185">
        <f>'[18]Rev_SP-12me'!P235</f>
        <v>8.45</v>
      </c>
      <c r="I203" s="174">
        <f>'[18]Rev_SP-12me'!AA235</f>
        <v>5000</v>
      </c>
      <c r="J203" s="55"/>
      <c r="K203" s="139">
        <f>'[17]Rev_SP-12me'!AT235</f>
        <v>0</v>
      </c>
      <c r="L203" s="139">
        <f>'[17]Rev_SP-12me'!AU235</f>
        <v>11.1727127918448</v>
      </c>
      <c r="M203" s="139">
        <f>'[17]Rev_SP-12me'!AW235</f>
        <v>0</v>
      </c>
      <c r="N203" s="146">
        <f t="shared" si="7"/>
        <v>11.1727127918448</v>
      </c>
    </row>
    <row r="204" spans="2:14">
      <c r="B204" s="156" t="s">
        <v>1122</v>
      </c>
      <c r="C204" s="55"/>
      <c r="D204" s="53">
        <f>'[18]Rev_SP-12me'!AJ236</f>
        <v>0</v>
      </c>
      <c r="E204" s="53">
        <f>'[18]Rev_SP-12me'!AL236</f>
        <v>0</v>
      </c>
      <c r="F204" s="53">
        <f>'[18]Rev_SP-12me'!AQ236</f>
        <v>47.9353894098535</v>
      </c>
      <c r="G204" s="174">
        <f>'[18]Rev_SP-12me'!O236</f>
        <v>0</v>
      </c>
      <c r="H204" s="185">
        <f>'[18]Rev_SP-12me'!P236</f>
        <v>5.95</v>
      </c>
      <c r="I204" s="174">
        <f>'[18]Rev_SP-12me'!AA236</f>
        <v>5000</v>
      </c>
      <c r="J204" s="55"/>
      <c r="K204" s="139">
        <f>'[17]Rev_SP-12me'!AT236</f>
        <v>0</v>
      </c>
      <c r="L204" s="139">
        <f>'[17]Rev_SP-12me'!AU236</f>
        <v>20.5716023688257</v>
      </c>
      <c r="M204" s="139">
        <f>'[17]Rev_SP-12me'!AW236</f>
        <v>0</v>
      </c>
      <c r="N204" s="146">
        <f t="shared" si="7"/>
        <v>20.5716023688257</v>
      </c>
    </row>
    <row r="205" ht="15" spans="2:14">
      <c r="B205" s="151" t="s">
        <v>1155</v>
      </c>
      <c r="C205" s="55"/>
      <c r="D205" s="48">
        <f>'[18]Rev_SP-12me'!AJ237</f>
        <v>21</v>
      </c>
      <c r="E205" s="48">
        <f>'[18]Rev_SP-12me'!AL237</f>
        <v>729.45965295</v>
      </c>
      <c r="F205" s="48">
        <f>'[18]Rev_SP-12me'!AQ237</f>
        <v>1644.29824476694</v>
      </c>
      <c r="G205" s="150">
        <f>'[18]Rev_SP-12me'!O237</f>
        <v>0</v>
      </c>
      <c r="H205" s="137">
        <f>'[18]Rev_SP-12me'!P237</f>
        <v>0</v>
      </c>
      <c r="I205" s="150">
        <f>'[18]Rev_SP-12me'!AA237</f>
        <v>0</v>
      </c>
      <c r="J205" s="55"/>
      <c r="K205" s="136">
        <f>'[17]Rev_SP-12me'!AT237</f>
        <v>283.942435615959</v>
      </c>
      <c r="L205" s="136">
        <f>'[17]Rev_SP-12me'!AU237</f>
        <v>759.6803097261</v>
      </c>
      <c r="M205" s="136">
        <f>'[17]Rev_SP-12me'!AW237</f>
        <v>0.123466216216216</v>
      </c>
      <c r="N205" s="158">
        <f t="shared" si="7"/>
        <v>1043.74621155828</v>
      </c>
    </row>
    <row r="206" spans="2:14">
      <c r="B206" s="154" t="s">
        <v>1128</v>
      </c>
      <c r="C206" s="55"/>
      <c r="D206" s="53">
        <f>'[18]Rev_SP-12me'!AJ238</f>
        <v>21</v>
      </c>
      <c r="E206" s="53">
        <f>'[18]Rev_SP-12me'!AL238</f>
        <v>729.45965295</v>
      </c>
      <c r="F206" s="53">
        <f>'[18]Rev_SP-12me'!AQ238</f>
        <v>1644.29824476694</v>
      </c>
      <c r="G206" s="174">
        <f>'[18]Rev_SP-12me'!O238</f>
        <v>300</v>
      </c>
      <c r="H206" s="185">
        <f>'[18]Rev_SP-12me'!P238</f>
        <v>6.3</v>
      </c>
      <c r="I206" s="174">
        <f>'[18]Rev_SP-12me'!AA238</f>
        <v>5000</v>
      </c>
      <c r="J206" s="55"/>
      <c r="K206" s="139">
        <f>'[17]Rev_SP-12me'!AT238</f>
        <v>283.942435615959</v>
      </c>
      <c r="L206" s="139">
        <f>'[17]Rev_SP-12me'!AU238</f>
        <v>759.6803097261</v>
      </c>
      <c r="M206" s="139">
        <f>'[17]Rev_SP-12me'!AW238</f>
        <v>0.123466216216216</v>
      </c>
      <c r="N206" s="146">
        <f t="shared" si="7"/>
        <v>1043.74621155828</v>
      </c>
    </row>
    <row r="207" spans="2:14">
      <c r="B207" s="154" t="s">
        <v>1156</v>
      </c>
      <c r="C207" s="55"/>
      <c r="D207" s="53">
        <f>'[18]Rev_SP-12me'!AJ239</f>
        <v>0</v>
      </c>
      <c r="E207" s="53">
        <f>'[18]Rev_SP-12me'!AL239</f>
        <v>0</v>
      </c>
      <c r="F207" s="53">
        <f>'[18]Rev_SP-12me'!AQ239</f>
        <v>0</v>
      </c>
      <c r="G207" s="174">
        <f>'[18]Rev_SP-12me'!O239</f>
        <v>300</v>
      </c>
      <c r="H207" s="185">
        <f>'[18]Rev_SP-12me'!P239</f>
        <v>6.3</v>
      </c>
      <c r="I207" s="174">
        <f>'[18]Rev_SP-12me'!AA239</f>
        <v>5000</v>
      </c>
      <c r="J207" s="55"/>
      <c r="K207" s="139">
        <f>'[17]Rev_SP-12me'!AT239</f>
        <v>0</v>
      </c>
      <c r="L207" s="139">
        <f>'[17]Rev_SP-12me'!AU239</f>
        <v>0</v>
      </c>
      <c r="M207" s="139">
        <f>'[17]Rev_SP-12me'!AW239</f>
        <v>0</v>
      </c>
      <c r="N207" s="146">
        <f t="shared" si="7"/>
        <v>0</v>
      </c>
    </row>
    <row r="208" ht="15" spans="2:14">
      <c r="B208" s="151" t="s">
        <v>1157</v>
      </c>
      <c r="C208" s="55"/>
      <c r="D208" s="87">
        <f>'[18]Rev_SP-12me'!AJ247</f>
        <v>2</v>
      </c>
      <c r="E208" s="48">
        <f>'[18]Rev_SP-12me'!AL247</f>
        <v>56.475972</v>
      </c>
      <c r="F208" s="48">
        <f>'[18]Rev_SP-12me'!AQ247</f>
        <v>311.591330244946</v>
      </c>
      <c r="G208" s="150">
        <f>'[18]Rev_SP-12me'!O247</f>
        <v>0</v>
      </c>
      <c r="H208" s="137">
        <f>'[18]Rev_SP-12me'!P247</f>
        <v>0</v>
      </c>
      <c r="I208" s="150">
        <f>'[18]Rev_SP-12me'!AA247</f>
        <v>0</v>
      </c>
      <c r="J208" s="55"/>
      <c r="K208" s="136">
        <f>'[17]Rev_SP-12me'!AT247</f>
        <v>0</v>
      </c>
      <c r="L208" s="136">
        <f>'[17]Rev_SP-12me'!AU247</f>
        <v>175.529955792412</v>
      </c>
      <c r="M208" s="136">
        <f>'[17]Rev_SP-12me'!AW247</f>
        <v>0.012</v>
      </c>
      <c r="N208" s="158">
        <f t="shared" si="7"/>
        <v>175.541955792412</v>
      </c>
    </row>
    <row r="209" spans="2:14">
      <c r="B209" s="154" t="s">
        <v>220</v>
      </c>
      <c r="C209" s="55"/>
      <c r="D209" s="86">
        <f>'[18]Rev_SP-12me'!AJ248</f>
        <v>2</v>
      </c>
      <c r="E209" s="53">
        <f>'[18]Rev_SP-12me'!AL248</f>
        <v>56.475972</v>
      </c>
      <c r="F209" s="53">
        <f>'[18]Rev_SP-12me'!AQ248</f>
        <v>311.591330244946</v>
      </c>
      <c r="G209" s="174">
        <f>'[18]Rev_SP-12me'!O248</f>
        <v>0</v>
      </c>
      <c r="H209" s="185">
        <f>'[18]Rev_SP-12me'!P248</f>
        <v>6.1</v>
      </c>
      <c r="I209" s="174">
        <f>'[18]Rev_SP-12me'!AA248</f>
        <v>5000</v>
      </c>
      <c r="J209" s="55"/>
      <c r="K209" s="139">
        <f>'[17]Rev_SP-12me'!AT248</f>
        <v>0</v>
      </c>
      <c r="L209" s="139">
        <f>'[17]Rev_SP-12me'!AU248</f>
        <v>175.529955792412</v>
      </c>
      <c r="M209" s="139">
        <f>'[17]Rev_SP-12me'!AW248</f>
        <v>0.012</v>
      </c>
      <c r="N209" s="146">
        <f t="shared" si="7"/>
        <v>175.541955792412</v>
      </c>
    </row>
    <row r="210" ht="15" spans="2:14">
      <c r="B210" s="151" t="s">
        <v>1158</v>
      </c>
      <c r="C210" s="55"/>
      <c r="D210" s="87">
        <f>'[18]Rev_SP-12me'!AJ249</f>
        <v>0</v>
      </c>
      <c r="E210" s="87">
        <f>'[18]Rev_SP-12me'!AL249</f>
        <v>0</v>
      </c>
      <c r="F210" s="87">
        <f>'[18]Rev_SP-12me'!AQ249</f>
        <v>0</v>
      </c>
      <c r="G210" s="135">
        <f>'[18]Rev_SP-12me'!O249</f>
        <v>0</v>
      </c>
      <c r="H210" s="137">
        <f>'[18]Rev_SP-12me'!P249</f>
        <v>0</v>
      </c>
      <c r="I210" s="150">
        <f>'[18]Rev_SP-12me'!AA249</f>
        <v>0</v>
      </c>
      <c r="J210" s="55"/>
      <c r="K210" s="167">
        <f>'[17]Rev_SP-12me'!AT249</f>
        <v>0</v>
      </c>
      <c r="L210" s="167">
        <f>'[17]Rev_SP-12me'!AU249</f>
        <v>0</v>
      </c>
      <c r="M210" s="167">
        <f>'[17]Rev_SP-12me'!AW249</f>
        <v>0</v>
      </c>
      <c r="N210" s="146">
        <f t="shared" si="7"/>
        <v>0</v>
      </c>
    </row>
    <row r="211" ht="15" spans="2:14">
      <c r="B211" s="168" t="s">
        <v>1159</v>
      </c>
      <c r="C211" s="55"/>
      <c r="D211" s="48">
        <f>'[18]Rev_SP-12me'!AJ240</f>
        <v>17</v>
      </c>
      <c r="E211" s="48">
        <f>'[18]Rev_SP-12me'!AL240</f>
        <v>215.029229625</v>
      </c>
      <c r="F211" s="48">
        <f>'[18]Rev_SP-12me'!AQ240</f>
        <v>1714.42202916757</v>
      </c>
      <c r="G211" s="150">
        <f>'[18]Rev_SP-12me'!O240</f>
        <v>0</v>
      </c>
      <c r="H211" s="137">
        <f>'[18]Rev_SP-12me'!P240</f>
        <v>0</v>
      </c>
      <c r="I211" s="150">
        <f>'[18]Rev_SP-12me'!AA240</f>
        <v>0</v>
      </c>
      <c r="J211" s="55"/>
      <c r="K211" s="136">
        <f>'[17]Rev_SP-12me'!AT240</f>
        <v>72.3020238500852</v>
      </c>
      <c r="L211" s="136">
        <f>'[17]Rev_SP-12me'!AU240</f>
        <v>407.493840181101</v>
      </c>
      <c r="M211" s="136">
        <f>'[17]Rev_SP-12me'!AW240</f>
        <v>0.10725</v>
      </c>
      <c r="N211" s="158">
        <f t="shared" si="7"/>
        <v>479.903114031186</v>
      </c>
    </row>
    <row r="212" spans="2:14">
      <c r="B212" s="154" t="s">
        <v>1160</v>
      </c>
      <c r="C212" s="55"/>
      <c r="D212" s="53">
        <f>'[18]Rev_SP-12me'!AJ241</f>
        <v>17</v>
      </c>
      <c r="E212" s="53">
        <f>'[18]Rev_SP-12me'!AL241</f>
        <v>215.029229625</v>
      </c>
      <c r="F212" s="53">
        <f>'[18]Rev_SP-12me'!AQ241</f>
        <v>1463.37736580925</v>
      </c>
      <c r="G212" s="174">
        <f>'[18]Rev_SP-12me'!O241</f>
        <v>500</v>
      </c>
      <c r="H212" s="185">
        <f>'[18]Rev_SP-12me'!P241</f>
        <v>5.05</v>
      </c>
      <c r="I212" s="174">
        <f>'[18]Rev_SP-12me'!AA241</f>
        <v>5000</v>
      </c>
      <c r="J212" s="55"/>
      <c r="K212" s="139">
        <f>'[17]Rev_SP-12me'!AT241</f>
        <v>61.5390255536627</v>
      </c>
      <c r="L212" s="139">
        <f>'[17]Rev_SP-12me'!AU241</f>
        <v>341.254891928655</v>
      </c>
      <c r="M212" s="139">
        <f>'[17]Rev_SP-12me'!AW241</f>
        <v>0.08025</v>
      </c>
      <c r="N212" s="146">
        <f t="shared" si="7"/>
        <v>402.874167482318</v>
      </c>
    </row>
    <row r="213" spans="2:14">
      <c r="B213" s="154" t="s">
        <v>1161</v>
      </c>
      <c r="C213" s="55"/>
      <c r="D213" s="53">
        <f>'[18]Rev_SP-12me'!AJ242</f>
        <v>0</v>
      </c>
      <c r="E213" s="53">
        <f>'[18]Rev_SP-12me'!AL242</f>
        <v>0</v>
      </c>
      <c r="F213" s="53">
        <f>'[18]Rev_SP-12me'!AQ242</f>
        <v>0</v>
      </c>
      <c r="G213" s="174">
        <f>'[18]Rev_SP-12me'!O242</f>
        <v>500</v>
      </c>
      <c r="H213" s="185">
        <f>'[18]Rev_SP-12me'!P242</f>
        <v>5.05</v>
      </c>
      <c r="I213" s="174">
        <f>'[18]Rev_SP-12me'!AA242</f>
        <v>5000</v>
      </c>
      <c r="J213" s="55"/>
      <c r="K213" s="139">
        <f>'[17]Rev_SP-12me'!AT242</f>
        <v>0</v>
      </c>
      <c r="L213" s="139">
        <f>'[17]Rev_SP-12me'!AU242</f>
        <v>0</v>
      </c>
      <c r="M213" s="139">
        <f>'[17]Rev_SP-12me'!AW242</f>
        <v>0</v>
      </c>
      <c r="N213" s="146">
        <f t="shared" si="7"/>
        <v>0</v>
      </c>
    </row>
    <row r="214" spans="2:14">
      <c r="B214" s="154" t="s">
        <v>1162</v>
      </c>
      <c r="C214" s="55"/>
      <c r="D214" s="53">
        <f>'[18]Rev_SP-12me'!AJ243</f>
        <v>0</v>
      </c>
      <c r="E214" s="53">
        <f>'[18]Rev_SP-12me'!AL243</f>
        <v>0</v>
      </c>
      <c r="F214" s="53">
        <f>'[18]Rev_SP-12me'!AQ243</f>
        <v>251.044663358325</v>
      </c>
      <c r="G214" s="174">
        <f>'[18]Rev_SP-12me'!O243</f>
        <v>500</v>
      </c>
      <c r="H214" s="185">
        <f>'[18]Rev_SP-12me'!P243</f>
        <v>4.95</v>
      </c>
      <c r="I214" s="174">
        <f>'[18]Rev_SP-12me'!AA243</f>
        <v>5000</v>
      </c>
      <c r="J214" s="55"/>
      <c r="K214" s="139">
        <f>'[17]Rev_SP-12me'!AT243</f>
        <v>10.7629982964225</v>
      </c>
      <c r="L214" s="139">
        <f>'[17]Rev_SP-12me'!AU243</f>
        <v>66.2389482524458</v>
      </c>
      <c r="M214" s="139">
        <f>'[17]Rev_SP-12me'!AW243</f>
        <v>0.027</v>
      </c>
      <c r="N214" s="146">
        <f t="shared" si="7"/>
        <v>77.0289465488683</v>
      </c>
    </row>
    <row r="215" spans="2:14">
      <c r="B215" s="154" t="s">
        <v>1163</v>
      </c>
      <c r="C215" s="55"/>
      <c r="D215" s="53">
        <f>'[18]Rev_SP-12me'!AJ244</f>
        <v>0</v>
      </c>
      <c r="E215" s="53">
        <f>'[18]Rev_SP-12me'!AL244</f>
        <v>0</v>
      </c>
      <c r="F215" s="53">
        <f>'[18]Rev_SP-12me'!AQ244</f>
        <v>0</v>
      </c>
      <c r="G215" s="174">
        <f>'[18]Rev_SP-12me'!O244</f>
        <v>500</v>
      </c>
      <c r="H215" s="185">
        <f>'[18]Rev_SP-12me'!P244</f>
        <v>4.95</v>
      </c>
      <c r="I215" s="174">
        <f>'[18]Rev_SP-12me'!AA244</f>
        <v>5000</v>
      </c>
      <c r="J215" s="55"/>
      <c r="K215" s="139">
        <f>'[17]Rev_SP-12me'!AT244</f>
        <v>0</v>
      </c>
      <c r="L215" s="139">
        <f>'[17]Rev_SP-12me'!AU244</f>
        <v>0</v>
      </c>
      <c r="M215" s="139">
        <f>'[17]Rev_SP-12me'!AW244</f>
        <v>0</v>
      </c>
      <c r="N215" s="146">
        <f t="shared" si="7"/>
        <v>0</v>
      </c>
    </row>
    <row r="216" ht="15" spans="2:14">
      <c r="B216" s="151" t="s">
        <v>919</v>
      </c>
      <c r="C216" s="55"/>
      <c r="D216" s="48">
        <f>'[18]Rev_SP-12me'!AJ245</f>
        <v>0</v>
      </c>
      <c r="E216" s="48">
        <f>'[18]Rev_SP-12me'!AL245</f>
        <v>0</v>
      </c>
      <c r="F216" s="48">
        <f>'[18]Rev_SP-12me'!AQ245</f>
        <v>0</v>
      </c>
      <c r="G216" s="150">
        <f>'[18]Rev_SP-12me'!O245</f>
        <v>285</v>
      </c>
      <c r="H216" s="137">
        <f>'[18]Rev_SP-12me'!P245</f>
        <v>7.3</v>
      </c>
      <c r="I216" s="150">
        <f>'[18]Rev_SP-12me'!AA245</f>
        <v>5000</v>
      </c>
      <c r="J216" s="55"/>
      <c r="K216" s="136">
        <f>'[17]Rev_SP-12me'!AT245</f>
        <v>0</v>
      </c>
      <c r="L216" s="136">
        <f>'[17]Rev_SP-12me'!AU245</f>
        <v>0</v>
      </c>
      <c r="M216" s="136">
        <f>'[17]Rev_SP-12me'!AW245</f>
        <v>0</v>
      </c>
      <c r="N216" s="158">
        <f t="shared" si="7"/>
        <v>0</v>
      </c>
    </row>
    <row r="217" ht="15" spans="2:14">
      <c r="B217" s="151" t="s">
        <v>1133</v>
      </c>
      <c r="C217" s="55"/>
      <c r="D217" s="48">
        <f>'[18]Rev_SP-12me'!AJ246</f>
        <v>0</v>
      </c>
      <c r="E217" s="48">
        <f>'[18]Rev_SP-12me'!AL246</f>
        <v>0</v>
      </c>
      <c r="F217" s="48">
        <f>'[18]Rev_SP-12me'!AQ246</f>
        <v>0</v>
      </c>
      <c r="G217" s="150">
        <f>'[18]Rev_SP-12me'!O246</f>
        <v>500</v>
      </c>
      <c r="H217" s="137">
        <f>'[18]Rev_SP-12me'!P246</f>
        <v>10.8</v>
      </c>
      <c r="I217" s="150">
        <f>'[18]Rev_SP-12me'!AA246</f>
        <v>5000</v>
      </c>
      <c r="J217" s="55"/>
      <c r="K217" s="136">
        <f>'[17]Rev_SP-12me'!AT246</f>
        <v>0</v>
      </c>
      <c r="L217" s="136">
        <f>'[17]Rev_SP-12me'!AU246</f>
        <v>0</v>
      </c>
      <c r="M217" s="136">
        <f>'[17]Rev_SP-12me'!AW246</f>
        <v>0</v>
      </c>
      <c r="N217" s="158">
        <f t="shared" si="7"/>
        <v>0</v>
      </c>
    </row>
    <row r="218" ht="15" spans="2:14">
      <c r="B218" s="157" t="s">
        <v>1164</v>
      </c>
      <c r="C218" s="55"/>
      <c r="D218" s="78">
        <f>SUM(D176,D184,D189,D190,D195,D200,D205,D208,D210,D211,D216,D217)</f>
        <v>101</v>
      </c>
      <c r="E218" s="78">
        <f>SUM(E176,E184,E189,E190,E195,E200,E205,E208,E210,E211,E216,E217)</f>
        <v>1953.58770173388</v>
      </c>
      <c r="F218" s="78">
        <f>SUM(F176,F184,F189,F190,F195,F200,F205,F208,F210,F211,F216,F217)</f>
        <v>9305.03631515431</v>
      </c>
      <c r="G218" s="198"/>
      <c r="H218" s="198"/>
      <c r="I218" s="198"/>
      <c r="J218" s="198"/>
      <c r="K218" s="148">
        <f t="shared" ref="K218:N218" si="8">SUM(K176,K184,K189,K190,K195,K200,K205,K208,K210,K211,K216,K217)</f>
        <v>778.261253600676</v>
      </c>
      <c r="L218" s="148">
        <f t="shared" si="8"/>
        <v>5357.78764561039</v>
      </c>
      <c r="M218" s="148">
        <f t="shared" si="8"/>
        <v>0.568317460031726</v>
      </c>
      <c r="N218" s="148">
        <f t="shared" si="8"/>
        <v>6136.6172166711</v>
      </c>
    </row>
    <row r="219" spans="2:14">
      <c r="B219" s="157"/>
      <c r="C219" s="55"/>
      <c r="D219" s="8"/>
      <c r="E219" s="8"/>
      <c r="F219" s="8"/>
      <c r="G219" s="55"/>
      <c r="H219" s="55"/>
      <c r="I219" s="55"/>
      <c r="J219" s="55"/>
      <c r="K219" s="55"/>
      <c r="L219" s="55"/>
      <c r="M219" s="55"/>
      <c r="N219" s="55"/>
    </row>
    <row r="220" ht="15" spans="2:14">
      <c r="B220" s="54" t="s">
        <v>1165</v>
      </c>
      <c r="C220" s="55"/>
      <c r="D220" s="78">
        <f>D125+D173+D218</f>
        <v>13661</v>
      </c>
      <c r="E220" s="78">
        <f>E125+E173+E218</f>
        <v>6861.9130034953</v>
      </c>
      <c r="F220" s="78">
        <f>F125+F173+F218</f>
        <v>27400.2157591539</v>
      </c>
      <c r="G220" s="197"/>
      <c r="H220" s="197"/>
      <c r="I220" s="197"/>
      <c r="J220" s="197"/>
      <c r="K220" s="148">
        <f t="shared" ref="K220:N220" si="9">K125+K173+K218</f>
        <v>3345.96906374908</v>
      </c>
      <c r="L220" s="148">
        <f t="shared" si="9"/>
        <v>18562.6805203592</v>
      </c>
      <c r="M220" s="148">
        <f t="shared" si="9"/>
        <v>31.7507194049194</v>
      </c>
      <c r="N220" s="148">
        <f t="shared" si="9"/>
        <v>21940.4003035132</v>
      </c>
    </row>
    <row r="221" ht="15" spans="2:14">
      <c r="B221" s="54" t="s">
        <v>1166</v>
      </c>
      <c r="C221" s="55"/>
      <c r="D221" s="78">
        <f>D220+D70</f>
        <v>11525883</v>
      </c>
      <c r="E221" s="78">
        <f>E220+E70</f>
        <v>32532.0466226714</v>
      </c>
      <c r="F221" s="78">
        <f>F220+F70</f>
        <v>63432.156922633</v>
      </c>
      <c r="G221" s="197"/>
      <c r="H221" s="197"/>
      <c r="I221" s="197"/>
      <c r="J221" s="197"/>
      <c r="K221" s="149">
        <f>K220+K70</f>
        <v>4020.12228568084</v>
      </c>
      <c r="L221" s="149">
        <f>L220+L70</f>
        <v>29707.0899980824</v>
      </c>
      <c r="M221" s="149">
        <f>M220+M70</f>
        <v>929.636056831269</v>
      </c>
      <c r="N221" s="149">
        <f>N220+N70</f>
        <v>34656.8483405945</v>
      </c>
    </row>
    <row r="223" ht="15" spans="4:4">
      <c r="D223" s="11" t="s">
        <v>225</v>
      </c>
    </row>
    <row r="224" spans="4:5">
      <c r="D224" s="13">
        <v>1</v>
      </c>
      <c r="E224" s="12" t="s">
        <v>226</v>
      </c>
    </row>
    <row r="225" spans="4:5">
      <c r="D225" s="13">
        <f>D224+1</f>
        <v>2</v>
      </c>
      <c r="E225" s="12" t="s">
        <v>233</v>
      </c>
    </row>
  </sheetData>
  <mergeCells count="12">
    <mergeCell ref="B2:O2"/>
    <mergeCell ref="G5:H5"/>
    <mergeCell ref="K5:N5"/>
    <mergeCell ref="B8:C8"/>
    <mergeCell ref="B72:C72"/>
    <mergeCell ref="P76:Q76"/>
    <mergeCell ref="D5:D6"/>
    <mergeCell ref="E5:E6"/>
    <mergeCell ref="F5:F6"/>
    <mergeCell ref="I5:I6"/>
    <mergeCell ref="J5:J6"/>
    <mergeCell ref="B5:C7"/>
  </mergeCells>
  <pageMargins left="0.7" right="0.7" top="0.75" bottom="0.75" header="0.3" footer="0.3"/>
  <pageSetup paperSize="1" orientation="portrait"/>
  <headerFooter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144"/>
  <sheetViews>
    <sheetView view="pageBreakPreview" zoomScale="70" zoomScaleNormal="70" topLeftCell="B43" workbookViewId="0">
      <selection activeCell="G5" sqref="G5:I5"/>
    </sheetView>
  </sheetViews>
  <sheetFormatPr defaultColWidth="9.14285714285714" defaultRowHeight="14.25"/>
  <cols>
    <col min="1" max="1" width="9.14285714285714" style="12" hidden="1" customWidth="1"/>
    <col min="2" max="2" width="49.3809523809524" style="12" customWidth="1"/>
    <col min="3" max="3" width="45.1428571428571" style="12" hidden="1" customWidth="1"/>
    <col min="4" max="4" width="4.57142857142857" style="12" hidden="1" customWidth="1"/>
    <col min="5" max="5" width="28" style="12" hidden="1" customWidth="1"/>
    <col min="6" max="6" width="93" style="12" hidden="1" customWidth="1"/>
    <col min="7" max="7" width="4.57142857142857" style="12" customWidth="1"/>
    <col min="8" max="8" width="9.59047619047619" style="12" customWidth="1"/>
    <col min="9" max="9" width="12.0285714285714" style="12" customWidth="1"/>
    <col min="10" max="10" width="4.57142857142857" style="12" customWidth="1"/>
    <col min="11" max="11" width="11.4190476190476" style="12" customWidth="1"/>
    <col min="12" max="12" width="11.0190476190476" style="12" customWidth="1"/>
    <col min="13" max="13" width="9.38095238095238" style="12" customWidth="1"/>
    <col min="14" max="14" width="11.2190476190476" style="12" customWidth="1"/>
    <col min="15" max="15" width="14.0761904761905" style="12" customWidth="1"/>
    <col min="16" max="16" width="9.85714285714286" style="12" customWidth="1"/>
    <col min="17" max="16384" width="9.14285714285714" style="12"/>
  </cols>
  <sheetData>
    <row r="2" ht="15" spans="2:16"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.75" spans="9:11">
      <c r="I3" s="209" t="s">
        <v>990</v>
      </c>
      <c r="J3" s="209"/>
      <c r="K3" s="209"/>
    </row>
    <row r="5" ht="35" customHeight="1" spans="2:15">
      <c r="B5" s="203" t="s">
        <v>159</v>
      </c>
      <c r="C5" s="204"/>
      <c r="D5" s="135" t="s">
        <v>991</v>
      </c>
      <c r="E5" s="135"/>
      <c r="F5" s="135"/>
      <c r="G5" s="175" t="s">
        <v>1180</v>
      </c>
      <c r="H5" s="175"/>
      <c r="I5" s="175"/>
      <c r="J5" s="175" t="s">
        <v>1181</v>
      </c>
      <c r="K5" s="175"/>
      <c r="L5" s="175"/>
      <c r="M5" s="175" t="s">
        <v>1182</v>
      </c>
      <c r="N5" s="175"/>
      <c r="O5" s="175"/>
    </row>
    <row r="6" ht="51" customHeight="1" spans="2:15">
      <c r="B6" s="205"/>
      <c r="C6" s="206"/>
      <c r="D6" s="113" t="s">
        <v>995</v>
      </c>
      <c r="E6" s="114"/>
      <c r="F6" s="90" t="s">
        <v>996</v>
      </c>
      <c r="G6" s="113" t="s">
        <v>995</v>
      </c>
      <c r="H6" s="114"/>
      <c r="I6" s="90" t="s">
        <v>996</v>
      </c>
      <c r="J6" s="113" t="s">
        <v>995</v>
      </c>
      <c r="K6" s="114"/>
      <c r="L6" s="90" t="s">
        <v>996</v>
      </c>
      <c r="M6" s="113" t="s">
        <v>995</v>
      </c>
      <c r="N6" s="114"/>
      <c r="O6" s="90" t="s">
        <v>996</v>
      </c>
    </row>
    <row r="7" ht="40" customHeight="1" spans="2:15">
      <c r="B7" s="205"/>
      <c r="C7" s="206"/>
      <c r="D7" s="38" t="s">
        <v>997</v>
      </c>
      <c r="E7" s="38" t="s">
        <v>998</v>
      </c>
      <c r="F7" s="115" t="s">
        <v>999</v>
      </c>
      <c r="G7" s="90" t="s">
        <v>997</v>
      </c>
      <c r="H7" s="90" t="s">
        <v>998</v>
      </c>
      <c r="I7" s="115" t="s">
        <v>999</v>
      </c>
      <c r="J7" s="90" t="s">
        <v>997</v>
      </c>
      <c r="K7" s="90" t="s">
        <v>998</v>
      </c>
      <c r="L7" s="115" t="s">
        <v>999</v>
      </c>
      <c r="M7" s="90" t="s">
        <v>997</v>
      </c>
      <c r="N7" s="90" t="s">
        <v>998</v>
      </c>
      <c r="O7" s="115" t="s">
        <v>999</v>
      </c>
    </row>
    <row r="8" ht="15" spans="2:15">
      <c r="B8" s="44" t="s">
        <v>890</v>
      </c>
      <c r="C8" s="45"/>
      <c r="D8" s="70"/>
      <c r="E8" s="70"/>
      <c r="F8" s="70"/>
      <c r="G8" s="55"/>
      <c r="H8" s="55"/>
      <c r="I8" s="55"/>
      <c r="J8" s="55"/>
      <c r="K8" s="55"/>
      <c r="L8" s="55"/>
      <c r="M8" s="55"/>
      <c r="N8" s="55"/>
      <c r="O8" s="55"/>
    </row>
    <row r="9" ht="15" spans="2:15">
      <c r="B9" s="46" t="s">
        <v>1000</v>
      </c>
      <c r="C9" s="47"/>
      <c r="D9" s="47"/>
      <c r="E9" s="47"/>
      <c r="F9" s="47"/>
      <c r="G9" s="55"/>
      <c r="H9" s="55"/>
      <c r="I9" s="55"/>
      <c r="J9" s="55"/>
      <c r="K9" s="55"/>
      <c r="L9" s="55"/>
      <c r="M9" s="55"/>
      <c r="N9" s="55"/>
      <c r="O9" s="55"/>
    </row>
    <row r="10" spans="2:15">
      <c r="B10" s="50" t="s">
        <v>1001</v>
      </c>
      <c r="C10" s="47"/>
      <c r="D10" s="55"/>
      <c r="E10" s="47"/>
      <c r="F10" s="47"/>
      <c r="G10" s="55"/>
      <c r="H10" s="55"/>
      <c r="I10" s="55"/>
      <c r="J10" s="55"/>
      <c r="K10" s="55"/>
      <c r="L10" s="55"/>
      <c r="M10" s="55"/>
      <c r="N10" s="55"/>
      <c r="O10" s="55"/>
    </row>
    <row r="11" spans="2:15">
      <c r="B11" s="52" t="s">
        <v>1002</v>
      </c>
      <c r="C11" s="47"/>
      <c r="D11" s="100" t="s">
        <v>1003</v>
      </c>
      <c r="E11" s="100">
        <v>10</v>
      </c>
      <c r="F11" s="101">
        <v>1.95</v>
      </c>
      <c r="G11" s="100" t="s">
        <v>1003</v>
      </c>
      <c r="H11" s="100">
        <v>10</v>
      </c>
      <c r="I11" s="101">
        <v>1.95</v>
      </c>
      <c r="J11" s="100" t="s">
        <v>1003</v>
      </c>
      <c r="K11" s="100">
        <f t="shared" ref="K11:K15" si="0">N11</f>
        <v>0</v>
      </c>
      <c r="L11" s="101">
        <f>O11+[64]FCRT_SPDCL!$K$4</f>
        <v>0</v>
      </c>
      <c r="M11" s="100" t="s">
        <v>1003</v>
      </c>
      <c r="N11" s="100">
        <f>'[18]Tariff hike_Summary'!G6</f>
        <v>0</v>
      </c>
      <c r="O11" s="101">
        <f>'[18]Tariff hike_Summary'!H6</f>
        <v>0</v>
      </c>
    </row>
    <row r="12" spans="2:15">
      <c r="B12" s="52" t="s">
        <v>1004</v>
      </c>
      <c r="C12" s="47"/>
      <c r="D12" s="100" t="s">
        <v>1003</v>
      </c>
      <c r="E12" s="100">
        <v>10</v>
      </c>
      <c r="F12" s="101">
        <v>3.1</v>
      </c>
      <c r="G12" s="100" t="s">
        <v>1003</v>
      </c>
      <c r="H12" s="100">
        <v>10</v>
      </c>
      <c r="I12" s="101">
        <v>3.1</v>
      </c>
      <c r="J12" s="100" t="s">
        <v>1003</v>
      </c>
      <c r="K12" s="100">
        <f t="shared" si="0"/>
        <v>0</v>
      </c>
      <c r="L12" s="101">
        <f>O12+[64]FCRT_SPDCL!$K$4</f>
        <v>0</v>
      </c>
      <c r="M12" s="100" t="s">
        <v>1003</v>
      </c>
      <c r="N12" s="100">
        <f>'[18]Tariff hike_Summary'!G7</f>
        <v>0</v>
      </c>
      <c r="O12" s="101">
        <f>'[18]Tariff hike_Summary'!H7</f>
        <v>0</v>
      </c>
    </row>
    <row r="13" ht="27" customHeight="1" spans="2:15">
      <c r="B13" s="207" t="s">
        <v>1005</v>
      </c>
      <c r="C13" s="47"/>
      <c r="D13" s="100"/>
      <c r="E13" s="100"/>
      <c r="F13" s="101"/>
      <c r="G13" s="55"/>
      <c r="H13" s="55"/>
      <c r="I13" s="55"/>
      <c r="J13" s="55"/>
      <c r="K13" s="55"/>
      <c r="L13" s="55"/>
      <c r="M13" s="55"/>
      <c r="N13" s="100"/>
      <c r="O13" s="101"/>
    </row>
    <row r="14" spans="2:15">
      <c r="B14" s="52" t="s">
        <v>1006</v>
      </c>
      <c r="C14" s="47"/>
      <c r="D14" s="100" t="s">
        <v>1003</v>
      </c>
      <c r="E14" s="100">
        <v>10</v>
      </c>
      <c r="F14" s="101">
        <v>3.4</v>
      </c>
      <c r="G14" s="100" t="s">
        <v>1003</v>
      </c>
      <c r="H14" s="100">
        <v>10</v>
      </c>
      <c r="I14" s="101">
        <v>3.4</v>
      </c>
      <c r="J14" s="100" t="s">
        <v>1003</v>
      </c>
      <c r="K14" s="100">
        <f t="shared" si="0"/>
        <v>0</v>
      </c>
      <c r="L14" s="101">
        <f>O14+[64]FCRT_SPDCL!$K$4</f>
        <v>0</v>
      </c>
      <c r="M14" s="100" t="s">
        <v>1003</v>
      </c>
      <c r="N14" s="100">
        <f>'[18]Tariff hike_Summary'!G9</f>
        <v>0</v>
      </c>
      <c r="O14" s="101">
        <f>'[18]Tariff hike_Summary'!H9</f>
        <v>0</v>
      </c>
    </row>
    <row r="15" spans="2:15">
      <c r="B15" s="52" t="s">
        <v>1007</v>
      </c>
      <c r="C15" s="47"/>
      <c r="D15" s="100" t="s">
        <v>1003</v>
      </c>
      <c r="E15" s="100">
        <v>10</v>
      </c>
      <c r="F15" s="101">
        <v>4.8</v>
      </c>
      <c r="G15" s="100" t="s">
        <v>1003</v>
      </c>
      <c r="H15" s="100">
        <v>10</v>
      </c>
      <c r="I15" s="101">
        <v>4.8</v>
      </c>
      <c r="J15" s="100" t="s">
        <v>1003</v>
      </c>
      <c r="K15" s="100">
        <f t="shared" si="0"/>
        <v>0</v>
      </c>
      <c r="L15" s="101">
        <f>O15+[64]FCRT_SPDCL!$K$4</f>
        <v>0</v>
      </c>
      <c r="M15" s="100" t="s">
        <v>1003</v>
      </c>
      <c r="N15" s="100">
        <f>'[18]Tariff hike_Summary'!G10</f>
        <v>0</v>
      </c>
      <c r="O15" s="101">
        <f>'[18]Tariff hike_Summary'!H10</f>
        <v>0</v>
      </c>
    </row>
    <row r="16" spans="2:15">
      <c r="B16" s="50" t="s">
        <v>1008</v>
      </c>
      <c r="C16" s="47"/>
      <c r="D16" s="100"/>
      <c r="E16" s="100"/>
      <c r="F16" s="101"/>
      <c r="G16" s="55"/>
      <c r="H16" s="55"/>
      <c r="I16" s="55"/>
      <c r="J16" s="55"/>
      <c r="K16" s="55"/>
      <c r="L16" s="55"/>
      <c r="M16" s="55"/>
      <c r="N16" s="100"/>
      <c r="O16" s="55"/>
    </row>
    <row r="17" spans="2:15">
      <c r="B17" s="52" t="s">
        <v>1009</v>
      </c>
      <c r="C17" s="47"/>
      <c r="D17" s="100" t="s">
        <v>1003</v>
      </c>
      <c r="E17" s="100">
        <v>10</v>
      </c>
      <c r="F17" s="101">
        <v>5.1</v>
      </c>
      <c r="G17" s="100" t="s">
        <v>1003</v>
      </c>
      <c r="H17" s="100">
        <v>10</v>
      </c>
      <c r="I17" s="101">
        <v>5.1</v>
      </c>
      <c r="J17" s="100" t="s">
        <v>1003</v>
      </c>
      <c r="K17" s="100">
        <f t="shared" ref="K17:K21" si="1">N17</f>
        <v>0</v>
      </c>
      <c r="L17" s="101">
        <f>O17+[64]FCRT_SPDCL!$K$4</f>
        <v>0</v>
      </c>
      <c r="M17" s="100" t="s">
        <v>1003</v>
      </c>
      <c r="N17" s="100">
        <f>'[18]Tariff hike_Summary'!G12</f>
        <v>0</v>
      </c>
      <c r="O17" s="101">
        <f>'[18]Tariff hike_Summary'!H12</f>
        <v>0</v>
      </c>
    </row>
    <row r="18" spans="2:15">
      <c r="B18" s="52" t="s">
        <v>1010</v>
      </c>
      <c r="C18" s="47"/>
      <c r="D18" s="100" t="s">
        <v>1003</v>
      </c>
      <c r="E18" s="100">
        <v>10</v>
      </c>
      <c r="F18" s="101">
        <v>7.7</v>
      </c>
      <c r="G18" s="100" t="s">
        <v>1003</v>
      </c>
      <c r="H18" s="100">
        <v>10</v>
      </c>
      <c r="I18" s="101">
        <v>7.7</v>
      </c>
      <c r="J18" s="100" t="s">
        <v>1003</v>
      </c>
      <c r="K18" s="100">
        <f t="shared" si="1"/>
        <v>0</v>
      </c>
      <c r="L18" s="101">
        <f>O18+[64]FCRT_SPDCL!$K$4</f>
        <v>0</v>
      </c>
      <c r="M18" s="100" t="s">
        <v>1003</v>
      </c>
      <c r="N18" s="100">
        <f>'[18]Tariff hike_Summary'!G13</f>
        <v>0</v>
      </c>
      <c r="O18" s="101">
        <f>'[18]Tariff hike_Summary'!H13</f>
        <v>0</v>
      </c>
    </row>
    <row r="19" spans="2:15">
      <c r="B19" s="52" t="s">
        <v>1011</v>
      </c>
      <c r="C19" s="47"/>
      <c r="D19" s="100" t="s">
        <v>1003</v>
      </c>
      <c r="E19" s="100">
        <v>10</v>
      </c>
      <c r="F19" s="101">
        <v>9</v>
      </c>
      <c r="G19" s="100" t="s">
        <v>1003</v>
      </c>
      <c r="H19" s="100">
        <v>10</v>
      </c>
      <c r="I19" s="101">
        <v>9</v>
      </c>
      <c r="J19" s="100" t="s">
        <v>1003</v>
      </c>
      <c r="K19" s="100">
        <f t="shared" si="1"/>
        <v>0</v>
      </c>
      <c r="L19" s="101">
        <f>O19+[64]FCRT_SPDCL!$K$4</f>
        <v>0</v>
      </c>
      <c r="M19" s="100" t="s">
        <v>1003</v>
      </c>
      <c r="N19" s="100">
        <f>'[18]Tariff hike_Summary'!G14</f>
        <v>0</v>
      </c>
      <c r="O19" s="101">
        <f>'[18]Tariff hike_Summary'!H14</f>
        <v>0</v>
      </c>
    </row>
    <row r="20" spans="2:15">
      <c r="B20" s="52" t="s">
        <v>1012</v>
      </c>
      <c r="C20" s="47"/>
      <c r="D20" s="100" t="s">
        <v>1003</v>
      </c>
      <c r="E20" s="100">
        <v>10</v>
      </c>
      <c r="F20" s="101">
        <v>9.5</v>
      </c>
      <c r="G20" s="100" t="s">
        <v>1003</v>
      </c>
      <c r="H20" s="100">
        <v>10</v>
      </c>
      <c r="I20" s="101">
        <v>9.5</v>
      </c>
      <c r="J20" s="100" t="s">
        <v>1003</v>
      </c>
      <c r="K20" s="100">
        <f t="shared" si="1"/>
        <v>0</v>
      </c>
      <c r="L20" s="101">
        <f>O20+[64]FCRT_SPDCL!$K$4</f>
        <v>0</v>
      </c>
      <c r="M20" s="100" t="s">
        <v>1003</v>
      </c>
      <c r="N20" s="100">
        <f>'[18]Tariff hike_Summary'!G15</f>
        <v>0</v>
      </c>
      <c r="O20" s="101">
        <f>'[18]Tariff hike_Summary'!H15</f>
        <v>0</v>
      </c>
    </row>
    <row r="21" spans="2:15">
      <c r="B21" s="52" t="s">
        <v>1013</v>
      </c>
      <c r="C21" s="47"/>
      <c r="D21" s="100" t="s">
        <v>1003</v>
      </c>
      <c r="E21" s="100">
        <v>10</v>
      </c>
      <c r="F21" s="101">
        <v>10</v>
      </c>
      <c r="G21" s="100" t="s">
        <v>1003</v>
      </c>
      <c r="H21" s="100">
        <v>50</v>
      </c>
      <c r="I21" s="101">
        <v>10</v>
      </c>
      <c r="J21" s="100" t="s">
        <v>1003</v>
      </c>
      <c r="K21" s="100">
        <f t="shared" si="1"/>
        <v>0</v>
      </c>
      <c r="L21" s="101">
        <f>O21+[64]FCRT_SPDCL!$K$4</f>
        <v>0</v>
      </c>
      <c r="M21" s="100" t="s">
        <v>1003</v>
      </c>
      <c r="N21" s="100">
        <f>'[18]Tariff hike_Summary'!G16</f>
        <v>0</v>
      </c>
      <c r="O21" s="101">
        <f>'[18]Tariff hike_Summary'!H16</f>
        <v>0</v>
      </c>
    </row>
    <row r="22" ht="15" spans="2:15">
      <c r="B22" s="54" t="s">
        <v>1014</v>
      </c>
      <c r="C22" s="55"/>
      <c r="D22" s="100"/>
      <c r="E22" s="100"/>
      <c r="F22" s="101"/>
      <c r="G22" s="55"/>
      <c r="H22" s="55"/>
      <c r="I22" s="55"/>
      <c r="J22" s="55"/>
      <c r="K22" s="55"/>
      <c r="L22" s="55"/>
      <c r="M22" s="55"/>
      <c r="N22" s="100"/>
      <c r="O22" s="55"/>
    </row>
    <row r="23" spans="2:15">
      <c r="B23" s="56" t="s">
        <v>1015</v>
      </c>
      <c r="C23" s="55"/>
      <c r="D23" s="100"/>
      <c r="E23" s="100"/>
      <c r="F23" s="101"/>
      <c r="G23" s="55"/>
      <c r="H23" s="55"/>
      <c r="I23" s="55"/>
      <c r="J23" s="55"/>
      <c r="K23" s="55"/>
      <c r="L23" s="55"/>
      <c r="M23" s="55"/>
      <c r="N23" s="100"/>
      <c r="O23" s="55"/>
    </row>
    <row r="24" spans="2:15">
      <c r="B24" s="140" t="s">
        <v>1002</v>
      </c>
      <c r="C24" s="55"/>
      <c r="D24" s="100" t="s">
        <v>1003</v>
      </c>
      <c r="E24" s="100">
        <v>60</v>
      </c>
      <c r="F24" s="101">
        <v>7</v>
      </c>
      <c r="G24" s="100" t="s">
        <v>1003</v>
      </c>
      <c r="H24" s="100">
        <v>30</v>
      </c>
      <c r="I24" s="101">
        <v>7</v>
      </c>
      <c r="J24" s="100" t="s">
        <v>1003</v>
      </c>
      <c r="K24" s="100">
        <f t="shared" ref="K24:K30" si="2">N24</f>
        <v>0</v>
      </c>
      <c r="L24" s="101">
        <f t="shared" ref="L24:L30" si="3">O24</f>
        <v>0</v>
      </c>
      <c r="M24" s="100" t="s">
        <v>1003</v>
      </c>
      <c r="N24" s="100">
        <f>'[18]Tariff hike_Summary'!G19</f>
        <v>0</v>
      </c>
      <c r="O24" s="101">
        <f>'[18]Tariff hike_Summary'!H19</f>
        <v>0</v>
      </c>
    </row>
    <row r="25" spans="2:15">
      <c r="B25" s="56" t="s">
        <v>1016</v>
      </c>
      <c r="C25" s="55"/>
      <c r="D25" s="100"/>
      <c r="E25" s="100"/>
      <c r="F25" s="101"/>
      <c r="G25" s="55"/>
      <c r="H25" s="55"/>
      <c r="I25" s="55"/>
      <c r="J25" s="55"/>
      <c r="K25" s="55"/>
      <c r="L25" s="55"/>
      <c r="M25" s="55"/>
      <c r="N25" s="100"/>
      <c r="O25" s="55"/>
    </row>
    <row r="26" spans="2:15">
      <c r="B26" s="58" t="s">
        <v>1006</v>
      </c>
      <c r="C26" s="55"/>
      <c r="D26" s="100" t="s">
        <v>1003</v>
      </c>
      <c r="E26" s="100">
        <v>70</v>
      </c>
      <c r="F26" s="101">
        <v>8.5</v>
      </c>
      <c r="G26" s="100" t="s">
        <v>1003</v>
      </c>
      <c r="H26" s="100">
        <v>70</v>
      </c>
      <c r="I26" s="101">
        <v>8.5</v>
      </c>
      <c r="J26" s="100" t="s">
        <v>1003</v>
      </c>
      <c r="K26" s="100">
        <f t="shared" si="2"/>
        <v>0</v>
      </c>
      <c r="L26" s="101">
        <f t="shared" si="3"/>
        <v>0</v>
      </c>
      <c r="M26" s="100" t="s">
        <v>1003</v>
      </c>
      <c r="N26" s="100">
        <f>'[18]Tariff hike_Summary'!G21</f>
        <v>0</v>
      </c>
      <c r="O26" s="101">
        <f>'[18]Tariff hike_Summary'!H21</f>
        <v>0</v>
      </c>
    </row>
    <row r="27" spans="2:15">
      <c r="B27" s="58" t="s">
        <v>1017</v>
      </c>
      <c r="C27" s="55"/>
      <c r="D27" s="100" t="s">
        <v>1003</v>
      </c>
      <c r="E27" s="100">
        <v>70</v>
      </c>
      <c r="F27" s="101">
        <v>9.9</v>
      </c>
      <c r="G27" s="100" t="s">
        <v>1003</v>
      </c>
      <c r="H27" s="100">
        <v>70</v>
      </c>
      <c r="I27" s="101">
        <v>9.9</v>
      </c>
      <c r="J27" s="100" t="s">
        <v>1003</v>
      </c>
      <c r="K27" s="100">
        <f t="shared" si="2"/>
        <v>0</v>
      </c>
      <c r="L27" s="101">
        <f t="shared" si="3"/>
        <v>0</v>
      </c>
      <c r="M27" s="100" t="s">
        <v>1003</v>
      </c>
      <c r="N27" s="100">
        <f>'[18]Tariff hike_Summary'!G22</f>
        <v>0</v>
      </c>
      <c r="O27" s="101">
        <f>'[18]Tariff hike_Summary'!H22</f>
        <v>0</v>
      </c>
    </row>
    <row r="28" spans="2:15">
      <c r="B28" s="58" t="s">
        <v>1018</v>
      </c>
      <c r="C28" s="55"/>
      <c r="D28" s="100" t="s">
        <v>1003</v>
      </c>
      <c r="E28" s="100">
        <v>70</v>
      </c>
      <c r="F28" s="101">
        <v>10.4</v>
      </c>
      <c r="G28" s="100" t="s">
        <v>1003</v>
      </c>
      <c r="H28" s="100">
        <v>100</v>
      </c>
      <c r="I28" s="101">
        <v>10.4</v>
      </c>
      <c r="J28" s="100" t="s">
        <v>1003</v>
      </c>
      <c r="K28" s="100">
        <f t="shared" si="2"/>
        <v>0</v>
      </c>
      <c r="L28" s="101">
        <f t="shared" si="3"/>
        <v>0</v>
      </c>
      <c r="M28" s="100" t="s">
        <v>1003</v>
      </c>
      <c r="N28" s="100">
        <f>'[18]Tariff hike_Summary'!G23</f>
        <v>0</v>
      </c>
      <c r="O28" s="101">
        <f>'[18]Tariff hike_Summary'!H23</f>
        <v>0</v>
      </c>
    </row>
    <row r="29" spans="2:15">
      <c r="B29" s="58" t="s">
        <v>1019</v>
      </c>
      <c r="C29" s="55"/>
      <c r="D29" s="100" t="s">
        <v>1003</v>
      </c>
      <c r="E29" s="100">
        <v>70</v>
      </c>
      <c r="F29" s="101">
        <v>11</v>
      </c>
      <c r="G29" s="100" t="s">
        <v>1003</v>
      </c>
      <c r="H29" s="100">
        <v>100</v>
      </c>
      <c r="I29" s="101">
        <v>11</v>
      </c>
      <c r="J29" s="100" t="s">
        <v>1003</v>
      </c>
      <c r="K29" s="100">
        <f t="shared" si="2"/>
        <v>0</v>
      </c>
      <c r="L29" s="101">
        <f t="shared" si="3"/>
        <v>0</v>
      </c>
      <c r="M29" s="100" t="s">
        <v>1003</v>
      </c>
      <c r="N29" s="100">
        <f>'[18]Tariff hike_Summary'!G24</f>
        <v>0</v>
      </c>
      <c r="O29" s="101">
        <f>'[18]Tariff hike_Summary'!H24</f>
        <v>0</v>
      </c>
    </row>
    <row r="30" spans="2:15">
      <c r="B30" s="56" t="s">
        <v>1020</v>
      </c>
      <c r="C30" s="55"/>
      <c r="D30" s="100" t="s">
        <v>1003</v>
      </c>
      <c r="E30" s="100">
        <v>70</v>
      </c>
      <c r="F30" s="101">
        <v>13</v>
      </c>
      <c r="G30" s="100" t="s">
        <v>1003</v>
      </c>
      <c r="H30" s="100">
        <v>150</v>
      </c>
      <c r="I30" s="101">
        <v>13</v>
      </c>
      <c r="J30" s="100" t="s">
        <v>1003</v>
      </c>
      <c r="K30" s="100">
        <f t="shared" si="2"/>
        <v>0</v>
      </c>
      <c r="L30" s="101">
        <f t="shared" si="3"/>
        <v>0</v>
      </c>
      <c r="M30" s="100" t="s">
        <v>1003</v>
      </c>
      <c r="N30" s="100">
        <f>'[18]Tariff hike_Summary'!G25</f>
        <v>0</v>
      </c>
      <c r="O30" s="101">
        <f>'[18]Tariff hike_Summary'!H25</f>
        <v>0</v>
      </c>
    </row>
    <row r="31" spans="2:15">
      <c r="B31" s="56" t="s">
        <v>1021</v>
      </c>
      <c r="C31" s="55"/>
      <c r="D31" s="100"/>
      <c r="E31" s="100"/>
      <c r="F31" s="101"/>
      <c r="G31" s="55"/>
      <c r="H31" s="55"/>
      <c r="I31" s="55"/>
      <c r="J31" s="55"/>
      <c r="K31" s="55"/>
      <c r="L31" s="55"/>
      <c r="M31" s="55"/>
      <c r="N31" s="100"/>
      <c r="O31" s="55"/>
    </row>
    <row r="32" spans="2:15">
      <c r="B32" s="58" t="s">
        <v>1002</v>
      </c>
      <c r="C32" s="55"/>
      <c r="D32" s="100" t="s">
        <v>1003</v>
      </c>
      <c r="E32" s="100">
        <v>60</v>
      </c>
      <c r="F32" s="101">
        <v>5.3</v>
      </c>
      <c r="G32" s="100" t="s">
        <v>1003</v>
      </c>
      <c r="H32" s="100">
        <v>60</v>
      </c>
      <c r="I32" s="101">
        <v>5.3</v>
      </c>
      <c r="J32" s="100" t="s">
        <v>1003</v>
      </c>
      <c r="K32" s="100">
        <f t="shared" ref="K32:K34" si="4">N32</f>
        <v>0</v>
      </c>
      <c r="L32" s="101">
        <f t="shared" ref="L32:L34" si="5">O32</f>
        <v>0</v>
      </c>
      <c r="M32" s="100" t="s">
        <v>1003</v>
      </c>
      <c r="N32" s="100">
        <f>'[18]Tariff hike_Summary'!G27</f>
        <v>0</v>
      </c>
      <c r="O32" s="101">
        <f>'[18]Tariff hike_Summary'!H27</f>
        <v>0</v>
      </c>
    </row>
    <row r="33" spans="2:15">
      <c r="B33" s="58" t="s">
        <v>1022</v>
      </c>
      <c r="C33" s="55"/>
      <c r="D33" s="100" t="s">
        <v>1003</v>
      </c>
      <c r="E33" s="100">
        <v>60</v>
      </c>
      <c r="F33" s="101">
        <v>6.6</v>
      </c>
      <c r="G33" s="100" t="s">
        <v>1003</v>
      </c>
      <c r="H33" s="100">
        <v>60</v>
      </c>
      <c r="I33" s="101">
        <v>6.6</v>
      </c>
      <c r="J33" s="100" t="s">
        <v>1003</v>
      </c>
      <c r="K33" s="100">
        <f t="shared" si="4"/>
        <v>0</v>
      </c>
      <c r="L33" s="101">
        <f t="shared" si="5"/>
        <v>0</v>
      </c>
      <c r="M33" s="100" t="s">
        <v>1003</v>
      </c>
      <c r="N33" s="100">
        <f>'[18]Tariff hike_Summary'!G28</f>
        <v>0</v>
      </c>
      <c r="O33" s="101">
        <f>'[18]Tariff hike_Summary'!H28</f>
        <v>0</v>
      </c>
    </row>
    <row r="34" spans="2:15">
      <c r="B34" s="58" t="s">
        <v>1023</v>
      </c>
      <c r="C34" s="55"/>
      <c r="D34" s="100" t="s">
        <v>1003</v>
      </c>
      <c r="E34" s="100">
        <v>60</v>
      </c>
      <c r="F34" s="101">
        <v>7.5</v>
      </c>
      <c r="G34" s="100" t="s">
        <v>1003</v>
      </c>
      <c r="H34" s="100">
        <v>60</v>
      </c>
      <c r="I34" s="101">
        <v>7.5</v>
      </c>
      <c r="J34" s="100" t="s">
        <v>1003</v>
      </c>
      <c r="K34" s="100">
        <f t="shared" si="4"/>
        <v>0</v>
      </c>
      <c r="L34" s="101">
        <f t="shared" si="5"/>
        <v>0</v>
      </c>
      <c r="M34" s="100" t="s">
        <v>1003</v>
      </c>
      <c r="N34" s="100">
        <f>'[18]Tariff hike_Summary'!G29</f>
        <v>0</v>
      </c>
      <c r="O34" s="101">
        <f>'[18]Tariff hike_Summary'!H29</f>
        <v>0</v>
      </c>
    </row>
    <row r="35" ht="15" spans="2:15">
      <c r="B35" s="54" t="s">
        <v>1024</v>
      </c>
      <c r="C35" s="55"/>
      <c r="D35" s="100"/>
      <c r="E35" s="100"/>
      <c r="F35" s="101"/>
      <c r="G35" s="55"/>
      <c r="H35" s="55"/>
      <c r="I35" s="55"/>
      <c r="J35" s="55"/>
      <c r="K35" s="55"/>
      <c r="L35" s="55"/>
      <c r="M35" s="55"/>
      <c r="N35" s="100"/>
      <c r="O35" s="55"/>
    </row>
    <row r="36" spans="2:15">
      <c r="B36" s="58" t="s">
        <v>1025</v>
      </c>
      <c r="C36" s="55"/>
      <c r="D36" s="100" t="s">
        <v>1003</v>
      </c>
      <c r="E36" s="100">
        <v>75</v>
      </c>
      <c r="F36" s="101">
        <v>7.7</v>
      </c>
      <c r="G36" s="100" t="s">
        <v>1003</v>
      </c>
      <c r="H36" s="100">
        <v>100</v>
      </c>
      <c r="I36" s="101">
        <v>7.7</v>
      </c>
      <c r="J36" s="100" t="s">
        <v>1003</v>
      </c>
      <c r="K36" s="100">
        <f t="shared" ref="K36:K41" si="6">N36</f>
        <v>0</v>
      </c>
      <c r="L36" s="101">
        <f t="shared" ref="L36:L41" si="7">O36</f>
        <v>0</v>
      </c>
      <c r="M36" s="100" t="s">
        <v>1003</v>
      </c>
      <c r="N36" s="100">
        <f>'[18]Tariff hike_Summary'!G31</f>
        <v>0</v>
      </c>
      <c r="O36" s="101">
        <f>'[18]Tariff hike_Summary'!H31</f>
        <v>0</v>
      </c>
    </row>
    <row r="37" spans="2:15">
      <c r="B37" s="58" t="s">
        <v>1026</v>
      </c>
      <c r="C37" s="55"/>
      <c r="D37" s="100" t="s">
        <v>1003</v>
      </c>
      <c r="E37" s="100">
        <v>75</v>
      </c>
      <c r="F37" s="101">
        <v>8.4</v>
      </c>
      <c r="G37" s="100" t="s">
        <v>1003</v>
      </c>
      <c r="H37" s="100">
        <v>100</v>
      </c>
      <c r="I37" s="101">
        <v>8.4</v>
      </c>
      <c r="J37" s="100" t="s">
        <v>1003</v>
      </c>
      <c r="K37" s="100">
        <f t="shared" si="6"/>
        <v>0</v>
      </c>
      <c r="L37" s="101">
        <f t="shared" si="7"/>
        <v>0</v>
      </c>
      <c r="M37" s="100" t="s">
        <v>1003</v>
      </c>
      <c r="N37" s="100">
        <f>'[18]Tariff hike_Summary'!G32</f>
        <v>0</v>
      </c>
      <c r="O37" s="101">
        <f>'[18]Tariff hike_Summary'!H32</f>
        <v>0</v>
      </c>
    </row>
    <row r="38" spans="2:15">
      <c r="B38" s="58" t="s">
        <v>1027</v>
      </c>
      <c r="C38" s="55"/>
      <c r="D38" s="100" t="s">
        <v>1003</v>
      </c>
      <c r="E38" s="100">
        <v>36</v>
      </c>
      <c r="F38" s="101">
        <v>6.2</v>
      </c>
      <c r="G38" s="100" t="s">
        <v>1003</v>
      </c>
      <c r="H38" s="100">
        <v>50</v>
      </c>
      <c r="I38" s="101">
        <v>6.2</v>
      </c>
      <c r="J38" s="100" t="s">
        <v>1003</v>
      </c>
      <c r="K38" s="100">
        <f t="shared" si="6"/>
        <v>0</v>
      </c>
      <c r="L38" s="101">
        <f t="shared" si="7"/>
        <v>0</v>
      </c>
      <c r="M38" s="100" t="s">
        <v>1003</v>
      </c>
      <c r="N38" s="100">
        <f>'[18]Tariff hike_Summary'!G33</f>
        <v>0</v>
      </c>
      <c r="O38" s="101">
        <f>'[18]Tariff hike_Summary'!H33</f>
        <v>0</v>
      </c>
    </row>
    <row r="39" spans="2:15">
      <c r="B39" s="58" t="s">
        <v>1028</v>
      </c>
      <c r="C39" s="55"/>
      <c r="D39" s="100" t="s">
        <v>1003</v>
      </c>
      <c r="E39" s="100">
        <v>36</v>
      </c>
      <c r="F39" s="101">
        <v>6.2</v>
      </c>
      <c r="G39" s="100" t="s">
        <v>1003</v>
      </c>
      <c r="H39" s="100">
        <v>50</v>
      </c>
      <c r="I39" s="101">
        <v>6.2</v>
      </c>
      <c r="J39" s="100" t="s">
        <v>1003</v>
      </c>
      <c r="K39" s="100">
        <f t="shared" si="6"/>
        <v>0</v>
      </c>
      <c r="L39" s="101">
        <f t="shared" si="7"/>
        <v>0</v>
      </c>
      <c r="M39" s="100" t="s">
        <v>1003</v>
      </c>
      <c r="N39" s="100">
        <f>'[18]Tariff hike_Summary'!G34</f>
        <v>0</v>
      </c>
      <c r="O39" s="101">
        <f>'[18]Tariff hike_Summary'!H34</f>
        <v>0</v>
      </c>
    </row>
    <row r="40" spans="2:15">
      <c r="B40" s="58" t="s">
        <v>1029</v>
      </c>
      <c r="C40" s="55"/>
      <c r="D40" s="100" t="s">
        <v>1003</v>
      </c>
      <c r="E40" s="100">
        <v>65</v>
      </c>
      <c r="F40" s="101">
        <v>7</v>
      </c>
      <c r="G40" s="100" t="s">
        <v>1003</v>
      </c>
      <c r="H40" s="100">
        <v>65</v>
      </c>
      <c r="I40" s="101">
        <v>7</v>
      </c>
      <c r="J40" s="100" t="s">
        <v>1003</v>
      </c>
      <c r="K40" s="100">
        <f t="shared" si="6"/>
        <v>0</v>
      </c>
      <c r="L40" s="101">
        <f t="shared" si="7"/>
        <v>0</v>
      </c>
      <c r="M40" s="100" t="s">
        <v>1003</v>
      </c>
      <c r="N40" s="100">
        <f>'[18]Tariff hike_Summary'!G35</f>
        <v>0</v>
      </c>
      <c r="O40" s="101">
        <f>'[18]Tariff hike_Summary'!H35</f>
        <v>0</v>
      </c>
    </row>
    <row r="41" spans="2:15">
      <c r="B41" s="58" t="s">
        <v>1030</v>
      </c>
      <c r="C41" s="55"/>
      <c r="D41" s="100" t="s">
        <v>1003</v>
      </c>
      <c r="E41" s="100">
        <v>75</v>
      </c>
      <c r="F41" s="101">
        <v>7.3</v>
      </c>
      <c r="G41" s="100" t="s">
        <v>1003</v>
      </c>
      <c r="H41" s="100">
        <v>100</v>
      </c>
      <c r="I41" s="101">
        <v>7.3</v>
      </c>
      <c r="J41" s="100" t="s">
        <v>1003</v>
      </c>
      <c r="K41" s="100">
        <f t="shared" si="6"/>
        <v>0</v>
      </c>
      <c r="L41" s="101">
        <f t="shared" si="7"/>
        <v>0</v>
      </c>
      <c r="M41" s="100" t="s">
        <v>1003</v>
      </c>
      <c r="N41" s="100">
        <f>'[18]Tariff hike_Summary'!G36</f>
        <v>0</v>
      </c>
      <c r="O41" s="101">
        <f>'[18]Tariff hike_Summary'!H36</f>
        <v>0</v>
      </c>
    </row>
    <row r="42" ht="15" spans="2:15">
      <c r="B42" s="54" t="s">
        <v>1031</v>
      </c>
      <c r="C42" s="55"/>
      <c r="D42" s="100"/>
      <c r="E42" s="100"/>
      <c r="F42" s="101"/>
      <c r="G42" s="55"/>
      <c r="H42" s="55"/>
      <c r="I42" s="55"/>
      <c r="J42" s="55"/>
      <c r="K42" s="55"/>
      <c r="L42" s="55"/>
      <c r="M42" s="55"/>
      <c r="N42" s="100"/>
      <c r="O42" s="55"/>
    </row>
    <row r="43" ht="23" customHeight="1" spans="2:15">
      <c r="B43" s="58" t="s">
        <v>178</v>
      </c>
      <c r="C43" s="55"/>
      <c r="D43" s="100" t="s">
        <v>1003</v>
      </c>
      <c r="E43" s="208" t="s">
        <v>1032</v>
      </c>
      <c r="F43" s="101">
        <v>4</v>
      </c>
      <c r="G43" s="100" t="s">
        <v>1003</v>
      </c>
      <c r="H43" s="208">
        <v>20</v>
      </c>
      <c r="I43" s="101">
        <v>4</v>
      </c>
      <c r="J43" s="100" t="s">
        <v>1003</v>
      </c>
      <c r="K43" s="208">
        <f>N43</f>
        <v>0</v>
      </c>
      <c r="L43" s="101">
        <f>O43</f>
        <v>0</v>
      </c>
      <c r="M43" s="100" t="s">
        <v>1003</v>
      </c>
      <c r="N43" s="100">
        <f>'[18]Tariff hike_Summary'!G38</f>
        <v>0</v>
      </c>
      <c r="O43" s="101">
        <f>'[18]Tariff hike_Summary'!H38</f>
        <v>0</v>
      </c>
    </row>
    <row r="44" ht="21" customHeight="1" spans="2:15">
      <c r="B44" s="58" t="s">
        <v>1033</v>
      </c>
      <c r="C44" s="55"/>
      <c r="D44" s="100" t="s">
        <v>1003</v>
      </c>
      <c r="E44" s="208" t="s">
        <v>1032</v>
      </c>
      <c r="F44" s="101">
        <v>4</v>
      </c>
      <c r="G44" s="100" t="s">
        <v>1003</v>
      </c>
      <c r="H44" s="208">
        <v>20</v>
      </c>
      <c r="I44" s="101">
        <v>4</v>
      </c>
      <c r="J44" s="100" t="s">
        <v>1003</v>
      </c>
      <c r="K44" s="208">
        <f>N44</f>
        <v>0</v>
      </c>
      <c r="L44" s="101">
        <f>O44</f>
        <v>0</v>
      </c>
      <c r="M44" s="100" t="s">
        <v>1003</v>
      </c>
      <c r="N44" s="100">
        <f>'[18]Tariff hike_Summary'!G39</f>
        <v>0</v>
      </c>
      <c r="O44" s="101">
        <f>'[18]Tariff hike_Summary'!H39</f>
        <v>0</v>
      </c>
    </row>
    <row r="45" ht="15" spans="2:15">
      <c r="B45" s="54" t="s">
        <v>1034</v>
      </c>
      <c r="C45" s="55"/>
      <c r="D45" s="100"/>
      <c r="E45" s="100"/>
      <c r="F45" s="101"/>
      <c r="G45" s="55"/>
      <c r="H45" s="55"/>
      <c r="I45" s="55"/>
      <c r="J45" s="55"/>
      <c r="K45" s="55"/>
      <c r="L45" s="55"/>
      <c r="M45" s="55"/>
      <c r="N45" s="100"/>
      <c r="O45" s="55"/>
    </row>
    <row r="46" spans="2:15">
      <c r="B46" s="56" t="s">
        <v>1035</v>
      </c>
      <c r="C46" s="55"/>
      <c r="D46" s="100"/>
      <c r="E46" s="100"/>
      <c r="F46" s="101"/>
      <c r="G46" s="55"/>
      <c r="H46" s="55"/>
      <c r="I46" s="55"/>
      <c r="J46" s="55"/>
      <c r="K46" s="55"/>
      <c r="L46" s="55"/>
      <c r="M46" s="55"/>
      <c r="N46" s="100"/>
      <c r="O46" s="55"/>
    </row>
    <row r="47" spans="2:15">
      <c r="B47" s="58" t="s">
        <v>1036</v>
      </c>
      <c r="C47" s="55"/>
      <c r="D47" s="100" t="s">
        <v>1037</v>
      </c>
      <c r="E47" s="100"/>
      <c r="F47" s="101">
        <v>2.5</v>
      </c>
      <c r="G47" s="100" t="s">
        <v>1037</v>
      </c>
      <c r="H47" s="100"/>
      <c r="I47" s="101">
        <v>2.5</v>
      </c>
      <c r="J47" s="100" t="s">
        <v>1037</v>
      </c>
      <c r="K47" s="100"/>
      <c r="L47" s="101">
        <f>O47+[64]FCRT_SPDCL!$K$8</f>
        <v>0</v>
      </c>
      <c r="M47" s="100" t="s">
        <v>1037</v>
      </c>
      <c r="N47" s="100">
        <f>'[18]Tariff hike_Summary'!G42</f>
        <v>0</v>
      </c>
      <c r="O47" s="101">
        <f>'[18]Tariff hike_Summary'!H42</f>
        <v>0</v>
      </c>
    </row>
    <row r="48" spans="2:15">
      <c r="B48" s="56" t="s">
        <v>1038</v>
      </c>
      <c r="C48" s="55"/>
      <c r="D48" s="100" t="s">
        <v>1037</v>
      </c>
      <c r="E48" s="100"/>
      <c r="F48" s="101">
        <v>0</v>
      </c>
      <c r="G48" s="100" t="s">
        <v>1037</v>
      </c>
      <c r="H48" s="100"/>
      <c r="I48" s="101">
        <v>0</v>
      </c>
      <c r="J48" s="100" t="s">
        <v>1037</v>
      </c>
      <c r="K48" s="100"/>
      <c r="L48" s="101">
        <f>O48+[64]FCRT_SPDCL!$K$8</f>
        <v>1</v>
      </c>
      <c r="M48" s="100" t="s">
        <v>1037</v>
      </c>
      <c r="N48" s="100">
        <v>0</v>
      </c>
      <c r="O48" s="101">
        <v>1</v>
      </c>
    </row>
    <row r="49" spans="2:15">
      <c r="B49" s="56" t="s">
        <v>1039</v>
      </c>
      <c r="C49" s="55"/>
      <c r="D49" s="100"/>
      <c r="E49" s="100"/>
      <c r="F49" s="101"/>
      <c r="G49" s="100"/>
      <c r="H49" s="100"/>
      <c r="I49" s="101"/>
      <c r="J49" s="100"/>
      <c r="K49" s="100"/>
      <c r="L49" s="101"/>
      <c r="M49" s="100"/>
      <c r="N49" s="100"/>
      <c r="O49" s="101"/>
    </row>
    <row r="50" spans="2:15">
      <c r="B50" s="58" t="s">
        <v>1040</v>
      </c>
      <c r="C50" s="55"/>
      <c r="D50" s="100" t="s">
        <v>1037</v>
      </c>
      <c r="E50" s="100">
        <v>20</v>
      </c>
      <c r="F50" s="101">
        <v>4</v>
      </c>
      <c r="G50" s="100" t="s">
        <v>1037</v>
      </c>
      <c r="H50" s="100">
        <v>20</v>
      </c>
      <c r="I50" s="101">
        <v>4</v>
      </c>
      <c r="J50" s="100" t="s">
        <v>1037</v>
      </c>
      <c r="K50" s="100">
        <f t="shared" ref="K50:K55" si="8">N50</f>
        <v>0</v>
      </c>
      <c r="L50" s="101">
        <f>O50+[64]FCRT_SPDCL!$K$8</f>
        <v>0</v>
      </c>
      <c r="M50" s="100" t="s">
        <v>1037</v>
      </c>
      <c r="N50" s="100">
        <f>'[18]Tariff hike_Summary'!G47</f>
        <v>0</v>
      </c>
      <c r="O50" s="101">
        <f>'[18]Tariff hike_Summary'!H47</f>
        <v>0</v>
      </c>
    </row>
    <row r="51" ht="15" spans="2:15">
      <c r="B51" s="54" t="s">
        <v>1041</v>
      </c>
      <c r="C51" s="55"/>
      <c r="D51" s="100"/>
      <c r="E51" s="100"/>
      <c r="F51" s="101"/>
      <c r="G51" s="55"/>
      <c r="H51" s="55"/>
      <c r="I51" s="55"/>
      <c r="J51" s="55"/>
      <c r="K51" s="55"/>
      <c r="L51" s="55"/>
      <c r="M51" s="55"/>
      <c r="N51" s="100"/>
      <c r="O51" s="55"/>
    </row>
    <row r="52" ht="15" spans="2:15">
      <c r="B52" s="54" t="s">
        <v>1042</v>
      </c>
      <c r="C52" s="55"/>
      <c r="D52" s="100"/>
      <c r="E52" s="100"/>
      <c r="F52" s="101"/>
      <c r="G52" s="55"/>
      <c r="H52" s="55"/>
      <c r="I52" s="55"/>
      <c r="J52" s="55"/>
      <c r="K52" s="55"/>
      <c r="L52" s="55"/>
      <c r="M52" s="55"/>
      <c r="N52" s="100"/>
      <c r="O52" s="55"/>
    </row>
    <row r="53" spans="2:15">
      <c r="B53" s="58" t="s">
        <v>1043</v>
      </c>
      <c r="C53" s="55"/>
      <c r="D53" s="100" t="s">
        <v>1003</v>
      </c>
      <c r="E53" s="100">
        <v>32</v>
      </c>
      <c r="F53" s="101">
        <v>7.1</v>
      </c>
      <c r="G53" s="100" t="s">
        <v>1003</v>
      </c>
      <c r="H53" s="100">
        <v>32</v>
      </c>
      <c r="I53" s="101">
        <v>7.1</v>
      </c>
      <c r="J53" s="100" t="s">
        <v>1003</v>
      </c>
      <c r="K53" s="100">
        <f t="shared" si="8"/>
        <v>0</v>
      </c>
      <c r="L53" s="101">
        <f t="shared" ref="L53:L55" si="9">O53</f>
        <v>0</v>
      </c>
      <c r="M53" s="100" t="s">
        <v>1003</v>
      </c>
      <c r="N53" s="100">
        <f>'[18]Tariff hike_Summary'!G49</f>
        <v>0</v>
      </c>
      <c r="O53" s="101">
        <f>'[18]Tariff hike_Summary'!H49</f>
        <v>0</v>
      </c>
    </row>
    <row r="54" spans="2:15">
      <c r="B54" s="58" t="s">
        <v>1044</v>
      </c>
      <c r="C54" s="55"/>
      <c r="D54" s="100" t="s">
        <v>1003</v>
      </c>
      <c r="E54" s="100">
        <v>32</v>
      </c>
      <c r="F54" s="101">
        <v>7.6</v>
      </c>
      <c r="G54" s="100" t="s">
        <v>1003</v>
      </c>
      <c r="H54" s="100">
        <v>32</v>
      </c>
      <c r="I54" s="101">
        <v>7.6</v>
      </c>
      <c r="J54" s="100" t="s">
        <v>1003</v>
      </c>
      <c r="K54" s="100">
        <f t="shared" si="8"/>
        <v>0</v>
      </c>
      <c r="L54" s="101">
        <f t="shared" si="9"/>
        <v>0</v>
      </c>
      <c r="M54" s="100" t="s">
        <v>1003</v>
      </c>
      <c r="N54" s="100">
        <f>'[18]Tariff hike_Summary'!G50</f>
        <v>0</v>
      </c>
      <c r="O54" s="101">
        <f>'[18]Tariff hike_Summary'!H50</f>
        <v>0</v>
      </c>
    </row>
    <row r="55" spans="2:15">
      <c r="B55" s="58" t="s">
        <v>1045</v>
      </c>
      <c r="C55" s="55"/>
      <c r="D55" s="100" t="s">
        <v>1003</v>
      </c>
      <c r="E55" s="100">
        <v>32</v>
      </c>
      <c r="F55" s="101">
        <v>8.1</v>
      </c>
      <c r="G55" s="100" t="s">
        <v>1003</v>
      </c>
      <c r="H55" s="100">
        <v>32</v>
      </c>
      <c r="I55" s="101">
        <v>8.1</v>
      </c>
      <c r="J55" s="100" t="s">
        <v>1003</v>
      </c>
      <c r="K55" s="100">
        <f t="shared" si="8"/>
        <v>0</v>
      </c>
      <c r="L55" s="101">
        <f t="shared" si="9"/>
        <v>0</v>
      </c>
      <c r="M55" s="100" t="s">
        <v>1003</v>
      </c>
      <c r="N55" s="100">
        <f>'[18]Tariff hike_Summary'!G51</f>
        <v>0</v>
      </c>
      <c r="O55" s="101">
        <f>'[18]Tariff hike_Summary'!H51</f>
        <v>0</v>
      </c>
    </row>
    <row r="56" ht="15" spans="2:15">
      <c r="B56" s="54" t="s">
        <v>1046</v>
      </c>
      <c r="C56" s="55"/>
      <c r="D56" s="100"/>
      <c r="E56" s="100"/>
      <c r="F56" s="101"/>
      <c r="G56" s="55"/>
      <c r="H56" s="55"/>
      <c r="I56" s="55"/>
      <c r="J56" s="55"/>
      <c r="K56" s="55"/>
      <c r="L56" s="55"/>
      <c r="M56" s="55"/>
      <c r="N56" s="55"/>
      <c r="O56" s="55"/>
    </row>
    <row r="57" ht="106" customHeight="1" spans="2:15">
      <c r="B57" s="58" t="s">
        <v>1043</v>
      </c>
      <c r="C57" s="55"/>
      <c r="D57" s="100" t="s">
        <v>1037</v>
      </c>
      <c r="E57" s="208" t="s">
        <v>1047</v>
      </c>
      <c r="F57" s="101">
        <v>6</v>
      </c>
      <c r="G57" s="100" t="s">
        <v>1037</v>
      </c>
      <c r="H57" s="208" t="s">
        <v>1183</v>
      </c>
      <c r="I57" s="101">
        <v>6</v>
      </c>
      <c r="J57" s="100" t="s">
        <v>1037</v>
      </c>
      <c r="K57" s="208">
        <f t="shared" ref="K57:K59" si="10">N57</f>
        <v>0</v>
      </c>
      <c r="L57" s="101">
        <f t="shared" ref="L57:L59" si="11">O57</f>
        <v>0</v>
      </c>
      <c r="M57" s="100" t="s">
        <v>1037</v>
      </c>
      <c r="N57" s="208">
        <f>'[18]Tariff hike_Summary'!G60</f>
        <v>0</v>
      </c>
      <c r="O57" s="101">
        <f>'[18]Tariff hike_Summary'!H60</f>
        <v>0</v>
      </c>
    </row>
    <row r="58" ht="107" customHeight="1" spans="2:15">
      <c r="B58" s="58" t="s">
        <v>1044</v>
      </c>
      <c r="C58" s="55"/>
      <c r="D58" s="100" t="s">
        <v>1037</v>
      </c>
      <c r="E58" s="208" t="s">
        <v>1048</v>
      </c>
      <c r="F58" s="101">
        <v>7.1</v>
      </c>
      <c r="G58" s="100" t="s">
        <v>1037</v>
      </c>
      <c r="H58" s="208" t="s">
        <v>1184</v>
      </c>
      <c r="I58" s="101">
        <v>7.1</v>
      </c>
      <c r="J58" s="100" t="s">
        <v>1037</v>
      </c>
      <c r="K58" s="208">
        <f t="shared" si="10"/>
        <v>0</v>
      </c>
      <c r="L58" s="101">
        <f t="shared" si="11"/>
        <v>0</v>
      </c>
      <c r="M58" s="100" t="s">
        <v>1037</v>
      </c>
      <c r="N58" s="208">
        <f>'[18]Tariff hike_Summary'!G61</f>
        <v>0</v>
      </c>
      <c r="O58" s="101">
        <f>'[18]Tariff hike_Summary'!H61</f>
        <v>0</v>
      </c>
    </row>
    <row r="59" ht="101" customHeight="1" spans="2:15">
      <c r="B59" s="58" t="s">
        <v>1045</v>
      </c>
      <c r="C59" s="55"/>
      <c r="D59" s="100" t="s">
        <v>1037</v>
      </c>
      <c r="E59" s="208" t="s">
        <v>1048</v>
      </c>
      <c r="F59" s="101">
        <v>7.6</v>
      </c>
      <c r="G59" s="100" t="s">
        <v>1037</v>
      </c>
      <c r="H59" s="208" t="s">
        <v>1184</v>
      </c>
      <c r="I59" s="101">
        <v>7.6</v>
      </c>
      <c r="J59" s="100" t="s">
        <v>1037</v>
      </c>
      <c r="K59" s="208">
        <f t="shared" si="10"/>
        <v>0</v>
      </c>
      <c r="L59" s="101">
        <f t="shared" si="11"/>
        <v>0</v>
      </c>
      <c r="M59" s="100" t="s">
        <v>1037</v>
      </c>
      <c r="N59" s="208">
        <f>'[18]Tariff hike_Summary'!G62</f>
        <v>0</v>
      </c>
      <c r="O59" s="101">
        <f>'[18]Tariff hike_Summary'!H62</f>
        <v>0</v>
      </c>
    </row>
    <row r="60" ht="15" spans="2:15">
      <c r="B60" s="54" t="s">
        <v>1049</v>
      </c>
      <c r="C60" s="55"/>
      <c r="D60" s="100"/>
      <c r="E60" s="100"/>
      <c r="F60" s="101"/>
      <c r="G60" s="55"/>
      <c r="H60" s="55"/>
      <c r="I60" s="55"/>
      <c r="J60" s="55"/>
      <c r="K60" s="55"/>
      <c r="L60" s="55"/>
      <c r="M60" s="55"/>
      <c r="N60" s="55"/>
      <c r="O60" s="55"/>
    </row>
    <row r="61" spans="2:15">
      <c r="B61" s="56" t="s">
        <v>1050</v>
      </c>
      <c r="C61" s="55"/>
      <c r="D61" s="100" t="s">
        <v>1003</v>
      </c>
      <c r="E61" s="100">
        <v>21</v>
      </c>
      <c r="F61" s="101">
        <v>8.3</v>
      </c>
      <c r="G61" s="100" t="s">
        <v>1003</v>
      </c>
      <c r="H61" s="100">
        <v>21</v>
      </c>
      <c r="I61" s="101">
        <v>8.3</v>
      </c>
      <c r="J61" s="100" t="s">
        <v>1003</v>
      </c>
      <c r="K61" s="100">
        <f t="shared" ref="K61:K66" si="12">N61</f>
        <v>0</v>
      </c>
      <c r="L61" s="101">
        <f t="shared" ref="L61:L66" si="13">O61</f>
        <v>0</v>
      </c>
      <c r="M61" s="100" t="s">
        <v>1003</v>
      </c>
      <c r="N61" s="100">
        <f>'[18]Tariff hike_Summary'!G53</f>
        <v>0</v>
      </c>
      <c r="O61" s="101">
        <f>'[18]Tariff hike_Summary'!H53</f>
        <v>0</v>
      </c>
    </row>
    <row r="62" spans="2:15">
      <c r="B62" s="56" t="s">
        <v>1051</v>
      </c>
      <c r="C62" s="55"/>
      <c r="D62" s="100"/>
      <c r="E62" s="100"/>
      <c r="F62" s="101"/>
      <c r="G62" s="55"/>
      <c r="H62" s="55"/>
      <c r="I62" s="55"/>
      <c r="J62" s="55"/>
      <c r="K62" s="55"/>
      <c r="L62" s="55"/>
      <c r="M62" s="55"/>
      <c r="N62" s="100">
        <f>'[18]Tariff hike_Summary'!G54</f>
        <v>0</v>
      </c>
      <c r="O62" s="101">
        <f>'[18]Tariff hike_Summary'!H54</f>
        <v>0</v>
      </c>
    </row>
    <row r="63" spans="2:15">
      <c r="B63" s="56" t="s">
        <v>1052</v>
      </c>
      <c r="C63" s="55"/>
      <c r="D63" s="100" t="s">
        <v>1003</v>
      </c>
      <c r="E63" s="100">
        <v>21</v>
      </c>
      <c r="F63" s="101">
        <v>6.4</v>
      </c>
      <c r="G63" s="100" t="s">
        <v>1003</v>
      </c>
      <c r="H63" s="100">
        <v>30</v>
      </c>
      <c r="I63" s="101">
        <v>5</v>
      </c>
      <c r="J63" s="100" t="s">
        <v>1003</v>
      </c>
      <c r="K63" s="100">
        <f t="shared" si="12"/>
        <v>0</v>
      </c>
      <c r="L63" s="101">
        <f t="shared" si="13"/>
        <v>0</v>
      </c>
      <c r="M63" s="100" t="s">
        <v>1003</v>
      </c>
      <c r="N63" s="100">
        <f>'[18]Tariff hike_Summary'!G55</f>
        <v>0</v>
      </c>
      <c r="O63" s="101">
        <f>'[18]Tariff hike_Summary'!H55</f>
        <v>0</v>
      </c>
    </row>
    <row r="64" spans="2:15">
      <c r="B64" s="56" t="s">
        <v>1053</v>
      </c>
      <c r="C64" s="55"/>
      <c r="D64" s="100" t="s">
        <v>1003</v>
      </c>
      <c r="E64" s="100">
        <v>21</v>
      </c>
      <c r="F64" s="101">
        <v>7</v>
      </c>
      <c r="G64" s="100" t="s">
        <v>1003</v>
      </c>
      <c r="H64" s="100">
        <v>30</v>
      </c>
      <c r="I64" s="101">
        <v>5</v>
      </c>
      <c r="J64" s="100" t="s">
        <v>1003</v>
      </c>
      <c r="K64" s="100">
        <f t="shared" si="12"/>
        <v>0</v>
      </c>
      <c r="L64" s="101">
        <f t="shared" si="13"/>
        <v>0</v>
      </c>
      <c r="M64" s="100" t="s">
        <v>1003</v>
      </c>
      <c r="N64" s="100">
        <f>'[18]Tariff hike_Summary'!G56</f>
        <v>0</v>
      </c>
      <c r="O64" s="101">
        <f>'[18]Tariff hike_Summary'!H56</f>
        <v>0</v>
      </c>
    </row>
    <row r="65" ht="15" spans="2:15">
      <c r="B65" s="54" t="s">
        <v>1054</v>
      </c>
      <c r="C65" s="55"/>
      <c r="D65" s="100" t="s">
        <v>1003</v>
      </c>
      <c r="E65" s="100">
        <v>21</v>
      </c>
      <c r="F65" s="101">
        <v>12</v>
      </c>
      <c r="G65" s="100" t="s">
        <v>1003</v>
      </c>
      <c r="H65" s="100">
        <v>21</v>
      </c>
      <c r="I65" s="101">
        <v>12</v>
      </c>
      <c r="J65" s="100" t="s">
        <v>1003</v>
      </c>
      <c r="K65" s="100">
        <f t="shared" si="12"/>
        <v>0</v>
      </c>
      <c r="L65" s="101">
        <f t="shared" si="13"/>
        <v>0</v>
      </c>
      <c r="M65" s="100" t="s">
        <v>1003</v>
      </c>
      <c r="N65" s="100">
        <f>'[18]Tariff hike_Summary'!G57</f>
        <v>0</v>
      </c>
      <c r="O65" s="101">
        <f>'[18]Tariff hike_Summary'!H57</f>
        <v>0</v>
      </c>
    </row>
    <row r="66" ht="15" spans="2:15">
      <c r="B66" s="54" t="s">
        <v>1055</v>
      </c>
      <c r="C66" s="55"/>
      <c r="D66" s="100" t="s">
        <v>1003</v>
      </c>
      <c r="E66" s="100">
        <v>50</v>
      </c>
      <c r="F66" s="101">
        <v>6</v>
      </c>
      <c r="G66" s="100" t="s">
        <v>1003</v>
      </c>
      <c r="H66" s="100">
        <v>0</v>
      </c>
      <c r="I66" s="101">
        <v>6</v>
      </c>
      <c r="J66" s="100" t="s">
        <v>1003</v>
      </c>
      <c r="K66" s="100">
        <f t="shared" si="12"/>
        <v>0</v>
      </c>
      <c r="L66" s="101">
        <f t="shared" si="13"/>
        <v>0</v>
      </c>
      <c r="M66" s="100" t="s">
        <v>1003</v>
      </c>
      <c r="N66" s="100">
        <f>'[18]Tariff hike_Summary'!G58</f>
        <v>0</v>
      </c>
      <c r="O66" s="101">
        <f>'[18]Tariff hike_Summary'!H58</f>
        <v>0</v>
      </c>
    </row>
    <row r="67" ht="15" spans="2:15">
      <c r="B67" s="54"/>
      <c r="C67" s="55"/>
      <c r="D67" s="55"/>
      <c r="E67" s="55"/>
      <c r="F67" s="147"/>
      <c r="G67" s="55"/>
      <c r="H67" s="55"/>
      <c r="I67" s="55"/>
      <c r="J67" s="55"/>
      <c r="K67" s="55"/>
      <c r="L67" s="55"/>
      <c r="M67" s="55"/>
      <c r="N67" s="55"/>
      <c r="O67" s="55"/>
    </row>
    <row r="68" ht="15" spans="2:15">
      <c r="B68" s="66"/>
      <c r="C68" s="67"/>
      <c r="D68" s="55"/>
      <c r="E68" s="55"/>
      <c r="F68" s="147"/>
      <c r="G68" s="55"/>
      <c r="H68" s="55"/>
      <c r="I68" s="55"/>
      <c r="J68" s="55"/>
      <c r="K68" s="55"/>
      <c r="L68" s="55"/>
      <c r="M68" s="55"/>
      <c r="N68" s="55"/>
      <c r="O68" s="55"/>
    </row>
    <row r="69" ht="15" spans="2:15">
      <c r="B69" s="70" t="s">
        <v>907</v>
      </c>
      <c r="C69" s="70"/>
      <c r="D69" s="55"/>
      <c r="E69" s="55"/>
      <c r="F69" s="147"/>
      <c r="G69" s="55"/>
      <c r="H69" s="55"/>
      <c r="I69" s="55"/>
      <c r="J69" s="55"/>
      <c r="K69" s="55"/>
      <c r="L69" s="55"/>
      <c r="M69" s="55"/>
      <c r="N69" s="55"/>
      <c r="O69" s="55"/>
    </row>
    <row r="70" ht="15" spans="2:15">
      <c r="B70" s="54" t="s">
        <v>1056</v>
      </c>
      <c r="C70" s="55"/>
      <c r="D70" s="55"/>
      <c r="E70" s="55"/>
      <c r="F70" s="147"/>
      <c r="G70" s="55"/>
      <c r="H70" s="55"/>
      <c r="I70" s="55"/>
      <c r="J70" s="55"/>
      <c r="K70" s="55"/>
      <c r="L70" s="55"/>
      <c r="M70" s="55"/>
      <c r="N70" s="55"/>
      <c r="O70" s="55"/>
    </row>
    <row r="71" spans="2:15">
      <c r="B71" s="210" t="s">
        <v>1057</v>
      </c>
      <c r="C71" s="72"/>
      <c r="D71" s="100" t="s">
        <v>1058</v>
      </c>
      <c r="E71" s="100">
        <v>475</v>
      </c>
      <c r="F71" s="101">
        <v>7.65</v>
      </c>
      <c r="G71" s="100" t="s">
        <v>1058</v>
      </c>
      <c r="H71" s="100">
        <v>500</v>
      </c>
      <c r="I71" s="101">
        <v>7.65</v>
      </c>
      <c r="J71" s="100" t="s">
        <v>1058</v>
      </c>
      <c r="K71" s="100">
        <f t="shared" ref="K71:K73" si="14">N71</f>
        <v>0</v>
      </c>
      <c r="L71" s="101">
        <f t="shared" ref="L71:L73" si="15">O71</f>
        <v>0</v>
      </c>
      <c r="M71" s="100" t="s">
        <v>1058</v>
      </c>
      <c r="N71" s="153">
        <f>'[18]Tariff hike_Summary'!G68</f>
        <v>0</v>
      </c>
      <c r="O71" s="101">
        <f>'[18]Tariff hike_Summary'!H68</f>
        <v>0</v>
      </c>
    </row>
    <row r="72" spans="2:15">
      <c r="B72" s="210" t="s">
        <v>1059</v>
      </c>
      <c r="C72" s="72"/>
      <c r="D72" s="100" t="s">
        <v>1058</v>
      </c>
      <c r="E72" s="100">
        <v>475</v>
      </c>
      <c r="F72" s="101">
        <v>7.15</v>
      </c>
      <c r="G72" s="100" t="s">
        <v>1058</v>
      </c>
      <c r="H72" s="100">
        <v>500</v>
      </c>
      <c r="I72" s="101">
        <v>7.15</v>
      </c>
      <c r="J72" s="100" t="s">
        <v>1058</v>
      </c>
      <c r="K72" s="100">
        <f t="shared" si="14"/>
        <v>0</v>
      </c>
      <c r="L72" s="101">
        <f t="shared" si="15"/>
        <v>0</v>
      </c>
      <c r="M72" s="100" t="s">
        <v>1058</v>
      </c>
      <c r="N72" s="153">
        <f>'[18]Tariff hike_Summary'!G120</f>
        <v>0</v>
      </c>
      <c r="O72" s="101">
        <f>'[18]Tariff hike_Summary'!H120</f>
        <v>0</v>
      </c>
    </row>
    <row r="73" spans="2:15">
      <c r="B73" s="210" t="s">
        <v>1060</v>
      </c>
      <c r="C73" s="72"/>
      <c r="D73" s="100" t="s">
        <v>1058</v>
      </c>
      <c r="E73" s="100">
        <v>475</v>
      </c>
      <c r="F73" s="101">
        <v>6.65</v>
      </c>
      <c r="G73" s="100" t="s">
        <v>1058</v>
      </c>
      <c r="H73" s="100">
        <v>500</v>
      </c>
      <c r="I73" s="101">
        <v>6.65</v>
      </c>
      <c r="J73" s="100" t="s">
        <v>1058</v>
      </c>
      <c r="K73" s="100">
        <f t="shared" si="14"/>
        <v>0</v>
      </c>
      <c r="L73" s="101">
        <f t="shared" si="15"/>
        <v>0</v>
      </c>
      <c r="M73" s="100" t="s">
        <v>1058</v>
      </c>
      <c r="N73" s="153">
        <f>'[18]Tariff hike_Summary'!G171</f>
        <v>0</v>
      </c>
      <c r="O73" s="101">
        <f>'[18]Tariff hike_Summary'!H171</f>
        <v>0</v>
      </c>
    </row>
    <row r="74" ht="15" spans="2:15">
      <c r="B74" s="54" t="s">
        <v>1061</v>
      </c>
      <c r="C74" s="55"/>
      <c r="D74" s="100"/>
      <c r="E74" s="100"/>
      <c r="F74" s="101"/>
      <c r="G74" s="55"/>
      <c r="H74" s="55"/>
      <c r="I74" s="55"/>
      <c r="J74" s="55"/>
      <c r="K74" s="55"/>
      <c r="L74" s="55"/>
      <c r="M74" s="55"/>
      <c r="N74" s="55"/>
      <c r="O74" s="55"/>
    </row>
    <row r="75" spans="2:15">
      <c r="B75" s="210" t="s">
        <v>1057</v>
      </c>
      <c r="C75" s="55"/>
      <c r="D75" s="100"/>
      <c r="E75" s="100"/>
      <c r="F75" s="101">
        <v>7.65</v>
      </c>
      <c r="G75" s="55"/>
      <c r="H75" s="55"/>
      <c r="I75" s="101">
        <v>7.65</v>
      </c>
      <c r="J75" s="55"/>
      <c r="K75" s="55"/>
      <c r="L75" s="101">
        <f t="shared" ref="L75:L77" si="16">O75</f>
        <v>0</v>
      </c>
      <c r="M75" s="55"/>
      <c r="N75" s="55">
        <f>'[18]Tariff hike_Summary'!G70</f>
        <v>0</v>
      </c>
      <c r="O75" s="101">
        <f>'[18]Tariff hike_Summary'!H70</f>
        <v>0</v>
      </c>
    </row>
    <row r="76" spans="2:15">
      <c r="B76" s="210" t="s">
        <v>1059</v>
      </c>
      <c r="C76" s="55"/>
      <c r="D76" s="100"/>
      <c r="E76" s="100"/>
      <c r="F76" s="101">
        <v>7.15</v>
      </c>
      <c r="G76" s="55"/>
      <c r="H76" s="55"/>
      <c r="I76" s="101">
        <v>7.15</v>
      </c>
      <c r="J76" s="55"/>
      <c r="K76" s="55"/>
      <c r="L76" s="101">
        <f t="shared" si="16"/>
        <v>0</v>
      </c>
      <c r="M76" s="55"/>
      <c r="N76" s="55">
        <f>'[18]Tariff hike_Summary'!G121</f>
        <v>0</v>
      </c>
      <c r="O76" s="101">
        <f>'[18]Tariff hike_Summary'!H121</f>
        <v>0</v>
      </c>
    </row>
    <row r="77" spans="2:15">
      <c r="B77" s="210" t="s">
        <v>1060</v>
      </c>
      <c r="C77" s="55"/>
      <c r="D77" s="100"/>
      <c r="E77" s="100"/>
      <c r="F77" s="101">
        <v>6.65</v>
      </c>
      <c r="G77" s="55"/>
      <c r="H77" s="55"/>
      <c r="I77" s="101">
        <v>6.65</v>
      </c>
      <c r="J77" s="55"/>
      <c r="K77" s="55"/>
      <c r="L77" s="101">
        <f t="shared" si="16"/>
        <v>0</v>
      </c>
      <c r="M77" s="55"/>
      <c r="N77" s="55">
        <f>'[18]Tariff hike_Summary'!G172</f>
        <v>0</v>
      </c>
      <c r="O77" s="101">
        <f>'[18]Tariff hike_Summary'!H172</f>
        <v>0</v>
      </c>
    </row>
    <row r="78" ht="15" spans="2:15">
      <c r="B78" s="54" t="s">
        <v>1062</v>
      </c>
      <c r="C78" s="55"/>
      <c r="D78" s="100"/>
      <c r="E78" s="100"/>
      <c r="F78" s="101"/>
      <c r="G78" s="55"/>
      <c r="H78" s="55"/>
      <c r="I78" s="55"/>
      <c r="J78" s="55"/>
      <c r="K78" s="55"/>
      <c r="L78" s="55"/>
      <c r="M78" s="55"/>
      <c r="N78" s="55"/>
      <c r="O78" s="55"/>
    </row>
    <row r="79" spans="2:15">
      <c r="B79" s="210" t="s">
        <v>1057</v>
      </c>
      <c r="C79" s="55"/>
      <c r="D79" s="100" t="s">
        <v>1058</v>
      </c>
      <c r="E79" s="100">
        <v>475</v>
      </c>
      <c r="F79" s="101">
        <v>7.65</v>
      </c>
      <c r="G79" s="100" t="s">
        <v>1058</v>
      </c>
      <c r="H79" s="100">
        <v>500</v>
      </c>
      <c r="I79" s="101">
        <v>7.65</v>
      </c>
      <c r="J79" s="100" t="s">
        <v>1058</v>
      </c>
      <c r="K79" s="100">
        <f>N79</f>
        <v>0</v>
      </c>
      <c r="L79" s="101">
        <f t="shared" ref="L79:L84" si="17">O79</f>
        <v>0</v>
      </c>
      <c r="M79" s="100" t="s">
        <v>1058</v>
      </c>
      <c r="N79" s="100">
        <f>'[18]Tariff hike_Summary'!G77</f>
        <v>0</v>
      </c>
      <c r="O79" s="101">
        <f>'[18]Tariff hike_Summary'!H77</f>
        <v>0</v>
      </c>
    </row>
    <row r="80" spans="2:15">
      <c r="B80" s="210" t="s">
        <v>1059</v>
      </c>
      <c r="C80" s="55"/>
      <c r="D80" s="100" t="s">
        <v>1058</v>
      </c>
      <c r="E80" s="100">
        <v>475</v>
      </c>
      <c r="F80" s="101">
        <v>7.15</v>
      </c>
      <c r="G80" s="100" t="s">
        <v>1058</v>
      </c>
      <c r="H80" s="100">
        <v>500</v>
      </c>
      <c r="I80" s="101">
        <v>7.15</v>
      </c>
      <c r="J80" s="100" t="s">
        <v>1058</v>
      </c>
      <c r="K80" s="100">
        <f>N80</f>
        <v>0</v>
      </c>
      <c r="L80" s="101">
        <f t="shared" si="17"/>
        <v>0</v>
      </c>
      <c r="M80" s="100" t="s">
        <v>1058</v>
      </c>
      <c r="N80" s="100">
        <f>'[18]Tariff hike_Summary'!G128</f>
        <v>0</v>
      </c>
      <c r="O80" s="101">
        <f>'[18]Tariff hike_Summary'!H128</f>
        <v>0</v>
      </c>
    </row>
    <row r="81" ht="15" spans="2:15">
      <c r="B81" s="54" t="s">
        <v>1063</v>
      </c>
      <c r="C81" s="55"/>
      <c r="D81" s="100"/>
      <c r="F81" s="101"/>
      <c r="G81" s="55"/>
      <c r="H81" s="55"/>
      <c r="I81" s="55"/>
      <c r="J81" s="55"/>
      <c r="K81" s="55"/>
      <c r="L81" s="55"/>
      <c r="M81" s="55"/>
      <c r="N81" s="55"/>
      <c r="O81" s="55"/>
    </row>
    <row r="82" spans="2:15">
      <c r="B82" s="210" t="s">
        <v>1057</v>
      </c>
      <c r="C82" s="55"/>
      <c r="D82" s="100"/>
      <c r="E82" s="100"/>
      <c r="F82" s="101">
        <v>7.3</v>
      </c>
      <c r="G82" s="55"/>
      <c r="H82" s="55"/>
      <c r="I82" s="101">
        <v>7.3</v>
      </c>
      <c r="J82" s="55"/>
      <c r="K82" s="55"/>
      <c r="L82" s="101">
        <f t="shared" si="17"/>
        <v>0</v>
      </c>
      <c r="M82" s="55"/>
      <c r="N82" s="55">
        <f>'[18]Tariff hike_Summary'!G71</f>
        <v>0</v>
      </c>
      <c r="O82" s="101">
        <f>'[18]Tariff hike_Summary'!H71</f>
        <v>0</v>
      </c>
    </row>
    <row r="83" spans="2:15">
      <c r="B83" s="210" t="s">
        <v>1059</v>
      </c>
      <c r="C83" s="55"/>
      <c r="D83" s="100"/>
      <c r="E83" s="100"/>
      <c r="F83" s="101">
        <v>7.3</v>
      </c>
      <c r="G83" s="55"/>
      <c r="H83" s="55"/>
      <c r="I83" s="101">
        <v>7.3</v>
      </c>
      <c r="J83" s="55"/>
      <c r="K83" s="55"/>
      <c r="L83" s="101">
        <f t="shared" si="17"/>
        <v>0</v>
      </c>
      <c r="M83" s="55"/>
      <c r="N83" s="55">
        <f>'[18]Tariff hike_Summary'!G122</f>
        <v>0</v>
      </c>
      <c r="O83" s="101">
        <f>'[18]Tariff hike_Summary'!H122</f>
        <v>0</v>
      </c>
    </row>
    <row r="84" spans="2:15">
      <c r="B84" s="210" t="s">
        <v>1060</v>
      </c>
      <c r="C84" s="55"/>
      <c r="D84" s="100"/>
      <c r="E84" s="100"/>
      <c r="F84" s="101">
        <v>7.3</v>
      </c>
      <c r="G84" s="55"/>
      <c r="H84" s="55"/>
      <c r="I84" s="101">
        <v>7.3</v>
      </c>
      <c r="J84" s="55"/>
      <c r="K84" s="55"/>
      <c r="L84" s="101">
        <f t="shared" si="17"/>
        <v>0</v>
      </c>
      <c r="M84" s="55"/>
      <c r="N84" s="55">
        <f>'[18]Tariff hike_Summary'!G173</f>
        <v>0</v>
      </c>
      <c r="O84" s="101">
        <f>'[18]Tariff hike_Summary'!H173</f>
        <v>0</v>
      </c>
    </row>
    <row r="85" ht="15" spans="2:15">
      <c r="B85" s="54" t="s">
        <v>1064</v>
      </c>
      <c r="C85" s="55"/>
      <c r="D85" s="100"/>
      <c r="E85" s="100"/>
      <c r="F85" s="101"/>
      <c r="G85" s="55"/>
      <c r="H85" s="55"/>
      <c r="I85" s="55"/>
      <c r="J85" s="55"/>
      <c r="K85" s="55"/>
      <c r="L85" s="55"/>
      <c r="M85" s="55"/>
      <c r="N85" s="55"/>
      <c r="O85" s="55"/>
    </row>
    <row r="86" spans="2:15">
      <c r="B86" s="210" t="s">
        <v>1057</v>
      </c>
      <c r="C86" s="55"/>
      <c r="D86" s="100" t="s">
        <v>1058</v>
      </c>
      <c r="E86" s="100">
        <v>475</v>
      </c>
      <c r="F86" s="101">
        <v>8.6</v>
      </c>
      <c r="G86" s="100" t="s">
        <v>1058</v>
      </c>
      <c r="H86" s="100">
        <v>500</v>
      </c>
      <c r="I86" s="101">
        <v>8.6</v>
      </c>
      <c r="J86" s="100" t="s">
        <v>1058</v>
      </c>
      <c r="K86" s="100">
        <f t="shared" ref="K86:K88" si="18">N86</f>
        <v>0</v>
      </c>
      <c r="L86" s="101">
        <f t="shared" ref="L86:L88" si="19">O86</f>
        <v>0</v>
      </c>
      <c r="M86" s="100" t="s">
        <v>1058</v>
      </c>
      <c r="N86" s="100">
        <f>'[18]Tariff hike_Summary'!G72</f>
        <v>0</v>
      </c>
      <c r="O86" s="101">
        <f>'[18]Tariff hike_Summary'!H72</f>
        <v>0</v>
      </c>
    </row>
    <row r="87" spans="2:15">
      <c r="B87" s="210" t="s">
        <v>1059</v>
      </c>
      <c r="C87" s="55"/>
      <c r="D87" s="100" t="s">
        <v>1058</v>
      </c>
      <c r="E87" s="100">
        <v>475</v>
      </c>
      <c r="F87" s="101">
        <v>7.9</v>
      </c>
      <c r="G87" s="100" t="s">
        <v>1058</v>
      </c>
      <c r="H87" s="100">
        <v>500</v>
      </c>
      <c r="I87" s="101">
        <v>7.9</v>
      </c>
      <c r="J87" s="100" t="s">
        <v>1058</v>
      </c>
      <c r="K87" s="100">
        <f t="shared" si="18"/>
        <v>0</v>
      </c>
      <c r="L87" s="101">
        <f t="shared" si="19"/>
        <v>0</v>
      </c>
      <c r="M87" s="100" t="s">
        <v>1058</v>
      </c>
      <c r="N87" s="100">
        <f>'[18]Tariff hike_Summary'!G123</f>
        <v>0</v>
      </c>
      <c r="O87" s="101">
        <f>'[18]Tariff hike_Summary'!H123</f>
        <v>0</v>
      </c>
    </row>
    <row r="88" spans="2:15">
      <c r="B88" s="210" t="s">
        <v>1060</v>
      </c>
      <c r="C88" s="55"/>
      <c r="D88" s="100" t="s">
        <v>1058</v>
      </c>
      <c r="E88" s="100">
        <v>475</v>
      </c>
      <c r="F88" s="101">
        <v>7.7</v>
      </c>
      <c r="G88" s="100" t="s">
        <v>1058</v>
      </c>
      <c r="H88" s="100">
        <v>500</v>
      </c>
      <c r="I88" s="101">
        <v>7.7</v>
      </c>
      <c r="J88" s="100" t="s">
        <v>1058</v>
      </c>
      <c r="K88" s="100">
        <f t="shared" si="18"/>
        <v>0</v>
      </c>
      <c r="L88" s="101">
        <f t="shared" si="19"/>
        <v>0</v>
      </c>
      <c r="M88" s="100" t="s">
        <v>1058</v>
      </c>
      <c r="N88" s="100">
        <f>'[18]Tariff hike_Summary'!G174</f>
        <v>0</v>
      </c>
      <c r="O88" s="101">
        <f>'[18]Tariff hike_Summary'!H174</f>
        <v>0</v>
      </c>
    </row>
    <row r="89" ht="15" spans="2:15">
      <c r="B89" s="54" t="s">
        <v>1065</v>
      </c>
      <c r="C89" s="55"/>
      <c r="D89" s="100"/>
      <c r="E89" s="100"/>
      <c r="F89" s="101"/>
      <c r="G89" s="55"/>
      <c r="H89" s="55"/>
      <c r="I89" s="55"/>
      <c r="J89" s="55"/>
      <c r="K89" s="55"/>
      <c r="L89" s="55"/>
      <c r="M89" s="55"/>
      <c r="N89" s="55"/>
      <c r="O89" s="55"/>
    </row>
    <row r="90" spans="2:15">
      <c r="B90" s="210" t="s">
        <v>1057</v>
      </c>
      <c r="C90" s="55"/>
      <c r="D90" s="100" t="s">
        <v>1058</v>
      </c>
      <c r="E90" s="100">
        <v>100</v>
      </c>
      <c r="F90" s="101">
        <v>8</v>
      </c>
      <c r="G90" s="100" t="s">
        <v>1058</v>
      </c>
      <c r="H90" s="100">
        <v>100</v>
      </c>
      <c r="I90" s="101">
        <v>8</v>
      </c>
      <c r="J90" s="100" t="s">
        <v>1058</v>
      </c>
      <c r="K90" s="100">
        <f t="shared" ref="K90:K94" si="20">N90</f>
        <v>0</v>
      </c>
      <c r="L90" s="101">
        <f t="shared" ref="L90:L94" si="21">O90</f>
        <v>0</v>
      </c>
      <c r="M90" s="100" t="s">
        <v>1058</v>
      </c>
      <c r="N90" s="100">
        <f>'[18]Tariff hike_Summary'!G69</f>
        <v>0</v>
      </c>
      <c r="O90" s="101">
        <f>'[18]Tariff hike_Summary'!H69</f>
        <v>0</v>
      </c>
    </row>
    <row r="91" ht="15" spans="2:15">
      <c r="B91" s="54" t="s">
        <v>1066</v>
      </c>
      <c r="C91" s="55"/>
      <c r="D91" s="100"/>
      <c r="E91" s="100"/>
      <c r="F91" s="101"/>
      <c r="G91" s="55"/>
      <c r="H91" s="55"/>
      <c r="I91" s="55"/>
      <c r="J91" s="55"/>
      <c r="K91" s="55"/>
      <c r="L91" s="55"/>
      <c r="M91" s="55"/>
      <c r="N91" s="55"/>
      <c r="O91" s="55"/>
    </row>
    <row r="92" spans="2:15">
      <c r="B92" s="210" t="s">
        <v>1057</v>
      </c>
      <c r="C92" s="55"/>
      <c r="D92" s="100" t="s">
        <v>1058</v>
      </c>
      <c r="E92" s="100">
        <v>475</v>
      </c>
      <c r="F92" s="101">
        <v>7.65</v>
      </c>
      <c r="G92" s="100" t="s">
        <v>1058</v>
      </c>
      <c r="H92" s="100">
        <v>500</v>
      </c>
      <c r="I92" s="101">
        <v>7.65</v>
      </c>
      <c r="J92" s="100" t="s">
        <v>1058</v>
      </c>
      <c r="K92" s="100">
        <f t="shared" si="20"/>
        <v>0</v>
      </c>
      <c r="L92" s="101">
        <f t="shared" si="21"/>
        <v>0</v>
      </c>
      <c r="M92" s="100" t="s">
        <v>1058</v>
      </c>
      <c r="N92" s="100">
        <f>'[18]Tariff hike_Summary'!G81</f>
        <v>0</v>
      </c>
      <c r="O92" s="101">
        <f>'[18]Tariff hike_Summary'!H81</f>
        <v>0</v>
      </c>
    </row>
    <row r="93" spans="2:15">
      <c r="B93" s="210" t="s">
        <v>1059</v>
      </c>
      <c r="C93" s="55"/>
      <c r="D93" s="100" t="s">
        <v>1058</v>
      </c>
      <c r="E93" s="100">
        <v>475</v>
      </c>
      <c r="F93" s="101">
        <v>7.15</v>
      </c>
      <c r="G93" s="100" t="s">
        <v>1058</v>
      </c>
      <c r="H93" s="100">
        <v>500</v>
      </c>
      <c r="I93" s="101">
        <v>7.15</v>
      </c>
      <c r="J93" s="100" t="s">
        <v>1058</v>
      </c>
      <c r="K93" s="100">
        <f t="shared" si="20"/>
        <v>0</v>
      </c>
      <c r="L93" s="101">
        <f t="shared" si="21"/>
        <v>0</v>
      </c>
      <c r="M93" s="100" t="s">
        <v>1058</v>
      </c>
      <c r="N93" s="100">
        <f>'[18]Tariff hike_Summary'!G132</f>
        <v>0</v>
      </c>
      <c r="O93" s="101">
        <f>'[18]Tariff hike_Summary'!H132</f>
        <v>0</v>
      </c>
    </row>
    <row r="94" spans="2:15">
      <c r="B94" s="210" t="s">
        <v>1060</v>
      </c>
      <c r="C94" s="55"/>
      <c r="D94" s="100" t="s">
        <v>1058</v>
      </c>
      <c r="E94" s="100">
        <v>475</v>
      </c>
      <c r="F94" s="101">
        <v>6.65</v>
      </c>
      <c r="G94" s="100" t="s">
        <v>1058</v>
      </c>
      <c r="H94" s="100">
        <v>500</v>
      </c>
      <c r="I94" s="101">
        <v>6.65</v>
      </c>
      <c r="J94" s="100" t="s">
        <v>1058</v>
      </c>
      <c r="K94" s="100">
        <f t="shared" si="20"/>
        <v>0</v>
      </c>
      <c r="L94" s="101">
        <f t="shared" si="21"/>
        <v>0</v>
      </c>
      <c r="M94" s="100" t="s">
        <v>1058</v>
      </c>
      <c r="N94" s="100">
        <f>'[18]Tariff hike_Summary'!G178</f>
        <v>0</v>
      </c>
      <c r="O94" s="101">
        <f>'[18]Tariff hike_Summary'!H178</f>
        <v>0</v>
      </c>
    </row>
    <row r="95" ht="15" spans="2:15">
      <c r="B95" s="54" t="s">
        <v>1067</v>
      </c>
      <c r="C95" s="55"/>
      <c r="D95" s="100"/>
      <c r="E95" s="100"/>
      <c r="F95" s="101"/>
      <c r="G95" s="55"/>
      <c r="H95" s="55"/>
      <c r="I95" s="55"/>
      <c r="J95" s="55"/>
      <c r="K95" s="55"/>
      <c r="L95" s="55"/>
      <c r="M95" s="55"/>
      <c r="N95" s="55"/>
      <c r="O95" s="55"/>
    </row>
    <row r="96" spans="2:15">
      <c r="B96" s="210" t="s">
        <v>1057</v>
      </c>
      <c r="C96" s="55"/>
      <c r="D96" s="100" t="s">
        <v>1058</v>
      </c>
      <c r="E96" s="100">
        <v>475</v>
      </c>
      <c r="F96" s="101">
        <v>8.8</v>
      </c>
      <c r="G96" s="100" t="s">
        <v>1058</v>
      </c>
      <c r="H96" s="100">
        <v>500</v>
      </c>
      <c r="I96" s="101">
        <v>8.8</v>
      </c>
      <c r="J96" s="100" t="s">
        <v>1058</v>
      </c>
      <c r="K96" s="100">
        <f t="shared" ref="K96:K98" si="22">N96</f>
        <v>0</v>
      </c>
      <c r="L96" s="101">
        <f t="shared" ref="L96:L98" si="23">O96</f>
        <v>0</v>
      </c>
      <c r="M96" s="100" t="s">
        <v>1058</v>
      </c>
      <c r="N96" s="100">
        <f>'[18]Tariff hike_Summary'!G88</f>
        <v>0</v>
      </c>
      <c r="O96" s="101">
        <f>'[18]Tariff hike_Summary'!H88</f>
        <v>0</v>
      </c>
    </row>
    <row r="97" spans="2:15">
      <c r="B97" s="210" t="s">
        <v>1059</v>
      </c>
      <c r="C97" s="55"/>
      <c r="D97" s="100" t="s">
        <v>1058</v>
      </c>
      <c r="E97" s="100">
        <v>475</v>
      </c>
      <c r="F97" s="101">
        <v>8</v>
      </c>
      <c r="G97" s="100" t="s">
        <v>1058</v>
      </c>
      <c r="H97" s="100">
        <v>500</v>
      </c>
      <c r="I97" s="101">
        <v>8</v>
      </c>
      <c r="J97" s="100" t="s">
        <v>1058</v>
      </c>
      <c r="K97" s="100">
        <f t="shared" si="22"/>
        <v>0</v>
      </c>
      <c r="L97" s="101">
        <f t="shared" si="23"/>
        <v>0</v>
      </c>
      <c r="M97" s="100" t="s">
        <v>1058</v>
      </c>
      <c r="N97" s="100">
        <f>'[18]Tariff hike_Summary'!G139</f>
        <v>0</v>
      </c>
      <c r="O97" s="101">
        <f>'[18]Tariff hike_Summary'!H139</f>
        <v>0</v>
      </c>
    </row>
    <row r="98" spans="2:15">
      <c r="B98" s="210" t="s">
        <v>1060</v>
      </c>
      <c r="C98" s="55"/>
      <c r="D98" s="100" t="s">
        <v>1058</v>
      </c>
      <c r="E98" s="100">
        <v>475</v>
      </c>
      <c r="F98" s="101">
        <v>7.8</v>
      </c>
      <c r="G98" s="100" t="s">
        <v>1058</v>
      </c>
      <c r="H98" s="100">
        <v>500</v>
      </c>
      <c r="I98" s="101">
        <v>7.8</v>
      </c>
      <c r="J98" s="100" t="s">
        <v>1058</v>
      </c>
      <c r="K98" s="100">
        <f t="shared" si="22"/>
        <v>0</v>
      </c>
      <c r="L98" s="101">
        <f t="shared" si="23"/>
        <v>0</v>
      </c>
      <c r="M98" s="100" t="s">
        <v>1058</v>
      </c>
      <c r="N98" s="100">
        <f>'[18]Tariff hike_Summary'!G185</f>
        <v>0</v>
      </c>
      <c r="O98" s="101">
        <f>'[18]Tariff hike_Summary'!H185</f>
        <v>0</v>
      </c>
    </row>
    <row r="99" ht="15" spans="2:15">
      <c r="B99" s="54" t="s">
        <v>1068</v>
      </c>
      <c r="C99" s="55"/>
      <c r="D99" s="100"/>
      <c r="E99" s="100"/>
      <c r="F99" s="101"/>
      <c r="G99" s="55"/>
      <c r="H99" s="55"/>
      <c r="I99" s="55"/>
      <c r="J99" s="55"/>
      <c r="K99" s="55"/>
      <c r="L99" s="55"/>
      <c r="M99" s="55"/>
      <c r="N99" s="55"/>
      <c r="O99" s="55"/>
    </row>
    <row r="100" spans="2:15">
      <c r="B100" s="210" t="s">
        <v>1057</v>
      </c>
      <c r="C100" s="55"/>
      <c r="D100" s="100"/>
      <c r="E100" s="100"/>
      <c r="F100" s="101"/>
      <c r="G100" s="100" t="s">
        <v>1058</v>
      </c>
      <c r="H100" s="100">
        <v>285</v>
      </c>
      <c r="I100" s="101">
        <v>5</v>
      </c>
      <c r="J100" s="100" t="s">
        <v>1058</v>
      </c>
      <c r="K100" s="100">
        <f t="shared" ref="K100:K102" si="24">N100</f>
        <v>0</v>
      </c>
      <c r="L100" s="101">
        <f t="shared" ref="L100:L102" si="25">O100</f>
        <v>0</v>
      </c>
      <c r="M100" s="100" t="s">
        <v>1058</v>
      </c>
      <c r="N100" s="100">
        <f>'[18]Tariff hike_Summary'!G93</f>
        <v>0</v>
      </c>
      <c r="O100" s="101">
        <f>'[18]Tariff hike_Summary'!H93</f>
        <v>0</v>
      </c>
    </row>
    <row r="101" spans="2:15">
      <c r="B101" s="210" t="s">
        <v>1059</v>
      </c>
      <c r="C101" s="55"/>
      <c r="D101" s="100"/>
      <c r="E101" s="100"/>
      <c r="F101" s="101"/>
      <c r="G101" s="100" t="s">
        <v>1058</v>
      </c>
      <c r="H101" s="100">
        <v>285</v>
      </c>
      <c r="I101" s="101">
        <v>5</v>
      </c>
      <c r="J101" s="100" t="s">
        <v>1058</v>
      </c>
      <c r="K101" s="100">
        <f t="shared" si="24"/>
        <v>0</v>
      </c>
      <c r="L101" s="101">
        <f t="shared" si="25"/>
        <v>0</v>
      </c>
      <c r="M101" s="100" t="s">
        <v>1058</v>
      </c>
      <c r="N101" s="100">
        <f>'[18]Tariff hike_Summary'!G145</f>
        <v>0</v>
      </c>
      <c r="O101" s="101">
        <f>'[18]Tariff hike_Summary'!H145</f>
        <v>0</v>
      </c>
    </row>
    <row r="102" spans="2:15">
      <c r="B102" s="210" t="s">
        <v>1060</v>
      </c>
      <c r="C102" s="55"/>
      <c r="D102" s="100"/>
      <c r="E102" s="100"/>
      <c r="F102" s="101"/>
      <c r="G102" s="100" t="s">
        <v>1058</v>
      </c>
      <c r="H102" s="100">
        <v>285</v>
      </c>
      <c r="I102" s="101">
        <v>5</v>
      </c>
      <c r="J102" s="100" t="s">
        <v>1058</v>
      </c>
      <c r="K102" s="100">
        <f t="shared" si="24"/>
        <v>0</v>
      </c>
      <c r="L102" s="101">
        <f t="shared" si="25"/>
        <v>0</v>
      </c>
      <c r="M102" s="100" t="s">
        <v>1058</v>
      </c>
      <c r="N102" s="100">
        <f>'[18]Tariff hike_Summary'!G190</f>
        <v>0</v>
      </c>
      <c r="O102" s="101">
        <f>'[18]Tariff hike_Summary'!H190</f>
        <v>0</v>
      </c>
    </row>
    <row r="103" ht="33" customHeight="1" spans="2:15">
      <c r="B103" s="211" t="s">
        <v>1069</v>
      </c>
      <c r="C103" s="55"/>
      <c r="D103" s="100"/>
      <c r="E103" s="100"/>
      <c r="F103" s="101"/>
      <c r="G103" s="55"/>
      <c r="H103" s="55"/>
      <c r="I103" s="55"/>
      <c r="J103" s="55"/>
      <c r="K103" s="55"/>
      <c r="L103" s="55"/>
      <c r="M103" s="55"/>
      <c r="N103" s="55"/>
      <c r="O103" s="55"/>
    </row>
    <row r="104" spans="2:15">
      <c r="B104" s="210" t="s">
        <v>1057</v>
      </c>
      <c r="C104" s="55"/>
      <c r="D104" s="100" t="s">
        <v>1058</v>
      </c>
      <c r="E104" s="100">
        <v>475</v>
      </c>
      <c r="F104" s="101">
        <v>8.5</v>
      </c>
      <c r="G104" s="100" t="s">
        <v>1058</v>
      </c>
      <c r="H104" s="100">
        <v>500</v>
      </c>
      <c r="I104" s="101">
        <v>8.5</v>
      </c>
      <c r="J104" s="100" t="s">
        <v>1058</v>
      </c>
      <c r="K104" s="100">
        <f t="shared" ref="K104:K106" si="26">N104</f>
        <v>0</v>
      </c>
      <c r="L104" s="101">
        <f t="shared" ref="L104:L106" si="27">O104</f>
        <v>0</v>
      </c>
      <c r="M104" s="100" t="s">
        <v>1058</v>
      </c>
      <c r="N104" s="100">
        <f>'[18]Tariff hike_Summary'!G98</f>
        <v>0</v>
      </c>
      <c r="O104" s="101">
        <f>'[18]Tariff hike_Summary'!H98</f>
        <v>0</v>
      </c>
    </row>
    <row r="105" spans="2:15">
      <c r="B105" s="210" t="s">
        <v>1059</v>
      </c>
      <c r="C105" s="55"/>
      <c r="D105" s="100" t="s">
        <v>1058</v>
      </c>
      <c r="E105" s="100">
        <v>475</v>
      </c>
      <c r="F105" s="101">
        <v>7.85</v>
      </c>
      <c r="G105" s="100" t="s">
        <v>1058</v>
      </c>
      <c r="H105" s="100">
        <v>500</v>
      </c>
      <c r="I105" s="101">
        <v>7.85</v>
      </c>
      <c r="J105" s="100" t="s">
        <v>1058</v>
      </c>
      <c r="K105" s="100">
        <f t="shared" si="26"/>
        <v>0</v>
      </c>
      <c r="L105" s="101">
        <f t="shared" si="27"/>
        <v>0</v>
      </c>
      <c r="M105" s="100" t="s">
        <v>1058</v>
      </c>
      <c r="N105" s="100">
        <f>'[18]Tariff hike_Summary'!G150</f>
        <v>0</v>
      </c>
      <c r="O105" s="101">
        <f>'[18]Tariff hike_Summary'!H150</f>
        <v>0</v>
      </c>
    </row>
    <row r="106" spans="2:15">
      <c r="B106" s="210" t="s">
        <v>1060</v>
      </c>
      <c r="C106" s="55"/>
      <c r="D106" s="100" t="s">
        <v>1058</v>
      </c>
      <c r="E106" s="100">
        <v>475</v>
      </c>
      <c r="F106" s="101">
        <v>7.45</v>
      </c>
      <c r="G106" s="100" t="s">
        <v>1058</v>
      </c>
      <c r="H106" s="100">
        <v>500</v>
      </c>
      <c r="I106" s="101">
        <v>7.45</v>
      </c>
      <c r="J106" s="100" t="s">
        <v>1058</v>
      </c>
      <c r="K106" s="100">
        <f t="shared" si="26"/>
        <v>0</v>
      </c>
      <c r="L106" s="101">
        <f t="shared" si="27"/>
        <v>0</v>
      </c>
      <c r="M106" s="100" t="s">
        <v>1058</v>
      </c>
      <c r="N106" s="100">
        <f>'[18]Tariff hike_Summary'!G195</f>
        <v>0</v>
      </c>
      <c r="O106" s="101">
        <f>'[18]Tariff hike_Summary'!H195</f>
        <v>0</v>
      </c>
    </row>
    <row r="107" ht="15" spans="2:15">
      <c r="B107" s="54" t="s">
        <v>1070</v>
      </c>
      <c r="C107" s="55"/>
      <c r="D107" s="100"/>
      <c r="E107" s="100"/>
      <c r="F107" s="101"/>
      <c r="G107" s="55"/>
      <c r="H107" s="55"/>
      <c r="I107" s="55"/>
      <c r="J107" s="55"/>
      <c r="K107" s="55"/>
      <c r="L107" s="55"/>
      <c r="M107" s="55"/>
      <c r="N107" s="55"/>
      <c r="O107" s="55"/>
    </row>
    <row r="108" spans="2:15">
      <c r="B108" s="210" t="s">
        <v>1057</v>
      </c>
      <c r="C108" s="55"/>
      <c r="D108" s="100" t="s">
        <v>1058</v>
      </c>
      <c r="E108" s="100">
        <v>275</v>
      </c>
      <c r="F108" s="101">
        <v>6.3</v>
      </c>
      <c r="G108" s="100" t="s">
        <v>1058</v>
      </c>
      <c r="H108" s="100">
        <v>300</v>
      </c>
      <c r="I108" s="101">
        <v>6.3</v>
      </c>
      <c r="J108" s="100" t="s">
        <v>1058</v>
      </c>
      <c r="K108" s="100">
        <f t="shared" ref="K108:K110" si="28">N108</f>
        <v>0</v>
      </c>
      <c r="L108" s="101">
        <f t="shared" ref="L108:L110" si="29">O108</f>
        <v>0</v>
      </c>
      <c r="M108" s="100" t="s">
        <v>1058</v>
      </c>
      <c r="N108" s="100">
        <f>'[18]Tariff hike_Summary'!G103</f>
        <v>0</v>
      </c>
      <c r="O108" s="101">
        <f>'[18]Tariff hike_Summary'!H103</f>
        <v>0</v>
      </c>
    </row>
    <row r="109" spans="2:15">
      <c r="B109" s="210" t="s">
        <v>1059</v>
      </c>
      <c r="C109" s="55"/>
      <c r="D109" s="100" t="s">
        <v>1058</v>
      </c>
      <c r="E109" s="100">
        <v>275</v>
      </c>
      <c r="F109" s="101">
        <v>6.3</v>
      </c>
      <c r="G109" s="100" t="s">
        <v>1058</v>
      </c>
      <c r="H109" s="100">
        <v>300</v>
      </c>
      <c r="I109" s="101">
        <v>6.3</v>
      </c>
      <c r="J109" s="100" t="s">
        <v>1058</v>
      </c>
      <c r="K109" s="100">
        <f t="shared" si="28"/>
        <v>0</v>
      </c>
      <c r="L109" s="101">
        <f t="shared" si="29"/>
        <v>0</v>
      </c>
      <c r="M109" s="100" t="s">
        <v>1058</v>
      </c>
      <c r="N109" s="100">
        <f>'[18]Tariff hike_Summary'!G155</f>
        <v>0</v>
      </c>
      <c r="O109" s="101">
        <f>'[18]Tariff hike_Summary'!H155</f>
        <v>0</v>
      </c>
    </row>
    <row r="110" spans="2:15">
      <c r="B110" s="210" t="s">
        <v>1060</v>
      </c>
      <c r="C110" s="55"/>
      <c r="D110" s="100" t="s">
        <v>1058</v>
      </c>
      <c r="E110" s="100">
        <v>275</v>
      </c>
      <c r="F110" s="101">
        <v>6.3</v>
      </c>
      <c r="G110" s="100" t="s">
        <v>1058</v>
      </c>
      <c r="H110" s="100">
        <v>300</v>
      </c>
      <c r="I110" s="101">
        <v>6.3</v>
      </c>
      <c r="J110" s="100" t="s">
        <v>1058</v>
      </c>
      <c r="K110" s="100">
        <f t="shared" si="28"/>
        <v>0</v>
      </c>
      <c r="L110" s="101">
        <f t="shared" si="29"/>
        <v>0</v>
      </c>
      <c r="M110" s="100" t="s">
        <v>1058</v>
      </c>
      <c r="N110" s="100">
        <f>'[18]Tariff hike_Summary'!G200</f>
        <v>0</v>
      </c>
      <c r="O110" s="101">
        <f>'[18]Tariff hike_Summary'!H200</f>
        <v>0</v>
      </c>
    </row>
    <row r="111" ht="15" spans="2:15">
      <c r="B111" s="54" t="s">
        <v>1071</v>
      </c>
      <c r="C111" s="55"/>
      <c r="D111" s="100"/>
      <c r="E111" s="100"/>
      <c r="F111" s="101"/>
      <c r="G111" s="55"/>
      <c r="H111" s="55"/>
      <c r="I111" s="55"/>
      <c r="J111" s="55"/>
      <c r="K111" s="55"/>
      <c r="L111" s="55"/>
      <c r="M111" s="55"/>
      <c r="N111" s="55"/>
      <c r="O111" s="55"/>
    </row>
    <row r="112" spans="2:15">
      <c r="B112" s="210" t="s">
        <v>1057</v>
      </c>
      <c r="C112" s="55"/>
      <c r="D112" s="100" t="s">
        <v>1058</v>
      </c>
      <c r="E112" s="100"/>
      <c r="F112" s="101">
        <v>6.1</v>
      </c>
      <c r="G112" s="100" t="s">
        <v>1058</v>
      </c>
      <c r="H112" s="100"/>
      <c r="I112" s="101">
        <v>6.1</v>
      </c>
      <c r="J112" s="100" t="s">
        <v>1058</v>
      </c>
      <c r="K112" s="100"/>
      <c r="L112" s="101">
        <f t="shared" ref="L112:L116" si="30">O112</f>
        <v>0</v>
      </c>
      <c r="M112" s="100" t="s">
        <v>1058</v>
      </c>
      <c r="N112" s="100">
        <f>'[18]Tariff hike_Summary'!G115</f>
        <v>0</v>
      </c>
      <c r="O112" s="101">
        <f>'[18]Tariff hike_Summary'!H115</f>
        <v>0</v>
      </c>
    </row>
    <row r="113" spans="2:15">
      <c r="B113" s="210" t="s">
        <v>1059</v>
      </c>
      <c r="C113" s="55"/>
      <c r="D113" s="100" t="s">
        <v>1058</v>
      </c>
      <c r="E113" s="100"/>
      <c r="F113" s="101">
        <v>6.1</v>
      </c>
      <c r="G113" s="100" t="s">
        <v>1058</v>
      </c>
      <c r="H113" s="100"/>
      <c r="I113" s="101">
        <v>6.1</v>
      </c>
      <c r="J113" s="100" t="s">
        <v>1058</v>
      </c>
      <c r="K113" s="100"/>
      <c r="L113" s="101">
        <f t="shared" si="30"/>
        <v>0</v>
      </c>
      <c r="M113" s="100" t="s">
        <v>1058</v>
      </c>
      <c r="N113" s="100">
        <f>'[18]Tariff hike_Summary'!G161</f>
        <v>0</v>
      </c>
      <c r="O113" s="101">
        <f>'[18]Tariff hike_Summary'!H161</f>
        <v>0</v>
      </c>
    </row>
    <row r="114" spans="2:15">
      <c r="B114" s="210" t="s">
        <v>1060</v>
      </c>
      <c r="C114" s="55"/>
      <c r="D114" s="100" t="s">
        <v>1058</v>
      </c>
      <c r="E114" s="100"/>
      <c r="F114" s="101">
        <v>6.1</v>
      </c>
      <c r="G114" s="100" t="s">
        <v>1058</v>
      </c>
      <c r="H114" s="100"/>
      <c r="I114" s="101">
        <v>6.1</v>
      </c>
      <c r="J114" s="100" t="s">
        <v>1058</v>
      </c>
      <c r="K114" s="100"/>
      <c r="L114" s="101">
        <f t="shared" si="30"/>
        <v>0</v>
      </c>
      <c r="M114" s="100" t="s">
        <v>1058</v>
      </c>
      <c r="N114" s="100">
        <f>'[18]Tariff hike_Summary'!G210</f>
        <v>0</v>
      </c>
      <c r="O114" s="101">
        <f>'[18]Tariff hike_Summary'!H210</f>
        <v>0</v>
      </c>
    </row>
    <row r="115" ht="15" spans="2:15">
      <c r="B115" s="54" t="s">
        <v>1072</v>
      </c>
      <c r="C115" s="55"/>
      <c r="D115" s="100" t="s">
        <v>1058</v>
      </c>
      <c r="E115" s="100">
        <v>475</v>
      </c>
      <c r="F115" s="101">
        <v>5.05</v>
      </c>
      <c r="G115" s="100" t="s">
        <v>1058</v>
      </c>
      <c r="H115" s="100">
        <v>500</v>
      </c>
      <c r="I115" s="101">
        <v>5.05</v>
      </c>
      <c r="J115" s="100" t="s">
        <v>1058</v>
      </c>
      <c r="K115" s="100">
        <f t="shared" ref="K115:K120" si="31">N115</f>
        <v>0</v>
      </c>
      <c r="L115" s="101">
        <f t="shared" si="30"/>
        <v>0</v>
      </c>
      <c r="M115" s="100" t="s">
        <v>1058</v>
      </c>
      <c r="N115" s="100">
        <f>('[18]Tariff hike_Summary'!G156+'[18]Tariff hike_Summary'!G203+'[18]Tariff hike_Summary'!G104)/3</f>
        <v>0</v>
      </c>
      <c r="O115" s="101">
        <f>('[18]Tariff hike_Summary'!H156+'[18]Tariff hike_Summary'!H203+'[18]Tariff hike_Summary'!H104)/3</f>
        <v>0</v>
      </c>
    </row>
    <row r="116" ht="15" spans="2:15">
      <c r="B116" s="54" t="s">
        <v>1073</v>
      </c>
      <c r="C116" s="55"/>
      <c r="D116" s="100" t="s">
        <v>1058</v>
      </c>
      <c r="E116" s="100">
        <v>475</v>
      </c>
      <c r="F116" s="101">
        <v>4.95</v>
      </c>
      <c r="G116" s="100" t="s">
        <v>1058</v>
      </c>
      <c r="H116" s="100">
        <v>500</v>
      </c>
      <c r="I116" s="101">
        <v>4.95</v>
      </c>
      <c r="J116" s="100" t="s">
        <v>1058</v>
      </c>
      <c r="K116" s="100">
        <f t="shared" si="31"/>
        <v>0</v>
      </c>
      <c r="L116" s="101">
        <f t="shared" si="30"/>
        <v>0</v>
      </c>
      <c r="M116" s="100" t="s">
        <v>1058</v>
      </c>
      <c r="N116" s="100">
        <f>('[18]Tariff hike_Summary'!G105+'[18]Tariff hike_Summary'!G157+'[18]Tariff hike_Summary'!G205)/3</f>
        <v>0</v>
      </c>
      <c r="O116" s="101">
        <f>('[18]Tariff hike_Summary'!H105+'[18]Tariff hike_Summary'!H157+'[18]Tariff hike_Summary'!H205)/3</f>
        <v>0</v>
      </c>
    </row>
    <row r="117" ht="15" spans="2:15">
      <c r="B117" s="54" t="s">
        <v>1074</v>
      </c>
      <c r="C117" s="55"/>
      <c r="D117" s="100"/>
      <c r="E117" s="100"/>
      <c r="F117" s="101"/>
      <c r="G117" s="55"/>
      <c r="H117" s="55"/>
      <c r="I117" s="55"/>
      <c r="J117" s="55"/>
      <c r="K117" s="55"/>
      <c r="L117" s="55"/>
      <c r="M117" s="55"/>
      <c r="N117" s="55"/>
      <c r="O117" s="55"/>
    </row>
    <row r="118" spans="2:15">
      <c r="B118" s="210" t="s">
        <v>1057</v>
      </c>
      <c r="C118" s="55"/>
      <c r="D118" s="100" t="s">
        <v>1058</v>
      </c>
      <c r="E118" s="100">
        <v>260</v>
      </c>
      <c r="F118" s="101">
        <v>7.3</v>
      </c>
      <c r="G118" s="100" t="s">
        <v>1058</v>
      </c>
      <c r="H118" s="100">
        <v>285</v>
      </c>
      <c r="I118" s="101">
        <v>7.3</v>
      </c>
      <c r="J118" s="100" t="s">
        <v>1058</v>
      </c>
      <c r="K118" s="100">
        <f t="shared" si="31"/>
        <v>0</v>
      </c>
      <c r="L118" s="101">
        <f t="shared" ref="L118:L120" si="32">O118</f>
        <v>0</v>
      </c>
      <c r="M118" s="100" t="s">
        <v>1058</v>
      </c>
      <c r="N118" s="100">
        <f>'[18]Tariff hike_Summary'!G106</f>
        <v>0</v>
      </c>
      <c r="O118" s="101">
        <f>'[18]Tariff hike_Summary'!H106</f>
        <v>0</v>
      </c>
    </row>
    <row r="119" spans="2:15">
      <c r="B119" s="210" t="s">
        <v>1059</v>
      </c>
      <c r="C119" s="55"/>
      <c r="D119" s="100" t="s">
        <v>1058</v>
      </c>
      <c r="E119" s="100">
        <v>260</v>
      </c>
      <c r="F119" s="101">
        <v>7.3</v>
      </c>
      <c r="G119" s="100" t="s">
        <v>1058</v>
      </c>
      <c r="H119" s="100">
        <v>285</v>
      </c>
      <c r="I119" s="101">
        <v>7.3</v>
      </c>
      <c r="J119" s="100" t="s">
        <v>1058</v>
      </c>
      <c r="K119" s="100">
        <f t="shared" si="31"/>
        <v>0</v>
      </c>
      <c r="L119" s="101">
        <f t="shared" si="32"/>
        <v>0</v>
      </c>
      <c r="M119" s="100" t="s">
        <v>1058</v>
      </c>
      <c r="N119" s="100">
        <f>'[18]Tariff hike_Summary'!G158</f>
        <v>0</v>
      </c>
      <c r="O119" s="101">
        <f>'[18]Tariff hike_Summary'!H158</f>
        <v>0</v>
      </c>
    </row>
    <row r="120" spans="2:15">
      <c r="B120" s="210" t="s">
        <v>1060</v>
      </c>
      <c r="C120" s="55"/>
      <c r="D120" s="100" t="s">
        <v>1058</v>
      </c>
      <c r="E120" s="100">
        <v>260</v>
      </c>
      <c r="F120" s="101">
        <v>7.3</v>
      </c>
      <c r="G120" s="100" t="s">
        <v>1058</v>
      </c>
      <c r="H120" s="100">
        <v>285</v>
      </c>
      <c r="I120" s="101">
        <v>7.3</v>
      </c>
      <c r="J120" s="100" t="s">
        <v>1058</v>
      </c>
      <c r="K120" s="100">
        <f t="shared" si="31"/>
        <v>0</v>
      </c>
      <c r="L120" s="101">
        <f t="shared" si="32"/>
        <v>0</v>
      </c>
      <c r="M120" s="100" t="s">
        <v>1058</v>
      </c>
      <c r="N120" s="100">
        <f>'[18]Tariff hike_Summary'!G207</f>
        <v>0</v>
      </c>
      <c r="O120" s="101">
        <f>'[18]Tariff hike_Summary'!H207</f>
        <v>0</v>
      </c>
    </row>
    <row r="121" ht="15" spans="2:15">
      <c r="B121" s="54" t="s">
        <v>1075</v>
      </c>
      <c r="C121" s="55"/>
      <c r="D121" s="100"/>
      <c r="E121" s="100"/>
      <c r="F121" s="101"/>
      <c r="G121" s="55"/>
      <c r="H121" s="55"/>
      <c r="I121" s="55"/>
      <c r="J121" s="55"/>
      <c r="K121" s="55"/>
      <c r="L121" s="55"/>
      <c r="M121" s="55"/>
      <c r="N121" s="55"/>
      <c r="O121" s="55"/>
    </row>
    <row r="122" spans="2:15">
      <c r="B122" s="210" t="s">
        <v>1057</v>
      </c>
      <c r="C122" s="55"/>
      <c r="D122" s="100" t="s">
        <v>1058</v>
      </c>
      <c r="E122" s="100">
        <v>500</v>
      </c>
      <c r="F122" s="101">
        <v>11.8</v>
      </c>
      <c r="G122" s="100" t="s">
        <v>1058</v>
      </c>
      <c r="H122" s="100">
        <v>500</v>
      </c>
      <c r="I122" s="101">
        <v>11.8</v>
      </c>
      <c r="J122" s="100" t="s">
        <v>1058</v>
      </c>
      <c r="K122" s="100">
        <f t="shared" ref="K122:K124" si="33">N122</f>
        <v>0</v>
      </c>
      <c r="L122" s="101">
        <f t="shared" ref="L122:L124" si="34">O122</f>
        <v>0</v>
      </c>
      <c r="M122" s="100" t="s">
        <v>1058</v>
      </c>
      <c r="N122" s="100">
        <f>'[18]Tariff hike_Summary'!G107</f>
        <v>0</v>
      </c>
      <c r="O122" s="101">
        <f>'[18]Tariff hike_Summary'!H107</f>
        <v>0</v>
      </c>
    </row>
    <row r="123" spans="2:15">
      <c r="B123" s="210" t="s">
        <v>1059</v>
      </c>
      <c r="C123" s="55"/>
      <c r="D123" s="100" t="s">
        <v>1058</v>
      </c>
      <c r="E123" s="100">
        <v>500</v>
      </c>
      <c r="F123" s="101">
        <v>11</v>
      </c>
      <c r="G123" s="100" t="s">
        <v>1058</v>
      </c>
      <c r="H123" s="100">
        <v>500</v>
      </c>
      <c r="I123" s="101">
        <v>11</v>
      </c>
      <c r="J123" s="100" t="s">
        <v>1058</v>
      </c>
      <c r="K123" s="100">
        <f t="shared" si="33"/>
        <v>0</v>
      </c>
      <c r="L123" s="101">
        <f t="shared" si="34"/>
        <v>0</v>
      </c>
      <c r="M123" s="100" t="s">
        <v>1058</v>
      </c>
      <c r="N123" s="100">
        <f>'[18]Tariff hike_Summary'!G159</f>
        <v>0</v>
      </c>
      <c r="O123" s="101">
        <f>'[18]Tariff hike_Summary'!H159</f>
        <v>0</v>
      </c>
    </row>
    <row r="124" spans="2:15">
      <c r="B124" s="210" t="s">
        <v>1060</v>
      </c>
      <c r="C124" s="55"/>
      <c r="D124" s="100" t="s">
        <v>1058</v>
      </c>
      <c r="E124" s="100">
        <v>500</v>
      </c>
      <c r="F124" s="101">
        <v>10.8</v>
      </c>
      <c r="G124" s="100" t="s">
        <v>1058</v>
      </c>
      <c r="H124" s="100">
        <v>500</v>
      </c>
      <c r="I124" s="101">
        <v>10.8</v>
      </c>
      <c r="J124" s="100" t="s">
        <v>1058</v>
      </c>
      <c r="K124" s="100">
        <f t="shared" si="33"/>
        <v>0</v>
      </c>
      <c r="L124" s="101">
        <f t="shared" si="34"/>
        <v>0</v>
      </c>
      <c r="M124" s="100" t="s">
        <v>1058</v>
      </c>
      <c r="N124" s="100">
        <f>'[18]Tariff hike_Summary'!G208</f>
        <v>0</v>
      </c>
      <c r="O124" s="101">
        <f>'[18]Tariff hike_Summary'!H208</f>
        <v>0</v>
      </c>
    </row>
    <row r="125" ht="15" spans="2:15">
      <c r="B125" s="54" t="s">
        <v>1076</v>
      </c>
      <c r="C125" s="55"/>
      <c r="D125" s="100"/>
      <c r="E125" s="100"/>
      <c r="F125" s="101"/>
      <c r="G125" s="55"/>
      <c r="H125" s="55"/>
      <c r="I125" s="55"/>
      <c r="J125" s="55"/>
      <c r="K125" s="55"/>
      <c r="L125" s="55"/>
      <c r="M125" s="55"/>
      <c r="N125" s="55"/>
      <c r="O125" s="55"/>
    </row>
    <row r="126" spans="2:15">
      <c r="B126" s="210" t="s">
        <v>1057</v>
      </c>
      <c r="C126" s="55"/>
      <c r="D126" s="100" t="s">
        <v>1058</v>
      </c>
      <c r="E126" s="100"/>
      <c r="F126" s="101">
        <v>4.8</v>
      </c>
      <c r="G126" s="100" t="s">
        <v>1058</v>
      </c>
      <c r="H126" s="100"/>
      <c r="I126" s="101">
        <v>4.77</v>
      </c>
      <c r="J126" s="100" t="s">
        <v>1058</v>
      </c>
      <c r="K126" s="100"/>
      <c r="L126" s="101">
        <f t="shared" ref="L126:L130" si="35">O126</f>
        <v>0</v>
      </c>
      <c r="M126" s="100" t="s">
        <v>1058</v>
      </c>
      <c r="N126" s="100">
        <f>'[18]Tariff hike_Summary'!G108</f>
        <v>0</v>
      </c>
      <c r="O126" s="101">
        <f>'[18]Tariff hike_Summary'!H108</f>
        <v>0</v>
      </c>
    </row>
    <row r="127" ht="15" spans="2:15">
      <c r="B127" s="54" t="s">
        <v>1077</v>
      </c>
      <c r="C127" s="55"/>
      <c r="D127" s="100"/>
      <c r="E127" s="100"/>
      <c r="F127" s="101"/>
      <c r="G127" s="55"/>
      <c r="H127" s="55"/>
      <c r="I127" s="55"/>
      <c r="J127" s="55"/>
      <c r="K127" s="55"/>
      <c r="L127" s="55"/>
      <c r="M127" s="55"/>
      <c r="N127" s="55"/>
      <c r="O127" s="55"/>
    </row>
    <row r="128" spans="2:15">
      <c r="B128" s="210" t="s">
        <v>1057</v>
      </c>
      <c r="C128" s="55"/>
      <c r="D128" s="100" t="s">
        <v>1058</v>
      </c>
      <c r="E128" s="100">
        <v>100</v>
      </c>
      <c r="F128" s="101">
        <v>6</v>
      </c>
      <c r="G128" s="100" t="s">
        <v>1058</v>
      </c>
      <c r="H128" s="100">
        <v>100</v>
      </c>
      <c r="I128" s="101">
        <v>6</v>
      </c>
      <c r="J128" s="100" t="s">
        <v>1058</v>
      </c>
      <c r="K128" s="100">
        <f t="shared" ref="K128:K130" si="36">N128</f>
        <v>0</v>
      </c>
      <c r="L128" s="101">
        <f t="shared" si="35"/>
        <v>0</v>
      </c>
      <c r="M128" s="100" t="s">
        <v>1058</v>
      </c>
      <c r="N128" s="100">
        <f>'[18]Tariff hike_Summary'!G110</f>
        <v>0</v>
      </c>
      <c r="O128" s="101">
        <f>'[18]Tariff hike_Summary'!H110</f>
        <v>0</v>
      </c>
    </row>
    <row r="129" spans="2:15">
      <c r="B129" s="210" t="s">
        <v>1059</v>
      </c>
      <c r="C129" s="55"/>
      <c r="D129" s="100" t="s">
        <v>1058</v>
      </c>
      <c r="E129" s="100">
        <v>100</v>
      </c>
      <c r="F129" s="101">
        <v>6</v>
      </c>
      <c r="G129" s="100" t="s">
        <v>1058</v>
      </c>
      <c r="H129" s="100">
        <v>100</v>
      </c>
      <c r="I129" s="101">
        <v>6</v>
      </c>
      <c r="J129" s="100" t="s">
        <v>1058</v>
      </c>
      <c r="K129" s="100">
        <f t="shared" si="36"/>
        <v>0</v>
      </c>
      <c r="L129" s="101">
        <f t="shared" si="35"/>
        <v>0</v>
      </c>
      <c r="M129" s="100" t="s">
        <v>1058</v>
      </c>
      <c r="N129" s="100">
        <f>'[18]Tariff hike_Summary'!G164</f>
        <v>0</v>
      </c>
      <c r="O129" s="101">
        <f>'[18]Tariff hike_Summary'!H164</f>
        <v>0</v>
      </c>
    </row>
    <row r="130" spans="2:15">
      <c r="B130" s="210" t="s">
        <v>1060</v>
      </c>
      <c r="C130" s="55"/>
      <c r="D130" s="100" t="s">
        <v>1058</v>
      </c>
      <c r="E130" s="100">
        <v>100</v>
      </c>
      <c r="F130" s="101">
        <v>6</v>
      </c>
      <c r="G130" s="100" t="s">
        <v>1058</v>
      </c>
      <c r="H130" s="100">
        <v>100</v>
      </c>
      <c r="I130" s="101">
        <v>6</v>
      </c>
      <c r="J130" s="100" t="s">
        <v>1058</v>
      </c>
      <c r="K130" s="100">
        <f t="shared" si="36"/>
        <v>100</v>
      </c>
      <c r="L130" s="101">
        <f t="shared" si="35"/>
        <v>6</v>
      </c>
      <c r="M130" s="100" t="s">
        <v>1058</v>
      </c>
      <c r="N130" s="100">
        <f>H130</f>
        <v>100</v>
      </c>
      <c r="O130" s="101">
        <f>I130</f>
        <v>6</v>
      </c>
    </row>
    <row r="134" ht="120" spans="9:14">
      <c r="I134" s="3"/>
      <c r="J134" s="3"/>
      <c r="K134" s="212"/>
      <c r="L134" s="213" t="s">
        <v>1078</v>
      </c>
      <c r="M134" s="213" t="s">
        <v>1079</v>
      </c>
      <c r="N134" s="213" t="s">
        <v>1080</v>
      </c>
    </row>
    <row r="135" ht="42" customHeight="1" spans="9:14">
      <c r="I135" s="214"/>
      <c r="J135" s="214"/>
      <c r="K135" s="214"/>
      <c r="L135" s="208" t="s">
        <v>1081</v>
      </c>
      <c r="M135" s="208" t="s">
        <v>1082</v>
      </c>
      <c r="N135" s="208" t="str">
        <f>M135</f>
        <v>Plus Rs.1/unit</v>
      </c>
    </row>
    <row r="136" ht="36" customHeight="1" spans="9:14">
      <c r="I136" s="13"/>
      <c r="J136" s="13"/>
      <c r="K136" s="214"/>
      <c r="L136" s="208" t="s">
        <v>1083</v>
      </c>
      <c r="M136" s="208" t="s">
        <v>1084</v>
      </c>
      <c r="N136" s="208" t="str">
        <f>M136</f>
        <v>Less Rs.1/unit</v>
      </c>
    </row>
    <row r="143" spans="5:6">
      <c r="E143" s="13">
        <v>1</v>
      </c>
      <c r="F143" s="12" t="s">
        <v>226</v>
      </c>
    </row>
    <row r="144" spans="5:6">
      <c r="E144" s="13">
        <f>E143+1</f>
        <v>2</v>
      </c>
      <c r="F144" s="12" t="s">
        <v>233</v>
      </c>
    </row>
  </sheetData>
  <mergeCells count="15">
    <mergeCell ref="B2:P2"/>
    <mergeCell ref="D5:F5"/>
    <mergeCell ref="G5:I5"/>
    <mergeCell ref="J5:L5"/>
    <mergeCell ref="M5:O5"/>
    <mergeCell ref="D6:E6"/>
    <mergeCell ref="G6:H6"/>
    <mergeCell ref="J6:K6"/>
    <mergeCell ref="M6:N6"/>
    <mergeCell ref="B8:C8"/>
    <mergeCell ref="B69:C69"/>
    <mergeCell ref="I134:J134"/>
    <mergeCell ref="I135:J135"/>
    <mergeCell ref="I136:J136"/>
    <mergeCell ref="B5:C7"/>
  </mergeCells>
  <printOptions horizontalCentered="1"/>
  <pageMargins left="0.54" right="0.748031496062992" top="0.57" bottom="0.57" header="0.511811023622047" footer="0.511811023622047"/>
  <pageSetup paperSize="9" scale="60" fitToHeight="12" orientation="portrait"/>
  <headerFooter/>
  <rowBreaks count="2" manualBreakCount="2">
    <brk id="59" max="14" man="1"/>
    <brk id="130" max="14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</sheetPr>
  <dimension ref="B1:P222"/>
  <sheetViews>
    <sheetView view="pageBreakPreview" zoomScale="60" zoomScaleNormal="61" workbookViewId="0">
      <selection activeCell="K19" sqref="K19"/>
    </sheetView>
  </sheetViews>
  <sheetFormatPr defaultColWidth="8.85714285714286" defaultRowHeight="17" customHeight="1"/>
  <cols>
    <col min="1" max="1" width="8.85714285714286" style="1"/>
    <col min="2" max="2" width="33" style="1" customWidth="1"/>
    <col min="3" max="3" width="17.1428571428571" style="1" customWidth="1"/>
    <col min="4" max="4" width="21" style="1" customWidth="1"/>
    <col min="5" max="5" width="16.8571428571429" style="1" customWidth="1"/>
    <col min="6" max="6" width="14" style="1" customWidth="1"/>
    <col min="7" max="7" width="20.2380952380952" style="1" customWidth="1"/>
    <col min="8" max="8" width="21.4285714285714" style="1" customWidth="1"/>
    <col min="9" max="9" width="17.5714285714286" style="1" customWidth="1"/>
    <col min="10" max="10" width="12.3809523809524" style="1" customWidth="1"/>
    <col min="11" max="11" width="17.1428571428571" style="1" customWidth="1"/>
    <col min="12" max="12" width="17.5714285714286" style="1" customWidth="1"/>
    <col min="13" max="13" width="20.4285714285714" style="1" customWidth="1"/>
    <col min="14" max="14" width="11.6666666666667" style="1" customWidth="1"/>
    <col min="15" max="15" width="17.4285714285714" style="1" customWidth="1"/>
    <col min="16" max="16384" width="8.85714285714286" style="1"/>
  </cols>
  <sheetData>
    <row r="1" customHeight="1" spans="2:16">
      <c r="B1" s="2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customHeight="1" spans="9:9">
      <c r="I2" s="3" t="s">
        <v>1185</v>
      </c>
    </row>
    <row r="3" customHeight="1" spans="2:15">
      <c r="B3" s="36" t="s">
        <v>159</v>
      </c>
      <c r="C3" s="37"/>
      <c r="D3" s="90" t="s">
        <v>1086</v>
      </c>
      <c r="E3" s="90" t="s">
        <v>1087</v>
      </c>
      <c r="F3" s="90" t="s">
        <v>879</v>
      </c>
      <c r="G3" s="90" t="s">
        <v>1088</v>
      </c>
      <c r="H3" s="90"/>
      <c r="I3" s="90" t="s">
        <v>1089</v>
      </c>
      <c r="J3" s="201" t="s">
        <v>1090</v>
      </c>
      <c r="K3" s="90" t="s">
        <v>1091</v>
      </c>
      <c r="L3" s="90"/>
      <c r="M3" s="90"/>
      <c r="N3" s="90"/>
      <c r="O3" s="90"/>
    </row>
    <row r="4" ht="46" customHeight="1" spans="2:15">
      <c r="B4" s="40"/>
      <c r="C4" s="41"/>
      <c r="D4" s="90"/>
      <c r="E4" s="90"/>
      <c r="F4" s="90"/>
      <c r="G4" s="90" t="s">
        <v>1092</v>
      </c>
      <c r="H4" s="90" t="s">
        <v>1093</v>
      </c>
      <c r="I4" s="90"/>
      <c r="J4" s="202"/>
      <c r="K4" s="90" t="s">
        <v>1092</v>
      </c>
      <c r="L4" s="90" t="s">
        <v>1093</v>
      </c>
      <c r="M4" s="90" t="s">
        <v>1089</v>
      </c>
      <c r="N4" s="90" t="s">
        <v>1090</v>
      </c>
      <c r="O4" s="90" t="s">
        <v>97</v>
      </c>
    </row>
    <row r="5" ht="35" customHeight="1" spans="2:15">
      <c r="B5" s="42"/>
      <c r="C5" s="43"/>
      <c r="D5" s="39" t="s">
        <v>1094</v>
      </c>
      <c r="E5" s="39" t="s">
        <v>1095</v>
      </c>
      <c r="F5" s="39" t="s">
        <v>1096</v>
      </c>
      <c r="G5" s="39" t="s">
        <v>1097</v>
      </c>
      <c r="H5" s="200" t="s">
        <v>1098</v>
      </c>
      <c r="I5" s="39" t="s">
        <v>1097</v>
      </c>
      <c r="J5" s="38" t="s">
        <v>297</v>
      </c>
      <c r="K5" s="38" t="s">
        <v>550</v>
      </c>
      <c r="L5" s="38" t="s">
        <v>550</v>
      </c>
      <c r="M5" s="38" t="s">
        <v>550</v>
      </c>
      <c r="N5" s="38" t="s">
        <v>550</v>
      </c>
      <c r="O5" s="38" t="s">
        <v>550</v>
      </c>
    </row>
    <row r="6" customHeight="1" spans="2:15">
      <c r="B6" s="44" t="s">
        <v>890</v>
      </c>
      <c r="C6" s="45"/>
      <c r="J6" s="8"/>
      <c r="K6" s="8"/>
      <c r="L6" s="8"/>
      <c r="M6" s="8"/>
      <c r="N6" s="8"/>
      <c r="O6" s="8"/>
    </row>
    <row r="7" customHeight="1" spans="2:15">
      <c r="B7" s="46" t="s">
        <v>1000</v>
      </c>
      <c r="C7" s="47"/>
      <c r="D7" s="68">
        <f>'[18]Rev_SP-12me'!H10</f>
        <v>8117951</v>
      </c>
      <c r="E7" s="68">
        <f>'[18]Rev_SP-12me'!I10</f>
        <v>12730.1243226403</v>
      </c>
      <c r="F7" s="68">
        <f>'[18]Rev_SP-12me'!K10</f>
        <v>11697.603127462</v>
      </c>
      <c r="G7" s="79"/>
      <c r="H7" s="91"/>
      <c r="I7" s="79"/>
      <c r="J7" s="7"/>
      <c r="K7" s="68">
        <f>'[18]Rev_SP-12me'!DM10</f>
        <v>158.333124885159</v>
      </c>
      <c r="L7" s="68">
        <f>'[18]Rev_SP-12me'!DN10</f>
        <v>5620.4211326976</v>
      </c>
      <c r="M7" s="68">
        <f>'[18]Rev_SP-12me'!DP10</f>
        <v>692.718672</v>
      </c>
      <c r="N7" s="60"/>
      <c r="O7" s="69">
        <f t="shared" ref="O7:O38" si="0">SUM(K7:N7)</f>
        <v>6471.47292958276</v>
      </c>
    </row>
    <row r="8" customHeight="1" spans="2:15">
      <c r="B8" s="50" t="s">
        <v>1001</v>
      </c>
      <c r="C8" s="47"/>
      <c r="D8" s="79">
        <f>'[18]Rev_SP-12me'!H11</f>
        <v>4118441</v>
      </c>
      <c r="E8" s="79">
        <f>'[18]Rev_SP-12me'!I11</f>
        <v>5898.53818478443</v>
      </c>
      <c r="F8" s="79">
        <f>'[18]Rev_SP-12me'!K11</f>
        <v>2340.43418117674</v>
      </c>
      <c r="G8" s="79"/>
      <c r="H8" s="91"/>
      <c r="I8" s="79"/>
      <c r="J8" s="7"/>
      <c r="K8" s="79">
        <f>'[18]Rev_SP-12me'!DM11</f>
        <v>70.7824582174132</v>
      </c>
      <c r="L8" s="79">
        <f>'[18]Rev_SP-12me'!DN11</f>
        <v>526.370313685114</v>
      </c>
      <c r="M8" s="79">
        <f>'[18]Rev_SP-12me'!DP11</f>
        <v>292.239528</v>
      </c>
      <c r="N8" s="60"/>
      <c r="O8" s="60">
        <f t="shared" si="0"/>
        <v>889.392299902527</v>
      </c>
    </row>
    <row r="9" customHeight="1" spans="2:15">
      <c r="B9" s="52" t="s">
        <v>1002</v>
      </c>
      <c r="C9" s="47"/>
      <c r="D9" s="94">
        <f>'[18]Rev_SP-12me'!H12</f>
        <v>2203342</v>
      </c>
      <c r="E9" s="94">
        <f>'[18]Rev_SP-12me'!I12</f>
        <v>3047.93052729907</v>
      </c>
      <c r="F9" s="94">
        <f>'[18]Rev_SP-12me'!K12</f>
        <v>1731.86332591022</v>
      </c>
      <c r="G9" s="153">
        <f>'[18]Rev_SP-12me'!O12</f>
        <v>10</v>
      </c>
      <c r="H9" s="101">
        <f>'[18]Rev_SP-12me'!P12</f>
        <v>1.95</v>
      </c>
      <c r="I9" s="153">
        <f>'[18]Rev_SP-12me'!AA12</f>
        <v>40</v>
      </c>
      <c r="J9" s="7"/>
      <c r="K9" s="94">
        <f>'[18]Rev_SP-12me'!DM12</f>
        <v>36.5751663275889</v>
      </c>
      <c r="L9" s="94">
        <f>'[18]Rev_SP-12me'!DN12</f>
        <v>337.713348552493</v>
      </c>
      <c r="M9" s="94">
        <f>'[18]Rev_SP-12me'!DP12</f>
        <v>117.812352</v>
      </c>
      <c r="N9" s="60"/>
      <c r="O9" s="60">
        <f t="shared" si="0"/>
        <v>492.100866880082</v>
      </c>
    </row>
    <row r="10" customHeight="1" spans="2:15">
      <c r="B10" s="52" t="s">
        <v>1004</v>
      </c>
      <c r="C10" s="47"/>
      <c r="D10" s="94">
        <f>'[18]Rev_SP-12me'!H13</f>
        <v>1915099</v>
      </c>
      <c r="E10" s="94">
        <f>'[18]Rev_SP-12me'!I13</f>
        <v>2850.60765748536</v>
      </c>
      <c r="F10" s="94">
        <f>'[18]Rev_SP-12me'!K13</f>
        <v>608.570855266521</v>
      </c>
      <c r="G10" s="153">
        <f>'[18]Rev_SP-12me'!O13</f>
        <v>10</v>
      </c>
      <c r="H10" s="101">
        <f>'[18]Rev_SP-12me'!P13</f>
        <v>3.1</v>
      </c>
      <c r="I10" s="153">
        <f>'[18]Rev_SP-12me'!AA13</f>
        <v>70</v>
      </c>
      <c r="J10" s="7"/>
      <c r="K10" s="94">
        <f>'[18]Rev_SP-12me'!DM13</f>
        <v>34.2072918898243</v>
      </c>
      <c r="L10" s="94">
        <f>'[18]Rev_SP-12me'!DN13</f>
        <v>188.656965132622</v>
      </c>
      <c r="M10" s="94">
        <f>'[18]Rev_SP-12me'!DP13</f>
        <v>174.427176</v>
      </c>
      <c r="N10" s="60"/>
      <c r="O10" s="60">
        <f t="shared" si="0"/>
        <v>397.291433022446</v>
      </c>
    </row>
    <row r="11" customHeight="1" spans="2:15">
      <c r="B11" s="50" t="s">
        <v>1005</v>
      </c>
      <c r="C11" s="47"/>
      <c r="D11" s="79">
        <f>'[18]Rev_SP-12me'!H14</f>
        <v>2442328</v>
      </c>
      <c r="E11" s="79">
        <f>'[18]Rev_SP-12me'!I14</f>
        <v>4097.25198102219</v>
      </c>
      <c r="F11" s="79">
        <f>'[18]Rev_SP-12me'!K14</f>
        <v>4018.52748456418</v>
      </c>
      <c r="G11" s="153"/>
      <c r="H11" s="101"/>
      <c r="I11" s="153"/>
      <c r="J11" s="7"/>
      <c r="K11" s="79">
        <f>'[18]Rev_SP-12me'!DM14</f>
        <v>49.1670237722663</v>
      </c>
      <c r="L11" s="79">
        <f>'[18]Rev_SP-12me'!DN14</f>
        <v>1532.80873968619</v>
      </c>
      <c r="M11" s="79">
        <f>'[18]Rev_SP-12me'!DP14</f>
        <v>244.060776</v>
      </c>
      <c r="N11" s="60"/>
      <c r="O11" s="60">
        <f t="shared" si="0"/>
        <v>1826.03653945846</v>
      </c>
    </row>
    <row r="12" customHeight="1" spans="2:15">
      <c r="B12" s="52" t="s">
        <v>1006</v>
      </c>
      <c r="C12" s="47"/>
      <c r="D12" s="94">
        <f>'[18]Rev_SP-12me'!H15</f>
        <v>0</v>
      </c>
      <c r="E12" s="94">
        <f>'[18]Rev_SP-12me'!I15</f>
        <v>0</v>
      </c>
      <c r="F12" s="94">
        <f>'[18]Rev_SP-12me'!K15</f>
        <v>2829.1746636044</v>
      </c>
      <c r="G12" s="153">
        <f>'[18]Rev_SP-12me'!O15</f>
        <v>10</v>
      </c>
      <c r="H12" s="101">
        <f>'[18]Rev_SP-12me'!P15</f>
        <v>3.4</v>
      </c>
      <c r="I12" s="153"/>
      <c r="J12" s="7"/>
      <c r="K12" s="94">
        <f>'[18]Rev_SP-12me'!DM15</f>
        <v>0</v>
      </c>
      <c r="L12" s="94">
        <f>'[18]Rev_SP-12me'!DN15</f>
        <v>961.919385625495</v>
      </c>
      <c r="M12" s="94">
        <f>'[18]Rev_SP-12me'!DP15</f>
        <v>0</v>
      </c>
      <c r="N12" s="60"/>
      <c r="O12" s="60">
        <f t="shared" si="0"/>
        <v>961.919385625495</v>
      </c>
    </row>
    <row r="13" customHeight="1" spans="2:15">
      <c r="B13" s="52" t="s">
        <v>1007</v>
      </c>
      <c r="C13" s="47"/>
      <c r="D13" s="94">
        <f>'[18]Rev_SP-12me'!H16</f>
        <v>2442328</v>
      </c>
      <c r="E13" s="94">
        <f>'[18]Rev_SP-12me'!I16</f>
        <v>4097.25198102219</v>
      </c>
      <c r="F13" s="94">
        <f>'[18]Rev_SP-12me'!K16</f>
        <v>1189.35282095978</v>
      </c>
      <c r="G13" s="153">
        <f>'[18]Rev_SP-12me'!O16</f>
        <v>10</v>
      </c>
      <c r="H13" s="101">
        <f>'[18]Rev_SP-12me'!P16</f>
        <v>4.8</v>
      </c>
      <c r="I13" s="153">
        <f>'[18]Rev_SP-12me'!AA16</f>
        <v>90</v>
      </c>
      <c r="J13" s="7"/>
      <c r="K13" s="94">
        <f>'[18]Rev_SP-12me'!DM16</f>
        <v>49.1670237722663</v>
      </c>
      <c r="L13" s="94">
        <f>'[18]Rev_SP-12me'!DN16</f>
        <v>570.889354060697</v>
      </c>
      <c r="M13" s="94">
        <f>'[18]Rev_SP-12me'!DP16</f>
        <v>244.060776</v>
      </c>
      <c r="N13" s="60"/>
      <c r="O13" s="60">
        <f t="shared" si="0"/>
        <v>864.117153832963</v>
      </c>
    </row>
    <row r="14" customHeight="1" spans="2:15">
      <c r="B14" s="50" t="s">
        <v>1008</v>
      </c>
      <c r="C14" s="47"/>
      <c r="D14" s="79">
        <f>'[18]Rev_SP-12me'!H17</f>
        <v>1557182</v>
      </c>
      <c r="E14" s="79">
        <f>'[18]Rev_SP-12me'!I17</f>
        <v>2734.33415683372</v>
      </c>
      <c r="F14" s="79">
        <f>'[18]Rev_SP-12me'!K17</f>
        <v>5338.64146172104</v>
      </c>
      <c r="G14" s="153"/>
      <c r="H14" s="101"/>
      <c r="I14" s="153"/>
      <c r="J14" s="7"/>
      <c r="K14" s="79">
        <f>'[18]Rev_SP-12me'!DM17</f>
        <v>38.3836428954798</v>
      </c>
      <c r="L14" s="79">
        <f>'[18]Rev_SP-12me'!DN17</f>
        <v>3561.2420793263</v>
      </c>
      <c r="M14" s="79">
        <f>'[18]Rev_SP-12me'!DP17</f>
        <v>156.418368</v>
      </c>
      <c r="N14" s="60"/>
      <c r="O14" s="60">
        <f t="shared" si="0"/>
        <v>3756.04409022178</v>
      </c>
    </row>
    <row r="15" customHeight="1" spans="2:15">
      <c r="B15" s="52" t="s">
        <v>1009</v>
      </c>
      <c r="C15" s="47"/>
      <c r="D15" s="94">
        <f>'[18]Rev_SP-12me'!H18</f>
        <v>0</v>
      </c>
      <c r="E15" s="94">
        <f>'[18]Rev_SP-12me'!I18</f>
        <v>0</v>
      </c>
      <c r="F15" s="94">
        <f>'[18]Rev_SP-12me'!K18</f>
        <v>3013.42471220734</v>
      </c>
      <c r="G15" s="153">
        <f>'[18]Rev_SP-12me'!O18</f>
        <v>10</v>
      </c>
      <c r="H15" s="101">
        <f>'[18]Rev_SP-12me'!P18</f>
        <v>5.1</v>
      </c>
      <c r="I15" s="153"/>
      <c r="J15" s="7"/>
      <c r="K15" s="94">
        <f>'[18]Rev_SP-12me'!DM18</f>
        <v>0</v>
      </c>
      <c r="L15" s="94">
        <f>'[18]Rev_SP-12me'!DN18</f>
        <v>1536.84660322574</v>
      </c>
      <c r="M15" s="94">
        <f>'[18]Rev_SP-12me'!DP18</f>
        <v>0</v>
      </c>
      <c r="N15" s="60"/>
      <c r="O15" s="60">
        <f t="shared" si="0"/>
        <v>1536.84660322574</v>
      </c>
    </row>
    <row r="16" customHeight="1" spans="2:15">
      <c r="B16" s="52" t="s">
        <v>1010</v>
      </c>
      <c r="C16" s="47"/>
      <c r="D16" s="94">
        <f>'[18]Rev_SP-12me'!H19</f>
        <v>865903</v>
      </c>
      <c r="E16" s="94">
        <f>'[18]Rev_SP-12me'!I19</f>
        <v>1466.57308824983</v>
      </c>
      <c r="F16" s="94">
        <f>'[18]Rev_SP-12me'!K19</f>
        <v>989.260361402676</v>
      </c>
      <c r="G16" s="153">
        <f>'[18]Rev_SP-12me'!O19</f>
        <v>10</v>
      </c>
      <c r="H16" s="101">
        <f>'[18]Rev_SP-12me'!P19</f>
        <v>7.7</v>
      </c>
      <c r="I16" s="153">
        <f>'[18]Rev_SP-12me'!AA19</f>
        <v>100</v>
      </c>
      <c r="J16" s="7"/>
      <c r="K16" s="94">
        <f>'[18]Rev_SP-12me'!DM19</f>
        <v>17.5988770589979</v>
      </c>
      <c r="L16" s="94">
        <f>'[18]Rev_SP-12me'!DN19</f>
        <v>761.730478280061</v>
      </c>
      <c r="M16" s="94">
        <f>'[18]Rev_SP-12me'!DP19</f>
        <v>81.75864</v>
      </c>
      <c r="N16" s="60"/>
      <c r="O16" s="60">
        <f t="shared" si="0"/>
        <v>861.087995339059</v>
      </c>
    </row>
    <row r="17" customHeight="1" spans="2:15">
      <c r="B17" s="52" t="s">
        <v>1011</v>
      </c>
      <c r="C17" s="47"/>
      <c r="D17" s="94">
        <f>'[18]Rev_SP-12me'!H20</f>
        <v>341187</v>
      </c>
      <c r="E17" s="94">
        <f>'[18]Rev_SP-12me'!I20</f>
        <v>513.117798084398</v>
      </c>
      <c r="F17" s="94">
        <f>'[18]Rev_SP-12me'!K20</f>
        <v>453.657669145532</v>
      </c>
      <c r="G17" s="153">
        <f>'[18]Rev_SP-12me'!O20</f>
        <v>10</v>
      </c>
      <c r="H17" s="101">
        <f>'[18]Rev_SP-12me'!P20</f>
        <v>9</v>
      </c>
      <c r="I17" s="153">
        <f>'[18]Rev_SP-12me'!AA20</f>
        <v>120</v>
      </c>
      <c r="J17" s="7"/>
      <c r="K17" s="94">
        <f>'[18]Rev_SP-12me'!DM20</f>
        <v>6.15741357701278</v>
      </c>
      <c r="L17" s="94">
        <f>'[18]Rev_SP-12me'!DN20</f>
        <v>408.291902230978</v>
      </c>
      <c r="M17" s="94">
        <f>'[18]Rev_SP-12me'!DP20</f>
        <v>34.416936</v>
      </c>
      <c r="N17" s="60"/>
      <c r="O17" s="60">
        <f t="shared" si="0"/>
        <v>448.866251807991</v>
      </c>
    </row>
    <row r="18" customHeight="1" spans="2:15">
      <c r="B18" s="52" t="s">
        <v>1012</v>
      </c>
      <c r="C18" s="47"/>
      <c r="D18" s="94">
        <f>'[18]Rev_SP-12me'!H21</f>
        <v>295338</v>
      </c>
      <c r="E18" s="94">
        <f>'[18]Rev_SP-12me'!I21</f>
        <v>476.061619825741</v>
      </c>
      <c r="F18" s="94">
        <f>'[18]Rev_SP-12me'!K21</f>
        <v>558.512467519445</v>
      </c>
      <c r="G18" s="153">
        <f>'[18]Rev_SP-12me'!O21</f>
        <v>10</v>
      </c>
      <c r="H18" s="101">
        <f>'[18]Rev_SP-12me'!P21</f>
        <v>9.5</v>
      </c>
      <c r="I18" s="153">
        <f>'[18]Rev_SP-12me'!AA21</f>
        <v>140</v>
      </c>
      <c r="J18" s="7"/>
      <c r="K18" s="94">
        <f>'[18]Rev_SP-12me'!DM21</f>
        <v>5.71273943790889</v>
      </c>
      <c r="L18" s="94">
        <f>'[18]Rev_SP-12me'!DN21</f>
        <v>530.586844143473</v>
      </c>
      <c r="M18" s="94">
        <f>'[18]Rev_SP-12me'!DP21</f>
        <v>32.778312</v>
      </c>
      <c r="N18" s="60"/>
      <c r="O18" s="60">
        <f t="shared" si="0"/>
        <v>569.077895581382</v>
      </c>
    </row>
    <row r="19" customHeight="1" spans="2:15">
      <c r="B19" s="52" t="s">
        <v>1013</v>
      </c>
      <c r="C19" s="47"/>
      <c r="D19" s="94">
        <f>'[18]Rev_SP-12me'!H22</f>
        <v>54754</v>
      </c>
      <c r="E19" s="94">
        <f>'[18]Rev_SP-12me'!I22</f>
        <v>278.581650673757</v>
      </c>
      <c r="F19" s="94">
        <f>'[18]Rev_SP-12me'!K22</f>
        <v>323.786251446042</v>
      </c>
      <c r="G19" s="153">
        <f>'[18]Rev_SP-12me'!O22</f>
        <v>50</v>
      </c>
      <c r="H19" s="101">
        <f>'[18]Rev_SP-12me'!P22</f>
        <v>10</v>
      </c>
      <c r="I19" s="153">
        <f>'[18]Rev_SP-12me'!AA22</f>
        <v>160</v>
      </c>
      <c r="J19" s="7"/>
      <c r="K19" s="94">
        <f>'[18]Rev_SP-12me'!DM22</f>
        <v>8.91461282156024</v>
      </c>
      <c r="L19" s="94">
        <f>'[18]Rev_SP-12me'!DN22</f>
        <v>323.786251446042</v>
      </c>
      <c r="M19" s="94">
        <f>'[18]Rev_SP-12me'!DP22</f>
        <v>7.46448</v>
      </c>
      <c r="N19" s="60"/>
      <c r="O19" s="60">
        <f t="shared" si="0"/>
        <v>340.165344267602</v>
      </c>
    </row>
    <row r="20" customHeight="1" spans="2:15">
      <c r="B20" s="54" t="s">
        <v>1014</v>
      </c>
      <c r="C20" s="55"/>
      <c r="D20" s="68">
        <f>'[18]Rev_SP-12me'!H23</f>
        <v>1226970</v>
      </c>
      <c r="E20" s="68">
        <f>'[18]Rev_SP-12me'!I23</f>
        <v>4206.99934903256</v>
      </c>
      <c r="F20" s="68">
        <f>'[18]Rev_SP-12me'!K23</f>
        <v>3939.00601597876</v>
      </c>
      <c r="G20" s="153"/>
      <c r="H20" s="101"/>
      <c r="I20" s="153"/>
      <c r="J20" s="7"/>
      <c r="K20" s="68">
        <f>'[18]Rev_SP-12me'!DM23</f>
        <v>350.354118848942</v>
      </c>
      <c r="L20" s="68">
        <f>'[18]Rev_SP-12me'!DN23</f>
        <v>4029.09684405216</v>
      </c>
      <c r="M20" s="68">
        <f>'[18]Rev_SP-12me'!DP23</f>
        <v>114.24444</v>
      </c>
      <c r="N20" s="60"/>
      <c r="O20" s="69">
        <f t="shared" si="0"/>
        <v>4493.6954029011</v>
      </c>
    </row>
    <row r="21" customHeight="1" spans="2:15">
      <c r="B21" s="56" t="s">
        <v>1015</v>
      </c>
      <c r="C21" s="55"/>
      <c r="D21" s="79">
        <f>'[18]Rev_SP-12me'!H24</f>
        <v>616232</v>
      </c>
      <c r="E21" s="79">
        <f>'[18]Rev_SP-12me'!I24</f>
        <v>1214.2328855646</v>
      </c>
      <c r="F21" s="79">
        <f>'[18]Rev_SP-12me'!K24</f>
        <v>95.8904578792609</v>
      </c>
      <c r="G21" s="153"/>
      <c r="H21" s="101"/>
      <c r="I21" s="153"/>
      <c r="J21" s="7"/>
      <c r="K21" s="79">
        <f>'[18]Rev_SP-12me'!DM24</f>
        <v>69.2112744771821</v>
      </c>
      <c r="L21" s="79">
        <f>'[18]Rev_SP-12me'!DN24</f>
        <v>67.1233205154826</v>
      </c>
      <c r="M21" s="79">
        <f>'[18]Rev_SP-12me'!DP24</f>
        <v>35.79477</v>
      </c>
      <c r="N21" s="60"/>
      <c r="O21" s="60">
        <f t="shared" si="0"/>
        <v>172.129364992665</v>
      </c>
    </row>
    <row r="22" customHeight="1" spans="2:15">
      <c r="B22" s="57" t="s">
        <v>1002</v>
      </c>
      <c r="C22" s="55"/>
      <c r="D22" s="94">
        <f>'[18]Rev_SP-12me'!H25</f>
        <v>616232</v>
      </c>
      <c r="E22" s="94">
        <f>'[18]Rev_SP-12me'!I25</f>
        <v>1214.2328855646</v>
      </c>
      <c r="F22" s="94">
        <f>'[18]Rev_SP-12me'!K25</f>
        <v>95.8904578792609</v>
      </c>
      <c r="G22" s="153">
        <f>'[18]Rev_SP-12me'!O25</f>
        <v>30</v>
      </c>
      <c r="H22" s="101">
        <f>'[18]Rev_SP-12me'!P25</f>
        <v>7</v>
      </c>
      <c r="I22" s="153">
        <f>'[18]Rev_SP-12me'!AA25</f>
        <v>50</v>
      </c>
      <c r="J22" s="7"/>
      <c r="K22" s="94">
        <f>'[18]Rev_SP-12me'!DM25</f>
        <v>69.2112744771821</v>
      </c>
      <c r="L22" s="94">
        <f>'[18]Rev_SP-12me'!DN25</f>
        <v>67.1233205154826</v>
      </c>
      <c r="M22" s="94">
        <f>'[18]Rev_SP-12me'!DP25</f>
        <v>35.79477</v>
      </c>
      <c r="N22" s="60"/>
      <c r="O22" s="60">
        <f t="shared" si="0"/>
        <v>172.129364992665</v>
      </c>
    </row>
    <row r="23" customHeight="1" spans="2:15">
      <c r="B23" s="56" t="s">
        <v>1016</v>
      </c>
      <c r="C23" s="55"/>
      <c r="D23" s="79">
        <f>'[18]Rev_SP-12me'!H26</f>
        <v>594986</v>
      </c>
      <c r="E23" s="79">
        <f>'[18]Rev_SP-12me'!I26</f>
        <v>2971.73324677759</v>
      </c>
      <c r="F23" s="79">
        <f>'[18]Rev_SP-12me'!K26</f>
        <v>3832.49720944671</v>
      </c>
      <c r="G23" s="153"/>
      <c r="H23" s="101"/>
      <c r="I23" s="153"/>
      <c r="J23" s="7"/>
      <c r="K23" s="79">
        <f>'[18]Rev_SP-12me'!DM26</f>
        <v>279.25647675798</v>
      </c>
      <c r="L23" s="79">
        <f>'[18]Rev_SP-12me'!DN26</f>
        <v>3951.93171847824</v>
      </c>
      <c r="M23" s="79">
        <f>'[18]Rev_SP-12me'!DP26</f>
        <v>77.254542</v>
      </c>
      <c r="N23" s="60"/>
      <c r="O23" s="60">
        <f t="shared" si="0"/>
        <v>4308.44273723622</v>
      </c>
    </row>
    <row r="24" customHeight="1" spans="2:15">
      <c r="B24" s="58" t="s">
        <v>1006</v>
      </c>
      <c r="C24" s="55"/>
      <c r="D24" s="94">
        <f>'[18]Rev_SP-12me'!H27</f>
        <v>196910</v>
      </c>
      <c r="E24" s="94">
        <f>'[18]Rev_SP-12me'!I27</f>
        <v>354.520820937567</v>
      </c>
      <c r="F24" s="94">
        <f>'[18]Rev_SP-12me'!K27</f>
        <v>683.184028465214</v>
      </c>
      <c r="G24" s="153">
        <f>'[18]Rev_SP-12me'!O27</f>
        <v>70</v>
      </c>
      <c r="H24" s="101">
        <f>'[18]Rev_SP-12me'!P27</f>
        <v>8.5</v>
      </c>
      <c r="I24" s="153">
        <f>'[18]Rev_SP-12me'!AA27</f>
        <v>90</v>
      </c>
      <c r="J24" s="7"/>
      <c r="K24" s="94">
        <f>'[18]Rev_SP-12me'!DM27</f>
        <v>29.7797489587556</v>
      </c>
      <c r="L24" s="94">
        <f>'[18]Rev_SP-12me'!DN27</f>
        <v>580.706424195432</v>
      </c>
      <c r="M24" s="94">
        <f>'[18]Rev_SP-12me'!DP27</f>
        <v>20.588094</v>
      </c>
      <c r="N24" s="60"/>
      <c r="O24" s="60">
        <f t="shared" si="0"/>
        <v>631.074267154188</v>
      </c>
    </row>
    <row r="25" customHeight="1" spans="2:15">
      <c r="B25" s="58" t="s">
        <v>1017</v>
      </c>
      <c r="C25" s="55"/>
      <c r="D25" s="94">
        <f>'[18]Rev_SP-12me'!H28</f>
        <v>227867</v>
      </c>
      <c r="E25" s="94">
        <f>'[18]Rev_SP-12me'!I28</f>
        <v>641.820157262535</v>
      </c>
      <c r="F25" s="94">
        <f>'[18]Rev_SP-12me'!K28</f>
        <v>654.087762403287</v>
      </c>
      <c r="G25" s="153">
        <f>'[18]Rev_SP-12me'!O28</f>
        <v>70</v>
      </c>
      <c r="H25" s="101">
        <f>'[18]Rev_SP-12me'!P28</f>
        <v>9.9</v>
      </c>
      <c r="I25" s="153">
        <f>'[18]Rev_SP-12me'!AA28</f>
        <v>105</v>
      </c>
      <c r="J25" s="7"/>
      <c r="K25" s="94">
        <f>'[18]Rev_SP-12me'!DM28</f>
        <v>53.9128932100529</v>
      </c>
      <c r="L25" s="94">
        <f>'[18]Rev_SP-12me'!DN28</f>
        <v>647.546884779254</v>
      </c>
      <c r="M25" s="94">
        <f>'[18]Rev_SP-12me'!DP28</f>
        <v>27.7956</v>
      </c>
      <c r="N25" s="60"/>
      <c r="O25" s="60">
        <f t="shared" si="0"/>
        <v>729.255377989307</v>
      </c>
    </row>
    <row r="26" customHeight="1" spans="2:15">
      <c r="B26" s="58" t="s">
        <v>1018</v>
      </c>
      <c r="C26" s="55"/>
      <c r="D26" s="94">
        <f>'[18]Rev_SP-12me'!H29</f>
        <v>59547</v>
      </c>
      <c r="E26" s="94">
        <f>'[18]Rev_SP-12me'!I29</f>
        <v>300.061495139193</v>
      </c>
      <c r="F26" s="94">
        <f>'[18]Rev_SP-12me'!K29</f>
        <v>351.159182207987</v>
      </c>
      <c r="G26" s="153">
        <f>'[18]Rev_SP-12me'!O29</f>
        <v>100</v>
      </c>
      <c r="H26" s="101">
        <f>'[18]Rev_SP-12me'!P29</f>
        <v>10.4</v>
      </c>
      <c r="I26" s="153">
        <f>'[18]Rev_SP-12me'!AA29</f>
        <v>120</v>
      </c>
      <c r="J26" s="7"/>
      <c r="K26" s="94">
        <f>'[18]Rev_SP-12me'!DM29</f>
        <v>29.7060880187801</v>
      </c>
      <c r="L26" s="94">
        <f>'[18]Rev_SP-12me'!DN29</f>
        <v>365.205549496307</v>
      </c>
      <c r="M26" s="94">
        <f>'[18]Rev_SP-12me'!DP29</f>
        <v>8.301312</v>
      </c>
      <c r="N26" s="60"/>
      <c r="O26" s="60">
        <f t="shared" si="0"/>
        <v>403.212949515087</v>
      </c>
    </row>
    <row r="27" customHeight="1" spans="2:15">
      <c r="B27" s="58" t="s">
        <v>1019</v>
      </c>
      <c r="C27" s="55"/>
      <c r="D27" s="94">
        <f>'[18]Rev_SP-12me'!H30</f>
        <v>110662</v>
      </c>
      <c r="E27" s="94">
        <f>'[18]Rev_SP-12me'!I30</f>
        <v>1675.33077343829</v>
      </c>
      <c r="F27" s="94">
        <f>'[18]Rev_SP-12me'!K30</f>
        <v>2144.06623637023</v>
      </c>
      <c r="G27" s="153">
        <f>'[18]Rev_SP-12me'!O30</f>
        <v>100</v>
      </c>
      <c r="H27" s="101">
        <f>'[18]Rev_SP-12me'!P30</f>
        <v>11</v>
      </c>
      <c r="I27" s="153">
        <f>'[18]Rev_SP-12me'!AA30</f>
        <v>160</v>
      </c>
      <c r="J27" s="7"/>
      <c r="K27" s="94">
        <f>'[18]Rev_SP-12me'!DM30</f>
        <v>165.857746570391</v>
      </c>
      <c r="L27" s="94">
        <f>'[18]Rev_SP-12me'!DN30</f>
        <v>2358.47286000725</v>
      </c>
      <c r="M27" s="94">
        <f>'[18]Rev_SP-12me'!DP30</f>
        <v>20.569536</v>
      </c>
      <c r="N27" s="60"/>
      <c r="O27" s="60">
        <f t="shared" si="0"/>
        <v>2544.90014257764</v>
      </c>
    </row>
    <row r="28" customHeight="1" spans="2:15">
      <c r="B28" s="56" t="s">
        <v>1020</v>
      </c>
      <c r="C28" s="55"/>
      <c r="D28" s="79">
        <f>'[18]Rev_SP-12me'!H31</f>
        <v>2425</v>
      </c>
      <c r="E28" s="79">
        <f>'[18]Rev_SP-12me'!I31</f>
        <v>7.15338484756435</v>
      </c>
      <c r="F28" s="79">
        <f>'[18]Rev_SP-12me'!K31</f>
        <v>5.37667720422922</v>
      </c>
      <c r="G28" s="153">
        <f>'[18]Rev_SP-12me'!O31</f>
        <v>150</v>
      </c>
      <c r="H28" s="101">
        <f>'[18]Rev_SP-12me'!P31</f>
        <v>13</v>
      </c>
      <c r="I28" s="153">
        <f>'[18]Rev_SP-12me'!AA31</f>
        <v>160</v>
      </c>
      <c r="J28" s="7"/>
      <c r="K28" s="79">
        <f>'[18]Rev_SP-12me'!DM31</f>
        <v>0.88701972109798</v>
      </c>
      <c r="L28" s="79">
        <f>'[18]Rev_SP-12me'!DN31</f>
        <v>6.98968036549798</v>
      </c>
      <c r="M28" s="79">
        <f>'[18]Rev_SP-12me'!DP31</f>
        <v>0.45072</v>
      </c>
      <c r="N28" s="60"/>
      <c r="O28" s="60">
        <f t="shared" si="0"/>
        <v>8.32742008659596</v>
      </c>
    </row>
    <row r="29" customHeight="1" spans="2:15">
      <c r="B29" s="56" t="s">
        <v>1021</v>
      </c>
      <c r="C29" s="55"/>
      <c r="D29" s="79">
        <f>'[18]Rev_SP-12me'!H32</f>
        <v>13327</v>
      </c>
      <c r="E29" s="79">
        <f>'[18]Rev_SP-12me'!I32</f>
        <v>13.8798318428099</v>
      </c>
      <c r="F29" s="79">
        <f>'[18]Rev_SP-12me'!K32</f>
        <v>5.24167144855208</v>
      </c>
      <c r="G29" s="153"/>
      <c r="H29" s="101"/>
      <c r="I29" s="153"/>
      <c r="J29" s="7"/>
      <c r="K29" s="79">
        <f>'[18]Rev_SP-12me'!DM32</f>
        <v>0.999347892682313</v>
      </c>
      <c r="L29" s="79">
        <f>'[18]Rev_SP-12me'!DN32</f>
        <v>3.05212469293659</v>
      </c>
      <c r="M29" s="79">
        <f>'[18]Rev_SP-12me'!DP32</f>
        <v>0.744408</v>
      </c>
      <c r="N29" s="60"/>
      <c r="O29" s="60">
        <f t="shared" si="0"/>
        <v>4.7958805856189</v>
      </c>
    </row>
    <row r="30" customHeight="1" spans="2:15">
      <c r="B30" s="58" t="s">
        <v>1002</v>
      </c>
      <c r="C30" s="55"/>
      <c r="D30" s="94">
        <f>'[18]Rev_SP-12me'!H33</f>
        <v>10194</v>
      </c>
      <c r="E30" s="94">
        <f>'[18]Rev_SP-12me'!I33</f>
        <v>10.5241464954318</v>
      </c>
      <c r="F30" s="94">
        <f>'[18]Rev_SP-12me'!K33</f>
        <v>3.48182152098916</v>
      </c>
      <c r="G30" s="153">
        <f>'[18]Rev_SP-12me'!O33</f>
        <v>60</v>
      </c>
      <c r="H30" s="101">
        <f>'[18]Rev_SP-12me'!P33</f>
        <v>5.3</v>
      </c>
      <c r="I30" s="153">
        <f>'[18]Rev_SP-12me'!AA33</f>
        <v>45</v>
      </c>
      <c r="J30" s="7"/>
      <c r="K30" s="94">
        <f>'[18]Rev_SP-12me'!DM33</f>
        <v>0.757738547671089</v>
      </c>
      <c r="L30" s="94">
        <f>'[18]Rev_SP-12me'!DN33</f>
        <v>1.84536540612425</v>
      </c>
      <c r="M30" s="94">
        <f>'[18]Rev_SP-12me'!DP33</f>
        <v>0.532926</v>
      </c>
      <c r="N30" s="60"/>
      <c r="O30" s="60">
        <f t="shared" si="0"/>
        <v>3.13602995379534</v>
      </c>
    </row>
    <row r="31" customHeight="1" spans="2:15">
      <c r="B31" s="58" t="s">
        <v>1022</v>
      </c>
      <c r="C31" s="55"/>
      <c r="D31" s="94">
        <f>'[18]Rev_SP-12me'!H34</f>
        <v>2160</v>
      </c>
      <c r="E31" s="94">
        <f>'[18]Rev_SP-12me'!I34</f>
        <v>2.23058797239892</v>
      </c>
      <c r="F31" s="94">
        <f>'[18]Rev_SP-12me'!K34</f>
        <v>1.25697954288723</v>
      </c>
      <c r="G31" s="153">
        <f>'[18]Rev_SP-12me'!O34</f>
        <v>60</v>
      </c>
      <c r="H31" s="101">
        <f>'[18]Rev_SP-12me'!P34</f>
        <v>6.6</v>
      </c>
      <c r="I31" s="153">
        <f>'[18]Rev_SP-12me'!AA34</f>
        <v>55</v>
      </c>
      <c r="J31" s="7"/>
      <c r="K31" s="94">
        <f>'[18]Rev_SP-12me'!DM34</f>
        <v>0.160602334012722</v>
      </c>
      <c r="L31" s="94">
        <f>'[18]Rev_SP-12me'!DN34</f>
        <v>0.829606498305571</v>
      </c>
      <c r="M31" s="94">
        <f>'[18]Rev_SP-12me'!DP34</f>
        <v>0.138006</v>
      </c>
      <c r="N31" s="60"/>
      <c r="O31" s="60">
        <f t="shared" si="0"/>
        <v>1.12821483231829</v>
      </c>
    </row>
    <row r="32" customHeight="1" spans="2:15">
      <c r="B32" s="58" t="s">
        <v>1023</v>
      </c>
      <c r="C32" s="55"/>
      <c r="D32" s="94">
        <f>'[18]Rev_SP-12me'!H35</f>
        <v>973</v>
      </c>
      <c r="E32" s="94">
        <f>'[18]Rev_SP-12me'!I35</f>
        <v>1.12509737497919</v>
      </c>
      <c r="F32" s="94">
        <f>'[18]Rev_SP-12me'!K35</f>
        <v>0.50287038467569</v>
      </c>
      <c r="G32" s="153">
        <f>'[18]Rev_SP-12me'!O35</f>
        <v>60</v>
      </c>
      <c r="H32" s="101">
        <f>'[18]Rev_SP-12me'!P35</f>
        <v>7.5</v>
      </c>
      <c r="I32" s="153">
        <f>'[18]Rev_SP-12me'!AA35</f>
        <v>65</v>
      </c>
      <c r="J32" s="7"/>
      <c r="K32" s="94">
        <f>'[18]Rev_SP-12me'!DM35</f>
        <v>0.0810070109985016</v>
      </c>
      <c r="L32" s="94">
        <f>'[18]Rev_SP-12me'!DN35</f>
        <v>0.377152788506768</v>
      </c>
      <c r="M32" s="94">
        <f>'[18]Rev_SP-12me'!DP35</f>
        <v>0.073476</v>
      </c>
      <c r="N32" s="60"/>
      <c r="O32" s="60">
        <f t="shared" si="0"/>
        <v>0.53163579950527</v>
      </c>
    </row>
    <row r="33" customHeight="1" spans="2:15">
      <c r="B33" s="54" t="s">
        <v>1024</v>
      </c>
      <c r="C33" s="55"/>
      <c r="D33" s="68">
        <f>'[18]Rev_SP-12me'!H36</f>
        <v>46475</v>
      </c>
      <c r="E33" s="68">
        <f>'[18]Rev_SP-12me'!J36*0.7457/10^3</f>
        <v>1096.98240899737</v>
      </c>
      <c r="F33" s="68">
        <f>'[18]Rev_SP-12me'!K36</f>
        <v>1012.35752113662</v>
      </c>
      <c r="G33" s="153"/>
      <c r="H33" s="101"/>
      <c r="I33" s="153"/>
      <c r="J33" s="7"/>
      <c r="K33" s="68">
        <f>'[18]Rev_SP-12me'!DM36</f>
        <v>150.785432375258</v>
      </c>
      <c r="L33" s="68">
        <f>'[18]Rev_SP-12me'!DN36</f>
        <v>776.705381057318</v>
      </c>
      <c r="M33" s="68">
        <f>'[18]Rev_SP-12me'!DP36</f>
        <v>20.7871455</v>
      </c>
      <c r="N33" s="60"/>
      <c r="O33" s="69">
        <f t="shared" si="0"/>
        <v>948.277958932576</v>
      </c>
    </row>
    <row r="34" customHeight="1" spans="2:15">
      <c r="B34" s="58" t="s">
        <v>1025</v>
      </c>
      <c r="C34" s="55"/>
      <c r="D34" s="94">
        <f>'[18]Rev_SP-12me'!H37</f>
        <v>46475</v>
      </c>
      <c r="E34" s="94">
        <f>'[18]Rev_SP-12me'!J37*0.7457/10^3</f>
        <v>1096.98240899737</v>
      </c>
      <c r="F34" s="94">
        <f>'[18]Rev_SP-12me'!K37</f>
        <v>972.215946595516</v>
      </c>
      <c r="G34" s="153">
        <f>'[18]Rev_SP-12me'!O37</f>
        <v>100</v>
      </c>
      <c r="H34" s="101">
        <f>'[18]Rev_SP-12me'!P37</f>
        <v>7.7</v>
      </c>
      <c r="I34" s="153">
        <f>'[18]Rev_SP-12me'!AA37</f>
        <v>360.25</v>
      </c>
      <c r="J34" s="7"/>
      <c r="K34" s="94">
        <f>'[18]Rev_SP-12me'!DM37</f>
        <v>150.785432375258</v>
      </c>
      <c r="L34" s="94">
        <f>'[18]Rev_SP-12me'!DN37</f>
        <v>748.606278878548</v>
      </c>
      <c r="M34" s="94">
        <f>'[18]Rev_SP-12me'!DP37</f>
        <v>19.1305719</v>
      </c>
      <c r="N34" s="60"/>
      <c r="O34" s="60">
        <f t="shared" si="0"/>
        <v>918.522283153806</v>
      </c>
    </row>
    <row r="35" customHeight="1" spans="2:15">
      <c r="B35" s="58" t="s">
        <v>1026</v>
      </c>
      <c r="C35" s="55"/>
      <c r="D35" s="94">
        <f>'[18]Rev_SP-12me'!H38</f>
        <v>0</v>
      </c>
      <c r="E35" s="94">
        <f>'[18]Rev_SP-12me'!J38*0.7457/10^3</f>
        <v>0</v>
      </c>
      <c r="F35" s="94">
        <f>'[18]Rev_SP-12me'!K38</f>
        <v>0</v>
      </c>
      <c r="G35" s="153">
        <f>'[18]Rev_SP-12me'!O38</f>
        <v>100</v>
      </c>
      <c r="H35" s="101">
        <f>'[18]Rev_SP-12me'!P38</f>
        <v>8.4</v>
      </c>
      <c r="I35" s="153">
        <f>'[18]Rev_SP-12me'!AA38</f>
        <v>360.25</v>
      </c>
      <c r="J35" s="7"/>
      <c r="K35" s="94">
        <f>'[18]Rev_SP-12me'!DM38</f>
        <v>0</v>
      </c>
      <c r="L35" s="94">
        <f>'[18]Rev_SP-12me'!DN38</f>
        <v>0</v>
      </c>
      <c r="M35" s="94">
        <f>'[18]Rev_SP-12me'!DP38</f>
        <v>0</v>
      </c>
      <c r="N35" s="60"/>
      <c r="O35" s="60">
        <f t="shared" si="0"/>
        <v>0</v>
      </c>
    </row>
    <row r="36" customHeight="1" spans="2:15">
      <c r="B36" s="58" t="s">
        <v>1027</v>
      </c>
      <c r="C36" s="55"/>
      <c r="D36" s="94">
        <f>'[18]Rev_SP-12me'!H39</f>
        <v>0</v>
      </c>
      <c r="E36" s="94">
        <f>'[18]Rev_SP-12me'!J39*0.7457/10^3</f>
        <v>0</v>
      </c>
      <c r="F36" s="94">
        <f>'[18]Rev_SP-12me'!K39</f>
        <v>0</v>
      </c>
      <c r="G36" s="153">
        <f>'[18]Rev_SP-12me'!O39</f>
        <v>50</v>
      </c>
      <c r="H36" s="101">
        <f>'[18]Rev_SP-12me'!P39</f>
        <v>6.2</v>
      </c>
      <c r="I36" s="153">
        <f>'[18]Rev_SP-12me'!AA39</f>
        <v>360.25</v>
      </c>
      <c r="J36" s="7"/>
      <c r="K36" s="94">
        <f>'[18]Rev_SP-12me'!DM39</f>
        <v>0</v>
      </c>
      <c r="L36" s="94">
        <f>'[18]Rev_SP-12me'!DN39</f>
        <v>0</v>
      </c>
      <c r="M36" s="94">
        <f>'[18]Rev_SP-12me'!DP39</f>
        <v>0</v>
      </c>
      <c r="N36" s="60"/>
      <c r="O36" s="60">
        <f t="shared" si="0"/>
        <v>0</v>
      </c>
    </row>
    <row r="37" customHeight="1" spans="2:15">
      <c r="B37" s="58" t="s">
        <v>1028</v>
      </c>
      <c r="C37" s="55"/>
      <c r="D37" s="94">
        <f>'[18]Rev_SP-12me'!H40</f>
        <v>0</v>
      </c>
      <c r="E37" s="94">
        <f>'[18]Rev_SP-12me'!J40*0.7457/10^3</f>
        <v>0</v>
      </c>
      <c r="F37" s="94">
        <f>'[18]Rev_SP-12me'!K40</f>
        <v>0</v>
      </c>
      <c r="G37" s="153">
        <f>'[18]Rev_SP-12me'!O40</f>
        <v>50</v>
      </c>
      <c r="H37" s="101">
        <f>'[18]Rev_SP-12me'!P40</f>
        <v>6.2</v>
      </c>
      <c r="I37" s="153">
        <f>'[18]Rev_SP-12me'!AA40</f>
        <v>360.25</v>
      </c>
      <c r="J37" s="7"/>
      <c r="K37" s="94">
        <f>'[18]Rev_SP-12me'!DM40</f>
        <v>0</v>
      </c>
      <c r="L37" s="94">
        <f>'[18]Rev_SP-12me'!DN40</f>
        <v>0</v>
      </c>
      <c r="M37" s="94">
        <f>'[18]Rev_SP-12me'!DP40</f>
        <v>0</v>
      </c>
      <c r="N37" s="60"/>
      <c r="O37" s="60">
        <f t="shared" si="0"/>
        <v>0</v>
      </c>
    </row>
    <row r="38" customHeight="1" spans="2:15">
      <c r="B38" s="58" t="s">
        <v>1029</v>
      </c>
      <c r="C38" s="55"/>
      <c r="D38" s="94">
        <f>'[18]Rev_SP-12me'!H41</f>
        <v>0</v>
      </c>
      <c r="E38" s="94">
        <f>'[18]Rev_SP-12me'!J41*0.7457/10^3</f>
        <v>0</v>
      </c>
      <c r="F38" s="94">
        <f>'[18]Rev_SP-12me'!K41</f>
        <v>40.1415745411003</v>
      </c>
      <c r="G38" s="153">
        <f>'[18]Rev_SP-12me'!O41</f>
        <v>65</v>
      </c>
      <c r="H38" s="101">
        <f>'[18]Rev_SP-12me'!P41</f>
        <v>7</v>
      </c>
      <c r="I38" s="153">
        <f>'[18]Rev_SP-12me'!AA41</f>
        <v>360.25</v>
      </c>
      <c r="J38" s="7"/>
      <c r="K38" s="94">
        <f>'[18]Rev_SP-12me'!DM41</f>
        <v>0</v>
      </c>
      <c r="L38" s="94">
        <f>'[18]Rev_SP-12me'!DN41</f>
        <v>28.0991021787702</v>
      </c>
      <c r="M38" s="94">
        <f>'[18]Rev_SP-12me'!DP41</f>
        <v>1.6565736</v>
      </c>
      <c r="N38" s="60"/>
      <c r="O38" s="60">
        <f t="shared" si="0"/>
        <v>29.7556757787702</v>
      </c>
    </row>
    <row r="39" customHeight="1" spans="2:15">
      <c r="B39" s="58" t="s">
        <v>1030</v>
      </c>
      <c r="C39" s="55"/>
      <c r="D39" s="94">
        <f>'[18]Rev_SP-12me'!H42</f>
        <v>0</v>
      </c>
      <c r="E39" s="94">
        <f>'[18]Rev_SP-12me'!J42*0.7457/10^3</f>
        <v>0</v>
      </c>
      <c r="F39" s="94">
        <f>'[18]Rev_SP-12me'!K42</f>
        <v>0</v>
      </c>
      <c r="G39" s="153">
        <f>'[18]Rev_SP-12me'!O42</f>
        <v>100</v>
      </c>
      <c r="H39" s="101">
        <f>'[18]Rev_SP-12me'!P42</f>
        <v>7.3</v>
      </c>
      <c r="I39" s="153">
        <f>'[18]Rev_SP-12me'!AA42</f>
        <v>360.25</v>
      </c>
      <c r="J39" s="7"/>
      <c r="K39" s="94">
        <f>'[18]Rev_SP-12me'!DM42</f>
        <v>0</v>
      </c>
      <c r="L39" s="94">
        <f>'[18]Rev_SP-12me'!DN42</f>
        <v>0</v>
      </c>
      <c r="M39" s="94">
        <f>'[18]Rev_SP-12me'!DP42</f>
        <v>0</v>
      </c>
      <c r="N39" s="60"/>
      <c r="O39" s="60">
        <f t="shared" ref="O39:O66" si="1">SUM(K39:N39)</f>
        <v>0</v>
      </c>
    </row>
    <row r="40" customHeight="1" spans="2:15">
      <c r="B40" s="54" t="s">
        <v>1031</v>
      </c>
      <c r="C40" s="55"/>
      <c r="D40" s="68">
        <f>'[18]Rev_SP-12me'!H43</f>
        <v>5371</v>
      </c>
      <c r="E40" s="68">
        <f>'[18]Rev_SP-12me'!J43*0.7457/10^3</f>
        <v>16.3584195096473</v>
      </c>
      <c r="F40" s="68">
        <f>'[18]Rev_SP-12me'!K43</f>
        <v>9.46335842153401</v>
      </c>
      <c r="G40" s="153"/>
      <c r="H40" s="101"/>
      <c r="I40" s="153"/>
      <c r="J40" s="7"/>
      <c r="K40" s="68">
        <f>'[18]Rev_SP-12me'!DM43</f>
        <v>0.526487955252157</v>
      </c>
      <c r="L40" s="68">
        <f>'[18]Rev_SP-12me'!DN43</f>
        <v>3.78534336861361</v>
      </c>
      <c r="M40" s="68">
        <f>'[18]Rev_SP-12me'!DP43</f>
        <v>0.31401</v>
      </c>
      <c r="N40" s="60"/>
      <c r="O40" s="69">
        <f t="shared" si="1"/>
        <v>4.62584132386577</v>
      </c>
    </row>
    <row r="41" customHeight="1" spans="2:15">
      <c r="B41" s="58" t="s">
        <v>178</v>
      </c>
      <c r="C41" s="55"/>
      <c r="D41" s="94">
        <f>'[18]Rev_SP-12me'!H44</f>
        <v>5025</v>
      </c>
      <c r="E41" s="94">
        <f>'[18]Rev_SP-12me'!J44*0.7457/10^3</f>
        <v>15.2324125096473</v>
      </c>
      <c r="F41" s="94">
        <f>'[18]Rev_SP-12me'!K44</f>
        <v>9.14719339003917</v>
      </c>
      <c r="G41" s="153">
        <f>'[18]Rev_SP-12me'!O44</f>
        <v>20</v>
      </c>
      <c r="H41" s="101">
        <f>'[18]Rev_SP-12me'!P44</f>
        <v>4</v>
      </c>
      <c r="I41" s="153">
        <f>'[18]Rev_SP-12me'!AA44</f>
        <v>50</v>
      </c>
      <c r="J41" s="7"/>
      <c r="K41" s="94">
        <f>'[18]Rev_SP-12me'!DM44</f>
        <v>0.490247955252157</v>
      </c>
      <c r="L41" s="94">
        <f>'[18]Rev_SP-12me'!DN44</f>
        <v>3.65887735601567</v>
      </c>
      <c r="M41" s="94">
        <f>'[18]Rev_SP-12me'!DP44</f>
        <v>0.29379</v>
      </c>
      <c r="N41" s="60"/>
      <c r="O41" s="60">
        <f t="shared" si="1"/>
        <v>4.44291531126783</v>
      </c>
    </row>
    <row r="42" customHeight="1" spans="2:15">
      <c r="B42" s="58" t="s">
        <v>1033</v>
      </c>
      <c r="C42" s="55"/>
      <c r="D42" s="94">
        <f>'[18]Rev_SP-12me'!H45</f>
        <v>346</v>
      </c>
      <c r="E42" s="94">
        <f>'[18]Rev_SP-12me'!J45*0.7457/10^3</f>
        <v>1.126007</v>
      </c>
      <c r="F42" s="94">
        <f>'[18]Rev_SP-12me'!K45</f>
        <v>0.316165031494847</v>
      </c>
      <c r="G42" s="153">
        <f>'[18]Rev_SP-12me'!O45</f>
        <v>20</v>
      </c>
      <c r="H42" s="101">
        <f>'[18]Rev_SP-12me'!P45</f>
        <v>4</v>
      </c>
      <c r="I42" s="153">
        <f>'[18]Rev_SP-12me'!AA45</f>
        <v>50</v>
      </c>
      <c r="J42" s="7"/>
      <c r="K42" s="94">
        <f>'[18]Rev_SP-12me'!DM45</f>
        <v>0.03624</v>
      </c>
      <c r="L42" s="94">
        <f>'[18]Rev_SP-12me'!DN45</f>
        <v>0.126466012597939</v>
      </c>
      <c r="M42" s="94">
        <f>'[18]Rev_SP-12me'!DP45</f>
        <v>0.02022</v>
      </c>
      <c r="N42" s="60"/>
      <c r="O42" s="60">
        <f t="shared" si="1"/>
        <v>0.182926012597939</v>
      </c>
    </row>
    <row r="43" customHeight="1" spans="2:15">
      <c r="B43" s="54" t="s">
        <v>1034</v>
      </c>
      <c r="C43" s="55"/>
      <c r="D43" s="68">
        <f>'[18]Rev_SP-12me'!H46</f>
        <v>1434508</v>
      </c>
      <c r="E43" s="68">
        <f>'[18]Rev_SP-12me'!J46*0.7457/10^3</f>
        <v>5316.8745565</v>
      </c>
      <c r="F43" s="68">
        <f>'[18]Rev_SP-12me'!K46</f>
        <v>16400.2035853187</v>
      </c>
      <c r="G43" s="153"/>
      <c r="H43" s="101"/>
      <c r="I43" s="153"/>
      <c r="J43" s="7"/>
      <c r="K43" s="68">
        <f>'[18]Rev_SP-12me'!DM46</f>
        <v>0.04666464</v>
      </c>
      <c r="L43" s="68">
        <f>'[18]Rev_SP-12me'!DN46</f>
        <v>9.93760971137238</v>
      </c>
      <c r="M43" s="68">
        <f>'[18]Rev_SP-12me'!DP46</f>
        <v>50.335542</v>
      </c>
      <c r="N43" s="60"/>
      <c r="O43" s="69">
        <f t="shared" si="1"/>
        <v>60.3198163513724</v>
      </c>
    </row>
    <row r="44" customHeight="1" spans="2:15">
      <c r="B44" s="56" t="s">
        <v>1035</v>
      </c>
      <c r="C44" s="55"/>
      <c r="D44" s="79">
        <f>'[18]Rev_SP-12me'!H47</f>
        <v>1434139</v>
      </c>
      <c r="E44" s="79">
        <f>'[18]Rev_SP-12me'!J47*0.7457/10^3</f>
        <v>5315.424647248</v>
      </c>
      <c r="F44" s="79">
        <f>'[18]Rev_SP-12me'!K47</f>
        <v>16397.0082288473</v>
      </c>
      <c r="G44" s="153"/>
      <c r="H44" s="101"/>
      <c r="I44" s="153"/>
      <c r="J44" s="7"/>
      <c r="K44" s="79">
        <f>'[18]Rev_SP-12me'!DM47</f>
        <v>0</v>
      </c>
      <c r="L44" s="79">
        <f>'[18]Rev_SP-12me'!DN47</f>
        <v>8.65946712279959</v>
      </c>
      <c r="M44" s="79">
        <f>'[18]Rev_SP-12me'!DP47</f>
        <v>50.322258</v>
      </c>
      <c r="N44" s="60"/>
      <c r="O44" s="60">
        <f t="shared" si="1"/>
        <v>58.9817251227996</v>
      </c>
    </row>
    <row r="45" customHeight="1" spans="2:15">
      <c r="B45" s="58" t="s">
        <v>1036</v>
      </c>
      <c r="C45" s="55"/>
      <c r="D45" s="94">
        <f>'[18]Rev_SP-12me'!H48</f>
        <v>1992</v>
      </c>
      <c r="E45" s="94">
        <f>'[18]Rev_SP-12me'!J48*0.7457/10^3</f>
        <v>8.40098163</v>
      </c>
      <c r="F45" s="94">
        <f>'[18]Rev_SP-12me'!K48</f>
        <v>34.6378684911984</v>
      </c>
      <c r="G45" s="153"/>
      <c r="H45" s="101">
        <f>'[18]Rev_SP-12me'!P48</f>
        <v>2.5</v>
      </c>
      <c r="I45" s="153">
        <f>'[18]Rev_SP-12me'!AA48</f>
        <v>30</v>
      </c>
      <c r="J45" s="7"/>
      <c r="K45" s="94">
        <f>'[18]Rev_SP-12me'!DM48</f>
        <v>0</v>
      </c>
      <c r="L45" s="94">
        <f>'[18]Rev_SP-12me'!DN48</f>
        <v>8.65946712279959</v>
      </c>
      <c r="M45" s="94">
        <f>'[18]Rev_SP-12me'!DP48</f>
        <v>0.071712</v>
      </c>
      <c r="N45" s="60"/>
      <c r="O45" s="60">
        <f t="shared" si="1"/>
        <v>8.73117912279959</v>
      </c>
    </row>
    <row r="46" customHeight="1" spans="2:15">
      <c r="B46" s="56" t="s">
        <v>1038</v>
      </c>
      <c r="C46" s="55"/>
      <c r="D46" s="94">
        <f>'[18]Rev_SP-12me'!H49</f>
        <v>1432147</v>
      </c>
      <c r="E46" s="94">
        <f>'[18]Rev_SP-12me'!J49*0.7457/10^3</f>
        <v>5307.023665618</v>
      </c>
      <c r="F46" s="94">
        <f>'[18]Rev_SP-12me'!K49</f>
        <v>16362.3703603561</v>
      </c>
      <c r="G46" s="153"/>
      <c r="H46" s="101"/>
      <c r="I46" s="153"/>
      <c r="J46" s="7"/>
      <c r="K46" s="94">
        <f>'[18]Rev_SP-12me'!DM49</f>
        <v>0</v>
      </c>
      <c r="L46" s="94">
        <f>'[18]Rev_SP-12me'!DN49</f>
        <v>0</v>
      </c>
      <c r="M46" s="94">
        <f>'[18]Rev_SP-12me'!DP49</f>
        <v>0</v>
      </c>
      <c r="N46" s="60"/>
      <c r="O46" s="60">
        <f t="shared" si="1"/>
        <v>0</v>
      </c>
    </row>
    <row r="47" customHeight="1" spans="2:15">
      <c r="B47" s="58" t="s">
        <v>1099</v>
      </c>
      <c r="C47" s="55"/>
      <c r="D47" s="94">
        <f>'[18]Rev_SP-12me'!H50</f>
        <v>1432147</v>
      </c>
      <c r="E47" s="94">
        <f>'[18]Rev_SP-12me'!J50*0.7457/10^3</f>
        <v>5307.023665618</v>
      </c>
      <c r="F47" s="94">
        <f>'[18]Rev_SP-12me'!K50</f>
        <v>16362.3703603561</v>
      </c>
      <c r="G47" s="153"/>
      <c r="H47" s="101"/>
      <c r="I47" s="153">
        <f>'[18]Rev_SP-12me'!AA50</f>
        <v>30</v>
      </c>
      <c r="J47" s="7"/>
      <c r="K47" s="94">
        <f>'[18]Rev_SP-12me'!DM50</f>
        <v>0</v>
      </c>
      <c r="L47" s="94">
        <f>'[18]Rev_SP-12me'!DN50</f>
        <v>0</v>
      </c>
      <c r="M47" s="94">
        <f>'[18]Rev_SP-12me'!DP50</f>
        <v>50.250546</v>
      </c>
      <c r="N47" s="60"/>
      <c r="O47" s="60">
        <f t="shared" si="1"/>
        <v>50.250546</v>
      </c>
    </row>
    <row r="48" customHeight="1" spans="2:15">
      <c r="B48" s="58" t="s">
        <v>1100</v>
      </c>
      <c r="C48" s="55"/>
      <c r="D48" s="94">
        <f>'[18]Rev_SP-12me'!H51</f>
        <v>0</v>
      </c>
      <c r="E48" s="94">
        <f>'[18]Rev_SP-12me'!J51*0.7457/10^3</f>
        <v>0</v>
      </c>
      <c r="F48" s="94">
        <f>'[18]Rev_SP-12me'!K51</f>
        <v>0</v>
      </c>
      <c r="G48" s="153"/>
      <c r="H48" s="101"/>
      <c r="I48" s="153">
        <f>'[18]Rev_SP-12me'!AA51</f>
        <v>30</v>
      </c>
      <c r="J48" s="7"/>
      <c r="K48" s="94">
        <f>'[18]Rev_SP-12me'!DM51</f>
        <v>0</v>
      </c>
      <c r="L48" s="94">
        <f>'[18]Rev_SP-12me'!DN51</f>
        <v>0</v>
      </c>
      <c r="M48" s="94">
        <f>'[18]Rev_SP-12me'!DP51</f>
        <v>0</v>
      </c>
      <c r="N48" s="60"/>
      <c r="O48" s="60">
        <f t="shared" si="1"/>
        <v>0</v>
      </c>
    </row>
    <row r="49" customHeight="1" spans="2:15">
      <c r="B49" s="56" t="s">
        <v>1039</v>
      </c>
      <c r="C49" s="55"/>
      <c r="D49" s="79">
        <f>'[18]Rev_SP-12me'!H52</f>
        <v>369</v>
      </c>
      <c r="E49" s="79">
        <f>'[18]Rev_SP-12me'!J52*0.7457/10^3</f>
        <v>1.449909252</v>
      </c>
      <c r="F49" s="79">
        <f>'[18]Rev_SP-12me'!K52</f>
        <v>3.19535647143197</v>
      </c>
      <c r="G49" s="153"/>
      <c r="H49" s="101"/>
      <c r="I49" s="153"/>
      <c r="J49" s="7"/>
      <c r="K49" s="79">
        <f>'[18]Rev_SP-12me'!DM52</f>
        <v>0.04666464</v>
      </c>
      <c r="L49" s="79">
        <f>'[18]Rev_SP-12me'!DN52</f>
        <v>1.27814258857279</v>
      </c>
      <c r="M49" s="79">
        <f>'[18]Rev_SP-12me'!DP52</f>
        <v>0.013284</v>
      </c>
      <c r="N49" s="60"/>
      <c r="O49" s="60">
        <f t="shared" si="1"/>
        <v>1.33809122857279</v>
      </c>
    </row>
    <row r="50" customHeight="1" spans="2:15">
      <c r="B50" s="58" t="s">
        <v>1040</v>
      </c>
      <c r="C50" s="55"/>
      <c r="D50" s="94">
        <f>'[18]Rev_SP-12me'!H53</f>
        <v>369</v>
      </c>
      <c r="E50" s="94">
        <f>'[18]Rev_SP-12me'!J53*0.7457/10^3</f>
        <v>1.449909252</v>
      </c>
      <c r="F50" s="94">
        <f>'[18]Rev_SP-12me'!K53</f>
        <v>3.19535647143197</v>
      </c>
      <c r="G50" s="153">
        <f>'[18]Rev_SP-12me'!O53</f>
        <v>20</v>
      </c>
      <c r="H50" s="101">
        <f>'[18]Rev_SP-12me'!P53</f>
        <v>4</v>
      </c>
      <c r="I50" s="153">
        <f>'[18]Rev_SP-12me'!AA53</f>
        <v>30</v>
      </c>
      <c r="J50" s="7"/>
      <c r="K50" s="94">
        <f>'[18]Rev_SP-12me'!DM53</f>
        <v>0.04666464</v>
      </c>
      <c r="L50" s="94">
        <f>'[18]Rev_SP-12me'!DN53</f>
        <v>1.27814258857279</v>
      </c>
      <c r="M50" s="94">
        <f>'[18]Rev_SP-12me'!DP53</f>
        <v>0.013284</v>
      </c>
      <c r="N50" s="60"/>
      <c r="O50" s="60">
        <f t="shared" si="1"/>
        <v>1.33809122857279</v>
      </c>
    </row>
    <row r="51" customHeight="1" spans="2:15">
      <c r="B51" s="54" t="s">
        <v>1042</v>
      </c>
      <c r="C51" s="55"/>
      <c r="D51" s="68">
        <f>'[18]Rev_SP-12me'!H54</f>
        <v>74905</v>
      </c>
      <c r="E51" s="68">
        <f>'[18]Rev_SP-12me'!I54</f>
        <v>175.540563701112</v>
      </c>
      <c r="F51" s="68">
        <f>'[18]Rev_SP-12me'!K54</f>
        <v>260.051315654006</v>
      </c>
      <c r="G51" s="153"/>
      <c r="H51" s="101"/>
      <c r="I51" s="153"/>
      <c r="J51" s="7"/>
      <c r="K51" s="68">
        <f>'[18]Rev_SP-12me'!DM54</f>
        <v>6.7407576461227</v>
      </c>
      <c r="L51" s="68">
        <f>'[18]Rev_SP-12me'!DN54</f>
        <v>200.056094785556</v>
      </c>
      <c r="M51" s="68">
        <f>'[18]Rev_SP-12me'!DP54</f>
        <v>10.745712</v>
      </c>
      <c r="N51" s="60"/>
      <c r="O51" s="69">
        <f t="shared" si="1"/>
        <v>217.542564431679</v>
      </c>
    </row>
    <row r="52" customHeight="1" spans="2:15">
      <c r="B52" s="58" t="s">
        <v>1043</v>
      </c>
      <c r="C52" s="55"/>
      <c r="D52" s="94">
        <f>'[18]Rev_SP-12me'!H55</f>
        <v>34386</v>
      </c>
      <c r="E52" s="94">
        <f>'[18]Rev_SP-12me'!I55</f>
        <v>64.2967633534012</v>
      </c>
      <c r="F52" s="94">
        <f>'[18]Rev_SP-12me'!K55</f>
        <v>79.7090505909807</v>
      </c>
      <c r="G52" s="153">
        <f>'[18]Rev_SP-12me'!O55</f>
        <v>32</v>
      </c>
      <c r="H52" s="101">
        <f>'[18]Rev_SP-12me'!P55</f>
        <v>7.1</v>
      </c>
      <c r="I52" s="153">
        <f>'[18]Rev_SP-12me'!AA55</f>
        <v>120</v>
      </c>
      <c r="J52" s="7"/>
      <c r="K52" s="94">
        <f>'[18]Rev_SP-12me'!DM55</f>
        <v>2.46899571277061</v>
      </c>
      <c r="L52" s="94">
        <f>'[18]Rev_SP-12me'!DN55</f>
        <v>56.5934259195963</v>
      </c>
      <c r="M52" s="94">
        <f>'[18]Rev_SP-12me'!DP55</f>
        <v>4.946976</v>
      </c>
      <c r="N52" s="60"/>
      <c r="O52" s="60">
        <f t="shared" si="1"/>
        <v>64.0093976323669</v>
      </c>
    </row>
    <row r="53" customHeight="1" spans="2:15">
      <c r="B53" s="58" t="s">
        <v>1044</v>
      </c>
      <c r="C53" s="55"/>
      <c r="D53" s="94">
        <f>'[18]Rev_SP-12me'!H56</f>
        <v>12356</v>
      </c>
      <c r="E53" s="94">
        <f>'[18]Rev_SP-12me'!I56</f>
        <v>31.5634546293874</v>
      </c>
      <c r="F53" s="94">
        <f>'[18]Rev_SP-12me'!K56</f>
        <v>52.2913167018194</v>
      </c>
      <c r="G53" s="153">
        <f>'[18]Rev_SP-12me'!O56</f>
        <v>32</v>
      </c>
      <c r="H53" s="101">
        <f>'[18]Rev_SP-12me'!P56</f>
        <v>7.6</v>
      </c>
      <c r="I53" s="153">
        <f>'[18]Rev_SP-12me'!AA56</f>
        <v>120</v>
      </c>
      <c r="J53" s="7"/>
      <c r="K53" s="94">
        <f>'[18]Rev_SP-12me'!DM56</f>
        <v>1.21203665776847</v>
      </c>
      <c r="L53" s="94">
        <f>'[18]Rev_SP-12me'!DN56</f>
        <v>39.7414006933827</v>
      </c>
      <c r="M53" s="94">
        <f>'[18]Rev_SP-12me'!DP56</f>
        <v>1.742616</v>
      </c>
      <c r="N53" s="60"/>
      <c r="O53" s="60">
        <f t="shared" si="1"/>
        <v>42.6960533511512</v>
      </c>
    </row>
    <row r="54" customHeight="1" spans="2:15">
      <c r="B54" s="58" t="s">
        <v>1045</v>
      </c>
      <c r="C54" s="55"/>
      <c r="D54" s="94">
        <f>'[18]Rev_SP-12me'!H57</f>
        <v>28163</v>
      </c>
      <c r="E54" s="94">
        <f>'[18]Rev_SP-12me'!I57</f>
        <v>79.6803457183233</v>
      </c>
      <c r="F54" s="94">
        <f>'[18]Rev_SP-12me'!K57</f>
        <v>128.050948361206</v>
      </c>
      <c r="G54" s="153">
        <f>'[18]Rev_SP-12me'!O57</f>
        <v>32</v>
      </c>
      <c r="H54" s="101">
        <f>'[18]Rev_SP-12me'!P57</f>
        <v>8.1</v>
      </c>
      <c r="I54" s="153">
        <f>'[18]Rev_SP-12me'!AA57</f>
        <v>120</v>
      </c>
      <c r="J54" s="7"/>
      <c r="K54" s="94">
        <f>'[18]Rev_SP-12me'!DM57</f>
        <v>3.05972527558361</v>
      </c>
      <c r="L54" s="94">
        <f>'[18]Rev_SP-12me'!DN57</f>
        <v>103.721268172577</v>
      </c>
      <c r="M54" s="94">
        <f>'[18]Rev_SP-12me'!DP57</f>
        <v>4.05612</v>
      </c>
      <c r="N54" s="60"/>
      <c r="O54" s="60">
        <f t="shared" si="1"/>
        <v>110.837113448161</v>
      </c>
    </row>
    <row r="55" customHeight="1" spans="2:15">
      <c r="B55" s="54" t="s">
        <v>1046</v>
      </c>
      <c r="C55" s="55"/>
      <c r="D55" s="68">
        <f>'[18]Rev_SP-12me'!H65</f>
        <v>34764</v>
      </c>
      <c r="E55" s="68">
        <f>'[18]Rev_SP-12me'!J65*0.7457/10^3</f>
        <v>116.00905137809</v>
      </c>
      <c r="F55" s="68">
        <f>'[18]Rev_SP-12me'!K65</f>
        <v>253.886305392353</v>
      </c>
      <c r="G55" s="153"/>
      <c r="H55" s="101"/>
      <c r="I55" s="153">
        <f>'[18]Rev_SP-12me'!AA65</f>
        <v>120</v>
      </c>
      <c r="J55" s="7"/>
      <c r="K55" s="68">
        <f>'[18]Rev_SP-12me'!DM65</f>
        <v>5.97391387008</v>
      </c>
      <c r="L55" s="68">
        <f>'[18]Rev_SP-12me'!DN65</f>
        <v>159.436935664894</v>
      </c>
      <c r="M55" s="68">
        <f>'[18]Rev_SP-12me'!DP65</f>
        <v>5.00076</v>
      </c>
      <c r="N55" s="60"/>
      <c r="O55" s="69">
        <f t="shared" si="1"/>
        <v>170.411609534974</v>
      </c>
    </row>
    <row r="56" customHeight="1" spans="2:15">
      <c r="B56" s="58" t="s">
        <v>1043</v>
      </c>
      <c r="C56" s="55"/>
      <c r="D56" s="94">
        <f>'[18]Rev_SP-12me'!H66</f>
        <v>24949</v>
      </c>
      <c r="E56" s="94">
        <f>'[18]Rev_SP-12me'!J66*0.7457/10^3</f>
        <v>80.375408726</v>
      </c>
      <c r="F56" s="94">
        <f>'[18]Rev_SP-12me'!K66</f>
        <v>195.225298216581</v>
      </c>
      <c r="G56" s="153">
        <f>'[18]Rev_SP-12me'!O66</f>
        <v>32</v>
      </c>
      <c r="H56" s="101">
        <f>'[18]Rev_SP-12me'!P66</f>
        <v>6</v>
      </c>
      <c r="I56" s="153">
        <f>'[18]Rev_SP-12me'!AA66</f>
        <v>120</v>
      </c>
      <c r="J56" s="7"/>
      <c r="K56" s="94">
        <f>'[18]Rev_SP-12me'!DM66</f>
        <v>4.138950912</v>
      </c>
      <c r="L56" s="94">
        <f>'[18]Rev_SP-12me'!DN66</f>
        <v>117.135178929949</v>
      </c>
      <c r="M56" s="94">
        <f>'[18]Rev_SP-12me'!DP66</f>
        <v>3.59064</v>
      </c>
      <c r="N56" s="60"/>
      <c r="O56" s="60">
        <f t="shared" si="1"/>
        <v>124.864769841949</v>
      </c>
    </row>
    <row r="57" customHeight="1" spans="2:15">
      <c r="B57" s="58" t="s">
        <v>1044</v>
      </c>
      <c r="C57" s="55"/>
      <c r="D57" s="94">
        <f>'[18]Rev_SP-12me'!H67</f>
        <v>6205</v>
      </c>
      <c r="E57" s="94">
        <f>'[18]Rev_SP-12me'!J67*0.7457/10^3</f>
        <v>21.54331789114</v>
      </c>
      <c r="F57" s="94">
        <f>'[18]Rev_SP-12me'!K67</f>
        <v>45.6121743728297</v>
      </c>
      <c r="G57" s="153">
        <f>'[18]Rev_SP-12me'!O67</f>
        <v>32</v>
      </c>
      <c r="H57" s="101">
        <f>'[18]Rev_SP-12me'!P67</f>
        <v>7.1</v>
      </c>
      <c r="I57" s="153">
        <f>'[18]Rev_SP-12me'!AA67</f>
        <v>120</v>
      </c>
      <c r="J57" s="7"/>
      <c r="K57" s="94">
        <f>'[18]Rev_SP-12me'!DM67</f>
        <v>1.10937831168</v>
      </c>
      <c r="L57" s="94">
        <f>'[18]Rev_SP-12me'!DN67</f>
        <v>32.3846438047091</v>
      </c>
      <c r="M57" s="94">
        <f>'[18]Rev_SP-12me'!DP67</f>
        <v>0.887328</v>
      </c>
      <c r="N57" s="60"/>
      <c r="O57" s="60">
        <f t="shared" si="1"/>
        <v>34.3813501163891</v>
      </c>
    </row>
    <row r="58" customHeight="1" spans="2:15">
      <c r="B58" s="58" t="s">
        <v>1045</v>
      </c>
      <c r="C58" s="55"/>
      <c r="D58" s="94">
        <f>'[18]Rev_SP-12me'!H68</f>
        <v>3610</v>
      </c>
      <c r="E58" s="94">
        <f>'[18]Rev_SP-12me'!J68*0.7457/10^3</f>
        <v>14.09032476095</v>
      </c>
      <c r="F58" s="94">
        <f>'[18]Rev_SP-12me'!K68</f>
        <v>13.0488328029423</v>
      </c>
      <c r="G58" s="153">
        <f>'[18]Rev_SP-12me'!O68</f>
        <v>32</v>
      </c>
      <c r="H58" s="101">
        <f>'[18]Rev_SP-12me'!P68</f>
        <v>7.6</v>
      </c>
      <c r="I58" s="153">
        <f>'[18]Rev_SP-12me'!AA68</f>
        <v>120</v>
      </c>
      <c r="J58" s="7"/>
      <c r="K58" s="94">
        <f>'[18]Rev_SP-12me'!DM68</f>
        <v>0.7255846464</v>
      </c>
      <c r="L58" s="94">
        <f>'[18]Rev_SP-12me'!DN68</f>
        <v>9.91711293023615</v>
      </c>
      <c r="M58" s="94">
        <f>'[18]Rev_SP-12me'!DP68</f>
        <v>0.522792</v>
      </c>
      <c r="N58" s="60"/>
      <c r="O58" s="60">
        <f t="shared" si="1"/>
        <v>11.1654895766362</v>
      </c>
    </row>
    <row r="59" customHeight="1" spans="2:15">
      <c r="B59" s="54" t="s">
        <v>1168</v>
      </c>
      <c r="C59" s="55"/>
      <c r="D59" s="68">
        <f>'[18]Rev_SP-12me'!H69</f>
        <v>0</v>
      </c>
      <c r="E59" s="68">
        <f>'[18]Rev_SP-12me'!I69</f>
        <v>0</v>
      </c>
      <c r="F59" s="68">
        <f>'[18]Rev_SP-12me'!K69</f>
        <v>0</v>
      </c>
      <c r="G59" s="153"/>
      <c r="H59" s="101"/>
      <c r="I59" s="153"/>
      <c r="J59" s="7"/>
      <c r="K59" s="68">
        <f>'[18]Rev_SP-12me'!DM69</f>
        <v>0</v>
      </c>
      <c r="L59" s="68">
        <f>'[18]Rev_SP-12me'!DN69</f>
        <v>0</v>
      </c>
      <c r="M59" s="68">
        <f>'[18]Rev_SP-12me'!DP69</f>
        <v>0</v>
      </c>
      <c r="N59" s="60"/>
      <c r="O59" s="60">
        <f t="shared" si="1"/>
        <v>0</v>
      </c>
    </row>
    <row r="60" customHeight="1" spans="2:15">
      <c r="B60" s="54" t="s">
        <v>1049</v>
      </c>
      <c r="C60" s="55"/>
      <c r="D60" s="68">
        <f>'[18]Rev_SP-12me'!H58</f>
        <v>26365</v>
      </c>
      <c r="E60" s="68">
        <f>'[18]Rev_SP-12me'!I58</f>
        <v>81.4473817185997</v>
      </c>
      <c r="F60" s="68">
        <f>'[18]Rev_SP-12me'!K58</f>
        <v>101.306486363046</v>
      </c>
      <c r="G60" s="153"/>
      <c r="H60" s="101"/>
      <c r="I60" s="153"/>
      <c r="J60" s="7"/>
      <c r="K60" s="68">
        <f>'[18]Rev_SP-12me'!DM58</f>
        <v>2.1385587693091</v>
      </c>
      <c r="L60" s="68">
        <f>'[18]Rev_SP-12me'!DN58</f>
        <v>80.4395248277956</v>
      </c>
      <c r="M60" s="68">
        <f>'[18]Rev_SP-12me'!DP58</f>
        <v>3.11364</v>
      </c>
      <c r="N60" s="60"/>
      <c r="O60" s="69">
        <f t="shared" si="1"/>
        <v>85.6917235971047</v>
      </c>
    </row>
    <row r="61" customHeight="1" spans="2:15">
      <c r="B61" s="56" t="s">
        <v>1050</v>
      </c>
      <c r="C61" s="55"/>
      <c r="D61" s="94">
        <f>'[18]Rev_SP-12me'!H59</f>
        <v>21545</v>
      </c>
      <c r="E61" s="94">
        <f>'[18]Rev_SP-12me'!I59</f>
        <v>73.4765715333784</v>
      </c>
      <c r="F61" s="94">
        <f>'[18]Rev_SP-12me'!K59</f>
        <v>90.2614595341592</v>
      </c>
      <c r="G61" s="153">
        <f>'[18]Rev_SP-12me'!O59</f>
        <v>21</v>
      </c>
      <c r="H61" s="101">
        <f>'[18]Rev_SP-12me'!P59</f>
        <v>8.3</v>
      </c>
      <c r="I61" s="153">
        <f>'[18]Rev_SP-12me'!AA59</f>
        <v>100</v>
      </c>
      <c r="J61" s="7"/>
      <c r="K61" s="94">
        <f>'[18]Rev_SP-12me'!DM59</f>
        <v>1.85160960264114</v>
      </c>
      <c r="L61" s="94">
        <f>'[18]Rev_SP-12me'!DN59</f>
        <v>74.9170114133521</v>
      </c>
      <c r="M61" s="94">
        <f>'[18]Rev_SP-12me'!DP59</f>
        <v>2.54442</v>
      </c>
      <c r="N61" s="60"/>
      <c r="O61" s="60">
        <f t="shared" si="1"/>
        <v>79.3130410159932</v>
      </c>
    </row>
    <row r="62" customHeight="1" spans="2:15">
      <c r="B62" s="56" t="s">
        <v>1051</v>
      </c>
      <c r="C62" s="55"/>
      <c r="D62" s="94">
        <f>'[18]Rev_SP-12me'!H60</f>
        <v>4820</v>
      </c>
      <c r="E62" s="94">
        <f>'[18]Rev_SP-12me'!I60</f>
        <v>7.97081018522127</v>
      </c>
      <c r="F62" s="94">
        <f>'[18]Rev_SP-12me'!K60</f>
        <v>11.0450268288868</v>
      </c>
      <c r="G62" s="153">
        <f>'[18]Rev_SP-12me'!O60</f>
        <v>30</v>
      </c>
      <c r="H62" s="101">
        <f>'[18]Rev_SP-12me'!P60</f>
        <v>5</v>
      </c>
      <c r="I62" s="153">
        <f>'[18]Rev_SP-12me'!AA60</f>
        <v>100</v>
      </c>
      <c r="J62" s="7"/>
      <c r="K62" s="94">
        <f>'[18]Rev_SP-12me'!DM60</f>
        <v>0.286949166667966</v>
      </c>
      <c r="L62" s="94">
        <f>'[18]Rev_SP-12me'!DN60</f>
        <v>5.52251341444342</v>
      </c>
      <c r="M62" s="94">
        <f>'[18]Rev_SP-12me'!DP60</f>
        <v>0.56922</v>
      </c>
      <c r="N62" s="60"/>
      <c r="O62" s="60">
        <f t="shared" si="1"/>
        <v>6.37868258111139</v>
      </c>
    </row>
    <row r="63" customHeight="1" spans="2:15">
      <c r="B63" s="56" t="s">
        <v>1052</v>
      </c>
      <c r="C63" s="55"/>
      <c r="D63" s="79">
        <f>'[18]Rev_SP-12me'!H61</f>
        <v>4820</v>
      </c>
      <c r="E63" s="79">
        <f>'[18]Rev_SP-12me'!I61</f>
        <v>7.97081018522127</v>
      </c>
      <c r="F63" s="79">
        <f>'[18]Rev_SP-12me'!K61</f>
        <v>0</v>
      </c>
      <c r="G63" s="153">
        <f>'[18]Rev_SP-12me'!O61</f>
        <v>30</v>
      </c>
      <c r="H63" s="101">
        <f>'[18]Rev_SP-12me'!P61</f>
        <v>5</v>
      </c>
      <c r="I63" s="153">
        <f>'[18]Rev_SP-12me'!AA61</f>
        <v>100</v>
      </c>
      <c r="J63" s="7"/>
      <c r="K63" s="79">
        <f>'[18]Rev_SP-12me'!DM61</f>
        <v>0</v>
      </c>
      <c r="L63" s="79">
        <f>'[18]Rev_SP-12me'!DN61</f>
        <v>2.808413</v>
      </c>
      <c r="M63" s="79">
        <f>'[18]Rev_SP-12me'!DP61</f>
        <v>0</v>
      </c>
      <c r="N63" s="60"/>
      <c r="O63" s="60">
        <f t="shared" si="1"/>
        <v>2.808413</v>
      </c>
    </row>
    <row r="64" customHeight="1" spans="2:15">
      <c r="B64" s="56" t="s">
        <v>1053</v>
      </c>
      <c r="C64" s="55"/>
      <c r="D64" s="79">
        <f>'[18]Rev_SP-12me'!H62</f>
        <v>0</v>
      </c>
      <c r="E64" s="79">
        <f>'[18]Rev_SP-12me'!I62</f>
        <v>0</v>
      </c>
      <c r="F64" s="79">
        <f>'[18]Rev_SP-12me'!K62</f>
        <v>0</v>
      </c>
      <c r="G64" s="153">
        <f>'[18]Rev_SP-12me'!O62</f>
        <v>30</v>
      </c>
      <c r="H64" s="101">
        <f>'[18]Rev_SP-12me'!P62</f>
        <v>5</v>
      </c>
      <c r="I64" s="153">
        <f>'[18]Rev_SP-12me'!AA62</f>
        <v>100</v>
      </c>
      <c r="J64" s="7"/>
      <c r="K64" s="79">
        <f>'[18]Rev_SP-12me'!DM62</f>
        <v>0</v>
      </c>
      <c r="L64" s="79">
        <f>'[18]Rev_SP-12me'!DN62</f>
        <v>0</v>
      </c>
      <c r="M64" s="79">
        <f>'[18]Rev_SP-12me'!DP62</f>
        <v>0</v>
      </c>
      <c r="N64" s="60"/>
      <c r="O64" s="60">
        <f t="shared" si="1"/>
        <v>0</v>
      </c>
    </row>
    <row r="65" customHeight="1" spans="2:15">
      <c r="B65" s="54" t="s">
        <v>1054</v>
      </c>
      <c r="C65" s="55"/>
      <c r="D65" s="68">
        <f>'[18]Rev_SP-12me'!H63</f>
        <v>17051</v>
      </c>
      <c r="E65" s="68">
        <f>'[18]Rev_SP-12me'!I63</f>
        <v>148.098460091206</v>
      </c>
      <c r="F65" s="68">
        <f>'[18]Rev_SP-12me'!K63</f>
        <v>133.599144375556</v>
      </c>
      <c r="G65" s="153">
        <f>'[18]Rev_SP-12me'!O63</f>
        <v>21</v>
      </c>
      <c r="H65" s="101">
        <f>'[18]Rev_SP-12me'!P63</f>
        <v>12</v>
      </c>
      <c r="I65" s="153">
        <f>'[18]Rev_SP-12me'!AA63</f>
        <v>100</v>
      </c>
      <c r="J65" s="7"/>
      <c r="K65" s="68">
        <f>'[18]Rev_SP-12me'!DM63</f>
        <v>3.73208119429839</v>
      </c>
      <c r="L65" s="68">
        <f>'[18]Rev_SP-12me'!DN63</f>
        <v>160.318973250667</v>
      </c>
      <c r="M65" s="68">
        <f>'[18]Rev_SP-12me'!DP63</f>
        <v>1.89444</v>
      </c>
      <c r="N65" s="60"/>
      <c r="O65" s="69">
        <f t="shared" si="1"/>
        <v>165.945494444965</v>
      </c>
    </row>
    <row r="66" customHeight="1" spans="2:15">
      <c r="B66" s="54" t="s">
        <v>1101</v>
      </c>
      <c r="C66" s="55"/>
      <c r="D66" s="68">
        <f>'[18]Rev_SP-12me'!H64</f>
        <v>303</v>
      </c>
      <c r="E66" s="68">
        <f>'[18]Rev_SP-12me'!I64</f>
        <v>12.201</v>
      </c>
      <c r="F66" s="68">
        <f>'[18]Rev_SP-12me'!K64</f>
        <v>10.2408207592832</v>
      </c>
      <c r="G66" s="153">
        <f>'[18]Rev_SP-12me'!O64</f>
        <v>0</v>
      </c>
      <c r="H66" s="101">
        <f>'[18]Rev_SP-12me'!P64</f>
        <v>6</v>
      </c>
      <c r="I66" s="153">
        <f>'[18]Rev_SP-12me'!AA64</f>
        <v>120</v>
      </c>
      <c r="J66" s="7"/>
      <c r="K66" s="68">
        <f>'[18]Rev_SP-12me'!DM64</f>
        <v>0.427035</v>
      </c>
      <c r="L66" s="68">
        <f>'[18]Rev_SP-12me'!DN64</f>
        <v>6.14449245556991</v>
      </c>
      <c r="M66" s="68">
        <f>'[18]Rev_SP-12me'!DP64</f>
        <v>0.038592</v>
      </c>
      <c r="N66" s="60"/>
      <c r="O66" s="69">
        <f t="shared" si="1"/>
        <v>6.61011945556991</v>
      </c>
    </row>
    <row r="67" customHeight="1" spans="2:15">
      <c r="B67" s="54"/>
      <c r="C67" s="55"/>
      <c r="D67" s="79"/>
      <c r="E67" s="60"/>
      <c r="F67" s="60"/>
      <c r="G67" s="101"/>
      <c r="H67" s="101"/>
      <c r="I67" s="100"/>
      <c r="J67" s="7"/>
      <c r="K67" s="60"/>
      <c r="L67" s="60"/>
      <c r="M67" s="60"/>
      <c r="N67" s="60"/>
      <c r="O67" s="60"/>
    </row>
    <row r="68" customHeight="1" spans="2:15">
      <c r="B68" s="54" t="s">
        <v>1102</v>
      </c>
      <c r="C68" s="55"/>
      <c r="D68" s="63">
        <f>SUM(D7,D20,D33,D40,D43,D51,D55,D59,D60,D65,D66)</f>
        <v>10984663</v>
      </c>
      <c r="E68" s="64">
        <f>SUM(E7,E20,E33,E40,E43,E51,E55,E59,E60,E65,E66)</f>
        <v>23900.6355135689</v>
      </c>
      <c r="F68" s="63">
        <f>SUM(F7,F20,F33,F40,F43,F51,F55,F59,F60,F65,F66)</f>
        <v>33817.7176808619</v>
      </c>
      <c r="G68" s="187"/>
      <c r="H68" s="187"/>
      <c r="I68" s="187"/>
      <c r="J68" s="181"/>
      <c r="K68" s="64">
        <f>SUM(K7,K20,K33,K40,K43,K51,K55,K59,K60,K65,K66)</f>
        <v>679.058175184421</v>
      </c>
      <c r="L68" s="63">
        <f>SUM(L7,L20,L33,L40,L43,L51,L55,L59,L60,L65,L66)</f>
        <v>11046.3423318715</v>
      </c>
      <c r="M68" s="63">
        <f>SUM(M7,M20,M33,M40,M43,M51,M55,M59,M60,M65,M66)</f>
        <v>899.1929535</v>
      </c>
      <c r="N68" s="182"/>
      <c r="O68" s="63">
        <f>SUM(O7,O20,O33,O40,O43,O51,O55,O59,O60,O65,O66)</f>
        <v>12624.593460556</v>
      </c>
    </row>
    <row r="69" customHeight="1" spans="2:15">
      <c r="B69" s="66"/>
      <c r="C69" s="67"/>
      <c r="D69" s="68"/>
      <c r="E69" s="69"/>
      <c r="F69" s="68"/>
      <c r="G69" s="150"/>
      <c r="H69" s="150"/>
      <c r="I69" s="150"/>
      <c r="J69" s="7"/>
      <c r="K69" s="69"/>
      <c r="L69" s="68"/>
      <c r="M69" s="68"/>
      <c r="N69" s="60"/>
      <c r="O69" s="68"/>
    </row>
    <row r="70" customHeight="1" spans="2:15">
      <c r="B70" s="70" t="s">
        <v>907</v>
      </c>
      <c r="C70" s="70"/>
      <c r="D70" s="7"/>
      <c r="E70" s="7"/>
      <c r="F70" s="7"/>
      <c r="G70" s="100"/>
      <c r="H70" s="100"/>
      <c r="I70" s="100"/>
      <c r="J70" s="7"/>
      <c r="K70" s="7"/>
      <c r="L70" s="7"/>
      <c r="M70" s="7"/>
      <c r="N70" s="7"/>
      <c r="O70" s="7"/>
    </row>
    <row r="71" customHeight="1" spans="2:15">
      <c r="B71" s="71" t="s">
        <v>190</v>
      </c>
      <c r="C71" s="55"/>
      <c r="D71" s="60"/>
      <c r="E71" s="60"/>
      <c r="F71" s="60"/>
      <c r="G71" s="100"/>
      <c r="H71" s="100"/>
      <c r="I71" s="100"/>
      <c r="J71" s="7"/>
      <c r="K71" s="60"/>
      <c r="L71" s="60"/>
      <c r="M71" s="60"/>
      <c r="N71" s="60"/>
      <c r="O71" s="60"/>
    </row>
    <row r="72" customHeight="1" spans="2:15">
      <c r="B72" s="71" t="s">
        <v>1103</v>
      </c>
      <c r="C72" s="72"/>
      <c r="D72" s="68">
        <f>'[18]Rev_SP-12me'!H84</f>
        <v>5914</v>
      </c>
      <c r="E72" s="68">
        <f>'[18]Rev_SP-12me'!I84</f>
        <v>1529.6729323312</v>
      </c>
      <c r="F72" s="68">
        <f>F73+F82</f>
        <v>4431.28917796994</v>
      </c>
      <c r="G72" s="150"/>
      <c r="H72" s="137"/>
      <c r="I72" s="150"/>
      <c r="J72" s="7"/>
      <c r="K72" s="68">
        <f>'[18]Rev_SP-12me'!DM84</f>
        <v>712.827586466338</v>
      </c>
      <c r="L72" s="68">
        <f>'[18]Rev_SP-12me'!DN84</f>
        <v>3381.31147639382</v>
      </c>
      <c r="M72" s="68">
        <f>'[18]Rev_SP-12me'!DP84</f>
        <v>16.26</v>
      </c>
      <c r="N72" s="60"/>
      <c r="O72" s="68">
        <f t="shared" ref="O72:O122" si="2">SUM(K72:N72)</f>
        <v>4110.39906286016</v>
      </c>
    </row>
    <row r="73" customHeight="1" spans="2:15">
      <c r="B73" s="73" t="s">
        <v>1104</v>
      </c>
      <c r="C73" s="72"/>
      <c r="D73" s="79">
        <f>'[18]Rev_SP-12me'!H85</f>
        <v>5914</v>
      </c>
      <c r="E73" s="79">
        <f>'[18]Rev_SP-12me'!I85</f>
        <v>1529.6729323312</v>
      </c>
      <c r="F73" s="79">
        <f>'[18]Rev_SP-12me'!K85</f>
        <v>4286.00985096979</v>
      </c>
      <c r="G73" s="153"/>
      <c r="H73" s="101"/>
      <c r="I73" s="153"/>
      <c r="J73" s="7"/>
      <c r="K73" s="79">
        <f>'[18]Rev_SP-12me'!DM85</f>
        <v>712.827586466338</v>
      </c>
      <c r="L73" s="79">
        <f>'[18]Rev_SP-12me'!DN85</f>
        <v>3270.26020952284</v>
      </c>
      <c r="M73" s="79">
        <f>'[18]Rev_SP-12me'!DP85</f>
        <v>15.7824</v>
      </c>
      <c r="N73" s="60"/>
      <c r="O73" s="79">
        <f t="shared" si="2"/>
        <v>3998.87019598918</v>
      </c>
    </row>
    <row r="74" customHeight="1" spans="2:15">
      <c r="B74" s="74" t="s">
        <v>1105</v>
      </c>
      <c r="C74" s="72"/>
      <c r="D74" s="94">
        <f>'[18]Rev_SP-12me'!H86</f>
        <v>5914</v>
      </c>
      <c r="E74" s="94">
        <f>'[18]Rev_SP-12me'!I86</f>
        <v>1529.6729323312</v>
      </c>
      <c r="F74" s="94">
        <f>'[18]Rev_SP-12me'!K86</f>
        <v>1237.846213485</v>
      </c>
      <c r="G74" s="174">
        <f>'[18]Rev_SP-12me'!O86</f>
        <v>500</v>
      </c>
      <c r="H74" s="185">
        <f>'[18]Rev_SP-12me'!P86</f>
        <v>7.65</v>
      </c>
      <c r="I74" s="174">
        <f>'[18]Rev_SP-12me'!AA86</f>
        <v>2000</v>
      </c>
      <c r="J74" s="7"/>
      <c r="K74" s="94">
        <f>'[18]Rev_SP-12me'!DM86</f>
        <v>712.827586466338</v>
      </c>
      <c r="L74" s="94">
        <f>'[18]Rev_SP-12me'!DN86</f>
        <v>946.952353316028</v>
      </c>
      <c r="M74" s="94">
        <f>'[18]Rev_SP-12me'!DP86</f>
        <v>12.012</v>
      </c>
      <c r="N74" s="60"/>
      <c r="O74" s="79">
        <f t="shared" si="2"/>
        <v>1671.79193978237</v>
      </c>
    </row>
    <row r="75" customHeight="1" spans="2:15">
      <c r="B75" s="75" t="s">
        <v>1106</v>
      </c>
      <c r="C75" s="55"/>
      <c r="D75" s="94">
        <f>'[18]Rev_SP-12me'!H87</f>
        <v>0</v>
      </c>
      <c r="E75" s="94">
        <f>'[18]Rev_SP-12me'!I87</f>
        <v>0</v>
      </c>
      <c r="F75" s="94">
        <f>'[18]Rev_SP-12me'!K87</f>
        <v>257.21595807093</v>
      </c>
      <c r="G75" s="174">
        <f>'[18]Rev_SP-12me'!O87</f>
        <v>100</v>
      </c>
      <c r="H75" s="185">
        <f>'[18]Rev_SP-12me'!P87</f>
        <v>8</v>
      </c>
      <c r="I75" s="174">
        <f>'[18]Rev_SP-12me'!AA87</f>
        <v>2000</v>
      </c>
      <c r="J75" s="7"/>
      <c r="K75" s="94">
        <f>'[18]Rev_SP-12me'!DM87</f>
        <v>0</v>
      </c>
      <c r="L75" s="94">
        <f>'[18]Rev_SP-12me'!DN87</f>
        <v>205.772766456744</v>
      </c>
      <c r="M75" s="94">
        <f>'[18]Rev_SP-12me'!DP87</f>
        <v>3.3024</v>
      </c>
      <c r="N75" s="7"/>
      <c r="O75" s="79">
        <f t="shared" si="2"/>
        <v>209.075166456744</v>
      </c>
    </row>
    <row r="76" customHeight="1" spans="2:15">
      <c r="B76" s="74" t="s">
        <v>1107</v>
      </c>
      <c r="C76" s="55"/>
      <c r="D76" s="94">
        <f>'[18]Rev_SP-12me'!H88</f>
        <v>0</v>
      </c>
      <c r="E76" s="94">
        <f>'[18]Rev_SP-12me'!I88</f>
        <v>0</v>
      </c>
      <c r="F76" s="94">
        <f>'[18]Rev_SP-12me'!K88</f>
        <v>128.091205166528</v>
      </c>
      <c r="G76" s="174">
        <f>'[18]Rev_SP-12me'!O88</f>
        <v>0</v>
      </c>
      <c r="H76" s="185">
        <f>'[18]Rev_SP-12me'!P88</f>
        <v>7.65</v>
      </c>
      <c r="I76" s="174">
        <f>'[18]Rev_SP-12me'!AA88</f>
        <v>2000</v>
      </c>
      <c r="J76" s="7"/>
      <c r="K76" s="94">
        <f>'[18]Rev_SP-12me'!DM88</f>
        <v>0</v>
      </c>
      <c r="L76" s="94">
        <f>'[18]Rev_SP-12me'!DN88</f>
        <v>97.9897719523938</v>
      </c>
      <c r="M76" s="94">
        <f>'[18]Rev_SP-12me'!DP88</f>
        <v>0</v>
      </c>
      <c r="N76" s="7"/>
      <c r="O76" s="79">
        <f t="shared" si="2"/>
        <v>97.9897719523938</v>
      </c>
    </row>
    <row r="77" customHeight="1" spans="2:15">
      <c r="B77" s="74" t="s">
        <v>1108</v>
      </c>
      <c r="C77" s="55"/>
      <c r="D77" s="94">
        <f>'[18]Rev_SP-12me'!H89</f>
        <v>0</v>
      </c>
      <c r="E77" s="94">
        <f>'[18]Rev_SP-12me'!I89</f>
        <v>0</v>
      </c>
      <c r="F77" s="94">
        <f>'[18]Rev_SP-12me'!K89</f>
        <v>18.8526273447947</v>
      </c>
      <c r="G77" s="174">
        <f>'[18]Rev_SP-12me'!O89</f>
        <v>0</v>
      </c>
      <c r="H77" s="185">
        <f>'[18]Rev_SP-12me'!P89</f>
        <v>7.3</v>
      </c>
      <c r="I77" s="174">
        <f>'[18]Rev_SP-12me'!AA89</f>
        <v>2000</v>
      </c>
      <c r="J77" s="7"/>
      <c r="K77" s="94">
        <f>'[18]Rev_SP-12me'!DM89</f>
        <v>0</v>
      </c>
      <c r="L77" s="94">
        <f>'[18]Rev_SP-12me'!DN89</f>
        <v>13.7624179617001</v>
      </c>
      <c r="M77" s="94">
        <f>'[18]Rev_SP-12me'!DP89</f>
        <v>0</v>
      </c>
      <c r="N77" s="7"/>
      <c r="O77" s="79">
        <f t="shared" si="2"/>
        <v>13.7624179617001</v>
      </c>
    </row>
    <row r="78" customHeight="1" spans="2:15">
      <c r="B78" s="74" t="s">
        <v>1109</v>
      </c>
      <c r="C78" s="55"/>
      <c r="D78" s="94">
        <f>'[18]Rev_SP-12me'!H90</f>
        <v>0</v>
      </c>
      <c r="E78" s="94">
        <f>'[18]Rev_SP-12me'!I90</f>
        <v>0</v>
      </c>
      <c r="F78" s="94">
        <f>'[18]Rev_SP-12me'!K90</f>
        <v>54.1080326907637</v>
      </c>
      <c r="G78" s="174">
        <f>'[18]Rev_SP-12me'!O90</f>
        <v>500</v>
      </c>
      <c r="H78" s="185">
        <f>'[18]Rev_SP-12me'!P90</f>
        <v>8.6</v>
      </c>
      <c r="I78" s="174">
        <f>'[18]Rev_SP-12me'!AA90</f>
        <v>2000</v>
      </c>
      <c r="J78" s="7"/>
      <c r="K78" s="94">
        <f>'[18]Rev_SP-12me'!DM90</f>
        <v>0</v>
      </c>
      <c r="L78" s="94">
        <f>'[18]Rev_SP-12me'!DN90</f>
        <v>46.5329081140568</v>
      </c>
      <c r="M78" s="94">
        <f>'[18]Rev_SP-12me'!DP90</f>
        <v>0.468</v>
      </c>
      <c r="N78" s="7"/>
      <c r="O78" s="79">
        <f t="shared" si="2"/>
        <v>47.0009081140568</v>
      </c>
    </row>
    <row r="79" customHeight="1" spans="2:15">
      <c r="B79" s="76" t="s">
        <v>1110</v>
      </c>
      <c r="C79" s="55"/>
      <c r="D79" s="94">
        <f>'[18]Rev_SP-12me'!H91</f>
        <v>0</v>
      </c>
      <c r="E79" s="94">
        <f>'[18]Rev_SP-12me'!I91</f>
        <v>0</v>
      </c>
      <c r="F79" s="94">
        <f>'[18]Rev_SP-12me'!K91</f>
        <v>661.466505660448</v>
      </c>
      <c r="G79" s="174">
        <f>'[18]Rev_SP-12me'!O91</f>
        <v>0</v>
      </c>
      <c r="H79" s="185">
        <f>'[18]Rev_SP-12me'!P91</f>
        <v>8.65</v>
      </c>
      <c r="I79" s="174">
        <f>'[18]Rev_SP-12me'!AA91</f>
        <v>2000</v>
      </c>
      <c r="J79" s="7"/>
      <c r="K79" s="94">
        <f>'[18]Rev_SP-12me'!DM91</f>
        <v>0</v>
      </c>
      <c r="L79" s="94">
        <f>'[18]Rev_SP-12me'!DN91</f>
        <v>572.168527396288</v>
      </c>
      <c r="M79" s="94">
        <f>'[18]Rev_SP-12me'!DP91</f>
        <v>0</v>
      </c>
      <c r="N79" s="7"/>
      <c r="O79" s="79">
        <f t="shared" si="2"/>
        <v>572.168527396288</v>
      </c>
    </row>
    <row r="80" customHeight="1" spans="2:15">
      <c r="B80" s="76" t="s">
        <v>1111</v>
      </c>
      <c r="C80" s="55"/>
      <c r="D80" s="94">
        <f>'[18]Rev_SP-12me'!H92</f>
        <v>0</v>
      </c>
      <c r="E80" s="94">
        <f>'[18]Rev_SP-12me'!I92</f>
        <v>0</v>
      </c>
      <c r="F80" s="94">
        <f>'[18]Rev_SP-12me'!K92</f>
        <v>658.834924910731</v>
      </c>
      <c r="G80" s="174">
        <f>'[18]Rev_SP-12me'!O92</f>
        <v>0</v>
      </c>
      <c r="H80" s="185">
        <f>'[18]Rev_SP-12me'!P92</f>
        <v>8.65</v>
      </c>
      <c r="I80" s="174">
        <f>'[18]Rev_SP-12me'!AA92</f>
        <v>2000</v>
      </c>
      <c r="J80" s="7"/>
      <c r="K80" s="94">
        <f>'[18]Rev_SP-12me'!DM92</f>
        <v>0</v>
      </c>
      <c r="L80" s="94">
        <f>'[18]Rev_SP-12me'!DN92</f>
        <v>569.892210047783</v>
      </c>
      <c r="M80" s="94">
        <f>'[18]Rev_SP-12me'!DP92</f>
        <v>0</v>
      </c>
      <c r="N80" s="7"/>
      <c r="O80" s="79">
        <f t="shared" si="2"/>
        <v>569.892210047783</v>
      </c>
    </row>
    <row r="81" customHeight="1" spans="2:15">
      <c r="B81" s="76" t="s">
        <v>1112</v>
      </c>
      <c r="C81" s="55"/>
      <c r="D81" s="94">
        <f>'[18]Rev_SP-12me'!H93</f>
        <v>0</v>
      </c>
      <c r="E81" s="94">
        <f>'[18]Rev_SP-12me'!I93</f>
        <v>0</v>
      </c>
      <c r="F81" s="94">
        <f>'[18]Rev_SP-12me'!K93</f>
        <v>1269.59438364059</v>
      </c>
      <c r="G81" s="174">
        <f>'[18]Rev_SP-12me'!O93</f>
        <v>0</v>
      </c>
      <c r="H81" s="185">
        <f>'[18]Rev_SP-12me'!P93</f>
        <v>6.15</v>
      </c>
      <c r="I81" s="174">
        <f>'[18]Rev_SP-12me'!AA93</f>
        <v>2000</v>
      </c>
      <c r="J81" s="7"/>
      <c r="K81" s="94">
        <f>'[18]Rev_SP-12me'!DM93</f>
        <v>0</v>
      </c>
      <c r="L81" s="94">
        <f>'[18]Rev_SP-12me'!DN93</f>
        <v>817.189254277846</v>
      </c>
      <c r="M81" s="94">
        <f>'[18]Rev_SP-12me'!DP93</f>
        <v>0</v>
      </c>
      <c r="N81" s="7"/>
      <c r="O81" s="79">
        <f t="shared" si="2"/>
        <v>817.189254277846</v>
      </c>
    </row>
    <row r="82" customHeight="1" spans="2:15">
      <c r="B82" s="71" t="s">
        <v>1113</v>
      </c>
      <c r="C82" s="55"/>
      <c r="D82" s="79">
        <f>'[18]Rev_SP-12me'!H94</f>
        <v>0</v>
      </c>
      <c r="E82" s="79">
        <f>'[18]Rev_SP-12me'!I94</f>
        <v>0</v>
      </c>
      <c r="F82" s="79">
        <f>'[18]Rev_SP-12me'!K94</f>
        <v>145.279327000148</v>
      </c>
      <c r="G82" s="153">
        <f>'[18]Rev_SP-12me'!O94</f>
        <v>0</v>
      </c>
      <c r="H82" s="101">
        <f>'[18]Rev_SP-12me'!P94</f>
        <v>0</v>
      </c>
      <c r="I82" s="153">
        <f>'[18]Rev_SP-12me'!AA94</f>
        <v>0</v>
      </c>
      <c r="J82" s="7"/>
      <c r="K82" s="79">
        <f>'[18]Rev_SP-12me'!DM94</f>
        <v>0</v>
      </c>
      <c r="L82" s="79">
        <f>'[18]Rev_SP-12me'!DN94</f>
        <v>111.051266870977</v>
      </c>
      <c r="M82" s="79">
        <f>'[18]Rev_SP-12me'!DP94</f>
        <v>0.4776</v>
      </c>
      <c r="N82" s="7"/>
      <c r="O82" s="68">
        <f t="shared" si="2"/>
        <v>111.528866870977</v>
      </c>
    </row>
    <row r="83" customHeight="1" spans="2:15">
      <c r="B83" s="76" t="s">
        <v>1114</v>
      </c>
      <c r="C83" s="55"/>
      <c r="D83" s="94">
        <f>'[18]Rev_SP-12me'!H95</f>
        <v>0</v>
      </c>
      <c r="E83" s="94">
        <f>'[18]Rev_SP-12me'!I95</f>
        <v>0</v>
      </c>
      <c r="F83" s="94">
        <f>'[18]Rev_SP-12me'!K95</f>
        <v>49.9770733285957</v>
      </c>
      <c r="G83" s="174">
        <f>'[18]Rev_SP-12me'!O95</f>
        <v>500</v>
      </c>
      <c r="H83" s="185">
        <f>'[18]Rev_SP-12me'!P95</f>
        <v>7.65</v>
      </c>
      <c r="I83" s="174">
        <f>'[18]Rev_SP-12me'!AA95</f>
        <v>2000</v>
      </c>
      <c r="J83" s="7"/>
      <c r="K83" s="94">
        <f>'[18]Rev_SP-12me'!DM95</f>
        <v>0</v>
      </c>
      <c r="L83" s="94">
        <f>'[18]Rev_SP-12me'!DN95</f>
        <v>38.2324610963757</v>
      </c>
      <c r="M83" s="94">
        <f>'[18]Rev_SP-12me'!DP95</f>
        <v>0.4776</v>
      </c>
      <c r="N83" s="7"/>
      <c r="O83" s="79">
        <f t="shared" si="2"/>
        <v>38.7100610963757</v>
      </c>
    </row>
    <row r="84" customHeight="1" spans="2:15">
      <c r="B84" s="76" t="s">
        <v>1115</v>
      </c>
      <c r="C84" s="55"/>
      <c r="D84" s="94">
        <f>'[18]Rev_SP-12me'!H96</f>
        <v>0</v>
      </c>
      <c r="E84" s="94">
        <f>'[18]Rev_SP-12me'!I96</f>
        <v>0</v>
      </c>
      <c r="F84" s="94">
        <f>'[18]Rev_SP-12me'!K96</f>
        <v>25.6876098782717</v>
      </c>
      <c r="G84" s="174">
        <f>'[18]Rev_SP-12me'!O96</f>
        <v>0</v>
      </c>
      <c r="H84" s="185">
        <f>'[18]Rev_SP-12me'!P96</f>
        <v>8.65</v>
      </c>
      <c r="I84" s="174">
        <f>'[18]Rev_SP-12me'!AA96</f>
        <v>2000</v>
      </c>
      <c r="J84" s="7"/>
      <c r="K84" s="94">
        <f>'[18]Rev_SP-12me'!DM96</f>
        <v>0</v>
      </c>
      <c r="L84" s="94">
        <f>'[18]Rev_SP-12me'!DN96</f>
        <v>22.219782544705</v>
      </c>
      <c r="M84" s="94">
        <f>'[18]Rev_SP-12me'!DP96</f>
        <v>0</v>
      </c>
      <c r="N84" s="7"/>
      <c r="O84" s="79">
        <f t="shared" si="2"/>
        <v>22.219782544705</v>
      </c>
    </row>
    <row r="85" customHeight="1" spans="2:15">
      <c r="B85" s="76" t="s">
        <v>1116</v>
      </c>
      <c r="C85" s="55"/>
      <c r="D85" s="94">
        <f>'[18]Rev_SP-12me'!H97</f>
        <v>0</v>
      </c>
      <c r="E85" s="94">
        <f>'[18]Rev_SP-12me'!I97</f>
        <v>0</v>
      </c>
      <c r="F85" s="94">
        <f>'[18]Rev_SP-12me'!K97</f>
        <v>25.8182298681932</v>
      </c>
      <c r="G85" s="174">
        <f>'[18]Rev_SP-12me'!O97</f>
        <v>0</v>
      </c>
      <c r="H85" s="185">
        <f>'[18]Rev_SP-12me'!P97</f>
        <v>8.65</v>
      </c>
      <c r="I85" s="174">
        <f>'[18]Rev_SP-12me'!AA97</f>
        <v>2000</v>
      </c>
      <c r="J85" s="7"/>
      <c r="K85" s="94">
        <f>'[18]Rev_SP-12me'!DM97</f>
        <v>0</v>
      </c>
      <c r="L85" s="94">
        <f>'[18]Rev_SP-12me'!DN97</f>
        <v>22.3327688359871</v>
      </c>
      <c r="M85" s="94">
        <f>'[18]Rev_SP-12me'!DP97</f>
        <v>0</v>
      </c>
      <c r="N85" s="7"/>
      <c r="O85" s="79">
        <f t="shared" si="2"/>
        <v>22.3327688359871</v>
      </c>
    </row>
    <row r="86" customHeight="1" spans="2:15">
      <c r="B86" s="76" t="s">
        <v>1117</v>
      </c>
      <c r="C86" s="55"/>
      <c r="D86" s="94">
        <f>'[18]Rev_SP-12me'!H98</f>
        <v>0</v>
      </c>
      <c r="E86" s="94">
        <f>'[18]Rev_SP-12me'!I98</f>
        <v>0</v>
      </c>
      <c r="F86" s="94">
        <f>'[18]Rev_SP-12me'!K98</f>
        <v>43.7964139250871</v>
      </c>
      <c r="G86" s="174">
        <f>'[18]Rev_SP-12me'!O98</f>
        <v>0</v>
      </c>
      <c r="H86" s="185">
        <f>'[18]Rev_SP-12me'!P98</f>
        <v>6.15</v>
      </c>
      <c r="I86" s="174">
        <f>'[18]Rev_SP-12me'!AA98</f>
        <v>2000</v>
      </c>
      <c r="J86" s="7"/>
      <c r="K86" s="94">
        <f>'[18]Rev_SP-12me'!DM98</f>
        <v>0</v>
      </c>
      <c r="L86" s="94">
        <f>'[18]Rev_SP-12me'!DN98</f>
        <v>28.2662543939092</v>
      </c>
      <c r="M86" s="94">
        <f>'[18]Rev_SP-12me'!DP98</f>
        <v>0</v>
      </c>
      <c r="N86" s="7"/>
      <c r="O86" s="79">
        <f t="shared" si="2"/>
        <v>28.2662543939092</v>
      </c>
    </row>
    <row r="87" customHeight="1" spans="2:15">
      <c r="B87" s="71" t="s">
        <v>1118</v>
      </c>
      <c r="C87" s="55"/>
      <c r="D87" s="68">
        <f>'[18]Rev_SP-12me'!H100</f>
        <v>0</v>
      </c>
      <c r="E87" s="68">
        <f>'[18]Rev_SP-12me'!I100</f>
        <v>0</v>
      </c>
      <c r="F87" s="68">
        <f>'[18]Rev_SP-12me'!K100</f>
        <v>46.0086556060955</v>
      </c>
      <c r="G87" s="150">
        <f>'[18]Rev_SP-12me'!O100</f>
        <v>0</v>
      </c>
      <c r="H87" s="137">
        <f>'[18]Rev_SP-12me'!P100</f>
        <v>0</v>
      </c>
      <c r="I87" s="150">
        <f>'[18]Rev_SP-12me'!AA100</f>
        <v>8000</v>
      </c>
      <c r="J87" s="7"/>
      <c r="K87" s="68">
        <f>'[18]Rev_SP-12me'!DM100</f>
        <v>0</v>
      </c>
      <c r="L87" s="68">
        <f>'[18]Rev_SP-12me'!DN100</f>
        <v>35.1857263817206</v>
      </c>
      <c r="M87" s="68">
        <f>'[18]Rev_SP-12me'!DP100</f>
        <v>0</v>
      </c>
      <c r="N87" s="7"/>
      <c r="O87" s="68">
        <f t="shared" si="2"/>
        <v>35.1857263817206</v>
      </c>
    </row>
    <row r="88" customHeight="1" spans="2:15">
      <c r="B88" s="74" t="s">
        <v>1119</v>
      </c>
      <c r="C88" s="55"/>
      <c r="D88" s="94">
        <f>'[18]Rev_SP-12me'!H101</f>
        <v>0</v>
      </c>
      <c r="E88" s="94">
        <f>'[18]Rev_SP-12me'!I101</f>
        <v>0</v>
      </c>
      <c r="F88" s="94">
        <f>'[18]Rev_SP-12me'!K101</f>
        <v>16.7428383951262</v>
      </c>
      <c r="G88" s="174">
        <f>'[18]Rev_SP-12me'!O101</f>
        <v>500</v>
      </c>
      <c r="H88" s="185">
        <f>'[18]Rev_SP-12me'!P101</f>
        <v>7.65</v>
      </c>
      <c r="I88" s="174">
        <f>'[18]Rev_SP-12me'!AA101</f>
        <v>2000</v>
      </c>
      <c r="J88" s="7"/>
      <c r="K88" s="94">
        <f>'[18]Rev_SP-12me'!DM101</f>
        <v>0</v>
      </c>
      <c r="L88" s="94">
        <f>'[18]Rev_SP-12me'!DN101</f>
        <v>12.8082713722716</v>
      </c>
      <c r="M88" s="94">
        <f>'[18]Rev_SP-12me'!DP101</f>
        <v>0</v>
      </c>
      <c r="N88" s="7"/>
      <c r="O88" s="79">
        <f t="shared" si="2"/>
        <v>12.8082713722716</v>
      </c>
    </row>
    <row r="89" customHeight="1" spans="2:15">
      <c r="B89" s="74" t="s">
        <v>1120</v>
      </c>
      <c r="C89" s="55"/>
      <c r="D89" s="94">
        <f>'[18]Rev_SP-12me'!H102</f>
        <v>0</v>
      </c>
      <c r="E89" s="94">
        <f>'[18]Rev_SP-12me'!I102</f>
        <v>0</v>
      </c>
      <c r="F89" s="94">
        <f>'[18]Rev_SP-12me'!K102</f>
        <v>7.90865160448957</v>
      </c>
      <c r="G89" s="174">
        <f>'[18]Rev_SP-12me'!O102</f>
        <v>0</v>
      </c>
      <c r="H89" s="185">
        <f>'[18]Rev_SP-12me'!P102</f>
        <v>8.65</v>
      </c>
      <c r="I89" s="174">
        <f>'[18]Rev_SP-12me'!AA102</f>
        <v>2000</v>
      </c>
      <c r="J89" s="7"/>
      <c r="K89" s="94">
        <f>'[18]Rev_SP-12me'!DM102</f>
        <v>0</v>
      </c>
      <c r="L89" s="94">
        <f>'[18]Rev_SP-12me'!DN102</f>
        <v>6.84098363788348</v>
      </c>
      <c r="M89" s="94">
        <f>'[18]Rev_SP-12me'!DP102</f>
        <v>0</v>
      </c>
      <c r="N89" s="7"/>
      <c r="O89" s="79">
        <f t="shared" si="2"/>
        <v>6.84098363788348</v>
      </c>
    </row>
    <row r="90" customHeight="1" spans="2:15">
      <c r="B90" s="74" t="s">
        <v>1121</v>
      </c>
      <c r="C90" s="55"/>
      <c r="D90" s="94">
        <f>'[18]Rev_SP-12me'!H103</f>
        <v>0</v>
      </c>
      <c r="E90" s="94">
        <f>'[18]Rev_SP-12me'!I103</f>
        <v>0</v>
      </c>
      <c r="F90" s="94">
        <f>'[18]Rev_SP-12me'!K103</f>
        <v>8.02070315780138</v>
      </c>
      <c r="G90" s="174">
        <f>'[18]Rev_SP-12me'!O103</f>
        <v>0</v>
      </c>
      <c r="H90" s="185">
        <f>'[18]Rev_SP-12me'!P103</f>
        <v>8.65</v>
      </c>
      <c r="I90" s="174">
        <f>'[18]Rev_SP-12me'!AA103</f>
        <v>2000</v>
      </c>
      <c r="J90" s="7"/>
      <c r="K90" s="94">
        <f>'[18]Rev_SP-12me'!DM103</f>
        <v>0</v>
      </c>
      <c r="L90" s="94">
        <f>'[18]Rev_SP-12me'!DN103</f>
        <v>6.93790823149819</v>
      </c>
      <c r="M90" s="94">
        <f>'[18]Rev_SP-12me'!DP103</f>
        <v>0</v>
      </c>
      <c r="N90" s="7"/>
      <c r="O90" s="79">
        <f t="shared" si="2"/>
        <v>6.93790823149819</v>
      </c>
    </row>
    <row r="91" customHeight="1" spans="2:15">
      <c r="B91" s="74" t="s">
        <v>1122</v>
      </c>
      <c r="C91" s="55"/>
      <c r="D91" s="94">
        <f>'[18]Rev_SP-12me'!H104</f>
        <v>0</v>
      </c>
      <c r="E91" s="94">
        <f>'[18]Rev_SP-12me'!I104</f>
        <v>0</v>
      </c>
      <c r="F91" s="94">
        <f>'[18]Rev_SP-12me'!K104</f>
        <v>13.3364624486783</v>
      </c>
      <c r="G91" s="174">
        <f>'[18]Rev_SP-12me'!O104</f>
        <v>0</v>
      </c>
      <c r="H91" s="185">
        <f>'[18]Rev_SP-12me'!P104</f>
        <v>6.15</v>
      </c>
      <c r="I91" s="174">
        <f>'[18]Rev_SP-12me'!AA104</f>
        <v>2000</v>
      </c>
      <c r="J91" s="7"/>
      <c r="K91" s="94">
        <f>'[18]Rev_SP-12me'!DM104</f>
        <v>0</v>
      </c>
      <c r="L91" s="94">
        <f>'[18]Rev_SP-12me'!DN104</f>
        <v>8.59856314006736</v>
      </c>
      <c r="M91" s="94">
        <f>'[18]Rev_SP-12me'!DP104</f>
        <v>0</v>
      </c>
      <c r="N91" s="7"/>
      <c r="O91" s="79">
        <f t="shared" si="2"/>
        <v>8.59856314006736</v>
      </c>
    </row>
    <row r="92" customHeight="1" spans="2:15">
      <c r="B92" s="71" t="s">
        <v>1123</v>
      </c>
      <c r="C92" s="55"/>
      <c r="D92" s="68">
        <f>'[18]Rev_SP-12me'!H99</f>
        <v>0</v>
      </c>
      <c r="E92" s="68">
        <f>'[18]Rev_SP-12me'!I99</f>
        <v>0</v>
      </c>
      <c r="F92" s="68">
        <f>'[18]Rev_SP-12me'!K99</f>
        <v>0.52979462</v>
      </c>
      <c r="G92" s="150">
        <f>'[18]Rev_SP-12me'!O99</f>
        <v>500</v>
      </c>
      <c r="H92" s="137">
        <f>'[18]Rev_SP-12me'!P99</f>
        <v>7.65</v>
      </c>
      <c r="I92" s="150">
        <f>'[18]Rev_SP-12me'!AA99</f>
        <v>2000</v>
      </c>
      <c r="J92" s="7"/>
      <c r="K92" s="68">
        <f>'[18]Rev_SP-12me'!DM99</f>
        <v>0</v>
      </c>
      <c r="L92" s="68">
        <f>'[18]Rev_SP-12me'!DN99</f>
        <v>0.4052928843</v>
      </c>
      <c r="M92" s="68">
        <f>'[18]Rev_SP-12me'!DP99</f>
        <v>0.0012</v>
      </c>
      <c r="N92" s="7"/>
      <c r="O92" s="68">
        <f t="shared" si="2"/>
        <v>0.4064928843</v>
      </c>
    </row>
    <row r="93" customHeight="1" spans="2:15">
      <c r="B93" s="71" t="s">
        <v>1124</v>
      </c>
      <c r="C93" s="55"/>
      <c r="D93" s="68">
        <f>'[18]Rev_SP-12me'!H105</f>
        <v>4809</v>
      </c>
      <c r="E93" s="68">
        <f>'[18]Rev_SP-12me'!I105</f>
        <v>1018.92972452783</v>
      </c>
      <c r="F93" s="68">
        <f>'[18]Rev_SP-12me'!K105</f>
        <v>2322.26759052296</v>
      </c>
      <c r="G93" s="150">
        <f>'[18]Rev_SP-12me'!O105</f>
        <v>0</v>
      </c>
      <c r="H93" s="137">
        <f>'[18]Rev_SP-12me'!P105</f>
        <v>0</v>
      </c>
      <c r="I93" s="150">
        <f>'[18]Rev_SP-12me'!AA105</f>
        <v>0</v>
      </c>
      <c r="J93" s="7"/>
      <c r="K93" s="68">
        <f>'[18]Rev_SP-12me'!DM105</f>
        <v>474.821251629968</v>
      </c>
      <c r="L93" s="68">
        <f>'[18]Rev_SP-12me'!DN105</f>
        <v>2056.11183782508</v>
      </c>
      <c r="M93" s="68">
        <f>'[18]Rev_SP-12me'!DP105</f>
        <v>11.4216</v>
      </c>
      <c r="N93" s="7"/>
      <c r="O93" s="68">
        <f t="shared" si="2"/>
        <v>2542.35468945505</v>
      </c>
    </row>
    <row r="94" customHeight="1" spans="2:15">
      <c r="B94" s="74" t="s">
        <v>1119</v>
      </c>
      <c r="C94" s="55"/>
      <c r="D94" s="94">
        <f>'[18]Rev_SP-12me'!H106</f>
        <v>4809</v>
      </c>
      <c r="E94" s="94">
        <f>'[18]Rev_SP-12me'!I106</f>
        <v>1018.92972452783</v>
      </c>
      <c r="F94" s="94">
        <f>'[18]Rev_SP-12me'!K106</f>
        <v>992.546703576512</v>
      </c>
      <c r="G94" s="174">
        <f>'[18]Rev_SP-12me'!O106</f>
        <v>500</v>
      </c>
      <c r="H94" s="185">
        <f>'[18]Rev_SP-12me'!P106</f>
        <v>8.8</v>
      </c>
      <c r="I94" s="174">
        <f>'[18]Rev_SP-12me'!AA106</f>
        <v>2000</v>
      </c>
      <c r="J94" s="7"/>
      <c r="K94" s="94">
        <f>'[18]Rev_SP-12me'!DM106</f>
        <v>474.821251629968</v>
      </c>
      <c r="L94" s="94">
        <f>'[18]Rev_SP-12me'!DN106</f>
        <v>873.44109914733</v>
      </c>
      <c r="M94" s="94">
        <f>'[18]Rev_SP-12me'!DP106</f>
        <v>11.4216</v>
      </c>
      <c r="N94" s="7"/>
      <c r="O94" s="79">
        <f t="shared" si="2"/>
        <v>1359.6839507773</v>
      </c>
    </row>
    <row r="95" customHeight="1" spans="2:15">
      <c r="B95" s="74" t="s">
        <v>1120</v>
      </c>
      <c r="C95" s="55"/>
      <c r="D95" s="94">
        <f>'[18]Rev_SP-12me'!H107</f>
        <v>0</v>
      </c>
      <c r="E95" s="94">
        <f>'[18]Rev_SP-12me'!I107</f>
        <v>0</v>
      </c>
      <c r="F95" s="94">
        <f>'[18]Rev_SP-12me'!K107</f>
        <v>389.007111405745</v>
      </c>
      <c r="G95" s="174">
        <f>'[18]Rev_SP-12me'!O107</f>
        <v>0</v>
      </c>
      <c r="H95" s="185">
        <f>'[18]Rev_SP-12me'!P107</f>
        <v>9.8</v>
      </c>
      <c r="I95" s="174">
        <f>'[18]Rev_SP-12me'!AA107</f>
        <v>2000</v>
      </c>
      <c r="J95" s="7"/>
      <c r="K95" s="94">
        <f>'[18]Rev_SP-12me'!DM107</f>
        <v>0</v>
      </c>
      <c r="L95" s="94">
        <f>'[18]Rev_SP-12me'!DN107</f>
        <v>381.22696917763</v>
      </c>
      <c r="M95" s="94">
        <f>'[18]Rev_SP-12me'!DP107</f>
        <v>0</v>
      </c>
      <c r="N95" s="7"/>
      <c r="O95" s="79">
        <f t="shared" si="2"/>
        <v>381.22696917763</v>
      </c>
    </row>
    <row r="96" customHeight="1" spans="2:15">
      <c r="B96" s="74" t="s">
        <v>1121</v>
      </c>
      <c r="C96" s="55"/>
      <c r="D96" s="94">
        <f>'[18]Rev_SP-12me'!H108</f>
        <v>0</v>
      </c>
      <c r="E96" s="94">
        <f>'[18]Rev_SP-12me'!I108</f>
        <v>0</v>
      </c>
      <c r="F96" s="94">
        <f>'[18]Rev_SP-12me'!K108</f>
        <v>393.841825270544</v>
      </c>
      <c r="G96" s="174">
        <f>'[18]Rev_SP-12me'!O108</f>
        <v>0</v>
      </c>
      <c r="H96" s="185">
        <f>'[18]Rev_SP-12me'!P108</f>
        <v>9.8</v>
      </c>
      <c r="I96" s="174">
        <f>'[18]Rev_SP-12me'!AA108</f>
        <v>2000</v>
      </c>
      <c r="J96" s="7"/>
      <c r="K96" s="94">
        <f>'[18]Rev_SP-12me'!DM108</f>
        <v>0</v>
      </c>
      <c r="L96" s="94">
        <f>'[18]Rev_SP-12me'!DN108</f>
        <v>385.964988765133</v>
      </c>
      <c r="M96" s="94">
        <f>'[18]Rev_SP-12me'!DP108</f>
        <v>0</v>
      </c>
      <c r="N96" s="7"/>
      <c r="O96" s="79">
        <f t="shared" si="2"/>
        <v>385.964988765133</v>
      </c>
    </row>
    <row r="97" customHeight="1" spans="2:15">
      <c r="B97" s="74" t="s">
        <v>1122</v>
      </c>
      <c r="C97" s="55"/>
      <c r="D97" s="94">
        <f>'[18]Rev_SP-12me'!H109</f>
        <v>0</v>
      </c>
      <c r="E97" s="94">
        <f>'[18]Rev_SP-12me'!I109</f>
        <v>0</v>
      </c>
      <c r="F97" s="94">
        <f>'[18]Rev_SP-12me'!K109</f>
        <v>546.87195027016</v>
      </c>
      <c r="G97" s="174">
        <f>'[18]Rev_SP-12me'!O109</f>
        <v>0</v>
      </c>
      <c r="H97" s="185">
        <f>'[18]Rev_SP-12me'!P109</f>
        <v>7.3</v>
      </c>
      <c r="I97" s="174">
        <f>'[18]Rev_SP-12me'!AA109</f>
        <v>2000</v>
      </c>
      <c r="J97" s="7"/>
      <c r="K97" s="94">
        <f>'[18]Rev_SP-12me'!DM109</f>
        <v>0</v>
      </c>
      <c r="L97" s="94">
        <f>'[18]Rev_SP-12me'!DN109</f>
        <v>415.478780734992</v>
      </c>
      <c r="M97" s="94">
        <f>'[18]Rev_SP-12me'!DP109</f>
        <v>0</v>
      </c>
      <c r="N97" s="7"/>
      <c r="O97" s="79">
        <f t="shared" si="2"/>
        <v>415.478780734992</v>
      </c>
    </row>
    <row r="98" customHeight="1" spans="2:15">
      <c r="B98" s="71" t="s">
        <v>1125</v>
      </c>
      <c r="C98" s="55"/>
      <c r="D98" s="68">
        <f>'[18]Rev_SP-12me'!H110</f>
        <v>0</v>
      </c>
      <c r="E98" s="68">
        <f>'[18]Rev_SP-12me'!I110</f>
        <v>0</v>
      </c>
      <c r="F98" s="68">
        <f>'[18]Rev_SP-12me'!K110</f>
        <v>0.394456</v>
      </c>
      <c r="G98" s="150">
        <f>'[18]Rev_SP-12me'!O110</f>
        <v>0</v>
      </c>
      <c r="H98" s="137">
        <f>'[18]Rev_SP-12me'!P110</f>
        <v>0</v>
      </c>
      <c r="I98" s="150">
        <f>'[18]Rev_SP-12me'!AA110</f>
        <v>8000</v>
      </c>
      <c r="J98" s="7"/>
      <c r="K98" s="68">
        <f>'[18]Rev_SP-12me'!DM110</f>
        <v>0</v>
      </c>
      <c r="L98" s="68">
        <f>'[18]Rev_SP-12me'!DN110</f>
        <v>0.193393755</v>
      </c>
      <c r="M98" s="68">
        <f>'[18]Rev_SP-12me'!DP110</f>
        <v>0.0048</v>
      </c>
      <c r="N98" s="7"/>
      <c r="O98" s="68">
        <f t="shared" si="2"/>
        <v>0.198193755</v>
      </c>
    </row>
    <row r="99" customHeight="1" spans="2:15">
      <c r="B99" s="74" t="s">
        <v>1119</v>
      </c>
      <c r="C99" s="55"/>
      <c r="D99" s="94">
        <f>'[18]Rev_SP-12me'!H111</f>
        <v>0</v>
      </c>
      <c r="E99" s="94">
        <f>'[18]Rev_SP-12me'!I111</f>
        <v>0</v>
      </c>
      <c r="F99" s="94">
        <f>'[18]Rev_SP-12me'!K111</f>
        <v>0.1033094</v>
      </c>
      <c r="G99" s="174">
        <f>'[18]Rev_SP-12me'!O111</f>
        <v>285</v>
      </c>
      <c r="H99" s="185">
        <f>'[18]Rev_SP-12me'!P111</f>
        <v>5</v>
      </c>
      <c r="I99" s="174">
        <f>'[18]Rev_SP-12me'!AA111</f>
        <v>2000</v>
      </c>
      <c r="J99" s="7"/>
      <c r="K99" s="94">
        <f>'[18]Rev_SP-12me'!DM111</f>
        <v>0</v>
      </c>
      <c r="L99" s="94">
        <f>'[18]Rev_SP-12me'!DN111</f>
        <v>0.0516547</v>
      </c>
      <c r="M99" s="94">
        <f>'[18]Rev_SP-12me'!DP111</f>
        <v>0.0048</v>
      </c>
      <c r="N99" s="7"/>
      <c r="O99" s="79">
        <f t="shared" si="2"/>
        <v>0.0564547</v>
      </c>
    </row>
    <row r="100" customHeight="1" spans="2:15">
      <c r="B100" s="74" t="s">
        <v>1120</v>
      </c>
      <c r="C100" s="55"/>
      <c r="D100" s="94">
        <f>'[18]Rev_SP-12me'!H112</f>
        <v>0</v>
      </c>
      <c r="E100" s="94">
        <f>'[18]Rev_SP-12me'!I112</f>
        <v>0</v>
      </c>
      <c r="F100" s="94">
        <f>'[18]Rev_SP-12me'!K112</f>
        <v>0.0689774</v>
      </c>
      <c r="G100" s="174">
        <f>'[18]Rev_SP-12me'!O112</f>
        <v>0</v>
      </c>
      <c r="H100" s="185">
        <f>'[18]Rev_SP-12me'!P112</f>
        <v>6</v>
      </c>
      <c r="I100" s="174">
        <f>'[18]Rev_SP-12me'!AA112</f>
        <v>2000</v>
      </c>
      <c r="J100" s="7"/>
      <c r="K100" s="94">
        <f>'[18]Rev_SP-12me'!DM112</f>
        <v>0</v>
      </c>
      <c r="L100" s="94">
        <f>'[18]Rev_SP-12me'!DN112</f>
        <v>0.04138644</v>
      </c>
      <c r="M100" s="94">
        <f>'[18]Rev_SP-12me'!DP112</f>
        <v>0</v>
      </c>
      <c r="N100" s="7"/>
      <c r="O100" s="79">
        <f t="shared" si="2"/>
        <v>0.04138644</v>
      </c>
    </row>
    <row r="101" customHeight="1" spans="2:15">
      <c r="B101" s="74" t="s">
        <v>1121</v>
      </c>
      <c r="C101" s="55"/>
      <c r="D101" s="94">
        <f>'[18]Rev_SP-12me'!H113</f>
        <v>0</v>
      </c>
      <c r="E101" s="94">
        <f>'[18]Rev_SP-12me'!I113</f>
        <v>0</v>
      </c>
      <c r="F101" s="94">
        <f>'[18]Rev_SP-12me'!K113</f>
        <v>0.0723052</v>
      </c>
      <c r="G101" s="174">
        <f>'[18]Rev_SP-12me'!O113</f>
        <v>0</v>
      </c>
      <c r="H101" s="185">
        <f>'[18]Rev_SP-12me'!P113</f>
        <v>6</v>
      </c>
      <c r="I101" s="174">
        <f>'[18]Rev_SP-12me'!AA113</f>
        <v>2000</v>
      </c>
      <c r="J101" s="7"/>
      <c r="K101" s="94">
        <f>'[18]Rev_SP-12me'!DM113</f>
        <v>0</v>
      </c>
      <c r="L101" s="94">
        <f>'[18]Rev_SP-12me'!DN113</f>
        <v>0.04338312</v>
      </c>
      <c r="M101" s="94">
        <f>'[18]Rev_SP-12me'!DP113</f>
        <v>0</v>
      </c>
      <c r="N101" s="7"/>
      <c r="O101" s="79">
        <f t="shared" si="2"/>
        <v>0.04338312</v>
      </c>
    </row>
    <row r="102" customHeight="1" spans="2:15">
      <c r="B102" s="74" t="s">
        <v>1122</v>
      </c>
      <c r="C102" s="55"/>
      <c r="D102" s="94">
        <f>'[18]Rev_SP-12me'!H114</f>
        <v>0</v>
      </c>
      <c r="E102" s="94">
        <f>'[18]Rev_SP-12me'!I114</f>
        <v>0</v>
      </c>
      <c r="F102" s="94">
        <f>'[18]Rev_SP-12me'!K114</f>
        <v>0.149864</v>
      </c>
      <c r="G102" s="174">
        <f>'[18]Rev_SP-12me'!O114</f>
        <v>0</v>
      </c>
      <c r="H102" s="185">
        <f>'[18]Rev_SP-12me'!P114</f>
        <v>3.5</v>
      </c>
      <c r="I102" s="174">
        <f>'[18]Rev_SP-12me'!AA114</f>
        <v>2000</v>
      </c>
      <c r="J102" s="7"/>
      <c r="K102" s="94">
        <f>'[18]Rev_SP-12me'!DM114</f>
        <v>0</v>
      </c>
      <c r="L102" s="94">
        <f>'[18]Rev_SP-12me'!DN114</f>
        <v>0.056969495</v>
      </c>
      <c r="M102" s="94">
        <f>'[18]Rev_SP-12me'!DP114</f>
        <v>0</v>
      </c>
      <c r="N102" s="7"/>
      <c r="O102" s="79">
        <f t="shared" si="2"/>
        <v>0.056969495</v>
      </c>
    </row>
    <row r="103" customHeight="1" spans="2:15">
      <c r="B103" s="71" t="s">
        <v>1126</v>
      </c>
      <c r="C103" s="55"/>
      <c r="D103" s="68">
        <f>'[18]Rev_SP-12me'!H115</f>
        <v>14</v>
      </c>
      <c r="E103" s="68">
        <f>'[18]Rev_SP-12me'!I115</f>
        <v>3.02498938462724</v>
      </c>
      <c r="F103" s="68">
        <f>'[18]Rev_SP-12me'!K115</f>
        <v>5.37734636570593</v>
      </c>
      <c r="G103" s="150">
        <f>'[18]Rev_SP-12me'!O115</f>
        <v>0</v>
      </c>
      <c r="H103" s="137">
        <f>'[18]Rev_SP-12me'!P115</f>
        <v>0</v>
      </c>
      <c r="I103" s="150">
        <f>'[18]Rev_SP-12me'!AA115</f>
        <v>0</v>
      </c>
      <c r="J103" s="7"/>
      <c r="K103" s="68">
        <f>'[18]Rev_SP-12me'!DM115</f>
        <v>1.40964505323629</v>
      </c>
      <c r="L103" s="68">
        <f>'[18]Rev_SP-12me'!DN115</f>
        <v>4.51323424772443</v>
      </c>
      <c r="M103" s="68">
        <f>'[18]Rev_SP-12me'!DP115</f>
        <v>0.0324</v>
      </c>
      <c r="N103" s="7"/>
      <c r="O103" s="68">
        <f t="shared" si="2"/>
        <v>5.95527930096072</v>
      </c>
    </row>
    <row r="104" customHeight="1" spans="2:15">
      <c r="B104" s="74" t="s">
        <v>1119</v>
      </c>
      <c r="C104" s="55"/>
      <c r="D104" s="94">
        <f>'[18]Rev_SP-12me'!H116</f>
        <v>14</v>
      </c>
      <c r="E104" s="94">
        <f>'[18]Rev_SP-12me'!I116</f>
        <v>3.02498938462724</v>
      </c>
      <c r="F104" s="94">
        <f>'[18]Rev_SP-12me'!K116</f>
        <v>1.42583947379569</v>
      </c>
      <c r="G104" s="174">
        <f>'[18]Rev_SP-12me'!O116</f>
        <v>500</v>
      </c>
      <c r="H104" s="185">
        <f>'[18]Rev_SP-12me'!P116</f>
        <v>8.5</v>
      </c>
      <c r="I104" s="174">
        <f>'[18]Rev_SP-12me'!AA116</f>
        <v>2000</v>
      </c>
      <c r="J104" s="7"/>
      <c r="K104" s="94">
        <f>'[18]Rev_SP-12me'!DM116</f>
        <v>1.40964505323629</v>
      </c>
      <c r="L104" s="94">
        <f>'[18]Rev_SP-12me'!DN116</f>
        <v>1.21196355272633</v>
      </c>
      <c r="M104" s="94">
        <f>'[18]Rev_SP-12me'!DP116</f>
        <v>0.0324</v>
      </c>
      <c r="N104" s="7"/>
      <c r="O104" s="79">
        <f t="shared" si="2"/>
        <v>2.65400860596262</v>
      </c>
    </row>
    <row r="105" customHeight="1" spans="2:15">
      <c r="B105" s="74" t="s">
        <v>1120</v>
      </c>
      <c r="C105" s="55"/>
      <c r="D105" s="94">
        <f>'[18]Rev_SP-12me'!H117</f>
        <v>0</v>
      </c>
      <c r="E105" s="94">
        <f>'[18]Rev_SP-12me'!I117</f>
        <v>0</v>
      </c>
      <c r="F105" s="94">
        <f>'[18]Rev_SP-12me'!K117</f>
        <v>0.951743166873427</v>
      </c>
      <c r="G105" s="174">
        <f>'[18]Rev_SP-12me'!O117</f>
        <v>0</v>
      </c>
      <c r="H105" s="185">
        <f>'[18]Rev_SP-12me'!P117</f>
        <v>9.5</v>
      </c>
      <c r="I105" s="174">
        <f>'[18]Rev_SP-12me'!AA117</f>
        <v>2000</v>
      </c>
      <c r="J105" s="7"/>
      <c r="K105" s="94">
        <f>'[18]Rev_SP-12me'!DM117</f>
        <v>0</v>
      </c>
      <c r="L105" s="94">
        <f>'[18]Rev_SP-12me'!DN117</f>
        <v>0.904156008529755</v>
      </c>
      <c r="M105" s="94">
        <f>'[18]Rev_SP-12me'!DP117</f>
        <v>0</v>
      </c>
      <c r="N105" s="7"/>
      <c r="O105" s="79">
        <f t="shared" si="2"/>
        <v>0.904156008529755</v>
      </c>
    </row>
    <row r="106" customHeight="1" spans="2:15">
      <c r="B106" s="74" t="s">
        <v>1121</v>
      </c>
      <c r="C106" s="55"/>
      <c r="D106" s="94">
        <f>'[18]Rev_SP-12me'!H118</f>
        <v>0</v>
      </c>
      <c r="E106" s="94">
        <f>'[18]Rev_SP-12me'!I118</f>
        <v>0</v>
      </c>
      <c r="F106" s="94">
        <f>'[18]Rev_SP-12me'!K118</f>
        <v>0.937781895396687</v>
      </c>
      <c r="G106" s="174">
        <f>'[18]Rev_SP-12me'!O118</f>
        <v>0</v>
      </c>
      <c r="H106" s="185">
        <f>'[18]Rev_SP-12me'!P118</f>
        <v>9.5</v>
      </c>
      <c r="I106" s="174">
        <f>'[18]Rev_SP-12me'!AA118</f>
        <v>2000</v>
      </c>
      <c r="J106" s="7"/>
      <c r="K106" s="94">
        <f>'[18]Rev_SP-12me'!DM118</f>
        <v>0</v>
      </c>
      <c r="L106" s="94">
        <f>'[18]Rev_SP-12me'!DN118</f>
        <v>0.890892800626853</v>
      </c>
      <c r="M106" s="94">
        <f>'[18]Rev_SP-12me'!DP118</f>
        <v>0</v>
      </c>
      <c r="N106" s="7"/>
      <c r="O106" s="79">
        <f t="shared" si="2"/>
        <v>0.890892800626853</v>
      </c>
    </row>
    <row r="107" customHeight="1" spans="2:15">
      <c r="B107" s="74" t="s">
        <v>1122</v>
      </c>
      <c r="C107" s="55"/>
      <c r="D107" s="94">
        <f>'[18]Rev_SP-12me'!H119</f>
        <v>0</v>
      </c>
      <c r="E107" s="94">
        <f>'[18]Rev_SP-12me'!I119</f>
        <v>0</v>
      </c>
      <c r="F107" s="94">
        <f>'[18]Rev_SP-12me'!K119</f>
        <v>2.06198182964013</v>
      </c>
      <c r="G107" s="174">
        <f>'[18]Rev_SP-12me'!O119</f>
        <v>0</v>
      </c>
      <c r="H107" s="185">
        <f>'[18]Rev_SP-12me'!P119</f>
        <v>7</v>
      </c>
      <c r="I107" s="174">
        <f>'[18]Rev_SP-12me'!AA119</f>
        <v>2000</v>
      </c>
      <c r="J107" s="7"/>
      <c r="K107" s="94">
        <f>'[18]Rev_SP-12me'!DM119</f>
        <v>0</v>
      </c>
      <c r="L107" s="94">
        <f>'[18]Rev_SP-12me'!DN119</f>
        <v>1.50622188584149</v>
      </c>
      <c r="M107" s="94">
        <f>'[18]Rev_SP-12me'!DP119</f>
        <v>0</v>
      </c>
      <c r="N107" s="7"/>
      <c r="O107" s="79">
        <f t="shared" si="2"/>
        <v>1.50622188584149</v>
      </c>
    </row>
    <row r="108" customHeight="1" spans="2:15">
      <c r="B108" s="71" t="s">
        <v>1127</v>
      </c>
      <c r="C108" s="55"/>
      <c r="D108" s="68">
        <f>'[18]Rev_SP-12me'!H120</f>
        <v>132</v>
      </c>
      <c r="E108" s="68">
        <f>'[18]Rev_SP-12me'!I120</f>
        <v>26.8133129159538</v>
      </c>
      <c r="F108" s="68">
        <f>'[18]Rev_SP-12me'!K120</f>
        <v>22.7178453815</v>
      </c>
      <c r="G108" s="150">
        <f>'[18]Rev_SP-12me'!O120</f>
        <v>0</v>
      </c>
      <c r="H108" s="137">
        <f>'[18]Rev_SP-12me'!P120</f>
        <v>0</v>
      </c>
      <c r="I108" s="150">
        <f>'[18]Rev_SP-12me'!AA120</f>
        <v>0</v>
      </c>
      <c r="J108" s="7"/>
      <c r="K108" s="68">
        <f>'[18]Rev_SP-12me'!DM120</f>
        <v>4.40045567698804</v>
      </c>
      <c r="L108" s="68">
        <f>'[18]Rev_SP-12me'!DN120</f>
        <v>14.312242590345</v>
      </c>
      <c r="M108" s="68">
        <f>'[18]Rev_SP-12me'!DP120</f>
        <v>0.3096</v>
      </c>
      <c r="N108" s="7"/>
      <c r="O108" s="68">
        <f t="shared" si="2"/>
        <v>19.022298267333</v>
      </c>
    </row>
    <row r="109" customHeight="1" spans="2:15">
      <c r="B109" s="74" t="s">
        <v>1128</v>
      </c>
      <c r="C109" s="55"/>
      <c r="D109" s="94">
        <f>'[18]Rev_SP-12me'!H121</f>
        <v>132</v>
      </c>
      <c r="E109" s="94">
        <f>'[18]Rev_SP-12me'!I121</f>
        <v>26.8133129159538</v>
      </c>
      <c r="F109" s="94">
        <f>'[18]Rev_SP-12me'!K121</f>
        <v>22.7178453815</v>
      </c>
      <c r="G109" s="174">
        <f>'[18]Rev_SP-12me'!O121</f>
        <v>300</v>
      </c>
      <c r="H109" s="185">
        <f>'[18]Rev_SP-12me'!P121</f>
        <v>6.3</v>
      </c>
      <c r="I109" s="174">
        <f>'[18]Rev_SP-12me'!AA121</f>
        <v>2000</v>
      </c>
      <c r="J109" s="7"/>
      <c r="K109" s="94">
        <f>'[18]Rev_SP-12me'!DM121</f>
        <v>4.40045567698804</v>
      </c>
      <c r="L109" s="94">
        <f>'[18]Rev_SP-12me'!DN121</f>
        <v>14.312242590345</v>
      </c>
      <c r="M109" s="94">
        <f>'[18]Rev_SP-12me'!DP121</f>
        <v>0.3096</v>
      </c>
      <c r="N109" s="7"/>
      <c r="O109" s="79">
        <f t="shared" si="2"/>
        <v>19.022298267333</v>
      </c>
    </row>
    <row r="110" customHeight="1" spans="2:15">
      <c r="B110" s="71" t="s">
        <v>1129</v>
      </c>
      <c r="C110" s="55"/>
      <c r="D110" s="68">
        <f>'[18]Rev_SP-12me'!H132</f>
        <v>119</v>
      </c>
      <c r="E110" s="68">
        <f>'[18]Rev_SP-12me'!I132</f>
        <v>34.380809169</v>
      </c>
      <c r="F110" s="68">
        <f>'[18]Rev_SP-12me'!K132</f>
        <v>132.503651882</v>
      </c>
      <c r="G110" s="150">
        <f>'[18]Rev_SP-12me'!O132</f>
        <v>0</v>
      </c>
      <c r="H110" s="137">
        <f>'[18]Rev_SP-12me'!P132</f>
        <v>0</v>
      </c>
      <c r="I110" s="150">
        <f>'[18]Rev_SP-12me'!AA132</f>
        <v>0</v>
      </c>
      <c r="J110" s="7"/>
      <c r="K110" s="68">
        <f>'[18]Rev_SP-12me'!DM132</f>
        <v>0</v>
      </c>
      <c r="L110" s="68">
        <f>'[18]Rev_SP-12me'!DN132</f>
        <v>80.82722764802</v>
      </c>
      <c r="M110" s="68">
        <f>'[18]Rev_SP-12me'!DP132</f>
        <v>0.2808</v>
      </c>
      <c r="N110" s="7"/>
      <c r="O110" s="68">
        <f t="shared" si="2"/>
        <v>81.10802764802</v>
      </c>
    </row>
    <row r="111" customHeight="1" spans="2:15">
      <c r="B111" s="74" t="s">
        <v>220</v>
      </c>
      <c r="C111" s="55"/>
      <c r="D111" s="94">
        <f>'[18]Rev_SP-12me'!H133</f>
        <v>119</v>
      </c>
      <c r="E111" s="94">
        <f>'[18]Rev_SP-12me'!I133</f>
        <v>34.380809169</v>
      </c>
      <c r="F111" s="94">
        <f>'[18]Rev_SP-12me'!K133</f>
        <v>132.503651882</v>
      </c>
      <c r="G111" s="174">
        <f>'[18]Rev_SP-12me'!O133</f>
        <v>0</v>
      </c>
      <c r="H111" s="185">
        <f>'[18]Rev_SP-12me'!P133</f>
        <v>6.1</v>
      </c>
      <c r="I111" s="174">
        <f>'[18]Rev_SP-12me'!AA133</f>
        <v>2000</v>
      </c>
      <c r="J111" s="7"/>
      <c r="K111" s="94">
        <f>'[18]Rev_SP-12me'!DM133</f>
        <v>0</v>
      </c>
      <c r="L111" s="94">
        <f>'[18]Rev_SP-12me'!DN133</f>
        <v>80.82722764802</v>
      </c>
      <c r="M111" s="94">
        <f>'[18]Rev_SP-12me'!DP133</f>
        <v>0.2808</v>
      </c>
      <c r="N111" s="7"/>
      <c r="O111" s="79">
        <f t="shared" si="2"/>
        <v>81.10802764802</v>
      </c>
    </row>
    <row r="112" customHeight="1" spans="2:15">
      <c r="B112" s="74" t="s">
        <v>1130</v>
      </c>
      <c r="C112" s="55"/>
      <c r="D112" s="94">
        <f>'[18]Rev_SP-12me'!H134</f>
        <v>0</v>
      </c>
      <c r="E112" s="94">
        <f>'[18]Rev_SP-12me'!I134</f>
        <v>0</v>
      </c>
      <c r="F112" s="94">
        <f>'[18]Rev_SP-12me'!K134</f>
        <v>0</v>
      </c>
      <c r="G112" s="174">
        <f>'[18]Rev_SP-12me'!O134</f>
        <v>0</v>
      </c>
      <c r="H112" s="185">
        <f>'[18]Rev_SP-12me'!P134</f>
        <v>0</v>
      </c>
      <c r="I112" s="174">
        <f>'[18]Rev_SP-12me'!AA134</f>
        <v>2000</v>
      </c>
      <c r="J112" s="7"/>
      <c r="K112" s="94">
        <f>'[18]Rev_SP-12me'!DM134</f>
        <v>0</v>
      </c>
      <c r="L112" s="94">
        <f>'[18]Rev_SP-12me'!DN134</f>
        <v>0</v>
      </c>
      <c r="M112" s="94">
        <f>'[18]Rev_SP-12me'!DP134</f>
        <v>0</v>
      </c>
      <c r="N112" s="7"/>
      <c r="O112" s="79">
        <f t="shared" si="2"/>
        <v>0</v>
      </c>
    </row>
    <row r="113" customHeight="1" spans="2:15">
      <c r="B113" s="71" t="s">
        <v>1131</v>
      </c>
      <c r="C113" s="55"/>
      <c r="D113" s="68">
        <f>'[18]Rev_SP-12me'!H122</f>
        <v>0</v>
      </c>
      <c r="E113" s="68">
        <f>'[18]Rev_SP-12me'!I122</f>
        <v>0</v>
      </c>
      <c r="F113" s="68">
        <f>'[18]Rev_SP-12me'!K122</f>
        <v>0</v>
      </c>
      <c r="G113" s="150">
        <f>'[18]Rev_SP-12me'!O122</f>
        <v>500</v>
      </c>
      <c r="H113" s="137">
        <f>'[18]Rev_SP-12me'!P122</f>
        <v>5.05</v>
      </c>
      <c r="I113" s="150">
        <f>'[18]Rev_SP-12me'!AA122</f>
        <v>0</v>
      </c>
      <c r="J113" s="7"/>
      <c r="K113" s="68">
        <f>'[18]Rev_SP-12me'!DM122</f>
        <v>0</v>
      </c>
      <c r="L113" s="68">
        <f>'[18]Rev_SP-12me'!DN122</f>
        <v>0</v>
      </c>
      <c r="M113" s="68">
        <f>'[18]Rev_SP-12me'!DP122</f>
        <v>0</v>
      </c>
      <c r="N113" s="7"/>
      <c r="O113" s="68">
        <f t="shared" si="2"/>
        <v>0</v>
      </c>
    </row>
    <row r="114" customHeight="1" spans="2:15">
      <c r="B114" s="71" t="s">
        <v>1132</v>
      </c>
      <c r="C114" s="55"/>
      <c r="D114" s="68">
        <f>'[18]Rev_SP-12me'!H123</f>
        <v>0</v>
      </c>
      <c r="E114" s="68">
        <f>'[18]Rev_SP-12me'!I123</f>
        <v>0</v>
      </c>
      <c r="F114" s="68">
        <f>'[18]Rev_SP-12me'!K123</f>
        <v>0</v>
      </c>
      <c r="G114" s="150">
        <f>'[18]Rev_SP-12me'!O123</f>
        <v>500</v>
      </c>
      <c r="H114" s="137">
        <f>'[18]Rev_SP-12me'!P123</f>
        <v>4.95</v>
      </c>
      <c r="I114" s="150">
        <f>'[18]Rev_SP-12me'!AA123</f>
        <v>0</v>
      </c>
      <c r="J114" s="7"/>
      <c r="K114" s="68">
        <f>'[18]Rev_SP-12me'!DM123</f>
        <v>0</v>
      </c>
      <c r="L114" s="68">
        <f>'[18]Rev_SP-12me'!DN123</f>
        <v>0</v>
      </c>
      <c r="M114" s="68">
        <f>'[18]Rev_SP-12me'!DP123</f>
        <v>0</v>
      </c>
      <c r="N114" s="7"/>
      <c r="O114" s="68">
        <f t="shared" si="2"/>
        <v>0</v>
      </c>
    </row>
    <row r="115" customHeight="1" spans="2:15">
      <c r="B115" s="71" t="s">
        <v>919</v>
      </c>
      <c r="C115" s="55"/>
      <c r="D115" s="68">
        <f>'[18]Rev_SP-12me'!H124</f>
        <v>215</v>
      </c>
      <c r="E115" s="68">
        <f>'[18]Rev_SP-12me'!I124</f>
        <v>81.5487776516464</v>
      </c>
      <c r="F115" s="68">
        <f>'[18]Rev_SP-12me'!K124</f>
        <v>268.934584357356</v>
      </c>
      <c r="G115" s="150">
        <f>'[18]Rev_SP-12me'!O124</f>
        <v>285</v>
      </c>
      <c r="H115" s="137">
        <f>'[18]Rev_SP-12me'!P124</f>
        <v>7.3</v>
      </c>
      <c r="I115" s="150">
        <f>'[18]Rev_SP-12me'!AA124</f>
        <v>2000</v>
      </c>
      <c r="J115" s="7"/>
      <c r="K115" s="68">
        <f>'[18]Rev_SP-12me'!DM124</f>
        <v>21.1700626783674</v>
      </c>
      <c r="L115" s="68">
        <f>'[18]Rev_SP-12me'!DN124</f>
        <v>196.32224658087</v>
      </c>
      <c r="M115" s="68">
        <f>'[18]Rev_SP-12me'!DP124</f>
        <v>0.5064</v>
      </c>
      <c r="N115" s="7"/>
      <c r="O115" s="68">
        <f t="shared" si="2"/>
        <v>217.998709259237</v>
      </c>
    </row>
    <row r="116" customHeight="1" spans="2:15">
      <c r="B116" s="71" t="s">
        <v>1133</v>
      </c>
      <c r="C116" s="55"/>
      <c r="D116" s="68">
        <f>'[18]Rev_SP-12me'!H125</f>
        <v>608</v>
      </c>
      <c r="E116" s="68">
        <f>'[18]Rev_SP-12me'!I125</f>
        <v>128.281889826877</v>
      </c>
      <c r="F116" s="68">
        <f>'[18]Rev_SP-12me'!K125</f>
        <v>224.202563167036</v>
      </c>
      <c r="G116" s="150">
        <f>'[18]Rev_SP-12me'!O125</f>
        <v>500</v>
      </c>
      <c r="H116" s="137">
        <f>'[18]Rev_SP-12me'!P125</f>
        <v>11.8</v>
      </c>
      <c r="I116" s="150">
        <f>'[18]Rev_SP-12me'!AA125</f>
        <v>2000</v>
      </c>
      <c r="J116" s="7"/>
      <c r="K116" s="68">
        <f>'[18]Rev_SP-12me'!DM125</f>
        <v>61.5753071169012</v>
      </c>
      <c r="L116" s="68">
        <f>'[18]Rev_SP-12me'!DN125</f>
        <v>264.559024537103</v>
      </c>
      <c r="M116" s="68">
        <f>'[18]Rev_SP-12me'!DP125</f>
        <v>1.44</v>
      </c>
      <c r="N116" s="7"/>
      <c r="O116" s="68">
        <f t="shared" si="2"/>
        <v>327.574331654004</v>
      </c>
    </row>
    <row r="117" customHeight="1" spans="2:15">
      <c r="B117" s="71" t="s">
        <v>1134</v>
      </c>
      <c r="C117" s="55"/>
      <c r="D117" s="68">
        <f>'[18]Rev_SP-12me'!H126</f>
        <v>0</v>
      </c>
      <c r="E117" s="68">
        <f>'[18]Rev_SP-12me'!I126</f>
        <v>0</v>
      </c>
      <c r="F117" s="68">
        <f>'[18]Rev_SP-12me'!K126</f>
        <v>0</v>
      </c>
      <c r="G117" s="150">
        <f>'[18]Rev_SP-12me'!O126</f>
        <v>0</v>
      </c>
      <c r="H117" s="137">
        <f>'[18]Rev_SP-12me'!P126</f>
        <v>4.77</v>
      </c>
      <c r="I117" s="150">
        <f>'[18]Rev_SP-12me'!AA126</f>
        <v>2000</v>
      </c>
      <c r="J117" s="7"/>
      <c r="K117" s="68">
        <f>'[18]Rev_SP-12me'!DM126</f>
        <v>0</v>
      </c>
      <c r="L117" s="68">
        <f>'[18]Rev_SP-12me'!DN126</f>
        <v>0</v>
      </c>
      <c r="M117" s="68">
        <f>'[18]Rev_SP-12me'!DP126</f>
        <v>0</v>
      </c>
      <c r="N117" s="7"/>
      <c r="O117" s="68">
        <f t="shared" si="2"/>
        <v>0</v>
      </c>
    </row>
    <row r="118" customHeight="1" spans="2:15">
      <c r="B118" s="71" t="s">
        <v>1135</v>
      </c>
      <c r="C118" s="55"/>
      <c r="D118" s="68">
        <f>'[18]Rev_SP-12me'!H127</f>
        <v>27</v>
      </c>
      <c r="E118" s="68">
        <f>'[18]Rev_SP-12me'!I127</f>
        <v>9.6519432174</v>
      </c>
      <c r="F118" s="68">
        <f>'[18]Rev_SP-12me'!K127</f>
        <v>30.5185396001659</v>
      </c>
      <c r="G118" s="150">
        <f>'[18]Rev_SP-12me'!O127</f>
        <v>0</v>
      </c>
      <c r="H118" s="137">
        <f>'[18]Rev_SP-12me'!P127</f>
        <v>0</v>
      </c>
      <c r="I118" s="150">
        <f>'[18]Rev_SP-12me'!AA127</f>
        <v>2000</v>
      </c>
      <c r="J118" s="7"/>
      <c r="K118" s="68">
        <f>'[18]Rev_SP-12me'!DM127</f>
        <v>0.9265865488704</v>
      </c>
      <c r="L118" s="68">
        <f>'[18]Rev_SP-12me'!DN127</f>
        <v>17.7639793420604</v>
      </c>
      <c r="M118" s="68">
        <f>'[18]Rev_SP-12me'!DP127</f>
        <v>0.0528</v>
      </c>
      <c r="N118" s="7"/>
      <c r="O118" s="68">
        <f t="shared" si="2"/>
        <v>18.7433658909308</v>
      </c>
    </row>
    <row r="119" customHeight="1" spans="2:15">
      <c r="B119" s="76" t="s">
        <v>1119</v>
      </c>
      <c r="C119" s="55"/>
      <c r="D119" s="94">
        <f>'[18]Rev_SP-12me'!H128</f>
        <v>27</v>
      </c>
      <c r="E119" s="94">
        <f>'[18]Rev_SP-12me'!I128</f>
        <v>9.6519432174</v>
      </c>
      <c r="F119" s="94">
        <f>'[18]Rev_SP-12me'!K128</f>
        <v>13.5291712860231</v>
      </c>
      <c r="G119" s="174">
        <f>'[18]Rev_SP-12me'!O128</f>
        <v>100</v>
      </c>
      <c r="H119" s="185">
        <f>'[18]Rev_SP-12me'!P128</f>
        <v>6</v>
      </c>
      <c r="I119" s="174">
        <f>'[18]Rev_SP-12me'!AA128</f>
        <v>2000</v>
      </c>
      <c r="J119" s="7"/>
      <c r="K119" s="94">
        <f>'[18]Rev_SP-12me'!DM128</f>
        <v>0.9265865488704</v>
      </c>
      <c r="L119" s="94">
        <f>'[18]Rev_SP-12me'!DN128</f>
        <v>8.11750277161387</v>
      </c>
      <c r="M119" s="94">
        <f>'[18]Rev_SP-12me'!DP128</f>
        <v>0.0528</v>
      </c>
      <c r="N119" s="7"/>
      <c r="O119" s="79">
        <f t="shared" si="2"/>
        <v>9.09688932048427</v>
      </c>
    </row>
    <row r="120" customHeight="1" spans="2:15">
      <c r="B120" s="76" t="s">
        <v>1120</v>
      </c>
      <c r="C120" s="55"/>
      <c r="D120" s="94">
        <f>'[18]Rev_SP-12me'!H129</f>
        <v>0</v>
      </c>
      <c r="E120" s="94">
        <f>'[18]Rev_SP-12me'!I129</f>
        <v>0</v>
      </c>
      <c r="F120" s="94">
        <f>'[18]Rev_SP-12me'!K129</f>
        <v>3.4700122043114</v>
      </c>
      <c r="G120" s="174">
        <f>'[18]Rev_SP-12me'!O129</f>
        <v>0</v>
      </c>
      <c r="H120" s="185">
        <f>'[18]Rev_SP-12me'!P129</f>
        <v>7</v>
      </c>
      <c r="I120" s="174">
        <f>'[18]Rev_SP-12me'!AA129</f>
        <v>2000</v>
      </c>
      <c r="J120" s="7"/>
      <c r="K120" s="94">
        <f>'[18]Rev_SP-12me'!DM129</f>
        <v>0</v>
      </c>
      <c r="L120" s="94">
        <f>'[18]Rev_SP-12me'!DN129</f>
        <v>2.42900854301798</v>
      </c>
      <c r="M120" s="94">
        <f>'[18]Rev_SP-12me'!DP129</f>
        <v>0</v>
      </c>
      <c r="N120" s="7"/>
      <c r="O120" s="79">
        <f t="shared" si="2"/>
        <v>2.42900854301798</v>
      </c>
    </row>
    <row r="121" customHeight="1" spans="2:15">
      <c r="B121" s="76" t="s">
        <v>1121</v>
      </c>
      <c r="C121" s="55"/>
      <c r="D121" s="94">
        <f>'[18]Rev_SP-12me'!H130</f>
        <v>0</v>
      </c>
      <c r="E121" s="94">
        <f>'[18]Rev_SP-12me'!I130</f>
        <v>0</v>
      </c>
      <c r="F121" s="94">
        <f>'[18]Rev_SP-12me'!K130</f>
        <v>3.45776129813825</v>
      </c>
      <c r="G121" s="174">
        <f>'[18]Rev_SP-12me'!O130</f>
        <v>0</v>
      </c>
      <c r="H121" s="185">
        <f>'[18]Rev_SP-12me'!P130</f>
        <v>7</v>
      </c>
      <c r="I121" s="174">
        <f>'[18]Rev_SP-12me'!AA130</f>
        <v>2000</v>
      </c>
      <c r="J121" s="7"/>
      <c r="K121" s="94">
        <f>'[18]Rev_SP-12me'!DM130</f>
        <v>0</v>
      </c>
      <c r="L121" s="94">
        <f>'[18]Rev_SP-12me'!DN130</f>
        <v>2.42043290869678</v>
      </c>
      <c r="M121" s="94">
        <f>'[18]Rev_SP-12me'!DP130</f>
        <v>0</v>
      </c>
      <c r="N121" s="7"/>
      <c r="O121" s="79">
        <f t="shared" si="2"/>
        <v>2.42043290869678</v>
      </c>
    </row>
    <row r="122" customHeight="1" spans="2:15">
      <c r="B122" s="76" t="s">
        <v>1122</v>
      </c>
      <c r="C122" s="55"/>
      <c r="D122" s="94">
        <f>'[18]Rev_SP-12me'!H131</f>
        <v>0</v>
      </c>
      <c r="E122" s="94">
        <f>'[18]Rev_SP-12me'!I131</f>
        <v>0</v>
      </c>
      <c r="F122" s="94">
        <f>'[18]Rev_SP-12me'!K131</f>
        <v>10.0615948116932</v>
      </c>
      <c r="G122" s="174">
        <f>'[18]Rev_SP-12me'!O131</f>
        <v>0</v>
      </c>
      <c r="H122" s="185">
        <f>'[18]Rev_SP-12me'!P131</f>
        <v>4.5</v>
      </c>
      <c r="I122" s="174">
        <f>'[18]Rev_SP-12me'!AA131</f>
        <v>2000</v>
      </c>
      <c r="J122" s="7"/>
      <c r="K122" s="94">
        <f>'[18]Rev_SP-12me'!DM131</f>
        <v>0</v>
      </c>
      <c r="L122" s="94">
        <f>'[18]Rev_SP-12me'!DN131</f>
        <v>4.79703511873172</v>
      </c>
      <c r="M122" s="94">
        <f>'[18]Rev_SP-12me'!DP131</f>
        <v>0</v>
      </c>
      <c r="N122" s="7"/>
      <c r="O122" s="79">
        <f t="shared" si="2"/>
        <v>4.79703511873172</v>
      </c>
    </row>
    <row r="123" customHeight="1" spans="2:15">
      <c r="B123" s="77" t="s">
        <v>1136</v>
      </c>
      <c r="C123" s="55"/>
      <c r="D123" s="78">
        <f>SUM(D72,D87,D92,D93,D98,D103,D108,D110,D113,D114,D115,D116,D117,D118)</f>
        <v>11838</v>
      </c>
      <c r="E123" s="78">
        <f>SUM(E72,E87,E92,E93,E98,E103,E108,E110,E113,E114,E115,E116,E117,E118)</f>
        <v>2832.30437902453</v>
      </c>
      <c r="F123" s="78">
        <f>SUM(F72,F87,F92,F93,F98,F103,F108,F110,F113,F114,F115,F116,F117,F118)</f>
        <v>7484.74420547276</v>
      </c>
      <c r="G123" s="193"/>
      <c r="H123" s="193"/>
      <c r="I123" s="193"/>
      <c r="J123" s="180"/>
      <c r="K123" s="78">
        <f>SUM(K72,K87,K92,K93,K98,K103,K108,K110,K113,K114,K115,K116,K117,K118)</f>
        <v>1277.13089517067</v>
      </c>
      <c r="L123" s="78">
        <f>SUM(L72,L87,L92,L93,L98,L103,L108,L110,L113,L114,L115,L116,L117,L118)</f>
        <v>6051.50568218604</v>
      </c>
      <c r="M123" s="78">
        <f>SUM(M72,M87,M92,M93,M98,M103,M108,M110,M113,M114,M115,M116,M117,M118)</f>
        <v>30.3096</v>
      </c>
      <c r="N123" s="78">
        <f>SUM(N72,N87,N92,N93,N98,N103,N108,N110,N113,N114,N115,N116,N117,N118)</f>
        <v>0</v>
      </c>
      <c r="O123" s="80">
        <f>SUM(O72,O87,O92,O93,O98,O103,O108,O110,O113,O114,O115,O116,O117,O118)</f>
        <v>7358.94617735671</v>
      </c>
    </row>
    <row r="124" customHeight="1" spans="2:15">
      <c r="B124" s="55"/>
      <c r="C124" s="55"/>
      <c r="D124" s="35"/>
      <c r="E124" s="35"/>
      <c r="F124" s="35"/>
      <c r="G124" s="13"/>
      <c r="H124" s="13"/>
      <c r="I124" s="13"/>
      <c r="J124" s="35"/>
      <c r="K124" s="35"/>
      <c r="L124" s="35"/>
      <c r="M124" s="35"/>
      <c r="N124" s="35"/>
      <c r="O124" s="35"/>
    </row>
    <row r="125" customHeight="1" spans="2:15">
      <c r="B125" s="71" t="s">
        <v>212</v>
      </c>
      <c r="C125" s="55"/>
      <c r="D125" s="7"/>
      <c r="E125" s="7"/>
      <c r="F125" s="7"/>
      <c r="G125" s="100"/>
      <c r="H125" s="100"/>
      <c r="I125" s="100"/>
      <c r="J125" s="7"/>
      <c r="K125" s="7"/>
      <c r="L125" s="7"/>
      <c r="M125" s="7"/>
      <c r="N125" s="7"/>
      <c r="O125" s="7"/>
    </row>
    <row r="126" customHeight="1" spans="2:15">
      <c r="B126" s="71" t="s">
        <v>1137</v>
      </c>
      <c r="C126" s="55"/>
      <c r="D126" s="68">
        <f>'[18]Rev_SP-12me'!H149</f>
        <v>435</v>
      </c>
      <c r="E126" s="68">
        <f>'[18]Rev_SP-12me'!I149</f>
        <v>1229.807976</v>
      </c>
      <c r="F126" s="68">
        <f>F127+F135</f>
        <v>6755.3670861646</v>
      </c>
      <c r="G126" s="150">
        <f>'[18]Rev_SP-12me'!O149</f>
        <v>0</v>
      </c>
      <c r="H126" s="137">
        <f>'[18]Rev_SP-12me'!P149</f>
        <v>0</v>
      </c>
      <c r="I126" s="150">
        <f>'[18]Rev_SP-12me'!AA149</f>
        <v>0</v>
      </c>
      <c r="J126" s="7"/>
      <c r="K126" s="68">
        <f>'[18]Rev_SP-12me'!DM149</f>
        <v>573.090516816</v>
      </c>
      <c r="L126" s="68">
        <f>'[18]Rev_SP-12me'!DN149</f>
        <v>4796.19058828821</v>
      </c>
      <c r="M126" s="68">
        <f>'[18]Rev_SP-12me'!DP149</f>
        <v>1.8123</v>
      </c>
      <c r="N126" s="7"/>
      <c r="O126" s="69">
        <f t="shared" ref="O126:O170" si="3">SUM(K126:N126)</f>
        <v>5371.09340510421</v>
      </c>
    </row>
    <row r="127" customHeight="1" spans="2:15">
      <c r="B127" s="81" t="s">
        <v>1138</v>
      </c>
      <c r="C127" s="55"/>
      <c r="D127" s="79">
        <f>'[18]Rev_SP-12me'!H150</f>
        <v>435</v>
      </c>
      <c r="E127" s="79">
        <f>'[18]Rev_SP-12me'!I150</f>
        <v>1229.807976</v>
      </c>
      <c r="F127" s="79">
        <f>'[18]Rev_SP-12me'!K150</f>
        <v>6727.77368492986</v>
      </c>
      <c r="G127" s="153">
        <f>'[18]Rev_SP-12me'!O150</f>
        <v>0</v>
      </c>
      <c r="H127" s="101">
        <f>'[18]Rev_SP-12me'!P150</f>
        <v>0</v>
      </c>
      <c r="I127" s="153">
        <f>'[18]Rev_SP-12me'!AA150</f>
        <v>0</v>
      </c>
      <c r="J127" s="7"/>
      <c r="K127" s="79">
        <f>'[18]Rev_SP-12me'!DM150</f>
        <v>573.090516816</v>
      </c>
      <c r="L127" s="79">
        <f>'[18]Rev_SP-12me'!DN150</f>
        <v>4776.72077694781</v>
      </c>
      <c r="M127" s="79">
        <f>'[18]Rev_SP-12me'!DP150</f>
        <v>1.7955</v>
      </c>
      <c r="N127" s="7"/>
      <c r="O127" s="60">
        <f t="shared" si="3"/>
        <v>5351.60679376381</v>
      </c>
    </row>
    <row r="128" customHeight="1" spans="2:15">
      <c r="B128" s="74" t="s">
        <v>1105</v>
      </c>
      <c r="C128" s="55"/>
      <c r="D128" s="94">
        <f>'[18]Rev_SP-12me'!H151</f>
        <v>435</v>
      </c>
      <c r="E128" s="94">
        <f>'[18]Rev_SP-12me'!I151</f>
        <v>1229.807976</v>
      </c>
      <c r="F128" s="94">
        <f>'[18]Rev_SP-12me'!K151</f>
        <v>1972.65585471756</v>
      </c>
      <c r="G128" s="153">
        <f>'[18]Rev_SP-12me'!O151</f>
        <v>500</v>
      </c>
      <c r="H128" s="101">
        <f>'[18]Rev_SP-12me'!P151</f>
        <v>7.15</v>
      </c>
      <c r="I128" s="153">
        <f>'[18]Rev_SP-12me'!AA151</f>
        <v>3500</v>
      </c>
      <c r="J128" s="7"/>
      <c r="K128" s="94">
        <f>'[18]Rev_SP-12me'!DM151</f>
        <v>573.090516816</v>
      </c>
      <c r="L128" s="94">
        <f>'[18]Rev_SP-12me'!DN151</f>
        <v>1410.44893612306</v>
      </c>
      <c r="M128" s="94">
        <f>'[18]Rev_SP-12me'!DP151</f>
        <v>1.7913</v>
      </c>
      <c r="N128" s="7"/>
      <c r="O128" s="60">
        <f t="shared" si="3"/>
        <v>1985.33075293906</v>
      </c>
    </row>
    <row r="129" customHeight="1" spans="2:15">
      <c r="B129" s="74" t="s">
        <v>1139</v>
      </c>
      <c r="C129" s="55"/>
      <c r="D129" s="94">
        <f>'[18]Rev_SP-12me'!H152</f>
        <v>0</v>
      </c>
      <c r="E129" s="94">
        <f>'[18]Rev_SP-12me'!I152</f>
        <v>0</v>
      </c>
      <c r="F129" s="94">
        <f>'[18]Rev_SP-12me'!K152</f>
        <v>290.028799767119</v>
      </c>
      <c r="G129" s="153">
        <f>'[18]Rev_SP-12me'!O152</f>
        <v>0</v>
      </c>
      <c r="H129" s="101">
        <f>'[18]Rev_SP-12me'!P152</f>
        <v>7.15</v>
      </c>
      <c r="I129" s="153">
        <f>'[18]Rev_SP-12me'!AA152</f>
        <v>3500</v>
      </c>
      <c r="J129" s="7"/>
      <c r="K129" s="94">
        <f>'[18]Rev_SP-12me'!DM152</f>
        <v>0</v>
      </c>
      <c r="L129" s="94">
        <f>'[18]Rev_SP-12me'!DN152</f>
        <v>207.37059183349</v>
      </c>
      <c r="M129" s="94">
        <f>'[18]Rev_SP-12me'!DP152</f>
        <v>0</v>
      </c>
      <c r="N129" s="7"/>
      <c r="O129" s="60">
        <f t="shared" si="3"/>
        <v>207.37059183349</v>
      </c>
    </row>
    <row r="130" customHeight="1" spans="2:15">
      <c r="B130" s="74" t="s">
        <v>1140</v>
      </c>
      <c r="C130" s="55"/>
      <c r="D130" s="94">
        <f>'[18]Rev_SP-12me'!H153</f>
        <v>0</v>
      </c>
      <c r="E130" s="94">
        <f>'[18]Rev_SP-12me'!I153</f>
        <v>0</v>
      </c>
      <c r="F130" s="94">
        <f>'[18]Rev_SP-12me'!K153</f>
        <v>164.18382909327</v>
      </c>
      <c r="G130" s="153">
        <f>'[18]Rev_SP-12me'!O153</f>
        <v>0</v>
      </c>
      <c r="H130" s="101">
        <f>'[18]Rev_SP-12me'!P153</f>
        <v>7.3</v>
      </c>
      <c r="I130" s="153">
        <f>'[18]Rev_SP-12me'!AA153</f>
        <v>3500</v>
      </c>
      <c r="J130" s="7"/>
      <c r="K130" s="94">
        <f>'[18]Rev_SP-12me'!DM153</f>
        <v>0</v>
      </c>
      <c r="L130" s="94">
        <f>'[18]Rev_SP-12me'!DN153</f>
        <v>119.854195238087</v>
      </c>
      <c r="M130" s="94">
        <f>'[18]Rev_SP-12me'!DP153</f>
        <v>0</v>
      </c>
      <c r="N130" s="7"/>
      <c r="O130" s="60">
        <f t="shared" si="3"/>
        <v>119.854195238087</v>
      </c>
    </row>
    <row r="131" customHeight="1" spans="2:15">
      <c r="B131" s="74" t="s">
        <v>1141</v>
      </c>
      <c r="C131" s="55"/>
      <c r="D131" s="94">
        <f>'[18]Rev_SP-12me'!H154</f>
        <v>0</v>
      </c>
      <c r="E131" s="94">
        <f>'[18]Rev_SP-12me'!I154</f>
        <v>0</v>
      </c>
      <c r="F131" s="94">
        <f>'[18]Rev_SP-12me'!K154</f>
        <v>1.51768881875595</v>
      </c>
      <c r="G131" s="153">
        <f>'[18]Rev_SP-12me'!O154</f>
        <v>500</v>
      </c>
      <c r="H131" s="101">
        <f>'[18]Rev_SP-12me'!P154</f>
        <v>7.9</v>
      </c>
      <c r="I131" s="153">
        <f>'[18]Rev_SP-12me'!AA154</f>
        <v>3500</v>
      </c>
      <c r="J131" s="7"/>
      <c r="K131" s="94">
        <f>'[18]Rev_SP-12me'!DM154</f>
        <v>0</v>
      </c>
      <c r="L131" s="94">
        <f>'[18]Rev_SP-12me'!DN154</f>
        <v>1.1989741668172</v>
      </c>
      <c r="M131" s="94">
        <f>'[18]Rev_SP-12me'!DP154</f>
        <v>0.0042</v>
      </c>
      <c r="N131" s="7"/>
      <c r="O131" s="60">
        <f t="shared" si="3"/>
        <v>1.2031741668172</v>
      </c>
    </row>
    <row r="132" customHeight="1" spans="2:15">
      <c r="B132" s="76" t="s">
        <v>1120</v>
      </c>
      <c r="C132" s="55"/>
      <c r="D132" s="94">
        <f>'[18]Rev_SP-12me'!H155</f>
        <v>0</v>
      </c>
      <c r="E132" s="94">
        <f>'[18]Rev_SP-12me'!I155</f>
        <v>0</v>
      </c>
      <c r="F132" s="94">
        <f>'[18]Rev_SP-12me'!K155</f>
        <v>1093.76742705433</v>
      </c>
      <c r="G132" s="153">
        <f>'[18]Rev_SP-12me'!O155</f>
        <v>0</v>
      </c>
      <c r="H132" s="101">
        <f>'[18]Rev_SP-12me'!P155</f>
        <v>8.15</v>
      </c>
      <c r="I132" s="153">
        <f>'[18]Rev_SP-12me'!AA155</f>
        <v>3500</v>
      </c>
      <c r="J132" s="7"/>
      <c r="K132" s="94">
        <f>'[18]Rev_SP-12me'!DM155</f>
        <v>0</v>
      </c>
      <c r="L132" s="94">
        <f>'[18]Rev_SP-12me'!DN155</f>
        <v>891.42045304928</v>
      </c>
      <c r="M132" s="94">
        <f>'[18]Rev_SP-12me'!DP155</f>
        <v>0</v>
      </c>
      <c r="N132" s="7"/>
      <c r="O132" s="60">
        <f t="shared" si="3"/>
        <v>891.42045304928</v>
      </c>
    </row>
    <row r="133" customHeight="1" spans="2:15">
      <c r="B133" s="76" t="s">
        <v>1121</v>
      </c>
      <c r="C133" s="55"/>
      <c r="D133" s="94">
        <f>'[18]Rev_SP-12me'!H156</f>
        <v>0</v>
      </c>
      <c r="E133" s="94">
        <f>'[18]Rev_SP-12me'!I156</f>
        <v>0</v>
      </c>
      <c r="F133" s="94">
        <f>'[18]Rev_SP-12me'!K156</f>
        <v>1094.78315458445</v>
      </c>
      <c r="G133" s="153">
        <f>'[18]Rev_SP-12me'!O156</f>
        <v>0</v>
      </c>
      <c r="H133" s="101">
        <f>'[18]Rev_SP-12me'!P156</f>
        <v>8.15</v>
      </c>
      <c r="I133" s="153">
        <f>'[18]Rev_SP-12me'!AA156</f>
        <v>3500</v>
      </c>
      <c r="J133" s="7"/>
      <c r="K133" s="94">
        <f>'[18]Rev_SP-12me'!DM156</f>
        <v>0</v>
      </c>
      <c r="L133" s="94">
        <f>'[18]Rev_SP-12me'!DN156</f>
        <v>892.248270986327</v>
      </c>
      <c r="M133" s="94">
        <f>'[18]Rev_SP-12me'!DP156</f>
        <v>0</v>
      </c>
      <c r="N133" s="7"/>
      <c r="O133" s="60">
        <f t="shared" si="3"/>
        <v>892.248270986327</v>
      </c>
    </row>
    <row r="134" customHeight="1" spans="2:15">
      <c r="B134" s="76" t="s">
        <v>1122</v>
      </c>
      <c r="C134" s="55"/>
      <c r="D134" s="94">
        <f>'[18]Rev_SP-12me'!H157</f>
        <v>0</v>
      </c>
      <c r="E134" s="94">
        <f>'[18]Rev_SP-12me'!I157</f>
        <v>0</v>
      </c>
      <c r="F134" s="94">
        <f>'[18]Rev_SP-12me'!K157</f>
        <v>2110.83693089437</v>
      </c>
      <c r="G134" s="153">
        <f>'[18]Rev_SP-12me'!O157</f>
        <v>0</v>
      </c>
      <c r="H134" s="101">
        <f>'[18]Rev_SP-12me'!P157</f>
        <v>5.65</v>
      </c>
      <c r="I134" s="153">
        <f>'[18]Rev_SP-12me'!AA157</f>
        <v>3500</v>
      </c>
      <c r="J134" s="7"/>
      <c r="K134" s="94">
        <f>'[18]Rev_SP-12me'!DM157</f>
        <v>0</v>
      </c>
      <c r="L134" s="94">
        <f>'[18]Rev_SP-12me'!DN157</f>
        <v>1254.17935555075</v>
      </c>
      <c r="M134" s="94">
        <f>'[18]Rev_SP-12me'!DP157</f>
        <v>0</v>
      </c>
      <c r="N134" s="7"/>
      <c r="O134" s="60">
        <f t="shared" si="3"/>
        <v>1254.17935555075</v>
      </c>
    </row>
    <row r="135" customHeight="1" spans="2:15">
      <c r="B135" s="71" t="s">
        <v>1113</v>
      </c>
      <c r="C135" s="55"/>
      <c r="D135" s="79">
        <f>'[18]Rev_SP-12me'!H158</f>
        <v>0</v>
      </c>
      <c r="E135" s="79">
        <f>'[18]Rev_SP-12me'!I158</f>
        <v>0</v>
      </c>
      <c r="F135" s="79">
        <f>'[18]Rev_SP-12me'!K158</f>
        <v>27.5934012347391</v>
      </c>
      <c r="G135" s="153">
        <f>'[18]Rev_SP-12me'!O158</f>
        <v>0</v>
      </c>
      <c r="H135" s="101">
        <f>'[18]Rev_SP-12me'!P158</f>
        <v>0</v>
      </c>
      <c r="I135" s="153">
        <f>'[18]Rev_SP-12me'!AA158</f>
        <v>0</v>
      </c>
      <c r="J135" s="7"/>
      <c r="K135" s="79">
        <f>'[18]Rev_SP-12me'!DM158</f>
        <v>0</v>
      </c>
      <c r="L135" s="79">
        <f>'[18]Rev_SP-12me'!DN158</f>
        <v>19.4698113403975</v>
      </c>
      <c r="M135" s="79">
        <f>'[18]Rev_SP-12me'!DP158</f>
        <v>0.0168</v>
      </c>
      <c r="N135" s="7"/>
      <c r="O135" s="69">
        <f t="shared" si="3"/>
        <v>19.4866113403975</v>
      </c>
    </row>
    <row r="136" customHeight="1" spans="2:15">
      <c r="B136" s="76" t="s">
        <v>1142</v>
      </c>
      <c r="C136" s="55"/>
      <c r="D136" s="94">
        <f>'[18]Rev_SP-12me'!H159</f>
        <v>0</v>
      </c>
      <c r="E136" s="94">
        <f>'[18]Rev_SP-12me'!I159</f>
        <v>0</v>
      </c>
      <c r="F136" s="94">
        <f>'[18]Rev_SP-12me'!K159</f>
        <v>8.18807162097772</v>
      </c>
      <c r="G136" s="153">
        <f>'[18]Rev_SP-12me'!O159</f>
        <v>500</v>
      </c>
      <c r="H136" s="101">
        <f>'[18]Rev_SP-12me'!P159</f>
        <v>7.15</v>
      </c>
      <c r="I136" s="153">
        <f>'[18]Rev_SP-12me'!AA159</f>
        <v>3500</v>
      </c>
      <c r="J136" s="7"/>
      <c r="K136" s="94">
        <f>'[18]Rev_SP-12me'!DM159</f>
        <v>0</v>
      </c>
      <c r="L136" s="94">
        <f>'[18]Rev_SP-12me'!DN159</f>
        <v>5.85447120899907</v>
      </c>
      <c r="M136" s="94">
        <f>'[18]Rev_SP-12me'!DP159</f>
        <v>0.0168</v>
      </c>
      <c r="N136" s="7"/>
      <c r="O136" s="60">
        <f t="shared" si="3"/>
        <v>5.87127120899907</v>
      </c>
    </row>
    <row r="137" customHeight="1" spans="2:15">
      <c r="B137" s="76" t="s">
        <v>1115</v>
      </c>
      <c r="C137" s="55"/>
      <c r="D137" s="94">
        <f>'[18]Rev_SP-12me'!H160</f>
        <v>0</v>
      </c>
      <c r="E137" s="94">
        <f>'[18]Rev_SP-12me'!I160</f>
        <v>0</v>
      </c>
      <c r="F137" s="94">
        <f>'[18]Rev_SP-12me'!K160</f>
        <v>4.82759614760375</v>
      </c>
      <c r="G137" s="153">
        <f>'[18]Rev_SP-12me'!O160</f>
        <v>0</v>
      </c>
      <c r="H137" s="101">
        <f>'[18]Rev_SP-12me'!P160</f>
        <v>8.15</v>
      </c>
      <c r="I137" s="153">
        <f>'[18]Rev_SP-12me'!AA160</f>
        <v>3500</v>
      </c>
      <c r="J137" s="7"/>
      <c r="K137" s="94">
        <f>'[18]Rev_SP-12me'!DM160</f>
        <v>0</v>
      </c>
      <c r="L137" s="94">
        <f>'[18]Rev_SP-12me'!DN160</f>
        <v>3.93449086029706</v>
      </c>
      <c r="M137" s="94">
        <f>'[18]Rev_SP-12me'!DP160</f>
        <v>0</v>
      </c>
      <c r="N137" s="7"/>
      <c r="O137" s="60">
        <f t="shared" si="3"/>
        <v>3.93449086029706</v>
      </c>
    </row>
    <row r="138" customHeight="1" spans="2:15">
      <c r="B138" s="76" t="s">
        <v>1116</v>
      </c>
      <c r="C138" s="55"/>
      <c r="D138" s="94">
        <f>'[18]Rev_SP-12me'!H161</f>
        <v>0</v>
      </c>
      <c r="E138" s="94">
        <f>'[18]Rev_SP-12me'!I161</f>
        <v>0</v>
      </c>
      <c r="F138" s="94">
        <f>'[18]Rev_SP-12me'!K161</f>
        <v>4.69428637553206</v>
      </c>
      <c r="G138" s="153">
        <f>'[18]Rev_SP-12me'!O161</f>
        <v>0</v>
      </c>
      <c r="H138" s="101">
        <f>'[18]Rev_SP-12me'!P161</f>
        <v>8.15</v>
      </c>
      <c r="I138" s="153">
        <f>'[18]Rev_SP-12me'!AA161</f>
        <v>3500</v>
      </c>
      <c r="J138" s="7"/>
      <c r="K138" s="94">
        <f>'[18]Rev_SP-12me'!DM161</f>
        <v>0</v>
      </c>
      <c r="L138" s="94">
        <f>'[18]Rev_SP-12me'!DN161</f>
        <v>3.82584339605863</v>
      </c>
      <c r="M138" s="94">
        <f>'[18]Rev_SP-12me'!DP161</f>
        <v>0</v>
      </c>
      <c r="N138" s="7"/>
      <c r="O138" s="60">
        <f t="shared" si="3"/>
        <v>3.82584339605863</v>
      </c>
    </row>
    <row r="139" customHeight="1" spans="2:15">
      <c r="B139" s="76" t="s">
        <v>1143</v>
      </c>
      <c r="C139" s="55"/>
      <c r="D139" s="94">
        <f>'[18]Rev_SP-12me'!H162</f>
        <v>0</v>
      </c>
      <c r="E139" s="94">
        <f>'[18]Rev_SP-12me'!I162</f>
        <v>0</v>
      </c>
      <c r="F139" s="94">
        <f>'[18]Rev_SP-12me'!K162</f>
        <v>9.88344709062559</v>
      </c>
      <c r="G139" s="153">
        <f>'[18]Rev_SP-12me'!O162</f>
        <v>0</v>
      </c>
      <c r="H139" s="101">
        <f>'[18]Rev_SP-12me'!P162</f>
        <v>5.65</v>
      </c>
      <c r="I139" s="153">
        <f>'[18]Rev_SP-12me'!AA162</f>
        <v>3500</v>
      </c>
      <c r="J139" s="7"/>
      <c r="K139" s="94">
        <f>'[18]Rev_SP-12me'!DM162</f>
        <v>0</v>
      </c>
      <c r="L139" s="94">
        <f>'[18]Rev_SP-12me'!DN162</f>
        <v>5.85500587504278</v>
      </c>
      <c r="M139" s="94">
        <f>'[18]Rev_SP-12me'!DP162</f>
        <v>0</v>
      </c>
      <c r="N139" s="7"/>
      <c r="O139" s="60">
        <f t="shared" si="3"/>
        <v>5.85500587504278</v>
      </c>
    </row>
    <row r="140" customHeight="1" spans="2:15">
      <c r="B140" s="71" t="s">
        <v>1144</v>
      </c>
      <c r="C140" s="55"/>
      <c r="D140" s="68">
        <f>'[18]Rev_SP-12me'!H164</f>
        <v>0</v>
      </c>
      <c r="E140" s="68">
        <f>'[18]Rev_SP-12me'!I164</f>
        <v>0</v>
      </c>
      <c r="F140" s="68">
        <f>'[18]Rev_SP-12me'!K164</f>
        <v>60.5124526560307</v>
      </c>
      <c r="G140" s="150">
        <f>'[18]Rev_SP-12me'!O164</f>
        <v>0</v>
      </c>
      <c r="H140" s="137">
        <f>'[18]Rev_SP-12me'!P164</f>
        <v>0</v>
      </c>
      <c r="I140" s="150"/>
      <c r="J140" s="7"/>
      <c r="K140" s="68">
        <f>'[18]Rev_SP-12me'!DM164</f>
        <v>0</v>
      </c>
      <c r="L140" s="68">
        <f>'[18]Rev_SP-12me'!DN164</f>
        <v>42.9909478700353</v>
      </c>
      <c r="M140" s="68">
        <f>'[18]Rev_SP-12me'!DP164</f>
        <v>0.0084</v>
      </c>
      <c r="N140" s="7"/>
      <c r="O140" s="69">
        <f t="shared" si="3"/>
        <v>42.9993478700353</v>
      </c>
    </row>
    <row r="141" customHeight="1" spans="2:15">
      <c r="B141" s="74" t="s">
        <v>1119</v>
      </c>
      <c r="C141" s="55"/>
      <c r="D141" s="94">
        <f>'[18]Rev_SP-12me'!H165</f>
        <v>0</v>
      </c>
      <c r="E141" s="94">
        <f>'[18]Rev_SP-12me'!I165</f>
        <v>0</v>
      </c>
      <c r="F141" s="94">
        <f>'[18]Rev_SP-12me'!K165</f>
        <v>20.485197392993</v>
      </c>
      <c r="G141" s="153">
        <f>'[18]Rev_SP-12me'!O165</f>
        <v>500</v>
      </c>
      <c r="H141" s="101">
        <f>'[18]Rev_SP-12me'!P165</f>
        <v>7.15</v>
      </c>
      <c r="I141" s="153">
        <f>'[18]Rev_SP-12me'!AA165</f>
        <v>3500</v>
      </c>
      <c r="J141" s="7"/>
      <c r="K141" s="94">
        <f>'[18]Rev_SP-12me'!DM165</f>
        <v>0</v>
      </c>
      <c r="L141" s="94">
        <f>'[18]Rev_SP-12me'!DN165</f>
        <v>14.64691613599</v>
      </c>
      <c r="M141" s="94">
        <f>'[18]Rev_SP-12me'!DP165</f>
        <v>0.0084</v>
      </c>
      <c r="N141" s="7"/>
      <c r="O141" s="60">
        <f t="shared" si="3"/>
        <v>14.65531613599</v>
      </c>
    </row>
    <row r="142" customHeight="1" spans="2:15">
      <c r="B142" s="74" t="s">
        <v>1120</v>
      </c>
      <c r="C142" s="55"/>
      <c r="D142" s="94">
        <f>'[18]Rev_SP-12me'!H166</f>
        <v>0</v>
      </c>
      <c r="E142" s="94">
        <f>'[18]Rev_SP-12me'!I166</f>
        <v>0</v>
      </c>
      <c r="F142" s="94">
        <f>'[18]Rev_SP-12me'!K166</f>
        <v>10.2012068156474</v>
      </c>
      <c r="G142" s="153">
        <f>'[18]Rev_SP-12me'!O166</f>
        <v>0</v>
      </c>
      <c r="H142" s="101">
        <f>'[18]Rev_SP-12me'!P166</f>
        <v>8.15</v>
      </c>
      <c r="I142" s="153">
        <f>'[18]Rev_SP-12me'!AA166</f>
        <v>3500</v>
      </c>
      <c r="J142" s="7"/>
      <c r="K142" s="94">
        <f>'[18]Rev_SP-12me'!DM166</f>
        <v>0</v>
      </c>
      <c r="L142" s="94">
        <f>'[18]Rev_SP-12me'!DN166</f>
        <v>8.31398355475266</v>
      </c>
      <c r="M142" s="94">
        <f>'[18]Rev_SP-12me'!DP166</f>
        <v>0</v>
      </c>
      <c r="N142" s="7"/>
      <c r="O142" s="60">
        <f t="shared" si="3"/>
        <v>8.31398355475266</v>
      </c>
    </row>
    <row r="143" customHeight="1" spans="2:15">
      <c r="B143" s="74" t="s">
        <v>1121</v>
      </c>
      <c r="C143" s="55"/>
      <c r="D143" s="94">
        <f>'[18]Rev_SP-12me'!H167</f>
        <v>0</v>
      </c>
      <c r="E143" s="94">
        <f>'[18]Rev_SP-12me'!I167</f>
        <v>0</v>
      </c>
      <c r="F143" s="94">
        <f>'[18]Rev_SP-12me'!K167</f>
        <v>10.4427614208152</v>
      </c>
      <c r="G143" s="153">
        <f>'[18]Rev_SP-12me'!O167</f>
        <v>0</v>
      </c>
      <c r="H143" s="101">
        <f>'[18]Rev_SP-12me'!P167</f>
        <v>8.15</v>
      </c>
      <c r="I143" s="153">
        <f>'[18]Rev_SP-12me'!AA167</f>
        <v>3500</v>
      </c>
      <c r="J143" s="7"/>
      <c r="K143" s="94">
        <f>'[18]Rev_SP-12me'!DM167</f>
        <v>0</v>
      </c>
      <c r="L143" s="94">
        <f>'[18]Rev_SP-12me'!DN167</f>
        <v>8.51085055796441</v>
      </c>
      <c r="M143" s="94">
        <f>'[18]Rev_SP-12me'!DP167</f>
        <v>0</v>
      </c>
      <c r="N143" s="7"/>
      <c r="O143" s="60">
        <f t="shared" si="3"/>
        <v>8.51085055796441</v>
      </c>
    </row>
    <row r="144" customHeight="1" spans="2:15">
      <c r="B144" s="74" t="s">
        <v>1122</v>
      </c>
      <c r="C144" s="55"/>
      <c r="D144" s="94">
        <f>'[18]Rev_SP-12me'!H168</f>
        <v>0</v>
      </c>
      <c r="E144" s="94">
        <f>'[18]Rev_SP-12me'!I168</f>
        <v>0</v>
      </c>
      <c r="F144" s="94">
        <f>'[18]Rev_SP-12me'!K168</f>
        <v>19.383287026575</v>
      </c>
      <c r="G144" s="153">
        <f>'[18]Rev_SP-12me'!O168</f>
        <v>0</v>
      </c>
      <c r="H144" s="101">
        <f>'[18]Rev_SP-12me'!P168</f>
        <v>5.65</v>
      </c>
      <c r="I144" s="153">
        <f>'[18]Rev_SP-12me'!AA168</f>
        <v>3500</v>
      </c>
      <c r="J144" s="7"/>
      <c r="K144" s="94">
        <f>'[18]Rev_SP-12me'!DM168</f>
        <v>0</v>
      </c>
      <c r="L144" s="94">
        <f>'[18]Rev_SP-12me'!DN168</f>
        <v>11.5191976213282</v>
      </c>
      <c r="M144" s="94">
        <f>'[18]Rev_SP-12me'!DP168</f>
        <v>0</v>
      </c>
      <c r="N144" s="7"/>
      <c r="O144" s="60">
        <f t="shared" si="3"/>
        <v>11.5191976213282</v>
      </c>
    </row>
    <row r="145" customHeight="1" spans="2:15">
      <c r="B145" s="71" t="s">
        <v>1123</v>
      </c>
      <c r="C145" s="55"/>
      <c r="D145" s="39">
        <f>'[18]Rev_SP-12me'!H163</f>
        <v>0</v>
      </c>
      <c r="E145" s="68">
        <f>'[18]Rev_SP-12me'!I163</f>
        <v>0</v>
      </c>
      <c r="F145" s="68">
        <f>'[18]Rev_SP-12me'!K163</f>
        <v>0.53654</v>
      </c>
      <c r="G145" s="150">
        <f>'[18]Rev_SP-12me'!O163</f>
        <v>500</v>
      </c>
      <c r="H145" s="137">
        <f>'[18]Rev_SP-12me'!P163</f>
        <v>7.15</v>
      </c>
      <c r="I145" s="150">
        <f>'[18]Rev_SP-12me'!AA163</f>
        <v>3500</v>
      </c>
      <c r="J145" s="7"/>
      <c r="K145" s="68">
        <f>'[18]Rev_SP-12me'!DM163</f>
        <v>0</v>
      </c>
      <c r="L145" s="68">
        <f>'[18]Rev_SP-12me'!DN163</f>
        <v>0.3836261</v>
      </c>
      <c r="M145" s="68">
        <f>'[18]Rev_SP-12me'!DP163</f>
        <v>0</v>
      </c>
      <c r="N145" s="7"/>
      <c r="O145" s="69">
        <f t="shared" si="3"/>
        <v>0.3836261</v>
      </c>
    </row>
    <row r="146" customHeight="1" spans="2:15">
      <c r="B146" s="71" t="s">
        <v>1124</v>
      </c>
      <c r="C146" s="55"/>
      <c r="D146" s="68">
        <f>'[18]Rev_SP-12me'!H169</f>
        <v>178</v>
      </c>
      <c r="E146" s="68">
        <f>'[18]Rev_SP-12me'!I169</f>
        <v>453.53464216588</v>
      </c>
      <c r="F146" s="68">
        <f>'[18]Rev_SP-12me'!K169</f>
        <v>1560.47628455836</v>
      </c>
      <c r="G146" s="150">
        <f>'[18]Rev_SP-12me'!O169</f>
        <v>0</v>
      </c>
      <c r="H146" s="137">
        <f>'[18]Rev_SP-12me'!P169</f>
        <v>0</v>
      </c>
      <c r="I146" s="150">
        <f>'[18]Rev_SP-12me'!AA169</f>
        <v>3500</v>
      </c>
      <c r="J146" s="7"/>
      <c r="K146" s="68">
        <f>'[18]Rev_SP-12me'!DM169</f>
        <v>211.3471432493</v>
      </c>
      <c r="L146" s="68">
        <f>'[18]Rev_SP-12me'!DN169</f>
        <v>1253.93399374725</v>
      </c>
      <c r="M146" s="68">
        <f>'[18]Rev_SP-12me'!DP169</f>
        <v>0.7287</v>
      </c>
      <c r="N146" s="7"/>
      <c r="O146" s="69">
        <f t="shared" si="3"/>
        <v>1466.00983699655</v>
      </c>
    </row>
    <row r="147" customHeight="1" spans="2:15">
      <c r="B147" s="76" t="s">
        <v>1145</v>
      </c>
      <c r="C147" s="55"/>
      <c r="D147" s="79">
        <f>'[18]Rev_SP-12me'!H170</f>
        <v>178</v>
      </c>
      <c r="E147" s="79">
        <f>'[18]Rev_SP-12me'!I170</f>
        <v>453.53464216588</v>
      </c>
      <c r="F147" s="79">
        <f>'[18]Rev_SP-12me'!K170</f>
        <v>631.085535156356</v>
      </c>
      <c r="G147" s="153">
        <f>'[18]Rev_SP-12me'!O170</f>
        <v>500</v>
      </c>
      <c r="H147" s="101">
        <f>'[18]Rev_SP-12me'!P170</f>
        <v>8</v>
      </c>
      <c r="I147" s="153">
        <f>'[18]Rev_SP-12me'!AA170</f>
        <v>3500</v>
      </c>
      <c r="J147" s="7"/>
      <c r="K147" s="79">
        <f>'[18]Rev_SP-12me'!DM170</f>
        <v>211.3471432493</v>
      </c>
      <c r="L147" s="79">
        <f>'[18]Rev_SP-12me'!DN170</f>
        <v>504.868428125085</v>
      </c>
      <c r="M147" s="79">
        <f>'[18]Rev_SP-12me'!DP170</f>
        <v>0.7287</v>
      </c>
      <c r="N147" s="7"/>
      <c r="O147" s="60">
        <f t="shared" si="3"/>
        <v>716.944271374385</v>
      </c>
    </row>
    <row r="148" customHeight="1" spans="2:15">
      <c r="B148" s="76" t="s">
        <v>1120</v>
      </c>
      <c r="C148" s="55"/>
      <c r="D148" s="94">
        <f>'[18]Rev_SP-12me'!H171</f>
        <v>0</v>
      </c>
      <c r="E148" s="94">
        <f>'[18]Rev_SP-12me'!I171</f>
        <v>0</v>
      </c>
      <c r="F148" s="94">
        <f>'[18]Rev_SP-12me'!K171</f>
        <v>261.381196567333</v>
      </c>
      <c r="G148" s="153">
        <f>'[18]Rev_SP-12me'!O171</f>
        <v>0</v>
      </c>
      <c r="H148" s="101">
        <f>'[18]Rev_SP-12me'!P171</f>
        <v>9</v>
      </c>
      <c r="I148" s="153">
        <f>'[18]Rev_SP-12me'!AA171</f>
        <v>3500</v>
      </c>
      <c r="J148" s="7"/>
      <c r="K148" s="94">
        <f>'[18]Rev_SP-12me'!DM171</f>
        <v>0</v>
      </c>
      <c r="L148" s="94">
        <f>'[18]Rev_SP-12me'!DN171</f>
        <v>235.243076910599</v>
      </c>
      <c r="M148" s="94">
        <f>'[18]Rev_SP-12me'!DP171</f>
        <v>0</v>
      </c>
      <c r="N148" s="7"/>
      <c r="O148" s="60">
        <f t="shared" si="3"/>
        <v>235.243076910599</v>
      </c>
    </row>
    <row r="149" customHeight="1" spans="2:15">
      <c r="B149" s="76" t="s">
        <v>1121</v>
      </c>
      <c r="C149" s="55"/>
      <c r="D149" s="94">
        <f>'[18]Rev_SP-12me'!H172</f>
        <v>0</v>
      </c>
      <c r="E149" s="94">
        <f>'[18]Rev_SP-12me'!I172</f>
        <v>0</v>
      </c>
      <c r="F149" s="94">
        <f>'[18]Rev_SP-12me'!K172</f>
        <v>261.612038945691</v>
      </c>
      <c r="G149" s="153">
        <f>'[18]Rev_SP-12me'!O172</f>
        <v>0</v>
      </c>
      <c r="H149" s="101">
        <f>'[18]Rev_SP-12me'!P172</f>
        <v>9</v>
      </c>
      <c r="I149" s="153">
        <f>'[18]Rev_SP-12me'!AA172</f>
        <v>3500</v>
      </c>
      <c r="J149" s="7"/>
      <c r="K149" s="94">
        <f>'[18]Rev_SP-12me'!DM172</f>
        <v>0</v>
      </c>
      <c r="L149" s="94">
        <f>'[18]Rev_SP-12me'!DN172</f>
        <v>235.450835051122</v>
      </c>
      <c r="M149" s="94">
        <f>'[18]Rev_SP-12me'!DP172</f>
        <v>0</v>
      </c>
      <c r="N149" s="7"/>
      <c r="O149" s="60">
        <f t="shared" si="3"/>
        <v>235.450835051122</v>
      </c>
    </row>
    <row r="150" customHeight="1" spans="2:15">
      <c r="B150" s="76" t="s">
        <v>1122</v>
      </c>
      <c r="C150" s="55"/>
      <c r="D150" s="94">
        <f>'[18]Rev_SP-12me'!H173</f>
        <v>0</v>
      </c>
      <c r="E150" s="94">
        <f>'[18]Rev_SP-12me'!I173</f>
        <v>0</v>
      </c>
      <c r="F150" s="94">
        <f>'[18]Rev_SP-12me'!K173</f>
        <v>388.147513888976</v>
      </c>
      <c r="G150" s="153">
        <f>'[18]Rev_SP-12me'!O173</f>
        <v>0</v>
      </c>
      <c r="H150" s="101">
        <f>'[18]Rev_SP-12me'!P173</f>
        <v>6.5</v>
      </c>
      <c r="I150" s="153">
        <f>'[18]Rev_SP-12me'!AA173</f>
        <v>3500</v>
      </c>
      <c r="J150" s="7"/>
      <c r="K150" s="94">
        <f>'[18]Rev_SP-12me'!DM173</f>
        <v>0</v>
      </c>
      <c r="L150" s="94">
        <f>'[18]Rev_SP-12me'!DN173</f>
        <v>263.771653660441</v>
      </c>
      <c r="M150" s="94">
        <f>'[18]Rev_SP-12me'!DP173</f>
        <v>0</v>
      </c>
      <c r="N150" s="7"/>
      <c r="O150" s="60">
        <f t="shared" si="3"/>
        <v>263.771653660441</v>
      </c>
    </row>
    <row r="151" customHeight="1" spans="2:15">
      <c r="B151" s="76" t="s">
        <v>1146</v>
      </c>
      <c r="C151" s="55"/>
      <c r="D151" s="94">
        <f>'[18]Rev_SP-12me'!H174</f>
        <v>0</v>
      </c>
      <c r="E151" s="94">
        <f>'[18]Rev_SP-12me'!I174</f>
        <v>0</v>
      </c>
      <c r="F151" s="94">
        <f>'[18]Rev_SP-12me'!K174</f>
        <v>18.25</v>
      </c>
      <c r="G151" s="153">
        <f>'[18]Rev_SP-12me'!O174</f>
        <v>500</v>
      </c>
      <c r="H151" s="101">
        <f>'[18]Rev_SP-12me'!P174</f>
        <v>8</v>
      </c>
      <c r="I151" s="153">
        <f>'[18]Rev_SP-12me'!AA174</f>
        <v>3500</v>
      </c>
      <c r="J151" s="7"/>
      <c r="K151" s="94">
        <f>'[18]Rev_SP-12me'!DM174</f>
        <v>0</v>
      </c>
      <c r="L151" s="94">
        <f>'[18]Rev_SP-12me'!DN174</f>
        <v>14.6</v>
      </c>
      <c r="M151" s="94">
        <f>'[18]Rev_SP-12me'!DP174</f>
        <v>0</v>
      </c>
      <c r="N151" s="7"/>
      <c r="O151" s="60">
        <f t="shared" si="3"/>
        <v>14.6</v>
      </c>
    </row>
    <row r="152" customHeight="1" spans="2:15">
      <c r="B152" s="71" t="s">
        <v>1125</v>
      </c>
      <c r="C152" s="55"/>
      <c r="D152" s="68">
        <f>'[18]Rev_SP-12me'!H175</f>
        <v>0</v>
      </c>
      <c r="E152" s="68">
        <f>'[18]Rev_SP-12me'!I175</f>
        <v>0</v>
      </c>
      <c r="F152" s="68">
        <f>'[18]Rev_SP-12me'!K175</f>
        <v>4.80134654594394</v>
      </c>
      <c r="G152" s="150">
        <f>'[18]Rev_SP-12me'!O175</f>
        <v>0</v>
      </c>
      <c r="H152" s="137">
        <f>'[18]Rev_SP-12me'!P175</f>
        <v>0</v>
      </c>
      <c r="I152" s="150"/>
      <c r="J152" s="7"/>
      <c r="K152" s="68">
        <f>'[18]Rev_SP-12me'!DM175</f>
        <v>0</v>
      </c>
      <c r="L152" s="68">
        <f>'[18]Rev_SP-12me'!DN175</f>
        <v>2.44202250473362</v>
      </c>
      <c r="M152" s="68">
        <f>'[18]Rev_SP-12me'!DP175</f>
        <v>0.0042</v>
      </c>
      <c r="N152" s="7"/>
      <c r="O152" s="69">
        <f t="shared" si="3"/>
        <v>2.44622250473362</v>
      </c>
    </row>
    <row r="153" customHeight="1" spans="2:15">
      <c r="B153" s="74" t="s">
        <v>1119</v>
      </c>
      <c r="C153" s="55"/>
      <c r="D153" s="94">
        <f>'[18]Rev_SP-12me'!H176</f>
        <v>0</v>
      </c>
      <c r="E153" s="94">
        <f>'[18]Rev_SP-12me'!I176</f>
        <v>0</v>
      </c>
      <c r="F153" s="94">
        <f>'[18]Rev_SP-12me'!K176</f>
        <v>1.92670376684611</v>
      </c>
      <c r="G153" s="153">
        <f>'[18]Rev_SP-12me'!O176</f>
        <v>285</v>
      </c>
      <c r="H153" s="101">
        <f>'[18]Rev_SP-12me'!P176</f>
        <v>5</v>
      </c>
      <c r="I153" s="153">
        <f>'[18]Rev_SP-12me'!AA176</f>
        <v>3500</v>
      </c>
      <c r="J153" s="7"/>
      <c r="K153" s="94">
        <f>'[18]Rev_SP-12me'!DM176</f>
        <v>0</v>
      </c>
      <c r="L153" s="94">
        <f>'[18]Rev_SP-12me'!DN176</f>
        <v>0.963351883423055</v>
      </c>
      <c r="M153" s="94">
        <f>'[18]Rev_SP-12me'!DP176</f>
        <v>0.0042</v>
      </c>
      <c r="N153" s="7"/>
      <c r="O153" s="60">
        <f t="shared" si="3"/>
        <v>0.967551883423055</v>
      </c>
    </row>
    <row r="154" customHeight="1" spans="2:15">
      <c r="B154" s="74" t="s">
        <v>1120</v>
      </c>
      <c r="C154" s="55"/>
      <c r="D154" s="94">
        <f>'[18]Rev_SP-12me'!H177</f>
        <v>0</v>
      </c>
      <c r="E154" s="94">
        <f>'[18]Rev_SP-12me'!I177</f>
        <v>0</v>
      </c>
      <c r="F154" s="94">
        <f>'[18]Rev_SP-12me'!K177</f>
        <v>0.883674592166326</v>
      </c>
      <c r="G154" s="153">
        <f>'[18]Rev_SP-12me'!O177</f>
        <v>0</v>
      </c>
      <c r="H154" s="101">
        <f>'[18]Rev_SP-12me'!P177</f>
        <v>6</v>
      </c>
      <c r="I154" s="153">
        <f>'[18]Rev_SP-12me'!AA177</f>
        <v>3500</v>
      </c>
      <c r="J154" s="7"/>
      <c r="K154" s="94">
        <f>'[18]Rev_SP-12me'!DM177</f>
        <v>0</v>
      </c>
      <c r="L154" s="94">
        <f>'[18]Rev_SP-12me'!DN177</f>
        <v>0.530204755299796</v>
      </c>
      <c r="M154" s="94">
        <f>'[18]Rev_SP-12me'!DP177</f>
        <v>0</v>
      </c>
      <c r="N154" s="7"/>
      <c r="O154" s="60">
        <f t="shared" si="3"/>
        <v>0.530204755299796</v>
      </c>
    </row>
    <row r="155" customHeight="1" spans="2:15">
      <c r="B155" s="74" t="s">
        <v>1121</v>
      </c>
      <c r="C155" s="55"/>
      <c r="D155" s="94">
        <f>'[18]Rev_SP-12me'!H178</f>
        <v>0</v>
      </c>
      <c r="E155" s="94">
        <f>'[18]Rev_SP-12me'!I178</f>
        <v>0</v>
      </c>
      <c r="F155" s="94">
        <f>'[18]Rev_SP-12me'!K178</f>
        <v>0.874525147020605</v>
      </c>
      <c r="G155" s="153">
        <f>'[18]Rev_SP-12me'!O178</f>
        <v>0</v>
      </c>
      <c r="H155" s="101">
        <f>'[18]Rev_SP-12me'!P178</f>
        <v>6</v>
      </c>
      <c r="I155" s="153">
        <f>'[18]Rev_SP-12me'!AA178</f>
        <v>3500</v>
      </c>
      <c r="J155" s="7"/>
      <c r="K155" s="94">
        <f>'[18]Rev_SP-12me'!DM178</f>
        <v>0</v>
      </c>
      <c r="L155" s="94">
        <f>'[18]Rev_SP-12me'!DN178</f>
        <v>0.524715088212363</v>
      </c>
      <c r="M155" s="94">
        <f>'[18]Rev_SP-12me'!DP178</f>
        <v>0</v>
      </c>
      <c r="N155" s="7"/>
      <c r="O155" s="60">
        <f t="shared" si="3"/>
        <v>0.524715088212363</v>
      </c>
    </row>
    <row r="156" customHeight="1" spans="2:15">
      <c r="B156" s="74" t="s">
        <v>1122</v>
      </c>
      <c r="C156" s="55"/>
      <c r="D156" s="94">
        <f>'[18]Rev_SP-12me'!H179</f>
        <v>0</v>
      </c>
      <c r="E156" s="94">
        <f>'[18]Rev_SP-12me'!I179</f>
        <v>0</v>
      </c>
      <c r="F156" s="94">
        <f>'[18]Rev_SP-12me'!K179</f>
        <v>1.1164430399109</v>
      </c>
      <c r="G156" s="153">
        <f>'[18]Rev_SP-12me'!O179</f>
        <v>0</v>
      </c>
      <c r="H156" s="101">
        <f>'[18]Rev_SP-12me'!P179</f>
        <v>3.5</v>
      </c>
      <c r="I156" s="153">
        <f>'[18]Rev_SP-12me'!AA179</f>
        <v>3500</v>
      </c>
      <c r="J156" s="7"/>
      <c r="K156" s="94">
        <f>'[18]Rev_SP-12me'!DM179</f>
        <v>0</v>
      </c>
      <c r="L156" s="94">
        <f>'[18]Rev_SP-12me'!DN179</f>
        <v>0.423750777798404</v>
      </c>
      <c r="M156" s="94">
        <f>'[18]Rev_SP-12me'!DP179</f>
        <v>0</v>
      </c>
      <c r="N156" s="7"/>
      <c r="O156" s="60">
        <f t="shared" si="3"/>
        <v>0.423750777798404</v>
      </c>
    </row>
    <row r="157" customHeight="1" spans="2:15">
      <c r="B157" s="71" t="s">
        <v>1126</v>
      </c>
      <c r="C157" s="55"/>
      <c r="D157" s="68">
        <f>'[18]Rev_SP-12me'!H180</f>
        <v>0</v>
      </c>
      <c r="E157" s="68">
        <f>'[18]Rev_SP-12me'!I180</f>
        <v>0</v>
      </c>
      <c r="F157" s="68">
        <f>'[18]Rev_SP-12me'!K180</f>
        <v>0</v>
      </c>
      <c r="G157" s="150">
        <f>'[18]Rev_SP-12me'!O180</f>
        <v>0</v>
      </c>
      <c r="H157" s="137">
        <f>'[18]Rev_SP-12me'!P180</f>
        <v>0</v>
      </c>
      <c r="I157" s="150">
        <f>'[18]Rev_SP-12me'!AA180</f>
        <v>0</v>
      </c>
      <c r="J157" s="7"/>
      <c r="K157" s="68">
        <f>'[18]Rev_SP-12me'!DM180</f>
        <v>0</v>
      </c>
      <c r="L157" s="68">
        <f>'[18]Rev_SP-12me'!DN180</f>
        <v>0</v>
      </c>
      <c r="M157" s="68">
        <f>'[18]Rev_SP-12me'!DP180</f>
        <v>0</v>
      </c>
      <c r="N157" s="7"/>
      <c r="O157" s="69">
        <f t="shared" si="3"/>
        <v>0</v>
      </c>
    </row>
    <row r="158" customHeight="1" spans="2:15">
      <c r="B158" s="76" t="s">
        <v>1119</v>
      </c>
      <c r="C158" s="55"/>
      <c r="D158" s="94">
        <f>'[18]Rev_SP-12me'!H181</f>
        <v>0</v>
      </c>
      <c r="E158" s="94">
        <f>'[18]Rev_SP-12me'!I181</f>
        <v>0</v>
      </c>
      <c r="F158" s="94">
        <f>'[18]Rev_SP-12me'!K181</f>
        <v>0</v>
      </c>
      <c r="G158" s="153">
        <f>'[18]Rev_SP-12me'!O181</f>
        <v>500</v>
      </c>
      <c r="H158" s="101">
        <f>'[18]Rev_SP-12me'!P181</f>
        <v>7.85</v>
      </c>
      <c r="I158" s="153">
        <f>'[18]Rev_SP-12me'!AA181</f>
        <v>3500</v>
      </c>
      <c r="J158" s="7"/>
      <c r="K158" s="94">
        <f>'[18]Rev_SP-12me'!DM181</f>
        <v>0</v>
      </c>
      <c r="L158" s="94">
        <f>'[18]Rev_SP-12me'!DN181</f>
        <v>0</v>
      </c>
      <c r="M158" s="94">
        <f>'[18]Rev_SP-12me'!DP181</f>
        <v>0</v>
      </c>
      <c r="N158" s="7"/>
      <c r="O158" s="60">
        <f t="shared" si="3"/>
        <v>0</v>
      </c>
    </row>
    <row r="159" customHeight="1" spans="2:15">
      <c r="B159" s="76" t="s">
        <v>1120</v>
      </c>
      <c r="C159" s="55"/>
      <c r="D159" s="94">
        <f>'[18]Rev_SP-12me'!H182</f>
        <v>0</v>
      </c>
      <c r="E159" s="94">
        <f>'[18]Rev_SP-12me'!I182</f>
        <v>0</v>
      </c>
      <c r="F159" s="94">
        <f>'[18]Rev_SP-12me'!K182</f>
        <v>0</v>
      </c>
      <c r="G159" s="153">
        <f>'[18]Rev_SP-12me'!O182</f>
        <v>0</v>
      </c>
      <c r="H159" s="101">
        <f>'[18]Rev_SP-12me'!P182</f>
        <v>8.85</v>
      </c>
      <c r="I159" s="153">
        <f>'[18]Rev_SP-12me'!AA182</f>
        <v>3500</v>
      </c>
      <c r="J159" s="7"/>
      <c r="K159" s="94">
        <f>'[18]Rev_SP-12me'!DM182</f>
        <v>0</v>
      </c>
      <c r="L159" s="94">
        <f>'[18]Rev_SP-12me'!DN182</f>
        <v>0</v>
      </c>
      <c r="M159" s="94">
        <f>'[18]Rev_SP-12me'!DP182</f>
        <v>0</v>
      </c>
      <c r="N159" s="7"/>
      <c r="O159" s="60">
        <f t="shared" si="3"/>
        <v>0</v>
      </c>
    </row>
    <row r="160" customHeight="1" spans="2:15">
      <c r="B160" s="76" t="s">
        <v>1121</v>
      </c>
      <c r="C160" s="55"/>
      <c r="D160" s="94">
        <f>'[18]Rev_SP-12me'!H183</f>
        <v>0</v>
      </c>
      <c r="E160" s="94">
        <f>'[18]Rev_SP-12me'!I183</f>
        <v>0</v>
      </c>
      <c r="F160" s="94">
        <f>'[18]Rev_SP-12me'!K183</f>
        <v>0</v>
      </c>
      <c r="G160" s="153">
        <f>'[18]Rev_SP-12me'!O183</f>
        <v>0</v>
      </c>
      <c r="H160" s="101">
        <f>'[18]Rev_SP-12me'!P183</f>
        <v>8.85</v>
      </c>
      <c r="I160" s="153">
        <f>'[18]Rev_SP-12me'!AA183</f>
        <v>3500</v>
      </c>
      <c r="J160" s="7"/>
      <c r="K160" s="94">
        <f>'[18]Rev_SP-12me'!DM183</f>
        <v>0</v>
      </c>
      <c r="L160" s="94">
        <f>'[18]Rev_SP-12me'!DN183</f>
        <v>0</v>
      </c>
      <c r="M160" s="94">
        <f>'[18]Rev_SP-12me'!DP183</f>
        <v>0</v>
      </c>
      <c r="N160" s="7"/>
      <c r="O160" s="60">
        <f t="shared" si="3"/>
        <v>0</v>
      </c>
    </row>
    <row r="161" customHeight="1" spans="2:15">
      <c r="B161" s="76" t="s">
        <v>1122</v>
      </c>
      <c r="C161" s="55"/>
      <c r="D161" s="94">
        <f>'[18]Rev_SP-12me'!H184</f>
        <v>0</v>
      </c>
      <c r="E161" s="94">
        <f>'[18]Rev_SP-12me'!I184</f>
        <v>0</v>
      </c>
      <c r="F161" s="94">
        <f>'[18]Rev_SP-12me'!K184</f>
        <v>0</v>
      </c>
      <c r="G161" s="153">
        <f>'[18]Rev_SP-12me'!O184</f>
        <v>0</v>
      </c>
      <c r="H161" s="101">
        <f>'[18]Rev_SP-12me'!P184</f>
        <v>6.35</v>
      </c>
      <c r="I161" s="153">
        <f>'[18]Rev_SP-12me'!AA184</f>
        <v>3500</v>
      </c>
      <c r="J161" s="7"/>
      <c r="K161" s="94">
        <f>'[18]Rev_SP-12me'!DM184</f>
        <v>0</v>
      </c>
      <c r="L161" s="94">
        <f>'[18]Rev_SP-12me'!DN184</f>
        <v>0</v>
      </c>
      <c r="M161" s="94">
        <f>'[18]Rev_SP-12me'!DP184</f>
        <v>0</v>
      </c>
      <c r="N161" s="7"/>
      <c r="O161" s="60">
        <f t="shared" si="3"/>
        <v>0</v>
      </c>
    </row>
    <row r="162" customHeight="1" spans="2:15">
      <c r="B162" s="71" t="s">
        <v>1147</v>
      </c>
      <c r="C162" s="55"/>
      <c r="D162" s="68">
        <f>'[18]Rev_SP-12me'!H185</f>
        <v>13</v>
      </c>
      <c r="E162" s="68">
        <f>'[18]Rev_SP-12me'!I185</f>
        <v>25.0678999995</v>
      </c>
      <c r="F162" s="68">
        <f>'[18]Rev_SP-12me'!K185</f>
        <v>66.1702299355033</v>
      </c>
      <c r="G162" s="150">
        <f>'[18]Rev_SP-12me'!O185</f>
        <v>0</v>
      </c>
      <c r="H162" s="137">
        <f>'[18]Rev_SP-12me'!P185</f>
        <v>0</v>
      </c>
      <c r="I162" s="150">
        <f>'[18]Rev_SP-12me'!AA185</f>
        <v>0</v>
      </c>
      <c r="J162" s="7"/>
      <c r="K162" s="68">
        <f>'[18]Rev_SP-12me'!DM185</f>
        <v>4.11400796345961</v>
      </c>
      <c r="L162" s="68">
        <f>'[18]Rev_SP-12me'!DN185</f>
        <v>41.6872448593671</v>
      </c>
      <c r="M162" s="68">
        <f>'[18]Rev_SP-12me'!DP185</f>
        <v>0.0735</v>
      </c>
      <c r="N162" s="7"/>
      <c r="O162" s="69">
        <f t="shared" si="3"/>
        <v>45.8747528228267</v>
      </c>
    </row>
    <row r="163" customHeight="1" spans="2:15">
      <c r="B163" s="82" t="s">
        <v>1128</v>
      </c>
      <c r="C163" s="55"/>
      <c r="D163" s="79">
        <f>'[18]Rev_SP-12me'!H186</f>
        <v>13</v>
      </c>
      <c r="E163" s="79">
        <f>'[18]Rev_SP-12me'!I186</f>
        <v>25.0678999995</v>
      </c>
      <c r="F163" s="79">
        <f>'[18]Rev_SP-12me'!K186</f>
        <v>66.1702299355033</v>
      </c>
      <c r="G163" s="153">
        <f>'[18]Rev_SP-12me'!O186</f>
        <v>300</v>
      </c>
      <c r="H163" s="101">
        <f>'[18]Rev_SP-12me'!P186</f>
        <v>6.3</v>
      </c>
      <c r="I163" s="153">
        <f>'[18]Rev_SP-12me'!AA186</f>
        <v>3500</v>
      </c>
      <c r="J163" s="7"/>
      <c r="K163" s="79">
        <f>'[18]Rev_SP-12me'!DM186</f>
        <v>4.11400796345961</v>
      </c>
      <c r="L163" s="79">
        <f>'[18]Rev_SP-12me'!DN186</f>
        <v>41.6872448593671</v>
      </c>
      <c r="M163" s="79">
        <f>'[18]Rev_SP-12me'!DP186</f>
        <v>0.0735</v>
      </c>
      <c r="N163" s="7"/>
      <c r="O163" s="60">
        <f t="shared" si="3"/>
        <v>45.8747528228267</v>
      </c>
    </row>
    <row r="164" customHeight="1" spans="2:15">
      <c r="B164" s="83" t="s">
        <v>1148</v>
      </c>
      <c r="C164" s="55"/>
      <c r="D164" s="68">
        <f>'[18]Rev_SP-12me'!H191</f>
        <v>23</v>
      </c>
      <c r="E164" s="68">
        <f>'[18]Rev_SP-12me'!I191</f>
        <v>40.806045</v>
      </c>
      <c r="F164" s="68">
        <f>'[18]Rev_SP-12me'!K191</f>
        <v>267.966979829087</v>
      </c>
      <c r="G164" s="150">
        <f>'[18]Rev_SP-12me'!O191</f>
        <v>0</v>
      </c>
      <c r="H164" s="137">
        <f>'[18]Rev_SP-12me'!P191</f>
        <v>0</v>
      </c>
      <c r="I164" s="150">
        <f>'[18]Rev_SP-12me'!AA191</f>
        <v>0</v>
      </c>
      <c r="J164" s="7"/>
      <c r="K164" s="68">
        <f>'[18]Rev_SP-12me'!DM191</f>
        <v>0</v>
      </c>
      <c r="L164" s="68">
        <f>'[18]Rev_SP-12me'!$DN$191</f>
        <v>163.459857695743</v>
      </c>
      <c r="M164" s="68">
        <f>'[18]Rev_SP-12me'!DP191</f>
        <v>0.0756</v>
      </c>
      <c r="N164" s="7"/>
      <c r="O164" s="69">
        <f t="shared" si="3"/>
        <v>163.535457695743</v>
      </c>
    </row>
    <row r="165" customHeight="1" spans="2:15">
      <c r="B165" s="74" t="s">
        <v>1149</v>
      </c>
      <c r="C165" s="55"/>
      <c r="D165" s="79">
        <f>'[18]Rev_SP-12me'!H192</f>
        <v>23</v>
      </c>
      <c r="E165" s="79">
        <f>'[18]Rev_SP-12me'!I192</f>
        <v>40.806045</v>
      </c>
      <c r="F165" s="79">
        <f>'[18]Rev_SP-12me'!K192</f>
        <v>267.966979829087</v>
      </c>
      <c r="G165" s="153">
        <f>'[18]Rev_SP-12me'!O192</f>
        <v>0</v>
      </c>
      <c r="H165" s="101">
        <f>'[18]Rev_SP-12me'!P192</f>
        <v>6.1</v>
      </c>
      <c r="I165" s="153">
        <f>'[18]Rev_SP-12me'!AA192</f>
        <v>3500</v>
      </c>
      <c r="J165" s="7"/>
      <c r="K165" s="79">
        <f>'[18]Rev_SP-12me'!DM192</f>
        <v>0</v>
      </c>
      <c r="L165" s="79">
        <f>'[18]Rev_SP-12me'!DN192</f>
        <v>163.459857695743</v>
      </c>
      <c r="M165" s="79">
        <f>'[18]Rev_SP-12me'!DP192</f>
        <v>0.0756</v>
      </c>
      <c r="N165" s="7"/>
      <c r="O165" s="60">
        <f t="shared" si="3"/>
        <v>163.535457695743</v>
      </c>
    </row>
    <row r="166" customHeight="1" spans="2:15">
      <c r="B166" s="77" t="s">
        <v>1150</v>
      </c>
      <c r="C166" s="55"/>
      <c r="D166" s="68">
        <f>'[18]Rev_SP-12me'!H193</f>
        <v>0</v>
      </c>
      <c r="E166" s="68">
        <f>'[18]Rev_SP-12me'!I193</f>
        <v>0</v>
      </c>
      <c r="F166" s="68">
        <f>'[18]Rev_SP-12me'!K193</f>
        <v>0</v>
      </c>
      <c r="G166" s="150">
        <f>'[18]Rev_SP-12me'!O193</f>
        <v>0</v>
      </c>
      <c r="H166" s="137">
        <f>'[18]Rev_SP-12me'!P193</f>
        <v>0</v>
      </c>
      <c r="I166" s="150">
        <f>'[18]Rev_SP-12me'!AA193</f>
        <v>3500</v>
      </c>
      <c r="J166" s="7"/>
      <c r="K166" s="68">
        <f>'[18]Rev_SP-12me'!DM193</f>
        <v>0</v>
      </c>
      <c r="L166" s="68">
        <f>'[18]Rev_SP-12me'!DN193</f>
        <v>0</v>
      </c>
      <c r="M166" s="68">
        <f>'[18]Rev_SP-12me'!DP193</f>
        <v>0</v>
      </c>
      <c r="N166" s="7"/>
      <c r="O166" s="60">
        <f t="shared" si="3"/>
        <v>0</v>
      </c>
    </row>
    <row r="167" customHeight="1" spans="2:15">
      <c r="B167" s="71" t="s">
        <v>1131</v>
      </c>
      <c r="C167" s="55"/>
      <c r="D167" s="68">
        <f>'[18]Rev_SP-12me'!H187</f>
        <v>1</v>
      </c>
      <c r="E167" s="68">
        <f>'[18]Rev_SP-12me'!I187</f>
        <v>0</v>
      </c>
      <c r="F167" s="68">
        <f>'[18]Rev_SP-12me'!K187</f>
        <v>0</v>
      </c>
      <c r="G167" s="150">
        <f>'[18]Rev_SP-12me'!O187</f>
        <v>500</v>
      </c>
      <c r="H167" s="137">
        <f>'[18]Rev_SP-12me'!P187</f>
        <v>5.05</v>
      </c>
      <c r="I167" s="150">
        <f>'[18]Rev_SP-12me'!AA187</f>
        <v>3500</v>
      </c>
      <c r="J167" s="7"/>
      <c r="K167" s="68">
        <f>'[18]Rev_SP-12me'!DM187</f>
        <v>0</v>
      </c>
      <c r="L167" s="68">
        <f>'[18]Rev_SP-12me'!DN187</f>
        <v>0</v>
      </c>
      <c r="M167" s="68">
        <f>'[18]Rev_SP-12me'!DP187</f>
        <v>0.0021</v>
      </c>
      <c r="N167" s="7"/>
      <c r="O167" s="69">
        <f t="shared" si="3"/>
        <v>0.0021</v>
      </c>
    </row>
    <row r="168" customHeight="1" spans="2:15">
      <c r="B168" s="71" t="s">
        <v>1132</v>
      </c>
      <c r="C168" s="55"/>
      <c r="D168" s="68">
        <f>'[18]Rev_SP-12me'!H188</f>
        <v>0</v>
      </c>
      <c r="E168" s="68">
        <f>'[18]Rev_SP-12me'!I188</f>
        <v>1</v>
      </c>
      <c r="F168" s="68">
        <f>'[18]Rev_SP-12me'!K188</f>
        <v>0</v>
      </c>
      <c r="G168" s="150">
        <f>'[18]Rev_SP-12me'!O188</f>
        <v>500</v>
      </c>
      <c r="H168" s="137">
        <f>'[18]Rev_SP-12me'!P188</f>
        <v>4.95</v>
      </c>
      <c r="I168" s="150">
        <f>'[18]Rev_SP-12me'!AA188</f>
        <v>3500</v>
      </c>
      <c r="J168" s="7"/>
      <c r="K168" s="68">
        <f>'[18]Rev_SP-12me'!DM188</f>
        <v>0.466</v>
      </c>
      <c r="L168" s="68">
        <f>'[18]Rev_SP-12me'!DN188</f>
        <v>0</v>
      </c>
      <c r="M168" s="68">
        <f>'[18]Rev_SP-12me'!DP188</f>
        <v>0</v>
      </c>
      <c r="N168" s="7"/>
      <c r="O168" s="69">
        <f t="shared" si="3"/>
        <v>0.466</v>
      </c>
    </row>
    <row r="169" customHeight="1" spans="2:15">
      <c r="B169" s="71" t="s">
        <v>919</v>
      </c>
      <c r="C169" s="55"/>
      <c r="D169" s="68">
        <f>'[18]Rev_SP-12me'!H189</f>
        <v>37</v>
      </c>
      <c r="E169" s="68">
        <f>'[18]Rev_SP-12me'!I189</f>
        <v>42.320994975</v>
      </c>
      <c r="F169" s="68">
        <f>'[18]Rev_SP-12me'!K189</f>
        <v>162.163493368031</v>
      </c>
      <c r="G169" s="150">
        <f>'[18]Rev_SP-12me'!O189</f>
        <v>285</v>
      </c>
      <c r="H169" s="137">
        <f>'[18]Rev_SP-12me'!P189</f>
        <v>7.3</v>
      </c>
      <c r="I169" s="150">
        <f>'[18]Rev_SP-12me'!AA189</f>
        <v>3500</v>
      </c>
      <c r="J169" s="7"/>
      <c r="K169" s="68">
        <f>'[18]Rev_SP-12me'!DM189</f>
        <v>10.98653029551</v>
      </c>
      <c r="L169" s="68">
        <f>'[18]Rev_SP-12me'!DN189</f>
        <v>118.379350158663</v>
      </c>
      <c r="M169" s="68">
        <f>'[18]Rev_SP-12me'!DP189</f>
        <v>0.1239</v>
      </c>
      <c r="N169" s="7"/>
      <c r="O169" s="69">
        <f t="shared" si="3"/>
        <v>129.489780454173</v>
      </c>
    </row>
    <row r="170" customHeight="1" spans="2:15">
      <c r="B170" s="71" t="s">
        <v>1133</v>
      </c>
      <c r="C170" s="55"/>
      <c r="D170" s="68">
        <f>'[18]Rev_SP-12me'!H190</f>
        <v>9</v>
      </c>
      <c r="E170" s="68">
        <f>'[18]Rev_SP-12me'!I190</f>
        <v>23.3742500370435</v>
      </c>
      <c r="F170" s="68">
        <f>'[18]Rev_SP-12me'!K190</f>
        <v>35.4172710167591</v>
      </c>
      <c r="G170" s="150">
        <f>'[18]Rev_SP-12me'!O190</f>
        <v>500</v>
      </c>
      <c r="H170" s="137">
        <f>'[18]Rev_SP-12me'!P190</f>
        <v>11</v>
      </c>
      <c r="I170" s="150">
        <f>'[18]Rev_SP-12me'!AA190</f>
        <v>3500</v>
      </c>
      <c r="J170" s="7"/>
      <c r="K170" s="68">
        <f>'[18]Rev_SP-12me'!DM190</f>
        <v>11.2196400177809</v>
      </c>
      <c r="L170" s="68">
        <f>'[18]Rev_SP-12me'!DN190</f>
        <v>38.958998118435</v>
      </c>
      <c r="M170" s="68">
        <f>'[18]Rev_SP-12me'!DP190</f>
        <v>0.0378</v>
      </c>
      <c r="N170" s="7"/>
      <c r="O170" s="69">
        <f t="shared" si="3"/>
        <v>50.2164381362159</v>
      </c>
    </row>
    <row r="171" customHeight="1" spans="2:15">
      <c r="B171" s="77" t="s">
        <v>1151</v>
      </c>
      <c r="C171" s="55"/>
      <c r="D171" s="78">
        <f>SUM(D126,D140,D145,D146,D152,D157,D162,D164,D166,D167,D168,D169,D170)</f>
        <v>696</v>
      </c>
      <c r="E171" s="78">
        <f>SUM(E126,E140,E145,E146,E152,E157,E162,E164,E166,E167,E168,E169,E170)</f>
        <v>1815.91180817742</v>
      </c>
      <c r="F171" s="78">
        <f>SUM(F126,F140,F145,F146,F152,F157,F162,F164,F166,F167,F168,F169,F170)</f>
        <v>8913.41168407431</v>
      </c>
      <c r="G171" s="193"/>
      <c r="H171" s="193"/>
      <c r="I171" s="193"/>
      <c r="J171" s="180"/>
      <c r="K171" s="80">
        <f>SUM(K126,K140,K145,K146,K152,K157,K162,K164,K166,K167,K168,K169,K170)</f>
        <v>811.22383834205</v>
      </c>
      <c r="L171" s="80">
        <f>SUM(L126,L140,L145,L146,L152,L157,L162,L164,L166,L167,L168,L169,L170)</f>
        <v>6458.42662934244</v>
      </c>
      <c r="M171" s="80">
        <f>SUM(M126,M140,M145,M146,M152,M157,M162,M164,M166,M167,M168,M169,M170)</f>
        <v>2.8665</v>
      </c>
      <c r="N171" s="78">
        <f>SUM(N126,N140,N145,N146,N152,N157,N162,N164,N166,N167,N168,N169,N170)</f>
        <v>0</v>
      </c>
      <c r="O171" s="80">
        <f>SUM(O126,O140,O145,O146,O152,O157,O162,O164,O166,O167,O168,O169,O170)</f>
        <v>7272.51696768449</v>
      </c>
    </row>
    <row r="172" customHeight="1" spans="2:15">
      <c r="B172" s="55"/>
      <c r="C172" s="55"/>
      <c r="D172" s="7"/>
      <c r="E172" s="7"/>
      <c r="F172" s="7"/>
      <c r="G172" s="100"/>
      <c r="H172" s="100"/>
      <c r="I172" s="100"/>
      <c r="J172" s="7"/>
      <c r="K172" s="7"/>
      <c r="L172" s="7"/>
      <c r="M172" s="7"/>
      <c r="N172" s="7"/>
      <c r="O172" s="7"/>
    </row>
    <row r="173" customHeight="1" spans="2:15">
      <c r="B173" s="71" t="s">
        <v>1152</v>
      </c>
      <c r="C173" s="55"/>
      <c r="D173" s="7"/>
      <c r="E173" s="7"/>
      <c r="F173" s="7"/>
      <c r="G173" s="100"/>
      <c r="H173" s="100"/>
      <c r="I173" s="100"/>
      <c r="J173" s="7"/>
      <c r="K173" s="7"/>
      <c r="L173" s="7"/>
      <c r="M173" s="7"/>
      <c r="N173" s="7"/>
      <c r="O173" s="7"/>
    </row>
    <row r="174" customHeight="1" spans="2:15">
      <c r="B174" s="71" t="s">
        <v>1137</v>
      </c>
      <c r="C174" s="55"/>
      <c r="D174" s="68">
        <f>'[18]Rev_SP-12me'!H208</f>
        <v>48</v>
      </c>
      <c r="E174" s="68">
        <f>'[18]Rev_SP-12me'!I208</f>
        <v>803.10148065</v>
      </c>
      <c r="F174" s="68">
        <f>'[18]Rev_SP-12me'!K208</f>
        <v>3535.212866</v>
      </c>
      <c r="G174" s="150">
        <f>'[18]Rev_SP-12me'!O208</f>
        <v>0</v>
      </c>
      <c r="H174" s="137">
        <f>'[18]Rev_SP-12me'!P208</f>
        <v>0</v>
      </c>
      <c r="I174" s="150">
        <f>'[18]Rev_SP-12me'!AA208</f>
        <v>0</v>
      </c>
      <c r="J174" s="7"/>
      <c r="K174" s="68">
        <f>'[18]Rev_SP-12me'!DM208</f>
        <v>374.2452899829</v>
      </c>
      <c r="L174" s="68">
        <f>'[18]Rev_SP-12me'!DN208</f>
        <v>2337.07725854575</v>
      </c>
      <c r="M174" s="68">
        <f>'[18]Rev_SP-12me'!DP208</f>
        <v>0.258</v>
      </c>
      <c r="N174" s="7"/>
      <c r="O174" s="68">
        <f t="shared" ref="O174:O215" si="4">SUM(K174:N174)</f>
        <v>2711.58054852865</v>
      </c>
    </row>
    <row r="175" customHeight="1" spans="2:15">
      <c r="B175" s="74" t="s">
        <v>1105</v>
      </c>
      <c r="C175" s="55"/>
      <c r="D175" s="79">
        <f>'[18]Rev_SP-12me'!H209</f>
        <v>48</v>
      </c>
      <c r="E175" s="79">
        <f>'[18]Rev_SP-12me'!I209</f>
        <v>803.10148065</v>
      </c>
      <c r="F175" s="79">
        <f>'[18]Rev_SP-12me'!K209</f>
        <v>676.66776155</v>
      </c>
      <c r="G175" s="153">
        <f>'[18]Rev_SP-12me'!O209</f>
        <v>500</v>
      </c>
      <c r="H175" s="101">
        <f>'[18]Rev_SP-12me'!P209</f>
        <v>6.65</v>
      </c>
      <c r="I175" s="153">
        <f>'[18]Rev_SP-12me'!AA209</f>
        <v>5000</v>
      </c>
      <c r="J175" s="7"/>
      <c r="K175" s="79">
        <f>'[18]Rev_SP-12me'!DM209</f>
        <v>374.2452899829</v>
      </c>
      <c r="L175" s="79">
        <f>'[18]Rev_SP-12me'!DN209</f>
        <v>449.98406143075</v>
      </c>
      <c r="M175" s="79">
        <f>'[18]Rev_SP-12me'!DP209</f>
        <v>0.258</v>
      </c>
      <c r="N175" s="7"/>
      <c r="O175" s="79">
        <f t="shared" si="4"/>
        <v>824.48735141365</v>
      </c>
    </row>
    <row r="176" customHeight="1" spans="2:15">
      <c r="B176" s="74" t="s">
        <v>1139</v>
      </c>
      <c r="C176" s="55"/>
      <c r="D176" s="94">
        <f>'[18]Rev_SP-12me'!H210</f>
        <v>0</v>
      </c>
      <c r="E176" s="94">
        <f>'[18]Rev_SP-12me'!I210</f>
        <v>0</v>
      </c>
      <c r="F176" s="94">
        <f>'[18]Rev_SP-12me'!K210</f>
        <v>205</v>
      </c>
      <c r="G176" s="174">
        <f>'[18]Rev_SP-12me'!O210</f>
        <v>0</v>
      </c>
      <c r="H176" s="185">
        <f>'[18]Rev_SP-12me'!P210</f>
        <v>6.65</v>
      </c>
      <c r="I176" s="174">
        <f>'[18]Rev_SP-12me'!AA210</f>
        <v>5000</v>
      </c>
      <c r="J176" s="7"/>
      <c r="K176" s="94">
        <f>'[18]Rev_SP-12me'!DM210</f>
        <v>0</v>
      </c>
      <c r="L176" s="94">
        <f>'[18]Rev_SP-12me'!DN210</f>
        <v>136.325</v>
      </c>
      <c r="M176" s="94">
        <f>'[18]Rev_SP-12me'!DP210</f>
        <v>0</v>
      </c>
      <c r="N176" s="7"/>
      <c r="O176" s="79">
        <f t="shared" si="4"/>
        <v>136.325</v>
      </c>
    </row>
    <row r="177" customHeight="1" spans="2:15">
      <c r="B177" s="74" t="s">
        <v>1140</v>
      </c>
      <c r="C177" s="55"/>
      <c r="D177" s="94">
        <f>'[18]Rev_SP-12me'!H211</f>
        <v>0</v>
      </c>
      <c r="E177" s="94">
        <f>'[18]Rev_SP-12me'!I211</f>
        <v>0</v>
      </c>
      <c r="F177" s="94">
        <f>'[18]Rev_SP-12me'!K211</f>
        <v>318.18396505</v>
      </c>
      <c r="G177" s="174">
        <f>'[18]Rev_SP-12me'!O211</f>
        <v>0</v>
      </c>
      <c r="H177" s="185">
        <f>'[18]Rev_SP-12me'!P211</f>
        <v>7.3</v>
      </c>
      <c r="I177" s="174">
        <f>'[18]Rev_SP-12me'!AA211</f>
        <v>5000</v>
      </c>
      <c r="J177" s="7"/>
      <c r="K177" s="94">
        <f>'[18]Rev_SP-12me'!DM211</f>
        <v>0</v>
      </c>
      <c r="L177" s="94">
        <f>'[18]Rev_SP-12me'!DN211</f>
        <v>232.2742944865</v>
      </c>
      <c r="M177" s="94">
        <f>'[18]Rev_SP-12me'!DP211</f>
        <v>0</v>
      </c>
      <c r="N177" s="7"/>
      <c r="O177" s="79">
        <f t="shared" si="4"/>
        <v>232.2742944865</v>
      </c>
    </row>
    <row r="178" customHeight="1" spans="2:15">
      <c r="B178" s="74" t="s">
        <v>1141</v>
      </c>
      <c r="C178" s="55"/>
      <c r="D178" s="94">
        <f>'[18]Rev_SP-12me'!H212</f>
        <v>0</v>
      </c>
      <c r="E178" s="94">
        <f>'[18]Rev_SP-12me'!I212</f>
        <v>0</v>
      </c>
      <c r="F178" s="94">
        <f>'[18]Rev_SP-12me'!K212</f>
        <v>0</v>
      </c>
      <c r="G178" s="174">
        <f>'[18]Rev_SP-12me'!O212</f>
        <v>500</v>
      </c>
      <c r="H178" s="185">
        <f>'[18]Rev_SP-12me'!P212</f>
        <v>7.7</v>
      </c>
      <c r="I178" s="174">
        <f>'[18]Rev_SP-12me'!AA212</f>
        <v>5000</v>
      </c>
      <c r="J178" s="7"/>
      <c r="K178" s="94">
        <f>'[18]Rev_SP-12me'!DM212</f>
        <v>0</v>
      </c>
      <c r="L178" s="94">
        <f>'[18]Rev_SP-12me'!DN212</f>
        <v>0</v>
      </c>
      <c r="M178" s="94">
        <f>'[18]Rev_SP-12me'!DP212</f>
        <v>0</v>
      </c>
      <c r="N178" s="7"/>
      <c r="O178" s="79">
        <f t="shared" si="4"/>
        <v>0</v>
      </c>
    </row>
    <row r="179" customHeight="1" spans="2:15">
      <c r="B179" s="76" t="s">
        <v>1120</v>
      </c>
      <c r="C179" s="55"/>
      <c r="D179" s="94">
        <f>'[18]Rev_SP-12me'!H213</f>
        <v>0</v>
      </c>
      <c r="E179" s="94">
        <f>'[18]Rev_SP-12me'!I213</f>
        <v>0</v>
      </c>
      <c r="F179" s="94">
        <f>'[18]Rev_SP-12me'!K213</f>
        <v>545.4116895</v>
      </c>
      <c r="G179" s="174">
        <f>'[18]Rev_SP-12me'!O213</f>
        <v>0</v>
      </c>
      <c r="H179" s="185">
        <f>'[18]Rev_SP-12me'!P213</f>
        <v>7.65</v>
      </c>
      <c r="I179" s="174">
        <f>'[18]Rev_SP-12me'!AA213</f>
        <v>5000</v>
      </c>
      <c r="J179" s="7"/>
      <c r="K179" s="94">
        <f>'[18]Rev_SP-12me'!DM213</f>
        <v>0</v>
      </c>
      <c r="L179" s="94">
        <f>'[18]Rev_SP-12me'!DN213</f>
        <v>417.2399424675</v>
      </c>
      <c r="M179" s="94">
        <f>'[18]Rev_SP-12me'!DP213</f>
        <v>0</v>
      </c>
      <c r="N179" s="7"/>
      <c r="O179" s="79">
        <f t="shared" si="4"/>
        <v>417.2399424675</v>
      </c>
    </row>
    <row r="180" customHeight="1" spans="2:15">
      <c r="B180" s="76" t="s">
        <v>1121</v>
      </c>
      <c r="C180" s="55"/>
      <c r="D180" s="94">
        <f>'[18]Rev_SP-12me'!H214</f>
        <v>0</v>
      </c>
      <c r="E180" s="94">
        <f>'[18]Rev_SP-12me'!I214</f>
        <v>0</v>
      </c>
      <c r="F180" s="94">
        <f>'[18]Rev_SP-12me'!K214</f>
        <v>578.83123525</v>
      </c>
      <c r="G180" s="174">
        <f>'[18]Rev_SP-12me'!O214</f>
        <v>0</v>
      </c>
      <c r="H180" s="185">
        <f>'[18]Rev_SP-12me'!P214</f>
        <v>7.65</v>
      </c>
      <c r="I180" s="174">
        <f>'[18]Rev_SP-12me'!AA214</f>
        <v>5000</v>
      </c>
      <c r="J180" s="7"/>
      <c r="K180" s="94">
        <f>'[18]Rev_SP-12me'!DM214</f>
        <v>0</v>
      </c>
      <c r="L180" s="94">
        <f>'[18]Rev_SP-12me'!DN214</f>
        <v>442.80589496625</v>
      </c>
      <c r="M180" s="94">
        <f>'[18]Rev_SP-12me'!DP214</f>
        <v>0</v>
      </c>
      <c r="N180" s="7"/>
      <c r="O180" s="79">
        <f t="shared" si="4"/>
        <v>442.80589496625</v>
      </c>
    </row>
    <row r="181" customHeight="1" spans="2:15">
      <c r="B181" s="76" t="s">
        <v>1122</v>
      </c>
      <c r="C181" s="55"/>
      <c r="D181" s="94">
        <f>'[18]Rev_SP-12me'!H215</f>
        <v>0</v>
      </c>
      <c r="E181" s="94">
        <f>'[18]Rev_SP-12me'!I215</f>
        <v>0</v>
      </c>
      <c r="F181" s="94">
        <f>'[18]Rev_SP-12me'!K215</f>
        <v>1211.11821465</v>
      </c>
      <c r="G181" s="174">
        <f>'[18]Rev_SP-12me'!O215</f>
        <v>0</v>
      </c>
      <c r="H181" s="185">
        <f>'[18]Rev_SP-12me'!P215</f>
        <v>5.15</v>
      </c>
      <c r="I181" s="174">
        <f>'[18]Rev_SP-12me'!AA215</f>
        <v>5000</v>
      </c>
      <c r="J181" s="7"/>
      <c r="K181" s="94">
        <f>'[18]Rev_SP-12me'!DM215</f>
        <v>0</v>
      </c>
      <c r="L181" s="94">
        <f>'[18]Rev_SP-12me'!DN215</f>
        <v>658.44806519475</v>
      </c>
      <c r="M181" s="94">
        <f>'[18]Rev_SP-12me'!DP215</f>
        <v>0</v>
      </c>
      <c r="N181" s="7"/>
      <c r="O181" s="79">
        <f t="shared" si="4"/>
        <v>658.44806519475</v>
      </c>
    </row>
    <row r="182" customHeight="1" spans="2:15">
      <c r="B182" s="71" t="s">
        <v>1118</v>
      </c>
      <c r="C182" s="55"/>
      <c r="D182" s="39">
        <f>'[18]Rev_SP-12me'!H217</f>
        <v>0</v>
      </c>
      <c r="E182" s="68">
        <f>'[18]Rev_SP-12me'!I217</f>
        <v>0</v>
      </c>
      <c r="F182" s="68">
        <f>'[18]Rev_SP-12me'!K217</f>
        <v>1181.25414434221</v>
      </c>
      <c r="G182" s="150">
        <f>'[18]Rev_SP-12me'!O217</f>
        <v>0</v>
      </c>
      <c r="H182" s="137">
        <f>'[18]Rev_SP-12me'!P217</f>
        <v>0</v>
      </c>
      <c r="I182" s="150"/>
      <c r="J182" s="7"/>
      <c r="K182" s="68">
        <f>'[18]Rev_SP-12me'!DM217</f>
        <v>0</v>
      </c>
      <c r="L182" s="68">
        <f>'[18]Rev_SP-12me'!DN217</f>
        <v>777.282395082533</v>
      </c>
      <c r="M182" s="68">
        <f>'[18]Rev_SP-12me'!DP217</f>
        <v>0.018</v>
      </c>
      <c r="N182" s="7"/>
      <c r="O182" s="68">
        <f t="shared" si="4"/>
        <v>777.300395082533</v>
      </c>
    </row>
    <row r="183" customHeight="1" spans="2:15">
      <c r="B183" s="74" t="s">
        <v>1119</v>
      </c>
      <c r="C183" s="55"/>
      <c r="D183" s="98">
        <f>'[18]Rev_SP-12me'!H218</f>
        <v>0</v>
      </c>
      <c r="E183" s="183">
        <f>'[18]Rev_SP-12me'!I218</f>
        <v>0</v>
      </c>
      <c r="F183" s="184">
        <f>'[18]Rev_SP-12me'!K218</f>
        <v>388.450694465199</v>
      </c>
      <c r="G183" s="179">
        <f>'[18]Rev_SP-12me'!O218</f>
        <v>500</v>
      </c>
      <c r="H183" s="185">
        <f>'[18]Rev_SP-12me'!P218</f>
        <v>6.65</v>
      </c>
      <c r="I183" s="174">
        <f>'[18]Rev_SP-12me'!AA218</f>
        <v>5000</v>
      </c>
      <c r="J183" s="7"/>
      <c r="K183" s="183">
        <f>'[18]Rev_SP-12me'!DM218</f>
        <v>0</v>
      </c>
      <c r="L183" s="183">
        <f>'[18]Rev_SP-12me'!DN218</f>
        <v>258.319711819358</v>
      </c>
      <c r="M183" s="183">
        <f>'[18]Rev_SP-12me'!DP218</f>
        <v>0.018</v>
      </c>
      <c r="N183" s="7"/>
      <c r="O183" s="79">
        <f t="shared" si="4"/>
        <v>258.337711819358</v>
      </c>
    </row>
    <row r="184" customHeight="1" spans="2:15">
      <c r="B184" s="74" t="s">
        <v>1120</v>
      </c>
      <c r="C184" s="55"/>
      <c r="D184" s="98">
        <f>'[18]Rev_SP-12me'!H219</f>
        <v>0</v>
      </c>
      <c r="E184" s="98">
        <f>'[18]Rev_SP-12me'!I219</f>
        <v>0</v>
      </c>
      <c r="F184" s="184">
        <f>'[18]Rev_SP-12me'!K219</f>
        <v>199.648192971762</v>
      </c>
      <c r="G184" s="179">
        <f>'[18]Rev_SP-12me'!O219</f>
        <v>0</v>
      </c>
      <c r="H184" s="185">
        <f>'[18]Rev_SP-12me'!P219</f>
        <v>7.65</v>
      </c>
      <c r="I184" s="174">
        <f>'[18]Rev_SP-12me'!AA219</f>
        <v>5000</v>
      </c>
      <c r="J184" s="7"/>
      <c r="K184" s="98">
        <f>'[18]Rev_SP-12me'!DM219</f>
        <v>0</v>
      </c>
      <c r="L184" s="98">
        <f>'[18]Rev_SP-12me'!DN219</f>
        <v>152.730867623398</v>
      </c>
      <c r="M184" s="98">
        <f>'[18]Rev_SP-12me'!DP219</f>
        <v>0</v>
      </c>
      <c r="N184" s="7"/>
      <c r="O184" s="79">
        <f t="shared" si="4"/>
        <v>152.730867623398</v>
      </c>
    </row>
    <row r="185" customHeight="1" spans="2:15">
      <c r="B185" s="74" t="s">
        <v>1121</v>
      </c>
      <c r="C185" s="55"/>
      <c r="D185" s="98">
        <f>'[18]Rev_SP-12me'!H220</f>
        <v>0</v>
      </c>
      <c r="E185" s="98">
        <f>'[18]Rev_SP-12me'!I220</f>
        <v>0</v>
      </c>
      <c r="F185" s="184">
        <f>'[18]Rev_SP-12me'!K220</f>
        <v>196.7377094828</v>
      </c>
      <c r="G185" s="179">
        <f>'[18]Rev_SP-12me'!O220</f>
        <v>0</v>
      </c>
      <c r="H185" s="185">
        <f>'[18]Rev_SP-12me'!P220</f>
        <v>7.65</v>
      </c>
      <c r="I185" s="174">
        <f>'[18]Rev_SP-12me'!AA220</f>
        <v>5000</v>
      </c>
      <c r="J185" s="7"/>
      <c r="K185" s="98">
        <f>'[18]Rev_SP-12me'!DM220</f>
        <v>0</v>
      </c>
      <c r="L185" s="98">
        <f>'[18]Rev_SP-12me'!DN220</f>
        <v>150.504347754342</v>
      </c>
      <c r="M185" s="98">
        <f>'[18]Rev_SP-12me'!DP220</f>
        <v>0</v>
      </c>
      <c r="N185" s="7"/>
      <c r="O185" s="79">
        <f t="shared" si="4"/>
        <v>150.504347754342</v>
      </c>
    </row>
    <row r="186" customHeight="1" spans="2:15">
      <c r="B186" s="74" t="s">
        <v>1122</v>
      </c>
      <c r="C186" s="55"/>
      <c r="D186" s="98">
        <f>'[18]Rev_SP-12me'!H221</f>
        <v>0</v>
      </c>
      <c r="E186" s="98">
        <f>'[18]Rev_SP-12me'!I221</f>
        <v>0</v>
      </c>
      <c r="F186" s="184">
        <f>'[18]Rev_SP-12me'!K221</f>
        <v>396.417547422454</v>
      </c>
      <c r="G186" s="179">
        <f>'[18]Rev_SP-12me'!O221</f>
        <v>0</v>
      </c>
      <c r="H186" s="185">
        <f>'[18]Rev_SP-12me'!P221</f>
        <v>5.15</v>
      </c>
      <c r="I186" s="174">
        <f>'[18]Rev_SP-12me'!AA221</f>
        <v>5000</v>
      </c>
      <c r="J186" s="7"/>
      <c r="K186" s="98">
        <f>'[18]Rev_SP-12me'!DM221</f>
        <v>0</v>
      </c>
      <c r="L186" s="98">
        <f>'[18]Rev_SP-12me'!DN221</f>
        <v>215.727467885435</v>
      </c>
      <c r="M186" s="98">
        <f>'[18]Rev_SP-12me'!DP221</f>
        <v>0</v>
      </c>
      <c r="N186" s="7"/>
      <c r="O186" s="79">
        <f t="shared" si="4"/>
        <v>215.727467885435</v>
      </c>
    </row>
    <row r="187" customHeight="1" spans="2:15">
      <c r="B187" s="71" t="s">
        <v>1153</v>
      </c>
      <c r="C187" s="55"/>
      <c r="D187" s="39">
        <f>'[18]Rev_SP-12me'!H216</f>
        <v>0</v>
      </c>
      <c r="E187" s="68">
        <f>'[18]Rev_SP-12me'!I216</f>
        <v>0</v>
      </c>
      <c r="F187" s="68">
        <f>'[18]Rev_SP-12me'!K216</f>
        <v>149.934735</v>
      </c>
      <c r="G187" s="150">
        <f>'[18]Rev_SP-12me'!O216</f>
        <v>500</v>
      </c>
      <c r="H187" s="137">
        <f>'[18]Rev_SP-12me'!P216</f>
        <v>6.65</v>
      </c>
      <c r="I187" s="150">
        <f>'[18]Rev_SP-12me'!AA216</f>
        <v>5000</v>
      </c>
      <c r="J187" s="7"/>
      <c r="K187" s="68">
        <f>'[18]Rev_SP-12me'!DM216</f>
        <v>0</v>
      </c>
      <c r="L187" s="68">
        <f>'[18]Rev_SP-12me'!DN216</f>
        <v>99.706598775</v>
      </c>
      <c r="M187" s="68">
        <f>'[18]Rev_SP-12me'!DP216</f>
        <v>0.006</v>
      </c>
      <c r="N187" s="7"/>
      <c r="O187" s="68">
        <f t="shared" si="4"/>
        <v>99.712598775</v>
      </c>
    </row>
    <row r="188" customHeight="1" spans="2:15">
      <c r="B188" s="71" t="s">
        <v>1154</v>
      </c>
      <c r="C188" s="55"/>
      <c r="D188" s="68">
        <f>'[18]Rev_SP-12me'!H222</f>
        <v>9</v>
      </c>
      <c r="E188" s="68">
        <f>'[18]Rev_SP-12me'!I222</f>
        <v>88.6172839965</v>
      </c>
      <c r="F188" s="68">
        <f>'[18]Rev_SP-12me'!K222</f>
        <v>202.610551505612</v>
      </c>
      <c r="G188" s="150">
        <f>'[18]Rev_SP-12me'!O222</f>
        <v>0</v>
      </c>
      <c r="H188" s="137">
        <f>'[18]Rev_SP-12me'!P222</f>
        <v>0</v>
      </c>
      <c r="I188" s="150">
        <f>'[18]Rev_SP-12me'!AA222</f>
        <v>0</v>
      </c>
      <c r="J188" s="7"/>
      <c r="K188" s="68">
        <f>'[18]Rev_SP-12me'!DM222</f>
        <v>41.295654342369</v>
      </c>
      <c r="L188" s="68">
        <f>'[18]Rev_SP-12me'!DN222</f>
        <v>157.654462813162</v>
      </c>
      <c r="M188" s="68">
        <f>'[18]Rev_SP-12me'!DP222</f>
        <v>0.045</v>
      </c>
      <c r="N188" s="7"/>
      <c r="O188" s="68">
        <f t="shared" si="4"/>
        <v>198.995117155531</v>
      </c>
    </row>
    <row r="189" customHeight="1" spans="2:15">
      <c r="B189" s="76" t="s">
        <v>1119</v>
      </c>
      <c r="C189" s="55"/>
      <c r="D189" s="94">
        <f>'[18]Rev_SP-12me'!H223</f>
        <v>9</v>
      </c>
      <c r="E189" s="94">
        <f>'[18]Rev_SP-12me'!I223</f>
        <v>88.6172839965</v>
      </c>
      <c r="F189" s="94">
        <f>'[18]Rev_SP-12me'!K223</f>
        <v>81.6030423324876</v>
      </c>
      <c r="G189" s="174">
        <f>'[18]Rev_SP-12me'!O223</f>
        <v>500</v>
      </c>
      <c r="H189" s="185">
        <f>'[18]Rev_SP-12me'!P223</f>
        <v>7.8</v>
      </c>
      <c r="I189" s="174">
        <f>'[18]Rev_SP-12me'!AA223</f>
        <v>5000</v>
      </c>
      <c r="J189" s="7"/>
      <c r="K189" s="94">
        <f>'[18]Rev_SP-12me'!DM223</f>
        <v>41.295654342369</v>
      </c>
      <c r="L189" s="94">
        <f>'[18]Rev_SP-12me'!DN223</f>
        <v>63.6503730193403</v>
      </c>
      <c r="M189" s="94">
        <f>'[18]Rev_SP-12me'!DP223</f>
        <v>0.045</v>
      </c>
      <c r="N189" s="7"/>
      <c r="O189" s="79">
        <f t="shared" si="4"/>
        <v>104.991027361709</v>
      </c>
    </row>
    <row r="190" customHeight="1" spans="2:15">
      <c r="B190" s="76" t="s">
        <v>1120</v>
      </c>
      <c r="C190" s="55"/>
      <c r="D190" s="94">
        <f>'[18]Rev_SP-12me'!H224</f>
        <v>0</v>
      </c>
      <c r="E190" s="94">
        <f>'[18]Rev_SP-12me'!I224</f>
        <v>0</v>
      </c>
      <c r="F190" s="94">
        <f>'[18]Rev_SP-12me'!K224</f>
        <v>31.8705442945185</v>
      </c>
      <c r="G190" s="174">
        <f>'[18]Rev_SP-12me'!O224</f>
        <v>0</v>
      </c>
      <c r="H190" s="185">
        <f>'[18]Rev_SP-12me'!P224</f>
        <v>8.8</v>
      </c>
      <c r="I190" s="174">
        <f>'[18]Rev_SP-12me'!AA224</f>
        <v>5000</v>
      </c>
      <c r="J190" s="7"/>
      <c r="K190" s="94">
        <f>'[18]Rev_SP-12me'!DM224</f>
        <v>0</v>
      </c>
      <c r="L190" s="94">
        <f>'[18]Rev_SP-12me'!DN224</f>
        <v>28.0460789791763</v>
      </c>
      <c r="M190" s="94">
        <f>'[18]Rev_SP-12me'!DP224</f>
        <v>0</v>
      </c>
      <c r="N190" s="7"/>
      <c r="O190" s="79">
        <f t="shared" si="4"/>
        <v>28.0460789791763</v>
      </c>
    </row>
    <row r="191" customHeight="1" spans="2:15">
      <c r="B191" s="76" t="s">
        <v>1121</v>
      </c>
      <c r="C191" s="55"/>
      <c r="D191" s="94">
        <f>'[18]Rev_SP-12me'!H225</f>
        <v>0</v>
      </c>
      <c r="E191" s="94">
        <f>'[18]Rev_SP-12me'!I225</f>
        <v>0</v>
      </c>
      <c r="F191" s="94">
        <f>'[18]Rev_SP-12me'!K225</f>
        <v>32.3400244850589</v>
      </c>
      <c r="G191" s="174">
        <f>'[18]Rev_SP-12me'!O225</f>
        <v>0</v>
      </c>
      <c r="H191" s="185">
        <f>'[18]Rev_SP-12me'!P225</f>
        <v>8.8</v>
      </c>
      <c r="I191" s="174">
        <f>'[18]Rev_SP-12me'!AA225</f>
        <v>5000</v>
      </c>
      <c r="J191" s="7"/>
      <c r="K191" s="94">
        <f>'[18]Rev_SP-12me'!DM225</f>
        <v>0</v>
      </c>
      <c r="L191" s="94">
        <f>'[18]Rev_SP-12me'!DN225</f>
        <v>28.4592215468519</v>
      </c>
      <c r="M191" s="94">
        <f>'[18]Rev_SP-12me'!DP225</f>
        <v>0</v>
      </c>
      <c r="N191" s="7"/>
      <c r="O191" s="79">
        <f t="shared" si="4"/>
        <v>28.4592215468519</v>
      </c>
    </row>
    <row r="192" customHeight="1" spans="2:15">
      <c r="B192" s="76" t="s">
        <v>1122</v>
      </c>
      <c r="C192" s="55"/>
      <c r="D192" s="94">
        <f>'[18]Rev_SP-12me'!H226</f>
        <v>0</v>
      </c>
      <c r="E192" s="94">
        <f>'[18]Rev_SP-12me'!I226</f>
        <v>0</v>
      </c>
      <c r="F192" s="94">
        <f>'[18]Rev_SP-12me'!K226</f>
        <v>56.7969403935472</v>
      </c>
      <c r="G192" s="174">
        <f>'[18]Rev_SP-12me'!O226</f>
        <v>0</v>
      </c>
      <c r="H192" s="185">
        <f>'[18]Rev_SP-12me'!P226</f>
        <v>6.3</v>
      </c>
      <c r="I192" s="174">
        <f>'[18]Rev_SP-12me'!AA226</f>
        <v>5000</v>
      </c>
      <c r="J192" s="7"/>
      <c r="K192" s="94">
        <f>'[18]Rev_SP-12me'!DM226</f>
        <v>0</v>
      </c>
      <c r="L192" s="94">
        <f>'[18]Rev_SP-12me'!DN226</f>
        <v>37.4987892677936</v>
      </c>
      <c r="M192" s="94">
        <f>'[18]Rev_SP-12me'!DP226</f>
        <v>0</v>
      </c>
      <c r="N192" s="7"/>
      <c r="O192" s="79">
        <f t="shared" si="4"/>
        <v>37.4987892677936</v>
      </c>
    </row>
    <row r="193" customHeight="1" spans="2:15">
      <c r="B193" s="71" t="s">
        <v>1125</v>
      </c>
      <c r="C193" s="55"/>
      <c r="D193" s="68">
        <f>'[18]Rev_SP-12me'!H227</f>
        <v>0</v>
      </c>
      <c r="E193" s="68">
        <f>'[18]Rev_SP-12me'!I227</f>
        <v>0</v>
      </c>
      <c r="F193" s="68">
        <f>'[18]Rev_SP-12me'!K227</f>
        <v>0</v>
      </c>
      <c r="G193" s="150">
        <f>'[18]Rev_SP-12me'!O227</f>
        <v>0</v>
      </c>
      <c r="H193" s="137">
        <f>'[18]Rev_SP-12me'!P227</f>
        <v>0</v>
      </c>
      <c r="I193" s="150">
        <f>'[18]Rev_SP-12me'!AA227</f>
        <v>0</v>
      </c>
      <c r="J193" s="7"/>
      <c r="K193" s="68">
        <f>'[18]Rev_SP-12me'!DM227</f>
        <v>0</v>
      </c>
      <c r="L193" s="68">
        <f>'[18]Rev_SP-12me'!DN227</f>
        <v>0</v>
      </c>
      <c r="M193" s="68">
        <f>'[18]Rev_SP-12me'!DP227</f>
        <v>0</v>
      </c>
      <c r="N193" s="7"/>
      <c r="O193" s="68">
        <f t="shared" si="4"/>
        <v>0</v>
      </c>
    </row>
    <row r="194" customHeight="1" spans="2:15">
      <c r="B194" s="74" t="s">
        <v>1119</v>
      </c>
      <c r="C194" s="55"/>
      <c r="D194" s="94">
        <f>'[18]Rev_SP-12me'!H228</f>
        <v>0</v>
      </c>
      <c r="E194" s="94">
        <f>'[18]Rev_SP-12me'!I228</f>
        <v>0</v>
      </c>
      <c r="F194" s="94">
        <f>'[18]Rev_SP-12me'!K228</f>
        <v>0</v>
      </c>
      <c r="G194" s="174">
        <f>'[18]Rev_SP-12me'!O228</f>
        <v>285</v>
      </c>
      <c r="H194" s="185">
        <f>'[18]Rev_SP-12me'!P228</f>
        <v>5</v>
      </c>
      <c r="I194" s="174">
        <f>'[18]Rev_SP-12me'!AA228</f>
        <v>5000</v>
      </c>
      <c r="J194" s="7"/>
      <c r="K194" s="94">
        <f>'[18]Rev_SP-12me'!DM228</f>
        <v>0</v>
      </c>
      <c r="L194" s="94">
        <f>'[18]Rev_SP-12me'!DN228</f>
        <v>0</v>
      </c>
      <c r="M194" s="94">
        <f>'[18]Rev_SP-12me'!DP228</f>
        <v>0</v>
      </c>
      <c r="N194" s="7"/>
      <c r="O194" s="79">
        <f t="shared" si="4"/>
        <v>0</v>
      </c>
    </row>
    <row r="195" customHeight="1" spans="2:15">
      <c r="B195" s="74" t="s">
        <v>1120</v>
      </c>
      <c r="C195" s="55"/>
      <c r="D195" s="94">
        <f>'[18]Rev_SP-12me'!H229</f>
        <v>0</v>
      </c>
      <c r="E195" s="94">
        <f>'[18]Rev_SP-12me'!I229</f>
        <v>0</v>
      </c>
      <c r="F195" s="94">
        <f>'[18]Rev_SP-12me'!K229</f>
        <v>0</v>
      </c>
      <c r="G195" s="174">
        <f>'[18]Rev_SP-12me'!O229</f>
        <v>0</v>
      </c>
      <c r="H195" s="185">
        <f>'[18]Rev_SP-12me'!P229</f>
        <v>6</v>
      </c>
      <c r="I195" s="174">
        <f>'[18]Rev_SP-12me'!AA229</f>
        <v>5000</v>
      </c>
      <c r="J195" s="7"/>
      <c r="K195" s="94">
        <f>'[18]Rev_SP-12me'!DM229</f>
        <v>0</v>
      </c>
      <c r="L195" s="94">
        <f>'[18]Rev_SP-12me'!DN229</f>
        <v>0</v>
      </c>
      <c r="M195" s="94">
        <f>'[18]Rev_SP-12me'!DP229</f>
        <v>0</v>
      </c>
      <c r="N195" s="7"/>
      <c r="O195" s="79">
        <f t="shared" si="4"/>
        <v>0</v>
      </c>
    </row>
    <row r="196" customHeight="1" spans="2:15">
      <c r="B196" s="74" t="s">
        <v>1121</v>
      </c>
      <c r="C196" s="55"/>
      <c r="D196" s="94">
        <f>'[18]Rev_SP-12me'!H230</f>
        <v>0</v>
      </c>
      <c r="E196" s="94">
        <f>'[18]Rev_SP-12me'!I230</f>
        <v>0</v>
      </c>
      <c r="F196" s="94">
        <f>'[18]Rev_SP-12me'!K230</f>
        <v>0</v>
      </c>
      <c r="G196" s="174">
        <f>'[18]Rev_SP-12me'!O230</f>
        <v>0</v>
      </c>
      <c r="H196" s="185">
        <f>'[18]Rev_SP-12me'!P230</f>
        <v>6</v>
      </c>
      <c r="I196" s="174">
        <f>'[18]Rev_SP-12me'!AA230</f>
        <v>5000</v>
      </c>
      <c r="J196" s="7"/>
      <c r="K196" s="94">
        <f>'[18]Rev_SP-12me'!DM230</f>
        <v>0</v>
      </c>
      <c r="L196" s="94">
        <f>'[18]Rev_SP-12me'!DN230</f>
        <v>0</v>
      </c>
      <c r="M196" s="94">
        <f>'[18]Rev_SP-12me'!DP230</f>
        <v>0</v>
      </c>
      <c r="N196" s="7"/>
      <c r="O196" s="79">
        <f t="shared" si="4"/>
        <v>0</v>
      </c>
    </row>
    <row r="197" customHeight="1" spans="2:15">
      <c r="B197" s="74" t="s">
        <v>1122</v>
      </c>
      <c r="C197" s="55"/>
      <c r="D197" s="94">
        <f>'[18]Rev_SP-12me'!H231</f>
        <v>0</v>
      </c>
      <c r="E197" s="94">
        <f>'[18]Rev_SP-12me'!I231</f>
        <v>0</v>
      </c>
      <c r="F197" s="94">
        <f>'[18]Rev_SP-12me'!K231</f>
        <v>0</v>
      </c>
      <c r="G197" s="174">
        <f>'[18]Rev_SP-12me'!O231</f>
        <v>0</v>
      </c>
      <c r="H197" s="185">
        <f>'[18]Rev_SP-12me'!P231</f>
        <v>3.5</v>
      </c>
      <c r="I197" s="174">
        <f>'[18]Rev_SP-12me'!AA231</f>
        <v>5000</v>
      </c>
      <c r="J197" s="7"/>
      <c r="K197" s="94">
        <f>'[18]Rev_SP-12me'!DM231</f>
        <v>0</v>
      </c>
      <c r="L197" s="94">
        <f>'[18]Rev_SP-12me'!DN231</f>
        <v>0</v>
      </c>
      <c r="M197" s="94">
        <f>'[18]Rev_SP-12me'!DP231</f>
        <v>0</v>
      </c>
      <c r="N197" s="7"/>
      <c r="O197" s="79">
        <f t="shared" si="4"/>
        <v>0</v>
      </c>
    </row>
    <row r="198" customHeight="1" spans="2:15">
      <c r="B198" s="71" t="s">
        <v>1126</v>
      </c>
      <c r="C198" s="55"/>
      <c r="D198" s="68">
        <f>'[18]Rev_SP-12me'!H232</f>
        <v>1</v>
      </c>
      <c r="E198" s="68">
        <f>'[18]Rev_SP-12me'!I232</f>
        <v>17.9828059760959</v>
      </c>
      <c r="F198" s="68">
        <f>'[18]Rev_SP-12me'!K232</f>
        <v>109.964613322014</v>
      </c>
      <c r="G198" s="150">
        <f>'[18]Rev_SP-12me'!O232</f>
        <v>0</v>
      </c>
      <c r="H198" s="137">
        <f>'[18]Rev_SP-12me'!P232</f>
        <v>0</v>
      </c>
      <c r="I198" s="150">
        <f>'[18]Rev_SP-12me'!AA232</f>
        <v>0</v>
      </c>
      <c r="J198" s="7"/>
      <c r="K198" s="68">
        <f>'[18]Rev_SP-12me'!DM232</f>
        <v>8.37998758486069</v>
      </c>
      <c r="L198" s="68">
        <f>'[18]Rev_SP-12me'!DN232</f>
        <v>81.0592929091474</v>
      </c>
      <c r="M198" s="68">
        <f>'[18]Rev_SP-12me'!DP232</f>
        <v>0.006</v>
      </c>
      <c r="N198" s="7"/>
      <c r="O198" s="68">
        <f t="shared" si="4"/>
        <v>89.4452804940081</v>
      </c>
    </row>
    <row r="199" customHeight="1" spans="2:15">
      <c r="B199" s="76" t="s">
        <v>1119</v>
      </c>
      <c r="C199" s="55"/>
      <c r="D199" s="94">
        <f>'[18]Rev_SP-12me'!H233</f>
        <v>1</v>
      </c>
      <c r="E199" s="94">
        <f>'[18]Rev_SP-12me'!I233</f>
        <v>17.9828059760959</v>
      </c>
      <c r="F199" s="94">
        <f>'[18]Rev_SP-12me'!K233</f>
        <v>31.8450581750821</v>
      </c>
      <c r="G199" s="174">
        <f>'[18]Rev_SP-12me'!O233</f>
        <v>500</v>
      </c>
      <c r="H199" s="185">
        <f>'[18]Rev_SP-12me'!P233</f>
        <v>7.45</v>
      </c>
      <c r="I199" s="174">
        <f>'[18]Rev_SP-12me'!AA233</f>
        <v>5000</v>
      </c>
      <c r="J199" s="7"/>
      <c r="K199" s="94">
        <f>'[18]Rev_SP-12me'!DM233</f>
        <v>8.37998758486069</v>
      </c>
      <c r="L199" s="94">
        <f>'[18]Rev_SP-12me'!DN233</f>
        <v>23.7245683404362</v>
      </c>
      <c r="M199" s="94">
        <f>'[18]Rev_SP-12me'!DP233</f>
        <v>0.006</v>
      </c>
      <c r="N199" s="7"/>
      <c r="O199" s="79">
        <f t="shared" si="4"/>
        <v>32.1105559252969</v>
      </c>
    </row>
    <row r="200" customHeight="1" spans="2:15">
      <c r="B200" s="76" t="s">
        <v>1120</v>
      </c>
      <c r="C200" s="55"/>
      <c r="D200" s="94">
        <f>'[18]Rev_SP-12me'!H234</f>
        <v>0</v>
      </c>
      <c r="E200" s="94">
        <f>'[18]Rev_SP-12me'!I234</f>
        <v>0</v>
      </c>
      <c r="F200" s="94">
        <f>'[18]Rev_SP-12me'!K234</f>
        <v>19.6705959035749</v>
      </c>
      <c r="G200" s="174">
        <f>'[18]Rev_SP-12me'!O234</f>
        <v>0</v>
      </c>
      <c r="H200" s="185">
        <f>'[18]Rev_SP-12me'!P234</f>
        <v>8.45</v>
      </c>
      <c r="I200" s="174">
        <f>'[18]Rev_SP-12me'!AA234</f>
        <v>5000</v>
      </c>
      <c r="J200" s="7"/>
      <c r="K200" s="94">
        <f>'[18]Rev_SP-12me'!DM234</f>
        <v>0</v>
      </c>
      <c r="L200" s="94">
        <f>'[18]Rev_SP-12me'!DN234</f>
        <v>16.6216535385208</v>
      </c>
      <c r="M200" s="94">
        <f>'[18]Rev_SP-12me'!DP234</f>
        <v>0</v>
      </c>
      <c r="N200" s="7"/>
      <c r="O200" s="79">
        <f t="shared" si="4"/>
        <v>16.6216535385208</v>
      </c>
    </row>
    <row r="201" customHeight="1" spans="2:15">
      <c r="B201" s="76" t="s">
        <v>1121</v>
      </c>
      <c r="C201" s="55"/>
      <c r="D201" s="94">
        <f>'[18]Rev_SP-12me'!H235</f>
        <v>0</v>
      </c>
      <c r="E201" s="94">
        <f>'[18]Rev_SP-12me'!I235</f>
        <v>0</v>
      </c>
      <c r="F201" s="94">
        <f>'[18]Rev_SP-12me'!K235</f>
        <v>19.0143640346531</v>
      </c>
      <c r="G201" s="174">
        <f>'[18]Rev_SP-12me'!O235</f>
        <v>0</v>
      </c>
      <c r="H201" s="185">
        <f>'[18]Rev_SP-12me'!P235</f>
        <v>8.45</v>
      </c>
      <c r="I201" s="174">
        <f>'[18]Rev_SP-12me'!AA235</f>
        <v>5000</v>
      </c>
      <c r="J201" s="7"/>
      <c r="K201" s="94">
        <f>'[18]Rev_SP-12me'!DM235</f>
        <v>0</v>
      </c>
      <c r="L201" s="94">
        <f>'[18]Rev_SP-12me'!DN235</f>
        <v>16.0671376092819</v>
      </c>
      <c r="M201" s="94">
        <f>'[18]Rev_SP-12me'!DP235</f>
        <v>0</v>
      </c>
      <c r="N201" s="7"/>
      <c r="O201" s="79">
        <f t="shared" si="4"/>
        <v>16.0671376092819</v>
      </c>
    </row>
    <row r="202" customHeight="1" spans="2:15">
      <c r="B202" s="76" t="s">
        <v>1122</v>
      </c>
      <c r="C202" s="55"/>
      <c r="D202" s="94">
        <f>'[18]Rev_SP-12me'!H236</f>
        <v>0</v>
      </c>
      <c r="E202" s="94">
        <f>'[18]Rev_SP-12me'!I236</f>
        <v>0</v>
      </c>
      <c r="F202" s="94">
        <f>'[18]Rev_SP-12me'!K236</f>
        <v>39.4345952087034</v>
      </c>
      <c r="G202" s="174">
        <f>'[18]Rev_SP-12me'!O236</f>
        <v>0</v>
      </c>
      <c r="H202" s="185">
        <f>'[18]Rev_SP-12me'!P236</f>
        <v>5.95</v>
      </c>
      <c r="I202" s="174">
        <f>'[18]Rev_SP-12me'!AA236</f>
        <v>5000</v>
      </c>
      <c r="J202" s="7"/>
      <c r="K202" s="94">
        <f>'[18]Rev_SP-12me'!DM236</f>
        <v>0</v>
      </c>
      <c r="L202" s="94">
        <f>'[18]Rev_SP-12me'!DN236</f>
        <v>24.6459334209086</v>
      </c>
      <c r="M202" s="94">
        <f>'[18]Rev_SP-12me'!DP236</f>
        <v>0</v>
      </c>
      <c r="N202" s="7"/>
      <c r="O202" s="79">
        <f t="shared" si="4"/>
        <v>24.6459334209086</v>
      </c>
    </row>
    <row r="203" customHeight="1" spans="2:15">
      <c r="B203" s="71" t="s">
        <v>1155</v>
      </c>
      <c r="C203" s="55"/>
      <c r="D203" s="68">
        <f>'[18]Rev_SP-12me'!H237</f>
        <v>21</v>
      </c>
      <c r="E203" s="68">
        <f>'[18]Rev_SP-12me'!I237</f>
        <v>715.1565225</v>
      </c>
      <c r="F203" s="68">
        <f>'[18]Rev_SP-12me'!K237</f>
        <v>1522.4983747842</v>
      </c>
      <c r="G203" s="150">
        <f>'[18]Rev_SP-12me'!O237</f>
        <v>0</v>
      </c>
      <c r="H203" s="137">
        <f>'[18]Rev_SP-12me'!P237</f>
        <v>0</v>
      </c>
      <c r="I203" s="150">
        <f>'[18]Rev_SP-12me'!AA237</f>
        <v>0</v>
      </c>
      <c r="J203" s="7"/>
      <c r="K203" s="68">
        <f>'[18]Rev_SP-12me'!DM237</f>
        <v>117.367614708203</v>
      </c>
      <c r="L203" s="68">
        <f>'[18]Rev_SP-12me'!DN237</f>
        <v>959.173976114046</v>
      </c>
      <c r="M203" s="68">
        <f>'[18]Rev_SP-12me'!DP237</f>
        <v>0.126</v>
      </c>
      <c r="N203" s="7"/>
      <c r="O203" s="68">
        <f t="shared" si="4"/>
        <v>1076.66759082225</v>
      </c>
    </row>
    <row r="204" customHeight="1" spans="2:15">
      <c r="B204" s="74" t="s">
        <v>1128</v>
      </c>
      <c r="C204" s="55"/>
      <c r="D204" s="94">
        <f>'[18]Rev_SP-12me'!H238</f>
        <v>21</v>
      </c>
      <c r="E204" s="94">
        <f>'[18]Rev_SP-12me'!I238</f>
        <v>715.1565225</v>
      </c>
      <c r="F204" s="94">
        <f>'[18]Rev_SP-12me'!K238</f>
        <v>1522.4983747842</v>
      </c>
      <c r="G204" s="174">
        <f>'[18]Rev_SP-12me'!O238</f>
        <v>300</v>
      </c>
      <c r="H204" s="185">
        <f>'[18]Rev_SP-12me'!P238</f>
        <v>6.3</v>
      </c>
      <c r="I204" s="174">
        <f>'[18]Rev_SP-12me'!AA238</f>
        <v>5000</v>
      </c>
      <c r="J204" s="7"/>
      <c r="K204" s="94">
        <f>'[18]Rev_SP-12me'!DM238</f>
        <v>117.367614708203</v>
      </c>
      <c r="L204" s="94">
        <f>'[18]Rev_SP-12me'!DN238</f>
        <v>959.173976114046</v>
      </c>
      <c r="M204" s="94">
        <f>'[18]Rev_SP-12me'!DP238</f>
        <v>0.126</v>
      </c>
      <c r="N204" s="7"/>
      <c r="O204" s="79">
        <f t="shared" si="4"/>
        <v>1076.66759082225</v>
      </c>
    </row>
    <row r="205" customHeight="1" spans="2:15">
      <c r="B205" s="74" t="s">
        <v>1156</v>
      </c>
      <c r="C205" s="55"/>
      <c r="D205" s="94">
        <f>'[18]Rev_SP-12me'!H239</f>
        <v>0</v>
      </c>
      <c r="E205" s="94">
        <f>'[18]Rev_SP-12me'!I239</f>
        <v>0</v>
      </c>
      <c r="F205" s="94">
        <f>'[18]Rev_SP-12me'!K239</f>
        <v>0</v>
      </c>
      <c r="G205" s="174">
        <f>'[18]Rev_SP-12me'!O239</f>
        <v>300</v>
      </c>
      <c r="H205" s="185">
        <f>'[18]Rev_SP-12me'!P239</f>
        <v>6.3</v>
      </c>
      <c r="I205" s="174">
        <f>'[18]Rev_SP-12me'!AA239</f>
        <v>5000</v>
      </c>
      <c r="J205" s="7"/>
      <c r="K205" s="94">
        <f>'[18]Rev_SP-12me'!DM239</f>
        <v>0</v>
      </c>
      <c r="L205" s="94">
        <f>'[18]Rev_SP-12me'!DN239</f>
        <v>0</v>
      </c>
      <c r="M205" s="94">
        <f>'[18]Rev_SP-12me'!DP239</f>
        <v>0</v>
      </c>
      <c r="N205" s="7"/>
      <c r="O205" s="79">
        <f t="shared" si="4"/>
        <v>0</v>
      </c>
    </row>
    <row r="206" customHeight="1" spans="2:15">
      <c r="B206" s="71" t="s">
        <v>1157</v>
      </c>
      <c r="C206" s="55"/>
      <c r="D206" s="39">
        <f>'[18]Rev_SP-12me'!H247</f>
        <v>2</v>
      </c>
      <c r="E206" s="68">
        <f>'[18]Rev_SP-12me'!I247</f>
        <v>55.3686</v>
      </c>
      <c r="F206" s="68">
        <f>'[18]Rev_SP-12me'!K247</f>
        <v>291.523761861199</v>
      </c>
      <c r="G206" s="150">
        <f>'[18]Rev_SP-12me'!O247</f>
        <v>0</v>
      </c>
      <c r="H206" s="137">
        <f>'[18]Rev_SP-12me'!P247</f>
        <v>0</v>
      </c>
      <c r="I206" s="150">
        <f>'[18]Rev_SP-12me'!AA247</f>
        <v>0</v>
      </c>
      <c r="J206" s="7"/>
      <c r="K206" s="68">
        <f>'[18]Rev_SP-12me'!DM247</f>
        <v>0</v>
      </c>
      <c r="L206" s="68">
        <f>'[18]Rev_SP-12me'!DN247</f>
        <v>177.829494735331</v>
      </c>
      <c r="M206" s="68">
        <f>'[18]Rev_SP-12me'!DP247</f>
        <v>0.012</v>
      </c>
      <c r="N206" s="7"/>
      <c r="O206" s="68">
        <f t="shared" si="4"/>
        <v>177.841494735331</v>
      </c>
    </row>
    <row r="207" customHeight="1" spans="2:15">
      <c r="B207" s="74" t="s">
        <v>220</v>
      </c>
      <c r="C207" s="55"/>
      <c r="D207" s="98">
        <f>'[18]Rev_SP-12me'!H248</f>
        <v>2</v>
      </c>
      <c r="E207" s="94">
        <f>'[18]Rev_SP-12me'!I248</f>
        <v>55.3686</v>
      </c>
      <c r="F207" s="94">
        <f>'[18]Rev_SP-12me'!K248</f>
        <v>291.523761861199</v>
      </c>
      <c r="G207" s="174">
        <f>'[18]Rev_SP-12me'!O248</f>
        <v>0</v>
      </c>
      <c r="H207" s="185">
        <f>'[18]Rev_SP-12me'!P248</f>
        <v>6.1</v>
      </c>
      <c r="I207" s="174">
        <f>'[18]Rev_SP-12me'!AA248</f>
        <v>5000</v>
      </c>
      <c r="J207" s="7"/>
      <c r="K207" s="94">
        <f>'[18]Rev_SP-12me'!DM248</f>
        <v>0</v>
      </c>
      <c r="L207" s="94">
        <f>'[18]Rev_SP-12me'!DN248</f>
        <v>177.829494735331</v>
      </c>
      <c r="M207" s="94">
        <f>'[18]Rev_SP-12me'!DP248</f>
        <v>0.012</v>
      </c>
      <c r="N207" s="7"/>
      <c r="O207" s="79">
        <f t="shared" si="4"/>
        <v>177.841494735331</v>
      </c>
    </row>
    <row r="208" customHeight="1" spans="2:15">
      <c r="B208" s="71" t="s">
        <v>1158</v>
      </c>
      <c r="C208" s="55"/>
      <c r="D208" s="39">
        <f>'[18]Rev_SP-12me'!H249</f>
        <v>0</v>
      </c>
      <c r="E208" s="39">
        <f>'[18]Rev_SP-12me'!I249</f>
        <v>0</v>
      </c>
      <c r="F208" s="39">
        <f>'[18]Rev_SP-12me'!K249</f>
        <v>0</v>
      </c>
      <c r="G208" s="135">
        <f>'[18]Rev_SP-12me'!O249</f>
        <v>0</v>
      </c>
      <c r="H208" s="137">
        <f>'[18]Rev_SP-12me'!P249</f>
        <v>0</v>
      </c>
      <c r="I208" s="150">
        <f>'[18]Rev_SP-12me'!AA249</f>
        <v>0</v>
      </c>
      <c r="J208" s="7"/>
      <c r="K208" s="39">
        <f>'[18]Rev_SP-12me'!DM249</f>
        <v>0</v>
      </c>
      <c r="L208" s="39">
        <f>'[18]Rev_SP-12me'!DN249</f>
        <v>0</v>
      </c>
      <c r="M208" s="39">
        <f>'[18]Rev_SP-12me'!DP249</f>
        <v>0</v>
      </c>
      <c r="N208" s="7"/>
      <c r="O208" s="79">
        <f t="shared" si="4"/>
        <v>0</v>
      </c>
    </row>
    <row r="209" customHeight="1" spans="2:15">
      <c r="B209" s="88" t="s">
        <v>1159</v>
      </c>
      <c r="C209" s="55"/>
      <c r="D209" s="68">
        <f>'[18]Rev_SP-12me'!H240</f>
        <v>17</v>
      </c>
      <c r="E209" s="68">
        <f>'[18]Rev_SP-12me'!I240</f>
        <v>204.7897425</v>
      </c>
      <c r="F209" s="68">
        <f>'[18]Rev_SP-12me'!K240</f>
        <v>1110.71891549347</v>
      </c>
      <c r="G209" s="150">
        <f>'[18]Rev_SP-12me'!O240</f>
        <v>0</v>
      </c>
      <c r="H209" s="137">
        <f>'[18]Rev_SP-12me'!P240</f>
        <v>0</v>
      </c>
      <c r="I209" s="150">
        <f>'[18]Rev_SP-12me'!AA240</f>
        <v>0</v>
      </c>
      <c r="J209" s="7"/>
      <c r="K209" s="68">
        <f>'[18]Rev_SP-12me'!DM240</f>
        <v>95.432020005</v>
      </c>
      <c r="L209" s="68">
        <f>'[18]Rev_SP-12me'!DN240</f>
        <v>530.674097287335</v>
      </c>
      <c r="M209" s="68">
        <f>'[18]Rev_SP-12me'!DP240</f>
        <v>0.114</v>
      </c>
      <c r="N209" s="7"/>
      <c r="O209" s="68">
        <f t="shared" si="4"/>
        <v>626.220117292335</v>
      </c>
    </row>
    <row r="210" customHeight="1" spans="2:15">
      <c r="B210" s="74" t="s">
        <v>1160</v>
      </c>
      <c r="C210" s="55"/>
      <c r="D210" s="94">
        <f>'[18]Rev_SP-12me'!H241</f>
        <v>17</v>
      </c>
      <c r="E210" s="94">
        <f>'[18]Rev_SP-12me'!I241</f>
        <v>204.7897425</v>
      </c>
      <c r="F210" s="94">
        <f>'[18]Rev_SP-12me'!K241</f>
        <v>940.872995139916</v>
      </c>
      <c r="G210" s="174">
        <f>'[18]Rev_SP-12me'!O241</f>
        <v>500</v>
      </c>
      <c r="H210" s="185">
        <f>'[18]Rev_SP-12me'!P241</f>
        <v>5.05</v>
      </c>
      <c r="I210" s="174">
        <f>'[18]Rev_SP-12me'!AA241</f>
        <v>5000</v>
      </c>
      <c r="J210" s="7"/>
      <c r="K210" s="94">
        <f>'[18]Rev_SP-12me'!DM241</f>
        <v>95.432020005</v>
      </c>
      <c r="L210" s="94">
        <f>'[18]Rev_SP-12me'!DN241</f>
        <v>303.897887545657</v>
      </c>
      <c r="M210" s="94">
        <f>'[18]Rev_SP-12me'!DP241</f>
        <v>0.09</v>
      </c>
      <c r="N210" s="7"/>
      <c r="O210" s="79">
        <f t="shared" si="4"/>
        <v>399.419907550657</v>
      </c>
    </row>
    <row r="211" customHeight="1" spans="2:15">
      <c r="B211" s="74" t="s">
        <v>1161</v>
      </c>
      <c r="C211" s="55"/>
      <c r="D211" s="94">
        <f>'[18]Rev_SP-12me'!H242</f>
        <v>0</v>
      </c>
      <c r="E211" s="94">
        <f>'[18]Rev_SP-12me'!I242</f>
        <v>0</v>
      </c>
      <c r="F211" s="94">
        <f>'[18]Rev_SP-12me'!K242</f>
        <v>0</v>
      </c>
      <c r="G211" s="174">
        <f>'[18]Rev_SP-12me'!O242</f>
        <v>500</v>
      </c>
      <c r="H211" s="185">
        <f>'[18]Rev_SP-12me'!P242</f>
        <v>5.05</v>
      </c>
      <c r="I211" s="174">
        <f>'[18]Rev_SP-12me'!AA242</f>
        <v>5000</v>
      </c>
      <c r="J211" s="7"/>
      <c r="K211" s="94">
        <f>'[18]Rev_SP-12me'!DM242</f>
        <v>0</v>
      </c>
      <c r="L211" s="94">
        <f>'[18]Rev_SP-12me'!DN242</f>
        <v>142.702479166667</v>
      </c>
      <c r="M211" s="94">
        <f>'[18]Rev_SP-12me'!DP242</f>
        <v>0</v>
      </c>
      <c r="N211" s="7"/>
      <c r="O211" s="79">
        <f t="shared" si="4"/>
        <v>142.702479166667</v>
      </c>
    </row>
    <row r="212" customHeight="1" spans="2:15">
      <c r="B212" s="74" t="s">
        <v>1162</v>
      </c>
      <c r="C212" s="55"/>
      <c r="D212" s="94">
        <f>'[18]Rev_SP-12me'!H243</f>
        <v>0</v>
      </c>
      <c r="E212" s="94">
        <f>'[18]Rev_SP-12me'!I243</f>
        <v>0</v>
      </c>
      <c r="F212" s="94">
        <f>'[18]Rev_SP-12me'!K243</f>
        <v>169.845920353557</v>
      </c>
      <c r="G212" s="174">
        <f>'[18]Rev_SP-12me'!O243</f>
        <v>500</v>
      </c>
      <c r="H212" s="185">
        <f>'[18]Rev_SP-12me'!P243</f>
        <v>4.95</v>
      </c>
      <c r="I212" s="174">
        <f>'[18]Rev_SP-12me'!AA243</f>
        <v>5000</v>
      </c>
      <c r="J212" s="7"/>
      <c r="K212" s="94">
        <f>'[18]Rev_SP-12me'!DM243</f>
        <v>0</v>
      </c>
      <c r="L212" s="94">
        <f>'[18]Rev_SP-12me'!DN243</f>
        <v>64.273730575011</v>
      </c>
      <c r="M212" s="94">
        <f>'[18]Rev_SP-12me'!DP243</f>
        <v>0.024</v>
      </c>
      <c r="N212" s="7"/>
      <c r="O212" s="79">
        <f t="shared" si="4"/>
        <v>64.297730575011</v>
      </c>
    </row>
    <row r="213" customHeight="1" spans="2:15">
      <c r="B213" s="74" t="s">
        <v>1163</v>
      </c>
      <c r="C213" s="55"/>
      <c r="D213" s="94">
        <f>'[18]Rev_SP-12me'!H244</f>
        <v>0</v>
      </c>
      <c r="E213" s="94">
        <f>'[18]Rev_SP-12me'!I244</f>
        <v>0</v>
      </c>
      <c r="F213" s="94">
        <f>'[18]Rev_SP-12me'!K244</f>
        <v>0</v>
      </c>
      <c r="G213" s="174">
        <f>'[18]Rev_SP-12me'!O244</f>
        <v>500</v>
      </c>
      <c r="H213" s="185">
        <f>'[18]Rev_SP-12me'!P244</f>
        <v>4.95</v>
      </c>
      <c r="I213" s="174">
        <f>'[18]Rev_SP-12me'!AA244</f>
        <v>5000</v>
      </c>
      <c r="J213" s="7"/>
      <c r="K213" s="94">
        <f>'[18]Rev_SP-12me'!DM244</f>
        <v>0</v>
      </c>
      <c r="L213" s="94">
        <f>'[18]Rev_SP-12me'!DN244</f>
        <v>19.8</v>
      </c>
      <c r="M213" s="94">
        <f>'[18]Rev_SP-12me'!DP244</f>
        <v>0</v>
      </c>
      <c r="N213" s="7"/>
      <c r="O213" s="79">
        <f t="shared" si="4"/>
        <v>19.8</v>
      </c>
    </row>
    <row r="214" customHeight="1" spans="2:15">
      <c r="B214" s="71" t="s">
        <v>919</v>
      </c>
      <c r="C214" s="55"/>
      <c r="D214" s="68">
        <f>'[18]Rev_SP-12me'!H245</f>
        <v>0</v>
      </c>
      <c r="E214" s="68">
        <f>'[18]Rev_SP-12me'!I245</f>
        <v>0</v>
      </c>
      <c r="F214" s="68">
        <f>'[18]Rev_SP-12me'!K245</f>
        <v>0</v>
      </c>
      <c r="G214" s="150">
        <f>'[18]Rev_SP-12me'!O245</f>
        <v>285</v>
      </c>
      <c r="H214" s="137">
        <f>'[18]Rev_SP-12me'!P245</f>
        <v>7.3</v>
      </c>
      <c r="I214" s="150">
        <f>'[18]Rev_SP-12me'!AA245</f>
        <v>5000</v>
      </c>
      <c r="J214" s="7"/>
      <c r="K214" s="68">
        <f>'[18]Rev_SP-12me'!DM245</f>
        <v>0</v>
      </c>
      <c r="L214" s="68">
        <f>'[18]Rev_SP-12me'!DN245</f>
        <v>0</v>
      </c>
      <c r="M214" s="68">
        <f>'[18]Rev_SP-12me'!DP245</f>
        <v>0</v>
      </c>
      <c r="N214" s="7"/>
      <c r="O214" s="68">
        <f t="shared" si="4"/>
        <v>0</v>
      </c>
    </row>
    <row r="215" customHeight="1" spans="2:15">
      <c r="B215" s="71" t="s">
        <v>1133</v>
      </c>
      <c r="C215" s="55"/>
      <c r="D215" s="68">
        <f>'[18]Rev_SP-12me'!H246</f>
        <v>0</v>
      </c>
      <c r="E215" s="68">
        <f>'[18]Rev_SP-12me'!I246</f>
        <v>0</v>
      </c>
      <c r="F215" s="68">
        <f>'[18]Rev_SP-12me'!K246</f>
        <v>0</v>
      </c>
      <c r="G215" s="150">
        <f>'[18]Rev_SP-12me'!O246</f>
        <v>500</v>
      </c>
      <c r="H215" s="137">
        <f>'[18]Rev_SP-12me'!P246</f>
        <v>10.8</v>
      </c>
      <c r="I215" s="150">
        <f>'[18]Rev_SP-12me'!AA246</f>
        <v>5000</v>
      </c>
      <c r="J215" s="7"/>
      <c r="K215" s="68">
        <f>'[18]Rev_SP-12me'!DM246</f>
        <v>0</v>
      </c>
      <c r="L215" s="68">
        <f>'[18]Rev_SP-12me'!DN246</f>
        <v>0</v>
      </c>
      <c r="M215" s="68">
        <f>'[18]Rev_SP-12me'!DP246</f>
        <v>0</v>
      </c>
      <c r="N215" s="7"/>
      <c r="O215" s="68">
        <f t="shared" si="4"/>
        <v>0</v>
      </c>
    </row>
    <row r="216" customHeight="1" spans="2:15">
      <c r="B216" s="77" t="s">
        <v>1164</v>
      </c>
      <c r="C216" s="55"/>
      <c r="D216" s="78">
        <f>SUM(D174,D182,D187,D188,D193,D198,D203,D206,D208,D209,D214,D215)</f>
        <v>98</v>
      </c>
      <c r="E216" s="78">
        <f>SUM(E174,E182,E187,E188,E193,E198,E203,E206,E208,E209,E214,E215)</f>
        <v>1885.0164356226</v>
      </c>
      <c r="F216" s="78">
        <f>SUM(F174,F182,F187,F188,F193,F198,F203,F206,F208,F209,F214,F215)</f>
        <v>8103.7179623087</v>
      </c>
      <c r="G216" s="180"/>
      <c r="H216" s="180"/>
      <c r="I216" s="180"/>
      <c r="J216" s="180"/>
      <c r="K216" s="78">
        <f>SUM(K174,K182,K187,K188,K193,K198,K203,K206,K208,K209,K214,K215)</f>
        <v>636.720566623333</v>
      </c>
      <c r="L216" s="78">
        <f>SUM(L174,L182,L187,L188,L193,L198,L203,L206,L208,L209,L214,L215)</f>
        <v>5120.4575762623</v>
      </c>
      <c r="M216" s="78">
        <f>SUM(M174,M182,M187,M188,M193,M198,M203,M206,M208,M209,M214,M215)</f>
        <v>0.585</v>
      </c>
      <c r="N216" s="78">
        <f>SUM(N174,N182,N187,N188,N193,N198,N203,N206,N208,N209,N214,N215)</f>
        <v>0</v>
      </c>
      <c r="O216" s="78">
        <f>SUM(O174,O182,O187,O188,O193,O198,O203,O206,O208,O209,O214,O215)</f>
        <v>5757.76314288564</v>
      </c>
    </row>
    <row r="217" customHeight="1" spans="2:15">
      <c r="B217" s="77"/>
      <c r="C217" s="55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  <row r="218" customHeight="1" spans="2:15">
      <c r="B218" s="54" t="s">
        <v>1165</v>
      </c>
      <c r="C218" s="55"/>
      <c r="D218" s="78">
        <f>D123+D171+D216</f>
        <v>12632</v>
      </c>
      <c r="E218" s="78">
        <f>E123+E171+E216</f>
        <v>6533.23262282455</v>
      </c>
      <c r="F218" s="78">
        <f>F123+F171+F216</f>
        <v>24501.8738518558</v>
      </c>
      <c r="G218" s="99"/>
      <c r="H218" s="99"/>
      <c r="I218" s="99"/>
      <c r="J218" s="99"/>
      <c r="K218" s="78">
        <f>K123+K171+K216</f>
        <v>2725.07530013605</v>
      </c>
      <c r="L218" s="78">
        <f>L123+L171+L216</f>
        <v>17630.3898877908</v>
      </c>
      <c r="M218" s="78">
        <f>M123+M171+M216</f>
        <v>33.7611</v>
      </c>
      <c r="N218" s="78">
        <f>N123+N171+N216</f>
        <v>0</v>
      </c>
      <c r="O218" s="78">
        <f>O123+O171+O216</f>
        <v>20389.2262879268</v>
      </c>
    </row>
    <row r="219" customHeight="1" spans="2:15">
      <c r="B219" s="54" t="s">
        <v>1166</v>
      </c>
      <c r="C219" s="55"/>
      <c r="D219" s="78">
        <f>D218+D68</f>
        <v>10997295</v>
      </c>
      <c r="E219" s="78">
        <f>E218+E68</f>
        <v>30433.8681363934</v>
      </c>
      <c r="F219" s="78">
        <f>F218+F68</f>
        <v>58319.5915327176</v>
      </c>
      <c r="G219" s="99"/>
      <c r="H219" s="99"/>
      <c r="I219" s="99"/>
      <c r="J219" s="99"/>
      <c r="K219" s="80">
        <f>K218+K68</f>
        <v>3404.13347532047</v>
      </c>
      <c r="L219" s="80">
        <f>L218+L68</f>
        <v>28676.7322196623</v>
      </c>
      <c r="M219" s="80">
        <f>M218+M68</f>
        <v>932.9540535</v>
      </c>
      <c r="N219" s="78">
        <f>N218+N68</f>
        <v>0</v>
      </c>
      <c r="O219" s="80">
        <f>O218+O68</f>
        <v>33013.8197484828</v>
      </c>
    </row>
    <row r="220" customHeight="1" spans="4:5">
      <c r="D220" s="11" t="s">
        <v>225</v>
      </c>
      <c r="E220" s="12"/>
    </row>
    <row r="221" customHeight="1" spans="4:5">
      <c r="D221" s="13">
        <v>1</v>
      </c>
      <c r="E221" s="12" t="s">
        <v>226</v>
      </c>
    </row>
    <row r="222" customHeight="1" spans="4:5">
      <c r="D222" s="13">
        <f>D221+1</f>
        <v>2</v>
      </c>
      <c r="E222" s="12" t="s">
        <v>233</v>
      </c>
    </row>
  </sheetData>
  <mergeCells count="11">
    <mergeCell ref="B1:P1"/>
    <mergeCell ref="G3:H3"/>
    <mergeCell ref="K3:O3"/>
    <mergeCell ref="B6:C6"/>
    <mergeCell ref="B70:C70"/>
    <mergeCell ref="D3:D4"/>
    <mergeCell ref="E3:E4"/>
    <mergeCell ref="F3:F4"/>
    <mergeCell ref="I3:I4"/>
    <mergeCell ref="J3:J4"/>
    <mergeCell ref="B3:C5"/>
  </mergeCells>
  <printOptions horizontalCentered="1"/>
  <pageMargins left="0.156944444444444" right="0.196527777777778" top="0.39" bottom="0.35" header="0.31496062992126" footer="0.31496062992126"/>
  <pageSetup paperSize="9" scale="55" fitToHeight="22" orientation="landscape"/>
  <headerFooter/>
  <rowBreaks count="3" manualBreakCount="3">
    <brk id="54" max="14" man="1"/>
    <brk id="114" max="14" man="1"/>
    <brk id="172" max="14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</sheetPr>
  <dimension ref="B2:P225"/>
  <sheetViews>
    <sheetView view="pageBreakPreview" zoomScale="60" zoomScaleNormal="61" topLeftCell="A16" workbookViewId="0">
      <selection activeCell="B3" sqref="B3"/>
    </sheetView>
  </sheetViews>
  <sheetFormatPr defaultColWidth="8.85714285714286" defaultRowHeight="14.25"/>
  <cols>
    <col min="1" max="1" width="8.85714285714286" style="1"/>
    <col min="2" max="2" width="33" style="1" customWidth="1"/>
    <col min="3" max="3" width="35.4761904761905" style="1" customWidth="1"/>
    <col min="4" max="4" width="21" style="1" customWidth="1"/>
    <col min="5" max="5" width="16.8571428571429" style="1" customWidth="1"/>
    <col min="6" max="6" width="14" style="1" customWidth="1"/>
    <col min="7" max="7" width="25" style="1" customWidth="1"/>
    <col min="8" max="8" width="21.4285714285714" style="1" customWidth="1"/>
    <col min="9" max="9" width="17.5714285714286" style="1" customWidth="1"/>
    <col min="10" max="10" width="16.1428571428571" style="1" customWidth="1"/>
    <col min="11" max="11" width="25" style="1" customWidth="1"/>
    <col min="12" max="12" width="17.5714285714286" style="1" customWidth="1"/>
    <col min="13" max="13" width="20.4285714285714" style="1" customWidth="1"/>
    <col min="14" max="14" width="14.5714285714286" style="1" customWidth="1"/>
    <col min="15" max="15" width="17.4285714285714" style="1" customWidth="1"/>
    <col min="16" max="16384" width="8.85714285714286" style="1"/>
  </cols>
  <sheetData>
    <row r="2" ht="15" spans="2:16"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9:9">
      <c r="I3" s="3" t="s">
        <v>1186</v>
      </c>
    </row>
    <row r="5" ht="15" spans="2:15">
      <c r="B5" s="36" t="s">
        <v>159</v>
      </c>
      <c r="C5" s="37"/>
      <c r="D5" s="90" t="s">
        <v>1086</v>
      </c>
      <c r="E5" s="90" t="s">
        <v>1087</v>
      </c>
      <c r="F5" s="38" t="s">
        <v>879</v>
      </c>
      <c r="G5" s="38" t="s">
        <v>1088</v>
      </c>
      <c r="H5" s="38"/>
      <c r="I5" s="90" t="s">
        <v>1089</v>
      </c>
      <c r="J5" s="92" t="s">
        <v>1090</v>
      </c>
      <c r="K5" s="38" t="s">
        <v>1091</v>
      </c>
      <c r="L5" s="38"/>
      <c r="M5" s="38"/>
      <c r="N5" s="38"/>
      <c r="O5" s="38"/>
    </row>
    <row r="6" ht="15" spans="2:15">
      <c r="B6" s="40"/>
      <c r="C6" s="41"/>
      <c r="D6" s="90"/>
      <c r="E6" s="90"/>
      <c r="F6" s="38"/>
      <c r="G6" s="38" t="s">
        <v>1092</v>
      </c>
      <c r="H6" s="38" t="s">
        <v>1093</v>
      </c>
      <c r="I6" s="90"/>
      <c r="J6" s="93"/>
      <c r="K6" s="38" t="s">
        <v>1092</v>
      </c>
      <c r="L6" s="38" t="s">
        <v>1093</v>
      </c>
      <c r="M6" s="38" t="s">
        <v>1089</v>
      </c>
      <c r="N6" s="38" t="s">
        <v>1090</v>
      </c>
      <c r="O6" s="38" t="s">
        <v>97</v>
      </c>
    </row>
    <row r="7" ht="15" spans="2:15">
      <c r="B7" s="42"/>
      <c r="C7" s="43"/>
      <c r="D7" s="39" t="s">
        <v>1094</v>
      </c>
      <c r="E7" s="39" t="s">
        <v>1095</v>
      </c>
      <c r="F7" s="39" t="s">
        <v>1096</v>
      </c>
      <c r="G7" s="39" t="s">
        <v>1097</v>
      </c>
      <c r="H7" s="39" t="s">
        <v>1098</v>
      </c>
      <c r="I7" s="39" t="s">
        <v>1097</v>
      </c>
      <c r="J7" s="38" t="s">
        <v>297</v>
      </c>
      <c r="K7" s="38" t="s">
        <v>550</v>
      </c>
      <c r="L7" s="38" t="s">
        <v>550</v>
      </c>
      <c r="M7" s="38" t="s">
        <v>550</v>
      </c>
      <c r="N7" s="38" t="s">
        <v>550</v>
      </c>
      <c r="O7" s="38" t="s">
        <v>550</v>
      </c>
    </row>
    <row r="8" ht="15" spans="2:15">
      <c r="B8" s="44" t="s">
        <v>890</v>
      </c>
      <c r="C8" s="45"/>
      <c r="J8" s="8"/>
      <c r="K8" s="8"/>
      <c r="L8" s="8"/>
      <c r="M8" s="8"/>
      <c r="N8" s="8"/>
      <c r="O8" s="8"/>
    </row>
    <row r="9" ht="15" spans="2:15">
      <c r="B9" s="46" t="s">
        <v>1000</v>
      </c>
      <c r="C9" s="47"/>
      <c r="D9" s="68">
        <f>'[18]Rev_SP-12me'!H10</f>
        <v>8117951</v>
      </c>
      <c r="E9" s="68">
        <f>'[18]Rev_SP-12me'!I10</f>
        <v>12730.1243226403</v>
      </c>
      <c r="F9" s="68">
        <f>'[18]Rev_SP-12me'!K10</f>
        <v>11697.603127462</v>
      </c>
      <c r="G9" s="79"/>
      <c r="H9" s="91"/>
      <c r="I9" s="79"/>
      <c r="J9" s="7"/>
      <c r="K9" s="68">
        <f>'[18]Rev_SP-12me'!DM10</f>
        <v>158.333124885159</v>
      </c>
      <c r="L9" s="68">
        <f>'[18]Rev_SP-12me'!DN10</f>
        <v>5620.4211326976</v>
      </c>
      <c r="M9" s="68">
        <f>'[18]Rev_SP-12me'!DP10</f>
        <v>692.718672</v>
      </c>
      <c r="N9" s="60"/>
      <c r="O9" s="69">
        <f t="shared" ref="O9:O40" si="0">SUM(K9:N9)</f>
        <v>6471.47292958276</v>
      </c>
    </row>
    <row r="10" spans="2:15">
      <c r="B10" s="50" t="s">
        <v>1001</v>
      </c>
      <c r="C10" s="47"/>
      <c r="D10" s="79">
        <f>'[18]Rev_SP-12me'!H11</f>
        <v>4118441</v>
      </c>
      <c r="E10" s="79">
        <f>'[18]Rev_SP-12me'!I11</f>
        <v>5898.53818478443</v>
      </c>
      <c r="F10" s="79">
        <f>'[18]Rev_SP-12me'!K11</f>
        <v>2340.43418117674</v>
      </c>
      <c r="G10" s="79"/>
      <c r="H10" s="91"/>
      <c r="I10" s="79"/>
      <c r="J10" s="7"/>
      <c r="K10" s="79">
        <f>'[18]Rev_SP-12me'!DM11</f>
        <v>70.7824582174132</v>
      </c>
      <c r="L10" s="79">
        <f>'[18]Rev_SP-12me'!DN11</f>
        <v>526.370313685114</v>
      </c>
      <c r="M10" s="79">
        <f>'[18]Rev_SP-12me'!DP11</f>
        <v>292.239528</v>
      </c>
      <c r="N10" s="60"/>
      <c r="O10" s="60">
        <f t="shared" si="0"/>
        <v>889.392299902527</v>
      </c>
    </row>
    <row r="11" spans="2:15">
      <c r="B11" s="52" t="s">
        <v>1002</v>
      </c>
      <c r="C11" s="47"/>
      <c r="D11" s="94">
        <f>'[18]Rev_SP-12me'!H12</f>
        <v>2203342</v>
      </c>
      <c r="E11" s="94">
        <f>'[18]Rev_SP-12me'!I12</f>
        <v>3047.93052729907</v>
      </c>
      <c r="F11" s="94">
        <f>'[18]Rev_SP-12me'!K12</f>
        <v>1731.86332591022</v>
      </c>
      <c r="G11" s="79">
        <f>'[18]Rev_SP-12me'!S12</f>
        <v>10</v>
      </c>
      <c r="H11" s="60">
        <f>'[18]Rev_SP-12me'!T12</f>
        <v>1.95</v>
      </c>
      <c r="I11" s="79">
        <f>'[18]Rev_SP-12me'!AC12</f>
        <v>40</v>
      </c>
      <c r="J11" s="7"/>
      <c r="K11" s="94">
        <f>'[18]Rev_SP-12me'!DM12</f>
        <v>36.5751663275889</v>
      </c>
      <c r="L11" s="94">
        <f>'[18]Rev_SP-12me'!DN12</f>
        <v>337.713348552493</v>
      </c>
      <c r="M11" s="94">
        <f>'[18]Rev_SP-12me'!DP12</f>
        <v>117.812352</v>
      </c>
      <c r="N11" s="60"/>
      <c r="O11" s="60">
        <f t="shared" si="0"/>
        <v>492.100866880082</v>
      </c>
    </row>
    <row r="12" spans="2:15">
      <c r="B12" s="52" t="s">
        <v>1004</v>
      </c>
      <c r="C12" s="47"/>
      <c r="D12" s="94">
        <f>'[18]Rev_SP-12me'!H13</f>
        <v>1915099</v>
      </c>
      <c r="E12" s="94">
        <f>'[18]Rev_SP-12me'!I13</f>
        <v>2850.60765748536</v>
      </c>
      <c r="F12" s="94">
        <f>'[18]Rev_SP-12me'!K13</f>
        <v>608.570855266521</v>
      </c>
      <c r="G12" s="79">
        <f>'[18]Rev_SP-12me'!S13</f>
        <v>10</v>
      </c>
      <c r="H12" s="60">
        <f>'[18]Rev_SP-12me'!T13</f>
        <v>3.1</v>
      </c>
      <c r="I12" s="79">
        <f>'[18]Rev_SP-12me'!AC13</f>
        <v>70</v>
      </c>
      <c r="J12" s="7"/>
      <c r="K12" s="94">
        <f>'[18]Rev_SP-12me'!DM13</f>
        <v>34.2072918898243</v>
      </c>
      <c r="L12" s="94">
        <f>'[18]Rev_SP-12me'!DN13</f>
        <v>188.656965132622</v>
      </c>
      <c r="M12" s="94">
        <f>'[18]Rev_SP-12me'!DP13</f>
        <v>174.427176</v>
      </c>
      <c r="N12" s="60"/>
      <c r="O12" s="60">
        <f t="shared" si="0"/>
        <v>397.291433022446</v>
      </c>
    </row>
    <row r="13" spans="2:15">
      <c r="B13" s="50" t="s">
        <v>1005</v>
      </c>
      <c r="C13" s="47"/>
      <c r="D13" s="79">
        <f>'[18]Rev_SP-12me'!H14</f>
        <v>2442328</v>
      </c>
      <c r="E13" s="79">
        <f>'[18]Rev_SP-12me'!I14</f>
        <v>4097.25198102219</v>
      </c>
      <c r="F13" s="79">
        <f>'[18]Rev_SP-12me'!K14</f>
        <v>4018.52748456418</v>
      </c>
      <c r="G13" s="79"/>
      <c r="H13" s="60"/>
      <c r="I13" s="79"/>
      <c r="J13" s="7"/>
      <c r="K13" s="79">
        <f>'[18]Rev_SP-12me'!DM14</f>
        <v>49.1670237722663</v>
      </c>
      <c r="L13" s="79">
        <f>'[18]Rev_SP-12me'!DN14</f>
        <v>1532.80873968619</v>
      </c>
      <c r="M13" s="79">
        <f>'[18]Rev_SP-12me'!DP14</f>
        <v>244.060776</v>
      </c>
      <c r="N13" s="60"/>
      <c r="O13" s="60">
        <f t="shared" si="0"/>
        <v>1826.03653945846</v>
      </c>
    </row>
    <row r="14" spans="2:15">
      <c r="B14" s="52" t="s">
        <v>1006</v>
      </c>
      <c r="C14" s="47"/>
      <c r="D14" s="94">
        <f>'[18]Rev_SP-12me'!H15</f>
        <v>0</v>
      </c>
      <c r="E14" s="94">
        <f>'[18]Rev_SP-12me'!I15</f>
        <v>0</v>
      </c>
      <c r="F14" s="94">
        <f>'[18]Rev_SP-12me'!K15</f>
        <v>2829.1746636044</v>
      </c>
      <c r="G14" s="79">
        <f>'[18]Rev_SP-12me'!S15</f>
        <v>10</v>
      </c>
      <c r="H14" s="60">
        <f>'[18]Rev_SP-12me'!T15</f>
        <v>3.4</v>
      </c>
      <c r="I14" s="79"/>
      <c r="J14" s="7"/>
      <c r="K14" s="94">
        <f>'[18]Rev_SP-12me'!DM15</f>
        <v>0</v>
      </c>
      <c r="L14" s="94">
        <f>'[18]Rev_SP-12me'!DN15</f>
        <v>961.919385625495</v>
      </c>
      <c r="M14" s="94">
        <f>'[18]Rev_SP-12me'!DP15</f>
        <v>0</v>
      </c>
      <c r="N14" s="60"/>
      <c r="O14" s="60">
        <f t="shared" si="0"/>
        <v>961.919385625495</v>
      </c>
    </row>
    <row r="15" spans="2:15">
      <c r="B15" s="52" t="s">
        <v>1007</v>
      </c>
      <c r="C15" s="47"/>
      <c r="D15" s="94">
        <f>'[18]Rev_SP-12me'!H16</f>
        <v>2442328</v>
      </c>
      <c r="E15" s="94">
        <f>'[18]Rev_SP-12me'!I16</f>
        <v>4097.25198102219</v>
      </c>
      <c r="F15" s="94">
        <f>'[18]Rev_SP-12me'!K16</f>
        <v>1189.35282095978</v>
      </c>
      <c r="G15" s="79">
        <f>'[18]Rev_SP-12me'!S16</f>
        <v>10</v>
      </c>
      <c r="H15" s="60">
        <f>'[18]Rev_SP-12me'!T16</f>
        <v>4.8</v>
      </c>
      <c r="I15" s="79">
        <f>'[18]Rev_SP-12me'!AC16</f>
        <v>90</v>
      </c>
      <c r="J15" s="7"/>
      <c r="K15" s="94">
        <f>'[18]Rev_SP-12me'!DM16</f>
        <v>49.1670237722663</v>
      </c>
      <c r="L15" s="94">
        <f>'[18]Rev_SP-12me'!DN16</f>
        <v>570.889354060697</v>
      </c>
      <c r="M15" s="94">
        <f>'[18]Rev_SP-12me'!DP16</f>
        <v>244.060776</v>
      </c>
      <c r="N15" s="60"/>
      <c r="O15" s="60">
        <f t="shared" si="0"/>
        <v>864.117153832963</v>
      </c>
    </row>
    <row r="16" spans="2:15">
      <c r="B16" s="50" t="s">
        <v>1008</v>
      </c>
      <c r="C16" s="47"/>
      <c r="D16" s="79">
        <f>'[18]Rev_SP-12me'!H17</f>
        <v>1557182</v>
      </c>
      <c r="E16" s="79">
        <f>'[18]Rev_SP-12me'!I17</f>
        <v>2734.33415683372</v>
      </c>
      <c r="F16" s="79">
        <f>'[18]Rev_SP-12me'!K17</f>
        <v>5338.64146172104</v>
      </c>
      <c r="G16" s="79"/>
      <c r="H16" s="60"/>
      <c r="I16" s="79"/>
      <c r="J16" s="7"/>
      <c r="K16" s="79">
        <f>'[18]Rev_SP-12me'!DM17</f>
        <v>38.3836428954798</v>
      </c>
      <c r="L16" s="79">
        <f>'[18]Rev_SP-12me'!DN17</f>
        <v>3561.2420793263</v>
      </c>
      <c r="M16" s="79">
        <f>'[18]Rev_SP-12me'!DP17</f>
        <v>156.418368</v>
      </c>
      <c r="N16" s="60"/>
      <c r="O16" s="60">
        <f t="shared" si="0"/>
        <v>3756.04409022178</v>
      </c>
    </row>
    <row r="17" spans="2:15">
      <c r="B17" s="52" t="s">
        <v>1009</v>
      </c>
      <c r="C17" s="47"/>
      <c r="D17" s="94">
        <f>'[18]Rev_SP-12me'!H18</f>
        <v>0</v>
      </c>
      <c r="E17" s="94">
        <f>'[18]Rev_SP-12me'!I18</f>
        <v>0</v>
      </c>
      <c r="F17" s="94">
        <f>'[18]Rev_SP-12me'!K18</f>
        <v>3013.42471220734</v>
      </c>
      <c r="G17" s="79">
        <f>'[18]Rev_SP-12me'!S18</f>
        <v>10</v>
      </c>
      <c r="H17" s="60">
        <f>'[18]Rev_SP-12me'!T18</f>
        <v>5.1</v>
      </c>
      <c r="I17" s="79"/>
      <c r="J17" s="7"/>
      <c r="K17" s="94">
        <f>'[18]Rev_SP-12me'!DM18</f>
        <v>0</v>
      </c>
      <c r="L17" s="94">
        <f>'[18]Rev_SP-12me'!DN18</f>
        <v>1536.84660322574</v>
      </c>
      <c r="M17" s="94">
        <f>'[18]Rev_SP-12me'!DP18</f>
        <v>0</v>
      </c>
      <c r="N17" s="60"/>
      <c r="O17" s="60">
        <f t="shared" si="0"/>
        <v>1536.84660322574</v>
      </c>
    </row>
    <row r="18" spans="2:15">
      <c r="B18" s="52" t="s">
        <v>1010</v>
      </c>
      <c r="C18" s="47"/>
      <c r="D18" s="94">
        <f>'[18]Rev_SP-12me'!H19</f>
        <v>865903</v>
      </c>
      <c r="E18" s="94">
        <f>'[18]Rev_SP-12me'!I19</f>
        <v>1466.57308824983</v>
      </c>
      <c r="F18" s="94">
        <f>'[18]Rev_SP-12me'!K19</f>
        <v>989.260361402676</v>
      </c>
      <c r="G18" s="79">
        <f>'[18]Rev_SP-12me'!S19</f>
        <v>10</v>
      </c>
      <c r="H18" s="60">
        <f>'[18]Rev_SP-12me'!T19</f>
        <v>7.7</v>
      </c>
      <c r="I18" s="79">
        <f>'[18]Rev_SP-12me'!AC19</f>
        <v>100</v>
      </c>
      <c r="J18" s="7"/>
      <c r="K18" s="94">
        <f>'[18]Rev_SP-12me'!DM19</f>
        <v>17.5988770589979</v>
      </c>
      <c r="L18" s="94">
        <f>'[18]Rev_SP-12me'!DN19</f>
        <v>761.730478280061</v>
      </c>
      <c r="M18" s="94">
        <f>'[18]Rev_SP-12me'!DP19</f>
        <v>81.75864</v>
      </c>
      <c r="N18" s="60"/>
      <c r="O18" s="60">
        <f t="shared" si="0"/>
        <v>861.087995339059</v>
      </c>
    </row>
    <row r="19" spans="2:15">
      <c r="B19" s="52" t="s">
        <v>1011</v>
      </c>
      <c r="C19" s="47"/>
      <c r="D19" s="94">
        <f>'[18]Rev_SP-12me'!H20</f>
        <v>341187</v>
      </c>
      <c r="E19" s="94">
        <f>'[18]Rev_SP-12me'!I20</f>
        <v>513.117798084398</v>
      </c>
      <c r="F19" s="94">
        <f>'[18]Rev_SP-12me'!K20</f>
        <v>453.657669145532</v>
      </c>
      <c r="G19" s="79">
        <f>'[18]Rev_SP-12me'!S20</f>
        <v>10</v>
      </c>
      <c r="H19" s="60">
        <f>'[18]Rev_SP-12me'!T20</f>
        <v>9</v>
      </c>
      <c r="I19" s="79">
        <f>'[18]Rev_SP-12me'!AC20</f>
        <v>120</v>
      </c>
      <c r="J19" s="7"/>
      <c r="K19" s="94">
        <f>'[18]Rev_SP-12me'!DM20</f>
        <v>6.15741357701278</v>
      </c>
      <c r="L19" s="94">
        <f>'[18]Rev_SP-12me'!DN20</f>
        <v>408.291902230978</v>
      </c>
      <c r="M19" s="94">
        <f>'[18]Rev_SP-12me'!DP20</f>
        <v>34.416936</v>
      </c>
      <c r="N19" s="60"/>
      <c r="O19" s="60">
        <f t="shared" si="0"/>
        <v>448.866251807991</v>
      </c>
    </row>
    <row r="20" spans="2:15">
      <c r="B20" s="52" t="s">
        <v>1012</v>
      </c>
      <c r="C20" s="47"/>
      <c r="D20" s="94">
        <f>'[18]Rev_SP-12me'!H21</f>
        <v>295338</v>
      </c>
      <c r="E20" s="94">
        <f>'[18]Rev_SP-12me'!I21</f>
        <v>476.061619825741</v>
      </c>
      <c r="F20" s="94">
        <f>'[18]Rev_SP-12me'!K21</f>
        <v>558.512467519445</v>
      </c>
      <c r="G20" s="79">
        <f>'[18]Rev_SP-12me'!S21</f>
        <v>10</v>
      </c>
      <c r="H20" s="60">
        <f>'[18]Rev_SP-12me'!T21</f>
        <v>9.5</v>
      </c>
      <c r="I20" s="79">
        <f>'[18]Rev_SP-12me'!AC21</f>
        <v>140</v>
      </c>
      <c r="J20" s="7"/>
      <c r="K20" s="94">
        <f>'[18]Rev_SP-12me'!DM21</f>
        <v>5.71273943790889</v>
      </c>
      <c r="L20" s="94">
        <f>'[18]Rev_SP-12me'!DN21</f>
        <v>530.586844143473</v>
      </c>
      <c r="M20" s="94">
        <f>'[18]Rev_SP-12me'!DP21</f>
        <v>32.778312</v>
      </c>
      <c r="N20" s="60"/>
      <c r="O20" s="60">
        <f t="shared" si="0"/>
        <v>569.077895581382</v>
      </c>
    </row>
    <row r="21" spans="2:15">
      <c r="B21" s="52" t="s">
        <v>1013</v>
      </c>
      <c r="C21" s="47"/>
      <c r="D21" s="94">
        <f>'[18]Rev_SP-12me'!H22</f>
        <v>54754</v>
      </c>
      <c r="E21" s="94">
        <f>'[18]Rev_SP-12me'!I22</f>
        <v>278.581650673757</v>
      </c>
      <c r="F21" s="94">
        <f>'[18]Rev_SP-12me'!K22</f>
        <v>323.786251446042</v>
      </c>
      <c r="G21" s="79">
        <f>'[18]Rev_SP-12me'!S22</f>
        <v>50</v>
      </c>
      <c r="H21" s="60">
        <f>'[18]Rev_SP-12me'!T22</f>
        <v>10</v>
      </c>
      <c r="I21" s="79">
        <f>'[18]Rev_SP-12me'!AC22</f>
        <v>160</v>
      </c>
      <c r="J21" s="7"/>
      <c r="K21" s="94">
        <f>'[18]Rev_SP-12me'!DM22</f>
        <v>8.91461282156024</v>
      </c>
      <c r="L21" s="94">
        <f>'[18]Rev_SP-12me'!DN22</f>
        <v>323.786251446042</v>
      </c>
      <c r="M21" s="94">
        <f>'[18]Rev_SP-12me'!DP22</f>
        <v>7.46448</v>
      </c>
      <c r="N21" s="60"/>
      <c r="O21" s="60">
        <f t="shared" si="0"/>
        <v>340.165344267602</v>
      </c>
    </row>
    <row r="22" ht="15" spans="2:15">
      <c r="B22" s="54" t="s">
        <v>1014</v>
      </c>
      <c r="C22" s="55"/>
      <c r="D22" s="68">
        <f>'[18]Rev_SP-12me'!H23</f>
        <v>1226970</v>
      </c>
      <c r="E22" s="68">
        <f>'[18]Rev_SP-12me'!I23</f>
        <v>4206.99934903256</v>
      </c>
      <c r="F22" s="68">
        <f>'[18]Rev_SP-12me'!K23</f>
        <v>3939.00601597876</v>
      </c>
      <c r="G22" s="79"/>
      <c r="H22" s="60"/>
      <c r="I22" s="79"/>
      <c r="J22" s="7"/>
      <c r="K22" s="68">
        <f>'[18]Rev_SP-12me'!DM23</f>
        <v>350.354118848942</v>
      </c>
      <c r="L22" s="68">
        <f>'[18]Rev_SP-12me'!DN23</f>
        <v>4029.09684405216</v>
      </c>
      <c r="M22" s="68">
        <f>'[18]Rev_SP-12me'!DP23</f>
        <v>114.24444</v>
      </c>
      <c r="N22" s="60"/>
      <c r="O22" s="69">
        <f t="shared" si="0"/>
        <v>4493.6954029011</v>
      </c>
    </row>
    <row r="23" spans="2:15">
      <c r="B23" s="56" t="s">
        <v>1015</v>
      </c>
      <c r="C23" s="55"/>
      <c r="D23" s="79">
        <f>'[18]Rev_SP-12me'!H24</f>
        <v>616232</v>
      </c>
      <c r="E23" s="79">
        <f>'[18]Rev_SP-12me'!I24</f>
        <v>1214.2328855646</v>
      </c>
      <c r="F23" s="79">
        <f>'[18]Rev_SP-12me'!K24</f>
        <v>95.8904578792609</v>
      </c>
      <c r="G23" s="79"/>
      <c r="H23" s="60"/>
      <c r="I23" s="79"/>
      <c r="J23" s="7"/>
      <c r="K23" s="79">
        <f>'[18]Rev_SP-12me'!DM24</f>
        <v>69.2112744771821</v>
      </c>
      <c r="L23" s="79">
        <f>'[18]Rev_SP-12me'!DN24</f>
        <v>67.1233205154826</v>
      </c>
      <c r="M23" s="79">
        <f>'[18]Rev_SP-12me'!DP24</f>
        <v>35.79477</v>
      </c>
      <c r="N23" s="60"/>
      <c r="O23" s="60">
        <f t="shared" si="0"/>
        <v>172.129364992665</v>
      </c>
    </row>
    <row r="24" spans="2:15">
      <c r="B24" s="57" t="s">
        <v>1002</v>
      </c>
      <c r="C24" s="55"/>
      <c r="D24" s="94">
        <f>'[18]Rev_SP-12me'!H25</f>
        <v>616232</v>
      </c>
      <c r="E24" s="94">
        <f>'[18]Rev_SP-12me'!I25</f>
        <v>1214.2328855646</v>
      </c>
      <c r="F24" s="94">
        <f>'[18]Rev_SP-12me'!K25</f>
        <v>95.8904578792609</v>
      </c>
      <c r="G24" s="79">
        <f>'[18]Rev_SP-12me'!S25</f>
        <v>30</v>
      </c>
      <c r="H24" s="60">
        <f>'[18]Rev_SP-12me'!T25</f>
        <v>7</v>
      </c>
      <c r="I24" s="79">
        <f>'[18]Rev_SP-12me'!AC25</f>
        <v>50</v>
      </c>
      <c r="J24" s="7"/>
      <c r="K24" s="94">
        <f>'[18]Rev_SP-12me'!DM25</f>
        <v>69.2112744771821</v>
      </c>
      <c r="L24" s="94">
        <f>'[18]Rev_SP-12me'!DN25</f>
        <v>67.1233205154826</v>
      </c>
      <c r="M24" s="94">
        <f>'[18]Rev_SP-12me'!DP25</f>
        <v>35.79477</v>
      </c>
      <c r="N24" s="60"/>
      <c r="O24" s="60">
        <f t="shared" si="0"/>
        <v>172.129364992665</v>
      </c>
    </row>
    <row r="25" spans="2:15">
      <c r="B25" s="56" t="s">
        <v>1016</v>
      </c>
      <c r="C25" s="55"/>
      <c r="D25" s="79">
        <f>'[18]Rev_SP-12me'!H26</f>
        <v>594986</v>
      </c>
      <c r="E25" s="79">
        <f>'[18]Rev_SP-12me'!I26</f>
        <v>2971.73324677759</v>
      </c>
      <c r="F25" s="79">
        <f>'[18]Rev_SP-12me'!K26</f>
        <v>3832.49720944671</v>
      </c>
      <c r="G25" s="79"/>
      <c r="H25" s="60"/>
      <c r="I25" s="79"/>
      <c r="J25" s="7"/>
      <c r="K25" s="79">
        <f>'[18]Rev_SP-12me'!DM26</f>
        <v>279.25647675798</v>
      </c>
      <c r="L25" s="79">
        <f>'[18]Rev_SP-12me'!DN26</f>
        <v>3951.93171847824</v>
      </c>
      <c r="M25" s="79">
        <f>'[18]Rev_SP-12me'!DP26</f>
        <v>77.254542</v>
      </c>
      <c r="N25" s="60"/>
      <c r="O25" s="60">
        <f t="shared" si="0"/>
        <v>4308.44273723622</v>
      </c>
    </row>
    <row r="26" spans="2:15">
      <c r="B26" s="58" t="s">
        <v>1006</v>
      </c>
      <c r="C26" s="55"/>
      <c r="D26" s="94">
        <f>'[18]Rev_SP-12me'!H27</f>
        <v>196910</v>
      </c>
      <c r="E26" s="94">
        <f>'[18]Rev_SP-12me'!I27</f>
        <v>354.520820937567</v>
      </c>
      <c r="F26" s="94">
        <f>'[18]Rev_SP-12me'!K27</f>
        <v>683.184028465214</v>
      </c>
      <c r="G26" s="79">
        <f>'[18]Rev_SP-12me'!S27</f>
        <v>70</v>
      </c>
      <c r="H26" s="60">
        <f>'[18]Rev_SP-12me'!T27</f>
        <v>8.5</v>
      </c>
      <c r="I26" s="79">
        <f>'[18]Rev_SP-12me'!AC27</f>
        <v>90</v>
      </c>
      <c r="J26" s="7"/>
      <c r="K26" s="94">
        <f>'[18]Rev_SP-12me'!DM27</f>
        <v>29.7797489587556</v>
      </c>
      <c r="L26" s="94">
        <f>'[18]Rev_SP-12me'!DN27</f>
        <v>580.706424195432</v>
      </c>
      <c r="M26" s="94">
        <f>'[18]Rev_SP-12me'!DP27</f>
        <v>20.588094</v>
      </c>
      <c r="N26" s="60"/>
      <c r="O26" s="60">
        <f t="shared" si="0"/>
        <v>631.074267154188</v>
      </c>
    </row>
    <row r="27" spans="2:15">
      <c r="B27" s="58" t="s">
        <v>1017</v>
      </c>
      <c r="C27" s="55"/>
      <c r="D27" s="94">
        <f>'[18]Rev_SP-12me'!H28</f>
        <v>227867</v>
      </c>
      <c r="E27" s="94">
        <f>'[18]Rev_SP-12me'!I28</f>
        <v>641.820157262535</v>
      </c>
      <c r="F27" s="94">
        <f>'[18]Rev_SP-12me'!K28</f>
        <v>654.087762403287</v>
      </c>
      <c r="G27" s="79">
        <f>'[18]Rev_SP-12me'!S28</f>
        <v>70</v>
      </c>
      <c r="H27" s="60">
        <f>'[18]Rev_SP-12me'!T28</f>
        <v>9.9</v>
      </c>
      <c r="I27" s="79">
        <f>'[18]Rev_SP-12me'!AC28</f>
        <v>105</v>
      </c>
      <c r="J27" s="7"/>
      <c r="K27" s="94">
        <f>'[18]Rev_SP-12me'!DM28</f>
        <v>53.9128932100529</v>
      </c>
      <c r="L27" s="94">
        <f>'[18]Rev_SP-12me'!DN28</f>
        <v>647.546884779254</v>
      </c>
      <c r="M27" s="94">
        <f>'[18]Rev_SP-12me'!DP28</f>
        <v>27.7956</v>
      </c>
      <c r="N27" s="60"/>
      <c r="O27" s="60">
        <f t="shared" si="0"/>
        <v>729.255377989307</v>
      </c>
    </row>
    <row r="28" spans="2:15">
      <c r="B28" s="58" t="s">
        <v>1018</v>
      </c>
      <c r="C28" s="55"/>
      <c r="D28" s="94">
        <f>'[18]Rev_SP-12me'!H29</f>
        <v>59547</v>
      </c>
      <c r="E28" s="94">
        <f>'[18]Rev_SP-12me'!I29</f>
        <v>300.061495139193</v>
      </c>
      <c r="F28" s="94">
        <f>'[18]Rev_SP-12me'!K29</f>
        <v>351.159182207987</v>
      </c>
      <c r="G28" s="79">
        <f>'[18]Rev_SP-12me'!S29</f>
        <v>100</v>
      </c>
      <c r="H28" s="60">
        <f>'[18]Rev_SP-12me'!T29</f>
        <v>10.4</v>
      </c>
      <c r="I28" s="79">
        <f>'[18]Rev_SP-12me'!AC29</f>
        <v>120</v>
      </c>
      <c r="J28" s="7"/>
      <c r="K28" s="94">
        <f>'[18]Rev_SP-12me'!DM29</f>
        <v>29.7060880187801</v>
      </c>
      <c r="L28" s="94">
        <f>'[18]Rev_SP-12me'!DN29</f>
        <v>365.205549496307</v>
      </c>
      <c r="M28" s="94">
        <f>'[18]Rev_SP-12me'!DP29</f>
        <v>8.301312</v>
      </c>
      <c r="N28" s="60"/>
      <c r="O28" s="60">
        <f t="shared" si="0"/>
        <v>403.212949515087</v>
      </c>
    </row>
    <row r="29" spans="2:15">
      <c r="B29" s="58" t="s">
        <v>1019</v>
      </c>
      <c r="C29" s="55"/>
      <c r="D29" s="94">
        <f>'[18]Rev_SP-12me'!H30</f>
        <v>110662</v>
      </c>
      <c r="E29" s="94">
        <f>'[18]Rev_SP-12me'!I30</f>
        <v>1675.33077343829</v>
      </c>
      <c r="F29" s="94">
        <f>'[18]Rev_SP-12me'!K30</f>
        <v>2144.06623637023</v>
      </c>
      <c r="G29" s="79">
        <f>'[18]Rev_SP-12me'!S30</f>
        <v>100</v>
      </c>
      <c r="H29" s="60">
        <f>'[18]Rev_SP-12me'!T30</f>
        <v>11</v>
      </c>
      <c r="I29" s="79">
        <f>'[18]Rev_SP-12me'!AC30</f>
        <v>160</v>
      </c>
      <c r="J29" s="7"/>
      <c r="K29" s="94">
        <f>'[18]Rev_SP-12me'!DM30</f>
        <v>165.857746570391</v>
      </c>
      <c r="L29" s="94">
        <f>'[18]Rev_SP-12me'!DN30</f>
        <v>2358.47286000725</v>
      </c>
      <c r="M29" s="94">
        <f>'[18]Rev_SP-12me'!DP30</f>
        <v>20.569536</v>
      </c>
      <c r="N29" s="60"/>
      <c r="O29" s="60">
        <f t="shared" si="0"/>
        <v>2544.90014257764</v>
      </c>
    </row>
    <row r="30" spans="2:15">
      <c r="B30" s="56" t="s">
        <v>1020</v>
      </c>
      <c r="C30" s="55"/>
      <c r="D30" s="79">
        <f>'[18]Rev_SP-12me'!H31</f>
        <v>2425</v>
      </c>
      <c r="E30" s="79">
        <f>'[18]Rev_SP-12me'!I31</f>
        <v>7.15338484756435</v>
      </c>
      <c r="F30" s="79">
        <f>'[18]Rev_SP-12me'!K31</f>
        <v>5.37667720422922</v>
      </c>
      <c r="G30" s="79">
        <f>'[18]Rev_SP-12me'!S31</f>
        <v>150</v>
      </c>
      <c r="H30" s="60">
        <f>'[18]Rev_SP-12me'!T31</f>
        <v>13</v>
      </c>
      <c r="I30" s="79">
        <f>'[18]Rev_SP-12me'!AC31</f>
        <v>160</v>
      </c>
      <c r="J30" s="7"/>
      <c r="K30" s="79">
        <f>'[18]Rev_SP-12me'!DM31</f>
        <v>0.88701972109798</v>
      </c>
      <c r="L30" s="79">
        <f>'[18]Rev_SP-12me'!DN31</f>
        <v>6.98968036549798</v>
      </c>
      <c r="M30" s="79">
        <f>'[18]Rev_SP-12me'!DP31</f>
        <v>0.45072</v>
      </c>
      <c r="N30" s="60"/>
      <c r="O30" s="60">
        <f t="shared" si="0"/>
        <v>8.32742008659596</v>
      </c>
    </row>
    <row r="31" spans="2:15">
      <c r="B31" s="56" t="s">
        <v>1021</v>
      </c>
      <c r="C31" s="55"/>
      <c r="D31" s="79">
        <f>'[18]Rev_SP-12me'!H32</f>
        <v>13327</v>
      </c>
      <c r="E31" s="79">
        <f>'[18]Rev_SP-12me'!I32</f>
        <v>13.8798318428099</v>
      </c>
      <c r="F31" s="79">
        <f>'[18]Rev_SP-12me'!K32</f>
        <v>5.24167144855208</v>
      </c>
      <c r="G31" s="79"/>
      <c r="H31" s="60"/>
      <c r="I31" s="79"/>
      <c r="J31" s="7"/>
      <c r="K31" s="79">
        <f>'[18]Rev_SP-12me'!DM32</f>
        <v>0.999347892682313</v>
      </c>
      <c r="L31" s="79">
        <f>'[18]Rev_SP-12me'!DN32</f>
        <v>3.05212469293659</v>
      </c>
      <c r="M31" s="79">
        <f>'[18]Rev_SP-12me'!DP32</f>
        <v>0.744408</v>
      </c>
      <c r="N31" s="60"/>
      <c r="O31" s="60">
        <f t="shared" si="0"/>
        <v>4.7958805856189</v>
      </c>
    </row>
    <row r="32" spans="2:15">
      <c r="B32" s="58" t="s">
        <v>1002</v>
      </c>
      <c r="C32" s="55"/>
      <c r="D32" s="94">
        <f>'[18]Rev_SP-12me'!H33</f>
        <v>10194</v>
      </c>
      <c r="E32" s="94">
        <f>'[18]Rev_SP-12me'!I33</f>
        <v>10.5241464954318</v>
      </c>
      <c r="F32" s="94">
        <f>'[18]Rev_SP-12me'!K33</f>
        <v>3.48182152098916</v>
      </c>
      <c r="G32" s="79">
        <f>'[18]Rev_SP-12me'!S33</f>
        <v>60</v>
      </c>
      <c r="H32" s="60">
        <f>'[18]Rev_SP-12me'!T33</f>
        <v>5.3</v>
      </c>
      <c r="I32" s="79">
        <f>'[18]Rev_SP-12me'!AC33</f>
        <v>45</v>
      </c>
      <c r="J32" s="7"/>
      <c r="K32" s="94">
        <f>'[18]Rev_SP-12me'!DM33</f>
        <v>0.757738547671089</v>
      </c>
      <c r="L32" s="94">
        <f>'[18]Rev_SP-12me'!DN33</f>
        <v>1.84536540612425</v>
      </c>
      <c r="M32" s="94">
        <f>'[18]Rev_SP-12me'!DP33</f>
        <v>0.532926</v>
      </c>
      <c r="N32" s="60"/>
      <c r="O32" s="60">
        <f t="shared" si="0"/>
        <v>3.13602995379534</v>
      </c>
    </row>
    <row r="33" spans="2:15">
      <c r="B33" s="58" t="s">
        <v>1022</v>
      </c>
      <c r="C33" s="55"/>
      <c r="D33" s="94">
        <f>'[18]Rev_SP-12me'!H34</f>
        <v>2160</v>
      </c>
      <c r="E33" s="94">
        <f>'[18]Rev_SP-12me'!I34</f>
        <v>2.23058797239892</v>
      </c>
      <c r="F33" s="94">
        <f>'[18]Rev_SP-12me'!K34</f>
        <v>1.25697954288723</v>
      </c>
      <c r="G33" s="79">
        <f>'[18]Rev_SP-12me'!S34</f>
        <v>60</v>
      </c>
      <c r="H33" s="60">
        <f>'[18]Rev_SP-12me'!T34</f>
        <v>6.6</v>
      </c>
      <c r="I33" s="79">
        <f>'[18]Rev_SP-12me'!AC34</f>
        <v>55</v>
      </c>
      <c r="J33" s="7"/>
      <c r="K33" s="94">
        <f>'[18]Rev_SP-12me'!DM34</f>
        <v>0.160602334012722</v>
      </c>
      <c r="L33" s="94">
        <f>'[18]Rev_SP-12me'!DN34</f>
        <v>0.829606498305571</v>
      </c>
      <c r="M33" s="94">
        <f>'[18]Rev_SP-12me'!DP34</f>
        <v>0.138006</v>
      </c>
      <c r="N33" s="60"/>
      <c r="O33" s="60">
        <f t="shared" si="0"/>
        <v>1.12821483231829</v>
      </c>
    </row>
    <row r="34" spans="2:15">
      <c r="B34" s="58" t="s">
        <v>1023</v>
      </c>
      <c r="C34" s="55"/>
      <c r="D34" s="94">
        <f>'[18]Rev_SP-12me'!H35</f>
        <v>973</v>
      </c>
      <c r="E34" s="94">
        <f>'[18]Rev_SP-12me'!I35</f>
        <v>1.12509737497919</v>
      </c>
      <c r="F34" s="94">
        <f>'[18]Rev_SP-12me'!K35</f>
        <v>0.50287038467569</v>
      </c>
      <c r="G34" s="79">
        <f>'[18]Rev_SP-12me'!S35</f>
        <v>60</v>
      </c>
      <c r="H34" s="60">
        <f>'[18]Rev_SP-12me'!T35</f>
        <v>7.5</v>
      </c>
      <c r="I34" s="79">
        <f>'[18]Rev_SP-12me'!AC35</f>
        <v>65</v>
      </c>
      <c r="J34" s="7"/>
      <c r="K34" s="94">
        <f>'[18]Rev_SP-12me'!DM35</f>
        <v>0.0810070109985016</v>
      </c>
      <c r="L34" s="94">
        <f>'[18]Rev_SP-12me'!DN35</f>
        <v>0.377152788506768</v>
      </c>
      <c r="M34" s="94">
        <f>'[18]Rev_SP-12me'!DP35</f>
        <v>0.073476</v>
      </c>
      <c r="N34" s="60"/>
      <c r="O34" s="60">
        <f t="shared" si="0"/>
        <v>0.53163579950527</v>
      </c>
    </row>
    <row r="35" ht="15" spans="2:15">
      <c r="B35" s="54" t="s">
        <v>1024</v>
      </c>
      <c r="C35" s="55"/>
      <c r="D35" s="68">
        <f>'[18]Rev_SP-12me'!H36</f>
        <v>46475</v>
      </c>
      <c r="E35" s="68">
        <f>'[18]Rev_SP-12me'!J36*0.7457/10^3</f>
        <v>1096.98240899737</v>
      </c>
      <c r="F35" s="68">
        <f>'[18]Rev_SP-12me'!K36</f>
        <v>1012.35752113662</v>
      </c>
      <c r="G35" s="79"/>
      <c r="H35" s="60"/>
      <c r="I35" s="79"/>
      <c r="J35" s="7"/>
      <c r="K35" s="68">
        <f>'[18]Rev_SP-12me'!DM36</f>
        <v>150.785432375258</v>
      </c>
      <c r="L35" s="68">
        <f>'[18]Rev_SP-12me'!DN36</f>
        <v>776.705381057318</v>
      </c>
      <c r="M35" s="68">
        <f>'[18]Rev_SP-12me'!DP36</f>
        <v>20.7871455</v>
      </c>
      <c r="N35" s="60"/>
      <c r="O35" s="69">
        <f t="shared" si="0"/>
        <v>948.277958932576</v>
      </c>
    </row>
    <row r="36" spans="2:15">
      <c r="B36" s="58" t="s">
        <v>1025</v>
      </c>
      <c r="C36" s="55"/>
      <c r="D36" s="94">
        <f>'[18]Rev_SP-12me'!H37</f>
        <v>46475</v>
      </c>
      <c r="E36" s="94">
        <f>'[18]Rev_SP-12me'!J37*0.7457/10^3</f>
        <v>1096.98240899737</v>
      </c>
      <c r="F36" s="94">
        <f>'[18]Rev_SP-12me'!K37</f>
        <v>972.215946595516</v>
      </c>
      <c r="G36" s="79">
        <f>'[18]Rev_SP-12me'!S37</f>
        <v>100</v>
      </c>
      <c r="H36" s="60">
        <f>'[18]Rev_SP-12me'!T37</f>
        <v>7.7</v>
      </c>
      <c r="I36" s="79">
        <f>'[18]Rev_SP-12me'!AC37</f>
        <v>360.25</v>
      </c>
      <c r="J36" s="7"/>
      <c r="K36" s="94">
        <f>'[18]Rev_SP-12me'!DM37</f>
        <v>150.785432375258</v>
      </c>
      <c r="L36" s="94">
        <f>'[18]Rev_SP-12me'!DN37</f>
        <v>748.606278878548</v>
      </c>
      <c r="M36" s="94">
        <f>'[18]Rev_SP-12me'!DP37</f>
        <v>19.1305719</v>
      </c>
      <c r="N36" s="60"/>
      <c r="O36" s="60">
        <f t="shared" si="0"/>
        <v>918.522283153806</v>
      </c>
    </row>
    <row r="37" spans="2:15">
      <c r="B37" s="58" t="s">
        <v>1026</v>
      </c>
      <c r="C37" s="55"/>
      <c r="D37" s="94">
        <f>'[18]Rev_SP-12me'!H38</f>
        <v>0</v>
      </c>
      <c r="E37" s="94">
        <f>'[18]Rev_SP-12me'!J38*0.7457/10^3</f>
        <v>0</v>
      </c>
      <c r="F37" s="94">
        <f>'[18]Rev_SP-12me'!K38</f>
        <v>0</v>
      </c>
      <c r="G37" s="79">
        <f>'[18]Rev_SP-12me'!S38</f>
        <v>100</v>
      </c>
      <c r="H37" s="60">
        <f>'[18]Rev_SP-12me'!T38</f>
        <v>8.4</v>
      </c>
      <c r="I37" s="79">
        <f>'[18]Rev_SP-12me'!AC38</f>
        <v>360.25</v>
      </c>
      <c r="J37" s="7"/>
      <c r="K37" s="94">
        <f>'[18]Rev_SP-12me'!DM38</f>
        <v>0</v>
      </c>
      <c r="L37" s="94">
        <f>'[18]Rev_SP-12me'!DN38</f>
        <v>0</v>
      </c>
      <c r="M37" s="94">
        <f>'[18]Rev_SP-12me'!DP38</f>
        <v>0</v>
      </c>
      <c r="N37" s="60"/>
      <c r="O37" s="60">
        <f t="shared" si="0"/>
        <v>0</v>
      </c>
    </row>
    <row r="38" spans="2:15">
      <c r="B38" s="58" t="s">
        <v>1027</v>
      </c>
      <c r="C38" s="55"/>
      <c r="D38" s="94">
        <f>'[18]Rev_SP-12me'!H39</f>
        <v>0</v>
      </c>
      <c r="E38" s="94">
        <f>'[18]Rev_SP-12me'!J39*0.7457/10^3</f>
        <v>0</v>
      </c>
      <c r="F38" s="94">
        <f>'[18]Rev_SP-12me'!K39</f>
        <v>0</v>
      </c>
      <c r="G38" s="79">
        <f>'[18]Rev_SP-12me'!S39</f>
        <v>50</v>
      </c>
      <c r="H38" s="60">
        <f>'[18]Rev_SP-12me'!T39</f>
        <v>6.2</v>
      </c>
      <c r="I38" s="79">
        <f>'[18]Rev_SP-12me'!AC39</f>
        <v>360.25</v>
      </c>
      <c r="J38" s="7"/>
      <c r="K38" s="94">
        <f>'[18]Rev_SP-12me'!DM39</f>
        <v>0</v>
      </c>
      <c r="L38" s="94">
        <f>'[18]Rev_SP-12me'!DN39</f>
        <v>0</v>
      </c>
      <c r="M38" s="94">
        <f>'[18]Rev_SP-12me'!DP39</f>
        <v>0</v>
      </c>
      <c r="N38" s="60"/>
      <c r="O38" s="60">
        <f t="shared" si="0"/>
        <v>0</v>
      </c>
    </row>
    <row r="39" spans="2:15">
      <c r="B39" s="58" t="s">
        <v>1028</v>
      </c>
      <c r="C39" s="55"/>
      <c r="D39" s="94">
        <f>'[18]Rev_SP-12me'!H40</f>
        <v>0</v>
      </c>
      <c r="E39" s="94">
        <f>'[18]Rev_SP-12me'!J40*0.7457/10^3</f>
        <v>0</v>
      </c>
      <c r="F39" s="94">
        <f>'[18]Rev_SP-12me'!K40</f>
        <v>0</v>
      </c>
      <c r="G39" s="79">
        <f>'[18]Rev_SP-12me'!S40</f>
        <v>50</v>
      </c>
      <c r="H39" s="60">
        <f>'[18]Rev_SP-12me'!T40</f>
        <v>6.2</v>
      </c>
      <c r="I39" s="79">
        <f>'[18]Rev_SP-12me'!AC40</f>
        <v>360.25</v>
      </c>
      <c r="J39" s="7"/>
      <c r="K39" s="94">
        <f>'[18]Rev_SP-12me'!DM40</f>
        <v>0</v>
      </c>
      <c r="L39" s="94">
        <f>'[18]Rev_SP-12me'!DN40</f>
        <v>0</v>
      </c>
      <c r="M39" s="94">
        <f>'[18]Rev_SP-12me'!DP40</f>
        <v>0</v>
      </c>
      <c r="N39" s="60"/>
      <c r="O39" s="60">
        <f t="shared" si="0"/>
        <v>0</v>
      </c>
    </row>
    <row r="40" spans="2:15">
      <c r="B40" s="58" t="s">
        <v>1029</v>
      </c>
      <c r="C40" s="55"/>
      <c r="D40" s="94">
        <f>'[18]Rev_SP-12me'!H41</f>
        <v>0</v>
      </c>
      <c r="E40" s="94">
        <f>'[18]Rev_SP-12me'!J41*0.7457/10^3</f>
        <v>0</v>
      </c>
      <c r="F40" s="94">
        <f>'[18]Rev_SP-12me'!K41</f>
        <v>40.1415745411003</v>
      </c>
      <c r="G40" s="79">
        <f>'[18]Rev_SP-12me'!S41</f>
        <v>65</v>
      </c>
      <c r="H40" s="60">
        <f>'[18]Rev_SP-12me'!T41</f>
        <v>7</v>
      </c>
      <c r="I40" s="79">
        <f>'[18]Rev_SP-12me'!AC41</f>
        <v>360.25</v>
      </c>
      <c r="J40" s="7"/>
      <c r="K40" s="94">
        <f>'[18]Rev_SP-12me'!DM41</f>
        <v>0</v>
      </c>
      <c r="L40" s="94">
        <f>'[18]Rev_SP-12me'!DN41</f>
        <v>28.0991021787702</v>
      </c>
      <c r="M40" s="94">
        <f>'[18]Rev_SP-12me'!DP41</f>
        <v>1.6565736</v>
      </c>
      <c r="N40" s="60"/>
      <c r="O40" s="60">
        <f t="shared" si="0"/>
        <v>29.7556757787702</v>
      </c>
    </row>
    <row r="41" spans="2:15">
      <c r="B41" s="58" t="s">
        <v>1030</v>
      </c>
      <c r="C41" s="55"/>
      <c r="D41" s="94">
        <f>'[18]Rev_SP-12me'!H42</f>
        <v>0</v>
      </c>
      <c r="E41" s="94">
        <f>'[18]Rev_SP-12me'!J42*0.7457/10^3</f>
        <v>0</v>
      </c>
      <c r="F41" s="94">
        <f>'[18]Rev_SP-12me'!K42</f>
        <v>0</v>
      </c>
      <c r="G41" s="79">
        <f>'[18]Rev_SP-12me'!S42</f>
        <v>100</v>
      </c>
      <c r="H41" s="60">
        <f>'[18]Rev_SP-12me'!T42</f>
        <v>7.3</v>
      </c>
      <c r="I41" s="79">
        <f>'[18]Rev_SP-12me'!AC42</f>
        <v>360.25</v>
      </c>
      <c r="J41" s="7"/>
      <c r="K41" s="94">
        <f>'[18]Rev_SP-12me'!DM42</f>
        <v>0</v>
      </c>
      <c r="L41" s="94">
        <f>'[18]Rev_SP-12me'!DN42</f>
        <v>0</v>
      </c>
      <c r="M41" s="94">
        <f>'[18]Rev_SP-12me'!DP42</f>
        <v>0</v>
      </c>
      <c r="N41" s="60"/>
      <c r="O41" s="60">
        <f t="shared" ref="O41:O68" si="1">SUM(K41:N41)</f>
        <v>0</v>
      </c>
    </row>
    <row r="42" ht="15" spans="2:15">
      <c r="B42" s="54" t="s">
        <v>1031</v>
      </c>
      <c r="C42" s="55"/>
      <c r="D42" s="68">
        <f>'[18]Rev_SP-12me'!H43</f>
        <v>5371</v>
      </c>
      <c r="E42" s="68">
        <f>'[18]Rev_SP-12me'!J43*0.7457/10^3</f>
        <v>16.3584195096473</v>
      </c>
      <c r="F42" s="68">
        <f>'[18]Rev_SP-12me'!K43</f>
        <v>9.46335842153401</v>
      </c>
      <c r="G42" s="79"/>
      <c r="H42" s="60"/>
      <c r="I42" s="79"/>
      <c r="J42" s="7"/>
      <c r="K42" s="68">
        <f>'[18]Rev_SP-12me'!DM43</f>
        <v>0.526487955252157</v>
      </c>
      <c r="L42" s="68">
        <f>'[18]Rev_SP-12me'!DN43</f>
        <v>3.78534336861361</v>
      </c>
      <c r="M42" s="68">
        <f>'[18]Rev_SP-12me'!DP43</f>
        <v>0.31401</v>
      </c>
      <c r="N42" s="60"/>
      <c r="O42" s="69">
        <f t="shared" si="1"/>
        <v>4.62584132386577</v>
      </c>
    </row>
    <row r="43" spans="2:15">
      <c r="B43" s="58" t="s">
        <v>178</v>
      </c>
      <c r="C43" s="55"/>
      <c r="D43" s="94">
        <f>'[18]Rev_SP-12me'!H44</f>
        <v>5025</v>
      </c>
      <c r="E43" s="94">
        <f>'[18]Rev_SP-12me'!J44*0.7457/10^3</f>
        <v>15.2324125096473</v>
      </c>
      <c r="F43" s="94">
        <f>'[18]Rev_SP-12me'!K44</f>
        <v>9.14719339003917</v>
      </c>
      <c r="G43" s="79">
        <f>'[18]Rev_SP-12me'!S44</f>
        <v>20</v>
      </c>
      <c r="H43" s="60">
        <f>'[18]Rev_SP-12me'!T44</f>
        <v>4</v>
      </c>
      <c r="I43" s="79">
        <f>'[18]Rev_SP-12me'!AC44</f>
        <v>50</v>
      </c>
      <c r="J43" s="7"/>
      <c r="K43" s="94">
        <f>'[18]Rev_SP-12me'!DM44</f>
        <v>0.490247955252157</v>
      </c>
      <c r="L43" s="94">
        <f>'[18]Rev_SP-12me'!DN44</f>
        <v>3.65887735601567</v>
      </c>
      <c r="M43" s="94">
        <f>'[18]Rev_SP-12me'!DP44</f>
        <v>0.29379</v>
      </c>
      <c r="N43" s="60"/>
      <c r="O43" s="60">
        <f t="shared" si="1"/>
        <v>4.44291531126783</v>
      </c>
    </row>
    <row r="44" spans="2:15">
      <c r="B44" s="58" t="s">
        <v>1033</v>
      </c>
      <c r="C44" s="55"/>
      <c r="D44" s="94">
        <f>'[18]Rev_SP-12me'!H45</f>
        <v>346</v>
      </c>
      <c r="E44" s="94">
        <f>'[18]Rev_SP-12me'!J45*0.7457/10^3</f>
        <v>1.126007</v>
      </c>
      <c r="F44" s="94">
        <f>'[18]Rev_SP-12me'!K45</f>
        <v>0.316165031494847</v>
      </c>
      <c r="G44" s="79">
        <f>'[18]Rev_SP-12me'!S45</f>
        <v>20</v>
      </c>
      <c r="H44" s="60">
        <f>'[18]Rev_SP-12me'!T45</f>
        <v>4</v>
      </c>
      <c r="I44" s="79">
        <f>'[18]Rev_SP-12me'!AC45</f>
        <v>50</v>
      </c>
      <c r="J44" s="7"/>
      <c r="K44" s="94">
        <f>'[18]Rev_SP-12me'!DM45</f>
        <v>0.03624</v>
      </c>
      <c r="L44" s="94">
        <f>'[18]Rev_SP-12me'!DN45</f>
        <v>0.126466012597939</v>
      </c>
      <c r="M44" s="94">
        <f>'[18]Rev_SP-12me'!DP45</f>
        <v>0.02022</v>
      </c>
      <c r="N44" s="60"/>
      <c r="O44" s="60">
        <f t="shared" si="1"/>
        <v>0.182926012597939</v>
      </c>
    </row>
    <row r="45" ht="15" spans="2:15">
      <c r="B45" s="54" t="s">
        <v>1034</v>
      </c>
      <c r="C45" s="55"/>
      <c r="D45" s="68">
        <f>'[18]Rev_SP-12me'!H46</f>
        <v>1434508</v>
      </c>
      <c r="E45" s="68">
        <f>'[18]Rev_SP-12me'!J46*0.7457/10^3</f>
        <v>5316.8745565</v>
      </c>
      <c r="F45" s="68">
        <f>'[18]Rev_SP-12me'!K46</f>
        <v>16400.2035853187</v>
      </c>
      <c r="G45" s="79"/>
      <c r="H45" s="60"/>
      <c r="I45" s="79"/>
      <c r="J45" s="7"/>
      <c r="K45" s="68">
        <f>'[18]Rev_SP-12me'!DM46</f>
        <v>0.04666464</v>
      </c>
      <c r="L45" s="68">
        <f>'[18]Rev_SP-12me'!DN46</f>
        <v>9.93760971137238</v>
      </c>
      <c r="M45" s="68">
        <f>'[18]Rev_SP-12me'!DP46</f>
        <v>50.335542</v>
      </c>
      <c r="N45" s="60"/>
      <c r="O45" s="69">
        <f t="shared" si="1"/>
        <v>60.3198163513724</v>
      </c>
    </row>
    <row r="46" spans="2:15">
      <c r="B46" s="56" t="s">
        <v>1035</v>
      </c>
      <c r="C46" s="55"/>
      <c r="D46" s="79">
        <f>'[18]Rev_SP-12me'!H47</f>
        <v>1434139</v>
      </c>
      <c r="E46" s="79">
        <f>'[18]Rev_SP-12me'!J47*0.7457/10^3</f>
        <v>5315.424647248</v>
      </c>
      <c r="F46" s="79">
        <f>'[18]Rev_SP-12me'!K47</f>
        <v>16397.0082288473</v>
      </c>
      <c r="G46" s="79"/>
      <c r="H46" s="60"/>
      <c r="I46" s="79"/>
      <c r="J46" s="7"/>
      <c r="K46" s="79">
        <f>'[18]Rev_SP-12me'!DM47</f>
        <v>0</v>
      </c>
      <c r="L46" s="79">
        <f>'[18]Rev_SP-12me'!DN47</f>
        <v>8.65946712279959</v>
      </c>
      <c r="M46" s="79">
        <f>'[18]Rev_SP-12me'!DP47</f>
        <v>50.322258</v>
      </c>
      <c r="N46" s="60"/>
      <c r="O46" s="60">
        <f t="shared" si="1"/>
        <v>58.9817251227996</v>
      </c>
    </row>
    <row r="47" spans="2:15">
      <c r="B47" s="58" t="s">
        <v>1036</v>
      </c>
      <c r="C47" s="55"/>
      <c r="D47" s="94">
        <f>'[18]Rev_SP-12me'!H48</f>
        <v>1992</v>
      </c>
      <c r="E47" s="94">
        <f>'[18]Rev_SP-12me'!J48*0.7457/10^3</f>
        <v>8.40098163</v>
      </c>
      <c r="F47" s="94">
        <f>'[18]Rev_SP-12me'!K48</f>
        <v>34.6378684911984</v>
      </c>
      <c r="G47" s="79"/>
      <c r="H47" s="60">
        <f>'[18]Rev_SP-12me'!T48</f>
        <v>2.5</v>
      </c>
      <c r="I47" s="79">
        <f>'[18]Rev_SP-12me'!AC48</f>
        <v>30</v>
      </c>
      <c r="J47" s="7"/>
      <c r="K47" s="94">
        <f>'[18]Rev_SP-12me'!DM48</f>
        <v>0</v>
      </c>
      <c r="L47" s="94">
        <f>'[18]Rev_SP-12me'!DN48</f>
        <v>8.65946712279959</v>
      </c>
      <c r="M47" s="94">
        <f>'[18]Rev_SP-12me'!DP48</f>
        <v>0.071712</v>
      </c>
      <c r="N47" s="60"/>
      <c r="O47" s="60">
        <f t="shared" si="1"/>
        <v>8.73117912279959</v>
      </c>
    </row>
    <row r="48" spans="2:15">
      <c r="B48" s="56" t="s">
        <v>1038</v>
      </c>
      <c r="C48" s="55"/>
      <c r="D48" s="94">
        <f>'[18]Rev_SP-12me'!H49</f>
        <v>1432147</v>
      </c>
      <c r="E48" s="94">
        <f>'[18]Rev_SP-12me'!J49*0.7457/10^3</f>
        <v>5307.023665618</v>
      </c>
      <c r="F48" s="94">
        <f>'[18]Rev_SP-12me'!K49</f>
        <v>16362.3703603561</v>
      </c>
      <c r="G48" s="79"/>
      <c r="H48" s="60"/>
      <c r="I48" s="79"/>
      <c r="J48" s="7"/>
      <c r="K48" s="94">
        <f>'[18]Rev_SP-12me'!DM49</f>
        <v>0</v>
      </c>
      <c r="L48" s="94">
        <f>'[18]Rev_SP-12me'!DN49</f>
        <v>0</v>
      </c>
      <c r="M48" s="94">
        <f>'[18]Rev_SP-12me'!DP49</f>
        <v>0</v>
      </c>
      <c r="N48" s="60"/>
      <c r="O48" s="60">
        <f t="shared" si="1"/>
        <v>0</v>
      </c>
    </row>
    <row r="49" spans="2:15">
      <c r="B49" s="58" t="s">
        <v>1099</v>
      </c>
      <c r="C49" s="55"/>
      <c r="D49" s="94">
        <f>'[18]Rev_SP-12me'!H50</f>
        <v>1432147</v>
      </c>
      <c r="E49" s="94">
        <f>'[18]Rev_SP-12me'!J50*0.7457/10^3</f>
        <v>5307.023665618</v>
      </c>
      <c r="F49" s="94">
        <f>'[18]Rev_SP-12me'!K50</f>
        <v>16362.3703603561</v>
      </c>
      <c r="G49" s="79"/>
      <c r="H49" s="60"/>
      <c r="I49" s="79">
        <f>'[18]Rev_SP-12me'!AC50</f>
        <v>30</v>
      </c>
      <c r="J49" s="7"/>
      <c r="K49" s="94">
        <f>'[18]Rev_SP-12me'!DM50</f>
        <v>0</v>
      </c>
      <c r="L49" s="94">
        <f>'[18]Rev_SP-12me'!DN50</f>
        <v>0</v>
      </c>
      <c r="M49" s="94">
        <f>'[18]Rev_SP-12me'!DP50</f>
        <v>50.250546</v>
      </c>
      <c r="N49" s="60"/>
      <c r="O49" s="60">
        <f t="shared" si="1"/>
        <v>50.250546</v>
      </c>
    </row>
    <row r="50" spans="2:15">
      <c r="B50" s="58" t="s">
        <v>1100</v>
      </c>
      <c r="C50" s="55"/>
      <c r="D50" s="94">
        <f>'[18]Rev_SP-12me'!H51</f>
        <v>0</v>
      </c>
      <c r="E50" s="94">
        <f>'[18]Rev_SP-12me'!J51*0.7457/10^3</f>
        <v>0</v>
      </c>
      <c r="F50" s="94">
        <f>'[18]Rev_SP-12me'!K51</f>
        <v>0</v>
      </c>
      <c r="G50" s="79"/>
      <c r="H50" s="60"/>
      <c r="I50" s="79">
        <f>'[18]Rev_SP-12me'!AC51</f>
        <v>30</v>
      </c>
      <c r="J50" s="7"/>
      <c r="K50" s="94">
        <f>'[18]Rev_SP-12me'!DM51</f>
        <v>0</v>
      </c>
      <c r="L50" s="94">
        <f>'[18]Rev_SP-12me'!DN51</f>
        <v>0</v>
      </c>
      <c r="M50" s="94">
        <f>'[18]Rev_SP-12me'!DP51</f>
        <v>0</v>
      </c>
      <c r="N50" s="60"/>
      <c r="O50" s="60">
        <f t="shared" si="1"/>
        <v>0</v>
      </c>
    </row>
    <row r="51" spans="2:15">
      <c r="B51" s="56" t="s">
        <v>1039</v>
      </c>
      <c r="C51" s="55"/>
      <c r="D51" s="79">
        <f>'[18]Rev_SP-12me'!H52</f>
        <v>369</v>
      </c>
      <c r="E51" s="79">
        <f>'[18]Rev_SP-12me'!J52*0.7457/10^3</f>
        <v>1.449909252</v>
      </c>
      <c r="F51" s="79">
        <f>'[18]Rev_SP-12me'!K52</f>
        <v>3.19535647143197</v>
      </c>
      <c r="G51" s="79"/>
      <c r="H51" s="60"/>
      <c r="I51" s="79"/>
      <c r="J51" s="7"/>
      <c r="K51" s="79">
        <f>'[18]Rev_SP-12me'!DM52</f>
        <v>0.04666464</v>
      </c>
      <c r="L51" s="79">
        <f>'[18]Rev_SP-12me'!DN52</f>
        <v>1.27814258857279</v>
      </c>
      <c r="M51" s="79">
        <f>'[18]Rev_SP-12me'!DP52</f>
        <v>0.013284</v>
      </c>
      <c r="N51" s="60"/>
      <c r="O51" s="60">
        <f t="shared" si="1"/>
        <v>1.33809122857279</v>
      </c>
    </row>
    <row r="52" spans="2:15">
      <c r="B52" s="58" t="s">
        <v>1040</v>
      </c>
      <c r="C52" s="55"/>
      <c r="D52" s="94">
        <f>'[18]Rev_SP-12me'!H53</f>
        <v>369</v>
      </c>
      <c r="E52" s="94">
        <f>'[18]Rev_SP-12me'!J53*0.7457/10^3</f>
        <v>1.449909252</v>
      </c>
      <c r="F52" s="94">
        <f>'[18]Rev_SP-12me'!K53</f>
        <v>3.19535647143197</v>
      </c>
      <c r="G52" s="79">
        <f>'[18]Rev_SP-12me'!S53</f>
        <v>20</v>
      </c>
      <c r="H52" s="60">
        <f>'[18]Rev_SP-12me'!T53</f>
        <v>4</v>
      </c>
      <c r="I52" s="79">
        <f>'[18]Rev_SP-12me'!AC53</f>
        <v>30</v>
      </c>
      <c r="J52" s="7"/>
      <c r="K52" s="94">
        <f>'[18]Rev_SP-12me'!DM53</f>
        <v>0.04666464</v>
      </c>
      <c r="L52" s="94">
        <f>'[18]Rev_SP-12me'!DN53</f>
        <v>1.27814258857279</v>
      </c>
      <c r="M52" s="94">
        <f>'[18]Rev_SP-12me'!DP53</f>
        <v>0.013284</v>
      </c>
      <c r="N52" s="60"/>
      <c r="O52" s="60">
        <f t="shared" si="1"/>
        <v>1.33809122857279</v>
      </c>
    </row>
    <row r="53" ht="15" spans="2:15">
      <c r="B53" s="54" t="s">
        <v>1042</v>
      </c>
      <c r="C53" s="55"/>
      <c r="D53" s="68">
        <f>'[18]Rev_SP-12me'!H54</f>
        <v>74905</v>
      </c>
      <c r="E53" s="68">
        <f>'[18]Rev_SP-12me'!I54</f>
        <v>175.540563701112</v>
      </c>
      <c r="F53" s="68">
        <f>'[18]Rev_SP-12me'!K54</f>
        <v>260.051315654006</v>
      </c>
      <c r="G53" s="79"/>
      <c r="H53" s="60"/>
      <c r="I53" s="79"/>
      <c r="J53" s="7"/>
      <c r="K53" s="68">
        <f>'[18]Rev_SP-12me'!DM54</f>
        <v>6.7407576461227</v>
      </c>
      <c r="L53" s="68">
        <f>'[18]Rev_SP-12me'!DN54</f>
        <v>200.056094785556</v>
      </c>
      <c r="M53" s="68">
        <f>'[18]Rev_SP-12me'!DP54</f>
        <v>10.745712</v>
      </c>
      <c r="N53" s="60"/>
      <c r="O53" s="69">
        <f t="shared" si="1"/>
        <v>217.542564431679</v>
      </c>
    </row>
    <row r="54" spans="2:15">
      <c r="B54" s="58" t="s">
        <v>1043</v>
      </c>
      <c r="C54" s="55"/>
      <c r="D54" s="94">
        <f>'[18]Rev_SP-12me'!H55</f>
        <v>34386</v>
      </c>
      <c r="E54" s="94">
        <f>'[18]Rev_SP-12me'!I55</f>
        <v>64.2967633534012</v>
      </c>
      <c r="F54" s="94">
        <f>'[18]Rev_SP-12me'!K55</f>
        <v>79.7090505909807</v>
      </c>
      <c r="G54" s="79">
        <f>'[18]Rev_SP-12me'!S55</f>
        <v>32</v>
      </c>
      <c r="H54" s="60">
        <f>'[18]Rev_SP-12me'!T55</f>
        <v>7.1</v>
      </c>
      <c r="I54" s="79">
        <f>'[18]Rev_SP-12me'!AC55</f>
        <v>120</v>
      </c>
      <c r="J54" s="7"/>
      <c r="K54" s="94">
        <f>'[18]Rev_SP-12me'!DM55</f>
        <v>2.46899571277061</v>
      </c>
      <c r="L54" s="94">
        <f>'[18]Rev_SP-12me'!DN55</f>
        <v>56.5934259195963</v>
      </c>
      <c r="M54" s="94">
        <f>'[18]Rev_SP-12me'!DP55</f>
        <v>4.946976</v>
      </c>
      <c r="N54" s="60"/>
      <c r="O54" s="60">
        <f t="shared" si="1"/>
        <v>64.0093976323669</v>
      </c>
    </row>
    <row r="55" spans="2:15">
      <c r="B55" s="58" t="s">
        <v>1044</v>
      </c>
      <c r="C55" s="55"/>
      <c r="D55" s="94">
        <f>'[18]Rev_SP-12me'!H56</f>
        <v>12356</v>
      </c>
      <c r="E55" s="94">
        <f>'[18]Rev_SP-12me'!I56</f>
        <v>31.5634546293874</v>
      </c>
      <c r="F55" s="94">
        <f>'[18]Rev_SP-12me'!K56</f>
        <v>52.2913167018194</v>
      </c>
      <c r="G55" s="79">
        <f>'[18]Rev_SP-12me'!S56</f>
        <v>32</v>
      </c>
      <c r="H55" s="60">
        <f>'[18]Rev_SP-12me'!T56</f>
        <v>7.6</v>
      </c>
      <c r="I55" s="79">
        <f>'[18]Rev_SP-12me'!AC56</f>
        <v>120</v>
      </c>
      <c r="J55" s="7"/>
      <c r="K55" s="94">
        <f>'[18]Rev_SP-12me'!DM56</f>
        <v>1.21203665776847</v>
      </c>
      <c r="L55" s="94">
        <f>'[18]Rev_SP-12me'!DN56</f>
        <v>39.7414006933827</v>
      </c>
      <c r="M55" s="94">
        <f>'[18]Rev_SP-12me'!DP56</f>
        <v>1.742616</v>
      </c>
      <c r="N55" s="60"/>
      <c r="O55" s="60">
        <f t="shared" si="1"/>
        <v>42.6960533511512</v>
      </c>
    </row>
    <row r="56" spans="2:15">
      <c r="B56" s="58" t="s">
        <v>1045</v>
      </c>
      <c r="C56" s="55"/>
      <c r="D56" s="94">
        <f>'[18]Rev_SP-12me'!H57</f>
        <v>28163</v>
      </c>
      <c r="E56" s="94">
        <f>'[18]Rev_SP-12me'!I57</f>
        <v>79.6803457183233</v>
      </c>
      <c r="F56" s="94">
        <f>'[18]Rev_SP-12me'!K57</f>
        <v>128.050948361206</v>
      </c>
      <c r="G56" s="79">
        <f>'[18]Rev_SP-12me'!S57</f>
        <v>32</v>
      </c>
      <c r="H56" s="60">
        <f>'[18]Rev_SP-12me'!T57</f>
        <v>8.1</v>
      </c>
      <c r="I56" s="79">
        <f>'[18]Rev_SP-12me'!AC57</f>
        <v>120</v>
      </c>
      <c r="J56" s="7"/>
      <c r="K56" s="94">
        <f>'[18]Rev_SP-12me'!DM57</f>
        <v>3.05972527558361</v>
      </c>
      <c r="L56" s="94">
        <f>'[18]Rev_SP-12me'!DN57</f>
        <v>103.721268172577</v>
      </c>
      <c r="M56" s="94">
        <f>'[18]Rev_SP-12me'!DP57</f>
        <v>4.05612</v>
      </c>
      <c r="N56" s="60"/>
      <c r="O56" s="60">
        <f t="shared" si="1"/>
        <v>110.837113448161</v>
      </c>
    </row>
    <row r="57" ht="15" spans="2:15">
      <c r="B57" s="54" t="s">
        <v>1046</v>
      </c>
      <c r="C57" s="55"/>
      <c r="D57" s="68">
        <f>'[18]Rev_SP-12me'!H65</f>
        <v>34764</v>
      </c>
      <c r="E57" s="68">
        <f>'[18]Rev_SP-12me'!J65*0.7457/10^3</f>
        <v>116.00905137809</v>
      </c>
      <c r="F57" s="68">
        <f>'[18]Rev_SP-12me'!K65</f>
        <v>253.886305392353</v>
      </c>
      <c r="G57" s="79"/>
      <c r="H57" s="60"/>
      <c r="I57" s="79">
        <f>'[18]Rev_SP-12me'!AC65</f>
        <v>120</v>
      </c>
      <c r="J57" s="7"/>
      <c r="K57" s="68">
        <f>'[18]Rev_SP-12me'!DM65</f>
        <v>5.97391387008</v>
      </c>
      <c r="L57" s="68">
        <f>'[18]Rev_SP-12me'!DN65</f>
        <v>159.436935664894</v>
      </c>
      <c r="M57" s="68">
        <f>'[18]Rev_SP-12me'!DP65</f>
        <v>5.00076</v>
      </c>
      <c r="N57" s="60"/>
      <c r="O57" s="69">
        <f t="shared" si="1"/>
        <v>170.411609534974</v>
      </c>
    </row>
    <row r="58" spans="2:15">
      <c r="B58" s="58" t="s">
        <v>1043</v>
      </c>
      <c r="C58" s="55"/>
      <c r="D58" s="94">
        <f>'[18]Rev_SP-12me'!H66</f>
        <v>24949</v>
      </c>
      <c r="E58" s="94">
        <f>'[18]Rev_SP-12me'!J66*0.7457/10^3</f>
        <v>80.375408726</v>
      </c>
      <c r="F58" s="94">
        <f>'[18]Rev_SP-12me'!K66</f>
        <v>195.225298216581</v>
      </c>
      <c r="G58" s="79">
        <f>'[18]Rev_SP-12me'!S66</f>
        <v>32</v>
      </c>
      <c r="H58" s="60">
        <f>'[18]Rev_SP-12me'!T66</f>
        <v>6</v>
      </c>
      <c r="I58" s="79">
        <f>'[18]Rev_SP-12me'!AC66</f>
        <v>120</v>
      </c>
      <c r="J58" s="7"/>
      <c r="K58" s="94">
        <f>'[18]Rev_SP-12me'!DM66</f>
        <v>4.138950912</v>
      </c>
      <c r="L58" s="94">
        <f>'[18]Rev_SP-12me'!DN66</f>
        <v>117.135178929949</v>
      </c>
      <c r="M58" s="94">
        <f>'[18]Rev_SP-12me'!DP66</f>
        <v>3.59064</v>
      </c>
      <c r="N58" s="60"/>
      <c r="O58" s="60">
        <f t="shared" si="1"/>
        <v>124.864769841949</v>
      </c>
    </row>
    <row r="59" spans="2:15">
      <c r="B59" s="58" t="s">
        <v>1044</v>
      </c>
      <c r="C59" s="55"/>
      <c r="D59" s="94">
        <f>'[18]Rev_SP-12me'!H67</f>
        <v>6205</v>
      </c>
      <c r="E59" s="94">
        <f>'[18]Rev_SP-12me'!J67*0.7457/10^3</f>
        <v>21.54331789114</v>
      </c>
      <c r="F59" s="94">
        <f>'[18]Rev_SP-12me'!K67</f>
        <v>45.6121743728297</v>
      </c>
      <c r="G59" s="79">
        <f>'[18]Rev_SP-12me'!S67</f>
        <v>32</v>
      </c>
      <c r="H59" s="60">
        <f>'[18]Rev_SP-12me'!T67</f>
        <v>7.1</v>
      </c>
      <c r="I59" s="79">
        <f>'[18]Rev_SP-12me'!AC67</f>
        <v>120</v>
      </c>
      <c r="J59" s="7"/>
      <c r="K59" s="94">
        <f>'[18]Rev_SP-12me'!DM67</f>
        <v>1.10937831168</v>
      </c>
      <c r="L59" s="94">
        <f>'[18]Rev_SP-12me'!DN67</f>
        <v>32.3846438047091</v>
      </c>
      <c r="M59" s="94">
        <f>'[18]Rev_SP-12me'!DP67</f>
        <v>0.887328</v>
      </c>
      <c r="N59" s="60"/>
      <c r="O59" s="60">
        <f t="shared" si="1"/>
        <v>34.3813501163891</v>
      </c>
    </row>
    <row r="60" spans="2:15">
      <c r="B60" s="58" t="s">
        <v>1045</v>
      </c>
      <c r="C60" s="55"/>
      <c r="D60" s="94">
        <f>'[18]Rev_SP-12me'!H68</f>
        <v>3610</v>
      </c>
      <c r="E60" s="94">
        <f>'[18]Rev_SP-12me'!J68*0.7457/10^3</f>
        <v>14.09032476095</v>
      </c>
      <c r="F60" s="94">
        <f>'[18]Rev_SP-12me'!K68</f>
        <v>13.0488328029423</v>
      </c>
      <c r="G60" s="79">
        <f>'[18]Rev_SP-12me'!S68</f>
        <v>32</v>
      </c>
      <c r="H60" s="60">
        <f>'[18]Rev_SP-12me'!T68</f>
        <v>7.6</v>
      </c>
      <c r="I60" s="79">
        <f>'[18]Rev_SP-12me'!AC68</f>
        <v>120</v>
      </c>
      <c r="J60" s="7"/>
      <c r="K60" s="94">
        <f>'[18]Rev_SP-12me'!DM68</f>
        <v>0.7255846464</v>
      </c>
      <c r="L60" s="94">
        <f>'[18]Rev_SP-12me'!DN68</f>
        <v>9.91711293023615</v>
      </c>
      <c r="M60" s="94">
        <f>'[18]Rev_SP-12me'!DP68</f>
        <v>0.522792</v>
      </c>
      <c r="N60" s="60"/>
      <c r="O60" s="60">
        <f t="shared" si="1"/>
        <v>11.1654895766362</v>
      </c>
    </row>
    <row r="61" ht="15" spans="2:15">
      <c r="B61" s="54" t="s">
        <v>1168</v>
      </c>
      <c r="C61" s="55"/>
      <c r="D61" s="68">
        <f>'[18]Rev_SP-12me'!H69</f>
        <v>0</v>
      </c>
      <c r="E61" s="68">
        <f>'[18]Rev_SP-12me'!I69</f>
        <v>0</v>
      </c>
      <c r="F61" s="68">
        <f>'[18]Rev_SP-12me'!K69</f>
        <v>0</v>
      </c>
      <c r="G61" s="79"/>
      <c r="H61" s="60"/>
      <c r="I61" s="79"/>
      <c r="J61" s="7"/>
      <c r="K61" s="68">
        <f>'[18]Rev_SP-12me'!DM69</f>
        <v>0</v>
      </c>
      <c r="L61" s="68">
        <f>'[18]Rev_SP-12me'!DN69</f>
        <v>0</v>
      </c>
      <c r="M61" s="68">
        <f>'[18]Rev_SP-12me'!DP69</f>
        <v>0</v>
      </c>
      <c r="N61" s="60"/>
      <c r="O61" s="60">
        <f t="shared" si="1"/>
        <v>0</v>
      </c>
    </row>
    <row r="62" ht="15" spans="2:15">
      <c r="B62" s="54" t="s">
        <v>1049</v>
      </c>
      <c r="C62" s="55"/>
      <c r="D62" s="68">
        <f>'[18]Rev_SP-12me'!H58</f>
        <v>26365</v>
      </c>
      <c r="E62" s="68">
        <f>'[18]Rev_SP-12me'!I58</f>
        <v>81.4473817185997</v>
      </c>
      <c r="F62" s="68">
        <f>'[18]Rev_SP-12me'!K58</f>
        <v>101.306486363046</v>
      </c>
      <c r="G62" s="79"/>
      <c r="H62" s="60"/>
      <c r="I62" s="79"/>
      <c r="J62" s="7"/>
      <c r="K62" s="68">
        <f>'[18]Rev_SP-12me'!DM58</f>
        <v>2.1385587693091</v>
      </c>
      <c r="L62" s="68">
        <f>'[18]Rev_SP-12me'!DN58</f>
        <v>80.4395248277956</v>
      </c>
      <c r="M62" s="68">
        <f>'[18]Rev_SP-12me'!DP58</f>
        <v>3.11364</v>
      </c>
      <c r="N62" s="60"/>
      <c r="O62" s="69">
        <f t="shared" si="1"/>
        <v>85.6917235971047</v>
      </c>
    </row>
    <row r="63" spans="2:15">
      <c r="B63" s="56" t="s">
        <v>1050</v>
      </c>
      <c r="C63" s="55"/>
      <c r="D63" s="94">
        <f>'[18]Rev_SP-12me'!H59</f>
        <v>21545</v>
      </c>
      <c r="E63" s="94">
        <f>'[18]Rev_SP-12me'!I59</f>
        <v>73.4765715333784</v>
      </c>
      <c r="F63" s="94">
        <f>'[18]Rev_SP-12me'!K59</f>
        <v>90.2614595341592</v>
      </c>
      <c r="G63" s="79">
        <f>'[18]Rev_SP-12me'!S59</f>
        <v>21</v>
      </c>
      <c r="H63" s="60">
        <f>'[18]Rev_SP-12me'!T59</f>
        <v>8.3</v>
      </c>
      <c r="I63" s="79">
        <f>'[18]Rev_SP-12me'!AC59</f>
        <v>100</v>
      </c>
      <c r="J63" s="7"/>
      <c r="K63" s="94">
        <f>'[18]Rev_SP-12me'!DM59</f>
        <v>1.85160960264114</v>
      </c>
      <c r="L63" s="94">
        <f>'[18]Rev_SP-12me'!DN59</f>
        <v>74.9170114133521</v>
      </c>
      <c r="M63" s="94">
        <f>'[18]Rev_SP-12me'!DP59</f>
        <v>2.54442</v>
      </c>
      <c r="N63" s="60"/>
      <c r="O63" s="60">
        <f t="shared" si="1"/>
        <v>79.3130410159932</v>
      </c>
    </row>
    <row r="64" spans="2:15">
      <c r="B64" s="56" t="s">
        <v>1051</v>
      </c>
      <c r="C64" s="55"/>
      <c r="D64" s="94">
        <f>'[18]Rev_SP-12me'!H60</f>
        <v>4820</v>
      </c>
      <c r="E64" s="94">
        <f>'[18]Rev_SP-12me'!I60</f>
        <v>7.97081018522127</v>
      </c>
      <c r="F64" s="94">
        <f>'[18]Rev_SP-12me'!K60</f>
        <v>11.0450268288868</v>
      </c>
      <c r="G64" s="79">
        <f>'[18]Rev_SP-12me'!S60</f>
        <v>30</v>
      </c>
      <c r="H64" s="60">
        <f>'[18]Rev_SP-12me'!T60</f>
        <v>5</v>
      </c>
      <c r="I64" s="79">
        <f>'[18]Rev_SP-12me'!AC60</f>
        <v>100</v>
      </c>
      <c r="J64" s="7"/>
      <c r="K64" s="94">
        <f>'[18]Rev_SP-12me'!DM60</f>
        <v>0.286949166667966</v>
      </c>
      <c r="L64" s="94">
        <f>'[18]Rev_SP-12me'!DN60</f>
        <v>5.52251341444342</v>
      </c>
      <c r="M64" s="94">
        <f>'[18]Rev_SP-12me'!DP60</f>
        <v>0.56922</v>
      </c>
      <c r="N64" s="60"/>
      <c r="O64" s="60">
        <f t="shared" si="1"/>
        <v>6.37868258111139</v>
      </c>
    </row>
    <row r="65" spans="2:15">
      <c r="B65" s="56" t="s">
        <v>1052</v>
      </c>
      <c r="C65" s="55"/>
      <c r="D65" s="79">
        <f>'[18]Rev_SP-12me'!H61</f>
        <v>4820</v>
      </c>
      <c r="E65" s="79">
        <f>'[18]Rev_SP-12me'!I61</f>
        <v>7.97081018522127</v>
      </c>
      <c r="F65" s="79">
        <f>'[18]Rev_SP-12me'!K61</f>
        <v>0</v>
      </c>
      <c r="G65" s="79">
        <v>100</v>
      </c>
      <c r="H65" s="60">
        <f>'[18]Rev_SP-12me'!T61</f>
        <v>5</v>
      </c>
      <c r="I65" s="79">
        <f>'[18]Rev_SP-12me'!AC61</f>
        <v>100</v>
      </c>
      <c r="J65" s="7"/>
      <c r="K65" s="79">
        <f>'[18]Rev_SP-12me'!DM61</f>
        <v>0</v>
      </c>
      <c r="L65" s="79">
        <f>'[18]Rev_SP-12me'!DN61</f>
        <v>2.808413</v>
      </c>
      <c r="M65" s="79">
        <f>'[18]Rev_SP-12me'!DP61</f>
        <v>0</v>
      </c>
      <c r="N65" s="60"/>
      <c r="O65" s="60">
        <f t="shared" si="1"/>
        <v>2.808413</v>
      </c>
    </row>
    <row r="66" spans="2:15">
      <c r="B66" s="56" t="s">
        <v>1053</v>
      </c>
      <c r="C66" s="55"/>
      <c r="D66" s="79">
        <f>'[18]Rev_SP-12me'!H62</f>
        <v>0</v>
      </c>
      <c r="E66" s="79">
        <f>'[18]Rev_SP-12me'!I62</f>
        <v>0</v>
      </c>
      <c r="F66" s="79">
        <f>'[18]Rev_SP-12me'!K62</f>
        <v>0</v>
      </c>
      <c r="G66" s="79">
        <v>100</v>
      </c>
      <c r="H66" s="60">
        <f>'[18]Rev_SP-12me'!T62</f>
        <v>5</v>
      </c>
      <c r="I66" s="79">
        <f>'[18]Rev_SP-12me'!AC62</f>
        <v>100</v>
      </c>
      <c r="J66" s="7"/>
      <c r="K66" s="79">
        <f>'[18]Rev_SP-12me'!DM62</f>
        <v>0</v>
      </c>
      <c r="L66" s="79">
        <f>'[18]Rev_SP-12me'!DN62</f>
        <v>0</v>
      </c>
      <c r="M66" s="79">
        <f>'[18]Rev_SP-12me'!DP62</f>
        <v>0</v>
      </c>
      <c r="N66" s="60"/>
      <c r="O66" s="60">
        <f t="shared" si="1"/>
        <v>0</v>
      </c>
    </row>
    <row r="67" ht="15" spans="2:15">
      <c r="B67" s="54" t="s">
        <v>1054</v>
      </c>
      <c r="C67" s="55"/>
      <c r="D67" s="68">
        <f>'[18]Rev_SP-12me'!H63</f>
        <v>17051</v>
      </c>
      <c r="E67" s="68">
        <f>'[18]Rev_SP-12me'!I63</f>
        <v>148.098460091206</v>
      </c>
      <c r="F67" s="68">
        <f>'[18]Rev_SP-12me'!K63</f>
        <v>133.599144375556</v>
      </c>
      <c r="G67" s="79">
        <f>'[18]Rev_SP-12me'!S63</f>
        <v>21</v>
      </c>
      <c r="H67" s="60">
        <f>'[18]Rev_SP-12me'!T63</f>
        <v>12</v>
      </c>
      <c r="I67" s="79">
        <f>'[18]Rev_SP-12me'!AC63</f>
        <v>100</v>
      </c>
      <c r="J67" s="7"/>
      <c r="K67" s="68">
        <f>'[18]Rev_SP-12me'!DM63</f>
        <v>3.73208119429839</v>
      </c>
      <c r="L67" s="68">
        <f>'[18]Rev_SP-12me'!DN63</f>
        <v>160.318973250667</v>
      </c>
      <c r="M67" s="68">
        <f>'[18]Rev_SP-12me'!DP63</f>
        <v>1.89444</v>
      </c>
      <c r="N67" s="60"/>
      <c r="O67" s="69">
        <f t="shared" si="1"/>
        <v>165.945494444965</v>
      </c>
    </row>
    <row r="68" ht="15" spans="2:15">
      <c r="B68" s="54" t="s">
        <v>1101</v>
      </c>
      <c r="C68" s="55"/>
      <c r="D68" s="68">
        <f>'[18]Rev_SP-12me'!H64</f>
        <v>303</v>
      </c>
      <c r="E68" s="68">
        <f>'[18]Rev_SP-12me'!I64</f>
        <v>12.201</v>
      </c>
      <c r="F68" s="68">
        <f>'[18]Rev_SP-12me'!K64</f>
        <v>10.2408207592832</v>
      </c>
      <c r="G68" s="79">
        <f>'[18]Rev_SP-12me'!S64</f>
        <v>0</v>
      </c>
      <c r="H68" s="60">
        <f>'[18]Rev_SP-12me'!T64</f>
        <v>6</v>
      </c>
      <c r="I68" s="79">
        <f>'[18]Rev_SP-12me'!AC64</f>
        <v>120</v>
      </c>
      <c r="J68" s="7"/>
      <c r="K68" s="68">
        <f>'[18]Rev_SP-12me'!DM64</f>
        <v>0.427035</v>
      </c>
      <c r="L68" s="68">
        <f>'[18]Rev_SP-12me'!DN64</f>
        <v>6.14449245556991</v>
      </c>
      <c r="M68" s="68">
        <f>'[18]Rev_SP-12me'!DP64</f>
        <v>0.038592</v>
      </c>
      <c r="N68" s="60"/>
      <c r="O68" s="69">
        <f t="shared" si="1"/>
        <v>6.61011945556991</v>
      </c>
    </row>
    <row r="69" ht="15" spans="2:15">
      <c r="B69" s="54"/>
      <c r="C69" s="55"/>
      <c r="D69" s="79"/>
      <c r="E69" s="60"/>
      <c r="F69" s="60"/>
      <c r="G69" s="60"/>
      <c r="H69" s="60"/>
      <c r="I69" s="7"/>
      <c r="J69" s="7"/>
      <c r="K69" s="60"/>
      <c r="L69" s="60"/>
      <c r="M69" s="60"/>
      <c r="N69" s="60"/>
      <c r="O69" s="60"/>
    </row>
    <row r="70" ht="15" spans="2:15">
      <c r="B70" s="54" t="s">
        <v>1102</v>
      </c>
      <c r="C70" s="55"/>
      <c r="D70" s="63">
        <f>SUM(D9,D22,D35,D42,D45,D53,D57,D61,D62,D67,D68)</f>
        <v>10984663</v>
      </c>
      <c r="E70" s="64">
        <f>SUM(E9,E22,E35,E42,E45,E53,E57,E61,E62,E67,E68)</f>
        <v>23900.6355135689</v>
      </c>
      <c r="F70" s="63">
        <f>SUM(F9,F22,F35,F42,F45,F53,F57,F61,F62,F67,F68)</f>
        <v>33817.7176808619</v>
      </c>
      <c r="G70" s="63"/>
      <c r="H70" s="63"/>
      <c r="I70" s="63"/>
      <c r="J70" s="181"/>
      <c r="K70" s="64">
        <f>SUM(K9,K22,K35,K42,K45,K53,K57,K61,K62,K67,K68)</f>
        <v>679.058175184421</v>
      </c>
      <c r="L70" s="63">
        <f>SUM(L9,L22,L35,L42,L45,L53,L57,L61,L62,L67,L68)</f>
        <v>11046.3423318715</v>
      </c>
      <c r="M70" s="63">
        <f>SUM(M9,M22,M35,M42,M45,M53,M57,M61,M62,M67,M68)</f>
        <v>899.1929535</v>
      </c>
      <c r="N70" s="182"/>
      <c r="O70" s="63">
        <f>SUM(O9,O22,O35,O42,O45,O53,O57,O61,O62,O67,O68)</f>
        <v>12624.593460556</v>
      </c>
    </row>
    <row r="71" ht="15" spans="2:15">
      <c r="B71" s="66"/>
      <c r="C71" s="67"/>
      <c r="D71" s="68"/>
      <c r="E71" s="69"/>
      <c r="F71" s="68"/>
      <c r="G71" s="68"/>
      <c r="H71" s="68"/>
      <c r="I71" s="68"/>
      <c r="J71" s="7"/>
      <c r="K71" s="69"/>
      <c r="L71" s="68"/>
      <c r="M71" s="68"/>
      <c r="N71" s="60"/>
      <c r="O71" s="68"/>
    </row>
    <row r="72" ht="15" spans="2:15">
      <c r="B72" s="70" t="s">
        <v>907</v>
      </c>
      <c r="C72" s="70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</row>
    <row r="73" spans="2:15">
      <c r="B73" s="71" t="s">
        <v>190</v>
      </c>
      <c r="C73" s="55"/>
      <c r="D73" s="60"/>
      <c r="E73" s="60"/>
      <c r="F73" s="60"/>
      <c r="G73" s="7"/>
      <c r="H73" s="7"/>
      <c r="I73" s="7"/>
      <c r="J73" s="7"/>
      <c r="K73" s="60"/>
      <c r="L73" s="60"/>
      <c r="M73" s="60"/>
      <c r="N73" s="60"/>
      <c r="O73" s="60"/>
    </row>
    <row r="74" ht="15" spans="2:15">
      <c r="B74" s="71" t="s">
        <v>1103</v>
      </c>
      <c r="C74" s="72"/>
      <c r="D74" s="68">
        <f>'[18]Rev_SP-12me'!H84</f>
        <v>5914</v>
      </c>
      <c r="E74" s="68">
        <f>'[18]Rev_SP-12me'!I84</f>
        <v>1529.6729323312</v>
      </c>
      <c r="F74" s="68">
        <f>F75+F84</f>
        <v>4431.28917796994</v>
      </c>
      <c r="G74" s="68">
        <f>'[18]Rev_SP-12me'!S84</f>
        <v>0</v>
      </c>
      <c r="H74" s="69">
        <f>'[18]Rev_SP-12me'!T84</f>
        <v>0</v>
      </c>
      <c r="I74" s="68">
        <f>'[18]Rev_SP-12me'!AC84</f>
        <v>0</v>
      </c>
      <c r="J74" s="7"/>
      <c r="K74" s="68">
        <f>'[18]Rev_SP-12me'!DM84</f>
        <v>712.827586466338</v>
      </c>
      <c r="L74" s="68">
        <f>'[18]Rev_SP-12me'!DN84</f>
        <v>3381.31147639382</v>
      </c>
      <c r="M74" s="68">
        <f>'[18]Rev_SP-12me'!DP84</f>
        <v>16.26</v>
      </c>
      <c r="N74" s="60"/>
      <c r="O74" s="68">
        <f t="shared" ref="O74:O105" si="2">SUM(K74:N74)</f>
        <v>4110.39906286016</v>
      </c>
    </row>
    <row r="75" spans="2:15">
      <c r="B75" s="73" t="s">
        <v>1104</v>
      </c>
      <c r="C75" s="72"/>
      <c r="D75" s="79">
        <f>'[18]Rev_SP-12me'!H85</f>
        <v>5914</v>
      </c>
      <c r="E75" s="79">
        <f>'[18]Rev_SP-12me'!I85</f>
        <v>1529.6729323312</v>
      </c>
      <c r="F75" s="79">
        <f>'[18]Rev_SP-12me'!K85</f>
        <v>4286.00985096979</v>
      </c>
      <c r="G75" s="79">
        <f>'[18]Rev_SP-12me'!S85</f>
        <v>0</v>
      </c>
      <c r="H75" s="60">
        <f>'[18]Rev_SP-12me'!T85</f>
        <v>0</v>
      </c>
      <c r="I75" s="79">
        <f>'[18]Rev_SP-12me'!AC85</f>
        <v>0</v>
      </c>
      <c r="J75" s="7"/>
      <c r="K75" s="79">
        <f>'[18]Rev_SP-12me'!DM85</f>
        <v>712.827586466338</v>
      </c>
      <c r="L75" s="79">
        <f>'[18]Rev_SP-12me'!DN85</f>
        <v>3270.26020952284</v>
      </c>
      <c r="M75" s="79">
        <f>'[18]Rev_SP-12me'!DP85</f>
        <v>15.7824</v>
      </c>
      <c r="N75" s="60"/>
      <c r="O75" s="79">
        <f t="shared" si="2"/>
        <v>3998.87019598918</v>
      </c>
    </row>
    <row r="76" spans="2:15">
      <c r="B76" s="74" t="s">
        <v>1105</v>
      </c>
      <c r="C76" s="72"/>
      <c r="D76" s="94">
        <f>'[18]Rev_SP-12me'!H86</f>
        <v>5914</v>
      </c>
      <c r="E76" s="94">
        <f>'[18]Rev_SP-12me'!I86</f>
        <v>1529.6729323312</v>
      </c>
      <c r="F76" s="94">
        <f>'[18]Rev_SP-12me'!K86</f>
        <v>1237.846213485</v>
      </c>
      <c r="G76" s="94">
        <f>'[18]Rev_SP-12me'!S86</f>
        <v>500</v>
      </c>
      <c r="H76" s="91">
        <f>'[18]Rev_SP-12me'!T86</f>
        <v>7.65</v>
      </c>
      <c r="I76" s="94">
        <f>'[18]Rev_SP-12me'!AC86</f>
        <v>2000</v>
      </c>
      <c r="J76" s="7"/>
      <c r="K76" s="94">
        <f>'[18]Rev_SP-12me'!DM86</f>
        <v>712.827586466338</v>
      </c>
      <c r="L76" s="94">
        <f>'[18]Rev_SP-12me'!DN86</f>
        <v>946.952353316028</v>
      </c>
      <c r="M76" s="94">
        <f>'[18]Rev_SP-12me'!DP86</f>
        <v>12.012</v>
      </c>
      <c r="N76" s="60"/>
      <c r="O76" s="79">
        <f t="shared" si="2"/>
        <v>1671.79193978237</v>
      </c>
    </row>
    <row r="77" ht="25.5" spans="2:15">
      <c r="B77" s="75" t="s">
        <v>1106</v>
      </c>
      <c r="C77" s="55"/>
      <c r="D77" s="94">
        <f>'[18]Rev_SP-12me'!H87</f>
        <v>0</v>
      </c>
      <c r="E77" s="94">
        <f>'[18]Rev_SP-12me'!I87</f>
        <v>0</v>
      </c>
      <c r="F77" s="94">
        <f>'[18]Rev_SP-12me'!K87</f>
        <v>257.21595807093</v>
      </c>
      <c r="G77" s="94">
        <f>'[18]Rev_SP-12me'!S87</f>
        <v>100</v>
      </c>
      <c r="H77" s="91">
        <f>'[18]Rev_SP-12me'!T87</f>
        <v>8</v>
      </c>
      <c r="I77" s="94">
        <f>'[18]Rev_SP-12me'!AC87</f>
        <v>2000</v>
      </c>
      <c r="J77" s="7"/>
      <c r="K77" s="94">
        <f>'[18]Rev_SP-12me'!DM87</f>
        <v>0</v>
      </c>
      <c r="L77" s="94">
        <f>'[18]Rev_SP-12me'!DN87</f>
        <v>205.772766456744</v>
      </c>
      <c r="M77" s="94">
        <f>'[18]Rev_SP-12me'!DP87</f>
        <v>3.3024</v>
      </c>
      <c r="N77" s="7"/>
      <c r="O77" s="79">
        <f t="shared" si="2"/>
        <v>209.075166456744</v>
      </c>
    </row>
    <row r="78" spans="2:15">
      <c r="B78" s="74" t="s">
        <v>1107</v>
      </c>
      <c r="C78" s="55"/>
      <c r="D78" s="94">
        <f>'[18]Rev_SP-12me'!H88</f>
        <v>0</v>
      </c>
      <c r="E78" s="94">
        <f>'[18]Rev_SP-12me'!I88</f>
        <v>0</v>
      </c>
      <c r="F78" s="94">
        <f>'[18]Rev_SP-12me'!K88</f>
        <v>128.091205166528</v>
      </c>
      <c r="G78" s="94">
        <f>'[18]Rev_SP-12me'!S88</f>
        <v>0</v>
      </c>
      <c r="H78" s="91">
        <f>'[18]Rev_SP-12me'!T88</f>
        <v>7.65</v>
      </c>
      <c r="I78" s="94">
        <f>'[18]Rev_SP-12me'!AC88</f>
        <v>2000</v>
      </c>
      <c r="J78" s="7"/>
      <c r="K78" s="94">
        <f>'[18]Rev_SP-12me'!DM88</f>
        <v>0</v>
      </c>
      <c r="L78" s="94">
        <f>'[18]Rev_SP-12me'!DN88</f>
        <v>97.9897719523938</v>
      </c>
      <c r="M78" s="94">
        <f>'[18]Rev_SP-12me'!DP88</f>
        <v>0</v>
      </c>
      <c r="N78" s="7"/>
      <c r="O78" s="79">
        <f t="shared" si="2"/>
        <v>97.9897719523938</v>
      </c>
    </row>
    <row r="79" spans="2:15">
      <c r="B79" s="74" t="s">
        <v>1108</v>
      </c>
      <c r="C79" s="55"/>
      <c r="D79" s="94">
        <f>'[18]Rev_SP-12me'!H89</f>
        <v>0</v>
      </c>
      <c r="E79" s="94">
        <f>'[18]Rev_SP-12me'!I89</f>
        <v>0</v>
      </c>
      <c r="F79" s="94">
        <f>'[18]Rev_SP-12me'!K89</f>
        <v>18.8526273447947</v>
      </c>
      <c r="G79" s="94">
        <f>'[18]Rev_SP-12me'!S89</f>
        <v>0</v>
      </c>
      <c r="H79" s="91">
        <f>'[18]Rev_SP-12me'!T89</f>
        <v>7.3</v>
      </c>
      <c r="I79" s="94">
        <f>'[18]Rev_SP-12me'!AC89</f>
        <v>2000</v>
      </c>
      <c r="J79" s="7"/>
      <c r="K79" s="94">
        <f>'[18]Rev_SP-12me'!DM89</f>
        <v>0</v>
      </c>
      <c r="L79" s="94">
        <f>'[18]Rev_SP-12me'!DN89</f>
        <v>13.7624179617001</v>
      </c>
      <c r="M79" s="94">
        <f>'[18]Rev_SP-12me'!DP89</f>
        <v>0</v>
      </c>
      <c r="N79" s="7"/>
      <c r="O79" s="79">
        <f t="shared" si="2"/>
        <v>13.7624179617001</v>
      </c>
    </row>
    <row r="80" spans="2:15">
      <c r="B80" s="74" t="s">
        <v>1109</v>
      </c>
      <c r="C80" s="55"/>
      <c r="D80" s="94">
        <f>'[18]Rev_SP-12me'!H90</f>
        <v>0</v>
      </c>
      <c r="E80" s="94">
        <f>'[18]Rev_SP-12me'!I90</f>
        <v>0</v>
      </c>
      <c r="F80" s="94">
        <f>'[18]Rev_SP-12me'!K90</f>
        <v>54.1080326907637</v>
      </c>
      <c r="G80" s="94">
        <f>'[18]Rev_SP-12me'!S90</f>
        <v>500</v>
      </c>
      <c r="H80" s="91">
        <f>'[18]Rev_SP-12me'!T90</f>
        <v>8.6</v>
      </c>
      <c r="I80" s="94">
        <f>'[18]Rev_SP-12me'!AC90</f>
        <v>2000</v>
      </c>
      <c r="J80" s="7"/>
      <c r="K80" s="94">
        <f>'[18]Rev_SP-12me'!DM90</f>
        <v>0</v>
      </c>
      <c r="L80" s="94">
        <f>'[18]Rev_SP-12me'!DN90</f>
        <v>46.5329081140568</v>
      </c>
      <c r="M80" s="94">
        <f>'[18]Rev_SP-12me'!DP90</f>
        <v>0.468</v>
      </c>
      <c r="N80" s="7"/>
      <c r="O80" s="79">
        <f t="shared" si="2"/>
        <v>47.0009081140568</v>
      </c>
    </row>
    <row r="81" spans="2:15">
      <c r="B81" s="76" t="s">
        <v>1110</v>
      </c>
      <c r="C81" s="55"/>
      <c r="D81" s="94">
        <f>'[18]Rev_SP-12me'!H91</f>
        <v>0</v>
      </c>
      <c r="E81" s="94">
        <f>'[18]Rev_SP-12me'!I91</f>
        <v>0</v>
      </c>
      <c r="F81" s="94">
        <f>'[18]Rev_SP-12me'!K91</f>
        <v>661.466505660448</v>
      </c>
      <c r="G81" s="94">
        <f>'[18]Rev_SP-12me'!S91</f>
        <v>0</v>
      </c>
      <c r="H81" s="91">
        <f>'[18]Rev_SP-12me'!T91</f>
        <v>8.65</v>
      </c>
      <c r="I81" s="94">
        <f>'[18]Rev_SP-12me'!AC91</f>
        <v>2000</v>
      </c>
      <c r="J81" s="7"/>
      <c r="K81" s="94">
        <f>'[18]Rev_SP-12me'!DM91</f>
        <v>0</v>
      </c>
      <c r="L81" s="94">
        <f>'[18]Rev_SP-12me'!DN91</f>
        <v>572.168527396288</v>
      </c>
      <c r="M81" s="94">
        <f>'[18]Rev_SP-12me'!DP91</f>
        <v>0</v>
      </c>
      <c r="N81" s="7"/>
      <c r="O81" s="79">
        <f t="shared" si="2"/>
        <v>572.168527396288</v>
      </c>
    </row>
    <row r="82" spans="2:15">
      <c r="B82" s="76" t="s">
        <v>1111</v>
      </c>
      <c r="C82" s="55"/>
      <c r="D82" s="94">
        <f>'[18]Rev_SP-12me'!H92</f>
        <v>0</v>
      </c>
      <c r="E82" s="94">
        <f>'[18]Rev_SP-12me'!I92</f>
        <v>0</v>
      </c>
      <c r="F82" s="94">
        <f>'[18]Rev_SP-12me'!K92</f>
        <v>658.834924910731</v>
      </c>
      <c r="G82" s="94">
        <f>'[18]Rev_SP-12me'!S92</f>
        <v>0</v>
      </c>
      <c r="H82" s="91">
        <f>'[18]Rev_SP-12me'!T92</f>
        <v>8.65</v>
      </c>
      <c r="I82" s="94">
        <f>'[18]Rev_SP-12me'!AC92</f>
        <v>2000</v>
      </c>
      <c r="J82" s="7"/>
      <c r="K82" s="94">
        <f>'[18]Rev_SP-12me'!DM92</f>
        <v>0</v>
      </c>
      <c r="L82" s="94">
        <f>'[18]Rev_SP-12me'!DN92</f>
        <v>569.892210047783</v>
      </c>
      <c r="M82" s="94">
        <f>'[18]Rev_SP-12me'!DP92</f>
        <v>0</v>
      </c>
      <c r="N82" s="7"/>
      <c r="O82" s="79">
        <f t="shared" si="2"/>
        <v>569.892210047783</v>
      </c>
    </row>
    <row r="83" spans="2:15">
      <c r="B83" s="76" t="s">
        <v>1112</v>
      </c>
      <c r="C83" s="55"/>
      <c r="D83" s="94">
        <f>'[18]Rev_SP-12me'!H93</f>
        <v>0</v>
      </c>
      <c r="E83" s="94">
        <f>'[18]Rev_SP-12me'!I93</f>
        <v>0</v>
      </c>
      <c r="F83" s="94">
        <f>'[18]Rev_SP-12me'!K93</f>
        <v>1269.59438364059</v>
      </c>
      <c r="G83" s="94">
        <f>'[18]Rev_SP-12me'!S93</f>
        <v>0</v>
      </c>
      <c r="H83" s="91">
        <f>'[18]Rev_SP-12me'!T93</f>
        <v>6.15</v>
      </c>
      <c r="I83" s="94">
        <f>'[18]Rev_SP-12me'!AC93</f>
        <v>2000</v>
      </c>
      <c r="J83" s="7"/>
      <c r="K83" s="94">
        <f>'[18]Rev_SP-12me'!DM93</f>
        <v>0</v>
      </c>
      <c r="L83" s="94">
        <f>'[18]Rev_SP-12me'!DN93</f>
        <v>817.189254277846</v>
      </c>
      <c r="M83" s="94">
        <f>'[18]Rev_SP-12me'!DP93</f>
        <v>0</v>
      </c>
      <c r="N83" s="7"/>
      <c r="O83" s="79">
        <f t="shared" si="2"/>
        <v>817.189254277846</v>
      </c>
    </row>
    <row r="84" ht="15" spans="2:15">
      <c r="B84" s="71" t="s">
        <v>1113</v>
      </c>
      <c r="C84" s="55"/>
      <c r="D84" s="79">
        <f>'[18]Rev_SP-12me'!H94</f>
        <v>0</v>
      </c>
      <c r="E84" s="79">
        <f>'[18]Rev_SP-12me'!I94</f>
        <v>0</v>
      </c>
      <c r="F84" s="79">
        <f>'[18]Rev_SP-12me'!K94</f>
        <v>145.279327000148</v>
      </c>
      <c r="G84" s="79">
        <f>'[18]Rev_SP-12me'!S94</f>
        <v>0</v>
      </c>
      <c r="H84" s="60">
        <f>'[18]Rev_SP-12me'!T94</f>
        <v>0</v>
      </c>
      <c r="I84" s="79">
        <f>'[18]Rev_SP-12me'!AC94</f>
        <v>0</v>
      </c>
      <c r="J84" s="7"/>
      <c r="K84" s="79">
        <f>'[18]Rev_SP-12me'!DM94</f>
        <v>0</v>
      </c>
      <c r="L84" s="79">
        <f>'[18]Rev_SP-12me'!DN94</f>
        <v>111.051266870977</v>
      </c>
      <c r="M84" s="79">
        <f>'[18]Rev_SP-12me'!DP94</f>
        <v>0.4776</v>
      </c>
      <c r="N84" s="7"/>
      <c r="O84" s="68">
        <f t="shared" si="2"/>
        <v>111.528866870977</v>
      </c>
    </row>
    <row r="85" spans="2:15">
      <c r="B85" s="76" t="s">
        <v>1114</v>
      </c>
      <c r="C85" s="55"/>
      <c r="D85" s="94">
        <f>'[18]Rev_SP-12me'!H95</f>
        <v>0</v>
      </c>
      <c r="E85" s="94">
        <f>'[18]Rev_SP-12me'!I95</f>
        <v>0</v>
      </c>
      <c r="F85" s="94">
        <f>'[18]Rev_SP-12me'!K95</f>
        <v>49.9770733285957</v>
      </c>
      <c r="G85" s="94">
        <f>'[18]Rev_SP-12me'!S95</f>
        <v>500</v>
      </c>
      <c r="H85" s="91">
        <f>'[18]Rev_SP-12me'!T95</f>
        <v>7.65</v>
      </c>
      <c r="I85" s="94">
        <f>'[18]Rev_SP-12me'!AC95</f>
        <v>2000</v>
      </c>
      <c r="J85" s="7"/>
      <c r="K85" s="94">
        <f>'[18]Rev_SP-12me'!DM95</f>
        <v>0</v>
      </c>
      <c r="L85" s="94">
        <f>'[18]Rev_SP-12me'!DN95</f>
        <v>38.2324610963757</v>
      </c>
      <c r="M85" s="94">
        <f>'[18]Rev_SP-12me'!DP95</f>
        <v>0.4776</v>
      </c>
      <c r="N85" s="7"/>
      <c r="O85" s="79">
        <f t="shared" si="2"/>
        <v>38.7100610963757</v>
      </c>
    </row>
    <row r="86" spans="2:15">
      <c r="B86" s="76" t="s">
        <v>1115</v>
      </c>
      <c r="C86" s="55"/>
      <c r="D86" s="94">
        <f>'[18]Rev_SP-12me'!H96</f>
        <v>0</v>
      </c>
      <c r="E86" s="94">
        <f>'[18]Rev_SP-12me'!I96</f>
        <v>0</v>
      </c>
      <c r="F86" s="94">
        <f>'[18]Rev_SP-12me'!K96</f>
        <v>25.6876098782717</v>
      </c>
      <c r="G86" s="94">
        <f>'[18]Rev_SP-12me'!S96</f>
        <v>0</v>
      </c>
      <c r="H86" s="91">
        <f>'[18]Rev_SP-12me'!T96</f>
        <v>8.65</v>
      </c>
      <c r="I86" s="94">
        <f>'[18]Rev_SP-12me'!AC96</f>
        <v>2000</v>
      </c>
      <c r="J86" s="7"/>
      <c r="K86" s="94">
        <f>'[18]Rev_SP-12me'!DM96</f>
        <v>0</v>
      </c>
      <c r="L86" s="94">
        <f>'[18]Rev_SP-12me'!DN96</f>
        <v>22.219782544705</v>
      </c>
      <c r="M86" s="94">
        <f>'[18]Rev_SP-12me'!DP96</f>
        <v>0</v>
      </c>
      <c r="N86" s="7"/>
      <c r="O86" s="79">
        <f t="shared" si="2"/>
        <v>22.219782544705</v>
      </c>
    </row>
    <row r="87" spans="2:15">
      <c r="B87" s="76" t="s">
        <v>1116</v>
      </c>
      <c r="C87" s="55"/>
      <c r="D87" s="94">
        <f>'[18]Rev_SP-12me'!H97</f>
        <v>0</v>
      </c>
      <c r="E87" s="94">
        <f>'[18]Rev_SP-12me'!I97</f>
        <v>0</v>
      </c>
      <c r="F87" s="94">
        <f>'[18]Rev_SP-12me'!K97</f>
        <v>25.8182298681932</v>
      </c>
      <c r="G87" s="94">
        <f>'[18]Rev_SP-12me'!S97</f>
        <v>0</v>
      </c>
      <c r="H87" s="91">
        <f>'[18]Rev_SP-12me'!T97</f>
        <v>8.65</v>
      </c>
      <c r="I87" s="94">
        <f>'[18]Rev_SP-12me'!AC97</f>
        <v>2000</v>
      </c>
      <c r="J87" s="7"/>
      <c r="K87" s="94">
        <f>'[18]Rev_SP-12me'!DM97</f>
        <v>0</v>
      </c>
      <c r="L87" s="94">
        <f>'[18]Rev_SP-12me'!DN97</f>
        <v>22.3327688359871</v>
      </c>
      <c r="M87" s="94">
        <f>'[18]Rev_SP-12me'!DP97</f>
        <v>0</v>
      </c>
      <c r="N87" s="7"/>
      <c r="O87" s="79">
        <f t="shared" si="2"/>
        <v>22.3327688359871</v>
      </c>
    </row>
    <row r="88" spans="2:15">
      <c r="B88" s="76" t="s">
        <v>1117</v>
      </c>
      <c r="C88" s="55"/>
      <c r="D88" s="94">
        <f>'[18]Rev_SP-12me'!H98</f>
        <v>0</v>
      </c>
      <c r="E88" s="94">
        <f>'[18]Rev_SP-12me'!I98</f>
        <v>0</v>
      </c>
      <c r="F88" s="94">
        <f>'[18]Rev_SP-12me'!K98</f>
        <v>43.7964139250871</v>
      </c>
      <c r="G88" s="94">
        <f>'[18]Rev_SP-12me'!S98</f>
        <v>0</v>
      </c>
      <c r="H88" s="91">
        <f>'[18]Rev_SP-12me'!T98</f>
        <v>6.15</v>
      </c>
      <c r="I88" s="94">
        <f>'[18]Rev_SP-12me'!AC98</f>
        <v>2000</v>
      </c>
      <c r="J88" s="7"/>
      <c r="K88" s="94">
        <f>'[18]Rev_SP-12me'!DM98</f>
        <v>0</v>
      </c>
      <c r="L88" s="94">
        <f>'[18]Rev_SP-12me'!DN98</f>
        <v>28.2662543939092</v>
      </c>
      <c r="M88" s="94">
        <f>'[18]Rev_SP-12me'!DP98</f>
        <v>0</v>
      </c>
      <c r="N88" s="7"/>
      <c r="O88" s="79">
        <f t="shared" si="2"/>
        <v>28.2662543939092</v>
      </c>
    </row>
    <row r="89" ht="15" spans="2:15">
      <c r="B89" s="71" t="s">
        <v>1118</v>
      </c>
      <c r="C89" s="55"/>
      <c r="D89" s="68">
        <f>'[18]Rev_SP-12me'!H100</f>
        <v>0</v>
      </c>
      <c r="E89" s="68">
        <f>'[18]Rev_SP-12me'!I100</f>
        <v>0</v>
      </c>
      <c r="F89" s="68">
        <f>'[18]Rev_SP-12me'!K100</f>
        <v>46.0086556060955</v>
      </c>
      <c r="G89" s="68">
        <f>'[18]Rev_SP-12me'!S100</f>
        <v>0</v>
      </c>
      <c r="H89" s="69">
        <f>'[18]Rev_SP-12me'!T100</f>
        <v>0</v>
      </c>
      <c r="I89" s="68">
        <f>'[18]Rev_SP-12me'!AC100</f>
        <v>8000</v>
      </c>
      <c r="J89" s="7"/>
      <c r="K89" s="68">
        <f>'[18]Rev_SP-12me'!DM100</f>
        <v>0</v>
      </c>
      <c r="L89" s="68">
        <f>'[18]Rev_SP-12me'!DN100</f>
        <v>35.1857263817206</v>
      </c>
      <c r="M89" s="68">
        <f>'[18]Rev_SP-12me'!DP100</f>
        <v>0</v>
      </c>
      <c r="N89" s="7"/>
      <c r="O89" s="68">
        <f t="shared" si="2"/>
        <v>35.1857263817206</v>
      </c>
    </row>
    <row r="90" spans="2:15">
      <c r="B90" s="74" t="s">
        <v>1119</v>
      </c>
      <c r="C90" s="55"/>
      <c r="D90" s="94">
        <f>'[18]Rev_SP-12me'!H101</f>
        <v>0</v>
      </c>
      <c r="E90" s="94">
        <f>'[18]Rev_SP-12me'!I101</f>
        <v>0</v>
      </c>
      <c r="F90" s="94">
        <f>'[18]Rev_SP-12me'!K101</f>
        <v>16.7428383951262</v>
      </c>
      <c r="G90" s="94">
        <f>'[18]Rev_SP-12me'!S101</f>
        <v>500</v>
      </c>
      <c r="H90" s="91">
        <f>'[18]Rev_SP-12me'!T101</f>
        <v>7.65</v>
      </c>
      <c r="I90" s="94">
        <f>'[18]Rev_SP-12me'!AC101</f>
        <v>2000</v>
      </c>
      <c r="J90" s="7"/>
      <c r="K90" s="94">
        <f>'[18]Rev_SP-12me'!DM101</f>
        <v>0</v>
      </c>
      <c r="L90" s="94">
        <f>'[18]Rev_SP-12me'!DN101</f>
        <v>12.8082713722716</v>
      </c>
      <c r="M90" s="94">
        <f>'[18]Rev_SP-12me'!DP101</f>
        <v>0</v>
      </c>
      <c r="N90" s="7"/>
      <c r="O90" s="79">
        <f t="shared" si="2"/>
        <v>12.8082713722716</v>
      </c>
    </row>
    <row r="91" spans="2:15">
      <c r="B91" s="74" t="s">
        <v>1120</v>
      </c>
      <c r="C91" s="55"/>
      <c r="D91" s="94">
        <f>'[18]Rev_SP-12me'!H102</f>
        <v>0</v>
      </c>
      <c r="E91" s="94">
        <f>'[18]Rev_SP-12me'!I102</f>
        <v>0</v>
      </c>
      <c r="F91" s="94">
        <f>'[18]Rev_SP-12me'!K102</f>
        <v>7.90865160448957</v>
      </c>
      <c r="G91" s="94">
        <f>'[18]Rev_SP-12me'!S102</f>
        <v>0</v>
      </c>
      <c r="H91" s="91">
        <f>'[18]Rev_SP-12me'!T102</f>
        <v>8.65</v>
      </c>
      <c r="I91" s="94">
        <f>'[18]Rev_SP-12me'!AC102</f>
        <v>2000</v>
      </c>
      <c r="J91" s="7"/>
      <c r="K91" s="94">
        <f>'[18]Rev_SP-12me'!DM102</f>
        <v>0</v>
      </c>
      <c r="L91" s="94">
        <f>'[18]Rev_SP-12me'!DN102</f>
        <v>6.84098363788348</v>
      </c>
      <c r="M91" s="94">
        <f>'[18]Rev_SP-12me'!DP102</f>
        <v>0</v>
      </c>
      <c r="N91" s="7"/>
      <c r="O91" s="79">
        <f t="shared" si="2"/>
        <v>6.84098363788348</v>
      </c>
    </row>
    <row r="92" spans="2:15">
      <c r="B92" s="74" t="s">
        <v>1121</v>
      </c>
      <c r="C92" s="55"/>
      <c r="D92" s="94">
        <f>'[18]Rev_SP-12me'!H103</f>
        <v>0</v>
      </c>
      <c r="E92" s="94">
        <f>'[18]Rev_SP-12me'!I103</f>
        <v>0</v>
      </c>
      <c r="F92" s="94">
        <f>'[18]Rev_SP-12me'!K103</f>
        <v>8.02070315780138</v>
      </c>
      <c r="G92" s="94">
        <f>'[18]Rev_SP-12me'!S103</f>
        <v>0</v>
      </c>
      <c r="H92" s="91">
        <f>'[18]Rev_SP-12me'!T103</f>
        <v>8.65</v>
      </c>
      <c r="I92" s="94">
        <f>'[18]Rev_SP-12me'!AC103</f>
        <v>2000</v>
      </c>
      <c r="J92" s="7"/>
      <c r="K92" s="94">
        <f>'[18]Rev_SP-12me'!DM103</f>
        <v>0</v>
      </c>
      <c r="L92" s="94">
        <f>'[18]Rev_SP-12me'!DN103</f>
        <v>6.93790823149819</v>
      </c>
      <c r="M92" s="94">
        <f>'[18]Rev_SP-12me'!DP103</f>
        <v>0</v>
      </c>
      <c r="N92" s="7"/>
      <c r="O92" s="79">
        <f t="shared" si="2"/>
        <v>6.93790823149819</v>
      </c>
    </row>
    <row r="93" spans="2:15">
      <c r="B93" s="74" t="s">
        <v>1122</v>
      </c>
      <c r="C93" s="55"/>
      <c r="D93" s="94">
        <f>'[18]Rev_SP-12me'!H104</f>
        <v>0</v>
      </c>
      <c r="E93" s="94">
        <f>'[18]Rev_SP-12me'!I104</f>
        <v>0</v>
      </c>
      <c r="F93" s="94">
        <f>'[18]Rev_SP-12me'!K104</f>
        <v>13.3364624486783</v>
      </c>
      <c r="G93" s="94">
        <f>'[18]Rev_SP-12me'!S104</f>
        <v>0</v>
      </c>
      <c r="H93" s="91">
        <f>'[18]Rev_SP-12me'!T104</f>
        <v>6.15</v>
      </c>
      <c r="I93" s="94">
        <f>'[18]Rev_SP-12me'!AC104</f>
        <v>2000</v>
      </c>
      <c r="J93" s="7"/>
      <c r="K93" s="94">
        <f>'[18]Rev_SP-12me'!DM104</f>
        <v>0</v>
      </c>
      <c r="L93" s="94">
        <f>'[18]Rev_SP-12me'!DN104</f>
        <v>8.59856314006736</v>
      </c>
      <c r="M93" s="94">
        <f>'[18]Rev_SP-12me'!DP104</f>
        <v>0</v>
      </c>
      <c r="N93" s="7"/>
      <c r="O93" s="79">
        <f t="shared" si="2"/>
        <v>8.59856314006736</v>
      </c>
    </row>
    <row r="94" ht="15" spans="2:15">
      <c r="B94" s="71" t="s">
        <v>1123</v>
      </c>
      <c r="C94" s="55"/>
      <c r="D94" s="68">
        <f>'[18]Rev_SP-12me'!H99</f>
        <v>0</v>
      </c>
      <c r="E94" s="68">
        <f>'[18]Rev_SP-12me'!I99</f>
        <v>0</v>
      </c>
      <c r="F94" s="68">
        <f>'[18]Rev_SP-12me'!K99</f>
        <v>0.52979462</v>
      </c>
      <c r="G94" s="68">
        <f>'[18]Rev_SP-12me'!S99</f>
        <v>500</v>
      </c>
      <c r="H94" s="69">
        <f>'[18]Rev_SP-12me'!T99</f>
        <v>7.65</v>
      </c>
      <c r="I94" s="68">
        <f>'[18]Rev_SP-12me'!AC99</f>
        <v>2000</v>
      </c>
      <c r="J94" s="7"/>
      <c r="K94" s="68">
        <f>'[18]Rev_SP-12me'!DM99</f>
        <v>0</v>
      </c>
      <c r="L94" s="68">
        <f>'[18]Rev_SP-12me'!DN99</f>
        <v>0.4052928843</v>
      </c>
      <c r="M94" s="68">
        <f>'[18]Rev_SP-12me'!DP99</f>
        <v>0.0012</v>
      </c>
      <c r="N94" s="7"/>
      <c r="O94" s="68">
        <f t="shared" si="2"/>
        <v>0.4064928843</v>
      </c>
    </row>
    <row r="95" ht="15" spans="2:15">
      <c r="B95" s="71" t="s">
        <v>1124</v>
      </c>
      <c r="C95" s="55"/>
      <c r="D95" s="68">
        <f>'[18]Rev_SP-12me'!H105</f>
        <v>4809</v>
      </c>
      <c r="E95" s="68">
        <f>'[18]Rev_SP-12me'!I105</f>
        <v>1018.92972452783</v>
      </c>
      <c r="F95" s="68">
        <f>'[18]Rev_SP-12me'!K105</f>
        <v>2322.26759052296</v>
      </c>
      <c r="G95" s="68">
        <f>'[18]Rev_SP-12me'!S105</f>
        <v>0</v>
      </c>
      <c r="H95" s="69">
        <f>'[18]Rev_SP-12me'!T105</f>
        <v>0</v>
      </c>
      <c r="I95" s="68">
        <f>'[18]Rev_SP-12me'!AC105</f>
        <v>0</v>
      </c>
      <c r="J95" s="7"/>
      <c r="K95" s="68">
        <f>'[18]Rev_SP-12me'!DM105</f>
        <v>474.821251629968</v>
      </c>
      <c r="L95" s="68">
        <f>'[18]Rev_SP-12me'!DN105</f>
        <v>2056.11183782508</v>
      </c>
      <c r="M95" s="68">
        <f>'[18]Rev_SP-12me'!DP105</f>
        <v>11.4216</v>
      </c>
      <c r="N95" s="7"/>
      <c r="O95" s="68">
        <f t="shared" si="2"/>
        <v>2542.35468945505</v>
      </c>
    </row>
    <row r="96" spans="2:15">
      <c r="B96" s="74" t="s">
        <v>1119</v>
      </c>
      <c r="C96" s="55"/>
      <c r="D96" s="94">
        <f>'[18]Rev_SP-12me'!H106</f>
        <v>4809</v>
      </c>
      <c r="E96" s="94">
        <f>'[18]Rev_SP-12me'!I106</f>
        <v>1018.92972452783</v>
      </c>
      <c r="F96" s="94">
        <f>'[18]Rev_SP-12me'!K106</f>
        <v>992.546703576512</v>
      </c>
      <c r="G96" s="94">
        <f>'[18]Rev_SP-12me'!S106</f>
        <v>500</v>
      </c>
      <c r="H96" s="91">
        <f>'[18]Rev_SP-12me'!T106</f>
        <v>8.8</v>
      </c>
      <c r="I96" s="94">
        <f>'[18]Rev_SP-12me'!AC106</f>
        <v>2000</v>
      </c>
      <c r="J96" s="7"/>
      <c r="K96" s="94">
        <f>'[18]Rev_SP-12me'!DM106</f>
        <v>474.821251629968</v>
      </c>
      <c r="L96" s="94">
        <f>'[18]Rev_SP-12me'!DN106</f>
        <v>873.44109914733</v>
      </c>
      <c r="M96" s="94">
        <f>'[18]Rev_SP-12me'!DP106</f>
        <v>11.4216</v>
      </c>
      <c r="N96" s="7"/>
      <c r="O96" s="79">
        <f t="shared" si="2"/>
        <v>1359.6839507773</v>
      </c>
    </row>
    <row r="97" spans="2:15">
      <c r="B97" s="74" t="s">
        <v>1120</v>
      </c>
      <c r="C97" s="55"/>
      <c r="D97" s="94">
        <f>'[18]Rev_SP-12me'!H107</f>
        <v>0</v>
      </c>
      <c r="E97" s="94">
        <f>'[18]Rev_SP-12me'!I107</f>
        <v>0</v>
      </c>
      <c r="F97" s="94">
        <f>'[18]Rev_SP-12me'!K107</f>
        <v>389.007111405745</v>
      </c>
      <c r="G97" s="94">
        <f>'[18]Rev_SP-12me'!S107</f>
        <v>0</v>
      </c>
      <c r="H97" s="91">
        <f>'[18]Rev_SP-12me'!T107</f>
        <v>9.8</v>
      </c>
      <c r="I97" s="94">
        <f>'[18]Rev_SP-12me'!AC107</f>
        <v>2000</v>
      </c>
      <c r="J97" s="7"/>
      <c r="K97" s="94">
        <f>'[18]Rev_SP-12me'!DM107</f>
        <v>0</v>
      </c>
      <c r="L97" s="94">
        <f>'[18]Rev_SP-12me'!DN107</f>
        <v>381.22696917763</v>
      </c>
      <c r="M97" s="94">
        <f>'[18]Rev_SP-12me'!DP107</f>
        <v>0</v>
      </c>
      <c r="N97" s="7"/>
      <c r="O97" s="79">
        <f t="shared" si="2"/>
        <v>381.22696917763</v>
      </c>
    </row>
    <row r="98" spans="2:15">
      <c r="B98" s="74" t="s">
        <v>1121</v>
      </c>
      <c r="C98" s="55"/>
      <c r="D98" s="94">
        <f>'[18]Rev_SP-12me'!H108</f>
        <v>0</v>
      </c>
      <c r="E98" s="94">
        <f>'[18]Rev_SP-12me'!I108</f>
        <v>0</v>
      </c>
      <c r="F98" s="94">
        <f>'[18]Rev_SP-12me'!K108</f>
        <v>393.841825270544</v>
      </c>
      <c r="G98" s="94">
        <f>'[18]Rev_SP-12me'!S108</f>
        <v>0</v>
      </c>
      <c r="H98" s="91">
        <f>'[18]Rev_SP-12me'!T108</f>
        <v>9.8</v>
      </c>
      <c r="I98" s="94">
        <f>'[18]Rev_SP-12me'!AC108</f>
        <v>2000</v>
      </c>
      <c r="J98" s="7"/>
      <c r="K98" s="94">
        <f>'[18]Rev_SP-12me'!DM108</f>
        <v>0</v>
      </c>
      <c r="L98" s="94">
        <f>'[18]Rev_SP-12me'!DN108</f>
        <v>385.964988765133</v>
      </c>
      <c r="M98" s="94">
        <f>'[18]Rev_SP-12me'!DP108</f>
        <v>0</v>
      </c>
      <c r="N98" s="7"/>
      <c r="O98" s="79">
        <f t="shared" si="2"/>
        <v>385.964988765133</v>
      </c>
    </row>
    <row r="99" spans="2:15">
      <c r="B99" s="74" t="s">
        <v>1122</v>
      </c>
      <c r="C99" s="55"/>
      <c r="D99" s="94">
        <f>'[18]Rev_SP-12me'!H109</f>
        <v>0</v>
      </c>
      <c r="E99" s="94">
        <f>'[18]Rev_SP-12me'!I109</f>
        <v>0</v>
      </c>
      <c r="F99" s="94">
        <f>'[18]Rev_SP-12me'!K109</f>
        <v>546.87195027016</v>
      </c>
      <c r="G99" s="94">
        <f>'[18]Rev_SP-12me'!S109</f>
        <v>0</v>
      </c>
      <c r="H99" s="91">
        <f>'[18]Rev_SP-12me'!T109</f>
        <v>7.3</v>
      </c>
      <c r="I99" s="94">
        <f>'[18]Rev_SP-12me'!AC109</f>
        <v>2000</v>
      </c>
      <c r="J99" s="7"/>
      <c r="K99" s="94">
        <f>'[18]Rev_SP-12me'!DM109</f>
        <v>0</v>
      </c>
      <c r="L99" s="94">
        <f>'[18]Rev_SP-12me'!DN109</f>
        <v>415.478780734992</v>
      </c>
      <c r="M99" s="94">
        <f>'[18]Rev_SP-12me'!DP109</f>
        <v>0</v>
      </c>
      <c r="N99" s="7"/>
      <c r="O99" s="79">
        <f t="shared" si="2"/>
        <v>415.478780734992</v>
      </c>
    </row>
    <row r="100" ht="15" spans="2:15">
      <c r="B100" s="71" t="s">
        <v>1125</v>
      </c>
      <c r="C100" s="55"/>
      <c r="D100" s="68">
        <f>'[18]Rev_SP-12me'!H110</f>
        <v>0</v>
      </c>
      <c r="E100" s="68">
        <f>'[18]Rev_SP-12me'!I110</f>
        <v>0</v>
      </c>
      <c r="F100" s="68">
        <f>'[18]Rev_SP-12me'!K110</f>
        <v>0.394456</v>
      </c>
      <c r="G100" s="68">
        <f>'[18]Rev_SP-12me'!S110</f>
        <v>0</v>
      </c>
      <c r="H100" s="69">
        <f>'[18]Rev_SP-12me'!T110</f>
        <v>0</v>
      </c>
      <c r="I100" s="68">
        <f>'[18]Rev_SP-12me'!AC110</f>
        <v>8000</v>
      </c>
      <c r="J100" s="7"/>
      <c r="K100" s="68">
        <f>'[18]Rev_SP-12me'!DM110</f>
        <v>0</v>
      </c>
      <c r="L100" s="68">
        <f>'[18]Rev_SP-12me'!DN110</f>
        <v>0.193393755</v>
      </c>
      <c r="M100" s="68">
        <f>'[18]Rev_SP-12me'!DP110</f>
        <v>0.0048</v>
      </c>
      <c r="N100" s="7"/>
      <c r="O100" s="68">
        <f t="shared" si="2"/>
        <v>0.198193755</v>
      </c>
    </row>
    <row r="101" spans="2:15">
      <c r="B101" s="74" t="s">
        <v>1119</v>
      </c>
      <c r="C101" s="55"/>
      <c r="D101" s="94">
        <f>'[18]Rev_SP-12me'!H111</f>
        <v>0</v>
      </c>
      <c r="E101" s="94">
        <f>'[18]Rev_SP-12me'!I111</f>
        <v>0</v>
      </c>
      <c r="F101" s="94">
        <f>'[18]Rev_SP-12me'!K111</f>
        <v>0.1033094</v>
      </c>
      <c r="G101" s="94">
        <f>'[18]Rev_SP-12me'!S111</f>
        <v>285</v>
      </c>
      <c r="H101" s="91">
        <f>'[18]Rev_SP-12me'!T111</f>
        <v>5</v>
      </c>
      <c r="I101" s="94">
        <f>'[18]Rev_SP-12me'!AC111</f>
        <v>2000</v>
      </c>
      <c r="J101" s="7"/>
      <c r="K101" s="94">
        <f>'[18]Rev_SP-12me'!DM111</f>
        <v>0</v>
      </c>
      <c r="L101" s="94">
        <f>'[18]Rev_SP-12me'!DN111</f>
        <v>0.0516547</v>
      </c>
      <c r="M101" s="94">
        <f>'[18]Rev_SP-12me'!DP111</f>
        <v>0.0048</v>
      </c>
      <c r="N101" s="7"/>
      <c r="O101" s="79">
        <f t="shared" si="2"/>
        <v>0.0564547</v>
      </c>
    </row>
    <row r="102" spans="2:15">
      <c r="B102" s="74" t="s">
        <v>1120</v>
      </c>
      <c r="C102" s="55"/>
      <c r="D102" s="94">
        <f>'[18]Rev_SP-12me'!H112</f>
        <v>0</v>
      </c>
      <c r="E102" s="94">
        <f>'[18]Rev_SP-12me'!I112</f>
        <v>0</v>
      </c>
      <c r="F102" s="94">
        <f>'[18]Rev_SP-12me'!K112</f>
        <v>0.0689774</v>
      </c>
      <c r="G102" s="94">
        <f>'[18]Rev_SP-12me'!S112</f>
        <v>0</v>
      </c>
      <c r="H102" s="91">
        <f>'[18]Rev_SP-12me'!T112</f>
        <v>6</v>
      </c>
      <c r="I102" s="94">
        <f>'[18]Rev_SP-12me'!AC112</f>
        <v>2000</v>
      </c>
      <c r="J102" s="7"/>
      <c r="K102" s="94">
        <f>'[18]Rev_SP-12me'!DM112</f>
        <v>0</v>
      </c>
      <c r="L102" s="94">
        <f>'[18]Rev_SP-12me'!DN112</f>
        <v>0.04138644</v>
      </c>
      <c r="M102" s="94">
        <f>'[18]Rev_SP-12me'!DP112</f>
        <v>0</v>
      </c>
      <c r="N102" s="7"/>
      <c r="O102" s="79">
        <f t="shared" si="2"/>
        <v>0.04138644</v>
      </c>
    </row>
    <row r="103" spans="2:15">
      <c r="B103" s="74" t="s">
        <v>1121</v>
      </c>
      <c r="C103" s="55"/>
      <c r="D103" s="94">
        <f>'[18]Rev_SP-12me'!H113</f>
        <v>0</v>
      </c>
      <c r="E103" s="94">
        <f>'[18]Rev_SP-12me'!I113</f>
        <v>0</v>
      </c>
      <c r="F103" s="94">
        <f>'[18]Rev_SP-12me'!K113</f>
        <v>0.0723052</v>
      </c>
      <c r="G103" s="94">
        <f>'[18]Rev_SP-12me'!S113</f>
        <v>0</v>
      </c>
      <c r="H103" s="91">
        <f>'[18]Rev_SP-12me'!T113</f>
        <v>6</v>
      </c>
      <c r="I103" s="94">
        <f>'[18]Rev_SP-12me'!AC113</f>
        <v>2000</v>
      </c>
      <c r="J103" s="7"/>
      <c r="K103" s="94">
        <f>'[18]Rev_SP-12me'!DM113</f>
        <v>0</v>
      </c>
      <c r="L103" s="94">
        <f>'[18]Rev_SP-12me'!DN113</f>
        <v>0.04338312</v>
      </c>
      <c r="M103" s="94">
        <f>'[18]Rev_SP-12me'!DP113</f>
        <v>0</v>
      </c>
      <c r="N103" s="7"/>
      <c r="O103" s="79">
        <f t="shared" si="2"/>
        <v>0.04338312</v>
      </c>
    </row>
    <row r="104" spans="2:15">
      <c r="B104" s="74" t="s">
        <v>1122</v>
      </c>
      <c r="C104" s="55"/>
      <c r="D104" s="94">
        <f>'[18]Rev_SP-12me'!H114</f>
        <v>0</v>
      </c>
      <c r="E104" s="94">
        <f>'[18]Rev_SP-12me'!I114</f>
        <v>0</v>
      </c>
      <c r="F104" s="94">
        <f>'[18]Rev_SP-12me'!K114</f>
        <v>0.149864</v>
      </c>
      <c r="G104" s="94">
        <f>'[18]Rev_SP-12me'!S114</f>
        <v>0</v>
      </c>
      <c r="H104" s="91">
        <f>'[18]Rev_SP-12me'!T114</f>
        <v>3.5</v>
      </c>
      <c r="I104" s="94">
        <f>'[18]Rev_SP-12me'!AC114</f>
        <v>2000</v>
      </c>
      <c r="J104" s="7"/>
      <c r="K104" s="94">
        <f>'[18]Rev_SP-12me'!DM114</f>
        <v>0</v>
      </c>
      <c r="L104" s="94">
        <f>'[18]Rev_SP-12me'!DN114</f>
        <v>0.056969495</v>
      </c>
      <c r="M104" s="94">
        <f>'[18]Rev_SP-12me'!DP114</f>
        <v>0</v>
      </c>
      <c r="N104" s="7"/>
      <c r="O104" s="79">
        <f t="shared" si="2"/>
        <v>0.056969495</v>
      </c>
    </row>
    <row r="105" ht="15" spans="2:15">
      <c r="B105" s="71" t="s">
        <v>1126</v>
      </c>
      <c r="C105" s="55"/>
      <c r="D105" s="68">
        <f>'[18]Rev_SP-12me'!H115</f>
        <v>14</v>
      </c>
      <c r="E105" s="68">
        <f>'[18]Rev_SP-12me'!I115</f>
        <v>3.02498938462724</v>
      </c>
      <c r="F105" s="68">
        <f>'[18]Rev_SP-12me'!K115</f>
        <v>5.37734636570593</v>
      </c>
      <c r="G105" s="68">
        <f>'[18]Rev_SP-12me'!S115</f>
        <v>0</v>
      </c>
      <c r="H105" s="69">
        <f>'[18]Rev_SP-12me'!T115</f>
        <v>0</v>
      </c>
      <c r="I105" s="68">
        <f>'[18]Rev_SP-12me'!AC115</f>
        <v>0</v>
      </c>
      <c r="J105" s="7"/>
      <c r="K105" s="68">
        <f>'[18]Rev_SP-12me'!DM115</f>
        <v>1.40964505323629</v>
      </c>
      <c r="L105" s="68">
        <f>'[18]Rev_SP-12me'!DN115</f>
        <v>4.51323424772443</v>
      </c>
      <c r="M105" s="68">
        <f>'[18]Rev_SP-12me'!DP115</f>
        <v>0.0324</v>
      </c>
      <c r="N105" s="7"/>
      <c r="O105" s="68">
        <f t="shared" si="2"/>
        <v>5.95527930096072</v>
      </c>
    </row>
    <row r="106" spans="2:15">
      <c r="B106" s="74" t="s">
        <v>1119</v>
      </c>
      <c r="C106" s="55"/>
      <c r="D106" s="94">
        <f>'[18]Rev_SP-12me'!H116</f>
        <v>14</v>
      </c>
      <c r="E106" s="94">
        <f>'[18]Rev_SP-12me'!I116</f>
        <v>3.02498938462724</v>
      </c>
      <c r="F106" s="94">
        <f>'[18]Rev_SP-12me'!K116</f>
        <v>1.42583947379569</v>
      </c>
      <c r="G106" s="94">
        <f>'[18]Rev_SP-12me'!S116</f>
        <v>500</v>
      </c>
      <c r="H106" s="91">
        <f>'[18]Rev_SP-12me'!T116</f>
        <v>8.5</v>
      </c>
      <c r="I106" s="94">
        <f>'[18]Rev_SP-12me'!AC116</f>
        <v>2000</v>
      </c>
      <c r="J106" s="7"/>
      <c r="K106" s="94">
        <f>'[18]Rev_SP-12me'!DM116</f>
        <v>1.40964505323629</v>
      </c>
      <c r="L106" s="94">
        <f>'[18]Rev_SP-12me'!DN116</f>
        <v>1.21196355272633</v>
      </c>
      <c r="M106" s="94">
        <f>'[18]Rev_SP-12me'!DP116</f>
        <v>0.0324</v>
      </c>
      <c r="N106" s="7"/>
      <c r="O106" s="79">
        <f t="shared" ref="O106:O124" si="3">SUM(K106:N106)</f>
        <v>2.65400860596262</v>
      </c>
    </row>
    <row r="107" spans="2:15">
      <c r="B107" s="74" t="s">
        <v>1120</v>
      </c>
      <c r="C107" s="55"/>
      <c r="D107" s="94">
        <f>'[18]Rev_SP-12me'!H117</f>
        <v>0</v>
      </c>
      <c r="E107" s="94">
        <f>'[18]Rev_SP-12me'!I117</f>
        <v>0</v>
      </c>
      <c r="F107" s="94">
        <f>'[18]Rev_SP-12me'!K117</f>
        <v>0.951743166873427</v>
      </c>
      <c r="G107" s="94">
        <f>'[18]Rev_SP-12me'!S117</f>
        <v>0</v>
      </c>
      <c r="H107" s="91">
        <f>'[18]Rev_SP-12me'!T117</f>
        <v>9.5</v>
      </c>
      <c r="I107" s="94">
        <f>'[18]Rev_SP-12me'!AC117</f>
        <v>2000</v>
      </c>
      <c r="J107" s="7"/>
      <c r="K107" s="94">
        <f>'[18]Rev_SP-12me'!DM117</f>
        <v>0</v>
      </c>
      <c r="L107" s="94">
        <f>'[18]Rev_SP-12me'!DN117</f>
        <v>0.904156008529755</v>
      </c>
      <c r="M107" s="94">
        <f>'[18]Rev_SP-12me'!DP117</f>
        <v>0</v>
      </c>
      <c r="N107" s="7"/>
      <c r="O107" s="79">
        <f t="shared" si="3"/>
        <v>0.904156008529755</v>
      </c>
    </row>
    <row r="108" spans="2:15">
      <c r="B108" s="74" t="s">
        <v>1121</v>
      </c>
      <c r="C108" s="55"/>
      <c r="D108" s="94">
        <f>'[18]Rev_SP-12me'!H118</f>
        <v>0</v>
      </c>
      <c r="E108" s="94">
        <f>'[18]Rev_SP-12me'!I118</f>
        <v>0</v>
      </c>
      <c r="F108" s="94">
        <f>'[18]Rev_SP-12me'!K118</f>
        <v>0.937781895396687</v>
      </c>
      <c r="G108" s="94">
        <f>'[18]Rev_SP-12me'!S118</f>
        <v>0</v>
      </c>
      <c r="H108" s="91">
        <f>'[18]Rev_SP-12me'!T118</f>
        <v>9.5</v>
      </c>
      <c r="I108" s="94">
        <f>'[18]Rev_SP-12me'!AC118</f>
        <v>2000</v>
      </c>
      <c r="J108" s="7"/>
      <c r="K108" s="94">
        <f>'[18]Rev_SP-12me'!DM118</f>
        <v>0</v>
      </c>
      <c r="L108" s="94">
        <f>'[18]Rev_SP-12me'!DN118</f>
        <v>0.890892800626853</v>
      </c>
      <c r="M108" s="94">
        <f>'[18]Rev_SP-12me'!DP118</f>
        <v>0</v>
      </c>
      <c r="N108" s="7"/>
      <c r="O108" s="79">
        <f t="shared" si="3"/>
        <v>0.890892800626853</v>
      </c>
    </row>
    <row r="109" spans="2:15">
      <c r="B109" s="74" t="s">
        <v>1122</v>
      </c>
      <c r="C109" s="55"/>
      <c r="D109" s="94">
        <f>'[18]Rev_SP-12me'!H119</f>
        <v>0</v>
      </c>
      <c r="E109" s="94">
        <f>'[18]Rev_SP-12me'!I119</f>
        <v>0</v>
      </c>
      <c r="F109" s="94">
        <f>'[18]Rev_SP-12me'!K119</f>
        <v>2.06198182964013</v>
      </c>
      <c r="G109" s="94">
        <f>'[18]Rev_SP-12me'!S119</f>
        <v>0</v>
      </c>
      <c r="H109" s="91">
        <f>'[18]Rev_SP-12me'!T119</f>
        <v>7</v>
      </c>
      <c r="I109" s="94">
        <f>'[18]Rev_SP-12me'!AC119</f>
        <v>2000</v>
      </c>
      <c r="J109" s="7"/>
      <c r="K109" s="94">
        <f>'[18]Rev_SP-12me'!DM119</f>
        <v>0</v>
      </c>
      <c r="L109" s="94">
        <f>'[18]Rev_SP-12me'!DN119</f>
        <v>1.50622188584149</v>
      </c>
      <c r="M109" s="94">
        <f>'[18]Rev_SP-12me'!DP119</f>
        <v>0</v>
      </c>
      <c r="N109" s="7"/>
      <c r="O109" s="79">
        <f t="shared" si="3"/>
        <v>1.50622188584149</v>
      </c>
    </row>
    <row r="110" ht="15" spans="2:15">
      <c r="B110" s="71" t="s">
        <v>1127</v>
      </c>
      <c r="C110" s="55"/>
      <c r="D110" s="68">
        <f>'[18]Rev_SP-12me'!H120</f>
        <v>132</v>
      </c>
      <c r="E110" s="68">
        <f>'[18]Rev_SP-12me'!I120</f>
        <v>26.8133129159538</v>
      </c>
      <c r="F110" s="68">
        <f>'[18]Rev_SP-12me'!K120</f>
        <v>22.7178453815</v>
      </c>
      <c r="G110" s="68">
        <f>'[18]Rev_SP-12me'!S120</f>
        <v>0</v>
      </c>
      <c r="H110" s="69">
        <f>'[18]Rev_SP-12me'!T120</f>
        <v>0</v>
      </c>
      <c r="I110" s="68">
        <f>'[18]Rev_SP-12me'!AC120</f>
        <v>0</v>
      </c>
      <c r="J110" s="7"/>
      <c r="K110" s="68">
        <f>'[18]Rev_SP-12me'!DM120</f>
        <v>4.40045567698804</v>
      </c>
      <c r="L110" s="68">
        <f>'[18]Rev_SP-12me'!DN120</f>
        <v>14.312242590345</v>
      </c>
      <c r="M110" s="68">
        <f>'[18]Rev_SP-12me'!DP120</f>
        <v>0.3096</v>
      </c>
      <c r="N110" s="7"/>
      <c r="O110" s="68">
        <f t="shared" si="3"/>
        <v>19.022298267333</v>
      </c>
    </row>
    <row r="111" spans="2:15">
      <c r="B111" s="74" t="s">
        <v>1128</v>
      </c>
      <c r="C111" s="55"/>
      <c r="D111" s="94">
        <f>'[18]Rev_SP-12me'!H121</f>
        <v>132</v>
      </c>
      <c r="E111" s="94">
        <f>'[18]Rev_SP-12me'!I121</f>
        <v>26.8133129159538</v>
      </c>
      <c r="F111" s="94">
        <f>'[18]Rev_SP-12me'!K121</f>
        <v>22.7178453815</v>
      </c>
      <c r="G111" s="94">
        <f>'[18]Rev_SP-12me'!S121</f>
        <v>300</v>
      </c>
      <c r="H111" s="91">
        <f>'[18]Rev_SP-12me'!T121</f>
        <v>6.3</v>
      </c>
      <c r="I111" s="94">
        <f>'[18]Rev_SP-12me'!AC121</f>
        <v>2000</v>
      </c>
      <c r="J111" s="7"/>
      <c r="K111" s="94">
        <f>'[18]Rev_SP-12me'!DM121</f>
        <v>4.40045567698804</v>
      </c>
      <c r="L111" s="94">
        <f>'[18]Rev_SP-12me'!DN121</f>
        <v>14.312242590345</v>
      </c>
      <c r="M111" s="94">
        <f>'[18]Rev_SP-12me'!DP121</f>
        <v>0.3096</v>
      </c>
      <c r="N111" s="7"/>
      <c r="O111" s="79">
        <f t="shared" si="3"/>
        <v>19.022298267333</v>
      </c>
    </row>
    <row r="112" ht="15" spans="2:15">
      <c r="B112" s="71" t="s">
        <v>1129</v>
      </c>
      <c r="C112" s="55"/>
      <c r="D112" s="68">
        <f>'[18]Rev_SP-12me'!H132</f>
        <v>119</v>
      </c>
      <c r="E112" s="68">
        <f>'[18]Rev_SP-12me'!I132</f>
        <v>34.380809169</v>
      </c>
      <c r="F112" s="68">
        <f>'[18]Rev_SP-12me'!K132</f>
        <v>132.503651882</v>
      </c>
      <c r="G112" s="68">
        <f>'[18]Rev_SP-12me'!S132</f>
        <v>0</v>
      </c>
      <c r="H112" s="69">
        <f>'[18]Rev_SP-12me'!T132</f>
        <v>0</v>
      </c>
      <c r="I112" s="68">
        <f>'[18]Rev_SP-12me'!AC132</f>
        <v>0</v>
      </c>
      <c r="J112" s="7"/>
      <c r="K112" s="68">
        <f>'[18]Rev_SP-12me'!DM132</f>
        <v>0</v>
      </c>
      <c r="L112" s="68">
        <f>'[18]Rev_SP-12me'!DN132</f>
        <v>80.82722764802</v>
      </c>
      <c r="M112" s="68">
        <f>'[18]Rev_SP-12me'!DP132</f>
        <v>0.2808</v>
      </c>
      <c r="N112" s="7"/>
      <c r="O112" s="68">
        <f t="shared" si="3"/>
        <v>81.10802764802</v>
      </c>
    </row>
    <row r="113" spans="2:15">
      <c r="B113" s="74" t="s">
        <v>220</v>
      </c>
      <c r="C113" s="55"/>
      <c r="D113" s="94">
        <f>'[18]Rev_SP-12me'!H133</f>
        <v>119</v>
      </c>
      <c r="E113" s="94">
        <f>'[18]Rev_SP-12me'!I133</f>
        <v>34.380809169</v>
      </c>
      <c r="F113" s="94">
        <f>'[18]Rev_SP-12me'!K133</f>
        <v>132.503651882</v>
      </c>
      <c r="G113" s="94">
        <f>'[18]Rev_SP-12me'!S133</f>
        <v>0</v>
      </c>
      <c r="H113" s="91">
        <f>'[18]Rev_SP-12me'!T133</f>
        <v>6.1</v>
      </c>
      <c r="I113" s="94">
        <f>'[18]Rev_SP-12me'!AC133</f>
        <v>2000</v>
      </c>
      <c r="J113" s="7"/>
      <c r="K113" s="94">
        <f>'[18]Rev_SP-12me'!DM133</f>
        <v>0</v>
      </c>
      <c r="L113" s="94">
        <f>'[18]Rev_SP-12me'!DN133</f>
        <v>80.82722764802</v>
      </c>
      <c r="M113" s="94">
        <f>'[18]Rev_SP-12me'!DP133</f>
        <v>0.2808</v>
      </c>
      <c r="N113" s="7"/>
      <c r="O113" s="79">
        <f t="shared" si="3"/>
        <v>81.10802764802</v>
      </c>
    </row>
    <row r="114" spans="2:15">
      <c r="B114" s="74" t="s">
        <v>1130</v>
      </c>
      <c r="C114" s="55"/>
      <c r="D114" s="94">
        <f>'[18]Rev_SP-12me'!H134</f>
        <v>0</v>
      </c>
      <c r="E114" s="94">
        <f>'[18]Rev_SP-12me'!I134</f>
        <v>0</v>
      </c>
      <c r="F114" s="94">
        <f>'[18]Rev_SP-12me'!K134</f>
        <v>0</v>
      </c>
      <c r="G114" s="94">
        <f>'[18]Rev_SP-12me'!S134</f>
        <v>0</v>
      </c>
      <c r="H114" s="91">
        <f>'[18]Rev_SP-12me'!T134</f>
        <v>0</v>
      </c>
      <c r="I114" s="94">
        <f>'[18]Rev_SP-12me'!AC134</f>
        <v>2000</v>
      </c>
      <c r="J114" s="7"/>
      <c r="K114" s="94">
        <f>'[18]Rev_SP-12me'!DM134</f>
        <v>0</v>
      </c>
      <c r="L114" s="94">
        <f>'[18]Rev_SP-12me'!DN134</f>
        <v>0</v>
      </c>
      <c r="M114" s="94">
        <f>'[18]Rev_SP-12me'!DP134</f>
        <v>0</v>
      </c>
      <c r="N114" s="7"/>
      <c r="O114" s="79">
        <f t="shared" si="3"/>
        <v>0</v>
      </c>
    </row>
    <row r="115" ht="15" spans="2:15">
      <c r="B115" s="71" t="s">
        <v>1131</v>
      </c>
      <c r="C115" s="55"/>
      <c r="D115" s="68">
        <f>'[18]Rev_SP-12me'!H122</f>
        <v>0</v>
      </c>
      <c r="E115" s="68">
        <f>'[18]Rev_SP-12me'!I122</f>
        <v>0</v>
      </c>
      <c r="F115" s="68">
        <f>'[18]Rev_SP-12me'!K122</f>
        <v>0</v>
      </c>
      <c r="G115" s="68">
        <f>'[18]Rev_SP-12me'!S122</f>
        <v>500</v>
      </c>
      <c r="H115" s="69">
        <f>'[18]Rev_SP-12me'!T122</f>
        <v>5.05</v>
      </c>
      <c r="I115" s="68">
        <f>'[18]Rev_SP-12me'!AC122</f>
        <v>0</v>
      </c>
      <c r="J115" s="7"/>
      <c r="K115" s="68">
        <f>'[18]Rev_SP-12me'!DM122</f>
        <v>0</v>
      </c>
      <c r="L115" s="68">
        <f>'[18]Rev_SP-12me'!DN122</f>
        <v>0</v>
      </c>
      <c r="M115" s="68">
        <f>'[18]Rev_SP-12me'!DP122</f>
        <v>0</v>
      </c>
      <c r="N115" s="7"/>
      <c r="O115" s="68">
        <f t="shared" si="3"/>
        <v>0</v>
      </c>
    </row>
    <row r="116" ht="15" spans="2:15">
      <c r="B116" s="71" t="s">
        <v>1132</v>
      </c>
      <c r="C116" s="55"/>
      <c r="D116" s="68">
        <f>'[18]Rev_SP-12me'!H123</f>
        <v>0</v>
      </c>
      <c r="E116" s="68">
        <f>'[18]Rev_SP-12me'!I123</f>
        <v>0</v>
      </c>
      <c r="F116" s="68">
        <f>'[18]Rev_SP-12me'!K123</f>
        <v>0</v>
      </c>
      <c r="G116" s="68">
        <f>'[18]Rev_SP-12me'!S123</f>
        <v>500</v>
      </c>
      <c r="H116" s="69">
        <f>'[18]Rev_SP-12me'!T123</f>
        <v>4.95</v>
      </c>
      <c r="I116" s="68">
        <f>'[18]Rev_SP-12me'!AC123</f>
        <v>0</v>
      </c>
      <c r="J116" s="7"/>
      <c r="K116" s="68">
        <f>'[18]Rev_SP-12me'!DM123</f>
        <v>0</v>
      </c>
      <c r="L116" s="68">
        <f>'[18]Rev_SP-12me'!DN123</f>
        <v>0</v>
      </c>
      <c r="M116" s="68">
        <f>'[18]Rev_SP-12me'!DP123</f>
        <v>0</v>
      </c>
      <c r="N116" s="7"/>
      <c r="O116" s="68">
        <f t="shared" si="3"/>
        <v>0</v>
      </c>
    </row>
    <row r="117" ht="15" spans="2:15">
      <c r="B117" s="71" t="s">
        <v>919</v>
      </c>
      <c r="C117" s="55"/>
      <c r="D117" s="68">
        <f>'[18]Rev_SP-12me'!H124</f>
        <v>215</v>
      </c>
      <c r="E117" s="68">
        <f>'[18]Rev_SP-12me'!I124</f>
        <v>81.5487776516464</v>
      </c>
      <c r="F117" s="68">
        <f>'[18]Rev_SP-12me'!K124</f>
        <v>268.934584357356</v>
      </c>
      <c r="G117" s="68">
        <f>'[18]Rev_SP-12me'!S124</f>
        <v>285</v>
      </c>
      <c r="H117" s="69">
        <f>'[18]Rev_SP-12me'!T124</f>
        <v>7.3</v>
      </c>
      <c r="I117" s="68">
        <f>'[18]Rev_SP-12me'!AC124</f>
        <v>2000</v>
      </c>
      <c r="J117" s="7"/>
      <c r="K117" s="68">
        <f>'[18]Rev_SP-12me'!DM124</f>
        <v>21.1700626783674</v>
      </c>
      <c r="L117" s="68">
        <f>'[18]Rev_SP-12me'!DN124</f>
        <v>196.32224658087</v>
      </c>
      <c r="M117" s="68">
        <f>'[18]Rev_SP-12me'!DP124</f>
        <v>0.5064</v>
      </c>
      <c r="N117" s="7"/>
      <c r="O117" s="68">
        <f t="shared" si="3"/>
        <v>217.998709259237</v>
      </c>
    </row>
    <row r="118" ht="15" spans="2:15">
      <c r="B118" s="71" t="s">
        <v>1133</v>
      </c>
      <c r="C118" s="55"/>
      <c r="D118" s="68">
        <f>'[18]Rev_SP-12me'!H125</f>
        <v>608</v>
      </c>
      <c r="E118" s="68">
        <f>'[18]Rev_SP-12me'!I125</f>
        <v>128.281889826877</v>
      </c>
      <c r="F118" s="68">
        <f>'[18]Rev_SP-12me'!K125</f>
        <v>224.202563167036</v>
      </c>
      <c r="G118" s="68">
        <f>'[18]Rev_SP-12me'!S125</f>
        <v>500</v>
      </c>
      <c r="H118" s="69">
        <f>'[18]Rev_SP-12me'!T125</f>
        <v>11.8</v>
      </c>
      <c r="I118" s="68">
        <f>'[18]Rev_SP-12me'!AC125</f>
        <v>2000</v>
      </c>
      <c r="J118" s="7"/>
      <c r="K118" s="68">
        <f>'[18]Rev_SP-12me'!DM125</f>
        <v>61.5753071169012</v>
      </c>
      <c r="L118" s="68">
        <f>'[18]Rev_SP-12me'!DN125</f>
        <v>264.559024537103</v>
      </c>
      <c r="M118" s="68">
        <f>'[18]Rev_SP-12me'!DP125</f>
        <v>1.44</v>
      </c>
      <c r="N118" s="7"/>
      <c r="O118" s="68">
        <f t="shared" si="3"/>
        <v>327.574331654004</v>
      </c>
    </row>
    <row r="119" ht="15" spans="2:15">
      <c r="B119" s="71" t="s">
        <v>1134</v>
      </c>
      <c r="C119" s="55"/>
      <c r="D119" s="68">
        <f>'[18]Rev_SP-12me'!H126</f>
        <v>0</v>
      </c>
      <c r="E119" s="68">
        <f>'[18]Rev_SP-12me'!I126</f>
        <v>0</v>
      </c>
      <c r="F119" s="68">
        <f>'[18]Rev_SP-12me'!K126</f>
        <v>0</v>
      </c>
      <c r="G119" s="68">
        <f>'[18]Rev_SP-12me'!S126</f>
        <v>0</v>
      </c>
      <c r="H119" s="69">
        <f>'[18]Rev_SP-12me'!T126</f>
        <v>4.77</v>
      </c>
      <c r="I119" s="68">
        <f>'[18]Rev_SP-12me'!AC126</f>
        <v>2000</v>
      </c>
      <c r="J119" s="7"/>
      <c r="K119" s="68">
        <f>'[18]Rev_SP-12me'!DM126</f>
        <v>0</v>
      </c>
      <c r="L119" s="68">
        <f>'[18]Rev_SP-12me'!DN126</f>
        <v>0</v>
      </c>
      <c r="M119" s="68">
        <f>'[18]Rev_SP-12me'!DP126</f>
        <v>0</v>
      </c>
      <c r="N119" s="7"/>
      <c r="O119" s="68">
        <f t="shared" si="3"/>
        <v>0</v>
      </c>
    </row>
    <row r="120" ht="15" spans="2:15">
      <c r="B120" s="71" t="s">
        <v>1135</v>
      </c>
      <c r="C120" s="55"/>
      <c r="D120" s="68">
        <f>'[18]Rev_SP-12me'!H127</f>
        <v>27</v>
      </c>
      <c r="E120" s="68">
        <f>'[18]Rev_SP-12me'!I127</f>
        <v>9.6519432174</v>
      </c>
      <c r="F120" s="68">
        <f>'[18]Rev_SP-12me'!K127</f>
        <v>30.5185396001659</v>
      </c>
      <c r="G120" s="68">
        <f>'[18]Rev_SP-12me'!S127</f>
        <v>0</v>
      </c>
      <c r="H120" s="69">
        <f>'[18]Rev_SP-12me'!T127</f>
        <v>0</v>
      </c>
      <c r="I120" s="68">
        <f>'[18]Rev_SP-12me'!AC127</f>
        <v>2000</v>
      </c>
      <c r="J120" s="7"/>
      <c r="K120" s="68">
        <f>'[18]Rev_SP-12me'!DM127</f>
        <v>0.9265865488704</v>
      </c>
      <c r="L120" s="68">
        <f>'[18]Rev_SP-12me'!DN127</f>
        <v>17.7639793420604</v>
      </c>
      <c r="M120" s="68">
        <f>'[18]Rev_SP-12me'!DP127</f>
        <v>0.0528</v>
      </c>
      <c r="N120" s="7"/>
      <c r="O120" s="68">
        <f t="shared" si="3"/>
        <v>18.7433658909308</v>
      </c>
    </row>
    <row r="121" spans="2:15">
      <c r="B121" s="76" t="s">
        <v>1119</v>
      </c>
      <c r="C121" s="55"/>
      <c r="D121" s="94">
        <f>'[18]Rev_SP-12me'!H128</f>
        <v>27</v>
      </c>
      <c r="E121" s="94">
        <f>'[18]Rev_SP-12me'!I128</f>
        <v>9.6519432174</v>
      </c>
      <c r="F121" s="94">
        <f>'[18]Rev_SP-12me'!K128</f>
        <v>13.5291712860231</v>
      </c>
      <c r="G121" s="94">
        <f>'[18]Rev_SP-12me'!S128</f>
        <v>100</v>
      </c>
      <c r="H121" s="91">
        <f>'[18]Rev_SP-12me'!T128</f>
        <v>6</v>
      </c>
      <c r="I121" s="94">
        <f>'[18]Rev_SP-12me'!AC128</f>
        <v>2000</v>
      </c>
      <c r="J121" s="7"/>
      <c r="K121" s="94">
        <f>'[18]Rev_SP-12me'!DM128</f>
        <v>0.9265865488704</v>
      </c>
      <c r="L121" s="94">
        <f>'[18]Rev_SP-12me'!DN128</f>
        <v>8.11750277161387</v>
      </c>
      <c r="M121" s="94">
        <f>'[18]Rev_SP-12me'!DP128</f>
        <v>0.0528</v>
      </c>
      <c r="N121" s="7"/>
      <c r="O121" s="79">
        <f t="shared" si="3"/>
        <v>9.09688932048427</v>
      </c>
    </row>
    <row r="122" spans="2:15">
      <c r="B122" s="76" t="s">
        <v>1120</v>
      </c>
      <c r="C122" s="55"/>
      <c r="D122" s="94">
        <f>'[18]Rev_SP-12me'!H129</f>
        <v>0</v>
      </c>
      <c r="E122" s="94">
        <f>'[18]Rev_SP-12me'!I129</f>
        <v>0</v>
      </c>
      <c r="F122" s="94">
        <f>'[18]Rev_SP-12me'!K129</f>
        <v>3.4700122043114</v>
      </c>
      <c r="G122" s="94">
        <f>'[18]Rev_SP-12me'!S129</f>
        <v>0</v>
      </c>
      <c r="H122" s="91">
        <f>'[18]Rev_SP-12me'!T129</f>
        <v>7</v>
      </c>
      <c r="I122" s="94">
        <f>'[18]Rev_SP-12me'!AC129</f>
        <v>2000</v>
      </c>
      <c r="J122" s="7"/>
      <c r="K122" s="94">
        <f>'[18]Rev_SP-12me'!DM129</f>
        <v>0</v>
      </c>
      <c r="L122" s="94">
        <f>'[18]Rev_SP-12me'!DN129</f>
        <v>2.42900854301798</v>
      </c>
      <c r="M122" s="94">
        <f>'[18]Rev_SP-12me'!DP129</f>
        <v>0</v>
      </c>
      <c r="N122" s="7"/>
      <c r="O122" s="79">
        <f t="shared" si="3"/>
        <v>2.42900854301798</v>
      </c>
    </row>
    <row r="123" spans="2:15">
      <c r="B123" s="76" t="s">
        <v>1121</v>
      </c>
      <c r="C123" s="55"/>
      <c r="D123" s="94">
        <f>'[18]Rev_SP-12me'!H130</f>
        <v>0</v>
      </c>
      <c r="E123" s="94">
        <f>'[18]Rev_SP-12me'!I130</f>
        <v>0</v>
      </c>
      <c r="F123" s="94">
        <f>'[18]Rev_SP-12me'!K130</f>
        <v>3.45776129813825</v>
      </c>
      <c r="G123" s="94">
        <f>'[18]Rev_SP-12me'!S130</f>
        <v>0</v>
      </c>
      <c r="H123" s="91">
        <f>'[18]Rev_SP-12me'!T130</f>
        <v>7</v>
      </c>
      <c r="I123" s="94">
        <f>'[18]Rev_SP-12me'!AC130</f>
        <v>2000</v>
      </c>
      <c r="J123" s="7"/>
      <c r="K123" s="94">
        <f>'[18]Rev_SP-12me'!DM130</f>
        <v>0</v>
      </c>
      <c r="L123" s="94">
        <f>'[18]Rev_SP-12me'!DN130</f>
        <v>2.42043290869678</v>
      </c>
      <c r="M123" s="94">
        <f>'[18]Rev_SP-12me'!DP130</f>
        <v>0</v>
      </c>
      <c r="N123" s="7"/>
      <c r="O123" s="79">
        <f t="shared" si="3"/>
        <v>2.42043290869678</v>
      </c>
    </row>
    <row r="124" spans="2:15">
      <c r="B124" s="76" t="s">
        <v>1122</v>
      </c>
      <c r="C124" s="55"/>
      <c r="D124" s="94">
        <f>'[18]Rev_SP-12me'!H131</f>
        <v>0</v>
      </c>
      <c r="E124" s="94">
        <f>'[18]Rev_SP-12me'!I131</f>
        <v>0</v>
      </c>
      <c r="F124" s="94">
        <f>'[18]Rev_SP-12me'!K131</f>
        <v>10.0615948116932</v>
      </c>
      <c r="G124" s="94">
        <f>'[18]Rev_SP-12me'!S131</f>
        <v>0</v>
      </c>
      <c r="H124" s="91">
        <f>'[18]Rev_SP-12me'!T131</f>
        <v>4.5</v>
      </c>
      <c r="I124" s="94">
        <f>'[18]Rev_SP-12me'!AC131</f>
        <v>2000</v>
      </c>
      <c r="J124" s="7"/>
      <c r="K124" s="94">
        <f>'[18]Rev_SP-12me'!DM131</f>
        <v>0</v>
      </c>
      <c r="L124" s="94">
        <f>'[18]Rev_SP-12me'!DN131</f>
        <v>4.79703511873172</v>
      </c>
      <c r="M124" s="94">
        <f>'[18]Rev_SP-12me'!DP131</f>
        <v>0</v>
      </c>
      <c r="N124" s="7"/>
      <c r="O124" s="79">
        <f t="shared" si="3"/>
        <v>4.79703511873172</v>
      </c>
    </row>
    <row r="125" ht="15" spans="2:15">
      <c r="B125" s="77" t="s">
        <v>1136</v>
      </c>
      <c r="C125" s="55"/>
      <c r="D125" s="78">
        <f>SUM(D74,D89,D94,D95,D100,D105,D110,D112,D115,D116,D117,D118,D119,D120)</f>
        <v>11838</v>
      </c>
      <c r="E125" s="78">
        <f>SUM(E74,E89,E94,E95,E100,E105,E110,E112,E115,E116,E117,E118,E119,E120)</f>
        <v>2832.30437902453</v>
      </c>
      <c r="F125" s="78">
        <f>SUM(F74,F89,F94,F95,F100,F105,F110,F112,F115,F116,F117,F118,F119,F120)</f>
        <v>7484.74420547276</v>
      </c>
      <c r="G125" s="180"/>
      <c r="H125" s="180"/>
      <c r="I125" s="180"/>
      <c r="J125" s="180"/>
      <c r="K125" s="78">
        <f>SUM(K74,K89,K94,K95,K100,K105,K110,K112,K115,K116,K117,K118,K119,K120)</f>
        <v>1277.13089517067</v>
      </c>
      <c r="L125" s="78">
        <f>SUM(L74,L89,L94,L95,L100,L105,L110,L112,L115,L116,L117,L118,L119,L120)</f>
        <v>6051.50568218604</v>
      </c>
      <c r="M125" s="78">
        <f>SUM(M74,M89,M94,M95,M100,M105,M110,M112,M115,M116,M117,M118,M119,M120)</f>
        <v>30.3096</v>
      </c>
      <c r="N125" s="78">
        <f>SUM(N74,N89,N94,N95,N100,N105,N110,N112,N115,N116,N117,N118,N119,N120)</f>
        <v>0</v>
      </c>
      <c r="O125" s="80">
        <f>SUM(O74,O89,O94,O95,O100,O105,O110,O112,O115,O116,O117,O118,O119,O120)</f>
        <v>7358.94617735671</v>
      </c>
    </row>
    <row r="126" spans="2:15">
      <c r="B126" s="55"/>
      <c r="C126" s="5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</row>
    <row r="127" spans="2:15">
      <c r="B127" s="71" t="s">
        <v>212</v>
      </c>
      <c r="C127" s="55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</row>
    <row r="128" ht="15" spans="2:15">
      <c r="B128" s="71" t="s">
        <v>1137</v>
      </c>
      <c r="C128" s="55"/>
      <c r="D128" s="68">
        <f>'[18]Rev_SP-12me'!H149</f>
        <v>435</v>
      </c>
      <c r="E128" s="68">
        <f>'[18]Rev_SP-12me'!I149</f>
        <v>1229.807976</v>
      </c>
      <c r="F128" s="68">
        <f>F129+F137</f>
        <v>6755.3670861646</v>
      </c>
      <c r="G128" s="68">
        <f>'[18]Rev_SP-12me'!S149</f>
        <v>0</v>
      </c>
      <c r="H128" s="69">
        <f>'[18]Rev_SP-12me'!T149</f>
        <v>0</v>
      </c>
      <c r="I128" s="68">
        <f>'[18]Rev_SP-12me'!AC149</f>
        <v>0</v>
      </c>
      <c r="J128" s="7"/>
      <c r="K128" s="68">
        <f>'[18]Rev_SP-12me'!DM149</f>
        <v>573.090516816</v>
      </c>
      <c r="L128" s="68">
        <f>'[18]Rev_SP-12me'!DN149</f>
        <v>4796.19058828821</v>
      </c>
      <c r="M128" s="68">
        <f>'[18]Rev_SP-12me'!DP149</f>
        <v>1.8123</v>
      </c>
      <c r="N128" s="7"/>
      <c r="O128" s="69">
        <f t="shared" ref="O128:O172" si="4">SUM(K128:N128)</f>
        <v>5371.09340510421</v>
      </c>
    </row>
    <row r="129" spans="2:15">
      <c r="B129" s="81" t="s">
        <v>1138</v>
      </c>
      <c r="C129" s="55"/>
      <c r="D129" s="79">
        <f>'[18]Rev_SP-12me'!H150</f>
        <v>435</v>
      </c>
      <c r="E129" s="79">
        <f>'[18]Rev_SP-12me'!I150</f>
        <v>1229.807976</v>
      </c>
      <c r="F129" s="79">
        <f>'[18]Rev_SP-12me'!K150</f>
        <v>6727.77368492986</v>
      </c>
      <c r="G129" s="79">
        <f>'[18]Rev_SP-12me'!S150</f>
        <v>0</v>
      </c>
      <c r="H129" s="60">
        <f>'[18]Rev_SP-12me'!T150</f>
        <v>0</v>
      </c>
      <c r="I129" s="79">
        <f>'[18]Rev_SP-12me'!AC150</f>
        <v>0</v>
      </c>
      <c r="J129" s="7"/>
      <c r="K129" s="79">
        <f>'[18]Rev_SP-12me'!DM150</f>
        <v>573.090516816</v>
      </c>
      <c r="L129" s="79">
        <f>'[18]Rev_SP-12me'!DN150</f>
        <v>4776.72077694781</v>
      </c>
      <c r="M129" s="79">
        <f>'[18]Rev_SP-12me'!DP150</f>
        <v>1.7955</v>
      </c>
      <c r="N129" s="7"/>
      <c r="O129" s="60">
        <f t="shared" si="4"/>
        <v>5351.60679376381</v>
      </c>
    </row>
    <row r="130" spans="2:15">
      <c r="B130" s="74" t="s">
        <v>1105</v>
      </c>
      <c r="C130" s="55"/>
      <c r="D130" s="94">
        <f>'[18]Rev_SP-12me'!H151</f>
        <v>435</v>
      </c>
      <c r="E130" s="94">
        <f>'[18]Rev_SP-12me'!I151</f>
        <v>1229.807976</v>
      </c>
      <c r="F130" s="94">
        <f>'[18]Rev_SP-12me'!K151</f>
        <v>1972.65585471756</v>
      </c>
      <c r="G130" s="79">
        <f>'[18]Rev_SP-12me'!S151</f>
        <v>500</v>
      </c>
      <c r="H130" s="60">
        <f>'[18]Rev_SP-12me'!T151</f>
        <v>7.15</v>
      </c>
      <c r="I130" s="79">
        <f>'[18]Rev_SP-12me'!AC151</f>
        <v>3500</v>
      </c>
      <c r="J130" s="7"/>
      <c r="K130" s="94">
        <f>'[18]Rev_SP-12me'!DM151</f>
        <v>573.090516816</v>
      </c>
      <c r="L130" s="94">
        <f>'[18]Rev_SP-12me'!DN151</f>
        <v>1410.44893612306</v>
      </c>
      <c r="M130" s="94">
        <f>'[18]Rev_SP-12me'!DP151</f>
        <v>1.7913</v>
      </c>
      <c r="N130" s="7"/>
      <c r="O130" s="60">
        <f t="shared" si="4"/>
        <v>1985.33075293906</v>
      </c>
    </row>
    <row r="131" spans="2:15">
      <c r="B131" s="74" t="s">
        <v>1139</v>
      </c>
      <c r="C131" s="55"/>
      <c r="D131" s="94">
        <f>'[18]Rev_SP-12me'!H152</f>
        <v>0</v>
      </c>
      <c r="E131" s="94">
        <f>'[18]Rev_SP-12me'!I152</f>
        <v>0</v>
      </c>
      <c r="F131" s="94">
        <f>'[18]Rev_SP-12me'!K152</f>
        <v>290.028799767119</v>
      </c>
      <c r="G131" s="79">
        <f>'[18]Rev_SP-12me'!S152</f>
        <v>0</v>
      </c>
      <c r="H131" s="60">
        <f>'[18]Rev_SP-12me'!T152</f>
        <v>7.15</v>
      </c>
      <c r="I131" s="79">
        <f>'[18]Rev_SP-12me'!AC152</f>
        <v>3500</v>
      </c>
      <c r="J131" s="7"/>
      <c r="K131" s="94">
        <f>'[18]Rev_SP-12me'!DM152</f>
        <v>0</v>
      </c>
      <c r="L131" s="94">
        <f>'[18]Rev_SP-12me'!DN152</f>
        <v>207.37059183349</v>
      </c>
      <c r="M131" s="94">
        <f>'[18]Rev_SP-12me'!DP152</f>
        <v>0</v>
      </c>
      <c r="N131" s="7"/>
      <c r="O131" s="60">
        <f t="shared" si="4"/>
        <v>207.37059183349</v>
      </c>
    </row>
    <row r="132" spans="2:15">
      <c r="B132" s="74" t="s">
        <v>1140</v>
      </c>
      <c r="C132" s="55"/>
      <c r="D132" s="94">
        <f>'[18]Rev_SP-12me'!H153</f>
        <v>0</v>
      </c>
      <c r="E132" s="94">
        <f>'[18]Rev_SP-12me'!I153</f>
        <v>0</v>
      </c>
      <c r="F132" s="94">
        <f>'[18]Rev_SP-12me'!K153</f>
        <v>164.18382909327</v>
      </c>
      <c r="G132" s="79">
        <f>'[18]Rev_SP-12me'!S153</f>
        <v>0</v>
      </c>
      <c r="H132" s="60">
        <f>'[18]Rev_SP-12me'!T153</f>
        <v>7.3</v>
      </c>
      <c r="I132" s="79">
        <f>'[18]Rev_SP-12me'!AC153</f>
        <v>3500</v>
      </c>
      <c r="J132" s="7"/>
      <c r="K132" s="94">
        <f>'[18]Rev_SP-12me'!DM153</f>
        <v>0</v>
      </c>
      <c r="L132" s="94">
        <f>'[18]Rev_SP-12me'!DN153</f>
        <v>119.854195238087</v>
      </c>
      <c r="M132" s="94">
        <f>'[18]Rev_SP-12me'!DP153</f>
        <v>0</v>
      </c>
      <c r="N132" s="7"/>
      <c r="O132" s="60">
        <f t="shared" si="4"/>
        <v>119.854195238087</v>
      </c>
    </row>
    <row r="133" spans="2:15">
      <c r="B133" s="74" t="s">
        <v>1141</v>
      </c>
      <c r="C133" s="55"/>
      <c r="D133" s="94">
        <f>'[18]Rev_SP-12me'!H154</f>
        <v>0</v>
      </c>
      <c r="E133" s="94">
        <f>'[18]Rev_SP-12me'!I154</f>
        <v>0</v>
      </c>
      <c r="F133" s="94">
        <f>'[18]Rev_SP-12me'!K154</f>
        <v>1.51768881875595</v>
      </c>
      <c r="G133" s="79">
        <f>'[18]Rev_SP-12me'!S154</f>
        <v>500</v>
      </c>
      <c r="H133" s="60">
        <f>'[18]Rev_SP-12me'!T154</f>
        <v>7.9</v>
      </c>
      <c r="I133" s="79">
        <f>'[18]Rev_SP-12me'!AC154</f>
        <v>3500</v>
      </c>
      <c r="J133" s="7"/>
      <c r="K133" s="94">
        <f>'[18]Rev_SP-12me'!DM154</f>
        <v>0</v>
      </c>
      <c r="L133" s="94">
        <f>'[18]Rev_SP-12me'!DN154</f>
        <v>1.1989741668172</v>
      </c>
      <c r="M133" s="94">
        <f>'[18]Rev_SP-12me'!DP154</f>
        <v>0.0042</v>
      </c>
      <c r="N133" s="7"/>
      <c r="O133" s="60">
        <f t="shared" si="4"/>
        <v>1.2031741668172</v>
      </c>
    </row>
    <row r="134" spans="2:15">
      <c r="B134" s="76" t="s">
        <v>1120</v>
      </c>
      <c r="C134" s="55"/>
      <c r="D134" s="94">
        <f>'[18]Rev_SP-12me'!H155</f>
        <v>0</v>
      </c>
      <c r="E134" s="94">
        <f>'[18]Rev_SP-12me'!I155</f>
        <v>0</v>
      </c>
      <c r="F134" s="94">
        <f>'[18]Rev_SP-12me'!K155</f>
        <v>1093.76742705433</v>
      </c>
      <c r="G134" s="79">
        <f>'[18]Rev_SP-12me'!S155</f>
        <v>0</v>
      </c>
      <c r="H134" s="60">
        <f>'[18]Rev_SP-12me'!T155</f>
        <v>8.15</v>
      </c>
      <c r="I134" s="79">
        <f>'[18]Rev_SP-12me'!AC155</f>
        <v>3500</v>
      </c>
      <c r="J134" s="7"/>
      <c r="K134" s="94">
        <f>'[18]Rev_SP-12me'!DM155</f>
        <v>0</v>
      </c>
      <c r="L134" s="94">
        <f>'[18]Rev_SP-12me'!DN155</f>
        <v>891.42045304928</v>
      </c>
      <c r="M134" s="94">
        <f>'[18]Rev_SP-12me'!DP155</f>
        <v>0</v>
      </c>
      <c r="N134" s="7"/>
      <c r="O134" s="60">
        <f t="shared" si="4"/>
        <v>891.42045304928</v>
      </c>
    </row>
    <row r="135" spans="2:15">
      <c r="B135" s="76" t="s">
        <v>1121</v>
      </c>
      <c r="C135" s="55"/>
      <c r="D135" s="94">
        <f>'[18]Rev_SP-12me'!H156</f>
        <v>0</v>
      </c>
      <c r="E135" s="94">
        <f>'[18]Rev_SP-12me'!I156</f>
        <v>0</v>
      </c>
      <c r="F135" s="94">
        <f>'[18]Rev_SP-12me'!K156</f>
        <v>1094.78315458445</v>
      </c>
      <c r="G135" s="79">
        <f>'[18]Rev_SP-12me'!S156</f>
        <v>0</v>
      </c>
      <c r="H135" s="60">
        <f>'[18]Rev_SP-12me'!T156</f>
        <v>8.15</v>
      </c>
      <c r="I135" s="79">
        <f>'[18]Rev_SP-12me'!AC156</f>
        <v>3500</v>
      </c>
      <c r="J135" s="7"/>
      <c r="K135" s="94">
        <f>'[18]Rev_SP-12me'!DM156</f>
        <v>0</v>
      </c>
      <c r="L135" s="94">
        <f>'[18]Rev_SP-12me'!DN156</f>
        <v>892.248270986327</v>
      </c>
      <c r="M135" s="94">
        <f>'[18]Rev_SP-12me'!DP156</f>
        <v>0</v>
      </c>
      <c r="N135" s="7"/>
      <c r="O135" s="60">
        <f t="shared" si="4"/>
        <v>892.248270986327</v>
      </c>
    </row>
    <row r="136" spans="2:15">
      <c r="B136" s="76" t="s">
        <v>1122</v>
      </c>
      <c r="C136" s="55"/>
      <c r="D136" s="94">
        <f>'[18]Rev_SP-12me'!H157</f>
        <v>0</v>
      </c>
      <c r="E136" s="94">
        <f>'[18]Rev_SP-12me'!I157</f>
        <v>0</v>
      </c>
      <c r="F136" s="94">
        <f>'[18]Rev_SP-12me'!K157</f>
        <v>2110.83693089437</v>
      </c>
      <c r="G136" s="79">
        <f>'[18]Rev_SP-12me'!S157</f>
        <v>0</v>
      </c>
      <c r="H136" s="60">
        <f>'[18]Rev_SP-12me'!T157</f>
        <v>5.65</v>
      </c>
      <c r="I136" s="79">
        <f>'[18]Rev_SP-12me'!AC157</f>
        <v>3500</v>
      </c>
      <c r="J136" s="7"/>
      <c r="K136" s="94">
        <f>'[18]Rev_SP-12me'!DM157</f>
        <v>0</v>
      </c>
      <c r="L136" s="94">
        <f>'[18]Rev_SP-12me'!DN157</f>
        <v>1254.17935555075</v>
      </c>
      <c r="M136" s="94">
        <f>'[18]Rev_SP-12me'!DP157</f>
        <v>0</v>
      </c>
      <c r="N136" s="7"/>
      <c r="O136" s="60">
        <f t="shared" si="4"/>
        <v>1254.17935555075</v>
      </c>
    </row>
    <row r="137" ht="15" spans="2:15">
      <c r="B137" s="71" t="s">
        <v>1113</v>
      </c>
      <c r="C137" s="55"/>
      <c r="D137" s="79">
        <f>'[18]Rev_SP-12me'!H158</f>
        <v>0</v>
      </c>
      <c r="E137" s="79">
        <f>'[18]Rev_SP-12me'!I158</f>
        <v>0</v>
      </c>
      <c r="F137" s="79">
        <f>'[18]Rev_SP-12me'!K158</f>
        <v>27.5934012347391</v>
      </c>
      <c r="G137" s="79">
        <f>'[18]Rev_SP-12me'!S158</f>
        <v>0</v>
      </c>
      <c r="H137" s="60">
        <f>'[18]Rev_SP-12me'!T158</f>
        <v>0</v>
      </c>
      <c r="I137" s="79">
        <f>'[18]Rev_SP-12me'!AC158</f>
        <v>0</v>
      </c>
      <c r="J137" s="7"/>
      <c r="K137" s="79">
        <f>'[18]Rev_SP-12me'!DM158</f>
        <v>0</v>
      </c>
      <c r="L137" s="79">
        <f>'[18]Rev_SP-12me'!DN158</f>
        <v>19.4698113403975</v>
      </c>
      <c r="M137" s="79">
        <f>'[18]Rev_SP-12me'!DP158</f>
        <v>0.0168</v>
      </c>
      <c r="N137" s="7"/>
      <c r="O137" s="69">
        <f t="shared" si="4"/>
        <v>19.4866113403975</v>
      </c>
    </row>
    <row r="138" spans="2:15">
      <c r="B138" s="76" t="s">
        <v>1142</v>
      </c>
      <c r="C138" s="55"/>
      <c r="D138" s="94">
        <f>'[18]Rev_SP-12me'!H159</f>
        <v>0</v>
      </c>
      <c r="E138" s="94">
        <f>'[18]Rev_SP-12me'!I159</f>
        <v>0</v>
      </c>
      <c r="F138" s="94">
        <f>'[18]Rev_SP-12me'!K159</f>
        <v>8.18807162097772</v>
      </c>
      <c r="G138" s="79">
        <f>'[18]Rev_SP-12me'!S159</f>
        <v>500</v>
      </c>
      <c r="H138" s="60">
        <f>'[18]Rev_SP-12me'!T159</f>
        <v>7.15</v>
      </c>
      <c r="I138" s="79">
        <f>'[18]Rev_SP-12me'!AC159</f>
        <v>3500</v>
      </c>
      <c r="J138" s="7"/>
      <c r="K138" s="94">
        <f>'[18]Rev_SP-12me'!DM159</f>
        <v>0</v>
      </c>
      <c r="L138" s="94">
        <f>'[18]Rev_SP-12me'!DN159</f>
        <v>5.85447120899907</v>
      </c>
      <c r="M138" s="94">
        <f>'[18]Rev_SP-12me'!DP159</f>
        <v>0.0168</v>
      </c>
      <c r="N138" s="7"/>
      <c r="O138" s="60">
        <f t="shared" si="4"/>
        <v>5.87127120899907</v>
      </c>
    </row>
    <row r="139" spans="2:15">
      <c r="B139" s="76" t="s">
        <v>1115</v>
      </c>
      <c r="C139" s="55"/>
      <c r="D139" s="94">
        <f>'[18]Rev_SP-12me'!H160</f>
        <v>0</v>
      </c>
      <c r="E139" s="94">
        <f>'[18]Rev_SP-12me'!I160</f>
        <v>0</v>
      </c>
      <c r="F139" s="94">
        <f>'[18]Rev_SP-12me'!K160</f>
        <v>4.82759614760375</v>
      </c>
      <c r="G139" s="79">
        <f>'[18]Rev_SP-12me'!S160</f>
        <v>0</v>
      </c>
      <c r="H139" s="60">
        <f>'[18]Rev_SP-12me'!T160</f>
        <v>8.15</v>
      </c>
      <c r="I139" s="79">
        <f>'[18]Rev_SP-12me'!AC160</f>
        <v>3500</v>
      </c>
      <c r="J139" s="7"/>
      <c r="K139" s="94">
        <f>'[18]Rev_SP-12me'!DM160</f>
        <v>0</v>
      </c>
      <c r="L139" s="94">
        <f>'[18]Rev_SP-12me'!DN160</f>
        <v>3.93449086029706</v>
      </c>
      <c r="M139" s="94">
        <f>'[18]Rev_SP-12me'!DP160</f>
        <v>0</v>
      </c>
      <c r="N139" s="7"/>
      <c r="O139" s="60">
        <f t="shared" si="4"/>
        <v>3.93449086029706</v>
      </c>
    </row>
    <row r="140" spans="2:15">
      <c r="B140" s="76" t="s">
        <v>1116</v>
      </c>
      <c r="C140" s="55"/>
      <c r="D140" s="94">
        <f>'[18]Rev_SP-12me'!H161</f>
        <v>0</v>
      </c>
      <c r="E140" s="94">
        <f>'[18]Rev_SP-12me'!I161</f>
        <v>0</v>
      </c>
      <c r="F140" s="94">
        <f>'[18]Rev_SP-12me'!K161</f>
        <v>4.69428637553206</v>
      </c>
      <c r="G140" s="79">
        <f>'[18]Rev_SP-12me'!S161</f>
        <v>0</v>
      </c>
      <c r="H140" s="60">
        <f>'[18]Rev_SP-12me'!T161</f>
        <v>8.15</v>
      </c>
      <c r="I140" s="79">
        <f>'[18]Rev_SP-12me'!AC161</f>
        <v>3500</v>
      </c>
      <c r="J140" s="7"/>
      <c r="K140" s="94">
        <f>'[18]Rev_SP-12me'!DM161</f>
        <v>0</v>
      </c>
      <c r="L140" s="94">
        <f>'[18]Rev_SP-12me'!DN161</f>
        <v>3.82584339605863</v>
      </c>
      <c r="M140" s="94">
        <f>'[18]Rev_SP-12me'!DP161</f>
        <v>0</v>
      </c>
      <c r="N140" s="7"/>
      <c r="O140" s="60">
        <f t="shared" si="4"/>
        <v>3.82584339605863</v>
      </c>
    </row>
    <row r="141" spans="2:15">
      <c r="B141" s="76" t="s">
        <v>1143</v>
      </c>
      <c r="C141" s="55"/>
      <c r="D141" s="94">
        <f>'[18]Rev_SP-12me'!H162</f>
        <v>0</v>
      </c>
      <c r="E141" s="94">
        <f>'[18]Rev_SP-12me'!I162</f>
        <v>0</v>
      </c>
      <c r="F141" s="94">
        <f>'[18]Rev_SP-12me'!K162</f>
        <v>9.88344709062559</v>
      </c>
      <c r="G141" s="79">
        <f>'[18]Rev_SP-12me'!S162</f>
        <v>0</v>
      </c>
      <c r="H141" s="60">
        <f>'[18]Rev_SP-12me'!T162</f>
        <v>5.65</v>
      </c>
      <c r="I141" s="79">
        <f>'[18]Rev_SP-12me'!AC162</f>
        <v>3500</v>
      </c>
      <c r="J141" s="7"/>
      <c r="K141" s="94">
        <f>'[18]Rev_SP-12me'!DM162</f>
        <v>0</v>
      </c>
      <c r="L141" s="94">
        <f>'[18]Rev_SP-12me'!DN162</f>
        <v>5.85500587504278</v>
      </c>
      <c r="M141" s="94">
        <f>'[18]Rev_SP-12me'!DP162</f>
        <v>0</v>
      </c>
      <c r="N141" s="7"/>
      <c r="O141" s="60">
        <f t="shared" si="4"/>
        <v>5.85500587504278</v>
      </c>
    </row>
    <row r="142" ht="15" spans="2:15">
      <c r="B142" s="71" t="s">
        <v>1144</v>
      </c>
      <c r="C142" s="55"/>
      <c r="D142" s="68">
        <f>'[18]Rev_SP-12me'!H164</f>
        <v>0</v>
      </c>
      <c r="E142" s="68">
        <f>'[18]Rev_SP-12me'!I164</f>
        <v>0</v>
      </c>
      <c r="F142" s="68">
        <f>'[18]Rev_SP-12me'!K164</f>
        <v>60.5124526560307</v>
      </c>
      <c r="G142" s="68">
        <f>'[18]Rev_SP-12me'!S164</f>
        <v>0</v>
      </c>
      <c r="H142" s="69">
        <f>'[18]Rev_SP-12me'!T164</f>
        <v>0</v>
      </c>
      <c r="I142" s="68">
        <f>'[18]Rev_SP-12me'!AC164</f>
        <v>14000</v>
      </c>
      <c r="J142" s="7"/>
      <c r="K142" s="68">
        <f>'[18]Rev_SP-12me'!DM164</f>
        <v>0</v>
      </c>
      <c r="L142" s="68">
        <f>'[18]Rev_SP-12me'!DN164</f>
        <v>42.9909478700353</v>
      </c>
      <c r="M142" s="68">
        <f>'[18]Rev_SP-12me'!DP164</f>
        <v>0.0084</v>
      </c>
      <c r="N142" s="7"/>
      <c r="O142" s="69">
        <f t="shared" si="4"/>
        <v>42.9993478700353</v>
      </c>
    </row>
    <row r="143" spans="2:15">
      <c r="B143" s="74" t="s">
        <v>1119</v>
      </c>
      <c r="C143" s="55"/>
      <c r="D143" s="94">
        <f>'[18]Rev_SP-12me'!H165</f>
        <v>0</v>
      </c>
      <c r="E143" s="94">
        <f>'[18]Rev_SP-12me'!I165</f>
        <v>0</v>
      </c>
      <c r="F143" s="94">
        <f>'[18]Rev_SP-12me'!K165</f>
        <v>20.485197392993</v>
      </c>
      <c r="G143" s="79">
        <f>'[18]Rev_SP-12me'!S165</f>
        <v>500</v>
      </c>
      <c r="H143" s="60">
        <f>'[18]Rev_SP-12me'!T165</f>
        <v>7.15</v>
      </c>
      <c r="I143" s="79">
        <f>'[18]Rev_SP-12me'!AC165</f>
        <v>3500</v>
      </c>
      <c r="J143" s="7"/>
      <c r="K143" s="94">
        <f>'[18]Rev_SP-12me'!DM165</f>
        <v>0</v>
      </c>
      <c r="L143" s="94">
        <f>'[18]Rev_SP-12me'!DN165</f>
        <v>14.64691613599</v>
      </c>
      <c r="M143" s="94">
        <f>'[18]Rev_SP-12me'!DP165</f>
        <v>0.0084</v>
      </c>
      <c r="N143" s="7"/>
      <c r="O143" s="60">
        <f t="shared" si="4"/>
        <v>14.65531613599</v>
      </c>
    </row>
    <row r="144" spans="2:15">
      <c r="B144" s="74" t="s">
        <v>1120</v>
      </c>
      <c r="C144" s="55"/>
      <c r="D144" s="94">
        <f>'[18]Rev_SP-12me'!H166</f>
        <v>0</v>
      </c>
      <c r="E144" s="94">
        <f>'[18]Rev_SP-12me'!I166</f>
        <v>0</v>
      </c>
      <c r="F144" s="94">
        <f>'[18]Rev_SP-12me'!K166</f>
        <v>10.2012068156474</v>
      </c>
      <c r="G144" s="79">
        <f>'[18]Rev_SP-12me'!S166</f>
        <v>0</v>
      </c>
      <c r="H144" s="60">
        <f>'[18]Rev_SP-12me'!T166</f>
        <v>8.15</v>
      </c>
      <c r="I144" s="79">
        <f>'[18]Rev_SP-12me'!AC166</f>
        <v>3500</v>
      </c>
      <c r="J144" s="7"/>
      <c r="K144" s="94">
        <f>'[18]Rev_SP-12me'!DM166</f>
        <v>0</v>
      </c>
      <c r="L144" s="94">
        <f>'[18]Rev_SP-12me'!DN166</f>
        <v>8.31398355475266</v>
      </c>
      <c r="M144" s="94">
        <f>'[18]Rev_SP-12me'!DP166</f>
        <v>0</v>
      </c>
      <c r="N144" s="7"/>
      <c r="O144" s="60">
        <f t="shared" si="4"/>
        <v>8.31398355475266</v>
      </c>
    </row>
    <row r="145" spans="2:15">
      <c r="B145" s="74" t="s">
        <v>1121</v>
      </c>
      <c r="C145" s="55"/>
      <c r="D145" s="94">
        <f>'[18]Rev_SP-12me'!H167</f>
        <v>0</v>
      </c>
      <c r="E145" s="94">
        <f>'[18]Rev_SP-12me'!I167</f>
        <v>0</v>
      </c>
      <c r="F145" s="94">
        <f>'[18]Rev_SP-12me'!K167</f>
        <v>10.4427614208152</v>
      </c>
      <c r="G145" s="79">
        <f>'[18]Rev_SP-12me'!S167</f>
        <v>0</v>
      </c>
      <c r="H145" s="60">
        <f>'[18]Rev_SP-12me'!T167</f>
        <v>8.15</v>
      </c>
      <c r="I145" s="79">
        <f>'[18]Rev_SP-12me'!AC167</f>
        <v>3500</v>
      </c>
      <c r="J145" s="7"/>
      <c r="K145" s="94">
        <f>'[18]Rev_SP-12me'!DM167</f>
        <v>0</v>
      </c>
      <c r="L145" s="94">
        <f>'[18]Rev_SP-12me'!DN167</f>
        <v>8.51085055796441</v>
      </c>
      <c r="M145" s="94">
        <f>'[18]Rev_SP-12me'!DP167</f>
        <v>0</v>
      </c>
      <c r="N145" s="7"/>
      <c r="O145" s="60">
        <f t="shared" si="4"/>
        <v>8.51085055796441</v>
      </c>
    </row>
    <row r="146" spans="2:15">
      <c r="B146" s="74" t="s">
        <v>1122</v>
      </c>
      <c r="C146" s="55"/>
      <c r="D146" s="94">
        <f>'[18]Rev_SP-12me'!H168</f>
        <v>0</v>
      </c>
      <c r="E146" s="94">
        <f>'[18]Rev_SP-12me'!I168</f>
        <v>0</v>
      </c>
      <c r="F146" s="94">
        <f>'[18]Rev_SP-12me'!K168</f>
        <v>19.383287026575</v>
      </c>
      <c r="G146" s="79">
        <f>'[18]Rev_SP-12me'!S168</f>
        <v>0</v>
      </c>
      <c r="H146" s="60">
        <f>'[18]Rev_SP-12me'!T168</f>
        <v>5.65</v>
      </c>
      <c r="I146" s="79">
        <f>'[18]Rev_SP-12me'!AC168</f>
        <v>3500</v>
      </c>
      <c r="J146" s="7"/>
      <c r="K146" s="94">
        <f>'[18]Rev_SP-12me'!DM168</f>
        <v>0</v>
      </c>
      <c r="L146" s="94">
        <f>'[18]Rev_SP-12me'!DN168</f>
        <v>11.5191976213282</v>
      </c>
      <c r="M146" s="94">
        <f>'[18]Rev_SP-12me'!DP168</f>
        <v>0</v>
      </c>
      <c r="N146" s="7"/>
      <c r="O146" s="60">
        <f t="shared" si="4"/>
        <v>11.5191976213282</v>
      </c>
    </row>
    <row r="147" ht="15" spans="2:15">
      <c r="B147" s="71" t="s">
        <v>1123</v>
      </c>
      <c r="C147" s="55"/>
      <c r="D147" s="39">
        <f>'[18]Rev_SP-12me'!H163</f>
        <v>0</v>
      </c>
      <c r="E147" s="68">
        <f>'[18]Rev_SP-12me'!I163</f>
        <v>0</v>
      </c>
      <c r="F147" s="68">
        <f>'[18]Rev_SP-12me'!K163</f>
        <v>0.53654</v>
      </c>
      <c r="G147" s="68">
        <f>'[18]Rev_SP-12me'!S163</f>
        <v>500</v>
      </c>
      <c r="H147" s="69">
        <f>'[18]Rev_SP-12me'!T163</f>
        <v>7.15</v>
      </c>
      <c r="I147" s="68">
        <f>'[18]Rev_SP-12me'!AC163</f>
        <v>3500</v>
      </c>
      <c r="J147" s="7"/>
      <c r="K147" s="68">
        <f>'[18]Rev_SP-12me'!DM163</f>
        <v>0</v>
      </c>
      <c r="L147" s="68">
        <f>'[18]Rev_SP-12me'!DN163</f>
        <v>0.3836261</v>
      </c>
      <c r="M147" s="68">
        <f>'[18]Rev_SP-12me'!DP163</f>
        <v>0</v>
      </c>
      <c r="N147" s="7"/>
      <c r="O147" s="69">
        <f t="shared" si="4"/>
        <v>0.3836261</v>
      </c>
    </row>
    <row r="148" ht="15" spans="2:15">
      <c r="B148" s="71" t="s">
        <v>1124</v>
      </c>
      <c r="C148" s="55"/>
      <c r="D148" s="68">
        <f>'[18]Rev_SP-12me'!H169</f>
        <v>178</v>
      </c>
      <c r="E148" s="68">
        <f>'[18]Rev_SP-12me'!I169</f>
        <v>453.53464216588</v>
      </c>
      <c r="F148" s="68">
        <f>'[18]Rev_SP-12me'!K169</f>
        <v>1560.47628455836</v>
      </c>
      <c r="G148" s="68">
        <f>'[18]Rev_SP-12me'!S169</f>
        <v>0</v>
      </c>
      <c r="H148" s="69">
        <f>'[18]Rev_SP-12me'!T169</f>
        <v>0</v>
      </c>
      <c r="I148" s="68">
        <f>'[18]Rev_SP-12me'!AC169</f>
        <v>3500</v>
      </c>
      <c r="J148" s="7"/>
      <c r="K148" s="68">
        <f>'[18]Rev_SP-12me'!DM169</f>
        <v>211.3471432493</v>
      </c>
      <c r="L148" s="68">
        <f>'[18]Rev_SP-12me'!DN169</f>
        <v>1253.93399374725</v>
      </c>
      <c r="M148" s="68">
        <f>'[18]Rev_SP-12me'!DP169</f>
        <v>0.7287</v>
      </c>
      <c r="N148" s="7"/>
      <c r="O148" s="69">
        <f t="shared" si="4"/>
        <v>1466.00983699655</v>
      </c>
    </row>
    <row r="149" spans="2:15">
      <c r="B149" s="76" t="s">
        <v>1145</v>
      </c>
      <c r="C149" s="55"/>
      <c r="D149" s="79">
        <f>'[18]Rev_SP-12me'!H170</f>
        <v>178</v>
      </c>
      <c r="E149" s="79">
        <f>'[18]Rev_SP-12me'!I170</f>
        <v>453.53464216588</v>
      </c>
      <c r="F149" s="79">
        <f>'[18]Rev_SP-12me'!K170</f>
        <v>631.085535156356</v>
      </c>
      <c r="G149" s="79">
        <f>'[18]Rev_SP-12me'!S170</f>
        <v>500</v>
      </c>
      <c r="H149" s="60">
        <f>'[18]Rev_SP-12me'!T170</f>
        <v>8</v>
      </c>
      <c r="I149" s="79">
        <f>'[18]Rev_SP-12me'!AC170</f>
        <v>3500</v>
      </c>
      <c r="J149" s="7"/>
      <c r="K149" s="79">
        <f>'[18]Rev_SP-12me'!DM170</f>
        <v>211.3471432493</v>
      </c>
      <c r="L149" s="79">
        <f>'[18]Rev_SP-12me'!DN170</f>
        <v>504.868428125085</v>
      </c>
      <c r="M149" s="79">
        <f>'[18]Rev_SP-12me'!DP170</f>
        <v>0.7287</v>
      </c>
      <c r="N149" s="7"/>
      <c r="O149" s="60">
        <f t="shared" si="4"/>
        <v>716.944271374385</v>
      </c>
    </row>
    <row r="150" spans="2:15">
      <c r="B150" s="76" t="s">
        <v>1120</v>
      </c>
      <c r="C150" s="55"/>
      <c r="D150" s="94">
        <f>'[18]Rev_SP-12me'!H171</f>
        <v>0</v>
      </c>
      <c r="E150" s="94">
        <f>'[18]Rev_SP-12me'!I171</f>
        <v>0</v>
      </c>
      <c r="F150" s="94">
        <f>'[18]Rev_SP-12me'!K171</f>
        <v>261.381196567333</v>
      </c>
      <c r="G150" s="79">
        <f>'[18]Rev_SP-12me'!S171</f>
        <v>0</v>
      </c>
      <c r="H150" s="60">
        <f>'[18]Rev_SP-12me'!T171</f>
        <v>9</v>
      </c>
      <c r="I150" s="79">
        <f>'[18]Rev_SP-12me'!AC171</f>
        <v>3500</v>
      </c>
      <c r="J150" s="7"/>
      <c r="K150" s="94">
        <f>'[18]Rev_SP-12me'!DM171</f>
        <v>0</v>
      </c>
      <c r="L150" s="94">
        <f>'[18]Rev_SP-12me'!DN171</f>
        <v>235.243076910599</v>
      </c>
      <c r="M150" s="94">
        <f>'[18]Rev_SP-12me'!DP171</f>
        <v>0</v>
      </c>
      <c r="N150" s="7"/>
      <c r="O150" s="60">
        <f t="shared" si="4"/>
        <v>235.243076910599</v>
      </c>
    </row>
    <row r="151" spans="2:15">
      <c r="B151" s="76" t="s">
        <v>1121</v>
      </c>
      <c r="C151" s="55"/>
      <c r="D151" s="94">
        <f>'[18]Rev_SP-12me'!H172</f>
        <v>0</v>
      </c>
      <c r="E151" s="94">
        <f>'[18]Rev_SP-12me'!I172</f>
        <v>0</v>
      </c>
      <c r="F151" s="94">
        <f>'[18]Rev_SP-12me'!K172</f>
        <v>261.612038945691</v>
      </c>
      <c r="G151" s="79">
        <f>'[18]Rev_SP-12me'!S172</f>
        <v>0</v>
      </c>
      <c r="H151" s="60">
        <f>'[18]Rev_SP-12me'!T172</f>
        <v>9</v>
      </c>
      <c r="I151" s="79">
        <f>'[18]Rev_SP-12me'!AC172</f>
        <v>3500</v>
      </c>
      <c r="J151" s="7"/>
      <c r="K151" s="94">
        <f>'[18]Rev_SP-12me'!DM172</f>
        <v>0</v>
      </c>
      <c r="L151" s="94">
        <f>'[18]Rev_SP-12me'!DN172</f>
        <v>235.450835051122</v>
      </c>
      <c r="M151" s="94">
        <f>'[18]Rev_SP-12me'!DP172</f>
        <v>0</v>
      </c>
      <c r="N151" s="7"/>
      <c r="O151" s="60">
        <f t="shared" si="4"/>
        <v>235.450835051122</v>
      </c>
    </row>
    <row r="152" spans="2:15">
      <c r="B152" s="76" t="s">
        <v>1122</v>
      </c>
      <c r="C152" s="55"/>
      <c r="D152" s="94">
        <f>'[18]Rev_SP-12me'!H173</f>
        <v>0</v>
      </c>
      <c r="E152" s="94">
        <f>'[18]Rev_SP-12me'!I173</f>
        <v>0</v>
      </c>
      <c r="F152" s="94">
        <f>'[18]Rev_SP-12me'!K173</f>
        <v>388.147513888976</v>
      </c>
      <c r="G152" s="79">
        <f>'[18]Rev_SP-12me'!S173</f>
        <v>0</v>
      </c>
      <c r="H152" s="60">
        <f>'[18]Rev_SP-12me'!T173</f>
        <v>6.5</v>
      </c>
      <c r="I152" s="79">
        <f>'[18]Rev_SP-12me'!AC173</f>
        <v>3500</v>
      </c>
      <c r="J152" s="7"/>
      <c r="K152" s="94">
        <f>'[18]Rev_SP-12me'!DM173</f>
        <v>0</v>
      </c>
      <c r="L152" s="94">
        <f>'[18]Rev_SP-12me'!DN173</f>
        <v>263.771653660441</v>
      </c>
      <c r="M152" s="94">
        <f>'[18]Rev_SP-12me'!DP173</f>
        <v>0</v>
      </c>
      <c r="N152" s="7"/>
      <c r="O152" s="60">
        <f t="shared" si="4"/>
        <v>263.771653660441</v>
      </c>
    </row>
    <row r="153" spans="2:15">
      <c r="B153" s="76" t="s">
        <v>1146</v>
      </c>
      <c r="C153" s="55"/>
      <c r="D153" s="94">
        <f>'[18]Rev_SP-12me'!H174</f>
        <v>0</v>
      </c>
      <c r="E153" s="94">
        <f>'[18]Rev_SP-12me'!I174</f>
        <v>0</v>
      </c>
      <c r="F153" s="94">
        <f>'[18]Rev_SP-12me'!K174</f>
        <v>18.25</v>
      </c>
      <c r="G153" s="79">
        <f>'[18]Rev_SP-12me'!S174</f>
        <v>500</v>
      </c>
      <c r="H153" s="60">
        <f>'[18]Rev_SP-12me'!T174</f>
        <v>8</v>
      </c>
      <c r="I153" s="79">
        <f>'[18]Rev_SP-12me'!AC174</f>
        <v>3500</v>
      </c>
      <c r="J153" s="7"/>
      <c r="K153" s="94">
        <f>'[18]Rev_SP-12me'!DM174</f>
        <v>0</v>
      </c>
      <c r="L153" s="94">
        <f>'[18]Rev_SP-12me'!DN174</f>
        <v>14.6</v>
      </c>
      <c r="M153" s="94">
        <f>'[18]Rev_SP-12me'!DP174</f>
        <v>0</v>
      </c>
      <c r="N153" s="7"/>
      <c r="O153" s="60">
        <f t="shared" si="4"/>
        <v>14.6</v>
      </c>
    </row>
    <row r="154" ht="15" spans="2:15">
      <c r="B154" s="71" t="s">
        <v>1125</v>
      </c>
      <c r="C154" s="55"/>
      <c r="D154" s="68">
        <f>'[18]Rev_SP-12me'!H175</f>
        <v>0</v>
      </c>
      <c r="E154" s="68">
        <f>'[18]Rev_SP-12me'!I175</f>
        <v>0</v>
      </c>
      <c r="F154" s="68">
        <f>'[18]Rev_SP-12me'!K175</f>
        <v>4.80134654594394</v>
      </c>
      <c r="G154" s="68">
        <f>'[18]Rev_SP-12me'!S175</f>
        <v>0</v>
      </c>
      <c r="H154" s="69">
        <f>'[18]Rev_SP-12me'!T175</f>
        <v>0</v>
      </c>
      <c r="I154" s="68">
        <f>'[18]Rev_SP-12me'!AC175</f>
        <v>14000</v>
      </c>
      <c r="J154" s="7"/>
      <c r="K154" s="68">
        <f>'[18]Rev_SP-12me'!DM175</f>
        <v>0</v>
      </c>
      <c r="L154" s="68">
        <f>'[18]Rev_SP-12me'!DN175</f>
        <v>2.44202250473362</v>
      </c>
      <c r="M154" s="68">
        <f>'[18]Rev_SP-12me'!DP175</f>
        <v>0.0042</v>
      </c>
      <c r="N154" s="7"/>
      <c r="O154" s="69">
        <f t="shared" si="4"/>
        <v>2.44622250473362</v>
      </c>
    </row>
    <row r="155" spans="2:15">
      <c r="B155" s="74" t="s">
        <v>1119</v>
      </c>
      <c r="C155" s="55"/>
      <c r="D155" s="94">
        <f>'[18]Rev_SP-12me'!H176</f>
        <v>0</v>
      </c>
      <c r="E155" s="94">
        <f>'[18]Rev_SP-12me'!I176</f>
        <v>0</v>
      </c>
      <c r="F155" s="94">
        <f>'[18]Rev_SP-12me'!K176</f>
        <v>1.92670376684611</v>
      </c>
      <c r="G155" s="79">
        <f>'[18]Rev_SP-12me'!S176</f>
        <v>285</v>
      </c>
      <c r="H155" s="60">
        <f>'[18]Rev_SP-12me'!T176</f>
        <v>5</v>
      </c>
      <c r="I155" s="79">
        <f>'[18]Rev_SP-12me'!AC176</f>
        <v>3500</v>
      </c>
      <c r="J155" s="7"/>
      <c r="K155" s="94">
        <f>'[18]Rev_SP-12me'!DM176</f>
        <v>0</v>
      </c>
      <c r="L155" s="94">
        <f>'[18]Rev_SP-12me'!DN176</f>
        <v>0.963351883423055</v>
      </c>
      <c r="M155" s="94">
        <f>'[18]Rev_SP-12me'!DP176</f>
        <v>0.0042</v>
      </c>
      <c r="N155" s="7"/>
      <c r="O155" s="60">
        <f t="shared" si="4"/>
        <v>0.967551883423055</v>
      </c>
    </row>
    <row r="156" spans="2:15">
      <c r="B156" s="74" t="s">
        <v>1120</v>
      </c>
      <c r="C156" s="55"/>
      <c r="D156" s="94">
        <f>'[18]Rev_SP-12me'!H177</f>
        <v>0</v>
      </c>
      <c r="E156" s="94">
        <f>'[18]Rev_SP-12me'!I177</f>
        <v>0</v>
      </c>
      <c r="F156" s="94">
        <f>'[18]Rev_SP-12me'!K177</f>
        <v>0.883674592166326</v>
      </c>
      <c r="G156" s="79">
        <f>'[18]Rev_SP-12me'!S177</f>
        <v>0</v>
      </c>
      <c r="H156" s="60">
        <f>'[18]Rev_SP-12me'!T177</f>
        <v>6</v>
      </c>
      <c r="I156" s="79">
        <f>'[18]Rev_SP-12me'!AC177</f>
        <v>3500</v>
      </c>
      <c r="J156" s="7"/>
      <c r="K156" s="94">
        <f>'[18]Rev_SP-12me'!DM177</f>
        <v>0</v>
      </c>
      <c r="L156" s="94">
        <f>'[18]Rev_SP-12me'!DN177</f>
        <v>0.530204755299796</v>
      </c>
      <c r="M156" s="94">
        <f>'[18]Rev_SP-12me'!DP177</f>
        <v>0</v>
      </c>
      <c r="N156" s="7"/>
      <c r="O156" s="60">
        <f t="shared" si="4"/>
        <v>0.530204755299796</v>
      </c>
    </row>
    <row r="157" spans="2:15">
      <c r="B157" s="74" t="s">
        <v>1121</v>
      </c>
      <c r="C157" s="55"/>
      <c r="D157" s="94">
        <f>'[18]Rev_SP-12me'!H178</f>
        <v>0</v>
      </c>
      <c r="E157" s="94">
        <f>'[18]Rev_SP-12me'!I178</f>
        <v>0</v>
      </c>
      <c r="F157" s="94">
        <f>'[18]Rev_SP-12me'!K178</f>
        <v>0.874525147020605</v>
      </c>
      <c r="G157" s="79">
        <f>'[18]Rev_SP-12me'!S178</f>
        <v>0</v>
      </c>
      <c r="H157" s="60">
        <f>'[18]Rev_SP-12me'!T178</f>
        <v>6</v>
      </c>
      <c r="I157" s="79">
        <f>'[18]Rev_SP-12me'!AC178</f>
        <v>3500</v>
      </c>
      <c r="J157" s="7"/>
      <c r="K157" s="94">
        <f>'[18]Rev_SP-12me'!DM178</f>
        <v>0</v>
      </c>
      <c r="L157" s="94">
        <f>'[18]Rev_SP-12me'!DN178</f>
        <v>0.524715088212363</v>
      </c>
      <c r="M157" s="94">
        <f>'[18]Rev_SP-12me'!DP178</f>
        <v>0</v>
      </c>
      <c r="N157" s="7"/>
      <c r="O157" s="60">
        <f t="shared" si="4"/>
        <v>0.524715088212363</v>
      </c>
    </row>
    <row r="158" spans="2:15">
      <c r="B158" s="74" t="s">
        <v>1122</v>
      </c>
      <c r="C158" s="55"/>
      <c r="D158" s="94">
        <f>'[18]Rev_SP-12me'!H179</f>
        <v>0</v>
      </c>
      <c r="E158" s="94">
        <f>'[18]Rev_SP-12me'!I179</f>
        <v>0</v>
      </c>
      <c r="F158" s="94">
        <f>'[18]Rev_SP-12me'!K179</f>
        <v>1.1164430399109</v>
      </c>
      <c r="G158" s="79">
        <f>'[18]Rev_SP-12me'!S179</f>
        <v>0</v>
      </c>
      <c r="H158" s="60">
        <f>'[18]Rev_SP-12me'!T179</f>
        <v>3.5</v>
      </c>
      <c r="I158" s="79">
        <f>'[18]Rev_SP-12me'!AC179</f>
        <v>3500</v>
      </c>
      <c r="J158" s="7"/>
      <c r="K158" s="94">
        <f>'[18]Rev_SP-12me'!DM179</f>
        <v>0</v>
      </c>
      <c r="L158" s="94">
        <f>'[18]Rev_SP-12me'!DN179</f>
        <v>0.423750777798404</v>
      </c>
      <c r="M158" s="94">
        <f>'[18]Rev_SP-12me'!DP179</f>
        <v>0</v>
      </c>
      <c r="N158" s="7"/>
      <c r="O158" s="60">
        <f t="shared" si="4"/>
        <v>0.423750777798404</v>
      </c>
    </row>
    <row r="159" ht="15" spans="2:15">
      <c r="B159" s="71" t="s">
        <v>1126</v>
      </c>
      <c r="C159" s="55"/>
      <c r="D159" s="68">
        <f>'[18]Rev_SP-12me'!H180</f>
        <v>0</v>
      </c>
      <c r="E159" s="68">
        <f>'[18]Rev_SP-12me'!I180</f>
        <v>0</v>
      </c>
      <c r="F159" s="68">
        <f>'[18]Rev_SP-12me'!K180</f>
        <v>0</v>
      </c>
      <c r="G159" s="68">
        <f>'[18]Rev_SP-12me'!S180</f>
        <v>0</v>
      </c>
      <c r="H159" s="69">
        <f>'[18]Rev_SP-12me'!T180</f>
        <v>0</v>
      </c>
      <c r="I159" s="68">
        <f>'[18]Rev_SP-12me'!AC180</f>
        <v>0</v>
      </c>
      <c r="J159" s="7"/>
      <c r="K159" s="68">
        <f>'[18]Rev_SP-12me'!DM180</f>
        <v>0</v>
      </c>
      <c r="L159" s="68">
        <f>'[18]Rev_SP-12me'!DN180</f>
        <v>0</v>
      </c>
      <c r="M159" s="68">
        <f>'[18]Rev_SP-12me'!DP180</f>
        <v>0</v>
      </c>
      <c r="N159" s="7"/>
      <c r="O159" s="69">
        <f t="shared" si="4"/>
        <v>0</v>
      </c>
    </row>
    <row r="160" spans="2:15">
      <c r="B160" s="76" t="s">
        <v>1119</v>
      </c>
      <c r="C160" s="55"/>
      <c r="D160" s="94">
        <f>'[18]Rev_SP-12me'!H181</f>
        <v>0</v>
      </c>
      <c r="E160" s="94">
        <f>'[18]Rev_SP-12me'!I181</f>
        <v>0</v>
      </c>
      <c r="F160" s="94">
        <f>'[18]Rev_SP-12me'!K181</f>
        <v>0</v>
      </c>
      <c r="G160" s="79">
        <f>'[18]Rev_SP-12me'!S181</f>
        <v>500</v>
      </c>
      <c r="H160" s="60">
        <f>'[18]Rev_SP-12me'!T181</f>
        <v>7.85</v>
      </c>
      <c r="I160" s="79">
        <f>'[18]Rev_SP-12me'!AC181</f>
        <v>3500</v>
      </c>
      <c r="J160" s="7"/>
      <c r="K160" s="94">
        <f>'[18]Rev_SP-12me'!DM181</f>
        <v>0</v>
      </c>
      <c r="L160" s="94">
        <f>'[18]Rev_SP-12me'!DN181</f>
        <v>0</v>
      </c>
      <c r="M160" s="94">
        <f>'[18]Rev_SP-12me'!DP181</f>
        <v>0</v>
      </c>
      <c r="N160" s="7"/>
      <c r="O160" s="60">
        <f t="shared" si="4"/>
        <v>0</v>
      </c>
    </row>
    <row r="161" spans="2:15">
      <c r="B161" s="76" t="s">
        <v>1120</v>
      </c>
      <c r="C161" s="55"/>
      <c r="D161" s="94">
        <f>'[18]Rev_SP-12me'!H182</f>
        <v>0</v>
      </c>
      <c r="E161" s="94">
        <f>'[18]Rev_SP-12me'!I182</f>
        <v>0</v>
      </c>
      <c r="F161" s="94">
        <f>'[18]Rev_SP-12me'!K182</f>
        <v>0</v>
      </c>
      <c r="G161" s="79">
        <f>'[18]Rev_SP-12me'!S182</f>
        <v>0</v>
      </c>
      <c r="H161" s="60">
        <f>'[18]Rev_SP-12me'!T182</f>
        <v>8.85</v>
      </c>
      <c r="I161" s="79">
        <f>'[18]Rev_SP-12me'!AC182</f>
        <v>3500</v>
      </c>
      <c r="J161" s="7"/>
      <c r="K161" s="94">
        <f>'[18]Rev_SP-12me'!DM182</f>
        <v>0</v>
      </c>
      <c r="L161" s="94">
        <f>'[18]Rev_SP-12me'!DN182</f>
        <v>0</v>
      </c>
      <c r="M161" s="94">
        <f>'[18]Rev_SP-12me'!DP182</f>
        <v>0</v>
      </c>
      <c r="N161" s="7"/>
      <c r="O161" s="60">
        <f t="shared" si="4"/>
        <v>0</v>
      </c>
    </row>
    <row r="162" spans="2:15">
      <c r="B162" s="76" t="s">
        <v>1121</v>
      </c>
      <c r="C162" s="55"/>
      <c r="D162" s="94">
        <f>'[18]Rev_SP-12me'!H183</f>
        <v>0</v>
      </c>
      <c r="E162" s="94">
        <f>'[18]Rev_SP-12me'!I183</f>
        <v>0</v>
      </c>
      <c r="F162" s="94">
        <f>'[18]Rev_SP-12me'!K183</f>
        <v>0</v>
      </c>
      <c r="G162" s="79">
        <f>'[18]Rev_SP-12me'!S183</f>
        <v>0</v>
      </c>
      <c r="H162" s="60">
        <f>'[18]Rev_SP-12me'!T183</f>
        <v>8.85</v>
      </c>
      <c r="I162" s="79">
        <f>'[18]Rev_SP-12me'!AC183</f>
        <v>3500</v>
      </c>
      <c r="J162" s="7"/>
      <c r="K162" s="94">
        <f>'[18]Rev_SP-12me'!DM183</f>
        <v>0</v>
      </c>
      <c r="L162" s="94">
        <f>'[18]Rev_SP-12me'!DN183</f>
        <v>0</v>
      </c>
      <c r="M162" s="94">
        <f>'[18]Rev_SP-12me'!DP183</f>
        <v>0</v>
      </c>
      <c r="N162" s="7"/>
      <c r="O162" s="60">
        <f t="shared" si="4"/>
        <v>0</v>
      </c>
    </row>
    <row r="163" spans="2:15">
      <c r="B163" s="76" t="s">
        <v>1122</v>
      </c>
      <c r="C163" s="55"/>
      <c r="D163" s="94">
        <f>'[18]Rev_SP-12me'!H184</f>
        <v>0</v>
      </c>
      <c r="E163" s="94">
        <f>'[18]Rev_SP-12me'!I184</f>
        <v>0</v>
      </c>
      <c r="F163" s="94">
        <f>'[18]Rev_SP-12me'!K184</f>
        <v>0</v>
      </c>
      <c r="G163" s="79">
        <f>'[18]Rev_SP-12me'!S184</f>
        <v>0</v>
      </c>
      <c r="H163" s="60">
        <f>'[18]Rev_SP-12me'!T184</f>
        <v>6.35</v>
      </c>
      <c r="I163" s="79">
        <f>'[18]Rev_SP-12me'!AC184</f>
        <v>3500</v>
      </c>
      <c r="J163" s="7"/>
      <c r="K163" s="94">
        <f>'[18]Rev_SP-12me'!DM184</f>
        <v>0</v>
      </c>
      <c r="L163" s="94">
        <f>'[18]Rev_SP-12me'!DN184</f>
        <v>0</v>
      </c>
      <c r="M163" s="94">
        <f>'[18]Rev_SP-12me'!DP184</f>
        <v>0</v>
      </c>
      <c r="N163" s="7"/>
      <c r="O163" s="60">
        <f t="shared" si="4"/>
        <v>0</v>
      </c>
    </row>
    <row r="164" ht="15" spans="2:15">
      <c r="B164" s="71" t="s">
        <v>1147</v>
      </c>
      <c r="C164" s="55"/>
      <c r="D164" s="68">
        <f>'[18]Rev_SP-12me'!H185</f>
        <v>13</v>
      </c>
      <c r="E164" s="68">
        <f>'[18]Rev_SP-12me'!I185</f>
        <v>25.0678999995</v>
      </c>
      <c r="F164" s="68">
        <f>'[18]Rev_SP-12me'!K185</f>
        <v>66.1702299355033</v>
      </c>
      <c r="G164" s="68">
        <f>'[18]Rev_SP-12me'!S185</f>
        <v>0</v>
      </c>
      <c r="H164" s="69">
        <f>'[18]Rev_SP-12me'!T185</f>
        <v>0</v>
      </c>
      <c r="I164" s="68">
        <f>'[18]Rev_SP-12me'!AC185</f>
        <v>0</v>
      </c>
      <c r="J164" s="7"/>
      <c r="K164" s="68">
        <f>'[18]Rev_SP-12me'!DM185</f>
        <v>4.11400796345961</v>
      </c>
      <c r="L164" s="68">
        <f>'[18]Rev_SP-12me'!DN185</f>
        <v>41.6872448593671</v>
      </c>
      <c r="M164" s="68">
        <f>'[18]Rev_SP-12me'!DP185</f>
        <v>0.0735</v>
      </c>
      <c r="N164" s="7"/>
      <c r="O164" s="69">
        <f t="shared" si="4"/>
        <v>45.8747528228267</v>
      </c>
    </row>
    <row r="165" spans="2:15">
      <c r="B165" s="82" t="s">
        <v>1128</v>
      </c>
      <c r="C165" s="55"/>
      <c r="D165" s="79">
        <f>'[18]Rev_SP-12me'!H186</f>
        <v>13</v>
      </c>
      <c r="E165" s="79">
        <f>'[18]Rev_SP-12me'!I186</f>
        <v>25.0678999995</v>
      </c>
      <c r="F165" s="79">
        <f>'[18]Rev_SP-12me'!K186</f>
        <v>66.1702299355033</v>
      </c>
      <c r="G165" s="79">
        <f>'[18]Rev_SP-12me'!S186</f>
        <v>300</v>
      </c>
      <c r="H165" s="60">
        <f>'[18]Rev_SP-12me'!T186</f>
        <v>6.3</v>
      </c>
      <c r="I165" s="79">
        <f>'[18]Rev_SP-12me'!AC186</f>
        <v>3500</v>
      </c>
      <c r="J165" s="7"/>
      <c r="K165" s="79">
        <f>'[18]Rev_SP-12me'!DM186</f>
        <v>4.11400796345961</v>
      </c>
      <c r="L165" s="79">
        <f>'[18]Rev_SP-12me'!DN186</f>
        <v>41.6872448593671</v>
      </c>
      <c r="M165" s="79">
        <f>'[18]Rev_SP-12me'!DP186</f>
        <v>0.0735</v>
      </c>
      <c r="N165" s="7"/>
      <c r="O165" s="60">
        <f t="shared" si="4"/>
        <v>45.8747528228267</v>
      </c>
    </row>
    <row r="166" ht="15" spans="2:15">
      <c r="B166" s="83" t="s">
        <v>1148</v>
      </c>
      <c r="C166" s="55"/>
      <c r="D166" s="68">
        <f>'[18]Rev_SP-12me'!H191</f>
        <v>23</v>
      </c>
      <c r="E166" s="68">
        <f>'[18]Rev_SP-12me'!I191</f>
        <v>40.806045</v>
      </c>
      <c r="F166" s="68">
        <f>'[18]Rev_SP-12me'!K191</f>
        <v>267.966979829087</v>
      </c>
      <c r="G166" s="68">
        <f>'[18]Rev_SP-12me'!S191</f>
        <v>0</v>
      </c>
      <c r="H166" s="69">
        <f>'[18]Rev_SP-12me'!T191</f>
        <v>0</v>
      </c>
      <c r="I166" s="68">
        <f>'[18]Rev_SP-12me'!AC191</f>
        <v>0</v>
      </c>
      <c r="J166" s="7"/>
      <c r="K166" s="68">
        <f>'[18]Rev_SP-12me'!DM191</f>
        <v>0</v>
      </c>
      <c r="L166" s="68">
        <f>'[18]Rev_SP-12me'!$DN$191</f>
        <v>163.459857695743</v>
      </c>
      <c r="M166" s="68">
        <f>'[18]Rev_SP-12me'!DP191</f>
        <v>0.0756</v>
      </c>
      <c r="N166" s="7"/>
      <c r="O166" s="69">
        <f t="shared" si="4"/>
        <v>163.535457695743</v>
      </c>
    </row>
    <row r="167" spans="2:15">
      <c r="B167" s="74" t="s">
        <v>1149</v>
      </c>
      <c r="C167" s="55"/>
      <c r="D167" s="79">
        <f>'[18]Rev_SP-12me'!H192</f>
        <v>23</v>
      </c>
      <c r="E167" s="79">
        <f>'[18]Rev_SP-12me'!I192</f>
        <v>40.806045</v>
      </c>
      <c r="F167" s="79">
        <f>'[18]Rev_SP-12me'!K192</f>
        <v>267.966979829087</v>
      </c>
      <c r="G167" s="79">
        <f>'[18]Rev_SP-12me'!S192</f>
        <v>0</v>
      </c>
      <c r="H167" s="60">
        <f>'[18]Rev_SP-12me'!T192</f>
        <v>6.1</v>
      </c>
      <c r="I167" s="79">
        <f>'[18]Rev_SP-12me'!AC192</f>
        <v>3500</v>
      </c>
      <c r="J167" s="7"/>
      <c r="K167" s="79">
        <f>'[18]Rev_SP-12me'!DM192</f>
        <v>0</v>
      </c>
      <c r="L167" s="79">
        <f>'[18]Rev_SP-12me'!DN192</f>
        <v>163.459857695743</v>
      </c>
      <c r="M167" s="79">
        <f>'[18]Rev_SP-12me'!DP192</f>
        <v>0.0756</v>
      </c>
      <c r="N167" s="7"/>
      <c r="O167" s="60">
        <f t="shared" si="4"/>
        <v>163.535457695743</v>
      </c>
    </row>
    <row r="168" ht="15" spans="2:15">
      <c r="B168" s="77" t="s">
        <v>1150</v>
      </c>
      <c r="C168" s="55"/>
      <c r="D168" s="68">
        <f>'[18]Rev_SP-12me'!H193</f>
        <v>0</v>
      </c>
      <c r="E168" s="68">
        <f>'[18]Rev_SP-12me'!I193</f>
        <v>0</v>
      </c>
      <c r="F168" s="68">
        <f>'[18]Rev_SP-12me'!K193</f>
        <v>0</v>
      </c>
      <c r="G168" s="68">
        <f>'[18]Rev_SP-12me'!S193</f>
        <v>0</v>
      </c>
      <c r="H168" s="69">
        <f>'[18]Rev_SP-12me'!T193</f>
        <v>0</v>
      </c>
      <c r="I168" s="68">
        <f>'[18]Rev_SP-12me'!AC193</f>
        <v>3500</v>
      </c>
      <c r="J168" s="7"/>
      <c r="K168" s="68">
        <f>'[18]Rev_SP-12me'!DM193</f>
        <v>0</v>
      </c>
      <c r="L168" s="68">
        <f>'[18]Rev_SP-12me'!DN193</f>
        <v>0</v>
      </c>
      <c r="M168" s="68">
        <f>'[18]Rev_SP-12me'!DP193</f>
        <v>0</v>
      </c>
      <c r="N168" s="7"/>
      <c r="O168" s="60">
        <f t="shared" si="4"/>
        <v>0</v>
      </c>
    </row>
    <row r="169" ht="15" spans="2:15">
      <c r="B169" s="71" t="s">
        <v>1131</v>
      </c>
      <c r="C169" s="55"/>
      <c r="D169" s="68">
        <f>'[18]Rev_SP-12me'!H187</f>
        <v>1</v>
      </c>
      <c r="E169" s="68">
        <f>'[18]Rev_SP-12me'!I187</f>
        <v>0</v>
      </c>
      <c r="F169" s="68">
        <f>'[18]Rev_SP-12me'!K187</f>
        <v>0</v>
      </c>
      <c r="G169" s="68">
        <f>'[18]Rev_SP-12me'!S187</f>
        <v>500</v>
      </c>
      <c r="H169" s="69">
        <f>'[18]Rev_SP-12me'!T187</f>
        <v>5.05</v>
      </c>
      <c r="I169" s="68">
        <f>'[18]Rev_SP-12me'!AC187</f>
        <v>3500</v>
      </c>
      <c r="J169" s="7"/>
      <c r="K169" s="68">
        <f>'[18]Rev_SP-12me'!DM187</f>
        <v>0</v>
      </c>
      <c r="L169" s="68">
        <f>'[18]Rev_SP-12me'!DN187</f>
        <v>0</v>
      </c>
      <c r="M169" s="68">
        <f>'[18]Rev_SP-12me'!DP187</f>
        <v>0.0021</v>
      </c>
      <c r="N169" s="7"/>
      <c r="O169" s="69">
        <f t="shared" si="4"/>
        <v>0.0021</v>
      </c>
    </row>
    <row r="170" ht="15" spans="2:15">
      <c r="B170" s="71" t="s">
        <v>1132</v>
      </c>
      <c r="C170" s="55"/>
      <c r="D170" s="68">
        <f>'[18]Rev_SP-12me'!H188</f>
        <v>0</v>
      </c>
      <c r="E170" s="68">
        <f>'[18]Rev_SP-12me'!I188</f>
        <v>1</v>
      </c>
      <c r="F170" s="68">
        <f>'[18]Rev_SP-12me'!K188</f>
        <v>0</v>
      </c>
      <c r="G170" s="68">
        <f>'[18]Rev_SP-12me'!S188</f>
        <v>500</v>
      </c>
      <c r="H170" s="69">
        <f>'[18]Rev_SP-12me'!T188</f>
        <v>4.95</v>
      </c>
      <c r="I170" s="68">
        <f>'[18]Rev_SP-12me'!AC188</f>
        <v>3500</v>
      </c>
      <c r="J170" s="7"/>
      <c r="K170" s="68">
        <f>'[18]Rev_SP-12me'!DM188</f>
        <v>0.466</v>
      </c>
      <c r="L170" s="68">
        <f>'[18]Rev_SP-12me'!DN188</f>
        <v>0</v>
      </c>
      <c r="M170" s="68">
        <f>'[18]Rev_SP-12me'!DP188</f>
        <v>0</v>
      </c>
      <c r="N170" s="7"/>
      <c r="O170" s="69">
        <f t="shared" si="4"/>
        <v>0.466</v>
      </c>
    </row>
    <row r="171" ht="15" spans="2:15">
      <c r="B171" s="71" t="s">
        <v>919</v>
      </c>
      <c r="C171" s="55"/>
      <c r="D171" s="68">
        <f>'[18]Rev_SP-12me'!H189</f>
        <v>37</v>
      </c>
      <c r="E171" s="68">
        <f>'[18]Rev_SP-12me'!I189</f>
        <v>42.320994975</v>
      </c>
      <c r="F171" s="68">
        <f>'[18]Rev_SP-12me'!K189</f>
        <v>162.163493368031</v>
      </c>
      <c r="G171" s="68">
        <f>'[18]Rev_SP-12me'!S189</f>
        <v>285</v>
      </c>
      <c r="H171" s="69">
        <f>'[18]Rev_SP-12me'!T189</f>
        <v>7.3</v>
      </c>
      <c r="I171" s="68">
        <f>'[18]Rev_SP-12me'!AC189</f>
        <v>3500</v>
      </c>
      <c r="J171" s="7"/>
      <c r="K171" s="68">
        <f>'[18]Rev_SP-12me'!DM189</f>
        <v>10.98653029551</v>
      </c>
      <c r="L171" s="68">
        <f>'[18]Rev_SP-12me'!DN189</f>
        <v>118.379350158663</v>
      </c>
      <c r="M171" s="68">
        <f>'[18]Rev_SP-12me'!DP189</f>
        <v>0.1239</v>
      </c>
      <c r="N171" s="7"/>
      <c r="O171" s="69">
        <f t="shared" si="4"/>
        <v>129.489780454173</v>
      </c>
    </row>
    <row r="172" ht="15" spans="2:15">
      <c r="B172" s="71" t="s">
        <v>1133</v>
      </c>
      <c r="C172" s="55"/>
      <c r="D172" s="68">
        <f>'[18]Rev_SP-12me'!H190</f>
        <v>9</v>
      </c>
      <c r="E172" s="68">
        <f>'[18]Rev_SP-12me'!I190</f>
        <v>23.3742500370435</v>
      </c>
      <c r="F172" s="68">
        <f>'[18]Rev_SP-12me'!K190</f>
        <v>35.4172710167591</v>
      </c>
      <c r="G172" s="68">
        <f>'[18]Rev_SP-12me'!S190</f>
        <v>500</v>
      </c>
      <c r="H172" s="69">
        <f>'[18]Rev_SP-12me'!T190</f>
        <v>11</v>
      </c>
      <c r="I172" s="68">
        <f>'[18]Rev_SP-12me'!AC190</f>
        <v>3500</v>
      </c>
      <c r="J172" s="7"/>
      <c r="K172" s="68">
        <f>'[18]Rev_SP-12me'!DM190</f>
        <v>11.2196400177809</v>
      </c>
      <c r="L172" s="68">
        <f>'[18]Rev_SP-12me'!DN190</f>
        <v>38.958998118435</v>
      </c>
      <c r="M172" s="68">
        <f>'[18]Rev_SP-12me'!DP190</f>
        <v>0.0378</v>
      </c>
      <c r="N172" s="7"/>
      <c r="O172" s="69">
        <f t="shared" si="4"/>
        <v>50.2164381362159</v>
      </c>
    </row>
    <row r="173" ht="15" spans="2:15">
      <c r="B173" s="77" t="s">
        <v>1151</v>
      </c>
      <c r="C173" s="55"/>
      <c r="D173" s="78">
        <f>SUM(D128,D142,D147,D148,D154,D159,D164,D166,D168,D169,D170,D171,D172)</f>
        <v>696</v>
      </c>
      <c r="E173" s="78">
        <f>SUM(E128,E142,E147,E148,E154,E159,E164,E166,E168,E169,E170,E171,E172)</f>
        <v>1815.91180817742</v>
      </c>
      <c r="F173" s="78">
        <f>SUM(F128,F142,F147,F148,F154,F159,F164,F166,F168,F169,F170,F171,F172)</f>
        <v>8913.41168407431</v>
      </c>
      <c r="G173" s="180"/>
      <c r="H173" s="180"/>
      <c r="I173" s="180"/>
      <c r="J173" s="180"/>
      <c r="K173" s="80">
        <f>SUM(K128,K142,K147,K148,K154,K159,K164,K166,K168,K169,K170,K171,K172)</f>
        <v>811.22383834205</v>
      </c>
      <c r="L173" s="80">
        <f>SUM(L128,L142,L147,L148,L154,L159,L164,L166,L168,L169,L170,L171,L172)</f>
        <v>6458.42662934244</v>
      </c>
      <c r="M173" s="80">
        <f>SUM(M128,M142,M147,M148,M154,M159,M164,M166,M168,M169,M170,M171,M172)</f>
        <v>2.8665</v>
      </c>
      <c r="N173" s="78">
        <f>SUM(N128,N142,N147,N148,N154,N159,N164,N166,N168,N169,N170,N171,N172)</f>
        <v>0</v>
      </c>
      <c r="O173" s="80">
        <f>SUM(O128,O142,O147,O148,O154,O159,O164,O166,O168,O169,O170,O171,O172)</f>
        <v>7272.51696768449</v>
      </c>
    </row>
    <row r="174" spans="2:15">
      <c r="B174" s="55"/>
      <c r="C174" s="55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</row>
    <row r="175" spans="2:15">
      <c r="B175" s="71" t="s">
        <v>1152</v>
      </c>
      <c r="C175" s="55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ht="15" spans="2:15">
      <c r="B176" s="71" t="s">
        <v>1137</v>
      </c>
      <c r="C176" s="55"/>
      <c r="D176" s="68">
        <f>'[18]Rev_SP-12me'!H208</f>
        <v>48</v>
      </c>
      <c r="E176" s="68">
        <f>'[18]Rev_SP-12me'!I208</f>
        <v>803.10148065</v>
      </c>
      <c r="F176" s="68">
        <f>'[18]Rev_SP-12me'!K208</f>
        <v>3535.212866</v>
      </c>
      <c r="G176" s="68">
        <f>'[18]Rev_SP-12me'!S208</f>
        <v>0</v>
      </c>
      <c r="H176" s="69">
        <f>'[18]Rev_SP-12me'!T208</f>
        <v>0</v>
      </c>
      <c r="I176" s="68">
        <f>'[18]Rev_SP-12me'!AC208</f>
        <v>0</v>
      </c>
      <c r="J176" s="7"/>
      <c r="K176" s="68">
        <f>'[18]Rev_SP-12me'!DM208</f>
        <v>374.2452899829</v>
      </c>
      <c r="L176" s="68">
        <f>'[18]Rev_SP-12me'!DN208</f>
        <v>2337.07725854575</v>
      </c>
      <c r="M176" s="68">
        <f>'[18]Rev_SP-12me'!DP208</f>
        <v>0.258</v>
      </c>
      <c r="N176" s="7"/>
      <c r="O176" s="68">
        <f t="shared" ref="O176:O217" si="5">SUM(K176:N176)</f>
        <v>2711.58054852865</v>
      </c>
    </row>
    <row r="177" spans="2:15">
      <c r="B177" s="74" t="s">
        <v>1105</v>
      </c>
      <c r="C177" s="55"/>
      <c r="D177" s="79">
        <f>'[18]Rev_SP-12me'!H209</f>
        <v>48</v>
      </c>
      <c r="E177" s="79">
        <f>'[18]Rev_SP-12me'!I209</f>
        <v>803.10148065</v>
      </c>
      <c r="F177" s="79">
        <f>'[18]Rev_SP-12me'!K209</f>
        <v>676.66776155</v>
      </c>
      <c r="G177" s="79">
        <f>'[18]Rev_SP-12me'!S209</f>
        <v>500</v>
      </c>
      <c r="H177" s="60">
        <f>'[18]Rev_SP-12me'!T209</f>
        <v>6.65</v>
      </c>
      <c r="I177" s="79">
        <f>'[18]Rev_SP-12me'!AC209</f>
        <v>5000</v>
      </c>
      <c r="J177" s="7"/>
      <c r="K177" s="79">
        <f>'[18]Rev_SP-12me'!DM209</f>
        <v>374.2452899829</v>
      </c>
      <c r="L177" s="79">
        <f>'[18]Rev_SP-12me'!DN209</f>
        <v>449.98406143075</v>
      </c>
      <c r="M177" s="79">
        <f>'[18]Rev_SP-12me'!DP209</f>
        <v>0.258</v>
      </c>
      <c r="N177" s="7"/>
      <c r="O177" s="79">
        <f t="shared" si="5"/>
        <v>824.48735141365</v>
      </c>
    </row>
    <row r="178" spans="2:15">
      <c r="B178" s="74" t="s">
        <v>1139</v>
      </c>
      <c r="C178" s="55"/>
      <c r="D178" s="94">
        <f>'[18]Rev_SP-12me'!H210</f>
        <v>0</v>
      </c>
      <c r="E178" s="94">
        <f>'[18]Rev_SP-12me'!I210</f>
        <v>0</v>
      </c>
      <c r="F178" s="94">
        <f>'[18]Rev_SP-12me'!K210</f>
        <v>205</v>
      </c>
      <c r="G178" s="94">
        <f>'[18]Rev_SP-12me'!S210</f>
        <v>0</v>
      </c>
      <c r="H178" s="91">
        <f>'[18]Rev_SP-12me'!T210</f>
        <v>6.65</v>
      </c>
      <c r="I178" s="94">
        <f>'[18]Rev_SP-12me'!AC210</f>
        <v>5000</v>
      </c>
      <c r="J178" s="7"/>
      <c r="K178" s="94">
        <f>'[18]Rev_SP-12me'!DM210</f>
        <v>0</v>
      </c>
      <c r="L178" s="94">
        <f>'[18]Rev_SP-12me'!DN210</f>
        <v>136.325</v>
      </c>
      <c r="M178" s="94">
        <f>'[18]Rev_SP-12me'!DP210</f>
        <v>0</v>
      </c>
      <c r="N178" s="7"/>
      <c r="O178" s="79">
        <f t="shared" si="5"/>
        <v>136.325</v>
      </c>
    </row>
    <row r="179" spans="2:15">
      <c r="B179" s="74" t="s">
        <v>1140</v>
      </c>
      <c r="C179" s="55"/>
      <c r="D179" s="94">
        <f>'[18]Rev_SP-12me'!H211</f>
        <v>0</v>
      </c>
      <c r="E179" s="94">
        <f>'[18]Rev_SP-12me'!I211</f>
        <v>0</v>
      </c>
      <c r="F179" s="94">
        <f>'[18]Rev_SP-12me'!K211</f>
        <v>318.18396505</v>
      </c>
      <c r="G179" s="94">
        <f>'[18]Rev_SP-12me'!S211</f>
        <v>0</v>
      </c>
      <c r="H179" s="91">
        <f>'[18]Rev_SP-12me'!T211</f>
        <v>7.3</v>
      </c>
      <c r="I179" s="94">
        <f>'[18]Rev_SP-12me'!AC211</f>
        <v>5000</v>
      </c>
      <c r="J179" s="7"/>
      <c r="K179" s="94">
        <f>'[18]Rev_SP-12me'!DM211</f>
        <v>0</v>
      </c>
      <c r="L179" s="94">
        <f>'[18]Rev_SP-12me'!DN211</f>
        <v>232.2742944865</v>
      </c>
      <c r="M179" s="94">
        <f>'[18]Rev_SP-12me'!DP211</f>
        <v>0</v>
      </c>
      <c r="N179" s="7"/>
      <c r="O179" s="79">
        <f t="shared" si="5"/>
        <v>232.2742944865</v>
      </c>
    </row>
    <row r="180" spans="2:15">
      <c r="B180" s="74" t="s">
        <v>1141</v>
      </c>
      <c r="C180" s="55"/>
      <c r="D180" s="94">
        <f>'[18]Rev_SP-12me'!H212</f>
        <v>0</v>
      </c>
      <c r="E180" s="94">
        <f>'[18]Rev_SP-12me'!I212</f>
        <v>0</v>
      </c>
      <c r="F180" s="94">
        <f>'[18]Rev_SP-12me'!K212</f>
        <v>0</v>
      </c>
      <c r="G180" s="94">
        <f>'[18]Rev_SP-12me'!S212</f>
        <v>500</v>
      </c>
      <c r="H180" s="91">
        <f>'[18]Rev_SP-12me'!T212</f>
        <v>7.7</v>
      </c>
      <c r="I180" s="94">
        <f>'[18]Rev_SP-12me'!AC212</f>
        <v>5000</v>
      </c>
      <c r="J180" s="7"/>
      <c r="K180" s="94">
        <f>'[18]Rev_SP-12me'!DM212</f>
        <v>0</v>
      </c>
      <c r="L180" s="94">
        <f>'[18]Rev_SP-12me'!DN212</f>
        <v>0</v>
      </c>
      <c r="M180" s="94">
        <f>'[18]Rev_SP-12me'!DP212</f>
        <v>0</v>
      </c>
      <c r="N180" s="7"/>
      <c r="O180" s="79">
        <f t="shared" si="5"/>
        <v>0</v>
      </c>
    </row>
    <row r="181" spans="2:15">
      <c r="B181" s="76" t="s">
        <v>1120</v>
      </c>
      <c r="C181" s="55"/>
      <c r="D181" s="94">
        <f>'[18]Rev_SP-12me'!H213</f>
        <v>0</v>
      </c>
      <c r="E181" s="94">
        <f>'[18]Rev_SP-12me'!I213</f>
        <v>0</v>
      </c>
      <c r="F181" s="94">
        <f>'[18]Rev_SP-12me'!K213</f>
        <v>545.4116895</v>
      </c>
      <c r="G181" s="94">
        <f>'[18]Rev_SP-12me'!S213</f>
        <v>0</v>
      </c>
      <c r="H181" s="91">
        <f>'[18]Rev_SP-12me'!T213</f>
        <v>7.65</v>
      </c>
      <c r="I181" s="94">
        <f>'[18]Rev_SP-12me'!AC213</f>
        <v>5000</v>
      </c>
      <c r="J181" s="7"/>
      <c r="K181" s="94">
        <f>'[18]Rev_SP-12me'!DM213</f>
        <v>0</v>
      </c>
      <c r="L181" s="94">
        <f>'[18]Rev_SP-12me'!DN213</f>
        <v>417.2399424675</v>
      </c>
      <c r="M181" s="94">
        <f>'[18]Rev_SP-12me'!DP213</f>
        <v>0</v>
      </c>
      <c r="N181" s="7"/>
      <c r="O181" s="79">
        <f t="shared" si="5"/>
        <v>417.2399424675</v>
      </c>
    </row>
    <row r="182" spans="2:15">
      <c r="B182" s="76" t="s">
        <v>1121</v>
      </c>
      <c r="C182" s="55"/>
      <c r="D182" s="94">
        <f>'[18]Rev_SP-12me'!H214</f>
        <v>0</v>
      </c>
      <c r="E182" s="94">
        <f>'[18]Rev_SP-12me'!I214</f>
        <v>0</v>
      </c>
      <c r="F182" s="94">
        <f>'[18]Rev_SP-12me'!K214</f>
        <v>578.83123525</v>
      </c>
      <c r="G182" s="94">
        <f>'[18]Rev_SP-12me'!S214</f>
        <v>0</v>
      </c>
      <c r="H182" s="91">
        <f>'[18]Rev_SP-12me'!T214</f>
        <v>7.65</v>
      </c>
      <c r="I182" s="94">
        <f>'[18]Rev_SP-12me'!AC214</f>
        <v>5000</v>
      </c>
      <c r="J182" s="7"/>
      <c r="K182" s="94">
        <f>'[18]Rev_SP-12me'!DM214</f>
        <v>0</v>
      </c>
      <c r="L182" s="94">
        <f>'[18]Rev_SP-12me'!DN214</f>
        <v>442.80589496625</v>
      </c>
      <c r="M182" s="94">
        <f>'[18]Rev_SP-12me'!DP214</f>
        <v>0</v>
      </c>
      <c r="N182" s="7"/>
      <c r="O182" s="79">
        <f t="shared" si="5"/>
        <v>442.80589496625</v>
      </c>
    </row>
    <row r="183" spans="2:15">
      <c r="B183" s="76" t="s">
        <v>1122</v>
      </c>
      <c r="C183" s="55"/>
      <c r="D183" s="94">
        <f>'[18]Rev_SP-12me'!H215</f>
        <v>0</v>
      </c>
      <c r="E183" s="94">
        <f>'[18]Rev_SP-12me'!I215</f>
        <v>0</v>
      </c>
      <c r="F183" s="94">
        <f>'[18]Rev_SP-12me'!K215</f>
        <v>1211.11821465</v>
      </c>
      <c r="G183" s="94">
        <f>'[18]Rev_SP-12me'!S215</f>
        <v>0</v>
      </c>
      <c r="H183" s="91">
        <f>'[18]Rev_SP-12me'!T215</f>
        <v>5.15</v>
      </c>
      <c r="I183" s="94">
        <f>'[18]Rev_SP-12me'!AC215</f>
        <v>5000</v>
      </c>
      <c r="J183" s="7"/>
      <c r="K183" s="94">
        <f>'[18]Rev_SP-12me'!DM215</f>
        <v>0</v>
      </c>
      <c r="L183" s="94">
        <f>'[18]Rev_SP-12me'!DN215</f>
        <v>658.44806519475</v>
      </c>
      <c r="M183" s="94">
        <f>'[18]Rev_SP-12me'!DP215</f>
        <v>0</v>
      </c>
      <c r="N183" s="7"/>
      <c r="O183" s="79">
        <f t="shared" si="5"/>
        <v>658.44806519475</v>
      </c>
    </row>
    <row r="184" ht="15" spans="2:15">
      <c r="B184" s="71" t="s">
        <v>1118</v>
      </c>
      <c r="C184" s="55"/>
      <c r="D184" s="39">
        <f>'[18]Rev_SP-12me'!H217</f>
        <v>0</v>
      </c>
      <c r="E184" s="68">
        <f>'[18]Rev_SP-12me'!I217</f>
        <v>0</v>
      </c>
      <c r="F184" s="68">
        <f>'[18]Rev_SP-12me'!K217</f>
        <v>1181.25414434221</v>
      </c>
      <c r="G184" s="68">
        <f>'[18]Rev_SP-12me'!S217</f>
        <v>0</v>
      </c>
      <c r="H184" s="69">
        <f>'[18]Rev_SP-12me'!T217</f>
        <v>0</v>
      </c>
      <c r="I184" s="68">
        <f>'[18]Rev_SP-12me'!AC217</f>
        <v>20000</v>
      </c>
      <c r="J184" s="7"/>
      <c r="K184" s="68">
        <f>'[18]Rev_SP-12me'!DM217</f>
        <v>0</v>
      </c>
      <c r="L184" s="68">
        <f>'[18]Rev_SP-12me'!DN217</f>
        <v>777.282395082533</v>
      </c>
      <c r="M184" s="68">
        <f>'[18]Rev_SP-12me'!DP217</f>
        <v>0.018</v>
      </c>
      <c r="N184" s="7"/>
      <c r="O184" s="68">
        <f t="shared" si="5"/>
        <v>777.300395082533</v>
      </c>
    </row>
    <row r="185" spans="2:15">
      <c r="B185" s="74" t="s">
        <v>1119</v>
      </c>
      <c r="C185" s="55"/>
      <c r="D185" s="98">
        <f>'[18]Rev_SP-12me'!H218</f>
        <v>0</v>
      </c>
      <c r="E185" s="183">
        <f>'[18]Rev_SP-12me'!I218</f>
        <v>0</v>
      </c>
      <c r="F185" s="184">
        <f>'[18]Rev_SP-12me'!K218</f>
        <v>388.450694465199</v>
      </c>
      <c r="G185" s="98">
        <f>'[18]Rev_SP-12me'!S218</f>
        <v>500</v>
      </c>
      <c r="H185" s="91">
        <f>'[18]Rev_SP-12me'!T218</f>
        <v>6.65</v>
      </c>
      <c r="I185" s="94">
        <f>'[18]Rev_SP-12me'!AC218</f>
        <v>5000</v>
      </c>
      <c r="J185" s="7"/>
      <c r="K185" s="183">
        <f>'[18]Rev_SP-12me'!DM218</f>
        <v>0</v>
      </c>
      <c r="L185" s="183">
        <f>'[18]Rev_SP-12me'!DN218</f>
        <v>258.319711819358</v>
      </c>
      <c r="M185" s="183">
        <f>'[18]Rev_SP-12me'!DP218</f>
        <v>0.018</v>
      </c>
      <c r="N185" s="7"/>
      <c r="O185" s="79">
        <f t="shared" si="5"/>
        <v>258.337711819358</v>
      </c>
    </row>
    <row r="186" spans="2:15">
      <c r="B186" s="74" t="s">
        <v>1120</v>
      </c>
      <c r="C186" s="55"/>
      <c r="D186" s="98">
        <f>'[18]Rev_SP-12me'!H219</f>
        <v>0</v>
      </c>
      <c r="E186" s="98">
        <f>'[18]Rev_SP-12me'!I219</f>
        <v>0</v>
      </c>
      <c r="F186" s="184">
        <f>'[18]Rev_SP-12me'!K219</f>
        <v>199.648192971762</v>
      </c>
      <c r="G186" s="98">
        <f>'[18]Rev_SP-12me'!S219</f>
        <v>0</v>
      </c>
      <c r="H186" s="91">
        <f>'[18]Rev_SP-12me'!T219</f>
        <v>7.65</v>
      </c>
      <c r="I186" s="94">
        <f>'[18]Rev_SP-12me'!AC219</f>
        <v>5000</v>
      </c>
      <c r="J186" s="7"/>
      <c r="K186" s="98">
        <f>'[18]Rev_SP-12me'!DM219</f>
        <v>0</v>
      </c>
      <c r="L186" s="98">
        <f>'[18]Rev_SP-12me'!DN219</f>
        <v>152.730867623398</v>
      </c>
      <c r="M186" s="98">
        <f>'[18]Rev_SP-12me'!DP219</f>
        <v>0</v>
      </c>
      <c r="N186" s="7"/>
      <c r="O186" s="79">
        <f t="shared" si="5"/>
        <v>152.730867623398</v>
      </c>
    </row>
    <row r="187" spans="2:15">
      <c r="B187" s="74" t="s">
        <v>1121</v>
      </c>
      <c r="C187" s="55"/>
      <c r="D187" s="98">
        <f>'[18]Rev_SP-12me'!H220</f>
        <v>0</v>
      </c>
      <c r="E187" s="98">
        <f>'[18]Rev_SP-12me'!I220</f>
        <v>0</v>
      </c>
      <c r="F187" s="184">
        <f>'[18]Rev_SP-12me'!K220</f>
        <v>196.7377094828</v>
      </c>
      <c r="G187" s="98">
        <f>'[18]Rev_SP-12me'!S220</f>
        <v>0</v>
      </c>
      <c r="H187" s="91">
        <f>'[18]Rev_SP-12me'!T220</f>
        <v>7.65</v>
      </c>
      <c r="I187" s="94">
        <f>'[18]Rev_SP-12me'!AC220</f>
        <v>5000</v>
      </c>
      <c r="J187" s="7"/>
      <c r="K187" s="98">
        <f>'[18]Rev_SP-12me'!DM220</f>
        <v>0</v>
      </c>
      <c r="L187" s="98">
        <f>'[18]Rev_SP-12me'!DN220</f>
        <v>150.504347754342</v>
      </c>
      <c r="M187" s="98">
        <f>'[18]Rev_SP-12me'!DP220</f>
        <v>0</v>
      </c>
      <c r="N187" s="7"/>
      <c r="O187" s="79">
        <f t="shared" si="5"/>
        <v>150.504347754342</v>
      </c>
    </row>
    <row r="188" spans="2:15">
      <c r="B188" s="74" t="s">
        <v>1122</v>
      </c>
      <c r="C188" s="55"/>
      <c r="D188" s="98">
        <f>'[18]Rev_SP-12me'!H221</f>
        <v>0</v>
      </c>
      <c r="E188" s="98">
        <f>'[18]Rev_SP-12me'!I221</f>
        <v>0</v>
      </c>
      <c r="F188" s="184">
        <f>'[18]Rev_SP-12me'!K221</f>
        <v>396.417547422454</v>
      </c>
      <c r="G188" s="98">
        <f>'[18]Rev_SP-12me'!S221</f>
        <v>0</v>
      </c>
      <c r="H188" s="91">
        <f>'[18]Rev_SP-12me'!T221</f>
        <v>5.15</v>
      </c>
      <c r="I188" s="94">
        <f>'[18]Rev_SP-12me'!AC221</f>
        <v>5000</v>
      </c>
      <c r="J188" s="7"/>
      <c r="K188" s="98">
        <f>'[18]Rev_SP-12me'!DM221</f>
        <v>0</v>
      </c>
      <c r="L188" s="98">
        <f>'[18]Rev_SP-12me'!DN221</f>
        <v>215.727467885435</v>
      </c>
      <c r="M188" s="98">
        <f>'[18]Rev_SP-12me'!DP221</f>
        <v>0</v>
      </c>
      <c r="N188" s="7"/>
      <c r="O188" s="79">
        <f t="shared" si="5"/>
        <v>215.727467885435</v>
      </c>
    </row>
    <row r="189" ht="15" spans="2:15">
      <c r="B189" s="71" t="s">
        <v>1153</v>
      </c>
      <c r="C189" s="55"/>
      <c r="D189" s="39">
        <f>'[18]Rev_SP-12me'!H216</f>
        <v>0</v>
      </c>
      <c r="E189" s="68">
        <f>'[18]Rev_SP-12me'!I216</f>
        <v>0</v>
      </c>
      <c r="F189" s="68">
        <f>'[18]Rev_SP-12me'!K216</f>
        <v>149.934735</v>
      </c>
      <c r="G189" s="68">
        <f>'[18]Rev_SP-12me'!S216</f>
        <v>500</v>
      </c>
      <c r="H189" s="69">
        <f>'[18]Rev_SP-12me'!T216</f>
        <v>6.65</v>
      </c>
      <c r="I189" s="68">
        <f>'[18]Rev_SP-12me'!AC216</f>
        <v>5000</v>
      </c>
      <c r="J189" s="7"/>
      <c r="K189" s="68">
        <f>'[18]Rev_SP-12me'!DM216</f>
        <v>0</v>
      </c>
      <c r="L189" s="68">
        <f>'[18]Rev_SP-12me'!DN216</f>
        <v>99.706598775</v>
      </c>
      <c r="M189" s="68">
        <f>'[18]Rev_SP-12me'!DP216</f>
        <v>0.006</v>
      </c>
      <c r="N189" s="7"/>
      <c r="O189" s="68">
        <f t="shared" si="5"/>
        <v>99.712598775</v>
      </c>
    </row>
    <row r="190" ht="15" spans="2:15">
      <c r="B190" s="71" t="s">
        <v>1154</v>
      </c>
      <c r="C190" s="55"/>
      <c r="D190" s="68">
        <f>'[18]Rev_SP-12me'!H222</f>
        <v>9</v>
      </c>
      <c r="E190" s="68">
        <f>'[18]Rev_SP-12me'!I222</f>
        <v>88.6172839965</v>
      </c>
      <c r="F190" s="68">
        <f>'[18]Rev_SP-12me'!K222</f>
        <v>202.610551505612</v>
      </c>
      <c r="G190" s="68">
        <f>'[18]Rev_SP-12me'!S222</f>
        <v>0</v>
      </c>
      <c r="H190" s="69">
        <f>'[18]Rev_SP-12me'!T222</f>
        <v>0</v>
      </c>
      <c r="I190" s="68">
        <f>'[18]Rev_SP-12me'!AC222</f>
        <v>0</v>
      </c>
      <c r="J190" s="7"/>
      <c r="K190" s="68">
        <f>'[18]Rev_SP-12me'!DM222</f>
        <v>41.295654342369</v>
      </c>
      <c r="L190" s="68">
        <f>'[18]Rev_SP-12me'!DN222</f>
        <v>157.654462813162</v>
      </c>
      <c r="M190" s="68">
        <f>'[18]Rev_SP-12me'!DP222</f>
        <v>0.045</v>
      </c>
      <c r="N190" s="7"/>
      <c r="O190" s="68">
        <f t="shared" si="5"/>
        <v>198.995117155531</v>
      </c>
    </row>
    <row r="191" spans="2:15">
      <c r="B191" s="76" t="s">
        <v>1119</v>
      </c>
      <c r="C191" s="55"/>
      <c r="D191" s="94">
        <f>'[18]Rev_SP-12me'!H223</f>
        <v>9</v>
      </c>
      <c r="E191" s="94">
        <f>'[18]Rev_SP-12me'!I223</f>
        <v>88.6172839965</v>
      </c>
      <c r="F191" s="94">
        <f>'[18]Rev_SP-12me'!K223</f>
        <v>81.6030423324876</v>
      </c>
      <c r="G191" s="94">
        <f>'[18]Rev_SP-12me'!S223</f>
        <v>500</v>
      </c>
      <c r="H191" s="91">
        <f>'[18]Rev_SP-12me'!T223</f>
        <v>7.8</v>
      </c>
      <c r="I191" s="94">
        <f>'[18]Rev_SP-12me'!AC223</f>
        <v>5000</v>
      </c>
      <c r="J191" s="7"/>
      <c r="K191" s="94">
        <f>'[18]Rev_SP-12me'!DM223</f>
        <v>41.295654342369</v>
      </c>
      <c r="L191" s="94">
        <f>'[18]Rev_SP-12me'!DN223</f>
        <v>63.6503730193403</v>
      </c>
      <c r="M191" s="94">
        <f>'[18]Rev_SP-12me'!DP223</f>
        <v>0.045</v>
      </c>
      <c r="N191" s="7"/>
      <c r="O191" s="79">
        <f t="shared" si="5"/>
        <v>104.991027361709</v>
      </c>
    </row>
    <row r="192" spans="2:15">
      <c r="B192" s="76" t="s">
        <v>1120</v>
      </c>
      <c r="C192" s="55"/>
      <c r="D192" s="94">
        <f>'[18]Rev_SP-12me'!H224</f>
        <v>0</v>
      </c>
      <c r="E192" s="94">
        <f>'[18]Rev_SP-12me'!I224</f>
        <v>0</v>
      </c>
      <c r="F192" s="94">
        <f>'[18]Rev_SP-12me'!K224</f>
        <v>31.8705442945185</v>
      </c>
      <c r="G192" s="94">
        <f>'[18]Rev_SP-12me'!S224</f>
        <v>0</v>
      </c>
      <c r="H192" s="91">
        <f>'[18]Rev_SP-12me'!T224</f>
        <v>8.8</v>
      </c>
      <c r="I192" s="94">
        <f>'[18]Rev_SP-12me'!AC224</f>
        <v>5000</v>
      </c>
      <c r="J192" s="7"/>
      <c r="K192" s="94">
        <f>'[18]Rev_SP-12me'!DM224</f>
        <v>0</v>
      </c>
      <c r="L192" s="94">
        <f>'[18]Rev_SP-12me'!DN224</f>
        <v>28.0460789791763</v>
      </c>
      <c r="M192" s="94">
        <f>'[18]Rev_SP-12me'!DP224</f>
        <v>0</v>
      </c>
      <c r="N192" s="7"/>
      <c r="O192" s="79">
        <f t="shared" si="5"/>
        <v>28.0460789791763</v>
      </c>
    </row>
    <row r="193" spans="2:15">
      <c r="B193" s="76" t="s">
        <v>1121</v>
      </c>
      <c r="C193" s="55"/>
      <c r="D193" s="94">
        <f>'[18]Rev_SP-12me'!H225</f>
        <v>0</v>
      </c>
      <c r="E193" s="94">
        <f>'[18]Rev_SP-12me'!I225</f>
        <v>0</v>
      </c>
      <c r="F193" s="94">
        <f>'[18]Rev_SP-12me'!K225</f>
        <v>32.3400244850589</v>
      </c>
      <c r="G193" s="94">
        <f>'[18]Rev_SP-12me'!S225</f>
        <v>0</v>
      </c>
      <c r="H193" s="91">
        <f>'[18]Rev_SP-12me'!T225</f>
        <v>8.8</v>
      </c>
      <c r="I193" s="94">
        <f>'[18]Rev_SP-12me'!AC225</f>
        <v>5000</v>
      </c>
      <c r="J193" s="7"/>
      <c r="K193" s="94">
        <f>'[18]Rev_SP-12me'!DM225</f>
        <v>0</v>
      </c>
      <c r="L193" s="94">
        <f>'[18]Rev_SP-12me'!DN225</f>
        <v>28.4592215468519</v>
      </c>
      <c r="M193" s="94">
        <f>'[18]Rev_SP-12me'!DP225</f>
        <v>0</v>
      </c>
      <c r="N193" s="7"/>
      <c r="O193" s="79">
        <f t="shared" si="5"/>
        <v>28.4592215468519</v>
      </c>
    </row>
    <row r="194" spans="2:15">
      <c r="B194" s="76" t="s">
        <v>1122</v>
      </c>
      <c r="C194" s="55"/>
      <c r="D194" s="94">
        <f>'[18]Rev_SP-12me'!H226</f>
        <v>0</v>
      </c>
      <c r="E194" s="94">
        <f>'[18]Rev_SP-12me'!I226</f>
        <v>0</v>
      </c>
      <c r="F194" s="94">
        <f>'[18]Rev_SP-12me'!K226</f>
        <v>56.7969403935472</v>
      </c>
      <c r="G194" s="94">
        <f>'[18]Rev_SP-12me'!S226</f>
        <v>0</v>
      </c>
      <c r="H194" s="91">
        <f>'[18]Rev_SP-12me'!T226</f>
        <v>6.3</v>
      </c>
      <c r="I194" s="94">
        <f>'[18]Rev_SP-12me'!AC226</f>
        <v>5000</v>
      </c>
      <c r="J194" s="7"/>
      <c r="K194" s="94">
        <f>'[18]Rev_SP-12me'!DM226</f>
        <v>0</v>
      </c>
      <c r="L194" s="94">
        <f>'[18]Rev_SP-12me'!DN226</f>
        <v>37.4987892677936</v>
      </c>
      <c r="M194" s="94">
        <f>'[18]Rev_SP-12me'!DP226</f>
        <v>0</v>
      </c>
      <c r="N194" s="7"/>
      <c r="O194" s="79">
        <f t="shared" si="5"/>
        <v>37.4987892677936</v>
      </c>
    </row>
    <row r="195" ht="15" spans="2:15">
      <c r="B195" s="71" t="s">
        <v>1125</v>
      </c>
      <c r="C195" s="55"/>
      <c r="D195" s="68">
        <f>'[18]Rev_SP-12me'!H227</f>
        <v>0</v>
      </c>
      <c r="E195" s="68">
        <f>'[18]Rev_SP-12me'!I227</f>
        <v>0</v>
      </c>
      <c r="F195" s="68">
        <f>'[18]Rev_SP-12me'!K227</f>
        <v>0</v>
      </c>
      <c r="G195" s="68">
        <f>'[18]Rev_SP-12me'!S227</f>
        <v>0</v>
      </c>
      <c r="H195" s="69">
        <f>'[18]Rev_SP-12me'!T227</f>
        <v>0</v>
      </c>
      <c r="I195" s="68">
        <f>'[18]Rev_SP-12me'!AC227</f>
        <v>0</v>
      </c>
      <c r="J195" s="7"/>
      <c r="K195" s="68">
        <f>'[18]Rev_SP-12me'!DM227</f>
        <v>0</v>
      </c>
      <c r="L195" s="68">
        <f>'[18]Rev_SP-12me'!DN227</f>
        <v>0</v>
      </c>
      <c r="M195" s="68">
        <f>'[18]Rev_SP-12me'!DP227</f>
        <v>0</v>
      </c>
      <c r="N195" s="7"/>
      <c r="O195" s="68">
        <f t="shared" si="5"/>
        <v>0</v>
      </c>
    </row>
    <row r="196" spans="2:15">
      <c r="B196" s="74" t="s">
        <v>1119</v>
      </c>
      <c r="C196" s="55"/>
      <c r="D196" s="94">
        <f>'[18]Rev_SP-12me'!H228</f>
        <v>0</v>
      </c>
      <c r="E196" s="94">
        <f>'[18]Rev_SP-12me'!I228</f>
        <v>0</v>
      </c>
      <c r="F196" s="94">
        <f>'[18]Rev_SP-12me'!K228</f>
        <v>0</v>
      </c>
      <c r="G196" s="94">
        <f>'[18]Rev_SP-12me'!S228</f>
        <v>285</v>
      </c>
      <c r="H196" s="91">
        <f>'[18]Rev_SP-12me'!T228</f>
        <v>5</v>
      </c>
      <c r="I196" s="94">
        <f>'[18]Rev_SP-12me'!AC228</f>
        <v>5000</v>
      </c>
      <c r="J196" s="7"/>
      <c r="K196" s="94">
        <f>'[18]Rev_SP-12me'!DM228</f>
        <v>0</v>
      </c>
      <c r="L196" s="94">
        <f>'[18]Rev_SP-12me'!DN228</f>
        <v>0</v>
      </c>
      <c r="M196" s="94">
        <f>'[18]Rev_SP-12me'!DP228</f>
        <v>0</v>
      </c>
      <c r="N196" s="7"/>
      <c r="O196" s="79">
        <f t="shared" si="5"/>
        <v>0</v>
      </c>
    </row>
    <row r="197" spans="2:15">
      <c r="B197" s="74" t="s">
        <v>1120</v>
      </c>
      <c r="C197" s="55"/>
      <c r="D197" s="94">
        <f>'[18]Rev_SP-12me'!H229</f>
        <v>0</v>
      </c>
      <c r="E197" s="94">
        <f>'[18]Rev_SP-12me'!I229</f>
        <v>0</v>
      </c>
      <c r="F197" s="94">
        <f>'[18]Rev_SP-12me'!K229</f>
        <v>0</v>
      </c>
      <c r="G197" s="94">
        <f>'[18]Rev_SP-12me'!S229</f>
        <v>0</v>
      </c>
      <c r="H197" s="91">
        <f>'[18]Rev_SP-12me'!T229</f>
        <v>6</v>
      </c>
      <c r="I197" s="94">
        <f>'[18]Rev_SP-12me'!AC229</f>
        <v>5000</v>
      </c>
      <c r="J197" s="7"/>
      <c r="K197" s="94">
        <f>'[18]Rev_SP-12me'!DM229</f>
        <v>0</v>
      </c>
      <c r="L197" s="94">
        <f>'[18]Rev_SP-12me'!DN229</f>
        <v>0</v>
      </c>
      <c r="M197" s="94">
        <f>'[18]Rev_SP-12me'!DP229</f>
        <v>0</v>
      </c>
      <c r="N197" s="7"/>
      <c r="O197" s="79">
        <f t="shared" si="5"/>
        <v>0</v>
      </c>
    </row>
    <row r="198" spans="2:15">
      <c r="B198" s="74" t="s">
        <v>1121</v>
      </c>
      <c r="C198" s="55"/>
      <c r="D198" s="94">
        <f>'[18]Rev_SP-12me'!H230</f>
        <v>0</v>
      </c>
      <c r="E198" s="94">
        <f>'[18]Rev_SP-12me'!I230</f>
        <v>0</v>
      </c>
      <c r="F198" s="94">
        <f>'[18]Rev_SP-12me'!K230</f>
        <v>0</v>
      </c>
      <c r="G198" s="94">
        <f>'[18]Rev_SP-12me'!S230</f>
        <v>0</v>
      </c>
      <c r="H198" s="91">
        <f>'[18]Rev_SP-12me'!T230</f>
        <v>6</v>
      </c>
      <c r="I198" s="94">
        <f>'[18]Rev_SP-12me'!AC230</f>
        <v>5000</v>
      </c>
      <c r="J198" s="7"/>
      <c r="K198" s="94">
        <f>'[18]Rev_SP-12me'!DM230</f>
        <v>0</v>
      </c>
      <c r="L198" s="94">
        <f>'[18]Rev_SP-12me'!DN230</f>
        <v>0</v>
      </c>
      <c r="M198" s="94">
        <f>'[18]Rev_SP-12me'!DP230</f>
        <v>0</v>
      </c>
      <c r="N198" s="7"/>
      <c r="O198" s="79">
        <f t="shared" si="5"/>
        <v>0</v>
      </c>
    </row>
    <row r="199" spans="2:15">
      <c r="B199" s="74" t="s">
        <v>1122</v>
      </c>
      <c r="C199" s="55"/>
      <c r="D199" s="94">
        <f>'[18]Rev_SP-12me'!H231</f>
        <v>0</v>
      </c>
      <c r="E199" s="94">
        <f>'[18]Rev_SP-12me'!I231</f>
        <v>0</v>
      </c>
      <c r="F199" s="94">
        <f>'[18]Rev_SP-12me'!K231</f>
        <v>0</v>
      </c>
      <c r="G199" s="94">
        <f>'[18]Rev_SP-12me'!S231</f>
        <v>0</v>
      </c>
      <c r="H199" s="91">
        <f>'[18]Rev_SP-12me'!T231</f>
        <v>3.5</v>
      </c>
      <c r="I199" s="94">
        <f>'[18]Rev_SP-12me'!AC231</f>
        <v>5000</v>
      </c>
      <c r="J199" s="7"/>
      <c r="K199" s="94">
        <f>'[18]Rev_SP-12me'!DM231</f>
        <v>0</v>
      </c>
      <c r="L199" s="94">
        <f>'[18]Rev_SP-12me'!DN231</f>
        <v>0</v>
      </c>
      <c r="M199" s="94">
        <f>'[18]Rev_SP-12me'!DP231</f>
        <v>0</v>
      </c>
      <c r="N199" s="7"/>
      <c r="O199" s="79">
        <f t="shared" si="5"/>
        <v>0</v>
      </c>
    </row>
    <row r="200" ht="15" spans="2:15">
      <c r="B200" s="71" t="s">
        <v>1126</v>
      </c>
      <c r="C200" s="55"/>
      <c r="D200" s="68">
        <f>'[18]Rev_SP-12me'!H232</f>
        <v>1</v>
      </c>
      <c r="E200" s="68">
        <f>'[18]Rev_SP-12me'!I232</f>
        <v>17.9828059760959</v>
      </c>
      <c r="F200" s="68">
        <f>'[18]Rev_SP-12me'!K232</f>
        <v>109.964613322014</v>
      </c>
      <c r="G200" s="68">
        <f>'[18]Rev_SP-12me'!S232</f>
        <v>0</v>
      </c>
      <c r="H200" s="69">
        <f>'[18]Rev_SP-12me'!T232</f>
        <v>0</v>
      </c>
      <c r="I200" s="68">
        <f>'[18]Rev_SP-12me'!AC232</f>
        <v>0</v>
      </c>
      <c r="J200" s="7"/>
      <c r="K200" s="68">
        <f>'[18]Rev_SP-12me'!DM232</f>
        <v>8.37998758486069</v>
      </c>
      <c r="L200" s="68">
        <f>'[18]Rev_SP-12me'!DN232</f>
        <v>81.0592929091474</v>
      </c>
      <c r="M200" s="68">
        <f>'[18]Rev_SP-12me'!DP232</f>
        <v>0.006</v>
      </c>
      <c r="N200" s="7"/>
      <c r="O200" s="68">
        <f t="shared" si="5"/>
        <v>89.4452804940081</v>
      </c>
    </row>
    <row r="201" spans="2:15">
      <c r="B201" s="76" t="s">
        <v>1119</v>
      </c>
      <c r="C201" s="55"/>
      <c r="D201" s="94">
        <f>'[18]Rev_SP-12me'!H233</f>
        <v>1</v>
      </c>
      <c r="E201" s="94">
        <f>'[18]Rev_SP-12me'!I233</f>
        <v>17.9828059760959</v>
      </c>
      <c r="F201" s="94">
        <f>'[18]Rev_SP-12me'!K233</f>
        <v>31.8450581750821</v>
      </c>
      <c r="G201" s="94">
        <f>'[18]Rev_SP-12me'!S233</f>
        <v>500</v>
      </c>
      <c r="H201" s="91">
        <f>'[18]Rev_SP-12me'!T233</f>
        <v>7.45</v>
      </c>
      <c r="I201" s="94">
        <f>'[18]Rev_SP-12me'!AC233</f>
        <v>5000</v>
      </c>
      <c r="J201" s="7"/>
      <c r="K201" s="94">
        <f>'[18]Rev_SP-12me'!DM233</f>
        <v>8.37998758486069</v>
      </c>
      <c r="L201" s="94">
        <f>'[18]Rev_SP-12me'!DN233</f>
        <v>23.7245683404362</v>
      </c>
      <c r="M201" s="94">
        <f>'[18]Rev_SP-12me'!DP233</f>
        <v>0.006</v>
      </c>
      <c r="N201" s="7"/>
      <c r="O201" s="79">
        <f t="shared" si="5"/>
        <v>32.1105559252969</v>
      </c>
    </row>
    <row r="202" spans="2:15">
      <c r="B202" s="76" t="s">
        <v>1120</v>
      </c>
      <c r="C202" s="55"/>
      <c r="D202" s="94">
        <f>'[18]Rev_SP-12me'!H234</f>
        <v>0</v>
      </c>
      <c r="E202" s="94">
        <f>'[18]Rev_SP-12me'!I234</f>
        <v>0</v>
      </c>
      <c r="F202" s="94">
        <f>'[18]Rev_SP-12me'!K234</f>
        <v>19.6705959035749</v>
      </c>
      <c r="G202" s="94">
        <f>'[18]Rev_SP-12me'!S234</f>
        <v>0</v>
      </c>
      <c r="H202" s="91">
        <f>'[18]Rev_SP-12me'!T234</f>
        <v>8.45</v>
      </c>
      <c r="I202" s="94">
        <f>'[18]Rev_SP-12me'!AC234</f>
        <v>5000</v>
      </c>
      <c r="J202" s="7"/>
      <c r="K202" s="94">
        <f>'[18]Rev_SP-12me'!DM234</f>
        <v>0</v>
      </c>
      <c r="L202" s="94">
        <f>'[18]Rev_SP-12me'!DN234</f>
        <v>16.6216535385208</v>
      </c>
      <c r="M202" s="94">
        <f>'[18]Rev_SP-12me'!DP234</f>
        <v>0</v>
      </c>
      <c r="N202" s="7"/>
      <c r="O202" s="79">
        <f t="shared" si="5"/>
        <v>16.6216535385208</v>
      </c>
    </row>
    <row r="203" spans="2:15">
      <c r="B203" s="76" t="s">
        <v>1121</v>
      </c>
      <c r="C203" s="55"/>
      <c r="D203" s="94">
        <f>'[18]Rev_SP-12me'!H235</f>
        <v>0</v>
      </c>
      <c r="E203" s="94">
        <f>'[18]Rev_SP-12me'!I235</f>
        <v>0</v>
      </c>
      <c r="F203" s="94">
        <f>'[18]Rev_SP-12me'!K235</f>
        <v>19.0143640346531</v>
      </c>
      <c r="G203" s="94">
        <f>'[18]Rev_SP-12me'!S235</f>
        <v>0</v>
      </c>
      <c r="H203" s="91">
        <f>'[18]Rev_SP-12me'!T235</f>
        <v>8.45</v>
      </c>
      <c r="I203" s="94">
        <f>'[18]Rev_SP-12me'!AC235</f>
        <v>5000</v>
      </c>
      <c r="J203" s="7"/>
      <c r="K203" s="94">
        <f>'[18]Rev_SP-12me'!DM235</f>
        <v>0</v>
      </c>
      <c r="L203" s="94">
        <f>'[18]Rev_SP-12me'!DN235</f>
        <v>16.0671376092819</v>
      </c>
      <c r="M203" s="94">
        <f>'[18]Rev_SP-12me'!DP235</f>
        <v>0</v>
      </c>
      <c r="N203" s="7"/>
      <c r="O203" s="79">
        <f t="shared" si="5"/>
        <v>16.0671376092819</v>
      </c>
    </row>
    <row r="204" spans="2:15">
      <c r="B204" s="76" t="s">
        <v>1122</v>
      </c>
      <c r="C204" s="55"/>
      <c r="D204" s="94">
        <f>'[18]Rev_SP-12me'!H236</f>
        <v>0</v>
      </c>
      <c r="E204" s="94">
        <f>'[18]Rev_SP-12me'!I236</f>
        <v>0</v>
      </c>
      <c r="F204" s="94">
        <f>'[18]Rev_SP-12me'!K236</f>
        <v>39.4345952087034</v>
      </c>
      <c r="G204" s="94">
        <f>'[18]Rev_SP-12me'!S236</f>
        <v>0</v>
      </c>
      <c r="H204" s="91">
        <f>'[18]Rev_SP-12me'!T236</f>
        <v>5.95</v>
      </c>
      <c r="I204" s="94">
        <f>'[18]Rev_SP-12me'!AC236</f>
        <v>5000</v>
      </c>
      <c r="J204" s="7"/>
      <c r="K204" s="94">
        <f>'[18]Rev_SP-12me'!DM236</f>
        <v>0</v>
      </c>
      <c r="L204" s="94">
        <f>'[18]Rev_SP-12me'!DN236</f>
        <v>24.6459334209086</v>
      </c>
      <c r="M204" s="94">
        <f>'[18]Rev_SP-12me'!DP236</f>
        <v>0</v>
      </c>
      <c r="N204" s="7"/>
      <c r="O204" s="79">
        <f t="shared" si="5"/>
        <v>24.6459334209086</v>
      </c>
    </row>
    <row r="205" ht="15" spans="2:15">
      <c r="B205" s="71" t="s">
        <v>1155</v>
      </c>
      <c r="C205" s="55"/>
      <c r="D205" s="68">
        <f>'[18]Rev_SP-12me'!H237</f>
        <v>21</v>
      </c>
      <c r="E205" s="68">
        <f>'[18]Rev_SP-12me'!I237</f>
        <v>715.1565225</v>
      </c>
      <c r="F205" s="68">
        <f>'[18]Rev_SP-12me'!K237</f>
        <v>1522.4983747842</v>
      </c>
      <c r="G205" s="68">
        <f>'[18]Rev_SP-12me'!S237</f>
        <v>0</v>
      </c>
      <c r="H205" s="69">
        <f>'[18]Rev_SP-12me'!T237</f>
        <v>0</v>
      </c>
      <c r="I205" s="68">
        <f>'[18]Rev_SP-12me'!AC237</f>
        <v>0</v>
      </c>
      <c r="J205" s="7"/>
      <c r="K205" s="68">
        <f>'[18]Rev_SP-12me'!DM237</f>
        <v>117.367614708203</v>
      </c>
      <c r="L205" s="68">
        <f>'[18]Rev_SP-12me'!DN237</f>
        <v>959.173976114046</v>
      </c>
      <c r="M205" s="68">
        <f>'[18]Rev_SP-12me'!DP237</f>
        <v>0.126</v>
      </c>
      <c r="N205" s="7"/>
      <c r="O205" s="68">
        <f t="shared" si="5"/>
        <v>1076.66759082225</v>
      </c>
    </row>
    <row r="206" spans="2:15">
      <c r="B206" s="74" t="s">
        <v>1128</v>
      </c>
      <c r="C206" s="55"/>
      <c r="D206" s="94">
        <f>'[18]Rev_SP-12me'!H238</f>
        <v>21</v>
      </c>
      <c r="E206" s="94">
        <f>'[18]Rev_SP-12me'!I238</f>
        <v>715.1565225</v>
      </c>
      <c r="F206" s="94">
        <f>'[18]Rev_SP-12me'!K238</f>
        <v>1522.4983747842</v>
      </c>
      <c r="G206" s="94">
        <f>'[18]Rev_SP-12me'!S238</f>
        <v>300</v>
      </c>
      <c r="H206" s="91">
        <f>'[18]Rev_SP-12me'!T238</f>
        <v>6.3</v>
      </c>
      <c r="I206" s="94">
        <f>'[18]Rev_SP-12me'!AC238</f>
        <v>5000</v>
      </c>
      <c r="J206" s="7"/>
      <c r="K206" s="94">
        <f>'[18]Rev_SP-12me'!DM238</f>
        <v>117.367614708203</v>
      </c>
      <c r="L206" s="94">
        <f>'[18]Rev_SP-12me'!DN238</f>
        <v>959.173976114046</v>
      </c>
      <c r="M206" s="94">
        <f>'[18]Rev_SP-12me'!DP238</f>
        <v>0.126</v>
      </c>
      <c r="N206" s="7"/>
      <c r="O206" s="79">
        <f t="shared" si="5"/>
        <v>1076.66759082225</v>
      </c>
    </row>
    <row r="207" spans="2:15">
      <c r="B207" s="74" t="s">
        <v>1156</v>
      </c>
      <c r="C207" s="55"/>
      <c r="D207" s="94">
        <f>'[18]Rev_SP-12me'!H239</f>
        <v>0</v>
      </c>
      <c r="E207" s="94">
        <f>'[18]Rev_SP-12me'!I239</f>
        <v>0</v>
      </c>
      <c r="F207" s="94">
        <f>'[18]Rev_SP-12me'!K239</f>
        <v>0</v>
      </c>
      <c r="G207" s="94">
        <f>'[18]Rev_SP-12me'!S239</f>
        <v>275</v>
      </c>
      <c r="H207" s="91">
        <f>'[18]Rev_SP-12me'!T239</f>
        <v>6.3</v>
      </c>
      <c r="I207" s="94">
        <f>'[18]Rev_SP-12me'!AC239</f>
        <v>5000</v>
      </c>
      <c r="J207" s="7"/>
      <c r="K207" s="94">
        <f>'[18]Rev_SP-12me'!DM239</f>
        <v>0</v>
      </c>
      <c r="L207" s="94">
        <f>'[18]Rev_SP-12me'!DN239</f>
        <v>0</v>
      </c>
      <c r="M207" s="94">
        <f>'[18]Rev_SP-12me'!DP239</f>
        <v>0</v>
      </c>
      <c r="N207" s="7"/>
      <c r="O207" s="79">
        <f t="shared" si="5"/>
        <v>0</v>
      </c>
    </row>
    <row r="208" ht="15" spans="2:15">
      <c r="B208" s="71" t="s">
        <v>1157</v>
      </c>
      <c r="C208" s="55"/>
      <c r="D208" s="39">
        <f>'[18]Rev_SP-12me'!H247</f>
        <v>2</v>
      </c>
      <c r="E208" s="68">
        <f>'[18]Rev_SP-12me'!I247</f>
        <v>55.3686</v>
      </c>
      <c r="F208" s="68">
        <f>'[18]Rev_SP-12me'!K247</f>
        <v>291.523761861199</v>
      </c>
      <c r="G208" s="68">
        <f>'[18]Rev_SP-12me'!S247</f>
        <v>0</v>
      </c>
      <c r="H208" s="69">
        <f>'[18]Rev_SP-12me'!T247</f>
        <v>0</v>
      </c>
      <c r="I208" s="68">
        <f>'[18]Rev_SP-12me'!AC247</f>
        <v>0</v>
      </c>
      <c r="J208" s="7"/>
      <c r="K208" s="68">
        <f>'[18]Rev_SP-12me'!DM247</f>
        <v>0</v>
      </c>
      <c r="L208" s="68">
        <f>'[18]Rev_SP-12me'!DN247</f>
        <v>177.829494735331</v>
      </c>
      <c r="M208" s="68">
        <f>'[18]Rev_SP-12me'!DP247</f>
        <v>0.012</v>
      </c>
      <c r="N208" s="7"/>
      <c r="O208" s="68">
        <f t="shared" si="5"/>
        <v>177.841494735331</v>
      </c>
    </row>
    <row r="209" spans="2:15">
      <c r="B209" s="74" t="s">
        <v>220</v>
      </c>
      <c r="C209" s="55"/>
      <c r="D209" s="98">
        <f>'[18]Rev_SP-12me'!H248</f>
        <v>2</v>
      </c>
      <c r="E209" s="94">
        <f>'[18]Rev_SP-12me'!I248</f>
        <v>55.3686</v>
      </c>
      <c r="F209" s="94">
        <f>'[18]Rev_SP-12me'!K248</f>
        <v>291.523761861199</v>
      </c>
      <c r="G209" s="94">
        <f>'[18]Rev_SP-12me'!S248</f>
        <v>0</v>
      </c>
      <c r="H209" s="91">
        <f>'[18]Rev_SP-12me'!T248</f>
        <v>6.1</v>
      </c>
      <c r="I209" s="94">
        <f>'[18]Rev_SP-12me'!AC248</f>
        <v>5000</v>
      </c>
      <c r="J209" s="7"/>
      <c r="K209" s="94">
        <f>'[18]Rev_SP-12me'!DM248</f>
        <v>0</v>
      </c>
      <c r="L209" s="94">
        <f>'[18]Rev_SP-12me'!DN248</f>
        <v>177.829494735331</v>
      </c>
      <c r="M209" s="94">
        <f>'[18]Rev_SP-12me'!DP248</f>
        <v>0.012</v>
      </c>
      <c r="N209" s="7"/>
      <c r="O209" s="79">
        <f t="shared" si="5"/>
        <v>177.841494735331</v>
      </c>
    </row>
    <row r="210" ht="15" spans="2:15">
      <c r="B210" s="71" t="s">
        <v>1158</v>
      </c>
      <c r="C210" s="55"/>
      <c r="D210" s="39">
        <f>'[18]Rev_SP-12me'!H249</f>
        <v>0</v>
      </c>
      <c r="E210" s="39">
        <f>'[18]Rev_SP-12me'!I249</f>
        <v>0</v>
      </c>
      <c r="F210" s="39">
        <f>'[18]Rev_SP-12me'!K249</f>
        <v>0</v>
      </c>
      <c r="G210" s="39">
        <f>'[18]Rev_SP-12me'!S249</f>
        <v>0</v>
      </c>
      <c r="H210" s="69">
        <f>'[18]Rev_SP-12me'!T249</f>
        <v>0</v>
      </c>
      <c r="I210" s="68">
        <f>'[18]Rev_SP-12me'!AC249</f>
        <v>0</v>
      </c>
      <c r="J210" s="7"/>
      <c r="K210" s="39">
        <f>'[18]Rev_SP-12me'!DM249</f>
        <v>0</v>
      </c>
      <c r="L210" s="39">
        <f>'[18]Rev_SP-12me'!DN249</f>
        <v>0</v>
      </c>
      <c r="M210" s="39">
        <f>'[18]Rev_SP-12me'!DP249</f>
        <v>0</v>
      </c>
      <c r="N210" s="7"/>
      <c r="O210" s="79">
        <f t="shared" si="5"/>
        <v>0</v>
      </c>
    </row>
    <row r="211" ht="15" spans="2:15">
      <c r="B211" s="88" t="s">
        <v>1159</v>
      </c>
      <c r="C211" s="55"/>
      <c r="D211" s="68">
        <f>'[18]Rev_SP-12me'!H240</f>
        <v>17</v>
      </c>
      <c r="E211" s="68">
        <f>'[18]Rev_SP-12me'!I240</f>
        <v>204.7897425</v>
      </c>
      <c r="F211" s="68">
        <f>'[18]Rev_SP-12me'!K240</f>
        <v>1110.71891549347</v>
      </c>
      <c r="G211" s="68">
        <f>'[18]Rev_SP-12me'!S240</f>
        <v>0</v>
      </c>
      <c r="H211" s="69">
        <f>'[18]Rev_SP-12me'!T240</f>
        <v>0</v>
      </c>
      <c r="I211" s="68">
        <f>'[18]Rev_SP-12me'!AC240</f>
        <v>0</v>
      </c>
      <c r="J211" s="7"/>
      <c r="K211" s="68">
        <f>'[18]Rev_SP-12me'!DM240</f>
        <v>95.432020005</v>
      </c>
      <c r="L211" s="68">
        <f>'[18]Rev_SP-12me'!DN240</f>
        <v>530.674097287335</v>
      </c>
      <c r="M211" s="68">
        <f>'[18]Rev_SP-12me'!DP240</f>
        <v>0.114</v>
      </c>
      <c r="N211" s="7"/>
      <c r="O211" s="68">
        <f t="shared" si="5"/>
        <v>626.220117292335</v>
      </c>
    </row>
    <row r="212" spans="2:15">
      <c r="B212" s="74" t="s">
        <v>1160</v>
      </c>
      <c r="C212" s="55"/>
      <c r="D212" s="94">
        <f>'[18]Rev_SP-12me'!H241</f>
        <v>17</v>
      </c>
      <c r="E212" s="94">
        <f>'[18]Rev_SP-12me'!I241</f>
        <v>204.7897425</v>
      </c>
      <c r="F212" s="94">
        <f>'[18]Rev_SP-12me'!K241</f>
        <v>940.872995139916</v>
      </c>
      <c r="G212" s="94">
        <f>'[18]Rev_SP-12me'!S241</f>
        <v>500</v>
      </c>
      <c r="H212" s="91">
        <f>'[18]Rev_SP-12me'!T241</f>
        <v>5.05</v>
      </c>
      <c r="I212" s="94">
        <f>'[18]Rev_SP-12me'!AC241</f>
        <v>5000</v>
      </c>
      <c r="J212" s="7"/>
      <c r="K212" s="94">
        <f>'[18]Rev_SP-12me'!DM241</f>
        <v>95.432020005</v>
      </c>
      <c r="L212" s="94">
        <f>'[18]Rev_SP-12me'!DN241</f>
        <v>303.897887545657</v>
      </c>
      <c r="M212" s="94">
        <f>'[18]Rev_SP-12me'!DP241</f>
        <v>0.09</v>
      </c>
      <c r="N212" s="7"/>
      <c r="O212" s="79">
        <f t="shared" si="5"/>
        <v>399.419907550657</v>
      </c>
    </row>
    <row r="213" spans="2:15">
      <c r="B213" s="74" t="s">
        <v>1161</v>
      </c>
      <c r="C213" s="55"/>
      <c r="D213" s="94">
        <f>'[18]Rev_SP-12me'!H242</f>
        <v>0</v>
      </c>
      <c r="E213" s="94">
        <f>'[18]Rev_SP-12me'!I242</f>
        <v>0</v>
      </c>
      <c r="F213" s="94">
        <f>'[18]Rev_SP-12me'!K242</f>
        <v>0</v>
      </c>
      <c r="G213" s="94">
        <f>'[18]Rev_SP-12me'!S242</f>
        <v>0</v>
      </c>
      <c r="H213" s="91">
        <f>'[18]Rev_SP-12me'!T242</f>
        <v>0</v>
      </c>
      <c r="I213" s="94">
        <f>'[18]Rev_SP-12me'!AC242</f>
        <v>5000</v>
      </c>
      <c r="J213" s="7"/>
      <c r="K213" s="94">
        <f>'[18]Rev_SP-12me'!DM242</f>
        <v>0</v>
      </c>
      <c r="L213" s="94">
        <f>'[18]Rev_SP-12me'!DN242</f>
        <v>142.702479166667</v>
      </c>
      <c r="M213" s="94">
        <f>'[18]Rev_SP-12me'!DP242</f>
        <v>0</v>
      </c>
      <c r="N213" s="7"/>
      <c r="O213" s="79">
        <f t="shared" si="5"/>
        <v>142.702479166667</v>
      </c>
    </row>
    <row r="214" spans="2:15">
      <c r="B214" s="74" t="s">
        <v>1162</v>
      </c>
      <c r="C214" s="55"/>
      <c r="D214" s="94">
        <f>'[18]Rev_SP-12me'!H243</f>
        <v>0</v>
      </c>
      <c r="E214" s="94">
        <f>'[18]Rev_SP-12me'!I243</f>
        <v>0</v>
      </c>
      <c r="F214" s="94">
        <f>'[18]Rev_SP-12me'!K243</f>
        <v>169.845920353557</v>
      </c>
      <c r="G214" s="94">
        <f>'[18]Rev_SP-12me'!S243</f>
        <v>500</v>
      </c>
      <c r="H214" s="91">
        <f>'[18]Rev_SP-12me'!T243</f>
        <v>4.95</v>
      </c>
      <c r="I214" s="94">
        <f>'[18]Rev_SP-12me'!AC243</f>
        <v>5000</v>
      </c>
      <c r="J214" s="7"/>
      <c r="K214" s="94">
        <f>'[18]Rev_SP-12me'!DM243</f>
        <v>0</v>
      </c>
      <c r="L214" s="94">
        <f>'[18]Rev_SP-12me'!DN243</f>
        <v>64.273730575011</v>
      </c>
      <c r="M214" s="94">
        <f>'[18]Rev_SP-12me'!DP243</f>
        <v>0.024</v>
      </c>
      <c r="N214" s="7"/>
      <c r="O214" s="79">
        <f t="shared" si="5"/>
        <v>64.297730575011</v>
      </c>
    </row>
    <row r="215" spans="2:15">
      <c r="B215" s="74" t="s">
        <v>1163</v>
      </c>
      <c r="C215" s="55"/>
      <c r="D215" s="94">
        <f>'[18]Rev_SP-12me'!H244</f>
        <v>0</v>
      </c>
      <c r="E215" s="94">
        <f>'[18]Rev_SP-12me'!I244</f>
        <v>0</v>
      </c>
      <c r="F215" s="94">
        <f>'[18]Rev_SP-12me'!K244</f>
        <v>0</v>
      </c>
      <c r="G215" s="94">
        <f>'[18]Rev_SP-12me'!S244</f>
        <v>475</v>
      </c>
      <c r="H215" s="91">
        <f>'[18]Rev_SP-12me'!T244</f>
        <v>4.95</v>
      </c>
      <c r="I215" s="94">
        <f>'[18]Rev_SP-12me'!AC244</f>
        <v>5000</v>
      </c>
      <c r="J215" s="7"/>
      <c r="K215" s="94">
        <f>'[18]Rev_SP-12me'!DM244</f>
        <v>0</v>
      </c>
      <c r="L215" s="94">
        <f>'[18]Rev_SP-12me'!DN244</f>
        <v>19.8</v>
      </c>
      <c r="M215" s="94">
        <f>'[18]Rev_SP-12me'!DP244</f>
        <v>0</v>
      </c>
      <c r="N215" s="7"/>
      <c r="O215" s="79">
        <f t="shared" si="5"/>
        <v>19.8</v>
      </c>
    </row>
    <row r="216" ht="15" spans="2:15">
      <c r="B216" s="71" t="s">
        <v>919</v>
      </c>
      <c r="C216" s="55"/>
      <c r="D216" s="68">
        <f>'[18]Rev_SP-12me'!H245</f>
        <v>0</v>
      </c>
      <c r="E216" s="68">
        <f>'[18]Rev_SP-12me'!I245</f>
        <v>0</v>
      </c>
      <c r="F216" s="68">
        <f>'[18]Rev_SP-12me'!K245</f>
        <v>0</v>
      </c>
      <c r="G216" s="68">
        <f>'[18]Rev_SP-12me'!S245</f>
        <v>285</v>
      </c>
      <c r="H216" s="69">
        <f>'[18]Rev_SP-12me'!T245</f>
        <v>7.3</v>
      </c>
      <c r="I216" s="68">
        <f>'[18]Rev_SP-12me'!AC245</f>
        <v>5000</v>
      </c>
      <c r="J216" s="7"/>
      <c r="K216" s="68">
        <f>'[18]Rev_SP-12me'!DM245</f>
        <v>0</v>
      </c>
      <c r="L216" s="68">
        <f>'[18]Rev_SP-12me'!DN245</f>
        <v>0</v>
      </c>
      <c r="M216" s="68">
        <f>'[18]Rev_SP-12me'!DP245</f>
        <v>0</v>
      </c>
      <c r="N216" s="7"/>
      <c r="O216" s="68">
        <f t="shared" si="5"/>
        <v>0</v>
      </c>
    </row>
    <row r="217" ht="15" spans="2:15">
      <c r="B217" s="71" t="s">
        <v>1133</v>
      </c>
      <c r="C217" s="55"/>
      <c r="D217" s="68">
        <f>'[18]Rev_SP-12me'!H246</f>
        <v>0</v>
      </c>
      <c r="E217" s="68">
        <f>'[18]Rev_SP-12me'!I246</f>
        <v>0</v>
      </c>
      <c r="F217" s="68">
        <f>'[18]Rev_SP-12me'!K246</f>
        <v>0</v>
      </c>
      <c r="G217" s="68">
        <f>'[18]Rev_SP-12me'!S246</f>
        <v>500</v>
      </c>
      <c r="H217" s="69">
        <f>'[18]Rev_SP-12me'!T246</f>
        <v>10.8</v>
      </c>
      <c r="I217" s="68">
        <f>'[18]Rev_SP-12me'!AC246</f>
        <v>5000</v>
      </c>
      <c r="J217" s="7"/>
      <c r="K217" s="68">
        <f>'[18]Rev_SP-12me'!DM246</f>
        <v>0</v>
      </c>
      <c r="L217" s="68">
        <f>'[18]Rev_SP-12me'!DN246</f>
        <v>0</v>
      </c>
      <c r="M217" s="68">
        <f>'[18]Rev_SP-12me'!DP246</f>
        <v>0</v>
      </c>
      <c r="N217" s="7"/>
      <c r="O217" s="68">
        <f t="shared" si="5"/>
        <v>0</v>
      </c>
    </row>
    <row r="218" ht="15" spans="2:15">
      <c r="B218" s="77" t="s">
        <v>1164</v>
      </c>
      <c r="C218" s="55"/>
      <c r="D218" s="78">
        <f>SUM(D176,D184,D189,D190,D195,D200,D205,D208,D210,D211,D216,D217)</f>
        <v>98</v>
      </c>
      <c r="E218" s="78">
        <f>SUM(E176,E184,E189,E190,E195,E200,E205,E208,E210,E211,E216,E217)</f>
        <v>1885.0164356226</v>
      </c>
      <c r="F218" s="78">
        <f>SUM(F176,F184,F189,F190,F195,F200,F205,F208,F210,F211,F216,F217)</f>
        <v>8103.7179623087</v>
      </c>
      <c r="G218" s="180"/>
      <c r="H218" s="180"/>
      <c r="I218" s="180"/>
      <c r="J218" s="180"/>
      <c r="K218" s="78">
        <f>SUM(K176,K184,K189,K190,K195,K200,K205,K208,K210,K211,K216,K217)</f>
        <v>636.720566623333</v>
      </c>
      <c r="L218" s="78">
        <f>SUM(L176,L184,L189,L190,L195,L200,L205,L208,L210,L211,L216,L217)</f>
        <v>5120.4575762623</v>
      </c>
      <c r="M218" s="78">
        <f>SUM(M176,M184,M189,M190,M195,M200,M205,M208,M210,M211,M216,M217)</f>
        <v>0.585</v>
      </c>
      <c r="N218" s="78">
        <f>SUM(N176,N184,N189,N190,N195,N200,N205,N208,N210,N211,N216,N217)</f>
        <v>0</v>
      </c>
      <c r="O218" s="78">
        <f>SUM(O176,O184,O189,O190,O195,O200,O205,O208,O210,O211,O216,O217)</f>
        <v>5757.76314288564</v>
      </c>
    </row>
    <row r="219" spans="2:15">
      <c r="B219" s="77"/>
      <c r="C219" s="55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</row>
    <row r="220" ht="15" spans="2:15">
      <c r="B220" s="54" t="s">
        <v>1165</v>
      </c>
      <c r="C220" s="55"/>
      <c r="D220" s="78">
        <f>D125+D173+D218</f>
        <v>12632</v>
      </c>
      <c r="E220" s="78">
        <f>E125+E173+E218</f>
        <v>6533.23262282455</v>
      </c>
      <c r="F220" s="78">
        <f>F125+F173+F218</f>
        <v>24501.8738518558</v>
      </c>
      <c r="G220" s="99"/>
      <c r="H220" s="99"/>
      <c r="I220" s="99"/>
      <c r="J220" s="99"/>
      <c r="K220" s="78">
        <f>K125+K173+K218</f>
        <v>2725.07530013605</v>
      </c>
      <c r="L220" s="78">
        <f>L125+L173+L218</f>
        <v>17630.3898877908</v>
      </c>
      <c r="M220" s="78">
        <f>M125+M173+M218</f>
        <v>33.7611</v>
      </c>
      <c r="N220" s="78">
        <f>N125+N173+N218</f>
        <v>0</v>
      </c>
      <c r="O220" s="78">
        <f>O125+O173+O218</f>
        <v>20389.2262879268</v>
      </c>
    </row>
    <row r="221" ht="15" spans="2:15">
      <c r="B221" s="54" t="s">
        <v>1166</v>
      </c>
      <c r="C221" s="55"/>
      <c r="D221" s="78">
        <f>D220+D70</f>
        <v>10997295</v>
      </c>
      <c r="E221" s="78">
        <f>E220+E70</f>
        <v>30433.8681363934</v>
      </c>
      <c r="F221" s="78">
        <f>F220+F70</f>
        <v>58319.5915327176</v>
      </c>
      <c r="G221" s="99"/>
      <c r="H221" s="99"/>
      <c r="I221" s="99"/>
      <c r="J221" s="99"/>
      <c r="K221" s="80">
        <f>K220+K70</f>
        <v>3404.13347532047</v>
      </c>
      <c r="L221" s="80">
        <f>L220+L70</f>
        <v>28676.7322196623</v>
      </c>
      <c r="M221" s="80">
        <f>M220+M70</f>
        <v>932.9540535</v>
      </c>
      <c r="N221" s="78">
        <f>N220+N70</f>
        <v>0</v>
      </c>
      <c r="O221" s="80">
        <f>O220+O70</f>
        <v>33013.8197484828</v>
      </c>
    </row>
    <row r="223" ht="15" spans="4:5">
      <c r="D223" s="11" t="s">
        <v>225</v>
      </c>
      <c r="E223" s="12"/>
    </row>
    <row r="224" spans="4:5">
      <c r="D224" s="13">
        <v>1</v>
      </c>
      <c r="E224" s="12" t="s">
        <v>226</v>
      </c>
    </row>
    <row r="225" spans="4:5">
      <c r="D225" s="13">
        <f>D224+1</f>
        <v>2</v>
      </c>
      <c r="E225" s="12" t="s">
        <v>233</v>
      </c>
    </row>
  </sheetData>
  <mergeCells count="11">
    <mergeCell ref="B2:P2"/>
    <mergeCell ref="G5:H5"/>
    <mergeCell ref="K5:O5"/>
    <mergeCell ref="B8:C8"/>
    <mergeCell ref="B72:C72"/>
    <mergeCell ref="D5:D6"/>
    <mergeCell ref="E5:E6"/>
    <mergeCell ref="F5:F6"/>
    <mergeCell ref="I5:I6"/>
    <mergeCell ref="J5:J6"/>
    <mergeCell ref="B5:C7"/>
  </mergeCells>
  <printOptions horizontalCentered="1"/>
  <pageMargins left="0.48" right="0.35" top="0.433070866141732" bottom="0.433070866141732" header="0.31496062992126" footer="0.31496062992126"/>
  <pageSetup paperSize="9" scale="42" fitToHeight="9" orientation="landscape"/>
  <headerFooter/>
  <rowBreaks count="2" manualBreakCount="2">
    <brk id="83" max="16383" man="1"/>
    <brk id="173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Q225"/>
  <sheetViews>
    <sheetView showGridLines="0" zoomScale="70" zoomScaleNormal="70" topLeftCell="A3" workbookViewId="0">
      <pane xSplit="3" ySplit="5" topLeftCell="D21" activePane="bottomRight" state="frozen"/>
      <selection/>
      <selection pane="topRight"/>
      <selection pane="bottomLeft"/>
      <selection pane="bottomRight" activeCell="A23" sqref="A23"/>
    </sheetView>
  </sheetViews>
  <sheetFormatPr defaultColWidth="9.14285714285714" defaultRowHeight="14.25"/>
  <cols>
    <col min="1" max="1" width="9.14285714285714" style="12"/>
    <col min="2" max="2" width="33" style="12" customWidth="1"/>
    <col min="3" max="3" width="38.5714285714286" style="12" customWidth="1"/>
    <col min="4" max="4" width="21" style="12" customWidth="1"/>
    <col min="5" max="5" width="16.8571428571429" style="12" customWidth="1"/>
    <col min="6" max="6" width="14" style="12" customWidth="1"/>
    <col min="7" max="7" width="25" style="12" customWidth="1"/>
    <col min="8" max="8" width="21.4285714285714" style="12" customWidth="1"/>
    <col min="9" max="9" width="17.5714285714286" style="12" customWidth="1"/>
    <col min="10" max="10" width="16.1428571428571" style="12" customWidth="1"/>
    <col min="11" max="11" width="25" style="12" customWidth="1"/>
    <col min="12" max="12" width="17.5714285714286" style="12" customWidth="1"/>
    <col min="13" max="13" width="20.4285714285714" style="12" customWidth="1"/>
    <col min="14" max="14" width="17.4285714285714" style="12" customWidth="1"/>
    <col min="15" max="15" width="9.14285714285714" style="12"/>
    <col min="16" max="16" width="13.5714285714286" style="12" customWidth="1"/>
    <col min="17" max="17" width="33.8571428571429" style="12" customWidth="1"/>
    <col min="18" max="16384" width="9.14285714285714" style="12"/>
  </cols>
  <sheetData>
    <row r="2" ht="15" spans="2:15">
      <c r="B2" s="2" t="s">
        <v>156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ht="15" spans="9:9">
      <c r="I3" s="3" t="s">
        <v>1186</v>
      </c>
    </row>
    <row r="5" ht="15" spans="2:14">
      <c r="B5" s="36" t="s">
        <v>159</v>
      </c>
      <c r="C5" s="37"/>
      <c r="D5" s="90" t="s">
        <v>1086</v>
      </c>
      <c r="E5" s="90" t="s">
        <v>1087</v>
      </c>
      <c r="F5" s="38" t="s">
        <v>879</v>
      </c>
      <c r="G5" s="38" t="s">
        <v>1088</v>
      </c>
      <c r="H5" s="38"/>
      <c r="I5" s="90" t="s">
        <v>1089</v>
      </c>
      <c r="J5" s="92" t="s">
        <v>1090</v>
      </c>
      <c r="K5" s="38" t="s">
        <v>1091</v>
      </c>
      <c r="L5" s="38"/>
      <c r="M5" s="38"/>
      <c r="N5" s="38"/>
    </row>
    <row r="6" ht="15" spans="2:14">
      <c r="B6" s="40"/>
      <c r="C6" s="41"/>
      <c r="D6" s="90"/>
      <c r="E6" s="90"/>
      <c r="F6" s="38"/>
      <c r="G6" s="38" t="s">
        <v>1092</v>
      </c>
      <c r="H6" s="38" t="s">
        <v>1093</v>
      </c>
      <c r="I6" s="90"/>
      <c r="J6" s="93"/>
      <c r="K6" s="38" t="s">
        <v>1092</v>
      </c>
      <c r="L6" s="38" t="s">
        <v>1093</v>
      </c>
      <c r="M6" s="38" t="s">
        <v>1089</v>
      </c>
      <c r="N6" s="38" t="s">
        <v>97</v>
      </c>
    </row>
    <row r="7" ht="15" spans="2:14">
      <c r="B7" s="42"/>
      <c r="C7" s="43"/>
      <c r="D7" s="135" t="s">
        <v>1094</v>
      </c>
      <c r="E7" s="135" t="s">
        <v>1095</v>
      </c>
      <c r="F7" s="135" t="s">
        <v>1096</v>
      </c>
      <c r="G7" s="135" t="s">
        <v>1097</v>
      </c>
      <c r="H7" s="135" t="s">
        <v>1098</v>
      </c>
      <c r="I7" s="135" t="s">
        <v>1097</v>
      </c>
      <c r="J7" s="38" t="s">
        <v>297</v>
      </c>
      <c r="K7" s="38" t="s">
        <v>550</v>
      </c>
      <c r="L7" s="38" t="s">
        <v>550</v>
      </c>
      <c r="M7" s="38" t="s">
        <v>550</v>
      </c>
      <c r="N7" s="38" t="s">
        <v>550</v>
      </c>
    </row>
    <row r="8" ht="15" spans="2:14">
      <c r="B8" s="44" t="s">
        <v>890</v>
      </c>
      <c r="C8" s="45"/>
      <c r="J8" s="55"/>
      <c r="K8" s="55"/>
      <c r="L8" s="55"/>
      <c r="M8" s="55"/>
      <c r="N8" s="55"/>
    </row>
    <row r="9" ht="15" spans="2:14">
      <c r="B9" s="46" t="s">
        <v>1000</v>
      </c>
      <c r="C9" s="47"/>
      <c r="D9" s="136">
        <f>'[67]Rev_SP-12me'!AJ10</f>
        <v>8309136</v>
      </c>
      <c r="E9" s="136">
        <f>'[67]Rev_SP-12me'!AL10</f>
        <v>12920</v>
      </c>
      <c r="F9" s="136">
        <f>'[67]Rev_SP-12me'!AQ10</f>
        <v>11473.8264427974</v>
      </c>
      <c r="G9" s="153"/>
      <c r="H9" s="185"/>
      <c r="I9" s="153"/>
      <c r="J9" s="55"/>
      <c r="K9" s="136">
        <f>'[67]Rev_SP-12me'!AT10</f>
        <v>155.04</v>
      </c>
      <c r="L9" s="136">
        <f>'[67]Rev_SP-12me'!AU10</f>
        <v>5469.40144102544</v>
      </c>
      <c r="M9" s="136">
        <f>'[67]Rev_SP-12me'!AW10</f>
        <v>688.640478</v>
      </c>
      <c r="N9" s="137">
        <f t="shared" ref="N9:N40" si="0">SUM(K9:M9)</f>
        <v>6313.08191902544</v>
      </c>
    </row>
    <row r="10" spans="2:14">
      <c r="B10" s="50" t="s">
        <v>1001</v>
      </c>
      <c r="C10" s="47"/>
      <c r="D10" s="138">
        <f>'[67]Rev_SP-12me'!AJ11</f>
        <v>4531836</v>
      </c>
      <c r="E10" s="138">
        <f>'[67]Rev_SP-12me'!AL11</f>
        <v>4841.16426945736</v>
      </c>
      <c r="F10" s="138">
        <f>'[67]Rev_SP-12me'!AQ11</f>
        <v>2385.91096265481</v>
      </c>
      <c r="G10" s="153"/>
      <c r="H10" s="185"/>
      <c r="I10" s="153"/>
      <c r="J10" s="55"/>
      <c r="K10" s="138">
        <f>'[67]Rev_SP-12me'!AT11</f>
        <v>58.0939712334883</v>
      </c>
      <c r="L10" s="138">
        <f>'[67]Rev_SP-12me'!AU11</f>
        <v>535.816521924513</v>
      </c>
      <c r="M10" s="138">
        <f>'[67]Rev_SP-12me'!AW11</f>
        <v>305.20092</v>
      </c>
      <c r="N10" s="101">
        <f t="shared" si="0"/>
        <v>899.111413158001</v>
      </c>
    </row>
    <row r="11" spans="2:14">
      <c r="B11" s="52" t="s">
        <v>1002</v>
      </c>
      <c r="C11" s="47"/>
      <c r="D11" s="139">
        <f>'[67]Rev_SP-12me'!AJ12</f>
        <v>2447853</v>
      </c>
      <c r="E11" s="139">
        <f>'[67]Rev_SP-12me'!AL12</f>
        <v>2562.35803949017</v>
      </c>
      <c r="F11" s="139">
        <f>'[67]Rev_SP-12me'!AQ12</f>
        <v>1772.31196955199</v>
      </c>
      <c r="G11" s="153">
        <f>'[67]Rev_SP-12me'!O12</f>
        <v>10</v>
      </c>
      <c r="H11" s="101">
        <f>'[67]Rev_SP-12me'!P12</f>
        <v>1.95</v>
      </c>
      <c r="I11" s="153">
        <f>'[67]Rev_SP-12me'!AA12</f>
        <v>40</v>
      </c>
      <c r="J11" s="55"/>
      <c r="K11" s="139">
        <f>'[67]Rev_SP-12me'!AT12</f>
        <v>30.7482964738821</v>
      </c>
      <c r="L11" s="139">
        <f>'[67]Rev_SP-12me'!AU12</f>
        <v>345.600834062637</v>
      </c>
      <c r="M11" s="139">
        <f>'[67]Rev_SP-12me'!AW12</f>
        <v>123.680616</v>
      </c>
      <c r="N11" s="101">
        <f t="shared" si="0"/>
        <v>500.029746536519</v>
      </c>
    </row>
    <row r="12" spans="2:14">
      <c r="B12" s="52" t="s">
        <v>1004</v>
      </c>
      <c r="C12" s="47"/>
      <c r="D12" s="139">
        <f>'[67]Rev_SP-12me'!AJ13</f>
        <v>2083983</v>
      </c>
      <c r="E12" s="139">
        <f>'[67]Rev_SP-12me'!AL13</f>
        <v>2278.80622996719</v>
      </c>
      <c r="F12" s="139">
        <f>'[67]Rev_SP-12me'!AQ13</f>
        <v>613.598993102826</v>
      </c>
      <c r="G12" s="153">
        <f>'[67]Rev_SP-12me'!O13</f>
        <v>10</v>
      </c>
      <c r="H12" s="101">
        <f>'[67]Rev_SP-12me'!P13</f>
        <v>3.1</v>
      </c>
      <c r="I12" s="153">
        <f>'[67]Rev_SP-12me'!AA13</f>
        <v>70</v>
      </c>
      <c r="J12" s="55"/>
      <c r="K12" s="139">
        <f>'[67]Rev_SP-12me'!AT13</f>
        <v>27.3456747596062</v>
      </c>
      <c r="L12" s="139">
        <f>'[67]Rev_SP-12me'!AU13</f>
        <v>190.215687861876</v>
      </c>
      <c r="M12" s="139">
        <f>'[67]Rev_SP-12me'!AW13</f>
        <v>181.520304</v>
      </c>
      <c r="N12" s="101">
        <f t="shared" si="0"/>
        <v>399.081666621482</v>
      </c>
    </row>
    <row r="13" spans="2:14">
      <c r="B13" s="50" t="s">
        <v>1005</v>
      </c>
      <c r="C13" s="47"/>
      <c r="D13" s="138">
        <f>'[67]Rev_SP-12me'!AJ14</f>
        <v>2439619</v>
      </c>
      <c r="E13" s="138">
        <f>'[67]Rev_SP-12me'!AL14</f>
        <v>3981.35685802091</v>
      </c>
      <c r="F13" s="138">
        <f>'[67]Rev_SP-12me'!AQ14</f>
        <v>3895.78581543346</v>
      </c>
      <c r="G13" s="153"/>
      <c r="H13" s="101"/>
      <c r="I13" s="153"/>
      <c r="J13" s="55"/>
      <c r="K13" s="138">
        <f>'[67]Rev_SP-12me'!AT14</f>
        <v>47.7762822962509</v>
      </c>
      <c r="L13" s="138">
        <f>'[67]Rev_SP-12me'!AU14</f>
        <v>1485.55947463375</v>
      </c>
      <c r="M13" s="138">
        <f>'[67]Rev_SP-12me'!AW14</f>
        <v>243.91449</v>
      </c>
      <c r="N13" s="101">
        <f t="shared" si="0"/>
        <v>1777.25024693</v>
      </c>
    </row>
    <row r="14" spans="2:14">
      <c r="B14" s="52" t="s">
        <v>1006</v>
      </c>
      <c r="C14" s="47"/>
      <c r="D14" s="139">
        <f>'[67]Rev_SP-12me'!AJ15</f>
        <v>0</v>
      </c>
      <c r="E14" s="139">
        <f>'[67]Rev_SP-12me'!AL15</f>
        <v>0</v>
      </c>
      <c r="F14" s="139">
        <f>'[67]Rev_SP-12me'!AQ15</f>
        <v>2745.8408341022</v>
      </c>
      <c r="G14" s="153">
        <f>'[67]Rev_SP-12me'!O15</f>
        <v>10</v>
      </c>
      <c r="H14" s="101">
        <f>'[67]Rev_SP-12me'!P15</f>
        <v>3.4</v>
      </c>
      <c r="I14" s="153"/>
      <c r="J14" s="55"/>
      <c r="K14" s="139">
        <f>'[67]Rev_SP-12me'!AT15</f>
        <v>0</v>
      </c>
      <c r="L14" s="139">
        <f>'[67]Rev_SP-12me'!AU15</f>
        <v>933.585883594748</v>
      </c>
      <c r="M14" s="139">
        <f>'[67]Rev_SP-12me'!AW15</f>
        <v>0</v>
      </c>
      <c r="N14" s="101">
        <f t="shared" si="0"/>
        <v>933.585883594748</v>
      </c>
    </row>
    <row r="15" spans="2:14">
      <c r="B15" s="52" t="s">
        <v>1007</v>
      </c>
      <c r="C15" s="47"/>
      <c r="D15" s="139">
        <f>'[67]Rev_SP-12me'!AJ16</f>
        <v>2439619</v>
      </c>
      <c r="E15" s="139">
        <f>'[67]Rev_SP-12me'!AL16</f>
        <v>3981.35685802091</v>
      </c>
      <c r="F15" s="139">
        <f>'[67]Rev_SP-12me'!AQ16</f>
        <v>1149.94498133126</v>
      </c>
      <c r="G15" s="153">
        <f>'[67]Rev_SP-12me'!O16</f>
        <v>10</v>
      </c>
      <c r="H15" s="101">
        <f>'[67]Rev_SP-12me'!P16</f>
        <v>4.8</v>
      </c>
      <c r="I15" s="153">
        <f>'[67]Rev_SP-12me'!AA16</f>
        <v>90</v>
      </c>
      <c r="J15" s="55"/>
      <c r="K15" s="139">
        <f>'[67]Rev_SP-12me'!AT16</f>
        <v>47.7762822962509</v>
      </c>
      <c r="L15" s="139">
        <f>'[67]Rev_SP-12me'!AU16</f>
        <v>551.973591039006</v>
      </c>
      <c r="M15" s="139">
        <f>'[67]Rev_SP-12me'!AW16</f>
        <v>243.91449</v>
      </c>
      <c r="N15" s="101">
        <f t="shared" si="0"/>
        <v>843.664363335257</v>
      </c>
    </row>
    <row r="16" spans="2:14">
      <c r="B16" s="50" t="s">
        <v>1008</v>
      </c>
      <c r="C16" s="47"/>
      <c r="D16" s="138">
        <f>'[67]Rev_SP-12me'!AJ17</f>
        <v>1337681</v>
      </c>
      <c r="E16" s="138">
        <f>'[67]Rev_SP-12me'!AL17</f>
        <v>4097.47887252173</v>
      </c>
      <c r="F16" s="138">
        <f>'[67]Rev_SP-12me'!AQ17</f>
        <v>5192.12966470916</v>
      </c>
      <c r="G16" s="153"/>
      <c r="H16" s="101"/>
      <c r="I16" s="153"/>
      <c r="J16" s="55"/>
      <c r="K16" s="138">
        <f>'[67]Rev_SP-12me'!AT17</f>
        <v>49.1697464702608</v>
      </c>
      <c r="L16" s="138">
        <f>'[67]Rev_SP-12me'!AU17</f>
        <v>3448.02544446718</v>
      </c>
      <c r="M16" s="138">
        <f>'[67]Rev_SP-12me'!AW17</f>
        <v>139.525068</v>
      </c>
      <c r="N16" s="101">
        <f t="shared" si="0"/>
        <v>3636.72025893744</v>
      </c>
    </row>
    <row r="17" spans="2:14">
      <c r="B17" s="52" t="s">
        <v>1009</v>
      </c>
      <c r="C17" s="47"/>
      <c r="D17" s="139">
        <f>'[67]Rev_SP-12me'!AJ18</f>
        <v>0</v>
      </c>
      <c r="E17" s="139">
        <f>'[67]Rev_SP-12me'!AL18</f>
        <v>0</v>
      </c>
      <c r="F17" s="139">
        <f>'[67]Rev_SP-12me'!AQ18</f>
        <v>2963.72526800487</v>
      </c>
      <c r="G17" s="153">
        <f>'[67]Rev_SP-12me'!O18</f>
        <v>10</v>
      </c>
      <c r="H17" s="101">
        <f>'[67]Rev_SP-12me'!P18</f>
        <v>5.1</v>
      </c>
      <c r="I17" s="153"/>
      <c r="J17" s="55"/>
      <c r="K17" s="139">
        <f>'[67]Rev_SP-12me'!AT18</f>
        <v>0</v>
      </c>
      <c r="L17" s="139">
        <f>'[67]Rev_SP-12me'!AU18</f>
        <v>1511.49988668249</v>
      </c>
      <c r="M17" s="139">
        <f>'[67]Rev_SP-12me'!AW18</f>
        <v>0</v>
      </c>
      <c r="N17" s="101">
        <f t="shared" si="0"/>
        <v>1511.49988668249</v>
      </c>
    </row>
    <row r="18" spans="2:14">
      <c r="B18" s="52" t="s">
        <v>1010</v>
      </c>
      <c r="C18" s="47"/>
      <c r="D18" s="139">
        <f>'[67]Rev_SP-12me'!AJ19</f>
        <v>825845</v>
      </c>
      <c r="E18" s="139">
        <f>'[67]Rev_SP-12me'!AL19</f>
        <v>2035.62338463807</v>
      </c>
      <c r="F18" s="139">
        <f>'[67]Rev_SP-12me'!AQ19</f>
        <v>966.725687041103</v>
      </c>
      <c r="G18" s="153">
        <f>'[67]Rev_SP-12me'!O19</f>
        <v>10</v>
      </c>
      <c r="H18" s="101">
        <f>'[67]Rev_SP-12me'!P19</f>
        <v>7.7</v>
      </c>
      <c r="I18" s="153">
        <f>'[67]Rev_SP-12me'!AA19</f>
        <v>100</v>
      </c>
      <c r="J18" s="55"/>
      <c r="K18" s="139">
        <f>'[67]Rev_SP-12me'!AT19</f>
        <v>24.4274806156568</v>
      </c>
      <c r="L18" s="139">
        <f>'[67]Rev_SP-12me'!AU19</f>
        <v>744.378779021649</v>
      </c>
      <c r="M18" s="139">
        <f>'[67]Rev_SP-12me'!AW19</f>
        <v>79.35516</v>
      </c>
      <c r="N18" s="101">
        <f t="shared" si="0"/>
        <v>848.161419637306</v>
      </c>
    </row>
    <row r="19" spans="2:14">
      <c r="B19" s="52" t="s">
        <v>1011</v>
      </c>
      <c r="C19" s="47"/>
      <c r="D19" s="139">
        <f>'[67]Rev_SP-12me'!AJ20</f>
        <v>275619</v>
      </c>
      <c r="E19" s="139">
        <f>'[67]Rev_SP-12me'!AL20</f>
        <v>871.523539925073</v>
      </c>
      <c r="F19" s="139">
        <f>'[67]Rev_SP-12me'!AQ20</f>
        <v>434.125943632544</v>
      </c>
      <c r="G19" s="153">
        <f>'[67]Rev_SP-12me'!O20</f>
        <v>10</v>
      </c>
      <c r="H19" s="101">
        <f>'[67]Rev_SP-12me'!P20</f>
        <v>9</v>
      </c>
      <c r="I19" s="153">
        <f>'[67]Rev_SP-12me'!AA20</f>
        <v>120</v>
      </c>
      <c r="J19" s="55"/>
      <c r="K19" s="139">
        <f>'[67]Rev_SP-12me'!AT20</f>
        <v>10.4582824791009</v>
      </c>
      <c r="L19" s="139">
        <f>'[67]Rev_SP-12me'!AU20</f>
        <v>390.71334926929</v>
      </c>
      <c r="M19" s="139">
        <f>'[67]Rev_SP-12me'!AW20</f>
        <v>29.69604</v>
      </c>
      <c r="N19" s="101">
        <f t="shared" si="0"/>
        <v>430.867671748391</v>
      </c>
    </row>
    <row r="20" spans="2:14">
      <c r="B20" s="52" t="s">
        <v>1012</v>
      </c>
      <c r="C20" s="47"/>
      <c r="D20" s="139">
        <f>'[67]Rev_SP-12me'!AJ21</f>
        <v>198415</v>
      </c>
      <c r="E20" s="139">
        <f>'[67]Rev_SP-12me'!AL21</f>
        <v>827.61209487966</v>
      </c>
      <c r="F20" s="139">
        <f>'[67]Rev_SP-12me'!AQ21</f>
        <v>522.386730737686</v>
      </c>
      <c r="G20" s="153">
        <f>'[67]Rev_SP-12me'!O21</f>
        <v>10</v>
      </c>
      <c r="H20" s="101">
        <f>'[67]Rev_SP-12me'!P21</f>
        <v>9.5</v>
      </c>
      <c r="I20" s="153">
        <f>'[67]Rev_SP-12me'!AA21</f>
        <v>140</v>
      </c>
      <c r="J20" s="55"/>
      <c r="K20" s="139">
        <f>'[67]Rev_SP-12me'!AT21</f>
        <v>9.93134513855592</v>
      </c>
      <c r="L20" s="139">
        <f>'[67]Rev_SP-12me'!AU21</f>
        <v>496.267394200802</v>
      </c>
      <c r="M20" s="139">
        <f>'[67]Rev_SP-12me'!AW21</f>
        <v>24.63678</v>
      </c>
      <c r="N20" s="101">
        <f t="shared" si="0"/>
        <v>530.835519339358</v>
      </c>
    </row>
    <row r="21" spans="2:14">
      <c r="B21" s="52" t="s">
        <v>1013</v>
      </c>
      <c r="C21" s="47"/>
      <c r="D21" s="139">
        <f>'[67]Rev_SP-12me'!AJ22</f>
        <v>37802</v>
      </c>
      <c r="E21" s="139">
        <f>'[67]Rev_SP-12me'!AL22</f>
        <v>362.719853078931</v>
      </c>
      <c r="F21" s="139">
        <f>'[67]Rev_SP-12me'!AQ22</f>
        <v>305.16603529295</v>
      </c>
      <c r="G21" s="153">
        <f>'[67]Rev_SP-12me'!O22</f>
        <v>10</v>
      </c>
      <c r="H21" s="101">
        <f>'[67]Rev_SP-12me'!P22</f>
        <v>10</v>
      </c>
      <c r="I21" s="153">
        <f>'[67]Rev_SP-12me'!AA22</f>
        <v>160</v>
      </c>
      <c r="J21" s="55"/>
      <c r="K21" s="139">
        <f>'[67]Rev_SP-12me'!AT22</f>
        <v>4.35263823694717</v>
      </c>
      <c r="L21" s="139">
        <f>'[67]Rev_SP-12me'!AU22</f>
        <v>305.16603529295</v>
      </c>
      <c r="M21" s="139">
        <f>'[67]Rev_SP-12me'!AW22</f>
        <v>5.837088</v>
      </c>
      <c r="N21" s="101">
        <f t="shared" si="0"/>
        <v>315.355761529897</v>
      </c>
    </row>
    <row r="22" ht="15" spans="2:14">
      <c r="B22" s="54" t="s">
        <v>1014</v>
      </c>
      <c r="C22" s="55"/>
      <c r="D22" s="136">
        <f>'[67]Rev_SP-12me'!AJ23</f>
        <v>1238732</v>
      </c>
      <c r="E22" s="136">
        <f>'[67]Rev_SP-12me'!AL23</f>
        <v>4240</v>
      </c>
      <c r="F22" s="136">
        <f>'[67]Rev_SP-12me'!AQ23</f>
        <v>4147.96617049626</v>
      </c>
      <c r="G22" s="153"/>
      <c r="H22" s="101"/>
      <c r="I22" s="153"/>
      <c r="J22" s="55"/>
      <c r="K22" s="136">
        <f>'[67]Rev_SP-12me'!AT23</f>
        <v>343.825130439376</v>
      </c>
      <c r="L22" s="136">
        <f>'[67]Rev_SP-12me'!AU23</f>
        <v>4239.20395571748</v>
      </c>
      <c r="M22" s="136">
        <f>'[67]Rev_SP-12me'!AW23</f>
        <v>116.878419</v>
      </c>
      <c r="N22" s="137">
        <f t="shared" si="0"/>
        <v>4699.90750515686</v>
      </c>
    </row>
    <row r="23" spans="2:14">
      <c r="B23" s="56" t="s">
        <v>1015</v>
      </c>
      <c r="C23" s="55"/>
      <c r="D23" s="138">
        <f>'[67]Rev_SP-12me'!AJ24</f>
        <v>571811</v>
      </c>
      <c r="E23" s="138">
        <f>'[67]Rev_SP-12me'!AL24</f>
        <v>1013.52178667271</v>
      </c>
      <c r="F23" s="138">
        <f>'[67]Rev_SP-12me'!AQ24</f>
        <v>103.356981263684</v>
      </c>
      <c r="G23" s="153"/>
      <c r="H23" s="101"/>
      <c r="I23" s="153"/>
      <c r="J23" s="55"/>
      <c r="K23" s="138">
        <f>'[67]Rev_SP-12me'!AT24</f>
        <v>72.9735686404349</v>
      </c>
      <c r="L23" s="138">
        <f>'[67]Rev_SP-12me'!AU24</f>
        <v>72.349886884579</v>
      </c>
      <c r="M23" s="138">
        <f>'[67]Rev_SP-12me'!AW24</f>
        <v>34.46214</v>
      </c>
      <c r="N23" s="101">
        <f t="shared" si="0"/>
        <v>179.785595525014</v>
      </c>
    </row>
    <row r="24" spans="2:14">
      <c r="B24" s="140" t="s">
        <v>1002</v>
      </c>
      <c r="C24" s="55"/>
      <c r="D24" s="139">
        <f>'[67]Rev_SP-12me'!AJ25</f>
        <v>571811</v>
      </c>
      <c r="E24" s="139">
        <f>'[67]Rev_SP-12me'!AL25</f>
        <v>1013.52178667271</v>
      </c>
      <c r="F24" s="139">
        <f>'[67]Rev_SP-12me'!AQ25</f>
        <v>103.356981263684</v>
      </c>
      <c r="G24" s="153">
        <f>'[67]Rev_SP-12me'!O25</f>
        <v>60</v>
      </c>
      <c r="H24" s="101">
        <f>'[67]Rev_SP-12me'!P25</f>
        <v>7</v>
      </c>
      <c r="I24" s="153">
        <f>'[67]Rev_SP-12me'!AA25</f>
        <v>50</v>
      </c>
      <c r="J24" s="55"/>
      <c r="K24" s="139">
        <f>'[67]Rev_SP-12me'!AT25</f>
        <v>72.9735686404349</v>
      </c>
      <c r="L24" s="139">
        <f>'[67]Rev_SP-12me'!AU25</f>
        <v>72.349886884579</v>
      </c>
      <c r="M24" s="139">
        <f>'[67]Rev_SP-12me'!AW25</f>
        <v>34.46214</v>
      </c>
      <c r="N24" s="101">
        <f t="shared" si="0"/>
        <v>179.785595525014</v>
      </c>
    </row>
    <row r="25" spans="2:14">
      <c r="B25" s="56" t="s">
        <v>1016</v>
      </c>
      <c r="C25" s="55"/>
      <c r="D25" s="138">
        <f>'[67]Rev_SP-12me'!AJ26</f>
        <v>650970</v>
      </c>
      <c r="E25" s="138">
        <f>'[67]Rev_SP-12me'!AL26</f>
        <v>3204.78930983204</v>
      </c>
      <c r="F25" s="138">
        <f>'[67]Rev_SP-12me'!AQ26</f>
        <v>4033.11439725458</v>
      </c>
      <c r="G25" s="153"/>
      <c r="H25" s="101"/>
      <c r="I25" s="153"/>
      <c r="J25" s="55"/>
      <c r="K25" s="138">
        <f>'[67]Rev_SP-12me'!AT26</f>
        <v>269.202302025892</v>
      </c>
      <c r="L25" s="138">
        <f>'[67]Rev_SP-12me'!AU26</f>
        <v>4156.01804443367</v>
      </c>
      <c r="M25" s="138">
        <f>'[67]Rev_SP-12me'!AW26</f>
        <v>81.214347</v>
      </c>
      <c r="N25" s="101">
        <f t="shared" si="0"/>
        <v>4506.43469345956</v>
      </c>
    </row>
    <row r="26" spans="2:14">
      <c r="B26" s="58" t="s">
        <v>1006</v>
      </c>
      <c r="C26" s="55"/>
      <c r="D26" s="139">
        <f>'[67]Rev_SP-12me'!AJ27</f>
        <v>206445</v>
      </c>
      <c r="E26" s="139">
        <f>'[67]Rev_SP-12me'!AL27</f>
        <v>358.570178296888</v>
      </c>
      <c r="F26" s="139">
        <f>'[67]Rev_SP-12me'!AQ27</f>
        <v>728.71303927241</v>
      </c>
      <c r="G26" s="153">
        <f>'[67]Rev_SP-12me'!O27</f>
        <v>70</v>
      </c>
      <c r="H26" s="101">
        <f>'[67]Rev_SP-12me'!P27</f>
        <v>8.5</v>
      </c>
      <c r="I26" s="153">
        <f>'[67]Rev_SP-12me'!AA27</f>
        <v>90</v>
      </c>
      <c r="J26" s="55"/>
      <c r="K26" s="139">
        <f>'[67]Rev_SP-12me'!AT27</f>
        <v>30.1198949769386</v>
      </c>
      <c r="L26" s="139">
        <f>'[67]Rev_SP-12me'!AU27</f>
        <v>619.406083381549</v>
      </c>
      <c r="M26" s="139">
        <f>'[67]Rev_SP-12me'!AW27</f>
        <v>21.102984</v>
      </c>
      <c r="N26" s="101">
        <f t="shared" si="0"/>
        <v>670.628962358488</v>
      </c>
    </row>
    <row r="27" spans="2:14">
      <c r="B27" s="58" t="s">
        <v>1017</v>
      </c>
      <c r="C27" s="55"/>
      <c r="D27" s="139">
        <f>'[67]Rev_SP-12me'!AJ28</f>
        <v>252600</v>
      </c>
      <c r="E27" s="139">
        <f>'[67]Rev_SP-12me'!AL28</f>
        <v>657.90534263401</v>
      </c>
      <c r="F27" s="139">
        <f>'[67]Rev_SP-12me'!AQ28</f>
        <v>691.073123423813</v>
      </c>
      <c r="G27" s="153">
        <f>'[67]Rev_SP-12me'!O28</f>
        <v>70</v>
      </c>
      <c r="H27" s="101">
        <f>'[67]Rev_SP-12me'!P28</f>
        <v>9.9</v>
      </c>
      <c r="I27" s="153">
        <f>'[67]Rev_SP-12me'!AA28</f>
        <v>105</v>
      </c>
      <c r="J27" s="55"/>
      <c r="K27" s="139">
        <f>'[67]Rev_SP-12me'!AT28</f>
        <v>55.2640487812568</v>
      </c>
      <c r="L27" s="139">
        <f>'[67]Rev_SP-12me'!AU28</f>
        <v>684.162392189575</v>
      </c>
      <c r="M27" s="139">
        <f>'[67]Rev_SP-12me'!AW28</f>
        <v>29.353779</v>
      </c>
      <c r="N27" s="101">
        <f t="shared" si="0"/>
        <v>768.780219970832</v>
      </c>
    </row>
    <row r="28" spans="2:14">
      <c r="B28" s="58" t="s">
        <v>1018</v>
      </c>
      <c r="C28" s="55"/>
      <c r="D28" s="139">
        <f>'[67]Rev_SP-12me'!AJ29</f>
        <v>67797</v>
      </c>
      <c r="E28" s="139">
        <f>'[67]Rev_SP-12me'!AL29</f>
        <v>312.8876478247</v>
      </c>
      <c r="F28" s="139">
        <f>'[67]Rev_SP-12me'!AQ29</f>
        <v>370.191485860811</v>
      </c>
      <c r="G28" s="153">
        <f>'[67]Rev_SP-12me'!O29</f>
        <v>70</v>
      </c>
      <c r="H28" s="101">
        <f>'[67]Rev_SP-12me'!P29</f>
        <v>10.4</v>
      </c>
      <c r="I28" s="153">
        <f>'[67]Rev_SP-12me'!AA29</f>
        <v>120</v>
      </c>
      <c r="J28" s="55"/>
      <c r="K28" s="139">
        <f>'[67]Rev_SP-12me'!AT29</f>
        <v>26.2825624172748</v>
      </c>
      <c r="L28" s="139">
        <f>'[67]Rev_SP-12me'!AU29</f>
        <v>384.999145295244</v>
      </c>
      <c r="M28" s="139">
        <f>'[67]Rev_SP-12me'!AW29</f>
        <v>8.895312</v>
      </c>
      <c r="N28" s="101">
        <f t="shared" si="0"/>
        <v>420.177019712519</v>
      </c>
    </row>
    <row r="29" spans="2:14">
      <c r="B29" s="58" t="s">
        <v>1019</v>
      </c>
      <c r="C29" s="55"/>
      <c r="D29" s="139">
        <f>'[67]Rev_SP-12me'!AJ30</f>
        <v>124128</v>
      </c>
      <c r="E29" s="139">
        <f>'[67]Rev_SP-12me'!AL30</f>
        <v>1875.42614107644</v>
      </c>
      <c r="F29" s="139">
        <f>'[67]Rev_SP-12me'!AQ30</f>
        <v>2243.13674869754</v>
      </c>
      <c r="G29" s="153">
        <f>'[67]Rev_SP-12me'!O30</f>
        <v>70</v>
      </c>
      <c r="H29" s="101">
        <f>'[67]Rev_SP-12me'!P30</f>
        <v>11</v>
      </c>
      <c r="I29" s="153">
        <f>'[67]Rev_SP-12me'!AA30</f>
        <v>160</v>
      </c>
      <c r="J29" s="55"/>
      <c r="K29" s="139">
        <f>'[67]Rev_SP-12me'!AT30</f>
        <v>157.535795850421</v>
      </c>
      <c r="L29" s="139">
        <f>'[67]Rev_SP-12me'!AU30</f>
        <v>2467.4504235673</v>
      </c>
      <c r="M29" s="139">
        <f>'[67]Rev_SP-12me'!AW30</f>
        <v>21.862272</v>
      </c>
      <c r="N29" s="101">
        <f t="shared" si="0"/>
        <v>2646.84849141772</v>
      </c>
    </row>
    <row r="30" spans="2:14">
      <c r="B30" s="56" t="s">
        <v>1020</v>
      </c>
      <c r="C30" s="55"/>
      <c r="D30" s="138">
        <f>'[67]Rev_SP-12me'!AJ31</f>
        <v>2386</v>
      </c>
      <c r="E30" s="138">
        <f>'[67]Rev_SP-12me'!AL31</f>
        <v>7.30489344929642</v>
      </c>
      <c r="F30" s="138">
        <f>'[67]Rev_SP-12me'!AQ31</f>
        <v>5.77332180955847</v>
      </c>
      <c r="G30" s="153">
        <f>'[67]Rev_SP-12me'!O31</f>
        <v>70</v>
      </c>
      <c r="H30" s="101">
        <f>'[67]Rev_SP-12me'!P31</f>
        <v>13</v>
      </c>
      <c r="I30" s="153">
        <f>'[67]Rev_SP-12me'!AA31</f>
        <v>160</v>
      </c>
      <c r="J30" s="55"/>
      <c r="K30" s="138">
        <f>'[67]Rev_SP-12me'!AT31</f>
        <v>0.613611049740899</v>
      </c>
      <c r="L30" s="138">
        <f>'[67]Rev_SP-12me'!AU31</f>
        <v>7.50531835242601</v>
      </c>
      <c r="M30" s="138">
        <f>'[67]Rev_SP-12me'!AW31</f>
        <v>0.446976</v>
      </c>
      <c r="N30" s="101">
        <f t="shared" si="0"/>
        <v>8.56590540216691</v>
      </c>
    </row>
    <row r="31" spans="2:14">
      <c r="B31" s="56" t="s">
        <v>1021</v>
      </c>
      <c r="C31" s="55"/>
      <c r="D31" s="138">
        <f>'[67]Rev_SP-12me'!AJ32</f>
        <v>13565</v>
      </c>
      <c r="E31" s="138">
        <f>'[67]Rev_SP-12me'!AL32</f>
        <v>14.3840100459541</v>
      </c>
      <c r="F31" s="138">
        <f>'[67]Rev_SP-12me'!AQ32</f>
        <v>5.72147016843429</v>
      </c>
      <c r="G31" s="153"/>
      <c r="H31" s="101"/>
      <c r="I31" s="153"/>
      <c r="J31" s="55"/>
      <c r="K31" s="138">
        <f>'[67]Rev_SP-12me'!AT32</f>
        <v>1.0356487233087</v>
      </c>
      <c r="L31" s="138">
        <f>'[67]Rev_SP-12me'!AU32</f>
        <v>3.33070604680903</v>
      </c>
      <c r="M31" s="138">
        <f>'[67]Rev_SP-12me'!AW32</f>
        <v>0.754956</v>
      </c>
      <c r="N31" s="101">
        <f t="shared" si="0"/>
        <v>5.12131077011773</v>
      </c>
    </row>
    <row r="32" spans="2:14">
      <c r="B32" s="58" t="s">
        <v>1002</v>
      </c>
      <c r="C32" s="55"/>
      <c r="D32" s="139">
        <f>'[67]Rev_SP-12me'!AJ33</f>
        <v>9975</v>
      </c>
      <c r="E32" s="139">
        <f>'[67]Rev_SP-12me'!AL33</f>
        <v>10.513363667707</v>
      </c>
      <c r="F32" s="139">
        <f>'[67]Rev_SP-12me'!AQ33</f>
        <v>3.80137270422356</v>
      </c>
      <c r="G32" s="153">
        <f>'[67]Rev_SP-12me'!O33</f>
        <v>60</v>
      </c>
      <c r="H32" s="101">
        <f>'[67]Rev_SP-12me'!P33</f>
        <v>5.3</v>
      </c>
      <c r="I32" s="153">
        <f>'[67]Rev_SP-12me'!AA33</f>
        <v>45</v>
      </c>
      <c r="J32" s="55"/>
      <c r="K32" s="139">
        <f>'[67]Rev_SP-12me'!AT33</f>
        <v>0.756962184074905</v>
      </c>
      <c r="L32" s="139">
        <f>'[67]Rev_SP-12me'!AU33</f>
        <v>2.01472753323849</v>
      </c>
      <c r="M32" s="139">
        <f>'[67]Rev_SP-12me'!AW33</f>
        <v>0.527013</v>
      </c>
      <c r="N32" s="101">
        <f t="shared" si="0"/>
        <v>3.29870271731339</v>
      </c>
    </row>
    <row r="33" spans="2:14">
      <c r="B33" s="58" t="s">
        <v>1022</v>
      </c>
      <c r="C33" s="55"/>
      <c r="D33" s="139">
        <f>'[67]Rev_SP-12me'!AJ34</f>
        <v>2387</v>
      </c>
      <c r="E33" s="139">
        <f>'[67]Rev_SP-12me'!AL34</f>
        <v>2.49512428630846</v>
      </c>
      <c r="F33" s="139">
        <f>'[67]Rev_SP-12me'!AQ34</f>
        <v>1.37882871763885</v>
      </c>
      <c r="G33" s="153">
        <f>'[67]Rev_SP-12me'!O34</f>
        <v>60</v>
      </c>
      <c r="H33" s="101">
        <f>'[67]Rev_SP-12me'!P34</f>
        <v>6.6</v>
      </c>
      <c r="I33" s="153">
        <f>'[67]Rev_SP-12me'!AA34</f>
        <v>55</v>
      </c>
      <c r="J33" s="55"/>
      <c r="K33" s="139">
        <f>'[67]Rev_SP-12me'!AT34</f>
        <v>0.179648948614209</v>
      </c>
      <c r="L33" s="139">
        <f>'[67]Rev_SP-12me'!AU34</f>
        <v>0.910026953641638</v>
      </c>
      <c r="M33" s="139">
        <f>'[67]Rev_SP-12me'!AW34</f>
        <v>0.145497</v>
      </c>
      <c r="N33" s="101">
        <f t="shared" si="0"/>
        <v>1.23517290225585</v>
      </c>
    </row>
    <row r="34" spans="2:14">
      <c r="B34" s="58" t="s">
        <v>1023</v>
      </c>
      <c r="C34" s="55"/>
      <c r="D34" s="139">
        <f>'[67]Rev_SP-12me'!AJ35</f>
        <v>1203</v>
      </c>
      <c r="E34" s="139">
        <f>'[67]Rev_SP-12me'!AL35</f>
        <v>1.37552209193867</v>
      </c>
      <c r="F34" s="139">
        <f>'[67]Rev_SP-12me'!AQ35</f>
        <v>0.541268746571877</v>
      </c>
      <c r="G34" s="153">
        <f>'[67]Rev_SP-12me'!O35</f>
        <v>60</v>
      </c>
      <c r="H34" s="101">
        <f>'[67]Rev_SP-12me'!P35</f>
        <v>7.5</v>
      </c>
      <c r="I34" s="153">
        <f>'[67]Rev_SP-12me'!AA35</f>
        <v>65</v>
      </c>
      <c r="J34" s="55"/>
      <c r="K34" s="139">
        <f>'[67]Rev_SP-12me'!AT35</f>
        <v>0.099037590619584</v>
      </c>
      <c r="L34" s="139">
        <f>'[67]Rev_SP-12me'!AU35</f>
        <v>0.405951559928908</v>
      </c>
      <c r="M34" s="139">
        <f>'[67]Rev_SP-12me'!AW35</f>
        <v>0.082446</v>
      </c>
      <c r="N34" s="101">
        <f t="shared" si="0"/>
        <v>0.587435150548492</v>
      </c>
    </row>
    <row r="35" ht="15" spans="2:14">
      <c r="B35" s="54" t="s">
        <v>1024</v>
      </c>
      <c r="C35" s="55"/>
      <c r="D35" s="136">
        <f>'[67]Rev_SP-12me'!AJ36</f>
        <v>49847</v>
      </c>
      <c r="E35" s="136">
        <f>'[67]Rev_SP-12me'!AN36*0.7457/10^3</f>
        <v>1289.00022236926</v>
      </c>
      <c r="F35" s="136">
        <f>'[67]Rev_SP-12me'!AQ36</f>
        <v>1036.18376443982</v>
      </c>
      <c r="G35" s="153"/>
      <c r="H35" s="101"/>
      <c r="I35" s="153"/>
      <c r="J35" s="55"/>
      <c r="K35" s="136">
        <f>'[67]Rev_SP-12me'!AT36</f>
        <v>154.742359604397</v>
      </c>
      <c r="L35" s="136">
        <f>'[67]Rev_SP-12me'!AU36</f>
        <v>795.059183653803</v>
      </c>
      <c r="M35" s="136">
        <f>'[67]Rev_SP-12me'!AW36</f>
        <v>20.6877165</v>
      </c>
      <c r="N35" s="137">
        <f t="shared" si="0"/>
        <v>970.4892597582</v>
      </c>
    </row>
    <row r="36" spans="2:14">
      <c r="B36" s="58" t="s">
        <v>1025</v>
      </c>
      <c r="C36" s="55"/>
      <c r="D36" s="139">
        <f>'[67]Rev_SP-12me'!AJ37</f>
        <v>45803.0569747639</v>
      </c>
      <c r="E36" s="139">
        <f>'[67]Rev_SP-12me'!AN37*0.7457/10^3</f>
        <v>1237.44668434971</v>
      </c>
      <c r="F36" s="139">
        <f>'[67]Rev_SP-12me'!AQ37</f>
        <v>996.150693513266</v>
      </c>
      <c r="G36" s="153">
        <f>'[67]Rev_SP-12me'!O37</f>
        <v>75</v>
      </c>
      <c r="H36" s="101">
        <f>'[67]Rev_SP-12me'!P37</f>
        <v>7.7</v>
      </c>
      <c r="I36" s="153">
        <f>'[67]Rev_SP-12me'!AA37</f>
        <v>360.25</v>
      </c>
      <c r="J36" s="55"/>
      <c r="K36" s="139">
        <f>'[67]Rev_SP-12me'!AT37</f>
        <v>149.349874737124</v>
      </c>
      <c r="L36" s="139">
        <f>'[67]Rev_SP-12me'!AU37</f>
        <v>767.036034005215</v>
      </c>
      <c r="M36" s="139">
        <f>'[67]Rev_SP-12me'!AW37</f>
        <v>18.9853314150952</v>
      </c>
      <c r="N36" s="101">
        <f t="shared" si="0"/>
        <v>935.371240157434</v>
      </c>
    </row>
    <row r="37" spans="2:14">
      <c r="B37" s="58" t="s">
        <v>1026</v>
      </c>
      <c r="C37" s="55"/>
      <c r="D37" s="139">
        <f>'[67]Rev_SP-12me'!AJ38</f>
        <v>0</v>
      </c>
      <c r="E37" s="139">
        <f>'[67]Rev_SP-12me'!AN38*0.7457/10^3</f>
        <v>0</v>
      </c>
      <c r="F37" s="139">
        <f>'[67]Rev_SP-12me'!AQ38</f>
        <v>0</v>
      </c>
      <c r="G37" s="153">
        <f>'[67]Rev_SP-12me'!O38</f>
        <v>75</v>
      </c>
      <c r="H37" s="101">
        <f>'[67]Rev_SP-12me'!P38</f>
        <v>8.4</v>
      </c>
      <c r="I37" s="153">
        <f>'[67]Rev_SP-12me'!AA38</f>
        <v>360.25</v>
      </c>
      <c r="J37" s="55"/>
      <c r="K37" s="139">
        <f>'[67]Rev_SP-12me'!AT38</f>
        <v>0</v>
      </c>
      <c r="L37" s="139">
        <f>'[67]Rev_SP-12me'!AU38</f>
        <v>0</v>
      </c>
      <c r="M37" s="139">
        <f>'[67]Rev_SP-12me'!AW38</f>
        <v>0</v>
      </c>
      <c r="N37" s="101">
        <f t="shared" si="0"/>
        <v>0</v>
      </c>
    </row>
    <row r="38" spans="2:14">
      <c r="B38" s="58" t="s">
        <v>1027</v>
      </c>
      <c r="C38" s="55"/>
      <c r="D38" s="139">
        <f>'[67]Rev_SP-12me'!AJ39</f>
        <v>0</v>
      </c>
      <c r="E38" s="139">
        <f>'[67]Rev_SP-12me'!AN39*0.7457/10^3</f>
        <v>0</v>
      </c>
      <c r="F38" s="139">
        <f>'[67]Rev_SP-12me'!AQ39</f>
        <v>0</v>
      </c>
      <c r="G38" s="153">
        <f>'[67]Rev_SP-12me'!O39</f>
        <v>36</v>
      </c>
      <c r="H38" s="101">
        <f>'[67]Rev_SP-12me'!P39</f>
        <v>6.2</v>
      </c>
      <c r="I38" s="153">
        <f>'[67]Rev_SP-12me'!AA39</f>
        <v>360.25</v>
      </c>
      <c r="J38" s="55"/>
      <c r="K38" s="139">
        <f>'[67]Rev_SP-12me'!AT39</f>
        <v>0</v>
      </c>
      <c r="L38" s="139">
        <f>'[67]Rev_SP-12me'!AU39</f>
        <v>0</v>
      </c>
      <c r="M38" s="139">
        <f>'[67]Rev_SP-12me'!AW39</f>
        <v>0</v>
      </c>
      <c r="N38" s="101">
        <f t="shared" si="0"/>
        <v>0</v>
      </c>
    </row>
    <row r="39" spans="2:14">
      <c r="B39" s="58" t="s">
        <v>1028</v>
      </c>
      <c r="C39" s="55"/>
      <c r="D39" s="139">
        <f>'[67]Rev_SP-12me'!AJ40</f>
        <v>0</v>
      </c>
      <c r="E39" s="139">
        <f>'[67]Rev_SP-12me'!AN40*0.7457/10^3</f>
        <v>0</v>
      </c>
      <c r="F39" s="139">
        <f>'[67]Rev_SP-12me'!AQ40</f>
        <v>0</v>
      </c>
      <c r="G39" s="153">
        <f>'[67]Rev_SP-12me'!O40</f>
        <v>36</v>
      </c>
      <c r="H39" s="101">
        <f>'[67]Rev_SP-12me'!P40</f>
        <v>6.2</v>
      </c>
      <c r="I39" s="153">
        <f>'[67]Rev_SP-12me'!AA40</f>
        <v>360.25</v>
      </c>
      <c r="J39" s="55"/>
      <c r="K39" s="139">
        <f>'[67]Rev_SP-12me'!AT40</f>
        <v>0</v>
      </c>
      <c r="L39" s="139">
        <f>'[67]Rev_SP-12me'!AU40</f>
        <v>0</v>
      </c>
      <c r="M39" s="139">
        <f>'[67]Rev_SP-12me'!AW40</f>
        <v>0</v>
      </c>
      <c r="N39" s="101">
        <f t="shared" si="0"/>
        <v>0</v>
      </c>
    </row>
    <row r="40" spans="2:14">
      <c r="B40" s="58" t="s">
        <v>1029</v>
      </c>
      <c r="C40" s="55"/>
      <c r="D40" s="139">
        <f>'[67]Rev_SP-12me'!AJ41</f>
        <v>4043.9430252361</v>
      </c>
      <c r="E40" s="139">
        <f>'[67]Rev_SP-12me'!AN41*0.7457/10^3</f>
        <v>51.5535380195492</v>
      </c>
      <c r="F40" s="139">
        <f>'[67]Rev_SP-12me'!AQ41</f>
        <v>40.0330709265554</v>
      </c>
      <c r="G40" s="153">
        <f>'[67]Rev_SP-12me'!O41</f>
        <v>65</v>
      </c>
      <c r="H40" s="101">
        <f>'[67]Rev_SP-12me'!P41</f>
        <v>7</v>
      </c>
      <c r="I40" s="153">
        <f>'[67]Rev_SP-12me'!AA41</f>
        <v>360.25</v>
      </c>
      <c r="J40" s="55"/>
      <c r="K40" s="139">
        <f>'[67]Rev_SP-12me'!AT41</f>
        <v>5.39248486727215</v>
      </c>
      <c r="L40" s="139">
        <f>'[67]Rev_SP-12me'!AU41</f>
        <v>28.0231496485888</v>
      </c>
      <c r="M40" s="139">
        <f>'[67]Rev_SP-12me'!AW41</f>
        <v>1.70238508490478</v>
      </c>
      <c r="N40" s="101">
        <f t="shared" si="0"/>
        <v>35.1180196007657</v>
      </c>
    </row>
    <row r="41" spans="2:14">
      <c r="B41" s="58" t="s">
        <v>1030</v>
      </c>
      <c r="C41" s="55"/>
      <c r="D41" s="139">
        <f>'[67]Rev_SP-12me'!AJ42</f>
        <v>0</v>
      </c>
      <c r="E41" s="139">
        <f>'[67]Rev_SP-12me'!AN42*0.7457/10^3</f>
        <v>0</v>
      </c>
      <c r="F41" s="139">
        <f>'[67]Rev_SP-12me'!AQ42</f>
        <v>0</v>
      </c>
      <c r="G41" s="153">
        <f>'[67]Rev_SP-12me'!O42</f>
        <v>75</v>
      </c>
      <c r="H41" s="101">
        <f>'[67]Rev_SP-12me'!P42</f>
        <v>7.3</v>
      </c>
      <c r="I41" s="153">
        <f>'[67]Rev_SP-12me'!AA42</f>
        <v>360.25</v>
      </c>
      <c r="J41" s="55"/>
      <c r="K41" s="139">
        <f>'[67]Rev_SP-12me'!AT42</f>
        <v>0</v>
      </c>
      <c r="L41" s="139">
        <f>'[67]Rev_SP-12me'!AU42</f>
        <v>0</v>
      </c>
      <c r="M41" s="139">
        <f>'[67]Rev_SP-12me'!AW42</f>
        <v>0</v>
      </c>
      <c r="N41" s="101">
        <f t="shared" ref="N41:N68" si="1">SUM(K41:M41)</f>
        <v>0</v>
      </c>
    </row>
    <row r="42" ht="15" spans="2:14">
      <c r="B42" s="54" t="s">
        <v>1031</v>
      </c>
      <c r="C42" s="55"/>
      <c r="D42" s="136">
        <f>'[67]Rev_SP-12me'!AJ43</f>
        <v>4866</v>
      </c>
      <c r="E42" s="136">
        <f>'[67]Rev_SP-12me'!AN43*0.7457/10^3</f>
        <v>16.000002760208</v>
      </c>
      <c r="F42" s="136">
        <f>'[67]Rev_SP-12me'!AQ43</f>
        <v>9.52513978314638</v>
      </c>
      <c r="G42" s="153"/>
      <c r="H42" s="101"/>
      <c r="I42" s="153"/>
      <c r="J42" s="55"/>
      <c r="K42" s="136">
        <f>'[67]Rev_SP-12me'!AT43</f>
        <v>0.51495248256</v>
      </c>
      <c r="L42" s="136">
        <f>'[67]Rev_SP-12me'!AU43</f>
        <v>3.81005591325855</v>
      </c>
      <c r="M42" s="136">
        <f>'[67]Rev_SP-12me'!AW43</f>
        <v>0.29886</v>
      </c>
      <c r="N42" s="137">
        <f t="shared" si="1"/>
        <v>4.62386839581855</v>
      </c>
    </row>
    <row r="43" spans="2:14">
      <c r="B43" s="58" t="s">
        <v>178</v>
      </c>
      <c r="C43" s="55"/>
      <c r="D43" s="139">
        <f>'[67]Rev_SP-12me'!AJ44</f>
        <v>4788</v>
      </c>
      <c r="E43" s="139">
        <f>'[67]Rev_SP-12me'!AN44*0.7457/10^3</f>
        <v>16.000002760208</v>
      </c>
      <c r="F43" s="139">
        <f>'[67]Rev_SP-12me'!AQ44</f>
        <v>9.29472129132821</v>
      </c>
      <c r="G43" s="153">
        <f>'[67]Rev_SP-12me'!O44</f>
        <v>20</v>
      </c>
      <c r="H43" s="101">
        <f>'[67]Rev_SP-12me'!P44</f>
        <v>4</v>
      </c>
      <c r="I43" s="153">
        <f>'[67]Rev_SP-12me'!AA44</f>
        <v>50</v>
      </c>
      <c r="J43" s="55"/>
      <c r="K43" s="139">
        <f>'[67]Rev_SP-12me'!AT44</f>
        <v>0.51495248256</v>
      </c>
      <c r="L43" s="139">
        <f>'[67]Rev_SP-12me'!AU44</f>
        <v>3.71788851653129</v>
      </c>
      <c r="M43" s="139">
        <f>'[67]Rev_SP-12me'!AW44</f>
        <v>0.28668</v>
      </c>
      <c r="N43" s="101">
        <f t="shared" si="1"/>
        <v>4.51952099909129</v>
      </c>
    </row>
    <row r="44" spans="2:14">
      <c r="B44" s="58" t="s">
        <v>1033</v>
      </c>
      <c r="C44" s="55"/>
      <c r="D44" s="139">
        <f>'[67]Rev_SP-12me'!AJ45</f>
        <v>78</v>
      </c>
      <c r="E44" s="139">
        <f>'[67]Rev_SP-12me'!AN45*0.7457/10^3</f>
        <v>0</v>
      </c>
      <c r="F44" s="139">
        <f>'[67]Rev_SP-12me'!AQ45</f>
        <v>0.230418491818164</v>
      </c>
      <c r="G44" s="153">
        <f>'[67]Rev_SP-12me'!O45</f>
        <v>20</v>
      </c>
      <c r="H44" s="101">
        <f>'[67]Rev_SP-12me'!P45</f>
        <v>4</v>
      </c>
      <c r="I44" s="153">
        <f>'[67]Rev_SP-12me'!AA45</f>
        <v>50</v>
      </c>
      <c r="J44" s="55"/>
      <c r="K44" s="139">
        <f>'[67]Rev_SP-12me'!AT45</f>
        <v>0</v>
      </c>
      <c r="L44" s="139">
        <f>'[67]Rev_SP-12me'!AU45</f>
        <v>0.0921673967272658</v>
      </c>
      <c r="M44" s="139">
        <f>'[67]Rev_SP-12me'!AW45</f>
        <v>0.01218</v>
      </c>
      <c r="N44" s="101">
        <f t="shared" si="1"/>
        <v>0.104347396727266</v>
      </c>
    </row>
    <row r="45" ht="15" spans="2:14">
      <c r="B45" s="54" t="s">
        <v>1034</v>
      </c>
      <c r="C45" s="55"/>
      <c r="D45" s="136">
        <f>'[67]Rev_SP-12me'!AJ46</f>
        <v>1421589.06964707</v>
      </c>
      <c r="E45" s="136">
        <f>'[67]Rev_SP-12me'!AN46*0.7457/10^3</f>
        <v>6081.00104905155</v>
      </c>
      <c r="F45" s="136">
        <f>'[67]Rev_SP-12me'!AQ46</f>
        <v>12466.5040519532</v>
      </c>
      <c r="G45" s="153"/>
      <c r="H45" s="101"/>
      <c r="I45" s="153"/>
      <c r="J45" s="55"/>
      <c r="K45" s="136">
        <f>'[67]Rev_SP-12me'!AT46</f>
        <v>0.0473311198610199</v>
      </c>
      <c r="L45" s="136">
        <f>'[67]Rev_SP-12me'!AU46</f>
        <v>9.89304547766604</v>
      </c>
      <c r="M45" s="136">
        <f>'[67]Rev_SP-12me'!AW46</f>
        <v>50.1030012536472</v>
      </c>
      <c r="N45" s="137">
        <f t="shared" si="1"/>
        <v>60.0433778511743</v>
      </c>
    </row>
    <row r="46" spans="2:14">
      <c r="B46" s="56" t="s">
        <v>1035</v>
      </c>
      <c r="C46" s="55"/>
      <c r="D46" s="138">
        <f>'[67]Rev_SP-12me'!AJ47</f>
        <v>1421274.37706827</v>
      </c>
      <c r="E46" s="138">
        <f>'[67]Rev_SP-12me'!AN47*0.7457/10^3</f>
        <v>6079.53043171487</v>
      </c>
      <c r="F46" s="138">
        <f>'[67]Rev_SP-12me'!AQ47</f>
        <v>12464.0831709436</v>
      </c>
      <c r="G46" s="153"/>
      <c r="H46" s="101"/>
      <c r="I46" s="153"/>
      <c r="J46" s="55"/>
      <c r="K46" s="138">
        <f>'[67]Rev_SP-12me'!AT47</f>
        <v>0</v>
      </c>
      <c r="L46" s="138">
        <f>'[67]Rev_SP-12me'!AU47</f>
        <v>8.92469307383976</v>
      </c>
      <c r="M46" s="138">
        <f>'[67]Rev_SP-12me'!AW47</f>
        <v>50.0906947872289</v>
      </c>
      <c r="N46" s="101">
        <f t="shared" si="1"/>
        <v>59.0153878610687</v>
      </c>
    </row>
    <row r="47" spans="2:14">
      <c r="B47" s="58" t="s">
        <v>1036</v>
      </c>
      <c r="C47" s="55"/>
      <c r="D47" s="139">
        <f>'[67]Rev_SP-12me'!AJ48</f>
        <v>2183.91710885706</v>
      </c>
      <c r="E47" s="139">
        <f>'[67]Rev_SP-12me'!AN48*0.7457/10^3</f>
        <v>10.762404612689</v>
      </c>
      <c r="F47" s="139">
        <f>'[67]Rev_SP-12me'!AQ48</f>
        <v>35.698772295359</v>
      </c>
      <c r="G47" s="153"/>
      <c r="H47" s="101">
        <f>'[67]Rev_SP-12me'!P48</f>
        <v>2.5</v>
      </c>
      <c r="I47" s="153">
        <f>'[67]Rev_SP-12me'!AA48</f>
        <v>30</v>
      </c>
      <c r="J47" s="55"/>
      <c r="K47" s="139">
        <f>'[67]Rev_SP-12me'!AT48</f>
        <v>0</v>
      </c>
      <c r="L47" s="139">
        <f>'[67]Rev_SP-12me'!AU48</f>
        <v>8.92469307383976</v>
      </c>
      <c r="M47" s="139">
        <f>'[67]Rev_SP-12me'!AW48</f>
        <v>0.0751665079594271</v>
      </c>
      <c r="N47" s="101">
        <f t="shared" si="1"/>
        <v>8.99985958179919</v>
      </c>
    </row>
    <row r="48" spans="2:14">
      <c r="B48" s="56" t="s">
        <v>1038</v>
      </c>
      <c r="C48" s="55"/>
      <c r="D48" s="139">
        <f>'[67]Rev_SP-12me'!AJ49</f>
        <v>1419090.45995941</v>
      </c>
      <c r="E48" s="139">
        <f>'[67]Rev_SP-12me'!AN49*0.7457/10^3</f>
        <v>6068.76802710218</v>
      </c>
      <c r="F48" s="139">
        <f>'[67]Rev_SP-12me'!AQ49</f>
        <v>12428.3843986482</v>
      </c>
      <c r="G48" s="153"/>
      <c r="H48" s="101"/>
      <c r="I48" s="153"/>
      <c r="J48" s="55"/>
      <c r="K48" s="139">
        <f>'[67]Rev_SP-12me'!AT49</f>
        <v>0</v>
      </c>
      <c r="L48" s="139">
        <f>'[67]Rev_SP-12me'!AU49</f>
        <v>0</v>
      </c>
      <c r="M48" s="139">
        <f>'[67]Rev_SP-12me'!AW49</f>
        <v>0</v>
      </c>
      <c r="N48" s="101">
        <f t="shared" si="1"/>
        <v>0</v>
      </c>
    </row>
    <row r="49" spans="2:14">
      <c r="B49" s="58" t="s">
        <v>1099</v>
      </c>
      <c r="C49" s="55"/>
      <c r="D49" s="139">
        <f>'[67]Rev_SP-12me'!AJ50</f>
        <v>1419090.45995941</v>
      </c>
      <c r="E49" s="139">
        <f>'[67]Rev_SP-12me'!AN50*0.7457/10^3</f>
        <v>6068.76802710218</v>
      </c>
      <c r="F49" s="139">
        <f>'[67]Rev_SP-12me'!AQ50</f>
        <v>12428.3843986482</v>
      </c>
      <c r="G49" s="153"/>
      <c r="H49" s="101"/>
      <c r="I49" s="153">
        <f>'[67]Rev_SP-12me'!AA50</f>
        <v>30</v>
      </c>
      <c r="J49" s="55"/>
      <c r="K49" s="139">
        <f>'[67]Rev_SP-12me'!AT50</f>
        <v>0</v>
      </c>
      <c r="L49" s="139">
        <f>'[67]Rev_SP-12me'!AU50</f>
        <v>0</v>
      </c>
      <c r="M49" s="139">
        <f>'[67]Rev_SP-12me'!AW50</f>
        <v>50.0155282792695</v>
      </c>
      <c r="N49" s="101">
        <f t="shared" si="1"/>
        <v>50.0155282792695</v>
      </c>
    </row>
    <row r="50" spans="2:14">
      <c r="B50" s="58" t="s">
        <v>1100</v>
      </c>
      <c r="C50" s="55"/>
      <c r="D50" s="139">
        <f>'[67]Rev_SP-12me'!AJ51</f>
        <v>0</v>
      </c>
      <c r="E50" s="139">
        <f>'[67]Rev_SP-12me'!AN51*0.7457/10^3</f>
        <v>0</v>
      </c>
      <c r="F50" s="139">
        <f>'[67]Rev_SP-12me'!AQ51</f>
        <v>0</v>
      </c>
      <c r="G50" s="153"/>
      <c r="H50" s="101"/>
      <c r="I50" s="153">
        <f>'[67]Rev_SP-12me'!AA51</f>
        <v>30</v>
      </c>
      <c r="J50" s="55"/>
      <c r="K50" s="139">
        <f>'[67]Rev_SP-12me'!AT51</f>
        <v>0</v>
      </c>
      <c r="L50" s="139">
        <f>'[67]Rev_SP-12me'!AU51</f>
        <v>0</v>
      </c>
      <c r="M50" s="139">
        <f>'[67]Rev_SP-12me'!AW51</f>
        <v>0</v>
      </c>
      <c r="N50" s="101">
        <f t="shared" si="1"/>
        <v>0</v>
      </c>
    </row>
    <row r="51" spans="2:14">
      <c r="B51" s="56" t="s">
        <v>1039</v>
      </c>
      <c r="C51" s="55"/>
      <c r="D51" s="138">
        <f>'[67]Rev_SP-12me'!AJ52</f>
        <v>314.692578793215</v>
      </c>
      <c r="E51" s="138">
        <f>'[67]Rev_SP-12me'!AN52*0.7457/10^3</f>
        <v>1.47061733668177</v>
      </c>
      <c r="F51" s="138">
        <f>'[67]Rev_SP-12me'!AQ52</f>
        <v>2.4208810095657</v>
      </c>
      <c r="G51" s="153"/>
      <c r="H51" s="101"/>
      <c r="I51" s="153"/>
      <c r="J51" s="55"/>
      <c r="K51" s="138">
        <f>'[67]Rev_SP-12me'!AT52</f>
        <v>0.0473311198610199</v>
      </c>
      <c r="L51" s="138">
        <f>'[67]Rev_SP-12me'!AU52</f>
        <v>0.968352403826278</v>
      </c>
      <c r="M51" s="138">
        <f>'[67]Rev_SP-12me'!AW52</f>
        <v>0.0123064664182779</v>
      </c>
      <c r="N51" s="101">
        <f t="shared" si="1"/>
        <v>1.02798999010558</v>
      </c>
    </row>
    <row r="52" spans="2:14">
      <c r="B52" s="58" t="s">
        <v>1040</v>
      </c>
      <c r="C52" s="55"/>
      <c r="D52" s="139">
        <f>'[67]Rev_SP-12me'!AJ53</f>
        <v>314.692578793215</v>
      </c>
      <c r="E52" s="139">
        <f>'[67]Rev_SP-12me'!AN53*0.7457/10^3</f>
        <v>1.47061733668177</v>
      </c>
      <c r="F52" s="139">
        <f>'[67]Rev_SP-12me'!AQ53</f>
        <v>2.4208810095657</v>
      </c>
      <c r="G52" s="153">
        <f>'[67]Rev_SP-12me'!O53</f>
        <v>20</v>
      </c>
      <c r="H52" s="101">
        <f>'[67]Rev_SP-12me'!P53</f>
        <v>4</v>
      </c>
      <c r="I52" s="153">
        <f>'[67]Rev_SP-12me'!AA53</f>
        <v>30</v>
      </c>
      <c r="J52" s="55"/>
      <c r="K52" s="139">
        <f>'[67]Rev_SP-12me'!AT53</f>
        <v>0.0473311198610199</v>
      </c>
      <c r="L52" s="139">
        <f>'[67]Rev_SP-12me'!AU53</f>
        <v>0.968352403826278</v>
      </c>
      <c r="M52" s="139">
        <f>'[67]Rev_SP-12me'!AW53</f>
        <v>0.0123064664182779</v>
      </c>
      <c r="N52" s="101">
        <f t="shared" si="1"/>
        <v>1.02798999010558</v>
      </c>
    </row>
    <row r="53" ht="15" spans="2:14">
      <c r="B53" s="54" t="s">
        <v>1042</v>
      </c>
      <c r="C53" s="55"/>
      <c r="D53" s="136">
        <f>'[67]Rev_SP-12me'!AJ54</f>
        <v>81362.3767917837</v>
      </c>
      <c r="E53" s="136">
        <f>'[67]Rev_SP-12me'!AL54</f>
        <v>200.052230407724</v>
      </c>
      <c r="F53" s="136">
        <f>'[67]Rev_SP-12me'!AQ54</f>
        <v>255.647601489391</v>
      </c>
      <c r="G53" s="153"/>
      <c r="H53" s="101"/>
      <c r="I53" s="153"/>
      <c r="J53" s="55"/>
      <c r="K53" s="136">
        <f>'[67]Rev_SP-12me'!AT54</f>
        <v>7.68200564765661</v>
      </c>
      <c r="L53" s="136">
        <f>'[67]Rev_SP-12me'!AU54</f>
        <v>196.717130003172</v>
      </c>
      <c r="M53" s="136">
        <f>'[67]Rev_SP-12me'!AW54</f>
        <v>11.2106431290084</v>
      </c>
      <c r="N53" s="137">
        <f t="shared" si="1"/>
        <v>215.609778779837</v>
      </c>
    </row>
    <row r="54" spans="2:14">
      <c r="B54" s="58" t="s">
        <v>1043</v>
      </c>
      <c r="C54" s="55"/>
      <c r="D54" s="139">
        <f>'[67]Rev_SP-12me'!AJ55</f>
        <v>37769.4829688193</v>
      </c>
      <c r="E54" s="139">
        <f>'[67]Rev_SP-12me'!AL55</f>
        <v>72.3378310620829</v>
      </c>
      <c r="F54" s="139">
        <f>'[67]Rev_SP-12me'!AQ55</f>
        <v>78.5415369147259</v>
      </c>
      <c r="G54" s="153">
        <f>'[67]Rev_SP-12me'!O55</f>
        <v>32</v>
      </c>
      <c r="H54" s="101">
        <f>'[67]Rev_SP-12me'!P55</f>
        <v>7.1</v>
      </c>
      <c r="I54" s="153">
        <f>'[67]Rev_SP-12me'!AA55</f>
        <v>120</v>
      </c>
      <c r="J54" s="55"/>
      <c r="K54" s="139">
        <f>'[67]Rev_SP-12me'!AT55</f>
        <v>2.77777271278398</v>
      </c>
      <c r="L54" s="139">
        <f>'[67]Rev_SP-12me'!AU55</f>
        <v>55.7644912094554</v>
      </c>
      <c r="M54" s="139">
        <f>'[67]Rev_SP-12me'!AW55</f>
        <v>5.19058677375499</v>
      </c>
      <c r="N54" s="101">
        <f t="shared" si="1"/>
        <v>63.7328506959944</v>
      </c>
    </row>
    <row r="55" spans="2:14">
      <c r="B55" s="58" t="s">
        <v>1044</v>
      </c>
      <c r="C55" s="55"/>
      <c r="D55" s="139">
        <f>'[67]Rev_SP-12me'!AJ56</f>
        <v>12523.3100894045</v>
      </c>
      <c r="E55" s="139">
        <f>'[67]Rev_SP-12me'!AL56</f>
        <v>35.007723596682</v>
      </c>
      <c r="F55" s="139">
        <f>'[67]Rev_SP-12me'!AQ56</f>
        <v>50.0654702352401</v>
      </c>
      <c r="G55" s="153">
        <f>'[67]Rev_SP-12me'!O56</f>
        <v>32</v>
      </c>
      <c r="H55" s="101">
        <f>'[67]Rev_SP-12me'!P56</f>
        <v>7.6</v>
      </c>
      <c r="I55" s="153">
        <f>'[67]Rev_SP-12me'!AA56</f>
        <v>120</v>
      </c>
      <c r="J55" s="55"/>
      <c r="K55" s="139">
        <f>'[67]Rev_SP-12me'!AT56</f>
        <v>1.34429658611259</v>
      </c>
      <c r="L55" s="139">
        <f>'[67]Rev_SP-12me'!AU56</f>
        <v>38.0497573787824</v>
      </c>
      <c r="M55" s="139">
        <f>'[67]Rev_SP-12me'!AW56</f>
        <v>1.75466232643712</v>
      </c>
      <c r="N55" s="101">
        <f t="shared" si="1"/>
        <v>41.1487162913321</v>
      </c>
    </row>
    <row r="56" spans="2:14">
      <c r="B56" s="58" t="s">
        <v>1045</v>
      </c>
      <c r="C56" s="55"/>
      <c r="D56" s="139">
        <f>'[67]Rev_SP-12me'!AJ57</f>
        <v>31069.5837335599</v>
      </c>
      <c r="E56" s="139">
        <f>'[67]Rev_SP-12me'!AL57</f>
        <v>92.7066757489594</v>
      </c>
      <c r="F56" s="139">
        <f>'[67]Rev_SP-12me'!AQ57</f>
        <v>127.040594339425</v>
      </c>
      <c r="G56" s="153">
        <f>'[67]Rev_SP-12me'!O57</f>
        <v>32</v>
      </c>
      <c r="H56" s="101">
        <f>'[67]Rev_SP-12me'!P57</f>
        <v>8.1</v>
      </c>
      <c r="I56" s="153">
        <f>'[67]Rev_SP-12me'!AA57</f>
        <v>120</v>
      </c>
      <c r="J56" s="55"/>
      <c r="K56" s="139">
        <f>'[67]Rev_SP-12me'!AT57</f>
        <v>3.55993634876004</v>
      </c>
      <c r="L56" s="139">
        <f>'[67]Rev_SP-12me'!AU57</f>
        <v>102.902881414934</v>
      </c>
      <c r="M56" s="139">
        <f>'[67]Rev_SP-12me'!AW57</f>
        <v>4.26539402881631</v>
      </c>
      <c r="N56" s="101">
        <f t="shared" si="1"/>
        <v>110.72821179251</v>
      </c>
    </row>
    <row r="57" ht="15" spans="2:14">
      <c r="B57" s="54" t="s">
        <v>1046</v>
      </c>
      <c r="C57" s="55"/>
      <c r="D57" s="136">
        <f>'[67]Rev_SP-12me'!AJ65</f>
        <v>38007.6232082163</v>
      </c>
      <c r="E57" s="136">
        <f>'[67]Rev_SP-12me'!AN65*0.7457/10^3</f>
        <v>132.947792527494</v>
      </c>
      <c r="F57" s="136">
        <f>'[67]Rev_SP-12me'!AQ65</f>
        <v>251.023488142463</v>
      </c>
      <c r="G57" s="153"/>
      <c r="H57" s="101"/>
      <c r="I57" s="153">
        <f>'[67]Rev_SP-12me'!AA65</f>
        <v>120</v>
      </c>
      <c r="J57" s="55"/>
      <c r="K57" s="136">
        <f>'[67]Rev_SP-12me'!AT65</f>
        <v>6.84617840023572</v>
      </c>
      <c r="L57" s="136">
        <f>'[67]Rev_SP-12me'!AU65</f>
        <v>157.615050852138</v>
      </c>
      <c r="M57" s="136">
        <f>'[67]Rev_SP-12me'!AW65</f>
        <v>5.23430087099158</v>
      </c>
      <c r="N57" s="137">
        <f t="shared" si="1"/>
        <v>169.695530123365</v>
      </c>
    </row>
    <row r="58" spans="2:14">
      <c r="B58" s="58" t="s">
        <v>1043</v>
      </c>
      <c r="C58" s="55"/>
      <c r="D58" s="139">
        <f>'[67]Rev_SP-12me'!AJ66</f>
        <v>27444.5600894045</v>
      </c>
      <c r="E58" s="139">
        <f>'[67]Rev_SP-12me'!AN66*0.7457/10^3</f>
        <v>91.9596741465695</v>
      </c>
      <c r="F58" s="139">
        <f>'[67]Rev_SP-12me'!AQ66</f>
        <v>193.328843493908</v>
      </c>
      <c r="G58" s="153">
        <f>'[67]Rev_SP-12me'!O66</f>
        <v>32</v>
      </c>
      <c r="H58" s="101">
        <f>'[67]Rev_SP-12me'!P66</f>
        <v>6</v>
      </c>
      <c r="I58" s="153">
        <f>'[67]Rev_SP-12me'!AA66</f>
        <v>120</v>
      </c>
      <c r="J58" s="55"/>
      <c r="K58" s="139">
        <f>'[67]Rev_SP-12me'!AT66</f>
        <v>4.73548543278567</v>
      </c>
      <c r="L58" s="139">
        <f>'[67]Rev_SP-12me'!AU66</f>
        <v>115.997306096345</v>
      </c>
      <c r="M58" s="139">
        <f>'[67]Rev_SP-12me'!AW66</f>
        <v>3.77032032643712</v>
      </c>
      <c r="N58" s="101">
        <f t="shared" si="1"/>
        <v>124.503111855568</v>
      </c>
    </row>
    <row r="59" spans="2:14">
      <c r="B59" s="58" t="s">
        <v>1044</v>
      </c>
      <c r="C59" s="55"/>
      <c r="D59" s="139">
        <f>'[67]Rev_SP-12me'!AJ67</f>
        <v>6492.62902689523</v>
      </c>
      <c r="E59" s="139">
        <f>'[67]Rev_SP-12me'!AN67*0.7457/10^3</f>
        <v>24.0002771332355</v>
      </c>
      <c r="F59" s="139">
        <f>'[67]Rev_SP-12me'!AQ67</f>
        <v>44.6037035421728</v>
      </c>
      <c r="G59" s="153">
        <f>'[67]Rev_SP-12me'!O67</f>
        <v>32</v>
      </c>
      <c r="H59" s="101">
        <f>'[67]Rev_SP-12me'!P67</f>
        <v>7.1</v>
      </c>
      <c r="I59" s="153">
        <f>'[67]Rev_SP-12me'!AA67</f>
        <v>120</v>
      </c>
      <c r="J59" s="55"/>
      <c r="K59" s="139">
        <f>'[67]Rev_SP-12me'!AT67</f>
        <v>1.23590001597994</v>
      </c>
      <c r="L59" s="139">
        <f>'[67]Rev_SP-12me'!AU67</f>
        <v>31.6686295149427</v>
      </c>
      <c r="M59" s="139">
        <f>'[67]Rev_SP-12me'!AW67</f>
        <v>0.908037289936456</v>
      </c>
      <c r="N59" s="101">
        <f t="shared" si="1"/>
        <v>33.8125668208591</v>
      </c>
    </row>
    <row r="60" spans="2:14">
      <c r="B60" s="58" t="s">
        <v>1045</v>
      </c>
      <c r="C60" s="55"/>
      <c r="D60" s="139">
        <f>'[67]Rev_SP-12me'!AJ68</f>
        <v>4070.43409191665</v>
      </c>
      <c r="E60" s="139">
        <f>'[67]Rev_SP-12me'!AN68*0.7457/10^3</f>
        <v>16.9878412476892</v>
      </c>
      <c r="F60" s="139">
        <f>'[67]Rev_SP-12me'!AQ68</f>
        <v>13.0909411063816</v>
      </c>
      <c r="G60" s="153">
        <f>'[67]Rev_SP-12me'!O68</f>
        <v>32</v>
      </c>
      <c r="H60" s="101">
        <f>'[67]Rev_SP-12me'!P68</f>
        <v>7.6</v>
      </c>
      <c r="I60" s="153">
        <f>'[67]Rev_SP-12me'!AA68</f>
        <v>120</v>
      </c>
      <c r="J60" s="55"/>
      <c r="K60" s="139">
        <f>'[67]Rev_SP-12me'!AT68</f>
        <v>0.874792951470112</v>
      </c>
      <c r="L60" s="139">
        <f>'[67]Rev_SP-12me'!AU68</f>
        <v>9.94911524085001</v>
      </c>
      <c r="M60" s="139">
        <f>'[67]Rev_SP-12me'!AW68</f>
        <v>0.555943254617999</v>
      </c>
      <c r="N60" s="101">
        <f t="shared" si="1"/>
        <v>11.3798514469381</v>
      </c>
    </row>
    <row r="61" ht="15" spans="2:14">
      <c r="B61" s="54" t="s">
        <v>1168</v>
      </c>
      <c r="C61" s="55"/>
      <c r="D61" s="136">
        <f>'[67]Rev_SP-12me'!AJ69</f>
        <v>0</v>
      </c>
      <c r="E61" s="136">
        <f>'[67]Rev_SP-12me'!AL69</f>
        <v>0</v>
      </c>
      <c r="F61" s="136">
        <f>'[67]Rev_SP-12me'!AQ69</f>
        <v>0</v>
      </c>
      <c r="G61" s="153"/>
      <c r="H61" s="101"/>
      <c r="I61" s="153"/>
      <c r="J61" s="55"/>
      <c r="K61" s="136">
        <f>'[67]Rev_SP-12me'!AT69</f>
        <v>0</v>
      </c>
      <c r="L61" s="136">
        <f>'[67]Rev_SP-12me'!AU69</f>
        <v>0</v>
      </c>
      <c r="M61" s="136">
        <f>'[67]Rev_SP-12me'!AW69</f>
        <v>0</v>
      </c>
      <c r="N61" s="101">
        <f t="shared" si="1"/>
        <v>0</v>
      </c>
    </row>
    <row r="62" ht="15" spans="2:14">
      <c r="B62" s="54" t="s">
        <v>1049</v>
      </c>
      <c r="C62" s="55"/>
      <c r="D62" s="136">
        <f>'[67]Rev_SP-12me'!AJ58</f>
        <v>25868.7978783707</v>
      </c>
      <c r="E62" s="136">
        <f>'[67]Rev_SP-12me'!AL58</f>
        <v>82</v>
      </c>
      <c r="F62" s="136">
        <f>'[67]Rev_SP-12me'!AQ58</f>
        <v>98.8499963533782</v>
      </c>
      <c r="G62" s="153"/>
      <c r="H62" s="101"/>
      <c r="I62" s="153"/>
      <c r="J62" s="55"/>
      <c r="K62" s="136">
        <f>'[67]Rev_SP-12me'!AT58</f>
        <v>2.15091423766816</v>
      </c>
      <c r="L62" s="136">
        <f>'[67]Rev_SP-12me'!AU58</f>
        <v>78.4507610181164</v>
      </c>
      <c r="M62" s="136">
        <f>'[67]Rev_SP-12me'!AW58</f>
        <v>3.08386787270224</v>
      </c>
      <c r="N62" s="137">
        <f t="shared" si="1"/>
        <v>83.6855431284868</v>
      </c>
    </row>
    <row r="63" spans="2:14">
      <c r="B63" s="56" t="s">
        <v>1050</v>
      </c>
      <c r="C63" s="55"/>
      <c r="D63" s="145">
        <f>'[67]Rev_SP-12me'!AJ59</f>
        <v>21092.7978783707</v>
      </c>
      <c r="E63" s="145">
        <f>'[67]Rev_SP-12me'!AL59</f>
        <v>74.1746076233184</v>
      </c>
      <c r="F63" s="145">
        <f>'[67]Rev_SP-12me'!AQ59</f>
        <v>87.9568570952341</v>
      </c>
      <c r="G63" s="153">
        <f>'[67]Rev_SP-12me'!O59</f>
        <v>21</v>
      </c>
      <c r="H63" s="101">
        <f>'[67]Rev_SP-12me'!P59</f>
        <v>8.3</v>
      </c>
      <c r="I63" s="153">
        <f>'[67]Rev_SP-12me'!AA59</f>
        <v>100</v>
      </c>
      <c r="J63" s="55"/>
      <c r="K63" s="145">
        <f>'[67]Rev_SP-12me'!AT59</f>
        <v>1.86920011210762</v>
      </c>
      <c r="L63" s="145">
        <f>'[67]Rev_SP-12me'!AU59</f>
        <v>73.0041913890443</v>
      </c>
      <c r="M63" s="145">
        <f>'[67]Rev_SP-12me'!AW59</f>
        <v>2.51728787270224</v>
      </c>
      <c r="N63" s="101">
        <f t="shared" si="1"/>
        <v>77.3906793738542</v>
      </c>
    </row>
    <row r="64" spans="2:14">
      <c r="B64" s="56" t="s">
        <v>1051</v>
      </c>
      <c r="C64" s="55"/>
      <c r="D64" s="145">
        <f>'[67]Rev_SP-12me'!AJ60</f>
        <v>4776</v>
      </c>
      <c r="E64" s="145">
        <f>'[67]Rev_SP-12me'!AL60</f>
        <v>7.82539237668161</v>
      </c>
      <c r="F64" s="145">
        <f>'[67]Rev_SP-12me'!AQ60</f>
        <v>10.8931392581442</v>
      </c>
      <c r="G64" s="153">
        <f>'[67]Rev_SP-12me'!O60</f>
        <v>30</v>
      </c>
      <c r="H64" s="101">
        <f>'[67]Rev_SP-12me'!P60</f>
        <v>5</v>
      </c>
      <c r="I64" s="153">
        <f>'[67]Rev_SP-12me'!AA60</f>
        <v>100</v>
      </c>
      <c r="J64" s="55"/>
      <c r="K64" s="145">
        <f>'[67]Rev_SP-12me'!AT60</f>
        <v>0.281714125560538</v>
      </c>
      <c r="L64" s="145">
        <f>'[67]Rev_SP-12me'!AU60</f>
        <v>5.44656962907208</v>
      </c>
      <c r="M64" s="145">
        <f>'[67]Rev_SP-12me'!AW60</f>
        <v>0.56658</v>
      </c>
      <c r="N64" s="101">
        <f t="shared" si="1"/>
        <v>6.29486375463262</v>
      </c>
    </row>
    <row r="65" spans="2:14">
      <c r="B65" s="56" t="s">
        <v>1052</v>
      </c>
      <c r="C65" s="55"/>
      <c r="D65" s="146">
        <f>'[67]Rev_SP-12me'!AJ61</f>
        <v>4776</v>
      </c>
      <c r="E65" s="146">
        <f>'[67]Rev_SP-12me'!AL61</f>
        <v>7.82539237668161</v>
      </c>
      <c r="F65" s="146">
        <f>'[67]Rev_SP-12me'!AQ61</f>
        <v>10.8931392581442</v>
      </c>
      <c r="G65" s="153">
        <f>'[67]Rev_SP-12me'!O61</f>
        <v>30</v>
      </c>
      <c r="H65" s="101">
        <f>'[67]Rev_SP-12me'!P61</f>
        <v>5</v>
      </c>
      <c r="I65" s="153">
        <f>'[67]Rev_SP-12me'!AA61</f>
        <v>100</v>
      </c>
      <c r="J65" s="55"/>
      <c r="K65" s="146">
        <f>'[67]Rev_SP-12me'!AT61</f>
        <v>0</v>
      </c>
      <c r="L65" s="146">
        <f>'[67]Rev_SP-12me'!AU61</f>
        <v>0</v>
      </c>
      <c r="M65" s="146">
        <f>'[67]Rev_SP-12me'!AW61</f>
        <v>0</v>
      </c>
      <c r="N65" s="101">
        <f t="shared" si="1"/>
        <v>0</v>
      </c>
    </row>
    <row r="66" spans="2:14">
      <c r="B66" s="56" t="s">
        <v>1053</v>
      </c>
      <c r="C66" s="55"/>
      <c r="D66" s="146">
        <f>'[67]Rev_SP-12me'!AJ62</f>
        <v>0</v>
      </c>
      <c r="E66" s="146">
        <f>'[67]Rev_SP-12me'!AL62</f>
        <v>0</v>
      </c>
      <c r="F66" s="146">
        <f>'[67]Rev_SP-12me'!AQ62</f>
        <v>0</v>
      </c>
      <c r="G66" s="153">
        <f>'[67]Rev_SP-12me'!O62</f>
        <v>30</v>
      </c>
      <c r="H66" s="101">
        <f>'[67]Rev_SP-12me'!P62</f>
        <v>5</v>
      </c>
      <c r="I66" s="153">
        <f>'[67]Rev_SP-12me'!AA62</f>
        <v>100</v>
      </c>
      <c r="J66" s="55"/>
      <c r="K66" s="146">
        <f>'[67]Rev_SP-12me'!AT62</f>
        <v>0</v>
      </c>
      <c r="L66" s="146">
        <f>'[67]Rev_SP-12me'!AU62</f>
        <v>0</v>
      </c>
      <c r="M66" s="146">
        <f>'[67]Rev_SP-12me'!AW62</f>
        <v>0</v>
      </c>
      <c r="N66" s="101">
        <f t="shared" si="1"/>
        <v>0</v>
      </c>
    </row>
    <row r="67" ht="15" spans="2:14">
      <c r="B67" s="54" t="s">
        <v>1054</v>
      </c>
      <c r="C67" s="55"/>
      <c r="D67" s="136">
        <f>'[67]Rev_SP-12me'!AJ63</f>
        <v>14038</v>
      </c>
      <c r="E67" s="136">
        <f>'[67]Rev_SP-12me'!AL63</f>
        <v>113</v>
      </c>
      <c r="F67" s="136">
        <f>'[67]Rev_SP-12me'!AQ63</f>
        <v>160.627107885078</v>
      </c>
      <c r="G67" s="153">
        <f>'[67]Rev_SP-12me'!O63</f>
        <v>21</v>
      </c>
      <c r="H67" s="101">
        <f>'[67]Rev_SP-12me'!P63</f>
        <v>12</v>
      </c>
      <c r="I67" s="153">
        <f>'[67]Rev_SP-12me'!AA63</f>
        <v>100</v>
      </c>
      <c r="J67" s="55"/>
      <c r="K67" s="136">
        <f>'[67]Rev_SP-12me'!AT63</f>
        <v>2.8476</v>
      </c>
      <c r="L67" s="136">
        <f>'[67]Rev_SP-12me'!AU63</f>
        <v>192.752529462093</v>
      </c>
      <c r="M67" s="136">
        <f>'[67]Rev_SP-12me'!AW63</f>
        <v>1.71366</v>
      </c>
      <c r="N67" s="137">
        <f t="shared" si="1"/>
        <v>197.313789462093</v>
      </c>
    </row>
    <row r="68" ht="15" spans="2:14">
      <c r="B68" s="54" t="s">
        <v>1101</v>
      </c>
      <c r="C68" s="55"/>
      <c r="D68" s="136">
        <f>'[67]Rev_SP-12me'!AJ64</f>
        <v>244.65</v>
      </c>
      <c r="E68" s="136">
        <f>'[67]Rev_SP-12me'!AL64</f>
        <v>7.6125</v>
      </c>
      <c r="F68" s="136">
        <f>'[67]Rev_SP-12me'!AQ64</f>
        <v>2.510541</v>
      </c>
      <c r="G68" s="153">
        <f>'[67]Rev_SP-12me'!O64</f>
        <v>50</v>
      </c>
      <c r="H68" s="101">
        <f>'[67]Rev_SP-12me'!P64</f>
        <v>6</v>
      </c>
      <c r="I68" s="153">
        <f>'[67]Rev_SP-12me'!AA64</f>
        <v>120</v>
      </c>
      <c r="J68" s="55"/>
      <c r="K68" s="136">
        <f>'[67]Rev_SP-12me'!AT64</f>
        <v>0.45675</v>
      </c>
      <c r="L68" s="136">
        <f>'[67]Rev_SP-12me'!AU64</f>
        <v>1.5063246</v>
      </c>
      <c r="M68" s="136">
        <f>'[67]Rev_SP-12me'!AW64</f>
        <v>0.0343908</v>
      </c>
      <c r="N68" s="137">
        <f t="shared" si="1"/>
        <v>1.9974654</v>
      </c>
    </row>
    <row r="69" ht="15" spans="2:14">
      <c r="B69" s="54"/>
      <c r="C69" s="55"/>
      <c r="D69" s="146"/>
      <c r="E69" s="147"/>
      <c r="F69" s="147"/>
      <c r="G69" s="147"/>
      <c r="H69" s="147"/>
      <c r="I69" s="55"/>
      <c r="J69" s="55"/>
      <c r="K69" s="147"/>
      <c r="L69" s="147"/>
      <c r="M69" s="147"/>
      <c r="N69" s="147"/>
    </row>
    <row r="70" ht="15" spans="2:14">
      <c r="B70" s="54" t="s">
        <v>1102</v>
      </c>
      <c r="C70" s="55"/>
      <c r="D70" s="187">
        <f>SUM(D9,D22,D35,D42,D45,D53,D57,D61,D62,D67,D68)</f>
        <v>11183691.5175254</v>
      </c>
      <c r="E70" s="188">
        <f>SUM(E9,E22,E35,E42,E45,E53,E57,E61,E62,E67,E68)</f>
        <v>25081.6137971162</v>
      </c>
      <c r="F70" s="187">
        <f>SUM(F9,F22,F35,F42,F45,F53,F57,F61,F62,F67,F68)</f>
        <v>29902.6643043401</v>
      </c>
      <c r="G70" s="187"/>
      <c r="H70" s="187"/>
      <c r="I70" s="187"/>
      <c r="J70" s="199"/>
      <c r="K70" s="188">
        <f>SUM(K9,K22,K35,K42,K45,K53,K57,K61,K62,K67,K68)</f>
        <v>674.153221931755</v>
      </c>
      <c r="L70" s="187">
        <f>SUM(L9,L22,L35,L42,L45,L53,L57,L61,L62,L67,L68)</f>
        <v>11144.4094777232</v>
      </c>
      <c r="M70" s="187">
        <f>SUM(M9,M22,M35,M42,M45,M53,M57,M61,M62,M67,M68)</f>
        <v>897.885337426349</v>
      </c>
      <c r="N70" s="187">
        <f>SUM(N9,N22,N35,N42,N45,N53,N57,N61,N62,N67,N68)</f>
        <v>12716.4480370813</v>
      </c>
    </row>
    <row r="71" ht="15" spans="2:14">
      <c r="B71" s="66"/>
      <c r="C71" s="67"/>
      <c r="D71" s="150"/>
      <c r="E71" s="137"/>
      <c r="F71" s="150"/>
      <c r="G71" s="150"/>
      <c r="H71" s="150"/>
      <c r="I71" s="150"/>
      <c r="J71" s="55"/>
      <c r="K71" s="137"/>
      <c r="L71" s="150"/>
      <c r="M71" s="150"/>
      <c r="N71" s="150"/>
    </row>
    <row r="72" ht="15" spans="2:14">
      <c r="B72" s="70" t="s">
        <v>907</v>
      </c>
      <c r="C72" s="70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</row>
    <row r="73" spans="2:14">
      <c r="B73" s="151" t="s">
        <v>190</v>
      </c>
      <c r="C73" s="55"/>
      <c r="D73" s="147"/>
      <c r="E73" s="147"/>
      <c r="F73" s="147"/>
      <c r="G73" s="55"/>
      <c r="H73" s="55"/>
      <c r="I73" s="55"/>
      <c r="J73" s="55"/>
      <c r="K73" s="147"/>
      <c r="L73" s="147"/>
      <c r="M73" s="147"/>
      <c r="N73" s="147"/>
    </row>
    <row r="74" ht="15" spans="2:14">
      <c r="B74" s="151" t="s">
        <v>1103</v>
      </c>
      <c r="C74" s="72"/>
      <c r="D74" s="136">
        <f>'[67]Rev_SP-12me'!AJ84</f>
        <v>6123.6103208733</v>
      </c>
      <c r="E74" s="136">
        <f>'[67]Rev_SP-12me'!AL84</f>
        <v>2135.11947075882</v>
      </c>
      <c r="F74" s="136">
        <f>F75+F84</f>
        <v>4636.295104567</v>
      </c>
      <c r="G74" s="150"/>
      <c r="H74" s="137"/>
      <c r="I74" s="150"/>
      <c r="J74" s="55"/>
      <c r="K74" s="136">
        <f>'[67]Rev_SP-12me'!AT84</f>
        <v>973.614478666021</v>
      </c>
      <c r="L74" s="136">
        <f>'[67]Rev_SP-12me'!AU84</f>
        <v>3567.44159103852</v>
      </c>
      <c r="M74" s="136">
        <f>'[67]Rev_SP-12me'!AW84</f>
        <v>14.387532385048</v>
      </c>
      <c r="N74" s="150">
        <f t="shared" ref="N74:N124" si="2">SUM(K74:M74)</f>
        <v>4555.44360208959</v>
      </c>
    </row>
    <row r="75" spans="2:14">
      <c r="B75" s="152" t="s">
        <v>1104</v>
      </c>
      <c r="C75" s="72"/>
      <c r="D75" s="138">
        <f>'[67]Rev_SP-12me'!AJ85</f>
        <v>5906.50744293748</v>
      </c>
      <c r="E75" s="138">
        <f>'[67]Rev_SP-12me'!AL85</f>
        <v>2135.11947075882</v>
      </c>
      <c r="F75" s="138">
        <f>'[67]Rev_SP-12me'!AQ85</f>
        <v>4487.97540980577</v>
      </c>
      <c r="G75" s="153"/>
      <c r="H75" s="101"/>
      <c r="I75" s="153"/>
      <c r="J75" s="55"/>
      <c r="K75" s="138">
        <f>'[67]Rev_SP-12me'!AT85</f>
        <v>973.614478666021</v>
      </c>
      <c r="L75" s="138">
        <f>'[67]Rev_SP-12me'!AU85</f>
        <v>3453.13901947095</v>
      </c>
      <c r="M75" s="138">
        <f>'[67]Rev_SP-12me'!AW85</f>
        <v>13.888208931525</v>
      </c>
      <c r="N75" s="153">
        <f t="shared" si="2"/>
        <v>4440.6417070685</v>
      </c>
    </row>
    <row r="76" ht="15" spans="2:17">
      <c r="B76" s="154" t="s">
        <v>1105</v>
      </c>
      <c r="C76" s="72"/>
      <c r="D76" s="145">
        <f>'[67]Rev_SP-12me'!AJ86</f>
        <v>4427.15315911346</v>
      </c>
      <c r="E76" s="145">
        <f>'[67]Rev_SP-12me'!AL86</f>
        <v>2135.11947075882</v>
      </c>
      <c r="F76" s="145">
        <f>'[67]Rev_SP-12me'!AQ86</f>
        <v>1451.20758836827</v>
      </c>
      <c r="G76" s="174">
        <f>'[67]Rev_SP-12me'!O86</f>
        <v>475</v>
      </c>
      <c r="H76" s="185">
        <f>'[67]Rev_SP-12me'!P86</f>
        <v>7.65</v>
      </c>
      <c r="I76" s="174">
        <f>'[67]Rev_SP-12me'!AA86</f>
        <v>2000</v>
      </c>
      <c r="J76" s="55"/>
      <c r="K76" s="145">
        <f>'[67]Rev_SP-12me'!AT86</f>
        <v>973.614478666021</v>
      </c>
      <c r="L76" s="145">
        <f>'[67]Rev_SP-12me'!AU86</f>
        <v>1110.17380510173</v>
      </c>
      <c r="M76" s="145">
        <f>'[67]Rev_SP-12me'!AW86</f>
        <v>10.2277837909362</v>
      </c>
      <c r="N76" s="153">
        <f t="shared" si="2"/>
        <v>2094.01606755869</v>
      </c>
      <c r="P76" s="175" t="s">
        <v>1169</v>
      </c>
      <c r="Q76" s="175"/>
    </row>
    <row r="77" ht="25.7" customHeight="1" spans="2:17">
      <c r="B77" s="155" t="s">
        <v>1106</v>
      </c>
      <c r="C77" s="55"/>
      <c r="D77" s="145">
        <f>'[67]Rev_SP-12me'!AJ87</f>
        <v>1274.25206748263</v>
      </c>
      <c r="E77" s="145">
        <f>'[67]Rev_SP-12me'!AL87</f>
        <v>0</v>
      </c>
      <c r="F77" s="145">
        <f>'[67]Rev_SP-12me'!AQ87</f>
        <v>254.475934903587</v>
      </c>
      <c r="G77" s="174">
        <f>'[67]Rev_SP-12me'!O87</f>
        <v>100</v>
      </c>
      <c r="H77" s="185">
        <f>'[67]Rev_SP-12me'!P87</f>
        <v>8</v>
      </c>
      <c r="I77" s="174">
        <f>'[67]Rev_SP-12me'!AA87</f>
        <v>2000</v>
      </c>
      <c r="J77" s="55"/>
      <c r="K77" s="145">
        <f>'[67]Rev_SP-12me'!AT87</f>
        <v>0</v>
      </c>
      <c r="L77" s="145">
        <f>'[67]Rev_SP-12me'!AU87</f>
        <v>203.58074792287</v>
      </c>
      <c r="M77" s="145">
        <f>'[67]Rev_SP-12me'!AW87</f>
        <v>3.18030248097916</v>
      </c>
      <c r="N77" s="153">
        <f t="shared" si="2"/>
        <v>206.761050403849</v>
      </c>
      <c r="P77" s="135" t="s">
        <v>1091</v>
      </c>
      <c r="Q77" s="135" t="s">
        <v>1170</v>
      </c>
    </row>
    <row r="78" spans="2:17">
      <c r="B78" s="154" t="s">
        <v>1107</v>
      </c>
      <c r="C78" s="55"/>
      <c r="D78" s="145">
        <f>'[67]Rev_SP-12me'!AJ88</f>
        <v>0</v>
      </c>
      <c r="E78" s="145">
        <f>'[67]Rev_SP-12me'!AL88</f>
        <v>0</v>
      </c>
      <c r="F78" s="145">
        <f>'[67]Rev_SP-12me'!AQ88</f>
        <v>0.120384060018199</v>
      </c>
      <c r="G78" s="174">
        <f>'[67]Rev_SP-12me'!O88</f>
        <v>0</v>
      </c>
      <c r="H78" s="185">
        <f>'[67]Rev_SP-12me'!P88</f>
        <v>7.65</v>
      </c>
      <c r="I78" s="174">
        <f>'[67]Rev_SP-12me'!AA88</f>
        <v>2000</v>
      </c>
      <c r="J78" s="55"/>
      <c r="K78" s="145">
        <f>'[67]Rev_SP-12me'!AT88</f>
        <v>0</v>
      </c>
      <c r="L78" s="145">
        <f>'[67]Rev_SP-12me'!AU88</f>
        <v>0.0920938059139223</v>
      </c>
      <c r="M78" s="145">
        <f>'[67]Rev_SP-12me'!AW88</f>
        <v>0</v>
      </c>
      <c r="N78" s="153">
        <f t="shared" si="2"/>
        <v>0.0920938059139223</v>
      </c>
      <c r="P78" s="153">
        <f>SUM(N78:N85,N86,N91,N132:N138,N144,N186,N139,N178:N185)</f>
        <v>9039.52394761886</v>
      </c>
      <c r="Q78" s="195" t="s">
        <v>867</v>
      </c>
    </row>
    <row r="79" spans="2:17">
      <c r="B79" s="154" t="s">
        <v>1108</v>
      </c>
      <c r="C79" s="55"/>
      <c r="D79" s="145">
        <f>'[67]Rev_SP-12me'!AJ89</f>
        <v>0</v>
      </c>
      <c r="E79" s="145">
        <f>'[67]Rev_SP-12me'!AL89</f>
        <v>0</v>
      </c>
      <c r="F79" s="145">
        <f>'[67]Rev_SP-12me'!AQ89</f>
        <v>0.676168993671561</v>
      </c>
      <c r="G79" s="174">
        <f>'[67]Rev_SP-12me'!O89</f>
        <v>0</v>
      </c>
      <c r="H79" s="185">
        <f>'[67]Rev_SP-12me'!P89</f>
        <v>7.3</v>
      </c>
      <c r="I79" s="174">
        <f>'[67]Rev_SP-12me'!AA89</f>
        <v>2000</v>
      </c>
      <c r="J79" s="55"/>
      <c r="K79" s="145">
        <f>'[67]Rev_SP-12me'!AT89</f>
        <v>0</v>
      </c>
      <c r="L79" s="145">
        <f>'[67]Rev_SP-12me'!AU89</f>
        <v>0.493603365380239</v>
      </c>
      <c r="M79" s="145">
        <f>'[67]Rev_SP-12me'!AW89</f>
        <v>0</v>
      </c>
      <c r="N79" s="153">
        <f t="shared" si="2"/>
        <v>0.493603365380239</v>
      </c>
      <c r="P79" s="153">
        <f>N96+N149+N191</f>
        <v>2336.8195359764</v>
      </c>
      <c r="Q79" s="195" t="s">
        <v>1171</v>
      </c>
    </row>
    <row r="80" spans="2:17">
      <c r="B80" s="154" t="s">
        <v>1109</v>
      </c>
      <c r="C80" s="55"/>
      <c r="D80" s="145">
        <f>'[67]Rev_SP-12me'!AJ90</f>
        <v>205.102216341383</v>
      </c>
      <c r="E80" s="145">
        <f>'[67]Rev_SP-12me'!AL90</f>
        <v>0</v>
      </c>
      <c r="F80" s="145">
        <f>'[67]Rev_SP-12me'!AQ90</f>
        <v>61.24319367364</v>
      </c>
      <c r="G80" s="174">
        <f>'[67]Rev_SP-12me'!O90</f>
        <v>475</v>
      </c>
      <c r="H80" s="185">
        <f>'[67]Rev_SP-12me'!P90</f>
        <v>8.6</v>
      </c>
      <c r="I80" s="174">
        <f>'[67]Rev_SP-12me'!AA90</f>
        <v>2000</v>
      </c>
      <c r="J80" s="55"/>
      <c r="K80" s="145">
        <f>'[67]Rev_SP-12me'!AT90</f>
        <v>0</v>
      </c>
      <c r="L80" s="145">
        <f>'[67]Rev_SP-12me'!AU90</f>
        <v>52.6691465593304</v>
      </c>
      <c r="M80" s="145">
        <f>'[67]Rev_SP-12me'!AW90</f>
        <v>0.480122659609659</v>
      </c>
      <c r="N80" s="153">
        <f t="shared" si="2"/>
        <v>53.1492692189401</v>
      </c>
      <c r="P80" s="153">
        <f>SUM(N102,N97,N150,N156,N192,N197)</f>
        <v>820.906779488504</v>
      </c>
      <c r="Q80" s="195" t="s">
        <v>1172</v>
      </c>
    </row>
    <row r="81" ht="28.5" spans="2:17">
      <c r="B81" s="156" t="s">
        <v>1110</v>
      </c>
      <c r="C81" s="55"/>
      <c r="D81" s="145">
        <f>'[67]Rev_SP-12me'!AJ91</f>
        <v>0</v>
      </c>
      <c r="E81" s="145">
        <f>'[67]Rev_SP-12me'!AL91</f>
        <v>0</v>
      </c>
      <c r="F81" s="145">
        <f>'[67]Rev_SP-12me'!AQ91</f>
        <v>714.356738920289</v>
      </c>
      <c r="G81" s="174">
        <f>'[67]Rev_SP-12me'!O91</f>
        <v>0</v>
      </c>
      <c r="H81" s="185">
        <f>'[67]Rev_SP-12me'!P91</f>
        <v>8.65</v>
      </c>
      <c r="I81" s="174">
        <f>'[67]Rev_SP-12me'!AA91</f>
        <v>2000</v>
      </c>
      <c r="J81" s="55"/>
      <c r="K81" s="145">
        <f>'[67]Rev_SP-12me'!AT91</f>
        <v>0</v>
      </c>
      <c r="L81" s="145">
        <f>'[67]Rev_SP-12me'!AU91</f>
        <v>617.91857916605</v>
      </c>
      <c r="M81" s="145">
        <f>'[67]Rev_SP-12me'!AW91</f>
        <v>0</v>
      </c>
      <c r="N81" s="153">
        <f t="shared" si="2"/>
        <v>617.91857916605</v>
      </c>
      <c r="P81" s="153">
        <f>SUM(N107,N161,N202)</f>
        <v>16.255674275835</v>
      </c>
      <c r="Q81" s="195" t="s">
        <v>1173</v>
      </c>
    </row>
    <row r="82" spans="2:17">
      <c r="B82" s="156" t="s">
        <v>1111</v>
      </c>
      <c r="C82" s="55"/>
      <c r="D82" s="145">
        <f>'[67]Rev_SP-12me'!AJ92</f>
        <v>0</v>
      </c>
      <c r="E82" s="145">
        <f>'[67]Rev_SP-12me'!AL92</f>
        <v>0</v>
      </c>
      <c r="F82" s="145">
        <f>'[67]Rev_SP-12me'!AQ92</f>
        <v>671.453009801455</v>
      </c>
      <c r="G82" s="174">
        <f>'[67]Rev_SP-12me'!O92</f>
        <v>0</v>
      </c>
      <c r="H82" s="185">
        <f>'[67]Rev_SP-12me'!P92</f>
        <v>8.65</v>
      </c>
      <c r="I82" s="174">
        <f>'[67]Rev_SP-12me'!AA92</f>
        <v>2000</v>
      </c>
      <c r="J82" s="55"/>
      <c r="K82" s="145">
        <f>'[67]Rev_SP-12me'!AT92</f>
        <v>0</v>
      </c>
      <c r="L82" s="145">
        <f>'[67]Rev_SP-12me'!AU92</f>
        <v>580.806853478259</v>
      </c>
      <c r="M82" s="145">
        <f>'[67]Rev_SP-12me'!AW92</f>
        <v>0</v>
      </c>
      <c r="N82" s="153">
        <f t="shared" si="2"/>
        <v>580.806853478259</v>
      </c>
      <c r="P82" s="153">
        <f>SUM(N112,N166,N207)</f>
        <v>249.598355464584</v>
      </c>
      <c r="Q82" s="195" t="s">
        <v>1174</v>
      </c>
    </row>
    <row r="83" ht="28.5" spans="2:17">
      <c r="B83" s="156" t="s">
        <v>1112</v>
      </c>
      <c r="C83" s="55"/>
      <c r="D83" s="145">
        <f>'[67]Rev_SP-12me'!AJ93</f>
        <v>0</v>
      </c>
      <c r="E83" s="145">
        <f>'[67]Rev_SP-12me'!AL93</f>
        <v>0</v>
      </c>
      <c r="F83" s="145">
        <f>'[67]Rev_SP-12me'!AQ93</f>
        <v>1334.44239108484</v>
      </c>
      <c r="G83" s="174">
        <f>'[67]Rev_SP-12me'!O93</f>
        <v>0</v>
      </c>
      <c r="H83" s="185">
        <f>'[67]Rev_SP-12me'!P93</f>
        <v>6.65</v>
      </c>
      <c r="I83" s="174">
        <f>'[67]Rev_SP-12me'!AA93</f>
        <v>2000</v>
      </c>
      <c r="J83" s="55"/>
      <c r="K83" s="145">
        <f>'[67]Rev_SP-12me'!AT93</f>
        <v>0</v>
      </c>
      <c r="L83" s="145">
        <f>'[67]Rev_SP-12me'!AU93</f>
        <v>887.404190071419</v>
      </c>
      <c r="M83" s="145">
        <f>'[67]Rev_SP-12me'!AW93</f>
        <v>0</v>
      </c>
      <c r="N83" s="153">
        <f t="shared" si="2"/>
        <v>887.404190071419</v>
      </c>
      <c r="P83" s="153">
        <f>SUM(N114,N168,N210)</f>
        <v>0</v>
      </c>
      <c r="Q83" s="195" t="s">
        <v>1175</v>
      </c>
    </row>
    <row r="84" ht="15" spans="2:17">
      <c r="B84" s="151" t="s">
        <v>1113</v>
      </c>
      <c r="C84" s="55"/>
      <c r="D84" s="138">
        <f>'[67]Rev_SP-12me'!AJ94</f>
        <v>217.102877935825</v>
      </c>
      <c r="E84" s="138">
        <f>'[67]Rev_SP-12me'!AL94</f>
        <v>0</v>
      </c>
      <c r="F84" s="138">
        <f>'[67]Rev_SP-12me'!AQ94</f>
        <v>148.319694761227</v>
      </c>
      <c r="G84" s="153">
        <f>'[67]Rev_SP-12me'!O94</f>
        <v>0</v>
      </c>
      <c r="H84" s="101">
        <f>'[67]Rev_SP-12me'!P94</f>
        <v>0</v>
      </c>
      <c r="I84" s="153">
        <f>'[67]Rev_SP-12me'!AA94</f>
        <v>0</v>
      </c>
      <c r="J84" s="55"/>
      <c r="K84" s="138">
        <f>'[67]Rev_SP-12me'!AT94</f>
        <v>0</v>
      </c>
      <c r="L84" s="138">
        <f>'[67]Rev_SP-12me'!AU94</f>
        <v>114.302571567576</v>
      </c>
      <c r="M84" s="138">
        <f>'[67]Rev_SP-12me'!AW94</f>
        <v>0.49932345352299</v>
      </c>
      <c r="N84" s="150">
        <f t="shared" si="2"/>
        <v>114.801895021099</v>
      </c>
      <c r="P84" s="153">
        <f>SUM(N117,N118,N171,N172,N214,N216)</f>
        <v>800.963688895183</v>
      </c>
      <c r="Q84" s="195" t="s">
        <v>1176</v>
      </c>
    </row>
    <row r="85" ht="28.5" spans="2:17">
      <c r="B85" s="156" t="s">
        <v>1114</v>
      </c>
      <c r="C85" s="55"/>
      <c r="D85" s="139">
        <f>'[67]Rev_SP-12me'!AJ95</f>
        <v>217.102877935825</v>
      </c>
      <c r="E85" s="139">
        <f>'[67]Rev_SP-12me'!AL95</f>
        <v>0</v>
      </c>
      <c r="F85" s="139">
        <f>'[67]Rev_SP-12me'!AQ95</f>
        <v>51.5023836007563</v>
      </c>
      <c r="G85" s="174">
        <f>'[67]Rev_SP-12me'!O95</f>
        <v>475</v>
      </c>
      <c r="H85" s="185">
        <f>'[67]Rev_SP-12me'!P95</f>
        <v>7.65</v>
      </c>
      <c r="I85" s="174">
        <f>'[67]Rev_SP-12me'!AA95</f>
        <v>2000</v>
      </c>
      <c r="J85" s="55"/>
      <c r="K85" s="139">
        <f>'[67]Rev_SP-12me'!AT95</f>
        <v>0</v>
      </c>
      <c r="L85" s="139">
        <f>'[67]Rev_SP-12me'!AU95</f>
        <v>39.3993234545786</v>
      </c>
      <c r="M85" s="139">
        <f>'[67]Rev_SP-12me'!AW95</f>
        <v>0.49932345352299</v>
      </c>
      <c r="N85" s="153">
        <f t="shared" si="2"/>
        <v>39.8986469081016</v>
      </c>
      <c r="P85" s="153">
        <f>SUM(N119,N173,N218)</f>
        <v>14812.9672514031</v>
      </c>
      <c r="Q85" s="195" t="s">
        <v>1177</v>
      </c>
    </row>
    <row r="86" spans="2:17">
      <c r="B86" s="156" t="s">
        <v>1115</v>
      </c>
      <c r="C86" s="55"/>
      <c r="D86" s="139">
        <f>'[67]Rev_SP-12me'!AJ96</f>
        <v>0</v>
      </c>
      <c r="E86" s="139">
        <f>'[67]Rev_SP-12me'!AL96</f>
        <v>0</v>
      </c>
      <c r="F86" s="139">
        <f>'[67]Rev_SP-12me'!AQ96</f>
        <v>28.4156071447196</v>
      </c>
      <c r="G86" s="174">
        <f>'[67]Rev_SP-12me'!O96</f>
        <v>0</v>
      </c>
      <c r="H86" s="185">
        <f>'[67]Rev_SP-12me'!P96</f>
        <v>8.65</v>
      </c>
      <c r="I86" s="174">
        <f>'[67]Rev_SP-12me'!AA96</f>
        <v>2000</v>
      </c>
      <c r="J86" s="55"/>
      <c r="K86" s="139">
        <f>'[67]Rev_SP-12me'!AT96</f>
        <v>0</v>
      </c>
      <c r="L86" s="139">
        <f>'[67]Rev_SP-12me'!AU96</f>
        <v>24.5795001801825</v>
      </c>
      <c r="M86" s="139">
        <f>'[67]Rev_SP-12me'!AW96</f>
        <v>0</v>
      </c>
      <c r="N86" s="153">
        <f t="shared" si="2"/>
        <v>24.5795001801825</v>
      </c>
      <c r="P86" s="153"/>
      <c r="Q86" s="55"/>
    </row>
    <row r="87" spans="2:17">
      <c r="B87" s="156" t="s">
        <v>1116</v>
      </c>
      <c r="C87" s="55"/>
      <c r="D87" s="139">
        <f>'[67]Rev_SP-12me'!AJ97</f>
        <v>0</v>
      </c>
      <c r="E87" s="139">
        <f>'[67]Rev_SP-12me'!AL97</f>
        <v>0</v>
      </c>
      <c r="F87" s="139">
        <f>'[67]Rev_SP-12me'!AQ97</f>
        <v>24.1830738117007</v>
      </c>
      <c r="G87" s="174">
        <f>'[67]Rev_SP-12me'!O97</f>
        <v>0</v>
      </c>
      <c r="H87" s="185">
        <f>'[67]Rev_SP-12me'!P97</f>
        <v>8.65</v>
      </c>
      <c r="I87" s="174">
        <f>'[67]Rev_SP-12me'!AA97</f>
        <v>2000</v>
      </c>
      <c r="J87" s="55"/>
      <c r="K87" s="139">
        <f>'[67]Rev_SP-12me'!AT97</f>
        <v>0</v>
      </c>
      <c r="L87" s="139">
        <f>'[67]Rev_SP-12me'!AU97</f>
        <v>20.9183588471211</v>
      </c>
      <c r="M87" s="139">
        <f>'[67]Rev_SP-12me'!AW97</f>
        <v>0</v>
      </c>
      <c r="N87" s="153">
        <f t="shared" si="2"/>
        <v>20.9183588471211</v>
      </c>
      <c r="P87" s="153">
        <f>SUM(N120,N174,N219)</f>
        <v>8.84673086</v>
      </c>
      <c r="Q87" s="195" t="s">
        <v>1178</v>
      </c>
    </row>
    <row r="88" ht="28.5" spans="2:17">
      <c r="B88" s="156" t="s">
        <v>1117</v>
      </c>
      <c r="C88" s="55"/>
      <c r="D88" s="139">
        <f>'[67]Rev_SP-12me'!AJ98</f>
        <v>0</v>
      </c>
      <c r="E88" s="139">
        <f>'[67]Rev_SP-12me'!AL98</f>
        <v>0</v>
      </c>
      <c r="F88" s="139">
        <f>'[67]Rev_SP-12me'!AQ98</f>
        <v>44.2186302040508</v>
      </c>
      <c r="G88" s="174">
        <f>'[67]Rev_SP-12me'!O98</f>
        <v>0</v>
      </c>
      <c r="H88" s="185">
        <f>'[67]Rev_SP-12me'!P98</f>
        <v>6.65</v>
      </c>
      <c r="I88" s="174">
        <f>'[67]Rev_SP-12me'!AA98</f>
        <v>2000</v>
      </c>
      <c r="J88" s="55"/>
      <c r="K88" s="139">
        <f>'[67]Rev_SP-12me'!AT98</f>
        <v>0</v>
      </c>
      <c r="L88" s="139">
        <f>'[67]Rev_SP-12me'!AU98</f>
        <v>29.4053890856938</v>
      </c>
      <c r="M88" s="139">
        <f>'[67]Rev_SP-12me'!AW98</f>
        <v>0</v>
      </c>
      <c r="N88" s="153">
        <f t="shared" si="2"/>
        <v>29.4053890856938</v>
      </c>
      <c r="P88" s="153">
        <f>SUM(N122)</f>
        <v>1.44808972</v>
      </c>
      <c r="Q88" s="195" t="s">
        <v>1179</v>
      </c>
    </row>
    <row r="89" ht="22.35" customHeight="1" spans="2:14">
      <c r="B89" s="151" t="s">
        <v>1118</v>
      </c>
      <c r="C89" s="55"/>
      <c r="D89" s="136">
        <f>'[67]Rev_SP-12me'!AJ100</f>
        <v>0</v>
      </c>
      <c r="E89" s="136">
        <f>'[67]Rev_SP-12me'!AL100</f>
        <v>14.7137145555292</v>
      </c>
      <c r="F89" s="136">
        <f>'[67]Rev_SP-12me'!AQ100</f>
        <v>51.1237873396121</v>
      </c>
      <c r="G89" s="150">
        <f>'[67]Rev_SP-12me'!O100</f>
        <v>0</v>
      </c>
      <c r="H89" s="137">
        <f>'[67]Rev_SP-12me'!P100</f>
        <v>0</v>
      </c>
      <c r="I89" s="150"/>
      <c r="J89" s="55"/>
      <c r="K89" s="136">
        <f>'[67]Rev_SP-12me'!AT100</f>
        <v>6.70945383732131</v>
      </c>
      <c r="L89" s="136">
        <f>'[67]Rev_SP-12me'!AU100</f>
        <v>39.4155915876943</v>
      </c>
      <c r="M89" s="136">
        <f>'[67]Rev_SP-12me'!AW100</f>
        <v>0</v>
      </c>
      <c r="N89" s="150">
        <f t="shared" si="2"/>
        <v>46.1250454250156</v>
      </c>
    </row>
    <row r="90" ht="18.6" customHeight="1" spans="2:14">
      <c r="B90" s="154" t="s">
        <v>1119</v>
      </c>
      <c r="C90" s="55"/>
      <c r="D90" s="139">
        <f>'[67]Rev_SP-12me'!AJ101</f>
        <v>0</v>
      </c>
      <c r="E90" s="139">
        <f>'[67]Rev_SP-12me'!AL101</f>
        <v>14.7137145555292</v>
      </c>
      <c r="F90" s="139">
        <f>'[67]Rev_SP-12me'!AQ101</f>
        <v>18.6089083006961</v>
      </c>
      <c r="G90" s="174">
        <f>'[67]Rev_SP-12me'!O101</f>
        <v>475</v>
      </c>
      <c r="H90" s="185">
        <f>'[67]Rev_SP-12me'!P101</f>
        <v>7.65</v>
      </c>
      <c r="I90" s="174">
        <f>'[67]Rev_SP-12me'!AA101</f>
        <v>2000</v>
      </c>
      <c r="J90" s="55"/>
      <c r="K90" s="139">
        <f>'[67]Rev_SP-12me'!AT101</f>
        <v>6.70945383732131</v>
      </c>
      <c r="L90" s="139">
        <f>'[67]Rev_SP-12me'!AU101</f>
        <v>14.2358148500325</v>
      </c>
      <c r="M90" s="139">
        <f>'[67]Rev_SP-12me'!AW101</f>
        <v>0</v>
      </c>
      <c r="N90" s="153">
        <f t="shared" si="2"/>
        <v>20.9452686873538</v>
      </c>
    </row>
    <row r="91" ht="23.45" customHeight="1" spans="2:14">
      <c r="B91" s="154" t="s">
        <v>1120</v>
      </c>
      <c r="C91" s="55"/>
      <c r="D91" s="139">
        <f>'[67]Rev_SP-12me'!AJ102</f>
        <v>0</v>
      </c>
      <c r="E91" s="139">
        <f>'[67]Rev_SP-12me'!AL102</f>
        <v>0</v>
      </c>
      <c r="F91" s="139">
        <f>'[67]Rev_SP-12me'!AQ102</f>
        <v>8.14008642924429</v>
      </c>
      <c r="G91" s="174">
        <f>'[67]Rev_SP-12me'!O102</f>
        <v>0</v>
      </c>
      <c r="H91" s="185">
        <f>'[67]Rev_SP-12me'!P102</f>
        <v>8.65</v>
      </c>
      <c r="I91" s="174">
        <f>'[67]Rev_SP-12me'!AA102</f>
        <v>2000</v>
      </c>
      <c r="J91" s="55"/>
      <c r="K91" s="139">
        <f>'[67]Rev_SP-12me'!AT102</f>
        <v>0</v>
      </c>
      <c r="L91" s="139">
        <f>'[67]Rev_SP-12me'!AU102</f>
        <v>7.04117476129631</v>
      </c>
      <c r="M91" s="139">
        <f>'[67]Rev_SP-12me'!AW102</f>
        <v>0</v>
      </c>
      <c r="N91" s="153">
        <f t="shared" si="2"/>
        <v>7.04117476129631</v>
      </c>
    </row>
    <row r="92" spans="2:14">
      <c r="B92" s="154" t="s">
        <v>1121</v>
      </c>
      <c r="C92" s="55"/>
      <c r="D92" s="139">
        <f>'[67]Rev_SP-12me'!AJ103</f>
        <v>0</v>
      </c>
      <c r="E92" s="139">
        <f>'[67]Rev_SP-12me'!AL103</f>
        <v>0</v>
      </c>
      <c r="F92" s="139">
        <f>'[67]Rev_SP-12me'!AQ103</f>
        <v>9.64682445466898</v>
      </c>
      <c r="G92" s="174">
        <f>'[67]Rev_SP-12me'!O103</f>
        <v>0</v>
      </c>
      <c r="H92" s="185">
        <f>'[67]Rev_SP-12me'!P103</f>
        <v>8.65</v>
      </c>
      <c r="I92" s="174">
        <f>'[67]Rev_SP-12me'!AA103</f>
        <v>2000</v>
      </c>
      <c r="J92" s="55"/>
      <c r="K92" s="139">
        <f>'[67]Rev_SP-12me'!AT103</f>
        <v>0</v>
      </c>
      <c r="L92" s="139">
        <f>'[67]Rev_SP-12me'!AU103</f>
        <v>8.34450315328867</v>
      </c>
      <c r="M92" s="139">
        <f>'[67]Rev_SP-12me'!AW103</f>
        <v>0</v>
      </c>
      <c r="N92" s="153">
        <f t="shared" si="2"/>
        <v>8.34450315328867</v>
      </c>
    </row>
    <row r="93" spans="2:14">
      <c r="B93" s="154" t="s">
        <v>1122</v>
      </c>
      <c r="C93" s="55"/>
      <c r="D93" s="139">
        <f>'[67]Rev_SP-12me'!AJ104</f>
        <v>0</v>
      </c>
      <c r="E93" s="139">
        <f>'[67]Rev_SP-12me'!AL104</f>
        <v>0</v>
      </c>
      <c r="F93" s="139">
        <f>'[67]Rev_SP-12me'!AQ104</f>
        <v>14.7279681550028</v>
      </c>
      <c r="G93" s="174">
        <f>'[67]Rev_SP-12me'!O104</f>
        <v>0</v>
      </c>
      <c r="H93" s="185">
        <f>'[67]Rev_SP-12me'!P104</f>
        <v>6.65</v>
      </c>
      <c r="I93" s="174">
        <f>'[67]Rev_SP-12me'!AA104</f>
        <v>2000</v>
      </c>
      <c r="J93" s="55"/>
      <c r="K93" s="139">
        <f>'[67]Rev_SP-12me'!AT104</f>
        <v>0</v>
      </c>
      <c r="L93" s="139">
        <f>'[67]Rev_SP-12me'!AU104</f>
        <v>9.79409882307684</v>
      </c>
      <c r="M93" s="139">
        <f>'[67]Rev_SP-12me'!AW104</f>
        <v>0</v>
      </c>
      <c r="N93" s="153">
        <f t="shared" si="2"/>
        <v>9.79409882307684</v>
      </c>
    </row>
    <row r="94" ht="15" spans="2:14">
      <c r="B94" s="151" t="s">
        <v>1123</v>
      </c>
      <c r="C94" s="55"/>
      <c r="D94" s="136">
        <f>'[67]Rev_SP-12me'!AJ99</f>
        <v>1</v>
      </c>
      <c r="E94" s="136">
        <f>'[67]Rev_SP-12me'!AL99</f>
        <v>0</v>
      </c>
      <c r="F94" s="136">
        <f>'[67]Rev_SP-12me'!AQ99</f>
        <v>0.26805906</v>
      </c>
      <c r="G94" s="150">
        <f>'[67]Rev_SP-12me'!O99</f>
        <v>475</v>
      </c>
      <c r="H94" s="137">
        <f>'[67]Rev_SP-12me'!P99</f>
        <v>7.65</v>
      </c>
      <c r="I94" s="150">
        <f>'[67]Rev_SP-12me'!AA99</f>
        <v>2000</v>
      </c>
      <c r="J94" s="55"/>
      <c r="K94" s="136">
        <f>'[67]Rev_SP-12me'!AT99</f>
        <v>0</v>
      </c>
      <c r="L94" s="136">
        <f>'[67]Rev_SP-12me'!AU99</f>
        <v>0.2050651809</v>
      </c>
      <c r="M94" s="136">
        <f>'[67]Rev_SP-12me'!AW99</f>
        <v>0.0024</v>
      </c>
      <c r="N94" s="150">
        <f t="shared" si="2"/>
        <v>0.2074651809</v>
      </c>
    </row>
    <row r="95" ht="15" spans="2:14">
      <c r="B95" s="151" t="s">
        <v>1124</v>
      </c>
      <c r="C95" s="55"/>
      <c r="D95" s="136">
        <f>'[67]Rev_SP-12me'!AJ105</f>
        <v>4829.02148835105</v>
      </c>
      <c r="E95" s="136">
        <f>'[67]Rev_SP-12me'!AL105</f>
        <v>1086.972639034</v>
      </c>
      <c r="F95" s="136">
        <f>'[67]Rev_SP-12me'!AQ105</f>
        <v>2551.17546243369</v>
      </c>
      <c r="G95" s="150">
        <f>'[67]Rev_SP-12me'!O105</f>
        <v>0</v>
      </c>
      <c r="H95" s="137">
        <f>'[67]Rev_SP-12me'!P105</f>
        <v>0</v>
      </c>
      <c r="I95" s="150">
        <f>'[67]Rev_SP-12me'!AA105</f>
        <v>0</v>
      </c>
      <c r="J95" s="55"/>
      <c r="K95" s="136">
        <f>'[67]Rev_SP-12me'!AT105</f>
        <v>495.659523399504</v>
      </c>
      <c r="L95" s="136">
        <f>'[67]Rev_SP-12me'!AU105</f>
        <v>2270.4479160131</v>
      </c>
      <c r="M95" s="136">
        <f>'[67]Rev_SP-12me'!AW105</f>
        <v>11.4456257860213</v>
      </c>
      <c r="N95" s="150">
        <f t="shared" si="2"/>
        <v>2777.55306519863</v>
      </c>
    </row>
    <row r="96" spans="2:14">
      <c r="B96" s="154" t="s">
        <v>1119</v>
      </c>
      <c r="C96" s="55"/>
      <c r="D96" s="139">
        <f>'[67]Rev_SP-12me'!AJ106</f>
        <v>4829.02148835105</v>
      </c>
      <c r="E96" s="139">
        <f>'[67]Rev_SP-12me'!AL106</f>
        <v>1086.972639034</v>
      </c>
      <c r="F96" s="139">
        <f>'[67]Rev_SP-12me'!AQ106</f>
        <v>1082.28791759842</v>
      </c>
      <c r="G96" s="174">
        <f>'[67]Rev_SP-12me'!O106</f>
        <v>475</v>
      </c>
      <c r="H96" s="185">
        <f>'[67]Rev_SP-12me'!P106</f>
        <v>8.8</v>
      </c>
      <c r="I96" s="174">
        <f>'[67]Rev_SP-12me'!AA106</f>
        <v>2000</v>
      </c>
      <c r="J96" s="55"/>
      <c r="K96" s="139">
        <f>'[67]Rev_SP-12me'!AT106</f>
        <v>495.659523399504</v>
      </c>
      <c r="L96" s="139">
        <f>'[67]Rev_SP-12me'!AU106</f>
        <v>952.41336748661</v>
      </c>
      <c r="M96" s="139">
        <f>'[67]Rev_SP-12me'!AW106</f>
        <v>11.4456257860213</v>
      </c>
      <c r="N96" s="153">
        <f t="shared" si="2"/>
        <v>1459.51851667214</v>
      </c>
    </row>
    <row r="97" spans="2:14">
      <c r="B97" s="154" t="s">
        <v>1120</v>
      </c>
      <c r="C97" s="55"/>
      <c r="D97" s="139">
        <f>'[67]Rev_SP-12me'!AJ107</f>
        <v>0</v>
      </c>
      <c r="E97" s="139">
        <f>'[67]Rev_SP-12me'!AL107</f>
        <v>0</v>
      </c>
      <c r="F97" s="139">
        <f>'[67]Rev_SP-12me'!AQ107</f>
        <v>506.93215059366</v>
      </c>
      <c r="G97" s="174">
        <f>'[67]Rev_SP-12me'!O107</f>
        <v>0</v>
      </c>
      <c r="H97" s="185">
        <f>'[67]Rev_SP-12me'!P107</f>
        <v>9.8</v>
      </c>
      <c r="I97" s="174">
        <f>'[67]Rev_SP-12me'!AA107</f>
        <v>2000</v>
      </c>
      <c r="J97" s="55"/>
      <c r="K97" s="139">
        <f>'[67]Rev_SP-12me'!AT107</f>
        <v>0</v>
      </c>
      <c r="L97" s="139">
        <f>'[67]Rev_SP-12me'!AU107</f>
        <v>496.793507581786</v>
      </c>
      <c r="M97" s="139">
        <f>'[67]Rev_SP-12me'!AW107</f>
        <v>0</v>
      </c>
      <c r="N97" s="153">
        <f t="shared" si="2"/>
        <v>496.793507581786</v>
      </c>
    </row>
    <row r="98" spans="2:14">
      <c r="B98" s="154" t="s">
        <v>1121</v>
      </c>
      <c r="C98" s="55"/>
      <c r="D98" s="139">
        <f>'[67]Rev_SP-12me'!AJ108</f>
        <v>0</v>
      </c>
      <c r="E98" s="139">
        <f>'[67]Rev_SP-12me'!AL108</f>
        <v>0</v>
      </c>
      <c r="F98" s="139">
        <f>'[67]Rev_SP-12me'!AQ108</f>
        <v>354.579167181269</v>
      </c>
      <c r="G98" s="174">
        <f>'[67]Rev_SP-12me'!O108</f>
        <v>0</v>
      </c>
      <c r="H98" s="185">
        <f>'[67]Rev_SP-12me'!P108</f>
        <v>9.8</v>
      </c>
      <c r="I98" s="174">
        <f>'[67]Rev_SP-12me'!AA108</f>
        <v>2000</v>
      </c>
      <c r="J98" s="55"/>
      <c r="K98" s="139">
        <f>'[67]Rev_SP-12me'!AT108</f>
        <v>0</v>
      </c>
      <c r="L98" s="139">
        <f>'[67]Rev_SP-12me'!AU108</f>
        <v>347.487583837643</v>
      </c>
      <c r="M98" s="139">
        <f>'[67]Rev_SP-12me'!AW108</f>
        <v>0</v>
      </c>
      <c r="N98" s="153">
        <f t="shared" si="2"/>
        <v>347.487583837643</v>
      </c>
    </row>
    <row r="99" spans="2:14">
      <c r="B99" s="154" t="s">
        <v>1122</v>
      </c>
      <c r="C99" s="55"/>
      <c r="D99" s="139">
        <f>'[67]Rev_SP-12me'!AJ109</f>
        <v>0</v>
      </c>
      <c r="E99" s="139">
        <f>'[67]Rev_SP-12me'!AL109</f>
        <v>0</v>
      </c>
      <c r="F99" s="139">
        <f>'[67]Rev_SP-12me'!AQ109</f>
        <v>607.37622706034</v>
      </c>
      <c r="G99" s="174">
        <f>'[67]Rev_SP-12me'!O109</f>
        <v>0</v>
      </c>
      <c r="H99" s="185">
        <f>'[67]Rev_SP-12me'!P109</f>
        <v>7.8</v>
      </c>
      <c r="I99" s="174">
        <f>'[67]Rev_SP-12me'!AA109</f>
        <v>2000</v>
      </c>
      <c r="J99" s="55"/>
      <c r="K99" s="139">
        <f>'[67]Rev_SP-12me'!AT109</f>
        <v>0</v>
      </c>
      <c r="L99" s="139">
        <f>'[67]Rev_SP-12me'!AU109</f>
        <v>473.753457107065</v>
      </c>
      <c r="M99" s="139">
        <f>'[67]Rev_SP-12me'!AW109</f>
        <v>0</v>
      </c>
      <c r="N99" s="153">
        <f t="shared" si="2"/>
        <v>473.753457107065</v>
      </c>
    </row>
    <row r="100" ht="15" spans="2:14">
      <c r="B100" s="151" t="s">
        <v>1125</v>
      </c>
      <c r="C100" s="55"/>
      <c r="D100" s="136">
        <f>'[67]Rev_SP-12me'!AJ110</f>
        <v>0</v>
      </c>
      <c r="E100" s="136">
        <f>'[67]Rev_SP-12me'!AL110</f>
        <v>0</v>
      </c>
      <c r="F100" s="136">
        <f>'[67]Rev_SP-12me'!AQ110</f>
        <v>0.34405518</v>
      </c>
      <c r="G100" s="150">
        <f>'[67]Rev_SP-12me'!O110</f>
        <v>0</v>
      </c>
      <c r="H100" s="137">
        <f>'[67]Rev_SP-12me'!P110</f>
        <v>0</v>
      </c>
      <c r="I100" s="150"/>
      <c r="J100" s="55"/>
      <c r="K100" s="136">
        <f>'[67]Rev_SP-12me'!AT110</f>
        <v>0</v>
      </c>
      <c r="L100" s="136">
        <f>'[67]Rev_SP-12me'!AU110</f>
        <v>0.171413652</v>
      </c>
      <c r="M100" s="136">
        <f>'[67]Rev_SP-12me'!AW110</f>
        <v>0.0048</v>
      </c>
      <c r="N100" s="150">
        <f t="shared" si="2"/>
        <v>0.176213652</v>
      </c>
    </row>
    <row r="101" spans="2:14">
      <c r="B101" s="154" t="s">
        <v>1119</v>
      </c>
      <c r="C101" s="55"/>
      <c r="D101" s="139">
        <f>'[67]Rev_SP-12me'!AJ111</f>
        <v>0</v>
      </c>
      <c r="E101" s="139">
        <f>'[67]Rev_SP-12me'!AL111</f>
        <v>0</v>
      </c>
      <c r="F101" s="139">
        <f>'[67]Rev_SP-12me'!AQ111</f>
        <v>0.08968248</v>
      </c>
      <c r="G101" s="174">
        <f>'[67]Rev_SP-12me'!O111</f>
        <v>260</v>
      </c>
      <c r="H101" s="185">
        <f>'[67]Rev_SP-12me'!P111</f>
        <v>5</v>
      </c>
      <c r="I101" s="174">
        <f>'[67]Rev_SP-12me'!AA111</f>
        <v>2000</v>
      </c>
      <c r="J101" s="55"/>
      <c r="K101" s="139">
        <f>'[67]Rev_SP-12me'!AT111</f>
        <v>0</v>
      </c>
      <c r="L101" s="139">
        <f>'[67]Rev_SP-12me'!AU111</f>
        <v>0.04484124</v>
      </c>
      <c r="M101" s="139">
        <f>'[67]Rev_SP-12me'!AW111</f>
        <v>0.0048</v>
      </c>
      <c r="N101" s="153">
        <f t="shared" si="2"/>
        <v>0.04964124</v>
      </c>
    </row>
    <row r="102" spans="2:14">
      <c r="B102" s="154" t="s">
        <v>1120</v>
      </c>
      <c r="C102" s="55"/>
      <c r="D102" s="139">
        <f>'[67]Rev_SP-12me'!AJ112</f>
        <v>0</v>
      </c>
      <c r="E102" s="139">
        <f>'[67]Rev_SP-12me'!AL112</f>
        <v>0</v>
      </c>
      <c r="F102" s="139">
        <f>'[67]Rev_SP-12me'!AQ112</f>
        <v>0.0651474</v>
      </c>
      <c r="G102" s="174">
        <f>'[67]Rev_SP-12me'!O112</f>
        <v>0</v>
      </c>
      <c r="H102" s="185">
        <f>'[67]Rev_SP-12me'!P112</f>
        <v>6</v>
      </c>
      <c r="I102" s="174">
        <f>'[67]Rev_SP-12me'!AA112</f>
        <v>2000</v>
      </c>
      <c r="J102" s="55"/>
      <c r="K102" s="139">
        <f>'[67]Rev_SP-12me'!AT112</f>
        <v>0</v>
      </c>
      <c r="L102" s="139">
        <f>'[67]Rev_SP-12me'!AU112</f>
        <v>0.03908844</v>
      </c>
      <c r="M102" s="139">
        <f>'[67]Rev_SP-12me'!AW112</f>
        <v>0</v>
      </c>
      <c r="N102" s="153">
        <f t="shared" si="2"/>
        <v>0.03908844</v>
      </c>
    </row>
    <row r="103" spans="2:14">
      <c r="B103" s="154" t="s">
        <v>1121</v>
      </c>
      <c r="C103" s="55"/>
      <c r="D103" s="139">
        <f>'[67]Rev_SP-12me'!AJ113</f>
        <v>0</v>
      </c>
      <c r="E103" s="139">
        <f>'[67]Rev_SP-12me'!AL113</f>
        <v>0</v>
      </c>
      <c r="F103" s="139">
        <f>'[67]Rev_SP-12me'!AQ113</f>
        <v>0.05896926</v>
      </c>
      <c r="G103" s="174">
        <f>'[67]Rev_SP-12me'!O113</f>
        <v>0</v>
      </c>
      <c r="H103" s="185">
        <f>'[67]Rev_SP-12me'!P113</f>
        <v>6</v>
      </c>
      <c r="I103" s="174">
        <f>'[67]Rev_SP-12me'!AA113</f>
        <v>2000</v>
      </c>
      <c r="J103" s="55"/>
      <c r="K103" s="139">
        <f>'[67]Rev_SP-12me'!AT113</f>
        <v>0</v>
      </c>
      <c r="L103" s="139">
        <f>'[67]Rev_SP-12me'!AU113</f>
        <v>0.035381556</v>
      </c>
      <c r="M103" s="139">
        <f>'[67]Rev_SP-12me'!AW113</f>
        <v>0</v>
      </c>
      <c r="N103" s="153">
        <f t="shared" si="2"/>
        <v>0.035381556</v>
      </c>
    </row>
    <row r="104" spans="2:14">
      <c r="B104" s="154" t="s">
        <v>1122</v>
      </c>
      <c r="C104" s="55"/>
      <c r="D104" s="139">
        <f>'[67]Rev_SP-12me'!AJ114</f>
        <v>0</v>
      </c>
      <c r="E104" s="139">
        <f>'[67]Rev_SP-12me'!AL114</f>
        <v>0</v>
      </c>
      <c r="F104" s="139">
        <f>'[67]Rev_SP-12me'!AQ114</f>
        <v>0.13025604</v>
      </c>
      <c r="G104" s="174">
        <f>'[67]Rev_SP-12me'!O114</f>
        <v>0</v>
      </c>
      <c r="H104" s="185">
        <f>'[67]Rev_SP-12me'!P114</f>
        <v>4</v>
      </c>
      <c r="I104" s="174">
        <f>'[67]Rev_SP-12me'!AA114</f>
        <v>2000</v>
      </c>
      <c r="J104" s="55"/>
      <c r="K104" s="139">
        <f>'[67]Rev_SP-12me'!AT114</f>
        <v>0</v>
      </c>
      <c r="L104" s="139">
        <f>'[67]Rev_SP-12me'!AU114</f>
        <v>0.052102416</v>
      </c>
      <c r="M104" s="139">
        <f>'[67]Rev_SP-12me'!AW114</f>
        <v>0</v>
      </c>
      <c r="N104" s="153">
        <f t="shared" si="2"/>
        <v>0.052102416</v>
      </c>
    </row>
    <row r="105" ht="15" spans="2:14">
      <c r="B105" s="151" t="s">
        <v>1126</v>
      </c>
      <c r="C105" s="55"/>
      <c r="D105" s="136">
        <f>'[67]Rev_SP-12me'!AJ115</f>
        <v>11.9166666666667</v>
      </c>
      <c r="E105" s="136">
        <f>'[67]Rev_SP-12me'!AL115</f>
        <v>1.40321141837645</v>
      </c>
      <c r="F105" s="136">
        <f>'[67]Rev_SP-12me'!AQ115</f>
        <v>4.82725997546507</v>
      </c>
      <c r="G105" s="150">
        <f>'[67]Rev_SP-12me'!O115</f>
        <v>0</v>
      </c>
      <c r="H105" s="137">
        <f>'[67]Rev_SP-12me'!P115</f>
        <v>0</v>
      </c>
      <c r="I105" s="150">
        <f>'[67]Rev_SP-12me'!AA115</f>
        <v>0</v>
      </c>
      <c r="J105" s="55"/>
      <c r="K105" s="136">
        <f>'[67]Rev_SP-12me'!AT115</f>
        <v>0.639864406779661</v>
      </c>
      <c r="L105" s="136">
        <f>'[67]Rev_SP-12me'!AU115</f>
        <v>4.0912429488117</v>
      </c>
      <c r="M105" s="136">
        <f>'[67]Rev_SP-12me'!AW115</f>
        <v>0.0299</v>
      </c>
      <c r="N105" s="150">
        <f t="shared" si="2"/>
        <v>4.76100735559136</v>
      </c>
    </row>
    <row r="106" spans="2:14">
      <c r="B106" s="154" t="s">
        <v>1119</v>
      </c>
      <c r="C106" s="55"/>
      <c r="D106" s="139">
        <f>'[67]Rev_SP-12me'!AJ116</f>
        <v>11.9166666666667</v>
      </c>
      <c r="E106" s="139">
        <f>'[67]Rev_SP-12me'!AL116</f>
        <v>1.40321141837645</v>
      </c>
      <c r="F106" s="139">
        <f>'[67]Rev_SP-12me'!AQ116</f>
        <v>1.19738079956967</v>
      </c>
      <c r="G106" s="174">
        <f>'[67]Rev_SP-12me'!O116</f>
        <v>475</v>
      </c>
      <c r="H106" s="185">
        <f>'[67]Rev_SP-12me'!P116</f>
        <v>8.5</v>
      </c>
      <c r="I106" s="174">
        <f>'[67]Rev_SP-12me'!AA116</f>
        <v>2000</v>
      </c>
      <c r="J106" s="55"/>
      <c r="K106" s="139">
        <f>'[67]Rev_SP-12me'!AT116</f>
        <v>0.639864406779661</v>
      </c>
      <c r="L106" s="139">
        <f>'[67]Rev_SP-12me'!AU116</f>
        <v>1.01777367963422</v>
      </c>
      <c r="M106" s="139">
        <f>'[67]Rev_SP-12me'!AW116</f>
        <v>0.0299</v>
      </c>
      <c r="N106" s="153">
        <f t="shared" si="2"/>
        <v>1.68753808641388</v>
      </c>
    </row>
    <row r="107" spans="2:14">
      <c r="B107" s="154" t="s">
        <v>1120</v>
      </c>
      <c r="C107" s="55"/>
      <c r="D107" s="139">
        <f>'[67]Rev_SP-12me'!AJ117</f>
        <v>0</v>
      </c>
      <c r="E107" s="139">
        <f>'[67]Rev_SP-12me'!AL117</f>
        <v>0</v>
      </c>
      <c r="F107" s="139">
        <f>'[67]Rev_SP-12me'!AQ117</f>
        <v>1.15482289647434</v>
      </c>
      <c r="G107" s="174">
        <f>'[67]Rev_SP-12me'!O117</f>
        <v>0</v>
      </c>
      <c r="H107" s="185">
        <f>'[67]Rev_SP-12me'!P117</f>
        <v>9.5</v>
      </c>
      <c r="I107" s="174">
        <f>'[67]Rev_SP-12me'!AA117</f>
        <v>2000</v>
      </c>
      <c r="J107" s="55"/>
      <c r="K107" s="139">
        <f>'[67]Rev_SP-12me'!AT117</f>
        <v>0</v>
      </c>
      <c r="L107" s="139">
        <f>'[67]Rev_SP-12me'!AU117</f>
        <v>1.09708175165062</v>
      </c>
      <c r="M107" s="139">
        <f>'[67]Rev_SP-12me'!AW117</f>
        <v>0</v>
      </c>
      <c r="N107" s="153">
        <f t="shared" si="2"/>
        <v>1.09708175165062</v>
      </c>
    </row>
    <row r="108" spans="2:14">
      <c r="B108" s="154" t="s">
        <v>1121</v>
      </c>
      <c r="C108" s="55"/>
      <c r="D108" s="139">
        <f>'[67]Rev_SP-12me'!AJ118</f>
        <v>0</v>
      </c>
      <c r="E108" s="139">
        <f>'[67]Rev_SP-12me'!AL118</f>
        <v>0</v>
      </c>
      <c r="F108" s="139">
        <f>'[67]Rev_SP-12me'!AQ118</f>
        <v>0.600476539805321</v>
      </c>
      <c r="G108" s="174">
        <f>'[67]Rev_SP-12me'!O118</f>
        <v>0</v>
      </c>
      <c r="H108" s="185">
        <f>'[67]Rev_SP-12me'!P118</f>
        <v>9.5</v>
      </c>
      <c r="I108" s="174">
        <f>'[67]Rev_SP-12me'!AA118</f>
        <v>2000</v>
      </c>
      <c r="J108" s="55"/>
      <c r="K108" s="139">
        <f>'[67]Rev_SP-12me'!AT118</f>
        <v>0</v>
      </c>
      <c r="L108" s="139">
        <f>'[67]Rev_SP-12me'!AU118</f>
        <v>0.570452712815055</v>
      </c>
      <c r="M108" s="139">
        <f>'[67]Rev_SP-12me'!AW118</f>
        <v>0</v>
      </c>
      <c r="N108" s="153">
        <f t="shared" si="2"/>
        <v>0.570452712815055</v>
      </c>
    </row>
    <row r="109" spans="2:14">
      <c r="B109" s="154" t="s">
        <v>1122</v>
      </c>
      <c r="C109" s="55"/>
      <c r="D109" s="139">
        <f>'[67]Rev_SP-12me'!AJ119</f>
        <v>0</v>
      </c>
      <c r="E109" s="139">
        <f>'[67]Rev_SP-12me'!AL119</f>
        <v>0</v>
      </c>
      <c r="F109" s="139">
        <f>'[67]Rev_SP-12me'!AQ119</f>
        <v>1.87457973961573</v>
      </c>
      <c r="G109" s="174">
        <f>'[67]Rev_SP-12me'!O119</f>
        <v>0</v>
      </c>
      <c r="H109" s="185">
        <f>'[67]Rev_SP-12me'!P119</f>
        <v>7.5</v>
      </c>
      <c r="I109" s="174">
        <f>'[67]Rev_SP-12me'!AA119</f>
        <v>2000</v>
      </c>
      <c r="J109" s="55"/>
      <c r="K109" s="139">
        <f>'[67]Rev_SP-12me'!AT119</f>
        <v>0</v>
      </c>
      <c r="L109" s="139">
        <f>'[67]Rev_SP-12me'!AU119</f>
        <v>1.4059348047118</v>
      </c>
      <c r="M109" s="139">
        <f>'[67]Rev_SP-12me'!AW119</f>
        <v>0</v>
      </c>
      <c r="N109" s="153">
        <f t="shared" si="2"/>
        <v>1.4059348047118</v>
      </c>
    </row>
    <row r="110" ht="15" spans="2:14">
      <c r="B110" s="151" t="s">
        <v>1127</v>
      </c>
      <c r="C110" s="55"/>
      <c r="D110" s="136">
        <f>'[67]Rev_SP-12me'!AJ120</f>
        <v>134.722972972973</v>
      </c>
      <c r="E110" s="136">
        <f>'[67]Rev_SP-12me'!AL120</f>
        <v>51.510819358386</v>
      </c>
      <c r="F110" s="136">
        <f>'[67]Rev_SP-12me'!AQ120</f>
        <v>17.82871427</v>
      </c>
      <c r="G110" s="150">
        <f>'[67]Rev_SP-12me'!O120</f>
        <v>0</v>
      </c>
      <c r="H110" s="137">
        <f>'[67]Rev_SP-12me'!P120</f>
        <v>0</v>
      </c>
      <c r="I110" s="150">
        <f>'[67]Rev_SP-12me'!AA120</f>
        <v>0</v>
      </c>
      <c r="J110" s="55"/>
      <c r="K110" s="136">
        <f>'[67]Rev_SP-12me'!AT120</f>
        <v>8.14514831104479</v>
      </c>
      <c r="L110" s="136">
        <f>'[67]Rev_SP-12me'!AU120</f>
        <v>11.2320899901</v>
      </c>
      <c r="M110" s="136">
        <f>'[67]Rev_SP-12me'!AW120</f>
        <v>0.312867567567568</v>
      </c>
      <c r="N110" s="150">
        <f t="shared" si="2"/>
        <v>19.6901058687124</v>
      </c>
    </row>
    <row r="111" spans="2:14">
      <c r="B111" s="154" t="s">
        <v>1128</v>
      </c>
      <c r="C111" s="55"/>
      <c r="D111" s="139">
        <f>'[67]Rev_SP-12me'!AJ121</f>
        <v>134.722972972973</v>
      </c>
      <c r="E111" s="139">
        <f>'[67]Rev_SP-12me'!AL121</f>
        <v>51.510819358386</v>
      </c>
      <c r="F111" s="139">
        <f>'[67]Rev_SP-12me'!AQ121</f>
        <v>17.82871427</v>
      </c>
      <c r="G111" s="174">
        <f>'[67]Rev_SP-12me'!O121</f>
        <v>275</v>
      </c>
      <c r="H111" s="185">
        <f>'[67]Rev_SP-12me'!P121</f>
        <v>6.3</v>
      </c>
      <c r="I111" s="174">
        <f>'[67]Rev_SP-12me'!AA121</f>
        <v>2000</v>
      </c>
      <c r="J111" s="55"/>
      <c r="K111" s="139">
        <f>'[67]Rev_SP-12me'!AT121</f>
        <v>8.14514831104479</v>
      </c>
      <c r="L111" s="139">
        <f>'[67]Rev_SP-12me'!AU121</f>
        <v>11.2320899901</v>
      </c>
      <c r="M111" s="139">
        <f>'[67]Rev_SP-12me'!AW121</f>
        <v>0.312867567567568</v>
      </c>
      <c r="N111" s="153">
        <f t="shared" si="2"/>
        <v>19.6901058687124</v>
      </c>
    </row>
    <row r="112" ht="15" spans="2:14">
      <c r="B112" s="151" t="s">
        <v>1129</v>
      </c>
      <c r="C112" s="55"/>
      <c r="D112" s="136">
        <f>'[67]Rev_SP-12me'!AJ132</f>
        <v>123</v>
      </c>
      <c r="E112" s="136">
        <f>'[67]Rev_SP-12me'!AL132</f>
        <v>40.3104272844545</v>
      </c>
      <c r="F112" s="136">
        <f>'[67]Rev_SP-12me'!AQ132</f>
        <v>149.053366758604</v>
      </c>
      <c r="G112" s="150">
        <f>'[67]Rev_SP-12me'!O132</f>
        <v>0</v>
      </c>
      <c r="H112" s="137">
        <f>'[67]Rev_SP-12me'!P132</f>
        <v>0</v>
      </c>
      <c r="I112" s="150">
        <f>'[67]Rev_SP-12me'!AA132</f>
        <v>0</v>
      </c>
      <c r="J112" s="55"/>
      <c r="K112" s="136">
        <f>'[67]Rev_SP-12me'!AT132</f>
        <v>0</v>
      </c>
      <c r="L112" s="136">
        <f>'[67]Rev_SP-12me'!AU132</f>
        <v>90.9225537227485</v>
      </c>
      <c r="M112" s="136">
        <f>'[67]Rev_SP-12me'!AW132</f>
        <v>0.2856</v>
      </c>
      <c r="N112" s="150">
        <f t="shared" si="2"/>
        <v>91.2081537227485</v>
      </c>
    </row>
    <row r="113" spans="2:14">
      <c r="B113" s="154" t="s">
        <v>220</v>
      </c>
      <c r="C113" s="55"/>
      <c r="D113" s="139">
        <f>'[67]Rev_SP-12me'!AJ133</f>
        <v>123</v>
      </c>
      <c r="E113" s="139">
        <f>'[67]Rev_SP-12me'!AL133</f>
        <v>40.3104272844545</v>
      </c>
      <c r="F113" s="139">
        <f>'[67]Rev_SP-12me'!AQ133</f>
        <v>149.053366758604</v>
      </c>
      <c r="G113" s="174">
        <f>'[67]Rev_SP-12me'!O133</f>
        <v>0</v>
      </c>
      <c r="H113" s="185">
        <f>'[67]Rev_SP-12me'!P133</f>
        <v>6.1</v>
      </c>
      <c r="I113" s="174">
        <f>'[67]Rev_SP-12me'!AA133</f>
        <v>2000</v>
      </c>
      <c r="J113" s="55"/>
      <c r="K113" s="139">
        <f>'[67]Rev_SP-12me'!AT133</f>
        <v>0</v>
      </c>
      <c r="L113" s="139">
        <f>'[67]Rev_SP-12me'!AU133</f>
        <v>90.9225537227485</v>
      </c>
      <c r="M113" s="139">
        <f>'[67]Rev_SP-12me'!AW133</f>
        <v>0.2856</v>
      </c>
      <c r="N113" s="153">
        <f t="shared" si="2"/>
        <v>91.2081537227485</v>
      </c>
    </row>
    <row r="114" spans="2:14">
      <c r="B114" s="154" t="s">
        <v>1130</v>
      </c>
      <c r="C114" s="55"/>
      <c r="D114" s="139">
        <f>'[67]Rev_SP-12me'!AJ134</f>
        <v>0</v>
      </c>
      <c r="E114" s="139">
        <f>'[67]Rev_SP-12me'!AL134</f>
        <v>0</v>
      </c>
      <c r="F114" s="139">
        <f>'[67]Rev_SP-12me'!AQ134</f>
        <v>0</v>
      </c>
      <c r="G114" s="174">
        <f>'[67]Rev_SP-12me'!O134</f>
        <v>0</v>
      </c>
      <c r="H114" s="185">
        <f>'[67]Rev_SP-12me'!P134</f>
        <v>0</v>
      </c>
      <c r="I114" s="174">
        <f>'[67]Rev_SP-12me'!AA134</f>
        <v>2000</v>
      </c>
      <c r="J114" s="55"/>
      <c r="K114" s="139">
        <f>'[67]Rev_SP-12me'!AT134</f>
        <v>0</v>
      </c>
      <c r="L114" s="139">
        <f>'[67]Rev_SP-12me'!AU134</f>
        <v>0</v>
      </c>
      <c r="M114" s="139">
        <f>'[67]Rev_SP-12me'!AW134</f>
        <v>0</v>
      </c>
      <c r="N114" s="153">
        <f t="shared" si="2"/>
        <v>0</v>
      </c>
    </row>
    <row r="115" ht="15" spans="2:14">
      <c r="B115" s="151" t="s">
        <v>1131</v>
      </c>
      <c r="C115" s="55"/>
      <c r="D115" s="136">
        <f>'[67]Rev_SP-12me'!AJ122</f>
        <v>0</v>
      </c>
      <c r="E115" s="136">
        <f>'[67]Rev_SP-12me'!AL122</f>
        <v>0</v>
      </c>
      <c r="F115" s="136">
        <f>'[67]Rev_SP-12me'!AQ122</f>
        <v>0</v>
      </c>
      <c r="G115" s="150">
        <f>'[67]Rev_SP-12me'!O122</f>
        <v>0</v>
      </c>
      <c r="H115" s="137">
        <f>'[67]Rev_SP-12me'!P122</f>
        <v>0</v>
      </c>
      <c r="I115" s="150">
        <f>'[67]Rev_SP-12me'!AA122</f>
        <v>0</v>
      </c>
      <c r="J115" s="55"/>
      <c r="K115" s="136">
        <f>'[67]Rev_SP-12me'!AT122</f>
        <v>0</v>
      </c>
      <c r="L115" s="136">
        <f>'[67]Rev_SP-12me'!AU122</f>
        <v>0</v>
      </c>
      <c r="M115" s="136">
        <f>'[67]Rev_SP-12me'!AW122</f>
        <v>0</v>
      </c>
      <c r="N115" s="150">
        <f t="shared" si="2"/>
        <v>0</v>
      </c>
    </row>
    <row r="116" ht="15" spans="2:14">
      <c r="B116" s="151" t="s">
        <v>1132</v>
      </c>
      <c r="C116" s="55"/>
      <c r="D116" s="136">
        <f>'[67]Rev_SP-12me'!AJ123</f>
        <v>0</v>
      </c>
      <c r="E116" s="136">
        <f>'[67]Rev_SP-12me'!AL123</f>
        <v>0</v>
      </c>
      <c r="F116" s="136">
        <f>'[67]Rev_SP-12me'!AQ123</f>
        <v>0</v>
      </c>
      <c r="G116" s="150">
        <f>'[67]Rev_SP-12me'!O123</f>
        <v>0</v>
      </c>
      <c r="H116" s="137">
        <f>'[67]Rev_SP-12me'!P123</f>
        <v>0</v>
      </c>
      <c r="I116" s="150">
        <f>'[67]Rev_SP-12me'!AA123</f>
        <v>0</v>
      </c>
      <c r="J116" s="55"/>
      <c r="K116" s="136">
        <f>'[67]Rev_SP-12me'!AT123</f>
        <v>0</v>
      </c>
      <c r="L116" s="136">
        <f>'[67]Rev_SP-12me'!AU123</f>
        <v>0</v>
      </c>
      <c r="M116" s="136">
        <f>'[67]Rev_SP-12me'!AW123</f>
        <v>0</v>
      </c>
      <c r="N116" s="150">
        <f t="shared" si="2"/>
        <v>0</v>
      </c>
    </row>
    <row r="117" ht="15" spans="2:14">
      <c r="B117" s="151" t="s">
        <v>919</v>
      </c>
      <c r="C117" s="55"/>
      <c r="D117" s="136">
        <f>'[67]Rev_SP-12me'!AJ124</f>
        <v>230.093023255814</v>
      </c>
      <c r="E117" s="136">
        <f>'[67]Rev_SP-12me'!AL124</f>
        <v>98.017351997667</v>
      </c>
      <c r="F117" s="136">
        <f>'[67]Rev_SP-12me'!AQ124</f>
        <v>257.262624469925</v>
      </c>
      <c r="G117" s="150">
        <f>'[67]Rev_SP-12me'!O124</f>
        <v>260</v>
      </c>
      <c r="H117" s="137">
        <f>'[67]Rev_SP-12me'!P124</f>
        <v>7.3</v>
      </c>
      <c r="I117" s="150">
        <f>'[67]Rev_SP-12me'!AA124</f>
        <v>2000</v>
      </c>
      <c r="J117" s="55"/>
      <c r="K117" s="136">
        <f>'[67]Rev_SP-12me'!AT124</f>
        <v>24.4651310586177</v>
      </c>
      <c r="L117" s="136">
        <f>'[67]Rev_SP-12me'!AU124</f>
        <v>187.801715863045</v>
      </c>
      <c r="M117" s="136">
        <f>'[67]Rev_SP-12me'!AW124</f>
        <v>0.524511627906977</v>
      </c>
      <c r="N117" s="150">
        <f t="shared" si="2"/>
        <v>212.79135854957</v>
      </c>
    </row>
    <row r="118" ht="15" spans="2:14">
      <c r="B118" s="151" t="s">
        <v>1133</v>
      </c>
      <c r="C118" s="55"/>
      <c r="D118" s="136">
        <f>'[67]Rev_SP-12me'!AJ125</f>
        <v>533.186991869919</v>
      </c>
      <c r="E118" s="136">
        <f>'[67]Rev_SP-12me'!AL125</f>
        <v>114.091646539519</v>
      </c>
      <c r="F118" s="136">
        <f>'[67]Rev_SP-12me'!AQ125</f>
        <v>222.811945960286</v>
      </c>
      <c r="G118" s="150">
        <f>'[67]Rev_SP-12me'!O125</f>
        <v>500</v>
      </c>
      <c r="H118" s="137">
        <f>'[67]Rev_SP-12me'!P125</f>
        <v>11.8</v>
      </c>
      <c r="I118" s="150">
        <f>'[67]Rev_SP-12me'!AA125</f>
        <v>2000</v>
      </c>
      <c r="J118" s="55"/>
      <c r="K118" s="136">
        <f>'[67]Rev_SP-12me'!AT125</f>
        <v>54.763990338969</v>
      </c>
      <c r="L118" s="136">
        <f>'[67]Rev_SP-12me'!AU125</f>
        <v>262.918096233138</v>
      </c>
      <c r="M118" s="136">
        <f>'[67]Rev_SP-12me'!AW125</f>
        <v>1.3502243902439</v>
      </c>
      <c r="N118" s="150">
        <f t="shared" si="2"/>
        <v>319.032310962351</v>
      </c>
    </row>
    <row r="119" ht="15" spans="2:14">
      <c r="B119" s="151" t="s">
        <v>1134</v>
      </c>
      <c r="C119" s="55"/>
      <c r="D119" s="136">
        <f>'[67]Rev_SP-12me'!AJ126</f>
        <v>0</v>
      </c>
      <c r="E119" s="136">
        <f>'[67]Rev_SP-12me'!AL126</f>
        <v>0</v>
      </c>
      <c r="F119" s="136">
        <f>'[67]Rev_SP-12me'!AQ126</f>
        <v>0</v>
      </c>
      <c r="G119" s="150">
        <f>'[67]Rev_SP-12me'!O126</f>
        <v>0</v>
      </c>
      <c r="H119" s="137">
        <f>'[67]Rev_SP-12me'!P126</f>
        <v>4.84</v>
      </c>
      <c r="I119" s="150">
        <f>'[67]Rev_SP-12me'!AA126</f>
        <v>2000</v>
      </c>
      <c r="J119" s="55"/>
      <c r="K119" s="136">
        <f>'[67]Rev_SP-12me'!AT126</f>
        <v>0</v>
      </c>
      <c r="L119" s="136">
        <f>'[67]Rev_SP-12me'!AU126</f>
        <v>0</v>
      </c>
      <c r="M119" s="136">
        <f>'[67]Rev_SP-12me'!AW126</f>
        <v>0</v>
      </c>
      <c r="N119" s="150">
        <f t="shared" si="2"/>
        <v>0</v>
      </c>
    </row>
    <row r="120" ht="15" spans="2:14">
      <c r="B120" s="151" t="s">
        <v>1135</v>
      </c>
      <c r="C120" s="55"/>
      <c r="D120" s="136">
        <f>'[67]Rev_SP-12me'!AJ127</f>
        <v>17.85</v>
      </c>
      <c r="E120" s="136">
        <f>'[67]Rev_SP-12me'!AL127</f>
        <v>10.29735</v>
      </c>
      <c r="F120" s="136">
        <f>'[67]Rev_SP-12me'!AQ127</f>
        <v>13.2238799</v>
      </c>
      <c r="G120" s="150">
        <f>'[67]Rev_SP-12me'!O127</f>
        <v>100</v>
      </c>
      <c r="H120" s="137">
        <f>'[67]Rev_SP-12me'!P127</f>
        <v>6</v>
      </c>
      <c r="I120" s="150">
        <f>'[67]Rev_SP-12me'!AA127</f>
        <v>2000</v>
      </c>
      <c r="J120" s="55"/>
      <c r="K120" s="136">
        <f>'[67]Rev_SP-12me'!AT127</f>
        <v>0.9885456</v>
      </c>
      <c r="L120" s="136">
        <f>'[67]Rev_SP-12me'!AU127</f>
        <v>7.81636526</v>
      </c>
      <c r="M120" s="136">
        <f>'[67]Rev_SP-12me'!AW127</f>
        <v>0.04182</v>
      </c>
      <c r="N120" s="150">
        <f t="shared" si="2"/>
        <v>8.84673086</v>
      </c>
    </row>
    <row r="121" spans="2:14">
      <c r="B121" s="156" t="s">
        <v>1119</v>
      </c>
      <c r="C121" s="55"/>
      <c r="D121" s="139">
        <f>'[67]Rev_SP-12me'!AJ128</f>
        <v>17.85</v>
      </c>
      <c r="E121" s="139">
        <f>'[67]Rev_SP-12me'!AL128</f>
        <v>10.29735</v>
      </c>
      <c r="F121" s="139">
        <f>'[67]Rev_SP-12me'!AQ128</f>
        <v>3.8922103</v>
      </c>
      <c r="G121" s="174">
        <f>'[67]Rev_SP-12me'!O128</f>
        <v>100</v>
      </c>
      <c r="H121" s="185">
        <f>'[67]Rev_SP-12me'!P128</f>
        <v>6</v>
      </c>
      <c r="I121" s="174">
        <f>'[67]Rev_SP-12me'!AA128</f>
        <v>2000</v>
      </c>
      <c r="J121" s="55"/>
      <c r="K121" s="139">
        <f>'[67]Rev_SP-12me'!AT128</f>
        <v>0.9885456</v>
      </c>
      <c r="L121" s="139">
        <f>'[67]Rev_SP-12me'!AU128</f>
        <v>2.33532618</v>
      </c>
      <c r="M121" s="139">
        <f>'[67]Rev_SP-12me'!AW128</f>
        <v>0.04182</v>
      </c>
      <c r="N121" s="153">
        <f t="shared" si="2"/>
        <v>3.36569178</v>
      </c>
    </row>
    <row r="122" spans="2:14">
      <c r="B122" s="156" t="s">
        <v>1120</v>
      </c>
      <c r="C122" s="55"/>
      <c r="D122" s="139">
        <f>'[67]Rev_SP-12me'!AJ129</f>
        <v>0</v>
      </c>
      <c r="E122" s="139">
        <f>'[67]Rev_SP-12me'!AL129</f>
        <v>0</v>
      </c>
      <c r="F122" s="139">
        <f>'[67]Rev_SP-12me'!AQ129</f>
        <v>2.0686996</v>
      </c>
      <c r="G122" s="174">
        <f>'[67]Rev_SP-12me'!O129</f>
        <v>0</v>
      </c>
      <c r="H122" s="185">
        <f>'[67]Rev_SP-12me'!P129</f>
        <v>7</v>
      </c>
      <c r="I122" s="174">
        <f>'[67]Rev_SP-12me'!AA129</f>
        <v>2000</v>
      </c>
      <c r="J122" s="55"/>
      <c r="K122" s="139">
        <f>'[67]Rev_SP-12me'!AT129</f>
        <v>0</v>
      </c>
      <c r="L122" s="139">
        <f>'[67]Rev_SP-12me'!AU129</f>
        <v>1.44808972</v>
      </c>
      <c r="M122" s="139">
        <f>'[67]Rev_SP-12me'!AW129</f>
        <v>0</v>
      </c>
      <c r="N122" s="153">
        <f t="shared" si="2"/>
        <v>1.44808972</v>
      </c>
    </row>
    <row r="123" spans="2:14">
      <c r="B123" s="156" t="s">
        <v>1121</v>
      </c>
      <c r="C123" s="55"/>
      <c r="D123" s="139">
        <f>'[67]Rev_SP-12me'!AJ130</f>
        <v>0</v>
      </c>
      <c r="E123" s="139">
        <f>'[67]Rev_SP-12me'!AL130</f>
        <v>0</v>
      </c>
      <c r="F123" s="139">
        <f>'[67]Rev_SP-12me'!AQ130</f>
        <v>2.0073218</v>
      </c>
      <c r="G123" s="174">
        <f>'[67]Rev_SP-12me'!O130</f>
        <v>0</v>
      </c>
      <c r="H123" s="185">
        <f>'[67]Rev_SP-12me'!P130</f>
        <v>7</v>
      </c>
      <c r="I123" s="174">
        <f>'[67]Rev_SP-12me'!AA130</f>
        <v>2000</v>
      </c>
      <c r="J123" s="55"/>
      <c r="K123" s="139">
        <f>'[67]Rev_SP-12me'!AT130</f>
        <v>0</v>
      </c>
      <c r="L123" s="139">
        <f>'[67]Rev_SP-12me'!AU130</f>
        <v>1.40512526</v>
      </c>
      <c r="M123" s="139">
        <f>'[67]Rev_SP-12me'!AW130</f>
        <v>0</v>
      </c>
      <c r="N123" s="153">
        <f t="shared" si="2"/>
        <v>1.40512526</v>
      </c>
    </row>
    <row r="124" spans="2:14">
      <c r="B124" s="156" t="s">
        <v>1122</v>
      </c>
      <c r="C124" s="55"/>
      <c r="D124" s="139">
        <f>'[67]Rev_SP-12me'!AJ131</f>
        <v>0</v>
      </c>
      <c r="E124" s="139">
        <f>'[67]Rev_SP-12me'!AL131</f>
        <v>0</v>
      </c>
      <c r="F124" s="139">
        <f>'[67]Rev_SP-12me'!AQ131</f>
        <v>5.2556482</v>
      </c>
      <c r="G124" s="174">
        <f>'[67]Rev_SP-12me'!O131</f>
        <v>0</v>
      </c>
      <c r="H124" s="185">
        <f>'[67]Rev_SP-12me'!P131</f>
        <v>5</v>
      </c>
      <c r="I124" s="174">
        <f>'[67]Rev_SP-12me'!AA131</f>
        <v>2000</v>
      </c>
      <c r="J124" s="55"/>
      <c r="K124" s="139">
        <f>'[67]Rev_SP-12me'!AT131</f>
        <v>0</v>
      </c>
      <c r="L124" s="139">
        <f>'[67]Rev_SP-12me'!AU131</f>
        <v>2.6278241</v>
      </c>
      <c r="M124" s="139">
        <f>'[67]Rev_SP-12me'!AW131</f>
        <v>0</v>
      </c>
      <c r="N124" s="153">
        <f t="shared" si="2"/>
        <v>2.6278241</v>
      </c>
    </row>
    <row r="125" ht="15" spans="2:14">
      <c r="B125" s="157" t="s">
        <v>1136</v>
      </c>
      <c r="C125" s="55"/>
      <c r="D125" s="148">
        <f>SUM(D74,D89,D94,D95,D100,D105,D110,D112,D115,D116,D117,D118,D119,D120)</f>
        <v>12004.4014639897</v>
      </c>
      <c r="E125" s="148">
        <f t="shared" ref="E125:F125" si="3">SUM(E74,E89,E94,E95,E100,E105,E110,E112,E115,E116,E117,E118,E119,E120)</f>
        <v>3552.43663094675</v>
      </c>
      <c r="F125" s="148">
        <f t="shared" si="3"/>
        <v>7904.21425991458</v>
      </c>
      <c r="G125" s="198"/>
      <c r="H125" s="198"/>
      <c r="I125" s="198"/>
      <c r="J125" s="198"/>
      <c r="K125" s="148">
        <f t="shared" ref="K125:N125" si="4">SUM(K74,K89,K94,K95,K100,K105,K110,K112,K115,K116,K117,K118,K119,K120)</f>
        <v>1564.98613561826</v>
      </c>
      <c r="L125" s="148">
        <f t="shared" si="4"/>
        <v>6442.46364149006</v>
      </c>
      <c r="M125" s="148">
        <f t="shared" si="4"/>
        <v>28.3852817567877</v>
      </c>
      <c r="N125" s="149">
        <f t="shared" si="4"/>
        <v>8035.8350588651</v>
      </c>
    </row>
    <row r="126" spans="2:3">
      <c r="B126" s="55"/>
      <c r="C126" s="55"/>
    </row>
    <row r="127" spans="2:14">
      <c r="B127" s="151" t="s">
        <v>212</v>
      </c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</row>
    <row r="128" ht="15" spans="2:14">
      <c r="B128" s="151" t="s">
        <v>1137</v>
      </c>
      <c r="C128" s="55"/>
      <c r="D128" s="136">
        <f>'[67]Rev_SP-12me'!AJ149</f>
        <v>424.296063513067</v>
      </c>
      <c r="E128" s="136">
        <f>'[67]Rev_SP-12me'!AL149</f>
        <v>1574.66954189788</v>
      </c>
      <c r="F128" s="136">
        <f>F129+F137</f>
        <v>6799.13435837822</v>
      </c>
      <c r="G128" s="150">
        <f>'[67]Rev_SP-12me'!O149</f>
        <v>0</v>
      </c>
      <c r="H128" s="137">
        <f>'[67]Rev_SP-12me'!P149</f>
        <v>0</v>
      </c>
      <c r="I128" s="150">
        <f>'[67]Rev_SP-12me'!AA149</f>
        <v>0</v>
      </c>
      <c r="J128" s="55"/>
      <c r="K128" s="136">
        <f>'[67]Rev_SP-12me'!AT149</f>
        <v>718.049311105433</v>
      </c>
      <c r="L128" s="136">
        <f>'[67]Rev_SP-12me'!AU149</f>
        <v>4871.36543912948</v>
      </c>
      <c r="M128" s="136">
        <f>'[67]Rev_SP-12me'!AW149</f>
        <v>1.77932173337744</v>
      </c>
      <c r="N128" s="158">
        <f t="shared" ref="N128:N172" si="5">SUM(K128:M128)</f>
        <v>5591.19407196829</v>
      </c>
    </row>
    <row r="129" spans="2:14">
      <c r="B129" s="159" t="s">
        <v>1138</v>
      </c>
      <c r="C129" s="55"/>
      <c r="D129" s="138">
        <f>'[67]Rev_SP-12me'!AJ150</f>
        <v>419.932186569633</v>
      </c>
      <c r="E129" s="138">
        <f>'[67]Rev_SP-12me'!AL150</f>
        <v>1574.66954189788</v>
      </c>
      <c r="F129" s="138">
        <f>'[67]Rev_SP-12me'!AQ150</f>
        <v>6769.95246162194</v>
      </c>
      <c r="G129" s="153">
        <f>'[67]Rev_SP-12me'!O150</f>
        <v>0</v>
      </c>
      <c r="H129" s="101">
        <f>'[67]Rev_SP-12me'!P150</f>
        <v>0</v>
      </c>
      <c r="I129" s="153">
        <f>'[67]Rev_SP-12me'!AA150</f>
        <v>0</v>
      </c>
      <c r="J129" s="55"/>
      <c r="K129" s="138">
        <f>'[67]Rev_SP-12me'!AT150</f>
        <v>718.049311105433</v>
      </c>
      <c r="L129" s="138">
        <f>'[67]Rev_SP-12me'!AU150</f>
        <v>4850.55361476065</v>
      </c>
      <c r="M129" s="138">
        <f>'[67]Rev_SP-12me'!AW150</f>
        <v>1.76175759179623</v>
      </c>
      <c r="N129" s="146">
        <f t="shared" si="5"/>
        <v>5570.36468345788</v>
      </c>
    </row>
    <row r="130" spans="2:14">
      <c r="B130" s="154" t="s">
        <v>1105</v>
      </c>
      <c r="C130" s="55"/>
      <c r="D130" s="139">
        <f>'[67]Rev_SP-12me'!AJ151</f>
        <v>418.932186569633</v>
      </c>
      <c r="E130" s="139">
        <f>'[67]Rev_SP-12me'!AL151</f>
        <v>1574.66954189788</v>
      </c>
      <c r="F130" s="139">
        <f>'[67]Rev_SP-12me'!AQ151</f>
        <v>2276.99246933565</v>
      </c>
      <c r="G130" s="153">
        <f>'[67]Rev_SP-12me'!O151</f>
        <v>475</v>
      </c>
      <c r="H130" s="101">
        <f>'[67]Rev_SP-12me'!P151</f>
        <v>7.15</v>
      </c>
      <c r="I130" s="153">
        <f>'[67]Rev_SP-12me'!AA151</f>
        <v>3500</v>
      </c>
      <c r="J130" s="55"/>
      <c r="K130" s="139">
        <f>'[67]Rev_SP-12me'!AT151</f>
        <v>718.049311105433</v>
      </c>
      <c r="L130" s="139">
        <f>'[67]Rev_SP-12me'!AU151</f>
        <v>1628.04961557499</v>
      </c>
      <c r="M130" s="139">
        <f>'[67]Rev_SP-12me'!AW151</f>
        <v>1.75755759179623</v>
      </c>
      <c r="N130" s="146">
        <f t="shared" si="5"/>
        <v>2347.85648427222</v>
      </c>
    </row>
    <row r="131" spans="2:14">
      <c r="B131" s="154" t="s">
        <v>1139</v>
      </c>
      <c r="C131" s="55"/>
      <c r="D131" s="139">
        <f>'[67]Rev_SP-12me'!AJ152</f>
        <v>0</v>
      </c>
      <c r="E131" s="139">
        <f>'[67]Rev_SP-12me'!AL152</f>
        <v>0</v>
      </c>
      <c r="F131" s="139">
        <f>'[67]Rev_SP-12me'!AQ152</f>
        <v>0.065585414387559</v>
      </c>
      <c r="G131" s="153">
        <f>'[67]Rev_SP-12me'!O152</f>
        <v>0</v>
      </c>
      <c r="H131" s="101">
        <f>'[67]Rev_SP-12me'!P152</f>
        <v>7.15</v>
      </c>
      <c r="I131" s="153">
        <f>'[67]Rev_SP-12me'!AA152</f>
        <v>3500</v>
      </c>
      <c r="J131" s="55"/>
      <c r="K131" s="139">
        <f>'[67]Rev_SP-12me'!AT152</f>
        <v>0</v>
      </c>
      <c r="L131" s="139">
        <f>'[67]Rev_SP-12me'!AU152</f>
        <v>0.0468935712871047</v>
      </c>
      <c r="M131" s="139">
        <f>'[67]Rev_SP-12me'!AW152</f>
        <v>0</v>
      </c>
      <c r="N131" s="146">
        <f t="shared" si="5"/>
        <v>0.0468935712871047</v>
      </c>
    </row>
    <row r="132" spans="2:14">
      <c r="B132" s="154" t="s">
        <v>1140</v>
      </c>
      <c r="C132" s="55"/>
      <c r="D132" s="139">
        <f>'[67]Rev_SP-12me'!AJ153</f>
        <v>0</v>
      </c>
      <c r="E132" s="139">
        <f>'[67]Rev_SP-12me'!AL153</f>
        <v>0</v>
      </c>
      <c r="F132" s="139">
        <f>'[67]Rev_SP-12me'!AQ153</f>
        <v>1.81177147797605</v>
      </c>
      <c r="G132" s="153">
        <f>'[67]Rev_SP-12me'!O153</f>
        <v>0</v>
      </c>
      <c r="H132" s="101">
        <f>'[67]Rev_SP-12me'!P153</f>
        <v>7.3</v>
      </c>
      <c r="I132" s="153">
        <f>'[67]Rev_SP-12me'!AA153</f>
        <v>3500</v>
      </c>
      <c r="J132" s="55"/>
      <c r="K132" s="139">
        <f>'[67]Rev_SP-12me'!AT153</f>
        <v>0</v>
      </c>
      <c r="L132" s="139">
        <f>'[67]Rev_SP-12me'!AU153</f>
        <v>1.32259317892252</v>
      </c>
      <c r="M132" s="139">
        <f>'[67]Rev_SP-12me'!AW153</f>
        <v>0</v>
      </c>
      <c r="N132" s="146">
        <f t="shared" si="5"/>
        <v>1.32259317892252</v>
      </c>
    </row>
    <row r="133" spans="2:14">
      <c r="B133" s="154" t="s">
        <v>1141</v>
      </c>
      <c r="C133" s="55"/>
      <c r="D133" s="139">
        <f>'[67]Rev_SP-12me'!AJ154</f>
        <v>1</v>
      </c>
      <c r="E133" s="139">
        <f>'[67]Rev_SP-12me'!AL154</f>
        <v>0</v>
      </c>
      <c r="F133" s="139">
        <f>'[67]Rev_SP-12me'!AQ154</f>
        <v>1.95685393643664</v>
      </c>
      <c r="G133" s="153">
        <f>'[67]Rev_SP-12me'!O154</f>
        <v>475</v>
      </c>
      <c r="H133" s="101">
        <f>'[67]Rev_SP-12me'!P154</f>
        <v>7.9</v>
      </c>
      <c r="I133" s="153">
        <f>'[67]Rev_SP-12me'!AA154</f>
        <v>3500</v>
      </c>
      <c r="J133" s="55"/>
      <c r="K133" s="139">
        <f>'[67]Rev_SP-12me'!AT154</f>
        <v>0</v>
      </c>
      <c r="L133" s="139">
        <f>'[67]Rev_SP-12me'!AU154</f>
        <v>1.54591460978494</v>
      </c>
      <c r="M133" s="139">
        <f>'[67]Rev_SP-12me'!AW154</f>
        <v>0.0042</v>
      </c>
      <c r="N133" s="146">
        <f t="shared" si="5"/>
        <v>1.55011460978494</v>
      </c>
    </row>
    <row r="134" spans="2:14">
      <c r="B134" s="156" t="s">
        <v>1120</v>
      </c>
      <c r="C134" s="55"/>
      <c r="D134" s="139">
        <f>'[67]Rev_SP-12me'!AJ155</f>
        <v>0</v>
      </c>
      <c r="E134" s="139">
        <f>'[67]Rev_SP-12me'!AL155</f>
        <v>0</v>
      </c>
      <c r="F134" s="139">
        <f>'[67]Rev_SP-12me'!AQ155</f>
        <v>1191.50707552599</v>
      </c>
      <c r="G134" s="153">
        <f>'[67]Rev_SP-12me'!O155</f>
        <v>0</v>
      </c>
      <c r="H134" s="101">
        <f>'[67]Rev_SP-12me'!P155</f>
        <v>8.15</v>
      </c>
      <c r="I134" s="153">
        <f>'[67]Rev_SP-12me'!AA155</f>
        <v>3500</v>
      </c>
      <c r="J134" s="55"/>
      <c r="K134" s="139">
        <f>'[67]Rev_SP-12me'!AT155</f>
        <v>0</v>
      </c>
      <c r="L134" s="139">
        <f>'[67]Rev_SP-12me'!AU155</f>
        <v>971.078266553686</v>
      </c>
      <c r="M134" s="139">
        <f>'[67]Rev_SP-12me'!AW155</f>
        <v>0</v>
      </c>
      <c r="N134" s="146">
        <f t="shared" si="5"/>
        <v>971.078266553686</v>
      </c>
    </row>
    <row r="135" spans="2:14">
      <c r="B135" s="156" t="s">
        <v>1121</v>
      </c>
      <c r="C135" s="55"/>
      <c r="D135" s="139">
        <f>'[67]Rev_SP-12me'!AJ156</f>
        <v>0</v>
      </c>
      <c r="E135" s="139">
        <f>'[67]Rev_SP-12me'!AL156</f>
        <v>0</v>
      </c>
      <c r="F135" s="139">
        <f>'[67]Rev_SP-12me'!AQ156</f>
        <v>1102.37413562057</v>
      </c>
      <c r="G135" s="153">
        <f>'[67]Rev_SP-12me'!O156</f>
        <v>0</v>
      </c>
      <c r="H135" s="101">
        <f>'[67]Rev_SP-12me'!P156</f>
        <v>8.15</v>
      </c>
      <c r="I135" s="153">
        <f>'[67]Rev_SP-12me'!AA156</f>
        <v>3500</v>
      </c>
      <c r="J135" s="55"/>
      <c r="K135" s="139">
        <f>'[67]Rev_SP-12me'!AT156</f>
        <v>0</v>
      </c>
      <c r="L135" s="139">
        <f>'[67]Rev_SP-12me'!AU156</f>
        <v>898.434920530766</v>
      </c>
      <c r="M135" s="139">
        <f>'[67]Rev_SP-12me'!AW156</f>
        <v>0</v>
      </c>
      <c r="N135" s="146">
        <f t="shared" si="5"/>
        <v>898.434920530766</v>
      </c>
    </row>
    <row r="136" spans="2:14">
      <c r="B136" s="156" t="s">
        <v>1122</v>
      </c>
      <c r="C136" s="55"/>
      <c r="D136" s="139">
        <f>'[67]Rev_SP-12me'!AJ157</f>
        <v>0</v>
      </c>
      <c r="E136" s="139">
        <f>'[67]Rev_SP-12me'!AL157</f>
        <v>0</v>
      </c>
      <c r="F136" s="139">
        <f>'[67]Rev_SP-12me'!AQ157</f>
        <v>2195.24457031092</v>
      </c>
      <c r="G136" s="153">
        <f>'[67]Rev_SP-12me'!O157</f>
        <v>0</v>
      </c>
      <c r="H136" s="101">
        <f>'[67]Rev_SP-12me'!P157</f>
        <v>6.15</v>
      </c>
      <c r="I136" s="153">
        <f>'[67]Rev_SP-12me'!AA157</f>
        <v>3500</v>
      </c>
      <c r="J136" s="55"/>
      <c r="K136" s="139">
        <f>'[67]Rev_SP-12me'!AT157</f>
        <v>0</v>
      </c>
      <c r="L136" s="139">
        <f>'[67]Rev_SP-12me'!AU157</f>
        <v>1350.07541074122</v>
      </c>
      <c r="M136" s="139">
        <f>'[67]Rev_SP-12me'!AW157</f>
        <v>0</v>
      </c>
      <c r="N136" s="146">
        <f t="shared" si="5"/>
        <v>1350.07541074122</v>
      </c>
    </row>
    <row r="137" ht="15" spans="2:14">
      <c r="B137" s="151" t="s">
        <v>1113</v>
      </c>
      <c r="C137" s="55"/>
      <c r="D137" s="138">
        <f>'[67]Rev_SP-12me'!AJ158</f>
        <v>4.36387694343367</v>
      </c>
      <c r="E137" s="138">
        <f>'[67]Rev_SP-12me'!AL158</f>
        <v>0</v>
      </c>
      <c r="F137" s="138">
        <f>'[67]Rev_SP-12me'!AQ158</f>
        <v>29.1818967562842</v>
      </c>
      <c r="G137" s="153">
        <f>'[67]Rev_SP-12me'!O158</f>
        <v>0</v>
      </c>
      <c r="H137" s="101">
        <f>'[67]Rev_SP-12me'!P158</f>
        <v>0</v>
      </c>
      <c r="I137" s="153">
        <f>'[67]Rev_SP-12me'!AA158</f>
        <v>0</v>
      </c>
      <c r="J137" s="55"/>
      <c r="K137" s="138">
        <f>'[67]Rev_SP-12me'!AT158</f>
        <v>0</v>
      </c>
      <c r="L137" s="138">
        <f>'[67]Rev_SP-12me'!AU158</f>
        <v>20.8118243688288</v>
      </c>
      <c r="M137" s="138">
        <f>'[67]Rev_SP-12me'!AW158</f>
        <v>0.0175641415812107</v>
      </c>
      <c r="N137" s="158">
        <f t="shared" si="5"/>
        <v>20.82938851041</v>
      </c>
    </row>
    <row r="138" spans="2:14">
      <c r="B138" s="156" t="s">
        <v>1142</v>
      </c>
      <c r="C138" s="55"/>
      <c r="D138" s="139">
        <f>'[67]Rev_SP-12me'!AJ159</f>
        <v>4.36387694343367</v>
      </c>
      <c r="E138" s="139">
        <f>'[67]Rev_SP-12me'!AL159</f>
        <v>0</v>
      </c>
      <c r="F138" s="139">
        <f>'[67]Rev_SP-12me'!AQ159</f>
        <v>8.54502613441094</v>
      </c>
      <c r="G138" s="153">
        <f>'[67]Rev_SP-12me'!O159</f>
        <v>475</v>
      </c>
      <c r="H138" s="101">
        <f>'[67]Rev_SP-12me'!P159</f>
        <v>7.15</v>
      </c>
      <c r="I138" s="153">
        <f>'[67]Rev_SP-12me'!AA159</f>
        <v>3500</v>
      </c>
      <c r="J138" s="55"/>
      <c r="K138" s="139">
        <f>'[67]Rev_SP-12me'!AT159</f>
        <v>0</v>
      </c>
      <c r="L138" s="139">
        <f>'[67]Rev_SP-12me'!AU159</f>
        <v>6.10969368610382</v>
      </c>
      <c r="M138" s="139">
        <f>'[67]Rev_SP-12me'!AW159</f>
        <v>0.0175641415812107</v>
      </c>
      <c r="N138" s="146">
        <f t="shared" si="5"/>
        <v>6.12725782768503</v>
      </c>
    </row>
    <row r="139" spans="2:14">
      <c r="B139" s="156" t="s">
        <v>1115</v>
      </c>
      <c r="C139" s="55"/>
      <c r="D139" s="139">
        <f>'[67]Rev_SP-12me'!AJ160</f>
        <v>0</v>
      </c>
      <c r="E139" s="139">
        <f>'[67]Rev_SP-12me'!AL160</f>
        <v>0</v>
      </c>
      <c r="F139" s="139">
        <f>'[67]Rev_SP-12me'!AQ160</f>
        <v>4.94450055932905</v>
      </c>
      <c r="G139" s="153">
        <f>'[67]Rev_SP-12me'!O160</f>
        <v>0</v>
      </c>
      <c r="H139" s="101">
        <f>'[67]Rev_SP-12me'!P160</f>
        <v>8.15</v>
      </c>
      <c r="I139" s="153">
        <f>'[67]Rev_SP-12me'!AA160</f>
        <v>3500</v>
      </c>
      <c r="J139" s="55"/>
      <c r="K139" s="139">
        <f>'[67]Rev_SP-12me'!AT160</f>
        <v>0</v>
      </c>
      <c r="L139" s="139">
        <f>'[67]Rev_SP-12me'!AU160</f>
        <v>4.02976795585318</v>
      </c>
      <c r="M139" s="139">
        <f>'[67]Rev_SP-12me'!AW160</f>
        <v>0</v>
      </c>
      <c r="N139" s="146">
        <f t="shared" si="5"/>
        <v>4.02976795585318</v>
      </c>
    </row>
    <row r="140" spans="2:14">
      <c r="B140" s="156" t="s">
        <v>1116</v>
      </c>
      <c r="C140" s="55"/>
      <c r="D140" s="139">
        <f>'[67]Rev_SP-12me'!AJ161</f>
        <v>0</v>
      </c>
      <c r="E140" s="139">
        <f>'[67]Rev_SP-12me'!AL161</f>
        <v>0</v>
      </c>
      <c r="F140" s="139">
        <f>'[67]Rev_SP-12me'!AQ161</f>
        <v>5.10777569203572</v>
      </c>
      <c r="G140" s="153">
        <f>'[67]Rev_SP-12me'!O161</f>
        <v>0</v>
      </c>
      <c r="H140" s="101">
        <f>'[67]Rev_SP-12me'!P161</f>
        <v>8.15</v>
      </c>
      <c r="I140" s="153">
        <f>'[67]Rev_SP-12me'!AA161</f>
        <v>3500</v>
      </c>
      <c r="J140" s="55"/>
      <c r="K140" s="139">
        <f>'[67]Rev_SP-12me'!AT161</f>
        <v>0</v>
      </c>
      <c r="L140" s="139">
        <f>'[67]Rev_SP-12me'!AU161</f>
        <v>4.16283718900911</v>
      </c>
      <c r="M140" s="139">
        <f>'[67]Rev_SP-12me'!AW161</f>
        <v>0</v>
      </c>
      <c r="N140" s="146">
        <f t="shared" si="5"/>
        <v>4.16283718900911</v>
      </c>
    </row>
    <row r="141" spans="2:14">
      <c r="B141" s="156" t="s">
        <v>1143</v>
      </c>
      <c r="C141" s="55"/>
      <c r="D141" s="139">
        <f>'[67]Rev_SP-12me'!AJ162</f>
        <v>0</v>
      </c>
      <c r="E141" s="139">
        <f>'[67]Rev_SP-12me'!AL162</f>
        <v>0</v>
      </c>
      <c r="F141" s="139">
        <f>'[67]Rev_SP-12me'!AQ162</f>
        <v>10.5845943705085</v>
      </c>
      <c r="G141" s="153">
        <f>'[67]Rev_SP-12me'!O162</f>
        <v>0</v>
      </c>
      <c r="H141" s="101">
        <f>'[67]Rev_SP-12me'!P162</f>
        <v>6.15</v>
      </c>
      <c r="I141" s="153">
        <f>'[67]Rev_SP-12me'!AA162</f>
        <v>3500</v>
      </c>
      <c r="J141" s="55"/>
      <c r="K141" s="139">
        <f>'[67]Rev_SP-12me'!AT162</f>
        <v>0</v>
      </c>
      <c r="L141" s="139">
        <f>'[67]Rev_SP-12me'!AU162</f>
        <v>6.50952553786272</v>
      </c>
      <c r="M141" s="139">
        <f>'[67]Rev_SP-12me'!AW162</f>
        <v>0</v>
      </c>
      <c r="N141" s="146">
        <f t="shared" si="5"/>
        <v>6.50952553786272</v>
      </c>
    </row>
    <row r="142" ht="15" spans="2:14">
      <c r="B142" s="151" t="s">
        <v>1144</v>
      </c>
      <c r="C142" s="55"/>
      <c r="D142" s="136">
        <f>'[67]Rev_SP-12me'!AJ164</f>
        <v>0</v>
      </c>
      <c r="E142" s="136">
        <f>'[67]Rev_SP-12me'!AL164</f>
        <v>12.1559149244853</v>
      </c>
      <c r="F142" s="136">
        <f>'[67]Rev_SP-12me'!AQ164</f>
        <v>74.6043920804725</v>
      </c>
      <c r="G142" s="150">
        <f>'[67]Rev_SP-12me'!O164</f>
        <v>0</v>
      </c>
      <c r="H142" s="137">
        <f>'[67]Rev_SP-12me'!P164</f>
        <v>0</v>
      </c>
      <c r="I142" s="150">
        <f>'[67]Rev_SP-12me'!AA164</f>
        <v>14000</v>
      </c>
      <c r="J142" s="55"/>
      <c r="K142" s="136">
        <f>'[67]Rev_SP-12me'!AT164</f>
        <v>5.54309720556531</v>
      </c>
      <c r="L142" s="136">
        <f>'[67]Rev_SP-12me'!AU164</f>
        <v>53.4537435101387</v>
      </c>
      <c r="M142" s="136">
        <f>'[67]Rev_SP-12me'!AW164</f>
        <v>0.0084</v>
      </c>
      <c r="N142" s="158">
        <f t="shared" si="5"/>
        <v>59.005240715704</v>
      </c>
    </row>
    <row r="143" spans="2:14">
      <c r="B143" s="154" t="s">
        <v>1119</v>
      </c>
      <c r="C143" s="55"/>
      <c r="D143" s="139">
        <f>'[67]Rev_SP-12me'!AJ165</f>
        <v>0</v>
      </c>
      <c r="E143" s="139">
        <f>'[67]Rev_SP-12me'!AL165</f>
        <v>12.1559149244853</v>
      </c>
      <c r="F143" s="139">
        <f>'[67]Rev_SP-12me'!AQ165</f>
        <v>25.2018651860719</v>
      </c>
      <c r="G143" s="153">
        <f>'[67]Rev_SP-12me'!O165</f>
        <v>475</v>
      </c>
      <c r="H143" s="101">
        <f>'[67]Rev_SP-12me'!P165</f>
        <v>7.15</v>
      </c>
      <c r="I143" s="153">
        <f>'[67]Rev_SP-12me'!AA165</f>
        <v>3500</v>
      </c>
      <c r="J143" s="55"/>
      <c r="K143" s="139">
        <f>'[67]Rev_SP-12me'!AT165</f>
        <v>5.54309720556531</v>
      </c>
      <c r="L143" s="139">
        <f>'[67]Rev_SP-12me'!AU165</f>
        <v>18.0193336080414</v>
      </c>
      <c r="M143" s="139">
        <f>'[67]Rev_SP-12me'!AW165</f>
        <v>0.0084</v>
      </c>
      <c r="N143" s="146">
        <f t="shared" si="5"/>
        <v>23.5708308136067</v>
      </c>
    </row>
    <row r="144" spans="2:14">
      <c r="B144" s="154" t="s">
        <v>1120</v>
      </c>
      <c r="C144" s="55"/>
      <c r="D144" s="139">
        <f>'[67]Rev_SP-12me'!AJ166</f>
        <v>0</v>
      </c>
      <c r="E144" s="139">
        <f>'[67]Rev_SP-12me'!AL166</f>
        <v>0</v>
      </c>
      <c r="F144" s="139">
        <f>'[67]Rev_SP-12me'!AQ166</f>
        <v>12.0224322937836</v>
      </c>
      <c r="G144" s="153">
        <f>'[67]Rev_SP-12me'!O166</f>
        <v>0</v>
      </c>
      <c r="H144" s="101">
        <f>'[67]Rev_SP-12me'!P166</f>
        <v>8.15</v>
      </c>
      <c r="I144" s="153">
        <f>'[67]Rev_SP-12me'!AA166</f>
        <v>3500</v>
      </c>
      <c r="J144" s="55"/>
      <c r="K144" s="139">
        <f>'[67]Rev_SP-12me'!AT166</f>
        <v>0</v>
      </c>
      <c r="L144" s="139">
        <f>'[67]Rev_SP-12me'!AU166</f>
        <v>9.79828231943363</v>
      </c>
      <c r="M144" s="139">
        <f>'[67]Rev_SP-12me'!AW166</f>
        <v>0</v>
      </c>
      <c r="N144" s="146">
        <f t="shared" si="5"/>
        <v>9.79828231943363</v>
      </c>
    </row>
    <row r="145" spans="2:14">
      <c r="B145" s="154" t="s">
        <v>1121</v>
      </c>
      <c r="C145" s="55"/>
      <c r="D145" s="139">
        <f>'[67]Rev_SP-12me'!AJ167</f>
        <v>0</v>
      </c>
      <c r="E145" s="139">
        <f>'[67]Rev_SP-12me'!AL167</f>
        <v>0</v>
      </c>
      <c r="F145" s="139">
        <f>'[67]Rev_SP-12me'!AQ167</f>
        <v>13.2368470164208</v>
      </c>
      <c r="G145" s="153">
        <f>'[67]Rev_SP-12me'!O167</f>
        <v>0</v>
      </c>
      <c r="H145" s="101">
        <f>'[67]Rev_SP-12me'!P167</f>
        <v>8.15</v>
      </c>
      <c r="I145" s="153">
        <f>'[67]Rev_SP-12me'!AA167</f>
        <v>3500</v>
      </c>
      <c r="J145" s="55"/>
      <c r="K145" s="139">
        <f>'[67]Rev_SP-12me'!AT167</f>
        <v>0</v>
      </c>
      <c r="L145" s="139">
        <f>'[67]Rev_SP-12me'!AU167</f>
        <v>10.788030318383</v>
      </c>
      <c r="M145" s="139">
        <f>'[67]Rev_SP-12me'!AW167</f>
        <v>0</v>
      </c>
      <c r="N145" s="146">
        <f t="shared" si="5"/>
        <v>10.788030318383</v>
      </c>
    </row>
    <row r="146" spans="2:14">
      <c r="B146" s="154" t="s">
        <v>1122</v>
      </c>
      <c r="C146" s="55"/>
      <c r="D146" s="139">
        <f>'[67]Rev_SP-12me'!AJ168</f>
        <v>0</v>
      </c>
      <c r="E146" s="139">
        <f>'[67]Rev_SP-12me'!AL168</f>
        <v>0</v>
      </c>
      <c r="F146" s="139">
        <f>'[67]Rev_SP-12me'!AQ168</f>
        <v>24.1432475841962</v>
      </c>
      <c r="G146" s="153">
        <f>'[67]Rev_SP-12me'!O168</f>
        <v>0</v>
      </c>
      <c r="H146" s="101">
        <f>'[67]Rev_SP-12me'!P168</f>
        <v>6.15</v>
      </c>
      <c r="I146" s="153">
        <f>'[67]Rev_SP-12me'!AA168</f>
        <v>3500</v>
      </c>
      <c r="J146" s="55"/>
      <c r="K146" s="139">
        <f>'[67]Rev_SP-12me'!AT168</f>
        <v>0</v>
      </c>
      <c r="L146" s="139">
        <f>'[67]Rev_SP-12me'!AU168</f>
        <v>14.8480972642806</v>
      </c>
      <c r="M146" s="139">
        <f>'[67]Rev_SP-12me'!AW168</f>
        <v>0</v>
      </c>
      <c r="N146" s="146">
        <f t="shared" si="5"/>
        <v>14.8480972642806</v>
      </c>
    </row>
    <row r="147" ht="15" spans="2:14">
      <c r="B147" s="151" t="s">
        <v>1123</v>
      </c>
      <c r="C147" s="55"/>
      <c r="D147" s="167">
        <f>'[67]Rev_SP-12me'!AJ163</f>
        <v>1</v>
      </c>
      <c r="E147" s="136">
        <f>'[67]Rev_SP-12me'!AL163</f>
        <v>15.5503512880562</v>
      </c>
      <c r="F147" s="136">
        <f>'[67]Rev_SP-12me'!AQ163</f>
        <v>0</v>
      </c>
      <c r="G147" s="150">
        <f>'[67]Rev_SP-12me'!O163</f>
        <v>475</v>
      </c>
      <c r="H147" s="137">
        <f>'[67]Rev_SP-12me'!P163</f>
        <v>7.15</v>
      </c>
      <c r="I147" s="150">
        <f>'[67]Rev_SP-12me'!AA163</f>
        <v>3500</v>
      </c>
      <c r="J147" s="55"/>
      <c r="K147" s="136">
        <f>'[67]Rev_SP-12me'!AT163</f>
        <v>7.09096018735363</v>
      </c>
      <c r="L147" s="136">
        <f>'[67]Rev_SP-12me'!AU163</f>
        <v>0</v>
      </c>
      <c r="M147" s="136">
        <f>'[67]Rev_SP-12me'!AW163</f>
        <v>0.0021</v>
      </c>
      <c r="N147" s="158">
        <f t="shared" si="5"/>
        <v>7.09306018735363</v>
      </c>
    </row>
    <row r="148" ht="15" spans="2:14">
      <c r="B148" s="151" t="s">
        <v>1124</v>
      </c>
      <c r="C148" s="55"/>
      <c r="D148" s="136">
        <f>'[67]Rev_SP-12me'!AJ169</f>
        <v>174</v>
      </c>
      <c r="E148" s="136">
        <f>'[67]Rev_SP-12me'!AL169</f>
        <v>515.939730389015</v>
      </c>
      <c r="F148" s="136">
        <f>'[67]Rev_SP-12me'!AQ169</f>
        <v>1830.09692975173</v>
      </c>
      <c r="G148" s="150">
        <f>'[67]Rev_SP-12me'!O169</f>
        <v>0</v>
      </c>
      <c r="H148" s="137">
        <f>'[67]Rev_SP-12me'!P169</f>
        <v>0</v>
      </c>
      <c r="I148" s="150">
        <f>'[67]Rev_SP-12me'!AA169</f>
        <v>3500</v>
      </c>
      <c r="J148" s="55"/>
      <c r="K148" s="136">
        <f>'[67]Rev_SP-12me'!AT169</f>
        <v>235.268517057391</v>
      </c>
      <c r="L148" s="136">
        <f>'[67]Rev_SP-12me'!AU169</f>
        <v>1480.2781636137</v>
      </c>
      <c r="M148" s="136">
        <f>'[67]Rev_SP-12me'!AW169</f>
        <v>0.7203</v>
      </c>
      <c r="N148" s="158">
        <f t="shared" si="5"/>
        <v>1716.26698067109</v>
      </c>
    </row>
    <row r="149" spans="2:14">
      <c r="B149" s="156" t="s">
        <v>1145</v>
      </c>
      <c r="C149" s="55"/>
      <c r="D149" s="138">
        <f>'[67]Rev_SP-12me'!AJ170</f>
        <v>174</v>
      </c>
      <c r="E149" s="138">
        <f>'[67]Rev_SP-12me'!AL170</f>
        <v>515.939730389015</v>
      </c>
      <c r="F149" s="138">
        <f>'[67]Rev_SP-12me'!AQ170</f>
        <v>737.117850993037</v>
      </c>
      <c r="G149" s="153">
        <f>'[67]Rev_SP-12me'!O170</f>
        <v>475</v>
      </c>
      <c r="H149" s="101">
        <f>'[67]Rev_SP-12me'!P170</f>
        <v>8</v>
      </c>
      <c r="I149" s="153">
        <f>'[67]Rev_SP-12me'!AA170</f>
        <v>3500</v>
      </c>
      <c r="J149" s="55"/>
      <c r="K149" s="138">
        <f>'[67]Rev_SP-12me'!AT170</f>
        <v>235.268517057391</v>
      </c>
      <c r="L149" s="138">
        <f>'[67]Rev_SP-12me'!AU170</f>
        <v>589.694280794429</v>
      </c>
      <c r="M149" s="138">
        <f>'[67]Rev_SP-12me'!AW170</f>
        <v>0.7203</v>
      </c>
      <c r="N149" s="146">
        <f t="shared" si="5"/>
        <v>825.68309785182</v>
      </c>
    </row>
    <row r="150" spans="2:14">
      <c r="B150" s="156" t="s">
        <v>1120</v>
      </c>
      <c r="C150" s="55"/>
      <c r="D150" s="139">
        <f>'[67]Rev_SP-12me'!AJ171</f>
        <v>0</v>
      </c>
      <c r="E150" s="139">
        <f>'[67]Rev_SP-12me'!AL171</f>
        <v>0</v>
      </c>
      <c r="F150" s="139">
        <f>'[67]Rev_SP-12me'!AQ171</f>
        <v>339.731194992278</v>
      </c>
      <c r="G150" s="153">
        <f>'[67]Rev_SP-12me'!O171</f>
        <v>0</v>
      </c>
      <c r="H150" s="101">
        <f>'[67]Rev_SP-12me'!P171</f>
        <v>9</v>
      </c>
      <c r="I150" s="153">
        <f>'[67]Rev_SP-12me'!AA171</f>
        <v>3500</v>
      </c>
      <c r="J150" s="55"/>
      <c r="K150" s="139">
        <f>'[67]Rev_SP-12me'!AT171</f>
        <v>0</v>
      </c>
      <c r="L150" s="139">
        <f>'[67]Rev_SP-12me'!AU171</f>
        <v>305.75807549305</v>
      </c>
      <c r="M150" s="139">
        <f>'[67]Rev_SP-12me'!AW171</f>
        <v>0</v>
      </c>
      <c r="N150" s="146">
        <f t="shared" si="5"/>
        <v>305.75807549305</v>
      </c>
    </row>
    <row r="151" spans="2:14">
      <c r="B151" s="156" t="s">
        <v>1121</v>
      </c>
      <c r="C151" s="55"/>
      <c r="D151" s="139">
        <f>'[67]Rev_SP-12me'!AJ172</f>
        <v>0</v>
      </c>
      <c r="E151" s="139">
        <f>'[67]Rev_SP-12me'!AL172</f>
        <v>0</v>
      </c>
      <c r="F151" s="139">
        <f>'[67]Rev_SP-12me'!AQ172</f>
        <v>287.761443448651</v>
      </c>
      <c r="G151" s="153">
        <f>'[67]Rev_SP-12me'!O172</f>
        <v>0</v>
      </c>
      <c r="H151" s="101">
        <f>'[67]Rev_SP-12me'!P172</f>
        <v>9</v>
      </c>
      <c r="I151" s="153">
        <f>'[67]Rev_SP-12me'!AA172</f>
        <v>3500</v>
      </c>
      <c r="J151" s="55"/>
      <c r="K151" s="139">
        <f>'[67]Rev_SP-12me'!AT172</f>
        <v>0</v>
      </c>
      <c r="L151" s="139">
        <f>'[67]Rev_SP-12me'!AU172</f>
        <v>258.985299103786</v>
      </c>
      <c r="M151" s="139">
        <f>'[67]Rev_SP-12me'!AW172</f>
        <v>0</v>
      </c>
      <c r="N151" s="146">
        <f t="shared" si="5"/>
        <v>258.985299103786</v>
      </c>
    </row>
    <row r="152" spans="2:14">
      <c r="B152" s="156" t="s">
        <v>1122</v>
      </c>
      <c r="C152" s="55"/>
      <c r="D152" s="139">
        <f>'[67]Rev_SP-12me'!AJ173</f>
        <v>0</v>
      </c>
      <c r="E152" s="139">
        <f>'[67]Rev_SP-12me'!AL173</f>
        <v>0</v>
      </c>
      <c r="F152" s="139">
        <f>'[67]Rev_SP-12me'!AQ173</f>
        <v>465.486440317764</v>
      </c>
      <c r="G152" s="153">
        <f>'[67]Rev_SP-12me'!O173</f>
        <v>0</v>
      </c>
      <c r="H152" s="101">
        <f>'[67]Rev_SP-12me'!P173</f>
        <v>7</v>
      </c>
      <c r="I152" s="153">
        <f>'[67]Rev_SP-12me'!AA173</f>
        <v>3500</v>
      </c>
      <c r="J152" s="55"/>
      <c r="K152" s="139">
        <f>'[67]Rev_SP-12me'!AT173</f>
        <v>0</v>
      </c>
      <c r="L152" s="139">
        <f>'[67]Rev_SP-12me'!AU173</f>
        <v>325.840508222434</v>
      </c>
      <c r="M152" s="139">
        <f>'[67]Rev_SP-12me'!AW173</f>
        <v>0</v>
      </c>
      <c r="N152" s="146">
        <f t="shared" si="5"/>
        <v>325.840508222434</v>
      </c>
    </row>
    <row r="153" spans="2:14">
      <c r="B153" s="156" t="s">
        <v>1146</v>
      </c>
      <c r="C153" s="55"/>
      <c r="D153" s="139">
        <f>'[67]Rev_SP-12me'!AJ174</f>
        <v>0</v>
      </c>
      <c r="E153" s="139">
        <f>'[67]Rev_SP-12me'!AL174</f>
        <v>0</v>
      </c>
      <c r="F153" s="139">
        <f>'[67]Rev_SP-12me'!AQ174</f>
        <v>0</v>
      </c>
      <c r="G153" s="153">
        <f>'[67]Rev_SP-12me'!O174</f>
        <v>475</v>
      </c>
      <c r="H153" s="101">
        <f>'[67]Rev_SP-12me'!P174</f>
        <v>8</v>
      </c>
      <c r="I153" s="153">
        <f>'[67]Rev_SP-12me'!AA174</f>
        <v>3500</v>
      </c>
      <c r="J153" s="55"/>
      <c r="K153" s="139">
        <f>'[67]Rev_SP-12me'!AT174</f>
        <v>0</v>
      </c>
      <c r="L153" s="139">
        <f>'[67]Rev_SP-12me'!AU174</f>
        <v>0</v>
      </c>
      <c r="M153" s="139">
        <f>'[67]Rev_SP-12me'!AW174</f>
        <v>0</v>
      </c>
      <c r="N153" s="146">
        <f t="shared" si="5"/>
        <v>0</v>
      </c>
    </row>
    <row r="154" ht="15" spans="2:14">
      <c r="B154" s="151" t="s">
        <v>1125</v>
      </c>
      <c r="C154" s="55"/>
      <c r="D154" s="136">
        <f>'[67]Rev_SP-12me'!AJ175</f>
        <v>0</v>
      </c>
      <c r="E154" s="136">
        <f>'[67]Rev_SP-12me'!AL175</f>
        <v>0</v>
      </c>
      <c r="F154" s="136">
        <f>'[67]Rev_SP-12me'!AQ175</f>
        <v>3.896349</v>
      </c>
      <c r="G154" s="150">
        <f>'[67]Rev_SP-12me'!O175</f>
        <v>0</v>
      </c>
      <c r="H154" s="137">
        <f>'[67]Rev_SP-12me'!P175</f>
        <v>0</v>
      </c>
      <c r="I154" s="150"/>
      <c r="J154" s="55"/>
      <c r="K154" s="136">
        <f>'[67]Rev_SP-12me'!AT175</f>
        <v>0</v>
      </c>
      <c r="L154" s="136">
        <f>'[67]Rev_SP-12me'!AU175</f>
        <v>2.00284446</v>
      </c>
      <c r="M154" s="136">
        <f>'[67]Rev_SP-12me'!AW175</f>
        <v>0.0042</v>
      </c>
      <c r="N154" s="158">
        <f t="shared" si="5"/>
        <v>2.00704446</v>
      </c>
    </row>
    <row r="155" spans="2:14">
      <c r="B155" s="154" t="s">
        <v>1119</v>
      </c>
      <c r="C155" s="55"/>
      <c r="D155" s="139">
        <f>'[67]Rev_SP-12me'!AJ176</f>
        <v>0</v>
      </c>
      <c r="E155" s="139">
        <f>'[67]Rev_SP-12me'!AL176</f>
        <v>0</v>
      </c>
      <c r="F155" s="139">
        <f>'[67]Rev_SP-12me'!AQ176</f>
        <v>1.5774606</v>
      </c>
      <c r="G155" s="153">
        <f>'[67]Rev_SP-12me'!O176</f>
        <v>260</v>
      </c>
      <c r="H155" s="101">
        <f>'[67]Rev_SP-12me'!P176</f>
        <v>5</v>
      </c>
      <c r="I155" s="153">
        <f>'[67]Rev_SP-12me'!AA176</f>
        <v>3500</v>
      </c>
      <c r="J155" s="55"/>
      <c r="K155" s="139">
        <f>'[67]Rev_SP-12me'!AT176</f>
        <v>0</v>
      </c>
      <c r="L155" s="139">
        <f>'[67]Rev_SP-12me'!AU176</f>
        <v>0.7887303</v>
      </c>
      <c r="M155" s="139">
        <f>'[67]Rev_SP-12me'!AW176</f>
        <v>0.0042</v>
      </c>
      <c r="N155" s="146">
        <f t="shared" si="5"/>
        <v>0.7929303</v>
      </c>
    </row>
    <row r="156" spans="2:14">
      <c r="B156" s="154" t="s">
        <v>1120</v>
      </c>
      <c r="C156" s="55"/>
      <c r="D156" s="139">
        <f>'[67]Rev_SP-12me'!AJ177</f>
        <v>0</v>
      </c>
      <c r="E156" s="139">
        <f>'[67]Rev_SP-12me'!AL177</f>
        <v>0</v>
      </c>
      <c r="F156" s="139">
        <f>'[67]Rev_SP-12me'!AQ177</f>
        <v>0.7272906</v>
      </c>
      <c r="G156" s="153">
        <f>'[67]Rev_SP-12me'!O177</f>
        <v>0</v>
      </c>
      <c r="H156" s="101">
        <f>'[67]Rev_SP-12me'!P177</f>
        <v>6</v>
      </c>
      <c r="I156" s="153">
        <f>'[67]Rev_SP-12me'!AA177</f>
        <v>3500</v>
      </c>
      <c r="J156" s="55"/>
      <c r="K156" s="139">
        <f>'[67]Rev_SP-12me'!AT177</f>
        <v>0</v>
      </c>
      <c r="L156" s="139">
        <f>'[67]Rev_SP-12me'!AU177</f>
        <v>0.43637436</v>
      </c>
      <c r="M156" s="139">
        <f>'[67]Rev_SP-12me'!AW177</f>
        <v>0</v>
      </c>
      <c r="N156" s="146">
        <f t="shared" si="5"/>
        <v>0.43637436</v>
      </c>
    </row>
    <row r="157" spans="2:14">
      <c r="B157" s="154" t="s">
        <v>1121</v>
      </c>
      <c r="C157" s="55"/>
      <c r="D157" s="139">
        <f>'[67]Rev_SP-12me'!AJ178</f>
        <v>0</v>
      </c>
      <c r="E157" s="139">
        <f>'[67]Rev_SP-12me'!AL178</f>
        <v>0</v>
      </c>
      <c r="F157" s="139">
        <f>'[67]Rev_SP-12me'!AQ178</f>
        <v>0.7055034</v>
      </c>
      <c r="G157" s="153">
        <f>'[67]Rev_SP-12me'!O178</f>
        <v>0</v>
      </c>
      <c r="H157" s="101">
        <f>'[67]Rev_SP-12me'!P178</f>
        <v>6</v>
      </c>
      <c r="I157" s="153">
        <f>'[67]Rev_SP-12me'!AA178</f>
        <v>3500</v>
      </c>
      <c r="J157" s="55"/>
      <c r="K157" s="139">
        <f>'[67]Rev_SP-12me'!AT178</f>
        <v>0</v>
      </c>
      <c r="L157" s="139">
        <f>'[67]Rev_SP-12me'!AU178</f>
        <v>0.42330204</v>
      </c>
      <c r="M157" s="139">
        <f>'[67]Rev_SP-12me'!AW178</f>
        <v>0</v>
      </c>
      <c r="N157" s="146">
        <f t="shared" si="5"/>
        <v>0.42330204</v>
      </c>
    </row>
    <row r="158" spans="2:14">
      <c r="B158" s="154" t="s">
        <v>1122</v>
      </c>
      <c r="C158" s="55"/>
      <c r="D158" s="139">
        <f>'[67]Rev_SP-12me'!AJ179</f>
        <v>0</v>
      </c>
      <c r="E158" s="139">
        <f>'[67]Rev_SP-12me'!AL179</f>
        <v>0</v>
      </c>
      <c r="F158" s="139">
        <f>'[67]Rev_SP-12me'!AQ179</f>
        <v>0.8860944</v>
      </c>
      <c r="G158" s="153">
        <f>'[67]Rev_SP-12me'!O179</f>
        <v>0</v>
      </c>
      <c r="H158" s="101">
        <f>'[67]Rev_SP-12me'!P179</f>
        <v>4</v>
      </c>
      <c r="I158" s="153">
        <f>'[67]Rev_SP-12me'!AA179</f>
        <v>3500</v>
      </c>
      <c r="J158" s="55"/>
      <c r="K158" s="139">
        <f>'[67]Rev_SP-12me'!AT179</f>
        <v>0</v>
      </c>
      <c r="L158" s="139">
        <f>'[67]Rev_SP-12me'!AU179</f>
        <v>0.35443776</v>
      </c>
      <c r="M158" s="139">
        <f>'[67]Rev_SP-12me'!AW179</f>
        <v>0</v>
      </c>
      <c r="N158" s="146">
        <f t="shared" si="5"/>
        <v>0.35443776</v>
      </c>
    </row>
    <row r="159" ht="15" spans="2:14">
      <c r="B159" s="151" t="s">
        <v>1126</v>
      </c>
      <c r="C159" s="55"/>
      <c r="D159" s="136">
        <f>'[67]Rev_SP-12me'!AJ180</f>
        <v>0</v>
      </c>
      <c r="E159" s="136">
        <f>'[67]Rev_SP-12me'!AL180</f>
        <v>0</v>
      </c>
      <c r="F159" s="136">
        <f>'[67]Rev_SP-12me'!AQ180</f>
        <v>0</v>
      </c>
      <c r="G159" s="150">
        <f>'[67]Rev_SP-12me'!O180</f>
        <v>0</v>
      </c>
      <c r="H159" s="137">
        <f>'[67]Rev_SP-12me'!P180</f>
        <v>0</v>
      </c>
      <c r="I159" s="150">
        <f>'[67]Rev_SP-12me'!AA180</f>
        <v>0</v>
      </c>
      <c r="J159" s="55"/>
      <c r="K159" s="136">
        <f>'[67]Rev_SP-12me'!AT180</f>
        <v>0</v>
      </c>
      <c r="L159" s="136">
        <f>'[67]Rev_SP-12me'!AU180</f>
        <v>0</v>
      </c>
      <c r="M159" s="136">
        <f>'[67]Rev_SP-12me'!AW180</f>
        <v>0</v>
      </c>
      <c r="N159" s="158">
        <f t="shared" si="5"/>
        <v>0</v>
      </c>
    </row>
    <row r="160" spans="2:14">
      <c r="B160" s="156" t="s">
        <v>1119</v>
      </c>
      <c r="C160" s="55"/>
      <c r="D160" s="139">
        <f>'[67]Rev_SP-12me'!AJ181</f>
        <v>0</v>
      </c>
      <c r="E160" s="139">
        <f>'[67]Rev_SP-12me'!AL181</f>
        <v>0</v>
      </c>
      <c r="F160" s="139">
        <f>'[67]Rev_SP-12me'!AQ181</f>
        <v>0</v>
      </c>
      <c r="G160" s="153">
        <f>'[67]Rev_SP-12me'!O181</f>
        <v>475</v>
      </c>
      <c r="H160" s="101">
        <f>'[67]Rev_SP-12me'!P181</f>
        <v>7.85</v>
      </c>
      <c r="I160" s="153">
        <f>'[67]Rev_SP-12me'!AA181</f>
        <v>3500</v>
      </c>
      <c r="J160" s="55"/>
      <c r="K160" s="139">
        <f>'[67]Rev_SP-12me'!AT181</f>
        <v>0</v>
      </c>
      <c r="L160" s="139">
        <f>'[67]Rev_SP-12me'!AU181</f>
        <v>0</v>
      </c>
      <c r="M160" s="139">
        <f>'[67]Rev_SP-12me'!AW181</f>
        <v>0</v>
      </c>
      <c r="N160" s="146">
        <f t="shared" si="5"/>
        <v>0</v>
      </c>
    </row>
    <row r="161" spans="2:14">
      <c r="B161" s="156" t="s">
        <v>1120</v>
      </c>
      <c r="C161" s="55"/>
      <c r="D161" s="139">
        <f>'[67]Rev_SP-12me'!AJ182</f>
        <v>0</v>
      </c>
      <c r="E161" s="139">
        <f>'[67]Rev_SP-12me'!AL182</f>
        <v>0</v>
      </c>
      <c r="F161" s="139">
        <f>'[67]Rev_SP-12me'!AQ182</f>
        <v>0</v>
      </c>
      <c r="G161" s="153">
        <f>'[67]Rev_SP-12me'!O182</f>
        <v>0</v>
      </c>
      <c r="H161" s="101">
        <f>'[67]Rev_SP-12me'!P182</f>
        <v>8.85</v>
      </c>
      <c r="I161" s="153">
        <f>'[67]Rev_SP-12me'!AA182</f>
        <v>3500</v>
      </c>
      <c r="J161" s="55"/>
      <c r="K161" s="139">
        <f>'[67]Rev_SP-12me'!AT182</f>
        <v>0</v>
      </c>
      <c r="L161" s="139">
        <f>'[67]Rev_SP-12me'!AU182</f>
        <v>0</v>
      </c>
      <c r="M161" s="139">
        <f>'[67]Rev_SP-12me'!AW182</f>
        <v>0</v>
      </c>
      <c r="N161" s="146">
        <f t="shared" si="5"/>
        <v>0</v>
      </c>
    </row>
    <row r="162" spans="2:14">
      <c r="B162" s="156" t="s">
        <v>1121</v>
      </c>
      <c r="C162" s="55"/>
      <c r="D162" s="139">
        <f>'[67]Rev_SP-12me'!AJ183</f>
        <v>0</v>
      </c>
      <c r="E162" s="139">
        <f>'[67]Rev_SP-12me'!AL183</f>
        <v>0</v>
      </c>
      <c r="F162" s="139">
        <f>'[67]Rev_SP-12me'!AQ183</f>
        <v>0</v>
      </c>
      <c r="G162" s="153">
        <f>'[67]Rev_SP-12me'!O183</f>
        <v>0</v>
      </c>
      <c r="H162" s="101">
        <f>'[67]Rev_SP-12me'!P183</f>
        <v>8.85</v>
      </c>
      <c r="I162" s="153">
        <f>'[67]Rev_SP-12me'!AA183</f>
        <v>3500</v>
      </c>
      <c r="J162" s="55"/>
      <c r="K162" s="139">
        <f>'[67]Rev_SP-12me'!AT183</f>
        <v>0</v>
      </c>
      <c r="L162" s="139">
        <f>'[67]Rev_SP-12me'!AU183</f>
        <v>0</v>
      </c>
      <c r="M162" s="139">
        <f>'[67]Rev_SP-12me'!AW183</f>
        <v>0</v>
      </c>
      <c r="N162" s="146">
        <f t="shared" si="5"/>
        <v>0</v>
      </c>
    </row>
    <row r="163" spans="2:14">
      <c r="B163" s="156" t="s">
        <v>1122</v>
      </c>
      <c r="C163" s="55"/>
      <c r="D163" s="139">
        <f>'[67]Rev_SP-12me'!AJ184</f>
        <v>0</v>
      </c>
      <c r="E163" s="139">
        <f>'[67]Rev_SP-12me'!AL184</f>
        <v>0</v>
      </c>
      <c r="F163" s="139">
        <f>'[67]Rev_SP-12me'!AQ184</f>
        <v>0</v>
      </c>
      <c r="G163" s="153">
        <f>'[67]Rev_SP-12me'!O184</f>
        <v>0</v>
      </c>
      <c r="H163" s="101">
        <f>'[67]Rev_SP-12me'!P184</f>
        <v>6.85</v>
      </c>
      <c r="I163" s="153">
        <f>'[67]Rev_SP-12me'!AA184</f>
        <v>3500</v>
      </c>
      <c r="J163" s="55"/>
      <c r="K163" s="139">
        <f>'[67]Rev_SP-12me'!AT184</f>
        <v>0</v>
      </c>
      <c r="L163" s="139">
        <f>'[67]Rev_SP-12me'!AU184</f>
        <v>0</v>
      </c>
      <c r="M163" s="139">
        <f>'[67]Rev_SP-12me'!AW184</f>
        <v>0</v>
      </c>
      <c r="N163" s="146">
        <f t="shared" si="5"/>
        <v>0</v>
      </c>
    </row>
    <row r="164" ht="15" spans="2:14">
      <c r="B164" s="151" t="s">
        <v>1147</v>
      </c>
      <c r="C164" s="55"/>
      <c r="D164" s="136">
        <f>'[67]Rev_SP-12me'!AJ185</f>
        <v>20.1554054054054</v>
      </c>
      <c r="E164" s="136">
        <f>'[67]Rev_SP-12me'!AL185</f>
        <v>47.7301768985133</v>
      </c>
      <c r="F164" s="136">
        <f>'[67]Rev_SP-12me'!AQ185</f>
        <v>47.2317922301778</v>
      </c>
      <c r="G164" s="150">
        <f>'[67]Rev_SP-12me'!O185</f>
        <v>0</v>
      </c>
      <c r="H164" s="137">
        <f>'[67]Rev_SP-12me'!P185</f>
        <v>0</v>
      </c>
      <c r="I164" s="150">
        <f>'[67]Rev_SP-12me'!AA185</f>
        <v>0</v>
      </c>
      <c r="J164" s="55"/>
      <c r="K164" s="136">
        <f>'[67]Rev_SP-12me'!AT185</f>
        <v>7.54733422207742</v>
      </c>
      <c r="L164" s="136">
        <f>'[67]Rev_SP-12me'!AU185</f>
        <v>29.756029105012</v>
      </c>
      <c r="M164" s="136">
        <f>'[67]Rev_SP-12me'!AW185</f>
        <v>0.0885263513513513</v>
      </c>
      <c r="N164" s="158">
        <f t="shared" si="5"/>
        <v>37.3918896784408</v>
      </c>
    </row>
    <row r="165" spans="2:14">
      <c r="B165" s="160" t="s">
        <v>1128</v>
      </c>
      <c r="C165" s="55"/>
      <c r="D165" s="138">
        <f>'[67]Rev_SP-12me'!AJ186</f>
        <v>20.1554054054054</v>
      </c>
      <c r="E165" s="138">
        <f>'[67]Rev_SP-12me'!AL186</f>
        <v>47.7301768985133</v>
      </c>
      <c r="F165" s="138">
        <f>'[67]Rev_SP-12me'!AQ186</f>
        <v>47.2317922301778</v>
      </c>
      <c r="G165" s="153">
        <f>'[67]Rev_SP-12me'!O186</f>
        <v>275</v>
      </c>
      <c r="H165" s="101">
        <f>'[67]Rev_SP-12me'!P186</f>
        <v>6.3</v>
      </c>
      <c r="I165" s="153">
        <f>'[67]Rev_SP-12me'!AA186</f>
        <v>3500</v>
      </c>
      <c r="J165" s="55"/>
      <c r="K165" s="138">
        <f>'[67]Rev_SP-12me'!AT186</f>
        <v>7.54733422207742</v>
      </c>
      <c r="L165" s="138">
        <f>'[67]Rev_SP-12me'!AU186</f>
        <v>29.756029105012</v>
      </c>
      <c r="M165" s="138">
        <f>'[67]Rev_SP-12me'!AW186</f>
        <v>0.0885263513513513</v>
      </c>
      <c r="N165" s="146">
        <f t="shared" si="5"/>
        <v>37.3918896784408</v>
      </c>
    </row>
    <row r="166" ht="15" spans="2:14">
      <c r="B166" s="161" t="s">
        <v>1148</v>
      </c>
      <c r="C166" s="55"/>
      <c r="D166" s="136">
        <f>'[67]Rev_SP-12me'!AJ191</f>
        <v>13.7905405405405</v>
      </c>
      <c r="E166" s="136">
        <f>'[67]Rev_SP-12me'!AL191</f>
        <v>47.4859633725971</v>
      </c>
      <c r="F166" s="136">
        <f>'[67]Rev_SP-12me'!AQ191</f>
        <v>259.563838699508</v>
      </c>
      <c r="G166" s="150">
        <f>'[67]Rev_SP-12me'!O191</f>
        <v>0</v>
      </c>
      <c r="H166" s="137">
        <f>'[67]Rev_SP-12me'!P191</f>
        <v>0</v>
      </c>
      <c r="I166" s="150">
        <f>'[67]Rev_SP-12me'!AA191</f>
        <v>0</v>
      </c>
      <c r="J166" s="55"/>
      <c r="K166" s="136">
        <f>'[67]Rev_SP-12me'!AT191</f>
        <v>0</v>
      </c>
      <c r="L166" s="136">
        <f>'[67]Rev_SP-12me'!AU191</f>
        <v>158.3339416067</v>
      </c>
      <c r="M166" s="136">
        <f>'[67]Rev_SP-12me'!AW191</f>
        <v>0.0562601351351351</v>
      </c>
      <c r="N166" s="158">
        <f t="shared" si="5"/>
        <v>158.390201741835</v>
      </c>
    </row>
    <row r="167" spans="2:14">
      <c r="B167" s="154" t="s">
        <v>1149</v>
      </c>
      <c r="C167" s="55"/>
      <c r="D167" s="138">
        <f>'[67]Rev_SP-12me'!AJ192</f>
        <v>13.7905405405405</v>
      </c>
      <c r="E167" s="138">
        <f>'[67]Rev_SP-12me'!AL192</f>
        <v>47.4859633725971</v>
      </c>
      <c r="F167" s="138">
        <f>'[67]Rev_SP-12me'!AQ192</f>
        <v>259.563838699508</v>
      </c>
      <c r="G167" s="153">
        <f>'[67]Rev_SP-12me'!O192</f>
        <v>0</v>
      </c>
      <c r="H167" s="101">
        <f>'[67]Rev_SP-12me'!P192</f>
        <v>6.1</v>
      </c>
      <c r="I167" s="153">
        <f>'[67]Rev_SP-12me'!AA192</f>
        <v>3500</v>
      </c>
      <c r="J167" s="55"/>
      <c r="K167" s="138">
        <f>'[67]Rev_SP-12me'!AT192</f>
        <v>0</v>
      </c>
      <c r="L167" s="138">
        <f>'[67]Rev_SP-12me'!AU192</f>
        <v>158.3339416067</v>
      </c>
      <c r="M167" s="138">
        <f>'[67]Rev_SP-12me'!AW192</f>
        <v>0.0562601351351351</v>
      </c>
      <c r="N167" s="146">
        <f t="shared" si="5"/>
        <v>158.390201741835</v>
      </c>
    </row>
    <row r="168" ht="15" spans="2:14">
      <c r="B168" s="157" t="s">
        <v>1150</v>
      </c>
      <c r="C168" s="55"/>
      <c r="D168" s="136">
        <f>'[67]Rev_SP-12me'!AJ193</f>
        <v>0</v>
      </c>
      <c r="E168" s="136">
        <f>'[67]Rev_SP-12me'!AL193</f>
        <v>0</v>
      </c>
      <c r="F168" s="136">
        <f>'[67]Rev_SP-12me'!AQ193</f>
        <v>0</v>
      </c>
      <c r="G168" s="150">
        <f>'[67]Rev_SP-12me'!O193</f>
        <v>0</v>
      </c>
      <c r="H168" s="137">
        <f>'[67]Rev_SP-12me'!P193</f>
        <v>0</v>
      </c>
      <c r="I168" s="150">
        <f>'[67]Rev_SP-12me'!AA193</f>
        <v>3500</v>
      </c>
      <c r="J168" s="55"/>
      <c r="K168" s="136">
        <f>'[67]Rev_SP-12me'!AT193</f>
        <v>0</v>
      </c>
      <c r="L168" s="136">
        <f>'[67]Rev_SP-12me'!AU193</f>
        <v>0</v>
      </c>
      <c r="M168" s="136">
        <f>'[67]Rev_SP-12me'!AW193</f>
        <v>0</v>
      </c>
      <c r="N168" s="146">
        <f t="shared" si="5"/>
        <v>0</v>
      </c>
    </row>
    <row r="169" ht="15" spans="2:14">
      <c r="B169" s="151" t="s">
        <v>1131</v>
      </c>
      <c r="C169" s="55"/>
      <c r="D169" s="136">
        <f>'[67]Rev_SP-12me'!AJ187</f>
        <v>1</v>
      </c>
      <c r="E169" s="136">
        <f>'[67]Rev_SP-12me'!AL187</f>
        <v>4.44293015332198</v>
      </c>
      <c r="F169" s="136">
        <f>'[67]Rev_SP-12me'!AQ187</f>
        <v>9.623565</v>
      </c>
      <c r="G169" s="150">
        <f>'[67]Rev_SP-12me'!O187</f>
        <v>475</v>
      </c>
      <c r="H169" s="137">
        <f>'[67]Rev_SP-12me'!P187</f>
        <v>5.05</v>
      </c>
      <c r="I169" s="150">
        <f>'[67]Rev_SP-12me'!AA187</f>
        <v>3500</v>
      </c>
      <c r="J169" s="55"/>
      <c r="K169" s="136">
        <f>'[67]Rev_SP-12me'!AT187</f>
        <v>2.02597614991482</v>
      </c>
      <c r="L169" s="136">
        <f>'[67]Rev_SP-12me'!AU187</f>
        <v>4.859900325</v>
      </c>
      <c r="M169" s="136">
        <f>'[67]Rev_SP-12me'!AW187</f>
        <v>0.0021</v>
      </c>
      <c r="N169" s="158">
        <f t="shared" si="5"/>
        <v>6.88797647491482</v>
      </c>
    </row>
    <row r="170" ht="15" spans="2:14">
      <c r="B170" s="151" t="s">
        <v>1132</v>
      </c>
      <c r="C170" s="55"/>
      <c r="D170" s="136">
        <f>'[67]Rev_SP-12me'!AJ188</f>
        <v>0</v>
      </c>
      <c r="E170" s="136">
        <f>'[67]Rev_SP-12me'!AL188</f>
        <v>0</v>
      </c>
      <c r="F170" s="136">
        <f>'[67]Rev_SP-12me'!AQ188</f>
        <v>0</v>
      </c>
      <c r="G170" s="150">
        <f>'[67]Rev_SP-12me'!O188</f>
        <v>475</v>
      </c>
      <c r="H170" s="137">
        <f>'[67]Rev_SP-12me'!P188</f>
        <v>4.95</v>
      </c>
      <c r="I170" s="150">
        <f>'[67]Rev_SP-12me'!AA188</f>
        <v>3500</v>
      </c>
      <c r="J170" s="55"/>
      <c r="K170" s="136">
        <f>'[67]Rev_SP-12me'!AT188</f>
        <v>0</v>
      </c>
      <c r="L170" s="136">
        <f>'[67]Rev_SP-12me'!AU188</f>
        <v>0</v>
      </c>
      <c r="M170" s="136">
        <f>'[67]Rev_SP-12me'!AW188</f>
        <v>0</v>
      </c>
      <c r="N170" s="158">
        <f t="shared" si="5"/>
        <v>0</v>
      </c>
    </row>
    <row r="171" ht="15" spans="2:14">
      <c r="B171" s="151" t="s">
        <v>919</v>
      </c>
      <c r="C171" s="55"/>
      <c r="D171" s="136">
        <f>'[67]Rev_SP-12me'!AJ189</f>
        <v>24.906976744186</v>
      </c>
      <c r="E171" s="136">
        <f>'[67]Rev_SP-12me'!AL189</f>
        <v>62.9826480023331</v>
      </c>
      <c r="F171" s="136">
        <f>'[67]Rev_SP-12me'!AQ189</f>
        <v>161.409051058846</v>
      </c>
      <c r="G171" s="150">
        <f>'[67]Rev_SP-12me'!O189</f>
        <v>260</v>
      </c>
      <c r="H171" s="137">
        <f>'[67]Rev_SP-12me'!P189</f>
        <v>7.3</v>
      </c>
      <c r="I171" s="150">
        <f>'[67]Rev_SP-12me'!AA189</f>
        <v>3500</v>
      </c>
      <c r="J171" s="55"/>
      <c r="K171" s="136">
        <f>'[67]Rev_SP-12me'!AT189</f>
        <v>15.7204689413823</v>
      </c>
      <c r="L171" s="136">
        <f>'[67]Rev_SP-12me'!AU189</f>
        <v>117.828607272957</v>
      </c>
      <c r="M171" s="136">
        <f>'[67]Rev_SP-12me'!AW189</f>
        <v>0.0985046511627907</v>
      </c>
      <c r="N171" s="158">
        <f t="shared" si="5"/>
        <v>133.647580865502</v>
      </c>
    </row>
    <row r="172" ht="15" spans="2:14">
      <c r="B172" s="151" t="s">
        <v>1133</v>
      </c>
      <c r="C172" s="55"/>
      <c r="D172" s="136">
        <f>'[67]Rev_SP-12me'!AJ190</f>
        <v>8.8130081300813</v>
      </c>
      <c r="E172" s="136">
        <f>'[67]Rev_SP-12me'!AL190</f>
        <v>23.9083534604814</v>
      </c>
      <c r="F172" s="136">
        <f>'[67]Rev_SP-12me'!AQ190</f>
        <v>42.6818863552615</v>
      </c>
      <c r="G172" s="150">
        <f>'[67]Rev_SP-12me'!O190</f>
        <v>500</v>
      </c>
      <c r="H172" s="137">
        <f>'[67]Rev_SP-12me'!P190</f>
        <v>11</v>
      </c>
      <c r="I172" s="150">
        <f>'[67]Rev_SP-12me'!AA190</f>
        <v>3500</v>
      </c>
      <c r="J172" s="55"/>
      <c r="K172" s="136">
        <f>'[67]Rev_SP-12me'!AT190</f>
        <v>11.4760096610311</v>
      </c>
      <c r="L172" s="136">
        <f>'[67]Rev_SP-12me'!AU190</f>
        <v>46.9500749907876</v>
      </c>
      <c r="M172" s="136">
        <f>'[67]Rev_SP-12me'!AW190</f>
        <v>0.0374073170731707</v>
      </c>
      <c r="N172" s="158">
        <f t="shared" si="5"/>
        <v>58.4634919688919</v>
      </c>
    </row>
    <row r="173" ht="15" spans="2:14">
      <c r="B173" s="157" t="s">
        <v>1151</v>
      </c>
      <c r="C173" s="55"/>
      <c r="D173" s="148">
        <f>SUM(D128,D142,D147,D148,D154,D159,D164,D166,D168,D169,D170,D171,D172)</f>
        <v>667.96199433328</v>
      </c>
      <c r="E173" s="148">
        <f t="shared" ref="E173:F173" si="6">SUM(E128,E142,E147,E148,E154,E159,E164,E166,E168,E169,E170,E171,E172)</f>
        <v>2304.86561038668</v>
      </c>
      <c r="F173" s="148">
        <f t="shared" si="6"/>
        <v>9228.24216255422</v>
      </c>
      <c r="G173" s="198"/>
      <c r="H173" s="198"/>
      <c r="I173" s="198"/>
      <c r="J173" s="198"/>
      <c r="K173" s="149">
        <f t="shared" ref="K173:N173" si="7">SUM(K128,K142,K147,K148,K154,K159,K164,K166,K168,K169,K170,K171,K172)</f>
        <v>1002.72167453015</v>
      </c>
      <c r="L173" s="149">
        <f t="shared" si="7"/>
        <v>6764.82874401378</v>
      </c>
      <c r="M173" s="149">
        <f t="shared" si="7"/>
        <v>2.79712018809989</v>
      </c>
      <c r="N173" s="148">
        <f t="shared" si="7"/>
        <v>7770.34753873202</v>
      </c>
    </row>
    <row r="174" spans="2:14"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</row>
    <row r="175" spans="2:14">
      <c r="B175" s="151" t="s">
        <v>1152</v>
      </c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</row>
    <row r="176" ht="15" spans="2:14">
      <c r="B176" s="151" t="s">
        <v>1137</v>
      </c>
      <c r="C176" s="55"/>
      <c r="D176" s="136">
        <f>'[67]Rev_SP-12me'!AJ208</f>
        <v>48.0026463777704</v>
      </c>
      <c r="E176" s="136">
        <f>'[67]Rev_SP-12me'!AL208</f>
        <v>675.417012004775</v>
      </c>
      <c r="F176" s="136">
        <f>'[67]Rev_SP-12me'!AQ208</f>
        <v>4308.31691400761</v>
      </c>
      <c r="G176" s="150">
        <f>'[67]Rev_SP-12me'!O208</f>
        <v>0</v>
      </c>
      <c r="H176" s="137">
        <f>'[67]Rev_SP-12me'!P208</f>
        <v>0</v>
      </c>
      <c r="I176" s="150">
        <f>'[67]Rev_SP-12me'!AA208</f>
        <v>0</v>
      </c>
      <c r="J176" s="55"/>
      <c r="K176" s="136">
        <f>'[67]Rev_SP-12me'!AT208</f>
        <v>307.990157474177</v>
      </c>
      <c r="L176" s="136">
        <f>'[67]Rev_SP-12me'!AU208</f>
        <v>2850.92931790483</v>
      </c>
      <c r="M176" s="136">
        <f>'[67]Rev_SP-12me'!AW208</f>
        <v>0.258007939133311</v>
      </c>
      <c r="N176" s="158">
        <f t="shared" ref="N176:N217" si="8">SUM(K176:M176)</f>
        <v>3159.17748331814</v>
      </c>
    </row>
    <row r="177" spans="2:14">
      <c r="B177" s="154" t="s">
        <v>1105</v>
      </c>
      <c r="C177" s="55"/>
      <c r="D177" s="138">
        <f>'[67]Rev_SP-12me'!AJ209</f>
        <v>48.0026463777704</v>
      </c>
      <c r="E177" s="138">
        <f>'[67]Rev_SP-12me'!AL209</f>
        <v>675.417012004775</v>
      </c>
      <c r="F177" s="138">
        <f>'[67]Rev_SP-12me'!AQ209</f>
        <v>1356.63102840322</v>
      </c>
      <c r="G177" s="153">
        <f>'[67]Rev_SP-12me'!O209</f>
        <v>475</v>
      </c>
      <c r="H177" s="101">
        <f>'[67]Rev_SP-12me'!P209</f>
        <v>6.65</v>
      </c>
      <c r="I177" s="153">
        <f>'[67]Rev_SP-12me'!AA209</f>
        <v>5000</v>
      </c>
      <c r="J177" s="55"/>
      <c r="K177" s="138">
        <f>'[67]Rev_SP-12me'!AT209</f>
        <v>307.990157474177</v>
      </c>
      <c r="L177" s="138">
        <f>'[67]Rev_SP-12me'!AU209</f>
        <v>902.159633888142</v>
      </c>
      <c r="M177" s="138">
        <f>'[67]Rev_SP-12me'!AW209</f>
        <v>0.258007939133311</v>
      </c>
      <c r="N177" s="146">
        <f t="shared" si="8"/>
        <v>1210.40779930145</v>
      </c>
    </row>
    <row r="178" spans="2:14">
      <c r="B178" s="154" t="s">
        <v>1139</v>
      </c>
      <c r="C178" s="55"/>
      <c r="D178" s="139">
        <f>'[67]Rev_SP-12me'!AJ210</f>
        <v>0</v>
      </c>
      <c r="E178" s="139">
        <f>'[67]Rev_SP-12me'!AL210</f>
        <v>0</v>
      </c>
      <c r="F178" s="139">
        <f>'[67]Rev_SP-12me'!AQ210</f>
        <v>0.000251502132230239</v>
      </c>
      <c r="G178" s="174">
        <f>'[67]Rev_SP-12me'!O210</f>
        <v>0</v>
      </c>
      <c r="H178" s="185">
        <f>'[67]Rev_SP-12me'!P210</f>
        <v>6.65</v>
      </c>
      <c r="I178" s="174">
        <f>'[67]Rev_SP-12me'!AA210</f>
        <v>5000</v>
      </c>
      <c r="J178" s="55"/>
      <c r="K178" s="139">
        <f>'[67]Rev_SP-12me'!AT210</f>
        <v>0</v>
      </c>
      <c r="L178" s="139">
        <f>'[67]Rev_SP-12me'!AU210</f>
        <v>0.000167248917933109</v>
      </c>
      <c r="M178" s="139">
        <f>'[67]Rev_SP-12me'!AW210</f>
        <v>0</v>
      </c>
      <c r="N178" s="146">
        <f t="shared" si="8"/>
        <v>0.000167248917933109</v>
      </c>
    </row>
    <row r="179" spans="2:14">
      <c r="B179" s="154" t="s">
        <v>1140</v>
      </c>
      <c r="C179" s="55"/>
      <c r="D179" s="139">
        <f>'[67]Rev_SP-12me'!AJ211</f>
        <v>0</v>
      </c>
      <c r="E179" s="139">
        <f>'[67]Rev_SP-12me'!AL211</f>
        <v>0</v>
      </c>
      <c r="F179" s="139">
        <f>'[67]Rev_SP-12me'!AQ211</f>
        <v>6.61057504693225</v>
      </c>
      <c r="G179" s="174">
        <f>'[67]Rev_SP-12me'!O211</f>
        <v>0</v>
      </c>
      <c r="H179" s="185">
        <f>'[67]Rev_SP-12me'!P211</f>
        <v>7.3</v>
      </c>
      <c r="I179" s="174">
        <f>'[67]Rev_SP-12me'!AA211</f>
        <v>5000</v>
      </c>
      <c r="J179" s="55"/>
      <c r="K179" s="139">
        <f>'[67]Rev_SP-12me'!AT211</f>
        <v>0</v>
      </c>
      <c r="L179" s="139">
        <f>'[67]Rev_SP-12me'!AU211</f>
        <v>4.82571978426054</v>
      </c>
      <c r="M179" s="139">
        <f>'[67]Rev_SP-12me'!AW211</f>
        <v>0</v>
      </c>
      <c r="N179" s="146">
        <f t="shared" si="8"/>
        <v>4.82571978426054</v>
      </c>
    </row>
    <row r="180" spans="2:14">
      <c r="B180" s="154" t="s">
        <v>1141</v>
      </c>
      <c r="C180" s="55"/>
      <c r="D180" s="139">
        <f>'[67]Rev_SP-12me'!AJ212</f>
        <v>0</v>
      </c>
      <c r="E180" s="139">
        <f>'[67]Rev_SP-12me'!AL212</f>
        <v>0</v>
      </c>
      <c r="F180" s="139">
        <f>'[67]Rev_SP-12me'!AQ212</f>
        <v>0</v>
      </c>
      <c r="G180" s="174">
        <f>'[67]Rev_SP-12me'!O212</f>
        <v>475</v>
      </c>
      <c r="H180" s="185">
        <f>'[67]Rev_SP-12me'!P212</f>
        <v>7.7</v>
      </c>
      <c r="I180" s="174">
        <f>'[67]Rev_SP-12me'!AA212</f>
        <v>5000</v>
      </c>
      <c r="J180" s="55"/>
      <c r="K180" s="139">
        <f>'[67]Rev_SP-12me'!AT212</f>
        <v>0</v>
      </c>
      <c r="L180" s="139">
        <f>'[67]Rev_SP-12me'!AU212</f>
        <v>0</v>
      </c>
      <c r="M180" s="139">
        <f>'[67]Rev_SP-12me'!AW212</f>
        <v>0</v>
      </c>
      <c r="N180" s="146">
        <f t="shared" si="8"/>
        <v>0</v>
      </c>
    </row>
    <row r="181" spans="2:14">
      <c r="B181" s="156" t="s">
        <v>1120</v>
      </c>
      <c r="C181" s="55"/>
      <c r="D181" s="139">
        <f>'[67]Rev_SP-12me'!AJ213</f>
        <v>0</v>
      </c>
      <c r="E181" s="139">
        <f>'[67]Rev_SP-12me'!AL213</f>
        <v>0</v>
      </c>
      <c r="F181" s="139">
        <f>'[67]Rev_SP-12me'!AQ213</f>
        <v>738.587705461526</v>
      </c>
      <c r="G181" s="174">
        <f>'[67]Rev_SP-12me'!O213</f>
        <v>0</v>
      </c>
      <c r="H181" s="185">
        <f>'[67]Rev_SP-12me'!P213</f>
        <v>7.65</v>
      </c>
      <c r="I181" s="174">
        <f>'[67]Rev_SP-12me'!AA213</f>
        <v>5000</v>
      </c>
      <c r="J181" s="55"/>
      <c r="K181" s="139">
        <f>'[67]Rev_SP-12me'!AT213</f>
        <v>0</v>
      </c>
      <c r="L181" s="139">
        <f>'[67]Rev_SP-12me'!AU213</f>
        <v>565.019594678067</v>
      </c>
      <c r="M181" s="139">
        <f>'[67]Rev_SP-12me'!AW213</f>
        <v>0</v>
      </c>
      <c r="N181" s="146">
        <f t="shared" si="8"/>
        <v>565.019594678067</v>
      </c>
    </row>
    <row r="182" spans="2:14">
      <c r="B182" s="156" t="s">
        <v>1121</v>
      </c>
      <c r="C182" s="55"/>
      <c r="D182" s="139">
        <f>'[67]Rev_SP-12me'!AJ214</f>
        <v>0</v>
      </c>
      <c r="E182" s="139">
        <f>'[67]Rev_SP-12me'!AL214</f>
        <v>0</v>
      </c>
      <c r="F182" s="139">
        <f>'[67]Rev_SP-12me'!AQ214</f>
        <v>661.294237624722</v>
      </c>
      <c r="G182" s="174">
        <f>'[67]Rev_SP-12me'!O214</f>
        <v>0</v>
      </c>
      <c r="H182" s="185">
        <f>'[67]Rev_SP-12me'!P214</f>
        <v>7.65</v>
      </c>
      <c r="I182" s="174">
        <f>'[67]Rev_SP-12me'!AA214</f>
        <v>5000</v>
      </c>
      <c r="J182" s="55"/>
      <c r="K182" s="139">
        <f>'[67]Rev_SP-12me'!AT214</f>
        <v>0</v>
      </c>
      <c r="L182" s="139">
        <f>'[67]Rev_SP-12me'!AU214</f>
        <v>505.890091782912</v>
      </c>
      <c r="M182" s="139">
        <f>'[67]Rev_SP-12me'!AW214</f>
        <v>0</v>
      </c>
      <c r="N182" s="146">
        <f t="shared" si="8"/>
        <v>505.890091782912</v>
      </c>
    </row>
    <row r="183" spans="2:14">
      <c r="B183" s="156" t="s">
        <v>1122</v>
      </c>
      <c r="C183" s="55"/>
      <c r="D183" s="139">
        <f>'[67]Rev_SP-12me'!AJ215</f>
        <v>0</v>
      </c>
      <c r="E183" s="139">
        <f>'[67]Rev_SP-12me'!AL215</f>
        <v>0</v>
      </c>
      <c r="F183" s="139">
        <f>'[67]Rev_SP-12me'!AQ215</f>
        <v>1545.19311596908</v>
      </c>
      <c r="G183" s="174">
        <f>'[67]Rev_SP-12me'!O215</f>
        <v>0</v>
      </c>
      <c r="H183" s="185">
        <f>'[67]Rev_SP-12me'!P215</f>
        <v>5.65</v>
      </c>
      <c r="I183" s="174">
        <f>'[67]Rev_SP-12me'!AA215</f>
        <v>5000</v>
      </c>
      <c r="J183" s="55"/>
      <c r="K183" s="139">
        <f>'[67]Rev_SP-12me'!AT215</f>
        <v>0</v>
      </c>
      <c r="L183" s="139">
        <f>'[67]Rev_SP-12me'!AU215</f>
        <v>873.034110522528</v>
      </c>
      <c r="M183" s="139">
        <f>'[67]Rev_SP-12me'!AW215</f>
        <v>0</v>
      </c>
      <c r="N183" s="146">
        <f t="shared" si="8"/>
        <v>873.034110522528</v>
      </c>
    </row>
    <row r="184" ht="15" spans="2:14">
      <c r="B184" s="151" t="s">
        <v>1118</v>
      </c>
      <c r="C184" s="55"/>
      <c r="D184" s="167">
        <f>'[67]Rev_SP-12me'!AJ217</f>
        <v>0</v>
      </c>
      <c r="E184" s="136">
        <f>'[67]Rev_SP-12me'!AL217</f>
        <v>150.924345858515</v>
      </c>
      <c r="F184" s="136">
        <f>'[67]Rev_SP-12me'!AQ217</f>
        <v>1343.25870090449</v>
      </c>
      <c r="G184" s="150">
        <f>'[67]Rev_SP-12me'!O217</f>
        <v>0</v>
      </c>
      <c r="H184" s="137">
        <f>'[67]Rev_SP-12me'!P217</f>
        <v>0</v>
      </c>
      <c r="I184" s="150"/>
      <c r="J184" s="55"/>
      <c r="K184" s="136">
        <f>'[67]Rev_SP-12me'!AT217</f>
        <v>68.821501711483</v>
      </c>
      <c r="L184" s="136">
        <f>'[67]Rev_SP-12me'!AU217</f>
        <v>893.612747824878</v>
      </c>
      <c r="M184" s="136">
        <f>'[67]Rev_SP-12me'!AW217</f>
        <v>0.018</v>
      </c>
      <c r="N184" s="158">
        <f t="shared" si="8"/>
        <v>962.452249536361</v>
      </c>
    </row>
    <row r="185" spans="2:14">
      <c r="B185" s="154" t="s">
        <v>1119</v>
      </c>
      <c r="C185" s="55"/>
      <c r="D185" s="166">
        <f>'[67]Rev_SP-12me'!AJ218</f>
        <v>0</v>
      </c>
      <c r="E185" s="165">
        <f>'[67]Rev_SP-12me'!AL218</f>
        <v>150.924345858515</v>
      </c>
      <c r="F185" s="164">
        <f>'[67]Rev_SP-12me'!AQ218</f>
        <v>447.622590867763</v>
      </c>
      <c r="G185" s="179">
        <f>'[67]Rev_SP-12me'!O218</f>
        <v>475</v>
      </c>
      <c r="H185" s="185">
        <f>'[67]Rev_SP-12me'!P218</f>
        <v>6.65</v>
      </c>
      <c r="I185" s="174">
        <f>'[67]Rev_SP-12me'!AA218</f>
        <v>5000</v>
      </c>
      <c r="J185" s="55"/>
      <c r="K185" s="165">
        <f>'[67]Rev_SP-12me'!AT218</f>
        <v>68.821501711483</v>
      </c>
      <c r="L185" s="165">
        <f>'[67]Rev_SP-12me'!AU218</f>
        <v>297.669022927063</v>
      </c>
      <c r="M185" s="165">
        <f>'[67]Rev_SP-12me'!AW218</f>
        <v>0.018</v>
      </c>
      <c r="N185" s="146">
        <f t="shared" si="8"/>
        <v>366.508524638546</v>
      </c>
    </row>
    <row r="186" spans="2:14">
      <c r="B186" s="154" t="s">
        <v>1120</v>
      </c>
      <c r="C186" s="55"/>
      <c r="D186" s="166">
        <f>'[67]Rev_SP-12me'!AJ219</f>
        <v>0</v>
      </c>
      <c r="E186" s="166">
        <f>'[67]Rev_SP-12me'!AL219</f>
        <v>0</v>
      </c>
      <c r="F186" s="164">
        <f>'[67]Rev_SP-12me'!AQ219</f>
        <v>225.309387219424</v>
      </c>
      <c r="G186" s="179">
        <f>'[67]Rev_SP-12me'!O219</f>
        <v>0</v>
      </c>
      <c r="H186" s="185">
        <f>'[67]Rev_SP-12me'!P219</f>
        <v>7.65</v>
      </c>
      <c r="I186" s="174">
        <f>'[67]Rev_SP-12me'!AA219</f>
        <v>5000</v>
      </c>
      <c r="J186" s="55"/>
      <c r="K186" s="166">
        <f>'[67]Rev_SP-12me'!AT219</f>
        <v>0</v>
      </c>
      <c r="L186" s="166">
        <f>'[67]Rev_SP-12me'!AU219</f>
        <v>172.36168122286</v>
      </c>
      <c r="M186" s="166">
        <f>'[67]Rev_SP-12me'!AW219</f>
        <v>0</v>
      </c>
      <c r="N186" s="146">
        <f t="shared" si="8"/>
        <v>172.36168122286</v>
      </c>
    </row>
    <row r="187" spans="2:14">
      <c r="B187" s="154" t="s">
        <v>1121</v>
      </c>
      <c r="C187" s="55"/>
      <c r="D187" s="166">
        <f>'[67]Rev_SP-12me'!AJ220</f>
        <v>0</v>
      </c>
      <c r="E187" s="166">
        <f>'[67]Rev_SP-12me'!AL220</f>
        <v>0</v>
      </c>
      <c r="F187" s="164">
        <f>'[67]Rev_SP-12me'!AQ220</f>
        <v>224.237226415884</v>
      </c>
      <c r="G187" s="179">
        <f>'[67]Rev_SP-12me'!O220</f>
        <v>0</v>
      </c>
      <c r="H187" s="185">
        <f>'[67]Rev_SP-12me'!P220</f>
        <v>7.65</v>
      </c>
      <c r="I187" s="174">
        <f>'[67]Rev_SP-12me'!AA220</f>
        <v>5000</v>
      </c>
      <c r="J187" s="55"/>
      <c r="K187" s="166">
        <f>'[67]Rev_SP-12me'!AT220</f>
        <v>0</v>
      </c>
      <c r="L187" s="166">
        <f>'[67]Rev_SP-12me'!AU220</f>
        <v>171.541478208151</v>
      </c>
      <c r="M187" s="166">
        <f>'[67]Rev_SP-12me'!AW220</f>
        <v>0</v>
      </c>
      <c r="N187" s="146">
        <f t="shared" si="8"/>
        <v>171.541478208151</v>
      </c>
    </row>
    <row r="188" spans="2:14">
      <c r="B188" s="154" t="s">
        <v>1122</v>
      </c>
      <c r="C188" s="55"/>
      <c r="D188" s="166">
        <f>'[67]Rev_SP-12me'!AJ221</f>
        <v>0</v>
      </c>
      <c r="E188" s="166">
        <f>'[67]Rev_SP-12me'!AL221</f>
        <v>0</v>
      </c>
      <c r="F188" s="164">
        <f>'[67]Rev_SP-12me'!AQ221</f>
        <v>446.089496401423</v>
      </c>
      <c r="G188" s="179">
        <f>'[67]Rev_SP-12me'!O221</f>
        <v>0</v>
      </c>
      <c r="H188" s="185">
        <f>'[67]Rev_SP-12me'!P221</f>
        <v>5.65</v>
      </c>
      <c r="I188" s="174">
        <f>'[67]Rev_SP-12me'!AA221</f>
        <v>5000</v>
      </c>
      <c r="J188" s="55"/>
      <c r="K188" s="166">
        <f>'[67]Rev_SP-12me'!AT221</f>
        <v>0</v>
      </c>
      <c r="L188" s="166">
        <f>'[67]Rev_SP-12me'!AU221</f>
        <v>252.040565466804</v>
      </c>
      <c r="M188" s="166">
        <f>'[67]Rev_SP-12me'!AW221</f>
        <v>0</v>
      </c>
      <c r="N188" s="146">
        <f t="shared" si="8"/>
        <v>252.040565466804</v>
      </c>
    </row>
    <row r="189" ht="15" spans="2:14">
      <c r="B189" s="151" t="s">
        <v>1153</v>
      </c>
      <c r="C189" s="55"/>
      <c r="D189" s="167">
        <f>'[67]Rev_SP-12me'!AJ216</f>
        <v>2</v>
      </c>
      <c r="E189" s="136">
        <f>'[67]Rev_SP-12me'!AL216</f>
        <v>67.4496487119438</v>
      </c>
      <c r="F189" s="136">
        <f>'[67]Rev_SP-12me'!AQ216</f>
        <v>156.21657</v>
      </c>
      <c r="G189" s="150">
        <f>'[67]Rev_SP-12me'!O216</f>
        <v>475</v>
      </c>
      <c r="H189" s="137">
        <f>'[67]Rev_SP-12me'!P216</f>
        <v>6.65</v>
      </c>
      <c r="I189" s="150">
        <f>'[67]Rev_SP-12me'!AA216</f>
        <v>5000</v>
      </c>
      <c r="J189" s="55"/>
      <c r="K189" s="136">
        <f>'[67]Rev_SP-12me'!AT216</f>
        <v>30.7570398126464</v>
      </c>
      <c r="L189" s="136">
        <f>'[67]Rev_SP-12me'!AU216</f>
        <v>103.88401905</v>
      </c>
      <c r="M189" s="136">
        <f>'[67]Rev_SP-12me'!AW216</f>
        <v>0.012</v>
      </c>
      <c r="N189" s="158">
        <f t="shared" si="8"/>
        <v>134.653058862646</v>
      </c>
    </row>
    <row r="190" ht="15" spans="2:14">
      <c r="B190" s="151" t="s">
        <v>1154</v>
      </c>
      <c r="C190" s="55"/>
      <c r="D190" s="136">
        <f>'[67]Rev_SP-12me'!AJ222</f>
        <v>4.53110156073287</v>
      </c>
      <c r="E190" s="136">
        <f>'[67]Rev_SP-12me'!AL222</f>
        <v>20.0876305769858</v>
      </c>
      <c r="F190" s="136">
        <f>'[67]Rev_SP-12me'!AQ222</f>
        <v>128.68271607192</v>
      </c>
      <c r="G190" s="150">
        <f>'[67]Rev_SP-12me'!O222</f>
        <v>0</v>
      </c>
      <c r="H190" s="137">
        <f>'[67]Rev_SP-12me'!P222</f>
        <v>0</v>
      </c>
      <c r="I190" s="150">
        <f>'[67]Rev_SP-12me'!AA222</f>
        <v>0</v>
      </c>
      <c r="J190" s="55"/>
      <c r="K190" s="136">
        <f>'[67]Rev_SP-12me'!AT222</f>
        <v>9.15995954310553</v>
      </c>
      <c r="L190" s="136">
        <f>'[67]Rev_SP-12me'!AU222</f>
        <v>101.033225544465</v>
      </c>
      <c r="M190" s="136">
        <f>'[67]Rev_SP-12me'!AW222</f>
        <v>0.0315933046821986</v>
      </c>
      <c r="N190" s="158">
        <f t="shared" si="8"/>
        <v>110.224778392253</v>
      </c>
    </row>
    <row r="191" spans="2:14">
      <c r="B191" s="156" t="s">
        <v>1119</v>
      </c>
      <c r="C191" s="55"/>
      <c r="D191" s="139">
        <f>'[67]Rev_SP-12me'!AJ223</f>
        <v>4.53110156073287</v>
      </c>
      <c r="E191" s="139">
        <f>'[67]Rev_SP-12me'!AL223</f>
        <v>20.0876305769858</v>
      </c>
      <c r="F191" s="139">
        <f>'[67]Rev_SP-12me'!AQ223</f>
        <v>54.3927802623834</v>
      </c>
      <c r="G191" s="174">
        <f>'[67]Rev_SP-12me'!O223</f>
        <v>475</v>
      </c>
      <c r="H191" s="185">
        <f>'[67]Rev_SP-12me'!P223</f>
        <v>7.8</v>
      </c>
      <c r="I191" s="174">
        <f>'[67]Rev_SP-12me'!AA223</f>
        <v>5000</v>
      </c>
      <c r="J191" s="55"/>
      <c r="K191" s="139">
        <f>'[67]Rev_SP-12me'!AT223</f>
        <v>9.15995954310553</v>
      </c>
      <c r="L191" s="139">
        <f>'[67]Rev_SP-12me'!AU223</f>
        <v>42.4263686046591</v>
      </c>
      <c r="M191" s="139">
        <f>'[67]Rev_SP-12me'!AW223</f>
        <v>0.0315933046821986</v>
      </c>
      <c r="N191" s="146">
        <f t="shared" si="8"/>
        <v>51.6179214524468</v>
      </c>
    </row>
    <row r="192" spans="2:14">
      <c r="B192" s="156" t="s">
        <v>1120</v>
      </c>
      <c r="C192" s="55"/>
      <c r="D192" s="139">
        <f>'[67]Rev_SP-12me'!AJ224</f>
        <v>0</v>
      </c>
      <c r="E192" s="139">
        <f>'[67]Rev_SP-12me'!AL224</f>
        <v>0</v>
      </c>
      <c r="F192" s="139">
        <f>'[67]Rev_SP-12me'!AQ224</f>
        <v>20.3178791064403</v>
      </c>
      <c r="G192" s="174">
        <f>'[67]Rev_SP-12me'!O224</f>
        <v>0</v>
      </c>
      <c r="H192" s="185">
        <f>'[67]Rev_SP-12me'!P224</f>
        <v>8.8</v>
      </c>
      <c r="I192" s="174">
        <f>'[67]Rev_SP-12me'!AA224</f>
        <v>5000</v>
      </c>
      <c r="J192" s="55"/>
      <c r="K192" s="139">
        <f>'[67]Rev_SP-12me'!AT224</f>
        <v>0</v>
      </c>
      <c r="L192" s="139">
        <f>'[67]Rev_SP-12me'!AU224</f>
        <v>17.8797336136675</v>
      </c>
      <c r="M192" s="139">
        <f>'[67]Rev_SP-12me'!AW224</f>
        <v>0</v>
      </c>
      <c r="N192" s="146">
        <f t="shared" si="8"/>
        <v>17.8797336136675</v>
      </c>
    </row>
    <row r="193" spans="2:14">
      <c r="B193" s="156" t="s">
        <v>1121</v>
      </c>
      <c r="C193" s="55"/>
      <c r="D193" s="139">
        <f>'[67]Rev_SP-12me'!AJ225</f>
        <v>0</v>
      </c>
      <c r="E193" s="139">
        <f>'[67]Rev_SP-12me'!AL225</f>
        <v>0</v>
      </c>
      <c r="F193" s="139">
        <f>'[67]Rev_SP-12me'!AQ225</f>
        <v>20.1306238401664</v>
      </c>
      <c r="G193" s="174">
        <f>'[67]Rev_SP-12me'!O225</f>
        <v>0</v>
      </c>
      <c r="H193" s="185">
        <f>'[67]Rev_SP-12me'!P225</f>
        <v>8.8</v>
      </c>
      <c r="I193" s="174">
        <f>'[67]Rev_SP-12me'!AA225</f>
        <v>5000</v>
      </c>
      <c r="J193" s="55"/>
      <c r="K193" s="139">
        <f>'[67]Rev_SP-12me'!AT225</f>
        <v>0</v>
      </c>
      <c r="L193" s="139">
        <f>'[67]Rev_SP-12me'!AU225</f>
        <v>17.7149489793464</v>
      </c>
      <c r="M193" s="139">
        <f>'[67]Rev_SP-12me'!AW225</f>
        <v>0</v>
      </c>
      <c r="N193" s="146">
        <f t="shared" si="8"/>
        <v>17.7149489793464</v>
      </c>
    </row>
    <row r="194" spans="2:14">
      <c r="B194" s="156" t="s">
        <v>1122</v>
      </c>
      <c r="C194" s="55"/>
      <c r="D194" s="139">
        <f>'[67]Rev_SP-12me'!AJ226</f>
        <v>0</v>
      </c>
      <c r="E194" s="139">
        <f>'[67]Rev_SP-12me'!AL226</f>
        <v>0</v>
      </c>
      <c r="F194" s="139">
        <f>'[67]Rev_SP-12me'!AQ226</f>
        <v>33.8414328629297</v>
      </c>
      <c r="G194" s="174">
        <f>'[67]Rev_SP-12me'!O226</f>
        <v>0</v>
      </c>
      <c r="H194" s="185">
        <f>'[67]Rev_SP-12me'!P226</f>
        <v>6.8</v>
      </c>
      <c r="I194" s="174">
        <f>'[67]Rev_SP-12me'!AA226</f>
        <v>5000</v>
      </c>
      <c r="J194" s="55"/>
      <c r="K194" s="139">
        <f>'[67]Rev_SP-12me'!AT226</f>
        <v>0</v>
      </c>
      <c r="L194" s="139">
        <f>'[67]Rev_SP-12me'!AU226</f>
        <v>23.0121743467922</v>
      </c>
      <c r="M194" s="139">
        <f>'[67]Rev_SP-12me'!AW226</f>
        <v>0</v>
      </c>
      <c r="N194" s="146">
        <f t="shared" si="8"/>
        <v>23.0121743467922</v>
      </c>
    </row>
    <row r="195" ht="15" spans="2:14">
      <c r="B195" s="151" t="s">
        <v>1125</v>
      </c>
      <c r="C195" s="55"/>
      <c r="D195" s="136">
        <f>'[67]Rev_SP-12me'!AJ227</f>
        <v>0</v>
      </c>
      <c r="E195" s="136">
        <f>'[67]Rev_SP-12me'!AL227</f>
        <v>0</v>
      </c>
      <c r="F195" s="136">
        <f>'[67]Rev_SP-12me'!AQ227</f>
        <v>0</v>
      </c>
      <c r="G195" s="150">
        <f>'[67]Rev_SP-12me'!O227</f>
        <v>0</v>
      </c>
      <c r="H195" s="137">
        <f>'[67]Rev_SP-12me'!P227</f>
        <v>0</v>
      </c>
      <c r="I195" s="150">
        <f>'[67]Rev_SP-12me'!AA227</f>
        <v>0</v>
      </c>
      <c r="J195" s="55"/>
      <c r="K195" s="136">
        <f>'[67]Rev_SP-12me'!AT227</f>
        <v>0</v>
      </c>
      <c r="L195" s="136">
        <f>'[67]Rev_SP-12me'!AU227</f>
        <v>0</v>
      </c>
      <c r="M195" s="136">
        <f>'[67]Rev_SP-12me'!AW227</f>
        <v>0</v>
      </c>
      <c r="N195" s="158">
        <f t="shared" si="8"/>
        <v>0</v>
      </c>
    </row>
    <row r="196" spans="2:14">
      <c r="B196" s="154" t="s">
        <v>1119</v>
      </c>
      <c r="C196" s="55"/>
      <c r="D196" s="139">
        <f>'[67]Rev_SP-12me'!AJ228</f>
        <v>0</v>
      </c>
      <c r="E196" s="139">
        <f>'[67]Rev_SP-12me'!AL228</f>
        <v>0</v>
      </c>
      <c r="F196" s="139">
        <f>'[67]Rev_SP-12me'!AQ228</f>
        <v>0</v>
      </c>
      <c r="G196" s="174">
        <f>'[67]Rev_SP-12me'!O228</f>
        <v>260</v>
      </c>
      <c r="H196" s="185">
        <f>'[67]Rev_SP-12me'!P228</f>
        <v>5</v>
      </c>
      <c r="I196" s="174">
        <f>'[67]Rev_SP-12me'!AA228</f>
        <v>5000</v>
      </c>
      <c r="J196" s="55"/>
      <c r="K196" s="139">
        <f>'[67]Rev_SP-12me'!AT228</f>
        <v>0</v>
      </c>
      <c r="L196" s="139">
        <f>'[67]Rev_SP-12me'!AU228</f>
        <v>0</v>
      </c>
      <c r="M196" s="139">
        <f>'[67]Rev_SP-12me'!AW228</f>
        <v>0</v>
      </c>
      <c r="N196" s="146">
        <f t="shared" si="8"/>
        <v>0</v>
      </c>
    </row>
    <row r="197" spans="2:14">
      <c r="B197" s="154" t="s">
        <v>1120</v>
      </c>
      <c r="C197" s="55"/>
      <c r="D197" s="139">
        <f>'[67]Rev_SP-12me'!AJ229</f>
        <v>0</v>
      </c>
      <c r="E197" s="139">
        <f>'[67]Rev_SP-12me'!AL229</f>
        <v>0</v>
      </c>
      <c r="F197" s="139">
        <f>'[67]Rev_SP-12me'!AQ229</f>
        <v>0</v>
      </c>
      <c r="G197" s="174">
        <f>'[67]Rev_SP-12me'!O229</f>
        <v>0</v>
      </c>
      <c r="H197" s="185">
        <f>'[67]Rev_SP-12me'!P229</f>
        <v>6</v>
      </c>
      <c r="I197" s="174">
        <f>'[67]Rev_SP-12me'!AA229</f>
        <v>5000</v>
      </c>
      <c r="J197" s="55"/>
      <c r="K197" s="139">
        <f>'[67]Rev_SP-12me'!AT229</f>
        <v>0</v>
      </c>
      <c r="L197" s="139">
        <f>'[67]Rev_SP-12me'!AU229</f>
        <v>0</v>
      </c>
      <c r="M197" s="139">
        <f>'[67]Rev_SP-12me'!AW229</f>
        <v>0</v>
      </c>
      <c r="N197" s="146">
        <f t="shared" si="8"/>
        <v>0</v>
      </c>
    </row>
    <row r="198" spans="2:14">
      <c r="B198" s="154" t="s">
        <v>1121</v>
      </c>
      <c r="C198" s="55"/>
      <c r="D198" s="139">
        <f>'[67]Rev_SP-12me'!AJ230</f>
        <v>0</v>
      </c>
      <c r="E198" s="139">
        <f>'[67]Rev_SP-12me'!AL230</f>
        <v>0</v>
      </c>
      <c r="F198" s="139">
        <f>'[67]Rev_SP-12me'!AQ230</f>
        <v>0</v>
      </c>
      <c r="G198" s="174">
        <f>'[67]Rev_SP-12me'!O230</f>
        <v>0</v>
      </c>
      <c r="H198" s="185">
        <f>'[67]Rev_SP-12me'!P230</f>
        <v>6</v>
      </c>
      <c r="I198" s="174">
        <f>'[67]Rev_SP-12me'!AA230</f>
        <v>5000</v>
      </c>
      <c r="J198" s="55"/>
      <c r="K198" s="139">
        <f>'[67]Rev_SP-12me'!AT230</f>
        <v>0</v>
      </c>
      <c r="L198" s="139">
        <f>'[67]Rev_SP-12me'!AU230</f>
        <v>0</v>
      </c>
      <c r="M198" s="139">
        <f>'[67]Rev_SP-12me'!AW230</f>
        <v>0</v>
      </c>
      <c r="N198" s="146">
        <f t="shared" si="8"/>
        <v>0</v>
      </c>
    </row>
    <row r="199" spans="2:14">
      <c r="B199" s="154" t="s">
        <v>1122</v>
      </c>
      <c r="C199" s="55"/>
      <c r="D199" s="139">
        <f>'[67]Rev_SP-12me'!AJ231</f>
        <v>0</v>
      </c>
      <c r="E199" s="139">
        <f>'[67]Rev_SP-12me'!AL231</f>
        <v>0</v>
      </c>
      <c r="F199" s="139">
        <f>'[67]Rev_SP-12me'!AQ231</f>
        <v>0</v>
      </c>
      <c r="G199" s="174">
        <f>'[67]Rev_SP-12me'!O231</f>
        <v>0</v>
      </c>
      <c r="H199" s="185">
        <f>'[67]Rev_SP-12me'!P231</f>
        <v>4</v>
      </c>
      <c r="I199" s="174">
        <f>'[67]Rev_SP-12me'!AA231</f>
        <v>5000</v>
      </c>
      <c r="J199" s="55"/>
      <c r="K199" s="139">
        <f>'[67]Rev_SP-12me'!AT231</f>
        <v>0</v>
      </c>
      <c r="L199" s="139">
        <f>'[67]Rev_SP-12me'!AU231</f>
        <v>0</v>
      </c>
      <c r="M199" s="139">
        <f>'[67]Rev_SP-12me'!AW231</f>
        <v>0</v>
      </c>
      <c r="N199" s="146">
        <f t="shared" si="8"/>
        <v>0</v>
      </c>
    </row>
    <row r="200" ht="15" spans="2:14">
      <c r="B200" s="151" t="s">
        <v>1126</v>
      </c>
      <c r="C200" s="55"/>
      <c r="D200" s="136">
        <f>'[67]Rev_SP-12me'!AJ232</f>
        <v>1</v>
      </c>
      <c r="E200" s="136">
        <f>'[67]Rev_SP-12me'!AL232</f>
        <v>11.5967885816235</v>
      </c>
      <c r="F200" s="136">
        <f>'[67]Rev_SP-12me'!AQ232</f>
        <v>88.1845563705598</v>
      </c>
      <c r="G200" s="150">
        <f>'[67]Rev_SP-12me'!O232</f>
        <v>0</v>
      </c>
      <c r="H200" s="137">
        <f>'[67]Rev_SP-12me'!P232</f>
        <v>0</v>
      </c>
      <c r="I200" s="150">
        <f>'[67]Rev_SP-12me'!AA232</f>
        <v>0</v>
      </c>
      <c r="J200" s="55"/>
      <c r="K200" s="136">
        <f>'[67]Rev_SP-12me'!AT232</f>
        <v>5.28813559322034</v>
      </c>
      <c r="L200" s="136">
        <f>'[67]Rev_SP-12me'!AU232</f>
        <v>65.6242295866007</v>
      </c>
      <c r="M200" s="136">
        <f>'[67]Rev_SP-12me'!AW232</f>
        <v>0.006</v>
      </c>
      <c r="N200" s="158">
        <f t="shared" si="8"/>
        <v>70.9183651798211</v>
      </c>
    </row>
    <row r="201" spans="2:14">
      <c r="B201" s="156" t="s">
        <v>1119</v>
      </c>
      <c r="C201" s="55"/>
      <c r="D201" s="139">
        <f>'[67]Rev_SP-12me'!AJ233</f>
        <v>1</v>
      </c>
      <c r="E201" s="139">
        <f>'[67]Rev_SP-12me'!AL233</f>
        <v>11.5967885816235</v>
      </c>
      <c r="F201" s="139">
        <f>'[67]Rev_SP-12me'!AQ233</f>
        <v>25.129291143283</v>
      </c>
      <c r="G201" s="174">
        <f>'[67]Rev_SP-12me'!O233</f>
        <v>475</v>
      </c>
      <c r="H201" s="185">
        <f>'[67]Rev_SP-12me'!P233</f>
        <v>7.45</v>
      </c>
      <c r="I201" s="174">
        <f>'[67]Rev_SP-12me'!AA233</f>
        <v>5000</v>
      </c>
      <c r="J201" s="55"/>
      <c r="K201" s="139">
        <f>'[67]Rev_SP-12me'!AT233</f>
        <v>5.28813559322034</v>
      </c>
      <c r="L201" s="139">
        <f>'[67]Rev_SP-12me'!AU233</f>
        <v>18.7213219017458</v>
      </c>
      <c r="M201" s="139">
        <f>'[67]Rev_SP-12me'!AW233</f>
        <v>0.006</v>
      </c>
      <c r="N201" s="146">
        <f t="shared" si="8"/>
        <v>24.0154574949661</v>
      </c>
    </row>
    <row r="202" spans="2:14">
      <c r="B202" s="156" t="s">
        <v>1120</v>
      </c>
      <c r="C202" s="55"/>
      <c r="D202" s="139">
        <f>'[67]Rev_SP-12me'!AJ234</f>
        <v>0</v>
      </c>
      <c r="E202" s="139">
        <f>'[67]Rev_SP-12me'!AL234</f>
        <v>0</v>
      </c>
      <c r="F202" s="139">
        <f>'[67]Rev_SP-12me'!AQ234</f>
        <v>17.9391627505141</v>
      </c>
      <c r="G202" s="174">
        <f>'[67]Rev_SP-12me'!O234</f>
        <v>0</v>
      </c>
      <c r="H202" s="185">
        <f>'[67]Rev_SP-12me'!P234</f>
        <v>8.45</v>
      </c>
      <c r="I202" s="174">
        <f>'[67]Rev_SP-12me'!AA234</f>
        <v>5000</v>
      </c>
      <c r="J202" s="55"/>
      <c r="K202" s="139">
        <f>'[67]Rev_SP-12me'!AT234</f>
        <v>0</v>
      </c>
      <c r="L202" s="139">
        <f>'[67]Rev_SP-12me'!AU234</f>
        <v>15.1585925241844</v>
      </c>
      <c r="M202" s="139">
        <f>'[67]Rev_SP-12me'!AW234</f>
        <v>0</v>
      </c>
      <c r="N202" s="146">
        <f t="shared" si="8"/>
        <v>15.1585925241844</v>
      </c>
    </row>
    <row r="203" spans="2:14">
      <c r="B203" s="156" t="s">
        <v>1121</v>
      </c>
      <c r="C203" s="55"/>
      <c r="D203" s="139">
        <f>'[67]Rev_SP-12me'!AJ235</f>
        <v>0</v>
      </c>
      <c r="E203" s="139">
        <f>'[67]Rev_SP-12me'!AL235</f>
        <v>0</v>
      </c>
      <c r="F203" s="139">
        <f>'[67]Rev_SP-12me'!AQ235</f>
        <v>13.2221453157927</v>
      </c>
      <c r="G203" s="174">
        <f>'[67]Rev_SP-12me'!O235</f>
        <v>0</v>
      </c>
      <c r="H203" s="185">
        <f>'[67]Rev_SP-12me'!P235</f>
        <v>8.45</v>
      </c>
      <c r="I203" s="174">
        <f>'[67]Rev_SP-12me'!AA235</f>
        <v>5000</v>
      </c>
      <c r="J203" s="55"/>
      <c r="K203" s="139">
        <f>'[67]Rev_SP-12me'!AT235</f>
        <v>0</v>
      </c>
      <c r="L203" s="139">
        <f>'[67]Rev_SP-12me'!AU235</f>
        <v>11.1727127918448</v>
      </c>
      <c r="M203" s="139">
        <f>'[67]Rev_SP-12me'!AW235</f>
        <v>0</v>
      </c>
      <c r="N203" s="146">
        <f t="shared" si="8"/>
        <v>11.1727127918448</v>
      </c>
    </row>
    <row r="204" spans="2:14">
      <c r="B204" s="156" t="s">
        <v>1122</v>
      </c>
      <c r="C204" s="55"/>
      <c r="D204" s="139">
        <f>'[67]Rev_SP-12me'!AJ236</f>
        <v>0</v>
      </c>
      <c r="E204" s="139">
        <f>'[67]Rev_SP-12me'!AL236</f>
        <v>0</v>
      </c>
      <c r="F204" s="139">
        <f>'[67]Rev_SP-12me'!AQ236</f>
        <v>31.89395716097</v>
      </c>
      <c r="G204" s="174">
        <f>'[67]Rev_SP-12me'!O236</f>
        <v>0</v>
      </c>
      <c r="H204" s="185">
        <f>'[67]Rev_SP-12me'!P236</f>
        <v>6.45</v>
      </c>
      <c r="I204" s="174">
        <f>'[67]Rev_SP-12me'!AA236</f>
        <v>5000</v>
      </c>
      <c r="J204" s="55"/>
      <c r="K204" s="139">
        <f>'[67]Rev_SP-12me'!AT236</f>
        <v>0</v>
      </c>
      <c r="L204" s="139">
        <f>'[67]Rev_SP-12me'!AU236</f>
        <v>20.5716023688257</v>
      </c>
      <c r="M204" s="139">
        <f>'[67]Rev_SP-12me'!AW236</f>
        <v>0</v>
      </c>
      <c r="N204" s="146">
        <f t="shared" si="8"/>
        <v>20.5716023688257</v>
      </c>
    </row>
    <row r="205" ht="15" spans="2:14">
      <c r="B205" s="151" t="s">
        <v>1155</v>
      </c>
      <c r="C205" s="55"/>
      <c r="D205" s="136">
        <f>'[67]Rev_SP-12me'!AJ237</f>
        <v>20.1554054054054</v>
      </c>
      <c r="E205" s="136">
        <f>'[67]Rev_SP-12me'!AL237</f>
        <v>1795.6833872946</v>
      </c>
      <c r="F205" s="136">
        <f>'[67]Rev_SP-12me'!AQ237</f>
        <v>2643.94096147</v>
      </c>
      <c r="G205" s="150">
        <f>'[67]Rev_SP-12me'!O237</f>
        <v>0</v>
      </c>
      <c r="H205" s="137">
        <f>'[67]Rev_SP-12me'!P237</f>
        <v>0</v>
      </c>
      <c r="I205" s="150">
        <f>'[67]Rev_SP-12me'!AA237</f>
        <v>0</v>
      </c>
      <c r="J205" s="55"/>
      <c r="K205" s="136">
        <f>'[67]Rev_SP-12me'!AT237</f>
        <v>283.942435615959</v>
      </c>
      <c r="L205" s="136">
        <f>'[67]Rev_SP-12me'!AU237</f>
        <v>1665.6828057261</v>
      </c>
      <c r="M205" s="136">
        <f>'[67]Rev_SP-12me'!AW237</f>
        <v>0.123466216216216</v>
      </c>
      <c r="N205" s="158">
        <f t="shared" si="8"/>
        <v>1949.74870755828</v>
      </c>
    </row>
    <row r="206" spans="2:14">
      <c r="B206" s="154" t="s">
        <v>1128</v>
      </c>
      <c r="C206" s="55"/>
      <c r="D206" s="139">
        <f>'[67]Rev_SP-12me'!AJ238</f>
        <v>20.1554054054054</v>
      </c>
      <c r="E206" s="139">
        <f>'[67]Rev_SP-12me'!AL238</f>
        <v>1795.6833872946</v>
      </c>
      <c r="F206" s="139">
        <f>'[67]Rev_SP-12me'!AQ238</f>
        <v>2643.94096147</v>
      </c>
      <c r="G206" s="174">
        <f>'[67]Rev_SP-12me'!O238</f>
        <v>275</v>
      </c>
      <c r="H206" s="185">
        <f>'[67]Rev_SP-12me'!P238</f>
        <v>6.3</v>
      </c>
      <c r="I206" s="174">
        <f>'[67]Rev_SP-12me'!AA238</f>
        <v>5000</v>
      </c>
      <c r="J206" s="55"/>
      <c r="K206" s="139">
        <f>'[67]Rev_SP-12me'!AT238</f>
        <v>283.942435615959</v>
      </c>
      <c r="L206" s="139">
        <f>'[67]Rev_SP-12me'!AU238</f>
        <v>1665.6828057261</v>
      </c>
      <c r="M206" s="139">
        <f>'[67]Rev_SP-12me'!AW238</f>
        <v>0.123466216216216</v>
      </c>
      <c r="N206" s="146">
        <f t="shared" si="8"/>
        <v>1949.74870755828</v>
      </c>
    </row>
    <row r="207" spans="2:14">
      <c r="B207" s="154" t="s">
        <v>1156</v>
      </c>
      <c r="C207" s="55"/>
      <c r="D207" s="139">
        <f>'[67]Rev_SP-12me'!AJ239</f>
        <v>0</v>
      </c>
      <c r="E207" s="139">
        <f>'[67]Rev_SP-12me'!AL239</f>
        <v>0</v>
      </c>
      <c r="F207" s="139">
        <f>'[67]Rev_SP-12me'!AQ239</f>
        <v>0</v>
      </c>
      <c r="G207" s="174">
        <f>'[67]Rev_SP-12me'!O239</f>
        <v>275</v>
      </c>
      <c r="H207" s="185">
        <f>'[67]Rev_SP-12me'!P239</f>
        <v>6.3</v>
      </c>
      <c r="I207" s="174">
        <f>'[67]Rev_SP-12me'!AA239</f>
        <v>5000</v>
      </c>
      <c r="J207" s="55"/>
      <c r="K207" s="139">
        <f>'[67]Rev_SP-12me'!AT239</f>
        <v>0</v>
      </c>
      <c r="L207" s="139">
        <f>'[67]Rev_SP-12me'!AU239</f>
        <v>0</v>
      </c>
      <c r="M207" s="139">
        <f>'[67]Rev_SP-12me'!AW239</f>
        <v>0</v>
      </c>
      <c r="N207" s="146">
        <f t="shared" si="8"/>
        <v>0</v>
      </c>
    </row>
    <row r="208" ht="15" spans="2:14">
      <c r="B208" s="151" t="s">
        <v>1157</v>
      </c>
      <c r="C208" s="55"/>
      <c r="D208" s="167">
        <f>'[67]Rev_SP-12me'!AJ247</f>
        <v>2</v>
      </c>
      <c r="E208" s="136">
        <f>'[67]Rev_SP-12me'!AL247</f>
        <v>70.2792257914437</v>
      </c>
      <c r="F208" s="136">
        <f>'[67]Rev_SP-12me'!AQ247</f>
        <v>287.7540258892</v>
      </c>
      <c r="G208" s="150">
        <f>'[67]Rev_SP-12me'!O247</f>
        <v>0</v>
      </c>
      <c r="H208" s="137">
        <f>'[67]Rev_SP-12me'!P247</f>
        <v>0</v>
      </c>
      <c r="I208" s="150">
        <f>'[67]Rev_SP-12me'!AA247</f>
        <v>0</v>
      </c>
      <c r="J208" s="55"/>
      <c r="K208" s="136">
        <f>'[67]Rev_SP-12me'!AT247</f>
        <v>0</v>
      </c>
      <c r="L208" s="136">
        <f>'[67]Rev_SP-12me'!AU247</f>
        <v>175.529955792412</v>
      </c>
      <c r="M208" s="136">
        <f>'[67]Rev_SP-12me'!AW247</f>
        <v>0.012</v>
      </c>
      <c r="N208" s="158">
        <f t="shared" si="8"/>
        <v>175.541955792412</v>
      </c>
    </row>
    <row r="209" spans="2:14">
      <c r="B209" s="154" t="s">
        <v>220</v>
      </c>
      <c r="C209" s="55"/>
      <c r="D209" s="166">
        <f>'[67]Rev_SP-12me'!AJ248</f>
        <v>2</v>
      </c>
      <c r="E209" s="139">
        <f>'[67]Rev_SP-12me'!AL248</f>
        <v>70.2792257914437</v>
      </c>
      <c r="F209" s="139">
        <f>'[67]Rev_SP-12me'!AQ248</f>
        <v>287.7540258892</v>
      </c>
      <c r="G209" s="174">
        <f>'[67]Rev_SP-12me'!O248</f>
        <v>0</v>
      </c>
      <c r="H209" s="185">
        <f>'[67]Rev_SP-12me'!P248</f>
        <v>6.1</v>
      </c>
      <c r="I209" s="174">
        <f>'[67]Rev_SP-12me'!AA248</f>
        <v>5000</v>
      </c>
      <c r="J209" s="55"/>
      <c r="K209" s="139">
        <f>'[67]Rev_SP-12me'!AT248</f>
        <v>0</v>
      </c>
      <c r="L209" s="139">
        <f>'[67]Rev_SP-12me'!AU248</f>
        <v>175.529955792412</v>
      </c>
      <c r="M209" s="139">
        <f>'[67]Rev_SP-12me'!AW248</f>
        <v>0.012</v>
      </c>
      <c r="N209" s="146">
        <f t="shared" si="8"/>
        <v>175.541955792412</v>
      </c>
    </row>
    <row r="210" ht="15" spans="2:14">
      <c r="B210" s="151" t="s">
        <v>1158</v>
      </c>
      <c r="C210" s="55"/>
      <c r="D210" s="167">
        <f>'[67]Rev_SP-12me'!AJ249</f>
        <v>0</v>
      </c>
      <c r="E210" s="167">
        <f>'[67]Rev_SP-12me'!AL249</f>
        <v>0</v>
      </c>
      <c r="F210" s="167">
        <f>'[67]Rev_SP-12me'!AQ249</f>
        <v>0</v>
      </c>
      <c r="G210" s="135">
        <f>'[67]Rev_SP-12me'!O249</f>
        <v>0</v>
      </c>
      <c r="H210" s="137">
        <f>'[67]Rev_SP-12me'!P249</f>
        <v>0</v>
      </c>
      <c r="I210" s="150">
        <f>'[67]Rev_SP-12me'!AA249</f>
        <v>0</v>
      </c>
      <c r="J210" s="55"/>
      <c r="K210" s="167">
        <f>'[67]Rev_SP-12me'!AT249</f>
        <v>0</v>
      </c>
      <c r="L210" s="167">
        <f>'[67]Rev_SP-12me'!AU249</f>
        <v>0</v>
      </c>
      <c r="M210" s="167">
        <f>'[67]Rev_SP-12me'!AW249</f>
        <v>0</v>
      </c>
      <c r="N210" s="146">
        <f t="shared" si="8"/>
        <v>0</v>
      </c>
    </row>
    <row r="211" ht="15" spans="2:14">
      <c r="B211" s="168" t="s">
        <v>1159</v>
      </c>
      <c r="C211" s="55"/>
      <c r="D211" s="136">
        <f>'[67]Rev_SP-12me'!AJ240</f>
        <v>18.75</v>
      </c>
      <c r="E211" s="136">
        <f>'[67]Rev_SP-12me'!AL240</f>
        <v>158.557069846678</v>
      </c>
      <c r="F211" s="136">
        <f>'[67]Rev_SP-12me'!AQ240</f>
        <v>809.568318320509</v>
      </c>
      <c r="G211" s="150">
        <f>'[67]Rev_SP-12me'!O240</f>
        <v>0</v>
      </c>
      <c r="H211" s="137">
        <f>'[67]Rev_SP-12me'!P240</f>
        <v>0</v>
      </c>
      <c r="I211" s="150">
        <f>'[67]Rev_SP-12me'!AA240</f>
        <v>0</v>
      </c>
      <c r="J211" s="55"/>
      <c r="K211" s="136">
        <f>'[67]Rev_SP-12me'!AT240</f>
        <v>72.3020238500852</v>
      </c>
      <c r="L211" s="136">
        <f>'[67]Rev_SP-12me'!AU240</f>
        <v>407.493840181101</v>
      </c>
      <c r="M211" s="136">
        <f>'[67]Rev_SP-12me'!AW240</f>
        <v>0.10725</v>
      </c>
      <c r="N211" s="158">
        <f t="shared" si="8"/>
        <v>479.903114031186</v>
      </c>
    </row>
    <row r="212" spans="2:14">
      <c r="B212" s="154" t="s">
        <v>1160</v>
      </c>
      <c r="C212" s="55"/>
      <c r="D212" s="139">
        <f>'[67]Rev_SP-12me'!AJ241</f>
        <v>13.75</v>
      </c>
      <c r="E212" s="139">
        <f>'[67]Rev_SP-12me'!AL241</f>
        <v>134.954003407155</v>
      </c>
      <c r="F212" s="139">
        <f>'[67]Rev_SP-12me'!AQ241</f>
        <v>675.752261244861</v>
      </c>
      <c r="G212" s="174">
        <f>'[67]Rev_SP-12me'!O241</f>
        <v>475</v>
      </c>
      <c r="H212" s="185">
        <f>'[67]Rev_SP-12me'!P241</f>
        <v>5.05</v>
      </c>
      <c r="I212" s="174">
        <f>'[67]Rev_SP-12me'!AA241</f>
        <v>5000</v>
      </c>
      <c r="J212" s="55"/>
      <c r="K212" s="139">
        <f>'[67]Rev_SP-12me'!AT241</f>
        <v>61.5390255536627</v>
      </c>
      <c r="L212" s="139">
        <f>'[67]Rev_SP-12me'!AU241</f>
        <v>341.254891928655</v>
      </c>
      <c r="M212" s="139">
        <f>'[67]Rev_SP-12me'!AW241</f>
        <v>0.08025</v>
      </c>
      <c r="N212" s="146">
        <f t="shared" si="8"/>
        <v>402.874167482318</v>
      </c>
    </row>
    <row r="213" spans="2:14">
      <c r="B213" s="154" t="s">
        <v>1161</v>
      </c>
      <c r="C213" s="55"/>
      <c r="D213" s="139">
        <f>'[67]Rev_SP-12me'!AJ242</f>
        <v>0</v>
      </c>
      <c r="E213" s="139">
        <f>'[67]Rev_SP-12me'!AL242</f>
        <v>0</v>
      </c>
      <c r="F213" s="139">
        <f>'[67]Rev_SP-12me'!AQ242</f>
        <v>0</v>
      </c>
      <c r="G213" s="174">
        <f>'[67]Rev_SP-12me'!O242</f>
        <v>0</v>
      </c>
      <c r="H213" s="185">
        <f>'[67]Rev_SP-12me'!P242</f>
        <v>0</v>
      </c>
      <c r="I213" s="174">
        <f>'[67]Rev_SP-12me'!AA242</f>
        <v>5000</v>
      </c>
      <c r="J213" s="55"/>
      <c r="K213" s="139">
        <f>'[67]Rev_SP-12me'!AT242</f>
        <v>0</v>
      </c>
      <c r="L213" s="139">
        <f>'[67]Rev_SP-12me'!AU242</f>
        <v>0</v>
      </c>
      <c r="M213" s="139">
        <f>'[67]Rev_SP-12me'!AW242</f>
        <v>0</v>
      </c>
      <c r="N213" s="146">
        <f t="shared" si="8"/>
        <v>0</v>
      </c>
    </row>
    <row r="214" spans="2:14">
      <c r="B214" s="154" t="s">
        <v>1162</v>
      </c>
      <c r="C214" s="55"/>
      <c r="D214" s="139">
        <f>'[67]Rev_SP-12me'!AJ243</f>
        <v>5</v>
      </c>
      <c r="E214" s="139">
        <f>'[67]Rev_SP-12me'!AL243</f>
        <v>23.603066439523</v>
      </c>
      <c r="F214" s="139">
        <f>'[67]Rev_SP-12me'!AQ243</f>
        <v>133.816057075648</v>
      </c>
      <c r="G214" s="174">
        <f>'[67]Rev_SP-12me'!O243</f>
        <v>475</v>
      </c>
      <c r="H214" s="185">
        <f>'[67]Rev_SP-12me'!P243</f>
        <v>4.95</v>
      </c>
      <c r="I214" s="174">
        <f>'[67]Rev_SP-12me'!AA243</f>
        <v>5000</v>
      </c>
      <c r="J214" s="55"/>
      <c r="K214" s="139">
        <f>'[67]Rev_SP-12me'!AT243</f>
        <v>10.7629982964225</v>
      </c>
      <c r="L214" s="139">
        <f>'[67]Rev_SP-12me'!AU243</f>
        <v>66.2389482524458</v>
      </c>
      <c r="M214" s="139">
        <f>'[67]Rev_SP-12me'!AW243</f>
        <v>0.027</v>
      </c>
      <c r="N214" s="146">
        <f t="shared" si="8"/>
        <v>77.0289465488683</v>
      </c>
    </row>
    <row r="215" spans="2:14">
      <c r="B215" s="154" t="s">
        <v>1163</v>
      </c>
      <c r="C215" s="55"/>
      <c r="D215" s="139">
        <f>'[67]Rev_SP-12me'!AJ244</f>
        <v>0</v>
      </c>
      <c r="E215" s="139">
        <f>'[67]Rev_SP-12me'!AL244</f>
        <v>0</v>
      </c>
      <c r="F215" s="139">
        <f>'[67]Rev_SP-12me'!AQ244</f>
        <v>0</v>
      </c>
      <c r="G215" s="174">
        <f>'[67]Rev_SP-12me'!O244</f>
        <v>475</v>
      </c>
      <c r="H215" s="185">
        <f>'[67]Rev_SP-12me'!P244</f>
        <v>4.95</v>
      </c>
      <c r="I215" s="174">
        <f>'[67]Rev_SP-12me'!AA244</f>
        <v>5000</v>
      </c>
      <c r="J215" s="55"/>
      <c r="K215" s="139">
        <f>'[67]Rev_SP-12me'!AT244</f>
        <v>0</v>
      </c>
      <c r="L215" s="139">
        <f>'[67]Rev_SP-12me'!AU244</f>
        <v>0</v>
      </c>
      <c r="M215" s="139">
        <f>'[67]Rev_SP-12me'!AW244</f>
        <v>0</v>
      </c>
      <c r="N215" s="146">
        <f t="shared" si="8"/>
        <v>0</v>
      </c>
    </row>
    <row r="216" ht="15" spans="2:14">
      <c r="B216" s="151" t="s">
        <v>919</v>
      </c>
      <c r="C216" s="55"/>
      <c r="D216" s="136">
        <f>'[67]Rev_SP-12me'!AJ245</f>
        <v>0</v>
      </c>
      <c r="E216" s="136">
        <f>'[67]Rev_SP-12me'!AL245</f>
        <v>0</v>
      </c>
      <c r="F216" s="136">
        <f>'[67]Rev_SP-12me'!AQ245</f>
        <v>0</v>
      </c>
      <c r="G216" s="150">
        <f>'[67]Rev_SP-12me'!O245</f>
        <v>260</v>
      </c>
      <c r="H216" s="137">
        <f>'[67]Rev_SP-12me'!P245</f>
        <v>7.3</v>
      </c>
      <c r="I216" s="150">
        <f>'[67]Rev_SP-12me'!AA245</f>
        <v>5000</v>
      </c>
      <c r="J216" s="55"/>
      <c r="K216" s="136">
        <f>'[67]Rev_SP-12me'!AT245</f>
        <v>0</v>
      </c>
      <c r="L216" s="136">
        <f>'[67]Rev_SP-12me'!AU245</f>
        <v>0</v>
      </c>
      <c r="M216" s="136">
        <f>'[67]Rev_SP-12me'!AW245</f>
        <v>0</v>
      </c>
      <c r="N216" s="158">
        <f t="shared" si="8"/>
        <v>0</v>
      </c>
    </row>
    <row r="217" ht="15" spans="2:14">
      <c r="B217" s="151" t="s">
        <v>1133</v>
      </c>
      <c r="C217" s="55"/>
      <c r="D217" s="136">
        <f>'[67]Rev_SP-12me'!AJ246</f>
        <v>0</v>
      </c>
      <c r="E217" s="136">
        <f>'[67]Rev_SP-12me'!AL246</f>
        <v>0</v>
      </c>
      <c r="F217" s="136">
        <f>'[67]Rev_SP-12me'!AQ246</f>
        <v>0</v>
      </c>
      <c r="G217" s="150">
        <f>'[67]Rev_SP-12me'!O246</f>
        <v>500</v>
      </c>
      <c r="H217" s="137">
        <f>'[67]Rev_SP-12me'!P246</f>
        <v>10.8</v>
      </c>
      <c r="I217" s="150">
        <f>'[67]Rev_SP-12me'!AA246</f>
        <v>5000</v>
      </c>
      <c r="J217" s="55"/>
      <c r="K217" s="136">
        <f>'[67]Rev_SP-12me'!AT246</f>
        <v>0</v>
      </c>
      <c r="L217" s="136">
        <f>'[67]Rev_SP-12me'!AU246</f>
        <v>0</v>
      </c>
      <c r="M217" s="136">
        <f>'[67]Rev_SP-12me'!AW246</f>
        <v>0</v>
      </c>
      <c r="N217" s="158">
        <f t="shared" si="8"/>
        <v>0</v>
      </c>
    </row>
    <row r="218" ht="15" spans="2:14">
      <c r="B218" s="157" t="s">
        <v>1164</v>
      </c>
      <c r="C218" s="55"/>
      <c r="D218" s="148">
        <f>SUM(D176,D184,D189,D190,D195,D200,D205,D208,D210,D211,D216,D217)</f>
        <v>96.4391533439087</v>
      </c>
      <c r="E218" s="148">
        <f t="shared" ref="E218:F218" si="9">SUM(E176,E184,E189,E190,E195,E200,E205,E208,E210,E211,E216,E217)</f>
        <v>2949.99510866657</v>
      </c>
      <c r="F218" s="148">
        <f t="shared" si="9"/>
        <v>9765.92276303429</v>
      </c>
      <c r="G218" s="198"/>
      <c r="H218" s="198"/>
      <c r="I218" s="198"/>
      <c r="J218" s="198"/>
      <c r="K218" s="148">
        <f t="shared" ref="K218:N218" si="10">SUM(K176,K184,K189,K190,K195,K200,K205,K208,K210,K211,K216,K217)</f>
        <v>778.261253600676</v>
      </c>
      <c r="L218" s="148">
        <f t="shared" si="10"/>
        <v>6263.79014161039</v>
      </c>
      <c r="M218" s="148">
        <f t="shared" si="10"/>
        <v>0.568317460031726</v>
      </c>
      <c r="N218" s="148">
        <f t="shared" si="10"/>
        <v>7042.6197126711</v>
      </c>
    </row>
    <row r="219" spans="2:14">
      <c r="B219" s="157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</row>
    <row r="220" ht="15" spans="2:14">
      <c r="B220" s="54" t="s">
        <v>1165</v>
      </c>
      <c r="C220" s="55"/>
      <c r="D220" s="148">
        <f>D125+D173+D218</f>
        <v>12768.8026116669</v>
      </c>
      <c r="E220" s="148">
        <f t="shared" ref="E220:F220" si="11">E125+E173+E218</f>
        <v>8807.29735</v>
      </c>
      <c r="F220" s="148">
        <f t="shared" si="11"/>
        <v>26898.3791855031</v>
      </c>
      <c r="G220" s="197"/>
      <c r="H220" s="197"/>
      <c r="I220" s="197"/>
      <c r="J220" s="197"/>
      <c r="K220" s="148">
        <f t="shared" ref="K220:N220" si="12">K125+K173+K218</f>
        <v>3345.96906374908</v>
      </c>
      <c r="L220" s="148">
        <f t="shared" si="12"/>
        <v>19471.0825271142</v>
      </c>
      <c r="M220" s="148">
        <f t="shared" si="12"/>
        <v>31.7507194049194</v>
      </c>
      <c r="N220" s="148">
        <f t="shared" si="12"/>
        <v>22848.8023102682</v>
      </c>
    </row>
    <row r="221" ht="15" spans="2:14">
      <c r="B221" s="54" t="s">
        <v>1166</v>
      </c>
      <c r="C221" s="55"/>
      <c r="D221" s="148">
        <f>D220+D70</f>
        <v>11196460.3201371</v>
      </c>
      <c r="E221" s="148">
        <f>E220+E70</f>
        <v>33888.9111471162</v>
      </c>
      <c r="F221" s="148">
        <f>F220+F70</f>
        <v>56801.0434898432</v>
      </c>
      <c r="G221" s="197"/>
      <c r="H221" s="197"/>
      <c r="I221" s="197"/>
      <c r="J221" s="197"/>
      <c r="K221" s="149">
        <f>K220+K70</f>
        <v>4020.12228568084</v>
      </c>
      <c r="L221" s="149">
        <f>L220+L70</f>
        <v>30615.4920048374</v>
      </c>
      <c r="M221" s="149">
        <f>M220+M70</f>
        <v>929.636056831269</v>
      </c>
      <c r="N221" s="149">
        <f>N220+N70</f>
        <v>35565.2503473495</v>
      </c>
    </row>
    <row r="223" ht="15" spans="4:4">
      <c r="D223" s="11" t="s">
        <v>225</v>
      </c>
    </row>
    <row r="224" spans="4:5">
      <c r="D224" s="13">
        <v>1</v>
      </c>
      <c r="E224" s="12" t="s">
        <v>226</v>
      </c>
    </row>
    <row r="225" spans="4:5">
      <c r="D225" s="13">
        <f>D224+1</f>
        <v>2</v>
      </c>
      <c r="E225" s="12" t="s">
        <v>233</v>
      </c>
    </row>
  </sheetData>
  <mergeCells count="12">
    <mergeCell ref="B2:O2"/>
    <mergeCell ref="G5:H5"/>
    <mergeCell ref="K5:N5"/>
    <mergeCell ref="B8:C8"/>
    <mergeCell ref="B72:C72"/>
    <mergeCell ref="P76:Q76"/>
    <mergeCell ref="D5:D6"/>
    <mergeCell ref="E5:E6"/>
    <mergeCell ref="F5:F6"/>
    <mergeCell ref="I5:I6"/>
    <mergeCell ref="J5:J6"/>
    <mergeCell ref="B5:C7"/>
  </mergeCells>
  <pageMargins left="0.7" right="0.7" top="0.75" bottom="0.75" header="0.3" footer="0.3"/>
  <pageSetup paperSize="1" orientation="portrait"/>
  <headerFooter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</sheetPr>
  <dimension ref="B2:Q225"/>
  <sheetViews>
    <sheetView showGridLines="0" view="pageBreakPreview" zoomScale="60" zoomScaleNormal="70" topLeftCell="A3" workbookViewId="0">
      <pane xSplit="3" ySplit="5" topLeftCell="F164" activePane="bottomRight" state="frozen"/>
      <selection/>
      <selection pane="topRight"/>
      <selection pane="bottomLeft"/>
      <selection pane="bottomRight" activeCell="I199" sqref="I199"/>
    </sheetView>
  </sheetViews>
  <sheetFormatPr defaultColWidth="9.14285714285714" defaultRowHeight="14.25"/>
  <cols>
    <col min="1" max="1" width="9.14285714285714" style="12"/>
    <col min="2" max="2" width="33" style="12" customWidth="1"/>
    <col min="3" max="3" width="38.5714285714286" style="12" hidden="1" customWidth="1"/>
    <col min="4" max="4" width="21" style="12" customWidth="1"/>
    <col min="5" max="5" width="16.8571428571429" style="12" customWidth="1"/>
    <col min="6" max="6" width="12.8571428571429" style="12" customWidth="1"/>
    <col min="7" max="7" width="10.7142857142857" style="12" customWidth="1"/>
    <col min="8" max="8" width="15" style="12" customWidth="1"/>
    <col min="9" max="9" width="10.4761904761905" style="12" customWidth="1"/>
    <col min="10" max="10" width="7.38095238095238" style="12" customWidth="1"/>
    <col min="11" max="11" width="15.952380952381" style="12" customWidth="1"/>
    <col min="12" max="12" width="17.5714285714286" style="12" customWidth="1"/>
    <col min="13" max="13" width="12.8571428571429" style="12" customWidth="1"/>
    <col min="14" max="14" width="17.4285714285714" style="12" customWidth="1"/>
    <col min="15" max="15" width="9.14285714285714" style="12"/>
    <col min="16" max="16" width="13.5714285714286" style="12" customWidth="1"/>
    <col min="17" max="17" width="33.8571428571429" style="12" customWidth="1"/>
    <col min="18" max="16384" width="9.14285714285714" style="12"/>
  </cols>
  <sheetData>
    <row r="2" ht="15" spans="2:15">
      <c r="B2" s="2" t="s">
        <v>156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ht="15" spans="9:9">
      <c r="I3" s="3" t="s">
        <v>1187</v>
      </c>
    </row>
    <row r="5" ht="15" spans="2:14">
      <c r="B5" s="36" t="s">
        <v>159</v>
      </c>
      <c r="C5" s="37"/>
      <c r="D5" s="90" t="s">
        <v>1086</v>
      </c>
      <c r="E5" s="90" t="s">
        <v>1087</v>
      </c>
      <c r="F5" s="38" t="s">
        <v>879</v>
      </c>
      <c r="G5" s="38" t="s">
        <v>1088</v>
      </c>
      <c r="H5" s="38"/>
      <c r="I5" s="90" t="s">
        <v>1089</v>
      </c>
      <c r="J5" s="92" t="s">
        <v>1090</v>
      </c>
      <c r="K5" s="38" t="s">
        <v>1091</v>
      </c>
      <c r="L5" s="38"/>
      <c r="M5" s="38"/>
      <c r="N5" s="38"/>
    </row>
    <row r="6" ht="47" customHeight="1" spans="2:14">
      <c r="B6" s="40"/>
      <c r="C6" s="41"/>
      <c r="D6" s="90"/>
      <c r="E6" s="90"/>
      <c r="F6" s="38"/>
      <c r="G6" s="90" t="s">
        <v>1092</v>
      </c>
      <c r="H6" s="90" t="s">
        <v>1093</v>
      </c>
      <c r="I6" s="90"/>
      <c r="J6" s="93"/>
      <c r="K6" s="90" t="s">
        <v>1092</v>
      </c>
      <c r="L6" s="90" t="s">
        <v>1093</v>
      </c>
      <c r="M6" s="90" t="s">
        <v>1089</v>
      </c>
      <c r="N6" s="38" t="s">
        <v>97</v>
      </c>
    </row>
    <row r="7" ht="68" customHeight="1" spans="2:14">
      <c r="B7" s="42"/>
      <c r="C7" s="43"/>
      <c r="D7" s="135" t="s">
        <v>1094</v>
      </c>
      <c r="E7" s="135" t="s">
        <v>1095</v>
      </c>
      <c r="F7" s="135" t="s">
        <v>1096</v>
      </c>
      <c r="G7" s="135" t="s">
        <v>1097</v>
      </c>
      <c r="H7" s="175" t="s">
        <v>1098</v>
      </c>
      <c r="I7" s="135" t="s">
        <v>1097</v>
      </c>
      <c r="J7" s="38" t="s">
        <v>297</v>
      </c>
      <c r="K7" s="38" t="s">
        <v>550</v>
      </c>
      <c r="L7" s="38" t="s">
        <v>550</v>
      </c>
      <c r="M7" s="38" t="s">
        <v>550</v>
      </c>
      <c r="N7" s="38" t="s">
        <v>550</v>
      </c>
    </row>
    <row r="8" ht="18" customHeight="1" spans="2:14">
      <c r="B8" s="44" t="s">
        <v>890</v>
      </c>
      <c r="C8" s="45"/>
      <c r="J8" s="55"/>
      <c r="K8" s="55"/>
      <c r="L8" s="55"/>
      <c r="M8" s="55"/>
      <c r="N8" s="55"/>
    </row>
    <row r="9" ht="22" customHeight="1" spans="2:14">
      <c r="B9" s="46" t="s">
        <v>1000</v>
      </c>
      <c r="C9" s="47"/>
      <c r="D9" s="136">
        <f>'[18]Rev_SP-12me'!AJ10</f>
        <v>8480176</v>
      </c>
      <c r="E9" s="136">
        <f>'[18]Rev_SP-12me'!AL10</f>
        <v>13770.5302430351</v>
      </c>
      <c r="F9" s="150">
        <f>'[18]Rev_SP-12me'!AQ10</f>
        <v>12611.1428672529</v>
      </c>
      <c r="G9" s="153"/>
      <c r="H9" s="185"/>
      <c r="I9" s="153"/>
      <c r="J9" s="100"/>
      <c r="K9" s="150">
        <f>'[18]Rev_SP-12me'!AT10</f>
        <v>179.711140598826</v>
      </c>
      <c r="L9" s="150">
        <f>'[18]Rev_SP-12me'!AU10</f>
        <v>6059.35533170682</v>
      </c>
      <c r="M9" s="150">
        <f>'[18]Rev_SP-12me'!AW10</f>
        <v>760.158102</v>
      </c>
      <c r="N9" s="137">
        <f t="shared" ref="N9:N40" si="0">SUM(K9:M9)</f>
        <v>6999.22457430565</v>
      </c>
    </row>
    <row r="10" ht="22" customHeight="1" spans="2:14">
      <c r="B10" s="50" t="s">
        <v>1001</v>
      </c>
      <c r="C10" s="47"/>
      <c r="D10" s="138">
        <f>'[18]Rev_SP-12me'!AJ11</f>
        <v>4302207</v>
      </c>
      <c r="E10" s="138">
        <f>'[18]Rev_SP-12me'!AL11</f>
        <v>6380.61313500389</v>
      </c>
      <c r="F10" s="153">
        <f>'[18]Rev_SP-12me'!AQ11</f>
        <v>2523.21347447065</v>
      </c>
      <c r="G10" s="153"/>
      <c r="H10" s="185"/>
      <c r="I10" s="153"/>
      <c r="J10" s="100"/>
      <c r="K10" s="153">
        <f>'[18]Rev_SP-12me'!AT11</f>
        <v>76.5673576200467</v>
      </c>
      <c r="L10" s="153">
        <f>'[18]Rev_SP-12me'!AU11</f>
        <v>567.477897363406</v>
      </c>
      <c r="M10" s="153">
        <f>'[18]Rev_SP-12me'!AW11</f>
        <v>272.577252</v>
      </c>
      <c r="N10" s="101">
        <f t="shared" si="0"/>
        <v>916.622506983453</v>
      </c>
    </row>
    <row r="11" ht="22" customHeight="1" spans="2:14">
      <c r="B11" s="52" t="s">
        <v>1002</v>
      </c>
      <c r="C11" s="47"/>
      <c r="D11" s="139">
        <f>'[18]Rev_SP-12me'!AJ12</f>
        <v>2301656</v>
      </c>
      <c r="E11" s="139">
        <f>'[18]Rev_SP-12me'!AL12</f>
        <v>3297.03139113857</v>
      </c>
      <c r="F11" s="174">
        <f>'[18]Rev_SP-12me'!AQ12</f>
        <v>1867.11547584778</v>
      </c>
      <c r="G11" s="153">
        <f>'[18]Rev_SP-12me'!O12</f>
        <v>10</v>
      </c>
      <c r="H11" s="101">
        <f>'[18]Rev_SP-12me'!P12</f>
        <v>1.95</v>
      </c>
      <c r="I11" s="153">
        <f>'[18]Rev_SP-12me'!AA12</f>
        <v>40</v>
      </c>
      <c r="J11" s="100"/>
      <c r="K11" s="174">
        <f>'[18]Rev_SP-12me'!AT12</f>
        <v>39.5643766936629</v>
      </c>
      <c r="L11" s="174">
        <f>'[18]Rev_SP-12me'!AU12</f>
        <v>364.087517790317</v>
      </c>
      <c r="M11" s="174">
        <f>'[18]Rev_SP-12me'!AW12</f>
        <v>108.119952</v>
      </c>
      <c r="N11" s="101">
        <f t="shared" si="0"/>
        <v>511.77184648398</v>
      </c>
    </row>
    <row r="12" ht="22" customHeight="1" spans="2:14">
      <c r="B12" s="52" t="s">
        <v>1004</v>
      </c>
      <c r="C12" s="47"/>
      <c r="D12" s="139">
        <f>'[18]Rev_SP-12me'!AJ13</f>
        <v>2000551</v>
      </c>
      <c r="E12" s="139">
        <f>'[18]Rev_SP-12me'!AL13</f>
        <v>3083.58174386532</v>
      </c>
      <c r="F12" s="174">
        <f>'[18]Rev_SP-12me'!AQ13</f>
        <v>656.097998622869</v>
      </c>
      <c r="G12" s="153">
        <f>'[18]Rev_SP-12me'!O13</f>
        <v>10</v>
      </c>
      <c r="H12" s="101">
        <f>'[18]Rev_SP-12me'!P13</f>
        <v>3.1</v>
      </c>
      <c r="I12" s="153">
        <f>'[18]Rev_SP-12me'!AA13</f>
        <v>70</v>
      </c>
      <c r="J12" s="100"/>
      <c r="K12" s="174">
        <f>'[18]Rev_SP-12me'!AT13</f>
        <v>37.0029809263839</v>
      </c>
      <c r="L12" s="174">
        <f>'[18]Rev_SP-12me'!AU13</f>
        <v>203.390379573089</v>
      </c>
      <c r="M12" s="174">
        <f>'[18]Rev_SP-12me'!AW13</f>
        <v>164.4573</v>
      </c>
      <c r="N12" s="101">
        <f t="shared" si="0"/>
        <v>404.850660499473</v>
      </c>
    </row>
    <row r="13" ht="22" customHeight="1" spans="2:14">
      <c r="B13" s="50" t="s">
        <v>1005</v>
      </c>
      <c r="C13" s="47"/>
      <c r="D13" s="138">
        <f>'[18]Rev_SP-12me'!AJ14</f>
        <v>2551305</v>
      </c>
      <c r="E13" s="138">
        <f>'[18]Rev_SP-12me'!AL14</f>
        <v>4432.11165013189</v>
      </c>
      <c r="F13" s="153">
        <f>'[18]Rev_SP-12me'!AQ14</f>
        <v>4332.35968698975</v>
      </c>
      <c r="G13" s="153"/>
      <c r="H13" s="101"/>
      <c r="I13" s="153"/>
      <c r="J13" s="100"/>
      <c r="K13" s="153">
        <f>'[18]Rev_SP-12me'!AT14</f>
        <v>53.1853398015827</v>
      </c>
      <c r="L13" s="153">
        <f>'[18]Rev_SP-12me'!AU14</f>
        <v>1652.51545925465</v>
      </c>
      <c r="M13" s="153">
        <f>'[18]Rev_SP-12me'!AW14</f>
        <v>269.656182</v>
      </c>
      <c r="N13" s="101">
        <f t="shared" si="0"/>
        <v>1975.35698105623</v>
      </c>
    </row>
    <row r="14" ht="22" customHeight="1" spans="2:14">
      <c r="B14" s="52" t="s">
        <v>1006</v>
      </c>
      <c r="C14" s="47"/>
      <c r="D14" s="139">
        <f>'[18]Rev_SP-12me'!AJ15</f>
        <v>0</v>
      </c>
      <c r="E14" s="139">
        <f>'[18]Rev_SP-12me'!AL15</f>
        <v>0</v>
      </c>
      <c r="F14" s="174">
        <f>'[18]Rev_SP-12me'!AQ15</f>
        <v>3050.12278928877</v>
      </c>
      <c r="G14" s="153">
        <f>'[18]Rev_SP-12me'!O15</f>
        <v>10</v>
      </c>
      <c r="H14" s="101">
        <f>'[18]Rev_SP-12me'!P15</f>
        <v>3.4</v>
      </c>
      <c r="I14" s="153"/>
      <c r="J14" s="100"/>
      <c r="K14" s="174">
        <f>'[18]Rev_SP-12me'!AT15</f>
        <v>0</v>
      </c>
      <c r="L14" s="174">
        <f>'[18]Rev_SP-12me'!AU15</f>
        <v>1037.04174835818</v>
      </c>
      <c r="M14" s="174">
        <f>'[18]Rev_SP-12me'!AW15</f>
        <v>0</v>
      </c>
      <c r="N14" s="101">
        <f t="shared" si="0"/>
        <v>1037.04174835818</v>
      </c>
    </row>
    <row r="15" ht="22" customHeight="1" spans="2:14">
      <c r="B15" s="52" t="s">
        <v>1007</v>
      </c>
      <c r="C15" s="47"/>
      <c r="D15" s="139">
        <f>'[18]Rev_SP-12me'!AJ16</f>
        <v>2551305</v>
      </c>
      <c r="E15" s="139">
        <f>'[18]Rev_SP-12me'!AL16</f>
        <v>4432.11165013189</v>
      </c>
      <c r="F15" s="174">
        <f>'[18]Rev_SP-12me'!AQ16</f>
        <v>1282.23689770098</v>
      </c>
      <c r="G15" s="153">
        <f>'[18]Rev_SP-12me'!O16</f>
        <v>10</v>
      </c>
      <c r="H15" s="101">
        <f>'[18]Rev_SP-12me'!P16</f>
        <v>4.8</v>
      </c>
      <c r="I15" s="153">
        <f>'[18]Rev_SP-12me'!AA16</f>
        <v>90</v>
      </c>
      <c r="J15" s="100"/>
      <c r="K15" s="174">
        <f>'[18]Rev_SP-12me'!AT16</f>
        <v>53.1853398015827</v>
      </c>
      <c r="L15" s="174">
        <f>'[18]Rev_SP-12me'!AU16</f>
        <v>615.473710896472</v>
      </c>
      <c r="M15" s="174">
        <f>'[18]Rev_SP-12me'!AW16</f>
        <v>269.656182</v>
      </c>
      <c r="N15" s="101">
        <f t="shared" si="0"/>
        <v>938.315232698055</v>
      </c>
    </row>
    <row r="16" ht="22" customHeight="1" spans="2:14">
      <c r="B16" s="50" t="s">
        <v>1008</v>
      </c>
      <c r="C16" s="47"/>
      <c r="D16" s="138">
        <f>'[18]Rev_SP-12me'!AJ17</f>
        <v>1626664</v>
      </c>
      <c r="E16" s="138">
        <f>'[18]Rev_SP-12me'!AL17</f>
        <v>2957.80545789934</v>
      </c>
      <c r="F16" s="153">
        <f>'[18]Rev_SP-12me'!AQ17</f>
        <v>5755.56970579253</v>
      </c>
      <c r="G16" s="153"/>
      <c r="H16" s="101"/>
      <c r="I16" s="153"/>
      <c r="J16" s="100"/>
      <c r="K16" s="153">
        <f>'[18]Rev_SP-12me'!AT17</f>
        <v>49.9584431771968</v>
      </c>
      <c r="L16" s="153">
        <f>'[18]Rev_SP-12me'!AU17</f>
        <v>3839.36197508876</v>
      </c>
      <c r="M16" s="153">
        <f>'[18]Rev_SP-12me'!AW17</f>
        <v>217.924668</v>
      </c>
      <c r="N16" s="101">
        <f t="shared" si="0"/>
        <v>4107.24508626596</v>
      </c>
    </row>
    <row r="17" ht="22" customHeight="1" spans="2:14">
      <c r="B17" s="52" t="s">
        <v>1009</v>
      </c>
      <c r="C17" s="47"/>
      <c r="D17" s="139">
        <f>'[18]Rev_SP-12me'!AJ18</f>
        <v>0</v>
      </c>
      <c r="E17" s="139">
        <f>'[18]Rev_SP-12me'!AL18</f>
        <v>0</v>
      </c>
      <c r="F17" s="174">
        <f>'[18]Rev_SP-12me'!AQ18</f>
        <v>3248.76208837518</v>
      </c>
      <c r="G17" s="153">
        <f>'[18]Rev_SP-12me'!O18</f>
        <v>10</v>
      </c>
      <c r="H17" s="101">
        <f>'[18]Rev_SP-12me'!P18</f>
        <v>5.1</v>
      </c>
      <c r="I17" s="153"/>
      <c r="J17" s="100"/>
      <c r="K17" s="174">
        <f>'[18]Rev_SP-12me'!AT18</f>
        <v>0</v>
      </c>
      <c r="L17" s="174">
        <f>'[18]Rev_SP-12me'!AU18</f>
        <v>1656.86866507134</v>
      </c>
      <c r="M17" s="174">
        <f>'[18]Rev_SP-12me'!AW18</f>
        <v>0</v>
      </c>
      <c r="N17" s="101">
        <f t="shared" si="0"/>
        <v>1656.86866507134</v>
      </c>
    </row>
    <row r="18" ht="22" customHeight="1" spans="2:14">
      <c r="B18" s="52" t="s">
        <v>1010</v>
      </c>
      <c r="C18" s="47"/>
      <c r="D18" s="139">
        <f>'[18]Rev_SP-12me'!AJ19</f>
        <v>904540</v>
      </c>
      <c r="E18" s="139">
        <f>'[18]Rev_SP-12me'!AL19</f>
        <v>1586.43298003369</v>
      </c>
      <c r="F18" s="174">
        <f>'[18]Rev_SP-12me'!AQ19</f>
        <v>1066.51795368837</v>
      </c>
      <c r="G18" s="153">
        <f>'[18]Rev_SP-12me'!O19</f>
        <v>10</v>
      </c>
      <c r="H18" s="101">
        <f>'[18]Rev_SP-12me'!P19</f>
        <v>7.7</v>
      </c>
      <c r="I18" s="153">
        <f>'[18]Rev_SP-12me'!AA19</f>
        <v>100</v>
      </c>
      <c r="J18" s="100"/>
      <c r="K18" s="174">
        <f>'[18]Rev_SP-12me'!AT19</f>
        <v>19.0371957604043</v>
      </c>
      <c r="L18" s="174">
        <f>'[18]Rev_SP-12me'!AU19</f>
        <v>821.218824340045</v>
      </c>
      <c r="M18" s="174">
        <f>'[18]Rev_SP-12me'!AW19</f>
        <v>106.22658</v>
      </c>
      <c r="N18" s="101">
        <f t="shared" si="0"/>
        <v>946.482600100449</v>
      </c>
    </row>
    <row r="19" ht="22" customHeight="1" spans="2:14">
      <c r="B19" s="52" t="s">
        <v>1011</v>
      </c>
      <c r="C19" s="47"/>
      <c r="D19" s="139">
        <f>'[18]Rev_SP-12me'!AJ20</f>
        <v>356411</v>
      </c>
      <c r="E19" s="139">
        <f>'[18]Rev_SP-12me'!AL20</f>
        <v>555.053821759948</v>
      </c>
      <c r="F19" s="174">
        <f>'[18]Rev_SP-12me'!AQ20</f>
        <v>489.086662975253</v>
      </c>
      <c r="G19" s="153">
        <f>'[18]Rev_SP-12me'!O20</f>
        <v>10</v>
      </c>
      <c r="H19" s="101">
        <f>'[18]Rev_SP-12me'!P20</f>
        <v>9</v>
      </c>
      <c r="I19" s="153">
        <f>'[18]Rev_SP-12me'!AA20</f>
        <v>120</v>
      </c>
      <c r="J19" s="100"/>
      <c r="K19" s="174">
        <f>'[18]Rev_SP-12me'!AT20</f>
        <v>6.66064586111938</v>
      </c>
      <c r="L19" s="174">
        <f>'[18]Rev_SP-12me'!AU20</f>
        <v>440.177996677728</v>
      </c>
      <c r="M19" s="174">
        <f>'[18]Rev_SP-12me'!AW20</f>
        <v>50.227056</v>
      </c>
      <c r="N19" s="101">
        <f t="shared" si="0"/>
        <v>497.065698538847</v>
      </c>
    </row>
    <row r="20" ht="22" customHeight="1" spans="2:14">
      <c r="B20" s="52" t="s">
        <v>1012</v>
      </c>
      <c r="C20" s="47"/>
      <c r="D20" s="139">
        <f>'[18]Rev_SP-12me'!AJ21</f>
        <v>308516</v>
      </c>
      <c r="E20" s="139">
        <f>'[18]Rev_SP-12me'!AL21</f>
        <v>514.969121055604</v>
      </c>
      <c r="F20" s="174">
        <f>'[18]Rev_SP-12me'!AQ21</f>
        <v>602.130235081579</v>
      </c>
      <c r="G20" s="153">
        <f>'[18]Rev_SP-12me'!O21</f>
        <v>10</v>
      </c>
      <c r="H20" s="101">
        <f>'[18]Rev_SP-12me'!P21</f>
        <v>9.5</v>
      </c>
      <c r="I20" s="153">
        <f>'[18]Rev_SP-12me'!AA21</f>
        <v>140</v>
      </c>
      <c r="J20" s="100"/>
      <c r="K20" s="174">
        <f>'[18]Rev_SP-12me'!AT21</f>
        <v>6.17962945266724</v>
      </c>
      <c r="L20" s="174">
        <f>'[18]Rev_SP-12me'!AU21</f>
        <v>572.0237233275</v>
      </c>
      <c r="M20" s="174">
        <f>'[18]Rev_SP-12me'!AW21</f>
        <v>50.723736</v>
      </c>
      <c r="N20" s="101">
        <f t="shared" si="0"/>
        <v>628.927088780167</v>
      </c>
    </row>
    <row r="21" ht="22" customHeight="1" spans="2:14">
      <c r="B21" s="52" t="s">
        <v>1013</v>
      </c>
      <c r="C21" s="47"/>
      <c r="D21" s="139">
        <f>'[18]Rev_SP-12me'!AJ22</f>
        <v>57197</v>
      </c>
      <c r="E21" s="139">
        <f>'[18]Rev_SP-12me'!AL22</f>
        <v>301.349535050099</v>
      </c>
      <c r="F21" s="174">
        <f>'[18]Rev_SP-12me'!AQ22</f>
        <v>349.072765672148</v>
      </c>
      <c r="G21" s="153">
        <f>'[18]Rev_SP-12me'!O22</f>
        <v>50</v>
      </c>
      <c r="H21" s="101">
        <f>'[18]Rev_SP-12me'!P22</f>
        <v>10</v>
      </c>
      <c r="I21" s="153">
        <f>'[18]Rev_SP-12me'!AA22</f>
        <v>160</v>
      </c>
      <c r="J21" s="100"/>
      <c r="K21" s="174">
        <f>'[18]Rev_SP-12me'!AT22</f>
        <v>18.0809721030059</v>
      </c>
      <c r="L21" s="174">
        <f>'[18]Rev_SP-12me'!AU22</f>
        <v>349.072765672148</v>
      </c>
      <c r="M21" s="174">
        <f>'[18]Rev_SP-12me'!AW22</f>
        <v>10.747296</v>
      </c>
      <c r="N21" s="101">
        <f t="shared" si="0"/>
        <v>377.901033775154</v>
      </c>
    </row>
    <row r="22" ht="22" customHeight="1" spans="2:14">
      <c r="B22" s="54" t="s">
        <v>1014</v>
      </c>
      <c r="C22" s="55"/>
      <c r="D22" s="136">
        <f>'[18]Rev_SP-12me'!AJ23</f>
        <v>1310560</v>
      </c>
      <c r="E22" s="136">
        <f>'[18]Rev_SP-12me'!AL23</f>
        <v>4559.74021167918</v>
      </c>
      <c r="F22" s="150">
        <f>'[18]Rev_SP-12me'!AQ23</f>
        <v>4403.06073642308</v>
      </c>
      <c r="G22" s="153"/>
      <c r="H22" s="101"/>
      <c r="I22" s="153"/>
      <c r="J22" s="100"/>
      <c r="K22" s="150">
        <f>'[18]Rev_SP-12me'!AT23</f>
        <v>397.488727609221</v>
      </c>
      <c r="L22" s="150">
        <f>'[18]Rev_SP-12me'!AU23</f>
        <v>4503.76517459675</v>
      </c>
      <c r="M22" s="150">
        <f>'[18]Rev_SP-12me'!AW23</f>
        <v>122.027607</v>
      </c>
      <c r="N22" s="137">
        <f t="shared" si="0"/>
        <v>5023.28150920597</v>
      </c>
    </row>
    <row r="23" ht="22" customHeight="1" spans="2:14">
      <c r="B23" s="56" t="s">
        <v>1015</v>
      </c>
      <c r="C23" s="55"/>
      <c r="D23" s="138">
        <f>'[18]Rev_SP-12me'!AJ24</f>
        <v>658215</v>
      </c>
      <c r="E23" s="138">
        <f>'[18]Rev_SP-12me'!AL24</f>
        <v>1316.0416856079</v>
      </c>
      <c r="F23" s="153">
        <f>'[18]Rev_SP-12me'!AQ24</f>
        <v>107.187322987852</v>
      </c>
      <c r="G23" s="153"/>
      <c r="H23" s="101"/>
      <c r="I23" s="153"/>
      <c r="J23" s="100"/>
      <c r="K23" s="153">
        <f>'[18]Rev_SP-12me'!AT24</f>
        <v>47.3775006818844</v>
      </c>
      <c r="L23" s="153">
        <f>'[18]Rev_SP-12me'!AU24</f>
        <v>75.0311260914961</v>
      </c>
      <c r="M23" s="153">
        <f>'[18]Rev_SP-12me'!AW24</f>
        <v>38.23341</v>
      </c>
      <c r="N23" s="101">
        <f t="shared" si="0"/>
        <v>160.642036773381</v>
      </c>
    </row>
    <row r="24" ht="22" customHeight="1" spans="2:14">
      <c r="B24" s="186" t="s">
        <v>1002</v>
      </c>
      <c r="C24" s="55"/>
      <c r="D24" s="139">
        <f>'[18]Rev_SP-12me'!AJ25</f>
        <v>658215</v>
      </c>
      <c r="E24" s="139">
        <f>'[18]Rev_SP-12me'!AL25</f>
        <v>1316.0416856079</v>
      </c>
      <c r="F24" s="174">
        <f>'[18]Rev_SP-12me'!AQ25</f>
        <v>107.187322987852</v>
      </c>
      <c r="G24" s="153">
        <f>'[18]Rev_SP-12me'!O25</f>
        <v>30</v>
      </c>
      <c r="H24" s="101">
        <f>'[18]Rev_SP-12me'!P25</f>
        <v>7</v>
      </c>
      <c r="I24" s="153">
        <f>'[18]Rev_SP-12me'!AA25</f>
        <v>50</v>
      </c>
      <c r="J24" s="100"/>
      <c r="K24" s="174">
        <f>'[18]Rev_SP-12me'!AT25</f>
        <v>47.3775006818844</v>
      </c>
      <c r="L24" s="174">
        <f>'[18]Rev_SP-12me'!AU25</f>
        <v>75.0311260914961</v>
      </c>
      <c r="M24" s="174">
        <f>'[18]Rev_SP-12me'!AW25</f>
        <v>38.23341</v>
      </c>
      <c r="N24" s="101">
        <f t="shared" si="0"/>
        <v>160.642036773381</v>
      </c>
    </row>
    <row r="25" ht="22" customHeight="1" spans="2:14">
      <c r="B25" s="56" t="s">
        <v>1016</v>
      </c>
      <c r="C25" s="55"/>
      <c r="D25" s="138">
        <f>'[18]Rev_SP-12me'!AJ26</f>
        <v>635521</v>
      </c>
      <c r="E25" s="138">
        <f>'[18]Rev_SP-12me'!AL26</f>
        <v>3220.90175431849</v>
      </c>
      <c r="F25" s="153">
        <f>'[18]Rev_SP-12me'!AQ26</f>
        <v>4284.00411599089</v>
      </c>
      <c r="G25" s="153"/>
      <c r="H25" s="101"/>
      <c r="I25" s="153"/>
      <c r="J25" s="100"/>
      <c r="K25" s="153">
        <f>'[18]Rev_SP-12me'!AT26</f>
        <v>347.632517119324</v>
      </c>
      <c r="L25" s="153">
        <f>'[18]Rev_SP-12me'!AU26</f>
        <v>4417.50921731783</v>
      </c>
      <c r="M25" s="153">
        <f>'[18]Rev_SP-12me'!AW26</f>
        <v>82.517664</v>
      </c>
      <c r="N25" s="101">
        <f t="shared" si="0"/>
        <v>4847.65939843715</v>
      </c>
    </row>
    <row r="26" ht="22" customHeight="1" spans="2:14">
      <c r="B26" s="58" t="s">
        <v>1006</v>
      </c>
      <c r="C26" s="55"/>
      <c r="D26" s="139">
        <f>'[18]Rev_SP-12me'!AJ27</f>
        <v>210325</v>
      </c>
      <c r="E26" s="139">
        <f>'[18]Rev_SP-12me'!AL27</f>
        <v>384.246040703161</v>
      </c>
      <c r="F26" s="174">
        <f>'[18]Rev_SP-12me'!AQ27</f>
        <v>763.670011998976</v>
      </c>
      <c r="G26" s="153">
        <f>'[18]Rev_SP-12me'!O27</f>
        <v>70</v>
      </c>
      <c r="H26" s="101">
        <f>'[18]Rev_SP-12me'!P27</f>
        <v>8.5</v>
      </c>
      <c r="I26" s="153">
        <f>'[18]Rev_SP-12me'!AA27</f>
        <v>90</v>
      </c>
      <c r="J26" s="100"/>
      <c r="K26" s="174">
        <f>'[18]Rev_SP-12me'!AT27</f>
        <v>32.2766674190656</v>
      </c>
      <c r="L26" s="174">
        <f>'[18]Rev_SP-12me'!AU27</f>
        <v>649.119510199129</v>
      </c>
      <c r="M26" s="174">
        <f>'[18]Rev_SP-12me'!AW27</f>
        <v>21.99069</v>
      </c>
      <c r="N26" s="101">
        <f t="shared" si="0"/>
        <v>703.386867618195</v>
      </c>
    </row>
    <row r="27" ht="22" customHeight="1" spans="2:14">
      <c r="B27" s="58" t="s">
        <v>1017</v>
      </c>
      <c r="C27" s="55"/>
      <c r="D27" s="139">
        <f>'[18]Rev_SP-12me'!AJ28</f>
        <v>243391</v>
      </c>
      <c r="E27" s="139">
        <f>'[18]Rev_SP-12me'!AL28</f>
        <v>695.634331488361</v>
      </c>
      <c r="F27" s="174">
        <f>'[18]Rev_SP-12me'!AQ28</f>
        <v>731.145911717307</v>
      </c>
      <c r="G27" s="153">
        <f>'[18]Rev_SP-12me'!O28</f>
        <v>70</v>
      </c>
      <c r="H27" s="101">
        <f>'[18]Rev_SP-12me'!P28</f>
        <v>9.9</v>
      </c>
      <c r="I27" s="153">
        <f>'[18]Rev_SP-12me'!AA28</f>
        <v>105</v>
      </c>
      <c r="J27" s="100"/>
      <c r="K27" s="174">
        <f>'[18]Rev_SP-12me'!AT28</f>
        <v>58.4332838450223</v>
      </c>
      <c r="L27" s="174">
        <f>'[18]Rev_SP-12me'!AU28</f>
        <v>723.834452600134</v>
      </c>
      <c r="M27" s="174">
        <f>'[18]Rev_SP-12me'!AW28</f>
        <v>29.689254</v>
      </c>
      <c r="N27" s="101">
        <f t="shared" si="0"/>
        <v>811.956990445156</v>
      </c>
    </row>
    <row r="28" ht="22" customHeight="1" spans="2:14">
      <c r="B28" s="58" t="s">
        <v>1018</v>
      </c>
      <c r="C28" s="55"/>
      <c r="D28" s="139">
        <f>'[18]Rev_SP-12me'!AJ29</f>
        <v>63604</v>
      </c>
      <c r="E28" s="139">
        <f>'[18]Rev_SP-12me'!AL29</f>
        <v>325.220507979729</v>
      </c>
      <c r="F28" s="174">
        <f>'[18]Rev_SP-12me'!AQ29</f>
        <v>392.529283058289</v>
      </c>
      <c r="G28" s="153">
        <f>'[18]Rev_SP-12me'!O29</f>
        <v>100</v>
      </c>
      <c r="H28" s="101">
        <f>'[18]Rev_SP-12me'!P29</f>
        <v>10.4</v>
      </c>
      <c r="I28" s="153">
        <f>'[18]Rev_SP-12me'!AA29</f>
        <v>120</v>
      </c>
      <c r="J28" s="100"/>
      <c r="K28" s="174">
        <f>'[18]Rev_SP-12me'!AT29</f>
        <v>39.0264609575675</v>
      </c>
      <c r="L28" s="174">
        <f>'[18]Rev_SP-12me'!AU29</f>
        <v>408.23045438062</v>
      </c>
      <c r="M28" s="174">
        <f>'[18]Rev_SP-12me'!AW29</f>
        <v>8.866872</v>
      </c>
      <c r="N28" s="101">
        <f t="shared" si="0"/>
        <v>456.123787338188</v>
      </c>
    </row>
    <row r="29" ht="22" customHeight="1" spans="2:14">
      <c r="B29" s="58" t="s">
        <v>1019</v>
      </c>
      <c r="C29" s="55"/>
      <c r="D29" s="139">
        <f>'[18]Rev_SP-12me'!AJ30</f>
        <v>118201</v>
      </c>
      <c r="E29" s="139">
        <f>'[18]Rev_SP-12me'!AL30</f>
        <v>1815.80087414724</v>
      </c>
      <c r="F29" s="174">
        <f>'[18]Rev_SP-12me'!AQ30</f>
        <v>2396.65890921632</v>
      </c>
      <c r="G29" s="153">
        <f>'[18]Rev_SP-12me'!O30</f>
        <v>100</v>
      </c>
      <c r="H29" s="101">
        <f>'[18]Rev_SP-12me'!P30</f>
        <v>11</v>
      </c>
      <c r="I29" s="153">
        <f>'[18]Rev_SP-12me'!AA30</f>
        <v>160</v>
      </c>
      <c r="J29" s="100"/>
      <c r="K29" s="174">
        <f>'[18]Rev_SP-12me'!AT30</f>
        <v>217.896104897668</v>
      </c>
      <c r="L29" s="174">
        <f>'[18]Rev_SP-12me'!AU30</f>
        <v>2636.32480013795</v>
      </c>
      <c r="M29" s="174">
        <f>'[18]Rev_SP-12me'!AW30</f>
        <v>21.970848</v>
      </c>
      <c r="N29" s="101">
        <f t="shared" si="0"/>
        <v>2876.19175303562</v>
      </c>
    </row>
    <row r="30" ht="22" customHeight="1" spans="2:14">
      <c r="B30" s="56" t="s">
        <v>1020</v>
      </c>
      <c r="C30" s="55"/>
      <c r="D30" s="138">
        <f>'[18]Rev_SP-12me'!AJ31</f>
        <v>2590</v>
      </c>
      <c r="E30" s="138">
        <f>'[18]Rev_SP-12me'!AL31</f>
        <v>7.7531689056611</v>
      </c>
      <c r="F30" s="153">
        <f>'[18]Rev_SP-12me'!AQ31</f>
        <v>6.01010412127545</v>
      </c>
      <c r="G30" s="153">
        <f>'[18]Rev_SP-12me'!O31</f>
        <v>150</v>
      </c>
      <c r="H30" s="101">
        <f>'[18]Rev_SP-12me'!P31</f>
        <v>13</v>
      </c>
      <c r="I30" s="153">
        <f>'[18]Rev_SP-12me'!AA31</f>
        <v>160</v>
      </c>
      <c r="J30" s="100"/>
      <c r="K30" s="153">
        <f>'[18]Rev_SP-12me'!AT31</f>
        <v>1.395570403019</v>
      </c>
      <c r="L30" s="153">
        <f>'[18]Rev_SP-12me'!AU31</f>
        <v>7.81313535765808</v>
      </c>
      <c r="M30" s="153">
        <f>'[18]Rev_SP-12me'!AW31</f>
        <v>0.48144</v>
      </c>
      <c r="N30" s="101">
        <f t="shared" si="0"/>
        <v>9.69014576067708</v>
      </c>
    </row>
    <row r="31" ht="22" customHeight="1" spans="2:14">
      <c r="B31" s="56" t="s">
        <v>1021</v>
      </c>
      <c r="C31" s="55"/>
      <c r="D31" s="138">
        <f>'[18]Rev_SP-12me'!AJ32</f>
        <v>14234</v>
      </c>
      <c r="E31" s="138">
        <f>'[18]Rev_SP-12me'!AL32</f>
        <v>15.043602847136</v>
      </c>
      <c r="F31" s="153">
        <f>'[18]Rev_SP-12me'!AQ32</f>
        <v>5.85919332306855</v>
      </c>
      <c r="G31" s="153"/>
      <c r="H31" s="101"/>
      <c r="I31" s="153"/>
      <c r="J31" s="100"/>
      <c r="K31" s="153">
        <f>'[18]Rev_SP-12me'!AT32</f>
        <v>1.08313940499379</v>
      </c>
      <c r="L31" s="153">
        <f>'[18]Rev_SP-12me'!AU32</f>
        <v>3.41169582976564</v>
      </c>
      <c r="M31" s="153">
        <f>'[18]Rev_SP-12me'!AW32</f>
        <v>0.795093</v>
      </c>
      <c r="N31" s="101">
        <f t="shared" si="0"/>
        <v>5.28992823475943</v>
      </c>
    </row>
    <row r="32" ht="22" customHeight="1" spans="2:14">
      <c r="B32" s="58" t="s">
        <v>1002</v>
      </c>
      <c r="C32" s="55"/>
      <c r="D32" s="139">
        <f>'[18]Rev_SP-12me'!AJ33</f>
        <v>10888</v>
      </c>
      <c r="E32" s="139">
        <f>'[18]Rev_SP-12me'!AL33</f>
        <v>11.4065560718135</v>
      </c>
      <c r="F32" s="174">
        <f>'[18]Rev_SP-12me'!AQ33</f>
        <v>3.89201528713353</v>
      </c>
      <c r="G32" s="153">
        <f>'[18]Rev_SP-12me'!O33</f>
        <v>60</v>
      </c>
      <c r="H32" s="101">
        <f>'[18]Rev_SP-12me'!P33</f>
        <v>5.3</v>
      </c>
      <c r="I32" s="153">
        <f>'[18]Rev_SP-12me'!AA33</f>
        <v>45</v>
      </c>
      <c r="J32" s="100"/>
      <c r="K32" s="174">
        <f>'[18]Rev_SP-12me'!AT33</f>
        <v>0.821272037170574</v>
      </c>
      <c r="L32" s="174">
        <f>'[18]Rev_SP-12me'!AU33</f>
        <v>2.06276810218077</v>
      </c>
      <c r="M32" s="174">
        <f>'[18]Rev_SP-12me'!AW33</f>
        <v>0.569214</v>
      </c>
      <c r="N32" s="101">
        <f t="shared" si="0"/>
        <v>3.45325413935134</v>
      </c>
    </row>
    <row r="33" ht="22" customHeight="1" spans="2:14">
      <c r="B33" s="58" t="s">
        <v>1022</v>
      </c>
      <c r="C33" s="55"/>
      <c r="D33" s="139">
        <f>'[18]Rev_SP-12me'!AJ34</f>
        <v>2307</v>
      </c>
      <c r="E33" s="139">
        <f>'[18]Rev_SP-12me'!AL34</f>
        <v>2.41761427316935</v>
      </c>
      <c r="F33" s="174">
        <f>'[18]Rev_SP-12me'!AQ34</f>
        <v>1.40506443740441</v>
      </c>
      <c r="G33" s="153">
        <f>'[18]Rev_SP-12me'!O34</f>
        <v>60</v>
      </c>
      <c r="H33" s="101">
        <f>'[18]Rev_SP-12me'!P34</f>
        <v>6.6</v>
      </c>
      <c r="I33" s="153">
        <f>'[18]Rev_SP-12me'!AA34</f>
        <v>55</v>
      </c>
      <c r="J33" s="100"/>
      <c r="K33" s="174">
        <f>'[18]Rev_SP-12me'!AT34</f>
        <v>0.174068227668193</v>
      </c>
      <c r="L33" s="174">
        <f>'[18]Rev_SP-12me'!AU34</f>
        <v>0.927342528686913</v>
      </c>
      <c r="M33" s="174">
        <f>'[18]Rev_SP-12me'!AW34</f>
        <v>0.147411</v>
      </c>
      <c r="N33" s="101">
        <f t="shared" si="0"/>
        <v>1.24882175635511</v>
      </c>
    </row>
    <row r="34" ht="22" customHeight="1" spans="2:14">
      <c r="B34" s="58" t="s">
        <v>1023</v>
      </c>
      <c r="C34" s="55"/>
      <c r="D34" s="139">
        <f>'[18]Rev_SP-12me'!AJ35</f>
        <v>1039</v>
      </c>
      <c r="E34" s="139">
        <f>'[18]Rev_SP-12me'!AL35</f>
        <v>1.21943250215312</v>
      </c>
      <c r="F34" s="174">
        <f>'[18]Rev_SP-12me'!AQ35</f>
        <v>0.562113598530601</v>
      </c>
      <c r="G34" s="153">
        <f>'[18]Rev_SP-12me'!O35</f>
        <v>60</v>
      </c>
      <c r="H34" s="101">
        <f>'[18]Rev_SP-12me'!P35</f>
        <v>7.5</v>
      </c>
      <c r="I34" s="153">
        <f>'[18]Rev_SP-12me'!AA35</f>
        <v>65</v>
      </c>
      <c r="J34" s="100"/>
      <c r="K34" s="174">
        <f>'[18]Rev_SP-12me'!AT35</f>
        <v>0.0877991401550243</v>
      </c>
      <c r="L34" s="174">
        <f>'[18]Rev_SP-12me'!AU35</f>
        <v>0.421585198897951</v>
      </c>
      <c r="M34" s="174">
        <f>'[18]Rev_SP-12me'!AW35</f>
        <v>0.078468</v>
      </c>
      <c r="N34" s="101">
        <f t="shared" si="0"/>
        <v>0.587852339052975</v>
      </c>
    </row>
    <row r="35" ht="22" customHeight="1" spans="2:14">
      <c r="B35" s="54" t="s">
        <v>1024</v>
      </c>
      <c r="C35" s="55"/>
      <c r="D35" s="136">
        <f>'[18]Rev_SP-12me'!AJ36</f>
        <v>47096</v>
      </c>
      <c r="E35" s="136">
        <f>'[18]Rev_SP-12me'!AN36*0.7457/10^3</f>
        <v>1135.86492626013</v>
      </c>
      <c r="F35" s="150">
        <f>'[18]Rev_SP-12me'!AQ36</f>
        <v>1048.4454732488</v>
      </c>
      <c r="G35" s="153"/>
      <c r="H35" s="101"/>
      <c r="I35" s="153"/>
      <c r="J35" s="100"/>
      <c r="K35" s="150">
        <f>'[18]Rev_SP-12me'!AT36</f>
        <v>136.303791151216</v>
      </c>
      <c r="L35" s="150">
        <f>'[18]Rev_SP-12me'!AU36</f>
        <v>804.392938083021</v>
      </c>
      <c r="M35" s="150">
        <f>'[18]Rev_SP-12me'!AW36</f>
        <v>20.22537165</v>
      </c>
      <c r="N35" s="137">
        <f t="shared" si="0"/>
        <v>960.922100884237</v>
      </c>
    </row>
    <row r="36" ht="22" customHeight="1" spans="2:14">
      <c r="B36" s="58" t="s">
        <v>1025</v>
      </c>
      <c r="C36" s="55"/>
      <c r="D36" s="139">
        <f>'[18]Rev_SP-12me'!AJ37</f>
        <v>47096</v>
      </c>
      <c r="E36" s="139">
        <f>'[18]Rev_SP-12me'!AN37*0.7457/10^3</f>
        <v>1135.86492626013</v>
      </c>
      <c r="F36" s="174">
        <f>'[18]Rev_SP-12me'!AQ37</f>
        <v>1006.87295441233</v>
      </c>
      <c r="G36" s="153">
        <f>'[18]Rev_SP-12me'!O37</f>
        <v>100</v>
      </c>
      <c r="H36" s="101">
        <f>'[18]Rev_SP-12me'!P37</f>
        <v>7.7</v>
      </c>
      <c r="I36" s="153">
        <f>'[18]Rev_SP-12me'!AA37</f>
        <v>360.25</v>
      </c>
      <c r="J36" s="100"/>
      <c r="K36" s="174">
        <f>'[18]Rev_SP-12me'!AT37</f>
        <v>136.303791151216</v>
      </c>
      <c r="L36" s="174">
        <f>'[18]Rev_SP-12me'!AU37</f>
        <v>775.292174897491</v>
      </c>
      <c r="M36" s="174">
        <f>'[18]Rev_SP-12me'!AW37</f>
        <v>20.22537165</v>
      </c>
      <c r="N36" s="101">
        <f t="shared" si="0"/>
        <v>931.821337698707</v>
      </c>
    </row>
    <row r="37" ht="22" customHeight="1" spans="2:14">
      <c r="B37" s="58" t="s">
        <v>1026</v>
      </c>
      <c r="C37" s="55"/>
      <c r="D37" s="139">
        <f>'[18]Rev_SP-12me'!AJ38</f>
        <v>0</v>
      </c>
      <c r="E37" s="139">
        <f>'[18]Rev_SP-12me'!AN38*0.7457/10^3</f>
        <v>0</v>
      </c>
      <c r="F37" s="174">
        <f>'[18]Rev_SP-12me'!AQ38</f>
        <v>0</v>
      </c>
      <c r="G37" s="153">
        <f>'[18]Rev_SP-12me'!O38</f>
        <v>100</v>
      </c>
      <c r="H37" s="101">
        <f>'[18]Rev_SP-12me'!P38</f>
        <v>8.4</v>
      </c>
      <c r="I37" s="153">
        <f>'[18]Rev_SP-12me'!AA38</f>
        <v>360.25</v>
      </c>
      <c r="J37" s="100"/>
      <c r="K37" s="174">
        <f>'[18]Rev_SP-12me'!AT38</f>
        <v>0</v>
      </c>
      <c r="L37" s="174">
        <f>'[18]Rev_SP-12me'!AU38</f>
        <v>0</v>
      </c>
      <c r="M37" s="174">
        <f>'[18]Rev_SP-12me'!AW38</f>
        <v>0</v>
      </c>
      <c r="N37" s="101">
        <f t="shared" si="0"/>
        <v>0</v>
      </c>
    </row>
    <row r="38" ht="22" customHeight="1" spans="2:14">
      <c r="B38" s="58" t="s">
        <v>1027</v>
      </c>
      <c r="C38" s="55"/>
      <c r="D38" s="139">
        <f>'[18]Rev_SP-12me'!AJ39</f>
        <v>0</v>
      </c>
      <c r="E38" s="139">
        <f>'[18]Rev_SP-12me'!AN39*0.7457/10^3</f>
        <v>0</v>
      </c>
      <c r="F38" s="174">
        <f>'[18]Rev_SP-12me'!AQ39</f>
        <v>0</v>
      </c>
      <c r="G38" s="153">
        <f>'[18]Rev_SP-12me'!O39</f>
        <v>50</v>
      </c>
      <c r="H38" s="101">
        <f>'[18]Rev_SP-12me'!P39</f>
        <v>6.2</v>
      </c>
      <c r="I38" s="153">
        <f>'[18]Rev_SP-12me'!AA39</f>
        <v>360.25</v>
      </c>
      <c r="J38" s="100"/>
      <c r="K38" s="174">
        <f>'[18]Rev_SP-12me'!AT39</f>
        <v>0</v>
      </c>
      <c r="L38" s="174">
        <f>'[18]Rev_SP-12me'!AU39</f>
        <v>0</v>
      </c>
      <c r="M38" s="174">
        <f>'[18]Rev_SP-12me'!AW39</f>
        <v>0</v>
      </c>
      <c r="N38" s="101">
        <f t="shared" si="0"/>
        <v>0</v>
      </c>
    </row>
    <row r="39" ht="22" customHeight="1" spans="2:14">
      <c r="B39" s="58" t="s">
        <v>1028</v>
      </c>
      <c r="C39" s="55"/>
      <c r="D39" s="139">
        <f>'[18]Rev_SP-12me'!AJ40</f>
        <v>0</v>
      </c>
      <c r="E39" s="139">
        <f>'[18]Rev_SP-12me'!AN40*0.7457/10^3</f>
        <v>0</v>
      </c>
      <c r="F39" s="174">
        <f>'[18]Rev_SP-12me'!AQ40</f>
        <v>0</v>
      </c>
      <c r="G39" s="153">
        <f>'[18]Rev_SP-12me'!O40</f>
        <v>50</v>
      </c>
      <c r="H39" s="101">
        <f>'[18]Rev_SP-12me'!P40</f>
        <v>6.2</v>
      </c>
      <c r="I39" s="153">
        <f>'[18]Rev_SP-12me'!AA40</f>
        <v>360.25</v>
      </c>
      <c r="J39" s="100"/>
      <c r="K39" s="174">
        <f>'[18]Rev_SP-12me'!AT40</f>
        <v>0</v>
      </c>
      <c r="L39" s="174">
        <f>'[18]Rev_SP-12me'!AU40</f>
        <v>0</v>
      </c>
      <c r="M39" s="174">
        <f>'[18]Rev_SP-12me'!AW40</f>
        <v>0</v>
      </c>
      <c r="N39" s="101">
        <f t="shared" si="0"/>
        <v>0</v>
      </c>
    </row>
    <row r="40" ht="22" customHeight="1" spans="2:14">
      <c r="B40" s="58" t="s">
        <v>1029</v>
      </c>
      <c r="C40" s="55"/>
      <c r="D40" s="139">
        <f>'[18]Rev_SP-12me'!AJ41</f>
        <v>0</v>
      </c>
      <c r="E40" s="139">
        <f>'[18]Rev_SP-12me'!AN41*0.7457/10^3</f>
        <v>0</v>
      </c>
      <c r="F40" s="174">
        <f>'[18]Rev_SP-12me'!AQ41</f>
        <v>41.5725188364717</v>
      </c>
      <c r="G40" s="153">
        <f>'[18]Rev_SP-12me'!O41</f>
        <v>65</v>
      </c>
      <c r="H40" s="101">
        <f>'[18]Rev_SP-12me'!P41</f>
        <v>7</v>
      </c>
      <c r="I40" s="153">
        <f>'[18]Rev_SP-12me'!AA41</f>
        <v>360.25</v>
      </c>
      <c r="J40" s="100"/>
      <c r="K40" s="174">
        <f>'[18]Rev_SP-12me'!AT41</f>
        <v>0</v>
      </c>
      <c r="L40" s="174">
        <f>'[18]Rev_SP-12me'!AU41</f>
        <v>29.1007631855302</v>
      </c>
      <c r="M40" s="174">
        <f>'[18]Rev_SP-12me'!AW41</f>
        <v>0</v>
      </c>
      <c r="N40" s="101">
        <f t="shared" si="0"/>
        <v>29.1007631855302</v>
      </c>
    </row>
    <row r="41" ht="22" customHeight="1" spans="2:14">
      <c r="B41" s="58" t="s">
        <v>1030</v>
      </c>
      <c r="C41" s="55"/>
      <c r="D41" s="139">
        <f>'[18]Rev_SP-12me'!AJ42</f>
        <v>0</v>
      </c>
      <c r="E41" s="139">
        <f>'[18]Rev_SP-12me'!AN42*0.7457/10^3</f>
        <v>0</v>
      </c>
      <c r="F41" s="174">
        <f>'[18]Rev_SP-12me'!AQ42</f>
        <v>0</v>
      </c>
      <c r="G41" s="153">
        <f>'[18]Rev_SP-12me'!O42</f>
        <v>100</v>
      </c>
      <c r="H41" s="101">
        <f>'[18]Rev_SP-12me'!P42</f>
        <v>7.3</v>
      </c>
      <c r="I41" s="153">
        <f>'[18]Rev_SP-12me'!AA42</f>
        <v>360.25</v>
      </c>
      <c r="J41" s="100"/>
      <c r="K41" s="174">
        <f>'[18]Rev_SP-12me'!AT42</f>
        <v>0</v>
      </c>
      <c r="L41" s="174">
        <f>'[18]Rev_SP-12me'!AU42</f>
        <v>0</v>
      </c>
      <c r="M41" s="174">
        <f>'[18]Rev_SP-12me'!AW42</f>
        <v>0</v>
      </c>
      <c r="N41" s="101">
        <f t="shared" ref="N41:N68" si="1">SUM(K41:M41)</f>
        <v>0</v>
      </c>
    </row>
    <row r="42" ht="22" customHeight="1" spans="2:14">
      <c r="B42" s="54" t="s">
        <v>1031</v>
      </c>
      <c r="C42" s="55"/>
      <c r="D42" s="136">
        <f>'[18]Rev_SP-12me'!AJ43</f>
        <v>5661</v>
      </c>
      <c r="E42" s="136">
        <f>'[18]Rev_SP-12me'!AN43*0.7457/10^3</f>
        <v>17.7055557778718</v>
      </c>
      <c r="F42" s="150">
        <f>'[18]Rev_SP-12me'!AQ43</f>
        <v>9.62967180970268</v>
      </c>
      <c r="G42" s="153"/>
      <c r="H42" s="101"/>
      <c r="I42" s="153"/>
      <c r="J42" s="100"/>
      <c r="K42" s="150">
        <f>'[18]Rev_SP-12me'!AT43</f>
        <v>0.424933338668921</v>
      </c>
      <c r="L42" s="150">
        <f>'[18]Rev_SP-12me'!AU43</f>
        <v>3.85186872388107</v>
      </c>
      <c r="M42" s="150">
        <f>'[18]Rev_SP-12me'!AW43</f>
        <v>0.33096</v>
      </c>
      <c r="N42" s="137">
        <f t="shared" si="1"/>
        <v>4.60776206254999</v>
      </c>
    </row>
    <row r="43" ht="22" customHeight="1" spans="2:14">
      <c r="B43" s="58" t="s">
        <v>178</v>
      </c>
      <c r="C43" s="55"/>
      <c r="D43" s="139">
        <f>'[18]Rev_SP-12me'!AJ44</f>
        <v>5296</v>
      </c>
      <c r="E43" s="139">
        <f>'[18]Rev_SP-12me'!AN44*0.7457/10^3</f>
        <v>16.5682887078718</v>
      </c>
      <c r="F43" s="174">
        <f>'[18]Rev_SP-12me'!AQ44</f>
        <v>9.30795034937294</v>
      </c>
      <c r="G43" s="153">
        <f>'[18]Rev_SP-12me'!O44</f>
        <v>20</v>
      </c>
      <c r="H43" s="101">
        <f>'[18]Rev_SP-12me'!P44</f>
        <v>4</v>
      </c>
      <c r="I43" s="153">
        <f>'[18]Rev_SP-12me'!AA44</f>
        <v>50</v>
      </c>
      <c r="J43" s="100"/>
      <c r="K43" s="174">
        <f>'[18]Rev_SP-12me'!AT44</f>
        <v>0.397638928988921</v>
      </c>
      <c r="L43" s="174">
        <f>'[18]Rev_SP-12me'!AU44</f>
        <v>3.72318013974917</v>
      </c>
      <c r="M43" s="174">
        <f>'[18]Rev_SP-12me'!AW44</f>
        <v>0.30963</v>
      </c>
      <c r="N43" s="101">
        <f t="shared" si="1"/>
        <v>4.43044906873809</v>
      </c>
    </row>
    <row r="44" ht="22" customHeight="1" spans="2:14">
      <c r="B44" s="58" t="s">
        <v>1033</v>
      </c>
      <c r="C44" s="55"/>
      <c r="D44" s="139">
        <f>'[18]Rev_SP-12me'!AJ45</f>
        <v>365</v>
      </c>
      <c r="E44" s="139">
        <f>'[18]Rev_SP-12me'!AN45*0.7457/10^3</f>
        <v>1.13726707</v>
      </c>
      <c r="F44" s="174">
        <f>'[18]Rev_SP-12me'!AQ45</f>
        <v>0.321721460329742</v>
      </c>
      <c r="G44" s="153">
        <f>'[18]Rev_SP-12me'!O45</f>
        <v>20</v>
      </c>
      <c r="H44" s="101">
        <f>'[18]Rev_SP-12me'!P45</f>
        <v>4</v>
      </c>
      <c r="I44" s="153">
        <f>'[18]Rev_SP-12me'!AA45</f>
        <v>50</v>
      </c>
      <c r="J44" s="100"/>
      <c r="K44" s="174">
        <f>'[18]Rev_SP-12me'!AT45</f>
        <v>0.02729440968</v>
      </c>
      <c r="L44" s="174">
        <f>'[18]Rev_SP-12me'!AU45</f>
        <v>0.128688584131897</v>
      </c>
      <c r="M44" s="174">
        <f>'[18]Rev_SP-12me'!AW45</f>
        <v>0.02133</v>
      </c>
      <c r="N44" s="101">
        <f t="shared" si="1"/>
        <v>0.177312993811897</v>
      </c>
    </row>
    <row r="45" ht="22" customHeight="1" spans="2:14">
      <c r="B45" s="54" t="s">
        <v>1034</v>
      </c>
      <c r="C45" s="55"/>
      <c r="D45" s="136">
        <f>'[18]Rev_SP-12me'!AJ46</f>
        <v>1510736</v>
      </c>
      <c r="E45" s="136">
        <f>'[18]Rev_SP-12me'!AN46*0.7457/10^3</f>
        <v>5601.0906545</v>
      </c>
      <c r="F45" s="150">
        <f>'[18]Rev_SP-12me'!AQ46</f>
        <v>17123.9873054058</v>
      </c>
      <c r="G45" s="153"/>
      <c r="H45" s="101"/>
      <c r="I45" s="153"/>
      <c r="J45" s="100"/>
      <c r="K45" s="150">
        <f>'[18]Rev_SP-12me'!AT46</f>
        <v>0.04666464</v>
      </c>
      <c r="L45" s="150">
        <f>'[18]Rev_SP-12me'!AU46</f>
        <v>10.3761823234898</v>
      </c>
      <c r="M45" s="150">
        <f>'[18]Rev_SP-12me'!AW46</f>
        <v>53.014392</v>
      </c>
      <c r="N45" s="137">
        <f t="shared" si="1"/>
        <v>63.4372389634898</v>
      </c>
    </row>
    <row r="46" ht="22" customHeight="1" spans="2:14">
      <c r="B46" s="56" t="s">
        <v>1035</v>
      </c>
      <c r="C46" s="55"/>
      <c r="D46" s="138">
        <f>'[18]Rev_SP-12me'!AJ47</f>
        <v>1510367</v>
      </c>
      <c r="E46" s="138">
        <f>'[18]Rev_SP-12me'!AN47*0.7457/10^3</f>
        <v>5599.640745248</v>
      </c>
      <c r="F46" s="153">
        <f>'[18]Rev_SP-12me'!AQ47</f>
        <v>17120.6509295268</v>
      </c>
      <c r="G46" s="153"/>
      <c r="H46" s="101"/>
      <c r="I46" s="153"/>
      <c r="J46" s="100"/>
      <c r="K46" s="153">
        <f>'[18]Rev_SP-12me'!AT47</f>
        <v>0</v>
      </c>
      <c r="L46" s="153">
        <f>'[18]Rev_SP-12me'!AU47</f>
        <v>9.04163197188246</v>
      </c>
      <c r="M46" s="153">
        <f>'[18]Rev_SP-12me'!AW47</f>
        <v>53.001108</v>
      </c>
      <c r="N46" s="101">
        <f t="shared" si="1"/>
        <v>62.0427399718825</v>
      </c>
    </row>
    <row r="47" ht="22" customHeight="1" spans="2:14">
      <c r="B47" s="58" t="s">
        <v>1036</v>
      </c>
      <c r="C47" s="55"/>
      <c r="D47" s="139">
        <f>'[18]Rev_SP-12me'!AJ48</f>
        <v>1992</v>
      </c>
      <c r="E47" s="139">
        <f>'[18]Rev_SP-12me'!AN48*0.7457/10^3</f>
        <v>8.40098163</v>
      </c>
      <c r="F47" s="174">
        <f>'[18]Rev_SP-12me'!AQ48</f>
        <v>36.1665278875299</v>
      </c>
      <c r="G47" s="153"/>
      <c r="H47" s="101">
        <f>'[18]Rev_SP-12me'!P48</f>
        <v>2.5</v>
      </c>
      <c r="I47" s="153">
        <f>'[18]Rev_SP-12me'!AA48</f>
        <v>30</v>
      </c>
      <c r="J47" s="100"/>
      <c r="K47" s="174">
        <f>'[18]Rev_SP-12me'!AT48</f>
        <v>0</v>
      </c>
      <c r="L47" s="174">
        <f>'[18]Rev_SP-12me'!AU48</f>
        <v>9.04163197188246</v>
      </c>
      <c r="M47" s="174">
        <f>'[18]Rev_SP-12me'!AW48</f>
        <v>0.071712</v>
      </c>
      <c r="N47" s="101">
        <f t="shared" si="1"/>
        <v>9.11334397188246</v>
      </c>
    </row>
    <row r="48" ht="22" customHeight="1" spans="2:14">
      <c r="B48" s="56" t="s">
        <v>1038</v>
      </c>
      <c r="C48" s="55"/>
      <c r="D48" s="139">
        <f>'[18]Rev_SP-12me'!AJ49</f>
        <v>1508375</v>
      </c>
      <c r="E48" s="139">
        <f>'[18]Rev_SP-12me'!AN49*0.7457/10^3</f>
        <v>5591.239763618</v>
      </c>
      <c r="F48" s="174">
        <f>'[18]Rev_SP-12me'!AQ49</f>
        <v>17084.4844016393</v>
      </c>
      <c r="G48" s="153"/>
      <c r="H48" s="101"/>
      <c r="I48" s="153"/>
      <c r="J48" s="100"/>
      <c r="K48" s="174">
        <f>'[18]Rev_SP-12me'!AT49</f>
        <v>0</v>
      </c>
      <c r="L48" s="174">
        <f>'[18]Rev_SP-12me'!AU49</f>
        <v>0</v>
      </c>
      <c r="M48" s="174">
        <f>'[18]Rev_SP-12me'!AW49</f>
        <v>0</v>
      </c>
      <c r="N48" s="101">
        <f t="shared" si="1"/>
        <v>0</v>
      </c>
    </row>
    <row r="49" ht="22" customHeight="1" spans="2:14">
      <c r="B49" s="58" t="s">
        <v>1099</v>
      </c>
      <c r="C49" s="55"/>
      <c r="D49" s="139">
        <f>'[18]Rev_SP-12me'!AJ50</f>
        <v>1508375</v>
      </c>
      <c r="E49" s="139">
        <f>'[18]Rev_SP-12me'!AN50*0.7457/10^3</f>
        <v>5591.239763618</v>
      </c>
      <c r="F49" s="174">
        <f>'[18]Rev_SP-12me'!AQ50</f>
        <v>17084.4844016393</v>
      </c>
      <c r="G49" s="153"/>
      <c r="H49" s="101"/>
      <c r="I49" s="153">
        <f>'[18]Rev_SP-12me'!AA50</f>
        <v>30</v>
      </c>
      <c r="J49" s="100"/>
      <c r="K49" s="174">
        <f>'[18]Rev_SP-12me'!AT50</f>
        <v>0</v>
      </c>
      <c r="L49" s="174">
        <f>'[18]Rev_SP-12me'!AU50</f>
        <v>0</v>
      </c>
      <c r="M49" s="174">
        <f>'[18]Rev_SP-12me'!AW50</f>
        <v>52.929396</v>
      </c>
      <c r="N49" s="101">
        <f t="shared" si="1"/>
        <v>52.929396</v>
      </c>
    </row>
    <row r="50" ht="22" customHeight="1" spans="2:14">
      <c r="B50" s="58" t="s">
        <v>1100</v>
      </c>
      <c r="C50" s="55"/>
      <c r="D50" s="139">
        <f>'[18]Rev_SP-12me'!AJ51</f>
        <v>0</v>
      </c>
      <c r="E50" s="139">
        <f>'[18]Rev_SP-12me'!AN51*0.7457/10^3</f>
        <v>0</v>
      </c>
      <c r="F50" s="174">
        <f>'[18]Rev_SP-12me'!AQ51</f>
        <v>0</v>
      </c>
      <c r="G50" s="153"/>
      <c r="H50" s="101"/>
      <c r="I50" s="153">
        <f>'[18]Rev_SP-12me'!AA51</f>
        <v>30</v>
      </c>
      <c r="J50" s="100"/>
      <c r="K50" s="174">
        <f>'[18]Rev_SP-12me'!AT51</f>
        <v>0</v>
      </c>
      <c r="L50" s="174">
        <f>'[18]Rev_SP-12me'!AU51</f>
        <v>0</v>
      </c>
      <c r="M50" s="174">
        <f>'[18]Rev_SP-12me'!AW51</f>
        <v>0</v>
      </c>
      <c r="N50" s="101">
        <f t="shared" si="1"/>
        <v>0</v>
      </c>
    </row>
    <row r="51" ht="22" customHeight="1" spans="2:14">
      <c r="B51" s="56" t="s">
        <v>1039</v>
      </c>
      <c r="C51" s="55"/>
      <c r="D51" s="138">
        <f>'[18]Rev_SP-12me'!AJ52</f>
        <v>369</v>
      </c>
      <c r="E51" s="138">
        <f>'[18]Rev_SP-12me'!AN52*0.7457/10^3</f>
        <v>1.449909252</v>
      </c>
      <c r="F51" s="153">
        <f>'[18]Rev_SP-12me'!AQ52</f>
        <v>3.33637587901833</v>
      </c>
      <c r="G51" s="153"/>
      <c r="H51" s="101"/>
      <c r="I51" s="153"/>
      <c r="J51" s="100"/>
      <c r="K51" s="153">
        <f>'[18]Rev_SP-12me'!AT52</f>
        <v>0.04666464</v>
      </c>
      <c r="L51" s="153">
        <f>'[18]Rev_SP-12me'!AU52</f>
        <v>1.33455035160733</v>
      </c>
      <c r="M51" s="153">
        <f>'[18]Rev_SP-12me'!AW52</f>
        <v>0.013284</v>
      </c>
      <c r="N51" s="101">
        <f t="shared" si="1"/>
        <v>1.39449899160733</v>
      </c>
    </row>
    <row r="52" ht="22" customHeight="1" spans="2:14">
      <c r="B52" s="58" t="s">
        <v>1040</v>
      </c>
      <c r="C52" s="55"/>
      <c r="D52" s="139">
        <f>'[18]Rev_SP-12me'!AJ53</f>
        <v>369</v>
      </c>
      <c r="E52" s="139">
        <f>'[18]Rev_SP-12me'!AN53*0.7457/10^3</f>
        <v>1.449909252</v>
      </c>
      <c r="F52" s="174">
        <f>'[18]Rev_SP-12me'!AQ53</f>
        <v>3.33637587901833</v>
      </c>
      <c r="G52" s="153">
        <f>'[18]Rev_SP-12me'!O53</f>
        <v>20</v>
      </c>
      <c r="H52" s="101">
        <f>'[18]Rev_SP-12me'!P53</f>
        <v>4</v>
      </c>
      <c r="I52" s="153">
        <f>'[18]Rev_SP-12me'!AA53</f>
        <v>30</v>
      </c>
      <c r="J52" s="100"/>
      <c r="K52" s="174">
        <f>'[18]Rev_SP-12me'!AT53</f>
        <v>0.04666464</v>
      </c>
      <c r="L52" s="174">
        <f>'[18]Rev_SP-12me'!AU53</f>
        <v>1.33455035160733</v>
      </c>
      <c r="M52" s="174">
        <f>'[18]Rev_SP-12me'!AW53</f>
        <v>0.013284</v>
      </c>
      <c r="N52" s="101">
        <f t="shared" si="1"/>
        <v>1.39449899160733</v>
      </c>
    </row>
    <row r="53" ht="22" customHeight="1" spans="2:14">
      <c r="B53" s="54" t="s">
        <v>1042</v>
      </c>
      <c r="C53" s="55"/>
      <c r="D53" s="136">
        <f>'[18]Rev_SP-12me'!AJ54</f>
        <v>75491</v>
      </c>
      <c r="E53" s="136">
        <f>'[18]Rev_SP-12me'!AL54</f>
        <v>175.540563701112</v>
      </c>
      <c r="F53" s="150">
        <f>'[18]Rev_SP-12me'!AQ54</f>
        <v>264.600089857505</v>
      </c>
      <c r="G53" s="153"/>
      <c r="H53" s="101"/>
      <c r="I53" s="153"/>
      <c r="J53" s="100"/>
      <c r="K53" s="150">
        <f>'[18]Rev_SP-12me'!AT54</f>
        <v>6.7407576461227</v>
      </c>
      <c r="L53" s="150">
        <f>'[18]Rev_SP-12me'!AU54</f>
        <v>203.555442600523</v>
      </c>
      <c r="M53" s="150">
        <f>'[18]Rev_SP-12me'!AW54</f>
        <v>10.828512</v>
      </c>
      <c r="N53" s="137">
        <f t="shared" si="1"/>
        <v>221.124712246646</v>
      </c>
    </row>
    <row r="54" ht="22" customHeight="1" spans="2:14">
      <c r="B54" s="58" t="s">
        <v>1043</v>
      </c>
      <c r="C54" s="55"/>
      <c r="D54" s="139">
        <f>'[18]Rev_SP-12me'!AJ55</f>
        <v>34450</v>
      </c>
      <c r="E54" s="139">
        <f>'[18]Rev_SP-12me'!AL55</f>
        <v>64.2967633534012</v>
      </c>
      <c r="F54" s="174">
        <f>'[18]Rev_SP-12me'!AQ55</f>
        <v>81.1033079982226</v>
      </c>
      <c r="G54" s="153">
        <f>'[18]Rev_SP-12me'!O55</f>
        <v>32</v>
      </c>
      <c r="H54" s="101">
        <f>'[18]Rev_SP-12me'!P55</f>
        <v>7.1</v>
      </c>
      <c r="I54" s="153">
        <f>'[18]Rev_SP-12me'!AA55</f>
        <v>120</v>
      </c>
      <c r="J54" s="100"/>
      <c r="K54" s="174">
        <f>'[18]Rev_SP-12me'!AT55</f>
        <v>2.46899571277061</v>
      </c>
      <c r="L54" s="174">
        <f>'[18]Rev_SP-12me'!AU55</f>
        <v>57.583348678738</v>
      </c>
      <c r="M54" s="174">
        <f>'[18]Rev_SP-12me'!AW55</f>
        <v>4.956192</v>
      </c>
      <c r="N54" s="101">
        <f t="shared" si="1"/>
        <v>65.0085363915086</v>
      </c>
    </row>
    <row r="55" ht="22" customHeight="1" spans="2:14">
      <c r="B55" s="58" t="s">
        <v>1044</v>
      </c>
      <c r="C55" s="55"/>
      <c r="D55" s="139">
        <f>'[18]Rev_SP-12me'!AJ56</f>
        <v>12887</v>
      </c>
      <c r="E55" s="139">
        <f>'[18]Rev_SP-12me'!AL56</f>
        <v>31.5634546293874</v>
      </c>
      <c r="F55" s="174">
        <f>'[18]Rev_SP-12me'!AQ56</f>
        <v>53.2059876846675</v>
      </c>
      <c r="G55" s="153">
        <f>'[18]Rev_SP-12me'!O56</f>
        <v>32</v>
      </c>
      <c r="H55" s="101">
        <f>'[18]Rev_SP-12me'!P56</f>
        <v>7.6</v>
      </c>
      <c r="I55" s="153">
        <f>'[18]Rev_SP-12me'!AA56</f>
        <v>120</v>
      </c>
      <c r="J55" s="100"/>
      <c r="K55" s="174">
        <f>'[18]Rev_SP-12me'!AT56</f>
        <v>1.21203665776847</v>
      </c>
      <c r="L55" s="174">
        <f>'[18]Rev_SP-12me'!AU56</f>
        <v>40.4365506403473</v>
      </c>
      <c r="M55" s="174">
        <f>'[18]Rev_SP-12me'!AW56</f>
        <v>1.817496</v>
      </c>
      <c r="N55" s="101">
        <f t="shared" si="1"/>
        <v>43.4660832981158</v>
      </c>
    </row>
    <row r="56" ht="22" customHeight="1" spans="2:14">
      <c r="B56" s="58" t="s">
        <v>1045</v>
      </c>
      <c r="C56" s="55"/>
      <c r="D56" s="139">
        <f>'[18]Rev_SP-12me'!AJ57</f>
        <v>28154</v>
      </c>
      <c r="E56" s="139">
        <f>'[18]Rev_SP-12me'!AL57</f>
        <v>79.6803457183233</v>
      </c>
      <c r="F56" s="174">
        <f>'[18]Rev_SP-12me'!AQ57</f>
        <v>130.290794174615</v>
      </c>
      <c r="G56" s="153">
        <f>'[18]Rev_SP-12me'!O57</f>
        <v>32</v>
      </c>
      <c r="H56" s="101">
        <f>'[18]Rev_SP-12me'!P57</f>
        <v>8.1</v>
      </c>
      <c r="I56" s="153">
        <f>'[18]Rev_SP-12me'!AA57</f>
        <v>120</v>
      </c>
      <c r="J56" s="100"/>
      <c r="K56" s="174">
        <f>'[18]Rev_SP-12me'!AT57</f>
        <v>3.05972527558361</v>
      </c>
      <c r="L56" s="174">
        <f>'[18]Rev_SP-12me'!AU57</f>
        <v>105.535543281438</v>
      </c>
      <c r="M56" s="174">
        <f>'[18]Rev_SP-12me'!AW57</f>
        <v>4.054824</v>
      </c>
      <c r="N56" s="101">
        <f t="shared" si="1"/>
        <v>112.650092557022</v>
      </c>
    </row>
    <row r="57" ht="22" customHeight="1" spans="2:14">
      <c r="B57" s="54" t="s">
        <v>1046</v>
      </c>
      <c r="C57" s="55"/>
      <c r="D57" s="136">
        <f>'[18]Rev_SP-12me'!AJ65</f>
        <v>34839</v>
      </c>
      <c r="E57" s="136">
        <f>'[18]Rev_SP-12me'!AN65*0.7457/10^3</f>
        <v>117.169141891871</v>
      </c>
      <c r="F57" s="150">
        <f>'[18]Rev_SP-12me'!AQ65</f>
        <v>258.327242265469</v>
      </c>
      <c r="G57" s="153"/>
      <c r="H57" s="101"/>
      <c r="I57" s="153">
        <f>'[18]Rev_SP-12me'!AA65</f>
        <v>120</v>
      </c>
      <c r="J57" s="100"/>
      <c r="K57" s="150">
        <f>'[18]Rev_SP-12me'!AT65</f>
        <v>6.0336530087808</v>
      </c>
      <c r="L57" s="150">
        <f>'[18]Rev_SP-12me'!AU65</f>
        <v>162.225779929009</v>
      </c>
      <c r="M57" s="150">
        <f>'[18]Rev_SP-12me'!AW65</f>
        <v>5.011416</v>
      </c>
      <c r="N57" s="137">
        <f t="shared" si="1"/>
        <v>173.27084893779</v>
      </c>
    </row>
    <row r="58" ht="22" customHeight="1" spans="2:14">
      <c r="B58" s="58" t="s">
        <v>1043</v>
      </c>
      <c r="C58" s="55"/>
      <c r="D58" s="139">
        <f>'[18]Rev_SP-12me'!AJ66</f>
        <v>24977</v>
      </c>
      <c r="E58" s="139">
        <f>'[18]Rev_SP-12me'!AN66*0.7457/10^3</f>
        <v>81.17916281326</v>
      </c>
      <c r="F58" s="174">
        <f>'[18]Rev_SP-12me'!AQ66</f>
        <v>198.64014654436</v>
      </c>
      <c r="G58" s="153">
        <f>'[18]Rev_SP-12me'!O66</f>
        <v>32</v>
      </c>
      <c r="H58" s="101">
        <f>'[18]Rev_SP-12me'!P66</f>
        <v>6</v>
      </c>
      <c r="I58" s="153">
        <f>'[18]Rev_SP-12me'!AA66</f>
        <v>120</v>
      </c>
      <c r="J58" s="100"/>
      <c r="K58" s="174">
        <f>'[18]Rev_SP-12me'!AT66</f>
        <v>4.18034042112</v>
      </c>
      <c r="L58" s="174">
        <f>'[18]Rev_SP-12me'!AU66</f>
        <v>119.184087926616</v>
      </c>
      <c r="M58" s="174">
        <f>'[18]Rev_SP-12me'!AW66</f>
        <v>3.594672</v>
      </c>
      <c r="N58" s="101">
        <f t="shared" si="1"/>
        <v>126.959100347736</v>
      </c>
    </row>
    <row r="59" ht="22" customHeight="1" spans="2:14">
      <c r="B59" s="58" t="s">
        <v>1044</v>
      </c>
      <c r="C59" s="55"/>
      <c r="D59" s="139">
        <f>'[18]Rev_SP-12me'!AJ67</f>
        <v>6292</v>
      </c>
      <c r="E59" s="139">
        <f>'[18]Rev_SP-12me'!AN67*0.7457/10^3</f>
        <v>21.7587510700514</v>
      </c>
      <c r="F59" s="174">
        <f>'[18]Rev_SP-12me'!AQ67</f>
        <v>46.4100149129969</v>
      </c>
      <c r="G59" s="153">
        <f>'[18]Rev_SP-12me'!O67</f>
        <v>32</v>
      </c>
      <c r="H59" s="101">
        <f>'[18]Rev_SP-12me'!P67</f>
        <v>7.1</v>
      </c>
      <c r="I59" s="153">
        <f>'[18]Rev_SP-12me'!AA67</f>
        <v>120</v>
      </c>
      <c r="J59" s="100"/>
      <c r="K59" s="174">
        <f>'[18]Rev_SP-12me'!AT67</f>
        <v>1.1204720947968</v>
      </c>
      <c r="L59" s="174">
        <f>'[18]Rev_SP-12me'!AU67</f>
        <v>32.9511105882278</v>
      </c>
      <c r="M59" s="174">
        <f>'[18]Rev_SP-12me'!AW67</f>
        <v>0.899784</v>
      </c>
      <c r="N59" s="101">
        <f t="shared" si="1"/>
        <v>34.9713666830246</v>
      </c>
    </row>
    <row r="60" ht="22" customHeight="1" spans="2:14">
      <c r="B60" s="58" t="s">
        <v>1045</v>
      </c>
      <c r="C60" s="55"/>
      <c r="D60" s="139">
        <f>'[18]Rev_SP-12me'!AJ68</f>
        <v>3570</v>
      </c>
      <c r="E60" s="139">
        <f>'[18]Rev_SP-12me'!AN68*0.7457/10^3</f>
        <v>14.2312280085595</v>
      </c>
      <c r="F60" s="174">
        <f>'[18]Rev_SP-12me'!AQ68</f>
        <v>13.277080808112</v>
      </c>
      <c r="G60" s="153">
        <f>'[18]Rev_SP-12me'!O68</f>
        <v>32</v>
      </c>
      <c r="H60" s="101">
        <f>'[18]Rev_SP-12me'!P68</f>
        <v>7.6</v>
      </c>
      <c r="I60" s="153">
        <f>'[18]Rev_SP-12me'!AA68</f>
        <v>120</v>
      </c>
      <c r="J60" s="100"/>
      <c r="K60" s="174">
        <f>'[18]Rev_SP-12me'!AT68</f>
        <v>0.732840492864</v>
      </c>
      <c r="L60" s="174">
        <f>'[18]Rev_SP-12me'!AU68</f>
        <v>10.0905814141651</v>
      </c>
      <c r="M60" s="174">
        <f>'[18]Rev_SP-12me'!AW68</f>
        <v>0.51696</v>
      </c>
      <c r="N60" s="101">
        <f t="shared" si="1"/>
        <v>11.3403819070291</v>
      </c>
    </row>
    <row r="61" ht="22" customHeight="1" spans="2:14">
      <c r="B61" s="54" t="s">
        <v>1168</v>
      </c>
      <c r="C61" s="55"/>
      <c r="D61" s="136">
        <f>'[18]Rev_SP-12me'!AJ69</f>
        <v>0</v>
      </c>
      <c r="E61" s="136">
        <f>'[18]Rev_SP-12me'!AL69</f>
        <v>0</v>
      </c>
      <c r="F61" s="150">
        <f>'[18]Rev_SP-12me'!AQ69</f>
        <v>0</v>
      </c>
      <c r="G61" s="153"/>
      <c r="H61" s="101"/>
      <c r="I61" s="153"/>
      <c r="J61" s="100"/>
      <c r="K61" s="150">
        <f>'[18]Rev_SP-12me'!AT69</f>
        <v>0</v>
      </c>
      <c r="L61" s="150">
        <f>'[18]Rev_SP-12me'!AU69</f>
        <v>0</v>
      </c>
      <c r="M61" s="150">
        <f>'[18]Rev_SP-12me'!AW69</f>
        <v>0</v>
      </c>
      <c r="N61" s="101">
        <f t="shared" si="1"/>
        <v>0</v>
      </c>
    </row>
    <row r="62" ht="22" customHeight="1" spans="2:14">
      <c r="B62" s="54" t="s">
        <v>1049</v>
      </c>
      <c r="C62" s="55"/>
      <c r="D62" s="136">
        <f>'[18]Rev_SP-12me'!AJ58</f>
        <v>27229</v>
      </c>
      <c r="E62" s="136">
        <f>'[18]Rev_SP-12me'!AL58</f>
        <v>86.9078473577268</v>
      </c>
      <c r="F62" s="150">
        <f>'[18]Rev_SP-12me'!AQ58</f>
        <v>108.549426556406</v>
      </c>
      <c r="G62" s="153"/>
      <c r="H62" s="101"/>
      <c r="I62" s="153"/>
      <c r="J62" s="100"/>
      <c r="K62" s="150">
        <f>'[18]Rev_SP-12me'!AT58</f>
        <v>2.28193387149977</v>
      </c>
      <c r="L62" s="150">
        <f>'[18]Rev_SP-12me'!AU58</f>
        <v>86.1905748190285</v>
      </c>
      <c r="M62" s="150">
        <f>'[18]Rev_SP-12me'!AW58</f>
        <v>3.21564</v>
      </c>
      <c r="N62" s="137">
        <f t="shared" si="1"/>
        <v>91.6881486905283</v>
      </c>
    </row>
    <row r="63" ht="22" customHeight="1" spans="2:14">
      <c r="B63" s="56" t="s">
        <v>1050</v>
      </c>
      <c r="C63" s="55"/>
      <c r="D63" s="145">
        <f>'[18]Rev_SP-12me'!AJ59</f>
        <v>22251</v>
      </c>
      <c r="E63" s="145">
        <f>'[18]Rev_SP-12me'!AL59</f>
        <v>78.4026512387405</v>
      </c>
      <c r="F63" s="174">
        <f>'[18]Rev_SP-12me'!AQ59</f>
        <v>96.7147319418951</v>
      </c>
      <c r="G63" s="153">
        <f>'[18]Rev_SP-12me'!O59</f>
        <v>21</v>
      </c>
      <c r="H63" s="101">
        <f>'[18]Rev_SP-12me'!P59</f>
        <v>8.3</v>
      </c>
      <c r="I63" s="153">
        <f>'[18]Rev_SP-12me'!AA59</f>
        <v>100</v>
      </c>
      <c r="J63" s="100"/>
      <c r="K63" s="174">
        <f>'[18]Rev_SP-12me'!AT59</f>
        <v>1.97574681121626</v>
      </c>
      <c r="L63" s="174">
        <f>'[18]Rev_SP-12me'!AU59</f>
        <v>80.273227511773</v>
      </c>
      <c r="M63" s="174">
        <f>'[18]Rev_SP-12me'!AW59</f>
        <v>2.62776</v>
      </c>
      <c r="N63" s="101">
        <f t="shared" si="1"/>
        <v>84.8767343229893</v>
      </c>
    </row>
    <row r="64" ht="22" customHeight="1" spans="2:14">
      <c r="B64" s="56" t="s">
        <v>1051</v>
      </c>
      <c r="C64" s="55"/>
      <c r="D64" s="145">
        <f>'[18]Rev_SP-12me'!AJ60</f>
        <v>4978</v>
      </c>
      <c r="E64" s="145">
        <f>'[18]Rev_SP-12me'!AL60</f>
        <v>8.50519611898623</v>
      </c>
      <c r="F64" s="174">
        <f>'[18]Rev_SP-12me'!AQ60</f>
        <v>11.8346946145112</v>
      </c>
      <c r="G64" s="153">
        <f>'[18]Rev_SP-12me'!O60</f>
        <v>30</v>
      </c>
      <c r="H64" s="101">
        <f>'[18]Rev_SP-12me'!P60</f>
        <v>5</v>
      </c>
      <c r="I64" s="153">
        <f>'[18]Rev_SP-12me'!AA60</f>
        <v>100</v>
      </c>
      <c r="J64" s="100"/>
      <c r="K64" s="174">
        <f>'[18]Rev_SP-12me'!AT60</f>
        <v>0.306187060283504</v>
      </c>
      <c r="L64" s="174">
        <f>'[18]Rev_SP-12me'!AU60</f>
        <v>5.91734730725558</v>
      </c>
      <c r="M64" s="174">
        <f>'[18]Rev_SP-12me'!AW60</f>
        <v>0.58788</v>
      </c>
      <c r="N64" s="101">
        <f t="shared" si="1"/>
        <v>6.81141436753908</v>
      </c>
    </row>
    <row r="65" ht="22" customHeight="1" spans="2:14">
      <c r="B65" s="56" t="s">
        <v>1052</v>
      </c>
      <c r="C65" s="55"/>
      <c r="D65" s="146">
        <f>'[18]Rev_SP-12me'!AJ61</f>
        <v>4978</v>
      </c>
      <c r="E65" s="146">
        <f>'[18]Rev_SP-12me'!AL61</f>
        <v>8.50519611898623</v>
      </c>
      <c r="F65" s="153">
        <f>'[18]Rev_SP-12me'!AQ61</f>
        <v>11.8346946145112</v>
      </c>
      <c r="G65" s="153">
        <f>'[18]Rev_SP-12me'!O61</f>
        <v>30</v>
      </c>
      <c r="H65" s="101">
        <f>'[18]Rev_SP-12me'!P61</f>
        <v>5</v>
      </c>
      <c r="I65" s="153">
        <f>'[18]Rev_SP-12me'!AA61</f>
        <v>100</v>
      </c>
      <c r="J65" s="100"/>
      <c r="K65" s="153">
        <f>'[18]Rev_SP-12me'!AT61</f>
        <v>0</v>
      </c>
      <c r="L65" s="153">
        <f>'[18]Rev_SP-12me'!AU61</f>
        <v>0</v>
      </c>
      <c r="M65" s="153">
        <f>'[18]Rev_SP-12me'!AW61</f>
        <v>0</v>
      </c>
      <c r="N65" s="101">
        <f t="shared" si="1"/>
        <v>0</v>
      </c>
    </row>
    <row r="66" ht="22" customHeight="1" spans="2:14">
      <c r="B66" s="56" t="s">
        <v>1053</v>
      </c>
      <c r="C66" s="55"/>
      <c r="D66" s="146">
        <f>'[18]Rev_SP-12me'!AJ62</f>
        <v>0</v>
      </c>
      <c r="E66" s="146">
        <f>'[18]Rev_SP-12me'!AL62</f>
        <v>0</v>
      </c>
      <c r="F66" s="153">
        <f>'[18]Rev_SP-12me'!AQ62</f>
        <v>0</v>
      </c>
      <c r="G66" s="153">
        <f>'[18]Rev_SP-12me'!O62</f>
        <v>30</v>
      </c>
      <c r="H66" s="101">
        <f>'[18]Rev_SP-12me'!P62</f>
        <v>5</v>
      </c>
      <c r="I66" s="153">
        <f>'[18]Rev_SP-12me'!AA62</f>
        <v>100</v>
      </c>
      <c r="J66" s="100"/>
      <c r="K66" s="153">
        <f>'[18]Rev_SP-12me'!AT62</f>
        <v>0</v>
      </c>
      <c r="L66" s="153">
        <f>'[18]Rev_SP-12me'!AU62</f>
        <v>0</v>
      </c>
      <c r="M66" s="153">
        <f>'[18]Rev_SP-12me'!AW62</f>
        <v>0</v>
      </c>
      <c r="N66" s="101">
        <f t="shared" si="1"/>
        <v>0</v>
      </c>
    </row>
    <row r="67" ht="22" customHeight="1" spans="2:14">
      <c r="B67" s="54" t="s">
        <v>1054</v>
      </c>
      <c r="C67" s="55"/>
      <c r="D67" s="136">
        <f>'[18]Rev_SP-12me'!AJ63</f>
        <v>20019</v>
      </c>
      <c r="E67" s="136">
        <f>'[18]Rev_SP-12me'!AL63</f>
        <v>185.669634143626</v>
      </c>
      <c r="F67" s="150">
        <f>'[18]Rev_SP-12me'!AQ63</f>
        <v>157.328110571629</v>
      </c>
      <c r="G67" s="153">
        <f>'[18]Rev_SP-12me'!O63</f>
        <v>21</v>
      </c>
      <c r="H67" s="101">
        <f>'[18]Rev_SP-12me'!P63</f>
        <v>12</v>
      </c>
      <c r="I67" s="153">
        <f>'[18]Rev_SP-12me'!AA63</f>
        <v>100</v>
      </c>
      <c r="J67" s="100"/>
      <c r="K67" s="150">
        <f>'[18]Rev_SP-12me'!AT63</f>
        <v>4.67887478041938</v>
      </c>
      <c r="L67" s="150">
        <f>'[18]Rev_SP-12me'!AU63</f>
        <v>188.793732685955</v>
      </c>
      <c r="M67" s="150">
        <f>'[18]Rev_SP-12me'!AW63</f>
        <v>2.2242</v>
      </c>
      <c r="N67" s="137">
        <f t="shared" si="1"/>
        <v>195.696807466374</v>
      </c>
    </row>
    <row r="68" ht="22" customHeight="1" spans="2:14">
      <c r="B68" s="54" t="s">
        <v>1101</v>
      </c>
      <c r="C68" s="55"/>
      <c r="D68" s="136">
        <f>'[18]Rev_SP-12me'!AJ64</f>
        <v>415</v>
      </c>
      <c r="E68" s="136">
        <f>'[18]Rev_SP-12me'!AL64</f>
        <v>19.9148408294931</v>
      </c>
      <c r="F68" s="150">
        <f>'[18]Rev_SP-12me'!AQ64</f>
        <v>46.8702400877059</v>
      </c>
      <c r="G68" s="153">
        <f>'[18]Rev_SP-12me'!O64</f>
        <v>0</v>
      </c>
      <c r="H68" s="101">
        <f>'[18]Rev_SP-12me'!P64</f>
        <v>6</v>
      </c>
      <c r="I68" s="153">
        <f>'[18]Rev_SP-12me'!AA64</f>
        <v>120</v>
      </c>
      <c r="J68" s="100"/>
      <c r="K68" s="150">
        <f>'[18]Rev_SP-12me'!AT64</f>
        <v>0</v>
      </c>
      <c r="L68" s="150">
        <f>'[18]Rev_SP-12me'!AU64</f>
        <v>28.1221440526235</v>
      </c>
      <c r="M68" s="150">
        <f>'[18]Rev_SP-12me'!AW64</f>
        <v>0.051696</v>
      </c>
      <c r="N68" s="137">
        <f t="shared" si="1"/>
        <v>28.1738400526235</v>
      </c>
    </row>
    <row r="69" ht="22" customHeight="1" spans="2:14">
      <c r="B69" s="54"/>
      <c r="C69" s="55"/>
      <c r="D69" s="146"/>
      <c r="E69" s="147"/>
      <c r="F69" s="101"/>
      <c r="G69" s="101"/>
      <c r="H69" s="101"/>
      <c r="I69" s="100"/>
      <c r="J69" s="100"/>
      <c r="K69" s="101"/>
      <c r="L69" s="101"/>
      <c r="M69" s="101"/>
      <c r="N69" s="101"/>
    </row>
    <row r="70" ht="22" customHeight="1" spans="2:14">
      <c r="B70" s="54" t="s">
        <v>1102</v>
      </c>
      <c r="C70" s="55"/>
      <c r="D70" s="187">
        <f>SUM(D9,D22,D35,D42,D45,D53,D57,D61,D62,D67,D68)</f>
        <v>11512222</v>
      </c>
      <c r="E70" s="188">
        <f>SUM(E9,E22,E35,E42,E45,E53,E57,E61,E62,E67,E68)</f>
        <v>25670.1336191761</v>
      </c>
      <c r="F70" s="187">
        <f>SUM(F9,F22,F35,F42,F45,F53,F57,F61,F62,F67,F68)</f>
        <v>36031.941163479</v>
      </c>
      <c r="G70" s="187"/>
      <c r="H70" s="187"/>
      <c r="I70" s="187"/>
      <c r="J70" s="194"/>
      <c r="K70" s="188">
        <f>SUM(K9,K22,K35,K42,K45,K53,K57,K61,K62,K67,K68)</f>
        <v>733.710476644754</v>
      </c>
      <c r="L70" s="187">
        <f>SUM(L9,L22,L35,L42,L45,L53,L57,L61,L62,L67,L68)</f>
        <v>12050.6291695211</v>
      </c>
      <c r="M70" s="187">
        <f>SUM(M9,M22,M35,M42,M45,M53,M57,M61,M62,M67,M68)</f>
        <v>977.08789665</v>
      </c>
      <c r="N70" s="187">
        <f>SUM(N9,N22,N35,N42,N45,N53,N57,N61,N62,N67,N68)</f>
        <v>13761.4275428159</v>
      </c>
    </row>
    <row r="71" ht="18" customHeight="1" spans="2:14">
      <c r="B71" s="66"/>
      <c r="C71" s="67"/>
      <c r="D71" s="150"/>
      <c r="E71" s="137"/>
      <c r="F71" s="150"/>
      <c r="G71" s="150"/>
      <c r="H71" s="150"/>
      <c r="I71" s="150"/>
      <c r="J71" s="100"/>
      <c r="K71" s="137"/>
      <c r="L71" s="150"/>
      <c r="M71" s="150"/>
      <c r="N71" s="150"/>
    </row>
    <row r="72" ht="25" customHeight="1" spans="2:14">
      <c r="B72" s="70" t="s">
        <v>907</v>
      </c>
      <c r="C72" s="70"/>
      <c r="D72" s="55"/>
      <c r="E72" s="55"/>
      <c r="F72" s="100"/>
      <c r="G72" s="100"/>
      <c r="H72" s="100"/>
      <c r="I72" s="100"/>
      <c r="J72" s="100"/>
      <c r="K72" s="100"/>
      <c r="L72" s="100"/>
      <c r="M72" s="100"/>
      <c r="N72" s="100"/>
    </row>
    <row r="73" ht="25" customHeight="1" spans="2:14">
      <c r="B73" s="151" t="s">
        <v>190</v>
      </c>
      <c r="C73" s="55"/>
      <c r="D73" s="147"/>
      <c r="E73" s="147"/>
      <c r="F73" s="101"/>
      <c r="G73" s="100"/>
      <c r="H73" s="100"/>
      <c r="I73" s="100"/>
      <c r="J73" s="100"/>
      <c r="K73" s="101"/>
      <c r="L73" s="101"/>
      <c r="M73" s="101"/>
      <c r="N73" s="101"/>
    </row>
    <row r="74" ht="25" customHeight="1" spans="2:14">
      <c r="B74" s="151" t="s">
        <v>1103</v>
      </c>
      <c r="C74" s="72"/>
      <c r="D74" s="136">
        <f>'[18]Rev_SP-12me'!AJ84</f>
        <v>6196</v>
      </c>
      <c r="E74" s="136">
        <f>'[18]Rev_SP-12me'!AL84</f>
        <v>1616.92789975108</v>
      </c>
      <c r="F74" s="150">
        <f>F75+F84</f>
        <v>4574.57872354559</v>
      </c>
      <c r="G74" s="150"/>
      <c r="H74" s="137"/>
      <c r="I74" s="150"/>
      <c r="J74" s="100"/>
      <c r="K74" s="150">
        <f>'[18]Rev_SP-12me'!AT84</f>
        <v>776.12539188052</v>
      </c>
      <c r="L74" s="150">
        <f>'[18]Rev_SP-12me'!AU84</f>
        <v>3451.70920798381</v>
      </c>
      <c r="M74" s="150">
        <f>'[18]Rev_SP-12me'!AW84</f>
        <v>14.532</v>
      </c>
      <c r="N74" s="150">
        <f t="shared" ref="N74:N105" si="2">SUM(K74:M74)</f>
        <v>4242.36659986433</v>
      </c>
    </row>
    <row r="75" ht="25" customHeight="1" spans="2:14">
      <c r="B75" s="189" t="s">
        <v>1104</v>
      </c>
      <c r="C75" s="72"/>
      <c r="D75" s="138">
        <f>'[18]Rev_SP-12me'!AJ85</f>
        <v>6196</v>
      </c>
      <c r="E75" s="138">
        <f>'[18]Rev_SP-12me'!AL85</f>
        <v>1616.92789975108</v>
      </c>
      <c r="F75" s="153">
        <f>'[18]Rev_SP-12me'!AQ85</f>
        <v>4424.60166459627</v>
      </c>
      <c r="G75" s="153"/>
      <c r="H75" s="101"/>
      <c r="I75" s="153"/>
      <c r="J75" s="100"/>
      <c r="K75" s="153">
        <f>'[18]Rev_SP-12me'!AT85</f>
        <v>776.12539188052</v>
      </c>
      <c r="L75" s="153">
        <f>'[18]Rev_SP-12me'!AU85</f>
        <v>3338.44151664546</v>
      </c>
      <c r="M75" s="153">
        <f>'[18]Rev_SP-12me'!AW85</f>
        <v>14.532</v>
      </c>
      <c r="N75" s="153">
        <f t="shared" si="2"/>
        <v>4129.09890852598</v>
      </c>
    </row>
    <row r="76" ht="25" customHeight="1" spans="2:17">
      <c r="B76" s="190" t="s">
        <v>1105</v>
      </c>
      <c r="C76" s="72"/>
      <c r="D76" s="145">
        <f>'[18]Rev_SP-12me'!AJ86</f>
        <v>6196</v>
      </c>
      <c r="E76" s="145">
        <f>'[18]Rev_SP-12me'!AL86</f>
        <v>1616.92789975108</v>
      </c>
      <c r="F76" s="174">
        <f>'[18]Rev_SP-12me'!AQ86</f>
        <v>1277.87303509363</v>
      </c>
      <c r="G76" s="174">
        <f>'[18]Rev_SP-12me'!O86</f>
        <v>500</v>
      </c>
      <c r="H76" s="185">
        <f>'[18]Rev_SP-12me'!P86</f>
        <v>7.65</v>
      </c>
      <c r="I76" s="174">
        <f>'[18]Rev_SP-12me'!AA86</f>
        <v>2000</v>
      </c>
      <c r="J76" s="100"/>
      <c r="K76" s="174">
        <f>'[18]Rev_SP-12me'!AT86</f>
        <v>776.12539188052</v>
      </c>
      <c r="L76" s="174">
        <f>'[18]Rev_SP-12me'!AU86</f>
        <v>977.572871846623</v>
      </c>
      <c r="M76" s="174">
        <f>'[18]Rev_SP-12me'!AW86</f>
        <v>14.532</v>
      </c>
      <c r="N76" s="153">
        <f t="shared" si="2"/>
        <v>1768.23026372714</v>
      </c>
      <c r="P76" s="175" t="s">
        <v>1169</v>
      </c>
      <c r="Q76" s="175"/>
    </row>
    <row r="77" ht="25" customHeight="1" spans="2:17">
      <c r="B77" s="191" t="s">
        <v>1106</v>
      </c>
      <c r="C77" s="55"/>
      <c r="D77" s="145">
        <f>'[18]Rev_SP-12me'!AJ87</f>
        <v>0</v>
      </c>
      <c r="E77" s="145">
        <f>'[18]Rev_SP-12me'!AL87</f>
        <v>0</v>
      </c>
      <c r="F77" s="174">
        <f>'[18]Rev_SP-12me'!AQ87</f>
        <v>265.53325722848</v>
      </c>
      <c r="G77" s="174">
        <f>'[18]Rev_SP-12me'!O87</f>
        <v>100</v>
      </c>
      <c r="H77" s="185">
        <f>'[18]Rev_SP-12me'!P87</f>
        <v>8</v>
      </c>
      <c r="I77" s="174">
        <f>'[18]Rev_SP-12me'!AA87</f>
        <v>2000</v>
      </c>
      <c r="J77" s="100"/>
      <c r="K77" s="174">
        <f>'[18]Rev_SP-12me'!AT87</f>
        <v>0</v>
      </c>
      <c r="L77" s="174">
        <f>'[18]Rev_SP-12me'!AU87</f>
        <v>212.426605782784</v>
      </c>
      <c r="M77" s="174">
        <f>'[18]Rev_SP-12me'!AW87</f>
        <v>0</v>
      </c>
      <c r="N77" s="153">
        <f t="shared" si="2"/>
        <v>212.426605782784</v>
      </c>
      <c r="P77" s="135" t="s">
        <v>1091</v>
      </c>
      <c r="Q77" s="135" t="s">
        <v>1170</v>
      </c>
    </row>
    <row r="78" ht="25" customHeight="1" spans="2:17">
      <c r="B78" s="190" t="s">
        <v>1107</v>
      </c>
      <c r="C78" s="55"/>
      <c r="D78" s="145">
        <f>'[18]Rev_SP-12me'!AJ88</f>
        <v>0</v>
      </c>
      <c r="E78" s="145">
        <f>'[18]Rev_SP-12me'!AL88</f>
        <v>0</v>
      </c>
      <c r="F78" s="174">
        <f>'[18]Rev_SP-12me'!AQ88</f>
        <v>132.233144417931</v>
      </c>
      <c r="G78" s="174">
        <f>'[18]Rev_SP-12me'!O88</f>
        <v>0</v>
      </c>
      <c r="H78" s="185">
        <f>'[18]Rev_SP-12me'!P88</f>
        <v>7.65</v>
      </c>
      <c r="I78" s="174">
        <f>'[18]Rev_SP-12me'!AA88</f>
        <v>2000</v>
      </c>
      <c r="J78" s="100"/>
      <c r="K78" s="174">
        <f>'[18]Rev_SP-12me'!AT88</f>
        <v>0</v>
      </c>
      <c r="L78" s="174">
        <f>'[18]Rev_SP-12me'!AU88</f>
        <v>101.158355479717</v>
      </c>
      <c r="M78" s="174">
        <f>'[18]Rev_SP-12me'!AW88</f>
        <v>0</v>
      </c>
      <c r="N78" s="153">
        <f t="shared" si="2"/>
        <v>101.158355479717</v>
      </c>
      <c r="P78" s="153">
        <f>SUM(N78:N85,N86,N91,N132:N138,N144,N186,N139,N178:N185)</f>
        <v>9012.2884380459</v>
      </c>
      <c r="Q78" s="195" t="s">
        <v>867</v>
      </c>
    </row>
    <row r="79" ht="25" customHeight="1" spans="2:17">
      <c r="B79" s="190" t="s">
        <v>1108</v>
      </c>
      <c r="C79" s="55"/>
      <c r="D79" s="145">
        <f>'[18]Rev_SP-12me'!AJ89</f>
        <v>0</v>
      </c>
      <c r="E79" s="145">
        <f>'[18]Rev_SP-12me'!AL89</f>
        <v>0</v>
      </c>
      <c r="F79" s="174">
        <f>'[18]Rev_SP-12me'!AQ89</f>
        <v>19.4622432594077</v>
      </c>
      <c r="G79" s="174">
        <f>'[18]Rev_SP-12me'!O89</f>
        <v>0</v>
      </c>
      <c r="H79" s="185">
        <f>'[18]Rev_SP-12me'!P89</f>
        <v>7.3</v>
      </c>
      <c r="I79" s="174">
        <f>'[18]Rev_SP-12me'!AA89</f>
        <v>2000</v>
      </c>
      <c r="J79" s="100"/>
      <c r="K79" s="174">
        <f>'[18]Rev_SP-12me'!AT89</f>
        <v>0</v>
      </c>
      <c r="L79" s="174">
        <f>'[18]Rev_SP-12me'!AU89</f>
        <v>14.2074375793676</v>
      </c>
      <c r="M79" s="174">
        <f>'[18]Rev_SP-12me'!AW89</f>
        <v>0</v>
      </c>
      <c r="N79" s="153">
        <f t="shared" si="2"/>
        <v>14.2074375793676</v>
      </c>
      <c r="P79" s="153">
        <f>N96+N149+N191</f>
        <v>2434.68713230646</v>
      </c>
      <c r="Q79" s="195" t="s">
        <v>1171</v>
      </c>
    </row>
    <row r="80" ht="25" customHeight="1" spans="2:17">
      <c r="B80" s="190" t="s">
        <v>1109</v>
      </c>
      <c r="C80" s="55"/>
      <c r="D80" s="145">
        <f>'[18]Rev_SP-12me'!AJ90</f>
        <v>0</v>
      </c>
      <c r="E80" s="145">
        <f>'[18]Rev_SP-12me'!AL90</f>
        <v>0</v>
      </c>
      <c r="F80" s="174">
        <f>'[18]Rev_SP-12me'!AQ90</f>
        <v>55.8576624497053</v>
      </c>
      <c r="G80" s="174">
        <f>'[18]Rev_SP-12me'!O90</f>
        <v>500</v>
      </c>
      <c r="H80" s="185">
        <f>'[18]Rev_SP-12me'!P90</f>
        <v>8.6</v>
      </c>
      <c r="I80" s="174">
        <f>'[18]Rev_SP-12me'!AA90</f>
        <v>2000</v>
      </c>
      <c r="J80" s="100"/>
      <c r="K80" s="174">
        <f>'[18]Rev_SP-12me'!AT90</f>
        <v>0</v>
      </c>
      <c r="L80" s="174">
        <f>'[18]Rev_SP-12me'!AU90</f>
        <v>48.0375897067466</v>
      </c>
      <c r="M80" s="174">
        <f>'[18]Rev_SP-12me'!AW90</f>
        <v>0</v>
      </c>
      <c r="N80" s="153">
        <f t="shared" si="2"/>
        <v>48.0375897067466</v>
      </c>
      <c r="P80" s="153">
        <f>SUM(N102,N97,N150,N156,N192,N197)</f>
        <v>735.55724842236</v>
      </c>
      <c r="Q80" s="195" t="s">
        <v>1172</v>
      </c>
    </row>
    <row r="81" ht="25" customHeight="1" spans="2:17">
      <c r="B81" s="192" t="s">
        <v>1110</v>
      </c>
      <c r="C81" s="55"/>
      <c r="D81" s="145">
        <f>'[18]Rev_SP-12me'!AJ91</f>
        <v>0</v>
      </c>
      <c r="E81" s="145">
        <f>'[18]Rev_SP-12me'!AL91</f>
        <v>0</v>
      </c>
      <c r="F81" s="174">
        <f>'[18]Rev_SP-12me'!AQ91</f>
        <v>682.855593847427</v>
      </c>
      <c r="G81" s="174">
        <f>'[18]Rev_SP-12me'!O91</f>
        <v>0</v>
      </c>
      <c r="H81" s="185">
        <f>'[18]Rev_SP-12me'!P91</f>
        <v>8.65</v>
      </c>
      <c r="I81" s="174">
        <f>'[18]Rev_SP-12me'!AA91</f>
        <v>2000</v>
      </c>
      <c r="J81" s="100"/>
      <c r="K81" s="174">
        <f>'[18]Rev_SP-12me'!AT91</f>
        <v>0</v>
      </c>
      <c r="L81" s="174">
        <f>'[18]Rev_SP-12me'!AU91</f>
        <v>590.670088678024</v>
      </c>
      <c r="M81" s="174">
        <f>'[18]Rev_SP-12me'!AW91</f>
        <v>0</v>
      </c>
      <c r="N81" s="153">
        <f t="shared" si="2"/>
        <v>590.670088678024</v>
      </c>
      <c r="P81" s="153">
        <f>SUM(N107,N161,N202)</f>
        <v>21.2102208217123</v>
      </c>
      <c r="Q81" s="195" t="s">
        <v>1173</v>
      </c>
    </row>
    <row r="82" ht="25" customHeight="1" spans="2:17">
      <c r="B82" s="192" t="s">
        <v>1111</v>
      </c>
      <c r="C82" s="55"/>
      <c r="D82" s="145">
        <f>'[18]Rev_SP-12me'!AJ92</f>
        <v>0</v>
      </c>
      <c r="E82" s="145">
        <f>'[18]Rev_SP-12me'!AL92</f>
        <v>0</v>
      </c>
      <c r="F82" s="174">
        <f>'[18]Rev_SP-12me'!AQ92</f>
        <v>680.138918671545</v>
      </c>
      <c r="G82" s="174">
        <f>'[18]Rev_SP-12me'!O92</f>
        <v>0</v>
      </c>
      <c r="H82" s="185">
        <f>'[18]Rev_SP-12me'!P92</f>
        <v>8.65</v>
      </c>
      <c r="I82" s="174">
        <f>'[18]Rev_SP-12me'!AA92</f>
        <v>2000</v>
      </c>
      <c r="J82" s="100"/>
      <c r="K82" s="174">
        <f>'[18]Rev_SP-12me'!AT92</f>
        <v>0</v>
      </c>
      <c r="L82" s="174">
        <f>'[18]Rev_SP-12me'!AU92</f>
        <v>588.320164650886</v>
      </c>
      <c r="M82" s="174">
        <f>'[18]Rev_SP-12me'!AW92</f>
        <v>0</v>
      </c>
      <c r="N82" s="153">
        <f t="shared" si="2"/>
        <v>588.320164650886</v>
      </c>
      <c r="P82" s="153">
        <f>SUM(N112,N166,N207)</f>
        <v>256.663835879586</v>
      </c>
      <c r="Q82" s="195" t="s">
        <v>1174</v>
      </c>
    </row>
    <row r="83" ht="25" customHeight="1" spans="2:17">
      <c r="B83" s="192" t="s">
        <v>1112</v>
      </c>
      <c r="C83" s="55"/>
      <c r="D83" s="145">
        <f>'[18]Rev_SP-12me'!AJ93</f>
        <v>0</v>
      </c>
      <c r="E83" s="145">
        <f>'[18]Rev_SP-12me'!AL93</f>
        <v>0</v>
      </c>
      <c r="F83" s="174">
        <f>'[18]Rev_SP-12me'!AQ93</f>
        <v>1310.64780962815</v>
      </c>
      <c r="G83" s="174">
        <f>'[18]Rev_SP-12me'!O93</f>
        <v>0</v>
      </c>
      <c r="H83" s="185">
        <f>'[18]Rev_SP-12me'!P93</f>
        <v>6.15</v>
      </c>
      <c r="I83" s="174">
        <f>'[18]Rev_SP-12me'!AA93</f>
        <v>2000</v>
      </c>
      <c r="J83" s="100"/>
      <c r="K83" s="174">
        <f>'[18]Rev_SP-12me'!AT93</f>
        <v>0</v>
      </c>
      <c r="L83" s="174">
        <f>'[18]Rev_SP-12me'!AU93</f>
        <v>806.048402921312</v>
      </c>
      <c r="M83" s="174">
        <f>'[18]Rev_SP-12me'!AW93</f>
        <v>0</v>
      </c>
      <c r="N83" s="153">
        <f t="shared" si="2"/>
        <v>806.048402921312</v>
      </c>
      <c r="P83" s="153">
        <f>SUM(N114,N168,N210)</f>
        <v>0</v>
      </c>
      <c r="Q83" s="195" t="s">
        <v>1175</v>
      </c>
    </row>
    <row r="84" ht="25" customHeight="1" spans="2:17">
      <c r="B84" s="151" t="s">
        <v>1113</v>
      </c>
      <c r="C84" s="55"/>
      <c r="D84" s="138">
        <f>'[18]Rev_SP-12me'!AJ94</f>
        <v>0</v>
      </c>
      <c r="E84" s="138">
        <f>'[18]Rev_SP-12me'!AL94</f>
        <v>0</v>
      </c>
      <c r="F84" s="153">
        <f>'[18]Rev_SP-12me'!AQ94</f>
        <v>149.977058949324</v>
      </c>
      <c r="G84" s="153">
        <f>'[18]Rev_SP-12me'!O94</f>
        <v>0</v>
      </c>
      <c r="H84" s="101">
        <f>'[18]Rev_SP-12me'!P94</f>
        <v>0</v>
      </c>
      <c r="I84" s="153">
        <f>'[18]Rev_SP-12me'!AA94</f>
        <v>0</v>
      </c>
      <c r="J84" s="100"/>
      <c r="K84" s="153">
        <f>'[18]Rev_SP-12me'!AT94</f>
        <v>0</v>
      </c>
      <c r="L84" s="153">
        <f>'[18]Rev_SP-12me'!AU94</f>
        <v>113.26769133835</v>
      </c>
      <c r="M84" s="153">
        <f>'[18]Rev_SP-12me'!AW94</f>
        <v>0</v>
      </c>
      <c r="N84" s="150">
        <f t="shared" si="2"/>
        <v>113.26769133835</v>
      </c>
      <c r="P84" s="153">
        <f>SUM(N117,N118,N171,N172,N214,N216)</f>
        <v>991.513110216279</v>
      </c>
      <c r="Q84" s="195" t="s">
        <v>1176</v>
      </c>
    </row>
    <row r="85" ht="25" customHeight="1" spans="2:17">
      <c r="B85" s="192" t="s">
        <v>1114</v>
      </c>
      <c r="C85" s="55"/>
      <c r="D85" s="139">
        <f>'[18]Rev_SP-12me'!AJ95</f>
        <v>0</v>
      </c>
      <c r="E85" s="139">
        <f>'[18]Rev_SP-12me'!AL95</f>
        <v>0</v>
      </c>
      <c r="F85" s="174">
        <f>'[18]Rev_SP-12me'!AQ95</f>
        <v>51.5931249647781</v>
      </c>
      <c r="G85" s="174">
        <f>'[18]Rev_SP-12me'!O95</f>
        <v>500</v>
      </c>
      <c r="H85" s="185">
        <f>'[18]Rev_SP-12me'!P95</f>
        <v>7.65</v>
      </c>
      <c r="I85" s="174">
        <f>'[18]Rev_SP-12me'!AA95</f>
        <v>2000</v>
      </c>
      <c r="J85" s="100"/>
      <c r="K85" s="174">
        <f>'[18]Rev_SP-12me'!AT95</f>
        <v>0</v>
      </c>
      <c r="L85" s="174">
        <f>'[18]Rev_SP-12me'!AU95</f>
        <v>39.4687405980552</v>
      </c>
      <c r="M85" s="174">
        <f>'[18]Rev_SP-12me'!AW95</f>
        <v>0</v>
      </c>
      <c r="N85" s="153">
        <f t="shared" si="2"/>
        <v>39.4687405980552</v>
      </c>
      <c r="P85" s="153">
        <f>SUM(N119,N173,N218)</f>
        <v>14591.7683888019</v>
      </c>
      <c r="Q85" s="195" t="s">
        <v>1177</v>
      </c>
    </row>
    <row r="86" ht="25" customHeight="1" spans="2:17">
      <c r="B86" s="192" t="s">
        <v>1115</v>
      </c>
      <c r="C86" s="55"/>
      <c r="D86" s="139">
        <f>'[18]Rev_SP-12me'!AJ96</f>
        <v>0</v>
      </c>
      <c r="E86" s="139">
        <f>'[18]Rev_SP-12me'!AL96</f>
        <v>0</v>
      </c>
      <c r="F86" s="174">
        <f>'[18]Rev_SP-12me'!AQ96</f>
        <v>26.5182408297973</v>
      </c>
      <c r="G86" s="174">
        <f>'[18]Rev_SP-12me'!O96</f>
        <v>0</v>
      </c>
      <c r="H86" s="185">
        <f>'[18]Rev_SP-12me'!P96</f>
        <v>8.65</v>
      </c>
      <c r="I86" s="174">
        <f>'[18]Rev_SP-12me'!AA96</f>
        <v>2000</v>
      </c>
      <c r="J86" s="100"/>
      <c r="K86" s="174">
        <f>'[18]Rev_SP-12me'!AT96</f>
        <v>0</v>
      </c>
      <c r="L86" s="174">
        <f>'[18]Rev_SP-12me'!AU96</f>
        <v>22.9382783177746</v>
      </c>
      <c r="M86" s="174">
        <f>'[18]Rev_SP-12me'!AW96</f>
        <v>0</v>
      </c>
      <c r="N86" s="153">
        <f t="shared" si="2"/>
        <v>22.9382783177746</v>
      </c>
      <c r="P86" s="153"/>
      <c r="Q86" s="55"/>
    </row>
    <row r="87" ht="25" customHeight="1" spans="2:17">
      <c r="B87" s="192" t="s">
        <v>1116</v>
      </c>
      <c r="C87" s="55"/>
      <c r="D87" s="139">
        <f>'[18]Rev_SP-12me'!AJ97</f>
        <v>0</v>
      </c>
      <c r="E87" s="139">
        <f>'[18]Rev_SP-12me'!AL97</f>
        <v>0</v>
      </c>
      <c r="F87" s="174">
        <f>'[18]Rev_SP-12me'!AQ97</f>
        <v>26.6530845293995</v>
      </c>
      <c r="G87" s="174">
        <f>'[18]Rev_SP-12me'!O97</f>
        <v>0</v>
      </c>
      <c r="H87" s="185">
        <f>'[18]Rev_SP-12me'!P97</f>
        <v>8.65</v>
      </c>
      <c r="I87" s="174">
        <f>'[18]Rev_SP-12me'!AA97</f>
        <v>2000</v>
      </c>
      <c r="J87" s="100"/>
      <c r="K87" s="174">
        <f>'[18]Rev_SP-12me'!AT97</f>
        <v>0</v>
      </c>
      <c r="L87" s="174">
        <f>'[18]Rev_SP-12me'!AU97</f>
        <v>23.0549181179305</v>
      </c>
      <c r="M87" s="174">
        <f>'[18]Rev_SP-12me'!AW97</f>
        <v>0</v>
      </c>
      <c r="N87" s="153">
        <f t="shared" si="2"/>
        <v>23.0549181179305</v>
      </c>
      <c r="P87" s="153">
        <f>SUM(N120,N174,N219)</f>
        <v>42.1436449763125</v>
      </c>
      <c r="Q87" s="195" t="s">
        <v>1178</v>
      </c>
    </row>
    <row r="88" ht="25" customHeight="1" spans="2:17">
      <c r="B88" s="192" t="s">
        <v>1117</v>
      </c>
      <c r="C88" s="55"/>
      <c r="D88" s="139">
        <f>'[18]Rev_SP-12me'!AJ98</f>
        <v>0</v>
      </c>
      <c r="E88" s="139">
        <f>'[18]Rev_SP-12me'!AL98</f>
        <v>0</v>
      </c>
      <c r="F88" s="174">
        <f>'[18]Rev_SP-12me'!AQ98</f>
        <v>45.212608625349</v>
      </c>
      <c r="G88" s="174">
        <f>'[18]Rev_SP-12me'!O98</f>
        <v>0</v>
      </c>
      <c r="H88" s="185">
        <f>'[18]Rev_SP-12me'!P98</f>
        <v>6.15</v>
      </c>
      <c r="I88" s="174">
        <f>'[18]Rev_SP-12me'!AA98</f>
        <v>2000</v>
      </c>
      <c r="J88" s="100"/>
      <c r="K88" s="174">
        <f>'[18]Rev_SP-12me'!AT98</f>
        <v>0</v>
      </c>
      <c r="L88" s="174">
        <f>'[18]Rev_SP-12me'!AU98</f>
        <v>27.8057543045897</v>
      </c>
      <c r="M88" s="174">
        <f>'[18]Rev_SP-12me'!AW98</f>
        <v>0</v>
      </c>
      <c r="N88" s="153">
        <f t="shared" si="2"/>
        <v>27.8057543045897</v>
      </c>
      <c r="P88" s="153">
        <f>SUM(N122)</f>
        <v>5.7011380902378</v>
      </c>
      <c r="Q88" s="195" t="s">
        <v>1179</v>
      </c>
    </row>
    <row r="89" ht="25" customHeight="1" spans="2:14">
      <c r="B89" s="151" t="s">
        <v>1118</v>
      </c>
      <c r="C89" s="55"/>
      <c r="D89" s="136">
        <f>'[18]Rev_SP-12me'!AJ100</f>
        <v>0</v>
      </c>
      <c r="E89" s="136">
        <f>'[18]Rev_SP-12me'!AL100</f>
        <v>0</v>
      </c>
      <c r="F89" s="150">
        <f>'[18]Rev_SP-12me'!AQ100</f>
        <v>49.0509976369957</v>
      </c>
      <c r="G89" s="150">
        <f>'[18]Rev_SP-12me'!O100</f>
        <v>0</v>
      </c>
      <c r="H89" s="137">
        <f>'[18]Rev_SP-12me'!P100</f>
        <v>0</v>
      </c>
      <c r="I89" s="150">
        <f>'[18]Rev_SP-12me'!AA100</f>
        <v>8000</v>
      </c>
      <c r="J89" s="100"/>
      <c r="K89" s="150">
        <f>'[18]Rev_SP-12me'!AT100</f>
        <v>0</v>
      </c>
      <c r="L89" s="150">
        <f>'[18]Rev_SP-12me'!AU100</f>
        <v>37.0895309483704</v>
      </c>
      <c r="M89" s="150">
        <f>'[18]Rev_SP-12me'!AW100</f>
        <v>0</v>
      </c>
      <c r="N89" s="150">
        <f t="shared" si="2"/>
        <v>37.0895309483704</v>
      </c>
    </row>
    <row r="90" ht="25" customHeight="1" spans="2:14">
      <c r="B90" s="190" t="s">
        <v>1119</v>
      </c>
      <c r="C90" s="55"/>
      <c r="D90" s="139">
        <f>'[18]Rev_SP-12me'!AJ101</f>
        <v>0</v>
      </c>
      <c r="E90" s="139">
        <f>'[18]Rev_SP-12me'!AL101</f>
        <v>0</v>
      </c>
      <c r="F90" s="174">
        <f>'[18]Rev_SP-12me'!AQ101</f>
        <v>17.8499657452963</v>
      </c>
      <c r="G90" s="174">
        <f>'[18]Rev_SP-12me'!O101</f>
        <v>500</v>
      </c>
      <c r="H90" s="185">
        <f>'[18]Rev_SP-12me'!P101</f>
        <v>7.65</v>
      </c>
      <c r="I90" s="174">
        <f>'[18]Rev_SP-12me'!AA101</f>
        <v>2000</v>
      </c>
      <c r="J90" s="100"/>
      <c r="K90" s="174">
        <f>'[18]Rev_SP-12me'!AT101</f>
        <v>0</v>
      </c>
      <c r="L90" s="174">
        <f>'[18]Rev_SP-12me'!AU101</f>
        <v>13.6552237951516</v>
      </c>
      <c r="M90" s="174">
        <f>'[18]Rev_SP-12me'!AW101</f>
        <v>0</v>
      </c>
      <c r="N90" s="153">
        <f t="shared" si="2"/>
        <v>13.6552237951516</v>
      </c>
    </row>
    <row r="91" ht="25" customHeight="1" spans="2:14">
      <c r="B91" s="190" t="s">
        <v>1120</v>
      </c>
      <c r="C91" s="55"/>
      <c r="D91" s="139">
        <f>'[18]Rev_SP-12me'!AJ102</f>
        <v>0</v>
      </c>
      <c r="E91" s="139">
        <f>'[18]Rev_SP-12me'!AL102</f>
        <v>0</v>
      </c>
      <c r="F91" s="174">
        <f>'[18]Rev_SP-12me'!AQ102</f>
        <v>8.43161457454638</v>
      </c>
      <c r="G91" s="174">
        <f>'[18]Rev_SP-12me'!O102</f>
        <v>0</v>
      </c>
      <c r="H91" s="185">
        <f>'[18]Rev_SP-12me'!P102</f>
        <v>8.65</v>
      </c>
      <c r="I91" s="174">
        <f>'[18]Rev_SP-12me'!AA102</f>
        <v>2000</v>
      </c>
      <c r="J91" s="100"/>
      <c r="K91" s="174">
        <f>'[18]Rev_SP-12me'!AT102</f>
        <v>0</v>
      </c>
      <c r="L91" s="174">
        <f>'[18]Rev_SP-12me'!AU102</f>
        <v>7.29334660698262</v>
      </c>
      <c r="M91" s="174">
        <f>'[18]Rev_SP-12me'!AW102</f>
        <v>0</v>
      </c>
      <c r="N91" s="153">
        <f t="shared" si="2"/>
        <v>7.29334660698262</v>
      </c>
    </row>
    <row r="92" ht="25" customHeight="1" spans="2:14">
      <c r="B92" s="190" t="s">
        <v>1121</v>
      </c>
      <c r="C92" s="55"/>
      <c r="D92" s="139">
        <f>'[18]Rev_SP-12me'!AJ103</f>
        <v>0</v>
      </c>
      <c r="E92" s="139">
        <f>'[18]Rev_SP-12me'!AL103</f>
        <v>0</v>
      </c>
      <c r="F92" s="174">
        <f>'[18]Rev_SP-12me'!AQ103</f>
        <v>8.55107558474793</v>
      </c>
      <c r="G92" s="174">
        <f>'[18]Rev_SP-12me'!O103</f>
        <v>0</v>
      </c>
      <c r="H92" s="185">
        <f>'[18]Rev_SP-12me'!P103</f>
        <v>8.65</v>
      </c>
      <c r="I92" s="174">
        <f>'[18]Rev_SP-12me'!AA103</f>
        <v>2000</v>
      </c>
      <c r="J92" s="100"/>
      <c r="K92" s="174">
        <f>'[18]Rev_SP-12me'!AT103</f>
        <v>0</v>
      </c>
      <c r="L92" s="174">
        <f>'[18]Rev_SP-12me'!AU103</f>
        <v>7.39668038080696</v>
      </c>
      <c r="M92" s="174">
        <f>'[18]Rev_SP-12me'!AW103</f>
        <v>0</v>
      </c>
      <c r="N92" s="153">
        <f t="shared" si="2"/>
        <v>7.39668038080696</v>
      </c>
    </row>
    <row r="93" ht="25" customHeight="1" spans="2:14">
      <c r="B93" s="190" t="s">
        <v>1122</v>
      </c>
      <c r="C93" s="55"/>
      <c r="D93" s="139">
        <f>'[18]Rev_SP-12me'!AJ104</f>
        <v>0</v>
      </c>
      <c r="E93" s="139">
        <f>'[18]Rev_SP-12me'!AL104</f>
        <v>0</v>
      </c>
      <c r="F93" s="174">
        <f>'[18]Rev_SP-12me'!AQ104</f>
        <v>14.2183417324051</v>
      </c>
      <c r="G93" s="174">
        <f>'[18]Rev_SP-12me'!O104</f>
        <v>0</v>
      </c>
      <c r="H93" s="185">
        <f>'[18]Rev_SP-12me'!P104</f>
        <v>6.15</v>
      </c>
      <c r="I93" s="174">
        <f>'[18]Rev_SP-12me'!AA104</f>
        <v>2000</v>
      </c>
      <c r="J93" s="100"/>
      <c r="K93" s="174">
        <f>'[18]Rev_SP-12me'!AT104</f>
        <v>0</v>
      </c>
      <c r="L93" s="174">
        <f>'[18]Rev_SP-12me'!AU104</f>
        <v>8.74428016542913</v>
      </c>
      <c r="M93" s="174">
        <f>'[18]Rev_SP-12me'!AW104</f>
        <v>0</v>
      </c>
      <c r="N93" s="153">
        <f t="shared" si="2"/>
        <v>8.74428016542913</v>
      </c>
    </row>
    <row r="94" ht="25" customHeight="1" spans="2:14">
      <c r="B94" s="151" t="s">
        <v>1123</v>
      </c>
      <c r="C94" s="55"/>
      <c r="D94" s="136">
        <f>'[18]Rev_SP-12me'!AJ99</f>
        <v>0</v>
      </c>
      <c r="E94" s="136">
        <f>'[18]Rev_SP-12me'!AL99</f>
        <v>0</v>
      </c>
      <c r="F94" s="150">
        <f>'[18]Rev_SP-12me'!AQ99</f>
        <v>0.5403905124</v>
      </c>
      <c r="G94" s="150">
        <f>'[18]Rev_SP-12me'!O99</f>
        <v>500</v>
      </c>
      <c r="H94" s="137">
        <f>'[18]Rev_SP-12me'!P99</f>
        <v>7.65</v>
      </c>
      <c r="I94" s="150">
        <f>'[18]Rev_SP-12me'!AA99</f>
        <v>2000</v>
      </c>
      <c r="J94" s="100"/>
      <c r="K94" s="150">
        <f>'[18]Rev_SP-12me'!AT99</f>
        <v>0</v>
      </c>
      <c r="L94" s="150">
        <f>'[18]Rev_SP-12me'!AU99</f>
        <v>0.413398741986</v>
      </c>
      <c r="M94" s="150">
        <f>'[18]Rev_SP-12me'!AW99</f>
        <v>0</v>
      </c>
      <c r="N94" s="150">
        <f t="shared" si="2"/>
        <v>0.413398741986</v>
      </c>
    </row>
    <row r="95" ht="25" customHeight="1" spans="2:14">
      <c r="B95" s="151" t="s">
        <v>1124</v>
      </c>
      <c r="C95" s="55"/>
      <c r="D95" s="136">
        <f>'[18]Rev_SP-12me'!AJ105</f>
        <v>5386</v>
      </c>
      <c r="E95" s="136">
        <f>'[18]Rev_SP-12me'!AL105</f>
        <v>1029.11902177311</v>
      </c>
      <c r="F95" s="150">
        <f>'[18]Rev_SP-12me'!AQ105</f>
        <v>2574.01348848237</v>
      </c>
      <c r="G95" s="150">
        <f>'[18]Rev_SP-12me'!O105</f>
        <v>0</v>
      </c>
      <c r="H95" s="137">
        <f>'[18]Rev_SP-12me'!P105</f>
        <v>0</v>
      </c>
      <c r="I95" s="150">
        <f>'[18]Rev_SP-12me'!AA105</f>
        <v>0</v>
      </c>
      <c r="J95" s="100"/>
      <c r="K95" s="150">
        <f>'[18]Rev_SP-12me'!AT105</f>
        <v>493.977130451091</v>
      </c>
      <c r="L95" s="150">
        <f>'[18]Rev_SP-12me'!AU105</f>
        <v>2260.97989605032</v>
      </c>
      <c r="M95" s="150">
        <f>'[18]Rev_SP-12me'!AW105</f>
        <v>12.234</v>
      </c>
      <c r="N95" s="150">
        <f t="shared" si="2"/>
        <v>2767.19102650141</v>
      </c>
    </row>
    <row r="96" ht="25" customHeight="1" spans="2:14">
      <c r="B96" s="190" t="s">
        <v>1119</v>
      </c>
      <c r="C96" s="55"/>
      <c r="D96" s="139">
        <f>'[18]Rev_SP-12me'!AJ106</f>
        <v>5386</v>
      </c>
      <c r="E96" s="139">
        <f>'[18]Rev_SP-12me'!AL106</f>
        <v>1029.11902177311</v>
      </c>
      <c r="F96" s="174">
        <f>'[18]Rev_SP-12me'!AQ106</f>
        <v>1100.14393404996</v>
      </c>
      <c r="G96" s="174">
        <f>'[18]Rev_SP-12me'!O106</f>
        <v>500</v>
      </c>
      <c r="H96" s="185">
        <f>'[18]Rev_SP-12me'!P106</f>
        <v>8.8</v>
      </c>
      <c r="I96" s="174">
        <f>'[18]Rev_SP-12me'!AA106</f>
        <v>2000</v>
      </c>
      <c r="J96" s="100"/>
      <c r="K96" s="174">
        <f>'[18]Rev_SP-12me'!AT106</f>
        <v>493.977130451091</v>
      </c>
      <c r="L96" s="174">
        <f>'[18]Rev_SP-12me'!AU106</f>
        <v>968.126661963965</v>
      </c>
      <c r="M96" s="174">
        <f>'[18]Rev_SP-12me'!AW106</f>
        <v>12.234</v>
      </c>
      <c r="N96" s="153">
        <f t="shared" si="2"/>
        <v>1474.33779241506</v>
      </c>
    </row>
    <row r="97" ht="25" customHeight="1" spans="2:14">
      <c r="B97" s="190" t="s">
        <v>1120</v>
      </c>
      <c r="C97" s="55"/>
      <c r="D97" s="139">
        <f>'[18]Rev_SP-12me'!AJ107</f>
        <v>0</v>
      </c>
      <c r="E97" s="139">
        <f>'[18]Rev_SP-12me'!AL107</f>
        <v>0</v>
      </c>
      <c r="F97" s="174">
        <f>'[18]Rev_SP-12me'!AQ107</f>
        <v>431.177507691291</v>
      </c>
      <c r="G97" s="174">
        <f>'[18]Rev_SP-12me'!O107</f>
        <v>0</v>
      </c>
      <c r="H97" s="185">
        <f>'[18]Rev_SP-12me'!P107</f>
        <v>9.8</v>
      </c>
      <c r="I97" s="174">
        <f>'[18]Rev_SP-12me'!AA107</f>
        <v>2000</v>
      </c>
      <c r="J97" s="100"/>
      <c r="K97" s="174">
        <f>'[18]Rev_SP-12me'!AT107</f>
        <v>0</v>
      </c>
      <c r="L97" s="174">
        <f>'[18]Rev_SP-12me'!AU107</f>
        <v>422.553957537465</v>
      </c>
      <c r="M97" s="174">
        <f>'[18]Rev_SP-12me'!AW107</f>
        <v>0</v>
      </c>
      <c r="N97" s="153">
        <f t="shared" si="2"/>
        <v>422.553957537465</v>
      </c>
    </row>
    <row r="98" ht="25" customHeight="1" spans="2:14">
      <c r="B98" s="190" t="s">
        <v>1121</v>
      </c>
      <c r="C98" s="55"/>
      <c r="D98" s="139">
        <f>'[18]Rev_SP-12me'!AJ108</f>
        <v>0</v>
      </c>
      <c r="E98" s="139">
        <f>'[18]Rev_SP-12me'!AL108</f>
        <v>0</v>
      </c>
      <c r="F98" s="174">
        <f>'[18]Rev_SP-12me'!AQ108</f>
        <v>436.536329711515</v>
      </c>
      <c r="G98" s="174">
        <f>'[18]Rev_SP-12me'!O108</f>
        <v>0</v>
      </c>
      <c r="H98" s="185">
        <f>'[18]Rev_SP-12me'!P108</f>
        <v>9.8</v>
      </c>
      <c r="I98" s="174">
        <f>'[18]Rev_SP-12me'!AA108</f>
        <v>2000</v>
      </c>
      <c r="J98" s="100"/>
      <c r="K98" s="174">
        <f>'[18]Rev_SP-12me'!AT108</f>
        <v>0</v>
      </c>
      <c r="L98" s="174">
        <f>'[18]Rev_SP-12me'!AU108</f>
        <v>427.805603117284</v>
      </c>
      <c r="M98" s="174">
        <f>'[18]Rev_SP-12me'!AW108</f>
        <v>0</v>
      </c>
      <c r="N98" s="153">
        <f t="shared" si="2"/>
        <v>427.805603117284</v>
      </c>
    </row>
    <row r="99" ht="25" customHeight="1" spans="2:14">
      <c r="B99" s="190" t="s">
        <v>1122</v>
      </c>
      <c r="C99" s="55"/>
      <c r="D99" s="139">
        <f>'[18]Rev_SP-12me'!AJ109</f>
        <v>0</v>
      </c>
      <c r="E99" s="139">
        <f>'[18]Rev_SP-12me'!AL109</f>
        <v>0</v>
      </c>
      <c r="F99" s="174">
        <f>'[18]Rev_SP-12me'!AQ109</f>
        <v>606.155717029601</v>
      </c>
      <c r="G99" s="174">
        <f>'[18]Rev_SP-12me'!O109</f>
        <v>0</v>
      </c>
      <c r="H99" s="185">
        <f>'[18]Rev_SP-12me'!P109</f>
        <v>7.3</v>
      </c>
      <c r="I99" s="174">
        <f>'[18]Rev_SP-12me'!AA109</f>
        <v>2000</v>
      </c>
      <c r="J99" s="100"/>
      <c r="K99" s="174">
        <f>'[18]Rev_SP-12me'!AT109</f>
        <v>0</v>
      </c>
      <c r="L99" s="174">
        <f>'[18]Rev_SP-12me'!AU109</f>
        <v>442.493673431609</v>
      </c>
      <c r="M99" s="174">
        <f>'[18]Rev_SP-12me'!AW109</f>
        <v>0</v>
      </c>
      <c r="N99" s="153">
        <f t="shared" si="2"/>
        <v>442.493673431609</v>
      </c>
    </row>
    <row r="100" ht="25" customHeight="1" spans="2:14">
      <c r="B100" s="151" t="s">
        <v>1125</v>
      </c>
      <c r="C100" s="55"/>
      <c r="D100" s="136">
        <f>'[18]Rev_SP-12me'!AJ110</f>
        <v>0</v>
      </c>
      <c r="E100" s="136">
        <f>'[18]Rev_SP-12me'!AL110</f>
        <v>0</v>
      </c>
      <c r="F100" s="150">
        <f>'[18]Rev_SP-12me'!AQ110</f>
        <v>0.461284863244088</v>
      </c>
      <c r="G100" s="150">
        <f>'[18]Rev_SP-12me'!O110</f>
        <v>0</v>
      </c>
      <c r="H100" s="137">
        <f>'[18]Rev_SP-12me'!P110</f>
        <v>0</v>
      </c>
      <c r="I100" s="150">
        <f>'[18]Rev_SP-12me'!AA110</f>
        <v>8000</v>
      </c>
      <c r="J100" s="100"/>
      <c r="K100" s="150">
        <f>'[18]Rev_SP-12me'!AT110</f>
        <v>0</v>
      </c>
      <c r="L100" s="150">
        <f>'[18]Rev_SP-12me'!AU110</f>
        <v>0.220876204895096</v>
      </c>
      <c r="M100" s="150">
        <f>'[18]Rev_SP-12me'!AW110</f>
        <v>0</v>
      </c>
      <c r="N100" s="150">
        <f t="shared" si="2"/>
        <v>0.220876204895096</v>
      </c>
    </row>
    <row r="101" ht="25" customHeight="1" spans="2:14">
      <c r="B101" s="190" t="s">
        <v>1119</v>
      </c>
      <c r="C101" s="55"/>
      <c r="D101" s="139">
        <f>'[18]Rev_SP-12me'!AJ111</f>
        <v>0</v>
      </c>
      <c r="E101" s="139">
        <f>'[18]Rev_SP-12me'!AL111</f>
        <v>0</v>
      </c>
      <c r="F101" s="174">
        <f>'[18]Rev_SP-12me'!AQ111</f>
        <v>0.120812111999383</v>
      </c>
      <c r="G101" s="174">
        <f>'[18]Rev_SP-12me'!O111</f>
        <v>285</v>
      </c>
      <c r="H101" s="185">
        <f>'[18]Rev_SP-12me'!P111</f>
        <v>5</v>
      </c>
      <c r="I101" s="174">
        <f>'[18]Rev_SP-12me'!AA111</f>
        <v>2000</v>
      </c>
      <c r="J101" s="100"/>
      <c r="K101" s="174">
        <f>'[18]Rev_SP-12me'!AT111</f>
        <v>0</v>
      </c>
      <c r="L101" s="174">
        <f>'[18]Rev_SP-12me'!AU111</f>
        <v>0.0604060559996917</v>
      </c>
      <c r="M101" s="174">
        <f>'[18]Rev_SP-12me'!AW111</f>
        <v>0</v>
      </c>
      <c r="N101" s="153">
        <f t="shared" si="2"/>
        <v>0.0604060559996917</v>
      </c>
    </row>
    <row r="102" ht="25" customHeight="1" spans="2:14">
      <c r="B102" s="190" t="s">
        <v>1120</v>
      </c>
      <c r="C102" s="55"/>
      <c r="D102" s="139">
        <f>'[18]Rev_SP-12me'!AJ112</f>
        <v>0</v>
      </c>
      <c r="E102" s="139">
        <f>'[18]Rev_SP-12me'!AL112</f>
        <v>0</v>
      </c>
      <c r="F102" s="174">
        <f>'[18]Rev_SP-12me'!AQ112</f>
        <v>0.0806635734427484</v>
      </c>
      <c r="G102" s="174">
        <f>'[18]Rev_SP-12me'!O112</f>
        <v>0</v>
      </c>
      <c r="H102" s="185">
        <f>'[18]Rev_SP-12me'!P112</f>
        <v>6</v>
      </c>
      <c r="I102" s="174">
        <f>'[18]Rev_SP-12me'!AA112</f>
        <v>2000</v>
      </c>
      <c r="J102" s="100"/>
      <c r="K102" s="174">
        <f>'[18]Rev_SP-12me'!AT112</f>
        <v>0</v>
      </c>
      <c r="L102" s="174">
        <f>'[18]Rev_SP-12me'!AU112</f>
        <v>0.048398144065649</v>
      </c>
      <c r="M102" s="174">
        <f>'[18]Rev_SP-12me'!AW112</f>
        <v>0</v>
      </c>
      <c r="N102" s="153">
        <f t="shared" si="2"/>
        <v>0.048398144065649</v>
      </c>
    </row>
    <row r="103" ht="25" customHeight="1" spans="2:14">
      <c r="B103" s="190" t="s">
        <v>1121</v>
      </c>
      <c r="C103" s="55"/>
      <c r="D103" s="139">
        <f>'[18]Rev_SP-12me'!AJ113</f>
        <v>0</v>
      </c>
      <c r="E103" s="139">
        <f>'[18]Rev_SP-12me'!AL113</f>
        <v>0</v>
      </c>
      <c r="F103" s="174">
        <f>'[18]Rev_SP-12me'!AQ113</f>
        <v>0.0845551703962835</v>
      </c>
      <c r="G103" s="174">
        <f>'[18]Rev_SP-12me'!O113</f>
        <v>0</v>
      </c>
      <c r="H103" s="185">
        <f>'[18]Rev_SP-12me'!P113</f>
        <v>6</v>
      </c>
      <c r="I103" s="174">
        <f>'[18]Rev_SP-12me'!AA113</f>
        <v>2000</v>
      </c>
      <c r="J103" s="100"/>
      <c r="K103" s="174">
        <f>'[18]Rev_SP-12me'!AT113</f>
        <v>0</v>
      </c>
      <c r="L103" s="174">
        <f>'[18]Rev_SP-12me'!AU113</f>
        <v>0.0507331022377701</v>
      </c>
      <c r="M103" s="174">
        <f>'[18]Rev_SP-12me'!AW113</f>
        <v>0</v>
      </c>
      <c r="N103" s="153">
        <f t="shared" si="2"/>
        <v>0.0507331022377701</v>
      </c>
    </row>
    <row r="104" ht="25" customHeight="1" spans="2:14">
      <c r="B104" s="190" t="s">
        <v>1122</v>
      </c>
      <c r="C104" s="55"/>
      <c r="D104" s="139">
        <f>'[18]Rev_SP-12me'!AJ114</f>
        <v>0</v>
      </c>
      <c r="E104" s="139">
        <f>'[18]Rev_SP-12me'!AL114</f>
        <v>0</v>
      </c>
      <c r="F104" s="174">
        <f>'[18]Rev_SP-12me'!AQ114</f>
        <v>0.175254007405673</v>
      </c>
      <c r="G104" s="174">
        <f>'[18]Rev_SP-12me'!O114</f>
        <v>0</v>
      </c>
      <c r="H104" s="185">
        <f>'[18]Rev_SP-12me'!P114</f>
        <v>3.5</v>
      </c>
      <c r="I104" s="174">
        <f>'[18]Rev_SP-12me'!AA114</f>
        <v>2000</v>
      </c>
      <c r="J104" s="100"/>
      <c r="K104" s="174">
        <f>'[18]Rev_SP-12me'!AT114</f>
        <v>0</v>
      </c>
      <c r="L104" s="174">
        <f>'[18]Rev_SP-12me'!AU114</f>
        <v>0.0613389025919854</v>
      </c>
      <c r="M104" s="174">
        <f>'[18]Rev_SP-12me'!AW114</f>
        <v>0</v>
      </c>
      <c r="N104" s="153">
        <f t="shared" si="2"/>
        <v>0.0613389025919854</v>
      </c>
    </row>
    <row r="105" ht="25" customHeight="1" spans="2:14">
      <c r="B105" s="151" t="s">
        <v>1126</v>
      </c>
      <c r="C105" s="55"/>
      <c r="D105" s="136">
        <f>'[18]Rev_SP-12me'!AJ115</f>
        <v>14</v>
      </c>
      <c r="E105" s="136">
        <f>'[18]Rev_SP-12me'!AL115</f>
        <v>3.09676222963622</v>
      </c>
      <c r="F105" s="150">
        <f>'[18]Rev_SP-12me'!AQ115</f>
        <v>5.98000855702511</v>
      </c>
      <c r="G105" s="150">
        <f>'[18]Rev_SP-12me'!O115</f>
        <v>0</v>
      </c>
      <c r="H105" s="137">
        <f>'[18]Rev_SP-12me'!P115</f>
        <v>0</v>
      </c>
      <c r="I105" s="150">
        <f>'[18]Rev_SP-12me'!AA115</f>
        <v>0</v>
      </c>
      <c r="J105" s="100"/>
      <c r="K105" s="150">
        <f>'[18]Rev_SP-12me'!AT115</f>
        <v>1.48644587022538</v>
      </c>
      <c r="L105" s="150">
        <f>'[18]Rev_SP-12me'!AU115</f>
        <v>4.94917495269459</v>
      </c>
      <c r="M105" s="150">
        <f>'[18]Rev_SP-12me'!AW115</f>
        <v>0.0336</v>
      </c>
      <c r="N105" s="150">
        <f t="shared" si="2"/>
        <v>6.46922082291997</v>
      </c>
    </row>
    <row r="106" ht="25" customHeight="1" spans="2:14">
      <c r="B106" s="190" t="s">
        <v>1119</v>
      </c>
      <c r="C106" s="55"/>
      <c r="D106" s="139">
        <f>'[18]Rev_SP-12me'!AJ116</f>
        <v>14</v>
      </c>
      <c r="E106" s="139">
        <f>'[18]Rev_SP-12me'!AL116</f>
        <v>3.09676222963622</v>
      </c>
      <c r="F106" s="174">
        <f>'[18]Rev_SP-12me'!AQ116</f>
        <v>1.58563939801617</v>
      </c>
      <c r="G106" s="174">
        <f>'[18]Rev_SP-12me'!O116</f>
        <v>500</v>
      </c>
      <c r="H106" s="185">
        <f>'[18]Rev_SP-12me'!P116</f>
        <v>8.5</v>
      </c>
      <c r="I106" s="174">
        <f>'[18]Rev_SP-12me'!AA116</f>
        <v>2000</v>
      </c>
      <c r="J106" s="100"/>
      <c r="K106" s="174">
        <f>'[18]Rev_SP-12me'!AT116</f>
        <v>1.48644587022538</v>
      </c>
      <c r="L106" s="174">
        <f>'[18]Rev_SP-12me'!AU116</f>
        <v>1.34779348831374</v>
      </c>
      <c r="M106" s="174">
        <f>'[18]Rev_SP-12me'!AW116</f>
        <v>0.0336</v>
      </c>
      <c r="N106" s="153">
        <f t="shared" ref="N106:N124" si="3">SUM(K106:M106)</f>
        <v>2.86783935853912</v>
      </c>
    </row>
    <row r="107" ht="25" customHeight="1" spans="2:14">
      <c r="B107" s="190" t="s">
        <v>1120</v>
      </c>
      <c r="C107" s="55"/>
      <c r="D107" s="139">
        <f>'[18]Rev_SP-12me'!AJ117</f>
        <v>0</v>
      </c>
      <c r="E107" s="139">
        <f>'[18]Rev_SP-12me'!AL117</f>
        <v>0</v>
      </c>
      <c r="F107" s="174">
        <f>'[18]Rev_SP-12me'!AQ117</f>
        <v>1.05840909157171</v>
      </c>
      <c r="G107" s="174">
        <f>'[18]Rev_SP-12me'!O117</f>
        <v>0</v>
      </c>
      <c r="H107" s="185">
        <f>'[18]Rev_SP-12me'!P117</f>
        <v>9.5</v>
      </c>
      <c r="I107" s="174">
        <f>'[18]Rev_SP-12me'!AA117</f>
        <v>2000</v>
      </c>
      <c r="J107" s="100"/>
      <c r="K107" s="174">
        <f>'[18]Rev_SP-12me'!AT117</f>
        <v>0</v>
      </c>
      <c r="L107" s="174">
        <f>'[18]Rev_SP-12me'!AU117</f>
        <v>1.00548863699313</v>
      </c>
      <c r="M107" s="174">
        <f>'[18]Rev_SP-12me'!AW117</f>
        <v>0</v>
      </c>
      <c r="N107" s="153">
        <f t="shared" si="3"/>
        <v>1.00548863699313</v>
      </c>
    </row>
    <row r="108" ht="25" customHeight="1" spans="2:14">
      <c r="B108" s="190" t="s">
        <v>1121</v>
      </c>
      <c r="C108" s="55"/>
      <c r="D108" s="139">
        <f>'[18]Rev_SP-12me'!AJ118</f>
        <v>0</v>
      </c>
      <c r="E108" s="139">
        <f>'[18]Rev_SP-12me'!AL118</f>
        <v>0</v>
      </c>
      <c r="F108" s="174">
        <f>'[18]Rev_SP-12me'!AQ118</f>
        <v>1.04288312072663</v>
      </c>
      <c r="G108" s="174">
        <f>'[18]Rev_SP-12me'!O118</f>
        <v>0</v>
      </c>
      <c r="H108" s="185">
        <f>'[18]Rev_SP-12me'!P118</f>
        <v>9.5</v>
      </c>
      <c r="I108" s="174">
        <f>'[18]Rev_SP-12me'!AA118</f>
        <v>2000</v>
      </c>
      <c r="J108" s="100"/>
      <c r="K108" s="174">
        <f>'[18]Rev_SP-12me'!AT118</f>
        <v>0</v>
      </c>
      <c r="L108" s="174">
        <f>'[18]Rev_SP-12me'!AU118</f>
        <v>0.9907389646903</v>
      </c>
      <c r="M108" s="174">
        <f>'[18]Rev_SP-12me'!AW118</f>
        <v>0</v>
      </c>
      <c r="N108" s="153">
        <f t="shared" si="3"/>
        <v>0.9907389646903</v>
      </c>
    </row>
    <row r="109" ht="25" customHeight="1" spans="2:14">
      <c r="B109" s="190" t="s">
        <v>1122</v>
      </c>
      <c r="C109" s="55"/>
      <c r="D109" s="139">
        <f>'[18]Rev_SP-12me'!AJ119</f>
        <v>0</v>
      </c>
      <c r="E109" s="139">
        <f>'[18]Rev_SP-12me'!AL119</f>
        <v>0</v>
      </c>
      <c r="F109" s="174">
        <f>'[18]Rev_SP-12me'!AQ119</f>
        <v>2.29307694671059</v>
      </c>
      <c r="G109" s="174">
        <f>'[18]Rev_SP-12me'!O119</f>
        <v>0</v>
      </c>
      <c r="H109" s="185">
        <f>'[18]Rev_SP-12me'!P119</f>
        <v>7</v>
      </c>
      <c r="I109" s="174">
        <f>'[18]Rev_SP-12me'!AA119</f>
        <v>2000</v>
      </c>
      <c r="J109" s="100"/>
      <c r="K109" s="174">
        <f>'[18]Rev_SP-12me'!AT119</f>
        <v>0</v>
      </c>
      <c r="L109" s="174">
        <f>'[18]Rev_SP-12me'!AU119</f>
        <v>1.60515386269741</v>
      </c>
      <c r="M109" s="174">
        <f>'[18]Rev_SP-12me'!AW119</f>
        <v>0</v>
      </c>
      <c r="N109" s="153">
        <f t="shared" si="3"/>
        <v>1.60515386269741</v>
      </c>
    </row>
    <row r="110" ht="25" customHeight="1" spans="2:14">
      <c r="B110" s="151" t="s">
        <v>1127</v>
      </c>
      <c r="C110" s="55"/>
      <c r="D110" s="136">
        <f>'[18]Rev_SP-12me'!AJ120</f>
        <v>139</v>
      </c>
      <c r="E110" s="136">
        <f>'[18]Rev_SP-12me'!AL120</f>
        <v>28.2849246927044</v>
      </c>
      <c r="F110" s="150">
        <f>'[18]Rev_SP-12me'!AQ120</f>
        <v>24.98962991965</v>
      </c>
      <c r="G110" s="150">
        <f>'[18]Rev_SP-12me'!O120</f>
        <v>0</v>
      </c>
      <c r="H110" s="137">
        <f>'[18]Rev_SP-12me'!P120</f>
        <v>0</v>
      </c>
      <c r="I110" s="150">
        <f>'[18]Rev_SP-12me'!AA120</f>
        <v>0</v>
      </c>
      <c r="J110" s="100"/>
      <c r="K110" s="150">
        <f>'[18]Rev_SP-12me'!AT120</f>
        <v>4.87914950949152</v>
      </c>
      <c r="L110" s="150">
        <f>'[18]Rev_SP-12me'!AU120</f>
        <v>15.7434668493795</v>
      </c>
      <c r="M110" s="150">
        <f>'[18]Rev_SP-12me'!AW120</f>
        <v>0.3252</v>
      </c>
      <c r="N110" s="150">
        <f t="shared" si="3"/>
        <v>20.947816358871</v>
      </c>
    </row>
    <row r="111" ht="25" customHeight="1" spans="2:14">
      <c r="B111" s="190" t="s">
        <v>1128</v>
      </c>
      <c r="C111" s="55"/>
      <c r="D111" s="139">
        <f>'[18]Rev_SP-12me'!AJ121</f>
        <v>139</v>
      </c>
      <c r="E111" s="139">
        <f>'[18]Rev_SP-12me'!AL121</f>
        <v>28.2849246927044</v>
      </c>
      <c r="F111" s="174">
        <f>'[18]Rev_SP-12me'!AQ121</f>
        <v>24.98962991965</v>
      </c>
      <c r="G111" s="174">
        <f>'[18]Rev_SP-12me'!O121</f>
        <v>300</v>
      </c>
      <c r="H111" s="185">
        <f>'[18]Rev_SP-12me'!P121</f>
        <v>6.3</v>
      </c>
      <c r="I111" s="174">
        <f>'[18]Rev_SP-12me'!AA121</f>
        <v>2000</v>
      </c>
      <c r="J111" s="100"/>
      <c r="K111" s="174">
        <f>'[18]Rev_SP-12me'!AT121</f>
        <v>4.87914950949152</v>
      </c>
      <c r="L111" s="174">
        <f>'[18]Rev_SP-12me'!AU121</f>
        <v>15.7434668493795</v>
      </c>
      <c r="M111" s="174">
        <f>'[18]Rev_SP-12me'!AW121</f>
        <v>0.3252</v>
      </c>
      <c r="N111" s="153">
        <f t="shared" si="3"/>
        <v>20.947816358871</v>
      </c>
    </row>
    <row r="112" ht="25" customHeight="1" spans="2:14">
      <c r="B112" s="151" t="s">
        <v>1129</v>
      </c>
      <c r="C112" s="55"/>
      <c r="D112" s="136">
        <f>'[18]Rev_SP-12me'!AJ132</f>
        <v>123</v>
      </c>
      <c r="E112" s="136">
        <f>'[18]Rev_SP-12me'!AL132</f>
        <v>36.09984962745</v>
      </c>
      <c r="F112" s="150">
        <f>'[18]Rev_SP-12me'!AQ132</f>
        <v>138.018972117969</v>
      </c>
      <c r="G112" s="150">
        <f>'[18]Rev_SP-12me'!O132</f>
        <v>0</v>
      </c>
      <c r="H112" s="137">
        <f>'[18]Rev_SP-12me'!P132</f>
        <v>0</v>
      </c>
      <c r="I112" s="150">
        <f>'[18]Rev_SP-12me'!AA132</f>
        <v>0</v>
      </c>
      <c r="J112" s="100"/>
      <c r="K112" s="150">
        <f>'[18]Rev_SP-12me'!AT132</f>
        <v>0</v>
      </c>
      <c r="L112" s="150">
        <f>'[18]Rev_SP-12me'!AU132</f>
        <v>84.1915729919611</v>
      </c>
      <c r="M112" s="150">
        <f>'[18]Rev_SP-12me'!AW132</f>
        <v>0.2904</v>
      </c>
      <c r="N112" s="150">
        <f t="shared" si="3"/>
        <v>84.4819729919611</v>
      </c>
    </row>
    <row r="113" ht="25" customHeight="1" spans="2:14">
      <c r="B113" s="190" t="s">
        <v>220</v>
      </c>
      <c r="C113" s="55"/>
      <c r="D113" s="139">
        <f>'[18]Rev_SP-12me'!AJ133</f>
        <v>123</v>
      </c>
      <c r="E113" s="139">
        <f>'[18]Rev_SP-12me'!AL133</f>
        <v>36.09984962745</v>
      </c>
      <c r="F113" s="174">
        <f>'[18]Rev_SP-12me'!AQ133</f>
        <v>138.018972117969</v>
      </c>
      <c r="G113" s="174">
        <f>'[18]Rev_SP-12me'!O133</f>
        <v>0</v>
      </c>
      <c r="H113" s="185">
        <f>'[18]Rev_SP-12me'!P133</f>
        <v>6.1</v>
      </c>
      <c r="I113" s="174">
        <f>'[18]Rev_SP-12me'!AA133</f>
        <v>2000</v>
      </c>
      <c r="J113" s="100"/>
      <c r="K113" s="174">
        <f>'[18]Rev_SP-12me'!AT133</f>
        <v>0</v>
      </c>
      <c r="L113" s="174">
        <f>'[18]Rev_SP-12me'!AU133</f>
        <v>84.1915729919611</v>
      </c>
      <c r="M113" s="174">
        <f>'[18]Rev_SP-12me'!AW133</f>
        <v>0.2904</v>
      </c>
      <c r="N113" s="153">
        <f t="shared" si="3"/>
        <v>84.4819729919611</v>
      </c>
    </row>
    <row r="114" ht="25" customHeight="1" spans="2:14">
      <c r="B114" s="190" t="s">
        <v>1130</v>
      </c>
      <c r="C114" s="55"/>
      <c r="D114" s="139">
        <f>'[18]Rev_SP-12me'!AJ134</f>
        <v>0</v>
      </c>
      <c r="E114" s="139">
        <f>'[18]Rev_SP-12me'!AL134</f>
        <v>0</v>
      </c>
      <c r="F114" s="174">
        <f>'[18]Rev_SP-12me'!AQ134</f>
        <v>0</v>
      </c>
      <c r="G114" s="174">
        <f>'[18]Rev_SP-12me'!O134</f>
        <v>0</v>
      </c>
      <c r="H114" s="185">
        <f>'[18]Rev_SP-12me'!P134</f>
        <v>0</v>
      </c>
      <c r="I114" s="174">
        <f>'[18]Rev_SP-12me'!AA134</f>
        <v>2000</v>
      </c>
      <c r="J114" s="100"/>
      <c r="K114" s="174">
        <f>'[18]Rev_SP-12me'!AT134</f>
        <v>0</v>
      </c>
      <c r="L114" s="174">
        <f>'[18]Rev_SP-12me'!AU134</f>
        <v>0</v>
      </c>
      <c r="M114" s="174">
        <f>'[18]Rev_SP-12me'!AW134</f>
        <v>0</v>
      </c>
      <c r="N114" s="153">
        <f t="shared" si="3"/>
        <v>0</v>
      </c>
    </row>
    <row r="115" ht="25" customHeight="1" spans="2:14">
      <c r="B115" s="151" t="s">
        <v>1131</v>
      </c>
      <c r="C115" s="55"/>
      <c r="D115" s="136">
        <f>'[18]Rev_SP-12me'!AJ122</f>
        <v>0</v>
      </c>
      <c r="E115" s="136">
        <f>'[18]Rev_SP-12me'!AL122</f>
        <v>0</v>
      </c>
      <c r="F115" s="150">
        <f>'[18]Rev_SP-12me'!AQ122</f>
        <v>0</v>
      </c>
      <c r="G115" s="150">
        <f>'[18]Rev_SP-12me'!O122</f>
        <v>500</v>
      </c>
      <c r="H115" s="137">
        <f>'[18]Rev_SP-12me'!P122</f>
        <v>5.05</v>
      </c>
      <c r="I115" s="150">
        <f>'[18]Rev_SP-12me'!AA122</f>
        <v>0</v>
      </c>
      <c r="J115" s="100"/>
      <c r="K115" s="150">
        <f>'[18]Rev_SP-12me'!AT122</f>
        <v>0</v>
      </c>
      <c r="L115" s="150">
        <f>'[18]Rev_SP-12me'!AU122</f>
        <v>0</v>
      </c>
      <c r="M115" s="150">
        <f>'[18]Rev_SP-12me'!AW122</f>
        <v>0</v>
      </c>
      <c r="N115" s="150">
        <f t="shared" si="3"/>
        <v>0</v>
      </c>
    </row>
    <row r="116" ht="25" customHeight="1" spans="2:14">
      <c r="B116" s="151" t="s">
        <v>1132</v>
      </c>
      <c r="C116" s="55"/>
      <c r="D116" s="136">
        <f>'[18]Rev_SP-12me'!AJ123</f>
        <v>0</v>
      </c>
      <c r="E116" s="136">
        <f>'[18]Rev_SP-12me'!AL123</f>
        <v>0</v>
      </c>
      <c r="F116" s="150">
        <f>'[18]Rev_SP-12me'!AQ123</f>
        <v>0</v>
      </c>
      <c r="G116" s="150">
        <f>'[18]Rev_SP-12me'!O123</f>
        <v>500</v>
      </c>
      <c r="H116" s="137">
        <f>'[18]Rev_SP-12me'!P123</f>
        <v>4.95</v>
      </c>
      <c r="I116" s="150">
        <f>'[18]Rev_SP-12me'!AA123</f>
        <v>0</v>
      </c>
      <c r="J116" s="100"/>
      <c r="K116" s="150">
        <f>'[18]Rev_SP-12me'!AT123</f>
        <v>0</v>
      </c>
      <c r="L116" s="150">
        <f>'[18]Rev_SP-12me'!AU123</f>
        <v>0</v>
      </c>
      <c r="M116" s="150">
        <f>'[18]Rev_SP-12me'!AW123</f>
        <v>0</v>
      </c>
      <c r="N116" s="150">
        <f t="shared" si="3"/>
        <v>0</v>
      </c>
    </row>
    <row r="117" ht="25" customHeight="1" spans="2:14">
      <c r="B117" s="151" t="s">
        <v>919</v>
      </c>
      <c r="C117" s="55"/>
      <c r="D117" s="136">
        <f>'[18]Rev_SP-12me'!AJ124</f>
        <v>237</v>
      </c>
      <c r="E117" s="136">
        <f>'[18]Rev_SP-12me'!AL124</f>
        <v>90.8951923481818</v>
      </c>
      <c r="F117" s="150">
        <f>'[18]Rev_SP-12me'!AQ124</f>
        <v>329.15660398209</v>
      </c>
      <c r="G117" s="150">
        <f>'[18]Rev_SP-12me'!O124</f>
        <v>285</v>
      </c>
      <c r="H117" s="137">
        <f>'[18]Rev_SP-12me'!P124</f>
        <v>7.3</v>
      </c>
      <c r="I117" s="150">
        <f>'[18]Rev_SP-12me'!AA124</f>
        <v>2000</v>
      </c>
      <c r="J117" s="100"/>
      <c r="K117" s="150">
        <f>'[18]Rev_SP-12me'!AT124</f>
        <v>24.8689246264625</v>
      </c>
      <c r="L117" s="150">
        <f>'[18]Rev_SP-12me'!AU124</f>
        <v>240.284320906926</v>
      </c>
      <c r="M117" s="150">
        <f>'[18]Rev_SP-12me'!AW124</f>
        <v>0.5424</v>
      </c>
      <c r="N117" s="150">
        <f t="shared" si="3"/>
        <v>265.695645533388</v>
      </c>
    </row>
    <row r="118" ht="25" customHeight="1" spans="2:14">
      <c r="B118" s="151" t="s">
        <v>1133</v>
      </c>
      <c r="C118" s="55"/>
      <c r="D118" s="136">
        <f>'[18]Rev_SP-12me'!AJ125</f>
        <v>656</v>
      </c>
      <c r="E118" s="136">
        <f>'[18]Rev_SP-12me'!AL125</f>
        <v>161.041086101677</v>
      </c>
      <c r="F118" s="150">
        <f>'[18]Rev_SP-12me'!AQ125</f>
        <v>271.726363747655</v>
      </c>
      <c r="G118" s="150">
        <f>'[18]Rev_SP-12me'!O125</f>
        <v>500</v>
      </c>
      <c r="H118" s="137">
        <f>'[18]Rev_SP-12me'!P125</f>
        <v>11.8</v>
      </c>
      <c r="I118" s="150">
        <f>'[18]Rev_SP-12me'!AA125</f>
        <v>2000</v>
      </c>
      <c r="J118" s="100"/>
      <c r="K118" s="150">
        <f>'[18]Rev_SP-12me'!AT125</f>
        <v>77.2997213288052</v>
      </c>
      <c r="L118" s="150">
        <f>'[18]Rev_SP-12me'!AU125</f>
        <v>320.637109222233</v>
      </c>
      <c r="M118" s="150">
        <f>'[18]Rev_SP-12me'!AW125</f>
        <v>1.5168</v>
      </c>
      <c r="N118" s="150">
        <f t="shared" si="3"/>
        <v>399.453630551038</v>
      </c>
    </row>
    <row r="119" ht="25" customHeight="1" spans="2:14">
      <c r="B119" s="151" t="s">
        <v>1134</v>
      </c>
      <c r="C119" s="55"/>
      <c r="D119" s="136">
        <f>'[18]Rev_SP-12me'!AJ126</f>
        <v>0</v>
      </c>
      <c r="E119" s="136">
        <f>'[18]Rev_SP-12me'!AL126</f>
        <v>0</v>
      </c>
      <c r="F119" s="150">
        <f>'[18]Rev_SP-12me'!AQ126</f>
        <v>0</v>
      </c>
      <c r="G119" s="150">
        <f>'[18]Rev_SP-12me'!O126</f>
        <v>0</v>
      </c>
      <c r="H119" s="137">
        <f>'[18]Rev_SP-12me'!P126</f>
        <v>4.77</v>
      </c>
      <c r="I119" s="150">
        <f>'[18]Rev_SP-12me'!AA126</f>
        <v>2000</v>
      </c>
      <c r="J119" s="100"/>
      <c r="K119" s="150">
        <f>'[18]Rev_SP-12me'!AT126</f>
        <v>0</v>
      </c>
      <c r="L119" s="150">
        <f>'[18]Rev_SP-12me'!AU126</f>
        <v>0</v>
      </c>
      <c r="M119" s="150">
        <f>'[18]Rev_SP-12me'!AW126</f>
        <v>0</v>
      </c>
      <c r="N119" s="150">
        <f t="shared" si="3"/>
        <v>0</v>
      </c>
    </row>
    <row r="120" ht="25" customHeight="1" spans="2:14">
      <c r="B120" s="151" t="s">
        <v>1135</v>
      </c>
      <c r="C120" s="55"/>
      <c r="D120" s="136">
        <f>'[18]Rev_SP-12me'!AJ127</f>
        <v>33</v>
      </c>
      <c r="E120" s="136">
        <f>'[18]Rev_SP-12me'!AL127</f>
        <v>12.2547840778932</v>
      </c>
      <c r="F120" s="150">
        <f>'[18]Rev_SP-12me'!AQ127</f>
        <v>71.3525124061748</v>
      </c>
      <c r="G120" s="150">
        <f>'[18]Rev_SP-12me'!O127</f>
        <v>0</v>
      </c>
      <c r="H120" s="137">
        <f>'[18]Rev_SP-12me'!P127</f>
        <v>0</v>
      </c>
      <c r="I120" s="150">
        <f>'[18]Rev_SP-12me'!AA127</f>
        <v>2000</v>
      </c>
      <c r="J120" s="100"/>
      <c r="K120" s="150">
        <f>'[18]Rev_SP-12me'!AT127</f>
        <v>1.17645927147775</v>
      </c>
      <c r="L120" s="150">
        <f>'[18]Rev_SP-12me'!AU127</f>
        <v>40.8951857048347</v>
      </c>
      <c r="M120" s="150">
        <f>'[18]Rev_SP-12me'!AW127</f>
        <v>0.072</v>
      </c>
      <c r="N120" s="150">
        <f t="shared" si="3"/>
        <v>42.1436449763125</v>
      </c>
    </row>
    <row r="121" ht="25" customHeight="1" spans="2:14">
      <c r="B121" s="192" t="s">
        <v>1119</v>
      </c>
      <c r="C121" s="55"/>
      <c r="D121" s="139">
        <f>'[18]Rev_SP-12me'!AJ128</f>
        <v>33</v>
      </c>
      <c r="E121" s="139">
        <f>'[18]Rev_SP-12me'!AL128</f>
        <v>12.2547840778932</v>
      </c>
      <c r="F121" s="174">
        <f>'[18]Rev_SP-12me'!AQ128</f>
        <v>31.476681132031</v>
      </c>
      <c r="G121" s="174">
        <f>'[18]Rev_SP-12me'!O128</f>
        <v>100</v>
      </c>
      <c r="H121" s="185">
        <f>'[18]Rev_SP-12me'!P128</f>
        <v>6</v>
      </c>
      <c r="I121" s="174">
        <f>'[18]Rev_SP-12me'!AA128</f>
        <v>2000</v>
      </c>
      <c r="J121" s="100"/>
      <c r="K121" s="174">
        <f>'[18]Rev_SP-12me'!AT128</f>
        <v>1.17645927147775</v>
      </c>
      <c r="L121" s="174">
        <f>'[18]Rev_SP-12me'!AU128</f>
        <v>18.8860086792186</v>
      </c>
      <c r="M121" s="174">
        <f>'[18]Rev_SP-12me'!AW128</f>
        <v>0.072</v>
      </c>
      <c r="N121" s="153">
        <f t="shared" si="3"/>
        <v>20.1344679506964</v>
      </c>
    </row>
    <row r="122" ht="25" customHeight="1" spans="2:14">
      <c r="B122" s="192" t="s">
        <v>1120</v>
      </c>
      <c r="C122" s="55"/>
      <c r="D122" s="139">
        <f>'[18]Rev_SP-12me'!AJ129</f>
        <v>0</v>
      </c>
      <c r="E122" s="139">
        <f>'[18]Rev_SP-12me'!AL129</f>
        <v>0</v>
      </c>
      <c r="F122" s="174">
        <f>'[18]Rev_SP-12me'!AQ129</f>
        <v>8.144482986054</v>
      </c>
      <c r="G122" s="174">
        <f>'[18]Rev_SP-12me'!O129</f>
        <v>0</v>
      </c>
      <c r="H122" s="185">
        <f>'[18]Rev_SP-12me'!P129</f>
        <v>7</v>
      </c>
      <c r="I122" s="174">
        <f>'[18]Rev_SP-12me'!AA129</f>
        <v>2000</v>
      </c>
      <c r="J122" s="100"/>
      <c r="K122" s="174">
        <f>'[18]Rev_SP-12me'!AT129</f>
        <v>0</v>
      </c>
      <c r="L122" s="174">
        <f>'[18]Rev_SP-12me'!AU129</f>
        <v>5.7011380902378</v>
      </c>
      <c r="M122" s="174">
        <f>'[18]Rev_SP-12me'!AW129</f>
        <v>0</v>
      </c>
      <c r="N122" s="153">
        <f t="shared" si="3"/>
        <v>5.7011380902378</v>
      </c>
    </row>
    <row r="123" ht="25" customHeight="1" spans="2:14">
      <c r="B123" s="192" t="s">
        <v>1121</v>
      </c>
      <c r="C123" s="55"/>
      <c r="D123" s="139">
        <f>'[18]Rev_SP-12me'!AJ130</f>
        <v>0</v>
      </c>
      <c r="E123" s="139">
        <f>'[18]Rev_SP-12me'!AL130</f>
        <v>0</v>
      </c>
      <c r="F123" s="174">
        <f>'[18]Rev_SP-12me'!AQ130</f>
        <v>8.11572882295136</v>
      </c>
      <c r="G123" s="174">
        <f>'[18]Rev_SP-12me'!O130</f>
        <v>0</v>
      </c>
      <c r="H123" s="185">
        <f>'[18]Rev_SP-12me'!P130</f>
        <v>7</v>
      </c>
      <c r="I123" s="174">
        <f>'[18]Rev_SP-12me'!AA130</f>
        <v>2000</v>
      </c>
      <c r="J123" s="100"/>
      <c r="K123" s="174">
        <f>'[18]Rev_SP-12me'!AT130</f>
        <v>0</v>
      </c>
      <c r="L123" s="174">
        <f>'[18]Rev_SP-12me'!AU130</f>
        <v>5.68101017606595</v>
      </c>
      <c r="M123" s="174">
        <f>'[18]Rev_SP-12me'!AW130</f>
        <v>0</v>
      </c>
      <c r="N123" s="153">
        <f t="shared" si="3"/>
        <v>5.68101017606595</v>
      </c>
    </row>
    <row r="124" ht="25" customHeight="1" spans="2:14">
      <c r="B124" s="192" t="s">
        <v>1122</v>
      </c>
      <c r="C124" s="55"/>
      <c r="D124" s="139">
        <f>'[18]Rev_SP-12me'!AJ131</f>
        <v>0</v>
      </c>
      <c r="E124" s="139">
        <f>'[18]Rev_SP-12me'!AL131</f>
        <v>0</v>
      </c>
      <c r="F124" s="174">
        <f>'[18]Rev_SP-12me'!AQ131</f>
        <v>23.6156194651384</v>
      </c>
      <c r="G124" s="174">
        <f>'[18]Rev_SP-12me'!O131</f>
        <v>0</v>
      </c>
      <c r="H124" s="185">
        <f>'[18]Rev_SP-12me'!P131</f>
        <v>4.5</v>
      </c>
      <c r="I124" s="174">
        <f>'[18]Rev_SP-12me'!AA131</f>
        <v>2000</v>
      </c>
      <c r="J124" s="100"/>
      <c r="K124" s="174">
        <f>'[18]Rev_SP-12me'!AT131</f>
        <v>0</v>
      </c>
      <c r="L124" s="174">
        <f>'[18]Rev_SP-12me'!AU131</f>
        <v>10.6270287593123</v>
      </c>
      <c r="M124" s="174">
        <f>'[18]Rev_SP-12me'!AW131</f>
        <v>0</v>
      </c>
      <c r="N124" s="153">
        <f t="shared" si="3"/>
        <v>10.6270287593123</v>
      </c>
    </row>
    <row r="125" ht="25" customHeight="1" spans="2:14">
      <c r="B125" s="157" t="s">
        <v>1136</v>
      </c>
      <c r="C125" s="55"/>
      <c r="D125" s="148">
        <f>SUM(D74,D89,D94,D95,D100,D105,D110,D112,D115,D116,D117,D118,D119,D120)</f>
        <v>12784</v>
      </c>
      <c r="E125" s="148">
        <f>SUM(E74,E89,E94,E95,E100,E105,E110,E112,E115,E116,E117,E118,E119,E120)</f>
        <v>2977.71952060173</v>
      </c>
      <c r="F125" s="148">
        <f>SUM(F74,F89,F94,F95,F100,F105,F110,F112,F115,F116,F117,F118,F119,F120)</f>
        <v>8039.86897577117</v>
      </c>
      <c r="G125" s="193"/>
      <c r="H125" s="193"/>
      <c r="I125" s="193"/>
      <c r="J125" s="193"/>
      <c r="K125" s="148">
        <f>SUM(K74,K89,K94,K95,K100,K105,K110,K112,K115,K116,K117,K118,K119,K120)</f>
        <v>1379.81322293807</v>
      </c>
      <c r="L125" s="148">
        <f>SUM(L74,L89,L94,L95,L100,L105,L110,L112,L115,L116,L117,L118,L119,L120)</f>
        <v>6457.11374055741</v>
      </c>
      <c r="M125" s="148">
        <f>SUM(M74,M89,M94,M95,M100,M105,M110,M112,M115,M116,M117,M118,M119,M120)</f>
        <v>29.5464</v>
      </c>
      <c r="N125" s="149">
        <f>SUM(N74,N89,N94,N95,N100,N105,N110,N112,N115,N116,N117,N118,N119,N120)</f>
        <v>7866.47336349548</v>
      </c>
    </row>
    <row r="126" ht="25" customHeight="1" spans="2:14">
      <c r="B126" s="55"/>
      <c r="C126" s="55"/>
      <c r="F126" s="13"/>
      <c r="G126" s="13"/>
      <c r="H126" s="13"/>
      <c r="I126" s="13"/>
      <c r="J126" s="13"/>
      <c r="K126" s="13"/>
      <c r="L126" s="13"/>
      <c r="M126" s="13"/>
      <c r="N126" s="13"/>
    </row>
    <row r="127" ht="25" customHeight="1" spans="2:14">
      <c r="B127" s="151" t="s">
        <v>212</v>
      </c>
      <c r="C127" s="55"/>
      <c r="D127" s="55"/>
      <c r="E127" s="55"/>
      <c r="F127" s="100"/>
      <c r="G127" s="100"/>
      <c r="H127" s="100"/>
      <c r="I127" s="100"/>
      <c r="J127" s="100"/>
      <c r="K127" s="100"/>
      <c r="L127" s="100"/>
      <c r="M127" s="100"/>
      <c r="N127" s="100"/>
    </row>
    <row r="128" ht="25" customHeight="1" spans="2:14">
      <c r="B128" s="151" t="s">
        <v>1137</v>
      </c>
      <c r="C128" s="55"/>
      <c r="D128" s="136">
        <f>'[18]Rev_SP-12me'!AJ149</f>
        <v>483</v>
      </c>
      <c r="E128" s="136">
        <f>'[18]Rev_SP-12me'!AL149</f>
        <v>1291.2983748</v>
      </c>
      <c r="F128" s="150">
        <f>F129+F137</f>
        <v>7622.9899264973</v>
      </c>
      <c r="G128" s="150">
        <f>'[18]Rev_SP-12me'!O149</f>
        <v>0</v>
      </c>
      <c r="H128" s="137">
        <f>'[18]Rev_SP-12me'!P149</f>
        <v>0</v>
      </c>
      <c r="I128" s="150">
        <f>'[18]Rev_SP-12me'!AA149</f>
        <v>0</v>
      </c>
      <c r="J128" s="100"/>
      <c r="K128" s="150">
        <f>'[18]Rev_SP-12me'!AT149</f>
        <v>619.823219904</v>
      </c>
      <c r="L128" s="150">
        <f>'[18]Rev_SP-12me'!AU149</f>
        <v>5343.78446359209</v>
      </c>
      <c r="M128" s="150">
        <f>'[18]Rev_SP-12me'!AW149</f>
        <v>1.9278</v>
      </c>
      <c r="N128" s="150">
        <f t="shared" ref="N128:N172" si="4">SUM(K128:M128)</f>
        <v>5965.53548349609</v>
      </c>
    </row>
    <row r="129" ht="25" customHeight="1" spans="2:14">
      <c r="B129" s="159" t="s">
        <v>1138</v>
      </c>
      <c r="C129" s="55"/>
      <c r="D129" s="138">
        <f>'[18]Rev_SP-12me'!AJ150</f>
        <v>483</v>
      </c>
      <c r="E129" s="138">
        <f>'[18]Rev_SP-12me'!AL150</f>
        <v>1291.2983748</v>
      </c>
      <c r="F129" s="153">
        <f>'[18]Rev_SP-12me'!AQ150</f>
        <v>7592.24610801615</v>
      </c>
      <c r="G129" s="153">
        <f>'[18]Rev_SP-12me'!O150</f>
        <v>0</v>
      </c>
      <c r="H129" s="101">
        <f>'[18]Rev_SP-12me'!P150</f>
        <v>0</v>
      </c>
      <c r="I129" s="153">
        <f>'[18]Rev_SP-12me'!AA150</f>
        <v>0</v>
      </c>
      <c r="J129" s="100"/>
      <c r="K129" s="153">
        <f>'[18]Rev_SP-12me'!AT150</f>
        <v>619.823219904</v>
      </c>
      <c r="L129" s="153">
        <f>'[18]Rev_SP-12me'!AU150</f>
        <v>5322.3935113409</v>
      </c>
      <c r="M129" s="153">
        <f>'[18]Rev_SP-12me'!AW150</f>
        <v>1.9278</v>
      </c>
      <c r="N129" s="153">
        <f t="shared" si="4"/>
        <v>5944.1445312449</v>
      </c>
    </row>
    <row r="130" ht="25" customHeight="1" spans="2:14">
      <c r="B130" s="190" t="s">
        <v>1105</v>
      </c>
      <c r="C130" s="55"/>
      <c r="D130" s="139">
        <f>'[18]Rev_SP-12me'!AJ151</f>
        <v>483</v>
      </c>
      <c r="E130" s="139">
        <f>'[18]Rev_SP-12me'!AL151</f>
        <v>1291.2983748</v>
      </c>
      <c r="F130" s="174">
        <f>'[18]Rev_SP-12me'!AQ151</f>
        <v>2294.22292541284</v>
      </c>
      <c r="G130" s="153">
        <f>'[18]Rev_SP-12me'!O151</f>
        <v>500</v>
      </c>
      <c r="H130" s="101">
        <f>'[18]Rev_SP-12me'!P151</f>
        <v>7.15</v>
      </c>
      <c r="I130" s="153">
        <f>'[18]Rev_SP-12me'!AA151</f>
        <v>3500</v>
      </c>
      <c r="J130" s="100"/>
      <c r="K130" s="174">
        <f>'[18]Rev_SP-12me'!AT151</f>
        <v>619.823219904</v>
      </c>
      <c r="L130" s="174">
        <f>'[18]Rev_SP-12me'!AU151</f>
        <v>1640.36939167018</v>
      </c>
      <c r="M130" s="174">
        <f>'[18]Rev_SP-12me'!AW151</f>
        <v>1.9278</v>
      </c>
      <c r="N130" s="153">
        <f t="shared" si="4"/>
        <v>2262.12041157418</v>
      </c>
    </row>
    <row r="131" ht="25" customHeight="1" spans="2:14">
      <c r="B131" s="190" t="s">
        <v>1139</v>
      </c>
      <c r="C131" s="55"/>
      <c r="D131" s="139">
        <f>'[18]Rev_SP-12me'!AJ152</f>
        <v>0</v>
      </c>
      <c r="E131" s="139">
        <f>'[18]Rev_SP-12me'!AL152</f>
        <v>0</v>
      </c>
      <c r="F131" s="174">
        <f>'[18]Rev_SP-12me'!AQ152</f>
        <v>323.142214274049</v>
      </c>
      <c r="G131" s="153">
        <f>'[18]Rev_SP-12me'!O152</f>
        <v>0</v>
      </c>
      <c r="H131" s="101">
        <f>'[18]Rev_SP-12me'!P152</f>
        <v>7.15</v>
      </c>
      <c r="I131" s="153">
        <f>'[18]Rev_SP-12me'!AA152</f>
        <v>3500</v>
      </c>
      <c r="J131" s="100"/>
      <c r="K131" s="174">
        <f>'[18]Rev_SP-12me'!AT152</f>
        <v>0</v>
      </c>
      <c r="L131" s="174">
        <f>'[18]Rev_SP-12me'!AU152</f>
        <v>231.046683205945</v>
      </c>
      <c r="M131" s="174">
        <f>'[18]Rev_SP-12me'!AW152</f>
        <v>0</v>
      </c>
      <c r="N131" s="153">
        <f t="shared" si="4"/>
        <v>231.046683205945</v>
      </c>
    </row>
    <row r="132" ht="25" customHeight="1" spans="2:14">
      <c r="B132" s="190" t="s">
        <v>1140</v>
      </c>
      <c r="C132" s="55"/>
      <c r="D132" s="139">
        <f>'[18]Rev_SP-12me'!AJ153</f>
        <v>0</v>
      </c>
      <c r="E132" s="139">
        <f>'[18]Rev_SP-12me'!AL153</f>
        <v>0</v>
      </c>
      <c r="F132" s="174">
        <f>'[18]Rev_SP-12me'!AQ153</f>
        <v>182.929164702926</v>
      </c>
      <c r="G132" s="153">
        <f>'[18]Rev_SP-12me'!O153</f>
        <v>0</v>
      </c>
      <c r="H132" s="101">
        <f>'[18]Rev_SP-12me'!P153</f>
        <v>7.3</v>
      </c>
      <c r="I132" s="153">
        <f>'[18]Rev_SP-12me'!AA153</f>
        <v>3500</v>
      </c>
      <c r="J132" s="100"/>
      <c r="K132" s="174">
        <f>'[18]Rev_SP-12me'!AT153</f>
        <v>0</v>
      </c>
      <c r="L132" s="174">
        <f>'[18]Rev_SP-12me'!AU153</f>
        <v>133.538290233136</v>
      </c>
      <c r="M132" s="174">
        <f>'[18]Rev_SP-12me'!AW153</f>
        <v>0</v>
      </c>
      <c r="N132" s="153">
        <f t="shared" si="4"/>
        <v>133.538290233136</v>
      </c>
    </row>
    <row r="133" ht="25" customHeight="1" spans="2:14">
      <c r="B133" s="190" t="s">
        <v>1141</v>
      </c>
      <c r="C133" s="55"/>
      <c r="D133" s="139">
        <f>'[18]Rev_SP-12me'!AJ154</f>
        <v>0</v>
      </c>
      <c r="E133" s="139">
        <f>'[18]Rev_SP-12me'!AL154</f>
        <v>0</v>
      </c>
      <c r="F133" s="174">
        <f>'[18]Rev_SP-12me'!AQ154</f>
        <v>1.69096767584997</v>
      </c>
      <c r="G133" s="153">
        <f>'[18]Rev_SP-12me'!O154</f>
        <v>500</v>
      </c>
      <c r="H133" s="101">
        <f>'[18]Rev_SP-12me'!P154</f>
        <v>7.9</v>
      </c>
      <c r="I133" s="153">
        <f>'[18]Rev_SP-12me'!AA154</f>
        <v>3500</v>
      </c>
      <c r="J133" s="100"/>
      <c r="K133" s="174">
        <f>'[18]Rev_SP-12me'!AT154</f>
        <v>0</v>
      </c>
      <c r="L133" s="174">
        <f>'[18]Rev_SP-12me'!AU154</f>
        <v>1.33586446392148</v>
      </c>
      <c r="M133" s="174">
        <f>'[18]Rev_SP-12me'!AW154</f>
        <v>0</v>
      </c>
      <c r="N133" s="153">
        <f t="shared" si="4"/>
        <v>1.33586446392148</v>
      </c>
    </row>
    <row r="134" ht="25" customHeight="1" spans="2:14">
      <c r="B134" s="192" t="s">
        <v>1120</v>
      </c>
      <c r="C134" s="55"/>
      <c r="D134" s="139">
        <f>'[18]Rev_SP-12me'!AJ155</f>
        <v>0</v>
      </c>
      <c r="E134" s="139">
        <f>'[18]Rev_SP-12me'!AL155</f>
        <v>0</v>
      </c>
      <c r="F134" s="174">
        <f>'[18]Rev_SP-12me'!AQ155</f>
        <v>1218.64597089311</v>
      </c>
      <c r="G134" s="153">
        <f>'[18]Rev_SP-12me'!O155</f>
        <v>0</v>
      </c>
      <c r="H134" s="101">
        <f>'[18]Rev_SP-12me'!P155</f>
        <v>8.15</v>
      </c>
      <c r="I134" s="153">
        <f>'[18]Rev_SP-12me'!AA155</f>
        <v>3500</v>
      </c>
      <c r="J134" s="100"/>
      <c r="K134" s="174">
        <f>'[18]Rev_SP-12me'!AT155</f>
        <v>0</v>
      </c>
      <c r="L134" s="174">
        <f>'[18]Rev_SP-12me'!AU155</f>
        <v>993.196466277889</v>
      </c>
      <c r="M134" s="174">
        <f>'[18]Rev_SP-12me'!AW155</f>
        <v>0</v>
      </c>
      <c r="N134" s="153">
        <f t="shared" si="4"/>
        <v>993.196466277889</v>
      </c>
    </row>
    <row r="135" ht="25" customHeight="1" spans="2:14">
      <c r="B135" s="192" t="s">
        <v>1121</v>
      </c>
      <c r="C135" s="55"/>
      <c r="D135" s="139">
        <f>'[18]Rev_SP-12me'!AJ156</f>
        <v>0</v>
      </c>
      <c r="E135" s="139">
        <f>'[18]Rev_SP-12me'!AL156</f>
        <v>0</v>
      </c>
      <c r="F135" s="174">
        <f>'[18]Rev_SP-12me'!AQ156</f>
        <v>1219.77766692967</v>
      </c>
      <c r="G135" s="153">
        <f>'[18]Rev_SP-12me'!O156</f>
        <v>0</v>
      </c>
      <c r="H135" s="101">
        <f>'[18]Rev_SP-12me'!P156</f>
        <v>8.15</v>
      </c>
      <c r="I135" s="153">
        <f>'[18]Rev_SP-12me'!AA156</f>
        <v>3500</v>
      </c>
      <c r="J135" s="100"/>
      <c r="K135" s="174">
        <f>'[18]Rev_SP-12me'!AT156</f>
        <v>0</v>
      </c>
      <c r="L135" s="174">
        <f>'[18]Rev_SP-12me'!AU156</f>
        <v>994.118798547677</v>
      </c>
      <c r="M135" s="174">
        <f>'[18]Rev_SP-12me'!AW156</f>
        <v>0</v>
      </c>
      <c r="N135" s="153">
        <f t="shared" si="4"/>
        <v>994.118798547677</v>
      </c>
    </row>
    <row r="136" ht="25" customHeight="1" spans="2:14">
      <c r="B136" s="192" t="s">
        <v>1122</v>
      </c>
      <c r="C136" s="55"/>
      <c r="D136" s="139">
        <f>'[18]Rev_SP-12me'!AJ157</f>
        <v>0</v>
      </c>
      <c r="E136" s="139">
        <f>'[18]Rev_SP-12me'!AL157</f>
        <v>0</v>
      </c>
      <c r="F136" s="174">
        <f>'[18]Rev_SP-12me'!AQ157</f>
        <v>2351.83719812771</v>
      </c>
      <c r="G136" s="153">
        <f>'[18]Rev_SP-12me'!O157</f>
        <v>0</v>
      </c>
      <c r="H136" s="101">
        <f>'[18]Rev_SP-12me'!P157</f>
        <v>5.65</v>
      </c>
      <c r="I136" s="153">
        <f>'[18]Rev_SP-12me'!AA157</f>
        <v>3500</v>
      </c>
      <c r="J136" s="100"/>
      <c r="K136" s="174">
        <f>'[18]Rev_SP-12me'!AT157</f>
        <v>0</v>
      </c>
      <c r="L136" s="174">
        <f>'[18]Rev_SP-12me'!AU157</f>
        <v>1328.78801694216</v>
      </c>
      <c r="M136" s="174">
        <f>'[18]Rev_SP-12me'!AW157</f>
        <v>0</v>
      </c>
      <c r="N136" s="153">
        <f t="shared" si="4"/>
        <v>1328.78801694216</v>
      </c>
    </row>
    <row r="137" ht="25" customHeight="1" spans="2:14">
      <c r="B137" s="151" t="s">
        <v>1113</v>
      </c>
      <c r="C137" s="55"/>
      <c r="D137" s="138">
        <f>'[18]Rev_SP-12me'!AJ158</f>
        <v>0</v>
      </c>
      <c r="E137" s="138">
        <f>'[18]Rev_SP-12me'!AL158</f>
        <v>0</v>
      </c>
      <c r="F137" s="153">
        <f>'[18]Rev_SP-12me'!AQ158</f>
        <v>30.7438184811492</v>
      </c>
      <c r="G137" s="153">
        <f>'[18]Rev_SP-12me'!O158</f>
        <v>0</v>
      </c>
      <c r="H137" s="101">
        <f>'[18]Rev_SP-12me'!P158</f>
        <v>0</v>
      </c>
      <c r="I137" s="153">
        <f>'[18]Rev_SP-12me'!AA158</f>
        <v>0</v>
      </c>
      <c r="J137" s="100"/>
      <c r="K137" s="153">
        <f>'[18]Rev_SP-12me'!AT158</f>
        <v>0</v>
      </c>
      <c r="L137" s="153">
        <f>'[18]Rev_SP-12me'!AU158</f>
        <v>21.3909522511848</v>
      </c>
      <c r="M137" s="153">
        <f>'[18]Rev_SP-12me'!AW158</f>
        <v>0</v>
      </c>
      <c r="N137" s="150">
        <f t="shared" si="4"/>
        <v>21.3909522511848</v>
      </c>
    </row>
    <row r="138" ht="25" customHeight="1" spans="2:14">
      <c r="B138" s="192" t="s">
        <v>1142</v>
      </c>
      <c r="C138" s="55"/>
      <c r="D138" s="139">
        <f>'[18]Rev_SP-12me'!AJ159</f>
        <v>0</v>
      </c>
      <c r="E138" s="139">
        <f>'[18]Rev_SP-12me'!AL159</f>
        <v>0</v>
      </c>
      <c r="F138" s="174">
        <f>'[18]Rev_SP-12me'!AQ159</f>
        <v>9.12292708986761</v>
      </c>
      <c r="G138" s="153">
        <f>'[18]Rev_SP-12me'!O159</f>
        <v>500</v>
      </c>
      <c r="H138" s="101">
        <f>'[18]Rev_SP-12me'!P159</f>
        <v>7.15</v>
      </c>
      <c r="I138" s="153">
        <f>'[18]Rev_SP-12me'!AA159</f>
        <v>3500</v>
      </c>
      <c r="J138" s="100"/>
      <c r="K138" s="174">
        <f>'[18]Rev_SP-12me'!AT159</f>
        <v>0</v>
      </c>
      <c r="L138" s="174">
        <f>'[18]Rev_SP-12me'!AU159</f>
        <v>6.52289286925535</v>
      </c>
      <c r="M138" s="174">
        <f>'[18]Rev_SP-12me'!AW159</f>
        <v>0</v>
      </c>
      <c r="N138" s="153">
        <f t="shared" si="4"/>
        <v>6.52289286925535</v>
      </c>
    </row>
    <row r="139" ht="25" customHeight="1" spans="2:14">
      <c r="B139" s="192" t="s">
        <v>1115</v>
      </c>
      <c r="C139" s="55"/>
      <c r="D139" s="139">
        <f>'[18]Rev_SP-12me'!AJ160</f>
        <v>0</v>
      </c>
      <c r="E139" s="139">
        <f>'[18]Rev_SP-12me'!AL160</f>
        <v>0</v>
      </c>
      <c r="F139" s="174">
        <f>'[18]Rev_SP-12me'!AQ160</f>
        <v>5.37877655601844</v>
      </c>
      <c r="G139" s="153">
        <f>'[18]Rev_SP-12me'!O160</f>
        <v>0</v>
      </c>
      <c r="H139" s="101">
        <f>'[18]Rev_SP-12me'!P160</f>
        <v>8.15</v>
      </c>
      <c r="I139" s="153">
        <f>'[18]Rev_SP-12me'!AA160</f>
        <v>3500</v>
      </c>
      <c r="J139" s="100"/>
      <c r="K139" s="174">
        <f>'[18]Rev_SP-12me'!AT160</f>
        <v>0</v>
      </c>
      <c r="L139" s="174">
        <f>'[18]Rev_SP-12me'!AU160</f>
        <v>4.38370289315503</v>
      </c>
      <c r="M139" s="174">
        <f>'[18]Rev_SP-12me'!AW160</f>
        <v>0</v>
      </c>
      <c r="N139" s="153">
        <f t="shared" si="4"/>
        <v>4.38370289315503</v>
      </c>
    </row>
    <row r="140" ht="25" customHeight="1" spans="2:14">
      <c r="B140" s="192" t="s">
        <v>1116</v>
      </c>
      <c r="C140" s="55"/>
      <c r="D140" s="139">
        <f>'[18]Rev_SP-12me'!AJ161</f>
        <v>0</v>
      </c>
      <c r="E140" s="139">
        <f>'[18]Rev_SP-12me'!AL161</f>
        <v>0</v>
      </c>
      <c r="F140" s="174">
        <f>'[18]Rev_SP-12me'!AQ161</f>
        <v>5.23024642740291</v>
      </c>
      <c r="G140" s="153">
        <f>'[18]Rev_SP-12me'!O161</f>
        <v>0</v>
      </c>
      <c r="H140" s="101">
        <f>'[18]Rev_SP-12me'!P161</f>
        <v>8.15</v>
      </c>
      <c r="I140" s="153">
        <f>'[18]Rev_SP-12me'!AA161</f>
        <v>3500</v>
      </c>
      <c r="J140" s="100"/>
      <c r="K140" s="174">
        <f>'[18]Rev_SP-12me'!AT161</f>
        <v>0</v>
      </c>
      <c r="L140" s="174">
        <f>'[18]Rev_SP-12me'!AU161</f>
        <v>4.26265083833337</v>
      </c>
      <c r="M140" s="174">
        <f>'[18]Rev_SP-12me'!AW161</f>
        <v>0</v>
      </c>
      <c r="N140" s="153">
        <f t="shared" si="4"/>
        <v>4.26265083833337</v>
      </c>
    </row>
    <row r="141" ht="25" customHeight="1" spans="2:14">
      <c r="B141" s="192" t="s">
        <v>1143</v>
      </c>
      <c r="C141" s="55"/>
      <c r="D141" s="139">
        <f>'[18]Rev_SP-12me'!AJ162</f>
        <v>0</v>
      </c>
      <c r="E141" s="139">
        <f>'[18]Rev_SP-12me'!AL162</f>
        <v>0</v>
      </c>
      <c r="F141" s="174">
        <f>'[18]Rev_SP-12me'!AQ162</f>
        <v>11.0118684078602</v>
      </c>
      <c r="G141" s="153">
        <f>'[18]Rev_SP-12me'!O162</f>
        <v>0</v>
      </c>
      <c r="H141" s="101">
        <f>'[18]Rev_SP-12me'!P162</f>
        <v>5.65</v>
      </c>
      <c r="I141" s="153">
        <f>'[18]Rev_SP-12me'!AA162</f>
        <v>3500</v>
      </c>
      <c r="J141" s="100"/>
      <c r="K141" s="174">
        <f>'[18]Rev_SP-12me'!AT162</f>
        <v>0</v>
      </c>
      <c r="L141" s="174">
        <f>'[18]Rev_SP-12me'!AU162</f>
        <v>6.22170565044103</v>
      </c>
      <c r="M141" s="174">
        <f>'[18]Rev_SP-12me'!AW162</f>
        <v>0</v>
      </c>
      <c r="N141" s="153">
        <f t="shared" si="4"/>
        <v>6.22170565044103</v>
      </c>
    </row>
    <row r="142" ht="25" customHeight="1" spans="2:14">
      <c r="B142" s="151" t="s">
        <v>1144</v>
      </c>
      <c r="C142" s="55"/>
      <c r="D142" s="136">
        <f>'[18]Rev_SP-12me'!AJ164</f>
        <v>0</v>
      </c>
      <c r="E142" s="136">
        <f>'[18]Rev_SP-12me'!AL164</f>
        <v>0</v>
      </c>
      <c r="F142" s="150">
        <f>'[18]Rev_SP-12me'!AQ164</f>
        <v>61.924630748864</v>
      </c>
      <c r="G142" s="150">
        <f>'[18]Rev_SP-12me'!O164</f>
        <v>0</v>
      </c>
      <c r="H142" s="137">
        <f>'[18]Rev_SP-12me'!P164</f>
        <v>0</v>
      </c>
      <c r="I142" s="150"/>
      <c r="J142" s="100"/>
      <c r="K142" s="150">
        <f>'[18]Rev_SP-12me'!AT164</f>
        <v>0</v>
      </c>
      <c r="L142" s="150">
        <f>'[18]Rev_SP-12me'!AU164</f>
        <v>43.4133394325091</v>
      </c>
      <c r="M142" s="150">
        <f>'[18]Rev_SP-12me'!AW164</f>
        <v>0</v>
      </c>
      <c r="N142" s="150">
        <f t="shared" si="4"/>
        <v>43.4133394325091</v>
      </c>
    </row>
    <row r="143" ht="25" customHeight="1" spans="2:14">
      <c r="B143" s="190" t="s">
        <v>1119</v>
      </c>
      <c r="C143" s="55"/>
      <c r="D143" s="139">
        <f>'[18]Rev_SP-12me'!AJ165</f>
        <v>0</v>
      </c>
      <c r="E143" s="139">
        <f>'[18]Rev_SP-12me'!AL165</f>
        <v>0</v>
      </c>
      <c r="F143" s="174">
        <f>'[18]Rev_SP-12me'!AQ165</f>
        <v>20.9632601010143</v>
      </c>
      <c r="G143" s="153">
        <f>'[18]Rev_SP-12me'!O165</f>
        <v>500</v>
      </c>
      <c r="H143" s="101">
        <f>'[18]Rev_SP-12me'!P165</f>
        <v>7.15</v>
      </c>
      <c r="I143" s="153">
        <f>'[18]Rev_SP-12me'!AA165</f>
        <v>3500</v>
      </c>
      <c r="J143" s="100"/>
      <c r="K143" s="174">
        <f>'[18]Rev_SP-12me'!AT165</f>
        <v>0</v>
      </c>
      <c r="L143" s="174">
        <f>'[18]Rev_SP-12me'!AU165</f>
        <v>14.9887309722252</v>
      </c>
      <c r="M143" s="174">
        <f>'[18]Rev_SP-12me'!AW165</f>
        <v>0</v>
      </c>
      <c r="N143" s="153">
        <f t="shared" si="4"/>
        <v>14.9887309722252</v>
      </c>
    </row>
    <row r="144" ht="25" customHeight="1" spans="2:14">
      <c r="B144" s="190" t="s">
        <v>1120</v>
      </c>
      <c r="C144" s="55"/>
      <c r="D144" s="139">
        <f>'[18]Rev_SP-12me'!AJ166</f>
        <v>0</v>
      </c>
      <c r="E144" s="139">
        <f>'[18]Rev_SP-12me'!AL166</f>
        <v>0</v>
      </c>
      <c r="F144" s="174">
        <f>'[18]Rev_SP-12me'!AQ166</f>
        <v>10.4392722080288</v>
      </c>
      <c r="G144" s="153">
        <f>'[18]Rev_SP-12me'!O166</f>
        <v>0</v>
      </c>
      <c r="H144" s="101">
        <f>'[18]Rev_SP-12me'!P166</f>
        <v>8.15</v>
      </c>
      <c r="I144" s="153">
        <f>'[18]Rev_SP-12me'!AA166</f>
        <v>3500</v>
      </c>
      <c r="J144" s="100"/>
      <c r="K144" s="174">
        <f>'[18]Rev_SP-12me'!AT166</f>
        <v>0</v>
      </c>
      <c r="L144" s="174">
        <f>'[18]Rev_SP-12me'!AU166</f>
        <v>8.50800684954351</v>
      </c>
      <c r="M144" s="174">
        <f>'[18]Rev_SP-12me'!AW166</f>
        <v>0</v>
      </c>
      <c r="N144" s="153">
        <f t="shared" si="4"/>
        <v>8.50800684954351</v>
      </c>
    </row>
    <row r="145" ht="25" customHeight="1" spans="2:14">
      <c r="B145" s="190" t="s">
        <v>1121</v>
      </c>
      <c r="C145" s="55"/>
      <c r="D145" s="139">
        <f>'[18]Rev_SP-12me'!AJ167</f>
        <v>0</v>
      </c>
      <c r="E145" s="139">
        <f>'[18]Rev_SP-12me'!AL167</f>
        <v>0</v>
      </c>
      <c r="F145" s="174">
        <f>'[18]Rev_SP-12me'!AQ167</f>
        <v>10.6864639689665</v>
      </c>
      <c r="G145" s="153">
        <f>'[18]Rev_SP-12me'!O167</f>
        <v>0</v>
      </c>
      <c r="H145" s="101">
        <f>'[18]Rev_SP-12me'!P167</f>
        <v>8.15</v>
      </c>
      <c r="I145" s="153">
        <f>'[18]Rev_SP-12me'!AA167</f>
        <v>3500</v>
      </c>
      <c r="J145" s="100"/>
      <c r="K145" s="174">
        <f>'[18]Rev_SP-12me'!AT167</f>
        <v>0</v>
      </c>
      <c r="L145" s="174">
        <f>'[18]Rev_SP-12me'!AU167</f>
        <v>8.70946813470773</v>
      </c>
      <c r="M145" s="174">
        <f>'[18]Rev_SP-12me'!AW167</f>
        <v>0</v>
      </c>
      <c r="N145" s="153">
        <f t="shared" si="4"/>
        <v>8.70946813470773</v>
      </c>
    </row>
    <row r="146" ht="25" customHeight="1" spans="2:14">
      <c r="B146" s="190" t="s">
        <v>1122</v>
      </c>
      <c r="C146" s="55"/>
      <c r="D146" s="139">
        <f>'[18]Rev_SP-12me'!AJ168</f>
        <v>0</v>
      </c>
      <c r="E146" s="139">
        <f>'[18]Rev_SP-12me'!AL168</f>
        <v>0</v>
      </c>
      <c r="F146" s="174">
        <f>'[18]Rev_SP-12me'!AQ168</f>
        <v>19.8356344708543</v>
      </c>
      <c r="G146" s="153">
        <f>'[18]Rev_SP-12me'!O168</f>
        <v>0</v>
      </c>
      <c r="H146" s="101">
        <f>'[18]Rev_SP-12me'!P168</f>
        <v>5.65</v>
      </c>
      <c r="I146" s="153">
        <f>'[18]Rev_SP-12me'!AA168</f>
        <v>3500</v>
      </c>
      <c r="J146" s="100"/>
      <c r="K146" s="174">
        <f>'[18]Rev_SP-12me'!AT168</f>
        <v>0</v>
      </c>
      <c r="L146" s="174">
        <f>'[18]Rev_SP-12me'!AU168</f>
        <v>11.2071334760327</v>
      </c>
      <c r="M146" s="174">
        <f>'[18]Rev_SP-12me'!AW168</f>
        <v>0</v>
      </c>
      <c r="N146" s="153">
        <f t="shared" si="4"/>
        <v>11.2071334760327</v>
      </c>
    </row>
    <row r="147" ht="25" customHeight="1" spans="2:14">
      <c r="B147" s="151" t="s">
        <v>1123</v>
      </c>
      <c r="C147" s="55"/>
      <c r="D147" s="167">
        <f>'[18]Rev_SP-12me'!AJ163</f>
        <v>0</v>
      </c>
      <c r="E147" s="136">
        <f>'[18]Rev_SP-12me'!AL163</f>
        <v>0</v>
      </c>
      <c r="F147" s="150">
        <f>'[18]Rev_SP-12me'!AQ163</f>
        <v>0.53654</v>
      </c>
      <c r="G147" s="150">
        <f>'[18]Rev_SP-12me'!O163</f>
        <v>500</v>
      </c>
      <c r="H147" s="137">
        <f>'[18]Rev_SP-12me'!P163</f>
        <v>7.15</v>
      </c>
      <c r="I147" s="150">
        <f>'[18]Rev_SP-12me'!AA163</f>
        <v>3500</v>
      </c>
      <c r="J147" s="100"/>
      <c r="K147" s="150">
        <f>'[18]Rev_SP-12me'!AT163</f>
        <v>0</v>
      </c>
      <c r="L147" s="150">
        <f>'[18]Rev_SP-12me'!AU163</f>
        <v>0.3836261</v>
      </c>
      <c r="M147" s="150">
        <f>'[18]Rev_SP-12me'!AW163</f>
        <v>0</v>
      </c>
      <c r="N147" s="150">
        <f t="shared" si="4"/>
        <v>0.3836261</v>
      </c>
    </row>
    <row r="148" ht="25" customHeight="1" spans="2:14">
      <c r="B148" s="151" t="s">
        <v>1124</v>
      </c>
      <c r="C148" s="55"/>
      <c r="D148" s="136">
        <f>'[18]Rev_SP-12me'!AJ169</f>
        <v>205</v>
      </c>
      <c r="E148" s="136">
        <f>'[18]Rev_SP-12me'!AL169</f>
        <v>499.586374274174</v>
      </c>
      <c r="F148" s="150">
        <f>'[18]Rev_SP-12me'!AQ169</f>
        <v>1771.70160889593</v>
      </c>
      <c r="G148" s="150">
        <f>'[18]Rev_SP-12me'!O169</f>
        <v>0</v>
      </c>
      <c r="H148" s="137">
        <f>'[18]Rev_SP-12me'!P169</f>
        <v>0</v>
      </c>
      <c r="I148" s="150">
        <f>'[18]Rev_SP-12me'!AA169</f>
        <v>3500</v>
      </c>
      <c r="J148" s="100"/>
      <c r="K148" s="150">
        <f>'[18]Rev_SP-12me'!AT169</f>
        <v>239.801459651604</v>
      </c>
      <c r="L148" s="150">
        <f>'[18]Rev_SP-12me'!AU169</f>
        <v>1410.70121685515</v>
      </c>
      <c r="M148" s="150">
        <f>'[18]Rev_SP-12me'!AW169</f>
        <v>0.8043</v>
      </c>
      <c r="N148" s="150">
        <f t="shared" si="4"/>
        <v>1651.30697650675</v>
      </c>
    </row>
    <row r="149" ht="25" customHeight="1" spans="2:14">
      <c r="B149" s="192" t="s">
        <v>1145</v>
      </c>
      <c r="C149" s="55"/>
      <c r="D149" s="138">
        <f>'[18]Rev_SP-12me'!AJ170</f>
        <v>205</v>
      </c>
      <c r="E149" s="138">
        <f>'[18]Rev_SP-12me'!AL170</f>
        <v>499.586374274174</v>
      </c>
      <c r="F149" s="153">
        <f>'[18]Rev_SP-12me'!AQ170</f>
        <v>709.642651909873</v>
      </c>
      <c r="G149" s="153">
        <f>'[18]Rev_SP-12me'!O170</f>
        <v>500</v>
      </c>
      <c r="H149" s="101">
        <f>'[18]Rev_SP-12me'!P170</f>
        <v>8</v>
      </c>
      <c r="I149" s="153">
        <f>'[18]Rev_SP-12me'!AA170</f>
        <v>3500</v>
      </c>
      <c r="J149" s="100"/>
      <c r="K149" s="153">
        <f>'[18]Rev_SP-12me'!AT170</f>
        <v>239.801459651604</v>
      </c>
      <c r="L149" s="153">
        <f>'[18]Rev_SP-12me'!AU170</f>
        <v>567.714121527898</v>
      </c>
      <c r="M149" s="153">
        <f>'[18]Rev_SP-12me'!AW170</f>
        <v>0.8043</v>
      </c>
      <c r="N149" s="153">
        <f t="shared" si="4"/>
        <v>808.319881179502</v>
      </c>
    </row>
    <row r="150" ht="25" customHeight="1" spans="2:14">
      <c r="B150" s="192" t="s">
        <v>1120</v>
      </c>
      <c r="C150" s="55"/>
      <c r="D150" s="139">
        <f>'[18]Rev_SP-12me'!AJ171</f>
        <v>0</v>
      </c>
      <c r="E150" s="139">
        <f>'[18]Rev_SP-12me'!AL171</f>
        <v>0</v>
      </c>
      <c r="F150" s="174">
        <f>'[18]Rev_SP-12me'!AQ171</f>
        <v>293.917757828916</v>
      </c>
      <c r="G150" s="153">
        <f>'[18]Rev_SP-12me'!O171</f>
        <v>0</v>
      </c>
      <c r="H150" s="101">
        <f>'[18]Rev_SP-12me'!P171</f>
        <v>9</v>
      </c>
      <c r="I150" s="153">
        <f>'[18]Rev_SP-12me'!AA171</f>
        <v>3500</v>
      </c>
      <c r="J150" s="100"/>
      <c r="K150" s="174">
        <f>'[18]Rev_SP-12me'!AT171</f>
        <v>0</v>
      </c>
      <c r="L150" s="174">
        <f>'[18]Rev_SP-12me'!AU171</f>
        <v>264.525982046025</v>
      </c>
      <c r="M150" s="174">
        <f>'[18]Rev_SP-12me'!AW171</f>
        <v>0</v>
      </c>
      <c r="N150" s="153">
        <f t="shared" si="4"/>
        <v>264.525982046025</v>
      </c>
    </row>
    <row r="151" ht="25" customHeight="1" spans="2:14">
      <c r="B151" s="192" t="s">
        <v>1121</v>
      </c>
      <c r="C151" s="55"/>
      <c r="D151" s="139">
        <f>'[18]Rev_SP-12me'!AJ172</f>
        <v>0</v>
      </c>
      <c r="E151" s="139">
        <f>'[18]Rev_SP-12me'!AL172</f>
        <v>0</v>
      </c>
      <c r="F151" s="174">
        <f>'[18]Rev_SP-12me'!AQ172</f>
        <v>294.177335316318</v>
      </c>
      <c r="G151" s="153">
        <f>'[18]Rev_SP-12me'!O172</f>
        <v>0</v>
      </c>
      <c r="H151" s="101">
        <f>'[18]Rev_SP-12me'!P172</f>
        <v>9</v>
      </c>
      <c r="I151" s="153">
        <f>'[18]Rev_SP-12me'!AA172</f>
        <v>3500</v>
      </c>
      <c r="J151" s="100"/>
      <c r="K151" s="174">
        <f>'[18]Rev_SP-12me'!AT172</f>
        <v>0</v>
      </c>
      <c r="L151" s="174">
        <f>'[18]Rev_SP-12me'!AU172</f>
        <v>264.759601784686</v>
      </c>
      <c r="M151" s="174">
        <f>'[18]Rev_SP-12me'!AW172</f>
        <v>0</v>
      </c>
      <c r="N151" s="153">
        <f t="shared" si="4"/>
        <v>264.759601784686</v>
      </c>
    </row>
    <row r="152" ht="25" customHeight="1" spans="2:14">
      <c r="B152" s="192" t="s">
        <v>1122</v>
      </c>
      <c r="C152" s="55"/>
      <c r="D152" s="139">
        <f>'[18]Rev_SP-12me'!AJ173</f>
        <v>0</v>
      </c>
      <c r="E152" s="139">
        <f>'[18]Rev_SP-12me'!AL173</f>
        <v>0</v>
      </c>
      <c r="F152" s="174">
        <f>'[18]Rev_SP-12me'!AQ173</f>
        <v>436.463863840824</v>
      </c>
      <c r="G152" s="153">
        <f>'[18]Rev_SP-12me'!O173</f>
        <v>0</v>
      </c>
      <c r="H152" s="101">
        <f>'[18]Rev_SP-12me'!P173</f>
        <v>6.5</v>
      </c>
      <c r="I152" s="153">
        <f>'[18]Rev_SP-12me'!AA173</f>
        <v>3500</v>
      </c>
      <c r="J152" s="100"/>
      <c r="K152" s="174">
        <f>'[18]Rev_SP-12me'!AT173</f>
        <v>0</v>
      </c>
      <c r="L152" s="174">
        <f>'[18]Rev_SP-12me'!AU173</f>
        <v>283.701511496535</v>
      </c>
      <c r="M152" s="174">
        <f>'[18]Rev_SP-12me'!AW173</f>
        <v>0</v>
      </c>
      <c r="N152" s="153">
        <f t="shared" si="4"/>
        <v>283.701511496535</v>
      </c>
    </row>
    <row r="153" ht="25" customHeight="1" spans="2:14">
      <c r="B153" s="192" t="s">
        <v>1146</v>
      </c>
      <c r="C153" s="55"/>
      <c r="D153" s="139">
        <f>'[18]Rev_SP-12me'!AJ174</f>
        <v>0</v>
      </c>
      <c r="E153" s="139">
        <f>'[18]Rev_SP-12me'!AL174</f>
        <v>0</v>
      </c>
      <c r="F153" s="174">
        <f>'[18]Rev_SP-12me'!AQ174</f>
        <v>37.5</v>
      </c>
      <c r="G153" s="153">
        <f>'[18]Rev_SP-12me'!O174</f>
        <v>500</v>
      </c>
      <c r="H153" s="101">
        <f>'[18]Rev_SP-12me'!P174</f>
        <v>8</v>
      </c>
      <c r="I153" s="153">
        <f>'[18]Rev_SP-12me'!AA174</f>
        <v>3500</v>
      </c>
      <c r="J153" s="100"/>
      <c r="K153" s="174">
        <f>'[18]Rev_SP-12me'!AT174</f>
        <v>0</v>
      </c>
      <c r="L153" s="174">
        <f>'[18]Rev_SP-12me'!AU174</f>
        <v>30</v>
      </c>
      <c r="M153" s="174">
        <f>'[18]Rev_SP-12me'!AW174</f>
        <v>0</v>
      </c>
      <c r="N153" s="153">
        <f t="shared" si="4"/>
        <v>30</v>
      </c>
    </row>
    <row r="154" ht="25" customHeight="1" spans="2:14">
      <c r="B154" s="151" t="s">
        <v>1125</v>
      </c>
      <c r="C154" s="55"/>
      <c r="D154" s="136">
        <f>'[18]Rev_SP-12me'!AJ175</f>
        <v>0</v>
      </c>
      <c r="E154" s="136">
        <f>'[18]Rev_SP-12me'!AL175</f>
        <v>0</v>
      </c>
      <c r="F154" s="150">
        <f>'[18]Rev_SP-12me'!AQ175</f>
        <v>5.28148120053833</v>
      </c>
      <c r="G154" s="150">
        <f>'[18]Rev_SP-12me'!O175</f>
        <v>0</v>
      </c>
      <c r="H154" s="137">
        <f>'[18]Rev_SP-12me'!P175</f>
        <v>0</v>
      </c>
      <c r="I154" s="150"/>
      <c r="J154" s="100"/>
      <c r="K154" s="150">
        <f>'[18]Rev_SP-12me'!AT175</f>
        <v>0</v>
      </c>
      <c r="L154" s="150">
        <f>'[18]Rev_SP-12me'!AU175</f>
        <v>2.64992946999443</v>
      </c>
      <c r="M154" s="150">
        <f>'[18]Rev_SP-12me'!AW175</f>
        <v>0</v>
      </c>
      <c r="N154" s="150">
        <f t="shared" si="4"/>
        <v>2.64992946999443</v>
      </c>
    </row>
    <row r="155" ht="25" customHeight="1" spans="2:14">
      <c r="B155" s="190" t="s">
        <v>1119</v>
      </c>
      <c r="C155" s="55"/>
      <c r="D155" s="139">
        <f>'[18]Rev_SP-12me'!AJ176</f>
        <v>0</v>
      </c>
      <c r="E155" s="139">
        <f>'[18]Rev_SP-12me'!AL176</f>
        <v>0</v>
      </c>
      <c r="F155" s="174">
        <f>'[18]Rev_SP-12me'!AQ176</f>
        <v>2.11937414353072</v>
      </c>
      <c r="G155" s="153">
        <f>'[18]Rev_SP-12me'!O176</f>
        <v>285</v>
      </c>
      <c r="H155" s="101">
        <f>'[18]Rev_SP-12me'!P176</f>
        <v>5</v>
      </c>
      <c r="I155" s="153">
        <f>'[18]Rev_SP-12me'!AA176</f>
        <v>3500</v>
      </c>
      <c r="J155" s="100"/>
      <c r="K155" s="174">
        <f>'[18]Rev_SP-12me'!AT176</f>
        <v>0</v>
      </c>
      <c r="L155" s="174">
        <f>'[18]Rev_SP-12me'!AU176</f>
        <v>1.05968707176536</v>
      </c>
      <c r="M155" s="174">
        <f>'[18]Rev_SP-12me'!AW176</f>
        <v>0</v>
      </c>
      <c r="N155" s="153">
        <f t="shared" si="4"/>
        <v>1.05968707176536</v>
      </c>
    </row>
    <row r="156" ht="25" customHeight="1" spans="2:14">
      <c r="B156" s="190" t="s">
        <v>1120</v>
      </c>
      <c r="C156" s="55"/>
      <c r="D156" s="139">
        <f>'[18]Rev_SP-12me'!AJ177</f>
        <v>0</v>
      </c>
      <c r="E156" s="139">
        <f>'[18]Rev_SP-12me'!AL177</f>
        <v>0</v>
      </c>
      <c r="F156" s="174">
        <f>'[18]Rev_SP-12me'!AQ177</f>
        <v>0.972042051382959</v>
      </c>
      <c r="G156" s="153">
        <f>'[18]Rev_SP-12me'!O177</f>
        <v>0</v>
      </c>
      <c r="H156" s="101">
        <f>'[18]Rev_SP-12me'!P177</f>
        <v>6</v>
      </c>
      <c r="I156" s="153">
        <f>'[18]Rev_SP-12me'!AA177</f>
        <v>3500</v>
      </c>
      <c r="J156" s="100"/>
      <c r="K156" s="174">
        <f>'[18]Rev_SP-12me'!AT177</f>
        <v>0</v>
      </c>
      <c r="L156" s="174">
        <f>'[18]Rev_SP-12me'!AU177</f>
        <v>0.583225230829775</v>
      </c>
      <c r="M156" s="174">
        <f>'[18]Rev_SP-12me'!AW177</f>
        <v>0</v>
      </c>
      <c r="N156" s="153">
        <f t="shared" si="4"/>
        <v>0.583225230829775</v>
      </c>
    </row>
    <row r="157" ht="25" customHeight="1" spans="2:14">
      <c r="B157" s="190" t="s">
        <v>1121</v>
      </c>
      <c r="C157" s="55"/>
      <c r="D157" s="139">
        <f>'[18]Rev_SP-12me'!AJ178</f>
        <v>0</v>
      </c>
      <c r="E157" s="139">
        <f>'[18]Rev_SP-12me'!AL178</f>
        <v>0</v>
      </c>
      <c r="F157" s="174">
        <f>'[18]Rev_SP-12me'!AQ178</f>
        <v>0.961977661722666</v>
      </c>
      <c r="G157" s="153">
        <f>'[18]Rev_SP-12me'!O178</f>
        <v>0</v>
      </c>
      <c r="H157" s="101">
        <f>'[18]Rev_SP-12me'!P178</f>
        <v>6</v>
      </c>
      <c r="I157" s="153">
        <f>'[18]Rev_SP-12me'!AA178</f>
        <v>3500</v>
      </c>
      <c r="J157" s="100"/>
      <c r="K157" s="174">
        <f>'[18]Rev_SP-12me'!AT178</f>
        <v>0</v>
      </c>
      <c r="L157" s="174">
        <f>'[18]Rev_SP-12me'!AU178</f>
        <v>0.577186597033599</v>
      </c>
      <c r="M157" s="174">
        <f>'[18]Rev_SP-12me'!AW178</f>
        <v>0</v>
      </c>
      <c r="N157" s="153">
        <f t="shared" si="4"/>
        <v>0.577186597033599</v>
      </c>
    </row>
    <row r="158" ht="25" customHeight="1" spans="2:14">
      <c r="B158" s="190" t="s">
        <v>1122</v>
      </c>
      <c r="C158" s="55"/>
      <c r="D158" s="139">
        <f>'[18]Rev_SP-12me'!AJ179</f>
        <v>0</v>
      </c>
      <c r="E158" s="139">
        <f>'[18]Rev_SP-12me'!AL179</f>
        <v>0</v>
      </c>
      <c r="F158" s="174">
        <f>'[18]Rev_SP-12me'!AQ179</f>
        <v>1.22808734390199</v>
      </c>
      <c r="G158" s="153">
        <f>'[18]Rev_SP-12me'!O179</f>
        <v>0</v>
      </c>
      <c r="H158" s="101">
        <f>'[18]Rev_SP-12me'!P179</f>
        <v>3.5</v>
      </c>
      <c r="I158" s="153">
        <f>'[18]Rev_SP-12me'!AA179</f>
        <v>3500</v>
      </c>
      <c r="J158" s="100"/>
      <c r="K158" s="174">
        <f>'[18]Rev_SP-12me'!AT179</f>
        <v>0</v>
      </c>
      <c r="L158" s="174">
        <f>'[18]Rev_SP-12me'!AU179</f>
        <v>0.429830570365695</v>
      </c>
      <c r="M158" s="174">
        <f>'[18]Rev_SP-12me'!AW179</f>
        <v>0</v>
      </c>
      <c r="N158" s="153">
        <f t="shared" si="4"/>
        <v>0.429830570365695</v>
      </c>
    </row>
    <row r="159" ht="25" customHeight="1" spans="2:14">
      <c r="B159" s="151" t="s">
        <v>1126</v>
      </c>
      <c r="C159" s="55"/>
      <c r="D159" s="136">
        <f>'[18]Rev_SP-12me'!AJ180</f>
        <v>0</v>
      </c>
      <c r="E159" s="136">
        <f>'[18]Rev_SP-12me'!AL180</f>
        <v>0</v>
      </c>
      <c r="F159" s="150">
        <f>'[18]Rev_SP-12me'!AQ180</f>
        <v>0</v>
      </c>
      <c r="G159" s="150">
        <f>'[18]Rev_SP-12me'!O180</f>
        <v>0</v>
      </c>
      <c r="H159" s="137">
        <f>'[18]Rev_SP-12me'!P180</f>
        <v>0</v>
      </c>
      <c r="I159" s="150">
        <f>'[18]Rev_SP-12me'!AA180</f>
        <v>0</v>
      </c>
      <c r="J159" s="100"/>
      <c r="K159" s="150">
        <f>'[18]Rev_SP-12me'!AT180</f>
        <v>0</v>
      </c>
      <c r="L159" s="150">
        <f>'[18]Rev_SP-12me'!AU180</f>
        <v>0</v>
      </c>
      <c r="M159" s="150">
        <f>'[18]Rev_SP-12me'!AW180</f>
        <v>0</v>
      </c>
      <c r="N159" s="150">
        <f t="shared" si="4"/>
        <v>0</v>
      </c>
    </row>
    <row r="160" ht="25" customHeight="1" spans="2:14">
      <c r="B160" s="192" t="s">
        <v>1119</v>
      </c>
      <c r="C160" s="55"/>
      <c r="D160" s="139">
        <f>'[18]Rev_SP-12me'!AJ181</f>
        <v>0</v>
      </c>
      <c r="E160" s="139">
        <f>'[18]Rev_SP-12me'!AL181</f>
        <v>0</v>
      </c>
      <c r="F160" s="174">
        <f>'[18]Rev_SP-12me'!AQ181</f>
        <v>0</v>
      </c>
      <c r="G160" s="153">
        <f>'[18]Rev_SP-12me'!O181</f>
        <v>500</v>
      </c>
      <c r="H160" s="101">
        <f>'[18]Rev_SP-12me'!P181</f>
        <v>7.85</v>
      </c>
      <c r="I160" s="153">
        <f>'[18]Rev_SP-12me'!AA181</f>
        <v>3500</v>
      </c>
      <c r="J160" s="100"/>
      <c r="K160" s="174">
        <f>'[18]Rev_SP-12me'!AT181</f>
        <v>0</v>
      </c>
      <c r="L160" s="174">
        <f>'[18]Rev_SP-12me'!AU181</f>
        <v>0</v>
      </c>
      <c r="M160" s="174">
        <f>'[18]Rev_SP-12me'!AW181</f>
        <v>0</v>
      </c>
      <c r="N160" s="153">
        <f t="shared" si="4"/>
        <v>0</v>
      </c>
    </row>
    <row r="161" ht="25" customHeight="1" spans="2:14">
      <c r="B161" s="192" t="s">
        <v>1120</v>
      </c>
      <c r="C161" s="55"/>
      <c r="D161" s="139">
        <f>'[18]Rev_SP-12me'!AJ182</f>
        <v>0</v>
      </c>
      <c r="E161" s="139">
        <f>'[18]Rev_SP-12me'!AL182</f>
        <v>0</v>
      </c>
      <c r="F161" s="174">
        <f>'[18]Rev_SP-12me'!AQ182</f>
        <v>0</v>
      </c>
      <c r="G161" s="153">
        <f>'[18]Rev_SP-12me'!O182</f>
        <v>0</v>
      </c>
      <c r="H161" s="101">
        <f>'[18]Rev_SP-12me'!P182</f>
        <v>8.85</v>
      </c>
      <c r="I161" s="153">
        <f>'[18]Rev_SP-12me'!AA182</f>
        <v>3500</v>
      </c>
      <c r="J161" s="100"/>
      <c r="K161" s="174">
        <f>'[18]Rev_SP-12me'!AT182</f>
        <v>0</v>
      </c>
      <c r="L161" s="174">
        <f>'[18]Rev_SP-12me'!AU182</f>
        <v>0</v>
      </c>
      <c r="M161" s="174">
        <f>'[18]Rev_SP-12me'!AW182</f>
        <v>0</v>
      </c>
      <c r="N161" s="153">
        <f t="shared" si="4"/>
        <v>0</v>
      </c>
    </row>
    <row r="162" ht="25" customHeight="1" spans="2:14">
      <c r="B162" s="192" t="s">
        <v>1121</v>
      </c>
      <c r="C162" s="55"/>
      <c r="D162" s="139">
        <f>'[18]Rev_SP-12me'!AJ183</f>
        <v>0</v>
      </c>
      <c r="E162" s="139">
        <f>'[18]Rev_SP-12me'!AL183</f>
        <v>0</v>
      </c>
      <c r="F162" s="174">
        <f>'[18]Rev_SP-12me'!AQ183</f>
        <v>0</v>
      </c>
      <c r="G162" s="153">
        <f>'[18]Rev_SP-12me'!O183</f>
        <v>0</v>
      </c>
      <c r="H162" s="101">
        <f>'[18]Rev_SP-12me'!P183</f>
        <v>8.85</v>
      </c>
      <c r="I162" s="153">
        <f>'[18]Rev_SP-12me'!AA183</f>
        <v>3500</v>
      </c>
      <c r="J162" s="100"/>
      <c r="K162" s="174">
        <f>'[18]Rev_SP-12me'!AT183</f>
        <v>0</v>
      </c>
      <c r="L162" s="174">
        <f>'[18]Rev_SP-12me'!AU183</f>
        <v>0</v>
      </c>
      <c r="M162" s="174">
        <f>'[18]Rev_SP-12me'!AW183</f>
        <v>0</v>
      </c>
      <c r="N162" s="153">
        <f t="shared" si="4"/>
        <v>0</v>
      </c>
    </row>
    <row r="163" ht="25" customHeight="1" spans="2:14">
      <c r="B163" s="192" t="s">
        <v>1122</v>
      </c>
      <c r="C163" s="55"/>
      <c r="D163" s="139">
        <f>'[18]Rev_SP-12me'!AJ184</f>
        <v>0</v>
      </c>
      <c r="E163" s="139">
        <f>'[18]Rev_SP-12me'!AL184</f>
        <v>0</v>
      </c>
      <c r="F163" s="174">
        <f>'[18]Rev_SP-12me'!AQ184</f>
        <v>0</v>
      </c>
      <c r="G163" s="153">
        <f>'[18]Rev_SP-12me'!O184</f>
        <v>0</v>
      </c>
      <c r="H163" s="101">
        <f>'[18]Rev_SP-12me'!P184</f>
        <v>6.35</v>
      </c>
      <c r="I163" s="153">
        <f>'[18]Rev_SP-12me'!AA184</f>
        <v>3500</v>
      </c>
      <c r="J163" s="100"/>
      <c r="K163" s="174">
        <f>'[18]Rev_SP-12me'!AT184</f>
        <v>0</v>
      </c>
      <c r="L163" s="174">
        <f>'[18]Rev_SP-12me'!AU184</f>
        <v>0</v>
      </c>
      <c r="M163" s="174">
        <f>'[18]Rev_SP-12me'!AW184</f>
        <v>0</v>
      </c>
      <c r="N163" s="153">
        <f t="shared" si="4"/>
        <v>0</v>
      </c>
    </row>
    <row r="164" ht="25" customHeight="1" spans="2:14">
      <c r="B164" s="151" t="s">
        <v>1147</v>
      </c>
      <c r="C164" s="55"/>
      <c r="D164" s="136">
        <f>'[18]Rev_SP-12me'!AJ185</f>
        <v>13</v>
      </c>
      <c r="E164" s="136">
        <f>'[18]Rev_SP-12me'!AL185</f>
        <v>26.4672850500122</v>
      </c>
      <c r="F164" s="150">
        <f>'[18]Rev_SP-12me'!AQ185</f>
        <v>86.2466042202066</v>
      </c>
      <c r="G164" s="150">
        <f>'[18]Rev_SP-12me'!O185</f>
        <v>0</v>
      </c>
      <c r="H164" s="137">
        <f>'[18]Rev_SP-12me'!P185</f>
        <v>0</v>
      </c>
      <c r="I164" s="150">
        <f>'[18]Rev_SP-12me'!AA185</f>
        <v>0</v>
      </c>
      <c r="J164" s="100"/>
      <c r="K164" s="150">
        <f>'[18]Rev_SP-12me'!AT185</f>
        <v>4.56560667112711</v>
      </c>
      <c r="L164" s="150">
        <f>'[18]Rev_SP-12me'!AU185</f>
        <v>54.3353606587301</v>
      </c>
      <c r="M164" s="150">
        <f>'[18]Rev_SP-12me'!AW185</f>
        <v>0.0546</v>
      </c>
      <c r="N164" s="150">
        <f t="shared" si="4"/>
        <v>58.9555673298572</v>
      </c>
    </row>
    <row r="165" ht="25" customHeight="1" spans="2:14">
      <c r="B165" s="196" t="s">
        <v>1128</v>
      </c>
      <c r="C165" s="55"/>
      <c r="D165" s="138">
        <f>'[18]Rev_SP-12me'!AJ186</f>
        <v>13</v>
      </c>
      <c r="E165" s="138">
        <f>'[18]Rev_SP-12me'!AL186</f>
        <v>26.4672850500122</v>
      </c>
      <c r="F165" s="153">
        <f>'[18]Rev_SP-12me'!AQ186</f>
        <v>86.2466042202066</v>
      </c>
      <c r="G165" s="153">
        <f>'[18]Rev_SP-12me'!O186</f>
        <v>300</v>
      </c>
      <c r="H165" s="101">
        <f>'[18]Rev_SP-12me'!P186</f>
        <v>6.3</v>
      </c>
      <c r="I165" s="153">
        <f>'[18]Rev_SP-12me'!AA186</f>
        <v>3500</v>
      </c>
      <c r="J165" s="100"/>
      <c r="K165" s="153">
        <f>'[18]Rev_SP-12me'!AT186</f>
        <v>4.56560667112711</v>
      </c>
      <c r="L165" s="153">
        <f>'[18]Rev_SP-12me'!AU186</f>
        <v>54.3353606587301</v>
      </c>
      <c r="M165" s="153">
        <f>'[18]Rev_SP-12me'!AW186</f>
        <v>0.0546</v>
      </c>
      <c r="N165" s="153">
        <f t="shared" si="4"/>
        <v>58.9555673298572</v>
      </c>
    </row>
    <row r="166" ht="25" customHeight="1" spans="2:14">
      <c r="B166" s="161" t="s">
        <v>1148</v>
      </c>
      <c r="C166" s="55"/>
      <c r="D166" s="136">
        <f>'[18]Rev_SP-12me'!AJ191</f>
        <v>26</v>
      </c>
      <c r="E166" s="136">
        <f>'[18]Rev_SP-12me'!AL191</f>
        <v>42.84634725</v>
      </c>
      <c r="F166" s="150">
        <f>'[18]Rev_SP-12me'!AQ191</f>
        <v>282.096660471516</v>
      </c>
      <c r="G166" s="150">
        <f>'[18]Rev_SP-12me'!O191</f>
        <v>0</v>
      </c>
      <c r="H166" s="137">
        <f>'[18]Rev_SP-12me'!P191</f>
        <v>0</v>
      </c>
      <c r="I166" s="150">
        <f>'[18]Rev_SP-12me'!AA191</f>
        <v>0</v>
      </c>
      <c r="J166" s="100"/>
      <c r="K166" s="150">
        <f>'[18]Rev_SP-12me'!AT191</f>
        <v>0</v>
      </c>
      <c r="L166" s="150">
        <f>'[18]Rev_SP-12me'!AU191</f>
        <v>172.078962887625</v>
      </c>
      <c r="M166" s="150">
        <f>'[18]Rev_SP-12me'!AW191</f>
        <v>0.1029</v>
      </c>
      <c r="N166" s="150">
        <f t="shared" si="4"/>
        <v>172.181862887625</v>
      </c>
    </row>
    <row r="167" ht="25" customHeight="1" spans="2:14">
      <c r="B167" s="190" t="s">
        <v>1149</v>
      </c>
      <c r="C167" s="55"/>
      <c r="D167" s="138">
        <f>'[18]Rev_SP-12me'!AJ192</f>
        <v>26</v>
      </c>
      <c r="E167" s="138">
        <f>'[18]Rev_SP-12me'!AL192</f>
        <v>42.84634725</v>
      </c>
      <c r="F167" s="153">
        <f>'[18]Rev_SP-12me'!AQ192</f>
        <v>282.096660471516</v>
      </c>
      <c r="G167" s="153">
        <f>'[18]Rev_SP-12me'!O192</f>
        <v>0</v>
      </c>
      <c r="H167" s="101">
        <f>'[18]Rev_SP-12me'!P192</f>
        <v>6.1</v>
      </c>
      <c r="I167" s="153">
        <f>'[18]Rev_SP-12me'!AA192</f>
        <v>3500</v>
      </c>
      <c r="J167" s="100"/>
      <c r="K167" s="153">
        <f>'[18]Rev_SP-12me'!AT192</f>
        <v>0</v>
      </c>
      <c r="L167" s="153">
        <f>'[18]Rev_SP-12me'!AU192</f>
        <v>172.078962887625</v>
      </c>
      <c r="M167" s="153">
        <f>'[18]Rev_SP-12me'!AW192</f>
        <v>0.1029</v>
      </c>
      <c r="N167" s="153">
        <f t="shared" si="4"/>
        <v>172.181862887625</v>
      </c>
    </row>
    <row r="168" ht="25" customHeight="1" spans="2:14">
      <c r="B168" s="157" t="s">
        <v>1150</v>
      </c>
      <c r="C168" s="55"/>
      <c r="D168" s="136">
        <f>'[18]Rev_SP-12me'!AJ193</f>
        <v>0</v>
      </c>
      <c r="E168" s="136">
        <f>'[18]Rev_SP-12me'!AL193</f>
        <v>0</v>
      </c>
      <c r="F168" s="150">
        <f>'[18]Rev_SP-12me'!AQ193</f>
        <v>0</v>
      </c>
      <c r="G168" s="150">
        <f>'[18]Rev_SP-12me'!O193</f>
        <v>0</v>
      </c>
      <c r="H168" s="137">
        <f>'[18]Rev_SP-12me'!P193</f>
        <v>0</v>
      </c>
      <c r="I168" s="150">
        <f>'[18]Rev_SP-12me'!AA193</f>
        <v>3500</v>
      </c>
      <c r="J168" s="100"/>
      <c r="K168" s="150">
        <f>'[18]Rev_SP-12me'!AT193</f>
        <v>0</v>
      </c>
      <c r="L168" s="150">
        <f>'[18]Rev_SP-12me'!AU193</f>
        <v>0</v>
      </c>
      <c r="M168" s="150">
        <f>'[18]Rev_SP-12me'!AW193</f>
        <v>0</v>
      </c>
      <c r="N168" s="153">
        <f t="shared" si="4"/>
        <v>0</v>
      </c>
    </row>
    <row r="169" ht="25" customHeight="1" spans="2:14">
      <c r="B169" s="151" t="s">
        <v>1131</v>
      </c>
      <c r="C169" s="55"/>
      <c r="D169" s="136">
        <f>'[18]Rev_SP-12me'!AJ187</f>
        <v>1</v>
      </c>
      <c r="E169" s="136">
        <f>'[18]Rev_SP-12me'!AL187</f>
        <v>0</v>
      </c>
      <c r="F169" s="150">
        <f>'[18]Rev_SP-12me'!AQ187</f>
        <v>0</v>
      </c>
      <c r="G169" s="150">
        <f>'[18]Rev_SP-12me'!O187</f>
        <v>500</v>
      </c>
      <c r="H169" s="137">
        <f>'[18]Rev_SP-12me'!P187</f>
        <v>5.05</v>
      </c>
      <c r="I169" s="150">
        <f>'[18]Rev_SP-12me'!AA187</f>
        <v>3500</v>
      </c>
      <c r="J169" s="100"/>
      <c r="K169" s="150">
        <f>'[18]Rev_SP-12me'!AT187</f>
        <v>0</v>
      </c>
      <c r="L169" s="150">
        <f>'[18]Rev_SP-12me'!AU187</f>
        <v>0</v>
      </c>
      <c r="M169" s="150">
        <f>'[18]Rev_SP-12me'!AW187</f>
        <v>0.0042</v>
      </c>
      <c r="N169" s="150">
        <f t="shared" si="4"/>
        <v>0.0042</v>
      </c>
    </row>
    <row r="170" ht="25" customHeight="1" spans="2:14">
      <c r="B170" s="151" t="s">
        <v>1132</v>
      </c>
      <c r="C170" s="55"/>
      <c r="D170" s="136">
        <f>'[18]Rev_SP-12me'!AJ188</f>
        <v>0</v>
      </c>
      <c r="E170" s="136">
        <f>'[18]Rev_SP-12me'!AL188</f>
        <v>0</v>
      </c>
      <c r="F170" s="150">
        <f>'[18]Rev_SP-12me'!AQ188</f>
        <v>0</v>
      </c>
      <c r="G170" s="150">
        <f>'[18]Rev_SP-12me'!O188</f>
        <v>500</v>
      </c>
      <c r="H170" s="137">
        <f>'[18]Rev_SP-12me'!P188</f>
        <v>4.95</v>
      </c>
      <c r="I170" s="150">
        <f>'[18]Rev_SP-12me'!AA188</f>
        <v>3500</v>
      </c>
      <c r="J170" s="100"/>
      <c r="K170" s="150">
        <f>'[18]Rev_SP-12me'!AT188</f>
        <v>0</v>
      </c>
      <c r="L170" s="150">
        <f>'[18]Rev_SP-12me'!AU188</f>
        <v>0</v>
      </c>
      <c r="M170" s="150">
        <f>'[18]Rev_SP-12me'!AW188</f>
        <v>0</v>
      </c>
      <c r="N170" s="150">
        <f t="shared" si="4"/>
        <v>0</v>
      </c>
    </row>
    <row r="171" ht="25" customHeight="1" spans="2:14">
      <c r="B171" s="151" t="s">
        <v>919</v>
      </c>
      <c r="C171" s="55"/>
      <c r="D171" s="136">
        <f>'[18]Rev_SP-12me'!AJ189</f>
        <v>38</v>
      </c>
      <c r="E171" s="136">
        <f>'[18]Rev_SP-12me'!AL189</f>
        <v>44.43704472375</v>
      </c>
      <c r="F171" s="150">
        <f>'[18]Rev_SP-12me'!AQ189</f>
        <v>188.407399757014</v>
      </c>
      <c r="G171" s="150">
        <f>'[18]Rev_SP-12me'!O189</f>
        <v>285</v>
      </c>
      <c r="H171" s="137">
        <f>'[18]Rev_SP-12me'!P189</f>
        <v>7.3</v>
      </c>
      <c r="I171" s="150">
        <f>'[18]Rev_SP-12me'!AA189</f>
        <v>3500</v>
      </c>
      <c r="J171" s="100"/>
      <c r="K171" s="150">
        <f>'[18]Rev_SP-12me'!AT189</f>
        <v>12.157975436418</v>
      </c>
      <c r="L171" s="150">
        <f>'[18]Rev_SP-12me'!AU189</f>
        <v>137.53740182262</v>
      </c>
      <c r="M171" s="150">
        <f>'[18]Rev_SP-12me'!AW189</f>
        <v>0.1575</v>
      </c>
      <c r="N171" s="150">
        <f t="shared" si="4"/>
        <v>149.852877259038</v>
      </c>
    </row>
    <row r="172" ht="25" customHeight="1" spans="2:14">
      <c r="B172" s="151" t="s">
        <v>1133</v>
      </c>
      <c r="C172" s="55"/>
      <c r="D172" s="136">
        <f>'[18]Rev_SP-12me'!AJ190</f>
        <v>10</v>
      </c>
      <c r="E172" s="136">
        <f>'[18]Rev_SP-12me'!AL190</f>
        <v>25.9703550617484</v>
      </c>
      <c r="F172" s="150">
        <f>'[18]Rev_SP-12me'!AQ190</f>
        <v>36.1256164370943</v>
      </c>
      <c r="G172" s="150">
        <f>'[18]Rev_SP-12me'!O190</f>
        <v>500</v>
      </c>
      <c r="H172" s="137">
        <f>'[18]Rev_SP-12me'!P190</f>
        <v>11</v>
      </c>
      <c r="I172" s="150">
        <f>'[18]Rev_SP-12me'!AA190</f>
        <v>3500</v>
      </c>
      <c r="J172" s="100"/>
      <c r="K172" s="150">
        <f>'[18]Rev_SP-12me'!AT190</f>
        <v>12.4657704296392</v>
      </c>
      <c r="L172" s="150">
        <f>'[18]Rev_SP-12me'!AU190</f>
        <v>39.7381780808037</v>
      </c>
      <c r="M172" s="150">
        <f>'[18]Rev_SP-12me'!AW190</f>
        <v>0.0399</v>
      </c>
      <c r="N172" s="150">
        <f t="shared" si="4"/>
        <v>52.2438485104429</v>
      </c>
    </row>
    <row r="173" ht="25" customHeight="1" spans="2:14">
      <c r="B173" s="157" t="s">
        <v>1151</v>
      </c>
      <c r="C173" s="55"/>
      <c r="D173" s="148">
        <f>SUM(D128,D142,D147,D148,D154,D159,D164,D166,D168,D169,D170,D171,D172)</f>
        <v>776</v>
      </c>
      <c r="E173" s="148">
        <f>SUM(E128,E142,E147,E148,E154,E159,E164,E166,E168,E169,E170,E171,E172)</f>
        <v>1930.60578115968</v>
      </c>
      <c r="F173" s="148">
        <f>SUM(F128,F142,F147,F148,F154,F159,F164,F166,F168,F169,F170,F171,F172)</f>
        <v>10055.3104682285</v>
      </c>
      <c r="G173" s="193"/>
      <c r="H173" s="193"/>
      <c r="I173" s="193"/>
      <c r="J173" s="193"/>
      <c r="K173" s="149">
        <f>SUM(K128,K142,K147,K148,K154,K159,K164,K166,K168,K169,K170,K171,K172)</f>
        <v>888.814032092788</v>
      </c>
      <c r="L173" s="149">
        <f>SUM(L128,L142,L147,L148,L154,L159,L164,L166,L168,L169,L170,L171,L172)</f>
        <v>7204.62247889952</v>
      </c>
      <c r="M173" s="149">
        <f>SUM(M128,M142,M147,M148,M154,M159,M164,M166,M168,M169,M170,M171,M172)</f>
        <v>3.0912</v>
      </c>
      <c r="N173" s="148">
        <f>SUM(N128,N142,N147,N148,N154,N159,N164,N166,N168,N169,N170,N171,N172)</f>
        <v>8096.52771099231</v>
      </c>
    </row>
    <row r="174" ht="25" customHeight="1" spans="2:14">
      <c r="B174" s="55"/>
      <c r="C174" s="55"/>
      <c r="D174" s="55"/>
      <c r="E174" s="55"/>
      <c r="F174" s="100"/>
      <c r="G174" s="100"/>
      <c r="H174" s="100"/>
      <c r="I174" s="100"/>
      <c r="J174" s="100"/>
      <c r="K174" s="100"/>
      <c r="L174" s="100"/>
      <c r="M174" s="100"/>
      <c r="N174" s="100"/>
    </row>
    <row r="175" ht="25" customHeight="1" spans="2:14">
      <c r="B175" s="151" t="s">
        <v>1152</v>
      </c>
      <c r="C175" s="55"/>
      <c r="D175" s="55"/>
      <c r="E175" s="55"/>
      <c r="F175" s="100"/>
      <c r="G175" s="100"/>
      <c r="H175" s="100"/>
      <c r="I175" s="100"/>
      <c r="J175" s="100"/>
      <c r="K175" s="100"/>
      <c r="L175" s="100"/>
      <c r="M175" s="100"/>
      <c r="N175" s="100"/>
    </row>
    <row r="176" ht="25" customHeight="1" spans="2:14">
      <c r="B176" s="151" t="s">
        <v>1137</v>
      </c>
      <c r="C176" s="55"/>
      <c r="D176" s="136">
        <f>'[18]Rev_SP-12me'!AJ208</f>
        <v>50</v>
      </c>
      <c r="E176" s="136">
        <f>'[18]Rev_SP-12me'!AL208</f>
        <v>843.2565546825</v>
      </c>
      <c r="F176" s="150">
        <f>'[18]Rev_SP-12me'!AQ208</f>
        <v>3799.82800293829</v>
      </c>
      <c r="G176" s="150">
        <f>'[18]Rev_SP-12me'!O208</f>
        <v>0</v>
      </c>
      <c r="H176" s="137">
        <f>'[18]Rev_SP-12me'!P208</f>
        <v>0</v>
      </c>
      <c r="I176" s="150">
        <f>'[18]Rev_SP-12me'!AA208</f>
        <v>0</v>
      </c>
      <c r="J176" s="100"/>
      <c r="K176" s="150">
        <f>'[18]Rev_SP-12me'!AT208</f>
        <v>404.7631462476</v>
      </c>
      <c r="L176" s="150">
        <f>'[18]Rev_SP-12me'!AU208</f>
        <v>2474.68925185116</v>
      </c>
      <c r="M176" s="150">
        <f>'[18]Rev_SP-12me'!AW208</f>
        <v>0.294</v>
      </c>
      <c r="N176" s="150">
        <f t="shared" ref="N176:N217" si="5">SUM(K176:M176)</f>
        <v>2879.74639809876</v>
      </c>
    </row>
    <row r="177" ht="25" customHeight="1" spans="2:14">
      <c r="B177" s="190" t="s">
        <v>1105</v>
      </c>
      <c r="C177" s="55"/>
      <c r="D177" s="138">
        <f>'[18]Rev_SP-12me'!AJ209</f>
        <v>50</v>
      </c>
      <c r="E177" s="138">
        <f>'[18]Rev_SP-12me'!AL209</f>
        <v>843.2565546825</v>
      </c>
      <c r="F177" s="153">
        <f>'[18]Rev_SP-12me'!AQ209</f>
        <v>727.317196017259</v>
      </c>
      <c r="G177" s="153">
        <f>'[18]Rev_SP-12me'!O209</f>
        <v>500</v>
      </c>
      <c r="H177" s="101">
        <f>'[18]Rev_SP-12me'!P209</f>
        <v>6.65</v>
      </c>
      <c r="I177" s="153">
        <f>'[18]Rev_SP-12me'!AA209</f>
        <v>5000</v>
      </c>
      <c r="J177" s="100"/>
      <c r="K177" s="153">
        <f>'[18]Rev_SP-12me'!AT209</f>
        <v>404.7631462476</v>
      </c>
      <c r="L177" s="153">
        <f>'[18]Rev_SP-12me'!AU209</f>
        <v>483.665935351477</v>
      </c>
      <c r="M177" s="153">
        <f>'[18]Rev_SP-12me'!AW209</f>
        <v>0.294</v>
      </c>
      <c r="N177" s="153">
        <f t="shared" si="5"/>
        <v>888.723081599077</v>
      </c>
    </row>
    <row r="178" ht="25" customHeight="1" spans="2:14">
      <c r="B178" s="190" t="s">
        <v>1139</v>
      </c>
      <c r="C178" s="55"/>
      <c r="D178" s="139">
        <f>'[18]Rev_SP-12me'!AJ210</f>
        <v>0</v>
      </c>
      <c r="E178" s="139">
        <f>'[18]Rev_SP-12me'!AL210</f>
        <v>0</v>
      </c>
      <c r="F178" s="174">
        <f>'[18]Rev_SP-12me'!AQ210</f>
        <v>220.344508273904</v>
      </c>
      <c r="G178" s="174">
        <f>'[18]Rev_SP-12me'!O210</f>
        <v>0</v>
      </c>
      <c r="H178" s="185">
        <f>'[18]Rev_SP-12me'!P210</f>
        <v>6.65</v>
      </c>
      <c r="I178" s="174">
        <f>'[18]Rev_SP-12me'!AA210</f>
        <v>5000</v>
      </c>
      <c r="J178" s="100"/>
      <c r="K178" s="174">
        <f>'[18]Rev_SP-12me'!AT210</f>
        <v>0</v>
      </c>
      <c r="L178" s="174">
        <f>'[18]Rev_SP-12me'!AU210</f>
        <v>146.529098002146</v>
      </c>
      <c r="M178" s="174">
        <f>'[18]Rev_SP-12me'!AW210</f>
        <v>0</v>
      </c>
      <c r="N178" s="153">
        <f t="shared" si="5"/>
        <v>146.529098002146</v>
      </c>
    </row>
    <row r="179" ht="25" customHeight="1" spans="2:14">
      <c r="B179" s="190" t="s">
        <v>1140</v>
      </c>
      <c r="C179" s="55"/>
      <c r="D179" s="139">
        <f>'[18]Rev_SP-12me'!AJ211</f>
        <v>0</v>
      </c>
      <c r="E179" s="139">
        <f>'[18]Rev_SP-12me'!AL211</f>
        <v>0</v>
      </c>
      <c r="F179" s="174">
        <f>'[18]Rev_SP-12me'!AQ211</f>
        <v>342.000435705284</v>
      </c>
      <c r="G179" s="174">
        <f>'[18]Rev_SP-12me'!O211</f>
        <v>0</v>
      </c>
      <c r="H179" s="185">
        <f>'[18]Rev_SP-12me'!P211</f>
        <v>7.3</v>
      </c>
      <c r="I179" s="174">
        <f>'[18]Rev_SP-12me'!AA211</f>
        <v>5000</v>
      </c>
      <c r="J179" s="100"/>
      <c r="K179" s="174">
        <f>'[18]Rev_SP-12me'!AT211</f>
        <v>0</v>
      </c>
      <c r="L179" s="174">
        <f>'[18]Rev_SP-12me'!AU211</f>
        <v>249.660318064858</v>
      </c>
      <c r="M179" s="174">
        <f>'[18]Rev_SP-12me'!AW211</f>
        <v>0</v>
      </c>
      <c r="N179" s="153">
        <f t="shared" si="5"/>
        <v>249.660318064858</v>
      </c>
    </row>
    <row r="180" ht="25" customHeight="1" spans="2:14">
      <c r="B180" s="190" t="s">
        <v>1141</v>
      </c>
      <c r="C180" s="55"/>
      <c r="D180" s="139">
        <f>'[18]Rev_SP-12me'!AJ212</f>
        <v>0</v>
      </c>
      <c r="E180" s="139">
        <f>'[18]Rev_SP-12me'!AL212</f>
        <v>0</v>
      </c>
      <c r="F180" s="174">
        <f>'[18]Rev_SP-12me'!AQ212</f>
        <v>0</v>
      </c>
      <c r="G180" s="174">
        <f>'[18]Rev_SP-12me'!O212</f>
        <v>500</v>
      </c>
      <c r="H180" s="185">
        <f>'[18]Rev_SP-12me'!P212</f>
        <v>7.7</v>
      </c>
      <c r="I180" s="174">
        <f>'[18]Rev_SP-12me'!AA212</f>
        <v>5000</v>
      </c>
      <c r="J180" s="100"/>
      <c r="K180" s="174">
        <f>'[18]Rev_SP-12me'!AT212</f>
        <v>0</v>
      </c>
      <c r="L180" s="174">
        <f>'[18]Rev_SP-12me'!AU212</f>
        <v>0</v>
      </c>
      <c r="M180" s="174">
        <f>'[18]Rev_SP-12me'!AW212</f>
        <v>0</v>
      </c>
      <c r="N180" s="153">
        <f t="shared" si="5"/>
        <v>0</v>
      </c>
    </row>
    <row r="181" ht="25" customHeight="1" spans="2:14">
      <c r="B181" s="192" t="s">
        <v>1120</v>
      </c>
      <c r="C181" s="55"/>
      <c r="D181" s="139">
        <f>'[18]Rev_SP-12me'!AJ213</f>
        <v>0</v>
      </c>
      <c r="E181" s="139">
        <f>'[18]Rev_SP-12me'!AL213</f>
        <v>0</v>
      </c>
      <c r="F181" s="174">
        <f>'[18]Rev_SP-12me'!AQ213</f>
        <v>586.236441608374</v>
      </c>
      <c r="G181" s="174">
        <f>'[18]Rev_SP-12me'!O213</f>
        <v>0</v>
      </c>
      <c r="H181" s="185">
        <f>'[18]Rev_SP-12me'!P213</f>
        <v>7.65</v>
      </c>
      <c r="I181" s="174">
        <f>'[18]Rev_SP-12me'!AA213</f>
        <v>5000</v>
      </c>
      <c r="J181" s="100"/>
      <c r="K181" s="174">
        <f>'[18]Rev_SP-12me'!AT213</f>
        <v>0</v>
      </c>
      <c r="L181" s="174">
        <f>'[18]Rev_SP-12me'!AU213</f>
        <v>448.470877830406</v>
      </c>
      <c r="M181" s="174">
        <f>'[18]Rev_SP-12me'!AW213</f>
        <v>0</v>
      </c>
      <c r="N181" s="153">
        <f t="shared" si="5"/>
        <v>448.470877830406</v>
      </c>
    </row>
    <row r="182" ht="25" customHeight="1" spans="2:14">
      <c r="B182" s="192" t="s">
        <v>1121</v>
      </c>
      <c r="C182" s="55"/>
      <c r="D182" s="139">
        <f>'[18]Rev_SP-12me'!AJ214</f>
        <v>0</v>
      </c>
      <c r="E182" s="139">
        <f>'[18]Rev_SP-12me'!AL214</f>
        <v>0</v>
      </c>
      <c r="F182" s="174">
        <f>'[18]Rev_SP-12me'!AQ214</f>
        <v>622.157482462135</v>
      </c>
      <c r="G182" s="174">
        <f>'[18]Rev_SP-12me'!O214</f>
        <v>0</v>
      </c>
      <c r="H182" s="185">
        <f>'[18]Rev_SP-12me'!P214</f>
        <v>7.65</v>
      </c>
      <c r="I182" s="174">
        <f>'[18]Rev_SP-12me'!AA214</f>
        <v>5000</v>
      </c>
      <c r="J182" s="100"/>
      <c r="K182" s="174">
        <f>'[18]Rev_SP-12me'!AT214</f>
        <v>0</v>
      </c>
      <c r="L182" s="174">
        <f>'[18]Rev_SP-12me'!AU214</f>
        <v>475.950474083533</v>
      </c>
      <c r="M182" s="174">
        <f>'[18]Rev_SP-12me'!AW214</f>
        <v>0</v>
      </c>
      <c r="N182" s="153">
        <f t="shared" si="5"/>
        <v>475.950474083533</v>
      </c>
    </row>
    <row r="183" ht="25" customHeight="1" spans="2:14">
      <c r="B183" s="192" t="s">
        <v>1122</v>
      </c>
      <c r="C183" s="55"/>
      <c r="D183" s="139">
        <f>'[18]Rev_SP-12me'!AJ215</f>
        <v>0</v>
      </c>
      <c r="E183" s="139">
        <f>'[18]Rev_SP-12me'!AL215</f>
        <v>0</v>
      </c>
      <c r="F183" s="174">
        <f>'[18]Rev_SP-12me'!AQ215</f>
        <v>1301.77193887133</v>
      </c>
      <c r="G183" s="174">
        <f>'[18]Rev_SP-12me'!O215</f>
        <v>0</v>
      </c>
      <c r="H183" s="185">
        <f>'[18]Rev_SP-12me'!P215</f>
        <v>5.15</v>
      </c>
      <c r="I183" s="174">
        <f>'[18]Rev_SP-12me'!AA215</f>
        <v>5000</v>
      </c>
      <c r="J183" s="100"/>
      <c r="K183" s="174">
        <f>'[18]Rev_SP-12me'!AT215</f>
        <v>0</v>
      </c>
      <c r="L183" s="174">
        <f>'[18]Rev_SP-12me'!AU215</f>
        <v>670.412548518735</v>
      </c>
      <c r="M183" s="174">
        <f>'[18]Rev_SP-12me'!AW215</f>
        <v>0</v>
      </c>
      <c r="N183" s="153">
        <f t="shared" si="5"/>
        <v>670.412548518735</v>
      </c>
    </row>
    <row r="184" ht="25" customHeight="1" spans="2:14">
      <c r="B184" s="151" t="s">
        <v>1118</v>
      </c>
      <c r="C184" s="55"/>
      <c r="D184" s="167">
        <f>'[18]Rev_SP-12me'!AJ217</f>
        <v>0</v>
      </c>
      <c r="E184" s="136">
        <f>'[18]Rev_SP-12me'!AL217</f>
        <v>0</v>
      </c>
      <c r="F184" s="150">
        <f>'[18]Rev_SP-12me'!AQ217</f>
        <v>1202.64701559553</v>
      </c>
      <c r="G184" s="150">
        <f>'[18]Rev_SP-12me'!O217</f>
        <v>0</v>
      </c>
      <c r="H184" s="137">
        <f>'[18]Rev_SP-12me'!P217</f>
        <v>0</v>
      </c>
      <c r="I184" s="150"/>
      <c r="J184" s="100"/>
      <c r="K184" s="150">
        <f>'[18]Rev_SP-12me'!AT217</f>
        <v>0</v>
      </c>
      <c r="L184" s="150">
        <f>'[18]Rev_SP-12me'!AU217</f>
        <v>779.577204085123</v>
      </c>
      <c r="M184" s="150">
        <f>'[18]Rev_SP-12me'!AW217</f>
        <v>0</v>
      </c>
      <c r="N184" s="150">
        <f t="shared" si="5"/>
        <v>779.577204085123</v>
      </c>
    </row>
    <row r="185" ht="25" customHeight="1" spans="2:14">
      <c r="B185" s="190" t="s">
        <v>1119</v>
      </c>
      <c r="C185" s="55"/>
      <c r="D185" s="166">
        <f>'[18]Rev_SP-12me'!AJ218</f>
        <v>0</v>
      </c>
      <c r="E185" s="165">
        <f>'[18]Rev_SP-12me'!AL218</f>
        <v>0</v>
      </c>
      <c r="F185" s="177">
        <f>'[18]Rev_SP-12me'!AQ218</f>
        <v>395.485654498784</v>
      </c>
      <c r="G185" s="179">
        <f>'[18]Rev_SP-12me'!O218</f>
        <v>500</v>
      </c>
      <c r="H185" s="185">
        <f>'[18]Rev_SP-12me'!P218</f>
        <v>6.65</v>
      </c>
      <c r="I185" s="174">
        <f>'[18]Rev_SP-12me'!AA218</f>
        <v>5000</v>
      </c>
      <c r="J185" s="100"/>
      <c r="K185" s="178">
        <f>'[18]Rev_SP-12me'!AT218</f>
        <v>0</v>
      </c>
      <c r="L185" s="178">
        <f>'[18]Rev_SP-12me'!AU218</f>
        <v>262.997960241691</v>
      </c>
      <c r="M185" s="178">
        <f>'[18]Rev_SP-12me'!AW218</f>
        <v>0</v>
      </c>
      <c r="N185" s="153">
        <f t="shared" si="5"/>
        <v>262.997960241691</v>
      </c>
    </row>
    <row r="186" ht="25" customHeight="1" spans="2:14">
      <c r="B186" s="190" t="s">
        <v>1120</v>
      </c>
      <c r="C186" s="55"/>
      <c r="D186" s="166">
        <f>'[18]Rev_SP-12me'!AJ219</f>
        <v>0</v>
      </c>
      <c r="E186" s="166">
        <f>'[18]Rev_SP-12me'!AL219</f>
        <v>0</v>
      </c>
      <c r="F186" s="177">
        <f>'[18]Rev_SP-12me'!AQ219</f>
        <v>203.26388237159</v>
      </c>
      <c r="G186" s="179">
        <f>'[18]Rev_SP-12me'!O219</f>
        <v>0</v>
      </c>
      <c r="H186" s="185">
        <f>'[18]Rev_SP-12me'!P219</f>
        <v>7.65</v>
      </c>
      <c r="I186" s="174">
        <f>'[18]Rev_SP-12me'!AA219</f>
        <v>5000</v>
      </c>
      <c r="J186" s="100"/>
      <c r="K186" s="179">
        <f>'[18]Rev_SP-12me'!AT219</f>
        <v>0</v>
      </c>
      <c r="L186" s="179">
        <f>'[18]Rev_SP-12me'!AU219</f>
        <v>155.496870014266</v>
      </c>
      <c r="M186" s="179">
        <f>'[18]Rev_SP-12me'!AW219</f>
        <v>0</v>
      </c>
      <c r="N186" s="153">
        <f t="shared" si="5"/>
        <v>155.496870014266</v>
      </c>
    </row>
    <row r="187" ht="25" customHeight="1" spans="2:14">
      <c r="B187" s="190" t="s">
        <v>1121</v>
      </c>
      <c r="C187" s="55"/>
      <c r="D187" s="166">
        <f>'[18]Rev_SP-12me'!AJ220</f>
        <v>0</v>
      </c>
      <c r="E187" s="166">
        <f>'[18]Rev_SP-12me'!AL220</f>
        <v>0</v>
      </c>
      <c r="F187" s="177">
        <f>'[18]Rev_SP-12me'!AQ220</f>
        <v>200.300689142847</v>
      </c>
      <c r="G187" s="179">
        <f>'[18]Rev_SP-12me'!O220</f>
        <v>0</v>
      </c>
      <c r="H187" s="185">
        <f>'[18]Rev_SP-12me'!P220</f>
        <v>7.65</v>
      </c>
      <c r="I187" s="174">
        <f>'[18]Rev_SP-12me'!AA220</f>
        <v>5000</v>
      </c>
      <c r="J187" s="100"/>
      <c r="K187" s="179">
        <f>'[18]Rev_SP-12me'!AT220</f>
        <v>0</v>
      </c>
      <c r="L187" s="179">
        <f>'[18]Rev_SP-12me'!AU220</f>
        <v>153.230027194278</v>
      </c>
      <c r="M187" s="179">
        <f>'[18]Rev_SP-12me'!AW220</f>
        <v>0</v>
      </c>
      <c r="N187" s="153">
        <f t="shared" si="5"/>
        <v>153.230027194278</v>
      </c>
    </row>
    <row r="188" ht="25" customHeight="1" spans="2:14">
      <c r="B188" s="190" t="s">
        <v>1122</v>
      </c>
      <c r="C188" s="55"/>
      <c r="D188" s="166">
        <f>'[18]Rev_SP-12me'!AJ221</f>
        <v>0</v>
      </c>
      <c r="E188" s="166">
        <f>'[18]Rev_SP-12me'!AL221</f>
        <v>0</v>
      </c>
      <c r="F188" s="177">
        <f>'[18]Rev_SP-12me'!AQ221</f>
        <v>403.596789582306</v>
      </c>
      <c r="G188" s="179">
        <f>'[18]Rev_SP-12me'!O221</f>
        <v>0</v>
      </c>
      <c r="H188" s="185">
        <f>'[18]Rev_SP-12me'!P221</f>
        <v>5.15</v>
      </c>
      <c r="I188" s="174">
        <f>'[18]Rev_SP-12me'!AA221</f>
        <v>5000</v>
      </c>
      <c r="J188" s="100"/>
      <c r="K188" s="179">
        <f>'[18]Rev_SP-12me'!AT221</f>
        <v>0</v>
      </c>
      <c r="L188" s="179">
        <f>'[18]Rev_SP-12me'!AU221</f>
        <v>207.852346634888</v>
      </c>
      <c r="M188" s="179">
        <f>'[18]Rev_SP-12me'!AW221</f>
        <v>0</v>
      </c>
      <c r="N188" s="153">
        <f t="shared" si="5"/>
        <v>207.852346634888</v>
      </c>
    </row>
    <row r="189" ht="25" customHeight="1" spans="2:14">
      <c r="B189" s="151" t="s">
        <v>1153</v>
      </c>
      <c r="C189" s="55"/>
      <c r="D189" s="167">
        <f>'[18]Rev_SP-12me'!AJ216</f>
        <v>0</v>
      </c>
      <c r="E189" s="136">
        <f>'[18]Rev_SP-12me'!AL216</f>
        <v>0</v>
      </c>
      <c r="F189" s="150">
        <f>'[18]Rev_SP-12me'!AQ216</f>
        <v>152.9334297</v>
      </c>
      <c r="G189" s="150">
        <f>'[18]Rev_SP-12me'!O216</f>
        <v>500</v>
      </c>
      <c r="H189" s="137">
        <f>'[18]Rev_SP-12me'!P216</f>
        <v>6.65</v>
      </c>
      <c r="I189" s="150">
        <f>'[18]Rev_SP-12me'!AA216</f>
        <v>5000</v>
      </c>
      <c r="J189" s="100"/>
      <c r="K189" s="150">
        <f>'[18]Rev_SP-12me'!AT216</f>
        <v>0</v>
      </c>
      <c r="L189" s="150">
        <f>'[18]Rev_SP-12me'!AU216</f>
        <v>101.7007307505</v>
      </c>
      <c r="M189" s="150">
        <f>'[18]Rev_SP-12me'!AW216</f>
        <v>0</v>
      </c>
      <c r="N189" s="150">
        <f t="shared" si="5"/>
        <v>101.7007307505</v>
      </c>
    </row>
    <row r="190" ht="25" customHeight="1" spans="2:14">
      <c r="B190" s="151" t="s">
        <v>1154</v>
      </c>
      <c r="C190" s="55"/>
      <c r="D190" s="136">
        <f>'[18]Rev_SP-12me'!AJ222</f>
        <v>10</v>
      </c>
      <c r="E190" s="136">
        <f>'[18]Rev_SP-12me'!AL222</f>
        <v>90.38962967643</v>
      </c>
      <c r="F190" s="150">
        <f>'[18]Rev_SP-12me'!AQ222</f>
        <v>345.646916498293</v>
      </c>
      <c r="G190" s="150">
        <f>'[18]Rev_SP-12me'!O222</f>
        <v>0</v>
      </c>
      <c r="H190" s="137">
        <f>'[18]Rev_SP-12me'!P222</f>
        <v>0</v>
      </c>
      <c r="I190" s="150">
        <f>'[18]Rev_SP-12me'!AA222</f>
        <v>0</v>
      </c>
      <c r="J190" s="100"/>
      <c r="K190" s="150">
        <f>'[18]Rev_SP-12me'!AT222</f>
        <v>43.3870222446864</v>
      </c>
      <c r="L190" s="150">
        <f>'[18]Rev_SP-12me'!AU222</f>
        <v>266.024650087319</v>
      </c>
      <c r="M190" s="150">
        <f>'[18]Rev_SP-12me'!AW222</f>
        <v>0.057</v>
      </c>
      <c r="N190" s="150">
        <f t="shared" si="5"/>
        <v>309.468672332005</v>
      </c>
    </row>
    <row r="191" ht="25" customHeight="1" spans="2:14">
      <c r="B191" s="192" t="s">
        <v>1119</v>
      </c>
      <c r="C191" s="55"/>
      <c r="D191" s="139">
        <f>'[18]Rev_SP-12me'!AJ223</f>
        <v>10</v>
      </c>
      <c r="E191" s="139">
        <f>'[18]Rev_SP-12me'!AL223</f>
        <v>90.38962967643</v>
      </c>
      <c r="F191" s="174">
        <f>'[18]Rev_SP-12me'!AQ223</f>
        <v>139.212098034898</v>
      </c>
      <c r="G191" s="174">
        <f>'[18]Rev_SP-12me'!O223</f>
        <v>500</v>
      </c>
      <c r="H191" s="185">
        <f>'[18]Rev_SP-12me'!P223</f>
        <v>7.8</v>
      </c>
      <c r="I191" s="174">
        <f>'[18]Rev_SP-12me'!AA223</f>
        <v>5000</v>
      </c>
      <c r="J191" s="100"/>
      <c r="K191" s="174">
        <f>'[18]Rev_SP-12me'!AT223</f>
        <v>43.3870222446864</v>
      </c>
      <c r="L191" s="174">
        <f>'[18]Rev_SP-12me'!AU223</f>
        <v>108.58543646722</v>
      </c>
      <c r="M191" s="174">
        <f>'[18]Rev_SP-12me'!AW223</f>
        <v>0.057</v>
      </c>
      <c r="N191" s="153">
        <f t="shared" si="5"/>
        <v>152.029458711906</v>
      </c>
    </row>
    <row r="192" ht="25" customHeight="1" spans="2:14">
      <c r="B192" s="192" t="s">
        <v>1120</v>
      </c>
      <c r="C192" s="55"/>
      <c r="D192" s="139">
        <f>'[18]Rev_SP-12me'!AJ224</f>
        <v>0</v>
      </c>
      <c r="E192" s="139">
        <f>'[18]Rev_SP-12me'!AL224</f>
        <v>0</v>
      </c>
      <c r="F192" s="174">
        <f>'[18]Rev_SP-12me'!AQ224</f>
        <v>54.3700971181525</v>
      </c>
      <c r="G192" s="174">
        <f>'[18]Rev_SP-12me'!O224</f>
        <v>0</v>
      </c>
      <c r="H192" s="185">
        <f>'[18]Rev_SP-12me'!P224</f>
        <v>8.8</v>
      </c>
      <c r="I192" s="174">
        <f>'[18]Rev_SP-12me'!AA224</f>
        <v>5000</v>
      </c>
      <c r="J192" s="100"/>
      <c r="K192" s="174">
        <f>'[18]Rev_SP-12me'!AT224</f>
        <v>0</v>
      </c>
      <c r="L192" s="174">
        <f>'[18]Rev_SP-12me'!AU224</f>
        <v>47.8456854639742</v>
      </c>
      <c r="M192" s="174">
        <f>'[18]Rev_SP-12me'!AW224</f>
        <v>0</v>
      </c>
      <c r="N192" s="153">
        <f t="shared" si="5"/>
        <v>47.8456854639742</v>
      </c>
    </row>
    <row r="193" ht="25" customHeight="1" spans="2:14">
      <c r="B193" s="192" t="s">
        <v>1121</v>
      </c>
      <c r="C193" s="55"/>
      <c r="D193" s="139">
        <f>'[18]Rev_SP-12me'!AJ225</f>
        <v>0</v>
      </c>
      <c r="E193" s="139">
        <f>'[18]Rev_SP-12me'!AL225</f>
        <v>0</v>
      </c>
      <c r="F193" s="174">
        <f>'[18]Rev_SP-12me'!AQ225</f>
        <v>55.171014834488</v>
      </c>
      <c r="G193" s="174">
        <f>'[18]Rev_SP-12me'!O225</f>
        <v>0</v>
      </c>
      <c r="H193" s="185">
        <f>'[18]Rev_SP-12me'!P225</f>
        <v>8.8</v>
      </c>
      <c r="I193" s="174">
        <f>'[18]Rev_SP-12me'!AA225</f>
        <v>5000</v>
      </c>
      <c r="J193" s="100"/>
      <c r="K193" s="174">
        <f>'[18]Rev_SP-12me'!AT225</f>
        <v>0</v>
      </c>
      <c r="L193" s="174">
        <f>'[18]Rev_SP-12me'!AU225</f>
        <v>48.5504930543494</v>
      </c>
      <c r="M193" s="174">
        <f>'[18]Rev_SP-12me'!AW225</f>
        <v>0</v>
      </c>
      <c r="N193" s="153">
        <f t="shared" si="5"/>
        <v>48.5504930543494</v>
      </c>
    </row>
    <row r="194" ht="25" customHeight="1" spans="2:14">
      <c r="B194" s="192" t="s">
        <v>1122</v>
      </c>
      <c r="C194" s="55"/>
      <c r="D194" s="139">
        <f>'[18]Rev_SP-12me'!AJ226</f>
        <v>0</v>
      </c>
      <c r="E194" s="139">
        <f>'[18]Rev_SP-12me'!AL226</f>
        <v>0</v>
      </c>
      <c r="F194" s="174">
        <f>'[18]Rev_SP-12me'!AQ226</f>
        <v>96.8937065107546</v>
      </c>
      <c r="G194" s="174">
        <f>'[18]Rev_SP-12me'!O226</f>
        <v>0</v>
      </c>
      <c r="H194" s="185">
        <f>'[18]Rev_SP-12me'!P226</f>
        <v>6.3</v>
      </c>
      <c r="I194" s="174">
        <f>'[18]Rev_SP-12me'!AA226</f>
        <v>5000</v>
      </c>
      <c r="J194" s="100"/>
      <c r="K194" s="174">
        <f>'[18]Rev_SP-12me'!AT226</f>
        <v>0</v>
      </c>
      <c r="L194" s="174">
        <f>'[18]Rev_SP-12me'!AU226</f>
        <v>61.0430351017754</v>
      </c>
      <c r="M194" s="174">
        <f>'[18]Rev_SP-12me'!AW226</f>
        <v>0</v>
      </c>
      <c r="N194" s="153">
        <f t="shared" si="5"/>
        <v>61.0430351017754</v>
      </c>
    </row>
    <row r="195" ht="25" customHeight="1" spans="2:14">
      <c r="B195" s="151" t="s">
        <v>1125</v>
      </c>
      <c r="C195" s="55"/>
      <c r="D195" s="136">
        <f>'[18]Rev_SP-12me'!AJ227</f>
        <v>0</v>
      </c>
      <c r="E195" s="136">
        <f>'[18]Rev_SP-12me'!AL227</f>
        <v>0</v>
      </c>
      <c r="F195" s="150">
        <f>'[18]Rev_SP-12me'!AQ227</f>
        <v>0</v>
      </c>
      <c r="G195" s="150">
        <f>'[18]Rev_SP-12me'!O227</f>
        <v>0</v>
      </c>
      <c r="H195" s="137">
        <f>'[18]Rev_SP-12me'!P227</f>
        <v>0</v>
      </c>
      <c r="I195" s="150">
        <f>'[18]Rev_SP-12me'!AA227</f>
        <v>0</v>
      </c>
      <c r="J195" s="100"/>
      <c r="K195" s="150">
        <f>'[18]Rev_SP-12me'!AT227</f>
        <v>0</v>
      </c>
      <c r="L195" s="150">
        <f>'[18]Rev_SP-12me'!AU227</f>
        <v>0</v>
      </c>
      <c r="M195" s="150">
        <f>'[18]Rev_SP-12me'!AW227</f>
        <v>0</v>
      </c>
      <c r="N195" s="150">
        <f t="shared" si="5"/>
        <v>0</v>
      </c>
    </row>
    <row r="196" ht="25" customHeight="1" spans="2:14">
      <c r="B196" s="190" t="s">
        <v>1119</v>
      </c>
      <c r="C196" s="55"/>
      <c r="D196" s="139">
        <f>'[18]Rev_SP-12me'!AJ228</f>
        <v>0</v>
      </c>
      <c r="E196" s="139">
        <f>'[18]Rev_SP-12me'!AL228</f>
        <v>0</v>
      </c>
      <c r="F196" s="174">
        <f>'[18]Rev_SP-12me'!AQ228</f>
        <v>0</v>
      </c>
      <c r="G196" s="174">
        <f>'[18]Rev_SP-12me'!O228</f>
        <v>285</v>
      </c>
      <c r="H196" s="185">
        <f>'[18]Rev_SP-12me'!P228</f>
        <v>5</v>
      </c>
      <c r="I196" s="174">
        <f>'[18]Rev_SP-12me'!AA228</f>
        <v>5000</v>
      </c>
      <c r="J196" s="100"/>
      <c r="K196" s="174">
        <f>'[18]Rev_SP-12me'!AT228</f>
        <v>0</v>
      </c>
      <c r="L196" s="174">
        <f>'[18]Rev_SP-12me'!AU228</f>
        <v>0</v>
      </c>
      <c r="M196" s="174">
        <f>'[18]Rev_SP-12me'!AW228</f>
        <v>0</v>
      </c>
      <c r="N196" s="153">
        <f t="shared" si="5"/>
        <v>0</v>
      </c>
    </row>
    <row r="197" ht="25" customHeight="1" spans="2:14">
      <c r="B197" s="190" t="s">
        <v>1120</v>
      </c>
      <c r="C197" s="55"/>
      <c r="D197" s="139">
        <f>'[18]Rev_SP-12me'!AJ229</f>
        <v>0</v>
      </c>
      <c r="E197" s="139">
        <f>'[18]Rev_SP-12me'!AL229</f>
        <v>0</v>
      </c>
      <c r="F197" s="174">
        <f>'[18]Rev_SP-12me'!AQ229</f>
        <v>0</v>
      </c>
      <c r="G197" s="174">
        <f>'[18]Rev_SP-12me'!O229</f>
        <v>0</v>
      </c>
      <c r="H197" s="185">
        <f>'[18]Rev_SP-12me'!P229</f>
        <v>6</v>
      </c>
      <c r="I197" s="174">
        <f>'[18]Rev_SP-12me'!AA229</f>
        <v>5000</v>
      </c>
      <c r="J197" s="100"/>
      <c r="K197" s="174">
        <f>'[18]Rev_SP-12me'!AT229</f>
        <v>0</v>
      </c>
      <c r="L197" s="174">
        <f>'[18]Rev_SP-12me'!AU229</f>
        <v>0</v>
      </c>
      <c r="M197" s="174">
        <f>'[18]Rev_SP-12me'!AW229</f>
        <v>0</v>
      </c>
      <c r="N197" s="153">
        <f t="shared" si="5"/>
        <v>0</v>
      </c>
    </row>
    <row r="198" ht="25" customHeight="1" spans="2:14">
      <c r="B198" s="190" t="s">
        <v>1121</v>
      </c>
      <c r="C198" s="55"/>
      <c r="D198" s="139">
        <f>'[18]Rev_SP-12me'!AJ230</f>
        <v>0</v>
      </c>
      <c r="E198" s="139">
        <f>'[18]Rev_SP-12me'!AL230</f>
        <v>0</v>
      </c>
      <c r="F198" s="174">
        <f>'[18]Rev_SP-12me'!AQ230</f>
        <v>0</v>
      </c>
      <c r="G198" s="174">
        <f>'[18]Rev_SP-12me'!O230</f>
        <v>0</v>
      </c>
      <c r="H198" s="185">
        <f>'[18]Rev_SP-12me'!P230</f>
        <v>6</v>
      </c>
      <c r="I198" s="174">
        <f>'[18]Rev_SP-12me'!AA230</f>
        <v>5000</v>
      </c>
      <c r="J198" s="100"/>
      <c r="K198" s="174">
        <f>'[18]Rev_SP-12me'!AT230</f>
        <v>0</v>
      </c>
      <c r="L198" s="174">
        <f>'[18]Rev_SP-12me'!AU230</f>
        <v>0</v>
      </c>
      <c r="M198" s="174">
        <f>'[18]Rev_SP-12me'!AW230</f>
        <v>0</v>
      </c>
      <c r="N198" s="153">
        <f t="shared" si="5"/>
        <v>0</v>
      </c>
    </row>
    <row r="199" ht="25" customHeight="1" spans="2:14">
      <c r="B199" s="190" t="s">
        <v>1122</v>
      </c>
      <c r="C199" s="55"/>
      <c r="D199" s="139">
        <f>'[18]Rev_SP-12me'!AJ231</f>
        <v>0</v>
      </c>
      <c r="E199" s="139">
        <f>'[18]Rev_SP-12me'!AL231</f>
        <v>0</v>
      </c>
      <c r="F199" s="174">
        <f>'[18]Rev_SP-12me'!AQ231</f>
        <v>0</v>
      </c>
      <c r="G199" s="174">
        <f>'[18]Rev_SP-12me'!O231</f>
        <v>0</v>
      </c>
      <c r="H199" s="185">
        <f>'[18]Rev_SP-12me'!P231</f>
        <v>3.5</v>
      </c>
      <c r="I199" s="174">
        <f>'[18]Rev_SP-12me'!AA231</f>
        <v>5000</v>
      </c>
      <c r="J199" s="100"/>
      <c r="K199" s="174">
        <f>'[18]Rev_SP-12me'!AT231</f>
        <v>0</v>
      </c>
      <c r="L199" s="174">
        <f>'[18]Rev_SP-12me'!AU231</f>
        <v>0</v>
      </c>
      <c r="M199" s="174">
        <f>'[18]Rev_SP-12me'!AW231</f>
        <v>0</v>
      </c>
      <c r="N199" s="153">
        <f t="shared" si="5"/>
        <v>0</v>
      </c>
    </row>
    <row r="200" ht="25" customHeight="1" spans="2:14">
      <c r="B200" s="151" t="s">
        <v>1126</v>
      </c>
      <c r="C200" s="55"/>
      <c r="D200" s="136">
        <f>'[18]Rev_SP-12me'!AJ232</f>
        <v>1</v>
      </c>
      <c r="E200" s="136">
        <f>'[18]Rev_SP-12me'!AL232</f>
        <v>18.9766627999478</v>
      </c>
      <c r="F200" s="150">
        <f>'[18]Rev_SP-12me'!AQ232</f>
        <v>133.669346242745</v>
      </c>
      <c r="G200" s="150">
        <f>'[18]Rev_SP-12me'!O232</f>
        <v>0</v>
      </c>
      <c r="H200" s="137">
        <f>'[18]Rev_SP-12me'!P232</f>
        <v>0</v>
      </c>
      <c r="I200" s="150">
        <f>'[18]Rev_SP-12me'!AA232</f>
        <v>0</v>
      </c>
      <c r="J200" s="100"/>
      <c r="K200" s="150">
        <f>'[18]Rev_SP-12me'!AT232</f>
        <v>9.10879814397494</v>
      </c>
      <c r="L200" s="150">
        <f>'[18]Rev_SP-12me'!AU232</f>
        <v>97.0957702967231</v>
      </c>
      <c r="M200" s="150">
        <f>'[18]Rev_SP-12me'!AW232</f>
        <v>0.006</v>
      </c>
      <c r="N200" s="150">
        <f t="shared" si="5"/>
        <v>106.210568440698</v>
      </c>
    </row>
    <row r="201" ht="25" customHeight="1" spans="2:14">
      <c r="B201" s="192" t="s">
        <v>1119</v>
      </c>
      <c r="C201" s="55"/>
      <c r="D201" s="139">
        <f>'[18]Rev_SP-12me'!AJ233</f>
        <v>1</v>
      </c>
      <c r="E201" s="139">
        <f>'[18]Rev_SP-12me'!AL233</f>
        <v>18.9766627999478</v>
      </c>
      <c r="F201" s="174">
        <f>'[18]Rev_SP-12me'!AQ233</f>
        <v>38.7097992593339</v>
      </c>
      <c r="G201" s="174">
        <f>'[18]Rev_SP-12me'!O233</f>
        <v>500</v>
      </c>
      <c r="H201" s="185">
        <f>'[18]Rev_SP-12me'!P233</f>
        <v>7.45</v>
      </c>
      <c r="I201" s="174">
        <f>'[18]Rev_SP-12me'!AA233</f>
        <v>5000</v>
      </c>
      <c r="J201" s="100"/>
      <c r="K201" s="174">
        <f>'[18]Rev_SP-12me'!AT233</f>
        <v>9.10879814397494</v>
      </c>
      <c r="L201" s="174">
        <f>'[18]Rev_SP-12me'!AU233</f>
        <v>28.8388004482037</v>
      </c>
      <c r="M201" s="174">
        <f>'[18]Rev_SP-12me'!AW233</f>
        <v>0.006</v>
      </c>
      <c r="N201" s="153">
        <f t="shared" si="5"/>
        <v>37.9535985921786</v>
      </c>
    </row>
    <row r="202" ht="25" customHeight="1" spans="2:14">
      <c r="B202" s="192" t="s">
        <v>1120</v>
      </c>
      <c r="C202" s="55"/>
      <c r="D202" s="139">
        <f>'[18]Rev_SP-12me'!AJ234</f>
        <v>0</v>
      </c>
      <c r="E202" s="139">
        <f>'[18]Rev_SP-12me'!AL234</f>
        <v>0</v>
      </c>
      <c r="F202" s="174">
        <f>'[18]Rev_SP-12me'!AQ234</f>
        <v>23.9109256623896</v>
      </c>
      <c r="G202" s="174">
        <f>'[18]Rev_SP-12me'!O234</f>
        <v>0</v>
      </c>
      <c r="H202" s="185">
        <f>'[18]Rev_SP-12me'!P234</f>
        <v>8.45</v>
      </c>
      <c r="I202" s="174">
        <f>'[18]Rev_SP-12me'!AA234</f>
        <v>5000</v>
      </c>
      <c r="J202" s="100"/>
      <c r="K202" s="174">
        <f>'[18]Rev_SP-12me'!AT234</f>
        <v>0</v>
      </c>
      <c r="L202" s="174">
        <f>'[18]Rev_SP-12me'!AU234</f>
        <v>20.2047321847192</v>
      </c>
      <c r="M202" s="174">
        <f>'[18]Rev_SP-12me'!AW234</f>
        <v>0</v>
      </c>
      <c r="N202" s="153">
        <f t="shared" si="5"/>
        <v>20.2047321847192</v>
      </c>
    </row>
    <row r="203" ht="25" customHeight="1" spans="2:14">
      <c r="B203" s="192" t="s">
        <v>1121</v>
      </c>
      <c r="C203" s="55"/>
      <c r="D203" s="139">
        <f>'[18]Rev_SP-12me'!AJ235</f>
        <v>0</v>
      </c>
      <c r="E203" s="139">
        <f>'[18]Rev_SP-12me'!AL235</f>
        <v>0</v>
      </c>
      <c r="F203" s="174">
        <f>'[18]Rev_SP-12me'!AQ235</f>
        <v>23.1132319111684</v>
      </c>
      <c r="G203" s="174">
        <f>'[18]Rev_SP-12me'!O235</f>
        <v>0</v>
      </c>
      <c r="H203" s="185">
        <f>'[18]Rev_SP-12me'!P235</f>
        <v>8.45</v>
      </c>
      <c r="I203" s="174">
        <f>'[18]Rev_SP-12me'!AA235</f>
        <v>5000</v>
      </c>
      <c r="J203" s="100"/>
      <c r="K203" s="174">
        <f>'[18]Rev_SP-12me'!AT235</f>
        <v>0</v>
      </c>
      <c r="L203" s="174">
        <f>'[18]Rev_SP-12me'!AU235</f>
        <v>19.5306809649373</v>
      </c>
      <c r="M203" s="174">
        <f>'[18]Rev_SP-12me'!AW235</f>
        <v>0</v>
      </c>
      <c r="N203" s="153">
        <f t="shared" si="5"/>
        <v>19.5306809649373</v>
      </c>
    </row>
    <row r="204" ht="25" customHeight="1" spans="2:14">
      <c r="B204" s="192" t="s">
        <v>1122</v>
      </c>
      <c r="C204" s="55"/>
      <c r="D204" s="139">
        <f>'[18]Rev_SP-12me'!AJ236</f>
        <v>0</v>
      </c>
      <c r="E204" s="139">
        <f>'[18]Rev_SP-12me'!AL236</f>
        <v>0</v>
      </c>
      <c r="F204" s="174">
        <f>'[18]Rev_SP-12me'!AQ236</f>
        <v>47.9353894098535</v>
      </c>
      <c r="G204" s="174">
        <f>'[18]Rev_SP-12me'!O236</f>
        <v>0</v>
      </c>
      <c r="H204" s="185">
        <f>'[18]Rev_SP-12me'!P236</f>
        <v>5.95</v>
      </c>
      <c r="I204" s="174">
        <f>'[18]Rev_SP-12me'!AA236</f>
        <v>5000</v>
      </c>
      <c r="J204" s="100"/>
      <c r="K204" s="174">
        <f>'[18]Rev_SP-12me'!AT236</f>
        <v>0</v>
      </c>
      <c r="L204" s="174">
        <f>'[18]Rev_SP-12me'!AU236</f>
        <v>28.5215566988629</v>
      </c>
      <c r="M204" s="174">
        <f>'[18]Rev_SP-12me'!AW236</f>
        <v>0</v>
      </c>
      <c r="N204" s="153">
        <f t="shared" si="5"/>
        <v>28.5215566988629</v>
      </c>
    </row>
    <row r="205" ht="25" customHeight="1" spans="2:14">
      <c r="B205" s="151" t="s">
        <v>1155</v>
      </c>
      <c r="C205" s="55"/>
      <c r="D205" s="136">
        <f>'[18]Rev_SP-12me'!AJ237</f>
        <v>21</v>
      </c>
      <c r="E205" s="136">
        <f>'[18]Rev_SP-12me'!AL237</f>
        <v>729.45965295</v>
      </c>
      <c r="F205" s="150">
        <f>'[18]Rev_SP-12me'!AQ237</f>
        <v>1644.29824476694</v>
      </c>
      <c r="G205" s="150">
        <f>'[18]Rev_SP-12me'!O237</f>
        <v>0</v>
      </c>
      <c r="H205" s="137">
        <f>'[18]Rev_SP-12me'!P237</f>
        <v>0</v>
      </c>
      <c r="I205" s="150">
        <f>'[18]Rev_SP-12me'!AA237</f>
        <v>0</v>
      </c>
      <c r="J205" s="100"/>
      <c r="K205" s="150">
        <f>'[18]Rev_SP-12me'!AT237</f>
        <v>125.831790133875</v>
      </c>
      <c r="L205" s="150">
        <f>'[18]Rev_SP-12me'!AU237</f>
        <v>1035.90789420317</v>
      </c>
      <c r="M205" s="150">
        <f>'[18]Rev_SP-12me'!AW237</f>
        <v>0.126</v>
      </c>
      <c r="N205" s="150">
        <f t="shared" si="5"/>
        <v>1161.86568433704</v>
      </c>
    </row>
    <row r="206" ht="25" customHeight="1" spans="2:14">
      <c r="B206" s="190" t="s">
        <v>1128</v>
      </c>
      <c r="C206" s="55"/>
      <c r="D206" s="139">
        <f>'[18]Rev_SP-12me'!AJ238</f>
        <v>21</v>
      </c>
      <c r="E206" s="139">
        <f>'[18]Rev_SP-12me'!AL238</f>
        <v>729.45965295</v>
      </c>
      <c r="F206" s="174">
        <f>'[18]Rev_SP-12me'!AQ238</f>
        <v>1644.29824476694</v>
      </c>
      <c r="G206" s="174">
        <f>'[18]Rev_SP-12me'!O238</f>
        <v>300</v>
      </c>
      <c r="H206" s="185">
        <f>'[18]Rev_SP-12me'!P238</f>
        <v>6.3</v>
      </c>
      <c r="I206" s="174">
        <f>'[18]Rev_SP-12me'!AA238</f>
        <v>5000</v>
      </c>
      <c r="J206" s="100"/>
      <c r="K206" s="174">
        <f>'[18]Rev_SP-12me'!AT238</f>
        <v>125.831790133875</v>
      </c>
      <c r="L206" s="174">
        <f>'[18]Rev_SP-12me'!AU238</f>
        <v>1035.90789420317</v>
      </c>
      <c r="M206" s="174">
        <f>'[18]Rev_SP-12me'!AW238</f>
        <v>0.126</v>
      </c>
      <c r="N206" s="153">
        <f t="shared" si="5"/>
        <v>1161.86568433704</v>
      </c>
    </row>
    <row r="207" ht="25" customHeight="1" spans="2:14">
      <c r="B207" s="190" t="s">
        <v>1156</v>
      </c>
      <c r="C207" s="55"/>
      <c r="D207" s="139">
        <f>'[18]Rev_SP-12me'!AJ239</f>
        <v>0</v>
      </c>
      <c r="E207" s="139">
        <f>'[18]Rev_SP-12me'!AL239</f>
        <v>0</v>
      </c>
      <c r="F207" s="174">
        <f>'[18]Rev_SP-12me'!AQ239</f>
        <v>0</v>
      </c>
      <c r="G207" s="174">
        <f>'[18]Rev_SP-12me'!O239</f>
        <v>300</v>
      </c>
      <c r="H207" s="185">
        <f>'[18]Rev_SP-12me'!P239</f>
        <v>6.3</v>
      </c>
      <c r="I207" s="174">
        <f>'[18]Rev_SP-12me'!AA239</f>
        <v>5000</v>
      </c>
      <c r="J207" s="100"/>
      <c r="K207" s="174">
        <f>'[18]Rev_SP-12me'!AT239</f>
        <v>0</v>
      </c>
      <c r="L207" s="174">
        <f>'[18]Rev_SP-12me'!AU239</f>
        <v>0</v>
      </c>
      <c r="M207" s="174">
        <f>'[18]Rev_SP-12me'!AW239</f>
        <v>0</v>
      </c>
      <c r="N207" s="153">
        <f t="shared" si="5"/>
        <v>0</v>
      </c>
    </row>
    <row r="208" ht="25" customHeight="1" spans="2:14">
      <c r="B208" s="151" t="s">
        <v>1157</v>
      </c>
      <c r="C208" s="55"/>
      <c r="D208" s="167">
        <f>'[18]Rev_SP-12me'!AJ247</f>
        <v>2</v>
      </c>
      <c r="E208" s="136">
        <f>'[18]Rev_SP-12me'!AL247</f>
        <v>56.475972</v>
      </c>
      <c r="F208" s="150">
        <f>'[18]Rev_SP-12me'!AQ247</f>
        <v>311.591330244946</v>
      </c>
      <c r="G208" s="150">
        <f>'[18]Rev_SP-12me'!O247</f>
        <v>0</v>
      </c>
      <c r="H208" s="137">
        <f>'[18]Rev_SP-12me'!P247</f>
        <v>0</v>
      </c>
      <c r="I208" s="150">
        <f>'[18]Rev_SP-12me'!AA247</f>
        <v>0</v>
      </c>
      <c r="J208" s="100"/>
      <c r="K208" s="150">
        <f>'[18]Rev_SP-12me'!AT247</f>
        <v>0</v>
      </c>
      <c r="L208" s="150">
        <f>'[18]Rev_SP-12me'!AU247</f>
        <v>190.070711449417</v>
      </c>
      <c r="M208" s="150">
        <f>'[18]Rev_SP-12me'!AW247</f>
        <v>0.012</v>
      </c>
      <c r="N208" s="150">
        <f t="shared" si="5"/>
        <v>190.082711449417</v>
      </c>
    </row>
    <row r="209" ht="25" customHeight="1" spans="2:14">
      <c r="B209" s="190" t="s">
        <v>220</v>
      </c>
      <c r="C209" s="55"/>
      <c r="D209" s="166">
        <f>'[18]Rev_SP-12me'!AJ248</f>
        <v>2</v>
      </c>
      <c r="E209" s="139">
        <f>'[18]Rev_SP-12me'!AL248</f>
        <v>56.475972</v>
      </c>
      <c r="F209" s="174">
        <f>'[18]Rev_SP-12me'!AQ248</f>
        <v>311.591330244946</v>
      </c>
      <c r="G209" s="174">
        <f>'[18]Rev_SP-12me'!O248</f>
        <v>0</v>
      </c>
      <c r="H209" s="185">
        <f>'[18]Rev_SP-12me'!P248</f>
        <v>6.1</v>
      </c>
      <c r="I209" s="174">
        <f>'[18]Rev_SP-12me'!AA248</f>
        <v>5000</v>
      </c>
      <c r="J209" s="100"/>
      <c r="K209" s="174">
        <f>'[18]Rev_SP-12me'!AT248</f>
        <v>0</v>
      </c>
      <c r="L209" s="174">
        <f>'[18]Rev_SP-12me'!AU248</f>
        <v>190.070711449417</v>
      </c>
      <c r="M209" s="174">
        <f>'[18]Rev_SP-12me'!AW248</f>
        <v>0.012</v>
      </c>
      <c r="N209" s="153">
        <f t="shared" si="5"/>
        <v>190.082711449417</v>
      </c>
    </row>
    <row r="210" ht="25" customHeight="1" spans="2:14">
      <c r="B210" s="151" t="s">
        <v>1158</v>
      </c>
      <c r="C210" s="55"/>
      <c r="D210" s="167">
        <f>'[18]Rev_SP-12me'!AJ249</f>
        <v>0</v>
      </c>
      <c r="E210" s="167">
        <f>'[18]Rev_SP-12me'!AL249</f>
        <v>0</v>
      </c>
      <c r="F210" s="135">
        <f>'[18]Rev_SP-12me'!AQ249</f>
        <v>0</v>
      </c>
      <c r="G210" s="135">
        <f>'[18]Rev_SP-12me'!O249</f>
        <v>0</v>
      </c>
      <c r="H210" s="137">
        <f>'[18]Rev_SP-12me'!P249</f>
        <v>0</v>
      </c>
      <c r="I210" s="150">
        <f>'[18]Rev_SP-12me'!AA249</f>
        <v>0</v>
      </c>
      <c r="J210" s="100"/>
      <c r="K210" s="135">
        <f>'[18]Rev_SP-12me'!AT249</f>
        <v>0</v>
      </c>
      <c r="L210" s="135">
        <f>'[18]Rev_SP-12me'!AU249</f>
        <v>0</v>
      </c>
      <c r="M210" s="135">
        <f>'[18]Rev_SP-12me'!AW249</f>
        <v>0</v>
      </c>
      <c r="N210" s="153">
        <f t="shared" si="5"/>
        <v>0</v>
      </c>
    </row>
    <row r="211" ht="25" customHeight="1" spans="2:14">
      <c r="B211" s="168" t="s">
        <v>1159</v>
      </c>
      <c r="C211" s="55"/>
      <c r="D211" s="136">
        <f>'[18]Rev_SP-12me'!AJ240</f>
        <v>17</v>
      </c>
      <c r="E211" s="136">
        <f>'[18]Rev_SP-12me'!AL240</f>
        <v>215.029229625</v>
      </c>
      <c r="F211" s="150">
        <f>'[18]Rev_SP-12me'!AQ240</f>
        <v>1714.42202916757</v>
      </c>
      <c r="G211" s="150">
        <f>'[18]Rev_SP-12me'!O240</f>
        <v>0</v>
      </c>
      <c r="H211" s="137">
        <f>'[18]Rev_SP-12me'!P240</f>
        <v>0</v>
      </c>
      <c r="I211" s="150">
        <f>'[18]Rev_SP-12me'!AA240</f>
        <v>0</v>
      </c>
      <c r="J211" s="100"/>
      <c r="K211" s="150">
        <f>'[18]Rev_SP-12me'!AT240</f>
        <v>103.21403022</v>
      </c>
      <c r="L211" s="150">
        <f>'[18]Rev_SP-12me'!AU240</f>
        <v>863.27267809604</v>
      </c>
      <c r="M211" s="150">
        <f>'[18]Rev_SP-12me'!AW240</f>
        <v>0.102</v>
      </c>
      <c r="N211" s="150">
        <f t="shared" si="5"/>
        <v>966.58870831604</v>
      </c>
    </row>
    <row r="212" ht="25" customHeight="1" spans="2:14">
      <c r="B212" s="190" t="s">
        <v>1160</v>
      </c>
      <c r="C212" s="55"/>
      <c r="D212" s="139">
        <f>'[18]Rev_SP-12me'!AJ241</f>
        <v>17</v>
      </c>
      <c r="E212" s="139">
        <f>'[18]Rev_SP-12me'!AL241</f>
        <v>215.029229625</v>
      </c>
      <c r="F212" s="174">
        <f>'[18]Rev_SP-12me'!AQ241</f>
        <v>1463.37736580925</v>
      </c>
      <c r="G212" s="174">
        <f>'[18]Rev_SP-12me'!O241</f>
        <v>500</v>
      </c>
      <c r="H212" s="185">
        <f>'[18]Rev_SP-12me'!P241</f>
        <v>5.05</v>
      </c>
      <c r="I212" s="174">
        <f>'[18]Rev_SP-12me'!AA241</f>
        <v>5000</v>
      </c>
      <c r="J212" s="100"/>
      <c r="K212" s="174">
        <f>'[18]Rev_SP-12me'!AT241</f>
        <v>103.21403022</v>
      </c>
      <c r="L212" s="174">
        <f>'[18]Rev_SP-12me'!AU241</f>
        <v>739.005569733669</v>
      </c>
      <c r="M212" s="174">
        <f>'[18]Rev_SP-12me'!AW241</f>
        <v>0.102</v>
      </c>
      <c r="N212" s="153">
        <f t="shared" si="5"/>
        <v>842.321599953669</v>
      </c>
    </row>
    <row r="213" ht="25" customHeight="1" spans="2:14">
      <c r="B213" s="190" t="s">
        <v>1161</v>
      </c>
      <c r="C213" s="55"/>
      <c r="D213" s="139">
        <f>'[18]Rev_SP-12me'!AJ242</f>
        <v>0</v>
      </c>
      <c r="E213" s="139">
        <f>'[18]Rev_SP-12me'!AL242</f>
        <v>0</v>
      </c>
      <c r="F213" s="174">
        <f>'[18]Rev_SP-12me'!AQ242</f>
        <v>0</v>
      </c>
      <c r="G213" s="174">
        <f>'[18]Rev_SP-12me'!O242</f>
        <v>500</v>
      </c>
      <c r="H213" s="185">
        <f>'[18]Rev_SP-12me'!P242</f>
        <v>5.05</v>
      </c>
      <c r="I213" s="174">
        <f>'[18]Rev_SP-12me'!AA242</f>
        <v>5000</v>
      </c>
      <c r="J213" s="100"/>
      <c r="K213" s="174">
        <f>'[18]Rev_SP-12me'!AT242</f>
        <v>0</v>
      </c>
      <c r="L213" s="174">
        <f>'[18]Rev_SP-12me'!AU242</f>
        <v>0</v>
      </c>
      <c r="M213" s="174">
        <f>'[18]Rev_SP-12me'!AW242</f>
        <v>0</v>
      </c>
      <c r="N213" s="153">
        <f t="shared" si="5"/>
        <v>0</v>
      </c>
    </row>
    <row r="214" ht="25" customHeight="1" spans="2:14">
      <c r="B214" s="190" t="s">
        <v>1162</v>
      </c>
      <c r="C214" s="55"/>
      <c r="D214" s="139">
        <f>'[18]Rev_SP-12me'!AJ243</f>
        <v>0</v>
      </c>
      <c r="E214" s="139">
        <f>'[18]Rev_SP-12me'!AL243</f>
        <v>0</v>
      </c>
      <c r="F214" s="174">
        <f>'[18]Rev_SP-12me'!AQ243</f>
        <v>251.044663358325</v>
      </c>
      <c r="G214" s="174">
        <f>'[18]Rev_SP-12me'!O243</f>
        <v>500</v>
      </c>
      <c r="H214" s="185">
        <f>'[18]Rev_SP-12me'!P243</f>
        <v>4.95</v>
      </c>
      <c r="I214" s="174">
        <f>'[18]Rev_SP-12me'!AA243</f>
        <v>5000</v>
      </c>
      <c r="J214" s="100"/>
      <c r="K214" s="174">
        <f>'[18]Rev_SP-12me'!AT243</f>
        <v>0</v>
      </c>
      <c r="L214" s="174">
        <f>'[18]Rev_SP-12me'!AU243</f>
        <v>124.267108362371</v>
      </c>
      <c r="M214" s="174">
        <f>'[18]Rev_SP-12me'!AW243</f>
        <v>0</v>
      </c>
      <c r="N214" s="153">
        <f t="shared" si="5"/>
        <v>124.267108362371</v>
      </c>
    </row>
    <row r="215" ht="25" customHeight="1" spans="2:14">
      <c r="B215" s="190" t="s">
        <v>1163</v>
      </c>
      <c r="C215" s="55"/>
      <c r="D215" s="139">
        <f>'[18]Rev_SP-12me'!AJ244</f>
        <v>0</v>
      </c>
      <c r="E215" s="139">
        <f>'[18]Rev_SP-12me'!AL244</f>
        <v>0</v>
      </c>
      <c r="F215" s="174">
        <f>'[18]Rev_SP-12me'!AQ244</f>
        <v>0</v>
      </c>
      <c r="G215" s="174">
        <f>'[18]Rev_SP-12me'!O244</f>
        <v>500</v>
      </c>
      <c r="H215" s="185">
        <f>'[18]Rev_SP-12me'!P244</f>
        <v>4.95</v>
      </c>
      <c r="I215" s="174">
        <f>'[18]Rev_SP-12me'!AA244</f>
        <v>5000</v>
      </c>
      <c r="J215" s="100"/>
      <c r="K215" s="174">
        <f>'[18]Rev_SP-12me'!AT244</f>
        <v>0</v>
      </c>
      <c r="L215" s="174">
        <f>'[18]Rev_SP-12me'!AU244</f>
        <v>0</v>
      </c>
      <c r="M215" s="174">
        <f>'[18]Rev_SP-12me'!AW244</f>
        <v>0</v>
      </c>
      <c r="N215" s="153">
        <f t="shared" si="5"/>
        <v>0</v>
      </c>
    </row>
    <row r="216" ht="25" customHeight="1" spans="2:14">
      <c r="B216" s="151" t="s">
        <v>919</v>
      </c>
      <c r="C216" s="55"/>
      <c r="D216" s="136">
        <f>'[18]Rev_SP-12me'!AJ245</f>
        <v>0</v>
      </c>
      <c r="E216" s="136">
        <f>'[18]Rev_SP-12me'!AL245</f>
        <v>0</v>
      </c>
      <c r="F216" s="150">
        <f>'[18]Rev_SP-12me'!AQ245</f>
        <v>0</v>
      </c>
      <c r="G216" s="150">
        <f>'[18]Rev_SP-12me'!O245</f>
        <v>285</v>
      </c>
      <c r="H216" s="137">
        <f>'[18]Rev_SP-12me'!P245</f>
        <v>7.3</v>
      </c>
      <c r="I216" s="150">
        <f>'[18]Rev_SP-12me'!AA245</f>
        <v>5000</v>
      </c>
      <c r="J216" s="100"/>
      <c r="K216" s="150">
        <f>'[18]Rev_SP-12me'!AT245</f>
        <v>0</v>
      </c>
      <c r="L216" s="150">
        <f>'[18]Rev_SP-12me'!AU245</f>
        <v>0</v>
      </c>
      <c r="M216" s="150">
        <f>'[18]Rev_SP-12me'!AW245</f>
        <v>0</v>
      </c>
      <c r="N216" s="150">
        <f t="shared" si="5"/>
        <v>0</v>
      </c>
    </row>
    <row r="217" ht="25" customHeight="1" spans="2:14">
      <c r="B217" s="151" t="s">
        <v>1133</v>
      </c>
      <c r="C217" s="55"/>
      <c r="D217" s="136">
        <f>'[18]Rev_SP-12me'!AJ246</f>
        <v>0</v>
      </c>
      <c r="E217" s="136">
        <f>'[18]Rev_SP-12me'!AL246</f>
        <v>0</v>
      </c>
      <c r="F217" s="150">
        <f>'[18]Rev_SP-12me'!AQ246</f>
        <v>0</v>
      </c>
      <c r="G217" s="150">
        <f>'[18]Rev_SP-12me'!O246</f>
        <v>500</v>
      </c>
      <c r="H217" s="137">
        <f>'[18]Rev_SP-12me'!P246</f>
        <v>10.8</v>
      </c>
      <c r="I217" s="150">
        <f>'[18]Rev_SP-12me'!AA246</f>
        <v>5000</v>
      </c>
      <c r="J217" s="100"/>
      <c r="K217" s="150">
        <f>'[18]Rev_SP-12me'!AT246</f>
        <v>0</v>
      </c>
      <c r="L217" s="150">
        <f>'[18]Rev_SP-12me'!AU246</f>
        <v>0</v>
      </c>
      <c r="M217" s="150">
        <f>'[18]Rev_SP-12me'!AW246</f>
        <v>0</v>
      </c>
      <c r="N217" s="150">
        <f t="shared" si="5"/>
        <v>0</v>
      </c>
    </row>
    <row r="218" ht="25" customHeight="1" spans="2:14">
      <c r="B218" s="157" t="s">
        <v>1164</v>
      </c>
      <c r="C218" s="55"/>
      <c r="D218" s="148">
        <f>SUM(D176,D184,D189,D190,D195,D200,D205,D208,D210,D211,D216,D217)</f>
        <v>101</v>
      </c>
      <c r="E218" s="148">
        <f>SUM(E176,E184,E189,E190,E195,E200,E205,E208,E210,E211,E216,E217)</f>
        <v>1953.58770173388</v>
      </c>
      <c r="F218" s="148">
        <f>SUM(F176,F184,F189,F190,F195,F200,F205,F208,F210,F211,F216,F217)</f>
        <v>9305.03631515431</v>
      </c>
      <c r="G218" s="193"/>
      <c r="H218" s="193"/>
      <c r="I218" s="193"/>
      <c r="J218" s="193"/>
      <c r="K218" s="148">
        <f>SUM(K176,K184,K189,K190,K195,K200,K205,K208,K210,K211,K216,K217)</f>
        <v>686.304786990136</v>
      </c>
      <c r="L218" s="148">
        <f>SUM(L176,L184,L189,L190,L195,L200,L205,L208,L210,L211,L216,L217)</f>
        <v>5808.33889081945</v>
      </c>
      <c r="M218" s="148">
        <f>SUM(M176,M184,M189,M190,M195,M200,M205,M208,M210,M211,M216,M217)</f>
        <v>0.597</v>
      </c>
      <c r="N218" s="148">
        <f>SUM(N176,N184,N189,N190,N195,N200,N205,N208,N210,N211,N216,N217)</f>
        <v>6495.24067780959</v>
      </c>
    </row>
    <row r="219" ht="25" customHeight="1" spans="2:14">
      <c r="B219" s="157"/>
      <c r="C219" s="55"/>
      <c r="D219" s="55"/>
      <c r="E219" s="55"/>
      <c r="F219" s="100"/>
      <c r="G219" s="100"/>
      <c r="H219" s="100"/>
      <c r="I219" s="100"/>
      <c r="J219" s="100"/>
      <c r="K219" s="100"/>
      <c r="L219" s="100"/>
      <c r="M219" s="100"/>
      <c r="N219" s="100"/>
    </row>
    <row r="220" ht="25" customHeight="1" spans="2:14">
      <c r="B220" s="54" t="s">
        <v>1165</v>
      </c>
      <c r="C220" s="55"/>
      <c r="D220" s="148">
        <f>D125+D173+D218</f>
        <v>13661</v>
      </c>
      <c r="E220" s="148">
        <f>E125+E173+E218</f>
        <v>6861.9130034953</v>
      </c>
      <c r="F220" s="148">
        <f>F125+F173+F218</f>
        <v>27400.2157591539</v>
      </c>
      <c r="G220" s="197"/>
      <c r="H220" s="197"/>
      <c r="I220" s="197"/>
      <c r="J220" s="197"/>
      <c r="K220" s="148">
        <f>K125+K173+K218</f>
        <v>2954.932042021</v>
      </c>
      <c r="L220" s="148">
        <f>L125+L173+L218</f>
        <v>19470.0751102764</v>
      </c>
      <c r="M220" s="148">
        <f>M125+M173+M218</f>
        <v>33.2346</v>
      </c>
      <c r="N220" s="148">
        <f>N125+N173+N218</f>
        <v>22458.2417522974</v>
      </c>
    </row>
    <row r="221" ht="25" customHeight="1" spans="2:14">
      <c r="B221" s="54" t="s">
        <v>1166</v>
      </c>
      <c r="C221" s="55"/>
      <c r="D221" s="148">
        <f>D220+D70</f>
        <v>11525883</v>
      </c>
      <c r="E221" s="149">
        <f>E220+E70</f>
        <v>32532.0466226714</v>
      </c>
      <c r="F221" s="148">
        <f>F220+F70</f>
        <v>63432.156922633</v>
      </c>
      <c r="G221" s="197"/>
      <c r="H221" s="197"/>
      <c r="I221" s="197"/>
      <c r="J221" s="197"/>
      <c r="K221" s="149">
        <f>K220+K70</f>
        <v>3688.64251866575</v>
      </c>
      <c r="L221" s="149">
        <f>L220+L70</f>
        <v>31520.7042797975</v>
      </c>
      <c r="M221" s="149">
        <f>M220+M70</f>
        <v>1010.32249665</v>
      </c>
      <c r="N221" s="149">
        <f>N220+N70</f>
        <v>36219.6692951132</v>
      </c>
    </row>
    <row r="223" ht="15" spans="4:4">
      <c r="D223" s="11" t="s">
        <v>225</v>
      </c>
    </row>
    <row r="224" spans="4:5">
      <c r="D224" s="13">
        <v>1</v>
      </c>
      <c r="E224" s="12" t="s">
        <v>226</v>
      </c>
    </row>
    <row r="225" spans="4:5">
      <c r="D225" s="13">
        <f>D224+1</f>
        <v>2</v>
      </c>
      <c r="E225" s="12" t="s">
        <v>233</v>
      </c>
    </row>
  </sheetData>
  <mergeCells count="12">
    <mergeCell ref="B2:O2"/>
    <mergeCell ref="G5:H5"/>
    <mergeCell ref="K5:N5"/>
    <mergeCell ref="B8:C8"/>
    <mergeCell ref="B72:C72"/>
    <mergeCell ref="P76:Q76"/>
    <mergeCell ref="D5:D6"/>
    <mergeCell ref="E5:E6"/>
    <mergeCell ref="F5:F6"/>
    <mergeCell ref="I5:I6"/>
    <mergeCell ref="J5:J6"/>
    <mergeCell ref="B5:C7"/>
  </mergeCells>
  <printOptions horizontalCentered="1"/>
  <pageMargins left="0.708661417322835" right="0.708661417322835" top="0.24" bottom="0.32" header="0.31496062992126" footer="0.31496062992126"/>
  <pageSetup paperSize="9" scale="45" fitToHeight="11" orientation="portrait"/>
  <headerFooter/>
  <rowBreaks count="3" manualBreakCount="3">
    <brk id="70" max="13" man="1"/>
    <brk id="136" max="13" man="1"/>
    <brk id="194" max="1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B06BA"/>
  </sheetPr>
  <dimension ref="B2:P225"/>
  <sheetViews>
    <sheetView view="pageBreakPreview" zoomScale="60" zoomScaleNormal="61" workbookViewId="0">
      <selection activeCell="AA216" sqref="AA216"/>
    </sheetView>
  </sheetViews>
  <sheetFormatPr defaultColWidth="8.85714285714286" defaultRowHeight="14.25"/>
  <cols>
    <col min="1" max="1" width="8.85714285714286" style="1"/>
    <col min="2" max="2" width="33" style="1" customWidth="1"/>
    <col min="3" max="3" width="38.5714285714286" style="1" hidden="1" customWidth="1"/>
    <col min="4" max="4" width="21" style="1" customWidth="1"/>
    <col min="5" max="5" width="16.8571428571429" style="1" customWidth="1"/>
    <col min="6" max="6" width="14" style="1" customWidth="1"/>
    <col min="7" max="7" width="25" style="1" customWidth="1"/>
    <col min="8" max="8" width="21.4285714285714" style="1" customWidth="1"/>
    <col min="9" max="9" width="17.5714285714286" style="1" customWidth="1"/>
    <col min="10" max="10" width="16.1428571428571" style="1" customWidth="1"/>
    <col min="11" max="11" width="25" style="1" customWidth="1"/>
    <col min="12" max="12" width="17.5714285714286" style="1" customWidth="1"/>
    <col min="13" max="13" width="20.4285714285714" style="1" customWidth="1"/>
    <col min="14" max="14" width="14.5714285714286" style="1" customWidth="1"/>
    <col min="15" max="15" width="17.4285714285714" style="1" customWidth="1"/>
    <col min="16" max="16384" width="8.85714285714286" style="1"/>
  </cols>
  <sheetData>
    <row r="2" ht="15" spans="2:16"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9:9">
      <c r="I3" s="3" t="s">
        <v>1188</v>
      </c>
    </row>
    <row r="5" ht="15" spans="2:15">
      <c r="B5" s="36" t="s">
        <v>159</v>
      </c>
      <c r="C5" s="37"/>
      <c r="D5" s="90" t="s">
        <v>1086</v>
      </c>
      <c r="E5" s="90" t="s">
        <v>1087</v>
      </c>
      <c r="F5" s="38" t="s">
        <v>879</v>
      </c>
      <c r="G5" s="38" t="s">
        <v>1088</v>
      </c>
      <c r="H5" s="38"/>
      <c r="I5" s="90" t="s">
        <v>1089</v>
      </c>
      <c r="J5" s="92" t="s">
        <v>1090</v>
      </c>
      <c r="K5" s="38" t="s">
        <v>1091</v>
      </c>
      <c r="L5" s="38"/>
      <c r="M5" s="38"/>
      <c r="N5" s="38"/>
      <c r="O5" s="38"/>
    </row>
    <row r="6" ht="15" spans="2:15">
      <c r="B6" s="40"/>
      <c r="C6" s="41"/>
      <c r="D6" s="90"/>
      <c r="E6" s="90"/>
      <c r="F6" s="38"/>
      <c r="G6" s="38" t="s">
        <v>1092</v>
      </c>
      <c r="H6" s="38" t="s">
        <v>1093</v>
      </c>
      <c r="I6" s="90"/>
      <c r="J6" s="93"/>
      <c r="K6" s="38" t="s">
        <v>1092</v>
      </c>
      <c r="L6" s="38" t="s">
        <v>1093</v>
      </c>
      <c r="M6" s="38" t="s">
        <v>1089</v>
      </c>
      <c r="N6" s="38" t="s">
        <v>1090</v>
      </c>
      <c r="O6" s="38" t="s">
        <v>97</v>
      </c>
    </row>
    <row r="7" ht="15" spans="2:15">
      <c r="B7" s="42"/>
      <c r="C7" s="43"/>
      <c r="D7" s="39" t="s">
        <v>1094</v>
      </c>
      <c r="E7" s="39" t="s">
        <v>1095</v>
      </c>
      <c r="F7" s="39" t="s">
        <v>1096</v>
      </c>
      <c r="G7" s="39" t="s">
        <v>1097</v>
      </c>
      <c r="H7" s="39" t="s">
        <v>1098</v>
      </c>
      <c r="I7" s="39" t="s">
        <v>1097</v>
      </c>
      <c r="J7" s="38" t="s">
        <v>297</v>
      </c>
      <c r="K7" s="38" t="s">
        <v>550</v>
      </c>
      <c r="L7" s="38" t="s">
        <v>550</v>
      </c>
      <c r="M7" s="38" t="s">
        <v>550</v>
      </c>
      <c r="N7" s="38" t="s">
        <v>550</v>
      </c>
      <c r="O7" s="38" t="s">
        <v>550</v>
      </c>
    </row>
    <row r="8" ht="15" spans="2:15">
      <c r="B8" s="44" t="s">
        <v>890</v>
      </c>
      <c r="C8" s="45"/>
      <c r="J8" s="8"/>
      <c r="K8" s="8"/>
      <c r="L8" s="8"/>
      <c r="M8" s="8"/>
      <c r="N8" s="8"/>
      <c r="O8" s="8"/>
    </row>
    <row r="9" ht="15" spans="2:15">
      <c r="B9" s="46" t="s">
        <v>1000</v>
      </c>
      <c r="C9" s="47"/>
      <c r="D9" s="68">
        <f>'[18]Rev_SP-12me'!AJ10</f>
        <v>8480176</v>
      </c>
      <c r="E9" s="68">
        <f>'[18]Rev_SP-12me'!AL10</f>
        <v>13770.5302430351</v>
      </c>
      <c r="F9" s="68">
        <f>'[18]Rev_SP-12me'!AQ10</f>
        <v>12611.1428672529</v>
      </c>
      <c r="G9" s="79"/>
      <c r="H9" s="91"/>
      <c r="I9" s="79"/>
      <c r="J9" s="7"/>
      <c r="K9" s="68">
        <f>'[18]Rev_SP-12me'!BN10</f>
        <v>179.711140598826</v>
      </c>
      <c r="L9" s="68">
        <f>'[18]Rev_SP-12me'!BO10</f>
        <v>6059.35533170682</v>
      </c>
      <c r="M9" s="68">
        <f>'[18]Rev_SP-12me'!BQ10</f>
        <v>760.158102</v>
      </c>
      <c r="N9" s="60"/>
      <c r="O9" s="69">
        <f t="shared" ref="O9:O40" si="0">SUM(K9:N9)</f>
        <v>6999.22457430565</v>
      </c>
    </row>
    <row r="10" spans="2:15">
      <c r="B10" s="50" t="s">
        <v>1001</v>
      </c>
      <c r="C10" s="47"/>
      <c r="D10" s="79">
        <f>'[18]Rev_SP-12me'!AJ11</f>
        <v>4302207</v>
      </c>
      <c r="E10" s="79">
        <f>'[18]Rev_SP-12me'!AL11</f>
        <v>6380.61313500389</v>
      </c>
      <c r="F10" s="79">
        <f>'[18]Rev_SP-12me'!AQ11</f>
        <v>2523.21347447065</v>
      </c>
      <c r="G10" s="79"/>
      <c r="H10" s="91"/>
      <c r="I10" s="79"/>
      <c r="J10" s="7"/>
      <c r="K10" s="79">
        <f>'[18]Rev_SP-12me'!BN11</f>
        <v>76.5673576200467</v>
      </c>
      <c r="L10" s="79">
        <f>'[18]Rev_SP-12me'!BO11</f>
        <v>567.477897363406</v>
      </c>
      <c r="M10" s="79">
        <f>'[18]Rev_SP-12me'!BQ11</f>
        <v>272.577252</v>
      </c>
      <c r="N10" s="60"/>
      <c r="O10" s="60">
        <f t="shared" si="0"/>
        <v>916.622506983453</v>
      </c>
    </row>
    <row r="11" spans="2:15">
      <c r="B11" s="52" t="s">
        <v>1002</v>
      </c>
      <c r="C11" s="47"/>
      <c r="D11" s="94">
        <f>'[18]Rev_SP-12me'!AJ12</f>
        <v>2301656</v>
      </c>
      <c r="E11" s="94">
        <f>'[18]Rev_SP-12me'!AL12</f>
        <v>3297.03139113857</v>
      </c>
      <c r="F11" s="94">
        <f>'[18]Rev_SP-12me'!AQ12</f>
        <v>1867.11547584778</v>
      </c>
      <c r="G11" s="79">
        <f>'[18]Rev_SP-12me'!S12</f>
        <v>10</v>
      </c>
      <c r="H11" s="60">
        <f>'[18]Rev_SP-12me'!T12</f>
        <v>1.95</v>
      </c>
      <c r="I11" s="79">
        <f>'[18]Rev_SP-12me'!AC12</f>
        <v>40</v>
      </c>
      <c r="J11" s="7"/>
      <c r="K11" s="94">
        <f>'[18]Rev_SP-12me'!BN12</f>
        <v>39.5643766936629</v>
      </c>
      <c r="L11" s="94">
        <f>'[18]Rev_SP-12me'!BO12</f>
        <v>364.087517790317</v>
      </c>
      <c r="M11" s="94">
        <f>'[18]Rev_SP-12me'!BQ12</f>
        <v>108.119952</v>
      </c>
      <c r="N11" s="60"/>
      <c r="O11" s="60">
        <f t="shared" si="0"/>
        <v>511.77184648398</v>
      </c>
    </row>
    <row r="12" spans="2:15">
      <c r="B12" s="52" t="s">
        <v>1004</v>
      </c>
      <c r="C12" s="47"/>
      <c r="D12" s="94">
        <f>'[18]Rev_SP-12me'!AJ13</f>
        <v>2000551</v>
      </c>
      <c r="E12" s="94">
        <f>'[18]Rev_SP-12me'!AL13</f>
        <v>3083.58174386532</v>
      </c>
      <c r="F12" s="94">
        <f>'[18]Rev_SP-12me'!AQ13</f>
        <v>656.097998622869</v>
      </c>
      <c r="G12" s="79">
        <f>'[18]Rev_SP-12me'!S13</f>
        <v>10</v>
      </c>
      <c r="H12" s="60">
        <f>'[18]Rev_SP-12me'!T13</f>
        <v>3.1</v>
      </c>
      <c r="I12" s="79">
        <f>'[18]Rev_SP-12me'!AC13</f>
        <v>70</v>
      </c>
      <c r="J12" s="7"/>
      <c r="K12" s="94">
        <f>'[18]Rev_SP-12me'!BN13</f>
        <v>37.0029809263839</v>
      </c>
      <c r="L12" s="94">
        <f>'[18]Rev_SP-12me'!BO13</f>
        <v>203.390379573089</v>
      </c>
      <c r="M12" s="94">
        <f>'[18]Rev_SP-12me'!BQ13</f>
        <v>164.4573</v>
      </c>
      <c r="N12" s="60"/>
      <c r="O12" s="60">
        <f t="shared" si="0"/>
        <v>404.850660499473</v>
      </c>
    </row>
    <row r="13" spans="2:15">
      <c r="B13" s="50" t="s">
        <v>1005</v>
      </c>
      <c r="C13" s="47"/>
      <c r="D13" s="79">
        <f>'[18]Rev_SP-12me'!AJ14</f>
        <v>2551305</v>
      </c>
      <c r="E13" s="79">
        <f>'[18]Rev_SP-12me'!AL14</f>
        <v>4432.11165013189</v>
      </c>
      <c r="F13" s="79">
        <f>'[18]Rev_SP-12me'!AQ14</f>
        <v>4332.35968698975</v>
      </c>
      <c r="G13" s="79"/>
      <c r="H13" s="60"/>
      <c r="I13" s="79"/>
      <c r="J13" s="7"/>
      <c r="K13" s="79">
        <f>'[18]Rev_SP-12me'!BN14</f>
        <v>53.1853398015827</v>
      </c>
      <c r="L13" s="79">
        <f>'[18]Rev_SP-12me'!BO14</f>
        <v>1652.51545925465</v>
      </c>
      <c r="M13" s="79">
        <f>'[18]Rev_SP-12me'!BQ14</f>
        <v>269.656182</v>
      </c>
      <c r="N13" s="60"/>
      <c r="O13" s="60">
        <f t="shared" si="0"/>
        <v>1975.35698105623</v>
      </c>
    </row>
    <row r="14" spans="2:15">
      <c r="B14" s="52" t="s">
        <v>1006</v>
      </c>
      <c r="C14" s="47"/>
      <c r="D14" s="94">
        <f>'[18]Rev_SP-12me'!AJ15</f>
        <v>0</v>
      </c>
      <c r="E14" s="94">
        <f>'[18]Rev_SP-12me'!AL15</f>
        <v>0</v>
      </c>
      <c r="F14" s="94">
        <f>'[18]Rev_SP-12me'!AQ15</f>
        <v>3050.12278928877</v>
      </c>
      <c r="G14" s="79">
        <f>'[18]Rev_SP-12me'!S15</f>
        <v>10</v>
      </c>
      <c r="H14" s="60">
        <f>'[18]Rev_SP-12me'!T15</f>
        <v>3.4</v>
      </c>
      <c r="I14" s="79"/>
      <c r="J14" s="7"/>
      <c r="K14" s="94">
        <f>'[18]Rev_SP-12me'!BN15</f>
        <v>0</v>
      </c>
      <c r="L14" s="94">
        <f>'[18]Rev_SP-12me'!BO15</f>
        <v>1037.04174835818</v>
      </c>
      <c r="M14" s="94">
        <f>'[18]Rev_SP-12me'!BQ15</f>
        <v>0</v>
      </c>
      <c r="N14" s="60"/>
      <c r="O14" s="60">
        <f t="shared" si="0"/>
        <v>1037.04174835818</v>
      </c>
    </row>
    <row r="15" spans="2:15">
      <c r="B15" s="52" t="s">
        <v>1007</v>
      </c>
      <c r="C15" s="47"/>
      <c r="D15" s="94">
        <f>'[18]Rev_SP-12me'!AJ16</f>
        <v>2551305</v>
      </c>
      <c r="E15" s="94">
        <f>'[18]Rev_SP-12me'!AL16</f>
        <v>4432.11165013189</v>
      </c>
      <c r="F15" s="94">
        <f>'[18]Rev_SP-12me'!AQ16</f>
        <v>1282.23689770098</v>
      </c>
      <c r="G15" s="79">
        <f>'[18]Rev_SP-12me'!S16</f>
        <v>10</v>
      </c>
      <c r="H15" s="60">
        <f>'[18]Rev_SP-12me'!T16</f>
        <v>4.8</v>
      </c>
      <c r="I15" s="79">
        <f>'[18]Rev_SP-12me'!AC16</f>
        <v>90</v>
      </c>
      <c r="J15" s="7"/>
      <c r="K15" s="94">
        <f>'[18]Rev_SP-12me'!BN16</f>
        <v>53.1853398015827</v>
      </c>
      <c r="L15" s="94">
        <f>'[18]Rev_SP-12me'!BO16</f>
        <v>615.473710896472</v>
      </c>
      <c r="M15" s="94">
        <f>'[18]Rev_SP-12me'!BQ16</f>
        <v>269.656182</v>
      </c>
      <c r="N15" s="60"/>
      <c r="O15" s="60">
        <f t="shared" si="0"/>
        <v>938.315232698055</v>
      </c>
    </row>
    <row r="16" spans="2:15">
      <c r="B16" s="50" t="s">
        <v>1008</v>
      </c>
      <c r="C16" s="47"/>
      <c r="D16" s="79">
        <f>'[18]Rev_SP-12me'!AJ17</f>
        <v>1626664</v>
      </c>
      <c r="E16" s="79">
        <f>'[18]Rev_SP-12me'!AL17</f>
        <v>2957.80545789934</v>
      </c>
      <c r="F16" s="79">
        <f>'[18]Rev_SP-12me'!AQ17</f>
        <v>5755.56970579253</v>
      </c>
      <c r="G16" s="79"/>
      <c r="H16" s="60"/>
      <c r="I16" s="79"/>
      <c r="J16" s="7"/>
      <c r="K16" s="79">
        <f>'[18]Rev_SP-12me'!BN17</f>
        <v>49.9584431771968</v>
      </c>
      <c r="L16" s="79">
        <f>'[18]Rev_SP-12me'!BO17</f>
        <v>3839.36197508876</v>
      </c>
      <c r="M16" s="79">
        <f>'[18]Rev_SP-12me'!BQ17</f>
        <v>217.924668</v>
      </c>
      <c r="N16" s="60"/>
      <c r="O16" s="60">
        <f t="shared" si="0"/>
        <v>4107.24508626596</v>
      </c>
    </row>
    <row r="17" spans="2:15">
      <c r="B17" s="52" t="s">
        <v>1009</v>
      </c>
      <c r="C17" s="47"/>
      <c r="D17" s="94">
        <f>'[18]Rev_SP-12me'!AJ18</f>
        <v>0</v>
      </c>
      <c r="E17" s="94">
        <f>'[18]Rev_SP-12me'!AL18</f>
        <v>0</v>
      </c>
      <c r="F17" s="94">
        <f>'[18]Rev_SP-12me'!AQ18</f>
        <v>3248.76208837518</v>
      </c>
      <c r="G17" s="79">
        <f>'[18]Rev_SP-12me'!S18</f>
        <v>10</v>
      </c>
      <c r="H17" s="60">
        <f>'[18]Rev_SP-12me'!T18</f>
        <v>5.1</v>
      </c>
      <c r="I17" s="79"/>
      <c r="J17" s="7"/>
      <c r="K17" s="94">
        <f>'[18]Rev_SP-12me'!BN18</f>
        <v>0</v>
      </c>
      <c r="L17" s="94">
        <f>'[18]Rev_SP-12me'!BO18</f>
        <v>1656.86866507134</v>
      </c>
      <c r="M17" s="94">
        <f>'[18]Rev_SP-12me'!BQ18</f>
        <v>0</v>
      </c>
      <c r="N17" s="60"/>
      <c r="O17" s="60">
        <f t="shared" si="0"/>
        <v>1656.86866507134</v>
      </c>
    </row>
    <row r="18" spans="2:15">
      <c r="B18" s="52" t="s">
        <v>1010</v>
      </c>
      <c r="C18" s="47"/>
      <c r="D18" s="94">
        <f>'[18]Rev_SP-12me'!AJ19</f>
        <v>904540</v>
      </c>
      <c r="E18" s="94">
        <f>'[18]Rev_SP-12me'!AL19</f>
        <v>1586.43298003369</v>
      </c>
      <c r="F18" s="94">
        <f>'[18]Rev_SP-12me'!AQ19</f>
        <v>1066.51795368837</v>
      </c>
      <c r="G18" s="79">
        <f>'[18]Rev_SP-12me'!S19</f>
        <v>10</v>
      </c>
      <c r="H18" s="60">
        <f>'[18]Rev_SP-12me'!T19</f>
        <v>7.7</v>
      </c>
      <c r="I18" s="79">
        <f>'[18]Rev_SP-12me'!AC19</f>
        <v>100</v>
      </c>
      <c r="J18" s="7"/>
      <c r="K18" s="94">
        <f>'[18]Rev_SP-12me'!BN19</f>
        <v>19.0371957604043</v>
      </c>
      <c r="L18" s="94">
        <f>'[18]Rev_SP-12me'!BO19</f>
        <v>821.218824340045</v>
      </c>
      <c r="M18" s="94">
        <f>'[18]Rev_SP-12me'!BQ19</f>
        <v>106.22658</v>
      </c>
      <c r="N18" s="60"/>
      <c r="O18" s="60">
        <f t="shared" si="0"/>
        <v>946.482600100449</v>
      </c>
    </row>
    <row r="19" spans="2:15">
      <c r="B19" s="52" t="s">
        <v>1011</v>
      </c>
      <c r="C19" s="47"/>
      <c r="D19" s="94">
        <f>'[18]Rev_SP-12me'!AJ20</f>
        <v>356411</v>
      </c>
      <c r="E19" s="94">
        <f>'[18]Rev_SP-12me'!AL20</f>
        <v>555.053821759948</v>
      </c>
      <c r="F19" s="94">
        <f>'[18]Rev_SP-12me'!AQ20</f>
        <v>489.086662975253</v>
      </c>
      <c r="G19" s="79">
        <f>'[18]Rev_SP-12me'!S20</f>
        <v>10</v>
      </c>
      <c r="H19" s="60">
        <f>'[18]Rev_SP-12me'!T20</f>
        <v>9</v>
      </c>
      <c r="I19" s="79">
        <f>'[18]Rev_SP-12me'!AC20</f>
        <v>120</v>
      </c>
      <c r="J19" s="7"/>
      <c r="K19" s="94">
        <f>'[18]Rev_SP-12me'!BN20</f>
        <v>6.66064586111938</v>
      </c>
      <c r="L19" s="94">
        <f>'[18]Rev_SP-12me'!BO20</f>
        <v>440.177996677728</v>
      </c>
      <c r="M19" s="94">
        <f>'[18]Rev_SP-12me'!BQ20</f>
        <v>50.227056</v>
      </c>
      <c r="N19" s="60"/>
      <c r="O19" s="60">
        <f t="shared" si="0"/>
        <v>497.065698538847</v>
      </c>
    </row>
    <row r="20" spans="2:15">
      <c r="B20" s="52" t="s">
        <v>1012</v>
      </c>
      <c r="C20" s="47"/>
      <c r="D20" s="94">
        <f>'[18]Rev_SP-12me'!AJ21</f>
        <v>308516</v>
      </c>
      <c r="E20" s="94">
        <f>'[18]Rev_SP-12me'!AL21</f>
        <v>514.969121055604</v>
      </c>
      <c r="F20" s="94">
        <f>'[18]Rev_SP-12me'!AQ21</f>
        <v>602.130235081579</v>
      </c>
      <c r="G20" s="79">
        <f>'[18]Rev_SP-12me'!S21</f>
        <v>10</v>
      </c>
      <c r="H20" s="60">
        <f>'[18]Rev_SP-12me'!T21</f>
        <v>9.5</v>
      </c>
      <c r="I20" s="79">
        <f>'[18]Rev_SP-12me'!AC21</f>
        <v>140</v>
      </c>
      <c r="J20" s="7"/>
      <c r="K20" s="94">
        <f>'[18]Rev_SP-12me'!BN21</f>
        <v>6.17962945266724</v>
      </c>
      <c r="L20" s="94">
        <f>'[18]Rev_SP-12me'!BO21</f>
        <v>572.0237233275</v>
      </c>
      <c r="M20" s="94">
        <f>'[18]Rev_SP-12me'!BQ21</f>
        <v>50.723736</v>
      </c>
      <c r="N20" s="60"/>
      <c r="O20" s="60">
        <f t="shared" si="0"/>
        <v>628.927088780167</v>
      </c>
    </row>
    <row r="21" spans="2:15">
      <c r="B21" s="52" t="s">
        <v>1013</v>
      </c>
      <c r="C21" s="47"/>
      <c r="D21" s="94">
        <f>'[18]Rev_SP-12me'!AJ22</f>
        <v>57197</v>
      </c>
      <c r="E21" s="94">
        <f>'[18]Rev_SP-12me'!AL22</f>
        <v>301.349535050099</v>
      </c>
      <c r="F21" s="94">
        <f>'[18]Rev_SP-12me'!AQ22</f>
        <v>349.072765672148</v>
      </c>
      <c r="G21" s="79">
        <f>'[18]Rev_SP-12me'!S22</f>
        <v>50</v>
      </c>
      <c r="H21" s="60">
        <f>'[18]Rev_SP-12me'!T22</f>
        <v>10</v>
      </c>
      <c r="I21" s="79">
        <f>'[18]Rev_SP-12me'!AC22</f>
        <v>160</v>
      </c>
      <c r="J21" s="7"/>
      <c r="K21" s="94">
        <f>'[18]Rev_SP-12me'!BN22</f>
        <v>18.0809721030059</v>
      </c>
      <c r="L21" s="94">
        <f>'[18]Rev_SP-12me'!BO22</f>
        <v>349.072765672148</v>
      </c>
      <c r="M21" s="94">
        <f>'[18]Rev_SP-12me'!BQ22</f>
        <v>10.747296</v>
      </c>
      <c r="N21" s="60"/>
      <c r="O21" s="60">
        <f t="shared" si="0"/>
        <v>377.901033775154</v>
      </c>
    </row>
    <row r="22" ht="15" spans="2:15">
      <c r="B22" s="54" t="s">
        <v>1014</v>
      </c>
      <c r="C22" s="55"/>
      <c r="D22" s="68">
        <f>'[18]Rev_SP-12me'!AJ23</f>
        <v>1310560</v>
      </c>
      <c r="E22" s="68">
        <f>'[18]Rev_SP-12me'!AL23</f>
        <v>4559.74021167918</v>
      </c>
      <c r="F22" s="68">
        <f>'[18]Rev_SP-12me'!AQ23</f>
        <v>4403.06073642308</v>
      </c>
      <c r="G22" s="79"/>
      <c r="H22" s="60"/>
      <c r="I22" s="79"/>
      <c r="J22" s="7"/>
      <c r="K22" s="68">
        <f>'[18]Rev_SP-12me'!BN23</f>
        <v>397.488727609221</v>
      </c>
      <c r="L22" s="68">
        <f>'[18]Rev_SP-12me'!BO23</f>
        <v>4503.76517459675</v>
      </c>
      <c r="M22" s="68">
        <f>'[18]Rev_SP-12me'!BQ23</f>
        <v>122.027607</v>
      </c>
      <c r="N22" s="60"/>
      <c r="O22" s="69">
        <f t="shared" si="0"/>
        <v>5023.28150920597</v>
      </c>
    </row>
    <row r="23" spans="2:15">
      <c r="B23" s="56" t="s">
        <v>1015</v>
      </c>
      <c r="C23" s="55"/>
      <c r="D23" s="79">
        <f>'[18]Rev_SP-12me'!AJ24</f>
        <v>658215</v>
      </c>
      <c r="E23" s="79">
        <f>'[18]Rev_SP-12me'!AL24</f>
        <v>1316.0416856079</v>
      </c>
      <c r="F23" s="79">
        <f>'[18]Rev_SP-12me'!AQ24</f>
        <v>107.187322987852</v>
      </c>
      <c r="G23" s="79"/>
      <c r="H23" s="60"/>
      <c r="I23" s="79"/>
      <c r="J23" s="7"/>
      <c r="K23" s="79">
        <f>'[18]Rev_SP-12me'!BN24</f>
        <v>47.3775006818844</v>
      </c>
      <c r="L23" s="79">
        <f>'[18]Rev_SP-12me'!BO24</f>
        <v>75.0311260914961</v>
      </c>
      <c r="M23" s="79">
        <f>'[18]Rev_SP-12me'!BQ24</f>
        <v>38.23341</v>
      </c>
      <c r="N23" s="60"/>
      <c r="O23" s="60">
        <f t="shared" si="0"/>
        <v>160.642036773381</v>
      </c>
    </row>
    <row r="24" spans="2:15">
      <c r="B24" s="57" t="s">
        <v>1002</v>
      </c>
      <c r="C24" s="55"/>
      <c r="D24" s="94">
        <f>'[18]Rev_SP-12me'!AJ25</f>
        <v>658215</v>
      </c>
      <c r="E24" s="94">
        <f>'[18]Rev_SP-12me'!AL25</f>
        <v>1316.0416856079</v>
      </c>
      <c r="F24" s="94">
        <f>'[18]Rev_SP-12me'!AQ25</f>
        <v>107.187322987852</v>
      </c>
      <c r="G24" s="79">
        <f>'[18]Rev_SP-12me'!S25</f>
        <v>30</v>
      </c>
      <c r="H24" s="60">
        <f>'[18]Rev_SP-12me'!T25</f>
        <v>7</v>
      </c>
      <c r="I24" s="79">
        <f>'[18]Rev_SP-12me'!AC25</f>
        <v>50</v>
      </c>
      <c r="J24" s="7"/>
      <c r="K24" s="94">
        <f>'[18]Rev_SP-12me'!BN25</f>
        <v>47.3775006818844</v>
      </c>
      <c r="L24" s="94">
        <f>'[18]Rev_SP-12me'!BO25</f>
        <v>75.0311260914961</v>
      </c>
      <c r="M24" s="94">
        <f>'[18]Rev_SP-12me'!BQ25</f>
        <v>38.23341</v>
      </c>
      <c r="N24" s="60"/>
      <c r="O24" s="60">
        <f t="shared" si="0"/>
        <v>160.642036773381</v>
      </c>
    </row>
    <row r="25" spans="2:15">
      <c r="B25" s="56" t="s">
        <v>1016</v>
      </c>
      <c r="C25" s="55"/>
      <c r="D25" s="79">
        <f>'[18]Rev_SP-12me'!AJ26</f>
        <v>635521</v>
      </c>
      <c r="E25" s="79">
        <f>'[18]Rev_SP-12me'!AL26</f>
        <v>3220.90175431849</v>
      </c>
      <c r="F25" s="79">
        <f>'[18]Rev_SP-12me'!AQ26</f>
        <v>4284.00411599089</v>
      </c>
      <c r="G25" s="79"/>
      <c r="H25" s="60"/>
      <c r="I25" s="79"/>
      <c r="J25" s="7"/>
      <c r="K25" s="79">
        <f>'[18]Rev_SP-12me'!BN26</f>
        <v>347.632517119324</v>
      </c>
      <c r="L25" s="79">
        <f>'[18]Rev_SP-12me'!BO26</f>
        <v>4417.50921731783</v>
      </c>
      <c r="M25" s="79">
        <f>'[18]Rev_SP-12me'!BQ26</f>
        <v>82.517664</v>
      </c>
      <c r="N25" s="60"/>
      <c r="O25" s="60">
        <f t="shared" si="0"/>
        <v>4847.65939843715</v>
      </c>
    </row>
    <row r="26" spans="2:15">
      <c r="B26" s="58" t="s">
        <v>1006</v>
      </c>
      <c r="C26" s="55"/>
      <c r="D26" s="94">
        <f>'[18]Rev_SP-12me'!AJ27</f>
        <v>210325</v>
      </c>
      <c r="E26" s="94">
        <f>'[18]Rev_SP-12me'!AL27</f>
        <v>384.246040703161</v>
      </c>
      <c r="F26" s="94">
        <f>'[18]Rev_SP-12me'!AQ27</f>
        <v>763.670011998976</v>
      </c>
      <c r="G26" s="79">
        <f>'[18]Rev_SP-12me'!S27</f>
        <v>70</v>
      </c>
      <c r="H26" s="60">
        <f>'[18]Rev_SP-12me'!T27</f>
        <v>8.5</v>
      </c>
      <c r="I26" s="79">
        <f>'[18]Rev_SP-12me'!AC27</f>
        <v>90</v>
      </c>
      <c r="J26" s="7"/>
      <c r="K26" s="94">
        <f>'[18]Rev_SP-12me'!BN27</f>
        <v>32.2766674190656</v>
      </c>
      <c r="L26" s="94">
        <f>'[18]Rev_SP-12me'!BO27</f>
        <v>649.119510199129</v>
      </c>
      <c r="M26" s="94">
        <f>'[18]Rev_SP-12me'!BQ27</f>
        <v>21.99069</v>
      </c>
      <c r="N26" s="60"/>
      <c r="O26" s="60">
        <f t="shared" si="0"/>
        <v>703.386867618195</v>
      </c>
    </row>
    <row r="27" spans="2:15">
      <c r="B27" s="58" t="s">
        <v>1017</v>
      </c>
      <c r="C27" s="55"/>
      <c r="D27" s="94">
        <f>'[18]Rev_SP-12me'!AJ28</f>
        <v>243391</v>
      </c>
      <c r="E27" s="94">
        <f>'[18]Rev_SP-12me'!AL28</f>
        <v>695.634331488361</v>
      </c>
      <c r="F27" s="94">
        <f>'[18]Rev_SP-12me'!AQ28</f>
        <v>731.145911717307</v>
      </c>
      <c r="G27" s="79">
        <f>'[18]Rev_SP-12me'!S28</f>
        <v>70</v>
      </c>
      <c r="H27" s="60">
        <f>'[18]Rev_SP-12me'!T28</f>
        <v>9.9</v>
      </c>
      <c r="I27" s="79">
        <f>'[18]Rev_SP-12me'!AC28</f>
        <v>105</v>
      </c>
      <c r="J27" s="7"/>
      <c r="K27" s="94">
        <f>'[18]Rev_SP-12me'!BN28</f>
        <v>58.4332838450223</v>
      </c>
      <c r="L27" s="94">
        <f>'[18]Rev_SP-12me'!BO28</f>
        <v>723.834452600134</v>
      </c>
      <c r="M27" s="94">
        <f>'[18]Rev_SP-12me'!BQ28</f>
        <v>29.689254</v>
      </c>
      <c r="N27" s="60"/>
      <c r="O27" s="60">
        <f t="shared" si="0"/>
        <v>811.956990445156</v>
      </c>
    </row>
    <row r="28" spans="2:15">
      <c r="B28" s="58" t="s">
        <v>1018</v>
      </c>
      <c r="C28" s="55"/>
      <c r="D28" s="94">
        <f>'[18]Rev_SP-12me'!AJ29</f>
        <v>63604</v>
      </c>
      <c r="E28" s="94">
        <f>'[18]Rev_SP-12me'!AL29</f>
        <v>325.220507979729</v>
      </c>
      <c r="F28" s="94">
        <f>'[18]Rev_SP-12me'!AQ29</f>
        <v>392.529283058289</v>
      </c>
      <c r="G28" s="79">
        <f>'[18]Rev_SP-12me'!S29</f>
        <v>100</v>
      </c>
      <c r="H28" s="60">
        <f>'[18]Rev_SP-12me'!T29</f>
        <v>10.4</v>
      </c>
      <c r="I28" s="79">
        <f>'[18]Rev_SP-12me'!AC29</f>
        <v>120</v>
      </c>
      <c r="J28" s="7"/>
      <c r="K28" s="94">
        <f>'[18]Rev_SP-12me'!BN29</f>
        <v>39.0264609575675</v>
      </c>
      <c r="L28" s="94">
        <f>'[18]Rev_SP-12me'!BO29</f>
        <v>408.23045438062</v>
      </c>
      <c r="M28" s="94">
        <f>'[18]Rev_SP-12me'!BQ29</f>
        <v>8.866872</v>
      </c>
      <c r="N28" s="60"/>
      <c r="O28" s="60">
        <f t="shared" si="0"/>
        <v>456.123787338188</v>
      </c>
    </row>
    <row r="29" spans="2:15">
      <c r="B29" s="58" t="s">
        <v>1019</v>
      </c>
      <c r="C29" s="55"/>
      <c r="D29" s="94">
        <f>'[18]Rev_SP-12me'!AJ30</f>
        <v>118201</v>
      </c>
      <c r="E29" s="94">
        <f>'[18]Rev_SP-12me'!AL30</f>
        <v>1815.80087414724</v>
      </c>
      <c r="F29" s="94">
        <f>'[18]Rev_SP-12me'!AQ30</f>
        <v>2396.65890921632</v>
      </c>
      <c r="G29" s="79">
        <f>'[18]Rev_SP-12me'!S30</f>
        <v>100</v>
      </c>
      <c r="H29" s="60">
        <f>'[18]Rev_SP-12me'!T30</f>
        <v>11</v>
      </c>
      <c r="I29" s="79">
        <f>'[18]Rev_SP-12me'!AC30</f>
        <v>160</v>
      </c>
      <c r="J29" s="7"/>
      <c r="K29" s="94">
        <f>'[18]Rev_SP-12me'!BN30</f>
        <v>217.896104897668</v>
      </c>
      <c r="L29" s="94">
        <f>'[18]Rev_SP-12me'!BO30</f>
        <v>2636.32480013795</v>
      </c>
      <c r="M29" s="94">
        <f>'[18]Rev_SP-12me'!BQ30</f>
        <v>21.970848</v>
      </c>
      <c r="N29" s="60"/>
      <c r="O29" s="60">
        <f t="shared" si="0"/>
        <v>2876.19175303562</v>
      </c>
    </row>
    <row r="30" spans="2:15">
      <c r="B30" s="56" t="s">
        <v>1020</v>
      </c>
      <c r="C30" s="55"/>
      <c r="D30" s="79">
        <f>'[18]Rev_SP-12me'!AJ31</f>
        <v>2590</v>
      </c>
      <c r="E30" s="79">
        <f>'[18]Rev_SP-12me'!AL31</f>
        <v>7.7531689056611</v>
      </c>
      <c r="F30" s="79">
        <f>'[18]Rev_SP-12me'!AQ31</f>
        <v>6.01010412127545</v>
      </c>
      <c r="G30" s="79">
        <f>'[18]Rev_SP-12me'!S31</f>
        <v>150</v>
      </c>
      <c r="H30" s="60">
        <f>'[18]Rev_SP-12me'!T31</f>
        <v>13</v>
      </c>
      <c r="I30" s="79">
        <f>'[18]Rev_SP-12me'!AC31</f>
        <v>160</v>
      </c>
      <c r="J30" s="7"/>
      <c r="K30" s="79">
        <f>'[18]Rev_SP-12me'!BN31</f>
        <v>1.395570403019</v>
      </c>
      <c r="L30" s="79">
        <f>'[18]Rev_SP-12me'!BO31</f>
        <v>7.81313535765808</v>
      </c>
      <c r="M30" s="79">
        <f>'[18]Rev_SP-12me'!BQ31</f>
        <v>0.48144</v>
      </c>
      <c r="N30" s="60"/>
      <c r="O30" s="60">
        <f t="shared" si="0"/>
        <v>9.69014576067708</v>
      </c>
    </row>
    <row r="31" spans="2:15">
      <c r="B31" s="56" t="s">
        <v>1021</v>
      </c>
      <c r="C31" s="55"/>
      <c r="D31" s="79">
        <f>'[18]Rev_SP-12me'!AJ32</f>
        <v>14234</v>
      </c>
      <c r="E31" s="79">
        <f>'[18]Rev_SP-12me'!AL32</f>
        <v>15.043602847136</v>
      </c>
      <c r="F31" s="79">
        <f>'[18]Rev_SP-12me'!AQ32</f>
        <v>5.85919332306855</v>
      </c>
      <c r="G31" s="79"/>
      <c r="H31" s="60"/>
      <c r="I31" s="79"/>
      <c r="J31" s="7"/>
      <c r="K31" s="79">
        <f>'[18]Rev_SP-12me'!BN32</f>
        <v>1.08313940499379</v>
      </c>
      <c r="L31" s="79">
        <f>'[18]Rev_SP-12me'!BO32</f>
        <v>3.41169582976564</v>
      </c>
      <c r="M31" s="79">
        <f>'[18]Rev_SP-12me'!BQ32</f>
        <v>0.795093</v>
      </c>
      <c r="N31" s="60"/>
      <c r="O31" s="60">
        <f t="shared" si="0"/>
        <v>5.28992823475943</v>
      </c>
    </row>
    <row r="32" spans="2:15">
      <c r="B32" s="58" t="s">
        <v>1002</v>
      </c>
      <c r="C32" s="55"/>
      <c r="D32" s="94">
        <f>'[18]Rev_SP-12me'!AJ33</f>
        <v>10888</v>
      </c>
      <c r="E32" s="94">
        <f>'[18]Rev_SP-12me'!AL33</f>
        <v>11.4065560718135</v>
      </c>
      <c r="F32" s="94">
        <f>'[18]Rev_SP-12me'!AQ33</f>
        <v>3.89201528713353</v>
      </c>
      <c r="G32" s="79">
        <f>'[18]Rev_SP-12me'!S33</f>
        <v>60</v>
      </c>
      <c r="H32" s="60">
        <f>'[18]Rev_SP-12me'!T33</f>
        <v>5.3</v>
      </c>
      <c r="I32" s="79">
        <f>'[18]Rev_SP-12me'!AC33</f>
        <v>45</v>
      </c>
      <c r="J32" s="7"/>
      <c r="K32" s="94">
        <f>'[18]Rev_SP-12me'!BN33</f>
        <v>0.821272037170574</v>
      </c>
      <c r="L32" s="94">
        <f>'[18]Rev_SP-12me'!BO33</f>
        <v>2.06276810218077</v>
      </c>
      <c r="M32" s="94">
        <f>'[18]Rev_SP-12me'!BQ33</f>
        <v>0.569214</v>
      </c>
      <c r="N32" s="60"/>
      <c r="O32" s="60">
        <f t="shared" si="0"/>
        <v>3.45325413935134</v>
      </c>
    </row>
    <row r="33" spans="2:15">
      <c r="B33" s="58" t="s">
        <v>1022</v>
      </c>
      <c r="C33" s="55"/>
      <c r="D33" s="94">
        <f>'[18]Rev_SP-12me'!AJ34</f>
        <v>2307</v>
      </c>
      <c r="E33" s="94">
        <f>'[18]Rev_SP-12me'!AL34</f>
        <v>2.41761427316935</v>
      </c>
      <c r="F33" s="94">
        <f>'[18]Rev_SP-12me'!AQ34</f>
        <v>1.40506443740441</v>
      </c>
      <c r="G33" s="79">
        <f>'[18]Rev_SP-12me'!S34</f>
        <v>60</v>
      </c>
      <c r="H33" s="60">
        <f>'[18]Rev_SP-12me'!T34</f>
        <v>6.6</v>
      </c>
      <c r="I33" s="79">
        <f>'[18]Rev_SP-12me'!AC34</f>
        <v>55</v>
      </c>
      <c r="J33" s="7"/>
      <c r="K33" s="94">
        <f>'[18]Rev_SP-12me'!BN34</f>
        <v>0.174068227668193</v>
      </c>
      <c r="L33" s="94">
        <f>'[18]Rev_SP-12me'!BO34</f>
        <v>0.927342528686913</v>
      </c>
      <c r="M33" s="94">
        <f>'[18]Rev_SP-12me'!BQ34</f>
        <v>0.147411</v>
      </c>
      <c r="N33" s="60"/>
      <c r="O33" s="60">
        <f t="shared" si="0"/>
        <v>1.24882175635511</v>
      </c>
    </row>
    <row r="34" spans="2:15">
      <c r="B34" s="58" t="s">
        <v>1023</v>
      </c>
      <c r="C34" s="55"/>
      <c r="D34" s="94">
        <f>'[18]Rev_SP-12me'!AJ35</f>
        <v>1039</v>
      </c>
      <c r="E34" s="94">
        <f>'[18]Rev_SP-12me'!AL35</f>
        <v>1.21943250215312</v>
      </c>
      <c r="F34" s="94">
        <f>'[18]Rev_SP-12me'!AQ35</f>
        <v>0.562113598530601</v>
      </c>
      <c r="G34" s="79">
        <f>'[18]Rev_SP-12me'!S35</f>
        <v>60</v>
      </c>
      <c r="H34" s="60">
        <f>'[18]Rev_SP-12me'!T35</f>
        <v>7.5</v>
      </c>
      <c r="I34" s="79">
        <f>'[18]Rev_SP-12me'!AC35</f>
        <v>65</v>
      </c>
      <c r="J34" s="7"/>
      <c r="K34" s="94">
        <f>'[18]Rev_SP-12me'!BN35</f>
        <v>0.0877991401550243</v>
      </c>
      <c r="L34" s="94">
        <f>'[18]Rev_SP-12me'!BO35</f>
        <v>0.421585198897951</v>
      </c>
      <c r="M34" s="94">
        <f>'[18]Rev_SP-12me'!BQ35</f>
        <v>0.078468</v>
      </c>
      <c r="N34" s="60"/>
      <c r="O34" s="60">
        <f t="shared" si="0"/>
        <v>0.587852339052975</v>
      </c>
    </row>
    <row r="35" ht="15" spans="2:15">
      <c r="B35" s="54" t="s">
        <v>1024</v>
      </c>
      <c r="C35" s="55"/>
      <c r="D35" s="68">
        <f>'[18]Rev_SP-12me'!AJ36</f>
        <v>47096</v>
      </c>
      <c r="E35" s="68">
        <f>'[18]Rev_SP-12me'!AN36*0.7457/10^3</f>
        <v>1135.86492626013</v>
      </c>
      <c r="F35" s="68">
        <f>'[18]Rev_SP-12me'!AQ36</f>
        <v>1048.4454732488</v>
      </c>
      <c r="G35" s="79"/>
      <c r="H35" s="60"/>
      <c r="I35" s="79"/>
      <c r="J35" s="7"/>
      <c r="K35" s="68">
        <f>'[18]Rev_SP-12me'!BN36</f>
        <v>136.303791151216</v>
      </c>
      <c r="L35" s="68">
        <f>'[18]Rev_SP-12me'!BO36</f>
        <v>804.392938083021</v>
      </c>
      <c r="M35" s="68">
        <f>'[18]Rev_SP-12me'!BQ36</f>
        <v>20.22537165</v>
      </c>
      <c r="N35" s="60"/>
      <c r="O35" s="69">
        <f t="shared" si="0"/>
        <v>960.922100884237</v>
      </c>
    </row>
    <row r="36" spans="2:15">
      <c r="B36" s="58" t="s">
        <v>1025</v>
      </c>
      <c r="C36" s="55"/>
      <c r="D36" s="94">
        <f>'[18]Rev_SP-12me'!AJ37</f>
        <v>47096</v>
      </c>
      <c r="E36" s="94">
        <f>'[18]Rev_SP-12me'!AN37*0.7457/10^3</f>
        <v>1135.86492626013</v>
      </c>
      <c r="F36" s="94">
        <f>'[18]Rev_SP-12me'!AQ37</f>
        <v>1006.87295441233</v>
      </c>
      <c r="G36" s="79">
        <f>'[18]Rev_SP-12me'!S37</f>
        <v>100</v>
      </c>
      <c r="H36" s="60">
        <f>'[18]Rev_SP-12me'!T37</f>
        <v>7.7</v>
      </c>
      <c r="I36" s="79">
        <f>'[18]Rev_SP-12me'!AC37</f>
        <v>360.25</v>
      </c>
      <c r="J36" s="7"/>
      <c r="K36" s="94">
        <f>'[18]Rev_SP-12me'!BN37</f>
        <v>136.303791151216</v>
      </c>
      <c r="L36" s="94">
        <f>'[18]Rev_SP-12me'!BO37</f>
        <v>775.292174897491</v>
      </c>
      <c r="M36" s="94">
        <f>'[18]Rev_SP-12me'!BQ37</f>
        <v>20.22537165</v>
      </c>
      <c r="N36" s="60"/>
      <c r="O36" s="60">
        <f t="shared" si="0"/>
        <v>931.821337698707</v>
      </c>
    </row>
    <row r="37" spans="2:15">
      <c r="B37" s="58" t="s">
        <v>1026</v>
      </c>
      <c r="C37" s="55"/>
      <c r="D37" s="94">
        <f>'[18]Rev_SP-12me'!AJ38</f>
        <v>0</v>
      </c>
      <c r="E37" s="94">
        <f>'[18]Rev_SP-12me'!AN38*0.7457/10^3</f>
        <v>0</v>
      </c>
      <c r="F37" s="94">
        <f>'[18]Rev_SP-12me'!AQ38</f>
        <v>0</v>
      </c>
      <c r="G37" s="79">
        <f>'[18]Rev_SP-12me'!S38</f>
        <v>100</v>
      </c>
      <c r="H37" s="60">
        <f>'[18]Rev_SP-12me'!T38</f>
        <v>8.4</v>
      </c>
      <c r="I37" s="79">
        <f>'[18]Rev_SP-12me'!AC38</f>
        <v>360.25</v>
      </c>
      <c r="J37" s="7"/>
      <c r="K37" s="94">
        <f>'[18]Rev_SP-12me'!BN38</f>
        <v>0</v>
      </c>
      <c r="L37" s="94">
        <f>'[18]Rev_SP-12me'!BO38</f>
        <v>0</v>
      </c>
      <c r="M37" s="94">
        <f>'[18]Rev_SP-12me'!BQ38</f>
        <v>0</v>
      </c>
      <c r="N37" s="60"/>
      <c r="O37" s="60">
        <f t="shared" si="0"/>
        <v>0</v>
      </c>
    </row>
    <row r="38" spans="2:15">
      <c r="B38" s="58" t="s">
        <v>1027</v>
      </c>
      <c r="C38" s="55"/>
      <c r="D38" s="94">
        <f>'[18]Rev_SP-12me'!AJ39</f>
        <v>0</v>
      </c>
      <c r="E38" s="94">
        <f>'[18]Rev_SP-12me'!AN39*0.7457/10^3</f>
        <v>0</v>
      </c>
      <c r="F38" s="94">
        <f>'[18]Rev_SP-12me'!AQ39</f>
        <v>0</v>
      </c>
      <c r="G38" s="79">
        <f>'[18]Rev_SP-12me'!S39</f>
        <v>50</v>
      </c>
      <c r="H38" s="60">
        <f>'[18]Rev_SP-12me'!T39</f>
        <v>6.2</v>
      </c>
      <c r="I38" s="79">
        <f>'[18]Rev_SP-12me'!AC39</f>
        <v>360.25</v>
      </c>
      <c r="J38" s="7"/>
      <c r="K38" s="94">
        <f>'[18]Rev_SP-12me'!BN39</f>
        <v>0</v>
      </c>
      <c r="L38" s="94">
        <f>'[18]Rev_SP-12me'!BO39</f>
        <v>0</v>
      </c>
      <c r="M38" s="94">
        <f>'[18]Rev_SP-12me'!BQ39</f>
        <v>0</v>
      </c>
      <c r="N38" s="60"/>
      <c r="O38" s="60">
        <f t="shared" si="0"/>
        <v>0</v>
      </c>
    </row>
    <row r="39" spans="2:15">
      <c r="B39" s="58" t="s">
        <v>1028</v>
      </c>
      <c r="C39" s="55"/>
      <c r="D39" s="94">
        <f>'[18]Rev_SP-12me'!AJ40</f>
        <v>0</v>
      </c>
      <c r="E39" s="94">
        <f>'[18]Rev_SP-12me'!AN40*0.7457/10^3</f>
        <v>0</v>
      </c>
      <c r="F39" s="94">
        <f>'[18]Rev_SP-12me'!AQ40</f>
        <v>0</v>
      </c>
      <c r="G39" s="79">
        <f>'[18]Rev_SP-12me'!S40</f>
        <v>50</v>
      </c>
      <c r="H39" s="60">
        <f>'[18]Rev_SP-12me'!T40</f>
        <v>6.2</v>
      </c>
      <c r="I39" s="79">
        <f>'[18]Rev_SP-12me'!AC40</f>
        <v>360.25</v>
      </c>
      <c r="J39" s="7"/>
      <c r="K39" s="94">
        <f>'[18]Rev_SP-12me'!BN40</f>
        <v>0</v>
      </c>
      <c r="L39" s="94">
        <f>'[18]Rev_SP-12me'!BO40</f>
        <v>0</v>
      </c>
      <c r="M39" s="94">
        <f>'[18]Rev_SP-12me'!BQ40</f>
        <v>0</v>
      </c>
      <c r="N39" s="60"/>
      <c r="O39" s="60">
        <f t="shared" si="0"/>
        <v>0</v>
      </c>
    </row>
    <row r="40" spans="2:15">
      <c r="B40" s="58" t="s">
        <v>1029</v>
      </c>
      <c r="C40" s="55"/>
      <c r="D40" s="94">
        <f>'[18]Rev_SP-12me'!AJ41</f>
        <v>0</v>
      </c>
      <c r="E40" s="94">
        <f>'[18]Rev_SP-12me'!AN41*0.7457/10^3</f>
        <v>0</v>
      </c>
      <c r="F40" s="94">
        <f>'[18]Rev_SP-12me'!AQ41</f>
        <v>41.5725188364717</v>
      </c>
      <c r="G40" s="79">
        <f>'[18]Rev_SP-12me'!S41</f>
        <v>65</v>
      </c>
      <c r="H40" s="60">
        <f>'[18]Rev_SP-12me'!T41</f>
        <v>7</v>
      </c>
      <c r="I40" s="79">
        <f>'[18]Rev_SP-12me'!AC41</f>
        <v>360.25</v>
      </c>
      <c r="J40" s="7"/>
      <c r="K40" s="94">
        <f>'[18]Rev_SP-12me'!BN41</f>
        <v>0</v>
      </c>
      <c r="L40" s="94">
        <f>'[18]Rev_SP-12me'!BO41</f>
        <v>29.1007631855302</v>
      </c>
      <c r="M40" s="94">
        <f>'[18]Rev_SP-12me'!BQ41</f>
        <v>0</v>
      </c>
      <c r="N40" s="60"/>
      <c r="O40" s="60">
        <f t="shared" si="0"/>
        <v>29.1007631855302</v>
      </c>
    </row>
    <row r="41" spans="2:15">
      <c r="B41" s="58" t="s">
        <v>1030</v>
      </c>
      <c r="C41" s="55"/>
      <c r="D41" s="94">
        <f>'[18]Rev_SP-12me'!AJ42</f>
        <v>0</v>
      </c>
      <c r="E41" s="94">
        <f>'[18]Rev_SP-12me'!AN42*0.7457/10^3</f>
        <v>0</v>
      </c>
      <c r="F41" s="94">
        <f>'[18]Rev_SP-12me'!AQ42</f>
        <v>0</v>
      </c>
      <c r="G41" s="79">
        <f>'[18]Rev_SP-12me'!S42</f>
        <v>100</v>
      </c>
      <c r="H41" s="60">
        <f>'[18]Rev_SP-12me'!T42</f>
        <v>7.3</v>
      </c>
      <c r="I41" s="79">
        <f>'[18]Rev_SP-12me'!AC42</f>
        <v>360.25</v>
      </c>
      <c r="J41" s="7"/>
      <c r="K41" s="94">
        <f>'[18]Rev_SP-12me'!BN42</f>
        <v>0</v>
      </c>
      <c r="L41" s="94">
        <f>'[18]Rev_SP-12me'!BO42</f>
        <v>0</v>
      </c>
      <c r="M41" s="94">
        <f>'[18]Rev_SP-12me'!BQ42</f>
        <v>0</v>
      </c>
      <c r="N41" s="60"/>
      <c r="O41" s="60">
        <f t="shared" ref="O41:O68" si="1">SUM(K41:N41)</f>
        <v>0</v>
      </c>
    </row>
    <row r="42" ht="15" spans="2:15">
      <c r="B42" s="54" t="s">
        <v>1031</v>
      </c>
      <c r="C42" s="55"/>
      <c r="D42" s="68">
        <f>'[18]Rev_SP-12me'!AJ43</f>
        <v>5661</v>
      </c>
      <c r="E42" s="68">
        <f>'[18]Rev_SP-12me'!AN43*0.7457/10^3</f>
        <v>17.7055557778718</v>
      </c>
      <c r="F42" s="68">
        <f>'[18]Rev_SP-12me'!AQ43</f>
        <v>9.62967180970268</v>
      </c>
      <c r="G42" s="79"/>
      <c r="H42" s="60"/>
      <c r="I42" s="79"/>
      <c r="J42" s="7"/>
      <c r="K42" s="68">
        <f>'[18]Rev_SP-12me'!BN43</f>
        <v>0.424933338668921</v>
      </c>
      <c r="L42" s="68">
        <f>'[18]Rev_SP-12me'!BO43</f>
        <v>3.85186872388107</v>
      </c>
      <c r="M42" s="68">
        <f>'[18]Rev_SP-12me'!BQ43</f>
        <v>0.33096</v>
      </c>
      <c r="N42" s="60"/>
      <c r="O42" s="69">
        <f t="shared" si="1"/>
        <v>4.60776206254999</v>
      </c>
    </row>
    <row r="43" spans="2:15">
      <c r="B43" s="58" t="s">
        <v>178</v>
      </c>
      <c r="C43" s="55"/>
      <c r="D43" s="94">
        <f>'[18]Rev_SP-12me'!AJ44</f>
        <v>5296</v>
      </c>
      <c r="E43" s="94">
        <f>'[18]Rev_SP-12me'!AN44*0.7457/10^3</f>
        <v>16.5682887078718</v>
      </c>
      <c r="F43" s="94">
        <f>'[18]Rev_SP-12me'!AQ44</f>
        <v>9.30795034937294</v>
      </c>
      <c r="G43" s="79">
        <f>'[18]Rev_SP-12me'!S44</f>
        <v>20</v>
      </c>
      <c r="H43" s="60">
        <f>'[18]Rev_SP-12me'!T44</f>
        <v>4</v>
      </c>
      <c r="I43" s="79">
        <f>'[18]Rev_SP-12me'!AC44</f>
        <v>50</v>
      </c>
      <c r="J43" s="7"/>
      <c r="K43" s="94">
        <f>'[18]Rev_SP-12me'!BN44</f>
        <v>0.397638928988921</v>
      </c>
      <c r="L43" s="94">
        <f>'[18]Rev_SP-12me'!BO44</f>
        <v>3.72318013974917</v>
      </c>
      <c r="M43" s="94">
        <f>'[18]Rev_SP-12me'!BQ44</f>
        <v>0.30963</v>
      </c>
      <c r="N43" s="60"/>
      <c r="O43" s="60">
        <f t="shared" si="1"/>
        <v>4.43044906873809</v>
      </c>
    </row>
    <row r="44" spans="2:15">
      <c r="B44" s="58" t="s">
        <v>1033</v>
      </c>
      <c r="C44" s="55"/>
      <c r="D44" s="94">
        <f>'[18]Rev_SP-12me'!AJ45</f>
        <v>365</v>
      </c>
      <c r="E44" s="94">
        <f>'[18]Rev_SP-12me'!AN45*0.7457/10^3</f>
        <v>1.13726707</v>
      </c>
      <c r="F44" s="94">
        <f>'[18]Rev_SP-12me'!AQ45</f>
        <v>0.321721460329742</v>
      </c>
      <c r="G44" s="79">
        <f>'[18]Rev_SP-12me'!S45</f>
        <v>20</v>
      </c>
      <c r="H44" s="60">
        <f>'[18]Rev_SP-12me'!T45</f>
        <v>4</v>
      </c>
      <c r="I44" s="79">
        <f>'[18]Rev_SP-12me'!AC45</f>
        <v>50</v>
      </c>
      <c r="J44" s="7"/>
      <c r="K44" s="94">
        <f>'[18]Rev_SP-12me'!BN45</f>
        <v>0.02729440968</v>
      </c>
      <c r="L44" s="94">
        <f>'[18]Rev_SP-12me'!BO45</f>
        <v>0.128688584131897</v>
      </c>
      <c r="M44" s="94">
        <f>'[18]Rev_SP-12me'!BQ45</f>
        <v>0.02133</v>
      </c>
      <c r="N44" s="60"/>
      <c r="O44" s="60">
        <f t="shared" si="1"/>
        <v>0.177312993811897</v>
      </c>
    </row>
    <row r="45" ht="15" spans="2:15">
      <c r="B45" s="54" t="s">
        <v>1034</v>
      </c>
      <c r="C45" s="55"/>
      <c r="D45" s="68">
        <f>'[18]Rev_SP-12me'!AJ46</f>
        <v>1510736</v>
      </c>
      <c r="E45" s="68">
        <f>'[18]Rev_SP-12me'!AN46*0.7457/10^3</f>
        <v>5601.0906545</v>
      </c>
      <c r="F45" s="68">
        <f>'[18]Rev_SP-12me'!AQ46</f>
        <v>17123.9873054058</v>
      </c>
      <c r="G45" s="79"/>
      <c r="H45" s="60"/>
      <c r="I45" s="79"/>
      <c r="J45" s="7"/>
      <c r="K45" s="68">
        <f>'[18]Rev_SP-12me'!BN46</f>
        <v>0.04666464</v>
      </c>
      <c r="L45" s="68">
        <f>'[18]Rev_SP-12me'!BO46</f>
        <v>10.3761823234898</v>
      </c>
      <c r="M45" s="68">
        <f>'[18]Rev_SP-12me'!BQ46</f>
        <v>53.014392</v>
      </c>
      <c r="N45" s="60"/>
      <c r="O45" s="69">
        <f t="shared" si="1"/>
        <v>63.4372389634898</v>
      </c>
    </row>
    <row r="46" spans="2:15">
      <c r="B46" s="56" t="s">
        <v>1035</v>
      </c>
      <c r="C46" s="55"/>
      <c r="D46" s="79">
        <f>'[18]Rev_SP-12me'!AJ47</f>
        <v>1510367</v>
      </c>
      <c r="E46" s="79">
        <f>'[18]Rev_SP-12me'!AN47*0.7457/10^3</f>
        <v>5599.640745248</v>
      </c>
      <c r="F46" s="79">
        <f>'[18]Rev_SP-12me'!AQ47</f>
        <v>17120.6509295268</v>
      </c>
      <c r="G46" s="79"/>
      <c r="H46" s="60"/>
      <c r="I46" s="79"/>
      <c r="J46" s="7"/>
      <c r="K46" s="79">
        <f>'[18]Rev_SP-12me'!BN47</f>
        <v>0</v>
      </c>
      <c r="L46" s="79">
        <f>'[18]Rev_SP-12me'!BO47</f>
        <v>9.04163197188246</v>
      </c>
      <c r="M46" s="79">
        <f>'[18]Rev_SP-12me'!BQ47</f>
        <v>53.001108</v>
      </c>
      <c r="N46" s="60"/>
      <c r="O46" s="60">
        <f t="shared" si="1"/>
        <v>62.0427399718825</v>
      </c>
    </row>
    <row r="47" spans="2:15">
      <c r="B47" s="58" t="s">
        <v>1036</v>
      </c>
      <c r="C47" s="55"/>
      <c r="D47" s="94">
        <f>'[18]Rev_SP-12me'!AJ48</f>
        <v>1992</v>
      </c>
      <c r="E47" s="94">
        <f>'[18]Rev_SP-12me'!AN48*0.7457/10^3</f>
        <v>8.40098163</v>
      </c>
      <c r="F47" s="94">
        <f>'[18]Rev_SP-12me'!AQ48</f>
        <v>36.1665278875299</v>
      </c>
      <c r="G47" s="79"/>
      <c r="H47" s="60">
        <f>'[18]Rev_SP-12me'!T48</f>
        <v>2.5</v>
      </c>
      <c r="I47" s="79">
        <f>'[18]Rev_SP-12me'!AC48</f>
        <v>30</v>
      </c>
      <c r="J47" s="7"/>
      <c r="K47" s="94">
        <f>'[18]Rev_SP-12me'!BN48</f>
        <v>0</v>
      </c>
      <c r="L47" s="94">
        <f>'[18]Rev_SP-12me'!BO48</f>
        <v>9.04163197188246</v>
      </c>
      <c r="M47" s="94">
        <f>'[18]Rev_SP-12me'!BQ48</f>
        <v>0.071712</v>
      </c>
      <c r="N47" s="60"/>
      <c r="O47" s="60">
        <f t="shared" si="1"/>
        <v>9.11334397188246</v>
      </c>
    </row>
    <row r="48" spans="2:15">
      <c r="B48" s="56" t="s">
        <v>1038</v>
      </c>
      <c r="C48" s="55"/>
      <c r="D48" s="94">
        <f>'[18]Rev_SP-12me'!AJ49</f>
        <v>1508375</v>
      </c>
      <c r="E48" s="94">
        <f>'[18]Rev_SP-12me'!AN49*0.7457/10^3</f>
        <v>5591.239763618</v>
      </c>
      <c r="F48" s="94">
        <f>'[18]Rev_SP-12me'!AQ49</f>
        <v>17084.4844016393</v>
      </c>
      <c r="G48" s="79"/>
      <c r="H48" s="60"/>
      <c r="I48" s="79"/>
      <c r="J48" s="7"/>
      <c r="K48" s="94">
        <f>'[18]Rev_SP-12me'!BN49</f>
        <v>0</v>
      </c>
      <c r="L48" s="94">
        <f>'[18]Rev_SP-12me'!BO49</f>
        <v>0</v>
      </c>
      <c r="M48" s="94">
        <f>'[18]Rev_SP-12me'!BQ49</f>
        <v>0</v>
      </c>
      <c r="N48" s="60"/>
      <c r="O48" s="60">
        <f t="shared" si="1"/>
        <v>0</v>
      </c>
    </row>
    <row r="49" spans="2:15">
      <c r="B49" s="58" t="s">
        <v>1099</v>
      </c>
      <c r="C49" s="55"/>
      <c r="D49" s="94">
        <f>'[18]Rev_SP-12me'!AJ50</f>
        <v>1508375</v>
      </c>
      <c r="E49" s="94">
        <f>'[18]Rev_SP-12me'!AN50*0.7457/10^3</f>
        <v>5591.239763618</v>
      </c>
      <c r="F49" s="94">
        <f>'[18]Rev_SP-12me'!AQ50</f>
        <v>17084.4844016393</v>
      </c>
      <c r="G49" s="79"/>
      <c r="H49" s="60"/>
      <c r="I49" s="79">
        <f>'[18]Rev_SP-12me'!AC50</f>
        <v>30</v>
      </c>
      <c r="J49" s="7"/>
      <c r="K49" s="94">
        <f>'[18]Rev_SP-12me'!BN50</f>
        <v>0</v>
      </c>
      <c r="L49" s="94">
        <f>'[18]Rev_SP-12me'!BO50</f>
        <v>0</v>
      </c>
      <c r="M49" s="94">
        <f>'[18]Rev_SP-12me'!BQ50</f>
        <v>52.929396</v>
      </c>
      <c r="N49" s="60"/>
      <c r="O49" s="60">
        <f t="shared" si="1"/>
        <v>52.929396</v>
      </c>
    </row>
    <row r="50" spans="2:15">
      <c r="B50" s="58" t="s">
        <v>1100</v>
      </c>
      <c r="C50" s="55"/>
      <c r="D50" s="94">
        <f>'[18]Rev_SP-12me'!AJ51</f>
        <v>0</v>
      </c>
      <c r="E50" s="94">
        <f>'[18]Rev_SP-12me'!AN51*0.7457/10^3</f>
        <v>0</v>
      </c>
      <c r="F50" s="94">
        <f>'[18]Rev_SP-12me'!AQ51</f>
        <v>0</v>
      </c>
      <c r="G50" s="79"/>
      <c r="H50" s="60"/>
      <c r="I50" s="79">
        <f>'[18]Rev_SP-12me'!AC51</f>
        <v>30</v>
      </c>
      <c r="J50" s="7"/>
      <c r="K50" s="94">
        <f>'[18]Rev_SP-12me'!BN51</f>
        <v>0</v>
      </c>
      <c r="L50" s="94">
        <f>'[18]Rev_SP-12me'!BO51</f>
        <v>0</v>
      </c>
      <c r="M50" s="94">
        <f>'[18]Rev_SP-12me'!BQ51</f>
        <v>0</v>
      </c>
      <c r="N50" s="60"/>
      <c r="O50" s="60">
        <f t="shared" si="1"/>
        <v>0</v>
      </c>
    </row>
    <row r="51" spans="2:15">
      <c r="B51" s="56" t="s">
        <v>1039</v>
      </c>
      <c r="C51" s="55"/>
      <c r="D51" s="79">
        <f>'[18]Rev_SP-12me'!AJ52</f>
        <v>369</v>
      </c>
      <c r="E51" s="79">
        <f>'[18]Rev_SP-12me'!AN52*0.7457/10^3</f>
        <v>1.449909252</v>
      </c>
      <c r="F51" s="79">
        <f>'[18]Rev_SP-12me'!AQ52</f>
        <v>3.33637587901833</v>
      </c>
      <c r="G51" s="79"/>
      <c r="H51" s="60"/>
      <c r="I51" s="79"/>
      <c r="J51" s="7"/>
      <c r="K51" s="79">
        <f>'[18]Rev_SP-12me'!BN52</f>
        <v>0.04666464</v>
      </c>
      <c r="L51" s="79">
        <f>'[18]Rev_SP-12me'!BO52</f>
        <v>1.33455035160733</v>
      </c>
      <c r="M51" s="79">
        <f>'[18]Rev_SP-12me'!BQ52</f>
        <v>0.013284</v>
      </c>
      <c r="N51" s="60"/>
      <c r="O51" s="60">
        <f t="shared" si="1"/>
        <v>1.39449899160733</v>
      </c>
    </row>
    <row r="52" spans="2:15">
      <c r="B52" s="58" t="s">
        <v>1040</v>
      </c>
      <c r="C52" s="55"/>
      <c r="D52" s="94">
        <f>'[18]Rev_SP-12me'!AJ53</f>
        <v>369</v>
      </c>
      <c r="E52" s="94">
        <f>'[18]Rev_SP-12me'!AN53*0.7457/10^3</f>
        <v>1.449909252</v>
      </c>
      <c r="F52" s="94">
        <f>'[18]Rev_SP-12me'!AQ53</f>
        <v>3.33637587901833</v>
      </c>
      <c r="G52" s="79">
        <f>'[18]Rev_SP-12me'!S53</f>
        <v>20</v>
      </c>
      <c r="H52" s="60">
        <f>'[18]Rev_SP-12me'!T53</f>
        <v>4</v>
      </c>
      <c r="I52" s="79">
        <f>'[18]Rev_SP-12me'!AC53</f>
        <v>30</v>
      </c>
      <c r="J52" s="7"/>
      <c r="K52" s="94">
        <f>'[18]Rev_SP-12me'!BN53</f>
        <v>0.04666464</v>
      </c>
      <c r="L52" s="94">
        <f>'[18]Rev_SP-12me'!BO53</f>
        <v>1.33455035160733</v>
      </c>
      <c r="M52" s="94">
        <f>'[18]Rev_SP-12me'!BQ53</f>
        <v>0.013284</v>
      </c>
      <c r="N52" s="60"/>
      <c r="O52" s="60">
        <f t="shared" si="1"/>
        <v>1.39449899160733</v>
      </c>
    </row>
    <row r="53" ht="15" spans="2:15">
      <c r="B53" s="54" t="s">
        <v>1042</v>
      </c>
      <c r="C53" s="55"/>
      <c r="D53" s="68">
        <f>'[18]Rev_SP-12me'!AJ54</f>
        <v>75491</v>
      </c>
      <c r="E53" s="68">
        <f>'[18]Rev_SP-12me'!AL54</f>
        <v>175.540563701112</v>
      </c>
      <c r="F53" s="68">
        <f>'[18]Rev_SP-12me'!AQ54</f>
        <v>264.600089857505</v>
      </c>
      <c r="G53" s="79"/>
      <c r="H53" s="60"/>
      <c r="I53" s="79"/>
      <c r="J53" s="7"/>
      <c r="K53" s="68">
        <f>'[18]Rev_SP-12me'!BN54</f>
        <v>6.7407576461227</v>
      </c>
      <c r="L53" s="68">
        <f>'[18]Rev_SP-12me'!BO54</f>
        <v>203.555442600523</v>
      </c>
      <c r="M53" s="68">
        <f>'[18]Rev_SP-12me'!BQ54</f>
        <v>10.828512</v>
      </c>
      <c r="N53" s="60"/>
      <c r="O53" s="69">
        <f t="shared" si="1"/>
        <v>221.124712246646</v>
      </c>
    </row>
    <row r="54" spans="2:15">
      <c r="B54" s="58" t="s">
        <v>1043</v>
      </c>
      <c r="C54" s="55"/>
      <c r="D54" s="94">
        <f>'[18]Rev_SP-12me'!AJ55</f>
        <v>34450</v>
      </c>
      <c r="E54" s="94">
        <f>'[18]Rev_SP-12me'!AL55</f>
        <v>64.2967633534012</v>
      </c>
      <c r="F54" s="94">
        <f>'[18]Rev_SP-12me'!AQ55</f>
        <v>81.1033079982226</v>
      </c>
      <c r="G54" s="79">
        <f>'[18]Rev_SP-12me'!S55</f>
        <v>32</v>
      </c>
      <c r="H54" s="60">
        <f>'[18]Rev_SP-12me'!T55</f>
        <v>7.1</v>
      </c>
      <c r="I54" s="79">
        <f>'[18]Rev_SP-12me'!AC55</f>
        <v>120</v>
      </c>
      <c r="J54" s="7"/>
      <c r="K54" s="94">
        <f>'[18]Rev_SP-12me'!BN55</f>
        <v>2.46899571277061</v>
      </c>
      <c r="L54" s="94">
        <f>'[18]Rev_SP-12me'!BO55</f>
        <v>57.583348678738</v>
      </c>
      <c r="M54" s="94">
        <f>'[18]Rev_SP-12me'!BQ55</f>
        <v>4.956192</v>
      </c>
      <c r="N54" s="60"/>
      <c r="O54" s="60">
        <f t="shared" si="1"/>
        <v>65.0085363915086</v>
      </c>
    </row>
    <row r="55" spans="2:15">
      <c r="B55" s="58" t="s">
        <v>1044</v>
      </c>
      <c r="C55" s="55"/>
      <c r="D55" s="94">
        <f>'[18]Rev_SP-12me'!AJ56</f>
        <v>12887</v>
      </c>
      <c r="E55" s="94">
        <f>'[18]Rev_SP-12me'!AL56</f>
        <v>31.5634546293874</v>
      </c>
      <c r="F55" s="94">
        <f>'[18]Rev_SP-12me'!AQ56</f>
        <v>53.2059876846675</v>
      </c>
      <c r="G55" s="79">
        <f>'[18]Rev_SP-12me'!S56</f>
        <v>32</v>
      </c>
      <c r="H55" s="60">
        <f>'[18]Rev_SP-12me'!T56</f>
        <v>7.6</v>
      </c>
      <c r="I55" s="79">
        <f>'[18]Rev_SP-12me'!AC56</f>
        <v>120</v>
      </c>
      <c r="J55" s="7"/>
      <c r="K55" s="94">
        <f>'[18]Rev_SP-12me'!BN56</f>
        <v>1.21203665776847</v>
      </c>
      <c r="L55" s="94">
        <f>'[18]Rev_SP-12me'!BO56</f>
        <v>40.4365506403473</v>
      </c>
      <c r="M55" s="94">
        <f>'[18]Rev_SP-12me'!BQ56</f>
        <v>1.817496</v>
      </c>
      <c r="N55" s="60"/>
      <c r="O55" s="60">
        <f t="shared" si="1"/>
        <v>43.4660832981158</v>
      </c>
    </row>
    <row r="56" spans="2:15">
      <c r="B56" s="58" t="s">
        <v>1045</v>
      </c>
      <c r="C56" s="55"/>
      <c r="D56" s="94">
        <f>'[18]Rev_SP-12me'!AJ57</f>
        <v>28154</v>
      </c>
      <c r="E56" s="94">
        <f>'[18]Rev_SP-12me'!AL57</f>
        <v>79.6803457183233</v>
      </c>
      <c r="F56" s="94">
        <f>'[18]Rev_SP-12me'!AQ57</f>
        <v>130.290794174615</v>
      </c>
      <c r="G56" s="79">
        <f>'[18]Rev_SP-12me'!S57</f>
        <v>32</v>
      </c>
      <c r="H56" s="60">
        <f>'[18]Rev_SP-12me'!T57</f>
        <v>8.1</v>
      </c>
      <c r="I56" s="79">
        <f>'[18]Rev_SP-12me'!AC57</f>
        <v>120</v>
      </c>
      <c r="J56" s="7"/>
      <c r="K56" s="94">
        <f>'[18]Rev_SP-12me'!BN57</f>
        <v>3.05972527558361</v>
      </c>
      <c r="L56" s="94">
        <f>'[18]Rev_SP-12me'!BO57</f>
        <v>105.535543281438</v>
      </c>
      <c r="M56" s="94">
        <f>'[18]Rev_SP-12me'!BQ57</f>
        <v>4.054824</v>
      </c>
      <c r="N56" s="60"/>
      <c r="O56" s="60">
        <f t="shared" si="1"/>
        <v>112.650092557022</v>
      </c>
    </row>
    <row r="57" ht="15" spans="2:15">
      <c r="B57" s="54" t="s">
        <v>1046</v>
      </c>
      <c r="C57" s="55"/>
      <c r="D57" s="68">
        <f>'[18]Rev_SP-12me'!AJ65</f>
        <v>34839</v>
      </c>
      <c r="E57" s="68">
        <f>'[18]Rev_SP-12me'!AN65*0.7457/10^3</f>
        <v>117.169141891871</v>
      </c>
      <c r="F57" s="68">
        <f>'[18]Rev_SP-12me'!AQ65</f>
        <v>258.327242265469</v>
      </c>
      <c r="G57" s="79"/>
      <c r="H57" s="60"/>
      <c r="I57" s="79">
        <f>'[18]Rev_SP-12me'!AC65</f>
        <v>120</v>
      </c>
      <c r="J57" s="7"/>
      <c r="K57" s="68">
        <f>'[18]Rev_SP-12me'!BN65</f>
        <v>6.0336530087808</v>
      </c>
      <c r="L57" s="68">
        <f>'[18]Rev_SP-12me'!BO65</f>
        <v>162.225779929009</v>
      </c>
      <c r="M57" s="68">
        <f>'[18]Rev_SP-12me'!BQ65</f>
        <v>5.011416</v>
      </c>
      <c r="N57" s="60"/>
      <c r="O57" s="69">
        <f t="shared" si="1"/>
        <v>173.27084893779</v>
      </c>
    </row>
    <row r="58" spans="2:15">
      <c r="B58" s="58" t="s">
        <v>1043</v>
      </c>
      <c r="C58" s="55"/>
      <c r="D58" s="94">
        <f>'[18]Rev_SP-12me'!AJ66</f>
        <v>24977</v>
      </c>
      <c r="E58" s="94">
        <f>'[18]Rev_SP-12me'!AN66*0.7457/10^3</f>
        <v>81.17916281326</v>
      </c>
      <c r="F58" s="94">
        <f>'[18]Rev_SP-12me'!AQ66</f>
        <v>198.64014654436</v>
      </c>
      <c r="G58" s="79">
        <f>'[18]Rev_SP-12me'!S66</f>
        <v>32</v>
      </c>
      <c r="H58" s="60">
        <f>'[18]Rev_SP-12me'!T66</f>
        <v>6</v>
      </c>
      <c r="I58" s="79">
        <f>'[18]Rev_SP-12me'!AC66</f>
        <v>120</v>
      </c>
      <c r="J58" s="7"/>
      <c r="K58" s="94">
        <f>'[18]Rev_SP-12me'!BN66</f>
        <v>4.18034042112</v>
      </c>
      <c r="L58" s="94">
        <f>'[18]Rev_SP-12me'!BO66</f>
        <v>119.184087926616</v>
      </c>
      <c r="M58" s="94">
        <f>'[18]Rev_SP-12me'!BQ66</f>
        <v>3.594672</v>
      </c>
      <c r="N58" s="60"/>
      <c r="O58" s="60">
        <f t="shared" si="1"/>
        <v>126.959100347736</v>
      </c>
    </row>
    <row r="59" spans="2:15">
      <c r="B59" s="58" t="s">
        <v>1044</v>
      </c>
      <c r="C59" s="55"/>
      <c r="D59" s="94">
        <f>'[18]Rev_SP-12me'!AJ67</f>
        <v>6292</v>
      </c>
      <c r="E59" s="94">
        <f>'[18]Rev_SP-12me'!AN67*0.7457/10^3</f>
        <v>21.7587510700514</v>
      </c>
      <c r="F59" s="94">
        <f>'[18]Rev_SP-12me'!AQ67</f>
        <v>46.4100149129969</v>
      </c>
      <c r="G59" s="79">
        <f>'[18]Rev_SP-12me'!S67</f>
        <v>32</v>
      </c>
      <c r="H59" s="60">
        <f>'[18]Rev_SP-12me'!T67</f>
        <v>7.1</v>
      </c>
      <c r="I59" s="79">
        <f>'[18]Rev_SP-12me'!AC67</f>
        <v>120</v>
      </c>
      <c r="J59" s="7"/>
      <c r="K59" s="94">
        <f>'[18]Rev_SP-12me'!BN67</f>
        <v>1.1204720947968</v>
      </c>
      <c r="L59" s="94">
        <f>'[18]Rev_SP-12me'!BO67</f>
        <v>32.9511105882278</v>
      </c>
      <c r="M59" s="94">
        <f>'[18]Rev_SP-12me'!BQ67</f>
        <v>0.899784</v>
      </c>
      <c r="N59" s="60"/>
      <c r="O59" s="60">
        <f t="shared" si="1"/>
        <v>34.9713666830246</v>
      </c>
    </row>
    <row r="60" spans="2:15">
      <c r="B60" s="58" t="s">
        <v>1045</v>
      </c>
      <c r="C60" s="55"/>
      <c r="D60" s="94">
        <f>'[18]Rev_SP-12me'!AJ68</f>
        <v>3570</v>
      </c>
      <c r="E60" s="94">
        <f>'[18]Rev_SP-12me'!AN68*0.7457/10^3</f>
        <v>14.2312280085595</v>
      </c>
      <c r="F60" s="94">
        <f>'[18]Rev_SP-12me'!AQ68</f>
        <v>13.277080808112</v>
      </c>
      <c r="G60" s="79">
        <f>'[18]Rev_SP-12me'!S68</f>
        <v>32</v>
      </c>
      <c r="H60" s="60">
        <f>'[18]Rev_SP-12me'!T68</f>
        <v>7.6</v>
      </c>
      <c r="I60" s="79">
        <f>'[18]Rev_SP-12me'!AC68</f>
        <v>120</v>
      </c>
      <c r="J60" s="7"/>
      <c r="K60" s="94">
        <f>'[18]Rev_SP-12me'!BN68</f>
        <v>0.732840492864</v>
      </c>
      <c r="L60" s="94">
        <f>'[18]Rev_SP-12me'!BO68</f>
        <v>10.0905814141651</v>
      </c>
      <c r="M60" s="94">
        <f>'[18]Rev_SP-12me'!BQ68</f>
        <v>0.51696</v>
      </c>
      <c r="N60" s="60"/>
      <c r="O60" s="60">
        <f t="shared" si="1"/>
        <v>11.3403819070291</v>
      </c>
    </row>
    <row r="61" ht="15" spans="2:15">
      <c r="B61" s="54" t="s">
        <v>1168</v>
      </c>
      <c r="C61" s="55"/>
      <c r="D61" s="68">
        <f>'[18]Rev_SP-12me'!AJ69</f>
        <v>0</v>
      </c>
      <c r="E61" s="68">
        <f>'[18]Rev_SP-12me'!AL69</f>
        <v>0</v>
      </c>
      <c r="F61" s="68">
        <f>'[18]Rev_SP-12me'!AQ69</f>
        <v>0</v>
      </c>
      <c r="G61" s="79"/>
      <c r="H61" s="60"/>
      <c r="I61" s="79"/>
      <c r="J61" s="7"/>
      <c r="K61" s="68">
        <f>'[18]Rev_SP-12me'!BN69</f>
        <v>0</v>
      </c>
      <c r="L61" s="68">
        <f>'[18]Rev_SP-12me'!BO69</f>
        <v>0</v>
      </c>
      <c r="M61" s="68">
        <f>'[18]Rev_SP-12me'!BQ69</f>
        <v>0</v>
      </c>
      <c r="N61" s="60"/>
      <c r="O61" s="60">
        <f t="shared" si="1"/>
        <v>0</v>
      </c>
    </row>
    <row r="62" ht="15" spans="2:15">
      <c r="B62" s="54" t="s">
        <v>1049</v>
      </c>
      <c r="C62" s="55"/>
      <c r="D62" s="68">
        <f>'[18]Rev_SP-12me'!AJ58</f>
        <v>27229</v>
      </c>
      <c r="E62" s="68">
        <f>'[18]Rev_SP-12me'!AL58</f>
        <v>86.9078473577268</v>
      </c>
      <c r="F62" s="68">
        <f>'[18]Rev_SP-12me'!AQ58</f>
        <v>108.549426556406</v>
      </c>
      <c r="G62" s="79"/>
      <c r="H62" s="60"/>
      <c r="I62" s="79"/>
      <c r="J62" s="7"/>
      <c r="K62" s="68">
        <f>'[18]Rev_SP-12me'!BN58</f>
        <v>2.28193387149977</v>
      </c>
      <c r="L62" s="68">
        <f>'[18]Rev_SP-12me'!BO58</f>
        <v>86.1905748190285</v>
      </c>
      <c r="M62" s="68">
        <f>'[18]Rev_SP-12me'!BQ58</f>
        <v>3.21564</v>
      </c>
      <c r="N62" s="60"/>
      <c r="O62" s="69">
        <f t="shared" si="1"/>
        <v>91.6881486905283</v>
      </c>
    </row>
    <row r="63" spans="2:15">
      <c r="B63" s="56" t="s">
        <v>1050</v>
      </c>
      <c r="C63" s="55"/>
      <c r="D63" s="94">
        <f>'[18]Rev_SP-12me'!AJ59</f>
        <v>22251</v>
      </c>
      <c r="E63" s="94">
        <f>'[18]Rev_SP-12me'!AL59</f>
        <v>78.4026512387405</v>
      </c>
      <c r="F63" s="94">
        <f>'[18]Rev_SP-12me'!AQ59</f>
        <v>96.7147319418951</v>
      </c>
      <c r="G63" s="79">
        <f>'[18]Rev_SP-12me'!S59</f>
        <v>21</v>
      </c>
      <c r="H63" s="60">
        <f>'[18]Rev_SP-12me'!T59</f>
        <v>8.3</v>
      </c>
      <c r="I63" s="79">
        <f>'[18]Rev_SP-12me'!AC59</f>
        <v>100</v>
      </c>
      <c r="J63" s="7"/>
      <c r="K63" s="94">
        <f>'[18]Rev_SP-12me'!BN59</f>
        <v>1.97574681121626</v>
      </c>
      <c r="L63" s="94">
        <f>'[18]Rev_SP-12me'!BO59</f>
        <v>80.273227511773</v>
      </c>
      <c r="M63" s="94">
        <f>'[18]Rev_SP-12me'!BQ59</f>
        <v>2.62776</v>
      </c>
      <c r="N63" s="60"/>
      <c r="O63" s="60">
        <f t="shared" si="1"/>
        <v>84.8767343229893</v>
      </c>
    </row>
    <row r="64" spans="2:15">
      <c r="B64" s="56" t="s">
        <v>1051</v>
      </c>
      <c r="C64" s="55"/>
      <c r="D64" s="94">
        <f>'[18]Rev_SP-12me'!AJ60</f>
        <v>4978</v>
      </c>
      <c r="E64" s="94">
        <f>'[18]Rev_SP-12me'!AL60</f>
        <v>8.50519611898623</v>
      </c>
      <c r="F64" s="94">
        <f>'[18]Rev_SP-12me'!AQ60</f>
        <v>11.8346946145112</v>
      </c>
      <c r="G64" s="79">
        <f>'[18]Rev_SP-12me'!S60</f>
        <v>30</v>
      </c>
      <c r="H64" s="60">
        <f>'[18]Rev_SP-12me'!T60</f>
        <v>5</v>
      </c>
      <c r="I64" s="79">
        <f>'[18]Rev_SP-12me'!AC60</f>
        <v>100</v>
      </c>
      <c r="J64" s="7"/>
      <c r="K64" s="94">
        <f>'[18]Rev_SP-12me'!BN60</f>
        <v>0.306187060283504</v>
      </c>
      <c r="L64" s="94">
        <f>'[18]Rev_SP-12me'!BO60</f>
        <v>5.91734730725558</v>
      </c>
      <c r="M64" s="94">
        <f>'[18]Rev_SP-12me'!BQ60</f>
        <v>0.58788</v>
      </c>
      <c r="N64" s="60"/>
      <c r="O64" s="60">
        <f t="shared" si="1"/>
        <v>6.81141436753908</v>
      </c>
    </row>
    <row r="65" spans="2:15">
      <c r="B65" s="56" t="s">
        <v>1052</v>
      </c>
      <c r="C65" s="55"/>
      <c r="D65" s="79">
        <f>'[18]Rev_SP-12me'!AJ61</f>
        <v>4978</v>
      </c>
      <c r="E65" s="79">
        <f>'[18]Rev_SP-12me'!AL61</f>
        <v>8.50519611898623</v>
      </c>
      <c r="F65" s="79">
        <f>'[18]Rev_SP-12me'!AQ61</f>
        <v>11.8346946145112</v>
      </c>
      <c r="G65" s="79">
        <v>100</v>
      </c>
      <c r="H65" s="60">
        <f>'[18]Rev_SP-12me'!T61</f>
        <v>5</v>
      </c>
      <c r="I65" s="79">
        <f>'[18]Rev_SP-12me'!AC61</f>
        <v>100</v>
      </c>
      <c r="J65" s="7"/>
      <c r="K65" s="79">
        <f>'[18]Rev_SP-12me'!BN61</f>
        <v>0</v>
      </c>
      <c r="L65" s="79">
        <f>'[18]Rev_SP-12me'!BO61</f>
        <v>0</v>
      </c>
      <c r="M65" s="79">
        <f>'[18]Rev_SP-12me'!BQ61</f>
        <v>0</v>
      </c>
      <c r="N65" s="60"/>
      <c r="O65" s="60">
        <f t="shared" si="1"/>
        <v>0</v>
      </c>
    </row>
    <row r="66" spans="2:15">
      <c r="B66" s="56" t="s">
        <v>1053</v>
      </c>
      <c r="C66" s="55"/>
      <c r="D66" s="79">
        <f>'[18]Rev_SP-12me'!AJ62</f>
        <v>0</v>
      </c>
      <c r="E66" s="79">
        <f>'[18]Rev_SP-12me'!AL62</f>
        <v>0</v>
      </c>
      <c r="F66" s="79">
        <f>'[18]Rev_SP-12me'!AQ62</f>
        <v>0</v>
      </c>
      <c r="G66" s="79">
        <v>100</v>
      </c>
      <c r="H66" s="60">
        <f>'[18]Rev_SP-12me'!T62</f>
        <v>5</v>
      </c>
      <c r="I66" s="79">
        <f>'[18]Rev_SP-12me'!AC62</f>
        <v>100</v>
      </c>
      <c r="J66" s="7"/>
      <c r="K66" s="79">
        <f>'[18]Rev_SP-12me'!BN62</f>
        <v>0</v>
      </c>
      <c r="L66" s="79">
        <f>'[18]Rev_SP-12me'!BO62</f>
        <v>0</v>
      </c>
      <c r="M66" s="79">
        <f>'[18]Rev_SP-12me'!BQ62</f>
        <v>0</v>
      </c>
      <c r="N66" s="60"/>
      <c r="O66" s="60">
        <f t="shared" si="1"/>
        <v>0</v>
      </c>
    </row>
    <row r="67" ht="15" spans="2:15">
      <c r="B67" s="54" t="s">
        <v>1054</v>
      </c>
      <c r="C67" s="55"/>
      <c r="D67" s="68">
        <f>'[18]Rev_SP-12me'!AJ63</f>
        <v>20019</v>
      </c>
      <c r="E67" s="68">
        <f>'[18]Rev_SP-12me'!AL63</f>
        <v>185.669634143626</v>
      </c>
      <c r="F67" s="68">
        <f>'[18]Rev_SP-12me'!AQ63</f>
        <v>157.328110571629</v>
      </c>
      <c r="G67" s="79">
        <f>'[18]Rev_SP-12me'!S63</f>
        <v>21</v>
      </c>
      <c r="H67" s="60">
        <f>'[18]Rev_SP-12me'!T63</f>
        <v>12</v>
      </c>
      <c r="I67" s="79">
        <f>'[18]Rev_SP-12me'!AC63</f>
        <v>100</v>
      </c>
      <c r="J67" s="7"/>
      <c r="K67" s="68">
        <f>'[18]Rev_SP-12me'!BN63</f>
        <v>4.67887478041938</v>
      </c>
      <c r="L67" s="68">
        <f>'[18]Rev_SP-12me'!BO63</f>
        <v>188.793732685955</v>
      </c>
      <c r="M67" s="68">
        <f>'[18]Rev_SP-12me'!BQ63</f>
        <v>2.2242</v>
      </c>
      <c r="N67" s="60"/>
      <c r="O67" s="69">
        <f t="shared" si="1"/>
        <v>195.696807466374</v>
      </c>
    </row>
    <row r="68" ht="15" spans="2:15">
      <c r="B68" s="54" t="s">
        <v>1101</v>
      </c>
      <c r="C68" s="55"/>
      <c r="D68" s="68">
        <f>'[18]Rev_SP-12me'!AJ64</f>
        <v>415</v>
      </c>
      <c r="E68" s="68">
        <f>'[18]Rev_SP-12me'!AL64</f>
        <v>19.9148408294931</v>
      </c>
      <c r="F68" s="68">
        <f>'[18]Rev_SP-12me'!AQ64</f>
        <v>46.8702400877059</v>
      </c>
      <c r="G68" s="79">
        <f>'[18]Rev_SP-12me'!S64</f>
        <v>0</v>
      </c>
      <c r="H68" s="60">
        <f>'[18]Rev_SP-12me'!T64</f>
        <v>6</v>
      </c>
      <c r="I68" s="79">
        <f>'[18]Rev_SP-12me'!AC64</f>
        <v>120</v>
      </c>
      <c r="J68" s="7"/>
      <c r="K68" s="68">
        <f>'[18]Rev_SP-12me'!BN64</f>
        <v>0</v>
      </c>
      <c r="L68" s="68">
        <f>'[18]Rev_SP-12me'!BO64</f>
        <v>28.1221440526235</v>
      </c>
      <c r="M68" s="68">
        <f>'[18]Rev_SP-12me'!BQ64</f>
        <v>0.051696</v>
      </c>
      <c r="N68" s="60"/>
      <c r="O68" s="69">
        <f t="shared" si="1"/>
        <v>28.1738400526235</v>
      </c>
    </row>
    <row r="69" ht="15" spans="2:15">
      <c r="B69" s="54"/>
      <c r="C69" s="55"/>
      <c r="D69" s="79"/>
      <c r="E69" s="60"/>
      <c r="F69" s="60"/>
      <c r="G69" s="60"/>
      <c r="H69" s="60"/>
      <c r="I69" s="7"/>
      <c r="J69" s="7"/>
      <c r="K69" s="60"/>
      <c r="L69" s="60"/>
      <c r="M69" s="60"/>
      <c r="N69" s="60"/>
      <c r="O69" s="60"/>
    </row>
    <row r="70" ht="15" spans="2:15">
      <c r="B70" s="54" t="s">
        <v>1102</v>
      </c>
      <c r="C70" s="55"/>
      <c r="D70" s="63">
        <f>SUM(D9,D22,D35,D42,D45,D53,D57,D61,D62,D67,D68)</f>
        <v>11512222</v>
      </c>
      <c r="E70" s="64">
        <f>SUM(E9,E22,E35,E42,E45,E53,E57,E61,E62,E67,E68)</f>
        <v>25670.1336191761</v>
      </c>
      <c r="F70" s="63">
        <f>SUM(F9,F22,F35,F42,F45,F53,F57,F61,F62,F67,F68)</f>
        <v>36031.941163479</v>
      </c>
      <c r="G70" s="63"/>
      <c r="H70" s="63"/>
      <c r="I70" s="63"/>
      <c r="J70" s="181"/>
      <c r="K70" s="64">
        <f>SUM(K9,K22,K35,K42,K45,K53,K57,K61,K62,K67,K68)</f>
        <v>733.710476644754</v>
      </c>
      <c r="L70" s="63">
        <f>SUM(L9,L22,L35,L42,L45,L53,L57,L61,L62,L67,L68)</f>
        <v>12050.6291695211</v>
      </c>
      <c r="M70" s="63">
        <f>SUM(M9,M22,M35,M42,M45,M53,M57,M61,M62,M67,M68)</f>
        <v>977.08789665</v>
      </c>
      <c r="N70" s="182"/>
      <c r="O70" s="63">
        <f>SUM(O9,O22,O35,O42,O45,O53,O57,O61,O62,O67,O68)</f>
        <v>13761.4275428159</v>
      </c>
    </row>
    <row r="71" ht="15" spans="2:15">
      <c r="B71" s="66"/>
      <c r="C71" s="67"/>
      <c r="D71" s="68"/>
      <c r="E71" s="69"/>
      <c r="F71" s="68"/>
      <c r="G71" s="68"/>
      <c r="H71" s="68"/>
      <c r="I71" s="68"/>
      <c r="J71" s="7"/>
      <c r="K71" s="69"/>
      <c r="L71" s="68"/>
      <c r="M71" s="68"/>
      <c r="N71" s="60"/>
      <c r="O71" s="68"/>
    </row>
    <row r="72" ht="15" spans="2:15">
      <c r="B72" s="70" t="s">
        <v>907</v>
      </c>
      <c r="C72" s="70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</row>
    <row r="73" spans="2:15">
      <c r="B73" s="71" t="s">
        <v>190</v>
      </c>
      <c r="C73" s="55"/>
      <c r="D73" s="60"/>
      <c r="E73" s="60"/>
      <c r="F73" s="60"/>
      <c r="G73" s="7"/>
      <c r="H73" s="7"/>
      <c r="I73" s="7"/>
      <c r="J73" s="7"/>
      <c r="K73" s="60"/>
      <c r="L73" s="60"/>
      <c r="M73" s="60"/>
      <c r="N73" s="60"/>
      <c r="O73" s="60"/>
    </row>
    <row r="74" ht="15" spans="2:15">
      <c r="B74" s="71" t="s">
        <v>1103</v>
      </c>
      <c r="C74" s="72"/>
      <c r="D74" s="68">
        <f>'[18]Rev_SP-12me'!AJ84</f>
        <v>6196</v>
      </c>
      <c r="E74" s="68">
        <f>'[18]Rev_SP-12me'!AL84</f>
        <v>1616.92789975108</v>
      </c>
      <c r="F74" s="68">
        <f>F75+F84</f>
        <v>4574.57872354559</v>
      </c>
      <c r="G74" s="68">
        <f>'[18]Rev_SP-12me'!S84</f>
        <v>0</v>
      </c>
      <c r="H74" s="69">
        <f>'[18]Rev_SP-12me'!T84</f>
        <v>0</v>
      </c>
      <c r="I74" s="68">
        <f>'[18]Rev_SP-12me'!AC84</f>
        <v>0</v>
      </c>
      <c r="J74" s="7"/>
      <c r="K74" s="68">
        <f>'[18]Rev_SP-12me'!BN84</f>
        <v>776.12539188052</v>
      </c>
      <c r="L74" s="68">
        <f>'[18]Rev_SP-12me'!BO84</f>
        <v>3451.70920798381</v>
      </c>
      <c r="M74" s="68">
        <f>'[18]Rev_SP-12me'!BQ84</f>
        <v>14.532</v>
      </c>
      <c r="N74" s="60"/>
      <c r="O74" s="68">
        <f t="shared" ref="O74:O105" si="2">SUM(K74:N74)</f>
        <v>4242.36659986433</v>
      </c>
    </row>
    <row r="75" spans="2:15">
      <c r="B75" s="73" t="s">
        <v>1104</v>
      </c>
      <c r="C75" s="72"/>
      <c r="D75" s="79">
        <f>'[18]Rev_SP-12me'!AJ85</f>
        <v>6196</v>
      </c>
      <c r="E75" s="79">
        <f>'[18]Rev_SP-12me'!AL85</f>
        <v>1616.92789975108</v>
      </c>
      <c r="F75" s="79">
        <f>'[18]Rev_SP-12me'!AQ85</f>
        <v>4424.60166459627</v>
      </c>
      <c r="G75" s="79">
        <f>'[18]Rev_SP-12me'!S85</f>
        <v>0</v>
      </c>
      <c r="H75" s="60">
        <f>'[18]Rev_SP-12me'!T85</f>
        <v>0</v>
      </c>
      <c r="I75" s="79">
        <f>'[18]Rev_SP-12me'!AC85</f>
        <v>0</v>
      </c>
      <c r="J75" s="7"/>
      <c r="K75" s="79">
        <f>'[18]Rev_SP-12me'!BN85</f>
        <v>776.12539188052</v>
      </c>
      <c r="L75" s="79">
        <f>'[18]Rev_SP-12me'!BO85</f>
        <v>3338.44151664546</v>
      </c>
      <c r="M75" s="79">
        <f>'[18]Rev_SP-12me'!BQ85</f>
        <v>14.532</v>
      </c>
      <c r="N75" s="60"/>
      <c r="O75" s="79">
        <f t="shared" si="2"/>
        <v>4129.09890852598</v>
      </c>
    </row>
    <row r="76" spans="2:15">
      <c r="B76" s="74" t="s">
        <v>1105</v>
      </c>
      <c r="C76" s="72"/>
      <c r="D76" s="94">
        <f>'[18]Rev_SP-12me'!AJ86</f>
        <v>6196</v>
      </c>
      <c r="E76" s="94">
        <f>'[18]Rev_SP-12me'!AL86</f>
        <v>1616.92789975108</v>
      </c>
      <c r="F76" s="94">
        <f>'[18]Rev_SP-12me'!AQ86</f>
        <v>1277.87303509363</v>
      </c>
      <c r="G76" s="94">
        <f>'[18]Rev_SP-12me'!S86</f>
        <v>500</v>
      </c>
      <c r="H76" s="91">
        <f>'[18]Rev_SP-12me'!T86</f>
        <v>7.65</v>
      </c>
      <c r="I76" s="94">
        <f>'[18]Rev_SP-12me'!AC86</f>
        <v>2000</v>
      </c>
      <c r="J76" s="7"/>
      <c r="K76" s="94">
        <f>'[18]Rev_SP-12me'!BN86</f>
        <v>776.12539188052</v>
      </c>
      <c r="L76" s="94">
        <f>'[18]Rev_SP-12me'!BO86</f>
        <v>977.572871846623</v>
      </c>
      <c r="M76" s="94">
        <f>'[18]Rev_SP-12me'!BQ86</f>
        <v>14.532</v>
      </c>
      <c r="N76" s="60"/>
      <c r="O76" s="79">
        <f t="shared" si="2"/>
        <v>1768.23026372714</v>
      </c>
    </row>
    <row r="77" ht="25.5" spans="2:15">
      <c r="B77" s="75" t="s">
        <v>1106</v>
      </c>
      <c r="C77" s="55"/>
      <c r="D77" s="94">
        <f>'[18]Rev_SP-12me'!AJ87</f>
        <v>0</v>
      </c>
      <c r="E77" s="94">
        <f>'[18]Rev_SP-12me'!AL87</f>
        <v>0</v>
      </c>
      <c r="F77" s="94">
        <f>'[18]Rev_SP-12me'!AQ87</f>
        <v>265.53325722848</v>
      </c>
      <c r="G77" s="94">
        <f>'[18]Rev_SP-12me'!S87</f>
        <v>100</v>
      </c>
      <c r="H77" s="91">
        <f>'[18]Rev_SP-12me'!T87</f>
        <v>8</v>
      </c>
      <c r="I77" s="94">
        <f>'[18]Rev_SP-12me'!AC87</f>
        <v>2000</v>
      </c>
      <c r="J77" s="7"/>
      <c r="K77" s="94">
        <f>'[18]Rev_SP-12me'!BN87</f>
        <v>0</v>
      </c>
      <c r="L77" s="94">
        <f>'[18]Rev_SP-12me'!BO87</f>
        <v>212.426605782784</v>
      </c>
      <c r="M77" s="94">
        <f>'[18]Rev_SP-12me'!BQ87</f>
        <v>0</v>
      </c>
      <c r="N77" s="7"/>
      <c r="O77" s="79">
        <f t="shared" si="2"/>
        <v>212.426605782784</v>
      </c>
    </row>
    <row r="78" spans="2:15">
      <c r="B78" s="74" t="s">
        <v>1107</v>
      </c>
      <c r="C78" s="55"/>
      <c r="D78" s="94">
        <f>'[18]Rev_SP-12me'!AJ88</f>
        <v>0</v>
      </c>
      <c r="E78" s="94">
        <f>'[18]Rev_SP-12me'!AL88</f>
        <v>0</v>
      </c>
      <c r="F78" s="94">
        <f>'[18]Rev_SP-12me'!AQ88</f>
        <v>132.233144417931</v>
      </c>
      <c r="G78" s="94">
        <f>'[18]Rev_SP-12me'!S88</f>
        <v>0</v>
      </c>
      <c r="H78" s="91">
        <f>'[18]Rev_SP-12me'!T88</f>
        <v>7.65</v>
      </c>
      <c r="I78" s="94">
        <f>'[18]Rev_SP-12me'!AC88</f>
        <v>2000</v>
      </c>
      <c r="J78" s="7"/>
      <c r="K78" s="94">
        <f>'[18]Rev_SP-12me'!BN88</f>
        <v>0</v>
      </c>
      <c r="L78" s="94">
        <f>'[18]Rev_SP-12me'!BO88</f>
        <v>101.158355479717</v>
      </c>
      <c r="M78" s="94">
        <f>'[18]Rev_SP-12me'!BQ88</f>
        <v>0</v>
      </c>
      <c r="N78" s="7"/>
      <c r="O78" s="79">
        <f t="shared" si="2"/>
        <v>101.158355479717</v>
      </c>
    </row>
    <row r="79" spans="2:15">
      <c r="B79" s="74" t="s">
        <v>1108</v>
      </c>
      <c r="C79" s="55"/>
      <c r="D79" s="94">
        <f>'[18]Rev_SP-12me'!AJ89</f>
        <v>0</v>
      </c>
      <c r="E79" s="94">
        <f>'[18]Rev_SP-12me'!AL89</f>
        <v>0</v>
      </c>
      <c r="F79" s="94">
        <f>'[18]Rev_SP-12me'!AQ89</f>
        <v>19.4622432594077</v>
      </c>
      <c r="G79" s="94">
        <f>'[18]Rev_SP-12me'!S89</f>
        <v>0</v>
      </c>
      <c r="H79" s="91">
        <f>'[18]Rev_SP-12me'!T89</f>
        <v>7.3</v>
      </c>
      <c r="I79" s="94">
        <f>'[18]Rev_SP-12me'!AC89</f>
        <v>2000</v>
      </c>
      <c r="J79" s="7"/>
      <c r="K79" s="94">
        <f>'[18]Rev_SP-12me'!BN89</f>
        <v>0</v>
      </c>
      <c r="L79" s="94">
        <f>'[18]Rev_SP-12me'!BO89</f>
        <v>14.2074375793676</v>
      </c>
      <c r="M79" s="94">
        <f>'[18]Rev_SP-12me'!BQ89</f>
        <v>0</v>
      </c>
      <c r="N79" s="7"/>
      <c r="O79" s="79">
        <f t="shared" si="2"/>
        <v>14.2074375793676</v>
      </c>
    </row>
    <row r="80" spans="2:15">
      <c r="B80" s="74" t="s">
        <v>1109</v>
      </c>
      <c r="C80" s="55"/>
      <c r="D80" s="94">
        <f>'[18]Rev_SP-12me'!AJ90</f>
        <v>0</v>
      </c>
      <c r="E80" s="94">
        <f>'[18]Rev_SP-12me'!AL90</f>
        <v>0</v>
      </c>
      <c r="F80" s="94">
        <f>'[18]Rev_SP-12me'!AQ90</f>
        <v>55.8576624497053</v>
      </c>
      <c r="G80" s="94">
        <f>'[18]Rev_SP-12me'!S90</f>
        <v>500</v>
      </c>
      <c r="H80" s="91">
        <f>'[18]Rev_SP-12me'!T90</f>
        <v>8.6</v>
      </c>
      <c r="I80" s="94">
        <f>'[18]Rev_SP-12me'!AC90</f>
        <v>2000</v>
      </c>
      <c r="J80" s="7"/>
      <c r="K80" s="94">
        <f>'[18]Rev_SP-12me'!BN90</f>
        <v>0</v>
      </c>
      <c r="L80" s="94">
        <f>'[18]Rev_SP-12me'!BO90</f>
        <v>48.0375897067466</v>
      </c>
      <c r="M80" s="94">
        <f>'[18]Rev_SP-12me'!BQ90</f>
        <v>0</v>
      </c>
      <c r="N80" s="7"/>
      <c r="O80" s="79">
        <f t="shared" si="2"/>
        <v>48.0375897067466</v>
      </c>
    </row>
    <row r="81" spans="2:15">
      <c r="B81" s="76" t="s">
        <v>1110</v>
      </c>
      <c r="C81" s="55"/>
      <c r="D81" s="94">
        <f>'[18]Rev_SP-12me'!AJ91</f>
        <v>0</v>
      </c>
      <c r="E81" s="94">
        <f>'[18]Rev_SP-12me'!AL91</f>
        <v>0</v>
      </c>
      <c r="F81" s="94">
        <f>'[18]Rev_SP-12me'!AQ91</f>
        <v>682.855593847427</v>
      </c>
      <c r="G81" s="94">
        <f>'[18]Rev_SP-12me'!S91</f>
        <v>0</v>
      </c>
      <c r="H81" s="91">
        <f>'[18]Rev_SP-12me'!T91</f>
        <v>8.65</v>
      </c>
      <c r="I81" s="94">
        <f>'[18]Rev_SP-12me'!AC91</f>
        <v>2000</v>
      </c>
      <c r="J81" s="7"/>
      <c r="K81" s="94">
        <f>'[18]Rev_SP-12me'!BN91</f>
        <v>0</v>
      </c>
      <c r="L81" s="94">
        <f>'[18]Rev_SP-12me'!BO91</f>
        <v>590.670088678024</v>
      </c>
      <c r="M81" s="94">
        <f>'[18]Rev_SP-12me'!BQ91</f>
        <v>0</v>
      </c>
      <c r="N81" s="7"/>
      <c r="O81" s="79">
        <f t="shared" si="2"/>
        <v>590.670088678024</v>
      </c>
    </row>
    <row r="82" spans="2:15">
      <c r="B82" s="76" t="s">
        <v>1111</v>
      </c>
      <c r="C82" s="55"/>
      <c r="D82" s="94">
        <f>'[18]Rev_SP-12me'!AJ92</f>
        <v>0</v>
      </c>
      <c r="E82" s="94">
        <f>'[18]Rev_SP-12me'!AL92</f>
        <v>0</v>
      </c>
      <c r="F82" s="94">
        <f>'[18]Rev_SP-12me'!AQ92</f>
        <v>680.138918671545</v>
      </c>
      <c r="G82" s="94">
        <f>'[18]Rev_SP-12me'!S92</f>
        <v>0</v>
      </c>
      <c r="H82" s="91">
        <f>'[18]Rev_SP-12me'!T92</f>
        <v>8.65</v>
      </c>
      <c r="I82" s="94">
        <f>'[18]Rev_SP-12me'!AC92</f>
        <v>2000</v>
      </c>
      <c r="J82" s="7"/>
      <c r="K82" s="94">
        <f>'[18]Rev_SP-12me'!BN92</f>
        <v>0</v>
      </c>
      <c r="L82" s="94">
        <f>'[18]Rev_SP-12me'!BO92</f>
        <v>588.320164650886</v>
      </c>
      <c r="M82" s="94">
        <f>'[18]Rev_SP-12me'!BQ92</f>
        <v>0</v>
      </c>
      <c r="N82" s="7"/>
      <c r="O82" s="79">
        <f t="shared" si="2"/>
        <v>588.320164650886</v>
      </c>
    </row>
    <row r="83" spans="2:15">
      <c r="B83" s="76" t="s">
        <v>1112</v>
      </c>
      <c r="C83" s="55"/>
      <c r="D83" s="94">
        <f>'[18]Rev_SP-12me'!AJ93</f>
        <v>0</v>
      </c>
      <c r="E83" s="94">
        <f>'[18]Rev_SP-12me'!AL93</f>
        <v>0</v>
      </c>
      <c r="F83" s="94">
        <f>'[18]Rev_SP-12me'!AQ93</f>
        <v>1310.64780962815</v>
      </c>
      <c r="G83" s="94">
        <f>'[18]Rev_SP-12me'!S93</f>
        <v>0</v>
      </c>
      <c r="H83" s="91">
        <f>'[18]Rev_SP-12me'!T93</f>
        <v>6.15</v>
      </c>
      <c r="I83" s="94">
        <f>'[18]Rev_SP-12me'!AC93</f>
        <v>2000</v>
      </c>
      <c r="J83" s="7"/>
      <c r="K83" s="94">
        <f>'[18]Rev_SP-12me'!BN93</f>
        <v>0</v>
      </c>
      <c r="L83" s="94">
        <f>'[18]Rev_SP-12me'!BO93</f>
        <v>806.048402921312</v>
      </c>
      <c r="M83" s="94">
        <f>'[18]Rev_SP-12me'!BQ93</f>
        <v>0</v>
      </c>
      <c r="N83" s="7"/>
      <c r="O83" s="79">
        <f t="shared" si="2"/>
        <v>806.048402921312</v>
      </c>
    </row>
    <row r="84" ht="15" spans="2:15">
      <c r="B84" s="71" t="s">
        <v>1113</v>
      </c>
      <c r="C84" s="55"/>
      <c r="D84" s="79">
        <f>'[18]Rev_SP-12me'!AJ94</f>
        <v>0</v>
      </c>
      <c r="E84" s="79">
        <f>'[18]Rev_SP-12me'!AL94</f>
        <v>0</v>
      </c>
      <c r="F84" s="79">
        <f>'[18]Rev_SP-12me'!AQ94</f>
        <v>149.977058949324</v>
      </c>
      <c r="G84" s="79">
        <f>'[18]Rev_SP-12me'!S94</f>
        <v>0</v>
      </c>
      <c r="H84" s="60">
        <f>'[18]Rev_SP-12me'!T94</f>
        <v>0</v>
      </c>
      <c r="I84" s="79">
        <f>'[18]Rev_SP-12me'!AC94</f>
        <v>0</v>
      </c>
      <c r="J84" s="7"/>
      <c r="K84" s="79">
        <f>'[18]Rev_SP-12me'!BN94</f>
        <v>0</v>
      </c>
      <c r="L84" s="79">
        <f>'[18]Rev_SP-12me'!BO94</f>
        <v>113.26769133835</v>
      </c>
      <c r="M84" s="79">
        <f>'[18]Rev_SP-12me'!BQ94</f>
        <v>0</v>
      </c>
      <c r="N84" s="7"/>
      <c r="O84" s="68">
        <f t="shared" si="2"/>
        <v>113.26769133835</v>
      </c>
    </row>
    <row r="85" spans="2:15">
      <c r="B85" s="76" t="s">
        <v>1114</v>
      </c>
      <c r="C85" s="55"/>
      <c r="D85" s="94">
        <f>'[18]Rev_SP-12me'!AJ95</f>
        <v>0</v>
      </c>
      <c r="E85" s="94">
        <f>'[18]Rev_SP-12me'!AL95</f>
        <v>0</v>
      </c>
      <c r="F85" s="94">
        <f>'[18]Rev_SP-12me'!AQ95</f>
        <v>51.5931249647781</v>
      </c>
      <c r="G85" s="94">
        <f>'[18]Rev_SP-12me'!S95</f>
        <v>500</v>
      </c>
      <c r="H85" s="91">
        <f>'[18]Rev_SP-12me'!T95</f>
        <v>7.65</v>
      </c>
      <c r="I85" s="94">
        <f>'[18]Rev_SP-12me'!AC95</f>
        <v>2000</v>
      </c>
      <c r="J85" s="7"/>
      <c r="K85" s="94">
        <f>'[18]Rev_SP-12me'!BN95</f>
        <v>0</v>
      </c>
      <c r="L85" s="94">
        <f>'[18]Rev_SP-12me'!BO95</f>
        <v>39.4687405980552</v>
      </c>
      <c r="M85" s="94">
        <f>'[18]Rev_SP-12me'!BQ95</f>
        <v>0</v>
      </c>
      <c r="N85" s="7"/>
      <c r="O85" s="79">
        <f t="shared" si="2"/>
        <v>39.4687405980552</v>
      </c>
    </row>
    <row r="86" spans="2:15">
      <c r="B86" s="76" t="s">
        <v>1115</v>
      </c>
      <c r="C86" s="55"/>
      <c r="D86" s="94">
        <f>'[18]Rev_SP-12me'!AJ96</f>
        <v>0</v>
      </c>
      <c r="E86" s="94">
        <f>'[18]Rev_SP-12me'!AL96</f>
        <v>0</v>
      </c>
      <c r="F86" s="94">
        <f>'[18]Rev_SP-12me'!AQ96</f>
        <v>26.5182408297973</v>
      </c>
      <c r="G86" s="94">
        <f>'[18]Rev_SP-12me'!S96</f>
        <v>0</v>
      </c>
      <c r="H86" s="91">
        <f>'[18]Rev_SP-12me'!T96</f>
        <v>8.65</v>
      </c>
      <c r="I86" s="94">
        <f>'[18]Rev_SP-12me'!AC96</f>
        <v>2000</v>
      </c>
      <c r="J86" s="7"/>
      <c r="K86" s="94">
        <f>'[18]Rev_SP-12me'!BN96</f>
        <v>0</v>
      </c>
      <c r="L86" s="94">
        <f>'[18]Rev_SP-12me'!BO96</f>
        <v>22.9382783177746</v>
      </c>
      <c r="M86" s="94">
        <f>'[18]Rev_SP-12me'!BQ96</f>
        <v>0</v>
      </c>
      <c r="N86" s="7"/>
      <c r="O86" s="79">
        <f t="shared" si="2"/>
        <v>22.9382783177746</v>
      </c>
    </row>
    <row r="87" spans="2:15">
      <c r="B87" s="76" t="s">
        <v>1116</v>
      </c>
      <c r="C87" s="55"/>
      <c r="D87" s="94">
        <f>'[18]Rev_SP-12me'!AJ97</f>
        <v>0</v>
      </c>
      <c r="E87" s="94">
        <f>'[18]Rev_SP-12me'!AL97</f>
        <v>0</v>
      </c>
      <c r="F87" s="94">
        <f>'[18]Rev_SP-12me'!AQ97</f>
        <v>26.6530845293995</v>
      </c>
      <c r="G87" s="94">
        <f>'[18]Rev_SP-12me'!S97</f>
        <v>0</v>
      </c>
      <c r="H87" s="91">
        <f>'[18]Rev_SP-12me'!T97</f>
        <v>8.65</v>
      </c>
      <c r="I87" s="94">
        <f>'[18]Rev_SP-12me'!AC97</f>
        <v>2000</v>
      </c>
      <c r="J87" s="7"/>
      <c r="K87" s="94">
        <f>'[18]Rev_SP-12me'!BN97</f>
        <v>0</v>
      </c>
      <c r="L87" s="94">
        <f>'[18]Rev_SP-12me'!BO97</f>
        <v>23.0549181179305</v>
      </c>
      <c r="M87" s="94">
        <f>'[18]Rev_SP-12me'!BQ97</f>
        <v>0</v>
      </c>
      <c r="N87" s="7"/>
      <c r="O87" s="79">
        <f t="shared" si="2"/>
        <v>23.0549181179305</v>
      </c>
    </row>
    <row r="88" spans="2:15">
      <c r="B88" s="76" t="s">
        <v>1117</v>
      </c>
      <c r="C88" s="55"/>
      <c r="D88" s="94">
        <f>'[18]Rev_SP-12me'!AJ98</f>
        <v>0</v>
      </c>
      <c r="E88" s="94">
        <f>'[18]Rev_SP-12me'!AL98</f>
        <v>0</v>
      </c>
      <c r="F88" s="94">
        <f>'[18]Rev_SP-12me'!AQ98</f>
        <v>45.212608625349</v>
      </c>
      <c r="G88" s="94">
        <f>'[18]Rev_SP-12me'!S98</f>
        <v>0</v>
      </c>
      <c r="H88" s="91">
        <f>'[18]Rev_SP-12me'!T98</f>
        <v>6.15</v>
      </c>
      <c r="I88" s="94">
        <f>'[18]Rev_SP-12me'!AC98</f>
        <v>2000</v>
      </c>
      <c r="J88" s="7"/>
      <c r="K88" s="94">
        <f>'[18]Rev_SP-12me'!BN98</f>
        <v>0</v>
      </c>
      <c r="L88" s="94">
        <f>'[18]Rev_SP-12me'!BO98</f>
        <v>27.8057543045897</v>
      </c>
      <c r="M88" s="94">
        <f>'[18]Rev_SP-12me'!BQ98</f>
        <v>0</v>
      </c>
      <c r="N88" s="7"/>
      <c r="O88" s="79">
        <f t="shared" si="2"/>
        <v>27.8057543045897</v>
      </c>
    </row>
    <row r="89" ht="15" spans="2:15">
      <c r="B89" s="71" t="s">
        <v>1118</v>
      </c>
      <c r="C89" s="55"/>
      <c r="D89" s="68">
        <f>'[18]Rev_SP-12me'!AJ100</f>
        <v>0</v>
      </c>
      <c r="E89" s="68">
        <f>'[18]Rev_SP-12me'!AL100</f>
        <v>0</v>
      </c>
      <c r="F89" s="68">
        <f>'[18]Rev_SP-12me'!AQ100</f>
        <v>49.0509976369957</v>
      </c>
      <c r="G89" s="68">
        <f>'[18]Rev_SP-12me'!S100</f>
        <v>0</v>
      </c>
      <c r="H89" s="69">
        <f>'[18]Rev_SP-12me'!T100</f>
        <v>0</v>
      </c>
      <c r="I89" s="68">
        <f>'[18]Rev_SP-12me'!AC100</f>
        <v>8000</v>
      </c>
      <c r="J89" s="7"/>
      <c r="K89" s="68">
        <f>'[18]Rev_SP-12me'!BN100</f>
        <v>0</v>
      </c>
      <c r="L89" s="68">
        <f>'[18]Rev_SP-12me'!BO100</f>
        <v>37.0895309483704</v>
      </c>
      <c r="M89" s="68">
        <f>'[18]Rev_SP-12me'!BQ100</f>
        <v>0</v>
      </c>
      <c r="N89" s="7"/>
      <c r="O89" s="68">
        <f t="shared" si="2"/>
        <v>37.0895309483704</v>
      </c>
    </row>
    <row r="90" spans="2:15">
      <c r="B90" s="74" t="s">
        <v>1119</v>
      </c>
      <c r="C90" s="55"/>
      <c r="D90" s="94">
        <f>'[18]Rev_SP-12me'!AJ101</f>
        <v>0</v>
      </c>
      <c r="E90" s="94">
        <f>'[18]Rev_SP-12me'!AL101</f>
        <v>0</v>
      </c>
      <c r="F90" s="94">
        <f>'[18]Rev_SP-12me'!AQ101</f>
        <v>17.8499657452963</v>
      </c>
      <c r="G90" s="94">
        <f>'[18]Rev_SP-12me'!S101</f>
        <v>500</v>
      </c>
      <c r="H90" s="91">
        <f>'[18]Rev_SP-12me'!T101</f>
        <v>7.65</v>
      </c>
      <c r="I90" s="94">
        <f>'[18]Rev_SP-12me'!AC101</f>
        <v>2000</v>
      </c>
      <c r="J90" s="7"/>
      <c r="K90" s="94">
        <f>'[18]Rev_SP-12me'!BN101</f>
        <v>0</v>
      </c>
      <c r="L90" s="94">
        <f>'[18]Rev_SP-12me'!BO101</f>
        <v>13.6552237951516</v>
      </c>
      <c r="M90" s="94">
        <f>'[18]Rev_SP-12me'!BQ101</f>
        <v>0</v>
      </c>
      <c r="N90" s="7"/>
      <c r="O90" s="79">
        <f t="shared" si="2"/>
        <v>13.6552237951516</v>
      </c>
    </row>
    <row r="91" spans="2:15">
      <c r="B91" s="74" t="s">
        <v>1120</v>
      </c>
      <c r="C91" s="55"/>
      <c r="D91" s="94">
        <f>'[18]Rev_SP-12me'!AJ102</f>
        <v>0</v>
      </c>
      <c r="E91" s="94">
        <f>'[18]Rev_SP-12me'!AL102</f>
        <v>0</v>
      </c>
      <c r="F91" s="94">
        <f>'[18]Rev_SP-12me'!AQ102</f>
        <v>8.43161457454638</v>
      </c>
      <c r="G91" s="94">
        <f>'[18]Rev_SP-12me'!S102</f>
        <v>0</v>
      </c>
      <c r="H91" s="91">
        <f>'[18]Rev_SP-12me'!T102</f>
        <v>8.65</v>
      </c>
      <c r="I91" s="94">
        <f>'[18]Rev_SP-12me'!AC102</f>
        <v>2000</v>
      </c>
      <c r="J91" s="7"/>
      <c r="K91" s="94">
        <f>'[18]Rev_SP-12me'!BN102</f>
        <v>0</v>
      </c>
      <c r="L91" s="94">
        <f>'[18]Rev_SP-12me'!BO102</f>
        <v>7.29334660698262</v>
      </c>
      <c r="M91" s="94">
        <f>'[18]Rev_SP-12me'!BQ102</f>
        <v>0</v>
      </c>
      <c r="N91" s="7"/>
      <c r="O91" s="79">
        <f t="shared" si="2"/>
        <v>7.29334660698262</v>
      </c>
    </row>
    <row r="92" spans="2:15">
      <c r="B92" s="74" t="s">
        <v>1121</v>
      </c>
      <c r="C92" s="55"/>
      <c r="D92" s="94">
        <f>'[18]Rev_SP-12me'!AJ103</f>
        <v>0</v>
      </c>
      <c r="E92" s="94">
        <f>'[18]Rev_SP-12me'!AL103</f>
        <v>0</v>
      </c>
      <c r="F92" s="94">
        <f>'[18]Rev_SP-12me'!AQ103</f>
        <v>8.55107558474793</v>
      </c>
      <c r="G92" s="94">
        <f>'[18]Rev_SP-12me'!S103</f>
        <v>0</v>
      </c>
      <c r="H92" s="91">
        <f>'[18]Rev_SP-12me'!T103</f>
        <v>8.65</v>
      </c>
      <c r="I92" s="94">
        <f>'[18]Rev_SP-12me'!AC103</f>
        <v>2000</v>
      </c>
      <c r="J92" s="7"/>
      <c r="K92" s="94">
        <f>'[18]Rev_SP-12me'!BN103</f>
        <v>0</v>
      </c>
      <c r="L92" s="94">
        <f>'[18]Rev_SP-12me'!BO103</f>
        <v>7.39668038080696</v>
      </c>
      <c r="M92" s="94">
        <f>'[18]Rev_SP-12me'!BQ103</f>
        <v>0</v>
      </c>
      <c r="N92" s="7"/>
      <c r="O92" s="79">
        <f t="shared" si="2"/>
        <v>7.39668038080696</v>
      </c>
    </row>
    <row r="93" spans="2:15">
      <c r="B93" s="74" t="s">
        <v>1122</v>
      </c>
      <c r="C93" s="55"/>
      <c r="D93" s="94">
        <f>'[18]Rev_SP-12me'!AJ104</f>
        <v>0</v>
      </c>
      <c r="E93" s="94">
        <f>'[18]Rev_SP-12me'!AL104</f>
        <v>0</v>
      </c>
      <c r="F93" s="94">
        <f>'[18]Rev_SP-12me'!AQ104</f>
        <v>14.2183417324051</v>
      </c>
      <c r="G93" s="94">
        <f>'[18]Rev_SP-12me'!S104</f>
        <v>0</v>
      </c>
      <c r="H93" s="91">
        <f>'[18]Rev_SP-12me'!T104</f>
        <v>6.15</v>
      </c>
      <c r="I93" s="94">
        <f>'[18]Rev_SP-12me'!AC104</f>
        <v>2000</v>
      </c>
      <c r="J93" s="7"/>
      <c r="K93" s="94">
        <f>'[18]Rev_SP-12me'!BN104</f>
        <v>0</v>
      </c>
      <c r="L93" s="94">
        <f>'[18]Rev_SP-12me'!BO104</f>
        <v>8.74428016542913</v>
      </c>
      <c r="M93" s="94">
        <f>'[18]Rev_SP-12me'!BQ104</f>
        <v>0</v>
      </c>
      <c r="N93" s="7"/>
      <c r="O93" s="79">
        <f t="shared" si="2"/>
        <v>8.74428016542913</v>
      </c>
    </row>
    <row r="94" ht="15" spans="2:15">
      <c r="B94" s="71" t="s">
        <v>1123</v>
      </c>
      <c r="C94" s="55"/>
      <c r="D94" s="68">
        <f>'[18]Rev_SP-12me'!AJ99</f>
        <v>0</v>
      </c>
      <c r="E94" s="68">
        <f>'[18]Rev_SP-12me'!AL99</f>
        <v>0</v>
      </c>
      <c r="F94" s="68">
        <f>'[18]Rev_SP-12me'!AQ99</f>
        <v>0.5403905124</v>
      </c>
      <c r="G94" s="68">
        <f>'[18]Rev_SP-12me'!S99</f>
        <v>500</v>
      </c>
      <c r="H94" s="69">
        <f>'[18]Rev_SP-12me'!T99</f>
        <v>7.65</v>
      </c>
      <c r="I94" s="68">
        <f>'[18]Rev_SP-12me'!AC99</f>
        <v>2000</v>
      </c>
      <c r="J94" s="7"/>
      <c r="K94" s="68">
        <f>'[18]Rev_SP-12me'!BN99</f>
        <v>0</v>
      </c>
      <c r="L94" s="68">
        <f>'[18]Rev_SP-12me'!BO99</f>
        <v>0.413398741986</v>
      </c>
      <c r="M94" s="68">
        <f>'[18]Rev_SP-12me'!BQ99</f>
        <v>0</v>
      </c>
      <c r="N94" s="7"/>
      <c r="O94" s="68">
        <f t="shared" si="2"/>
        <v>0.413398741986</v>
      </c>
    </row>
    <row r="95" ht="15" spans="2:15">
      <c r="B95" s="71" t="s">
        <v>1124</v>
      </c>
      <c r="C95" s="55"/>
      <c r="D95" s="68">
        <f>'[18]Rev_SP-12me'!AJ105</f>
        <v>5386</v>
      </c>
      <c r="E95" s="68">
        <f>'[18]Rev_SP-12me'!AL105</f>
        <v>1029.11902177311</v>
      </c>
      <c r="F95" s="68">
        <f>'[18]Rev_SP-12me'!AQ105</f>
        <v>2574.01348848237</v>
      </c>
      <c r="G95" s="68">
        <f>'[18]Rev_SP-12me'!S105</f>
        <v>0</v>
      </c>
      <c r="H95" s="69">
        <f>'[18]Rev_SP-12me'!T105</f>
        <v>0</v>
      </c>
      <c r="I95" s="68">
        <f>'[18]Rev_SP-12me'!AC105</f>
        <v>0</v>
      </c>
      <c r="J95" s="7"/>
      <c r="K95" s="68">
        <f>'[18]Rev_SP-12me'!BN105</f>
        <v>493.977130451091</v>
      </c>
      <c r="L95" s="68">
        <f>'[18]Rev_SP-12me'!BO105</f>
        <v>2260.97989605032</v>
      </c>
      <c r="M95" s="68">
        <f>'[18]Rev_SP-12me'!BQ105</f>
        <v>12.234</v>
      </c>
      <c r="N95" s="7"/>
      <c r="O95" s="68">
        <f t="shared" si="2"/>
        <v>2767.19102650141</v>
      </c>
    </row>
    <row r="96" spans="2:15">
      <c r="B96" s="74" t="s">
        <v>1119</v>
      </c>
      <c r="C96" s="55"/>
      <c r="D96" s="94">
        <f>'[18]Rev_SP-12me'!AJ106</f>
        <v>5386</v>
      </c>
      <c r="E96" s="94">
        <f>'[18]Rev_SP-12me'!AL106</f>
        <v>1029.11902177311</v>
      </c>
      <c r="F96" s="94">
        <f>'[18]Rev_SP-12me'!AQ106</f>
        <v>1100.14393404996</v>
      </c>
      <c r="G96" s="94">
        <f>'[18]Rev_SP-12me'!S106</f>
        <v>500</v>
      </c>
      <c r="H96" s="91">
        <f>'[18]Rev_SP-12me'!T106</f>
        <v>8.8</v>
      </c>
      <c r="I96" s="94">
        <f>'[18]Rev_SP-12me'!AC106</f>
        <v>2000</v>
      </c>
      <c r="J96" s="7"/>
      <c r="K96" s="94">
        <f>'[18]Rev_SP-12me'!BN106</f>
        <v>493.977130451091</v>
      </c>
      <c r="L96" s="94">
        <f>'[18]Rev_SP-12me'!BO106</f>
        <v>968.126661963965</v>
      </c>
      <c r="M96" s="94">
        <f>'[18]Rev_SP-12me'!BQ106</f>
        <v>12.234</v>
      </c>
      <c r="N96" s="7"/>
      <c r="O96" s="79">
        <f t="shared" si="2"/>
        <v>1474.33779241506</v>
      </c>
    </row>
    <row r="97" spans="2:15">
      <c r="B97" s="74" t="s">
        <v>1120</v>
      </c>
      <c r="C97" s="55"/>
      <c r="D97" s="94">
        <f>'[18]Rev_SP-12me'!AJ107</f>
        <v>0</v>
      </c>
      <c r="E97" s="94">
        <f>'[18]Rev_SP-12me'!AL107</f>
        <v>0</v>
      </c>
      <c r="F97" s="94">
        <f>'[18]Rev_SP-12me'!AQ107</f>
        <v>431.177507691291</v>
      </c>
      <c r="G97" s="94">
        <f>'[18]Rev_SP-12me'!S107</f>
        <v>0</v>
      </c>
      <c r="H97" s="91">
        <f>'[18]Rev_SP-12me'!T107</f>
        <v>9.8</v>
      </c>
      <c r="I97" s="94">
        <f>'[18]Rev_SP-12me'!AC107</f>
        <v>2000</v>
      </c>
      <c r="J97" s="7"/>
      <c r="K97" s="94">
        <f>'[18]Rev_SP-12me'!BN107</f>
        <v>0</v>
      </c>
      <c r="L97" s="94">
        <f>'[18]Rev_SP-12me'!BO107</f>
        <v>422.553957537465</v>
      </c>
      <c r="M97" s="94">
        <f>'[18]Rev_SP-12me'!BQ107</f>
        <v>0</v>
      </c>
      <c r="N97" s="7"/>
      <c r="O97" s="79">
        <f t="shared" si="2"/>
        <v>422.553957537465</v>
      </c>
    </row>
    <row r="98" spans="2:15">
      <c r="B98" s="74" t="s">
        <v>1121</v>
      </c>
      <c r="C98" s="55"/>
      <c r="D98" s="94">
        <f>'[18]Rev_SP-12me'!AJ108</f>
        <v>0</v>
      </c>
      <c r="E98" s="94">
        <f>'[18]Rev_SP-12me'!AL108</f>
        <v>0</v>
      </c>
      <c r="F98" s="94">
        <f>'[18]Rev_SP-12me'!AQ108</f>
        <v>436.536329711515</v>
      </c>
      <c r="G98" s="94">
        <f>'[18]Rev_SP-12me'!S108</f>
        <v>0</v>
      </c>
      <c r="H98" s="91">
        <f>'[18]Rev_SP-12me'!T108</f>
        <v>9.8</v>
      </c>
      <c r="I98" s="94">
        <f>'[18]Rev_SP-12me'!AC108</f>
        <v>2000</v>
      </c>
      <c r="J98" s="7"/>
      <c r="K98" s="94">
        <f>'[18]Rev_SP-12me'!BN108</f>
        <v>0</v>
      </c>
      <c r="L98" s="94">
        <f>'[18]Rev_SP-12me'!BO108</f>
        <v>427.805603117284</v>
      </c>
      <c r="M98" s="94">
        <f>'[18]Rev_SP-12me'!BQ108</f>
        <v>0</v>
      </c>
      <c r="N98" s="7"/>
      <c r="O98" s="79">
        <f t="shared" si="2"/>
        <v>427.805603117284</v>
      </c>
    </row>
    <row r="99" spans="2:15">
      <c r="B99" s="74" t="s">
        <v>1122</v>
      </c>
      <c r="C99" s="55"/>
      <c r="D99" s="94">
        <f>'[18]Rev_SP-12me'!AJ109</f>
        <v>0</v>
      </c>
      <c r="E99" s="94">
        <f>'[18]Rev_SP-12me'!AL109</f>
        <v>0</v>
      </c>
      <c r="F99" s="94">
        <f>'[18]Rev_SP-12me'!AQ109</f>
        <v>606.155717029601</v>
      </c>
      <c r="G99" s="94">
        <f>'[18]Rev_SP-12me'!S109</f>
        <v>0</v>
      </c>
      <c r="H99" s="91">
        <f>'[18]Rev_SP-12me'!T109</f>
        <v>7.3</v>
      </c>
      <c r="I99" s="94">
        <f>'[18]Rev_SP-12me'!AC109</f>
        <v>2000</v>
      </c>
      <c r="J99" s="7"/>
      <c r="K99" s="94">
        <f>'[18]Rev_SP-12me'!BN109</f>
        <v>0</v>
      </c>
      <c r="L99" s="94">
        <f>'[18]Rev_SP-12me'!BO109</f>
        <v>442.493673431609</v>
      </c>
      <c r="M99" s="94">
        <f>'[18]Rev_SP-12me'!BQ109</f>
        <v>0</v>
      </c>
      <c r="N99" s="7"/>
      <c r="O99" s="79">
        <f t="shared" si="2"/>
        <v>442.493673431609</v>
      </c>
    </row>
    <row r="100" ht="15" spans="2:15">
      <c r="B100" s="71" t="s">
        <v>1125</v>
      </c>
      <c r="C100" s="55"/>
      <c r="D100" s="68">
        <f>'[18]Rev_SP-12me'!AJ110</f>
        <v>0</v>
      </c>
      <c r="E100" s="68">
        <f>'[18]Rev_SP-12me'!AL110</f>
        <v>0</v>
      </c>
      <c r="F100" s="68">
        <f>'[18]Rev_SP-12me'!AQ110</f>
        <v>0.461284863244088</v>
      </c>
      <c r="G100" s="68">
        <f>'[18]Rev_SP-12me'!S110</f>
        <v>0</v>
      </c>
      <c r="H100" s="69">
        <f>'[18]Rev_SP-12me'!T110</f>
        <v>0</v>
      </c>
      <c r="I100" s="68">
        <f>'[18]Rev_SP-12me'!AC110</f>
        <v>8000</v>
      </c>
      <c r="J100" s="7"/>
      <c r="K100" s="68">
        <f>'[18]Rev_SP-12me'!BN110</f>
        <v>0</v>
      </c>
      <c r="L100" s="68">
        <f>'[18]Rev_SP-12me'!BO110</f>
        <v>0.220876204895096</v>
      </c>
      <c r="M100" s="68">
        <f>'[18]Rev_SP-12me'!BQ110</f>
        <v>0</v>
      </c>
      <c r="N100" s="7"/>
      <c r="O100" s="68">
        <f t="shared" si="2"/>
        <v>0.220876204895096</v>
      </c>
    </row>
    <row r="101" spans="2:15">
      <c r="B101" s="74" t="s">
        <v>1119</v>
      </c>
      <c r="C101" s="55"/>
      <c r="D101" s="94">
        <f>'[18]Rev_SP-12me'!AJ111</f>
        <v>0</v>
      </c>
      <c r="E101" s="94">
        <f>'[18]Rev_SP-12me'!AL111</f>
        <v>0</v>
      </c>
      <c r="F101" s="94">
        <f>'[18]Rev_SP-12me'!AQ111</f>
        <v>0.120812111999383</v>
      </c>
      <c r="G101" s="94">
        <f>'[18]Rev_SP-12me'!S111</f>
        <v>285</v>
      </c>
      <c r="H101" s="91">
        <f>'[18]Rev_SP-12me'!T111</f>
        <v>5</v>
      </c>
      <c r="I101" s="94">
        <f>'[18]Rev_SP-12me'!AC111</f>
        <v>2000</v>
      </c>
      <c r="J101" s="7"/>
      <c r="K101" s="94">
        <f>'[18]Rev_SP-12me'!BN111</f>
        <v>0</v>
      </c>
      <c r="L101" s="94">
        <f>'[18]Rev_SP-12me'!BO111</f>
        <v>0.0604060559996917</v>
      </c>
      <c r="M101" s="94">
        <f>'[18]Rev_SP-12me'!BQ111</f>
        <v>0</v>
      </c>
      <c r="N101" s="7"/>
      <c r="O101" s="79">
        <f t="shared" si="2"/>
        <v>0.0604060559996917</v>
      </c>
    </row>
    <row r="102" spans="2:15">
      <c r="B102" s="74" t="s">
        <v>1120</v>
      </c>
      <c r="C102" s="55"/>
      <c r="D102" s="94">
        <f>'[18]Rev_SP-12me'!AJ112</f>
        <v>0</v>
      </c>
      <c r="E102" s="94">
        <f>'[18]Rev_SP-12me'!AL112</f>
        <v>0</v>
      </c>
      <c r="F102" s="94">
        <f>'[18]Rev_SP-12me'!AQ112</f>
        <v>0.0806635734427484</v>
      </c>
      <c r="G102" s="94">
        <f>'[18]Rev_SP-12me'!S112</f>
        <v>0</v>
      </c>
      <c r="H102" s="91">
        <f>'[18]Rev_SP-12me'!T112</f>
        <v>6</v>
      </c>
      <c r="I102" s="94">
        <f>'[18]Rev_SP-12me'!AC112</f>
        <v>2000</v>
      </c>
      <c r="J102" s="7"/>
      <c r="K102" s="94">
        <f>'[18]Rev_SP-12me'!BN112</f>
        <v>0</v>
      </c>
      <c r="L102" s="94">
        <f>'[18]Rev_SP-12me'!BO112</f>
        <v>0.048398144065649</v>
      </c>
      <c r="M102" s="94">
        <f>'[18]Rev_SP-12me'!BQ112</f>
        <v>0</v>
      </c>
      <c r="N102" s="7"/>
      <c r="O102" s="79">
        <f t="shared" si="2"/>
        <v>0.048398144065649</v>
      </c>
    </row>
    <row r="103" spans="2:15">
      <c r="B103" s="74" t="s">
        <v>1121</v>
      </c>
      <c r="C103" s="55"/>
      <c r="D103" s="94">
        <f>'[18]Rev_SP-12me'!AJ113</f>
        <v>0</v>
      </c>
      <c r="E103" s="94">
        <f>'[18]Rev_SP-12me'!AL113</f>
        <v>0</v>
      </c>
      <c r="F103" s="94">
        <f>'[18]Rev_SP-12me'!AQ113</f>
        <v>0.0845551703962835</v>
      </c>
      <c r="G103" s="94">
        <f>'[18]Rev_SP-12me'!S113</f>
        <v>0</v>
      </c>
      <c r="H103" s="91">
        <f>'[18]Rev_SP-12me'!T113</f>
        <v>6</v>
      </c>
      <c r="I103" s="94">
        <f>'[18]Rev_SP-12me'!AC113</f>
        <v>2000</v>
      </c>
      <c r="J103" s="7"/>
      <c r="K103" s="94">
        <f>'[18]Rev_SP-12me'!BN113</f>
        <v>0</v>
      </c>
      <c r="L103" s="94">
        <f>'[18]Rev_SP-12me'!BO113</f>
        <v>0.0507331022377701</v>
      </c>
      <c r="M103" s="94">
        <f>'[18]Rev_SP-12me'!BQ113</f>
        <v>0</v>
      </c>
      <c r="N103" s="7"/>
      <c r="O103" s="79">
        <f t="shared" si="2"/>
        <v>0.0507331022377701</v>
      </c>
    </row>
    <row r="104" spans="2:15">
      <c r="B104" s="74" t="s">
        <v>1122</v>
      </c>
      <c r="C104" s="55"/>
      <c r="D104" s="94">
        <f>'[18]Rev_SP-12me'!AJ114</f>
        <v>0</v>
      </c>
      <c r="E104" s="94">
        <f>'[18]Rev_SP-12me'!AL114</f>
        <v>0</v>
      </c>
      <c r="F104" s="94">
        <f>'[18]Rev_SP-12me'!AQ114</f>
        <v>0.175254007405673</v>
      </c>
      <c r="G104" s="94">
        <f>'[18]Rev_SP-12me'!S114</f>
        <v>0</v>
      </c>
      <c r="H104" s="91">
        <f>'[18]Rev_SP-12me'!T114</f>
        <v>3.5</v>
      </c>
      <c r="I104" s="94">
        <f>'[18]Rev_SP-12me'!AC114</f>
        <v>2000</v>
      </c>
      <c r="J104" s="7"/>
      <c r="K104" s="94">
        <f>'[18]Rev_SP-12me'!BN114</f>
        <v>0</v>
      </c>
      <c r="L104" s="94">
        <f>'[18]Rev_SP-12me'!BO114</f>
        <v>0.0613389025919854</v>
      </c>
      <c r="M104" s="94">
        <f>'[18]Rev_SP-12me'!BQ114</f>
        <v>0</v>
      </c>
      <c r="N104" s="7"/>
      <c r="O104" s="79">
        <f t="shared" si="2"/>
        <v>0.0613389025919854</v>
      </c>
    </row>
    <row r="105" ht="15" spans="2:15">
      <c r="B105" s="71" t="s">
        <v>1126</v>
      </c>
      <c r="C105" s="55"/>
      <c r="D105" s="68">
        <f>'[18]Rev_SP-12me'!AJ115</f>
        <v>14</v>
      </c>
      <c r="E105" s="68">
        <f>'[18]Rev_SP-12me'!AL115</f>
        <v>3.09676222963622</v>
      </c>
      <c r="F105" s="68">
        <f>'[18]Rev_SP-12me'!AQ115</f>
        <v>5.98000855702511</v>
      </c>
      <c r="G105" s="68">
        <f>'[18]Rev_SP-12me'!S115</f>
        <v>0</v>
      </c>
      <c r="H105" s="69">
        <f>'[18]Rev_SP-12me'!T115</f>
        <v>0</v>
      </c>
      <c r="I105" s="68">
        <f>'[18]Rev_SP-12me'!AC115</f>
        <v>0</v>
      </c>
      <c r="J105" s="7"/>
      <c r="K105" s="68">
        <f>'[18]Rev_SP-12me'!BN115</f>
        <v>1.48644587022538</v>
      </c>
      <c r="L105" s="68">
        <f>'[18]Rev_SP-12me'!BO115</f>
        <v>4.94917495269459</v>
      </c>
      <c r="M105" s="68">
        <f>'[18]Rev_SP-12me'!BQ115</f>
        <v>0.0336</v>
      </c>
      <c r="N105" s="7"/>
      <c r="O105" s="68">
        <f t="shared" si="2"/>
        <v>6.46922082291997</v>
      </c>
    </row>
    <row r="106" spans="2:15">
      <c r="B106" s="74" t="s">
        <v>1119</v>
      </c>
      <c r="C106" s="55"/>
      <c r="D106" s="94">
        <f>'[18]Rev_SP-12me'!AJ116</f>
        <v>14</v>
      </c>
      <c r="E106" s="94">
        <f>'[18]Rev_SP-12me'!AL116</f>
        <v>3.09676222963622</v>
      </c>
      <c r="F106" s="94">
        <f>'[18]Rev_SP-12me'!AQ116</f>
        <v>1.58563939801617</v>
      </c>
      <c r="G106" s="94">
        <f>'[18]Rev_SP-12me'!S116</f>
        <v>500</v>
      </c>
      <c r="H106" s="91">
        <f>'[18]Rev_SP-12me'!T116</f>
        <v>8.5</v>
      </c>
      <c r="I106" s="94">
        <f>'[18]Rev_SP-12me'!AC116</f>
        <v>2000</v>
      </c>
      <c r="J106" s="7"/>
      <c r="K106" s="94">
        <f>'[18]Rev_SP-12me'!BN116</f>
        <v>1.48644587022538</v>
      </c>
      <c r="L106" s="94">
        <f>'[18]Rev_SP-12me'!BO116</f>
        <v>1.34779348831374</v>
      </c>
      <c r="M106" s="94">
        <f>'[18]Rev_SP-12me'!BQ116</f>
        <v>0.0336</v>
      </c>
      <c r="N106" s="7"/>
      <c r="O106" s="79">
        <f t="shared" ref="O106:O124" si="3">SUM(K106:N106)</f>
        <v>2.86783935853912</v>
      </c>
    </row>
    <row r="107" spans="2:15">
      <c r="B107" s="74" t="s">
        <v>1120</v>
      </c>
      <c r="C107" s="55"/>
      <c r="D107" s="94">
        <f>'[18]Rev_SP-12me'!AJ117</f>
        <v>0</v>
      </c>
      <c r="E107" s="94">
        <f>'[18]Rev_SP-12me'!AL117</f>
        <v>0</v>
      </c>
      <c r="F107" s="94">
        <f>'[18]Rev_SP-12me'!AQ117</f>
        <v>1.05840909157171</v>
      </c>
      <c r="G107" s="94">
        <f>'[18]Rev_SP-12me'!S117</f>
        <v>0</v>
      </c>
      <c r="H107" s="91">
        <f>'[18]Rev_SP-12me'!T117</f>
        <v>9.5</v>
      </c>
      <c r="I107" s="94">
        <f>'[18]Rev_SP-12me'!AC117</f>
        <v>2000</v>
      </c>
      <c r="J107" s="7"/>
      <c r="K107" s="94">
        <f>'[18]Rev_SP-12me'!BN117</f>
        <v>0</v>
      </c>
      <c r="L107" s="94">
        <f>'[18]Rev_SP-12me'!BO117</f>
        <v>1.00548863699313</v>
      </c>
      <c r="M107" s="94">
        <f>'[18]Rev_SP-12me'!BQ117</f>
        <v>0</v>
      </c>
      <c r="N107" s="7"/>
      <c r="O107" s="79">
        <f t="shared" si="3"/>
        <v>1.00548863699313</v>
      </c>
    </row>
    <row r="108" spans="2:15">
      <c r="B108" s="74" t="s">
        <v>1121</v>
      </c>
      <c r="C108" s="55"/>
      <c r="D108" s="94">
        <f>'[18]Rev_SP-12me'!AJ118</f>
        <v>0</v>
      </c>
      <c r="E108" s="94">
        <f>'[18]Rev_SP-12me'!AL118</f>
        <v>0</v>
      </c>
      <c r="F108" s="94">
        <f>'[18]Rev_SP-12me'!AQ118</f>
        <v>1.04288312072663</v>
      </c>
      <c r="G108" s="94">
        <f>'[18]Rev_SP-12me'!S118</f>
        <v>0</v>
      </c>
      <c r="H108" s="91">
        <f>'[18]Rev_SP-12me'!T118</f>
        <v>9.5</v>
      </c>
      <c r="I108" s="94">
        <f>'[18]Rev_SP-12me'!AC118</f>
        <v>2000</v>
      </c>
      <c r="J108" s="7"/>
      <c r="K108" s="94">
        <f>'[18]Rev_SP-12me'!BN118</f>
        <v>0</v>
      </c>
      <c r="L108" s="94">
        <f>'[18]Rev_SP-12me'!BO118</f>
        <v>0.9907389646903</v>
      </c>
      <c r="M108" s="94">
        <f>'[18]Rev_SP-12me'!BQ118</f>
        <v>0</v>
      </c>
      <c r="N108" s="7"/>
      <c r="O108" s="79">
        <f t="shared" si="3"/>
        <v>0.9907389646903</v>
      </c>
    </row>
    <row r="109" spans="2:15">
      <c r="B109" s="74" t="s">
        <v>1122</v>
      </c>
      <c r="C109" s="55"/>
      <c r="D109" s="94">
        <f>'[18]Rev_SP-12me'!AJ119</f>
        <v>0</v>
      </c>
      <c r="E109" s="94">
        <f>'[18]Rev_SP-12me'!AL119</f>
        <v>0</v>
      </c>
      <c r="F109" s="94">
        <f>'[18]Rev_SP-12me'!AQ119</f>
        <v>2.29307694671059</v>
      </c>
      <c r="G109" s="94">
        <f>'[18]Rev_SP-12me'!S119</f>
        <v>0</v>
      </c>
      <c r="H109" s="91">
        <f>'[18]Rev_SP-12me'!T119</f>
        <v>7</v>
      </c>
      <c r="I109" s="94">
        <f>'[18]Rev_SP-12me'!AC119</f>
        <v>2000</v>
      </c>
      <c r="J109" s="7"/>
      <c r="K109" s="94">
        <f>'[18]Rev_SP-12me'!BN119</f>
        <v>0</v>
      </c>
      <c r="L109" s="94">
        <f>'[18]Rev_SP-12me'!BO119</f>
        <v>1.60515386269741</v>
      </c>
      <c r="M109" s="94">
        <f>'[18]Rev_SP-12me'!BQ119</f>
        <v>0</v>
      </c>
      <c r="N109" s="7"/>
      <c r="O109" s="79">
        <f t="shared" si="3"/>
        <v>1.60515386269741</v>
      </c>
    </row>
    <row r="110" ht="15" spans="2:15">
      <c r="B110" s="71" t="s">
        <v>1127</v>
      </c>
      <c r="C110" s="55"/>
      <c r="D110" s="68">
        <f>'[18]Rev_SP-12me'!AJ120</f>
        <v>139</v>
      </c>
      <c r="E110" s="68">
        <f>'[18]Rev_SP-12me'!AL120</f>
        <v>28.2849246927044</v>
      </c>
      <c r="F110" s="68">
        <f>'[18]Rev_SP-12me'!AQ120</f>
        <v>24.98962991965</v>
      </c>
      <c r="G110" s="68">
        <f>'[18]Rev_SP-12me'!S120</f>
        <v>0</v>
      </c>
      <c r="H110" s="69">
        <f>'[18]Rev_SP-12me'!T120</f>
        <v>0</v>
      </c>
      <c r="I110" s="68">
        <f>'[18]Rev_SP-12me'!AC120</f>
        <v>0</v>
      </c>
      <c r="J110" s="7"/>
      <c r="K110" s="68">
        <f>'[18]Rev_SP-12me'!BN120</f>
        <v>4.87914950949152</v>
      </c>
      <c r="L110" s="68">
        <f>'[18]Rev_SP-12me'!BO120</f>
        <v>15.7434668493795</v>
      </c>
      <c r="M110" s="68">
        <f>'[18]Rev_SP-12me'!BQ120</f>
        <v>0.3252</v>
      </c>
      <c r="N110" s="7"/>
      <c r="O110" s="68">
        <f t="shared" si="3"/>
        <v>20.947816358871</v>
      </c>
    </row>
    <row r="111" spans="2:15">
      <c r="B111" s="74" t="s">
        <v>1128</v>
      </c>
      <c r="C111" s="55"/>
      <c r="D111" s="94">
        <f>'[18]Rev_SP-12me'!AJ121</f>
        <v>139</v>
      </c>
      <c r="E111" s="94">
        <f>'[18]Rev_SP-12me'!AL121</f>
        <v>28.2849246927044</v>
      </c>
      <c r="F111" s="94">
        <f>'[18]Rev_SP-12me'!AQ121</f>
        <v>24.98962991965</v>
      </c>
      <c r="G111" s="94">
        <f>'[18]Rev_SP-12me'!S121</f>
        <v>300</v>
      </c>
      <c r="H111" s="91">
        <f>'[18]Rev_SP-12me'!T121</f>
        <v>6.3</v>
      </c>
      <c r="I111" s="94">
        <f>'[18]Rev_SP-12me'!AC121</f>
        <v>2000</v>
      </c>
      <c r="J111" s="7"/>
      <c r="K111" s="94">
        <f>'[18]Rev_SP-12me'!BN121</f>
        <v>4.87914950949152</v>
      </c>
      <c r="L111" s="94">
        <f>'[18]Rev_SP-12me'!BO121</f>
        <v>15.7434668493795</v>
      </c>
      <c r="M111" s="94">
        <f>'[18]Rev_SP-12me'!BQ121</f>
        <v>0.3252</v>
      </c>
      <c r="N111" s="7"/>
      <c r="O111" s="79">
        <f t="shared" si="3"/>
        <v>20.947816358871</v>
      </c>
    </row>
    <row r="112" ht="15" spans="2:15">
      <c r="B112" s="71" t="s">
        <v>1129</v>
      </c>
      <c r="C112" s="55"/>
      <c r="D112" s="68">
        <f>'[18]Rev_SP-12me'!AJ132</f>
        <v>123</v>
      </c>
      <c r="E112" s="68">
        <f>'[18]Rev_SP-12me'!AL132</f>
        <v>36.09984962745</v>
      </c>
      <c r="F112" s="68">
        <f>'[18]Rev_SP-12me'!AQ132</f>
        <v>138.018972117969</v>
      </c>
      <c r="G112" s="68">
        <f>'[18]Rev_SP-12me'!S132</f>
        <v>0</v>
      </c>
      <c r="H112" s="69">
        <f>'[18]Rev_SP-12me'!T132</f>
        <v>0</v>
      </c>
      <c r="I112" s="68">
        <f>'[18]Rev_SP-12me'!AC132</f>
        <v>0</v>
      </c>
      <c r="J112" s="7"/>
      <c r="K112" s="68">
        <f>'[18]Rev_SP-12me'!BN132</f>
        <v>0</v>
      </c>
      <c r="L112" s="68">
        <f>'[18]Rev_SP-12me'!BO132</f>
        <v>84.1915729919611</v>
      </c>
      <c r="M112" s="68">
        <f>'[18]Rev_SP-12me'!BQ132</f>
        <v>0.2904</v>
      </c>
      <c r="N112" s="7"/>
      <c r="O112" s="68">
        <f t="shared" si="3"/>
        <v>84.4819729919611</v>
      </c>
    </row>
    <row r="113" spans="2:15">
      <c r="B113" s="74" t="s">
        <v>220</v>
      </c>
      <c r="C113" s="55"/>
      <c r="D113" s="94">
        <f>'[18]Rev_SP-12me'!AJ133</f>
        <v>123</v>
      </c>
      <c r="E113" s="94">
        <f>'[18]Rev_SP-12me'!AL133</f>
        <v>36.09984962745</v>
      </c>
      <c r="F113" s="94">
        <f>'[18]Rev_SP-12me'!AQ133</f>
        <v>138.018972117969</v>
      </c>
      <c r="G113" s="94">
        <f>'[18]Rev_SP-12me'!S133</f>
        <v>0</v>
      </c>
      <c r="H113" s="91">
        <f>'[18]Rev_SP-12me'!T133</f>
        <v>6.1</v>
      </c>
      <c r="I113" s="94">
        <f>'[18]Rev_SP-12me'!AC133</f>
        <v>2000</v>
      </c>
      <c r="J113" s="7"/>
      <c r="K113" s="94">
        <f>'[18]Rev_SP-12me'!BN133</f>
        <v>0</v>
      </c>
      <c r="L113" s="94">
        <f>'[18]Rev_SP-12me'!BO133</f>
        <v>84.1915729919611</v>
      </c>
      <c r="M113" s="94">
        <f>'[18]Rev_SP-12me'!BQ133</f>
        <v>0.2904</v>
      </c>
      <c r="N113" s="7"/>
      <c r="O113" s="79">
        <f t="shared" si="3"/>
        <v>84.4819729919611</v>
      </c>
    </row>
    <row r="114" spans="2:15">
      <c r="B114" s="74" t="s">
        <v>1130</v>
      </c>
      <c r="C114" s="55"/>
      <c r="D114" s="94">
        <f>'[18]Rev_SP-12me'!AJ134</f>
        <v>0</v>
      </c>
      <c r="E114" s="94">
        <f>'[18]Rev_SP-12me'!AL134</f>
        <v>0</v>
      </c>
      <c r="F114" s="94">
        <f>'[18]Rev_SP-12me'!AQ134</f>
        <v>0</v>
      </c>
      <c r="G114" s="94">
        <f>'[18]Rev_SP-12me'!S134</f>
        <v>0</v>
      </c>
      <c r="H114" s="91">
        <f>'[18]Rev_SP-12me'!T134</f>
        <v>0</v>
      </c>
      <c r="I114" s="94">
        <f>'[18]Rev_SP-12me'!AC134</f>
        <v>2000</v>
      </c>
      <c r="J114" s="7"/>
      <c r="K114" s="94">
        <f>'[18]Rev_SP-12me'!BN134</f>
        <v>0</v>
      </c>
      <c r="L114" s="94">
        <f>'[18]Rev_SP-12me'!BO134</f>
        <v>0</v>
      </c>
      <c r="M114" s="94">
        <f>'[18]Rev_SP-12me'!BQ134</f>
        <v>0</v>
      </c>
      <c r="N114" s="7"/>
      <c r="O114" s="79">
        <f t="shared" si="3"/>
        <v>0</v>
      </c>
    </row>
    <row r="115" ht="15" spans="2:15">
      <c r="B115" s="71" t="s">
        <v>1131</v>
      </c>
      <c r="C115" s="55"/>
      <c r="D115" s="68">
        <f>'[18]Rev_SP-12me'!AJ122</f>
        <v>0</v>
      </c>
      <c r="E115" s="68">
        <f>'[18]Rev_SP-12me'!AL122</f>
        <v>0</v>
      </c>
      <c r="F115" s="68">
        <f>'[18]Rev_SP-12me'!AQ122</f>
        <v>0</v>
      </c>
      <c r="G115" s="68">
        <f>'[18]Rev_SP-12me'!S122</f>
        <v>500</v>
      </c>
      <c r="H115" s="69">
        <f>'[18]Rev_SP-12me'!T122</f>
        <v>5.05</v>
      </c>
      <c r="I115" s="68">
        <f>'[18]Rev_SP-12me'!AC122</f>
        <v>0</v>
      </c>
      <c r="J115" s="7"/>
      <c r="K115" s="68">
        <f>'[18]Rev_SP-12me'!BN122</f>
        <v>0</v>
      </c>
      <c r="L115" s="68">
        <f>'[18]Rev_SP-12me'!BO122</f>
        <v>0</v>
      </c>
      <c r="M115" s="68">
        <f>'[18]Rev_SP-12me'!BQ122</f>
        <v>0</v>
      </c>
      <c r="N115" s="7"/>
      <c r="O115" s="68">
        <f t="shared" si="3"/>
        <v>0</v>
      </c>
    </row>
    <row r="116" ht="15" spans="2:15">
      <c r="B116" s="71" t="s">
        <v>1132</v>
      </c>
      <c r="C116" s="55"/>
      <c r="D116" s="68">
        <f>'[18]Rev_SP-12me'!AJ123</f>
        <v>0</v>
      </c>
      <c r="E116" s="68">
        <f>'[18]Rev_SP-12me'!AL123</f>
        <v>0</v>
      </c>
      <c r="F116" s="68">
        <f>'[18]Rev_SP-12me'!AQ123</f>
        <v>0</v>
      </c>
      <c r="G116" s="68">
        <f>'[18]Rev_SP-12me'!S123</f>
        <v>500</v>
      </c>
      <c r="H116" s="69">
        <f>'[18]Rev_SP-12me'!T123</f>
        <v>4.95</v>
      </c>
      <c r="I116" s="68">
        <f>'[18]Rev_SP-12me'!AC123</f>
        <v>0</v>
      </c>
      <c r="J116" s="7"/>
      <c r="K116" s="68">
        <f>'[18]Rev_SP-12me'!BN123</f>
        <v>0</v>
      </c>
      <c r="L116" s="68">
        <f>'[18]Rev_SP-12me'!BO123</f>
        <v>0</v>
      </c>
      <c r="M116" s="68">
        <f>'[18]Rev_SP-12me'!BQ123</f>
        <v>0</v>
      </c>
      <c r="N116" s="7"/>
      <c r="O116" s="68">
        <f t="shared" si="3"/>
        <v>0</v>
      </c>
    </row>
    <row r="117" ht="15" spans="2:15">
      <c r="B117" s="71" t="s">
        <v>919</v>
      </c>
      <c r="C117" s="55"/>
      <c r="D117" s="68">
        <f>'[18]Rev_SP-12me'!AJ124</f>
        <v>237</v>
      </c>
      <c r="E117" s="68">
        <f>'[18]Rev_SP-12me'!AL124</f>
        <v>90.8951923481818</v>
      </c>
      <c r="F117" s="68">
        <f>'[18]Rev_SP-12me'!AQ124</f>
        <v>329.15660398209</v>
      </c>
      <c r="G117" s="68">
        <f>'[18]Rev_SP-12me'!S124</f>
        <v>285</v>
      </c>
      <c r="H117" s="69">
        <f>'[18]Rev_SP-12me'!T124</f>
        <v>7.3</v>
      </c>
      <c r="I117" s="68">
        <f>'[18]Rev_SP-12me'!AC124</f>
        <v>2000</v>
      </c>
      <c r="J117" s="7"/>
      <c r="K117" s="68">
        <f>'[18]Rev_SP-12me'!BN124</f>
        <v>24.8689246264625</v>
      </c>
      <c r="L117" s="68">
        <f>'[18]Rev_SP-12me'!BO124</f>
        <v>240.284320906926</v>
      </c>
      <c r="M117" s="68">
        <f>'[18]Rev_SP-12me'!BQ124</f>
        <v>0.5424</v>
      </c>
      <c r="N117" s="7"/>
      <c r="O117" s="68">
        <f t="shared" si="3"/>
        <v>265.695645533388</v>
      </c>
    </row>
    <row r="118" ht="15" spans="2:15">
      <c r="B118" s="71" t="s">
        <v>1133</v>
      </c>
      <c r="C118" s="55"/>
      <c r="D118" s="68">
        <f>'[18]Rev_SP-12me'!AJ125</f>
        <v>656</v>
      </c>
      <c r="E118" s="68">
        <f>'[18]Rev_SP-12me'!AL125</f>
        <v>161.041086101677</v>
      </c>
      <c r="F118" s="68">
        <f>'[18]Rev_SP-12me'!AQ125</f>
        <v>271.726363747655</v>
      </c>
      <c r="G118" s="68">
        <f>'[18]Rev_SP-12me'!S125</f>
        <v>500</v>
      </c>
      <c r="H118" s="69">
        <f>'[18]Rev_SP-12me'!T125</f>
        <v>11.8</v>
      </c>
      <c r="I118" s="68">
        <f>'[18]Rev_SP-12me'!AC125</f>
        <v>2000</v>
      </c>
      <c r="J118" s="7"/>
      <c r="K118" s="68">
        <f>'[18]Rev_SP-12me'!BN125</f>
        <v>77.2997213288052</v>
      </c>
      <c r="L118" s="68">
        <f>'[18]Rev_SP-12me'!BO125</f>
        <v>320.637109222233</v>
      </c>
      <c r="M118" s="68">
        <f>'[18]Rev_SP-12me'!BQ125</f>
        <v>1.5168</v>
      </c>
      <c r="N118" s="7"/>
      <c r="O118" s="68">
        <f t="shared" si="3"/>
        <v>399.453630551038</v>
      </c>
    </row>
    <row r="119" ht="15" spans="2:15">
      <c r="B119" s="71" t="s">
        <v>1134</v>
      </c>
      <c r="C119" s="55"/>
      <c r="D119" s="68">
        <f>'[18]Rev_SP-12me'!AJ126</f>
        <v>0</v>
      </c>
      <c r="E119" s="68">
        <f>'[18]Rev_SP-12me'!AL126</f>
        <v>0</v>
      </c>
      <c r="F119" s="68">
        <f>'[18]Rev_SP-12me'!AQ126</f>
        <v>0</v>
      </c>
      <c r="G119" s="68">
        <f>'[18]Rev_SP-12me'!S126</f>
        <v>0</v>
      </c>
      <c r="H119" s="69">
        <f>'[18]Rev_SP-12me'!T126</f>
        <v>4.77</v>
      </c>
      <c r="I119" s="68">
        <f>'[18]Rev_SP-12me'!AC126</f>
        <v>2000</v>
      </c>
      <c r="J119" s="7"/>
      <c r="K119" s="68">
        <f>'[18]Rev_SP-12me'!BN126</f>
        <v>0</v>
      </c>
      <c r="L119" s="68">
        <f>'[18]Rev_SP-12me'!BO126</f>
        <v>0</v>
      </c>
      <c r="M119" s="68">
        <f>'[18]Rev_SP-12me'!BQ126</f>
        <v>0</v>
      </c>
      <c r="N119" s="7"/>
      <c r="O119" s="68">
        <f t="shared" si="3"/>
        <v>0</v>
      </c>
    </row>
    <row r="120" ht="15" spans="2:15">
      <c r="B120" s="71" t="s">
        <v>1135</v>
      </c>
      <c r="C120" s="55"/>
      <c r="D120" s="68">
        <f>'[18]Rev_SP-12me'!AJ127</f>
        <v>33</v>
      </c>
      <c r="E120" s="68">
        <f>'[18]Rev_SP-12me'!AL127</f>
        <v>12.2547840778932</v>
      </c>
      <c r="F120" s="68">
        <f>'[18]Rev_SP-12me'!AQ127</f>
        <v>71.3525124061748</v>
      </c>
      <c r="G120" s="68">
        <f>'[18]Rev_SP-12me'!S127</f>
        <v>0</v>
      </c>
      <c r="H120" s="69">
        <f>'[18]Rev_SP-12me'!T127</f>
        <v>0</v>
      </c>
      <c r="I120" s="68">
        <f>'[18]Rev_SP-12me'!AC127</f>
        <v>2000</v>
      </c>
      <c r="J120" s="7"/>
      <c r="K120" s="68">
        <f>'[18]Rev_SP-12me'!BN127</f>
        <v>1.17645927147775</v>
      </c>
      <c r="L120" s="68">
        <f>'[18]Rev_SP-12me'!BO127</f>
        <v>40.8951857048347</v>
      </c>
      <c r="M120" s="68">
        <f>'[18]Rev_SP-12me'!BQ127</f>
        <v>0.072</v>
      </c>
      <c r="N120" s="7"/>
      <c r="O120" s="68">
        <f t="shared" si="3"/>
        <v>42.1436449763125</v>
      </c>
    </row>
    <row r="121" spans="2:15">
      <c r="B121" s="76" t="s">
        <v>1119</v>
      </c>
      <c r="C121" s="55"/>
      <c r="D121" s="94">
        <f>'[18]Rev_SP-12me'!AJ128</f>
        <v>33</v>
      </c>
      <c r="E121" s="94">
        <f>'[18]Rev_SP-12me'!AL128</f>
        <v>12.2547840778932</v>
      </c>
      <c r="F121" s="94">
        <f>'[18]Rev_SP-12me'!AQ128</f>
        <v>31.476681132031</v>
      </c>
      <c r="G121" s="94">
        <f>'[18]Rev_SP-12me'!S128</f>
        <v>100</v>
      </c>
      <c r="H121" s="91">
        <f>'[18]Rev_SP-12me'!T128</f>
        <v>6</v>
      </c>
      <c r="I121" s="94">
        <f>'[18]Rev_SP-12me'!AC128</f>
        <v>2000</v>
      </c>
      <c r="J121" s="7"/>
      <c r="K121" s="94">
        <f>'[18]Rev_SP-12me'!BN128</f>
        <v>1.17645927147775</v>
      </c>
      <c r="L121" s="94">
        <f>'[18]Rev_SP-12me'!BO128</f>
        <v>18.8860086792186</v>
      </c>
      <c r="M121" s="94">
        <f>'[18]Rev_SP-12me'!BQ128</f>
        <v>0.072</v>
      </c>
      <c r="N121" s="7"/>
      <c r="O121" s="79">
        <f t="shared" si="3"/>
        <v>20.1344679506964</v>
      </c>
    </row>
    <row r="122" spans="2:15">
      <c r="B122" s="76" t="s">
        <v>1120</v>
      </c>
      <c r="C122" s="55"/>
      <c r="D122" s="94">
        <f>'[18]Rev_SP-12me'!AJ129</f>
        <v>0</v>
      </c>
      <c r="E122" s="94">
        <f>'[18]Rev_SP-12me'!AL129</f>
        <v>0</v>
      </c>
      <c r="F122" s="94">
        <f>'[18]Rev_SP-12me'!AQ129</f>
        <v>8.144482986054</v>
      </c>
      <c r="G122" s="94">
        <f>'[18]Rev_SP-12me'!S129</f>
        <v>0</v>
      </c>
      <c r="H122" s="91">
        <f>'[18]Rev_SP-12me'!T129</f>
        <v>7</v>
      </c>
      <c r="I122" s="94">
        <f>'[18]Rev_SP-12me'!AC129</f>
        <v>2000</v>
      </c>
      <c r="J122" s="7"/>
      <c r="K122" s="94">
        <f>'[18]Rev_SP-12me'!BN129</f>
        <v>0</v>
      </c>
      <c r="L122" s="94">
        <f>'[18]Rev_SP-12me'!BO129</f>
        <v>5.7011380902378</v>
      </c>
      <c r="M122" s="94">
        <f>'[18]Rev_SP-12me'!BQ129</f>
        <v>0</v>
      </c>
      <c r="N122" s="7"/>
      <c r="O122" s="79">
        <f t="shared" si="3"/>
        <v>5.7011380902378</v>
      </c>
    </row>
    <row r="123" spans="2:15">
      <c r="B123" s="76" t="s">
        <v>1121</v>
      </c>
      <c r="C123" s="55"/>
      <c r="D123" s="94">
        <f>'[18]Rev_SP-12me'!AJ130</f>
        <v>0</v>
      </c>
      <c r="E123" s="94">
        <f>'[18]Rev_SP-12me'!AL130</f>
        <v>0</v>
      </c>
      <c r="F123" s="94">
        <f>'[18]Rev_SP-12me'!AQ130</f>
        <v>8.11572882295136</v>
      </c>
      <c r="G123" s="94">
        <f>'[18]Rev_SP-12me'!S130</f>
        <v>0</v>
      </c>
      <c r="H123" s="91">
        <f>'[18]Rev_SP-12me'!T130</f>
        <v>7</v>
      </c>
      <c r="I123" s="94">
        <f>'[18]Rev_SP-12me'!AC130</f>
        <v>2000</v>
      </c>
      <c r="J123" s="7"/>
      <c r="K123" s="94">
        <f>'[18]Rev_SP-12me'!BN130</f>
        <v>0</v>
      </c>
      <c r="L123" s="94">
        <f>'[18]Rev_SP-12me'!BO130</f>
        <v>5.68101017606595</v>
      </c>
      <c r="M123" s="94">
        <f>'[18]Rev_SP-12me'!BQ130</f>
        <v>0</v>
      </c>
      <c r="N123" s="7"/>
      <c r="O123" s="79">
        <f t="shared" si="3"/>
        <v>5.68101017606595</v>
      </c>
    </row>
    <row r="124" spans="2:15">
      <c r="B124" s="76" t="s">
        <v>1122</v>
      </c>
      <c r="C124" s="55"/>
      <c r="D124" s="94">
        <f>'[18]Rev_SP-12me'!AJ131</f>
        <v>0</v>
      </c>
      <c r="E124" s="94">
        <f>'[18]Rev_SP-12me'!AL131</f>
        <v>0</v>
      </c>
      <c r="F124" s="94">
        <f>'[18]Rev_SP-12me'!AQ131</f>
        <v>23.6156194651384</v>
      </c>
      <c r="G124" s="94">
        <f>'[18]Rev_SP-12me'!S131</f>
        <v>0</v>
      </c>
      <c r="H124" s="91">
        <f>'[18]Rev_SP-12me'!T131</f>
        <v>4.5</v>
      </c>
      <c r="I124" s="94">
        <f>'[18]Rev_SP-12me'!AC131</f>
        <v>2000</v>
      </c>
      <c r="J124" s="7"/>
      <c r="K124" s="94">
        <f>'[18]Rev_SP-12me'!BN131</f>
        <v>0</v>
      </c>
      <c r="L124" s="94">
        <f>'[18]Rev_SP-12me'!BO131</f>
        <v>10.6270287593123</v>
      </c>
      <c r="M124" s="94">
        <f>'[18]Rev_SP-12me'!BQ131</f>
        <v>0</v>
      </c>
      <c r="N124" s="7"/>
      <c r="O124" s="79">
        <f t="shared" si="3"/>
        <v>10.6270287593123</v>
      </c>
    </row>
    <row r="125" ht="15" spans="2:15">
      <c r="B125" s="77" t="s">
        <v>1136</v>
      </c>
      <c r="C125" s="55"/>
      <c r="D125" s="78">
        <f>SUM(D74,D89,D94,D95,D100,D105,D110,D112,D115,D116,D117,D118,D119,D120)</f>
        <v>12784</v>
      </c>
      <c r="E125" s="78">
        <f>SUM(E74,E89,E94,E95,E100,E105,E110,E112,E115,E116,E117,E118,E119,E120)</f>
        <v>2977.71952060173</v>
      </c>
      <c r="F125" s="78">
        <f>SUM(F74,F89,F94,F95,F100,F105,F110,F112,F115,F116,F117,F118,F119,F120)</f>
        <v>8039.86897577117</v>
      </c>
      <c r="G125" s="180"/>
      <c r="H125" s="180"/>
      <c r="I125" s="180"/>
      <c r="J125" s="180"/>
      <c r="K125" s="78">
        <f>SUM(K74,K89,K94,K95,K100,K105,K110,K112,K115,K116,K117,K118,K119,K120)</f>
        <v>1379.81322293807</v>
      </c>
      <c r="L125" s="78">
        <f>SUM(L74,L89,L94,L95,L100,L105,L110,L112,L115,L116,L117,L118,L119,L120)</f>
        <v>6457.11374055741</v>
      </c>
      <c r="M125" s="78">
        <f>SUM(M74,M89,M94,M95,M100,M105,M110,M112,M115,M116,M117,M118,M119,M120)</f>
        <v>29.5464</v>
      </c>
      <c r="N125" s="78">
        <f>SUM(N74,N89,N94,N95,N100,N105,N110,N112,N115,N116,N117,N118,N119,N120)</f>
        <v>0</v>
      </c>
      <c r="O125" s="80">
        <f>SUM(O74,O89,O94,O95,O100,O105,O110,O112,O115,O116,O117,O118,O119,O120)</f>
        <v>7866.47336349548</v>
      </c>
    </row>
    <row r="126" spans="2:15">
      <c r="B126" s="55"/>
      <c r="C126" s="5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</row>
    <row r="127" spans="2:15">
      <c r="B127" s="71" t="s">
        <v>212</v>
      </c>
      <c r="C127" s="55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</row>
    <row r="128" ht="15" spans="2:15">
      <c r="B128" s="71" t="s">
        <v>1137</v>
      </c>
      <c r="C128" s="55"/>
      <c r="D128" s="68">
        <f>'[18]Rev_SP-12me'!AJ149</f>
        <v>483</v>
      </c>
      <c r="E128" s="68">
        <f>'[18]Rev_SP-12me'!AL149</f>
        <v>1291.2983748</v>
      </c>
      <c r="F128" s="68">
        <f>F129+F137</f>
        <v>7622.9899264973</v>
      </c>
      <c r="G128" s="68">
        <f>'[18]Rev_SP-12me'!S149</f>
        <v>0</v>
      </c>
      <c r="H128" s="69">
        <f>'[18]Rev_SP-12me'!T149</f>
        <v>0</v>
      </c>
      <c r="I128" s="68">
        <f>'[18]Rev_SP-12me'!AC149</f>
        <v>0</v>
      </c>
      <c r="J128" s="7"/>
      <c r="K128" s="68">
        <f>'[18]Rev_SP-12me'!BN149</f>
        <v>619.823219904</v>
      </c>
      <c r="L128" s="68">
        <f>'[18]Rev_SP-12me'!BO149</f>
        <v>5343.78446359209</v>
      </c>
      <c r="M128" s="68">
        <f>'[18]Rev_SP-12me'!BQ149</f>
        <v>1.9278</v>
      </c>
      <c r="N128" s="7"/>
      <c r="O128" s="68">
        <f t="shared" ref="O128:O172" si="4">SUM(K128:N128)</f>
        <v>5965.53548349609</v>
      </c>
    </row>
    <row r="129" spans="2:15">
      <c r="B129" s="81" t="s">
        <v>1138</v>
      </c>
      <c r="C129" s="55"/>
      <c r="D129" s="79">
        <f>'[18]Rev_SP-12me'!AJ150</f>
        <v>483</v>
      </c>
      <c r="E129" s="79">
        <f>'[18]Rev_SP-12me'!AL150</f>
        <v>1291.2983748</v>
      </c>
      <c r="F129" s="79">
        <f>'[18]Rev_SP-12me'!AQ150</f>
        <v>7592.24610801615</v>
      </c>
      <c r="G129" s="79">
        <f>'[18]Rev_SP-12me'!S150</f>
        <v>0</v>
      </c>
      <c r="H129" s="60">
        <f>'[18]Rev_SP-12me'!T150</f>
        <v>0</v>
      </c>
      <c r="I129" s="79">
        <f>'[18]Rev_SP-12me'!AC150</f>
        <v>0</v>
      </c>
      <c r="J129" s="7"/>
      <c r="K129" s="79">
        <f>'[18]Rev_SP-12me'!BN150</f>
        <v>619.823219904</v>
      </c>
      <c r="L129" s="79">
        <f>'[18]Rev_SP-12me'!BO150</f>
        <v>5322.3935113409</v>
      </c>
      <c r="M129" s="79">
        <f>'[18]Rev_SP-12me'!BQ150</f>
        <v>1.9278</v>
      </c>
      <c r="N129" s="7"/>
      <c r="O129" s="79">
        <f t="shared" si="4"/>
        <v>5944.1445312449</v>
      </c>
    </row>
    <row r="130" spans="2:15">
      <c r="B130" s="74" t="s">
        <v>1105</v>
      </c>
      <c r="C130" s="55"/>
      <c r="D130" s="94">
        <f>'[18]Rev_SP-12me'!AJ151</f>
        <v>483</v>
      </c>
      <c r="E130" s="94">
        <f>'[18]Rev_SP-12me'!AL151</f>
        <v>1291.2983748</v>
      </c>
      <c r="F130" s="94">
        <f>'[18]Rev_SP-12me'!AQ151</f>
        <v>2294.22292541284</v>
      </c>
      <c r="G130" s="79">
        <f>'[18]Rev_SP-12me'!S151</f>
        <v>500</v>
      </c>
      <c r="H130" s="60">
        <f>'[18]Rev_SP-12me'!T151</f>
        <v>7.15</v>
      </c>
      <c r="I130" s="79">
        <f>'[18]Rev_SP-12me'!AC151</f>
        <v>3500</v>
      </c>
      <c r="J130" s="7"/>
      <c r="K130" s="94">
        <f>'[18]Rev_SP-12me'!BN151</f>
        <v>619.823219904</v>
      </c>
      <c r="L130" s="94">
        <f>'[18]Rev_SP-12me'!BO151</f>
        <v>1640.36939167018</v>
      </c>
      <c r="M130" s="94">
        <f>'[18]Rev_SP-12me'!BQ151</f>
        <v>1.9278</v>
      </c>
      <c r="N130" s="7"/>
      <c r="O130" s="79">
        <f t="shared" si="4"/>
        <v>2262.12041157418</v>
      </c>
    </row>
    <row r="131" spans="2:15">
      <c r="B131" s="74" t="s">
        <v>1139</v>
      </c>
      <c r="C131" s="55"/>
      <c r="D131" s="94">
        <f>'[18]Rev_SP-12me'!AJ152</f>
        <v>0</v>
      </c>
      <c r="E131" s="94">
        <f>'[18]Rev_SP-12me'!AL152</f>
        <v>0</v>
      </c>
      <c r="F131" s="94">
        <f>'[18]Rev_SP-12me'!AQ152</f>
        <v>323.142214274049</v>
      </c>
      <c r="G131" s="79">
        <f>'[18]Rev_SP-12me'!S152</f>
        <v>0</v>
      </c>
      <c r="H131" s="60">
        <f>'[18]Rev_SP-12me'!T152</f>
        <v>7.15</v>
      </c>
      <c r="I131" s="79">
        <f>'[18]Rev_SP-12me'!AC152</f>
        <v>3500</v>
      </c>
      <c r="J131" s="7"/>
      <c r="K131" s="94">
        <f>'[18]Rev_SP-12me'!BN152</f>
        <v>0</v>
      </c>
      <c r="L131" s="94">
        <f>'[18]Rev_SP-12me'!BO152</f>
        <v>231.046683205945</v>
      </c>
      <c r="M131" s="94">
        <f>'[18]Rev_SP-12me'!BQ152</f>
        <v>0</v>
      </c>
      <c r="N131" s="7"/>
      <c r="O131" s="79">
        <f t="shared" si="4"/>
        <v>231.046683205945</v>
      </c>
    </row>
    <row r="132" spans="2:15">
      <c r="B132" s="74" t="s">
        <v>1140</v>
      </c>
      <c r="C132" s="55"/>
      <c r="D132" s="94">
        <f>'[18]Rev_SP-12me'!AJ153</f>
        <v>0</v>
      </c>
      <c r="E132" s="94">
        <f>'[18]Rev_SP-12me'!AL153</f>
        <v>0</v>
      </c>
      <c r="F132" s="94">
        <f>'[18]Rev_SP-12me'!AQ153</f>
        <v>182.929164702926</v>
      </c>
      <c r="G132" s="79">
        <f>'[18]Rev_SP-12me'!S153</f>
        <v>0</v>
      </c>
      <c r="H132" s="60">
        <f>'[18]Rev_SP-12me'!T153</f>
        <v>7.3</v>
      </c>
      <c r="I132" s="79">
        <f>'[18]Rev_SP-12me'!AC153</f>
        <v>3500</v>
      </c>
      <c r="J132" s="7"/>
      <c r="K132" s="94">
        <f>'[18]Rev_SP-12me'!BN153</f>
        <v>0</v>
      </c>
      <c r="L132" s="94">
        <f>'[18]Rev_SP-12me'!BO153</f>
        <v>133.538290233136</v>
      </c>
      <c r="M132" s="94">
        <f>'[18]Rev_SP-12me'!BQ153</f>
        <v>0</v>
      </c>
      <c r="N132" s="7"/>
      <c r="O132" s="79">
        <f t="shared" si="4"/>
        <v>133.538290233136</v>
      </c>
    </row>
    <row r="133" spans="2:15">
      <c r="B133" s="74" t="s">
        <v>1141</v>
      </c>
      <c r="C133" s="55"/>
      <c r="D133" s="94">
        <f>'[18]Rev_SP-12me'!AJ154</f>
        <v>0</v>
      </c>
      <c r="E133" s="94">
        <f>'[18]Rev_SP-12me'!AL154</f>
        <v>0</v>
      </c>
      <c r="F133" s="94">
        <f>'[18]Rev_SP-12me'!AQ154</f>
        <v>1.69096767584997</v>
      </c>
      <c r="G133" s="79">
        <f>'[18]Rev_SP-12me'!S154</f>
        <v>500</v>
      </c>
      <c r="H133" s="60">
        <f>'[18]Rev_SP-12me'!T154</f>
        <v>7.9</v>
      </c>
      <c r="I133" s="79">
        <f>'[18]Rev_SP-12me'!AC154</f>
        <v>3500</v>
      </c>
      <c r="J133" s="7"/>
      <c r="K133" s="94">
        <f>'[18]Rev_SP-12me'!BN154</f>
        <v>0</v>
      </c>
      <c r="L133" s="94">
        <f>'[18]Rev_SP-12me'!BO154</f>
        <v>1.33586446392148</v>
      </c>
      <c r="M133" s="94">
        <f>'[18]Rev_SP-12me'!BQ154</f>
        <v>0</v>
      </c>
      <c r="N133" s="7"/>
      <c r="O133" s="79">
        <f t="shared" si="4"/>
        <v>1.33586446392148</v>
      </c>
    </row>
    <row r="134" spans="2:15">
      <c r="B134" s="76" t="s">
        <v>1120</v>
      </c>
      <c r="C134" s="55"/>
      <c r="D134" s="94">
        <f>'[18]Rev_SP-12me'!AJ155</f>
        <v>0</v>
      </c>
      <c r="E134" s="94">
        <f>'[18]Rev_SP-12me'!AL155</f>
        <v>0</v>
      </c>
      <c r="F134" s="94">
        <f>'[18]Rev_SP-12me'!AQ155</f>
        <v>1218.64597089311</v>
      </c>
      <c r="G134" s="79">
        <f>'[18]Rev_SP-12me'!S155</f>
        <v>0</v>
      </c>
      <c r="H134" s="60">
        <f>'[18]Rev_SP-12me'!T155</f>
        <v>8.15</v>
      </c>
      <c r="I134" s="79">
        <f>'[18]Rev_SP-12me'!AC155</f>
        <v>3500</v>
      </c>
      <c r="J134" s="7"/>
      <c r="K134" s="94">
        <f>'[18]Rev_SP-12me'!BN155</f>
        <v>0</v>
      </c>
      <c r="L134" s="94">
        <f>'[18]Rev_SP-12me'!BO155</f>
        <v>993.196466277889</v>
      </c>
      <c r="M134" s="94">
        <f>'[18]Rev_SP-12me'!BQ155</f>
        <v>0</v>
      </c>
      <c r="N134" s="7"/>
      <c r="O134" s="79">
        <f t="shared" si="4"/>
        <v>993.196466277889</v>
      </c>
    </row>
    <row r="135" spans="2:15">
      <c r="B135" s="76" t="s">
        <v>1121</v>
      </c>
      <c r="C135" s="55"/>
      <c r="D135" s="94">
        <f>'[18]Rev_SP-12me'!AJ156</f>
        <v>0</v>
      </c>
      <c r="E135" s="94">
        <f>'[18]Rev_SP-12me'!AL156</f>
        <v>0</v>
      </c>
      <c r="F135" s="94">
        <f>'[18]Rev_SP-12me'!AQ156</f>
        <v>1219.77766692967</v>
      </c>
      <c r="G135" s="79">
        <f>'[18]Rev_SP-12me'!S156</f>
        <v>0</v>
      </c>
      <c r="H135" s="60">
        <f>'[18]Rev_SP-12me'!T156</f>
        <v>8.15</v>
      </c>
      <c r="I135" s="79">
        <f>'[18]Rev_SP-12me'!AC156</f>
        <v>3500</v>
      </c>
      <c r="J135" s="7"/>
      <c r="K135" s="94">
        <f>'[18]Rev_SP-12me'!BN156</f>
        <v>0</v>
      </c>
      <c r="L135" s="94">
        <f>'[18]Rev_SP-12me'!BO156</f>
        <v>994.118798547677</v>
      </c>
      <c r="M135" s="94">
        <f>'[18]Rev_SP-12me'!BQ156</f>
        <v>0</v>
      </c>
      <c r="N135" s="7"/>
      <c r="O135" s="79">
        <f t="shared" si="4"/>
        <v>994.118798547677</v>
      </c>
    </row>
    <row r="136" spans="2:15">
      <c r="B136" s="76" t="s">
        <v>1122</v>
      </c>
      <c r="C136" s="55"/>
      <c r="D136" s="94">
        <f>'[18]Rev_SP-12me'!AJ157</f>
        <v>0</v>
      </c>
      <c r="E136" s="94">
        <f>'[18]Rev_SP-12me'!AL157</f>
        <v>0</v>
      </c>
      <c r="F136" s="94">
        <f>'[18]Rev_SP-12me'!AQ157</f>
        <v>2351.83719812771</v>
      </c>
      <c r="G136" s="79">
        <f>'[18]Rev_SP-12me'!S157</f>
        <v>0</v>
      </c>
      <c r="H136" s="60">
        <f>'[18]Rev_SP-12me'!T157</f>
        <v>5.65</v>
      </c>
      <c r="I136" s="79">
        <f>'[18]Rev_SP-12me'!AC157</f>
        <v>3500</v>
      </c>
      <c r="J136" s="7"/>
      <c r="K136" s="94">
        <f>'[18]Rev_SP-12me'!BN157</f>
        <v>0</v>
      </c>
      <c r="L136" s="94">
        <f>'[18]Rev_SP-12me'!BO157</f>
        <v>1328.78801694216</v>
      </c>
      <c r="M136" s="94">
        <f>'[18]Rev_SP-12me'!BQ157</f>
        <v>0</v>
      </c>
      <c r="N136" s="7"/>
      <c r="O136" s="79">
        <f t="shared" si="4"/>
        <v>1328.78801694216</v>
      </c>
    </row>
    <row r="137" ht="15" spans="2:15">
      <c r="B137" s="71" t="s">
        <v>1113</v>
      </c>
      <c r="C137" s="55"/>
      <c r="D137" s="79">
        <f>'[18]Rev_SP-12me'!AJ158</f>
        <v>0</v>
      </c>
      <c r="E137" s="79">
        <f>'[18]Rev_SP-12me'!AL158</f>
        <v>0</v>
      </c>
      <c r="F137" s="79">
        <f>'[18]Rev_SP-12me'!AQ158</f>
        <v>30.7438184811492</v>
      </c>
      <c r="G137" s="79">
        <f>'[18]Rev_SP-12me'!S158</f>
        <v>0</v>
      </c>
      <c r="H137" s="60">
        <f>'[18]Rev_SP-12me'!T158</f>
        <v>0</v>
      </c>
      <c r="I137" s="79">
        <f>'[18]Rev_SP-12me'!AC158</f>
        <v>0</v>
      </c>
      <c r="J137" s="7"/>
      <c r="K137" s="79">
        <f>'[18]Rev_SP-12me'!BN158</f>
        <v>0</v>
      </c>
      <c r="L137" s="79">
        <f>'[18]Rev_SP-12me'!BO158</f>
        <v>21.3909522511848</v>
      </c>
      <c r="M137" s="79">
        <f>'[18]Rev_SP-12me'!BQ158</f>
        <v>0</v>
      </c>
      <c r="N137" s="7"/>
      <c r="O137" s="68">
        <f t="shared" si="4"/>
        <v>21.3909522511848</v>
      </c>
    </row>
    <row r="138" spans="2:15">
      <c r="B138" s="76" t="s">
        <v>1142</v>
      </c>
      <c r="C138" s="55"/>
      <c r="D138" s="94">
        <f>'[18]Rev_SP-12me'!AJ159</f>
        <v>0</v>
      </c>
      <c r="E138" s="94">
        <f>'[18]Rev_SP-12me'!AL159</f>
        <v>0</v>
      </c>
      <c r="F138" s="94">
        <f>'[18]Rev_SP-12me'!AQ159</f>
        <v>9.12292708986761</v>
      </c>
      <c r="G138" s="79">
        <f>'[18]Rev_SP-12me'!S159</f>
        <v>500</v>
      </c>
      <c r="H138" s="60">
        <f>'[18]Rev_SP-12me'!T159</f>
        <v>7.15</v>
      </c>
      <c r="I138" s="79">
        <f>'[18]Rev_SP-12me'!AC159</f>
        <v>3500</v>
      </c>
      <c r="J138" s="7"/>
      <c r="K138" s="94">
        <f>'[18]Rev_SP-12me'!BN159</f>
        <v>0</v>
      </c>
      <c r="L138" s="94">
        <f>'[18]Rev_SP-12me'!BO159</f>
        <v>6.52289286925535</v>
      </c>
      <c r="M138" s="94">
        <f>'[18]Rev_SP-12me'!BQ159</f>
        <v>0</v>
      </c>
      <c r="N138" s="7"/>
      <c r="O138" s="79">
        <f t="shared" si="4"/>
        <v>6.52289286925535</v>
      </c>
    </row>
    <row r="139" spans="2:15">
      <c r="B139" s="76" t="s">
        <v>1115</v>
      </c>
      <c r="C139" s="55"/>
      <c r="D139" s="94">
        <f>'[18]Rev_SP-12me'!AJ160</f>
        <v>0</v>
      </c>
      <c r="E139" s="94">
        <f>'[18]Rev_SP-12me'!AL160</f>
        <v>0</v>
      </c>
      <c r="F139" s="94">
        <f>'[18]Rev_SP-12me'!AQ160</f>
        <v>5.37877655601844</v>
      </c>
      <c r="G139" s="79">
        <f>'[18]Rev_SP-12me'!S160</f>
        <v>0</v>
      </c>
      <c r="H139" s="60">
        <f>'[18]Rev_SP-12me'!T160</f>
        <v>8.15</v>
      </c>
      <c r="I139" s="79">
        <f>'[18]Rev_SP-12me'!AC160</f>
        <v>3500</v>
      </c>
      <c r="J139" s="7"/>
      <c r="K139" s="94">
        <f>'[18]Rev_SP-12me'!BN160</f>
        <v>0</v>
      </c>
      <c r="L139" s="94">
        <f>'[18]Rev_SP-12me'!BO160</f>
        <v>4.38370289315503</v>
      </c>
      <c r="M139" s="94">
        <f>'[18]Rev_SP-12me'!BQ160</f>
        <v>0</v>
      </c>
      <c r="N139" s="7"/>
      <c r="O139" s="79">
        <f t="shared" si="4"/>
        <v>4.38370289315503</v>
      </c>
    </row>
    <row r="140" spans="2:15">
      <c r="B140" s="76" t="s">
        <v>1116</v>
      </c>
      <c r="C140" s="55"/>
      <c r="D140" s="94">
        <f>'[18]Rev_SP-12me'!AJ161</f>
        <v>0</v>
      </c>
      <c r="E140" s="94">
        <f>'[18]Rev_SP-12me'!AL161</f>
        <v>0</v>
      </c>
      <c r="F140" s="94">
        <f>'[18]Rev_SP-12me'!AQ161</f>
        <v>5.23024642740291</v>
      </c>
      <c r="G140" s="79">
        <f>'[18]Rev_SP-12me'!S161</f>
        <v>0</v>
      </c>
      <c r="H140" s="60">
        <f>'[18]Rev_SP-12me'!T161</f>
        <v>8.15</v>
      </c>
      <c r="I140" s="79">
        <f>'[18]Rev_SP-12me'!AC161</f>
        <v>3500</v>
      </c>
      <c r="J140" s="7"/>
      <c r="K140" s="94">
        <f>'[18]Rev_SP-12me'!BN161</f>
        <v>0</v>
      </c>
      <c r="L140" s="94">
        <f>'[18]Rev_SP-12me'!BO161</f>
        <v>4.26265083833337</v>
      </c>
      <c r="M140" s="94">
        <f>'[18]Rev_SP-12me'!BQ161</f>
        <v>0</v>
      </c>
      <c r="N140" s="7"/>
      <c r="O140" s="79">
        <f t="shared" si="4"/>
        <v>4.26265083833337</v>
      </c>
    </row>
    <row r="141" spans="2:15">
      <c r="B141" s="76" t="s">
        <v>1143</v>
      </c>
      <c r="C141" s="55"/>
      <c r="D141" s="94">
        <f>'[18]Rev_SP-12me'!AJ162</f>
        <v>0</v>
      </c>
      <c r="E141" s="94">
        <f>'[18]Rev_SP-12me'!AL162</f>
        <v>0</v>
      </c>
      <c r="F141" s="94">
        <f>'[18]Rev_SP-12me'!AQ162</f>
        <v>11.0118684078602</v>
      </c>
      <c r="G141" s="79">
        <f>'[18]Rev_SP-12me'!S162</f>
        <v>0</v>
      </c>
      <c r="H141" s="60">
        <f>'[18]Rev_SP-12me'!T162</f>
        <v>5.65</v>
      </c>
      <c r="I141" s="79">
        <f>'[18]Rev_SP-12me'!AC162</f>
        <v>3500</v>
      </c>
      <c r="J141" s="7"/>
      <c r="K141" s="94">
        <f>'[18]Rev_SP-12me'!BN162</f>
        <v>0</v>
      </c>
      <c r="L141" s="94">
        <f>'[18]Rev_SP-12me'!BO162</f>
        <v>6.22170565044103</v>
      </c>
      <c r="M141" s="94">
        <f>'[18]Rev_SP-12me'!BQ162</f>
        <v>0</v>
      </c>
      <c r="N141" s="7"/>
      <c r="O141" s="79">
        <f t="shared" si="4"/>
        <v>6.22170565044103</v>
      </c>
    </row>
    <row r="142" ht="15" spans="2:15">
      <c r="B142" s="71" t="s">
        <v>1144</v>
      </c>
      <c r="C142" s="55"/>
      <c r="D142" s="68">
        <f>'[18]Rev_SP-12me'!AJ164</f>
        <v>0</v>
      </c>
      <c r="E142" s="68">
        <f>'[18]Rev_SP-12me'!AL164</f>
        <v>0</v>
      </c>
      <c r="F142" s="68">
        <f>'[18]Rev_SP-12me'!AQ164</f>
        <v>61.924630748864</v>
      </c>
      <c r="G142" s="68">
        <f>'[18]Rev_SP-12me'!S164</f>
        <v>0</v>
      </c>
      <c r="H142" s="69">
        <f>'[18]Rev_SP-12me'!T164</f>
        <v>0</v>
      </c>
      <c r="I142" s="68">
        <f>'[18]Rev_SP-12me'!AC164</f>
        <v>14000</v>
      </c>
      <c r="J142" s="7"/>
      <c r="K142" s="68">
        <f>'[18]Rev_SP-12me'!BN164</f>
        <v>0</v>
      </c>
      <c r="L142" s="68">
        <f>'[18]Rev_SP-12me'!BO164</f>
        <v>43.4133394325091</v>
      </c>
      <c r="M142" s="68">
        <f>'[18]Rev_SP-12me'!BQ164</f>
        <v>0</v>
      </c>
      <c r="N142" s="7"/>
      <c r="O142" s="68">
        <f t="shared" si="4"/>
        <v>43.4133394325091</v>
      </c>
    </row>
    <row r="143" spans="2:15">
      <c r="B143" s="74" t="s">
        <v>1119</v>
      </c>
      <c r="C143" s="55"/>
      <c r="D143" s="94">
        <f>'[18]Rev_SP-12me'!AJ165</f>
        <v>0</v>
      </c>
      <c r="E143" s="94">
        <f>'[18]Rev_SP-12me'!AL165</f>
        <v>0</v>
      </c>
      <c r="F143" s="94">
        <f>'[18]Rev_SP-12me'!AQ165</f>
        <v>20.9632601010143</v>
      </c>
      <c r="G143" s="79">
        <f>'[18]Rev_SP-12me'!S165</f>
        <v>500</v>
      </c>
      <c r="H143" s="60">
        <f>'[18]Rev_SP-12me'!T165</f>
        <v>7.15</v>
      </c>
      <c r="I143" s="79">
        <f>'[18]Rev_SP-12me'!AC165</f>
        <v>3500</v>
      </c>
      <c r="J143" s="7"/>
      <c r="K143" s="94">
        <f>'[18]Rev_SP-12me'!BN165</f>
        <v>0</v>
      </c>
      <c r="L143" s="94">
        <f>'[18]Rev_SP-12me'!BO165</f>
        <v>14.9887309722252</v>
      </c>
      <c r="M143" s="94">
        <f>'[18]Rev_SP-12me'!BQ165</f>
        <v>0</v>
      </c>
      <c r="N143" s="7"/>
      <c r="O143" s="79">
        <f t="shared" si="4"/>
        <v>14.9887309722252</v>
      </c>
    </row>
    <row r="144" spans="2:15">
      <c r="B144" s="74" t="s">
        <v>1120</v>
      </c>
      <c r="C144" s="55"/>
      <c r="D144" s="94">
        <f>'[18]Rev_SP-12me'!AJ166</f>
        <v>0</v>
      </c>
      <c r="E144" s="94">
        <f>'[18]Rev_SP-12me'!AL166</f>
        <v>0</v>
      </c>
      <c r="F144" s="94">
        <f>'[18]Rev_SP-12me'!AQ166</f>
        <v>10.4392722080288</v>
      </c>
      <c r="G144" s="79">
        <f>'[18]Rev_SP-12me'!S166</f>
        <v>0</v>
      </c>
      <c r="H144" s="60">
        <f>'[18]Rev_SP-12me'!T166</f>
        <v>8.15</v>
      </c>
      <c r="I144" s="79">
        <f>'[18]Rev_SP-12me'!AC166</f>
        <v>3500</v>
      </c>
      <c r="J144" s="7"/>
      <c r="K144" s="94">
        <f>'[18]Rev_SP-12me'!BN166</f>
        <v>0</v>
      </c>
      <c r="L144" s="94">
        <f>'[18]Rev_SP-12me'!BO166</f>
        <v>8.50800684954351</v>
      </c>
      <c r="M144" s="94">
        <f>'[18]Rev_SP-12me'!BQ166</f>
        <v>0</v>
      </c>
      <c r="N144" s="7"/>
      <c r="O144" s="79">
        <f t="shared" si="4"/>
        <v>8.50800684954351</v>
      </c>
    </row>
    <row r="145" spans="2:15">
      <c r="B145" s="74" t="s">
        <v>1121</v>
      </c>
      <c r="C145" s="55"/>
      <c r="D145" s="94">
        <f>'[18]Rev_SP-12me'!AJ167</f>
        <v>0</v>
      </c>
      <c r="E145" s="94">
        <f>'[18]Rev_SP-12me'!AL167</f>
        <v>0</v>
      </c>
      <c r="F145" s="94">
        <f>'[18]Rev_SP-12me'!AQ167</f>
        <v>10.6864639689665</v>
      </c>
      <c r="G145" s="79">
        <f>'[18]Rev_SP-12me'!S167</f>
        <v>0</v>
      </c>
      <c r="H145" s="60">
        <f>'[18]Rev_SP-12me'!T167</f>
        <v>8.15</v>
      </c>
      <c r="I145" s="79">
        <f>'[18]Rev_SP-12me'!AC167</f>
        <v>3500</v>
      </c>
      <c r="J145" s="7"/>
      <c r="K145" s="94">
        <f>'[18]Rev_SP-12me'!BN167</f>
        <v>0</v>
      </c>
      <c r="L145" s="94">
        <f>'[18]Rev_SP-12me'!BO167</f>
        <v>8.70946813470773</v>
      </c>
      <c r="M145" s="94">
        <f>'[18]Rev_SP-12me'!BQ167</f>
        <v>0</v>
      </c>
      <c r="N145" s="7"/>
      <c r="O145" s="79">
        <f t="shared" si="4"/>
        <v>8.70946813470773</v>
      </c>
    </row>
    <row r="146" spans="2:15">
      <c r="B146" s="74" t="s">
        <v>1122</v>
      </c>
      <c r="C146" s="55"/>
      <c r="D146" s="94">
        <f>'[18]Rev_SP-12me'!AJ168</f>
        <v>0</v>
      </c>
      <c r="E146" s="94">
        <f>'[18]Rev_SP-12me'!AL168</f>
        <v>0</v>
      </c>
      <c r="F146" s="94">
        <f>'[18]Rev_SP-12me'!AQ168</f>
        <v>19.8356344708543</v>
      </c>
      <c r="G146" s="79">
        <f>'[18]Rev_SP-12me'!S168</f>
        <v>0</v>
      </c>
      <c r="H146" s="60">
        <f>'[18]Rev_SP-12me'!T168</f>
        <v>5.65</v>
      </c>
      <c r="I146" s="79">
        <f>'[18]Rev_SP-12me'!AC168</f>
        <v>3500</v>
      </c>
      <c r="J146" s="7"/>
      <c r="K146" s="94">
        <f>'[18]Rev_SP-12me'!BN168</f>
        <v>0</v>
      </c>
      <c r="L146" s="94">
        <f>'[18]Rev_SP-12me'!BO168</f>
        <v>11.2071334760327</v>
      </c>
      <c r="M146" s="94">
        <f>'[18]Rev_SP-12me'!BQ168</f>
        <v>0</v>
      </c>
      <c r="N146" s="7"/>
      <c r="O146" s="79">
        <f t="shared" si="4"/>
        <v>11.2071334760327</v>
      </c>
    </row>
    <row r="147" ht="15" spans="2:15">
      <c r="B147" s="71" t="s">
        <v>1123</v>
      </c>
      <c r="C147" s="55"/>
      <c r="D147" s="39">
        <f>'[18]Rev_SP-12me'!AJ163</f>
        <v>0</v>
      </c>
      <c r="E147" s="68">
        <f>'[18]Rev_SP-12me'!AL163</f>
        <v>0</v>
      </c>
      <c r="F147" s="68">
        <f>'[18]Rev_SP-12me'!AQ163</f>
        <v>0.53654</v>
      </c>
      <c r="G147" s="68">
        <f>'[18]Rev_SP-12me'!S163</f>
        <v>500</v>
      </c>
      <c r="H147" s="69">
        <f>'[18]Rev_SP-12me'!T163</f>
        <v>7.15</v>
      </c>
      <c r="I147" s="68">
        <f>'[18]Rev_SP-12me'!AC163</f>
        <v>3500</v>
      </c>
      <c r="J147" s="7"/>
      <c r="K147" s="68">
        <f>'[18]Rev_SP-12me'!BN163</f>
        <v>0</v>
      </c>
      <c r="L147" s="68">
        <f>'[18]Rev_SP-12me'!BO163</f>
        <v>0.3836261</v>
      </c>
      <c r="M147" s="68">
        <f>'[18]Rev_SP-12me'!BQ163</f>
        <v>0</v>
      </c>
      <c r="N147" s="7"/>
      <c r="O147" s="68">
        <f t="shared" si="4"/>
        <v>0.3836261</v>
      </c>
    </row>
    <row r="148" ht="15" spans="2:15">
      <c r="B148" s="71" t="s">
        <v>1124</v>
      </c>
      <c r="C148" s="55"/>
      <c r="D148" s="68">
        <f>'[18]Rev_SP-12me'!AJ169</f>
        <v>205</v>
      </c>
      <c r="E148" s="68">
        <f>'[18]Rev_SP-12me'!AL169</f>
        <v>499.586374274174</v>
      </c>
      <c r="F148" s="68">
        <f>'[18]Rev_SP-12me'!AQ169</f>
        <v>1771.70160889593</v>
      </c>
      <c r="G148" s="68">
        <f>'[18]Rev_SP-12me'!S169</f>
        <v>0</v>
      </c>
      <c r="H148" s="69">
        <f>'[18]Rev_SP-12me'!T169</f>
        <v>0</v>
      </c>
      <c r="I148" s="68">
        <f>'[18]Rev_SP-12me'!AC169</f>
        <v>3500</v>
      </c>
      <c r="J148" s="7"/>
      <c r="K148" s="68">
        <f>'[18]Rev_SP-12me'!BN169</f>
        <v>239.801459651604</v>
      </c>
      <c r="L148" s="68">
        <f>'[18]Rev_SP-12me'!BO169</f>
        <v>1410.70121685515</v>
      </c>
      <c r="M148" s="68">
        <f>'[18]Rev_SP-12me'!BQ169</f>
        <v>0.8043</v>
      </c>
      <c r="N148" s="7"/>
      <c r="O148" s="68">
        <f t="shared" si="4"/>
        <v>1651.30697650675</v>
      </c>
    </row>
    <row r="149" spans="2:15">
      <c r="B149" s="76" t="s">
        <v>1145</v>
      </c>
      <c r="C149" s="55"/>
      <c r="D149" s="79">
        <f>'[18]Rev_SP-12me'!AJ170</f>
        <v>205</v>
      </c>
      <c r="E149" s="79">
        <f>'[18]Rev_SP-12me'!AL170</f>
        <v>499.586374274174</v>
      </c>
      <c r="F149" s="79">
        <f>'[18]Rev_SP-12me'!AQ170</f>
        <v>709.642651909873</v>
      </c>
      <c r="G149" s="79">
        <f>'[18]Rev_SP-12me'!S170</f>
        <v>500</v>
      </c>
      <c r="H149" s="60">
        <f>'[18]Rev_SP-12me'!T170</f>
        <v>8</v>
      </c>
      <c r="I149" s="79">
        <f>'[18]Rev_SP-12me'!AC170</f>
        <v>3500</v>
      </c>
      <c r="J149" s="7"/>
      <c r="K149" s="79">
        <f>'[18]Rev_SP-12me'!BN170</f>
        <v>239.801459651604</v>
      </c>
      <c r="L149" s="79">
        <f>'[18]Rev_SP-12me'!BO170</f>
        <v>567.714121527898</v>
      </c>
      <c r="M149" s="79">
        <f>'[18]Rev_SP-12me'!BQ170</f>
        <v>0.8043</v>
      </c>
      <c r="N149" s="7"/>
      <c r="O149" s="79">
        <f t="shared" si="4"/>
        <v>808.319881179502</v>
      </c>
    </row>
    <row r="150" spans="2:15">
      <c r="B150" s="76" t="s">
        <v>1120</v>
      </c>
      <c r="C150" s="55"/>
      <c r="D150" s="94">
        <f>'[18]Rev_SP-12me'!AJ171</f>
        <v>0</v>
      </c>
      <c r="E150" s="94">
        <f>'[18]Rev_SP-12me'!AL171</f>
        <v>0</v>
      </c>
      <c r="F150" s="94">
        <f>'[18]Rev_SP-12me'!AQ171</f>
        <v>293.917757828916</v>
      </c>
      <c r="G150" s="79">
        <f>'[18]Rev_SP-12me'!S171</f>
        <v>0</v>
      </c>
      <c r="H150" s="60">
        <f>'[18]Rev_SP-12me'!T171</f>
        <v>9</v>
      </c>
      <c r="I150" s="79">
        <f>'[18]Rev_SP-12me'!AC171</f>
        <v>3500</v>
      </c>
      <c r="J150" s="7"/>
      <c r="K150" s="94">
        <f>'[18]Rev_SP-12me'!BN171</f>
        <v>0</v>
      </c>
      <c r="L150" s="94">
        <f>'[18]Rev_SP-12me'!BO171</f>
        <v>264.525982046025</v>
      </c>
      <c r="M150" s="94">
        <f>'[18]Rev_SP-12me'!BQ171</f>
        <v>0</v>
      </c>
      <c r="N150" s="7"/>
      <c r="O150" s="79">
        <f t="shared" si="4"/>
        <v>264.525982046025</v>
      </c>
    </row>
    <row r="151" spans="2:15">
      <c r="B151" s="76" t="s">
        <v>1121</v>
      </c>
      <c r="C151" s="55"/>
      <c r="D151" s="94">
        <f>'[18]Rev_SP-12me'!AJ172</f>
        <v>0</v>
      </c>
      <c r="E151" s="94">
        <f>'[18]Rev_SP-12me'!AL172</f>
        <v>0</v>
      </c>
      <c r="F151" s="94">
        <f>'[18]Rev_SP-12me'!AQ172</f>
        <v>294.177335316318</v>
      </c>
      <c r="G151" s="79">
        <f>'[18]Rev_SP-12me'!S172</f>
        <v>0</v>
      </c>
      <c r="H151" s="60">
        <f>'[18]Rev_SP-12me'!T172</f>
        <v>9</v>
      </c>
      <c r="I151" s="79">
        <f>'[18]Rev_SP-12me'!AC172</f>
        <v>3500</v>
      </c>
      <c r="J151" s="7"/>
      <c r="K151" s="94">
        <f>'[18]Rev_SP-12me'!BN172</f>
        <v>0</v>
      </c>
      <c r="L151" s="94">
        <f>'[18]Rev_SP-12me'!BO172</f>
        <v>264.759601784686</v>
      </c>
      <c r="M151" s="94">
        <f>'[18]Rev_SP-12me'!BQ172</f>
        <v>0</v>
      </c>
      <c r="N151" s="7"/>
      <c r="O151" s="79">
        <f t="shared" si="4"/>
        <v>264.759601784686</v>
      </c>
    </row>
    <row r="152" spans="2:15">
      <c r="B152" s="76" t="s">
        <v>1122</v>
      </c>
      <c r="C152" s="55"/>
      <c r="D152" s="94">
        <f>'[18]Rev_SP-12me'!AJ173</f>
        <v>0</v>
      </c>
      <c r="E152" s="94">
        <f>'[18]Rev_SP-12me'!AL173</f>
        <v>0</v>
      </c>
      <c r="F152" s="94">
        <f>'[18]Rev_SP-12me'!AQ173</f>
        <v>436.463863840824</v>
      </c>
      <c r="G152" s="79">
        <f>'[18]Rev_SP-12me'!S173</f>
        <v>0</v>
      </c>
      <c r="H152" s="60">
        <f>'[18]Rev_SP-12me'!T173</f>
        <v>6.5</v>
      </c>
      <c r="I152" s="79">
        <f>'[18]Rev_SP-12me'!AC173</f>
        <v>3500</v>
      </c>
      <c r="J152" s="7"/>
      <c r="K152" s="94">
        <f>'[18]Rev_SP-12me'!BN173</f>
        <v>0</v>
      </c>
      <c r="L152" s="94">
        <f>'[18]Rev_SP-12me'!BO173</f>
        <v>283.701511496535</v>
      </c>
      <c r="M152" s="94">
        <f>'[18]Rev_SP-12me'!BQ173</f>
        <v>0</v>
      </c>
      <c r="N152" s="7"/>
      <c r="O152" s="79">
        <f t="shared" si="4"/>
        <v>283.701511496535</v>
      </c>
    </row>
    <row r="153" spans="2:15">
      <c r="B153" s="76" t="s">
        <v>1146</v>
      </c>
      <c r="C153" s="55"/>
      <c r="D153" s="94">
        <f>'[18]Rev_SP-12me'!AJ174</f>
        <v>0</v>
      </c>
      <c r="E153" s="94">
        <f>'[18]Rev_SP-12me'!AL174</f>
        <v>0</v>
      </c>
      <c r="F153" s="94">
        <f>'[18]Rev_SP-12me'!AQ174</f>
        <v>37.5</v>
      </c>
      <c r="G153" s="79">
        <f>'[18]Rev_SP-12me'!S174</f>
        <v>500</v>
      </c>
      <c r="H153" s="60">
        <f>'[18]Rev_SP-12me'!T174</f>
        <v>8</v>
      </c>
      <c r="I153" s="79">
        <f>'[18]Rev_SP-12me'!AC174</f>
        <v>3500</v>
      </c>
      <c r="J153" s="7"/>
      <c r="K153" s="94">
        <f>'[18]Rev_SP-12me'!BN174</f>
        <v>0</v>
      </c>
      <c r="L153" s="94">
        <f>'[18]Rev_SP-12me'!BO174</f>
        <v>30</v>
      </c>
      <c r="M153" s="94">
        <f>'[18]Rev_SP-12me'!BQ174</f>
        <v>0</v>
      </c>
      <c r="N153" s="7"/>
      <c r="O153" s="79">
        <f t="shared" si="4"/>
        <v>30</v>
      </c>
    </row>
    <row r="154" ht="15" spans="2:15">
      <c r="B154" s="71" t="s">
        <v>1125</v>
      </c>
      <c r="C154" s="55"/>
      <c r="D154" s="68">
        <f>'[18]Rev_SP-12me'!AJ175</f>
        <v>0</v>
      </c>
      <c r="E154" s="68">
        <f>'[18]Rev_SP-12me'!AL175</f>
        <v>0</v>
      </c>
      <c r="F154" s="68">
        <f>'[18]Rev_SP-12me'!AQ175</f>
        <v>5.28148120053833</v>
      </c>
      <c r="G154" s="68">
        <f>'[18]Rev_SP-12me'!S175</f>
        <v>0</v>
      </c>
      <c r="H154" s="69">
        <f>'[18]Rev_SP-12me'!T175</f>
        <v>0</v>
      </c>
      <c r="I154" s="68">
        <f>'[18]Rev_SP-12me'!AC175</f>
        <v>14000</v>
      </c>
      <c r="J154" s="7"/>
      <c r="K154" s="68">
        <f>'[18]Rev_SP-12me'!BN175</f>
        <v>0</v>
      </c>
      <c r="L154" s="68">
        <f>'[18]Rev_SP-12me'!BO175</f>
        <v>2.64992946999443</v>
      </c>
      <c r="M154" s="68">
        <f>'[18]Rev_SP-12me'!BQ175</f>
        <v>0</v>
      </c>
      <c r="N154" s="7"/>
      <c r="O154" s="68">
        <f t="shared" si="4"/>
        <v>2.64992946999443</v>
      </c>
    </row>
    <row r="155" spans="2:15">
      <c r="B155" s="74" t="s">
        <v>1119</v>
      </c>
      <c r="C155" s="55"/>
      <c r="D155" s="94">
        <f>'[18]Rev_SP-12me'!AJ176</f>
        <v>0</v>
      </c>
      <c r="E155" s="94">
        <f>'[18]Rev_SP-12me'!AL176</f>
        <v>0</v>
      </c>
      <c r="F155" s="94">
        <f>'[18]Rev_SP-12me'!AQ176</f>
        <v>2.11937414353072</v>
      </c>
      <c r="G155" s="79">
        <f>'[18]Rev_SP-12me'!S176</f>
        <v>285</v>
      </c>
      <c r="H155" s="60">
        <f>'[18]Rev_SP-12me'!T176</f>
        <v>5</v>
      </c>
      <c r="I155" s="79">
        <f>'[18]Rev_SP-12me'!AC176</f>
        <v>3500</v>
      </c>
      <c r="J155" s="7"/>
      <c r="K155" s="94">
        <f>'[18]Rev_SP-12me'!BN176</f>
        <v>0</v>
      </c>
      <c r="L155" s="94">
        <f>'[18]Rev_SP-12me'!BO176</f>
        <v>1.05968707176536</v>
      </c>
      <c r="M155" s="94">
        <f>'[18]Rev_SP-12me'!BQ176</f>
        <v>0</v>
      </c>
      <c r="N155" s="7"/>
      <c r="O155" s="79">
        <f t="shared" si="4"/>
        <v>1.05968707176536</v>
      </c>
    </row>
    <row r="156" spans="2:15">
      <c r="B156" s="74" t="s">
        <v>1120</v>
      </c>
      <c r="C156" s="55"/>
      <c r="D156" s="94">
        <f>'[18]Rev_SP-12me'!AJ177</f>
        <v>0</v>
      </c>
      <c r="E156" s="94">
        <f>'[18]Rev_SP-12me'!AL177</f>
        <v>0</v>
      </c>
      <c r="F156" s="94">
        <f>'[18]Rev_SP-12me'!AQ177</f>
        <v>0.972042051382959</v>
      </c>
      <c r="G156" s="79">
        <f>'[18]Rev_SP-12me'!S177</f>
        <v>0</v>
      </c>
      <c r="H156" s="60">
        <f>'[18]Rev_SP-12me'!T177</f>
        <v>6</v>
      </c>
      <c r="I156" s="79">
        <f>'[18]Rev_SP-12me'!AC177</f>
        <v>3500</v>
      </c>
      <c r="J156" s="7"/>
      <c r="K156" s="94">
        <f>'[18]Rev_SP-12me'!BN177</f>
        <v>0</v>
      </c>
      <c r="L156" s="94">
        <f>'[18]Rev_SP-12me'!BO177</f>
        <v>0.583225230829775</v>
      </c>
      <c r="M156" s="94">
        <f>'[18]Rev_SP-12me'!BQ177</f>
        <v>0</v>
      </c>
      <c r="N156" s="7"/>
      <c r="O156" s="79">
        <f t="shared" si="4"/>
        <v>0.583225230829775</v>
      </c>
    </row>
    <row r="157" spans="2:15">
      <c r="B157" s="74" t="s">
        <v>1121</v>
      </c>
      <c r="C157" s="55"/>
      <c r="D157" s="94">
        <f>'[18]Rev_SP-12me'!AJ178</f>
        <v>0</v>
      </c>
      <c r="E157" s="94">
        <f>'[18]Rev_SP-12me'!AL178</f>
        <v>0</v>
      </c>
      <c r="F157" s="94">
        <f>'[18]Rev_SP-12me'!AQ178</f>
        <v>0.961977661722666</v>
      </c>
      <c r="G157" s="79">
        <f>'[18]Rev_SP-12me'!S178</f>
        <v>0</v>
      </c>
      <c r="H157" s="60">
        <f>'[18]Rev_SP-12me'!T178</f>
        <v>6</v>
      </c>
      <c r="I157" s="79">
        <f>'[18]Rev_SP-12me'!AC178</f>
        <v>3500</v>
      </c>
      <c r="J157" s="7"/>
      <c r="K157" s="94">
        <f>'[18]Rev_SP-12me'!BN178</f>
        <v>0</v>
      </c>
      <c r="L157" s="94">
        <f>'[18]Rev_SP-12me'!BO178</f>
        <v>0.577186597033599</v>
      </c>
      <c r="M157" s="94">
        <f>'[18]Rev_SP-12me'!BQ178</f>
        <v>0</v>
      </c>
      <c r="N157" s="7"/>
      <c r="O157" s="79">
        <f t="shared" si="4"/>
        <v>0.577186597033599</v>
      </c>
    </row>
    <row r="158" spans="2:15">
      <c r="B158" s="74" t="s">
        <v>1122</v>
      </c>
      <c r="C158" s="55"/>
      <c r="D158" s="94">
        <f>'[18]Rev_SP-12me'!AJ179</f>
        <v>0</v>
      </c>
      <c r="E158" s="94">
        <f>'[18]Rev_SP-12me'!AL179</f>
        <v>0</v>
      </c>
      <c r="F158" s="94">
        <f>'[18]Rev_SP-12me'!AQ179</f>
        <v>1.22808734390199</v>
      </c>
      <c r="G158" s="79">
        <f>'[18]Rev_SP-12me'!S179</f>
        <v>0</v>
      </c>
      <c r="H158" s="60">
        <f>'[18]Rev_SP-12me'!T179</f>
        <v>3.5</v>
      </c>
      <c r="I158" s="79">
        <f>'[18]Rev_SP-12me'!AC179</f>
        <v>3500</v>
      </c>
      <c r="J158" s="7"/>
      <c r="K158" s="94">
        <f>'[18]Rev_SP-12me'!BN179</f>
        <v>0</v>
      </c>
      <c r="L158" s="94">
        <f>'[18]Rev_SP-12me'!BO179</f>
        <v>0.429830570365695</v>
      </c>
      <c r="M158" s="94">
        <f>'[18]Rev_SP-12me'!BQ179</f>
        <v>0</v>
      </c>
      <c r="N158" s="7"/>
      <c r="O158" s="79">
        <f t="shared" si="4"/>
        <v>0.429830570365695</v>
      </c>
    </row>
    <row r="159" ht="15" spans="2:15">
      <c r="B159" s="71" t="s">
        <v>1126</v>
      </c>
      <c r="C159" s="55"/>
      <c r="D159" s="68">
        <f>'[18]Rev_SP-12me'!AJ180</f>
        <v>0</v>
      </c>
      <c r="E159" s="68">
        <f>'[18]Rev_SP-12me'!AL180</f>
        <v>0</v>
      </c>
      <c r="F159" s="68">
        <f>'[18]Rev_SP-12me'!AQ180</f>
        <v>0</v>
      </c>
      <c r="G159" s="68">
        <f>'[18]Rev_SP-12me'!S180</f>
        <v>0</v>
      </c>
      <c r="H159" s="69">
        <f>'[18]Rev_SP-12me'!T180</f>
        <v>0</v>
      </c>
      <c r="I159" s="68">
        <f>'[18]Rev_SP-12me'!AC180</f>
        <v>0</v>
      </c>
      <c r="J159" s="7"/>
      <c r="K159" s="68">
        <f>'[18]Rev_SP-12me'!BN180</f>
        <v>0</v>
      </c>
      <c r="L159" s="68">
        <f>'[18]Rev_SP-12me'!BO180</f>
        <v>0</v>
      </c>
      <c r="M159" s="68">
        <f>'[18]Rev_SP-12me'!BQ180</f>
        <v>0</v>
      </c>
      <c r="N159" s="7"/>
      <c r="O159" s="68">
        <f t="shared" si="4"/>
        <v>0</v>
      </c>
    </row>
    <row r="160" spans="2:15">
      <c r="B160" s="76" t="s">
        <v>1119</v>
      </c>
      <c r="C160" s="55"/>
      <c r="D160" s="94">
        <f>'[18]Rev_SP-12me'!AJ181</f>
        <v>0</v>
      </c>
      <c r="E160" s="94">
        <f>'[18]Rev_SP-12me'!AL181</f>
        <v>0</v>
      </c>
      <c r="F160" s="94">
        <f>'[18]Rev_SP-12me'!AQ181</f>
        <v>0</v>
      </c>
      <c r="G160" s="79">
        <f>'[18]Rev_SP-12me'!S181</f>
        <v>500</v>
      </c>
      <c r="H160" s="60">
        <f>'[18]Rev_SP-12me'!T181</f>
        <v>7.85</v>
      </c>
      <c r="I160" s="79">
        <f>'[18]Rev_SP-12me'!AC181</f>
        <v>3500</v>
      </c>
      <c r="J160" s="7"/>
      <c r="K160" s="94">
        <f>'[18]Rev_SP-12me'!BN181</f>
        <v>0</v>
      </c>
      <c r="L160" s="94">
        <f>'[18]Rev_SP-12me'!BO181</f>
        <v>0</v>
      </c>
      <c r="M160" s="94">
        <f>'[18]Rev_SP-12me'!BQ181</f>
        <v>0</v>
      </c>
      <c r="N160" s="7"/>
      <c r="O160" s="79">
        <f t="shared" si="4"/>
        <v>0</v>
      </c>
    </row>
    <row r="161" spans="2:15">
      <c r="B161" s="76" t="s">
        <v>1120</v>
      </c>
      <c r="C161" s="55"/>
      <c r="D161" s="94">
        <f>'[18]Rev_SP-12me'!AJ182</f>
        <v>0</v>
      </c>
      <c r="E161" s="94">
        <f>'[18]Rev_SP-12me'!AL182</f>
        <v>0</v>
      </c>
      <c r="F161" s="94">
        <f>'[18]Rev_SP-12me'!AQ182</f>
        <v>0</v>
      </c>
      <c r="G161" s="79">
        <f>'[18]Rev_SP-12me'!S182</f>
        <v>0</v>
      </c>
      <c r="H161" s="60">
        <f>'[18]Rev_SP-12me'!T182</f>
        <v>8.85</v>
      </c>
      <c r="I161" s="79">
        <f>'[18]Rev_SP-12me'!AC182</f>
        <v>3500</v>
      </c>
      <c r="J161" s="7"/>
      <c r="K161" s="94">
        <f>'[18]Rev_SP-12me'!BN182</f>
        <v>0</v>
      </c>
      <c r="L161" s="94">
        <f>'[18]Rev_SP-12me'!BO182</f>
        <v>0</v>
      </c>
      <c r="M161" s="94">
        <f>'[18]Rev_SP-12me'!BQ182</f>
        <v>0</v>
      </c>
      <c r="N161" s="7"/>
      <c r="O161" s="79">
        <f t="shared" si="4"/>
        <v>0</v>
      </c>
    </row>
    <row r="162" spans="2:15">
      <c r="B162" s="76" t="s">
        <v>1121</v>
      </c>
      <c r="C162" s="55"/>
      <c r="D162" s="94">
        <f>'[18]Rev_SP-12me'!AJ183</f>
        <v>0</v>
      </c>
      <c r="E162" s="94">
        <f>'[18]Rev_SP-12me'!AL183</f>
        <v>0</v>
      </c>
      <c r="F162" s="94">
        <f>'[18]Rev_SP-12me'!AQ183</f>
        <v>0</v>
      </c>
      <c r="G162" s="79">
        <f>'[18]Rev_SP-12me'!S183</f>
        <v>0</v>
      </c>
      <c r="H162" s="60">
        <f>'[18]Rev_SP-12me'!T183</f>
        <v>8.85</v>
      </c>
      <c r="I162" s="79">
        <f>'[18]Rev_SP-12me'!AC183</f>
        <v>3500</v>
      </c>
      <c r="J162" s="7"/>
      <c r="K162" s="94">
        <f>'[18]Rev_SP-12me'!BN183</f>
        <v>0</v>
      </c>
      <c r="L162" s="94">
        <f>'[18]Rev_SP-12me'!BO183</f>
        <v>0</v>
      </c>
      <c r="M162" s="94">
        <f>'[18]Rev_SP-12me'!BQ183</f>
        <v>0</v>
      </c>
      <c r="N162" s="7"/>
      <c r="O162" s="79">
        <f t="shared" si="4"/>
        <v>0</v>
      </c>
    </row>
    <row r="163" spans="2:15">
      <c r="B163" s="76" t="s">
        <v>1122</v>
      </c>
      <c r="C163" s="55"/>
      <c r="D163" s="94">
        <f>'[18]Rev_SP-12me'!AJ184</f>
        <v>0</v>
      </c>
      <c r="E163" s="94">
        <f>'[18]Rev_SP-12me'!AL184</f>
        <v>0</v>
      </c>
      <c r="F163" s="94">
        <f>'[18]Rev_SP-12me'!AQ184</f>
        <v>0</v>
      </c>
      <c r="G163" s="79">
        <f>'[18]Rev_SP-12me'!S184</f>
        <v>0</v>
      </c>
      <c r="H163" s="60">
        <f>'[18]Rev_SP-12me'!T184</f>
        <v>6.35</v>
      </c>
      <c r="I163" s="79">
        <f>'[18]Rev_SP-12me'!AC184</f>
        <v>3500</v>
      </c>
      <c r="J163" s="7"/>
      <c r="K163" s="94">
        <f>'[18]Rev_SP-12me'!BN184</f>
        <v>0</v>
      </c>
      <c r="L163" s="94">
        <f>'[18]Rev_SP-12me'!BO184</f>
        <v>0</v>
      </c>
      <c r="M163" s="94">
        <f>'[18]Rev_SP-12me'!BQ184</f>
        <v>0</v>
      </c>
      <c r="N163" s="7"/>
      <c r="O163" s="79">
        <f t="shared" si="4"/>
        <v>0</v>
      </c>
    </row>
    <row r="164" ht="15" spans="2:15">
      <c r="B164" s="71" t="s">
        <v>1147</v>
      </c>
      <c r="C164" s="55"/>
      <c r="D164" s="68">
        <f>'[18]Rev_SP-12me'!AJ185</f>
        <v>13</v>
      </c>
      <c r="E164" s="68">
        <f>'[18]Rev_SP-12me'!AL185</f>
        <v>26.4672850500122</v>
      </c>
      <c r="F164" s="68">
        <f>'[18]Rev_SP-12me'!AQ185</f>
        <v>86.2466042202066</v>
      </c>
      <c r="G164" s="68">
        <f>'[18]Rev_SP-12me'!S185</f>
        <v>0</v>
      </c>
      <c r="H164" s="69">
        <f>'[18]Rev_SP-12me'!T185</f>
        <v>0</v>
      </c>
      <c r="I164" s="68">
        <f>'[18]Rev_SP-12me'!AC185</f>
        <v>0</v>
      </c>
      <c r="J164" s="7"/>
      <c r="K164" s="68">
        <f>'[18]Rev_SP-12me'!BN185</f>
        <v>4.56560667112711</v>
      </c>
      <c r="L164" s="68">
        <f>'[18]Rev_SP-12me'!BO185</f>
        <v>54.3353606587301</v>
      </c>
      <c r="M164" s="68">
        <f>'[18]Rev_SP-12me'!BQ185</f>
        <v>0.0546</v>
      </c>
      <c r="N164" s="7"/>
      <c r="O164" s="68">
        <f t="shared" si="4"/>
        <v>58.9555673298572</v>
      </c>
    </row>
    <row r="165" spans="2:15">
      <c r="B165" s="82" t="s">
        <v>1128</v>
      </c>
      <c r="C165" s="55"/>
      <c r="D165" s="79">
        <f>'[18]Rev_SP-12me'!AJ186</f>
        <v>13</v>
      </c>
      <c r="E165" s="79">
        <f>'[18]Rev_SP-12me'!AL186</f>
        <v>26.4672850500122</v>
      </c>
      <c r="F165" s="79">
        <f>'[18]Rev_SP-12me'!AQ186</f>
        <v>86.2466042202066</v>
      </c>
      <c r="G165" s="79">
        <f>'[18]Rev_SP-12me'!S186</f>
        <v>300</v>
      </c>
      <c r="H165" s="60">
        <f>'[18]Rev_SP-12me'!T186</f>
        <v>6.3</v>
      </c>
      <c r="I165" s="79">
        <f>'[18]Rev_SP-12me'!AC186</f>
        <v>3500</v>
      </c>
      <c r="J165" s="7"/>
      <c r="K165" s="79">
        <f>'[18]Rev_SP-12me'!BN186</f>
        <v>4.56560667112711</v>
      </c>
      <c r="L165" s="79">
        <f>'[18]Rev_SP-12me'!BO186</f>
        <v>54.3353606587301</v>
      </c>
      <c r="M165" s="79">
        <f>'[18]Rev_SP-12me'!BQ186</f>
        <v>0.0546</v>
      </c>
      <c r="N165" s="7"/>
      <c r="O165" s="79">
        <f t="shared" si="4"/>
        <v>58.9555673298572</v>
      </c>
    </row>
    <row r="166" ht="15" spans="2:15">
      <c r="B166" s="83" t="s">
        <v>1148</v>
      </c>
      <c r="C166" s="55"/>
      <c r="D166" s="68">
        <f>'[18]Rev_SP-12me'!AJ191</f>
        <v>26</v>
      </c>
      <c r="E166" s="68">
        <f>'[18]Rev_SP-12me'!AL191</f>
        <v>42.84634725</v>
      </c>
      <c r="F166" s="68">
        <f>'[18]Rev_SP-12me'!AQ191</f>
        <v>282.096660471516</v>
      </c>
      <c r="G166" s="68">
        <f>'[18]Rev_SP-12me'!S191</f>
        <v>0</v>
      </c>
      <c r="H166" s="69">
        <f>'[18]Rev_SP-12me'!T191</f>
        <v>0</v>
      </c>
      <c r="I166" s="68">
        <f>'[18]Rev_SP-12me'!AC191</f>
        <v>0</v>
      </c>
      <c r="J166" s="7"/>
      <c r="K166" s="68">
        <f>'[18]Rev_SP-12me'!BN191</f>
        <v>0</v>
      </c>
      <c r="L166" s="68">
        <f>'[18]Rev_SP-12me'!BO191</f>
        <v>172.078962887625</v>
      </c>
      <c r="M166" s="68">
        <f>'[18]Rev_SP-12me'!BQ191</f>
        <v>0.1029</v>
      </c>
      <c r="N166" s="7"/>
      <c r="O166" s="68">
        <f t="shared" si="4"/>
        <v>172.181862887625</v>
      </c>
    </row>
    <row r="167" spans="2:15">
      <c r="B167" s="74" t="s">
        <v>1149</v>
      </c>
      <c r="C167" s="55"/>
      <c r="D167" s="79">
        <f>'[18]Rev_SP-12me'!AJ192</f>
        <v>26</v>
      </c>
      <c r="E167" s="79">
        <f>'[18]Rev_SP-12me'!AL192</f>
        <v>42.84634725</v>
      </c>
      <c r="F167" s="79">
        <f>'[18]Rev_SP-12me'!AQ192</f>
        <v>282.096660471516</v>
      </c>
      <c r="G167" s="79">
        <f>'[18]Rev_SP-12me'!S192</f>
        <v>0</v>
      </c>
      <c r="H167" s="60">
        <f>'[18]Rev_SP-12me'!T192</f>
        <v>6.1</v>
      </c>
      <c r="I167" s="79">
        <f>'[18]Rev_SP-12me'!AC192</f>
        <v>3500</v>
      </c>
      <c r="J167" s="7"/>
      <c r="K167" s="79">
        <f>'[18]Rev_SP-12me'!BN192</f>
        <v>0</v>
      </c>
      <c r="L167" s="79">
        <f>'[18]Rev_SP-12me'!BO192</f>
        <v>172.078962887625</v>
      </c>
      <c r="M167" s="79">
        <f>'[18]Rev_SP-12me'!BQ192</f>
        <v>0.1029</v>
      </c>
      <c r="N167" s="7"/>
      <c r="O167" s="79">
        <f t="shared" si="4"/>
        <v>172.181862887625</v>
      </c>
    </row>
    <row r="168" ht="15" spans="2:15">
      <c r="B168" s="77" t="s">
        <v>1150</v>
      </c>
      <c r="C168" s="55"/>
      <c r="D168" s="68">
        <f>'[18]Rev_SP-12me'!AJ193</f>
        <v>0</v>
      </c>
      <c r="E168" s="68">
        <f>'[18]Rev_SP-12me'!AL193</f>
        <v>0</v>
      </c>
      <c r="F168" s="68">
        <f>'[18]Rev_SP-12me'!AQ193</f>
        <v>0</v>
      </c>
      <c r="G168" s="68">
        <f>'[18]Rev_SP-12me'!S193</f>
        <v>0</v>
      </c>
      <c r="H168" s="69">
        <f>'[18]Rev_SP-12me'!T193</f>
        <v>0</v>
      </c>
      <c r="I168" s="68">
        <f>'[18]Rev_SP-12me'!AC193</f>
        <v>3500</v>
      </c>
      <c r="J168" s="7"/>
      <c r="K168" s="68">
        <f>'[18]Rev_SP-12me'!BN193</f>
        <v>0</v>
      </c>
      <c r="L168" s="68">
        <f>'[18]Rev_SP-12me'!BO193</f>
        <v>0</v>
      </c>
      <c r="M168" s="68">
        <f>'[18]Rev_SP-12me'!BQ193</f>
        <v>0</v>
      </c>
      <c r="N168" s="7"/>
      <c r="O168" s="79">
        <f t="shared" si="4"/>
        <v>0</v>
      </c>
    </row>
    <row r="169" ht="15" spans="2:15">
      <c r="B169" s="71" t="s">
        <v>1131</v>
      </c>
      <c r="C169" s="55"/>
      <c r="D169" s="68">
        <f>'[18]Rev_SP-12me'!AJ187</f>
        <v>1</v>
      </c>
      <c r="E169" s="68">
        <f>'[18]Rev_SP-12me'!AL187</f>
        <v>0</v>
      </c>
      <c r="F169" s="68">
        <f>'[18]Rev_SP-12me'!AQ187</f>
        <v>0</v>
      </c>
      <c r="G169" s="68">
        <f>'[18]Rev_SP-12me'!S187</f>
        <v>500</v>
      </c>
      <c r="H169" s="69">
        <f>'[18]Rev_SP-12me'!T187</f>
        <v>5.05</v>
      </c>
      <c r="I169" s="68">
        <f>'[18]Rev_SP-12me'!AC187</f>
        <v>3500</v>
      </c>
      <c r="J169" s="7"/>
      <c r="K169" s="68">
        <f>'[18]Rev_SP-12me'!BN187</f>
        <v>0</v>
      </c>
      <c r="L169" s="68">
        <f>'[18]Rev_SP-12me'!BO187</f>
        <v>0</v>
      </c>
      <c r="M169" s="68">
        <f>'[18]Rev_SP-12me'!BQ187</f>
        <v>0.0042</v>
      </c>
      <c r="N169" s="7"/>
      <c r="O169" s="68">
        <f t="shared" si="4"/>
        <v>0.0042</v>
      </c>
    </row>
    <row r="170" ht="15" spans="2:15">
      <c r="B170" s="71" t="s">
        <v>1132</v>
      </c>
      <c r="C170" s="55"/>
      <c r="D170" s="68">
        <f>'[18]Rev_SP-12me'!AJ188</f>
        <v>0</v>
      </c>
      <c r="E170" s="68">
        <f>'[18]Rev_SP-12me'!AL188</f>
        <v>0</v>
      </c>
      <c r="F170" s="68">
        <f>'[18]Rev_SP-12me'!AQ188</f>
        <v>0</v>
      </c>
      <c r="G170" s="68">
        <f>'[18]Rev_SP-12me'!S188</f>
        <v>500</v>
      </c>
      <c r="H170" s="69">
        <f>'[18]Rev_SP-12me'!T188</f>
        <v>4.95</v>
      </c>
      <c r="I170" s="68">
        <f>'[18]Rev_SP-12me'!AC188</f>
        <v>3500</v>
      </c>
      <c r="J170" s="7"/>
      <c r="K170" s="68">
        <f>'[18]Rev_SP-12me'!BN188</f>
        <v>0</v>
      </c>
      <c r="L170" s="68">
        <f>'[18]Rev_SP-12me'!BO188</f>
        <v>0</v>
      </c>
      <c r="M170" s="68">
        <f>'[18]Rev_SP-12me'!BQ188</f>
        <v>0</v>
      </c>
      <c r="N170" s="7"/>
      <c r="O170" s="68">
        <f t="shared" si="4"/>
        <v>0</v>
      </c>
    </row>
    <row r="171" ht="15" spans="2:15">
      <c r="B171" s="71" t="s">
        <v>919</v>
      </c>
      <c r="C171" s="55"/>
      <c r="D171" s="68">
        <f>'[18]Rev_SP-12me'!AJ189</f>
        <v>38</v>
      </c>
      <c r="E171" s="68">
        <f>'[18]Rev_SP-12me'!AL189</f>
        <v>44.43704472375</v>
      </c>
      <c r="F171" s="68">
        <f>'[18]Rev_SP-12me'!AQ189</f>
        <v>188.407399757014</v>
      </c>
      <c r="G171" s="68">
        <f>'[18]Rev_SP-12me'!S189</f>
        <v>285</v>
      </c>
      <c r="H171" s="69">
        <f>'[18]Rev_SP-12me'!T189</f>
        <v>7.3</v>
      </c>
      <c r="I171" s="68">
        <f>'[18]Rev_SP-12me'!AC189</f>
        <v>3500</v>
      </c>
      <c r="J171" s="7"/>
      <c r="K171" s="68">
        <f>'[18]Rev_SP-12me'!BN189</f>
        <v>12.157975436418</v>
      </c>
      <c r="L171" s="68">
        <f>'[18]Rev_SP-12me'!BO189</f>
        <v>137.53740182262</v>
      </c>
      <c r="M171" s="68">
        <f>'[18]Rev_SP-12me'!BQ189</f>
        <v>0.1575</v>
      </c>
      <c r="N171" s="7"/>
      <c r="O171" s="68">
        <f t="shared" si="4"/>
        <v>149.852877259038</v>
      </c>
    </row>
    <row r="172" ht="15" spans="2:15">
      <c r="B172" s="71" t="s">
        <v>1133</v>
      </c>
      <c r="C172" s="55"/>
      <c r="D172" s="68">
        <f>'[18]Rev_SP-12me'!AJ190</f>
        <v>10</v>
      </c>
      <c r="E172" s="68">
        <f>'[18]Rev_SP-12me'!AL190</f>
        <v>25.9703550617484</v>
      </c>
      <c r="F172" s="68">
        <f>'[18]Rev_SP-12me'!AQ190</f>
        <v>36.1256164370943</v>
      </c>
      <c r="G172" s="68">
        <f>'[18]Rev_SP-12me'!S190</f>
        <v>500</v>
      </c>
      <c r="H172" s="69">
        <f>'[18]Rev_SP-12me'!T190</f>
        <v>11</v>
      </c>
      <c r="I172" s="68">
        <f>'[18]Rev_SP-12me'!AC190</f>
        <v>3500</v>
      </c>
      <c r="J172" s="7"/>
      <c r="K172" s="68">
        <f>'[18]Rev_SP-12me'!BN190</f>
        <v>12.4657704296392</v>
      </c>
      <c r="L172" s="68">
        <f>'[18]Rev_SP-12me'!BO190</f>
        <v>39.7381780808037</v>
      </c>
      <c r="M172" s="68">
        <f>'[18]Rev_SP-12me'!BQ190</f>
        <v>0.0399</v>
      </c>
      <c r="N172" s="7"/>
      <c r="O172" s="68">
        <f t="shared" si="4"/>
        <v>52.2438485104429</v>
      </c>
    </row>
    <row r="173" ht="15" spans="2:15">
      <c r="B173" s="77" t="s">
        <v>1151</v>
      </c>
      <c r="C173" s="55"/>
      <c r="D173" s="78">
        <f>SUM(D128,D142,D147,D148,D154,D159,D164,D166,D168,D169,D170,D171,D172)</f>
        <v>776</v>
      </c>
      <c r="E173" s="78">
        <f>SUM(E128,E142,E147,E148,E154,E159,E164,E166,E168,E169,E170,E171,E172)</f>
        <v>1930.60578115968</v>
      </c>
      <c r="F173" s="78">
        <f>SUM(F128,F142,F147,F148,F154,F159,F164,F166,F168,F169,F170,F171,F172)</f>
        <v>10055.3104682285</v>
      </c>
      <c r="G173" s="180"/>
      <c r="H173" s="180"/>
      <c r="I173" s="180"/>
      <c r="J173" s="180"/>
      <c r="K173" s="80">
        <f>SUM(K128,K142,K147,K148,K154,K159,K164,K166,K168,K169,K170,K171,K172)</f>
        <v>888.814032092788</v>
      </c>
      <c r="L173" s="80">
        <f>SUM(L128,L142,L147,L148,L154,L159,L164,L166,L168,L169,L170,L171,L172)</f>
        <v>7204.62247889952</v>
      </c>
      <c r="M173" s="80">
        <f>SUM(M128,M142,M147,M148,M154,M159,M164,M166,M168,M169,M170,M171,M172)</f>
        <v>3.0912</v>
      </c>
      <c r="N173" s="78">
        <f>SUM(N128,N142,N147,N148,N154,N159,N164,N166,N168,N169,N170,N171,N172)</f>
        <v>0</v>
      </c>
      <c r="O173" s="78">
        <f>SUM(O128,O142,O147,O148,O154,O159,O164,O166,O168,O169,O170,O171,O172)</f>
        <v>8096.52771099231</v>
      </c>
    </row>
    <row r="174" spans="2:15">
      <c r="B174" s="55"/>
      <c r="C174" s="55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</row>
    <row r="175" spans="2:15">
      <c r="B175" s="71" t="s">
        <v>1152</v>
      </c>
      <c r="C175" s="55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ht="15" spans="2:15">
      <c r="B176" s="71" t="s">
        <v>1137</v>
      </c>
      <c r="C176" s="55"/>
      <c r="D176" s="68">
        <f>'[18]Rev_SP-12me'!AJ208</f>
        <v>50</v>
      </c>
      <c r="E176" s="68">
        <f>'[18]Rev_SP-12me'!AL208</f>
        <v>843.2565546825</v>
      </c>
      <c r="F176" s="68">
        <f>'[18]Rev_SP-12me'!AQ208</f>
        <v>3799.82800293829</v>
      </c>
      <c r="G176" s="68">
        <f>'[18]Rev_SP-12me'!S208</f>
        <v>0</v>
      </c>
      <c r="H176" s="69">
        <f>'[18]Rev_SP-12me'!T208</f>
        <v>0</v>
      </c>
      <c r="I176" s="68">
        <f>'[18]Rev_SP-12me'!AC208</f>
        <v>0</v>
      </c>
      <c r="J176" s="7"/>
      <c r="K176" s="68">
        <f>'[18]Rev_SP-12me'!BN208</f>
        <v>404.7631462476</v>
      </c>
      <c r="L176" s="68">
        <f>'[18]Rev_SP-12me'!BO208</f>
        <v>2474.68925185116</v>
      </c>
      <c r="M176" s="68">
        <f>'[18]Rev_SP-12me'!BQ208</f>
        <v>0.294</v>
      </c>
      <c r="N176" s="7"/>
      <c r="O176" s="68">
        <f t="shared" ref="O176:O217" si="5">SUM(K176:N176)</f>
        <v>2879.74639809876</v>
      </c>
    </row>
    <row r="177" spans="2:15">
      <c r="B177" s="74" t="s">
        <v>1105</v>
      </c>
      <c r="C177" s="55"/>
      <c r="D177" s="79">
        <f>'[18]Rev_SP-12me'!AJ209</f>
        <v>50</v>
      </c>
      <c r="E177" s="79">
        <f>'[18]Rev_SP-12me'!AL209</f>
        <v>843.2565546825</v>
      </c>
      <c r="F177" s="79">
        <f>'[18]Rev_SP-12me'!AQ209</f>
        <v>727.317196017259</v>
      </c>
      <c r="G177" s="79">
        <f>'[18]Rev_SP-12me'!S209</f>
        <v>500</v>
      </c>
      <c r="H177" s="60">
        <f>'[18]Rev_SP-12me'!T209</f>
        <v>6.65</v>
      </c>
      <c r="I177" s="79">
        <f>'[18]Rev_SP-12me'!AC209</f>
        <v>5000</v>
      </c>
      <c r="J177" s="7"/>
      <c r="K177" s="79">
        <f>'[18]Rev_SP-12me'!BN209</f>
        <v>404.7631462476</v>
      </c>
      <c r="L177" s="79">
        <f>'[18]Rev_SP-12me'!BO209</f>
        <v>483.665935351477</v>
      </c>
      <c r="M177" s="79">
        <f>'[18]Rev_SP-12me'!BQ209</f>
        <v>0.294</v>
      </c>
      <c r="N177" s="7"/>
      <c r="O177" s="79">
        <f t="shared" si="5"/>
        <v>888.723081599077</v>
      </c>
    </row>
    <row r="178" spans="2:15">
      <c r="B178" s="74" t="s">
        <v>1139</v>
      </c>
      <c r="C178" s="55"/>
      <c r="D178" s="94">
        <f>'[18]Rev_SP-12me'!AJ210</f>
        <v>0</v>
      </c>
      <c r="E178" s="94">
        <f>'[18]Rev_SP-12me'!AL210</f>
        <v>0</v>
      </c>
      <c r="F178" s="94">
        <f>'[18]Rev_SP-12me'!AQ210</f>
        <v>220.344508273904</v>
      </c>
      <c r="G178" s="94">
        <f>'[18]Rev_SP-12me'!S210</f>
        <v>0</v>
      </c>
      <c r="H178" s="91">
        <f>'[18]Rev_SP-12me'!T210</f>
        <v>6.65</v>
      </c>
      <c r="I178" s="94">
        <f>'[18]Rev_SP-12me'!AC210</f>
        <v>5000</v>
      </c>
      <c r="J178" s="7"/>
      <c r="K178" s="94">
        <f>'[18]Rev_SP-12me'!BN210</f>
        <v>0</v>
      </c>
      <c r="L178" s="94">
        <f>'[18]Rev_SP-12me'!BO210</f>
        <v>146.529098002146</v>
      </c>
      <c r="M178" s="94">
        <f>'[18]Rev_SP-12me'!BQ210</f>
        <v>0</v>
      </c>
      <c r="N178" s="7"/>
      <c r="O178" s="79">
        <f t="shared" si="5"/>
        <v>146.529098002146</v>
      </c>
    </row>
    <row r="179" spans="2:15">
      <c r="B179" s="74" t="s">
        <v>1140</v>
      </c>
      <c r="C179" s="55"/>
      <c r="D179" s="94">
        <f>'[18]Rev_SP-12me'!AJ211</f>
        <v>0</v>
      </c>
      <c r="E179" s="94">
        <f>'[18]Rev_SP-12me'!AL211</f>
        <v>0</v>
      </c>
      <c r="F179" s="94">
        <f>'[18]Rev_SP-12me'!AQ211</f>
        <v>342.000435705284</v>
      </c>
      <c r="G179" s="94">
        <f>'[18]Rev_SP-12me'!S211</f>
        <v>0</v>
      </c>
      <c r="H179" s="91">
        <f>'[18]Rev_SP-12me'!T211</f>
        <v>7.3</v>
      </c>
      <c r="I179" s="94">
        <f>'[18]Rev_SP-12me'!AC211</f>
        <v>5000</v>
      </c>
      <c r="J179" s="7"/>
      <c r="K179" s="94">
        <f>'[18]Rev_SP-12me'!BN211</f>
        <v>0</v>
      </c>
      <c r="L179" s="94">
        <f>'[18]Rev_SP-12me'!BO211</f>
        <v>249.660318064858</v>
      </c>
      <c r="M179" s="94">
        <f>'[18]Rev_SP-12me'!BQ211</f>
        <v>0</v>
      </c>
      <c r="N179" s="7"/>
      <c r="O179" s="79">
        <f t="shared" si="5"/>
        <v>249.660318064858</v>
      </c>
    </row>
    <row r="180" spans="2:15">
      <c r="B180" s="74" t="s">
        <v>1141</v>
      </c>
      <c r="C180" s="55"/>
      <c r="D180" s="94">
        <f>'[18]Rev_SP-12me'!AJ212</f>
        <v>0</v>
      </c>
      <c r="E180" s="94">
        <f>'[18]Rev_SP-12me'!AL212</f>
        <v>0</v>
      </c>
      <c r="F180" s="94">
        <f>'[18]Rev_SP-12me'!AQ212</f>
        <v>0</v>
      </c>
      <c r="G180" s="94">
        <f>'[18]Rev_SP-12me'!S212</f>
        <v>500</v>
      </c>
      <c r="H180" s="91">
        <f>'[18]Rev_SP-12me'!T212</f>
        <v>7.7</v>
      </c>
      <c r="I180" s="94">
        <f>'[18]Rev_SP-12me'!AC212</f>
        <v>5000</v>
      </c>
      <c r="J180" s="7"/>
      <c r="K180" s="94">
        <f>'[18]Rev_SP-12me'!BN212</f>
        <v>0</v>
      </c>
      <c r="L180" s="94">
        <f>'[18]Rev_SP-12me'!BO212</f>
        <v>0</v>
      </c>
      <c r="M180" s="94">
        <f>'[18]Rev_SP-12me'!BQ212</f>
        <v>0</v>
      </c>
      <c r="N180" s="7"/>
      <c r="O180" s="79">
        <f t="shared" si="5"/>
        <v>0</v>
      </c>
    </row>
    <row r="181" spans="2:15">
      <c r="B181" s="76" t="s">
        <v>1120</v>
      </c>
      <c r="C181" s="55"/>
      <c r="D181" s="94">
        <f>'[18]Rev_SP-12me'!AJ213</f>
        <v>0</v>
      </c>
      <c r="E181" s="94">
        <f>'[18]Rev_SP-12me'!AL213</f>
        <v>0</v>
      </c>
      <c r="F181" s="94">
        <f>'[18]Rev_SP-12me'!AQ213</f>
        <v>586.236441608374</v>
      </c>
      <c r="G181" s="94">
        <f>'[18]Rev_SP-12me'!S213</f>
        <v>0</v>
      </c>
      <c r="H181" s="91">
        <f>'[18]Rev_SP-12me'!T213</f>
        <v>7.65</v>
      </c>
      <c r="I181" s="94">
        <f>'[18]Rev_SP-12me'!AC213</f>
        <v>5000</v>
      </c>
      <c r="J181" s="7"/>
      <c r="K181" s="94">
        <f>'[18]Rev_SP-12me'!BN213</f>
        <v>0</v>
      </c>
      <c r="L181" s="94">
        <f>'[18]Rev_SP-12me'!BO213</f>
        <v>448.470877830406</v>
      </c>
      <c r="M181" s="94">
        <f>'[18]Rev_SP-12me'!BQ213</f>
        <v>0</v>
      </c>
      <c r="N181" s="7"/>
      <c r="O181" s="79">
        <f t="shared" si="5"/>
        <v>448.470877830406</v>
      </c>
    </row>
    <row r="182" spans="2:15">
      <c r="B182" s="76" t="s">
        <v>1121</v>
      </c>
      <c r="C182" s="55"/>
      <c r="D182" s="94">
        <f>'[18]Rev_SP-12me'!AJ214</f>
        <v>0</v>
      </c>
      <c r="E182" s="94">
        <f>'[18]Rev_SP-12me'!AL214</f>
        <v>0</v>
      </c>
      <c r="F182" s="94">
        <f>'[18]Rev_SP-12me'!AQ214</f>
        <v>622.157482462135</v>
      </c>
      <c r="G182" s="94">
        <f>'[18]Rev_SP-12me'!S214</f>
        <v>0</v>
      </c>
      <c r="H182" s="91">
        <f>'[18]Rev_SP-12me'!T214</f>
        <v>7.65</v>
      </c>
      <c r="I182" s="94">
        <f>'[18]Rev_SP-12me'!AC214</f>
        <v>5000</v>
      </c>
      <c r="J182" s="7"/>
      <c r="K182" s="94">
        <f>'[18]Rev_SP-12me'!BN214</f>
        <v>0</v>
      </c>
      <c r="L182" s="94">
        <f>'[18]Rev_SP-12me'!BO214</f>
        <v>475.950474083533</v>
      </c>
      <c r="M182" s="94">
        <f>'[18]Rev_SP-12me'!BQ214</f>
        <v>0</v>
      </c>
      <c r="N182" s="7"/>
      <c r="O182" s="79">
        <f t="shared" si="5"/>
        <v>475.950474083533</v>
      </c>
    </row>
    <row r="183" spans="2:15">
      <c r="B183" s="76" t="s">
        <v>1122</v>
      </c>
      <c r="C183" s="55"/>
      <c r="D183" s="94">
        <f>'[18]Rev_SP-12me'!AJ215</f>
        <v>0</v>
      </c>
      <c r="E183" s="94">
        <f>'[18]Rev_SP-12me'!AL215</f>
        <v>0</v>
      </c>
      <c r="F183" s="94">
        <f>'[18]Rev_SP-12me'!AQ215</f>
        <v>1301.77193887133</v>
      </c>
      <c r="G183" s="94">
        <f>'[18]Rev_SP-12me'!S215</f>
        <v>0</v>
      </c>
      <c r="H183" s="91">
        <f>'[18]Rev_SP-12me'!T215</f>
        <v>5.15</v>
      </c>
      <c r="I183" s="94">
        <f>'[18]Rev_SP-12me'!AC215</f>
        <v>5000</v>
      </c>
      <c r="J183" s="7"/>
      <c r="K183" s="94">
        <f>'[18]Rev_SP-12me'!BN215</f>
        <v>0</v>
      </c>
      <c r="L183" s="94">
        <f>'[18]Rev_SP-12me'!BO215</f>
        <v>670.412548518735</v>
      </c>
      <c r="M183" s="94">
        <f>'[18]Rev_SP-12me'!BQ215</f>
        <v>0</v>
      </c>
      <c r="N183" s="7"/>
      <c r="O183" s="79">
        <f t="shared" si="5"/>
        <v>670.412548518735</v>
      </c>
    </row>
    <row r="184" ht="15" spans="2:15">
      <c r="B184" s="71" t="s">
        <v>1118</v>
      </c>
      <c r="C184" s="55"/>
      <c r="D184" s="39">
        <f>'[18]Rev_SP-12me'!AJ217</f>
        <v>0</v>
      </c>
      <c r="E184" s="68">
        <f>'[18]Rev_SP-12me'!AL217</f>
        <v>0</v>
      </c>
      <c r="F184" s="68">
        <f>'[18]Rev_SP-12me'!AQ217</f>
        <v>1202.64701559553</v>
      </c>
      <c r="G184" s="68">
        <f>'[18]Rev_SP-12me'!S217</f>
        <v>0</v>
      </c>
      <c r="H184" s="69">
        <f>'[18]Rev_SP-12me'!T217</f>
        <v>0</v>
      </c>
      <c r="I184" s="68">
        <f>'[18]Rev_SP-12me'!AC217</f>
        <v>20000</v>
      </c>
      <c r="J184" s="7"/>
      <c r="K184" s="68">
        <f>'[18]Rev_SP-12me'!BN217</f>
        <v>0</v>
      </c>
      <c r="L184" s="68">
        <f>'[18]Rev_SP-12me'!BO217</f>
        <v>779.577204085123</v>
      </c>
      <c r="M184" s="68">
        <f>'[18]Rev_SP-12me'!BQ217</f>
        <v>0</v>
      </c>
      <c r="N184" s="7"/>
      <c r="O184" s="68">
        <f t="shared" si="5"/>
        <v>779.577204085123</v>
      </c>
    </row>
    <row r="185" spans="2:15">
      <c r="B185" s="74" t="s">
        <v>1119</v>
      </c>
      <c r="C185" s="55"/>
      <c r="D185" s="98">
        <f>'[18]Rev_SP-12me'!AJ218</f>
        <v>0</v>
      </c>
      <c r="E185" s="183">
        <f>'[18]Rev_SP-12me'!AL218</f>
        <v>0</v>
      </c>
      <c r="F185" s="184">
        <f>'[18]Rev_SP-12me'!AQ218</f>
        <v>395.485654498784</v>
      </c>
      <c r="G185" s="98">
        <f>'[18]Rev_SP-12me'!S218</f>
        <v>500</v>
      </c>
      <c r="H185" s="91">
        <f>'[18]Rev_SP-12me'!T218</f>
        <v>6.65</v>
      </c>
      <c r="I185" s="94">
        <f>'[18]Rev_SP-12me'!AC218</f>
        <v>5000</v>
      </c>
      <c r="J185" s="7"/>
      <c r="K185" s="183">
        <f>'[18]Rev_SP-12me'!BN218</f>
        <v>0</v>
      </c>
      <c r="L185" s="183">
        <f>'[18]Rev_SP-12me'!BO218</f>
        <v>262.997960241691</v>
      </c>
      <c r="M185" s="183">
        <f>'[18]Rev_SP-12me'!BQ218</f>
        <v>0</v>
      </c>
      <c r="N185" s="7"/>
      <c r="O185" s="79">
        <f t="shared" si="5"/>
        <v>262.997960241691</v>
      </c>
    </row>
    <row r="186" spans="2:15">
      <c r="B186" s="74" t="s">
        <v>1120</v>
      </c>
      <c r="C186" s="55"/>
      <c r="D186" s="98">
        <f>'[18]Rev_SP-12me'!AJ219</f>
        <v>0</v>
      </c>
      <c r="E186" s="98">
        <f>'[18]Rev_SP-12me'!AL219</f>
        <v>0</v>
      </c>
      <c r="F186" s="184">
        <f>'[18]Rev_SP-12me'!AQ219</f>
        <v>203.26388237159</v>
      </c>
      <c r="G186" s="98">
        <f>'[18]Rev_SP-12me'!S219</f>
        <v>0</v>
      </c>
      <c r="H186" s="91">
        <f>'[18]Rev_SP-12me'!T219</f>
        <v>7.65</v>
      </c>
      <c r="I186" s="94">
        <f>'[18]Rev_SP-12me'!AC219</f>
        <v>5000</v>
      </c>
      <c r="J186" s="7"/>
      <c r="K186" s="98">
        <f>'[18]Rev_SP-12me'!BN219</f>
        <v>0</v>
      </c>
      <c r="L186" s="98">
        <f>'[18]Rev_SP-12me'!BO219</f>
        <v>155.496870014266</v>
      </c>
      <c r="M186" s="98">
        <f>'[18]Rev_SP-12me'!BQ219</f>
        <v>0</v>
      </c>
      <c r="N186" s="7"/>
      <c r="O186" s="79">
        <f t="shared" si="5"/>
        <v>155.496870014266</v>
      </c>
    </row>
    <row r="187" spans="2:15">
      <c r="B187" s="74" t="s">
        <v>1121</v>
      </c>
      <c r="C187" s="55"/>
      <c r="D187" s="98">
        <f>'[18]Rev_SP-12me'!AJ220</f>
        <v>0</v>
      </c>
      <c r="E187" s="98">
        <f>'[18]Rev_SP-12me'!AL220</f>
        <v>0</v>
      </c>
      <c r="F187" s="184">
        <f>'[18]Rev_SP-12me'!AQ220</f>
        <v>200.300689142847</v>
      </c>
      <c r="G187" s="98">
        <f>'[18]Rev_SP-12me'!S220</f>
        <v>0</v>
      </c>
      <c r="H187" s="91">
        <f>'[18]Rev_SP-12me'!T220</f>
        <v>7.65</v>
      </c>
      <c r="I187" s="94">
        <f>'[18]Rev_SP-12me'!AC220</f>
        <v>5000</v>
      </c>
      <c r="J187" s="7"/>
      <c r="K187" s="98">
        <f>'[18]Rev_SP-12me'!BN220</f>
        <v>0</v>
      </c>
      <c r="L187" s="98">
        <f>'[18]Rev_SP-12me'!BO220</f>
        <v>153.230027194278</v>
      </c>
      <c r="M187" s="98">
        <f>'[18]Rev_SP-12me'!BQ220</f>
        <v>0</v>
      </c>
      <c r="N187" s="7"/>
      <c r="O187" s="79">
        <f t="shared" si="5"/>
        <v>153.230027194278</v>
      </c>
    </row>
    <row r="188" spans="2:15">
      <c r="B188" s="74" t="s">
        <v>1122</v>
      </c>
      <c r="C188" s="55"/>
      <c r="D188" s="98">
        <f>'[18]Rev_SP-12me'!AJ221</f>
        <v>0</v>
      </c>
      <c r="E188" s="98">
        <f>'[18]Rev_SP-12me'!AL221</f>
        <v>0</v>
      </c>
      <c r="F188" s="184">
        <f>'[18]Rev_SP-12me'!AQ221</f>
        <v>403.596789582306</v>
      </c>
      <c r="G188" s="98">
        <f>'[18]Rev_SP-12me'!S221</f>
        <v>0</v>
      </c>
      <c r="H188" s="91">
        <f>'[18]Rev_SP-12me'!T221</f>
        <v>5.15</v>
      </c>
      <c r="I188" s="94">
        <f>'[18]Rev_SP-12me'!AC221</f>
        <v>5000</v>
      </c>
      <c r="J188" s="7"/>
      <c r="K188" s="98">
        <f>'[18]Rev_SP-12me'!BN221</f>
        <v>0</v>
      </c>
      <c r="L188" s="98">
        <f>'[18]Rev_SP-12me'!BO221</f>
        <v>207.852346634888</v>
      </c>
      <c r="M188" s="98">
        <f>'[18]Rev_SP-12me'!BQ221</f>
        <v>0</v>
      </c>
      <c r="N188" s="7"/>
      <c r="O188" s="79">
        <f t="shared" si="5"/>
        <v>207.852346634888</v>
      </c>
    </row>
    <row r="189" ht="15" spans="2:15">
      <c r="B189" s="71" t="s">
        <v>1153</v>
      </c>
      <c r="C189" s="55"/>
      <c r="D189" s="39">
        <f>'[18]Rev_SP-12me'!AJ216</f>
        <v>0</v>
      </c>
      <c r="E189" s="68">
        <f>'[18]Rev_SP-12me'!AL216</f>
        <v>0</v>
      </c>
      <c r="F189" s="68">
        <f>'[18]Rev_SP-12me'!AQ216</f>
        <v>152.9334297</v>
      </c>
      <c r="G189" s="68">
        <f>'[18]Rev_SP-12me'!S216</f>
        <v>500</v>
      </c>
      <c r="H189" s="69">
        <f>'[18]Rev_SP-12me'!T216</f>
        <v>6.65</v>
      </c>
      <c r="I189" s="68">
        <f>'[18]Rev_SP-12me'!AC216</f>
        <v>5000</v>
      </c>
      <c r="J189" s="7"/>
      <c r="K189" s="68">
        <f>'[18]Rev_SP-12me'!BN216</f>
        <v>0</v>
      </c>
      <c r="L189" s="68">
        <f>'[18]Rev_SP-12me'!BO216</f>
        <v>101.7007307505</v>
      </c>
      <c r="M189" s="68">
        <f>'[18]Rev_SP-12me'!BQ216</f>
        <v>0</v>
      </c>
      <c r="N189" s="7"/>
      <c r="O189" s="68">
        <f t="shared" si="5"/>
        <v>101.7007307505</v>
      </c>
    </row>
    <row r="190" ht="15" spans="2:15">
      <c r="B190" s="71" t="s">
        <v>1154</v>
      </c>
      <c r="C190" s="55"/>
      <c r="D190" s="68">
        <f>'[18]Rev_SP-12me'!AJ222</f>
        <v>10</v>
      </c>
      <c r="E190" s="68">
        <f>'[18]Rev_SP-12me'!AL222</f>
        <v>90.38962967643</v>
      </c>
      <c r="F190" s="68">
        <f>'[18]Rev_SP-12me'!AQ222</f>
        <v>345.646916498293</v>
      </c>
      <c r="G190" s="68">
        <f>'[18]Rev_SP-12me'!S222</f>
        <v>0</v>
      </c>
      <c r="H190" s="69">
        <f>'[18]Rev_SP-12me'!T222</f>
        <v>0</v>
      </c>
      <c r="I190" s="68">
        <f>'[18]Rev_SP-12me'!AC222</f>
        <v>0</v>
      </c>
      <c r="J190" s="7"/>
      <c r="K190" s="68">
        <f>'[18]Rev_SP-12me'!BN222</f>
        <v>43.3870222446864</v>
      </c>
      <c r="L190" s="68">
        <f>'[18]Rev_SP-12me'!BO222</f>
        <v>266.024650087319</v>
      </c>
      <c r="M190" s="68">
        <f>'[18]Rev_SP-12me'!BQ222</f>
        <v>0.057</v>
      </c>
      <c r="N190" s="7"/>
      <c r="O190" s="68">
        <f t="shared" si="5"/>
        <v>309.468672332005</v>
      </c>
    </row>
    <row r="191" spans="2:15">
      <c r="B191" s="76" t="s">
        <v>1119</v>
      </c>
      <c r="C191" s="55"/>
      <c r="D191" s="94">
        <f>'[18]Rev_SP-12me'!AJ223</f>
        <v>10</v>
      </c>
      <c r="E191" s="94">
        <f>'[18]Rev_SP-12me'!AL223</f>
        <v>90.38962967643</v>
      </c>
      <c r="F191" s="94">
        <f>'[18]Rev_SP-12me'!AQ223</f>
        <v>139.212098034898</v>
      </c>
      <c r="G191" s="94">
        <f>'[18]Rev_SP-12me'!S223</f>
        <v>500</v>
      </c>
      <c r="H191" s="91">
        <f>'[18]Rev_SP-12me'!T223</f>
        <v>7.8</v>
      </c>
      <c r="I191" s="94">
        <f>'[18]Rev_SP-12me'!AC223</f>
        <v>5000</v>
      </c>
      <c r="J191" s="7"/>
      <c r="K191" s="94">
        <f>'[18]Rev_SP-12me'!BN223</f>
        <v>43.3870222446864</v>
      </c>
      <c r="L191" s="94">
        <f>'[18]Rev_SP-12me'!BO223</f>
        <v>108.58543646722</v>
      </c>
      <c r="M191" s="94">
        <f>'[18]Rev_SP-12me'!BQ223</f>
        <v>0.057</v>
      </c>
      <c r="N191" s="7"/>
      <c r="O191" s="79">
        <f t="shared" si="5"/>
        <v>152.029458711906</v>
      </c>
    </row>
    <row r="192" spans="2:15">
      <c r="B192" s="76" t="s">
        <v>1120</v>
      </c>
      <c r="C192" s="55"/>
      <c r="D192" s="94">
        <f>'[18]Rev_SP-12me'!AJ224</f>
        <v>0</v>
      </c>
      <c r="E192" s="94">
        <f>'[18]Rev_SP-12me'!AL224</f>
        <v>0</v>
      </c>
      <c r="F192" s="94">
        <f>'[18]Rev_SP-12me'!AQ224</f>
        <v>54.3700971181525</v>
      </c>
      <c r="G192" s="94">
        <f>'[18]Rev_SP-12me'!S224</f>
        <v>0</v>
      </c>
      <c r="H192" s="91">
        <f>'[18]Rev_SP-12me'!T224</f>
        <v>8.8</v>
      </c>
      <c r="I192" s="94">
        <f>'[18]Rev_SP-12me'!AC224</f>
        <v>5000</v>
      </c>
      <c r="J192" s="7"/>
      <c r="K192" s="94">
        <f>'[18]Rev_SP-12me'!BN224</f>
        <v>0</v>
      </c>
      <c r="L192" s="94">
        <f>'[18]Rev_SP-12me'!BO224</f>
        <v>47.8456854639742</v>
      </c>
      <c r="M192" s="94">
        <f>'[18]Rev_SP-12me'!BQ224</f>
        <v>0</v>
      </c>
      <c r="N192" s="7"/>
      <c r="O192" s="79">
        <f t="shared" si="5"/>
        <v>47.8456854639742</v>
      </c>
    </row>
    <row r="193" spans="2:15">
      <c r="B193" s="76" t="s">
        <v>1121</v>
      </c>
      <c r="C193" s="55"/>
      <c r="D193" s="94">
        <f>'[18]Rev_SP-12me'!AJ225</f>
        <v>0</v>
      </c>
      <c r="E193" s="94">
        <f>'[18]Rev_SP-12me'!AL225</f>
        <v>0</v>
      </c>
      <c r="F193" s="94">
        <f>'[18]Rev_SP-12me'!AQ225</f>
        <v>55.171014834488</v>
      </c>
      <c r="G193" s="94">
        <f>'[18]Rev_SP-12me'!S225</f>
        <v>0</v>
      </c>
      <c r="H193" s="91">
        <f>'[18]Rev_SP-12me'!T225</f>
        <v>8.8</v>
      </c>
      <c r="I193" s="94">
        <f>'[18]Rev_SP-12me'!AC225</f>
        <v>5000</v>
      </c>
      <c r="J193" s="7"/>
      <c r="K193" s="94">
        <f>'[18]Rev_SP-12me'!BN225</f>
        <v>0</v>
      </c>
      <c r="L193" s="94">
        <f>'[18]Rev_SP-12me'!BO225</f>
        <v>48.5504930543494</v>
      </c>
      <c r="M193" s="94">
        <f>'[18]Rev_SP-12me'!BQ225</f>
        <v>0</v>
      </c>
      <c r="N193" s="7"/>
      <c r="O193" s="79">
        <f t="shared" si="5"/>
        <v>48.5504930543494</v>
      </c>
    </row>
    <row r="194" spans="2:15">
      <c r="B194" s="76" t="s">
        <v>1122</v>
      </c>
      <c r="C194" s="55"/>
      <c r="D194" s="94">
        <f>'[18]Rev_SP-12me'!AJ226</f>
        <v>0</v>
      </c>
      <c r="E194" s="94">
        <f>'[18]Rev_SP-12me'!AL226</f>
        <v>0</v>
      </c>
      <c r="F194" s="94">
        <f>'[18]Rev_SP-12me'!AQ226</f>
        <v>96.8937065107546</v>
      </c>
      <c r="G194" s="94">
        <f>'[18]Rev_SP-12me'!S226</f>
        <v>0</v>
      </c>
      <c r="H194" s="91">
        <f>'[18]Rev_SP-12me'!T226</f>
        <v>6.3</v>
      </c>
      <c r="I194" s="94">
        <f>'[18]Rev_SP-12me'!AC226</f>
        <v>5000</v>
      </c>
      <c r="J194" s="7"/>
      <c r="K194" s="94">
        <f>'[18]Rev_SP-12me'!BN226</f>
        <v>0</v>
      </c>
      <c r="L194" s="94">
        <f>'[18]Rev_SP-12me'!BO226</f>
        <v>61.0430351017754</v>
      </c>
      <c r="M194" s="94">
        <f>'[18]Rev_SP-12me'!BQ226</f>
        <v>0</v>
      </c>
      <c r="N194" s="7"/>
      <c r="O194" s="79">
        <f t="shared" si="5"/>
        <v>61.0430351017754</v>
      </c>
    </row>
    <row r="195" ht="15" spans="2:15">
      <c r="B195" s="71" t="s">
        <v>1125</v>
      </c>
      <c r="C195" s="55"/>
      <c r="D195" s="68">
        <f>'[18]Rev_SP-12me'!AJ227</f>
        <v>0</v>
      </c>
      <c r="E195" s="68">
        <f>'[18]Rev_SP-12me'!AL227</f>
        <v>0</v>
      </c>
      <c r="F195" s="68">
        <f>'[18]Rev_SP-12me'!AQ227</f>
        <v>0</v>
      </c>
      <c r="G195" s="68">
        <f>'[18]Rev_SP-12me'!S227</f>
        <v>0</v>
      </c>
      <c r="H195" s="69">
        <f>'[18]Rev_SP-12me'!T227</f>
        <v>0</v>
      </c>
      <c r="I195" s="68">
        <f>'[18]Rev_SP-12me'!AC227</f>
        <v>0</v>
      </c>
      <c r="J195" s="7"/>
      <c r="K195" s="68">
        <f>'[18]Rev_SP-12me'!BN227</f>
        <v>0</v>
      </c>
      <c r="L195" s="68">
        <f>'[18]Rev_SP-12me'!BO227</f>
        <v>0</v>
      </c>
      <c r="M195" s="68">
        <f>'[18]Rev_SP-12me'!BQ227</f>
        <v>0</v>
      </c>
      <c r="N195" s="7"/>
      <c r="O195" s="68">
        <f t="shared" si="5"/>
        <v>0</v>
      </c>
    </row>
    <row r="196" spans="2:15">
      <c r="B196" s="74" t="s">
        <v>1119</v>
      </c>
      <c r="C196" s="55"/>
      <c r="D196" s="94">
        <f>'[18]Rev_SP-12me'!AJ228</f>
        <v>0</v>
      </c>
      <c r="E196" s="94">
        <f>'[18]Rev_SP-12me'!AL228</f>
        <v>0</v>
      </c>
      <c r="F196" s="94">
        <f>'[18]Rev_SP-12me'!AQ228</f>
        <v>0</v>
      </c>
      <c r="G196" s="94">
        <f>'[18]Rev_SP-12me'!S228</f>
        <v>285</v>
      </c>
      <c r="H196" s="91">
        <f>'[18]Rev_SP-12me'!T228</f>
        <v>5</v>
      </c>
      <c r="I196" s="94">
        <f>'[18]Rev_SP-12me'!AC228</f>
        <v>5000</v>
      </c>
      <c r="J196" s="7"/>
      <c r="K196" s="94">
        <f>'[18]Rev_SP-12me'!BN228</f>
        <v>0</v>
      </c>
      <c r="L196" s="94">
        <f>'[18]Rev_SP-12me'!BO228</f>
        <v>0</v>
      </c>
      <c r="M196" s="94">
        <f>'[18]Rev_SP-12me'!BQ228</f>
        <v>0</v>
      </c>
      <c r="N196" s="7"/>
      <c r="O196" s="79">
        <f t="shared" si="5"/>
        <v>0</v>
      </c>
    </row>
    <row r="197" spans="2:15">
      <c r="B197" s="74" t="s">
        <v>1120</v>
      </c>
      <c r="C197" s="55"/>
      <c r="D197" s="94">
        <f>'[18]Rev_SP-12me'!AJ229</f>
        <v>0</v>
      </c>
      <c r="E197" s="94">
        <f>'[18]Rev_SP-12me'!AL229</f>
        <v>0</v>
      </c>
      <c r="F197" s="94">
        <f>'[18]Rev_SP-12me'!AQ229</f>
        <v>0</v>
      </c>
      <c r="G197" s="94">
        <f>'[18]Rev_SP-12me'!S229</f>
        <v>0</v>
      </c>
      <c r="H197" s="91">
        <f>'[18]Rev_SP-12me'!T229</f>
        <v>6</v>
      </c>
      <c r="I197" s="94">
        <f>'[18]Rev_SP-12me'!AC229</f>
        <v>5000</v>
      </c>
      <c r="J197" s="7"/>
      <c r="K197" s="94">
        <f>'[18]Rev_SP-12me'!BN229</f>
        <v>0</v>
      </c>
      <c r="L197" s="94">
        <f>'[18]Rev_SP-12me'!BO229</f>
        <v>0</v>
      </c>
      <c r="M197" s="94">
        <f>'[18]Rev_SP-12me'!BQ229</f>
        <v>0</v>
      </c>
      <c r="N197" s="7"/>
      <c r="O197" s="79">
        <f t="shared" si="5"/>
        <v>0</v>
      </c>
    </row>
    <row r="198" spans="2:15">
      <c r="B198" s="74" t="s">
        <v>1121</v>
      </c>
      <c r="C198" s="55"/>
      <c r="D198" s="94">
        <f>'[18]Rev_SP-12me'!AJ230</f>
        <v>0</v>
      </c>
      <c r="E198" s="94">
        <f>'[18]Rev_SP-12me'!AL230</f>
        <v>0</v>
      </c>
      <c r="F198" s="94">
        <f>'[18]Rev_SP-12me'!AQ230</f>
        <v>0</v>
      </c>
      <c r="G198" s="94">
        <f>'[18]Rev_SP-12me'!S230</f>
        <v>0</v>
      </c>
      <c r="H198" s="91">
        <f>'[18]Rev_SP-12me'!T230</f>
        <v>6</v>
      </c>
      <c r="I198" s="94">
        <f>'[18]Rev_SP-12me'!AC230</f>
        <v>5000</v>
      </c>
      <c r="J198" s="7"/>
      <c r="K198" s="94">
        <f>'[18]Rev_SP-12me'!BN230</f>
        <v>0</v>
      </c>
      <c r="L198" s="94">
        <f>'[18]Rev_SP-12me'!BO230</f>
        <v>0</v>
      </c>
      <c r="M198" s="94">
        <f>'[18]Rev_SP-12me'!BQ230</f>
        <v>0</v>
      </c>
      <c r="N198" s="7"/>
      <c r="O198" s="79">
        <f t="shared" si="5"/>
        <v>0</v>
      </c>
    </row>
    <row r="199" spans="2:15">
      <c r="B199" s="74" t="s">
        <v>1122</v>
      </c>
      <c r="C199" s="55"/>
      <c r="D199" s="94">
        <f>'[18]Rev_SP-12me'!AJ231</f>
        <v>0</v>
      </c>
      <c r="E199" s="94">
        <f>'[18]Rev_SP-12me'!AL231</f>
        <v>0</v>
      </c>
      <c r="F199" s="94">
        <f>'[18]Rev_SP-12me'!AQ231</f>
        <v>0</v>
      </c>
      <c r="G199" s="94">
        <f>'[18]Rev_SP-12me'!S231</f>
        <v>0</v>
      </c>
      <c r="H199" s="91">
        <f>'[18]Rev_SP-12me'!T231</f>
        <v>3.5</v>
      </c>
      <c r="I199" s="94">
        <f>'[18]Rev_SP-12me'!AC231</f>
        <v>5000</v>
      </c>
      <c r="J199" s="7"/>
      <c r="K199" s="94">
        <f>'[18]Rev_SP-12me'!BN231</f>
        <v>0</v>
      </c>
      <c r="L199" s="94">
        <f>'[18]Rev_SP-12me'!BO231</f>
        <v>0</v>
      </c>
      <c r="M199" s="94">
        <f>'[18]Rev_SP-12me'!BQ231</f>
        <v>0</v>
      </c>
      <c r="N199" s="7"/>
      <c r="O199" s="79">
        <f t="shared" si="5"/>
        <v>0</v>
      </c>
    </row>
    <row r="200" ht="15" spans="2:15">
      <c r="B200" s="71" t="s">
        <v>1126</v>
      </c>
      <c r="C200" s="55"/>
      <c r="D200" s="68">
        <f>'[18]Rev_SP-12me'!AJ232</f>
        <v>1</v>
      </c>
      <c r="E200" s="68">
        <f>'[18]Rev_SP-12me'!AL232</f>
        <v>18.9766627999478</v>
      </c>
      <c r="F200" s="68">
        <f>'[18]Rev_SP-12me'!AQ232</f>
        <v>133.669346242745</v>
      </c>
      <c r="G200" s="68">
        <f>'[18]Rev_SP-12me'!S232</f>
        <v>0</v>
      </c>
      <c r="H200" s="69">
        <f>'[18]Rev_SP-12me'!T232</f>
        <v>0</v>
      </c>
      <c r="I200" s="68">
        <f>'[18]Rev_SP-12me'!AC232</f>
        <v>0</v>
      </c>
      <c r="J200" s="7"/>
      <c r="K200" s="68">
        <f>'[18]Rev_SP-12me'!BN232</f>
        <v>9.10879814397494</v>
      </c>
      <c r="L200" s="68">
        <f>'[18]Rev_SP-12me'!BO232</f>
        <v>97.0957702967231</v>
      </c>
      <c r="M200" s="68">
        <f>'[18]Rev_SP-12me'!BQ232</f>
        <v>0.006</v>
      </c>
      <c r="N200" s="7"/>
      <c r="O200" s="68">
        <f t="shared" si="5"/>
        <v>106.210568440698</v>
      </c>
    </row>
    <row r="201" spans="2:15">
      <c r="B201" s="76" t="s">
        <v>1119</v>
      </c>
      <c r="C201" s="55"/>
      <c r="D201" s="94">
        <f>'[18]Rev_SP-12me'!AJ233</f>
        <v>1</v>
      </c>
      <c r="E201" s="94">
        <f>'[18]Rev_SP-12me'!AL233</f>
        <v>18.9766627999478</v>
      </c>
      <c r="F201" s="94">
        <f>'[18]Rev_SP-12me'!AQ233</f>
        <v>38.7097992593339</v>
      </c>
      <c r="G201" s="94">
        <f>'[18]Rev_SP-12me'!S233</f>
        <v>500</v>
      </c>
      <c r="H201" s="91">
        <f>'[18]Rev_SP-12me'!T233</f>
        <v>7.45</v>
      </c>
      <c r="I201" s="94">
        <f>'[18]Rev_SP-12me'!AC233</f>
        <v>5000</v>
      </c>
      <c r="J201" s="7"/>
      <c r="K201" s="94">
        <f>'[18]Rev_SP-12me'!BN233</f>
        <v>9.10879814397494</v>
      </c>
      <c r="L201" s="94">
        <f>'[18]Rev_SP-12me'!BO233</f>
        <v>28.8388004482037</v>
      </c>
      <c r="M201" s="94">
        <f>'[18]Rev_SP-12me'!BQ233</f>
        <v>0.006</v>
      </c>
      <c r="N201" s="7"/>
      <c r="O201" s="79">
        <f t="shared" si="5"/>
        <v>37.9535985921786</v>
      </c>
    </row>
    <row r="202" spans="2:15">
      <c r="B202" s="76" t="s">
        <v>1120</v>
      </c>
      <c r="C202" s="55"/>
      <c r="D202" s="94">
        <f>'[18]Rev_SP-12me'!AJ234</f>
        <v>0</v>
      </c>
      <c r="E202" s="94">
        <f>'[18]Rev_SP-12me'!AL234</f>
        <v>0</v>
      </c>
      <c r="F202" s="94">
        <f>'[18]Rev_SP-12me'!AQ234</f>
        <v>23.9109256623896</v>
      </c>
      <c r="G202" s="94">
        <f>'[18]Rev_SP-12me'!S234</f>
        <v>0</v>
      </c>
      <c r="H202" s="91">
        <f>'[18]Rev_SP-12me'!T234</f>
        <v>8.45</v>
      </c>
      <c r="I202" s="94">
        <f>'[18]Rev_SP-12me'!AC234</f>
        <v>5000</v>
      </c>
      <c r="J202" s="7"/>
      <c r="K202" s="94">
        <f>'[18]Rev_SP-12me'!BN234</f>
        <v>0</v>
      </c>
      <c r="L202" s="94">
        <f>'[18]Rev_SP-12me'!BO234</f>
        <v>20.2047321847192</v>
      </c>
      <c r="M202" s="94">
        <f>'[18]Rev_SP-12me'!BQ234</f>
        <v>0</v>
      </c>
      <c r="N202" s="7"/>
      <c r="O202" s="79">
        <f t="shared" si="5"/>
        <v>20.2047321847192</v>
      </c>
    </row>
    <row r="203" spans="2:15">
      <c r="B203" s="76" t="s">
        <v>1121</v>
      </c>
      <c r="C203" s="55"/>
      <c r="D203" s="94">
        <f>'[18]Rev_SP-12me'!AJ235</f>
        <v>0</v>
      </c>
      <c r="E203" s="94">
        <f>'[18]Rev_SP-12me'!AL235</f>
        <v>0</v>
      </c>
      <c r="F203" s="94">
        <f>'[18]Rev_SP-12me'!AQ235</f>
        <v>23.1132319111684</v>
      </c>
      <c r="G203" s="94">
        <f>'[18]Rev_SP-12me'!S235</f>
        <v>0</v>
      </c>
      <c r="H203" s="91">
        <f>'[18]Rev_SP-12me'!T235</f>
        <v>8.45</v>
      </c>
      <c r="I203" s="94">
        <f>'[18]Rev_SP-12me'!AC235</f>
        <v>5000</v>
      </c>
      <c r="J203" s="7"/>
      <c r="K203" s="94">
        <f>'[18]Rev_SP-12me'!BN235</f>
        <v>0</v>
      </c>
      <c r="L203" s="94">
        <f>'[18]Rev_SP-12me'!BO235</f>
        <v>19.5306809649373</v>
      </c>
      <c r="M203" s="94">
        <f>'[18]Rev_SP-12me'!BQ235</f>
        <v>0</v>
      </c>
      <c r="N203" s="7"/>
      <c r="O203" s="79">
        <f t="shared" si="5"/>
        <v>19.5306809649373</v>
      </c>
    </row>
    <row r="204" spans="2:15">
      <c r="B204" s="76" t="s">
        <v>1122</v>
      </c>
      <c r="C204" s="55"/>
      <c r="D204" s="94">
        <f>'[18]Rev_SP-12me'!AJ236</f>
        <v>0</v>
      </c>
      <c r="E204" s="94">
        <f>'[18]Rev_SP-12me'!AL236</f>
        <v>0</v>
      </c>
      <c r="F204" s="94">
        <f>'[18]Rev_SP-12me'!AQ236</f>
        <v>47.9353894098535</v>
      </c>
      <c r="G204" s="94">
        <f>'[18]Rev_SP-12me'!S236</f>
        <v>0</v>
      </c>
      <c r="H204" s="91">
        <f>'[18]Rev_SP-12me'!T236</f>
        <v>5.95</v>
      </c>
      <c r="I204" s="94">
        <f>'[18]Rev_SP-12me'!AC236</f>
        <v>5000</v>
      </c>
      <c r="J204" s="7"/>
      <c r="K204" s="94">
        <f>'[18]Rev_SP-12me'!BN236</f>
        <v>0</v>
      </c>
      <c r="L204" s="94">
        <f>'[18]Rev_SP-12me'!BO236</f>
        <v>28.5215566988629</v>
      </c>
      <c r="M204" s="94">
        <f>'[18]Rev_SP-12me'!BQ236</f>
        <v>0</v>
      </c>
      <c r="N204" s="7"/>
      <c r="O204" s="79">
        <f t="shared" si="5"/>
        <v>28.5215566988629</v>
      </c>
    </row>
    <row r="205" ht="15" spans="2:15">
      <c r="B205" s="71" t="s">
        <v>1155</v>
      </c>
      <c r="C205" s="55"/>
      <c r="D205" s="68">
        <f>'[18]Rev_SP-12me'!AJ237</f>
        <v>21</v>
      </c>
      <c r="E205" s="68">
        <f>'[18]Rev_SP-12me'!AL237</f>
        <v>729.45965295</v>
      </c>
      <c r="F205" s="68">
        <f>'[18]Rev_SP-12me'!AQ237</f>
        <v>1644.29824476694</v>
      </c>
      <c r="G205" s="68">
        <f>'[18]Rev_SP-12me'!S237</f>
        <v>0</v>
      </c>
      <c r="H205" s="69">
        <f>'[18]Rev_SP-12me'!T237</f>
        <v>0</v>
      </c>
      <c r="I205" s="68">
        <f>'[18]Rev_SP-12me'!AC237</f>
        <v>0</v>
      </c>
      <c r="J205" s="7"/>
      <c r="K205" s="68">
        <f>'[18]Rev_SP-12me'!BN237</f>
        <v>125.831790133875</v>
      </c>
      <c r="L205" s="68">
        <f>'[18]Rev_SP-12me'!BO237</f>
        <v>1035.90789420317</v>
      </c>
      <c r="M205" s="68">
        <f>'[18]Rev_SP-12me'!BQ237</f>
        <v>0.126</v>
      </c>
      <c r="N205" s="7"/>
      <c r="O205" s="68">
        <f t="shared" si="5"/>
        <v>1161.86568433704</v>
      </c>
    </row>
    <row r="206" spans="2:15">
      <c r="B206" s="74" t="s">
        <v>1128</v>
      </c>
      <c r="C206" s="55"/>
      <c r="D206" s="94">
        <f>'[18]Rev_SP-12me'!AJ238</f>
        <v>21</v>
      </c>
      <c r="E206" s="94">
        <f>'[18]Rev_SP-12me'!AL238</f>
        <v>729.45965295</v>
      </c>
      <c r="F206" s="94">
        <f>'[18]Rev_SP-12me'!AQ238</f>
        <v>1644.29824476694</v>
      </c>
      <c r="G206" s="94">
        <f>'[18]Rev_SP-12me'!S238</f>
        <v>300</v>
      </c>
      <c r="H206" s="91">
        <f>'[18]Rev_SP-12me'!T238</f>
        <v>6.3</v>
      </c>
      <c r="I206" s="94">
        <f>'[18]Rev_SP-12me'!AC238</f>
        <v>5000</v>
      </c>
      <c r="J206" s="7"/>
      <c r="K206" s="94">
        <f>'[18]Rev_SP-12me'!BN238</f>
        <v>125.831790133875</v>
      </c>
      <c r="L206" s="94">
        <f>'[18]Rev_SP-12me'!BO238</f>
        <v>1035.90789420317</v>
      </c>
      <c r="M206" s="94">
        <f>'[18]Rev_SP-12me'!BQ238</f>
        <v>0.126</v>
      </c>
      <c r="N206" s="7"/>
      <c r="O206" s="79">
        <f t="shared" si="5"/>
        <v>1161.86568433704</v>
      </c>
    </row>
    <row r="207" spans="2:15">
      <c r="B207" s="74" t="s">
        <v>1156</v>
      </c>
      <c r="C207" s="55"/>
      <c r="D207" s="94">
        <f>'[18]Rev_SP-12me'!AJ239</f>
        <v>0</v>
      </c>
      <c r="E207" s="94">
        <f>'[18]Rev_SP-12me'!AL239</f>
        <v>0</v>
      </c>
      <c r="F207" s="94">
        <f>'[18]Rev_SP-12me'!AQ239</f>
        <v>0</v>
      </c>
      <c r="G207" s="94">
        <f>'[18]Rev_SP-12me'!S239</f>
        <v>275</v>
      </c>
      <c r="H207" s="91">
        <f>'[18]Rev_SP-12me'!T239</f>
        <v>6.3</v>
      </c>
      <c r="I207" s="94">
        <f>'[18]Rev_SP-12me'!AC239</f>
        <v>5000</v>
      </c>
      <c r="J207" s="7"/>
      <c r="K207" s="94">
        <f>'[18]Rev_SP-12me'!BN239</f>
        <v>0</v>
      </c>
      <c r="L207" s="94">
        <f>'[18]Rev_SP-12me'!BO239</f>
        <v>0</v>
      </c>
      <c r="M207" s="94">
        <f>'[18]Rev_SP-12me'!BQ239</f>
        <v>0</v>
      </c>
      <c r="N207" s="7"/>
      <c r="O207" s="79">
        <f t="shared" si="5"/>
        <v>0</v>
      </c>
    </row>
    <row r="208" ht="15" spans="2:15">
      <c r="B208" s="71" t="s">
        <v>1157</v>
      </c>
      <c r="C208" s="55"/>
      <c r="D208" s="39">
        <f>'[18]Rev_SP-12me'!AJ247</f>
        <v>2</v>
      </c>
      <c r="E208" s="68">
        <f>'[18]Rev_SP-12me'!AL247</f>
        <v>56.475972</v>
      </c>
      <c r="F208" s="68">
        <f>'[18]Rev_SP-12me'!AQ247</f>
        <v>311.591330244946</v>
      </c>
      <c r="G208" s="68">
        <f>'[18]Rev_SP-12me'!S247</f>
        <v>0</v>
      </c>
      <c r="H208" s="69">
        <f>'[18]Rev_SP-12me'!T247</f>
        <v>0</v>
      </c>
      <c r="I208" s="68">
        <f>'[18]Rev_SP-12me'!AC247</f>
        <v>0</v>
      </c>
      <c r="J208" s="7"/>
      <c r="K208" s="68">
        <f>'[18]Rev_SP-12me'!BN247</f>
        <v>0</v>
      </c>
      <c r="L208" s="68">
        <f>'[18]Rev_SP-12me'!BO247</f>
        <v>190.070711449417</v>
      </c>
      <c r="M208" s="68">
        <f>'[18]Rev_SP-12me'!BQ247</f>
        <v>0.012</v>
      </c>
      <c r="N208" s="7"/>
      <c r="O208" s="68">
        <f t="shared" si="5"/>
        <v>190.082711449417</v>
      </c>
    </row>
    <row r="209" spans="2:15">
      <c r="B209" s="74" t="s">
        <v>220</v>
      </c>
      <c r="C209" s="55"/>
      <c r="D209" s="98">
        <f>'[18]Rev_SP-12me'!AJ248</f>
        <v>2</v>
      </c>
      <c r="E209" s="94">
        <f>'[18]Rev_SP-12me'!AL248</f>
        <v>56.475972</v>
      </c>
      <c r="F209" s="94">
        <f>'[18]Rev_SP-12me'!AQ248</f>
        <v>311.591330244946</v>
      </c>
      <c r="G209" s="94">
        <f>'[18]Rev_SP-12me'!S248</f>
        <v>0</v>
      </c>
      <c r="H209" s="91">
        <f>'[18]Rev_SP-12me'!T248</f>
        <v>6.1</v>
      </c>
      <c r="I209" s="94">
        <f>'[18]Rev_SP-12me'!AC248</f>
        <v>5000</v>
      </c>
      <c r="J209" s="7"/>
      <c r="K209" s="94">
        <f>'[18]Rev_SP-12me'!BN248</f>
        <v>0</v>
      </c>
      <c r="L209" s="94">
        <f>'[18]Rev_SP-12me'!BO248</f>
        <v>190.070711449417</v>
      </c>
      <c r="M209" s="94">
        <f>'[18]Rev_SP-12me'!BQ248</f>
        <v>0.012</v>
      </c>
      <c r="N209" s="7"/>
      <c r="O209" s="79">
        <f t="shared" si="5"/>
        <v>190.082711449417</v>
      </c>
    </row>
    <row r="210" ht="15" spans="2:15">
      <c r="B210" s="71" t="s">
        <v>1158</v>
      </c>
      <c r="C210" s="55"/>
      <c r="D210" s="39">
        <f>'[18]Rev_SP-12me'!AJ249</f>
        <v>0</v>
      </c>
      <c r="E210" s="39">
        <f>'[18]Rev_SP-12me'!AL249</f>
        <v>0</v>
      </c>
      <c r="F210" s="39">
        <f>'[18]Rev_SP-12me'!AQ249</f>
        <v>0</v>
      </c>
      <c r="G210" s="39">
        <f>'[18]Rev_SP-12me'!S249</f>
        <v>0</v>
      </c>
      <c r="H210" s="69">
        <f>'[18]Rev_SP-12me'!T249</f>
        <v>0</v>
      </c>
      <c r="I210" s="68">
        <f>'[18]Rev_SP-12me'!AC249</f>
        <v>0</v>
      </c>
      <c r="J210" s="7"/>
      <c r="K210" s="39">
        <f>'[18]Rev_SP-12me'!BN249</f>
        <v>0</v>
      </c>
      <c r="L210" s="39">
        <f>'[18]Rev_SP-12me'!BO249</f>
        <v>0</v>
      </c>
      <c r="M210" s="39">
        <f>'[18]Rev_SP-12me'!BQ249</f>
        <v>0</v>
      </c>
      <c r="N210" s="7"/>
      <c r="O210" s="79">
        <f t="shared" si="5"/>
        <v>0</v>
      </c>
    </row>
    <row r="211" ht="15" spans="2:15">
      <c r="B211" s="88" t="s">
        <v>1159</v>
      </c>
      <c r="C211" s="55"/>
      <c r="D211" s="68">
        <f>'[18]Rev_SP-12me'!AJ240</f>
        <v>17</v>
      </c>
      <c r="E211" s="68">
        <f>'[18]Rev_SP-12me'!AL240</f>
        <v>215.029229625</v>
      </c>
      <c r="F211" s="68">
        <f>'[18]Rev_SP-12me'!AQ240</f>
        <v>1714.42202916757</v>
      </c>
      <c r="G211" s="68">
        <f>'[18]Rev_SP-12me'!S240</f>
        <v>0</v>
      </c>
      <c r="H211" s="69">
        <f>'[18]Rev_SP-12me'!T240</f>
        <v>0</v>
      </c>
      <c r="I211" s="68">
        <f>'[18]Rev_SP-12me'!AC240</f>
        <v>0</v>
      </c>
      <c r="J211" s="7"/>
      <c r="K211" s="68">
        <f>'[18]Rev_SP-12me'!BN240</f>
        <v>103.21403022</v>
      </c>
      <c r="L211" s="68">
        <f>'[18]Rev_SP-12me'!BO240</f>
        <v>863.27267809604</v>
      </c>
      <c r="M211" s="68">
        <f>'[18]Rev_SP-12me'!BQ240</f>
        <v>0.102</v>
      </c>
      <c r="N211" s="7"/>
      <c r="O211" s="68">
        <f t="shared" si="5"/>
        <v>966.58870831604</v>
      </c>
    </row>
    <row r="212" spans="2:15">
      <c r="B212" s="74" t="s">
        <v>1160</v>
      </c>
      <c r="C212" s="55"/>
      <c r="D212" s="94">
        <f>'[18]Rev_SP-12me'!AJ241</f>
        <v>17</v>
      </c>
      <c r="E212" s="94">
        <f>'[18]Rev_SP-12me'!AL241</f>
        <v>215.029229625</v>
      </c>
      <c r="F212" s="94">
        <f>'[18]Rev_SP-12me'!AQ241</f>
        <v>1463.37736580925</v>
      </c>
      <c r="G212" s="94">
        <f>'[18]Rev_SP-12me'!S241</f>
        <v>500</v>
      </c>
      <c r="H212" s="91">
        <f>'[18]Rev_SP-12me'!T241</f>
        <v>5.05</v>
      </c>
      <c r="I212" s="94">
        <f>'[18]Rev_SP-12me'!AC241</f>
        <v>5000</v>
      </c>
      <c r="J212" s="7"/>
      <c r="K212" s="94">
        <f>'[18]Rev_SP-12me'!BN241</f>
        <v>103.21403022</v>
      </c>
      <c r="L212" s="94">
        <f>'[18]Rev_SP-12me'!BO241</f>
        <v>739.005569733669</v>
      </c>
      <c r="M212" s="94">
        <f>'[18]Rev_SP-12me'!BQ241</f>
        <v>0.102</v>
      </c>
      <c r="N212" s="7"/>
      <c r="O212" s="79">
        <f t="shared" si="5"/>
        <v>842.321599953669</v>
      </c>
    </row>
    <row r="213" spans="2:15">
      <c r="B213" s="74" t="s">
        <v>1161</v>
      </c>
      <c r="C213" s="55"/>
      <c r="D213" s="94">
        <f>'[18]Rev_SP-12me'!AJ242</f>
        <v>0</v>
      </c>
      <c r="E213" s="94">
        <f>'[18]Rev_SP-12me'!AL242</f>
        <v>0</v>
      </c>
      <c r="F213" s="94">
        <f>'[18]Rev_SP-12me'!AQ242</f>
        <v>0</v>
      </c>
      <c r="G213" s="94">
        <f>'[18]Rev_SP-12me'!S242</f>
        <v>0</v>
      </c>
      <c r="H213" s="91">
        <f>'[18]Rev_SP-12me'!T242</f>
        <v>0</v>
      </c>
      <c r="I213" s="94">
        <f>'[18]Rev_SP-12me'!AC242</f>
        <v>5000</v>
      </c>
      <c r="J213" s="7"/>
      <c r="K213" s="94">
        <f>'[18]Rev_SP-12me'!BN242</f>
        <v>0</v>
      </c>
      <c r="L213" s="94">
        <f>'[18]Rev_SP-12me'!BO242</f>
        <v>0</v>
      </c>
      <c r="M213" s="94">
        <f>'[18]Rev_SP-12me'!BQ242</f>
        <v>0</v>
      </c>
      <c r="N213" s="7"/>
      <c r="O213" s="79">
        <f t="shared" si="5"/>
        <v>0</v>
      </c>
    </row>
    <row r="214" spans="2:15">
      <c r="B214" s="74" t="s">
        <v>1162</v>
      </c>
      <c r="C214" s="55"/>
      <c r="D214" s="94">
        <f>'[18]Rev_SP-12me'!AJ243</f>
        <v>0</v>
      </c>
      <c r="E214" s="94">
        <f>'[18]Rev_SP-12me'!AL243</f>
        <v>0</v>
      </c>
      <c r="F214" s="94">
        <f>'[18]Rev_SP-12me'!AQ243</f>
        <v>251.044663358325</v>
      </c>
      <c r="G214" s="94">
        <f>'[18]Rev_SP-12me'!S243</f>
        <v>500</v>
      </c>
      <c r="H214" s="91">
        <f>'[18]Rev_SP-12me'!T243</f>
        <v>4.95</v>
      </c>
      <c r="I214" s="94">
        <f>'[18]Rev_SP-12me'!AC243</f>
        <v>5000</v>
      </c>
      <c r="J214" s="7"/>
      <c r="K214" s="94">
        <f>'[18]Rev_SP-12me'!BN243</f>
        <v>0</v>
      </c>
      <c r="L214" s="94">
        <f>'[18]Rev_SP-12me'!BO243</f>
        <v>124.267108362371</v>
      </c>
      <c r="M214" s="94">
        <f>'[18]Rev_SP-12me'!BQ243</f>
        <v>0</v>
      </c>
      <c r="N214" s="7"/>
      <c r="O214" s="79">
        <f t="shared" si="5"/>
        <v>124.267108362371</v>
      </c>
    </row>
    <row r="215" spans="2:15">
      <c r="B215" s="74" t="s">
        <v>1163</v>
      </c>
      <c r="C215" s="55"/>
      <c r="D215" s="94">
        <f>'[18]Rev_SP-12me'!AJ244</f>
        <v>0</v>
      </c>
      <c r="E215" s="94">
        <f>'[18]Rev_SP-12me'!AL244</f>
        <v>0</v>
      </c>
      <c r="F215" s="94">
        <f>'[18]Rev_SP-12me'!AQ244</f>
        <v>0</v>
      </c>
      <c r="G215" s="94">
        <f>'[18]Rev_SP-12me'!S244</f>
        <v>475</v>
      </c>
      <c r="H215" s="91">
        <f>'[18]Rev_SP-12me'!T244</f>
        <v>4.95</v>
      </c>
      <c r="I215" s="94">
        <f>'[18]Rev_SP-12me'!AC244</f>
        <v>5000</v>
      </c>
      <c r="J215" s="7"/>
      <c r="K215" s="94">
        <f>'[18]Rev_SP-12me'!BN244</f>
        <v>0</v>
      </c>
      <c r="L215" s="94">
        <f>'[18]Rev_SP-12me'!BO244</f>
        <v>0</v>
      </c>
      <c r="M215" s="94">
        <f>'[18]Rev_SP-12me'!BQ244</f>
        <v>0</v>
      </c>
      <c r="N215" s="7"/>
      <c r="O215" s="79">
        <f t="shared" si="5"/>
        <v>0</v>
      </c>
    </row>
    <row r="216" ht="15" spans="2:15">
      <c r="B216" s="71" t="s">
        <v>919</v>
      </c>
      <c r="C216" s="55"/>
      <c r="D216" s="68">
        <f>'[18]Rev_SP-12me'!AJ245</f>
        <v>0</v>
      </c>
      <c r="E216" s="68">
        <f>'[18]Rev_SP-12me'!AL245</f>
        <v>0</v>
      </c>
      <c r="F216" s="68">
        <f>'[18]Rev_SP-12me'!AQ245</f>
        <v>0</v>
      </c>
      <c r="G216" s="68">
        <f>'[18]Rev_SP-12me'!S245</f>
        <v>285</v>
      </c>
      <c r="H216" s="69">
        <f>'[18]Rev_SP-12me'!T245</f>
        <v>7.3</v>
      </c>
      <c r="I216" s="68">
        <f>'[18]Rev_SP-12me'!AC245</f>
        <v>5000</v>
      </c>
      <c r="J216" s="7"/>
      <c r="K216" s="68">
        <f>'[18]Rev_SP-12me'!BN245</f>
        <v>0</v>
      </c>
      <c r="L216" s="68">
        <f>'[18]Rev_SP-12me'!BO245</f>
        <v>0</v>
      </c>
      <c r="M216" s="68">
        <f>'[18]Rev_SP-12me'!BQ245</f>
        <v>0</v>
      </c>
      <c r="N216" s="7"/>
      <c r="O216" s="68">
        <f t="shared" si="5"/>
        <v>0</v>
      </c>
    </row>
    <row r="217" ht="15" spans="2:15">
      <c r="B217" s="71" t="s">
        <v>1133</v>
      </c>
      <c r="C217" s="55"/>
      <c r="D217" s="68">
        <f>'[18]Rev_SP-12me'!AJ246</f>
        <v>0</v>
      </c>
      <c r="E217" s="68">
        <f>'[18]Rev_SP-12me'!AL246</f>
        <v>0</v>
      </c>
      <c r="F217" s="68">
        <f>'[18]Rev_SP-12me'!AQ246</f>
        <v>0</v>
      </c>
      <c r="G217" s="68">
        <f>'[18]Rev_SP-12me'!S246</f>
        <v>500</v>
      </c>
      <c r="H217" s="69">
        <f>'[18]Rev_SP-12me'!T246</f>
        <v>10.8</v>
      </c>
      <c r="I217" s="68">
        <f>'[18]Rev_SP-12me'!AC246</f>
        <v>5000</v>
      </c>
      <c r="J217" s="7"/>
      <c r="K217" s="68">
        <f>'[18]Rev_SP-12me'!BN246</f>
        <v>0</v>
      </c>
      <c r="L217" s="68">
        <f>'[18]Rev_SP-12me'!BO246</f>
        <v>0</v>
      </c>
      <c r="M217" s="68">
        <f>'[18]Rev_SP-12me'!BQ246</f>
        <v>0</v>
      </c>
      <c r="N217" s="7"/>
      <c r="O217" s="68">
        <f t="shared" si="5"/>
        <v>0</v>
      </c>
    </row>
    <row r="218" ht="15" spans="2:15">
      <c r="B218" s="77" t="s">
        <v>1164</v>
      </c>
      <c r="C218" s="55"/>
      <c r="D218" s="78">
        <f>SUM(D176,D184,D189,D190,D195,D200,D205,D208,D210,D211,D216,D217)</f>
        <v>101</v>
      </c>
      <c r="E218" s="78">
        <f>SUM(E176,E184,E189,E190,E195,E200,E205,E208,E210,E211,E216,E217)</f>
        <v>1953.58770173388</v>
      </c>
      <c r="F218" s="78">
        <f>SUM(F176,F184,F189,F190,F195,F200,F205,F208,F210,F211,F216,F217)</f>
        <v>9305.03631515431</v>
      </c>
      <c r="G218" s="180"/>
      <c r="H218" s="180"/>
      <c r="I218" s="180"/>
      <c r="J218" s="180"/>
      <c r="K218" s="78">
        <f>SUM(K176,K184,K189,K190,K195,K200,K205,K208,K210,K211,K216,K217)</f>
        <v>686.304786990136</v>
      </c>
      <c r="L218" s="78">
        <f>SUM(L176,L184,L189,L190,L195,L200,L205,L208,L210,L211,L216,L217)</f>
        <v>5808.33889081945</v>
      </c>
      <c r="M218" s="78">
        <f>SUM(M176,M184,M189,M190,M195,M200,M205,M208,M210,M211,M216,M217)</f>
        <v>0.597</v>
      </c>
      <c r="N218" s="78">
        <f>SUM(N176,N184,N189,N190,N195,N200,N205,N208,N210,N211,N216,N217)</f>
        <v>0</v>
      </c>
      <c r="O218" s="78">
        <f>SUM(O176,O184,O189,O190,O195,O200,O205,O208,O210,O211,O216,O217)</f>
        <v>6495.24067780959</v>
      </c>
    </row>
    <row r="219" spans="2:15">
      <c r="B219" s="77"/>
      <c r="C219" s="55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</row>
    <row r="220" ht="15" spans="2:15">
      <c r="B220" s="54" t="s">
        <v>1165</v>
      </c>
      <c r="C220" s="55"/>
      <c r="D220" s="78">
        <f>D125+D173+D218</f>
        <v>13661</v>
      </c>
      <c r="E220" s="78">
        <f>E125+E173+E218</f>
        <v>6861.9130034953</v>
      </c>
      <c r="F220" s="78">
        <f>F125+F173+F218</f>
        <v>27400.2157591539</v>
      </c>
      <c r="G220" s="99"/>
      <c r="H220" s="99"/>
      <c r="I220" s="99"/>
      <c r="J220" s="99"/>
      <c r="K220" s="78">
        <f>K125+K173+K218</f>
        <v>2954.932042021</v>
      </c>
      <c r="L220" s="78">
        <f>L125+L173+L218</f>
        <v>19470.0751102764</v>
      </c>
      <c r="M220" s="78">
        <f>M125+M173+M218</f>
        <v>33.2346</v>
      </c>
      <c r="N220" s="78">
        <f>N125+N173+N218</f>
        <v>0</v>
      </c>
      <c r="O220" s="78">
        <f>O125+O173+O218</f>
        <v>22458.2417522974</v>
      </c>
    </row>
    <row r="221" ht="15" spans="2:15">
      <c r="B221" s="54" t="s">
        <v>1166</v>
      </c>
      <c r="C221" s="55"/>
      <c r="D221" s="78">
        <f>D220+D70</f>
        <v>11525883</v>
      </c>
      <c r="E221" s="78">
        <f>E220+E70</f>
        <v>32532.0466226714</v>
      </c>
      <c r="F221" s="78">
        <f>F220+F70</f>
        <v>63432.156922633</v>
      </c>
      <c r="G221" s="99"/>
      <c r="H221" s="99"/>
      <c r="I221" s="99"/>
      <c r="J221" s="99"/>
      <c r="K221" s="80">
        <f>K220+K70</f>
        <v>3688.64251866575</v>
      </c>
      <c r="L221" s="80">
        <f>L220+L70</f>
        <v>31520.7042797975</v>
      </c>
      <c r="M221" s="80">
        <f>M220+M70</f>
        <v>1010.32249665</v>
      </c>
      <c r="N221" s="78">
        <f>N220+N70</f>
        <v>0</v>
      </c>
      <c r="O221" s="80">
        <f>O220+O70</f>
        <v>36219.6692951132</v>
      </c>
    </row>
    <row r="223" ht="15" spans="4:5">
      <c r="D223" s="11" t="s">
        <v>225</v>
      </c>
      <c r="E223" s="12"/>
    </row>
    <row r="224" spans="4:5">
      <c r="D224" s="13">
        <v>1</v>
      </c>
      <c r="E224" s="12" t="s">
        <v>226</v>
      </c>
    </row>
    <row r="225" spans="4:5">
      <c r="D225" s="13">
        <f>D224+1</f>
        <v>2</v>
      </c>
      <c r="E225" s="12" t="s">
        <v>233</v>
      </c>
    </row>
  </sheetData>
  <mergeCells count="11">
    <mergeCell ref="B2:P2"/>
    <mergeCell ref="G5:H5"/>
    <mergeCell ref="K5:O5"/>
    <mergeCell ref="B8:C8"/>
    <mergeCell ref="B72:C72"/>
    <mergeCell ref="D5:D6"/>
    <mergeCell ref="E5:E6"/>
    <mergeCell ref="F5:F6"/>
    <mergeCell ref="I5:I6"/>
    <mergeCell ref="J5:J6"/>
    <mergeCell ref="B5:C7"/>
  </mergeCells>
  <printOptions horizontalCentered="1"/>
  <pageMargins left="0.708661417322835" right="0.51" top="0.4" bottom="0.39" header="0.31496062992126" footer="0.31496062992126"/>
  <pageSetup paperSize="9" scale="49" fitToHeight="10" orientation="landscape"/>
  <headerFooter/>
  <rowBreaks count="2" manualBreakCount="2">
    <brk id="71" max="16383" man="1"/>
    <brk id="14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112</vt:i4>
      </vt:variant>
    </vt:vector>
  </HeadingPairs>
  <TitlesOfParts>
    <vt:vector size="112" baseType="lpstr">
      <vt:lpstr>Checklist</vt:lpstr>
      <vt:lpstr>Status - Formats</vt:lpstr>
      <vt:lpstr>F1</vt:lpstr>
      <vt:lpstr>F2x</vt:lpstr>
      <vt:lpstr>F3x</vt:lpstr>
      <vt:lpstr>F4x</vt:lpstr>
      <vt:lpstr>F4Ax</vt:lpstr>
      <vt:lpstr>F4Bx</vt:lpstr>
      <vt:lpstr>F2</vt:lpstr>
      <vt:lpstr>F2_working</vt:lpstr>
      <vt:lpstr>F3</vt:lpstr>
      <vt:lpstr>F3_working</vt:lpstr>
      <vt:lpstr>F4</vt:lpstr>
      <vt:lpstr>F4A</vt:lpstr>
      <vt:lpstr>F4B</vt:lpstr>
      <vt:lpstr>F5</vt:lpstr>
      <vt:lpstr>F6</vt:lpstr>
      <vt:lpstr>F7</vt:lpstr>
      <vt:lpstr>F7-Working</vt:lpstr>
      <vt:lpstr>F8</vt:lpstr>
      <vt:lpstr>F9-Year(n-1)</vt:lpstr>
      <vt:lpstr>F9-Year(n)</vt:lpstr>
      <vt:lpstr>F9-Year(n+1)</vt:lpstr>
      <vt:lpstr>F9-Year(n+2)</vt:lpstr>
      <vt:lpstr>F9-Year(n+3)</vt:lpstr>
      <vt:lpstr>F9-Year(n+4)</vt:lpstr>
      <vt:lpstr>F9-Year(n+5)</vt:lpstr>
      <vt:lpstr>F10</vt:lpstr>
      <vt:lpstr>F11-Year(n-1)</vt:lpstr>
      <vt:lpstr>F11-Year(n)</vt:lpstr>
      <vt:lpstr>F11-Year(n+1)</vt:lpstr>
      <vt:lpstr>F11-Year(n+2)</vt:lpstr>
      <vt:lpstr>F11-Year(n+3) </vt:lpstr>
      <vt:lpstr>F11-Year(n+4)</vt:lpstr>
      <vt:lpstr>F11-Year(n+5)</vt:lpstr>
      <vt:lpstr>F12</vt:lpstr>
      <vt:lpstr>F13-Year(n-1)</vt:lpstr>
      <vt:lpstr>F13-Year(n)</vt:lpstr>
      <vt:lpstr>F13-Year(n+1)</vt:lpstr>
      <vt:lpstr>F13-Year(n+2)</vt:lpstr>
      <vt:lpstr>F13-Year(n+3)</vt:lpstr>
      <vt:lpstr>F13-Year(n+4)</vt:lpstr>
      <vt:lpstr>F13-Year(n+5)</vt:lpstr>
      <vt:lpstr>F14</vt:lpstr>
      <vt:lpstr>F15x</vt:lpstr>
      <vt:lpstr>F15.1x</vt:lpstr>
      <vt:lpstr>F15.2x</vt:lpstr>
      <vt:lpstr>F15.3x</vt:lpstr>
      <vt:lpstr>F16x</vt:lpstr>
      <vt:lpstr>F16.1x</vt:lpstr>
      <vt:lpstr>F16.2x</vt:lpstr>
      <vt:lpstr>F17x</vt:lpstr>
      <vt:lpstr>F18x</vt:lpstr>
      <vt:lpstr>F19x</vt:lpstr>
      <vt:lpstr>F20x</vt:lpstr>
      <vt:lpstr>F21x</vt:lpstr>
      <vt:lpstr>F22x</vt:lpstr>
      <vt:lpstr>F23x</vt:lpstr>
      <vt:lpstr>F15-x</vt:lpstr>
      <vt:lpstr>F15.1-x</vt:lpstr>
      <vt:lpstr>F15.2-x</vt:lpstr>
      <vt:lpstr>F15.3-x</vt:lpstr>
      <vt:lpstr>F16-x</vt:lpstr>
      <vt:lpstr>F17-x</vt:lpstr>
      <vt:lpstr>F18-x</vt:lpstr>
      <vt:lpstr>F19-x</vt:lpstr>
      <vt:lpstr>F20-x</vt:lpstr>
      <vt:lpstr>F21-x</vt:lpstr>
      <vt:lpstr>F22-x</vt:lpstr>
      <vt:lpstr>F15</vt:lpstr>
      <vt:lpstr>F15.1</vt:lpstr>
      <vt:lpstr>F15.2</vt:lpstr>
      <vt:lpstr>F15.3</vt:lpstr>
      <vt:lpstr>F16</vt:lpstr>
      <vt:lpstr>F17</vt:lpstr>
      <vt:lpstr>F18</vt:lpstr>
      <vt:lpstr>F19</vt:lpstr>
      <vt:lpstr>F20</vt:lpstr>
      <vt:lpstr>F21</vt:lpstr>
      <vt:lpstr>F22</vt:lpstr>
      <vt:lpstr>F23</vt:lpstr>
      <vt:lpstr>F24</vt:lpstr>
      <vt:lpstr>F24.1</vt:lpstr>
      <vt:lpstr>F24.2</vt:lpstr>
      <vt:lpstr>F24.3</vt:lpstr>
      <vt:lpstr>F24.4</vt:lpstr>
      <vt:lpstr>F24.5</vt:lpstr>
      <vt:lpstr>F24.6</vt:lpstr>
      <vt:lpstr>F24.7</vt:lpstr>
      <vt:lpstr>F24.8</vt:lpstr>
      <vt:lpstr>F25</vt:lpstr>
      <vt:lpstr>F26-Year(n-1)</vt:lpstr>
      <vt:lpstr>F26-Year(n+1)(Current Tariff)xx</vt:lpstr>
      <vt:lpstr>F 25</vt:lpstr>
      <vt:lpstr>F26-Year(n+1)(Current Tariff)</vt:lpstr>
      <vt:lpstr>F26-Year(n+1)(Proposed Tariff)</vt:lpstr>
      <vt:lpstr>F26-Year(n+2)(Proposed Tariff)x</vt:lpstr>
      <vt:lpstr>F26-Year(n+2)(Current Tariff)</vt:lpstr>
      <vt:lpstr>F26-Year(n+2)(Proposed Tariff)</vt:lpstr>
      <vt:lpstr>F 27 (n+2)</vt:lpstr>
      <vt:lpstr>Sheet1</vt:lpstr>
      <vt:lpstr>F27</vt:lpstr>
      <vt:lpstr>F27 (n+2)</vt:lpstr>
      <vt:lpstr>F28</vt:lpstr>
      <vt:lpstr>F29</vt:lpstr>
      <vt:lpstr>F25x</vt:lpstr>
      <vt:lpstr>F26-Year(n-1)x</vt:lpstr>
      <vt:lpstr>F26-Year(n+1)(Current Tariff)x</vt:lpstr>
      <vt:lpstr>F26-Year(n+1)(Proposed Tariff)x</vt:lpstr>
      <vt:lpstr>F27x</vt:lpstr>
      <vt:lpstr>F28x</vt:lpstr>
      <vt:lpstr>F29x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Palaniappan M</dc:creator>
  <cp:lastModifiedBy>TSSPDCL</cp:lastModifiedBy>
  <dcterms:created xsi:type="dcterms:W3CDTF">2004-07-28T05:30:00Z</dcterms:created>
  <cp:lastPrinted>2025-02-06T12:34:00Z</cp:lastPrinted>
  <dcterms:modified xsi:type="dcterms:W3CDTF">2025-02-07T11:13:47Z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FE8205DB78834176A7D8BF2DDCE20F57_12</vt:lpwstr>
  </property>
  <property fmtid="{D5CDD505-2E9C-101B-9397-08002B2CF9AE}" pid="3" name="KSOProductBuildVer">
    <vt:lpwstr>1033-12.2.0.19805</vt:lpwstr>
  </property>
</Properties>
</file>